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showInkAnnotation="0" codeName="ThisWorkbook" hidePivotFieldList="1"/>
  <xr:revisionPtr revIDLastSave="0" documentId="13_ncr:1_{08143EAC-4752-4915-B7D6-10B9755A7EAA}" xr6:coauthVersionLast="47" xr6:coauthVersionMax="47" xr10:uidLastSave="{00000000-0000-0000-0000-000000000000}"/>
  <bookViews>
    <workbookView xWindow="-120" yWindow="-120" windowWidth="29040" windowHeight="15840" tabRatio="557" firstSheet="2" activeTab="5" xr2:uid="{00000000-000D-0000-FFFF-FFFF00000000}"/>
  </bookViews>
  <sheets>
    <sheet name="Chart of Accounts" sheetId="6" state="hidden" r:id="rId1"/>
    <sheet name="INVESTOR_LIST" sheetId="57" state="hidden" r:id="rId2"/>
    <sheet name="Journals" sheetId="7" r:id="rId3"/>
    <sheet name="TB-C" sheetId="8" r:id="rId4"/>
    <sheet name="TB-P" sheetId="27" r:id="rId5"/>
    <sheet name="BS" sheetId="2" r:id="rId6"/>
    <sheet name="IS" sheetId="3" r:id="rId7"/>
    <sheet name="E" sheetId="4" r:id="rId8"/>
    <sheet name="CF" sheetId="5" r:id="rId9"/>
    <sheet name="W C &amp; I" sheetId="9" r:id="rId10"/>
    <sheet name="Bank Interest" sheetId="58" r:id="rId11"/>
    <sheet name="Policy Notes" sheetId="43" state="hidden" r:id="rId12"/>
  </sheets>
  <externalReferences>
    <externalReference r:id="rId13"/>
    <externalReference r:id="rId14"/>
    <externalReference r:id="rId15"/>
    <externalReference r:id="rId16"/>
  </externalReferences>
  <definedNames>
    <definedName name="_xlnm._FilterDatabase" localSheetId="2" hidden="1">Journals!$A$7:$L$18191</definedName>
    <definedName name="CURRENT_NAV">BS!$C$44</definedName>
    <definedName name="ExternalData_1" localSheetId="1" hidden="1">INVESTOR_LIST!$A$1:$B$493</definedName>
    <definedName name="NAV" localSheetId="10">[1]BS!$C$43</definedName>
    <definedName name="NAV">BS!$C$42</definedName>
    <definedName name="NAV_MKT">Journals!$T$1</definedName>
    <definedName name="_xlnm.Print_Area" localSheetId="8">CF!$A$1:$F$49</definedName>
    <definedName name="_xlnm.Print_Area" localSheetId="7">E!$A$1:$F$31</definedName>
    <definedName name="_xlnm.Print_Area" localSheetId="6">IS!$A$1:$G$40</definedName>
    <definedName name="TCV_STOCKS" localSheetId="10">#REF!</definedName>
    <definedName name="TCV_STOCKS">#REF!</definedName>
    <definedName name="TMV_STOCKS" localSheetId="10">#REF!</definedName>
    <definedName name="TMV_STOC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108" i="7" l="1"/>
  <c r="D18108" i="7"/>
  <c r="E18107" i="7"/>
  <c r="D18107" i="7"/>
  <c r="E18106" i="7"/>
  <c r="D18106" i="7"/>
  <c r="E18105" i="7"/>
  <c r="D18105" i="7"/>
  <c r="E18104" i="7"/>
  <c r="D18104" i="7"/>
  <c r="R627" i="58" l="1"/>
  <c r="P627" i="58"/>
  <c r="N627" i="58"/>
  <c r="L627" i="58"/>
  <c r="J627" i="58"/>
  <c r="H627" i="58"/>
  <c r="F627" i="58"/>
  <c r="D627" i="58"/>
  <c r="B627" i="58"/>
  <c r="L18103" i="7"/>
  <c r="E18103" i="7"/>
  <c r="D18103" i="7"/>
  <c r="E18102" i="7"/>
  <c r="D18102" i="7"/>
  <c r="E18101" i="7"/>
  <c r="D18101" i="7"/>
  <c r="E18100" i="7"/>
  <c r="D18100" i="7"/>
  <c r="E18099" i="7"/>
  <c r="D18099" i="7"/>
  <c r="A627" i="58" l="1"/>
  <c r="H18097" i="7" a="1"/>
  <c r="H18097" i="7" s="1"/>
  <c r="E18097" i="7"/>
  <c r="D18097" i="7"/>
  <c r="H18098" i="7" a="1"/>
  <c r="H18098" i="7" s="1"/>
  <c r="E18098" i="7"/>
  <c r="D18098" i="7"/>
  <c r="H18096" i="7" a="1"/>
  <c r="H18096" i="7" s="1"/>
  <c r="E18096" i="7"/>
  <c r="D18096" i="7"/>
  <c r="E18120" i="7"/>
  <c r="D18120" i="7"/>
  <c r="L18120" i="7"/>
  <c r="E18119" i="7"/>
  <c r="D18119" i="7"/>
  <c r="L18118" i="7"/>
  <c r="E18118" i="7"/>
  <c r="D18118" i="7"/>
  <c r="E18117" i="7"/>
  <c r="D18117" i="7"/>
  <c r="L18116" i="7"/>
  <c r="E18116" i="7"/>
  <c r="D18116" i="7"/>
  <c r="E18115" i="7"/>
  <c r="D18115" i="7"/>
  <c r="L18114" i="7"/>
  <c r="E18114" i="7"/>
  <c r="D18114" i="7"/>
  <c r="E18113" i="7"/>
  <c r="D18113" i="7"/>
  <c r="L18112" i="7"/>
  <c r="E18112" i="7"/>
  <c r="D18112" i="7"/>
  <c r="E18111" i="7"/>
  <c r="D18111" i="7"/>
  <c r="L18110" i="7"/>
  <c r="E18110" i="7"/>
  <c r="D18110" i="7"/>
  <c r="E18109" i="7"/>
  <c r="D18109" i="7"/>
  <c r="L18091" i="7"/>
  <c r="L18095" i="7"/>
  <c r="R626" i="58"/>
  <c r="P626" i="58"/>
  <c r="N626" i="58"/>
  <c r="L626" i="58"/>
  <c r="J626" i="58"/>
  <c r="H626" i="58"/>
  <c r="F626" i="58"/>
  <c r="D626" i="58"/>
  <c r="B626" i="58"/>
  <c r="R625" i="58"/>
  <c r="P625" i="58"/>
  <c r="N625" i="58"/>
  <c r="L625" i="58"/>
  <c r="J625" i="58"/>
  <c r="H625" i="58"/>
  <c r="F625" i="58"/>
  <c r="D625" i="58"/>
  <c r="A625" i="58" s="1"/>
  <c r="B625" i="58"/>
  <c r="R624" i="58"/>
  <c r="P624" i="58"/>
  <c r="N624" i="58"/>
  <c r="L624" i="58"/>
  <c r="J624" i="58"/>
  <c r="H624" i="58"/>
  <c r="F624" i="58"/>
  <c r="D624" i="58"/>
  <c r="A624" i="58" s="1"/>
  <c r="B624" i="58"/>
  <c r="R623" i="58"/>
  <c r="P623" i="58"/>
  <c r="N623" i="58"/>
  <c r="L623" i="58"/>
  <c r="J623" i="58"/>
  <c r="H623" i="58"/>
  <c r="F623" i="58"/>
  <c r="D623" i="58"/>
  <c r="A623" i="58" s="1"/>
  <c r="B623" i="58"/>
  <c r="R622" i="58"/>
  <c r="P622" i="58"/>
  <c r="N622" i="58"/>
  <c r="L622" i="58"/>
  <c r="J622" i="58"/>
  <c r="H622" i="58"/>
  <c r="F622" i="58"/>
  <c r="D622" i="58"/>
  <c r="A622" i="58" s="1"/>
  <c r="B622" i="58"/>
  <c r="R621" i="58"/>
  <c r="P621" i="58"/>
  <c r="N621" i="58"/>
  <c r="L621" i="58"/>
  <c r="J621" i="58"/>
  <c r="H621" i="58"/>
  <c r="F621" i="58"/>
  <c r="D621" i="58"/>
  <c r="A621" i="58" s="1"/>
  <c r="B621" i="58"/>
  <c r="R620" i="58"/>
  <c r="P620" i="58"/>
  <c r="N620" i="58"/>
  <c r="L620" i="58"/>
  <c r="J620" i="58"/>
  <c r="H620" i="58"/>
  <c r="F620" i="58"/>
  <c r="D620" i="58"/>
  <c r="A620" i="58" s="1"/>
  <c r="B620" i="58"/>
  <c r="R619" i="58"/>
  <c r="P619" i="58"/>
  <c r="N619" i="58"/>
  <c r="L619" i="58"/>
  <c r="J619" i="58"/>
  <c r="H619" i="58"/>
  <c r="F619" i="58"/>
  <c r="D619" i="58"/>
  <c r="A619" i="58" s="1"/>
  <c r="B619" i="58"/>
  <c r="E18083" i="7"/>
  <c r="D18083" i="7"/>
  <c r="E18082" i="7"/>
  <c r="D18082" i="7"/>
  <c r="E18081" i="7"/>
  <c r="D18081" i="7"/>
  <c r="E18080" i="7"/>
  <c r="D18080" i="7"/>
  <c r="E18079" i="7"/>
  <c r="D18079" i="7"/>
  <c r="L18078" i="7"/>
  <c r="E18078" i="7"/>
  <c r="D18078" i="7"/>
  <c r="E18077" i="7"/>
  <c r="D18077" i="7"/>
  <c r="L18085" i="7"/>
  <c r="E18095" i="7"/>
  <c r="D18095" i="7"/>
  <c r="E18094" i="7"/>
  <c r="D18094" i="7"/>
  <c r="L18093" i="7"/>
  <c r="E18093" i="7"/>
  <c r="D18093" i="7"/>
  <c r="E18092" i="7"/>
  <c r="D18092" i="7"/>
  <c r="E18091" i="7"/>
  <c r="D18091" i="7"/>
  <c r="E18090" i="7"/>
  <c r="D18090" i="7"/>
  <c r="L18089" i="7"/>
  <c r="E18089" i="7"/>
  <c r="D18089" i="7"/>
  <c r="E18088" i="7"/>
  <c r="D18088" i="7"/>
  <c r="L18087" i="7"/>
  <c r="E18087" i="7"/>
  <c r="D18087" i="7"/>
  <c r="E18086" i="7"/>
  <c r="D18086" i="7"/>
  <c r="E18085" i="7"/>
  <c r="D18085" i="7"/>
  <c r="E18084" i="7"/>
  <c r="D18084" i="7"/>
  <c r="R618" i="58"/>
  <c r="P618" i="58"/>
  <c r="N618" i="58"/>
  <c r="L618" i="58"/>
  <c r="J618" i="58"/>
  <c r="H618" i="58"/>
  <c r="F618" i="58"/>
  <c r="D618" i="58"/>
  <c r="E18064" i="7"/>
  <c r="D18064" i="7"/>
  <c r="E18063" i="7"/>
  <c r="D18063" i="7"/>
  <c r="E18062" i="7"/>
  <c r="D18062" i="7"/>
  <c r="E18061" i="7"/>
  <c r="D18061" i="7"/>
  <c r="E18060" i="7"/>
  <c r="D18060" i="7"/>
  <c r="E18059" i="7"/>
  <c r="D18059" i="7"/>
  <c r="E18058" i="7"/>
  <c r="D18058" i="7"/>
  <c r="E18057" i="7"/>
  <c r="D18057" i="7"/>
  <c r="E18056" i="7"/>
  <c r="D18056" i="7"/>
  <c r="E18055" i="7"/>
  <c r="D18055" i="7"/>
  <c r="E18054" i="7"/>
  <c r="D18054" i="7"/>
  <c r="L18053" i="7"/>
  <c r="E18053" i="7"/>
  <c r="D18053" i="7"/>
  <c r="E18052" i="7"/>
  <c r="D18052" i="7"/>
  <c r="L18051" i="7"/>
  <c r="E18051" i="7"/>
  <c r="D18051" i="7"/>
  <c r="E18050" i="7"/>
  <c r="D18050" i="7"/>
  <c r="A626" i="58" l="1"/>
  <c r="A618" i="58"/>
  <c r="L18076" i="7"/>
  <c r="E18076" i="7"/>
  <c r="D18076" i="7"/>
  <c r="E18075" i="7"/>
  <c r="D18075" i="7"/>
  <c r="L18074" i="7"/>
  <c r="E18074" i="7"/>
  <c r="D18074" i="7"/>
  <c r="E18073" i="7"/>
  <c r="D18073" i="7"/>
  <c r="E18072" i="7"/>
  <c r="D18072" i="7"/>
  <c r="L18072" i="7"/>
  <c r="E18071" i="7"/>
  <c r="D18071" i="7"/>
  <c r="L18070" i="7"/>
  <c r="E18070" i="7"/>
  <c r="D18070" i="7"/>
  <c r="E18069" i="7"/>
  <c r="D18069" i="7"/>
  <c r="L18068" i="7"/>
  <c r="E18068" i="7"/>
  <c r="D18068" i="7"/>
  <c r="E18067" i="7"/>
  <c r="D18067" i="7"/>
  <c r="L18066" i="7"/>
  <c r="E18066" i="7"/>
  <c r="D18066" i="7"/>
  <c r="E18065" i="7"/>
  <c r="D18065" i="7"/>
  <c r="L18049" i="7"/>
  <c r="R617" i="58"/>
  <c r="P617" i="58"/>
  <c r="N617" i="58"/>
  <c r="L617" i="58"/>
  <c r="J617" i="58"/>
  <c r="H617" i="58"/>
  <c r="F617" i="58"/>
  <c r="D617" i="58"/>
  <c r="R616" i="58"/>
  <c r="P616" i="58"/>
  <c r="N616" i="58"/>
  <c r="L616" i="58"/>
  <c r="J616" i="58"/>
  <c r="H616" i="58"/>
  <c r="F616" i="58"/>
  <c r="D616" i="58"/>
  <c r="A616" i="58" s="1"/>
  <c r="R615" i="58"/>
  <c r="P615" i="58"/>
  <c r="N615" i="58"/>
  <c r="L615" i="58"/>
  <c r="J615" i="58"/>
  <c r="H615" i="58"/>
  <c r="F615" i="58"/>
  <c r="D615" i="58"/>
  <c r="K18044" i="7"/>
  <c r="L18045" i="7" s="1"/>
  <c r="K18038" i="7"/>
  <c r="L18039" i="7" s="1"/>
  <c r="E18049" i="7"/>
  <c r="D18049" i="7"/>
  <c r="E18048" i="7"/>
  <c r="D18048" i="7"/>
  <c r="E18047" i="7"/>
  <c r="D18047" i="7"/>
  <c r="L18047" i="7"/>
  <c r="E18046" i="7"/>
  <c r="D18046" i="7"/>
  <c r="E18045" i="7"/>
  <c r="D18045" i="7"/>
  <c r="E18044" i="7"/>
  <c r="D18044" i="7"/>
  <c r="L18043" i="7"/>
  <c r="E18043" i="7"/>
  <c r="D18043" i="7"/>
  <c r="E18042" i="7"/>
  <c r="D18042" i="7"/>
  <c r="L18041" i="7"/>
  <c r="E18041" i="7"/>
  <c r="D18041" i="7"/>
  <c r="E18040" i="7"/>
  <c r="D18040" i="7"/>
  <c r="E18039" i="7"/>
  <c r="D18039" i="7"/>
  <c r="E18038" i="7"/>
  <c r="D18038" i="7"/>
  <c r="L18037" i="7"/>
  <c r="E18037" i="7"/>
  <c r="D18037" i="7"/>
  <c r="E18036" i="7"/>
  <c r="D18036" i="7"/>
  <c r="L18035" i="7"/>
  <c r="E18035" i="7"/>
  <c r="D18035" i="7"/>
  <c r="E18034" i="7"/>
  <c r="D18034" i="7"/>
  <c r="E18033" i="7"/>
  <c r="D18033" i="7"/>
  <c r="E18032" i="7"/>
  <c r="D18032" i="7"/>
  <c r="E18031" i="7"/>
  <c r="D18031" i="7"/>
  <c r="A615" i="58" l="1"/>
  <c r="A617" i="58"/>
  <c r="E18030" i="7" l="1"/>
  <c r="D18030" i="7"/>
  <c r="E18029" i="7"/>
  <c r="D18029" i="7"/>
  <c r="E18028" i="7"/>
  <c r="D18028" i="7"/>
  <c r="E18027" i="7" l="1"/>
  <c r="D18027" i="7"/>
  <c r="E18026" i="7"/>
  <c r="D18026" i="7"/>
  <c r="E18025" i="7"/>
  <c r="D18025" i="7"/>
  <c r="E18024" i="7"/>
  <c r="D18024" i="7"/>
  <c r="E18023" i="7"/>
  <c r="D18023" i="7"/>
  <c r="K18021" i="7"/>
  <c r="K18019" i="7"/>
  <c r="R614" i="58"/>
  <c r="P614" i="58"/>
  <c r="N614" i="58"/>
  <c r="L614" i="58"/>
  <c r="J614" i="58"/>
  <c r="H614" i="58"/>
  <c r="F614" i="58"/>
  <c r="D614" i="58"/>
  <c r="A614" i="58" s="1"/>
  <c r="E18010" i="7"/>
  <c r="D18010" i="7"/>
  <c r="E18009" i="7"/>
  <c r="D18009" i="7"/>
  <c r="E18008" i="7"/>
  <c r="D18008" i="7"/>
  <c r="E18007" i="7"/>
  <c r="D18007" i="7"/>
  <c r="E18006" i="7"/>
  <c r="D18006" i="7"/>
  <c r="L18022" i="7" l="1"/>
  <c r="E18022" i="7"/>
  <c r="D18022" i="7"/>
  <c r="E18021" i="7"/>
  <c r="D18021" i="7"/>
  <c r="L18020" i="7"/>
  <c r="E18020" i="7"/>
  <c r="D18020" i="7"/>
  <c r="E18019" i="7"/>
  <c r="D18019" i="7"/>
  <c r="L18018" i="7"/>
  <c r="E18018" i="7"/>
  <c r="D18018" i="7"/>
  <c r="E18017" i="7"/>
  <c r="D18017" i="7"/>
  <c r="L18016" i="7"/>
  <c r="E18016" i="7"/>
  <c r="D18016" i="7"/>
  <c r="E18015" i="7"/>
  <c r="D18015" i="7"/>
  <c r="L18014" i="7"/>
  <c r="E18014" i="7"/>
  <c r="D18014" i="7"/>
  <c r="E18013" i="7"/>
  <c r="D18013" i="7"/>
  <c r="L18012" i="7"/>
  <c r="E18012" i="7"/>
  <c r="D18012" i="7"/>
  <c r="E18011" i="7"/>
  <c r="D18011" i="7"/>
  <c r="E18004" i="7"/>
  <c r="D18004" i="7"/>
  <c r="E18005" i="7"/>
  <c r="D18005" i="7"/>
  <c r="H18003" i="7" a="1"/>
  <c r="H18003" i="7" s="1"/>
  <c r="E18003" i="7"/>
  <c r="D18003" i="7"/>
  <c r="L17979" i="7" l="1"/>
  <c r="E17979" i="7"/>
  <c r="D17979" i="7"/>
  <c r="E17978" i="7"/>
  <c r="D17978" i="7"/>
  <c r="L18002" i="7"/>
  <c r="E18002" i="7"/>
  <c r="D18002" i="7"/>
  <c r="E18001" i="7"/>
  <c r="D18001" i="7"/>
  <c r="L18000" i="7"/>
  <c r="E18000" i="7"/>
  <c r="D18000" i="7"/>
  <c r="E17999" i="7"/>
  <c r="D17999" i="7"/>
  <c r="L17998" i="7"/>
  <c r="E17998" i="7"/>
  <c r="D17998" i="7"/>
  <c r="E17997" i="7"/>
  <c r="D17997" i="7"/>
  <c r="L17996" i="7"/>
  <c r="E17996" i="7"/>
  <c r="D17996" i="7"/>
  <c r="E17995" i="7"/>
  <c r="D17995" i="7"/>
  <c r="E17994" i="7"/>
  <c r="D17994" i="7"/>
  <c r="E17993" i="7"/>
  <c r="D17993" i="7"/>
  <c r="E17992" i="7"/>
  <c r="D17992" i="7"/>
  <c r="L17991" i="7" l="1"/>
  <c r="E17991" i="7"/>
  <c r="D17991" i="7"/>
  <c r="E17990" i="7"/>
  <c r="D17990" i="7"/>
  <c r="L17989" i="7"/>
  <c r="E17989" i="7"/>
  <c r="D17989" i="7"/>
  <c r="E17988" i="7"/>
  <c r="D17988" i="7"/>
  <c r="L17987" i="7"/>
  <c r="E17987" i="7"/>
  <c r="D17987" i="7"/>
  <c r="E17986" i="7"/>
  <c r="D17986" i="7"/>
  <c r="L17985" i="7"/>
  <c r="E17985" i="7"/>
  <c r="D17985" i="7"/>
  <c r="E17984" i="7"/>
  <c r="D17984" i="7"/>
  <c r="L17983" i="7"/>
  <c r="E17983" i="7"/>
  <c r="D17983" i="7"/>
  <c r="E17982" i="7"/>
  <c r="D17982" i="7"/>
  <c r="L17981" i="7"/>
  <c r="E17981" i="7"/>
  <c r="D17981" i="7"/>
  <c r="E17980" i="7"/>
  <c r="D17980" i="7"/>
  <c r="E17977" i="7"/>
  <c r="D17977" i="7"/>
  <c r="E17976" i="7"/>
  <c r="D17976" i="7"/>
  <c r="E17975" i="7"/>
  <c r="D17975" i="7"/>
  <c r="E17974" i="7"/>
  <c r="D17974" i="7"/>
  <c r="E17973" i="7"/>
  <c r="D17973" i="7"/>
  <c r="R613" i="58" l="1"/>
  <c r="P613" i="58"/>
  <c r="N613" i="58"/>
  <c r="L613" i="58"/>
  <c r="J613" i="58"/>
  <c r="H613" i="58"/>
  <c r="F613" i="58"/>
  <c r="D613" i="58"/>
  <c r="L17972" i="7"/>
  <c r="E17972" i="7"/>
  <c r="D17972" i="7"/>
  <c r="E17971" i="7"/>
  <c r="D17971" i="7"/>
  <c r="L17970" i="7"/>
  <c r="E17970" i="7"/>
  <c r="D17970" i="7"/>
  <c r="E17969" i="7"/>
  <c r="D17969" i="7"/>
  <c r="L17968" i="7"/>
  <c r="E17968" i="7"/>
  <c r="D17968" i="7"/>
  <c r="E17967" i="7"/>
  <c r="D17967" i="7"/>
  <c r="L17966" i="7"/>
  <c r="E17966" i="7"/>
  <c r="D17966" i="7"/>
  <c r="E17965" i="7"/>
  <c r="D17965" i="7"/>
  <c r="E17961" i="7"/>
  <c r="D17961" i="7"/>
  <c r="E17960" i="7"/>
  <c r="D17960" i="7"/>
  <c r="E17959" i="7"/>
  <c r="D17959" i="7"/>
  <c r="E17964" i="7"/>
  <c r="D17964" i="7"/>
  <c r="E17963" i="7"/>
  <c r="D17963" i="7"/>
  <c r="E17962" i="7"/>
  <c r="D17962" i="7"/>
  <c r="A613" i="58" l="1"/>
  <c r="E17946" i="7"/>
  <c r="D17946" i="7"/>
  <c r="E17945" i="7"/>
  <c r="D17945" i="7"/>
  <c r="E17944" i="7"/>
  <c r="D17944" i="7"/>
  <c r="R612" i="58" l="1"/>
  <c r="P612" i="58"/>
  <c r="N612" i="58"/>
  <c r="L612" i="58"/>
  <c r="J612" i="58"/>
  <c r="H612" i="58"/>
  <c r="F612" i="58"/>
  <c r="D612" i="58"/>
  <c r="E17943" i="7"/>
  <c r="D17943" i="7"/>
  <c r="E17942" i="7"/>
  <c r="D17942" i="7"/>
  <c r="E17941" i="7"/>
  <c r="D17941" i="7"/>
  <c r="E17940" i="7"/>
  <c r="D17940" i="7"/>
  <c r="E17939" i="7"/>
  <c r="D17939" i="7"/>
  <c r="L17938" i="7"/>
  <c r="E17938" i="7"/>
  <c r="D17938" i="7"/>
  <c r="E17937" i="7"/>
  <c r="D17937" i="7"/>
  <c r="L17958" i="7"/>
  <c r="E17958" i="7"/>
  <c r="D17958" i="7"/>
  <c r="E17957" i="7"/>
  <c r="D17957" i="7"/>
  <c r="L17956" i="7"/>
  <c r="E17956" i="7"/>
  <c r="D17956" i="7"/>
  <c r="E17955" i="7"/>
  <c r="D17955" i="7"/>
  <c r="L17954" i="7"/>
  <c r="E17954" i="7"/>
  <c r="D17954" i="7"/>
  <c r="E17953" i="7"/>
  <c r="D17953" i="7"/>
  <c r="L17952" i="7"/>
  <c r="E17952" i="7"/>
  <c r="D17952" i="7"/>
  <c r="E17951" i="7"/>
  <c r="D17951" i="7"/>
  <c r="L17950" i="7"/>
  <c r="E17950" i="7"/>
  <c r="D17950" i="7"/>
  <c r="E17949" i="7"/>
  <c r="D17949" i="7"/>
  <c r="L17948" i="7"/>
  <c r="E17948" i="7"/>
  <c r="D17948" i="7"/>
  <c r="E17947" i="7"/>
  <c r="D17947" i="7"/>
  <c r="K17922" i="7"/>
  <c r="L17923" i="7" s="1"/>
  <c r="E17924" i="7"/>
  <c r="D17924" i="7"/>
  <c r="E17923" i="7"/>
  <c r="D17923" i="7"/>
  <c r="E17922" i="7"/>
  <c r="D17922" i="7"/>
  <c r="A612" i="58" l="1"/>
  <c r="L17936" i="7"/>
  <c r="E17936" i="7"/>
  <c r="D17936" i="7"/>
  <c r="E17935" i="7"/>
  <c r="D17935" i="7"/>
  <c r="L17934" i="7"/>
  <c r="E17934" i="7"/>
  <c r="D17934" i="7"/>
  <c r="E17933" i="7"/>
  <c r="D17933" i="7"/>
  <c r="L17932" i="7"/>
  <c r="E17932" i="7"/>
  <c r="D17932" i="7"/>
  <c r="E17931" i="7"/>
  <c r="D17931" i="7"/>
  <c r="L17930" i="7"/>
  <c r="E17930" i="7"/>
  <c r="D17930" i="7"/>
  <c r="E17929" i="7"/>
  <c r="D17929" i="7"/>
  <c r="L17928" i="7"/>
  <c r="E17928" i="7"/>
  <c r="D17928" i="7"/>
  <c r="E17927" i="7"/>
  <c r="D17927" i="7"/>
  <c r="L17926" i="7"/>
  <c r="E17926" i="7"/>
  <c r="D17926" i="7"/>
  <c r="E17925" i="7"/>
  <c r="D17925" i="7"/>
  <c r="E17921" i="7" l="1"/>
  <c r="D17921" i="7"/>
  <c r="E17920" i="7"/>
  <c r="D17920" i="7"/>
  <c r="E17919" i="7"/>
  <c r="D17919" i="7"/>
  <c r="E17918" i="7"/>
  <c r="D17918" i="7"/>
  <c r="E17917" i="7"/>
  <c r="D17917" i="7"/>
  <c r="L17916" i="7"/>
  <c r="E17916" i="7"/>
  <c r="D17916" i="7"/>
  <c r="E17915" i="7"/>
  <c r="D17915" i="7"/>
  <c r="E17914" i="7"/>
  <c r="D17914" i="7"/>
  <c r="E17913" i="7"/>
  <c r="D17913" i="7"/>
  <c r="E17912" i="7"/>
  <c r="D17912" i="7"/>
  <c r="E17911" i="7"/>
  <c r="D17911" i="7"/>
  <c r="E17910" i="7"/>
  <c r="D17910" i="7"/>
  <c r="E17909" i="7"/>
  <c r="D17909" i="7"/>
  <c r="R611" i="58" l="1"/>
  <c r="P611" i="58"/>
  <c r="N611" i="58"/>
  <c r="L611" i="58"/>
  <c r="J611" i="58"/>
  <c r="H611" i="58"/>
  <c r="F611" i="58"/>
  <c r="D611" i="58"/>
  <c r="K17907" i="7"/>
  <c r="K17905" i="7"/>
  <c r="L17896" i="7"/>
  <c r="E17896" i="7"/>
  <c r="D17896" i="7"/>
  <c r="E17895" i="7"/>
  <c r="D17895" i="7"/>
  <c r="E17894" i="7"/>
  <c r="D17894" i="7"/>
  <c r="E17893" i="7"/>
  <c r="D17893" i="7"/>
  <c r="E17892" i="7"/>
  <c r="D17892" i="7"/>
  <c r="E17891" i="7"/>
  <c r="D17891" i="7"/>
  <c r="E17890" i="7"/>
  <c r="D17890" i="7"/>
  <c r="E17889" i="7"/>
  <c r="D17889" i="7"/>
  <c r="L17888" i="7"/>
  <c r="E17888" i="7"/>
  <c r="D17888" i="7"/>
  <c r="E17887" i="7"/>
  <c r="D17887" i="7"/>
  <c r="E17886" i="7"/>
  <c r="D17886" i="7"/>
  <c r="E17885" i="7"/>
  <c r="D17885" i="7"/>
  <c r="E17884" i="7"/>
  <c r="D17884" i="7"/>
  <c r="E17883" i="7"/>
  <c r="D17883" i="7"/>
  <c r="E17882" i="7"/>
  <c r="D17882" i="7"/>
  <c r="E17881" i="7"/>
  <c r="D17881" i="7"/>
  <c r="A611" i="58" l="1"/>
  <c r="E17880" i="7"/>
  <c r="D17880" i="7"/>
  <c r="E17879" i="7"/>
  <c r="D17879" i="7"/>
  <c r="E17878" i="7"/>
  <c r="D17878" i="7"/>
  <c r="E17877" i="7"/>
  <c r="D17877" i="7"/>
  <c r="E17876" i="7"/>
  <c r="D17876" i="7"/>
  <c r="E17875" i="7"/>
  <c r="D17875" i="7"/>
  <c r="R610" i="58"/>
  <c r="P610" i="58"/>
  <c r="N610" i="58"/>
  <c r="L610" i="58"/>
  <c r="J610" i="58"/>
  <c r="H610" i="58"/>
  <c r="F610" i="58"/>
  <c r="D610" i="58"/>
  <c r="R609" i="58"/>
  <c r="P609" i="58"/>
  <c r="N609" i="58"/>
  <c r="L609" i="58"/>
  <c r="J609" i="58"/>
  <c r="H609" i="58"/>
  <c r="F609" i="58"/>
  <c r="D609" i="58"/>
  <c r="R608" i="58"/>
  <c r="P608" i="58"/>
  <c r="N608" i="58"/>
  <c r="L608" i="58"/>
  <c r="J608" i="58"/>
  <c r="H608" i="58"/>
  <c r="F608" i="58"/>
  <c r="D608" i="58"/>
  <c r="K17903" i="7"/>
  <c r="K17897" i="7"/>
  <c r="L17898" i="7" s="1"/>
  <c r="L17908" i="7"/>
  <c r="E17908" i="7"/>
  <c r="D17908" i="7"/>
  <c r="E17907" i="7"/>
  <c r="D17907" i="7"/>
  <c r="L17906" i="7"/>
  <c r="E17906" i="7"/>
  <c r="D17906" i="7"/>
  <c r="E17905" i="7"/>
  <c r="D17905" i="7"/>
  <c r="L17904" i="7"/>
  <c r="E17904" i="7"/>
  <c r="D17904" i="7"/>
  <c r="E17903" i="7"/>
  <c r="D17903" i="7"/>
  <c r="L17902" i="7"/>
  <c r="E17902" i="7"/>
  <c r="D17902" i="7"/>
  <c r="E17901" i="7"/>
  <c r="D17901" i="7"/>
  <c r="L17900" i="7"/>
  <c r="E17900" i="7"/>
  <c r="D17900" i="7"/>
  <c r="E17899" i="7"/>
  <c r="D17899" i="7"/>
  <c r="E17898" i="7"/>
  <c r="D17898" i="7"/>
  <c r="E17897" i="7"/>
  <c r="D17897" i="7"/>
  <c r="D17714" i="7"/>
  <c r="E17714" i="7"/>
  <c r="D17715" i="7"/>
  <c r="E17715" i="7"/>
  <c r="D17716" i="7"/>
  <c r="E17716" i="7"/>
  <c r="L17874" i="7"/>
  <c r="R607" i="58"/>
  <c r="P607" i="58"/>
  <c r="N607" i="58"/>
  <c r="L607" i="58"/>
  <c r="J607" i="58"/>
  <c r="H607" i="58"/>
  <c r="F607" i="58"/>
  <c r="D607" i="58"/>
  <c r="E17874" i="7"/>
  <c r="D17874" i="7"/>
  <c r="E17873" i="7"/>
  <c r="D17873" i="7"/>
  <c r="L17872" i="7"/>
  <c r="E17872" i="7"/>
  <c r="D17872" i="7"/>
  <c r="E17871" i="7"/>
  <c r="D17871" i="7"/>
  <c r="L17870" i="7"/>
  <c r="E17870" i="7"/>
  <c r="D17870" i="7"/>
  <c r="E17869" i="7"/>
  <c r="D17869" i="7"/>
  <c r="L17868" i="7"/>
  <c r="E17868" i="7"/>
  <c r="D17868" i="7"/>
  <c r="E17867" i="7"/>
  <c r="D17867" i="7"/>
  <c r="L17866" i="7"/>
  <c r="E17866" i="7"/>
  <c r="D17866" i="7"/>
  <c r="E17865" i="7"/>
  <c r="D17865" i="7"/>
  <c r="L17864" i="7"/>
  <c r="E17864" i="7"/>
  <c r="D17864" i="7"/>
  <c r="E17863" i="7"/>
  <c r="D17863" i="7"/>
  <c r="E17862" i="7"/>
  <c r="D17862" i="7"/>
  <c r="E17861" i="7"/>
  <c r="D17861" i="7"/>
  <c r="E17860" i="7"/>
  <c r="D17860" i="7"/>
  <c r="E17859" i="7"/>
  <c r="D17859" i="7"/>
  <c r="E17858" i="7"/>
  <c r="D17858" i="7"/>
  <c r="A608" i="58" l="1"/>
  <c r="A609" i="58"/>
  <c r="A610" i="58"/>
  <c r="A607" i="58"/>
  <c r="L17821" i="7"/>
  <c r="E17821" i="7"/>
  <c r="D17821" i="7"/>
  <c r="E17820" i="7"/>
  <c r="D17820" i="7"/>
  <c r="E17857" i="7"/>
  <c r="D17857" i="7"/>
  <c r="E17856" i="7"/>
  <c r="D17856" i="7"/>
  <c r="E17855" i="7"/>
  <c r="D17855" i="7"/>
  <c r="L17852" i="7" l="1"/>
  <c r="E17842" i="7"/>
  <c r="D17842" i="7"/>
  <c r="E17841" i="7"/>
  <c r="D17841" i="7"/>
  <c r="E17840" i="7"/>
  <c r="D17840" i="7"/>
  <c r="E17839" i="7"/>
  <c r="D17839" i="7"/>
  <c r="E17838" i="7"/>
  <c r="D17838" i="7"/>
  <c r="R606" i="58"/>
  <c r="P606" i="58"/>
  <c r="N606" i="58"/>
  <c r="L606" i="58"/>
  <c r="J606" i="58"/>
  <c r="H606" i="58"/>
  <c r="F606" i="58"/>
  <c r="D606" i="58"/>
  <c r="L17854" i="7"/>
  <c r="E17854" i="7"/>
  <c r="D17854" i="7"/>
  <c r="E17853" i="7"/>
  <c r="D17853" i="7"/>
  <c r="E17852" i="7"/>
  <c r="D17852" i="7"/>
  <c r="E17851" i="7"/>
  <c r="D17851" i="7"/>
  <c r="L17850" i="7"/>
  <c r="E17850" i="7"/>
  <c r="D17850" i="7"/>
  <c r="E17849" i="7"/>
  <c r="D17849" i="7"/>
  <c r="L17848" i="7"/>
  <c r="E17848" i="7"/>
  <c r="D17848" i="7"/>
  <c r="E17847" i="7"/>
  <c r="D17847" i="7"/>
  <c r="L17846" i="7"/>
  <c r="E17846" i="7"/>
  <c r="D17846" i="7"/>
  <c r="E17845" i="7"/>
  <c r="D17845" i="7"/>
  <c r="L17844" i="7"/>
  <c r="E17844" i="7"/>
  <c r="D17844" i="7"/>
  <c r="E17843" i="7"/>
  <c r="D17843" i="7"/>
  <c r="L17837" i="7"/>
  <c r="E17837" i="7"/>
  <c r="D17837" i="7"/>
  <c r="E17836" i="7"/>
  <c r="D17836" i="7"/>
  <c r="L17835" i="7"/>
  <c r="E17835" i="7"/>
  <c r="D17835" i="7"/>
  <c r="E17834" i="7"/>
  <c r="D17834" i="7"/>
  <c r="E17819" i="7"/>
  <c r="D17819" i="7"/>
  <c r="E17818" i="7"/>
  <c r="D17818" i="7"/>
  <c r="E17817" i="7"/>
  <c r="D17817" i="7"/>
  <c r="E17816" i="7"/>
  <c r="D17816" i="7"/>
  <c r="E17815" i="7"/>
  <c r="D17815" i="7"/>
  <c r="L17833" i="7"/>
  <c r="E17833" i="7"/>
  <c r="D17833" i="7"/>
  <c r="E17832" i="7"/>
  <c r="D17832" i="7"/>
  <c r="L17831" i="7"/>
  <c r="E17831" i="7"/>
  <c r="D17831" i="7"/>
  <c r="E17830" i="7"/>
  <c r="D17830" i="7"/>
  <c r="L17829" i="7"/>
  <c r="E17829" i="7"/>
  <c r="D17829" i="7"/>
  <c r="E17828" i="7"/>
  <c r="D17828" i="7"/>
  <c r="L17827" i="7"/>
  <c r="E17827" i="7"/>
  <c r="D17827" i="7"/>
  <c r="E17826" i="7"/>
  <c r="D17826" i="7"/>
  <c r="L17825" i="7"/>
  <c r="E17825" i="7"/>
  <c r="D17825" i="7"/>
  <c r="E17824" i="7"/>
  <c r="D17824" i="7"/>
  <c r="L17823" i="7"/>
  <c r="E17823" i="7"/>
  <c r="D17823" i="7"/>
  <c r="E17822" i="7"/>
  <c r="D17822" i="7"/>
  <c r="R605" i="58"/>
  <c r="P605" i="58"/>
  <c r="N605" i="58"/>
  <c r="L605" i="58"/>
  <c r="J605" i="58"/>
  <c r="H605" i="58"/>
  <c r="F605" i="58"/>
  <c r="D605" i="58"/>
  <c r="L17814" i="7"/>
  <c r="E17814" i="7"/>
  <c r="D17814" i="7"/>
  <c r="E17813" i="7"/>
  <c r="D17813" i="7"/>
  <c r="L17812" i="7"/>
  <c r="E17812" i="7"/>
  <c r="D17812" i="7"/>
  <c r="E17811" i="7"/>
  <c r="D17811" i="7"/>
  <c r="L17808" i="7"/>
  <c r="R604" i="58"/>
  <c r="P604" i="58"/>
  <c r="N604" i="58"/>
  <c r="L604" i="58"/>
  <c r="J604" i="58"/>
  <c r="H604" i="58"/>
  <c r="F604" i="58"/>
  <c r="D604" i="58"/>
  <c r="L17810" i="7"/>
  <c r="E17810" i="7"/>
  <c r="D17810" i="7"/>
  <c r="E17809" i="7"/>
  <c r="D17809" i="7"/>
  <c r="E17808" i="7"/>
  <c r="D17808" i="7"/>
  <c r="E17807" i="7"/>
  <c r="D17807" i="7"/>
  <c r="L17806" i="7"/>
  <c r="E17806" i="7"/>
  <c r="D17806" i="7"/>
  <c r="E17805" i="7"/>
  <c r="D17805" i="7"/>
  <c r="L17804" i="7"/>
  <c r="E17804" i="7"/>
  <c r="D17804" i="7"/>
  <c r="E17803" i="7"/>
  <c r="D17803" i="7"/>
  <c r="L17802" i="7"/>
  <c r="E17802" i="7"/>
  <c r="D17802" i="7"/>
  <c r="E17801" i="7"/>
  <c r="D17801" i="7"/>
  <c r="L17800" i="7"/>
  <c r="E17800" i="7"/>
  <c r="D17800" i="7"/>
  <c r="E17799" i="7"/>
  <c r="D17799" i="7"/>
  <c r="E17787" i="7"/>
  <c r="D17787" i="7"/>
  <c r="E17786" i="7"/>
  <c r="D17786" i="7"/>
  <c r="E17785" i="7"/>
  <c r="D17785" i="7"/>
  <c r="E17798" i="7"/>
  <c r="D17798" i="7"/>
  <c r="E17797" i="7"/>
  <c r="D17797" i="7"/>
  <c r="E17796" i="7"/>
  <c r="D17796" i="7"/>
  <c r="E17795" i="7"/>
  <c r="D17795" i="7"/>
  <c r="E17794" i="7"/>
  <c r="D17794" i="7"/>
  <c r="L17791" i="7"/>
  <c r="E17791" i="7"/>
  <c r="D17791" i="7"/>
  <c r="E17790" i="7"/>
  <c r="D17790" i="7"/>
  <c r="L17793" i="7"/>
  <c r="E17793" i="7"/>
  <c r="D17793" i="7"/>
  <c r="E17792" i="7"/>
  <c r="D17792" i="7"/>
  <c r="L17789" i="7"/>
  <c r="E17789" i="7"/>
  <c r="D17789" i="7"/>
  <c r="E17788" i="7"/>
  <c r="D17788" i="7"/>
  <c r="A605" i="58" l="1"/>
  <c r="A606" i="58"/>
  <c r="A604" i="58"/>
  <c r="E17784" i="7" l="1"/>
  <c r="D17784" i="7"/>
  <c r="E17783" i="7"/>
  <c r="D17783" i="7"/>
  <c r="E17782" i="7"/>
  <c r="D17782" i="7"/>
  <c r="E17769" i="7"/>
  <c r="D17769" i="7"/>
  <c r="E17768" i="7"/>
  <c r="D17768" i="7"/>
  <c r="E17767" i="7"/>
  <c r="D17767" i="7"/>
  <c r="L17781" i="7" l="1"/>
  <c r="L17779" i="7"/>
  <c r="R603" i="58"/>
  <c r="P603" i="58"/>
  <c r="N603" i="58"/>
  <c r="L603" i="58"/>
  <c r="J603" i="58"/>
  <c r="H603" i="58"/>
  <c r="F603" i="58"/>
  <c r="D603" i="58"/>
  <c r="R602" i="58"/>
  <c r="P602" i="58"/>
  <c r="N602" i="58"/>
  <c r="L602" i="58"/>
  <c r="J602" i="58"/>
  <c r="H602" i="58"/>
  <c r="F602" i="58"/>
  <c r="D602" i="58"/>
  <c r="R601" i="58"/>
  <c r="P601" i="58"/>
  <c r="N601" i="58"/>
  <c r="L601" i="58"/>
  <c r="J601" i="58"/>
  <c r="H601" i="58"/>
  <c r="F601" i="58"/>
  <c r="D601" i="58"/>
  <c r="E17781" i="7"/>
  <c r="D17781" i="7"/>
  <c r="E17780" i="7"/>
  <c r="D17780" i="7"/>
  <c r="E17779" i="7"/>
  <c r="D17779" i="7"/>
  <c r="E17778" i="7"/>
  <c r="D17778" i="7"/>
  <c r="E17777" i="7"/>
  <c r="D17777" i="7"/>
  <c r="K17776" i="7"/>
  <c r="L17777" i="7" s="1"/>
  <c r="E17776" i="7"/>
  <c r="D17776" i="7"/>
  <c r="L17775" i="7"/>
  <c r="E17775" i="7"/>
  <c r="D17775" i="7"/>
  <c r="E17774" i="7"/>
  <c r="D17774" i="7"/>
  <c r="L17773" i="7"/>
  <c r="E17773" i="7"/>
  <c r="D17773" i="7"/>
  <c r="E17772" i="7"/>
  <c r="D17772" i="7"/>
  <c r="E17771" i="7"/>
  <c r="D17771" i="7"/>
  <c r="K17770" i="7"/>
  <c r="L17771" i="7" s="1"/>
  <c r="E17770" i="7"/>
  <c r="D17770" i="7"/>
  <c r="E17766" i="7"/>
  <c r="D17766" i="7"/>
  <c r="E17765" i="7"/>
  <c r="D17765" i="7"/>
  <c r="E17764" i="7"/>
  <c r="D17764" i="7"/>
  <c r="E17763" i="7"/>
  <c r="D17763" i="7"/>
  <c r="E17762" i="7"/>
  <c r="D17762" i="7"/>
  <c r="A601" i="58" l="1"/>
  <c r="A602" i="58"/>
  <c r="A603" i="58"/>
  <c r="E17761" i="7" l="1"/>
  <c r="D17761" i="7"/>
  <c r="E17760" i="7"/>
  <c r="D17760" i="7"/>
  <c r="E17759" i="7"/>
  <c r="D17759" i="7"/>
  <c r="E17758" i="7" l="1"/>
  <c r="D17758" i="7"/>
  <c r="E17757" i="7"/>
  <c r="D17757" i="7"/>
  <c r="E17756" i="7"/>
  <c r="D17756" i="7"/>
  <c r="E17739" i="7"/>
  <c r="D17739" i="7"/>
  <c r="E17738" i="7"/>
  <c r="D17738" i="7"/>
  <c r="E17737" i="7"/>
  <c r="D17737" i="7"/>
  <c r="L17755" i="7" l="1"/>
  <c r="E17755" i="7"/>
  <c r="D17755" i="7"/>
  <c r="E17754" i="7"/>
  <c r="D17754" i="7"/>
  <c r="L17753" i="7"/>
  <c r="E17753" i="7"/>
  <c r="D17753" i="7"/>
  <c r="E17752" i="7"/>
  <c r="D17752" i="7"/>
  <c r="L17751" i="7" l="1"/>
  <c r="E17751" i="7"/>
  <c r="D17751" i="7"/>
  <c r="E17750" i="7"/>
  <c r="D17750" i="7"/>
  <c r="L17749" i="7"/>
  <c r="E17749" i="7"/>
  <c r="D17749" i="7"/>
  <c r="E17748" i="7"/>
  <c r="D17748" i="7"/>
  <c r="L17747" i="7"/>
  <c r="E17747" i="7"/>
  <c r="D17747" i="7"/>
  <c r="E17746" i="7"/>
  <c r="D17746" i="7"/>
  <c r="L17745" i="7"/>
  <c r="E17745" i="7"/>
  <c r="D17745" i="7"/>
  <c r="E17744" i="7"/>
  <c r="D17744" i="7"/>
  <c r="L17743" i="7"/>
  <c r="E17743" i="7"/>
  <c r="D17743" i="7"/>
  <c r="E17742" i="7"/>
  <c r="D17742" i="7"/>
  <c r="L17741" i="7"/>
  <c r="E17741" i="7"/>
  <c r="D17741" i="7"/>
  <c r="E17740" i="7"/>
  <c r="D17740" i="7"/>
  <c r="E17736" i="7"/>
  <c r="D17736" i="7"/>
  <c r="E17735" i="7"/>
  <c r="D17735" i="7"/>
  <c r="E17734" i="7"/>
  <c r="D17734" i="7"/>
  <c r="E17733" i="7"/>
  <c r="D17733" i="7"/>
  <c r="E17732" i="7"/>
  <c r="D17732" i="7"/>
  <c r="E17731" i="7"/>
  <c r="D17731" i="7"/>
  <c r="E17730" i="7"/>
  <c r="D17730" i="7"/>
  <c r="E17729" i="7"/>
  <c r="D17729" i="7"/>
  <c r="R600" i="58" l="1"/>
  <c r="P600" i="58"/>
  <c r="N600" i="58"/>
  <c r="L600" i="58"/>
  <c r="J600" i="58"/>
  <c r="H600" i="58"/>
  <c r="F600" i="58"/>
  <c r="D600" i="58"/>
  <c r="E17728" i="7"/>
  <c r="D17728" i="7"/>
  <c r="E17727" i="7"/>
  <c r="D17727" i="7"/>
  <c r="E17726" i="7"/>
  <c r="D17726" i="7"/>
  <c r="E17725" i="7"/>
  <c r="D17725" i="7"/>
  <c r="E17724" i="7"/>
  <c r="D17724" i="7"/>
  <c r="E17723" i="7"/>
  <c r="D17723" i="7"/>
  <c r="E17722" i="7"/>
  <c r="D17722" i="7"/>
  <c r="E17721" i="7"/>
  <c r="D17721" i="7"/>
  <c r="L17720" i="7"/>
  <c r="E17720" i="7"/>
  <c r="D17720" i="7"/>
  <c r="E17719" i="7"/>
  <c r="D17719" i="7"/>
  <c r="L17718" i="7"/>
  <c r="E17718" i="7"/>
  <c r="D17718" i="7"/>
  <c r="E17717" i="7"/>
  <c r="D17717" i="7"/>
  <c r="E17713" i="7"/>
  <c r="D17713" i="7"/>
  <c r="E17712" i="7"/>
  <c r="D17712" i="7"/>
  <c r="E17711" i="7"/>
  <c r="D17711" i="7"/>
  <c r="A600" i="58" l="1"/>
  <c r="R599" i="58" l="1"/>
  <c r="P599" i="58"/>
  <c r="N599" i="58"/>
  <c r="L599" i="58"/>
  <c r="J599" i="58"/>
  <c r="H599" i="58"/>
  <c r="F599" i="58"/>
  <c r="D599" i="58"/>
  <c r="A599" i="58" l="1"/>
  <c r="E17710" i="7" l="1"/>
  <c r="D17710" i="7"/>
  <c r="L17710" i="7"/>
  <c r="E17709" i="7"/>
  <c r="D17709" i="7"/>
  <c r="L17708" i="7"/>
  <c r="E17708" i="7"/>
  <c r="D17708" i="7"/>
  <c r="E17707" i="7"/>
  <c r="D17707" i="7"/>
  <c r="L17706" i="7"/>
  <c r="E17706" i="7"/>
  <c r="D17706" i="7"/>
  <c r="E17705" i="7"/>
  <c r="D17705" i="7"/>
  <c r="L17704" i="7"/>
  <c r="E17704" i="7"/>
  <c r="D17704" i="7"/>
  <c r="E17703" i="7"/>
  <c r="D17703" i="7"/>
  <c r="L17702" i="7"/>
  <c r="E17702" i="7"/>
  <c r="D17702" i="7"/>
  <c r="E17701" i="7"/>
  <c r="D17701" i="7"/>
  <c r="L17700" i="7"/>
  <c r="E17700" i="7"/>
  <c r="D17700" i="7"/>
  <c r="E17699" i="7"/>
  <c r="D17699" i="7"/>
  <c r="E17698" i="7"/>
  <c r="D17698" i="7"/>
  <c r="E17697" i="7"/>
  <c r="D17697" i="7"/>
  <c r="E17696" i="7"/>
  <c r="D17696" i="7"/>
  <c r="L17695" i="7" l="1"/>
  <c r="E17695" i="7"/>
  <c r="D17695" i="7"/>
  <c r="E17694" i="7"/>
  <c r="D17694" i="7"/>
  <c r="L17693" i="7"/>
  <c r="E17693" i="7"/>
  <c r="D17693" i="7"/>
  <c r="E17692" i="7"/>
  <c r="D17692" i="7"/>
  <c r="K17690" i="7"/>
  <c r="L17691" i="7" s="1"/>
  <c r="K17688" i="7"/>
  <c r="L17689" i="7" s="1"/>
  <c r="R598" i="58"/>
  <c r="P598" i="58"/>
  <c r="N598" i="58"/>
  <c r="L598" i="58"/>
  <c r="J598" i="58"/>
  <c r="H598" i="58"/>
  <c r="F598" i="58"/>
  <c r="D598" i="58"/>
  <c r="E17691" i="7"/>
  <c r="D17691" i="7"/>
  <c r="E17690" i="7"/>
  <c r="D17690" i="7"/>
  <c r="E17689" i="7"/>
  <c r="D17689" i="7"/>
  <c r="E17688" i="7"/>
  <c r="D17688" i="7"/>
  <c r="L17687" i="7"/>
  <c r="E17687" i="7"/>
  <c r="D17687" i="7"/>
  <c r="E17686" i="7"/>
  <c r="D17686" i="7"/>
  <c r="L17685" i="7"/>
  <c r="E17685" i="7"/>
  <c r="D17685" i="7"/>
  <c r="E17684" i="7"/>
  <c r="D17684" i="7"/>
  <c r="L17683" i="7"/>
  <c r="E17683" i="7"/>
  <c r="D17683" i="7"/>
  <c r="E17682" i="7"/>
  <c r="D17682" i="7"/>
  <c r="L17681" i="7"/>
  <c r="E17681" i="7"/>
  <c r="D17681" i="7"/>
  <c r="E17680" i="7"/>
  <c r="D17680" i="7"/>
  <c r="E17679" i="7"/>
  <c r="D17679" i="7"/>
  <c r="E17678" i="7"/>
  <c r="D17678" i="7"/>
  <c r="E17677" i="7"/>
  <c r="D17677" i="7"/>
  <c r="E17676" i="7"/>
  <c r="D17676" i="7"/>
  <c r="E17675" i="7"/>
  <c r="D17675" i="7"/>
  <c r="E17674" i="7"/>
  <c r="D17674" i="7"/>
  <c r="E17673" i="7"/>
  <c r="D17673" i="7"/>
  <c r="E17672" i="7"/>
  <c r="D17672" i="7"/>
  <c r="E17671" i="7"/>
  <c r="D17671" i="7"/>
  <c r="L17671" i="7"/>
  <c r="E17670" i="7"/>
  <c r="D17670" i="7"/>
  <c r="A598" i="58" l="1"/>
  <c r="E17668" i="7"/>
  <c r="D17668" i="7"/>
  <c r="E17669" i="7"/>
  <c r="D17669" i="7"/>
  <c r="E17667" i="7"/>
  <c r="D17667" i="7"/>
  <c r="L17666" i="7"/>
  <c r="E17666" i="7"/>
  <c r="D17666" i="7"/>
  <c r="E17665" i="7"/>
  <c r="D17665" i="7"/>
  <c r="E17664" i="7"/>
  <c r="D17664" i="7"/>
  <c r="E17663" i="7"/>
  <c r="D17663" i="7"/>
  <c r="E17662" i="7"/>
  <c r="D17662" i="7"/>
  <c r="L17399" i="7" l="1"/>
  <c r="E17399" i="7"/>
  <c r="D17399" i="7"/>
  <c r="E17398" i="7"/>
  <c r="D17398" i="7"/>
  <c r="H17397" i="7" a="1"/>
  <c r="H17397" i="7" s="1"/>
  <c r="E17397" i="7"/>
  <c r="D17397" i="7"/>
  <c r="E17396" i="7"/>
  <c r="D17396" i="7"/>
  <c r="H17395" i="7" a="1"/>
  <c r="H17395" i="7" s="1"/>
  <c r="E17395" i="7"/>
  <c r="D17395" i="7"/>
  <c r="E17394" i="7"/>
  <c r="D17394" i="7"/>
  <c r="L17368" i="7"/>
  <c r="E17368" i="7"/>
  <c r="D17368" i="7"/>
  <c r="E17367" i="7"/>
  <c r="D17367" i="7"/>
  <c r="L17366" i="7"/>
  <c r="E17366" i="7"/>
  <c r="D17366" i="7"/>
  <c r="E17365" i="7"/>
  <c r="D17365" i="7"/>
  <c r="D17369" i="7"/>
  <c r="E17369" i="7"/>
  <c r="E17649" i="7"/>
  <c r="D17649" i="7"/>
  <c r="E17648" i="7"/>
  <c r="D17648" i="7"/>
  <c r="E17647" i="7"/>
  <c r="D17647" i="7"/>
  <c r="E17646" i="7"/>
  <c r="D17646" i="7"/>
  <c r="E17645" i="7"/>
  <c r="D17645" i="7"/>
  <c r="R597" i="58" l="1"/>
  <c r="P597" i="58"/>
  <c r="N597" i="58"/>
  <c r="L597" i="58"/>
  <c r="J597" i="58"/>
  <c r="H597" i="58"/>
  <c r="F597" i="58"/>
  <c r="D597" i="58"/>
  <c r="L17661" i="7"/>
  <c r="E17661" i="7"/>
  <c r="D17661" i="7"/>
  <c r="E17660" i="7"/>
  <c r="D17660" i="7"/>
  <c r="L17659" i="7"/>
  <c r="E17659" i="7"/>
  <c r="D17659" i="7"/>
  <c r="E17658" i="7"/>
  <c r="D17658" i="7"/>
  <c r="L17657" i="7"/>
  <c r="E17657" i="7"/>
  <c r="D17657" i="7"/>
  <c r="E17656" i="7"/>
  <c r="D17656" i="7"/>
  <c r="L17655" i="7"/>
  <c r="E17655" i="7"/>
  <c r="D17655" i="7"/>
  <c r="E17654" i="7"/>
  <c r="D17654" i="7"/>
  <c r="L17653" i="7"/>
  <c r="E17653" i="7"/>
  <c r="D17653" i="7"/>
  <c r="E17652" i="7"/>
  <c r="D17652" i="7"/>
  <c r="L17651" i="7"/>
  <c r="E17651" i="7"/>
  <c r="D17651" i="7"/>
  <c r="E17650" i="7"/>
  <c r="D17650" i="7"/>
  <c r="E17644" i="7"/>
  <c r="D17644" i="7"/>
  <c r="E17643" i="7"/>
  <c r="D17643" i="7"/>
  <c r="E17642" i="7"/>
  <c r="D17642" i="7"/>
  <c r="A597" i="58" l="1"/>
  <c r="K17622" i="7"/>
  <c r="K17640" i="7"/>
  <c r="L17641" i="7" s="1"/>
  <c r="K17638" i="7"/>
  <c r="L17639" i="7" s="1"/>
  <c r="R596" i="58"/>
  <c r="P596" i="58"/>
  <c r="N596" i="58"/>
  <c r="L596" i="58"/>
  <c r="J596" i="58"/>
  <c r="H596" i="58"/>
  <c r="F596" i="58"/>
  <c r="D596" i="58"/>
  <c r="R595" i="58"/>
  <c r="P595" i="58"/>
  <c r="N595" i="58"/>
  <c r="L595" i="58"/>
  <c r="J595" i="58"/>
  <c r="H595" i="58"/>
  <c r="F595" i="58"/>
  <c r="D595" i="58"/>
  <c r="R594" i="58"/>
  <c r="P594" i="58"/>
  <c r="N594" i="58"/>
  <c r="L594" i="58"/>
  <c r="J594" i="58"/>
  <c r="H594" i="58"/>
  <c r="F594" i="58"/>
  <c r="D594" i="58"/>
  <c r="K17636" i="7"/>
  <c r="L17637" i="7" s="1"/>
  <c r="K17630" i="7"/>
  <c r="L17631" i="7" s="1"/>
  <c r="E17641" i="7"/>
  <c r="D17641" i="7"/>
  <c r="E17640" i="7"/>
  <c r="D17640" i="7"/>
  <c r="E17639" i="7"/>
  <c r="D17639" i="7"/>
  <c r="E17638" i="7"/>
  <c r="D17638" i="7"/>
  <c r="E17637" i="7"/>
  <c r="D17637" i="7"/>
  <c r="E17636" i="7"/>
  <c r="D17636" i="7"/>
  <c r="L17635" i="7"/>
  <c r="E17635" i="7"/>
  <c r="D17635" i="7"/>
  <c r="E17634" i="7"/>
  <c r="D17634" i="7"/>
  <c r="L17633" i="7"/>
  <c r="E17633" i="7"/>
  <c r="D17633" i="7"/>
  <c r="E17632" i="7"/>
  <c r="D17632" i="7"/>
  <c r="E17631" i="7"/>
  <c r="D17631" i="7"/>
  <c r="E17630" i="7"/>
  <c r="D17630" i="7"/>
  <c r="A595" i="58" l="1"/>
  <c r="A594" i="58"/>
  <c r="A596" i="58"/>
  <c r="E17629" i="7"/>
  <c r="D17629" i="7"/>
  <c r="E17628" i="7"/>
  <c r="D17628" i="7"/>
  <c r="E17627" i="7"/>
  <c r="D17627" i="7"/>
  <c r="E17626" i="7" l="1"/>
  <c r="D17626" i="7"/>
  <c r="E17625" i="7"/>
  <c r="D17625" i="7"/>
  <c r="E17624" i="7"/>
  <c r="D17624" i="7"/>
  <c r="L17623" i="7"/>
  <c r="E17623" i="7"/>
  <c r="D17623" i="7"/>
  <c r="E17622" i="7"/>
  <c r="D17622" i="7"/>
  <c r="E17621" i="7"/>
  <c r="D17621" i="7"/>
  <c r="E17620" i="7"/>
  <c r="D17620" i="7"/>
  <c r="E17619" i="7"/>
  <c r="D17619" i="7"/>
  <c r="E17618" i="7"/>
  <c r="D17618" i="7"/>
  <c r="E17617" i="7"/>
  <c r="D17617" i="7"/>
  <c r="E17616" i="7"/>
  <c r="D17616" i="7"/>
  <c r="E17615" i="7"/>
  <c r="D17615" i="7"/>
  <c r="E17614" i="7"/>
  <c r="D17614" i="7"/>
  <c r="E17613" i="7"/>
  <c r="D17613" i="7"/>
  <c r="E17612" i="7"/>
  <c r="D17612" i="7"/>
  <c r="L17611" i="7"/>
  <c r="E17611" i="7"/>
  <c r="D17611" i="7"/>
  <c r="E17610" i="7"/>
  <c r="D17610" i="7"/>
  <c r="R593" i="58"/>
  <c r="P593" i="58"/>
  <c r="N593" i="58"/>
  <c r="L593" i="58"/>
  <c r="J593" i="58"/>
  <c r="H593" i="58"/>
  <c r="F593" i="58"/>
  <c r="D593" i="58"/>
  <c r="L17609" i="7"/>
  <c r="E17609" i="7"/>
  <c r="D17609" i="7"/>
  <c r="E17608" i="7"/>
  <c r="D17608" i="7"/>
  <c r="L17607" i="7"/>
  <c r="E17607" i="7"/>
  <c r="D17607" i="7"/>
  <c r="E17606" i="7"/>
  <c r="D17606" i="7"/>
  <c r="L17605" i="7"/>
  <c r="E17605" i="7"/>
  <c r="D17605" i="7"/>
  <c r="E17604" i="7"/>
  <c r="D17604" i="7"/>
  <c r="L17603" i="7"/>
  <c r="E17603" i="7"/>
  <c r="D17603" i="7"/>
  <c r="E17602" i="7"/>
  <c r="D17602" i="7"/>
  <c r="L17601" i="7"/>
  <c r="E17601" i="7"/>
  <c r="D17601" i="7"/>
  <c r="E17600" i="7"/>
  <c r="D17600" i="7"/>
  <c r="L17599" i="7"/>
  <c r="E17599" i="7"/>
  <c r="D17599" i="7"/>
  <c r="E17598" i="7"/>
  <c r="D17598" i="7"/>
  <c r="E17597" i="7"/>
  <c r="D17597" i="7"/>
  <c r="E17596" i="7"/>
  <c r="D17596" i="7"/>
  <c r="E17595" i="7"/>
  <c r="D17595" i="7"/>
  <c r="E17594" i="7"/>
  <c r="D17594" i="7"/>
  <c r="E17593" i="7"/>
  <c r="D17593" i="7"/>
  <c r="A593" i="58" l="1"/>
  <c r="E17592" i="7"/>
  <c r="D17592" i="7"/>
  <c r="L17592" i="7"/>
  <c r="E17591" i="7"/>
  <c r="D17591" i="7"/>
  <c r="L17590" i="7"/>
  <c r="E17590" i="7"/>
  <c r="D17590" i="7"/>
  <c r="E17589" i="7"/>
  <c r="D17589" i="7"/>
  <c r="E17588" i="7"/>
  <c r="D17588" i="7"/>
  <c r="E17587" i="7"/>
  <c r="D17587" i="7"/>
  <c r="E17586" i="7"/>
  <c r="D17586" i="7"/>
  <c r="E17585" i="7" l="1"/>
  <c r="D17585" i="7"/>
  <c r="E17584" i="7"/>
  <c r="D17584" i="7"/>
  <c r="E17583" i="7"/>
  <c r="D17583" i="7"/>
  <c r="L17580" i="7"/>
  <c r="L17582" i="7"/>
  <c r="E17582" i="7"/>
  <c r="D17582" i="7"/>
  <c r="E17581" i="7"/>
  <c r="D17581" i="7"/>
  <c r="E17580" i="7"/>
  <c r="D17580" i="7"/>
  <c r="E17579" i="7"/>
  <c r="D17579" i="7"/>
  <c r="L17578" i="7"/>
  <c r="E17578" i="7"/>
  <c r="D17578" i="7"/>
  <c r="E17577" i="7"/>
  <c r="D17577" i="7"/>
  <c r="L17576" i="7"/>
  <c r="E17576" i="7"/>
  <c r="D17576" i="7"/>
  <c r="E17575" i="7"/>
  <c r="D17575" i="7"/>
  <c r="L17574" i="7"/>
  <c r="E17574" i="7"/>
  <c r="D17574" i="7"/>
  <c r="E17573" i="7"/>
  <c r="D17573" i="7"/>
  <c r="L17572" i="7"/>
  <c r="E17572" i="7"/>
  <c r="D17572" i="7"/>
  <c r="E17571" i="7"/>
  <c r="D17571" i="7"/>
  <c r="R592" i="58"/>
  <c r="P592" i="58"/>
  <c r="N592" i="58"/>
  <c r="L592" i="58"/>
  <c r="J592" i="58"/>
  <c r="H592" i="58"/>
  <c r="F592" i="58"/>
  <c r="D592" i="58"/>
  <c r="L17570" i="7"/>
  <c r="E17570" i="7"/>
  <c r="D17570" i="7"/>
  <c r="E17569" i="7"/>
  <c r="D17569" i="7"/>
  <c r="E17568" i="7"/>
  <c r="D17568" i="7"/>
  <c r="E17567" i="7"/>
  <c r="D17567" i="7"/>
  <c r="E17566" i="7"/>
  <c r="D17566" i="7"/>
  <c r="A592" i="58" l="1"/>
  <c r="L17541" i="7" l="1"/>
  <c r="E17541" i="7"/>
  <c r="D17541" i="7"/>
  <c r="E17540" i="7"/>
  <c r="D17540" i="7"/>
  <c r="E17565" i="7"/>
  <c r="D17565" i="7"/>
  <c r="E17564" i="7"/>
  <c r="D17564" i="7"/>
  <c r="E17563" i="7"/>
  <c r="D17563" i="7"/>
  <c r="E17562" i="7"/>
  <c r="D17562" i="7"/>
  <c r="E17561" i="7"/>
  <c r="D17561" i="7"/>
  <c r="E17560" i="7"/>
  <c r="D17560" i="7"/>
  <c r="E17559" i="7"/>
  <c r="D17559" i="7"/>
  <c r="E17558" i="7"/>
  <c r="D17558" i="7"/>
  <c r="E17557" i="7"/>
  <c r="D17557" i="7"/>
  <c r="E17556" i="7"/>
  <c r="D17556" i="7"/>
  <c r="E17531" i="7"/>
  <c r="D17531" i="7"/>
  <c r="L17531" i="7"/>
  <c r="E17530" i="7"/>
  <c r="D17530" i="7"/>
  <c r="L17555" i="7"/>
  <c r="H17555" i="7" a="1"/>
  <c r="H17555" i="7" s="1"/>
  <c r="E17555" i="7"/>
  <c r="D17555" i="7"/>
  <c r="H17554" i="7" a="1"/>
  <c r="H17554" i="7" s="1"/>
  <c r="E17554" i="7"/>
  <c r="D17554" i="7"/>
  <c r="R591" i="58" l="1"/>
  <c r="P591" i="58"/>
  <c r="N591" i="58"/>
  <c r="L591" i="58"/>
  <c r="J591" i="58"/>
  <c r="H591" i="58"/>
  <c r="F591" i="58"/>
  <c r="D591" i="58"/>
  <c r="L17553" i="7"/>
  <c r="E17553" i="7"/>
  <c r="D17553" i="7"/>
  <c r="E17552" i="7"/>
  <c r="D17552" i="7"/>
  <c r="L17551" i="7"/>
  <c r="E17551" i="7"/>
  <c r="D17551" i="7"/>
  <c r="E17550" i="7"/>
  <c r="D17550" i="7"/>
  <c r="L17549" i="7"/>
  <c r="E17549" i="7"/>
  <c r="D17549" i="7"/>
  <c r="E17548" i="7"/>
  <c r="D17548" i="7"/>
  <c r="L17547" i="7"/>
  <c r="E17547" i="7"/>
  <c r="D17547" i="7"/>
  <c r="E17546" i="7"/>
  <c r="D17546" i="7"/>
  <c r="L17545" i="7"/>
  <c r="E17545" i="7"/>
  <c r="D17545" i="7"/>
  <c r="E17544" i="7"/>
  <c r="D17544" i="7"/>
  <c r="L17543" i="7"/>
  <c r="E17543" i="7"/>
  <c r="D17543" i="7"/>
  <c r="E17542" i="7"/>
  <c r="D17542" i="7"/>
  <c r="A591" i="58" l="1"/>
  <c r="E17539" i="7"/>
  <c r="D17539" i="7"/>
  <c r="H17538" i="7" a="1"/>
  <c r="H17538" i="7" s="1"/>
  <c r="E17538" i="7"/>
  <c r="D17538" i="7"/>
  <c r="E17508" i="7"/>
  <c r="D17508" i="7"/>
  <c r="E17507" i="7"/>
  <c r="D17507" i="7"/>
  <c r="E17506" i="7"/>
  <c r="D17506" i="7"/>
  <c r="E17537" i="7"/>
  <c r="D17537" i="7"/>
  <c r="E17536" i="7"/>
  <c r="D17536" i="7"/>
  <c r="E17535" i="7"/>
  <c r="D17535" i="7"/>
  <c r="E17534" i="7"/>
  <c r="D17534" i="7"/>
  <c r="E17533" i="7"/>
  <c r="D17533" i="7"/>
  <c r="E17532" i="7"/>
  <c r="D17532" i="7"/>
  <c r="K17528" i="7" l="1"/>
  <c r="L17529" i="7" s="1"/>
  <c r="E17529" i="7"/>
  <c r="D17529" i="7"/>
  <c r="E17528" i="7"/>
  <c r="D17528" i="7"/>
  <c r="L17527" i="7"/>
  <c r="E17527" i="7"/>
  <c r="D17527" i="7"/>
  <c r="E17526" i="7"/>
  <c r="D17526" i="7"/>
  <c r="E17525" i="7" l="1"/>
  <c r="D17525" i="7"/>
  <c r="E17524" i="7"/>
  <c r="D17524" i="7"/>
  <c r="E17523" i="7"/>
  <c r="D17523" i="7"/>
  <c r="E17522" i="7"/>
  <c r="D17522" i="7"/>
  <c r="E17521" i="7"/>
  <c r="D17521" i="7"/>
  <c r="R590" i="58"/>
  <c r="P590" i="58"/>
  <c r="N590" i="58"/>
  <c r="L590" i="58"/>
  <c r="J590" i="58"/>
  <c r="H590" i="58"/>
  <c r="F590" i="58"/>
  <c r="D590" i="58"/>
  <c r="L17520" i="7"/>
  <c r="E17520" i="7"/>
  <c r="D17520" i="7"/>
  <c r="E17519" i="7"/>
  <c r="D17519" i="7"/>
  <c r="L17518" i="7"/>
  <c r="E17518" i="7"/>
  <c r="D17518" i="7"/>
  <c r="E17517" i="7"/>
  <c r="D17517" i="7"/>
  <c r="L17516" i="7"/>
  <c r="E17516" i="7"/>
  <c r="D17516" i="7"/>
  <c r="E17515" i="7"/>
  <c r="D17515" i="7"/>
  <c r="L17514" i="7"/>
  <c r="E17514" i="7"/>
  <c r="D17514" i="7"/>
  <c r="E17513" i="7"/>
  <c r="D17513" i="7"/>
  <c r="L17512" i="7"/>
  <c r="E17512" i="7"/>
  <c r="D17512" i="7"/>
  <c r="E17511" i="7"/>
  <c r="D17511" i="7"/>
  <c r="L17510" i="7"/>
  <c r="E17510" i="7"/>
  <c r="D17510" i="7"/>
  <c r="E17509" i="7"/>
  <c r="D17509" i="7"/>
  <c r="L17505" i="7"/>
  <c r="E17505" i="7"/>
  <c r="D17505" i="7"/>
  <c r="E17504" i="7"/>
  <c r="D17504" i="7"/>
  <c r="E17503" i="7"/>
  <c r="D17503" i="7"/>
  <c r="E17502" i="7"/>
  <c r="D17502" i="7"/>
  <c r="E17501" i="7"/>
  <c r="D17501" i="7"/>
  <c r="E17500" i="7"/>
  <c r="D17500" i="7"/>
  <c r="E17499" i="7"/>
  <c r="D17499" i="7"/>
  <c r="E17498" i="7"/>
  <c r="D17498" i="7"/>
  <c r="A590" i="58" l="1"/>
  <c r="E17497" i="7" l="1"/>
  <c r="D17497" i="7"/>
  <c r="E17496" i="7"/>
  <c r="D17496" i="7"/>
  <c r="K17495" i="7"/>
  <c r="L17496" i="7" s="1"/>
  <c r="E17495" i="7"/>
  <c r="D17495" i="7"/>
  <c r="E17494" i="7"/>
  <c r="D17494" i="7"/>
  <c r="E17493" i="7"/>
  <c r="D17493" i="7"/>
  <c r="E17492" i="7"/>
  <c r="D17492" i="7"/>
  <c r="E17491" i="7"/>
  <c r="D17491" i="7"/>
  <c r="E17490" i="7"/>
  <c r="D17490" i="7"/>
  <c r="E17489" i="7"/>
  <c r="D17489" i="7"/>
  <c r="E17488" i="7"/>
  <c r="D17488" i="7"/>
  <c r="E17487" i="7"/>
  <c r="D17487" i="7"/>
  <c r="H17486" i="7" a="1"/>
  <c r="H17486" i="7" s="1"/>
  <c r="E17486" i="7"/>
  <c r="D17486" i="7"/>
  <c r="H17485" i="7" a="1"/>
  <c r="H17485" i="7" s="1"/>
  <c r="E17485" i="7"/>
  <c r="D17485" i="7"/>
  <c r="H17484" i="7" a="1"/>
  <c r="H17484" i="7" s="1"/>
  <c r="E17484" i="7"/>
  <c r="D17484" i="7"/>
  <c r="L17471" i="7" l="1"/>
  <c r="E17471" i="7"/>
  <c r="D17471" i="7"/>
  <c r="E17470" i="7"/>
  <c r="D17470" i="7"/>
  <c r="E17460" i="7"/>
  <c r="D17460" i="7"/>
  <c r="E17459" i="7"/>
  <c r="D17459" i="7"/>
  <c r="E17458" i="7"/>
  <c r="D17458" i="7"/>
  <c r="L17469" i="7"/>
  <c r="E17469" i="7"/>
  <c r="D17469" i="7"/>
  <c r="E17468" i="7"/>
  <c r="D17468" i="7"/>
  <c r="L17467" i="7"/>
  <c r="E17467" i="7"/>
  <c r="D17467" i="7"/>
  <c r="E17466" i="7"/>
  <c r="D17466" i="7"/>
  <c r="E16647" i="7" l="1"/>
  <c r="D16647" i="7"/>
  <c r="E16646" i="7"/>
  <c r="D16646" i="7"/>
  <c r="L17483" i="7"/>
  <c r="L17481" i="7"/>
  <c r="R589" i="58"/>
  <c r="P589" i="58"/>
  <c r="N589" i="58"/>
  <c r="L589" i="58"/>
  <c r="J589" i="58"/>
  <c r="H589" i="58"/>
  <c r="F589" i="58"/>
  <c r="D589" i="58"/>
  <c r="R588" i="58"/>
  <c r="P588" i="58"/>
  <c r="N588" i="58"/>
  <c r="L588" i="58"/>
  <c r="J588" i="58"/>
  <c r="H588" i="58"/>
  <c r="F588" i="58"/>
  <c r="D588" i="58"/>
  <c r="R587" i="58"/>
  <c r="P587" i="58"/>
  <c r="N587" i="58"/>
  <c r="L587" i="58"/>
  <c r="J587" i="58"/>
  <c r="H587" i="58"/>
  <c r="F587" i="58"/>
  <c r="D587" i="58"/>
  <c r="R586" i="58"/>
  <c r="P586" i="58"/>
  <c r="N586" i="58"/>
  <c r="L586" i="58"/>
  <c r="J586" i="58"/>
  <c r="H586" i="58"/>
  <c r="F586" i="58"/>
  <c r="D586" i="58"/>
  <c r="R585" i="58"/>
  <c r="P585" i="58"/>
  <c r="N585" i="58"/>
  <c r="L585" i="58"/>
  <c r="J585" i="58"/>
  <c r="H585" i="58"/>
  <c r="F585" i="58"/>
  <c r="D585" i="58"/>
  <c r="K17478" i="7"/>
  <c r="L17479" i="7" s="1"/>
  <c r="K17472" i="7"/>
  <c r="L17473" i="7" s="1"/>
  <c r="E17483" i="7"/>
  <c r="D17483" i="7"/>
  <c r="E17482" i="7"/>
  <c r="D17482" i="7"/>
  <c r="E17481" i="7"/>
  <c r="D17481" i="7"/>
  <c r="E17480" i="7"/>
  <c r="D17480" i="7"/>
  <c r="E17479" i="7"/>
  <c r="D17479" i="7"/>
  <c r="E17478" i="7"/>
  <c r="D17478" i="7"/>
  <c r="L17477" i="7"/>
  <c r="E17477" i="7"/>
  <c r="D17477" i="7"/>
  <c r="E17476" i="7"/>
  <c r="D17476" i="7"/>
  <c r="L17475" i="7"/>
  <c r="E17475" i="7"/>
  <c r="D17475" i="7"/>
  <c r="E17474" i="7"/>
  <c r="D17474" i="7"/>
  <c r="E17473" i="7"/>
  <c r="D17473" i="7"/>
  <c r="E17472" i="7"/>
  <c r="D17472" i="7"/>
  <c r="D17464" i="7"/>
  <c r="E17464" i="7"/>
  <c r="E17465" i="7"/>
  <c r="D17465" i="7"/>
  <c r="E17463" i="7"/>
  <c r="D17463" i="7"/>
  <c r="E17462" i="7"/>
  <c r="D17462" i="7"/>
  <c r="E17461" i="7"/>
  <c r="D17461" i="7"/>
  <c r="E17457" i="7"/>
  <c r="D17457" i="7"/>
  <c r="E17456" i="7"/>
  <c r="D17456" i="7"/>
  <c r="E17455" i="7"/>
  <c r="D17455" i="7"/>
  <c r="E17454" i="7"/>
  <c r="D17454" i="7"/>
  <c r="E17453" i="7"/>
  <c r="D17453" i="7"/>
  <c r="K17452" i="7"/>
  <c r="L17453" i="7" s="1"/>
  <c r="E17452" i="7"/>
  <c r="D17452" i="7"/>
  <c r="L17451" i="7"/>
  <c r="E17451" i="7"/>
  <c r="D17451" i="7"/>
  <c r="E17450" i="7"/>
  <c r="D17450" i="7"/>
  <c r="E17417" i="7"/>
  <c r="D17417" i="7"/>
  <c r="E17416" i="7"/>
  <c r="D17416" i="7"/>
  <c r="E17415" i="7"/>
  <c r="D17415" i="7"/>
  <c r="A587" i="58" l="1"/>
  <c r="A588" i="58"/>
  <c r="A585" i="58"/>
  <c r="A589" i="58"/>
  <c r="A586" i="58"/>
  <c r="E17449" i="7"/>
  <c r="D17449" i="7"/>
  <c r="E17448" i="7"/>
  <c r="D17448" i="7"/>
  <c r="E17447" i="7"/>
  <c r="D17447" i="7"/>
  <c r="E17446" i="7"/>
  <c r="D17446" i="7"/>
  <c r="E17445" i="7"/>
  <c r="D17445" i="7"/>
  <c r="E17432" i="7"/>
  <c r="D17432" i="7"/>
  <c r="E17431" i="7"/>
  <c r="D17431" i="7"/>
  <c r="E17430" i="7"/>
  <c r="D17430" i="7"/>
  <c r="E17429" i="7"/>
  <c r="D17429" i="7"/>
  <c r="E17428" i="7"/>
  <c r="D17428" i="7"/>
  <c r="E17427" i="7"/>
  <c r="D17427" i="7"/>
  <c r="E17426" i="7"/>
  <c r="D17426" i="7"/>
  <c r="E17425" i="7"/>
  <c r="D17425" i="7"/>
  <c r="E17424" i="7"/>
  <c r="D17424" i="7"/>
  <c r="R584" i="58" l="1"/>
  <c r="P584" i="58"/>
  <c r="N584" i="58"/>
  <c r="L584" i="58"/>
  <c r="J584" i="58"/>
  <c r="H584" i="58"/>
  <c r="F584" i="58"/>
  <c r="D584" i="58"/>
  <c r="L17444" i="7"/>
  <c r="E17444" i="7"/>
  <c r="D17444" i="7"/>
  <c r="E17443" i="7"/>
  <c r="D17443" i="7"/>
  <c r="L17442" i="7"/>
  <c r="E17442" i="7"/>
  <c r="D17442" i="7"/>
  <c r="E17441" i="7"/>
  <c r="D17441" i="7"/>
  <c r="L17440" i="7"/>
  <c r="E17440" i="7"/>
  <c r="D17440" i="7"/>
  <c r="E17439" i="7"/>
  <c r="D17439" i="7"/>
  <c r="L17438" i="7"/>
  <c r="E17438" i="7"/>
  <c r="D17438" i="7"/>
  <c r="E17437" i="7"/>
  <c r="D17437" i="7"/>
  <c r="L17436" i="7"/>
  <c r="E17436" i="7"/>
  <c r="D17436" i="7"/>
  <c r="E17435" i="7"/>
  <c r="D17435" i="7"/>
  <c r="L17434" i="7"/>
  <c r="E17434" i="7"/>
  <c r="D17434" i="7"/>
  <c r="E17433" i="7"/>
  <c r="D17433" i="7"/>
  <c r="L17423" i="7"/>
  <c r="E17423" i="7"/>
  <c r="D17423" i="7"/>
  <c r="E17422" i="7"/>
  <c r="D17422" i="7"/>
  <c r="L17421" i="7"/>
  <c r="E17421" i="7"/>
  <c r="D17421" i="7"/>
  <c r="E17420" i="7"/>
  <c r="D17420" i="7"/>
  <c r="L17419" i="7"/>
  <c r="E17419" i="7"/>
  <c r="D17419" i="7"/>
  <c r="E17418" i="7"/>
  <c r="D17418" i="7"/>
  <c r="E17414" i="7"/>
  <c r="D17414" i="7"/>
  <c r="E17413" i="7"/>
  <c r="D17413" i="7"/>
  <c r="E17412" i="7"/>
  <c r="D17412" i="7"/>
  <c r="A584" i="58" l="1"/>
  <c r="R583" i="58"/>
  <c r="P583" i="58"/>
  <c r="N583" i="58"/>
  <c r="L583" i="58"/>
  <c r="J583" i="58"/>
  <c r="H583" i="58"/>
  <c r="F583" i="58"/>
  <c r="D583" i="58"/>
  <c r="L17411" i="7"/>
  <c r="E17411" i="7"/>
  <c r="D17411" i="7"/>
  <c r="E17410" i="7"/>
  <c r="D17410" i="7"/>
  <c r="L17409" i="7"/>
  <c r="E17409" i="7"/>
  <c r="D17409" i="7"/>
  <c r="E17408" i="7"/>
  <c r="D17408" i="7"/>
  <c r="L17407" i="7"/>
  <c r="E17407" i="7"/>
  <c r="D17407" i="7"/>
  <c r="E17406" i="7"/>
  <c r="D17406" i="7"/>
  <c r="L17405" i="7"/>
  <c r="E17405" i="7"/>
  <c r="D17405" i="7"/>
  <c r="E17404" i="7"/>
  <c r="D17404" i="7"/>
  <c r="L17403" i="7"/>
  <c r="E17403" i="7"/>
  <c r="D17403" i="7"/>
  <c r="E17402" i="7"/>
  <c r="D17402" i="7"/>
  <c r="L17401" i="7"/>
  <c r="E17401" i="7"/>
  <c r="D17401" i="7"/>
  <c r="E17400" i="7"/>
  <c r="D17400" i="7"/>
  <c r="E17393" i="7"/>
  <c r="D17393" i="7"/>
  <c r="E17392" i="7"/>
  <c r="D17392" i="7"/>
  <c r="E17391" i="7"/>
  <c r="D17391" i="7"/>
  <c r="E17390" i="7"/>
  <c r="D17390" i="7"/>
  <c r="E17389" i="7"/>
  <c r="D17389" i="7"/>
  <c r="L17388" i="7"/>
  <c r="E17388" i="7"/>
  <c r="D17388" i="7"/>
  <c r="E17387" i="7"/>
  <c r="D17387" i="7"/>
  <c r="E17386" i="7"/>
  <c r="D17386" i="7"/>
  <c r="E17385" i="7"/>
  <c r="D17385" i="7"/>
  <c r="E17384" i="7"/>
  <c r="D17384" i="7"/>
  <c r="E17383" i="7"/>
  <c r="D17383" i="7"/>
  <c r="E17382" i="7"/>
  <c r="D17382" i="7"/>
  <c r="E17381" i="7"/>
  <c r="D17381" i="7"/>
  <c r="E17302" i="7"/>
  <c r="D17302" i="7"/>
  <c r="E17301" i="7"/>
  <c r="D17301" i="7"/>
  <c r="E17300" i="7"/>
  <c r="D17300" i="7"/>
  <c r="K17276" i="7"/>
  <c r="R582" i="58"/>
  <c r="P582" i="58"/>
  <c r="N582" i="58"/>
  <c r="L582" i="58"/>
  <c r="J582" i="58"/>
  <c r="H582" i="58"/>
  <c r="F582" i="58"/>
  <c r="D582" i="58"/>
  <c r="R581" i="58"/>
  <c r="P581" i="58"/>
  <c r="N581" i="58"/>
  <c r="L581" i="58"/>
  <c r="J581" i="58"/>
  <c r="H581" i="58"/>
  <c r="F581" i="58"/>
  <c r="D581" i="58"/>
  <c r="R580" i="58"/>
  <c r="P580" i="58"/>
  <c r="N580" i="58"/>
  <c r="L580" i="58"/>
  <c r="J580" i="58"/>
  <c r="H580" i="58"/>
  <c r="F580" i="58"/>
  <c r="D580" i="58"/>
  <c r="L17380" i="7"/>
  <c r="E17380" i="7"/>
  <c r="D17380" i="7"/>
  <c r="E17379" i="7"/>
  <c r="D17379" i="7"/>
  <c r="L17378" i="7"/>
  <c r="E17378" i="7"/>
  <c r="D17378" i="7"/>
  <c r="E17377" i="7"/>
  <c r="D17377" i="7"/>
  <c r="L17376" i="7"/>
  <c r="E17376" i="7"/>
  <c r="D17376" i="7"/>
  <c r="E17375" i="7"/>
  <c r="D17375" i="7"/>
  <c r="L17374" i="7"/>
  <c r="E17374" i="7"/>
  <c r="D17374" i="7"/>
  <c r="E17373" i="7"/>
  <c r="D17373" i="7"/>
  <c r="L17372" i="7"/>
  <c r="E17372" i="7"/>
  <c r="D17372" i="7"/>
  <c r="E17371" i="7"/>
  <c r="D17371" i="7"/>
  <c r="L17370" i="7"/>
  <c r="E17370" i="7"/>
  <c r="D17370" i="7"/>
  <c r="E17364" i="7"/>
  <c r="D17364" i="7"/>
  <c r="E17363" i="7"/>
  <c r="D17363" i="7"/>
  <c r="E17362" i="7"/>
  <c r="D17362" i="7"/>
  <c r="E17361" i="7"/>
  <c r="D17361" i="7"/>
  <c r="E17360" i="7"/>
  <c r="D17360" i="7"/>
  <c r="E17359" i="7"/>
  <c r="D17359" i="7"/>
  <c r="L17358" i="7"/>
  <c r="E17358" i="7"/>
  <c r="D17358" i="7"/>
  <c r="E17357" i="7"/>
  <c r="D17357" i="7"/>
  <c r="L17356" i="7"/>
  <c r="E17356" i="7"/>
  <c r="D17356" i="7"/>
  <c r="E17355" i="7"/>
  <c r="D17355" i="7"/>
  <c r="L17354" i="7"/>
  <c r="E17354" i="7"/>
  <c r="D17354" i="7"/>
  <c r="E17353" i="7"/>
  <c r="D17353" i="7"/>
  <c r="E17352" i="7"/>
  <c r="D17352" i="7"/>
  <c r="E17351" i="7"/>
  <c r="D17351" i="7"/>
  <c r="E17350" i="7"/>
  <c r="D17350" i="7"/>
  <c r="R579" i="58"/>
  <c r="P579" i="58"/>
  <c r="N579" i="58"/>
  <c r="L579" i="58"/>
  <c r="J579" i="58"/>
  <c r="H579" i="58"/>
  <c r="F579" i="58"/>
  <c r="D579" i="58"/>
  <c r="R578" i="58"/>
  <c r="P578" i="58"/>
  <c r="N578" i="58"/>
  <c r="L578" i="58"/>
  <c r="J578" i="58"/>
  <c r="H578" i="58"/>
  <c r="F578" i="58"/>
  <c r="D578" i="58"/>
  <c r="E17335" i="7"/>
  <c r="D17335" i="7"/>
  <c r="E17334" i="7"/>
  <c r="D17334" i="7"/>
  <c r="E17333" i="7"/>
  <c r="D17333" i="7"/>
  <c r="E17332" i="7"/>
  <c r="D17332" i="7"/>
  <c r="E17331" i="7"/>
  <c r="D17331" i="7"/>
  <c r="E17330" i="7"/>
  <c r="D17330" i="7"/>
  <c r="A580" i="58" l="1"/>
  <c r="A581" i="58"/>
  <c r="A579" i="58"/>
  <c r="A583" i="58"/>
  <c r="A582" i="58"/>
  <c r="A578" i="58"/>
  <c r="L17349" i="7" l="1"/>
  <c r="E17349" i="7"/>
  <c r="D17349" i="7"/>
  <c r="E17348" i="7"/>
  <c r="D17348" i="7"/>
  <c r="L17347" i="7"/>
  <c r="E17347" i="7"/>
  <c r="D17347" i="7"/>
  <c r="E17346" i="7"/>
  <c r="D17346" i="7"/>
  <c r="L17345" i="7"/>
  <c r="E17345" i="7"/>
  <c r="D17345" i="7"/>
  <c r="E17344" i="7"/>
  <c r="D17344" i="7"/>
  <c r="L17343" i="7"/>
  <c r="E17343" i="7"/>
  <c r="D17343" i="7"/>
  <c r="E17342" i="7"/>
  <c r="D17342" i="7"/>
  <c r="L17341" i="7"/>
  <c r="E17341" i="7"/>
  <c r="D17341" i="7"/>
  <c r="E17340" i="7"/>
  <c r="D17340" i="7"/>
  <c r="L17339" i="7"/>
  <c r="E17339" i="7"/>
  <c r="D17339" i="7"/>
  <c r="E17338" i="7"/>
  <c r="D17338" i="7"/>
  <c r="L17337" i="7"/>
  <c r="E17337" i="7"/>
  <c r="D17337" i="7"/>
  <c r="E17336" i="7"/>
  <c r="D17336" i="7"/>
  <c r="L17329" i="7"/>
  <c r="E17329" i="7"/>
  <c r="D17329" i="7"/>
  <c r="E17328" i="7"/>
  <c r="D17328" i="7"/>
  <c r="L17325" i="7"/>
  <c r="E17325" i="7"/>
  <c r="D17325" i="7"/>
  <c r="E17324" i="7"/>
  <c r="D17324" i="7"/>
  <c r="L17327" i="7"/>
  <c r="E17327" i="7"/>
  <c r="D17327" i="7"/>
  <c r="E17326" i="7"/>
  <c r="D17326" i="7"/>
  <c r="L17323" i="7"/>
  <c r="E17323" i="7"/>
  <c r="D17323" i="7"/>
  <c r="E17322" i="7"/>
  <c r="D17322" i="7"/>
  <c r="H577" i="58"/>
  <c r="J577" i="58"/>
  <c r="L577" i="58"/>
  <c r="N577" i="58"/>
  <c r="P577" i="58"/>
  <c r="R577" i="58"/>
  <c r="F577" i="58"/>
  <c r="D577" i="58"/>
  <c r="L17321" i="7"/>
  <c r="E17321" i="7"/>
  <c r="D17321" i="7"/>
  <c r="E17320" i="7"/>
  <c r="D17320" i="7"/>
  <c r="L17319" i="7"/>
  <c r="E17319" i="7"/>
  <c r="D17319" i="7"/>
  <c r="E17318" i="7"/>
  <c r="D17318" i="7"/>
  <c r="L17317" i="7"/>
  <c r="E17317" i="7"/>
  <c r="D17317" i="7"/>
  <c r="E17316" i="7"/>
  <c r="D17316" i="7"/>
  <c r="L17315" i="7"/>
  <c r="E17315" i="7"/>
  <c r="D17315" i="7"/>
  <c r="E17314" i="7"/>
  <c r="D17314" i="7"/>
  <c r="L17313" i="7"/>
  <c r="E17313" i="7"/>
  <c r="D17313" i="7"/>
  <c r="E17312" i="7"/>
  <c r="D17312" i="7"/>
  <c r="L17311" i="7"/>
  <c r="E17311" i="7"/>
  <c r="D17311" i="7"/>
  <c r="E17310" i="7"/>
  <c r="D17310" i="7"/>
  <c r="L17309" i="7"/>
  <c r="E17309" i="7"/>
  <c r="D17309" i="7"/>
  <c r="E17308" i="7"/>
  <c r="D17308" i="7"/>
  <c r="E17307" i="7"/>
  <c r="D17307" i="7"/>
  <c r="E17306" i="7"/>
  <c r="D17306" i="7"/>
  <c r="E17305" i="7"/>
  <c r="D17305" i="7"/>
  <c r="E17304" i="7"/>
  <c r="D17304" i="7"/>
  <c r="E17303" i="7"/>
  <c r="D17303" i="7"/>
  <c r="L17299" i="7"/>
  <c r="E17299" i="7"/>
  <c r="D17299" i="7"/>
  <c r="E17298" i="7"/>
  <c r="D17298" i="7"/>
  <c r="J576" i="58"/>
  <c r="L576" i="58"/>
  <c r="N576" i="58"/>
  <c r="P576" i="58"/>
  <c r="R576" i="58"/>
  <c r="H576" i="58"/>
  <c r="F576" i="58"/>
  <c r="D576" i="58"/>
  <c r="L17297" i="7"/>
  <c r="E17297" i="7"/>
  <c r="D17297" i="7"/>
  <c r="E17296" i="7"/>
  <c r="D17296" i="7"/>
  <c r="L17295" i="7"/>
  <c r="E17295" i="7"/>
  <c r="D17295" i="7"/>
  <c r="E17294" i="7"/>
  <c r="D17294" i="7"/>
  <c r="L17293" i="7"/>
  <c r="E17293" i="7"/>
  <c r="D17293" i="7"/>
  <c r="E17292" i="7"/>
  <c r="D17292" i="7"/>
  <c r="L17291" i="7"/>
  <c r="E17291" i="7"/>
  <c r="D17291" i="7"/>
  <c r="E17290" i="7"/>
  <c r="D17290" i="7"/>
  <c r="L17289" i="7"/>
  <c r="E17289" i="7"/>
  <c r="D17289" i="7"/>
  <c r="E17288" i="7"/>
  <c r="D17288" i="7"/>
  <c r="L17287" i="7"/>
  <c r="E17287" i="7"/>
  <c r="D17287" i="7"/>
  <c r="E17286" i="7"/>
  <c r="D17286" i="7"/>
  <c r="L17285" i="7"/>
  <c r="E17285" i="7"/>
  <c r="D17285" i="7"/>
  <c r="E17284" i="7"/>
  <c r="D17284" i="7"/>
  <c r="E17283" i="7"/>
  <c r="D17283" i="7"/>
  <c r="E17282" i="7"/>
  <c r="D17282" i="7"/>
  <c r="E17281" i="7"/>
  <c r="D17281" i="7"/>
  <c r="E17280" i="7"/>
  <c r="D17280" i="7"/>
  <c r="E17279" i="7"/>
  <c r="D17279" i="7"/>
  <c r="E17278" i="7"/>
  <c r="D17278" i="7"/>
  <c r="E17277" i="7"/>
  <c r="D17277" i="7"/>
  <c r="E17276" i="7"/>
  <c r="D17276" i="7"/>
  <c r="E17275" i="7"/>
  <c r="D17275" i="7"/>
  <c r="E17274" i="7"/>
  <c r="D17274" i="7"/>
  <c r="E17273" i="7"/>
  <c r="D17273" i="7"/>
  <c r="E17272" i="7"/>
  <c r="D17272" i="7"/>
  <c r="L17271" i="7"/>
  <c r="E17271" i="7"/>
  <c r="D17271" i="7"/>
  <c r="E17270" i="7"/>
  <c r="D17270" i="7"/>
  <c r="L17269" i="7"/>
  <c r="E17269" i="7"/>
  <c r="D17269" i="7"/>
  <c r="E17268" i="7"/>
  <c r="D17268" i="7"/>
  <c r="E17267" i="7"/>
  <c r="D17267" i="7"/>
  <c r="E17266" i="7"/>
  <c r="D17266" i="7"/>
  <c r="E17265" i="7"/>
  <c r="D17265" i="7"/>
  <c r="A577" i="58" l="1"/>
  <c r="A576" i="58"/>
  <c r="L17264" i="7"/>
  <c r="J575" i="58"/>
  <c r="L575" i="58"/>
  <c r="N575" i="58"/>
  <c r="P575" i="58"/>
  <c r="R575" i="58"/>
  <c r="F575" i="58"/>
  <c r="H575" i="58"/>
  <c r="D575" i="58"/>
  <c r="D573" i="58"/>
  <c r="F573" i="58"/>
  <c r="H573" i="58"/>
  <c r="J573" i="58"/>
  <c r="L573" i="58"/>
  <c r="N573" i="58"/>
  <c r="P573" i="58"/>
  <c r="R573" i="58"/>
  <c r="D574" i="58"/>
  <c r="F574" i="58"/>
  <c r="H574" i="58"/>
  <c r="J574" i="58"/>
  <c r="L574" i="58"/>
  <c r="N574" i="58"/>
  <c r="P574" i="58"/>
  <c r="R574" i="58"/>
  <c r="E17264" i="7"/>
  <c r="D17264" i="7"/>
  <c r="E17263" i="7"/>
  <c r="D17263" i="7"/>
  <c r="L17262" i="7"/>
  <c r="E17262" i="7"/>
  <c r="D17262" i="7"/>
  <c r="E17261" i="7"/>
  <c r="D17261" i="7"/>
  <c r="L17260" i="7"/>
  <c r="E17260" i="7"/>
  <c r="D17260" i="7"/>
  <c r="E17259" i="7"/>
  <c r="D17259" i="7"/>
  <c r="L17258" i="7"/>
  <c r="E17258" i="7"/>
  <c r="D17258" i="7"/>
  <c r="E17257" i="7"/>
  <c r="D17257" i="7"/>
  <c r="L17256" i="7"/>
  <c r="E17256" i="7"/>
  <c r="D17256" i="7"/>
  <c r="E17255" i="7"/>
  <c r="D17255" i="7"/>
  <c r="L17254" i="7"/>
  <c r="E17254" i="7"/>
  <c r="D17254" i="7"/>
  <c r="E17253" i="7"/>
  <c r="D17253" i="7"/>
  <c r="L17252" i="7"/>
  <c r="E17252" i="7"/>
  <c r="D17252" i="7"/>
  <c r="E17251" i="7"/>
  <c r="D17251" i="7"/>
  <c r="E17250" i="7"/>
  <c r="D17250" i="7"/>
  <c r="E17249" i="7"/>
  <c r="D17249" i="7"/>
  <c r="E17248" i="7"/>
  <c r="D17248" i="7"/>
  <c r="E17247" i="7"/>
  <c r="D17247" i="7"/>
  <c r="E17246" i="7"/>
  <c r="D17246" i="7"/>
  <c r="E17245" i="7"/>
  <c r="D17245" i="7"/>
  <c r="E17244" i="7"/>
  <c r="D17244" i="7"/>
  <c r="E17243" i="7"/>
  <c r="D17243" i="7"/>
  <c r="E17242" i="7"/>
  <c r="D17242" i="7"/>
  <c r="E17241" i="7"/>
  <c r="D17241" i="7"/>
  <c r="L17240" i="7"/>
  <c r="E17240" i="7"/>
  <c r="D17240" i="7"/>
  <c r="E17239" i="7"/>
  <c r="D17239" i="7"/>
  <c r="L17238" i="7"/>
  <c r="E17238" i="7"/>
  <c r="D17238" i="7"/>
  <c r="E17237" i="7"/>
  <c r="D17237" i="7"/>
  <c r="L17236" i="7"/>
  <c r="E17236" i="7"/>
  <c r="D17236" i="7"/>
  <c r="E17235" i="7"/>
  <c r="D17235" i="7"/>
  <c r="L17234" i="7"/>
  <c r="E17234" i="7"/>
  <c r="D17234" i="7"/>
  <c r="E17233" i="7"/>
  <c r="D17233" i="7"/>
  <c r="L17232" i="7"/>
  <c r="E17232" i="7"/>
  <c r="D17232" i="7"/>
  <c r="E17231" i="7"/>
  <c r="D17231" i="7"/>
  <c r="L17230" i="7"/>
  <c r="E17230" i="7"/>
  <c r="D17230" i="7"/>
  <c r="E17229" i="7"/>
  <c r="D17229" i="7"/>
  <c r="L17228" i="7"/>
  <c r="E17228" i="7"/>
  <c r="D17228" i="7"/>
  <c r="E17227" i="7"/>
  <c r="D17227" i="7"/>
  <c r="L17226" i="7"/>
  <c r="E17226" i="7"/>
  <c r="D17226" i="7"/>
  <c r="E17225" i="7"/>
  <c r="D17225" i="7"/>
  <c r="L17224" i="7"/>
  <c r="E17224" i="7"/>
  <c r="D17224" i="7"/>
  <c r="E17223" i="7"/>
  <c r="D17223" i="7"/>
  <c r="L17222" i="7"/>
  <c r="E17222" i="7"/>
  <c r="D17222" i="7"/>
  <c r="E17221" i="7"/>
  <c r="D17221" i="7"/>
  <c r="E17220" i="7"/>
  <c r="D17220" i="7"/>
  <c r="E17219" i="7"/>
  <c r="D17219" i="7"/>
  <c r="E17218" i="7"/>
  <c r="D17218" i="7"/>
  <c r="E17217" i="7"/>
  <c r="D17217" i="7"/>
  <c r="E17216" i="7"/>
  <c r="D17216" i="7"/>
  <c r="E17215" i="7"/>
  <c r="D17215" i="7"/>
  <c r="E17214" i="7"/>
  <c r="D17214" i="7"/>
  <c r="E17213" i="7"/>
  <c r="D17213" i="7"/>
  <c r="E17212" i="7"/>
  <c r="D17212" i="7"/>
  <c r="E17211" i="7"/>
  <c r="D17211" i="7"/>
  <c r="A573" i="58" l="1"/>
  <c r="A575" i="58"/>
  <c r="A574" i="58"/>
  <c r="R572" i="58"/>
  <c r="P572" i="58"/>
  <c r="N572" i="58"/>
  <c r="L572" i="58"/>
  <c r="J572" i="58"/>
  <c r="H572" i="58"/>
  <c r="F572" i="58"/>
  <c r="D572" i="58"/>
  <c r="L17210" i="7"/>
  <c r="E17210" i="7"/>
  <c r="D17210" i="7"/>
  <c r="E17209" i="7"/>
  <c r="D17209" i="7"/>
  <c r="L17208" i="7"/>
  <c r="E17208" i="7"/>
  <c r="D17208" i="7"/>
  <c r="E17207" i="7"/>
  <c r="D17207" i="7"/>
  <c r="J571" i="58"/>
  <c r="L571" i="58"/>
  <c r="N571" i="58"/>
  <c r="P571" i="58"/>
  <c r="R571" i="58"/>
  <c r="H571" i="58"/>
  <c r="F571" i="58"/>
  <c r="D571" i="58"/>
  <c r="L17206" i="7"/>
  <c r="E17206" i="7"/>
  <c r="D17206" i="7"/>
  <c r="E17205" i="7"/>
  <c r="D17205" i="7"/>
  <c r="L17204" i="7"/>
  <c r="E17204" i="7"/>
  <c r="D17204" i="7"/>
  <c r="E17203" i="7"/>
  <c r="D17203" i="7"/>
  <c r="L17202" i="7"/>
  <c r="E17202" i="7"/>
  <c r="D17202" i="7"/>
  <c r="E17201" i="7"/>
  <c r="D17201" i="7"/>
  <c r="L17200" i="7"/>
  <c r="E17200" i="7"/>
  <c r="D17200" i="7"/>
  <c r="E17199" i="7"/>
  <c r="D17199" i="7"/>
  <c r="L17198" i="7"/>
  <c r="E17198" i="7"/>
  <c r="D17198" i="7"/>
  <c r="E17197" i="7"/>
  <c r="D17197" i="7"/>
  <c r="L17196" i="7"/>
  <c r="E17196" i="7"/>
  <c r="D17196" i="7"/>
  <c r="E17195" i="7"/>
  <c r="D17195" i="7"/>
  <c r="L17194" i="7"/>
  <c r="E17194" i="7"/>
  <c r="D17194" i="7"/>
  <c r="E17193" i="7"/>
  <c r="D17193" i="7"/>
  <c r="D17190" i="7"/>
  <c r="E17190" i="7"/>
  <c r="D17191" i="7"/>
  <c r="E17191" i="7"/>
  <c r="A572" i="58" l="1"/>
  <c r="A571" i="58"/>
  <c r="E17192" i="7" l="1"/>
  <c r="D17192" i="7"/>
  <c r="E17189" i="7"/>
  <c r="D17189" i="7"/>
  <c r="E17188" i="7"/>
  <c r="D17188" i="7"/>
  <c r="E17187" i="7"/>
  <c r="D17187" i="7"/>
  <c r="E17186" i="7"/>
  <c r="D17186" i="7"/>
  <c r="E17185" i="7"/>
  <c r="D17185" i="7"/>
  <c r="E17184" i="7"/>
  <c r="D17184" i="7"/>
  <c r="E17183" i="7"/>
  <c r="D17183" i="7"/>
  <c r="L17182" i="7"/>
  <c r="E17182" i="7"/>
  <c r="D17182" i="7"/>
  <c r="E17181" i="7"/>
  <c r="D17181" i="7"/>
  <c r="L17180" i="7"/>
  <c r="E17180" i="7"/>
  <c r="D17180" i="7"/>
  <c r="E17179" i="7"/>
  <c r="D17179" i="7"/>
  <c r="L17178" i="7"/>
  <c r="E17178" i="7"/>
  <c r="D17178" i="7"/>
  <c r="E17177" i="7"/>
  <c r="D17177" i="7"/>
  <c r="E17173" i="7"/>
  <c r="D17173" i="7"/>
  <c r="E17172" i="7"/>
  <c r="D17172" i="7"/>
  <c r="E17171" i="7"/>
  <c r="D17171" i="7"/>
  <c r="L17170" i="7"/>
  <c r="E17170" i="7"/>
  <c r="D17170" i="7"/>
  <c r="E17169" i="7"/>
  <c r="D17169" i="7"/>
  <c r="L17175" i="7"/>
  <c r="E17176" i="7"/>
  <c r="D17176" i="7"/>
  <c r="E17175" i="7"/>
  <c r="D17175" i="7"/>
  <c r="E17174" i="7"/>
  <c r="D17174" i="7"/>
  <c r="L570" i="58"/>
  <c r="N570" i="58"/>
  <c r="P570" i="58"/>
  <c r="R570" i="58"/>
  <c r="J570" i="58"/>
  <c r="H570" i="58"/>
  <c r="F570" i="58"/>
  <c r="D570" i="58"/>
  <c r="L17168" i="7"/>
  <c r="E17168" i="7"/>
  <c r="D17168" i="7"/>
  <c r="E17167" i="7"/>
  <c r="D17167" i="7"/>
  <c r="L17166" i="7"/>
  <c r="E17166" i="7"/>
  <c r="D17166" i="7"/>
  <c r="E17165" i="7"/>
  <c r="D17165" i="7"/>
  <c r="L17164" i="7"/>
  <c r="E17164" i="7"/>
  <c r="D17164" i="7"/>
  <c r="E17163" i="7"/>
  <c r="D17163" i="7"/>
  <c r="L17162" i="7"/>
  <c r="E17162" i="7"/>
  <c r="D17162" i="7"/>
  <c r="E17161" i="7"/>
  <c r="D17161" i="7"/>
  <c r="L17160" i="7"/>
  <c r="E17160" i="7"/>
  <c r="D17160" i="7"/>
  <c r="E17159" i="7"/>
  <c r="D17159" i="7"/>
  <c r="L17158" i="7"/>
  <c r="E17158" i="7"/>
  <c r="D17158" i="7"/>
  <c r="E17157" i="7"/>
  <c r="D17157" i="7"/>
  <c r="L17156" i="7"/>
  <c r="E17156" i="7"/>
  <c r="D17156" i="7"/>
  <c r="E17155" i="7"/>
  <c r="D17155" i="7"/>
  <c r="L17154" i="7"/>
  <c r="E17154" i="7"/>
  <c r="D17154" i="7"/>
  <c r="E17153" i="7"/>
  <c r="D17153" i="7"/>
  <c r="L17152" i="7"/>
  <c r="E17152" i="7"/>
  <c r="D17152" i="7"/>
  <c r="E17151" i="7"/>
  <c r="D17151" i="7"/>
  <c r="E17150" i="7"/>
  <c r="D17150" i="7"/>
  <c r="E17149" i="7"/>
  <c r="D17149" i="7"/>
  <c r="E17148" i="7"/>
  <c r="D17148" i="7"/>
  <c r="A570" i="58" l="1"/>
  <c r="E17147" i="7" l="1"/>
  <c r="D17147" i="7"/>
  <c r="E17146" i="7"/>
  <c r="D17146" i="7"/>
  <c r="E17145" i="7"/>
  <c r="D17145" i="7"/>
  <c r="E17144" i="7"/>
  <c r="D17144" i="7"/>
  <c r="E17143" i="7"/>
  <c r="D17143" i="7"/>
  <c r="E17128" i="7"/>
  <c r="D17128" i="7"/>
  <c r="E17127" i="7"/>
  <c r="D17127" i="7"/>
  <c r="E17126" i="7"/>
  <c r="D17126" i="7"/>
  <c r="H569" i="58" l="1"/>
  <c r="J569" i="58"/>
  <c r="L569" i="58"/>
  <c r="N569" i="58"/>
  <c r="P569" i="58"/>
  <c r="R569" i="58"/>
  <c r="F569" i="58"/>
  <c r="D569" i="58"/>
  <c r="L17120" i="7"/>
  <c r="E17120" i="7"/>
  <c r="D17120" i="7"/>
  <c r="E17119" i="7"/>
  <c r="D17119" i="7"/>
  <c r="L17118" i="7"/>
  <c r="E17118" i="7"/>
  <c r="D17118" i="7"/>
  <c r="E17117" i="7"/>
  <c r="D17117" i="7"/>
  <c r="E17125" i="7"/>
  <c r="D17125" i="7"/>
  <c r="E17124" i="7"/>
  <c r="D17124" i="7"/>
  <c r="E17123" i="7"/>
  <c r="D17123" i="7"/>
  <c r="E17122" i="7"/>
  <c r="D17122" i="7"/>
  <c r="E17121" i="7"/>
  <c r="D17121" i="7"/>
  <c r="A569" i="58" l="1"/>
  <c r="L17142" i="7"/>
  <c r="E17142" i="7"/>
  <c r="D17142" i="7"/>
  <c r="E17141" i="7"/>
  <c r="D17141" i="7"/>
  <c r="L17140" i="7"/>
  <c r="E17140" i="7"/>
  <c r="D17140" i="7"/>
  <c r="E17139" i="7"/>
  <c r="D17139" i="7"/>
  <c r="L17138" i="7"/>
  <c r="E17138" i="7"/>
  <c r="D17138" i="7"/>
  <c r="E17137" i="7"/>
  <c r="D17137" i="7"/>
  <c r="L17136" i="7"/>
  <c r="E17136" i="7"/>
  <c r="D17136" i="7"/>
  <c r="E17135" i="7"/>
  <c r="D17135" i="7"/>
  <c r="L17134" i="7"/>
  <c r="E17134" i="7"/>
  <c r="D17134" i="7"/>
  <c r="E17133" i="7"/>
  <c r="D17133" i="7"/>
  <c r="L17132" i="7"/>
  <c r="E17132" i="7"/>
  <c r="D17132" i="7"/>
  <c r="E17131" i="7"/>
  <c r="D17131" i="7"/>
  <c r="L17130" i="7"/>
  <c r="E17130" i="7"/>
  <c r="D17130" i="7"/>
  <c r="E17129" i="7"/>
  <c r="D17129" i="7"/>
  <c r="L17116" i="7"/>
  <c r="E17116" i="7"/>
  <c r="D17116" i="7"/>
  <c r="E17115" i="7"/>
  <c r="D17115" i="7"/>
  <c r="L17114" i="7"/>
  <c r="E17114" i="7"/>
  <c r="D17114" i="7"/>
  <c r="E17113" i="7"/>
  <c r="D17113" i="7"/>
  <c r="L17112" i="7"/>
  <c r="E17112" i="7"/>
  <c r="D17112" i="7"/>
  <c r="E17111" i="7"/>
  <c r="D17111" i="7"/>
  <c r="L17110" i="7"/>
  <c r="E17110" i="7"/>
  <c r="D17110" i="7"/>
  <c r="E17109" i="7"/>
  <c r="D17109" i="7"/>
  <c r="L17108" i="7"/>
  <c r="E17108" i="7"/>
  <c r="D17108" i="7"/>
  <c r="E17107" i="7"/>
  <c r="D17107" i="7"/>
  <c r="L17106" i="7"/>
  <c r="E17106" i="7"/>
  <c r="D17106" i="7"/>
  <c r="E17105" i="7"/>
  <c r="D17105" i="7"/>
  <c r="L17104" i="7"/>
  <c r="E17104" i="7"/>
  <c r="D17104" i="7"/>
  <c r="E17103" i="7"/>
  <c r="D17103" i="7"/>
  <c r="F566" i="58"/>
  <c r="F567" i="58"/>
  <c r="F568" i="58"/>
  <c r="D566" i="58"/>
  <c r="D567" i="58"/>
  <c r="D568" i="58"/>
  <c r="J568" i="58"/>
  <c r="J566" i="58"/>
  <c r="J567" i="58"/>
  <c r="H566" i="58"/>
  <c r="H567" i="58"/>
  <c r="H568" i="58"/>
  <c r="L566" i="58"/>
  <c r="N566" i="58"/>
  <c r="P566" i="58"/>
  <c r="R566" i="58"/>
  <c r="L567" i="58"/>
  <c r="N567" i="58"/>
  <c r="P567" i="58"/>
  <c r="R567" i="58"/>
  <c r="L568" i="58"/>
  <c r="N568" i="58"/>
  <c r="P568" i="58"/>
  <c r="R568" i="58"/>
  <c r="E17102" i="7"/>
  <c r="D17102" i="7"/>
  <c r="E17101" i="7"/>
  <c r="D17101" i="7"/>
  <c r="E17100" i="7"/>
  <c r="D17100" i="7"/>
  <c r="L17099" i="7"/>
  <c r="E17099" i="7"/>
  <c r="D17099" i="7"/>
  <c r="E17098" i="7"/>
  <c r="D17098" i="7"/>
  <c r="K17095" i="7"/>
  <c r="L17096" i="7" s="1"/>
  <c r="E17097" i="7"/>
  <c r="D17097" i="7"/>
  <c r="E17096" i="7"/>
  <c r="D17096" i="7"/>
  <c r="E17095" i="7"/>
  <c r="D17095" i="7"/>
  <c r="L17094" i="7"/>
  <c r="E17094" i="7"/>
  <c r="D17094" i="7"/>
  <c r="E17093" i="7"/>
  <c r="D17093" i="7"/>
  <c r="E17092" i="7"/>
  <c r="D17092" i="7"/>
  <c r="E17091" i="7"/>
  <c r="D17091" i="7"/>
  <c r="E17090" i="7"/>
  <c r="D17090" i="7"/>
  <c r="E17089" i="7"/>
  <c r="D17089" i="7"/>
  <c r="E17088" i="7"/>
  <c r="D17088" i="7"/>
  <c r="L17087" i="7"/>
  <c r="R565" i="58"/>
  <c r="P565" i="58"/>
  <c r="N565" i="58"/>
  <c r="L565" i="58"/>
  <c r="J565" i="58"/>
  <c r="H565" i="58"/>
  <c r="F565" i="58"/>
  <c r="D565" i="58"/>
  <c r="E17087" i="7"/>
  <c r="D17087" i="7"/>
  <c r="E17086" i="7"/>
  <c r="D17086" i="7"/>
  <c r="L17085" i="7"/>
  <c r="E17085" i="7"/>
  <c r="D17085" i="7"/>
  <c r="E17084" i="7"/>
  <c r="D17084" i="7"/>
  <c r="L17083" i="7"/>
  <c r="E17083" i="7"/>
  <c r="D17083" i="7"/>
  <c r="E17082" i="7"/>
  <c r="D17082" i="7"/>
  <c r="L17081" i="7"/>
  <c r="E17081" i="7"/>
  <c r="D17081" i="7"/>
  <c r="E17080" i="7"/>
  <c r="D17080" i="7"/>
  <c r="L17079" i="7"/>
  <c r="E17079" i="7"/>
  <c r="D17079" i="7"/>
  <c r="E17078" i="7"/>
  <c r="D17078" i="7"/>
  <c r="L17077" i="7"/>
  <c r="E17077" i="7"/>
  <c r="D17077" i="7"/>
  <c r="E17076" i="7"/>
  <c r="D17076" i="7"/>
  <c r="L17075" i="7"/>
  <c r="E17075" i="7"/>
  <c r="D17075" i="7"/>
  <c r="E17074" i="7"/>
  <c r="D17074" i="7"/>
  <c r="E17073" i="7"/>
  <c r="D17073" i="7"/>
  <c r="E17072" i="7"/>
  <c r="D17072" i="7"/>
  <c r="E17071" i="7"/>
  <c r="D17071" i="7"/>
  <c r="A566" i="58" l="1"/>
  <c r="A565" i="58"/>
  <c r="A567" i="58"/>
  <c r="A568" i="58"/>
  <c r="L17023" i="7"/>
  <c r="E17023" i="7"/>
  <c r="D17023" i="7"/>
  <c r="E17022" i="7"/>
  <c r="D17022" i="7"/>
  <c r="L17070" i="7"/>
  <c r="E17070" i="7"/>
  <c r="D17070" i="7"/>
  <c r="E17069" i="7"/>
  <c r="D17069" i="7"/>
  <c r="L17068" i="7"/>
  <c r="E17068" i="7"/>
  <c r="D17068" i="7"/>
  <c r="E17067" i="7"/>
  <c r="D17067" i="7"/>
  <c r="L17049" i="7"/>
  <c r="E17049" i="7"/>
  <c r="D17049" i="7"/>
  <c r="E17048" i="7"/>
  <c r="D17048" i="7"/>
  <c r="K17064" i="7" l="1"/>
  <c r="L17065" i="7" s="1"/>
  <c r="E17066" i="7"/>
  <c r="D17066" i="7"/>
  <c r="E17065" i="7"/>
  <c r="D17065" i="7"/>
  <c r="E17064" i="7"/>
  <c r="D17064" i="7"/>
  <c r="E17047" i="7"/>
  <c r="D17047" i="7"/>
  <c r="E17046" i="7"/>
  <c r="D17046" i="7"/>
  <c r="E17045" i="7"/>
  <c r="D17045" i="7"/>
  <c r="D17050" i="7"/>
  <c r="E17050" i="7"/>
  <c r="D17051" i="7"/>
  <c r="E17051" i="7"/>
  <c r="L17051" i="7"/>
  <c r="D17052" i="7"/>
  <c r="E17052" i="7"/>
  <c r="H564" i="58"/>
  <c r="J564" i="58"/>
  <c r="L564" i="58"/>
  <c r="N564" i="58"/>
  <c r="P564" i="58"/>
  <c r="R564" i="58"/>
  <c r="F564" i="58"/>
  <c r="D564" i="58"/>
  <c r="E17063" i="7"/>
  <c r="D17063" i="7"/>
  <c r="L17063" i="7"/>
  <c r="E17062" i="7"/>
  <c r="D17062" i="7"/>
  <c r="E17061" i="7"/>
  <c r="D17061" i="7"/>
  <c r="L17061" i="7"/>
  <c r="E17060" i="7"/>
  <c r="D17060" i="7"/>
  <c r="L17059" i="7"/>
  <c r="E17059" i="7"/>
  <c r="D17059" i="7"/>
  <c r="E17058" i="7"/>
  <c r="D17058" i="7"/>
  <c r="L17057" i="7"/>
  <c r="E17057" i="7"/>
  <c r="D17057" i="7"/>
  <c r="E17056" i="7"/>
  <c r="D17056" i="7"/>
  <c r="L17055" i="7"/>
  <c r="E17055" i="7"/>
  <c r="D17055" i="7"/>
  <c r="E17054" i="7"/>
  <c r="D17054" i="7"/>
  <c r="L17053" i="7"/>
  <c r="E17053" i="7"/>
  <c r="D17053" i="7"/>
  <c r="L17044" i="7"/>
  <c r="E17044" i="7"/>
  <c r="D17044" i="7"/>
  <c r="E17043" i="7"/>
  <c r="D17043" i="7"/>
  <c r="L17021" i="7"/>
  <c r="E17021" i="7"/>
  <c r="D17021" i="7"/>
  <c r="E17020" i="7"/>
  <c r="D17020" i="7"/>
  <c r="E17042" i="7"/>
  <c r="D17042" i="7"/>
  <c r="E17041" i="7"/>
  <c r="D17041" i="7"/>
  <c r="E17040" i="7"/>
  <c r="D17040" i="7"/>
  <c r="E17039" i="7"/>
  <c r="D17039" i="7"/>
  <c r="E17038" i="7"/>
  <c r="D17038" i="7"/>
  <c r="K17036" i="7"/>
  <c r="K17034" i="7"/>
  <c r="E17019" i="7"/>
  <c r="D17019" i="7"/>
  <c r="E17018" i="7"/>
  <c r="D17018" i="7"/>
  <c r="E17017" i="7"/>
  <c r="D17017" i="7"/>
  <c r="A564" i="58" l="1"/>
  <c r="E17016" i="7"/>
  <c r="D17016" i="7"/>
  <c r="E17015" i="7"/>
  <c r="D17015" i="7"/>
  <c r="E17014" i="7"/>
  <c r="D17014" i="7"/>
  <c r="E17013" i="7"/>
  <c r="D17013" i="7"/>
  <c r="E17012" i="7"/>
  <c r="D17012" i="7"/>
  <c r="L17037" i="7"/>
  <c r="E17037" i="7"/>
  <c r="D17037" i="7"/>
  <c r="E17036" i="7"/>
  <c r="D17036" i="7"/>
  <c r="L17035" i="7"/>
  <c r="E17035" i="7"/>
  <c r="D17035" i="7"/>
  <c r="E17034" i="7"/>
  <c r="D17034" i="7"/>
  <c r="L17033" i="7"/>
  <c r="E17033" i="7"/>
  <c r="D17033" i="7"/>
  <c r="E17032" i="7"/>
  <c r="D17032" i="7"/>
  <c r="L17031" i="7"/>
  <c r="E17031" i="7"/>
  <c r="D17031" i="7"/>
  <c r="E17030" i="7"/>
  <c r="D17030" i="7"/>
  <c r="L17029" i="7"/>
  <c r="E17029" i="7"/>
  <c r="D17029" i="7"/>
  <c r="E17028" i="7"/>
  <c r="D17028" i="7"/>
  <c r="L17027" i="7"/>
  <c r="E17027" i="7"/>
  <c r="D17027" i="7"/>
  <c r="E17026" i="7"/>
  <c r="D17026" i="7"/>
  <c r="L17025" i="7"/>
  <c r="E17025" i="7"/>
  <c r="D17025" i="7"/>
  <c r="E17024" i="7"/>
  <c r="D17024" i="7"/>
  <c r="R563" i="58"/>
  <c r="P563" i="58"/>
  <c r="N563" i="58"/>
  <c r="L563" i="58"/>
  <c r="J563" i="58"/>
  <c r="H563" i="58"/>
  <c r="F563" i="58"/>
  <c r="D563" i="58"/>
  <c r="E17011" i="7"/>
  <c r="D17011" i="7"/>
  <c r="E17010" i="7"/>
  <c r="D17010" i="7"/>
  <c r="E17009" i="7"/>
  <c r="D17009" i="7"/>
  <c r="A563" i="58" l="1"/>
  <c r="L17008" i="7" l="1"/>
  <c r="E17008" i="7"/>
  <c r="D17008" i="7"/>
  <c r="E17007" i="7"/>
  <c r="D17007" i="7"/>
  <c r="L16992" i="7"/>
  <c r="E16992" i="7"/>
  <c r="D16992" i="7"/>
  <c r="E16991" i="7"/>
  <c r="D16991" i="7"/>
  <c r="D16975" i="7"/>
  <c r="E16975" i="7"/>
  <c r="D16976" i="7"/>
  <c r="E16976" i="7"/>
  <c r="D16977" i="7"/>
  <c r="E16977" i="7"/>
  <c r="D16978" i="7"/>
  <c r="E16978" i="7"/>
  <c r="D16979" i="7"/>
  <c r="E16979" i="7"/>
  <c r="D16980" i="7"/>
  <c r="E16980" i="7"/>
  <c r="D16981" i="7"/>
  <c r="E16981" i="7"/>
  <c r="R561" i="58"/>
  <c r="P561" i="58"/>
  <c r="N561" i="58"/>
  <c r="L561" i="58"/>
  <c r="J561" i="58"/>
  <c r="H561" i="58"/>
  <c r="F561" i="58"/>
  <c r="D561" i="58"/>
  <c r="A561" i="58" l="1"/>
  <c r="H562" i="58"/>
  <c r="J562" i="58"/>
  <c r="L562" i="58"/>
  <c r="N562" i="58"/>
  <c r="P562" i="58"/>
  <c r="R562" i="58"/>
  <c r="F562" i="58"/>
  <c r="D562" i="58"/>
  <c r="E16959" i="7"/>
  <c r="D16959" i="7"/>
  <c r="E16958" i="7"/>
  <c r="D16958" i="7"/>
  <c r="E16957" i="7"/>
  <c r="D16957" i="7"/>
  <c r="D16974" i="7"/>
  <c r="E16974" i="7"/>
  <c r="D16982" i="7"/>
  <c r="E16982" i="7"/>
  <c r="D16983" i="7"/>
  <c r="E16983" i="7"/>
  <c r="A562" i="58" l="1"/>
  <c r="L17006" i="7"/>
  <c r="E17006" i="7"/>
  <c r="D17006" i="7"/>
  <c r="E17005" i="7"/>
  <c r="D17005" i="7"/>
  <c r="L17004" i="7"/>
  <c r="E17004" i="7"/>
  <c r="D17004" i="7"/>
  <c r="E17003" i="7"/>
  <c r="D17003" i="7"/>
  <c r="L17002" i="7"/>
  <c r="E17002" i="7"/>
  <c r="D17002" i="7"/>
  <c r="E17001" i="7"/>
  <c r="D17001" i="7"/>
  <c r="L17000" i="7"/>
  <c r="E17000" i="7"/>
  <c r="D17000" i="7"/>
  <c r="E16999" i="7"/>
  <c r="D16999" i="7"/>
  <c r="L16998" i="7"/>
  <c r="E16998" i="7"/>
  <c r="D16998" i="7"/>
  <c r="E16997" i="7"/>
  <c r="D16997" i="7"/>
  <c r="L16996" i="7"/>
  <c r="E16996" i="7"/>
  <c r="D16996" i="7"/>
  <c r="E16995" i="7"/>
  <c r="D16995" i="7"/>
  <c r="L16994" i="7"/>
  <c r="E16994" i="7"/>
  <c r="D16994" i="7"/>
  <c r="E16993" i="7"/>
  <c r="D16993" i="7"/>
  <c r="E16990" i="7"/>
  <c r="D16990" i="7"/>
  <c r="E16989" i="7"/>
  <c r="D16989" i="7"/>
  <c r="K16988" i="7"/>
  <c r="L16989" i="7" s="1"/>
  <c r="E16988" i="7"/>
  <c r="D16988" i="7"/>
  <c r="E16987" i="7"/>
  <c r="D16987" i="7"/>
  <c r="E16986" i="7"/>
  <c r="D16986" i="7"/>
  <c r="E16985" i="7"/>
  <c r="D16985" i="7"/>
  <c r="E16984" i="7"/>
  <c r="D16984" i="7"/>
  <c r="L16973" i="7"/>
  <c r="L16971" i="7"/>
  <c r="L559" i="58"/>
  <c r="N559" i="58"/>
  <c r="P559" i="58"/>
  <c r="R559" i="58"/>
  <c r="L560" i="58"/>
  <c r="N560" i="58"/>
  <c r="P560" i="58"/>
  <c r="R560" i="58"/>
  <c r="J559" i="58"/>
  <c r="J560" i="58"/>
  <c r="H559" i="58"/>
  <c r="H560" i="58"/>
  <c r="F559" i="58"/>
  <c r="F560" i="58"/>
  <c r="D560" i="58"/>
  <c r="D559" i="58"/>
  <c r="E16973" i="7"/>
  <c r="D16973" i="7"/>
  <c r="E16972" i="7"/>
  <c r="D16972" i="7"/>
  <c r="E16971" i="7"/>
  <c r="D16971" i="7"/>
  <c r="E16970" i="7"/>
  <c r="D16970" i="7"/>
  <c r="L16969" i="7"/>
  <c r="E16969" i="7"/>
  <c r="D16969" i="7"/>
  <c r="E16968" i="7"/>
  <c r="D16968" i="7"/>
  <c r="L16967" i="7"/>
  <c r="E16967" i="7"/>
  <c r="D16967" i="7"/>
  <c r="E16966" i="7"/>
  <c r="D16966" i="7"/>
  <c r="L16965" i="7"/>
  <c r="E16965" i="7"/>
  <c r="D16965" i="7"/>
  <c r="E16964" i="7"/>
  <c r="D16964" i="7"/>
  <c r="L16963" i="7"/>
  <c r="E16963" i="7"/>
  <c r="D16963" i="7"/>
  <c r="E16962" i="7"/>
  <c r="D16962" i="7"/>
  <c r="L16961" i="7"/>
  <c r="E16961" i="7"/>
  <c r="D16961" i="7"/>
  <c r="E16960" i="7"/>
  <c r="D16960" i="7"/>
  <c r="E16956" i="7"/>
  <c r="D16956" i="7"/>
  <c r="E16955" i="7"/>
  <c r="D16955" i="7"/>
  <c r="E16954" i="7"/>
  <c r="D16954" i="7"/>
  <c r="E16953" i="7"/>
  <c r="D16953" i="7"/>
  <c r="E16952" i="7"/>
  <c r="D16952" i="7"/>
  <c r="L16951" i="7"/>
  <c r="E16951" i="7"/>
  <c r="D16951" i="7"/>
  <c r="E16950" i="7"/>
  <c r="D16950" i="7"/>
  <c r="A559" i="58" l="1"/>
  <c r="A560" i="58"/>
  <c r="L16949" i="7"/>
  <c r="E16949" i="7"/>
  <c r="D16949" i="7"/>
  <c r="E16948" i="7"/>
  <c r="D16948" i="7"/>
  <c r="L16947" i="7"/>
  <c r="E16947" i="7"/>
  <c r="D16947" i="7"/>
  <c r="E16946" i="7"/>
  <c r="D16946" i="7"/>
  <c r="L16945" i="7"/>
  <c r="E16945" i="7"/>
  <c r="D16945" i="7"/>
  <c r="E16944" i="7"/>
  <c r="D16944" i="7"/>
  <c r="E16943" i="7"/>
  <c r="D16943" i="7"/>
  <c r="E16942" i="7"/>
  <c r="D16942" i="7"/>
  <c r="E16941" i="7"/>
  <c r="D16941" i="7"/>
  <c r="R558" i="58" l="1"/>
  <c r="P558" i="58"/>
  <c r="N558" i="58"/>
  <c r="L558" i="58"/>
  <c r="J558" i="58"/>
  <c r="H558" i="58"/>
  <c r="F558" i="58"/>
  <c r="D558" i="58"/>
  <c r="E16940" i="7"/>
  <c r="D16940" i="7"/>
  <c r="K16939" i="7"/>
  <c r="L16940" i="7" s="1"/>
  <c r="E16939" i="7"/>
  <c r="D16939" i="7"/>
  <c r="E16938" i="7"/>
  <c r="D16938" i="7"/>
  <c r="K16937" i="7"/>
  <c r="L16938" i="7" s="1"/>
  <c r="E16937" i="7"/>
  <c r="D16937" i="7"/>
  <c r="L16936" i="7"/>
  <c r="E16936" i="7"/>
  <c r="D16936" i="7"/>
  <c r="E16935" i="7"/>
  <c r="D16935" i="7"/>
  <c r="L16934" i="7"/>
  <c r="E16934" i="7"/>
  <c r="D16934" i="7"/>
  <c r="E16933" i="7"/>
  <c r="D16933" i="7"/>
  <c r="L16932" i="7"/>
  <c r="E16932" i="7"/>
  <c r="D16932" i="7"/>
  <c r="E16931" i="7"/>
  <c r="D16931" i="7"/>
  <c r="L16930" i="7"/>
  <c r="E16930" i="7"/>
  <c r="D16930" i="7"/>
  <c r="E16929" i="7"/>
  <c r="D16929" i="7"/>
  <c r="L16928" i="7"/>
  <c r="E16928" i="7"/>
  <c r="D16928" i="7"/>
  <c r="E16927" i="7"/>
  <c r="D16927" i="7"/>
  <c r="E16926" i="7"/>
  <c r="D16926" i="7"/>
  <c r="E16925" i="7"/>
  <c r="D16925" i="7"/>
  <c r="E16924" i="7"/>
  <c r="D16924" i="7"/>
  <c r="E16923" i="7"/>
  <c r="D16923" i="7"/>
  <c r="E16922" i="7"/>
  <c r="D16922" i="7"/>
  <c r="R557" i="58"/>
  <c r="P557" i="58"/>
  <c r="N557" i="58"/>
  <c r="L557" i="58"/>
  <c r="J557" i="58"/>
  <c r="H557" i="58"/>
  <c r="F557" i="58"/>
  <c r="D557" i="58"/>
  <c r="E16918" i="7"/>
  <c r="D16918" i="7"/>
  <c r="K16917" i="7"/>
  <c r="L16918" i="7" s="1"/>
  <c r="E16917" i="7"/>
  <c r="D16917" i="7"/>
  <c r="E16916" i="7"/>
  <c r="D16916" i="7"/>
  <c r="K16915" i="7"/>
  <c r="L16916" i="7" s="1"/>
  <c r="E16915" i="7"/>
  <c r="D16915" i="7"/>
  <c r="L16914" i="7"/>
  <c r="E16914" i="7"/>
  <c r="D16914" i="7"/>
  <c r="E16913" i="7"/>
  <c r="D16913" i="7"/>
  <c r="L16912" i="7"/>
  <c r="E16912" i="7"/>
  <c r="D16912" i="7"/>
  <c r="E16911" i="7"/>
  <c r="D16911" i="7"/>
  <c r="L16910" i="7"/>
  <c r="E16910" i="7"/>
  <c r="D16910" i="7"/>
  <c r="E16909" i="7"/>
  <c r="D16909" i="7"/>
  <c r="L16908" i="7"/>
  <c r="E16908" i="7"/>
  <c r="D16908" i="7"/>
  <c r="E16907" i="7"/>
  <c r="D16907" i="7"/>
  <c r="L16906" i="7"/>
  <c r="E16906" i="7"/>
  <c r="D16906" i="7"/>
  <c r="E16905" i="7"/>
  <c r="D16905" i="7"/>
  <c r="E16904" i="7"/>
  <c r="D16904" i="7"/>
  <c r="E16903" i="7"/>
  <c r="D16903" i="7"/>
  <c r="E16902" i="7"/>
  <c r="D16902" i="7"/>
  <c r="E16901" i="7"/>
  <c r="D16901" i="7"/>
  <c r="E16900" i="7"/>
  <c r="D16900" i="7"/>
  <c r="A558" i="58" l="1"/>
  <c r="A557" i="58"/>
  <c r="E16899" i="7" l="1"/>
  <c r="D16899" i="7"/>
  <c r="E16898" i="7"/>
  <c r="D16898" i="7"/>
  <c r="E16897" i="7"/>
  <c r="D16897" i="7"/>
  <c r="E16921" i="7"/>
  <c r="D16921" i="7"/>
  <c r="E16920" i="7"/>
  <c r="D16920" i="7"/>
  <c r="E16919" i="7"/>
  <c r="D16919" i="7"/>
  <c r="E16896" i="7"/>
  <c r="D16896" i="7"/>
  <c r="E16895" i="7"/>
  <c r="D16895" i="7"/>
  <c r="E16894" i="7"/>
  <c r="D16894" i="7"/>
  <c r="L16893" i="7" l="1"/>
  <c r="E16893" i="7"/>
  <c r="D16893" i="7"/>
  <c r="E16892" i="7"/>
  <c r="D16892" i="7"/>
  <c r="L16891" i="7"/>
  <c r="E16891" i="7"/>
  <c r="D16891" i="7"/>
  <c r="E16890" i="7"/>
  <c r="D16890" i="7"/>
  <c r="E16889" i="7"/>
  <c r="D16889" i="7"/>
  <c r="K16888" i="7"/>
  <c r="L16889" i="7" s="1"/>
  <c r="E16888" i="7"/>
  <c r="D16888" i="7"/>
  <c r="E16887" i="7"/>
  <c r="D16887" i="7"/>
  <c r="K16886" i="7"/>
  <c r="L16887" i="7" s="1"/>
  <c r="E16886" i="7"/>
  <c r="D16886" i="7"/>
  <c r="L16885" i="7"/>
  <c r="E16885" i="7"/>
  <c r="D16885" i="7"/>
  <c r="E16884" i="7"/>
  <c r="D16884" i="7"/>
  <c r="L16883" i="7"/>
  <c r="E16883" i="7"/>
  <c r="D16883" i="7"/>
  <c r="E16882" i="7"/>
  <c r="D16882" i="7"/>
  <c r="L16881" i="7"/>
  <c r="E16881" i="7"/>
  <c r="D16881" i="7"/>
  <c r="E16880" i="7"/>
  <c r="D16880" i="7"/>
  <c r="L16879" i="7"/>
  <c r="E16879" i="7"/>
  <c r="D16879" i="7"/>
  <c r="E16878" i="7"/>
  <c r="D16878" i="7"/>
  <c r="L16877" i="7"/>
  <c r="E16877" i="7"/>
  <c r="D16877" i="7"/>
  <c r="E16876" i="7"/>
  <c r="D16876" i="7"/>
  <c r="E16875" i="7" l="1"/>
  <c r="D16875" i="7"/>
  <c r="E16874" i="7"/>
  <c r="D16874" i="7"/>
  <c r="E16873" i="7"/>
  <c r="D16873" i="7"/>
  <c r="E16872" i="7"/>
  <c r="D16872" i="7"/>
  <c r="E16871" i="7"/>
  <c r="D16871" i="7"/>
  <c r="R556" i="58"/>
  <c r="P556" i="58"/>
  <c r="N556" i="58"/>
  <c r="L556" i="58"/>
  <c r="J556" i="58"/>
  <c r="H556" i="58"/>
  <c r="F556" i="58"/>
  <c r="D556" i="58"/>
  <c r="L16870" i="7"/>
  <c r="E16870" i="7"/>
  <c r="D16870" i="7"/>
  <c r="E16869" i="7"/>
  <c r="D16869" i="7"/>
  <c r="E16868" i="7"/>
  <c r="D16868" i="7"/>
  <c r="E16867" i="7"/>
  <c r="D16867" i="7"/>
  <c r="E16866" i="7"/>
  <c r="D16866" i="7"/>
  <c r="E16865" i="7"/>
  <c r="D16865" i="7"/>
  <c r="E16864" i="7"/>
  <c r="D16864" i="7"/>
  <c r="E16863" i="7"/>
  <c r="D16863" i="7"/>
  <c r="A556" i="58" l="1"/>
  <c r="E16862" i="7"/>
  <c r="D16862" i="7"/>
  <c r="K16861" i="7"/>
  <c r="L16862" i="7" s="1"/>
  <c r="E16861" i="7"/>
  <c r="D16861" i="7"/>
  <c r="E16860" i="7"/>
  <c r="D16860" i="7"/>
  <c r="K16859" i="7"/>
  <c r="L16860" i="7" s="1"/>
  <c r="E16859" i="7"/>
  <c r="D16859" i="7"/>
  <c r="L16858" i="7"/>
  <c r="E16858" i="7"/>
  <c r="D16858" i="7"/>
  <c r="E16857" i="7"/>
  <c r="D16857" i="7"/>
  <c r="L16856" i="7"/>
  <c r="E16856" i="7"/>
  <c r="D16856" i="7"/>
  <c r="E16855" i="7"/>
  <c r="D16855" i="7"/>
  <c r="L16854" i="7"/>
  <c r="E16854" i="7"/>
  <c r="D16854" i="7"/>
  <c r="E16853" i="7"/>
  <c r="D16853" i="7"/>
  <c r="L16852" i="7"/>
  <c r="E16852" i="7"/>
  <c r="D16852" i="7"/>
  <c r="E16851" i="7"/>
  <c r="D16851" i="7"/>
  <c r="L16850" i="7"/>
  <c r="E16850" i="7"/>
  <c r="D16850" i="7"/>
  <c r="E16849" i="7"/>
  <c r="D16849" i="7"/>
  <c r="E16848" i="7"/>
  <c r="D16848" i="7"/>
  <c r="E16847" i="7"/>
  <c r="D16847" i="7"/>
  <c r="E16846" i="7"/>
  <c r="D16846" i="7"/>
  <c r="E16845" i="7"/>
  <c r="D16845" i="7"/>
  <c r="E16844" i="7"/>
  <c r="D16844" i="7"/>
  <c r="L16843" i="7"/>
  <c r="E16843" i="7"/>
  <c r="D16843" i="7"/>
  <c r="E16842" i="7"/>
  <c r="D16842" i="7"/>
  <c r="L16841" i="7"/>
  <c r="E16841" i="7"/>
  <c r="D16841" i="7"/>
  <c r="E16840" i="7"/>
  <c r="D16840" i="7"/>
  <c r="E16839" i="7"/>
  <c r="D16839" i="7"/>
  <c r="E16838" i="7"/>
  <c r="D16838" i="7"/>
  <c r="K16837" i="7"/>
  <c r="E16837" i="7"/>
  <c r="D16837" i="7"/>
  <c r="E16836" i="7"/>
  <c r="D16836" i="7"/>
  <c r="K16835" i="7"/>
  <c r="L16836" i="7" s="1"/>
  <c r="E16835" i="7"/>
  <c r="D16835" i="7"/>
  <c r="E16834" i="7"/>
  <c r="D16834" i="7"/>
  <c r="K16833" i="7"/>
  <c r="L16834" i="7" s="1"/>
  <c r="E16833" i="7"/>
  <c r="D16833" i="7"/>
  <c r="L16832" i="7"/>
  <c r="E16832" i="7"/>
  <c r="D16832" i="7"/>
  <c r="E16831" i="7"/>
  <c r="D16831" i="7"/>
  <c r="L16830" i="7"/>
  <c r="E16830" i="7"/>
  <c r="D16830" i="7"/>
  <c r="E16829" i="7"/>
  <c r="D16829" i="7"/>
  <c r="L16828" i="7"/>
  <c r="E16828" i="7"/>
  <c r="D16828" i="7"/>
  <c r="E16827" i="7"/>
  <c r="D16827" i="7"/>
  <c r="L16826" i="7"/>
  <c r="E16826" i="7"/>
  <c r="D16826" i="7"/>
  <c r="E16825" i="7"/>
  <c r="D16825" i="7"/>
  <c r="L16824" i="7"/>
  <c r="E16824" i="7"/>
  <c r="D16824" i="7"/>
  <c r="E16823" i="7"/>
  <c r="D16823" i="7"/>
  <c r="L16822" i="7"/>
  <c r="E16822" i="7"/>
  <c r="D16822" i="7"/>
  <c r="E16821" i="7"/>
  <c r="D16821" i="7"/>
  <c r="E16820" i="7"/>
  <c r="D16820" i="7"/>
  <c r="E16819" i="7"/>
  <c r="D16819" i="7"/>
  <c r="E16818" i="7"/>
  <c r="D16818" i="7"/>
  <c r="E16817" i="7"/>
  <c r="D16817" i="7"/>
  <c r="E16816" i="7"/>
  <c r="D16816" i="7"/>
  <c r="E16815" i="7"/>
  <c r="D16815" i="7"/>
  <c r="E16814" i="7"/>
  <c r="D16814" i="7"/>
  <c r="E16813" i="7"/>
  <c r="D16813" i="7"/>
  <c r="L16812" i="7"/>
  <c r="E16812" i="7"/>
  <c r="D16812" i="7"/>
  <c r="E16811" i="7"/>
  <c r="D16811" i="7"/>
  <c r="E16810" i="7"/>
  <c r="D16810" i="7"/>
  <c r="E16809" i="7"/>
  <c r="D16809" i="7"/>
  <c r="E16808" i="7"/>
  <c r="D16808" i="7"/>
  <c r="L16807" i="7"/>
  <c r="E16807" i="7"/>
  <c r="D16807" i="7"/>
  <c r="E16806" i="7"/>
  <c r="D16806" i="7"/>
  <c r="E16805" i="7"/>
  <c r="D16805" i="7"/>
  <c r="K16804" i="7"/>
  <c r="L16805" i="7" s="1"/>
  <c r="E16804" i="7"/>
  <c r="D16804" i="7"/>
  <c r="E16803" i="7"/>
  <c r="D16803" i="7"/>
  <c r="K16802" i="7"/>
  <c r="L16803" i="7" s="1"/>
  <c r="E16802" i="7"/>
  <c r="D16802" i="7"/>
  <c r="L16801" i="7"/>
  <c r="E16801" i="7"/>
  <c r="D16801" i="7"/>
  <c r="E16800" i="7"/>
  <c r="D16800" i="7"/>
  <c r="L16799" i="7"/>
  <c r="E16799" i="7"/>
  <c r="D16799" i="7"/>
  <c r="E16798" i="7"/>
  <c r="D16798" i="7"/>
  <c r="L16797" i="7"/>
  <c r="E16797" i="7"/>
  <c r="D16797" i="7"/>
  <c r="E16796" i="7"/>
  <c r="D16796" i="7"/>
  <c r="L16795" i="7"/>
  <c r="E16795" i="7"/>
  <c r="D16795" i="7"/>
  <c r="E16794" i="7"/>
  <c r="D16794" i="7"/>
  <c r="L16793" i="7"/>
  <c r="E16793" i="7"/>
  <c r="D16793" i="7"/>
  <c r="E16792" i="7"/>
  <c r="D16792" i="7"/>
  <c r="E16791" i="7"/>
  <c r="D16791" i="7"/>
  <c r="E16790" i="7"/>
  <c r="D16790" i="7"/>
  <c r="E16789" i="7"/>
  <c r="D16789" i="7"/>
  <c r="E16788" i="7"/>
  <c r="D16788" i="7"/>
  <c r="E16787" i="7"/>
  <c r="D16787" i="7"/>
  <c r="L16786" i="7"/>
  <c r="E16786" i="7"/>
  <c r="D16786" i="7"/>
  <c r="E16785" i="7"/>
  <c r="D16785" i="7"/>
  <c r="L16784" i="7"/>
  <c r="E16784" i="7"/>
  <c r="D16784" i="7"/>
  <c r="E16783" i="7"/>
  <c r="D16783" i="7"/>
  <c r="L16782" i="7"/>
  <c r="E16782" i="7"/>
  <c r="D16782" i="7"/>
  <c r="E16781" i="7"/>
  <c r="D16781" i="7"/>
  <c r="L16780" i="7"/>
  <c r="E16780" i="7"/>
  <c r="D16780" i="7"/>
  <c r="E16779" i="7"/>
  <c r="D16779" i="7"/>
  <c r="E16778" i="7"/>
  <c r="D16778" i="7"/>
  <c r="K16777" i="7"/>
  <c r="L16778" i="7" s="1"/>
  <c r="E16777" i="7"/>
  <c r="D16777" i="7"/>
  <c r="E16776" i="7"/>
  <c r="D16776" i="7"/>
  <c r="K16775" i="7"/>
  <c r="L16776" i="7" s="1"/>
  <c r="E16775" i="7"/>
  <c r="D16775" i="7"/>
  <c r="L16774" i="7"/>
  <c r="E16774" i="7"/>
  <c r="D16774" i="7"/>
  <c r="E16773" i="7"/>
  <c r="D16773" i="7"/>
  <c r="L16772" i="7"/>
  <c r="E16772" i="7"/>
  <c r="D16772" i="7"/>
  <c r="E16771" i="7"/>
  <c r="D16771" i="7"/>
  <c r="L16770" i="7"/>
  <c r="E16770" i="7"/>
  <c r="D16770" i="7"/>
  <c r="E16769" i="7"/>
  <c r="D16769" i="7"/>
  <c r="L16768" i="7"/>
  <c r="E16768" i="7"/>
  <c r="D16768" i="7"/>
  <c r="E16767" i="7"/>
  <c r="D16767" i="7"/>
  <c r="L16766" i="7"/>
  <c r="E16766" i="7"/>
  <c r="D16766" i="7"/>
  <c r="E16765" i="7"/>
  <c r="D16765" i="7"/>
  <c r="E16764" i="7"/>
  <c r="D16764" i="7"/>
  <c r="E16763" i="7"/>
  <c r="D16763" i="7"/>
  <c r="E16762" i="7"/>
  <c r="D16762" i="7"/>
  <c r="E16761" i="7"/>
  <c r="D16761" i="7"/>
  <c r="E16760" i="7"/>
  <c r="D16760" i="7"/>
  <c r="L16759" i="7"/>
  <c r="E16759" i="7"/>
  <c r="D16759" i="7"/>
  <c r="E16758" i="7"/>
  <c r="D16758" i="7"/>
  <c r="E16757" i="7"/>
  <c r="D16757" i="7"/>
  <c r="K16756" i="7"/>
  <c r="L16757" i="7" s="1"/>
  <c r="E16756" i="7"/>
  <c r="D16756" i="7"/>
  <c r="E16755" i="7"/>
  <c r="D16755" i="7"/>
  <c r="K16754" i="7"/>
  <c r="L16755" i="7" s="1"/>
  <c r="E16754" i="7"/>
  <c r="D16754" i="7"/>
  <c r="L16753" i="7"/>
  <c r="E16753" i="7"/>
  <c r="D16753" i="7"/>
  <c r="E16752" i="7"/>
  <c r="D16752" i="7"/>
  <c r="L16751" i="7"/>
  <c r="E16751" i="7"/>
  <c r="D16751" i="7"/>
  <c r="E16750" i="7"/>
  <c r="D16750" i="7"/>
  <c r="L16749" i="7"/>
  <c r="E16749" i="7"/>
  <c r="D16749" i="7"/>
  <c r="E16748" i="7"/>
  <c r="D16748" i="7"/>
  <c r="L16747" i="7"/>
  <c r="E16747" i="7"/>
  <c r="D16747" i="7"/>
  <c r="E16746" i="7"/>
  <c r="D16746" i="7"/>
  <c r="L16745" i="7"/>
  <c r="E16745" i="7"/>
  <c r="D16745" i="7"/>
  <c r="E16744" i="7"/>
  <c r="D16744" i="7"/>
  <c r="E16743" i="7"/>
  <c r="D16743" i="7"/>
  <c r="E16742" i="7"/>
  <c r="D16742" i="7"/>
  <c r="E16741" i="7"/>
  <c r="D16741" i="7"/>
  <c r="E16740" i="7"/>
  <c r="D16740" i="7"/>
  <c r="E16739" i="7"/>
  <c r="D16739" i="7"/>
  <c r="E16738" i="7"/>
  <c r="D16738" i="7"/>
  <c r="K16737" i="7"/>
  <c r="L16738" i="7" s="1"/>
  <c r="E16737" i="7"/>
  <c r="D16737" i="7"/>
  <c r="E16736" i="7"/>
  <c r="D16736" i="7"/>
  <c r="K16735" i="7"/>
  <c r="L16736" i="7" s="1"/>
  <c r="E16735" i="7"/>
  <c r="D16735" i="7"/>
  <c r="L16734" i="7"/>
  <c r="E16734" i="7"/>
  <c r="D16734" i="7"/>
  <c r="E16733" i="7"/>
  <c r="D16733" i="7"/>
  <c r="L16732" i="7"/>
  <c r="E16732" i="7"/>
  <c r="D16732" i="7"/>
  <c r="E16731" i="7"/>
  <c r="D16731" i="7"/>
  <c r="L16730" i="7"/>
  <c r="E16730" i="7"/>
  <c r="D16730" i="7"/>
  <c r="E16729" i="7"/>
  <c r="D16729" i="7"/>
  <c r="L16728" i="7"/>
  <c r="E16728" i="7"/>
  <c r="D16728" i="7"/>
  <c r="E16727" i="7"/>
  <c r="D16727" i="7"/>
  <c r="L16726" i="7"/>
  <c r="E16726" i="7"/>
  <c r="D16726" i="7"/>
  <c r="E16725" i="7"/>
  <c r="D16725" i="7"/>
  <c r="E16724" i="7"/>
  <c r="D16724" i="7"/>
  <c r="E16723" i="7"/>
  <c r="D16723" i="7"/>
  <c r="E16722" i="7"/>
  <c r="D16722" i="7"/>
  <c r="L16721" i="7"/>
  <c r="E16721" i="7"/>
  <c r="D16721" i="7"/>
  <c r="E16720" i="7"/>
  <c r="D16720" i="7"/>
  <c r="E16719" i="7"/>
  <c r="D16719" i="7"/>
  <c r="E16718" i="7"/>
  <c r="D16718" i="7"/>
  <c r="E16717" i="7"/>
  <c r="D16717" i="7"/>
  <c r="E16716" i="7"/>
  <c r="D16716" i="7"/>
  <c r="E16715" i="7"/>
  <c r="D16715" i="7"/>
  <c r="E16714" i="7"/>
  <c r="D16714" i="7"/>
  <c r="E16713" i="7"/>
  <c r="D16713" i="7"/>
  <c r="E16712" i="7"/>
  <c r="D16712" i="7"/>
  <c r="E16711" i="7"/>
  <c r="D16711" i="7"/>
  <c r="E16710" i="7"/>
  <c r="D16710" i="7"/>
  <c r="E16709" i="7"/>
  <c r="D16709" i="7"/>
  <c r="E16708" i="7"/>
  <c r="D16708" i="7"/>
  <c r="K16707" i="7"/>
  <c r="L16708" i="7" s="1"/>
  <c r="E16707" i="7"/>
  <c r="D16707" i="7"/>
  <c r="E16706" i="7"/>
  <c r="D16706" i="7"/>
  <c r="K16705" i="7"/>
  <c r="L16706" i="7" s="1"/>
  <c r="E16705" i="7"/>
  <c r="D16705" i="7"/>
  <c r="L16704" i="7"/>
  <c r="E16704" i="7"/>
  <c r="D16704" i="7"/>
  <c r="E16703" i="7"/>
  <c r="D16703" i="7"/>
  <c r="L16702" i="7"/>
  <c r="E16702" i="7"/>
  <c r="D16702" i="7"/>
  <c r="E16701" i="7"/>
  <c r="D16701" i="7"/>
  <c r="L16700" i="7"/>
  <c r="E16700" i="7"/>
  <c r="D16700" i="7"/>
  <c r="E16699" i="7"/>
  <c r="D16699" i="7"/>
  <c r="L16698" i="7"/>
  <c r="E16698" i="7"/>
  <c r="D16698" i="7"/>
  <c r="E16697" i="7"/>
  <c r="D16697" i="7"/>
  <c r="L16696" i="7"/>
  <c r="E16696" i="7"/>
  <c r="D16696" i="7"/>
  <c r="E16695" i="7"/>
  <c r="D16695" i="7"/>
  <c r="L16694" i="7"/>
  <c r="E16694" i="7"/>
  <c r="D16694" i="7"/>
  <c r="E16693" i="7"/>
  <c r="D16693" i="7"/>
  <c r="E16692" i="7"/>
  <c r="D16692" i="7"/>
  <c r="E16691" i="7"/>
  <c r="D16691" i="7"/>
  <c r="E16690" i="7"/>
  <c r="D16690" i="7"/>
  <c r="E16689" i="7"/>
  <c r="D16689" i="7"/>
  <c r="E16688" i="7"/>
  <c r="D16688" i="7"/>
  <c r="E16687" i="7"/>
  <c r="D16687" i="7"/>
  <c r="E16686" i="7"/>
  <c r="D16686" i="7"/>
  <c r="E16685" i="7"/>
  <c r="D16685" i="7"/>
  <c r="E16684" i="7"/>
  <c r="D16684" i="7"/>
  <c r="E16683" i="7"/>
  <c r="D16683" i="7"/>
  <c r="E16682" i="7"/>
  <c r="D16682" i="7"/>
  <c r="L16681" i="7"/>
  <c r="E16681" i="7"/>
  <c r="D16681" i="7"/>
  <c r="E16680" i="7"/>
  <c r="D16680" i="7"/>
  <c r="L16679" i="7"/>
  <c r="E16679" i="7"/>
  <c r="D16679" i="7"/>
  <c r="E16678" i="7"/>
  <c r="D16678" i="7"/>
  <c r="L16677" i="7"/>
  <c r="E16677" i="7"/>
  <c r="D16677" i="7"/>
  <c r="E16676" i="7"/>
  <c r="D16676" i="7"/>
  <c r="E16675" i="7"/>
  <c r="D16675" i="7"/>
  <c r="K16674" i="7"/>
  <c r="L16675" i="7" s="1"/>
  <c r="E16674" i="7"/>
  <c r="D16674" i="7"/>
  <c r="E16673" i="7"/>
  <c r="D16673" i="7"/>
  <c r="K16672" i="7"/>
  <c r="L16673" i="7" s="1"/>
  <c r="E16672" i="7"/>
  <c r="D16672" i="7"/>
  <c r="L16671" i="7"/>
  <c r="E16671" i="7"/>
  <c r="D16671" i="7"/>
  <c r="E16670" i="7"/>
  <c r="D16670" i="7"/>
  <c r="L16669" i="7"/>
  <c r="E16669" i="7"/>
  <c r="D16669" i="7"/>
  <c r="E16668" i="7"/>
  <c r="D16668" i="7"/>
  <c r="L16667" i="7"/>
  <c r="E16667" i="7"/>
  <c r="D16667" i="7"/>
  <c r="E16666" i="7"/>
  <c r="D16666" i="7"/>
  <c r="L16665" i="7"/>
  <c r="E16665" i="7"/>
  <c r="D16665" i="7"/>
  <c r="E16664" i="7"/>
  <c r="D16664" i="7"/>
  <c r="L16663" i="7"/>
  <c r="E16663" i="7"/>
  <c r="D16663" i="7"/>
  <c r="E16662" i="7"/>
  <c r="D16662" i="7"/>
  <c r="E16661" i="7"/>
  <c r="D16661" i="7"/>
  <c r="E16660" i="7"/>
  <c r="D16660" i="7"/>
  <c r="E16659" i="7"/>
  <c r="D16659" i="7"/>
  <c r="E16658" i="7"/>
  <c r="D16658" i="7"/>
  <c r="E16657" i="7"/>
  <c r="D16657" i="7"/>
  <c r="L16656" i="7"/>
  <c r="E16656" i="7"/>
  <c r="D16656" i="7"/>
  <c r="E16655" i="7"/>
  <c r="D16655" i="7"/>
  <c r="E16654" i="7"/>
  <c r="D16654" i="7"/>
  <c r="E16653" i="7"/>
  <c r="D16653" i="7"/>
  <c r="E16652" i="7"/>
  <c r="D16652" i="7"/>
  <c r="L16651" i="7"/>
  <c r="E16651" i="7"/>
  <c r="D16651" i="7"/>
  <c r="E16650" i="7"/>
  <c r="D16650" i="7"/>
  <c r="L16649" i="7"/>
  <c r="E16649" i="7"/>
  <c r="D16649" i="7"/>
  <c r="E16648" i="7"/>
  <c r="D16648" i="7"/>
  <c r="L544" i="58"/>
  <c r="R555" i="58"/>
  <c r="P555" i="58"/>
  <c r="N555" i="58"/>
  <c r="L555" i="58"/>
  <c r="J555" i="58"/>
  <c r="H555" i="58"/>
  <c r="F555" i="58"/>
  <c r="D555" i="58"/>
  <c r="R554" i="58"/>
  <c r="P554" i="58"/>
  <c r="N554" i="58"/>
  <c r="L554" i="58"/>
  <c r="J554" i="58"/>
  <c r="H554" i="58"/>
  <c r="F554" i="58"/>
  <c r="D554" i="58"/>
  <c r="R553" i="58"/>
  <c r="P553" i="58"/>
  <c r="N553" i="58"/>
  <c r="L553" i="58"/>
  <c r="J553" i="58"/>
  <c r="H553" i="58"/>
  <c r="F553" i="58"/>
  <c r="D553" i="58"/>
  <c r="R552" i="58"/>
  <c r="P552" i="58"/>
  <c r="N552" i="58"/>
  <c r="L552" i="58"/>
  <c r="J552" i="58"/>
  <c r="H552" i="58"/>
  <c r="F552" i="58"/>
  <c r="D552" i="58"/>
  <c r="R551" i="58"/>
  <c r="P551" i="58"/>
  <c r="N551" i="58"/>
  <c r="L551" i="58"/>
  <c r="J551" i="58"/>
  <c r="H551" i="58"/>
  <c r="F551" i="58"/>
  <c r="D551" i="58"/>
  <c r="R550" i="58"/>
  <c r="P550" i="58"/>
  <c r="N550" i="58"/>
  <c r="L550" i="58"/>
  <c r="J550" i="58"/>
  <c r="H550" i="58"/>
  <c r="F550" i="58"/>
  <c r="D550" i="58"/>
  <c r="R549" i="58"/>
  <c r="P549" i="58"/>
  <c r="N549" i="58"/>
  <c r="L549" i="58"/>
  <c r="J549" i="58"/>
  <c r="H549" i="58"/>
  <c r="F549" i="58"/>
  <c r="D549" i="58"/>
  <c r="R548" i="58"/>
  <c r="P548" i="58"/>
  <c r="N548" i="58"/>
  <c r="L548" i="58"/>
  <c r="J548" i="58"/>
  <c r="H548" i="58"/>
  <c r="F548" i="58"/>
  <c r="D548" i="58"/>
  <c r="R547" i="58"/>
  <c r="P547" i="58"/>
  <c r="N547" i="58"/>
  <c r="L547" i="58"/>
  <c r="J547" i="58"/>
  <c r="H547" i="58"/>
  <c r="F547" i="58"/>
  <c r="D547" i="58"/>
  <c r="R546" i="58"/>
  <c r="P546" i="58"/>
  <c r="N546" i="58"/>
  <c r="L546" i="58"/>
  <c r="J546" i="58"/>
  <c r="H546" i="58"/>
  <c r="F546" i="58"/>
  <c r="D546" i="58"/>
  <c r="R545" i="58"/>
  <c r="P545" i="58"/>
  <c r="N545" i="58"/>
  <c r="L545" i="58"/>
  <c r="J545" i="58"/>
  <c r="H545" i="58"/>
  <c r="F545" i="58"/>
  <c r="D545" i="58"/>
  <c r="B545" i="58"/>
  <c r="B546" i="58" s="1"/>
  <c r="B547" i="58" s="1"/>
  <c r="B548" i="58" s="1"/>
  <c r="B549" i="58" s="1"/>
  <c r="B550" i="58" s="1"/>
  <c r="B551" i="58" s="1"/>
  <c r="B552" i="58" s="1"/>
  <c r="B553" i="58" s="1"/>
  <c r="B554" i="58" s="1"/>
  <c r="B555" i="58" s="1"/>
  <c r="B556" i="58" s="1"/>
  <c r="B557" i="58" s="1"/>
  <c r="B558" i="58" s="1"/>
  <c r="B559" i="58" s="1"/>
  <c r="B560" i="58" s="1"/>
  <c r="B561" i="58" s="1"/>
  <c r="B562" i="58" s="1"/>
  <c r="B563" i="58" s="1"/>
  <c r="B564" i="58" s="1"/>
  <c r="B565" i="58" s="1"/>
  <c r="B566" i="58" s="1"/>
  <c r="B567" i="58" s="1"/>
  <c r="B568" i="58" s="1"/>
  <c r="B569" i="58" s="1"/>
  <c r="B570" i="58" s="1"/>
  <c r="B571" i="58" s="1"/>
  <c r="B572" i="58" s="1"/>
  <c r="B573" i="58" s="1"/>
  <c r="B574" i="58" s="1"/>
  <c r="B575" i="58" s="1"/>
  <c r="B576" i="58" s="1"/>
  <c r="B577" i="58" s="1"/>
  <c r="B578" i="58" s="1"/>
  <c r="B579" i="58" s="1"/>
  <c r="B580" i="58" s="1"/>
  <c r="B581" i="58" s="1"/>
  <c r="B582" i="58" s="1"/>
  <c r="B583" i="58" s="1"/>
  <c r="B584" i="58" s="1"/>
  <c r="B585" i="58" s="1"/>
  <c r="B586" i="58" s="1"/>
  <c r="B587" i="58" s="1"/>
  <c r="B588" i="58" s="1"/>
  <c r="B589" i="58" s="1"/>
  <c r="B590" i="58" s="1"/>
  <c r="B591" i="58" s="1"/>
  <c r="B592" i="58" s="1"/>
  <c r="B593" i="58" s="1"/>
  <c r="B594" i="58" s="1"/>
  <c r="B595" i="58" s="1"/>
  <c r="B596" i="58" s="1"/>
  <c r="B597" i="58" s="1"/>
  <c r="B598" i="58" s="1"/>
  <c r="B599" i="58" s="1"/>
  <c r="B600" i="58" s="1"/>
  <c r="B601" i="58" s="1"/>
  <c r="B602" i="58" s="1"/>
  <c r="B603" i="58" s="1"/>
  <c r="B604" i="58" s="1"/>
  <c r="B605" i="58" s="1"/>
  <c r="B606" i="58" s="1"/>
  <c r="B607" i="58" s="1"/>
  <c r="B608" i="58" s="1"/>
  <c r="B609" i="58" s="1"/>
  <c r="B610" i="58" s="1"/>
  <c r="B611" i="58" s="1"/>
  <c r="B612" i="58" s="1"/>
  <c r="B613" i="58" s="1"/>
  <c r="B614" i="58" s="1"/>
  <c r="B615" i="58" s="1"/>
  <c r="B616" i="58" s="1"/>
  <c r="B617" i="58" s="1"/>
  <c r="B618" i="58" s="1"/>
  <c r="A545" i="58" l="1"/>
  <c r="A547" i="58"/>
  <c r="A549" i="58"/>
  <c r="A551" i="58"/>
  <c r="A553" i="58"/>
  <c r="A555" i="58"/>
  <c r="A546" i="58"/>
  <c r="A548" i="58"/>
  <c r="A550" i="58"/>
  <c r="A552" i="58"/>
  <c r="A554" i="58"/>
  <c r="L16582" i="7" l="1"/>
  <c r="E16582" i="7"/>
  <c r="D16582" i="7"/>
  <c r="E16581" i="7"/>
  <c r="D16581" i="7"/>
  <c r="K14087" i="7" l="1"/>
  <c r="O14088" i="7"/>
  <c r="L15474" i="7"/>
  <c r="L16637" i="7"/>
  <c r="E16637" i="7"/>
  <c r="D16637" i="7"/>
  <c r="E16636" i="7"/>
  <c r="D16636" i="7"/>
  <c r="D15473" i="7" l="1"/>
  <c r="E15473" i="7"/>
  <c r="D15474" i="7"/>
  <c r="E15474" i="7"/>
  <c r="D15475" i="7"/>
  <c r="E15475" i="7"/>
  <c r="G20" i="8" l="1"/>
  <c r="J16" i="3"/>
  <c r="E16623" i="7" l="1"/>
  <c r="D16623" i="7"/>
  <c r="E16622" i="7"/>
  <c r="D16622" i="7"/>
  <c r="E16645" i="7"/>
  <c r="D16645" i="7"/>
  <c r="K16644" i="7"/>
  <c r="L16645" i="7" s="1"/>
  <c r="E16644" i="7"/>
  <c r="D16644" i="7"/>
  <c r="E16643" i="7"/>
  <c r="D16643" i="7"/>
  <c r="K16642" i="7"/>
  <c r="L16643" i="7" s="1"/>
  <c r="E16642" i="7"/>
  <c r="D16642" i="7"/>
  <c r="L16641" i="7"/>
  <c r="E16641" i="7"/>
  <c r="D16641" i="7"/>
  <c r="E16640" i="7"/>
  <c r="D16640" i="7"/>
  <c r="L16639" i="7"/>
  <c r="E16639" i="7"/>
  <c r="D16639" i="7"/>
  <c r="E16638" i="7"/>
  <c r="D16638" i="7"/>
  <c r="L16616" i="7"/>
  <c r="E16616" i="7"/>
  <c r="D16616" i="7"/>
  <c r="E16615" i="7"/>
  <c r="D16615" i="7"/>
  <c r="L16614" i="7"/>
  <c r="E16614" i="7"/>
  <c r="D16614" i="7"/>
  <c r="E16613" i="7"/>
  <c r="D16613" i="7"/>
  <c r="E16612" i="7"/>
  <c r="D16612" i="7"/>
  <c r="E16611" i="7"/>
  <c r="D16611" i="7"/>
  <c r="E16610" i="7"/>
  <c r="D16610" i="7"/>
  <c r="E16609" i="7"/>
  <c r="D16609" i="7"/>
  <c r="E16608" i="7"/>
  <c r="D16608" i="7"/>
  <c r="E16607" i="7"/>
  <c r="D16607" i="7"/>
  <c r="L16606" i="7"/>
  <c r="E16606" i="7"/>
  <c r="D16606" i="7"/>
  <c r="E16605" i="7"/>
  <c r="D16605" i="7"/>
  <c r="L16556" i="7"/>
  <c r="E16556" i="7"/>
  <c r="D16556" i="7"/>
  <c r="E16555" i="7"/>
  <c r="D16555" i="7"/>
  <c r="L16481" i="7"/>
  <c r="E16481" i="7"/>
  <c r="D16481" i="7"/>
  <c r="E16480" i="7"/>
  <c r="D16480" i="7"/>
  <c r="P544" i="58" l="1"/>
  <c r="L16621" i="7"/>
  <c r="E16621" i="7"/>
  <c r="D16621" i="7"/>
  <c r="E16620" i="7"/>
  <c r="D16620" i="7"/>
  <c r="E16619" i="7"/>
  <c r="D16619" i="7"/>
  <c r="E16618" i="7"/>
  <c r="D16618" i="7"/>
  <c r="E16617" i="7"/>
  <c r="D16617" i="7"/>
  <c r="L16554" i="7"/>
  <c r="E16554" i="7"/>
  <c r="D16554" i="7"/>
  <c r="E16553" i="7"/>
  <c r="D16553" i="7"/>
  <c r="R544" i="58"/>
  <c r="N544" i="58"/>
  <c r="J544" i="58"/>
  <c r="H544" i="58"/>
  <c r="F544" i="58"/>
  <c r="D544" i="58"/>
  <c r="A544" i="58" l="1"/>
  <c r="L16604" i="7" l="1"/>
  <c r="E16604" i="7"/>
  <c r="D16604" i="7"/>
  <c r="E16603" i="7"/>
  <c r="D16603" i="7"/>
  <c r="E16602" i="7"/>
  <c r="D16602" i="7"/>
  <c r="E16601" i="7"/>
  <c r="D16601" i="7"/>
  <c r="E16600" i="7"/>
  <c r="D16600" i="7"/>
  <c r="L16599" i="7"/>
  <c r="E16599" i="7"/>
  <c r="D16599" i="7"/>
  <c r="E16598" i="7"/>
  <c r="D16598" i="7"/>
  <c r="E16597" i="7"/>
  <c r="D16597" i="7"/>
  <c r="E16596" i="7"/>
  <c r="D16596" i="7"/>
  <c r="E16595" i="7"/>
  <c r="D16595" i="7"/>
  <c r="L16594" i="7"/>
  <c r="E16594" i="7"/>
  <c r="D16594" i="7"/>
  <c r="E16593" i="7"/>
  <c r="D16593" i="7"/>
  <c r="L16592" i="7"/>
  <c r="E16592" i="7"/>
  <c r="D16592" i="7"/>
  <c r="E16591" i="7"/>
  <c r="D16591" i="7"/>
  <c r="E16590" i="7"/>
  <c r="D16590" i="7"/>
  <c r="E16589" i="7"/>
  <c r="D16589" i="7"/>
  <c r="E16588" i="7"/>
  <c r="D16588" i="7"/>
  <c r="L16587" i="7"/>
  <c r="E16587" i="7"/>
  <c r="D16587" i="7"/>
  <c r="E16586" i="7"/>
  <c r="D16586" i="7"/>
  <c r="E16585" i="7"/>
  <c r="D16585" i="7"/>
  <c r="E16584" i="7"/>
  <c r="D16584" i="7"/>
  <c r="E16583" i="7"/>
  <c r="D16583" i="7"/>
  <c r="R539" i="58" l="1"/>
  <c r="P539" i="58"/>
  <c r="N539" i="58"/>
  <c r="L539" i="58"/>
  <c r="J539" i="58"/>
  <c r="H539" i="58"/>
  <c r="F539" i="58"/>
  <c r="D539" i="58"/>
  <c r="E16635" i="7"/>
  <c r="D16635" i="7"/>
  <c r="K16634" i="7"/>
  <c r="L16635" i="7" s="1"/>
  <c r="E16634" i="7"/>
  <c r="D16634" i="7"/>
  <c r="E16633" i="7"/>
  <c r="D16633" i="7"/>
  <c r="K16632" i="7"/>
  <c r="L16633" i="7" s="1"/>
  <c r="E16632" i="7"/>
  <c r="D16632" i="7"/>
  <c r="L16631" i="7"/>
  <c r="E16631" i="7"/>
  <c r="D16631" i="7"/>
  <c r="E16630" i="7"/>
  <c r="D16630" i="7"/>
  <c r="L16629" i="7"/>
  <c r="E16629" i="7"/>
  <c r="D16629" i="7"/>
  <c r="E16628" i="7"/>
  <c r="D16628" i="7"/>
  <c r="L16627" i="7"/>
  <c r="E16627" i="7"/>
  <c r="D16627" i="7"/>
  <c r="E16626" i="7"/>
  <c r="D16626" i="7"/>
  <c r="L16625" i="7"/>
  <c r="E16625" i="7"/>
  <c r="D16625" i="7"/>
  <c r="E16624" i="7"/>
  <c r="D16624" i="7"/>
  <c r="A539" i="58" l="1"/>
  <c r="E16580" i="7"/>
  <c r="D16580" i="7"/>
  <c r="E16579" i="7"/>
  <c r="D16579" i="7"/>
  <c r="E16578" i="7"/>
  <c r="D16578" i="7"/>
  <c r="E16577" i="7"/>
  <c r="D16577" i="7"/>
  <c r="E16576" i="7"/>
  <c r="D16576" i="7"/>
  <c r="R540" i="58"/>
  <c r="P540" i="58"/>
  <c r="N540" i="58"/>
  <c r="L540" i="58"/>
  <c r="J540" i="58"/>
  <c r="H540" i="58"/>
  <c r="F540" i="58"/>
  <c r="D540" i="58"/>
  <c r="E16575" i="7"/>
  <c r="D16575" i="7"/>
  <c r="E16574" i="7"/>
  <c r="D16574" i="7"/>
  <c r="E16573" i="7"/>
  <c r="D16573" i="7"/>
  <c r="A540" i="58" l="1"/>
  <c r="L16572" i="7" l="1"/>
  <c r="E16572" i="7"/>
  <c r="D16572" i="7"/>
  <c r="E16571" i="7"/>
  <c r="D16571" i="7"/>
  <c r="E16570" i="7"/>
  <c r="D16570" i="7"/>
  <c r="K16569" i="7"/>
  <c r="L16570" i="7" s="1"/>
  <c r="E16569" i="7"/>
  <c r="D16569" i="7"/>
  <c r="E16568" i="7"/>
  <c r="D16568" i="7"/>
  <c r="K16567" i="7"/>
  <c r="L16568" i="7" s="1"/>
  <c r="E16567" i="7"/>
  <c r="D16567" i="7"/>
  <c r="L16566" i="7"/>
  <c r="E16566" i="7"/>
  <c r="D16566" i="7"/>
  <c r="E16565" i="7"/>
  <c r="D16565" i="7"/>
  <c r="L16564" i="7"/>
  <c r="E16564" i="7"/>
  <c r="D16564" i="7"/>
  <c r="E16563" i="7"/>
  <c r="D16563" i="7"/>
  <c r="L16562" i="7"/>
  <c r="E16562" i="7"/>
  <c r="D16562" i="7"/>
  <c r="E16561" i="7"/>
  <c r="D16561" i="7"/>
  <c r="L16560" i="7"/>
  <c r="E16560" i="7"/>
  <c r="D16560" i="7"/>
  <c r="E16559" i="7"/>
  <c r="D16559" i="7"/>
  <c r="L16558" i="7"/>
  <c r="E16558" i="7"/>
  <c r="D16558" i="7"/>
  <c r="E16557" i="7"/>
  <c r="D16557" i="7"/>
  <c r="E16552" i="7"/>
  <c r="D16552" i="7"/>
  <c r="E16551" i="7"/>
  <c r="D16551" i="7"/>
  <c r="E16550" i="7"/>
  <c r="D16550" i="7"/>
  <c r="E16549" i="7"/>
  <c r="D16549" i="7"/>
  <c r="E16548" i="7"/>
  <c r="D16548" i="7"/>
  <c r="E16547" i="7" l="1"/>
  <c r="D16547" i="7"/>
  <c r="E16546" i="7"/>
  <c r="D16546" i="7"/>
  <c r="E16545" i="7"/>
  <c r="D16545" i="7"/>
  <c r="R538" i="58" l="1"/>
  <c r="P538" i="58"/>
  <c r="N538" i="58"/>
  <c r="L538" i="58"/>
  <c r="J538" i="58"/>
  <c r="H538" i="58"/>
  <c r="F538" i="58"/>
  <c r="D538" i="58"/>
  <c r="R537" i="58"/>
  <c r="P537" i="58"/>
  <c r="N537" i="58"/>
  <c r="L537" i="58"/>
  <c r="J537" i="58"/>
  <c r="H537" i="58"/>
  <c r="F537" i="58"/>
  <c r="D537" i="58"/>
  <c r="R536" i="58"/>
  <c r="P536" i="58"/>
  <c r="N536" i="58"/>
  <c r="L536" i="58"/>
  <c r="J536" i="58"/>
  <c r="H536" i="58"/>
  <c r="F536" i="58"/>
  <c r="D536" i="58"/>
  <c r="R535" i="58"/>
  <c r="P535" i="58"/>
  <c r="N535" i="58"/>
  <c r="L535" i="58"/>
  <c r="J535" i="58"/>
  <c r="H535" i="58"/>
  <c r="F535" i="58"/>
  <c r="D535" i="58"/>
  <c r="E16544" i="7"/>
  <c r="D16544" i="7"/>
  <c r="K16543" i="7"/>
  <c r="L16544" i="7" s="1"/>
  <c r="E16543" i="7"/>
  <c r="D16543" i="7"/>
  <c r="E16542" i="7"/>
  <c r="D16542" i="7"/>
  <c r="K16541" i="7"/>
  <c r="L16542" i="7" s="1"/>
  <c r="E16541" i="7"/>
  <c r="D16541" i="7"/>
  <c r="L16540" i="7"/>
  <c r="E16540" i="7"/>
  <c r="D16540" i="7"/>
  <c r="E16539" i="7"/>
  <c r="D16539" i="7"/>
  <c r="E16538" i="7"/>
  <c r="D16538" i="7"/>
  <c r="E16537" i="7"/>
  <c r="D16537" i="7"/>
  <c r="L16536" i="7"/>
  <c r="E16536" i="7"/>
  <c r="D16536" i="7"/>
  <c r="E16535" i="7"/>
  <c r="D16535" i="7"/>
  <c r="L16534" i="7"/>
  <c r="E16534" i="7"/>
  <c r="D16534" i="7"/>
  <c r="E16533" i="7"/>
  <c r="D16533" i="7"/>
  <c r="L16532" i="7"/>
  <c r="E16532" i="7"/>
  <c r="D16532" i="7"/>
  <c r="E16531" i="7"/>
  <c r="D16531" i="7"/>
  <c r="A536" i="58" l="1"/>
  <c r="A537" i="58"/>
  <c r="A538" i="58"/>
  <c r="A535" i="58"/>
  <c r="E16530" i="7" l="1"/>
  <c r="D16530" i="7"/>
  <c r="E16529" i="7"/>
  <c r="D16529" i="7"/>
  <c r="E16528" i="7"/>
  <c r="D16528" i="7"/>
  <c r="E16527" i="7"/>
  <c r="D16527" i="7"/>
  <c r="E16526" i="7"/>
  <c r="D16526" i="7"/>
  <c r="E16525" i="7" l="1"/>
  <c r="D16525" i="7"/>
  <c r="E16524" i="7"/>
  <c r="D16524" i="7"/>
  <c r="E16523" i="7"/>
  <c r="D16523" i="7"/>
  <c r="E16522" i="7" l="1"/>
  <c r="D16522" i="7"/>
  <c r="E16521" i="7"/>
  <c r="D16521" i="7"/>
  <c r="E16520" i="7"/>
  <c r="D16520" i="7"/>
  <c r="L16519" i="7" l="1"/>
  <c r="E16519" i="7"/>
  <c r="D16519" i="7"/>
  <c r="E16518" i="7"/>
  <c r="D16518" i="7"/>
  <c r="K16516" i="7" l="1"/>
  <c r="K16514" i="7"/>
  <c r="R534" i="58"/>
  <c r="P534" i="58"/>
  <c r="N534" i="58"/>
  <c r="L534" i="58"/>
  <c r="J534" i="58"/>
  <c r="H534" i="58"/>
  <c r="F534" i="58"/>
  <c r="D534" i="58"/>
  <c r="E16503" i="7"/>
  <c r="D16503" i="7"/>
  <c r="E16502" i="7"/>
  <c r="D16502" i="7"/>
  <c r="E16501" i="7"/>
  <c r="D16501" i="7"/>
  <c r="E16500" i="7"/>
  <c r="D16500" i="7"/>
  <c r="E16499" i="7"/>
  <c r="D16499" i="7"/>
  <c r="A534" i="58" l="1"/>
  <c r="L16517" i="7"/>
  <c r="E16517" i="7"/>
  <c r="D16517" i="7"/>
  <c r="E16516" i="7"/>
  <c r="D16516" i="7"/>
  <c r="L16515" i="7"/>
  <c r="E16515" i="7"/>
  <c r="D16515" i="7"/>
  <c r="E16514" i="7"/>
  <c r="D16514" i="7"/>
  <c r="L16513" i="7"/>
  <c r="E16513" i="7"/>
  <c r="D16513" i="7"/>
  <c r="E16512" i="7"/>
  <c r="D16512" i="7"/>
  <c r="L16511" i="7"/>
  <c r="E16511" i="7"/>
  <c r="D16511" i="7"/>
  <c r="E16510" i="7"/>
  <c r="D16510" i="7"/>
  <c r="L16509" i="7"/>
  <c r="E16509" i="7"/>
  <c r="D16509" i="7"/>
  <c r="E16508" i="7"/>
  <c r="D16508" i="7"/>
  <c r="L16507" i="7"/>
  <c r="E16507" i="7"/>
  <c r="D16507" i="7"/>
  <c r="E16506" i="7"/>
  <c r="D16506" i="7"/>
  <c r="L16505" i="7"/>
  <c r="E16505" i="7"/>
  <c r="D16505" i="7"/>
  <c r="E16504" i="7"/>
  <c r="D16504" i="7"/>
  <c r="E16498" i="7"/>
  <c r="D16498" i="7"/>
  <c r="E16497" i="7"/>
  <c r="D16497" i="7"/>
  <c r="E16496" i="7"/>
  <c r="D16496" i="7"/>
  <c r="E16479" i="7"/>
  <c r="D16479" i="7"/>
  <c r="E16478" i="7"/>
  <c r="D16478" i="7"/>
  <c r="E16477" i="7"/>
  <c r="D16477" i="7"/>
  <c r="L16255" i="7" l="1"/>
  <c r="E16255" i="7"/>
  <c r="D16255" i="7"/>
  <c r="E16254" i="7"/>
  <c r="D16254" i="7"/>
  <c r="L15607" i="7"/>
  <c r="E15607" i="7"/>
  <c r="D15607" i="7"/>
  <c r="E15606" i="7"/>
  <c r="D15606" i="7"/>
  <c r="L15605" i="7"/>
  <c r="E15605" i="7"/>
  <c r="D15605" i="7"/>
  <c r="E15604" i="7"/>
  <c r="D15604" i="7"/>
  <c r="L16493" i="7"/>
  <c r="E16476" i="7"/>
  <c r="D16476" i="7"/>
  <c r="E16475" i="7"/>
  <c r="D16475" i="7"/>
  <c r="E16474" i="7"/>
  <c r="D16474" i="7"/>
  <c r="E16473" i="7"/>
  <c r="D16473" i="7"/>
  <c r="E16472" i="7"/>
  <c r="D16472" i="7"/>
  <c r="R533" i="58"/>
  <c r="P533" i="58"/>
  <c r="N533" i="58"/>
  <c r="L533" i="58"/>
  <c r="J533" i="58"/>
  <c r="H533" i="58"/>
  <c r="F533" i="58"/>
  <c r="D533" i="58"/>
  <c r="A533" i="58" l="1"/>
  <c r="E16495" i="7"/>
  <c r="D16495" i="7"/>
  <c r="L16495" i="7"/>
  <c r="E16494" i="7"/>
  <c r="D16494" i="7"/>
  <c r="E16493" i="7"/>
  <c r="D16493" i="7"/>
  <c r="E16492" i="7"/>
  <c r="D16492" i="7"/>
  <c r="L16491" i="7"/>
  <c r="E16491" i="7"/>
  <c r="D16491" i="7"/>
  <c r="E16490" i="7"/>
  <c r="D16490" i="7"/>
  <c r="L16489" i="7"/>
  <c r="E16489" i="7"/>
  <c r="D16489" i="7"/>
  <c r="E16488" i="7"/>
  <c r="D16488" i="7"/>
  <c r="L16487" i="7"/>
  <c r="E16487" i="7"/>
  <c r="D16487" i="7"/>
  <c r="E16486" i="7"/>
  <c r="D16486" i="7"/>
  <c r="L16485" i="7"/>
  <c r="E16485" i="7"/>
  <c r="D16485" i="7"/>
  <c r="E16484" i="7"/>
  <c r="D16484" i="7"/>
  <c r="L16483" i="7"/>
  <c r="E16483" i="7"/>
  <c r="D16483" i="7"/>
  <c r="E16482" i="7"/>
  <c r="D16482" i="7"/>
  <c r="E16471" i="7"/>
  <c r="D16471" i="7"/>
  <c r="E16470" i="7"/>
  <c r="D16470" i="7"/>
  <c r="E16469" i="7"/>
  <c r="D16469" i="7"/>
  <c r="R532" i="58"/>
  <c r="P532" i="58"/>
  <c r="N532" i="58"/>
  <c r="L532" i="58"/>
  <c r="J532" i="58"/>
  <c r="H532" i="58"/>
  <c r="F532" i="58"/>
  <c r="D532" i="58"/>
  <c r="E16447" i="7"/>
  <c r="D16447" i="7"/>
  <c r="E16446" i="7"/>
  <c r="D16446" i="7"/>
  <c r="E16445" i="7"/>
  <c r="D16445" i="7"/>
  <c r="E16444" i="7"/>
  <c r="D16444" i="7"/>
  <c r="E16443" i="7"/>
  <c r="D16443" i="7"/>
  <c r="E16442" i="7"/>
  <c r="D16442" i="7"/>
  <c r="E16441" i="7"/>
  <c r="D16441" i="7"/>
  <c r="E16440" i="7"/>
  <c r="D16440" i="7"/>
  <c r="E16439" i="7"/>
  <c r="D16439" i="7"/>
  <c r="E16438" i="7"/>
  <c r="D16438" i="7"/>
  <c r="E16437" i="7"/>
  <c r="D16437" i="7"/>
  <c r="A532" i="58" l="1"/>
  <c r="E16468" i="7"/>
  <c r="D16468" i="7"/>
  <c r="K16467" i="7"/>
  <c r="L16468" i="7" s="1"/>
  <c r="E16467" i="7"/>
  <c r="D16467" i="7"/>
  <c r="E16466" i="7"/>
  <c r="D16466" i="7"/>
  <c r="K16465" i="7"/>
  <c r="L16466" i="7" s="1"/>
  <c r="E16465" i="7"/>
  <c r="D16465" i="7"/>
  <c r="L16464" i="7"/>
  <c r="E16464" i="7"/>
  <c r="D16464" i="7"/>
  <c r="E16463" i="7"/>
  <c r="D16463" i="7"/>
  <c r="L16462" i="7"/>
  <c r="E16462" i="7"/>
  <c r="D16462" i="7"/>
  <c r="E16461" i="7"/>
  <c r="D16461" i="7"/>
  <c r="L16460" i="7"/>
  <c r="E16460" i="7"/>
  <c r="D16460" i="7"/>
  <c r="E16459" i="7"/>
  <c r="D16459" i="7"/>
  <c r="E16458" i="7"/>
  <c r="D16458" i="7"/>
  <c r="E16457" i="7"/>
  <c r="D16457" i="7"/>
  <c r="L16456" i="7"/>
  <c r="E16456" i="7"/>
  <c r="D16456" i="7"/>
  <c r="E16455" i="7"/>
  <c r="D16455" i="7"/>
  <c r="L16454" i="7"/>
  <c r="E16454" i="7"/>
  <c r="D16454" i="7"/>
  <c r="E16453" i="7"/>
  <c r="D16453" i="7"/>
  <c r="L16452" i="7"/>
  <c r="E16452" i="7"/>
  <c r="D16452" i="7"/>
  <c r="E16451" i="7"/>
  <c r="D16451" i="7"/>
  <c r="E16410" i="7"/>
  <c r="D16410" i="7"/>
  <c r="E16409" i="7"/>
  <c r="D16409" i="7"/>
  <c r="L16436" i="7"/>
  <c r="E16436" i="7"/>
  <c r="D16436" i="7"/>
  <c r="E16435" i="7"/>
  <c r="D16435" i="7"/>
  <c r="L16434" i="7"/>
  <c r="E16434" i="7"/>
  <c r="D16434" i="7"/>
  <c r="E16433" i="7"/>
  <c r="D16433" i="7"/>
  <c r="L16432" i="7"/>
  <c r="E16432" i="7"/>
  <c r="D16432" i="7"/>
  <c r="E16431" i="7"/>
  <c r="D16431" i="7"/>
  <c r="L16430" i="7"/>
  <c r="E16430" i="7"/>
  <c r="D16430" i="7"/>
  <c r="E16429" i="7"/>
  <c r="D16429" i="7"/>
  <c r="K16427" i="7"/>
  <c r="L16428" i="7" s="1"/>
  <c r="R531" i="58"/>
  <c r="P531" i="58"/>
  <c r="N531" i="58"/>
  <c r="L531" i="58"/>
  <c r="J531" i="58"/>
  <c r="H531" i="58"/>
  <c r="F531" i="58"/>
  <c r="D531" i="58"/>
  <c r="R530" i="58"/>
  <c r="P530" i="58"/>
  <c r="N530" i="58"/>
  <c r="L530" i="58"/>
  <c r="J530" i="58"/>
  <c r="H530" i="58"/>
  <c r="F530" i="58"/>
  <c r="D530" i="58"/>
  <c r="R529" i="58"/>
  <c r="P529" i="58"/>
  <c r="N529" i="58"/>
  <c r="L529" i="58"/>
  <c r="J529" i="58"/>
  <c r="H529" i="58"/>
  <c r="F529" i="58"/>
  <c r="D529" i="58"/>
  <c r="E16428" i="7"/>
  <c r="D16428" i="7"/>
  <c r="E16427" i="7"/>
  <c r="D16427" i="7"/>
  <c r="E16426" i="7"/>
  <c r="D16426" i="7"/>
  <c r="K16425" i="7"/>
  <c r="L16426" i="7" s="1"/>
  <c r="E16425" i="7"/>
  <c r="D16425" i="7"/>
  <c r="L16424" i="7"/>
  <c r="E16424" i="7"/>
  <c r="D16424" i="7"/>
  <c r="E16423" i="7"/>
  <c r="D16423" i="7"/>
  <c r="L16422" i="7"/>
  <c r="E16422" i="7"/>
  <c r="D16422" i="7"/>
  <c r="E16421" i="7"/>
  <c r="D16421" i="7"/>
  <c r="L16420" i="7"/>
  <c r="E16420" i="7"/>
  <c r="D16420" i="7"/>
  <c r="E16419" i="7"/>
  <c r="D16419" i="7"/>
  <c r="E16418" i="7"/>
  <c r="D16418" i="7"/>
  <c r="E16417" i="7"/>
  <c r="D16417" i="7"/>
  <c r="L16416" i="7"/>
  <c r="E16416" i="7"/>
  <c r="D16416" i="7"/>
  <c r="E16415" i="7"/>
  <c r="D16415" i="7"/>
  <c r="L16414" i="7"/>
  <c r="E16414" i="7"/>
  <c r="D16414" i="7"/>
  <c r="E16413" i="7"/>
  <c r="D16413" i="7"/>
  <c r="L16412" i="7"/>
  <c r="E16412" i="7"/>
  <c r="D16412" i="7"/>
  <c r="E16411" i="7"/>
  <c r="D16411" i="7"/>
  <c r="E16408" i="7"/>
  <c r="D16408" i="7"/>
  <c r="E16407" i="7"/>
  <c r="D16407" i="7"/>
  <c r="E16406" i="7"/>
  <c r="D16406" i="7"/>
  <c r="E16405" i="7"/>
  <c r="D16405" i="7"/>
  <c r="E16404" i="7"/>
  <c r="D16404" i="7"/>
  <c r="A531" i="58" l="1"/>
  <c r="A530" i="58"/>
  <c r="A529" i="58"/>
  <c r="E16375" i="7" l="1"/>
  <c r="D16375" i="7"/>
  <c r="E16374" i="7"/>
  <c r="D16374" i="7"/>
  <c r="E16373" i="7"/>
  <c r="D16373" i="7"/>
  <c r="L16403" i="7" l="1"/>
  <c r="E16403" i="7"/>
  <c r="D16403" i="7"/>
  <c r="E16402" i="7"/>
  <c r="D16402" i="7"/>
  <c r="L16372" i="7"/>
  <c r="E16372" i="7"/>
  <c r="D16372" i="7"/>
  <c r="E16371" i="7"/>
  <c r="D16371" i="7"/>
  <c r="E16370" i="7"/>
  <c r="D16370" i="7"/>
  <c r="E16369" i="7"/>
  <c r="D16369" i="7"/>
  <c r="E16368" i="7"/>
  <c r="D16368" i="7"/>
  <c r="E16367" i="7"/>
  <c r="D16367" i="7"/>
  <c r="L16401" i="7"/>
  <c r="E16401" i="7"/>
  <c r="D16401" i="7"/>
  <c r="E16400" i="7"/>
  <c r="D16400" i="7"/>
  <c r="L16366" i="7"/>
  <c r="E16366" i="7"/>
  <c r="D16366" i="7"/>
  <c r="E16365" i="7"/>
  <c r="D16365" i="7"/>
  <c r="E16396" i="7"/>
  <c r="D16396" i="7"/>
  <c r="E16395" i="7"/>
  <c r="D16395" i="7"/>
  <c r="E16394" i="7"/>
  <c r="D16394" i="7"/>
  <c r="E16399" i="7"/>
  <c r="D16399" i="7"/>
  <c r="E16398" i="7"/>
  <c r="D16398" i="7"/>
  <c r="E16397" i="7"/>
  <c r="D16397" i="7"/>
  <c r="R528" i="58" l="1"/>
  <c r="P528" i="58"/>
  <c r="N528" i="58"/>
  <c r="L528" i="58"/>
  <c r="J528" i="58"/>
  <c r="H528" i="58"/>
  <c r="F528" i="58"/>
  <c r="D528" i="58"/>
  <c r="E16393" i="7"/>
  <c r="D16393" i="7"/>
  <c r="E16392" i="7"/>
  <c r="D16392" i="7"/>
  <c r="E16391" i="7"/>
  <c r="D16391" i="7"/>
  <c r="K16390" i="7"/>
  <c r="L16391" i="7" s="1"/>
  <c r="K16392" i="7" s="1"/>
  <c r="L16393" i="7" s="1"/>
  <c r="E16390" i="7"/>
  <c r="D16390" i="7"/>
  <c r="L16389" i="7"/>
  <c r="E16389" i="7"/>
  <c r="D16389" i="7"/>
  <c r="E16388" i="7"/>
  <c r="D16388" i="7"/>
  <c r="L16387" i="7"/>
  <c r="E16387" i="7"/>
  <c r="D16387" i="7"/>
  <c r="E16386" i="7"/>
  <c r="D16386" i="7"/>
  <c r="L16385" i="7"/>
  <c r="E16385" i="7"/>
  <c r="D16385" i="7"/>
  <c r="E16384" i="7"/>
  <c r="D16384" i="7"/>
  <c r="E16383" i="7"/>
  <c r="D16383" i="7"/>
  <c r="E16382" i="7"/>
  <c r="D16382" i="7"/>
  <c r="L16381" i="7"/>
  <c r="E16381" i="7"/>
  <c r="D16381" i="7"/>
  <c r="E16380" i="7"/>
  <c r="D16380" i="7"/>
  <c r="L16379" i="7"/>
  <c r="E16379" i="7"/>
  <c r="D16379" i="7"/>
  <c r="E16378" i="7"/>
  <c r="D16378" i="7"/>
  <c r="L16377" i="7"/>
  <c r="E16377" i="7"/>
  <c r="D16377" i="7"/>
  <c r="E16376" i="7"/>
  <c r="D16376" i="7"/>
  <c r="E16364" i="7"/>
  <c r="D16364" i="7"/>
  <c r="E16363" i="7"/>
  <c r="D16363" i="7"/>
  <c r="E16362" i="7"/>
  <c r="D16362" i="7"/>
  <c r="E16361" i="7"/>
  <c r="D16361" i="7"/>
  <c r="E16360" i="7"/>
  <c r="D16360" i="7"/>
  <c r="A528" i="58" l="1"/>
  <c r="L16359" i="7" l="1"/>
  <c r="E16359" i="7"/>
  <c r="D16359" i="7"/>
  <c r="E16358" i="7"/>
  <c r="D16358" i="7"/>
  <c r="E16313" i="7"/>
  <c r="D16313" i="7"/>
  <c r="E16312" i="7"/>
  <c r="D16312" i="7"/>
  <c r="E16311" i="7"/>
  <c r="D16311" i="7"/>
  <c r="E16357" i="7"/>
  <c r="D16357" i="7"/>
  <c r="E16356" i="7"/>
  <c r="D16356" i="7"/>
  <c r="E16355" i="7"/>
  <c r="D16355" i="7"/>
  <c r="R527" i="58" l="1"/>
  <c r="P527" i="58"/>
  <c r="N527" i="58"/>
  <c r="L527" i="58"/>
  <c r="J527" i="58"/>
  <c r="H527" i="58"/>
  <c r="F527" i="58"/>
  <c r="D527" i="58"/>
  <c r="R526" i="58"/>
  <c r="P526" i="58"/>
  <c r="N526" i="58"/>
  <c r="L526" i="58"/>
  <c r="J526" i="58"/>
  <c r="H526" i="58"/>
  <c r="F526" i="58"/>
  <c r="D526" i="58"/>
  <c r="A527" i="58" l="1"/>
  <c r="A526" i="58"/>
  <c r="E16336" i="7" l="1"/>
  <c r="D16336" i="7"/>
  <c r="E16335" i="7"/>
  <c r="D16335" i="7"/>
  <c r="E16334" i="7"/>
  <c r="D16334" i="7"/>
  <c r="E16333" i="7"/>
  <c r="D16333" i="7"/>
  <c r="E16332" i="7"/>
  <c r="D16332" i="7"/>
  <c r="E16354" i="7"/>
  <c r="D16354" i="7"/>
  <c r="K16353" i="7"/>
  <c r="L16354" i="7" s="1"/>
  <c r="E16353" i="7"/>
  <c r="D16353" i="7"/>
  <c r="E16352" i="7"/>
  <c r="D16352" i="7"/>
  <c r="K16351" i="7"/>
  <c r="L16352" i="7" s="1"/>
  <c r="E16351" i="7"/>
  <c r="D16351" i="7"/>
  <c r="L16350" i="7"/>
  <c r="E16350" i="7"/>
  <c r="D16350" i="7"/>
  <c r="E16349" i="7"/>
  <c r="D16349" i="7"/>
  <c r="L16348" i="7"/>
  <c r="E16348" i="7"/>
  <c r="D16348" i="7"/>
  <c r="E16347" i="7"/>
  <c r="D16347" i="7"/>
  <c r="L16346" i="7"/>
  <c r="E16346" i="7"/>
  <c r="D16346" i="7"/>
  <c r="E16345" i="7"/>
  <c r="D16345" i="7"/>
  <c r="E16344" i="7"/>
  <c r="D16344" i="7"/>
  <c r="E16343" i="7"/>
  <c r="D16343" i="7"/>
  <c r="L16342" i="7"/>
  <c r="E16342" i="7"/>
  <c r="D16342" i="7"/>
  <c r="E16341" i="7"/>
  <c r="D16341" i="7"/>
  <c r="L16340" i="7"/>
  <c r="E16340" i="7"/>
  <c r="D16340" i="7"/>
  <c r="E16339" i="7"/>
  <c r="D16339" i="7"/>
  <c r="L16338" i="7"/>
  <c r="E16338" i="7"/>
  <c r="D16338" i="7"/>
  <c r="E16337" i="7"/>
  <c r="D16337" i="7"/>
  <c r="E16450" i="7"/>
  <c r="D16450" i="7"/>
  <c r="E16449" i="7"/>
  <c r="D16449" i="7"/>
  <c r="E16448" i="7"/>
  <c r="D16448" i="7"/>
  <c r="R525" i="58"/>
  <c r="P525" i="58"/>
  <c r="N525" i="58"/>
  <c r="L525" i="58"/>
  <c r="J525" i="58"/>
  <c r="H525" i="58"/>
  <c r="F525" i="58"/>
  <c r="D525" i="58"/>
  <c r="E16331" i="7"/>
  <c r="D16331" i="7"/>
  <c r="K16330" i="7"/>
  <c r="L16331" i="7" s="1"/>
  <c r="E16330" i="7"/>
  <c r="D16330" i="7"/>
  <c r="E16329" i="7"/>
  <c r="D16329" i="7"/>
  <c r="K16328" i="7"/>
  <c r="L16329" i="7" s="1"/>
  <c r="E16328" i="7"/>
  <c r="D16328" i="7"/>
  <c r="L16327" i="7"/>
  <c r="E16327" i="7"/>
  <c r="D16327" i="7"/>
  <c r="E16326" i="7"/>
  <c r="D16326" i="7"/>
  <c r="L16325" i="7"/>
  <c r="E16325" i="7"/>
  <c r="D16325" i="7"/>
  <c r="E16324" i="7"/>
  <c r="D16324" i="7"/>
  <c r="L16323" i="7"/>
  <c r="E16323" i="7"/>
  <c r="D16323" i="7"/>
  <c r="E16322" i="7"/>
  <c r="D16322" i="7"/>
  <c r="E16321" i="7"/>
  <c r="D16321" i="7"/>
  <c r="E16320" i="7"/>
  <c r="D16320" i="7"/>
  <c r="L16319" i="7"/>
  <c r="E16319" i="7"/>
  <c r="D16319" i="7"/>
  <c r="E16318" i="7"/>
  <c r="D16318" i="7"/>
  <c r="L16317" i="7"/>
  <c r="E16317" i="7"/>
  <c r="D16317" i="7"/>
  <c r="E16316" i="7"/>
  <c r="D16316" i="7"/>
  <c r="L16315" i="7"/>
  <c r="E16315" i="7"/>
  <c r="D16315" i="7"/>
  <c r="E16314" i="7"/>
  <c r="D16314" i="7"/>
  <c r="E16310" i="7"/>
  <c r="D16310" i="7"/>
  <c r="E16309" i="7"/>
  <c r="D16309" i="7"/>
  <c r="E16308" i="7"/>
  <c r="D16308" i="7"/>
  <c r="E16307" i="7"/>
  <c r="D16307" i="7"/>
  <c r="E16306" i="7"/>
  <c r="D16306" i="7"/>
  <c r="A525" i="58" l="1"/>
  <c r="L16304" i="7"/>
  <c r="L16305" i="7"/>
  <c r="E16305" i="7"/>
  <c r="D16305" i="7"/>
  <c r="E16304" i="7"/>
  <c r="D16304" i="7"/>
  <c r="E16303" i="7"/>
  <c r="D16303" i="7"/>
  <c r="L16302" i="7"/>
  <c r="E16302" i="7"/>
  <c r="D16302" i="7"/>
  <c r="E16301" i="7"/>
  <c r="D16301" i="7"/>
  <c r="L16282" i="7"/>
  <c r="E16282" i="7"/>
  <c r="D16282" i="7"/>
  <c r="E16281" i="7"/>
  <c r="D16281" i="7"/>
  <c r="D16283" i="7"/>
  <c r="E16283" i="7"/>
  <c r="R524" i="58"/>
  <c r="P524" i="58"/>
  <c r="N524" i="58"/>
  <c r="L524" i="58"/>
  <c r="J524" i="58"/>
  <c r="H524" i="58"/>
  <c r="F524" i="58"/>
  <c r="D524" i="58"/>
  <c r="E16300" i="7"/>
  <c r="D16300" i="7"/>
  <c r="K16299" i="7"/>
  <c r="L16300" i="7" s="1"/>
  <c r="E16299" i="7"/>
  <c r="D16299" i="7"/>
  <c r="E16298" i="7"/>
  <c r="D16298" i="7"/>
  <c r="K16297" i="7"/>
  <c r="L16298" i="7" s="1"/>
  <c r="E16297" i="7"/>
  <c r="D16297" i="7"/>
  <c r="L16296" i="7"/>
  <c r="E16296" i="7"/>
  <c r="D16296" i="7"/>
  <c r="E16295" i="7"/>
  <c r="D16295" i="7"/>
  <c r="L16294" i="7"/>
  <c r="E16294" i="7"/>
  <c r="D16294" i="7"/>
  <c r="E16293" i="7"/>
  <c r="D16293" i="7"/>
  <c r="L16292" i="7"/>
  <c r="E16292" i="7"/>
  <c r="D16292" i="7"/>
  <c r="E16291" i="7"/>
  <c r="D16291" i="7"/>
  <c r="E16290" i="7"/>
  <c r="D16290" i="7"/>
  <c r="E16289" i="7"/>
  <c r="D16289" i="7"/>
  <c r="L16288" i="7"/>
  <c r="E16288" i="7"/>
  <c r="D16288" i="7"/>
  <c r="E16287" i="7"/>
  <c r="D16287" i="7"/>
  <c r="L16286" i="7"/>
  <c r="E16286" i="7"/>
  <c r="D16286" i="7"/>
  <c r="E16285" i="7"/>
  <c r="D16285" i="7"/>
  <c r="L16284" i="7"/>
  <c r="E16284" i="7"/>
  <c r="D16284" i="7"/>
  <c r="E16280" i="7"/>
  <c r="D16280" i="7"/>
  <c r="E16279" i="7"/>
  <c r="D16279" i="7"/>
  <c r="E16278" i="7"/>
  <c r="D16278" i="7"/>
  <c r="E16277" i="7"/>
  <c r="D16277" i="7"/>
  <c r="E16276" i="7"/>
  <c r="D16276" i="7"/>
  <c r="A524" i="58" l="1"/>
  <c r="L16275" i="7"/>
  <c r="E16275" i="7"/>
  <c r="D16275" i="7"/>
  <c r="E16274" i="7"/>
  <c r="D16274" i="7"/>
  <c r="L16253" i="7"/>
  <c r="E16253" i="7"/>
  <c r="D16253" i="7"/>
  <c r="E16252" i="7"/>
  <c r="D16252" i="7"/>
  <c r="E16251" i="7"/>
  <c r="D16251" i="7"/>
  <c r="E16250" i="7"/>
  <c r="D16250" i="7"/>
  <c r="E16249" i="7"/>
  <c r="D16249" i="7"/>
  <c r="E16248" i="7"/>
  <c r="D16248" i="7"/>
  <c r="E16247" i="7"/>
  <c r="D16247" i="7"/>
  <c r="R523" i="58" l="1"/>
  <c r="P523" i="58"/>
  <c r="N523" i="58"/>
  <c r="L523" i="58"/>
  <c r="J523" i="58"/>
  <c r="H523" i="58"/>
  <c r="F523" i="58"/>
  <c r="D523" i="58"/>
  <c r="R522" i="58"/>
  <c r="P522" i="58"/>
  <c r="N522" i="58"/>
  <c r="L522" i="58"/>
  <c r="J522" i="58"/>
  <c r="H522" i="58"/>
  <c r="F522" i="58"/>
  <c r="D522" i="58"/>
  <c r="R521" i="58"/>
  <c r="P521" i="58"/>
  <c r="N521" i="58"/>
  <c r="L521" i="58"/>
  <c r="J521" i="58"/>
  <c r="H521" i="58"/>
  <c r="F521" i="58"/>
  <c r="D521" i="58"/>
  <c r="E16273" i="7"/>
  <c r="D16273" i="7"/>
  <c r="K16272" i="7"/>
  <c r="L16273" i="7" s="1"/>
  <c r="E16272" i="7"/>
  <c r="D16272" i="7"/>
  <c r="E16271" i="7"/>
  <c r="D16271" i="7"/>
  <c r="K16270" i="7"/>
  <c r="L16271" i="7" s="1"/>
  <c r="E16270" i="7"/>
  <c r="D16270" i="7"/>
  <c r="L16269" i="7"/>
  <c r="E16269" i="7"/>
  <c r="D16269" i="7"/>
  <c r="E16268" i="7"/>
  <c r="D16268" i="7"/>
  <c r="L16267" i="7"/>
  <c r="E16267" i="7"/>
  <c r="D16267" i="7"/>
  <c r="E16266" i="7"/>
  <c r="D16266" i="7"/>
  <c r="L16265" i="7"/>
  <c r="E16265" i="7"/>
  <c r="D16265" i="7"/>
  <c r="E16264" i="7"/>
  <c r="D16264" i="7"/>
  <c r="E16263" i="7"/>
  <c r="D16263" i="7"/>
  <c r="E16262" i="7"/>
  <c r="D16262" i="7"/>
  <c r="L16261" i="7"/>
  <c r="E16261" i="7"/>
  <c r="D16261" i="7"/>
  <c r="E16260" i="7"/>
  <c r="D16260" i="7"/>
  <c r="L16259" i="7"/>
  <c r="E16259" i="7"/>
  <c r="D16259" i="7"/>
  <c r="E16258" i="7"/>
  <c r="D16258" i="7"/>
  <c r="L16257" i="7"/>
  <c r="E16257" i="7"/>
  <c r="D16257" i="7"/>
  <c r="E16256" i="7"/>
  <c r="D16256" i="7"/>
  <c r="L16222" i="7"/>
  <c r="E16222" i="7"/>
  <c r="D16222" i="7"/>
  <c r="E16221" i="7"/>
  <c r="D16221" i="7"/>
  <c r="L16246" i="7"/>
  <c r="E16246" i="7"/>
  <c r="D16246" i="7"/>
  <c r="E16245" i="7"/>
  <c r="D16245" i="7"/>
  <c r="L16244" i="7"/>
  <c r="E16244" i="7"/>
  <c r="D16244" i="7"/>
  <c r="E16243" i="7"/>
  <c r="D16243" i="7"/>
  <c r="L16242" i="7"/>
  <c r="E16242" i="7"/>
  <c r="D16242" i="7"/>
  <c r="E16241" i="7"/>
  <c r="D16241" i="7"/>
  <c r="R520" i="58"/>
  <c r="P520" i="58"/>
  <c r="N520" i="58"/>
  <c r="L520" i="58"/>
  <c r="J520" i="58"/>
  <c r="H520" i="58"/>
  <c r="F520" i="58"/>
  <c r="D520" i="58"/>
  <c r="E16240" i="7"/>
  <c r="D16240" i="7"/>
  <c r="K16239" i="7"/>
  <c r="L16240" i="7" s="1"/>
  <c r="E16239" i="7"/>
  <c r="D16239" i="7"/>
  <c r="E16238" i="7"/>
  <c r="D16238" i="7"/>
  <c r="K16237" i="7"/>
  <c r="L16238" i="7" s="1"/>
  <c r="E16237" i="7"/>
  <c r="D16237" i="7"/>
  <c r="L16236" i="7"/>
  <c r="E16236" i="7"/>
  <c r="D16236" i="7"/>
  <c r="E16235" i="7"/>
  <c r="D16235" i="7"/>
  <c r="L16234" i="7"/>
  <c r="E16234" i="7"/>
  <c r="D16234" i="7"/>
  <c r="E16233" i="7"/>
  <c r="D16233" i="7"/>
  <c r="L16232" i="7"/>
  <c r="E16232" i="7"/>
  <c r="D16232" i="7"/>
  <c r="E16231" i="7"/>
  <c r="D16231" i="7"/>
  <c r="E16230" i="7"/>
  <c r="D16230" i="7"/>
  <c r="E16229" i="7"/>
  <c r="D16229" i="7"/>
  <c r="L16228" i="7"/>
  <c r="E16228" i="7"/>
  <c r="D16228" i="7"/>
  <c r="E16227" i="7"/>
  <c r="D16227" i="7"/>
  <c r="L16226" i="7"/>
  <c r="E16226" i="7"/>
  <c r="D16226" i="7"/>
  <c r="E16225" i="7"/>
  <c r="D16225" i="7"/>
  <c r="L16224" i="7"/>
  <c r="E16224" i="7"/>
  <c r="D16224" i="7"/>
  <c r="E16223" i="7"/>
  <c r="D16223" i="7"/>
  <c r="E16220" i="7"/>
  <c r="D16220" i="7"/>
  <c r="E16219" i="7"/>
  <c r="D16219" i="7"/>
  <c r="E16218" i="7"/>
  <c r="D16218" i="7"/>
  <c r="E16217" i="7"/>
  <c r="D16217" i="7"/>
  <c r="E16216" i="7"/>
  <c r="D16216" i="7"/>
  <c r="A522" i="58" l="1"/>
  <c r="A523" i="58"/>
  <c r="A521" i="58"/>
  <c r="A520" i="58"/>
  <c r="R519" i="58"/>
  <c r="P519" i="58"/>
  <c r="N519" i="58"/>
  <c r="L519" i="58"/>
  <c r="J519" i="58"/>
  <c r="H519" i="58"/>
  <c r="F519" i="58"/>
  <c r="D519" i="58"/>
  <c r="E16215" i="7"/>
  <c r="D16215" i="7"/>
  <c r="K16214" i="7"/>
  <c r="L16215" i="7" s="1"/>
  <c r="E16214" i="7"/>
  <c r="D16214" i="7"/>
  <c r="E16213" i="7"/>
  <c r="D16213" i="7"/>
  <c r="K16212" i="7"/>
  <c r="L16213" i="7" s="1"/>
  <c r="E16212" i="7"/>
  <c r="D16212" i="7"/>
  <c r="L16211" i="7"/>
  <c r="E16211" i="7"/>
  <c r="D16211" i="7"/>
  <c r="E16210" i="7"/>
  <c r="D16210" i="7"/>
  <c r="L16209" i="7"/>
  <c r="E16209" i="7"/>
  <c r="D16209" i="7"/>
  <c r="E16208" i="7"/>
  <c r="D16208" i="7"/>
  <c r="L16207" i="7"/>
  <c r="E16207" i="7"/>
  <c r="D16207" i="7"/>
  <c r="E16206" i="7"/>
  <c r="D16206" i="7"/>
  <c r="E16205" i="7"/>
  <c r="D16205" i="7"/>
  <c r="E16204" i="7"/>
  <c r="D16204" i="7"/>
  <c r="L16203" i="7"/>
  <c r="E16203" i="7"/>
  <c r="D16203" i="7"/>
  <c r="E16202" i="7"/>
  <c r="D16202" i="7"/>
  <c r="L16201" i="7"/>
  <c r="E16201" i="7"/>
  <c r="D16201" i="7"/>
  <c r="E16200" i="7"/>
  <c r="D16200" i="7"/>
  <c r="L16199" i="7"/>
  <c r="E16199" i="7"/>
  <c r="D16199" i="7"/>
  <c r="E16198" i="7"/>
  <c r="D16198" i="7"/>
  <c r="E16197" i="7"/>
  <c r="D16197" i="7"/>
  <c r="E16196" i="7"/>
  <c r="D16196" i="7"/>
  <c r="E16195" i="7"/>
  <c r="D16195" i="7"/>
  <c r="E16194" i="7"/>
  <c r="D16194" i="7"/>
  <c r="E16193" i="7"/>
  <c r="D16193" i="7"/>
  <c r="A519" i="58" l="1"/>
  <c r="E16192" i="7"/>
  <c r="D16192" i="7"/>
  <c r="E16191" i="7"/>
  <c r="D16191" i="7"/>
  <c r="E16190" i="7"/>
  <c r="D16190" i="7"/>
  <c r="E16189" i="7"/>
  <c r="D16189" i="7"/>
  <c r="E16188" i="7" l="1"/>
  <c r="D16188" i="7"/>
  <c r="E16187" i="7"/>
  <c r="D16187" i="7"/>
  <c r="E16186" i="7"/>
  <c r="D16186" i="7"/>
  <c r="R518" i="58" l="1"/>
  <c r="P518" i="58"/>
  <c r="N518" i="58"/>
  <c r="L518" i="58"/>
  <c r="J518" i="58"/>
  <c r="H518" i="58"/>
  <c r="F518" i="58"/>
  <c r="D518" i="58"/>
  <c r="E16185" i="7"/>
  <c r="D16185" i="7"/>
  <c r="K16184" i="7"/>
  <c r="L16185" i="7" s="1"/>
  <c r="E16184" i="7"/>
  <c r="D16184" i="7"/>
  <c r="E16183" i="7"/>
  <c r="D16183" i="7"/>
  <c r="K16182" i="7"/>
  <c r="L16183" i="7" s="1"/>
  <c r="E16182" i="7"/>
  <c r="D16182" i="7"/>
  <c r="L16181" i="7"/>
  <c r="E16181" i="7"/>
  <c r="D16181" i="7"/>
  <c r="E16180" i="7"/>
  <c r="D16180" i="7"/>
  <c r="L16179" i="7"/>
  <c r="E16179" i="7"/>
  <c r="D16179" i="7"/>
  <c r="E16178" i="7"/>
  <c r="D16178" i="7"/>
  <c r="L16177" i="7"/>
  <c r="E16177" i="7"/>
  <c r="D16177" i="7"/>
  <c r="E16176" i="7"/>
  <c r="D16176" i="7"/>
  <c r="E16175" i="7"/>
  <c r="D16175" i="7"/>
  <c r="E16174" i="7"/>
  <c r="D16174" i="7"/>
  <c r="L16173" i="7"/>
  <c r="E16173" i="7"/>
  <c r="D16173" i="7"/>
  <c r="E16172" i="7"/>
  <c r="D16172" i="7"/>
  <c r="L16171" i="7"/>
  <c r="E16171" i="7"/>
  <c r="D16171" i="7"/>
  <c r="E16170" i="7"/>
  <c r="D16170" i="7"/>
  <c r="L16169" i="7"/>
  <c r="E16169" i="7"/>
  <c r="D16169" i="7"/>
  <c r="E16168" i="7"/>
  <c r="D16168" i="7"/>
  <c r="L16135" i="7"/>
  <c r="E16135" i="7"/>
  <c r="D16135" i="7"/>
  <c r="E16134" i="7"/>
  <c r="D16134" i="7"/>
  <c r="E16167" i="7"/>
  <c r="D16167" i="7"/>
  <c r="E16166" i="7"/>
  <c r="D16166" i="7"/>
  <c r="E16165" i="7"/>
  <c r="D16165" i="7"/>
  <c r="E16164" i="7"/>
  <c r="D16164" i="7"/>
  <c r="E16163" i="7"/>
  <c r="D16163" i="7"/>
  <c r="A518" i="58" l="1"/>
  <c r="E16133" i="7" l="1"/>
  <c r="D16133" i="7"/>
  <c r="E16132" i="7"/>
  <c r="D16132" i="7"/>
  <c r="E16131" i="7"/>
  <c r="D16131" i="7"/>
  <c r="L16162" i="7" l="1"/>
  <c r="E16162" i="7"/>
  <c r="D16162" i="7"/>
  <c r="E16161" i="7"/>
  <c r="D16161" i="7"/>
  <c r="L16160" i="7"/>
  <c r="E16160" i="7"/>
  <c r="D16160" i="7"/>
  <c r="E16159" i="7"/>
  <c r="D16159" i="7"/>
  <c r="L16158" i="7"/>
  <c r="E16158" i="7"/>
  <c r="D16158" i="7"/>
  <c r="E16157" i="7"/>
  <c r="D16157" i="7"/>
  <c r="E16156" i="7" l="1"/>
  <c r="D16156" i="7"/>
  <c r="E16155" i="7"/>
  <c r="D16155" i="7"/>
  <c r="E16154" i="7"/>
  <c r="D16154" i="7"/>
  <c r="E16130" i="7" l="1"/>
  <c r="D16130" i="7"/>
  <c r="E16129" i="7"/>
  <c r="D16129" i="7"/>
  <c r="E16128" i="7"/>
  <c r="D16128" i="7"/>
  <c r="E16153" i="7" l="1"/>
  <c r="D16153" i="7"/>
  <c r="K16152" i="7"/>
  <c r="L16153" i="7" s="1"/>
  <c r="E16152" i="7"/>
  <c r="D16152" i="7"/>
  <c r="E16151" i="7"/>
  <c r="D16151" i="7"/>
  <c r="K16150" i="7"/>
  <c r="L16151" i="7" s="1"/>
  <c r="E16150" i="7"/>
  <c r="D16150" i="7"/>
  <c r="L16149" i="7"/>
  <c r="E16149" i="7"/>
  <c r="D16149" i="7"/>
  <c r="E16148" i="7"/>
  <c r="D16148" i="7"/>
  <c r="L16147" i="7"/>
  <c r="E16147" i="7"/>
  <c r="D16147" i="7"/>
  <c r="E16146" i="7"/>
  <c r="D16146" i="7"/>
  <c r="L16145" i="7"/>
  <c r="E16145" i="7"/>
  <c r="D16145" i="7"/>
  <c r="E16144" i="7"/>
  <c r="D16144" i="7"/>
  <c r="E16143" i="7"/>
  <c r="D16143" i="7"/>
  <c r="E16142" i="7"/>
  <c r="D16142" i="7"/>
  <c r="L16141" i="7"/>
  <c r="E16141" i="7"/>
  <c r="D16141" i="7"/>
  <c r="E16140" i="7"/>
  <c r="D16140" i="7"/>
  <c r="L16139" i="7"/>
  <c r="E16139" i="7"/>
  <c r="D16139" i="7"/>
  <c r="E16138" i="7"/>
  <c r="D16138" i="7"/>
  <c r="L16137" i="7"/>
  <c r="E16137" i="7"/>
  <c r="D16137" i="7"/>
  <c r="E16136" i="7"/>
  <c r="D16136" i="7"/>
  <c r="R517" i="58"/>
  <c r="P517" i="58"/>
  <c r="N517" i="58"/>
  <c r="L517" i="58"/>
  <c r="J517" i="58"/>
  <c r="H517" i="58"/>
  <c r="F517" i="58"/>
  <c r="D517" i="58"/>
  <c r="R516" i="58"/>
  <c r="P516" i="58"/>
  <c r="N516" i="58"/>
  <c r="L516" i="58"/>
  <c r="J516" i="58"/>
  <c r="H516" i="58"/>
  <c r="F516" i="58"/>
  <c r="D516" i="58"/>
  <c r="R515" i="58"/>
  <c r="P515" i="58"/>
  <c r="N515" i="58"/>
  <c r="L515" i="58"/>
  <c r="J515" i="58"/>
  <c r="H515" i="58"/>
  <c r="F515" i="58"/>
  <c r="D515" i="58"/>
  <c r="E16119" i="7"/>
  <c r="D16119" i="7"/>
  <c r="E16118" i="7"/>
  <c r="D16118" i="7"/>
  <c r="E16117" i="7"/>
  <c r="D16117" i="7"/>
  <c r="A517" i="58" l="1"/>
  <c r="A516" i="58"/>
  <c r="A515" i="58"/>
  <c r="L16127" i="7"/>
  <c r="E16127" i="7"/>
  <c r="D16127" i="7"/>
  <c r="E16126" i="7"/>
  <c r="D16126" i="7"/>
  <c r="L16121" i="7"/>
  <c r="E16121" i="7"/>
  <c r="D16121" i="7"/>
  <c r="E16120" i="7"/>
  <c r="D16120" i="7"/>
  <c r="L16125" i="7"/>
  <c r="E16125" i="7"/>
  <c r="D16125" i="7"/>
  <c r="E16124" i="7"/>
  <c r="D16124" i="7"/>
  <c r="R514" i="58"/>
  <c r="P514" i="58"/>
  <c r="N514" i="58"/>
  <c r="L514" i="58"/>
  <c r="J514" i="58"/>
  <c r="H514" i="58"/>
  <c r="F514" i="58"/>
  <c r="D514" i="58"/>
  <c r="D16089" i="7"/>
  <c r="E16089" i="7"/>
  <c r="D16090" i="7"/>
  <c r="E16090" i="7"/>
  <c r="D16091" i="7"/>
  <c r="E16091" i="7"/>
  <c r="D16092" i="7"/>
  <c r="E16092" i="7"/>
  <c r="D16093" i="7"/>
  <c r="E16093" i="7"/>
  <c r="E16098" i="7"/>
  <c r="D16098" i="7"/>
  <c r="E16097" i="7"/>
  <c r="D16097" i="7"/>
  <c r="E16096" i="7"/>
  <c r="D16096" i="7"/>
  <c r="E16095" i="7"/>
  <c r="D16095" i="7"/>
  <c r="E16094" i="7"/>
  <c r="D16094" i="7"/>
  <c r="A514" i="58" l="1"/>
  <c r="E16116" i="7" l="1"/>
  <c r="D16116" i="7"/>
  <c r="K16115" i="7"/>
  <c r="L16116" i="7" s="1"/>
  <c r="E16115" i="7"/>
  <c r="D16115" i="7"/>
  <c r="E16114" i="7"/>
  <c r="D16114" i="7"/>
  <c r="K16113" i="7"/>
  <c r="L16114" i="7" s="1"/>
  <c r="E16113" i="7"/>
  <c r="D16113" i="7"/>
  <c r="L16112" i="7"/>
  <c r="E16112" i="7"/>
  <c r="D16112" i="7"/>
  <c r="E16111" i="7"/>
  <c r="D16111" i="7"/>
  <c r="L16110" i="7"/>
  <c r="E16110" i="7"/>
  <c r="D16110" i="7"/>
  <c r="E16109" i="7"/>
  <c r="D16109" i="7"/>
  <c r="L16108" i="7"/>
  <c r="E16108" i="7"/>
  <c r="D16108" i="7"/>
  <c r="E16107" i="7"/>
  <c r="D16107" i="7"/>
  <c r="E16106" i="7"/>
  <c r="D16106" i="7"/>
  <c r="E16105" i="7"/>
  <c r="D16105" i="7"/>
  <c r="L16104" i="7"/>
  <c r="E16104" i="7"/>
  <c r="D16104" i="7"/>
  <c r="E16103" i="7"/>
  <c r="D16103" i="7"/>
  <c r="L16102" i="7"/>
  <c r="E16102" i="7"/>
  <c r="D16102" i="7"/>
  <c r="E16101" i="7"/>
  <c r="D16101" i="7"/>
  <c r="L16100" i="7"/>
  <c r="E16100" i="7"/>
  <c r="D16100" i="7"/>
  <c r="E16099" i="7"/>
  <c r="D16099" i="7"/>
  <c r="L16063" i="7"/>
  <c r="E16063" i="7"/>
  <c r="D16063" i="7"/>
  <c r="E16062" i="7"/>
  <c r="D16062" i="7"/>
  <c r="L16123" i="7"/>
  <c r="L16088" i="7"/>
  <c r="E16088" i="7"/>
  <c r="D16088" i="7"/>
  <c r="E16087" i="7"/>
  <c r="D16087" i="7"/>
  <c r="E16123" i="7"/>
  <c r="D16123" i="7"/>
  <c r="E16122" i="7"/>
  <c r="D16122" i="7"/>
  <c r="L16086" i="7"/>
  <c r="E16086" i="7"/>
  <c r="D16086" i="7"/>
  <c r="E16085" i="7"/>
  <c r="D16085" i="7"/>
  <c r="E16084" i="7"/>
  <c r="D16084" i="7"/>
  <c r="E16083" i="7"/>
  <c r="D16083" i="7"/>
  <c r="E16082" i="7"/>
  <c r="D16082" i="7"/>
  <c r="E16004" i="7"/>
  <c r="D16004" i="7"/>
  <c r="E16003" i="7"/>
  <c r="D16003" i="7"/>
  <c r="E16002" i="7"/>
  <c r="D16002" i="7"/>
  <c r="R513" i="58" l="1"/>
  <c r="P513" i="58"/>
  <c r="N513" i="58"/>
  <c r="L513" i="58"/>
  <c r="J513" i="58"/>
  <c r="H513" i="58"/>
  <c r="F513" i="58"/>
  <c r="D513" i="58"/>
  <c r="E16081" i="7"/>
  <c r="D16081" i="7"/>
  <c r="K16080" i="7"/>
  <c r="L16081" i="7" s="1"/>
  <c r="E16080" i="7"/>
  <c r="D16080" i="7"/>
  <c r="E16079" i="7"/>
  <c r="D16079" i="7"/>
  <c r="K16078" i="7"/>
  <c r="L16079" i="7" s="1"/>
  <c r="E16078" i="7"/>
  <c r="D16078" i="7"/>
  <c r="L16077" i="7"/>
  <c r="E16077" i="7"/>
  <c r="D16077" i="7"/>
  <c r="E16076" i="7"/>
  <c r="D16076" i="7"/>
  <c r="L16075" i="7"/>
  <c r="E16075" i="7"/>
  <c r="D16075" i="7"/>
  <c r="E16074" i="7"/>
  <c r="D16074" i="7"/>
  <c r="L16073" i="7"/>
  <c r="E16073" i="7"/>
  <c r="D16073" i="7"/>
  <c r="E16072" i="7"/>
  <c r="D16072" i="7"/>
  <c r="E16071" i="7"/>
  <c r="D16071" i="7"/>
  <c r="E16070" i="7"/>
  <c r="D16070" i="7"/>
  <c r="L16069" i="7"/>
  <c r="E16069" i="7"/>
  <c r="D16069" i="7"/>
  <c r="E16068" i="7"/>
  <c r="D16068" i="7"/>
  <c r="L16067" i="7"/>
  <c r="E16067" i="7"/>
  <c r="D16067" i="7"/>
  <c r="E16066" i="7"/>
  <c r="D16066" i="7"/>
  <c r="L16065" i="7"/>
  <c r="E16065" i="7"/>
  <c r="D16065" i="7"/>
  <c r="E16064" i="7"/>
  <c r="D16064" i="7"/>
  <c r="E16061" i="7"/>
  <c r="D16061" i="7"/>
  <c r="E16060" i="7"/>
  <c r="D16060" i="7"/>
  <c r="E16059" i="7"/>
  <c r="D16059" i="7"/>
  <c r="E16058" i="7"/>
  <c r="D16058" i="7"/>
  <c r="E16057" i="7"/>
  <c r="D16057" i="7"/>
  <c r="E16056" i="7"/>
  <c r="D16056" i="7"/>
  <c r="A513" i="58" l="1"/>
  <c r="R512" i="58"/>
  <c r="P512" i="58"/>
  <c r="N512" i="58"/>
  <c r="L512" i="58"/>
  <c r="J512" i="58"/>
  <c r="H512" i="58"/>
  <c r="F512" i="58"/>
  <c r="D512" i="58"/>
  <c r="E16055" i="7"/>
  <c r="D16055" i="7"/>
  <c r="K16054" i="7"/>
  <c r="L16055" i="7" s="1"/>
  <c r="E16054" i="7"/>
  <c r="D16054" i="7"/>
  <c r="E16053" i="7"/>
  <c r="D16053" i="7"/>
  <c r="K16052" i="7"/>
  <c r="L16053" i="7" s="1"/>
  <c r="E16052" i="7"/>
  <c r="D16052" i="7"/>
  <c r="L16051" i="7"/>
  <c r="E16051" i="7"/>
  <c r="D16051" i="7"/>
  <c r="E16050" i="7"/>
  <c r="D16050" i="7"/>
  <c r="L16049" i="7"/>
  <c r="E16049" i="7"/>
  <c r="D16049" i="7"/>
  <c r="E16048" i="7"/>
  <c r="D16048" i="7"/>
  <c r="L16047" i="7"/>
  <c r="E16047" i="7"/>
  <c r="D16047" i="7"/>
  <c r="E16046" i="7"/>
  <c r="D16046" i="7"/>
  <c r="E16045" i="7"/>
  <c r="D16045" i="7"/>
  <c r="E16044" i="7"/>
  <c r="D16044" i="7"/>
  <c r="L16043" i="7"/>
  <c r="E16043" i="7"/>
  <c r="D16043" i="7"/>
  <c r="E16042" i="7"/>
  <c r="D16042" i="7"/>
  <c r="L16041" i="7"/>
  <c r="E16041" i="7"/>
  <c r="D16041" i="7"/>
  <c r="E16040" i="7"/>
  <c r="D16040" i="7"/>
  <c r="L16039" i="7"/>
  <c r="E16039" i="7"/>
  <c r="D16039" i="7"/>
  <c r="E16038" i="7"/>
  <c r="D16038" i="7"/>
  <c r="E16037" i="7"/>
  <c r="D16037" i="7"/>
  <c r="E16036" i="7"/>
  <c r="D16036" i="7"/>
  <c r="E16035" i="7"/>
  <c r="D16035" i="7"/>
  <c r="A512" i="58" l="1"/>
  <c r="L16034" i="7"/>
  <c r="E16034" i="7"/>
  <c r="D16034" i="7"/>
  <c r="E16033" i="7"/>
  <c r="D16033" i="7"/>
  <c r="E16032" i="7"/>
  <c r="D16032" i="7"/>
  <c r="K16031" i="7"/>
  <c r="L16032" i="7" s="1"/>
  <c r="E16031" i="7"/>
  <c r="D16031" i="7"/>
  <c r="E16030" i="7"/>
  <c r="D16030" i="7"/>
  <c r="K16029" i="7"/>
  <c r="L16030" i="7" s="1"/>
  <c r="E16029" i="7"/>
  <c r="D16029" i="7"/>
  <c r="L16028" i="7"/>
  <c r="E16028" i="7"/>
  <c r="D16028" i="7"/>
  <c r="E16027" i="7"/>
  <c r="D16027" i="7"/>
  <c r="L16026" i="7"/>
  <c r="E16026" i="7"/>
  <c r="D16026" i="7"/>
  <c r="E16025" i="7"/>
  <c r="D16025" i="7"/>
  <c r="L16024" i="7"/>
  <c r="E16024" i="7"/>
  <c r="D16024" i="7"/>
  <c r="E16023" i="7"/>
  <c r="D16023" i="7"/>
  <c r="E16022" i="7"/>
  <c r="D16022" i="7"/>
  <c r="E16021" i="7"/>
  <c r="D16021" i="7"/>
  <c r="L16020" i="7"/>
  <c r="E16020" i="7"/>
  <c r="D16020" i="7"/>
  <c r="E16019" i="7"/>
  <c r="D16019" i="7"/>
  <c r="L16018" i="7"/>
  <c r="E16018" i="7"/>
  <c r="D16018" i="7"/>
  <c r="E16017" i="7"/>
  <c r="D16017" i="7"/>
  <c r="L16016" i="7"/>
  <c r="E16016" i="7"/>
  <c r="D16016" i="7"/>
  <c r="E16015" i="7"/>
  <c r="D16015" i="7"/>
  <c r="E16014" i="7"/>
  <c r="D16014" i="7"/>
  <c r="E16013" i="7"/>
  <c r="D16013" i="7"/>
  <c r="E16012" i="7"/>
  <c r="D16012" i="7"/>
  <c r="E16011" i="7"/>
  <c r="D16011" i="7"/>
  <c r="E16010" i="7"/>
  <c r="D16010" i="7"/>
  <c r="E16009" i="7"/>
  <c r="D16009" i="7"/>
  <c r="E16008" i="7"/>
  <c r="D16008" i="7"/>
  <c r="E16007" i="7"/>
  <c r="D16007" i="7"/>
  <c r="E16006" i="7"/>
  <c r="D16006" i="7"/>
  <c r="E16005" i="7"/>
  <c r="D16005" i="7"/>
  <c r="R511" i="58" l="1"/>
  <c r="P511" i="58"/>
  <c r="N511" i="58"/>
  <c r="L511" i="58"/>
  <c r="J511" i="58"/>
  <c r="H511" i="58"/>
  <c r="F511" i="58"/>
  <c r="D511" i="58"/>
  <c r="L16001" i="7"/>
  <c r="E16001" i="7"/>
  <c r="D16001" i="7"/>
  <c r="E16000" i="7"/>
  <c r="D16000" i="7"/>
  <c r="D510" i="58"/>
  <c r="R510" i="58"/>
  <c r="P510" i="58"/>
  <c r="N510" i="58"/>
  <c r="L510" i="58"/>
  <c r="J510" i="58"/>
  <c r="H510" i="58"/>
  <c r="F510" i="58"/>
  <c r="E15999" i="7"/>
  <c r="D15999" i="7"/>
  <c r="K15998" i="7"/>
  <c r="L15999" i="7" s="1"/>
  <c r="E15998" i="7"/>
  <c r="D15998" i="7"/>
  <c r="E15997" i="7"/>
  <c r="D15997" i="7"/>
  <c r="K15996" i="7"/>
  <c r="L15997" i="7" s="1"/>
  <c r="E15996" i="7"/>
  <c r="D15996" i="7"/>
  <c r="L15995" i="7"/>
  <c r="E15995" i="7"/>
  <c r="D15995" i="7"/>
  <c r="E15994" i="7"/>
  <c r="D15994" i="7"/>
  <c r="L15993" i="7"/>
  <c r="E15993" i="7"/>
  <c r="D15993" i="7"/>
  <c r="E15992" i="7"/>
  <c r="D15992" i="7"/>
  <c r="L15991" i="7"/>
  <c r="E15991" i="7"/>
  <c r="D15991" i="7"/>
  <c r="E15990" i="7"/>
  <c r="D15990" i="7"/>
  <c r="E15989" i="7"/>
  <c r="D15989" i="7"/>
  <c r="E15988" i="7"/>
  <c r="D15988" i="7"/>
  <c r="L15987" i="7"/>
  <c r="E15987" i="7"/>
  <c r="D15987" i="7"/>
  <c r="E15986" i="7"/>
  <c r="D15986" i="7"/>
  <c r="L15985" i="7"/>
  <c r="E15985" i="7"/>
  <c r="D15985" i="7"/>
  <c r="E15984" i="7"/>
  <c r="D15984" i="7"/>
  <c r="L15983" i="7"/>
  <c r="E15983" i="7"/>
  <c r="D15983" i="7"/>
  <c r="E15982" i="7"/>
  <c r="D15982" i="7"/>
  <c r="E15981" i="7"/>
  <c r="D15981" i="7"/>
  <c r="E15980" i="7"/>
  <c r="D15980" i="7"/>
  <c r="E15979" i="7"/>
  <c r="D15979" i="7"/>
  <c r="E15978" i="7"/>
  <c r="D15978" i="7"/>
  <c r="E15977" i="7"/>
  <c r="D15977" i="7"/>
  <c r="L15951" i="7" l="1"/>
  <c r="E15951" i="7"/>
  <c r="D15951" i="7"/>
  <c r="E15950" i="7"/>
  <c r="D15950" i="7"/>
  <c r="E15976" i="7"/>
  <c r="D15976" i="7"/>
  <c r="E15975" i="7"/>
  <c r="D15975" i="7"/>
  <c r="E15974" i="7"/>
  <c r="D15974" i="7"/>
  <c r="E15973" i="7" l="1"/>
  <c r="D15973" i="7"/>
  <c r="E15972" i="7"/>
  <c r="D15972" i="7"/>
  <c r="L15971" i="7"/>
  <c r="E15971" i="7"/>
  <c r="D15971" i="7"/>
  <c r="E15970" i="7"/>
  <c r="D15970" i="7"/>
  <c r="E15949" i="7"/>
  <c r="D15949" i="7"/>
  <c r="E15948" i="7"/>
  <c r="D15948" i="7"/>
  <c r="E15947" i="7"/>
  <c r="D15947" i="7"/>
  <c r="E15946" i="7"/>
  <c r="D15946" i="7"/>
  <c r="E15945" i="7"/>
  <c r="D15945" i="7"/>
  <c r="E15944" i="7"/>
  <c r="D15944" i="7"/>
  <c r="L15878" i="7" l="1"/>
  <c r="E15878" i="7"/>
  <c r="D15878" i="7"/>
  <c r="E15877" i="7"/>
  <c r="D15877" i="7"/>
  <c r="E15943" i="7" l="1"/>
  <c r="D15943" i="7"/>
  <c r="E15942" i="7"/>
  <c r="D15942" i="7"/>
  <c r="E15941" i="7"/>
  <c r="D15941" i="7"/>
  <c r="E15940" i="7"/>
  <c r="D15940" i="7"/>
  <c r="E15939" i="7"/>
  <c r="D15939" i="7"/>
  <c r="E15969" i="7" l="1"/>
  <c r="D15969" i="7"/>
  <c r="K15968" i="7"/>
  <c r="L15969" i="7" s="1"/>
  <c r="E15968" i="7"/>
  <c r="D15968" i="7"/>
  <c r="E15967" i="7"/>
  <c r="D15967" i="7"/>
  <c r="K15966" i="7"/>
  <c r="L15967" i="7" s="1"/>
  <c r="E15966" i="7"/>
  <c r="D15966" i="7"/>
  <c r="L15965" i="7"/>
  <c r="E15965" i="7"/>
  <c r="D15965" i="7"/>
  <c r="E15964" i="7"/>
  <c r="D15964" i="7"/>
  <c r="L15963" i="7"/>
  <c r="E15963" i="7"/>
  <c r="D15963" i="7"/>
  <c r="E15962" i="7"/>
  <c r="D15962" i="7"/>
  <c r="L15961" i="7"/>
  <c r="E15961" i="7"/>
  <c r="D15961" i="7"/>
  <c r="E15960" i="7"/>
  <c r="D15960" i="7"/>
  <c r="E15959" i="7"/>
  <c r="D15959" i="7"/>
  <c r="E15958" i="7"/>
  <c r="D15958" i="7"/>
  <c r="L15957" i="7"/>
  <c r="E15957" i="7"/>
  <c r="D15957" i="7"/>
  <c r="E15956" i="7"/>
  <c r="D15956" i="7"/>
  <c r="L15955" i="7"/>
  <c r="E15955" i="7"/>
  <c r="D15955" i="7"/>
  <c r="E15954" i="7"/>
  <c r="D15954" i="7"/>
  <c r="L15953" i="7"/>
  <c r="E15953" i="7"/>
  <c r="D15953" i="7"/>
  <c r="E15952" i="7"/>
  <c r="D15952" i="7"/>
  <c r="D503" i="58"/>
  <c r="D504" i="58"/>
  <c r="D505" i="58"/>
  <c r="D506" i="58"/>
  <c r="D507" i="58"/>
  <c r="D508" i="58"/>
  <c r="D509" i="58"/>
  <c r="R509" i="58"/>
  <c r="P509" i="58"/>
  <c r="N509" i="58"/>
  <c r="L509" i="58"/>
  <c r="J509" i="58"/>
  <c r="H509" i="58"/>
  <c r="F509" i="58"/>
  <c r="R508" i="58"/>
  <c r="P508" i="58"/>
  <c r="N508" i="58"/>
  <c r="L508" i="58"/>
  <c r="J508" i="58"/>
  <c r="H508" i="58"/>
  <c r="F508" i="58"/>
  <c r="R507" i="58"/>
  <c r="P507" i="58"/>
  <c r="N507" i="58"/>
  <c r="L507" i="58"/>
  <c r="J507" i="58"/>
  <c r="H507" i="58"/>
  <c r="F507" i="58"/>
  <c r="R506" i="58"/>
  <c r="P506" i="58"/>
  <c r="N506" i="58"/>
  <c r="L506" i="58"/>
  <c r="J506" i="58"/>
  <c r="H506" i="58"/>
  <c r="F506" i="58"/>
  <c r="R505" i="58"/>
  <c r="P505" i="58"/>
  <c r="N505" i="58"/>
  <c r="L505" i="58"/>
  <c r="J505" i="58"/>
  <c r="H505" i="58"/>
  <c r="F505" i="58"/>
  <c r="R504" i="58"/>
  <c r="P504" i="58"/>
  <c r="N504" i="58"/>
  <c r="L504" i="58"/>
  <c r="J504" i="58"/>
  <c r="H504" i="58"/>
  <c r="F504" i="58"/>
  <c r="R503" i="58"/>
  <c r="P503" i="58"/>
  <c r="N503" i="58"/>
  <c r="L503" i="58"/>
  <c r="J503" i="58"/>
  <c r="H503" i="58"/>
  <c r="F503" i="58"/>
  <c r="L15938" i="7"/>
  <c r="E15938" i="7"/>
  <c r="D15938" i="7"/>
  <c r="E15937" i="7"/>
  <c r="D15937" i="7"/>
  <c r="E15929" i="7"/>
  <c r="D15929" i="7"/>
  <c r="E15928" i="7"/>
  <c r="D15928" i="7"/>
  <c r="E15927" i="7"/>
  <c r="D15927" i="7"/>
  <c r="E15936" i="7"/>
  <c r="D15936" i="7"/>
  <c r="E15935" i="7"/>
  <c r="D15935" i="7"/>
  <c r="E15934" i="7"/>
  <c r="D15934" i="7"/>
  <c r="L15933" i="7" l="1"/>
  <c r="E15933" i="7"/>
  <c r="D15933" i="7"/>
  <c r="E15932" i="7"/>
  <c r="D15932" i="7"/>
  <c r="L15931" i="7"/>
  <c r="E15931" i="7"/>
  <c r="D15931" i="7"/>
  <c r="E15930" i="7"/>
  <c r="D15930" i="7"/>
  <c r="L15920" i="7"/>
  <c r="E15920" i="7"/>
  <c r="D15920" i="7"/>
  <c r="E15919" i="7"/>
  <c r="D15919" i="7"/>
  <c r="E15916" i="7"/>
  <c r="D15916" i="7"/>
  <c r="E15915" i="7"/>
  <c r="D15915" i="7"/>
  <c r="E15914" i="7"/>
  <c r="D15914" i="7"/>
  <c r="E15913" i="7"/>
  <c r="D15913" i="7"/>
  <c r="E15912" i="7"/>
  <c r="D15912" i="7"/>
  <c r="E15903" i="7" l="1"/>
  <c r="D15903" i="7"/>
  <c r="E15902" i="7"/>
  <c r="D15902" i="7"/>
  <c r="E15901" i="7"/>
  <c r="D15901" i="7"/>
  <c r="E15926" i="7" l="1"/>
  <c r="D15926" i="7"/>
  <c r="E15925" i="7"/>
  <c r="D15925" i="7"/>
  <c r="E15924" i="7"/>
  <c r="D15924" i="7"/>
  <c r="E15923" i="7"/>
  <c r="D15923" i="7"/>
  <c r="E15922" i="7"/>
  <c r="D15922" i="7"/>
  <c r="E15921" i="7"/>
  <c r="D15921" i="7"/>
  <c r="E15911" i="7" l="1"/>
  <c r="D15911" i="7"/>
  <c r="E15910" i="7"/>
  <c r="D15910" i="7"/>
  <c r="E15909" i="7"/>
  <c r="D15909" i="7"/>
  <c r="E15908" i="7"/>
  <c r="D15908" i="7"/>
  <c r="E15907" i="7"/>
  <c r="D15907" i="7"/>
  <c r="E15906" i="7"/>
  <c r="D15906" i="7"/>
  <c r="E15905" i="7"/>
  <c r="D15905" i="7"/>
  <c r="E15904" i="7"/>
  <c r="D15904" i="7"/>
  <c r="L15918" i="7" l="1"/>
  <c r="E15918" i="7"/>
  <c r="D15918" i="7"/>
  <c r="E15917" i="7"/>
  <c r="D15917" i="7"/>
  <c r="E15900" i="7" l="1"/>
  <c r="D15900" i="7"/>
  <c r="E15899" i="7"/>
  <c r="D15899" i="7"/>
  <c r="E15898" i="7"/>
  <c r="D15898" i="7"/>
  <c r="E15897" i="7"/>
  <c r="D15897" i="7"/>
  <c r="E15896" i="7"/>
  <c r="D15896" i="7"/>
  <c r="E15895" i="7"/>
  <c r="D15895" i="7"/>
  <c r="E15894" i="7"/>
  <c r="D15894" i="7"/>
  <c r="E15893" i="7"/>
  <c r="D15893" i="7"/>
  <c r="E15892" i="7"/>
  <c r="D15892" i="7"/>
  <c r="E15891" i="7"/>
  <c r="D15891" i="7"/>
  <c r="L15841" i="7" l="1"/>
  <c r="E15841" i="7"/>
  <c r="D15841" i="7"/>
  <c r="E15840" i="7"/>
  <c r="D15840" i="7"/>
  <c r="E15890" i="7"/>
  <c r="D15890" i="7"/>
  <c r="E15889" i="7"/>
  <c r="D15889" i="7"/>
  <c r="E15888" i="7"/>
  <c r="D15888" i="7"/>
  <c r="E15887" i="7"/>
  <c r="D15887" i="7"/>
  <c r="E15886" i="7"/>
  <c r="D15886" i="7"/>
  <c r="E15885" i="7"/>
  <c r="D15885" i="7"/>
  <c r="L15884" i="7"/>
  <c r="E15884" i="7"/>
  <c r="D15884" i="7"/>
  <c r="E15883" i="7"/>
  <c r="D15883" i="7"/>
  <c r="L15876" i="7"/>
  <c r="E15876" i="7"/>
  <c r="D15876" i="7"/>
  <c r="E15875" i="7"/>
  <c r="D15875" i="7"/>
  <c r="L15882" i="7"/>
  <c r="E15882" i="7"/>
  <c r="D15882" i="7"/>
  <c r="E15881" i="7"/>
  <c r="D15881" i="7"/>
  <c r="L15880" i="7"/>
  <c r="E15880" i="7"/>
  <c r="D15880" i="7"/>
  <c r="E15879" i="7"/>
  <c r="D15879" i="7"/>
  <c r="E15866" i="7"/>
  <c r="D15866" i="7"/>
  <c r="E15865" i="7"/>
  <c r="D15865" i="7"/>
  <c r="E15864" i="7"/>
  <c r="D15864" i="7"/>
  <c r="L15868" i="7"/>
  <c r="E15868" i="7"/>
  <c r="D15868" i="7"/>
  <c r="E15867" i="7"/>
  <c r="D15867" i="7"/>
  <c r="L15863" i="7"/>
  <c r="E15863" i="7"/>
  <c r="D15863" i="7"/>
  <c r="E15862" i="7"/>
  <c r="D15862" i="7"/>
  <c r="L15861" i="7"/>
  <c r="E15861" i="7"/>
  <c r="D15861" i="7"/>
  <c r="E15860" i="7"/>
  <c r="D15860" i="7"/>
  <c r="E15874" i="7" l="1"/>
  <c r="D15874" i="7"/>
  <c r="E15873" i="7"/>
  <c r="D15873" i="7"/>
  <c r="E15872" i="7"/>
  <c r="D15872" i="7"/>
  <c r="E15871" i="7"/>
  <c r="D15871" i="7"/>
  <c r="E15870" i="7"/>
  <c r="D15870" i="7"/>
  <c r="E15869" i="7"/>
  <c r="D15869" i="7"/>
  <c r="L15769" i="7" l="1"/>
  <c r="E15769" i="7"/>
  <c r="D15769" i="7"/>
  <c r="E15768" i="7"/>
  <c r="D15768" i="7"/>
  <c r="L15784" i="7"/>
  <c r="E15784" i="7"/>
  <c r="D15784" i="7"/>
  <c r="E15783" i="7"/>
  <c r="D15783" i="7"/>
  <c r="L15782" i="7"/>
  <c r="E15782" i="7"/>
  <c r="D15782" i="7"/>
  <c r="E15781" i="7"/>
  <c r="D15781" i="7"/>
  <c r="L15780" i="7"/>
  <c r="E15780" i="7"/>
  <c r="D15780" i="7"/>
  <c r="E15779" i="7"/>
  <c r="D15779" i="7"/>
  <c r="E15839" i="7"/>
  <c r="D15839" i="7"/>
  <c r="E15838" i="7"/>
  <c r="D15838" i="7"/>
  <c r="E15837" i="7"/>
  <c r="D15837" i="7"/>
  <c r="E15836" i="7"/>
  <c r="D15836" i="7"/>
  <c r="E15835" i="7"/>
  <c r="D15835" i="7"/>
  <c r="E15834" i="7"/>
  <c r="D15834" i="7"/>
  <c r="E15833" i="7" l="1"/>
  <c r="D15833" i="7"/>
  <c r="L15833" i="7"/>
  <c r="E15832" i="7"/>
  <c r="D15832" i="7"/>
  <c r="L15831" i="7"/>
  <c r="E15831" i="7"/>
  <c r="D15831" i="7"/>
  <c r="E15830" i="7"/>
  <c r="D15830" i="7"/>
  <c r="E15829" i="7"/>
  <c r="D15829" i="7"/>
  <c r="E15828" i="7"/>
  <c r="D15828" i="7"/>
  <c r="E15827" i="7"/>
  <c r="D15827" i="7"/>
  <c r="E15826" i="7"/>
  <c r="D15826" i="7"/>
  <c r="E15825" i="7"/>
  <c r="D15825" i="7"/>
  <c r="E15824" i="7"/>
  <c r="D15824" i="7"/>
  <c r="E15859" i="7" l="1"/>
  <c r="D15859" i="7"/>
  <c r="K15858" i="7"/>
  <c r="L15859" i="7" s="1"/>
  <c r="E15858" i="7"/>
  <c r="D15858" i="7"/>
  <c r="E15857" i="7"/>
  <c r="D15857" i="7"/>
  <c r="K15856" i="7"/>
  <c r="L15857" i="7" s="1"/>
  <c r="E15856" i="7"/>
  <c r="D15856" i="7"/>
  <c r="L15855" i="7"/>
  <c r="E15855" i="7"/>
  <c r="D15855" i="7"/>
  <c r="E15854" i="7"/>
  <c r="D15854" i="7"/>
  <c r="L15853" i="7"/>
  <c r="E15853" i="7"/>
  <c r="D15853" i="7"/>
  <c r="E15852" i="7"/>
  <c r="D15852" i="7"/>
  <c r="L15851" i="7"/>
  <c r="E15851" i="7"/>
  <c r="D15851" i="7"/>
  <c r="E15850" i="7"/>
  <c r="D15850" i="7"/>
  <c r="E15849" i="7"/>
  <c r="D15849" i="7"/>
  <c r="E15848" i="7"/>
  <c r="D15848" i="7"/>
  <c r="L15847" i="7"/>
  <c r="E15847" i="7"/>
  <c r="D15847" i="7"/>
  <c r="E15846" i="7"/>
  <c r="D15846" i="7"/>
  <c r="L15845" i="7"/>
  <c r="E15845" i="7"/>
  <c r="D15845" i="7"/>
  <c r="E15844" i="7"/>
  <c r="D15844" i="7"/>
  <c r="L15843" i="7"/>
  <c r="E15843" i="7"/>
  <c r="D15843" i="7"/>
  <c r="E15842" i="7"/>
  <c r="D15842" i="7"/>
  <c r="D496" i="58"/>
  <c r="D497" i="58"/>
  <c r="D498" i="58"/>
  <c r="D499" i="58"/>
  <c r="D500" i="58"/>
  <c r="D501" i="58"/>
  <c r="D502" i="58"/>
  <c r="R502" i="58"/>
  <c r="P502" i="58"/>
  <c r="N502" i="58"/>
  <c r="L502" i="58"/>
  <c r="J502" i="58"/>
  <c r="H502" i="58"/>
  <c r="F502" i="58"/>
  <c r="R501" i="58"/>
  <c r="P501" i="58"/>
  <c r="N501" i="58"/>
  <c r="L501" i="58"/>
  <c r="J501" i="58"/>
  <c r="H501" i="58"/>
  <c r="F501" i="58"/>
  <c r="R500" i="58"/>
  <c r="P500" i="58"/>
  <c r="N500" i="58"/>
  <c r="L500" i="58"/>
  <c r="J500" i="58"/>
  <c r="H500" i="58"/>
  <c r="F500" i="58"/>
  <c r="R499" i="58"/>
  <c r="P499" i="58"/>
  <c r="N499" i="58"/>
  <c r="L499" i="58"/>
  <c r="J499" i="58"/>
  <c r="H499" i="58"/>
  <c r="F499" i="58"/>
  <c r="R498" i="58"/>
  <c r="P498" i="58"/>
  <c r="N498" i="58"/>
  <c r="L498" i="58"/>
  <c r="J498" i="58"/>
  <c r="H498" i="58"/>
  <c r="F498" i="58"/>
  <c r="R497" i="58"/>
  <c r="P497" i="58"/>
  <c r="N497" i="58"/>
  <c r="L497" i="58"/>
  <c r="J497" i="58"/>
  <c r="H497" i="58"/>
  <c r="F497" i="58"/>
  <c r="R496" i="58"/>
  <c r="P496" i="58"/>
  <c r="N496" i="58"/>
  <c r="L496" i="58"/>
  <c r="J496" i="58"/>
  <c r="H496" i="58"/>
  <c r="F496" i="58"/>
  <c r="E15823" i="7"/>
  <c r="D15823" i="7"/>
  <c r="E15822" i="7"/>
  <c r="D15822" i="7"/>
  <c r="E15821" i="7"/>
  <c r="D15821" i="7"/>
  <c r="E15820" i="7"/>
  <c r="D15820" i="7"/>
  <c r="E15819" i="7"/>
  <c r="D15819" i="7"/>
  <c r="E15818" i="7"/>
  <c r="D15818" i="7"/>
  <c r="E15804" i="7"/>
  <c r="D15804" i="7"/>
  <c r="L15804" i="7"/>
  <c r="E15803" i="7"/>
  <c r="D15803" i="7"/>
  <c r="E15802" i="7"/>
  <c r="D15802" i="7"/>
  <c r="E15801" i="7"/>
  <c r="D15801" i="7"/>
  <c r="E15800" i="7"/>
  <c r="D15800" i="7"/>
  <c r="E15799" i="7"/>
  <c r="D15799" i="7"/>
  <c r="E15798" i="7"/>
  <c r="D15798" i="7"/>
  <c r="E15817" i="7"/>
  <c r="D15817" i="7"/>
  <c r="L15817" i="7"/>
  <c r="E15816" i="7"/>
  <c r="D15816" i="7"/>
  <c r="E15815" i="7"/>
  <c r="D15815" i="7"/>
  <c r="E15814" i="7"/>
  <c r="D15814" i="7"/>
  <c r="E15813" i="7"/>
  <c r="D15813" i="7"/>
  <c r="K15811" i="7" l="1"/>
  <c r="L15812" i="7" s="1"/>
  <c r="E15812" i="7"/>
  <c r="D15812" i="7"/>
  <c r="E15811" i="7"/>
  <c r="D15811" i="7"/>
  <c r="L15808" i="7"/>
  <c r="E15808" i="7"/>
  <c r="D15808" i="7"/>
  <c r="E15807" i="7"/>
  <c r="D15807" i="7"/>
  <c r="L15810" i="7"/>
  <c r="E15810" i="7"/>
  <c r="D15810" i="7"/>
  <c r="E15809" i="7"/>
  <c r="D15809" i="7"/>
  <c r="L15806" i="7"/>
  <c r="E15806" i="7"/>
  <c r="D15806" i="7"/>
  <c r="E15805" i="7"/>
  <c r="D15805" i="7"/>
  <c r="L15778" i="7" l="1"/>
  <c r="E15778" i="7"/>
  <c r="D15778" i="7"/>
  <c r="E15777" i="7"/>
  <c r="D15777" i="7"/>
  <c r="L15776" i="7"/>
  <c r="E15776" i="7"/>
  <c r="D15776" i="7"/>
  <c r="E15775" i="7"/>
  <c r="D15775" i="7"/>
  <c r="L15767" i="7"/>
  <c r="E15767" i="7"/>
  <c r="D15767" i="7"/>
  <c r="E15766" i="7"/>
  <c r="D15766" i="7"/>
  <c r="E15760" i="7"/>
  <c r="D15760" i="7"/>
  <c r="E15759" i="7"/>
  <c r="D15759" i="7"/>
  <c r="E15758" i="7"/>
  <c r="D15758" i="7"/>
  <c r="E15797" i="7"/>
  <c r="D15797" i="7"/>
  <c r="E15796" i="7"/>
  <c r="D15796" i="7"/>
  <c r="E15795" i="7"/>
  <c r="D15795" i="7"/>
  <c r="E15794" i="7" l="1"/>
  <c r="D15794" i="7"/>
  <c r="E15793" i="7"/>
  <c r="D15793" i="7"/>
  <c r="E15792" i="7"/>
  <c r="D15792" i="7"/>
  <c r="E15791" i="7"/>
  <c r="D15791" i="7"/>
  <c r="E15790" i="7"/>
  <c r="D15790" i="7"/>
  <c r="E15789" i="7" l="1"/>
  <c r="D15789" i="7"/>
  <c r="E15788" i="7"/>
  <c r="D15788" i="7"/>
  <c r="E15787" i="7"/>
  <c r="D15787" i="7"/>
  <c r="E15786" i="7"/>
  <c r="D15786" i="7"/>
  <c r="E15785" i="7"/>
  <c r="D15785" i="7"/>
  <c r="E15774" i="7" l="1"/>
  <c r="D15774" i="7"/>
  <c r="E15773" i="7"/>
  <c r="D15773" i="7"/>
  <c r="E15772" i="7"/>
  <c r="D15772" i="7"/>
  <c r="E15771" i="7"/>
  <c r="D15771" i="7"/>
  <c r="E15770" i="7"/>
  <c r="D15770" i="7"/>
  <c r="E15765" i="7"/>
  <c r="D15765" i="7"/>
  <c r="E15764" i="7"/>
  <c r="D15764" i="7"/>
  <c r="E15763" i="7"/>
  <c r="D15763" i="7"/>
  <c r="E15762" i="7"/>
  <c r="D15762" i="7"/>
  <c r="E15761" i="7"/>
  <c r="D15761" i="7"/>
  <c r="L15743" i="7"/>
  <c r="E15743" i="7"/>
  <c r="D15743" i="7"/>
  <c r="E15742" i="7"/>
  <c r="D15742" i="7"/>
  <c r="L15676" i="7"/>
  <c r="E15676" i="7"/>
  <c r="D15676" i="7"/>
  <c r="E15675" i="7"/>
  <c r="D15675" i="7"/>
  <c r="L15611" i="7"/>
  <c r="E15611" i="7"/>
  <c r="D15611" i="7"/>
  <c r="E15610" i="7"/>
  <c r="D15610" i="7"/>
  <c r="E15566" i="7"/>
  <c r="D15566" i="7"/>
  <c r="E15565" i="7"/>
  <c r="D15565" i="7"/>
  <c r="L15717" i="7"/>
  <c r="E15717" i="7"/>
  <c r="D15717" i="7"/>
  <c r="E15716" i="7"/>
  <c r="D15716" i="7"/>
  <c r="E15739" i="7"/>
  <c r="D15739" i="7"/>
  <c r="E15738" i="7"/>
  <c r="D15738" i="7"/>
  <c r="E15737" i="7"/>
  <c r="D15737" i="7"/>
  <c r="E15736" i="7"/>
  <c r="D15736" i="7"/>
  <c r="E15735" i="7"/>
  <c r="D15735" i="7"/>
  <c r="E15734" i="7"/>
  <c r="D15734" i="7"/>
  <c r="E15733" i="7"/>
  <c r="D15733" i="7"/>
  <c r="E15732" i="7"/>
  <c r="D15732" i="7"/>
  <c r="E15731" i="7"/>
  <c r="D15731" i="7"/>
  <c r="E15730" i="7"/>
  <c r="D15730" i="7"/>
  <c r="E15757" i="7" l="1"/>
  <c r="D15757" i="7"/>
  <c r="K15756" i="7"/>
  <c r="L15757" i="7" s="1"/>
  <c r="E15756" i="7"/>
  <c r="D15756" i="7"/>
  <c r="E15755" i="7"/>
  <c r="D15755" i="7"/>
  <c r="K15754" i="7"/>
  <c r="L15755" i="7" s="1"/>
  <c r="E15754" i="7"/>
  <c r="D15754" i="7"/>
  <c r="L15753" i="7"/>
  <c r="E15753" i="7"/>
  <c r="D15753" i="7"/>
  <c r="E15752" i="7"/>
  <c r="D15752" i="7"/>
  <c r="L15751" i="7"/>
  <c r="E15751" i="7"/>
  <c r="D15751" i="7"/>
  <c r="E15750" i="7"/>
  <c r="D15750" i="7"/>
  <c r="L15749" i="7"/>
  <c r="E15749" i="7"/>
  <c r="D15749" i="7"/>
  <c r="E15748" i="7"/>
  <c r="D15748" i="7"/>
  <c r="E15747" i="7"/>
  <c r="D15747" i="7"/>
  <c r="E15746" i="7"/>
  <c r="D15746" i="7"/>
  <c r="L15745" i="7"/>
  <c r="E15745" i="7"/>
  <c r="D15745" i="7"/>
  <c r="E15744" i="7"/>
  <c r="D15744" i="7"/>
  <c r="L15741" i="7"/>
  <c r="E15741" i="7"/>
  <c r="D15741" i="7"/>
  <c r="E15740" i="7"/>
  <c r="D15740" i="7"/>
  <c r="D489" i="58"/>
  <c r="D490" i="58"/>
  <c r="D491" i="58"/>
  <c r="D492" i="58"/>
  <c r="D493" i="58"/>
  <c r="D494" i="58"/>
  <c r="D495" i="58"/>
  <c r="R495" i="58"/>
  <c r="P495" i="58"/>
  <c r="N495" i="58"/>
  <c r="L495" i="58"/>
  <c r="J495" i="58"/>
  <c r="H495" i="58"/>
  <c r="F495" i="58"/>
  <c r="R494" i="58"/>
  <c r="P494" i="58"/>
  <c r="N494" i="58"/>
  <c r="L494" i="58"/>
  <c r="J494" i="58"/>
  <c r="H494" i="58"/>
  <c r="F494" i="58"/>
  <c r="R493" i="58"/>
  <c r="P493" i="58"/>
  <c r="N493" i="58"/>
  <c r="L493" i="58"/>
  <c r="J493" i="58"/>
  <c r="H493" i="58"/>
  <c r="F493" i="58"/>
  <c r="R492" i="58"/>
  <c r="P492" i="58"/>
  <c r="N492" i="58"/>
  <c r="L492" i="58"/>
  <c r="J492" i="58"/>
  <c r="H492" i="58"/>
  <c r="F492" i="58"/>
  <c r="R491" i="58"/>
  <c r="P491" i="58"/>
  <c r="N491" i="58"/>
  <c r="L491" i="58"/>
  <c r="J491" i="58"/>
  <c r="H491" i="58"/>
  <c r="F491" i="58"/>
  <c r="R490" i="58"/>
  <c r="P490" i="58"/>
  <c r="N490" i="58"/>
  <c r="L490" i="58"/>
  <c r="J490" i="58"/>
  <c r="H490" i="58"/>
  <c r="F490" i="58"/>
  <c r="R489" i="58"/>
  <c r="P489" i="58"/>
  <c r="N489" i="58"/>
  <c r="L489" i="58"/>
  <c r="J489" i="58"/>
  <c r="H489" i="58"/>
  <c r="F489" i="58"/>
  <c r="E15726" i="7"/>
  <c r="D15726" i="7"/>
  <c r="E15727" i="7"/>
  <c r="D15727" i="7"/>
  <c r="E15728" i="7"/>
  <c r="D15728" i="7"/>
  <c r="E15729" i="7"/>
  <c r="D15729" i="7"/>
  <c r="E15725" i="7"/>
  <c r="D15725" i="7"/>
  <c r="L15724" i="7"/>
  <c r="E15724" i="7"/>
  <c r="D15724" i="7"/>
  <c r="E15723" i="7"/>
  <c r="D15723" i="7"/>
  <c r="E15672" i="7"/>
  <c r="D15672" i="7"/>
  <c r="E15671" i="7"/>
  <c r="D15671" i="7"/>
  <c r="E15670" i="7"/>
  <c r="D15670" i="7"/>
  <c r="E15722" i="7" l="1"/>
  <c r="D15722" i="7"/>
  <c r="E15721" i="7"/>
  <c r="D15721" i="7"/>
  <c r="E15720" i="7"/>
  <c r="D15720" i="7"/>
  <c r="E15719" i="7"/>
  <c r="D15719" i="7"/>
  <c r="E15718" i="7"/>
  <c r="D15718" i="7"/>
  <c r="E15715" i="7"/>
  <c r="D15715" i="7"/>
  <c r="E15714" i="7"/>
  <c r="D15714" i="7"/>
  <c r="E15713" i="7"/>
  <c r="D15713" i="7"/>
  <c r="E15712" i="7"/>
  <c r="D15712" i="7"/>
  <c r="E15711" i="7"/>
  <c r="D15711" i="7"/>
  <c r="E15709" i="7" l="1"/>
  <c r="D15709" i="7"/>
  <c r="E15710" i="7"/>
  <c r="D15710" i="7"/>
  <c r="E15708" i="7"/>
  <c r="D15708" i="7"/>
  <c r="L15707" i="7"/>
  <c r="E15707" i="7"/>
  <c r="D15707" i="7"/>
  <c r="E15706" i="7"/>
  <c r="D15706" i="7"/>
  <c r="E15703" i="7"/>
  <c r="D15703" i="7"/>
  <c r="E15702" i="7"/>
  <c r="D15702" i="7"/>
  <c r="E15701" i="7"/>
  <c r="D15701" i="7"/>
  <c r="L15700" i="7"/>
  <c r="E15700" i="7"/>
  <c r="D15700" i="7"/>
  <c r="E15699" i="7"/>
  <c r="D15699" i="7"/>
  <c r="L15705" i="7" l="1"/>
  <c r="E15705" i="7"/>
  <c r="D15705" i="7"/>
  <c r="E15704" i="7"/>
  <c r="D15704" i="7"/>
  <c r="E15698" i="7"/>
  <c r="D15698" i="7"/>
  <c r="E15697" i="7"/>
  <c r="D15697" i="7"/>
  <c r="E15696" i="7"/>
  <c r="D15696" i="7"/>
  <c r="E15695" i="7" l="1"/>
  <c r="D15695" i="7"/>
  <c r="E15694" i="7"/>
  <c r="D15694" i="7"/>
  <c r="E15693" i="7"/>
  <c r="D15693" i="7"/>
  <c r="E15692" i="7"/>
  <c r="D15692" i="7"/>
  <c r="E15691" i="7"/>
  <c r="D15691" i="7"/>
  <c r="E15690" i="7"/>
  <c r="D15690" i="7"/>
  <c r="K15689" i="7"/>
  <c r="L15690" i="7" s="1"/>
  <c r="E15689" i="7"/>
  <c r="D15689" i="7"/>
  <c r="E15688" i="7"/>
  <c r="D15688" i="7"/>
  <c r="K15687" i="7"/>
  <c r="L15688" i="7" s="1"/>
  <c r="E15687" i="7"/>
  <c r="D15687" i="7"/>
  <c r="L15686" i="7"/>
  <c r="E15686" i="7"/>
  <c r="D15686" i="7"/>
  <c r="E15685" i="7"/>
  <c r="D15685" i="7"/>
  <c r="L15684" i="7"/>
  <c r="E15684" i="7"/>
  <c r="D15684" i="7"/>
  <c r="E15683" i="7"/>
  <c r="D15683" i="7"/>
  <c r="L15682" i="7"/>
  <c r="E15682" i="7"/>
  <c r="D15682" i="7"/>
  <c r="E15681" i="7"/>
  <c r="D15681" i="7"/>
  <c r="E15680" i="7"/>
  <c r="D15680" i="7"/>
  <c r="E15679" i="7"/>
  <c r="D15679" i="7"/>
  <c r="L15678" i="7"/>
  <c r="E15678" i="7"/>
  <c r="D15678" i="7"/>
  <c r="E15677" i="7"/>
  <c r="D15677" i="7"/>
  <c r="L15674" i="7"/>
  <c r="E15674" i="7"/>
  <c r="D15674" i="7"/>
  <c r="E15673" i="7"/>
  <c r="D15673" i="7"/>
  <c r="E15669" i="7"/>
  <c r="D15669" i="7"/>
  <c r="E15668" i="7"/>
  <c r="D15668" i="7"/>
  <c r="E15667" i="7"/>
  <c r="D15667" i="7"/>
  <c r="E15658" i="7" l="1"/>
  <c r="D15658" i="7"/>
  <c r="E15657" i="7"/>
  <c r="D15657" i="7"/>
  <c r="E15656" i="7"/>
  <c r="D15656" i="7"/>
  <c r="D482" i="58"/>
  <c r="D483" i="58"/>
  <c r="D484" i="58"/>
  <c r="D485" i="58"/>
  <c r="D486" i="58"/>
  <c r="D487" i="58"/>
  <c r="D488" i="58"/>
  <c r="R488" i="58"/>
  <c r="P488" i="58"/>
  <c r="N488" i="58"/>
  <c r="L488" i="58"/>
  <c r="J488" i="58"/>
  <c r="H488" i="58"/>
  <c r="F488" i="58"/>
  <c r="R487" i="58"/>
  <c r="P487" i="58"/>
  <c r="N487" i="58"/>
  <c r="L487" i="58"/>
  <c r="J487" i="58"/>
  <c r="H487" i="58"/>
  <c r="F487" i="58"/>
  <c r="R486" i="58"/>
  <c r="P486" i="58"/>
  <c r="N486" i="58"/>
  <c r="L486" i="58"/>
  <c r="J486" i="58"/>
  <c r="H486" i="58"/>
  <c r="F486" i="58"/>
  <c r="R485" i="58"/>
  <c r="P485" i="58"/>
  <c r="N485" i="58"/>
  <c r="L485" i="58"/>
  <c r="J485" i="58"/>
  <c r="H485" i="58"/>
  <c r="F485" i="58"/>
  <c r="R484" i="58"/>
  <c r="P484" i="58"/>
  <c r="N484" i="58"/>
  <c r="L484" i="58"/>
  <c r="J484" i="58"/>
  <c r="H484" i="58"/>
  <c r="F484" i="58"/>
  <c r="R483" i="58"/>
  <c r="P483" i="58"/>
  <c r="N483" i="58"/>
  <c r="L483" i="58"/>
  <c r="J483" i="58"/>
  <c r="H483" i="58"/>
  <c r="F483" i="58"/>
  <c r="R482" i="58"/>
  <c r="P482" i="58"/>
  <c r="N482" i="58"/>
  <c r="L482" i="58"/>
  <c r="J482" i="58"/>
  <c r="H482" i="58"/>
  <c r="F482" i="58"/>
  <c r="E15666" i="7"/>
  <c r="L15666" i="7"/>
  <c r="D15666" i="7"/>
  <c r="E15665" i="7"/>
  <c r="D15665" i="7"/>
  <c r="E15664" i="7"/>
  <c r="D15664" i="7"/>
  <c r="E15663" i="7"/>
  <c r="D15663" i="7"/>
  <c r="E15662" i="7"/>
  <c r="D15662" i="7"/>
  <c r="E15661" i="7"/>
  <c r="D15661" i="7"/>
  <c r="E15660" i="7"/>
  <c r="D15660" i="7"/>
  <c r="E15659" i="7"/>
  <c r="D15659" i="7"/>
  <c r="E15655" i="7" l="1"/>
  <c r="D15655" i="7"/>
  <c r="E15654" i="7"/>
  <c r="D15654" i="7"/>
  <c r="E15653" i="7"/>
  <c r="D15653" i="7"/>
  <c r="E15652" i="7"/>
  <c r="D15652" i="7"/>
  <c r="E15651" i="7"/>
  <c r="D15651" i="7"/>
  <c r="E15646" i="7"/>
  <c r="D15646" i="7"/>
  <c r="E15645" i="7"/>
  <c r="D15645" i="7"/>
  <c r="E15644" i="7"/>
  <c r="D15644" i="7"/>
  <c r="E15643" i="7"/>
  <c r="D15643" i="7"/>
  <c r="E15642" i="7"/>
  <c r="D15642" i="7"/>
  <c r="E15633" i="7"/>
  <c r="D15633" i="7"/>
  <c r="E15632" i="7"/>
  <c r="D15632" i="7"/>
  <c r="E15631" i="7"/>
  <c r="D15631" i="7"/>
  <c r="E15630" i="7"/>
  <c r="D15630" i="7"/>
  <c r="E15629" i="7"/>
  <c r="D15629" i="7"/>
  <c r="E15628" i="7"/>
  <c r="D15628" i="7"/>
  <c r="E15627" i="7"/>
  <c r="D15627" i="7"/>
  <c r="E15626" i="7"/>
  <c r="D15626" i="7"/>
  <c r="L15650" i="7" l="1"/>
  <c r="E15650" i="7"/>
  <c r="D15650" i="7"/>
  <c r="E15649" i="7"/>
  <c r="D15649" i="7"/>
  <c r="L15641" i="7"/>
  <c r="E15641" i="7"/>
  <c r="D15641" i="7"/>
  <c r="E15640" i="7"/>
  <c r="D15640" i="7"/>
  <c r="D15638" i="7"/>
  <c r="D15639" i="7"/>
  <c r="L15639" i="7"/>
  <c r="E15639" i="7"/>
  <c r="E15638" i="7"/>
  <c r="L15637" i="7"/>
  <c r="E15637" i="7"/>
  <c r="D15637" i="7"/>
  <c r="E15636" i="7"/>
  <c r="D15636" i="7"/>
  <c r="L15635" i="7"/>
  <c r="E15635" i="7"/>
  <c r="D15635" i="7"/>
  <c r="E15634" i="7"/>
  <c r="D15634" i="7"/>
  <c r="L15648" i="7"/>
  <c r="E15648" i="7"/>
  <c r="D15648" i="7"/>
  <c r="E15647" i="7"/>
  <c r="D15647" i="7"/>
  <c r="D475" i="58"/>
  <c r="D476" i="58"/>
  <c r="D477" i="58"/>
  <c r="D478" i="58"/>
  <c r="D479" i="58"/>
  <c r="D480" i="58"/>
  <c r="D481" i="58"/>
  <c r="R481" i="58"/>
  <c r="P481" i="58"/>
  <c r="N481" i="58"/>
  <c r="L481" i="58"/>
  <c r="J481" i="58"/>
  <c r="H481" i="58"/>
  <c r="F481" i="58"/>
  <c r="R480" i="58"/>
  <c r="P480" i="58"/>
  <c r="N480" i="58"/>
  <c r="L480" i="58"/>
  <c r="J480" i="58"/>
  <c r="H480" i="58"/>
  <c r="F480" i="58"/>
  <c r="R479" i="58"/>
  <c r="P479" i="58"/>
  <c r="N479" i="58"/>
  <c r="L479" i="58"/>
  <c r="J479" i="58"/>
  <c r="H479" i="58"/>
  <c r="F479" i="58"/>
  <c r="R478" i="58"/>
  <c r="P478" i="58"/>
  <c r="N478" i="58"/>
  <c r="L478" i="58"/>
  <c r="J478" i="58"/>
  <c r="H478" i="58"/>
  <c r="F478" i="58"/>
  <c r="R477" i="58"/>
  <c r="P477" i="58"/>
  <c r="N477" i="58"/>
  <c r="L477" i="58"/>
  <c r="J477" i="58"/>
  <c r="H477" i="58"/>
  <c r="F477" i="58"/>
  <c r="R476" i="58"/>
  <c r="P476" i="58"/>
  <c r="N476" i="58"/>
  <c r="L476" i="58"/>
  <c r="J476" i="58"/>
  <c r="H476" i="58"/>
  <c r="F476" i="58"/>
  <c r="R475" i="58"/>
  <c r="P475" i="58"/>
  <c r="N475" i="58"/>
  <c r="L475" i="58"/>
  <c r="J475" i="58"/>
  <c r="H475" i="58"/>
  <c r="F475" i="58"/>
  <c r="E15603" i="7"/>
  <c r="D15603" i="7"/>
  <c r="E15602" i="7"/>
  <c r="D15602" i="7"/>
  <c r="E15601" i="7"/>
  <c r="D15601" i="7"/>
  <c r="E15600" i="7"/>
  <c r="D15600" i="7"/>
  <c r="E15599" i="7"/>
  <c r="D15599" i="7"/>
  <c r="L15598" i="7"/>
  <c r="E15598" i="7" l="1"/>
  <c r="D15598" i="7"/>
  <c r="E15597" i="7"/>
  <c r="D15597" i="7"/>
  <c r="L15596" i="7" l="1"/>
  <c r="E15596" i="7"/>
  <c r="D15596" i="7"/>
  <c r="E15595" i="7"/>
  <c r="D15595" i="7"/>
  <c r="E15625" i="7"/>
  <c r="D15625" i="7"/>
  <c r="K15624" i="7"/>
  <c r="L15625" i="7" s="1"/>
  <c r="E15624" i="7"/>
  <c r="D15624" i="7"/>
  <c r="E15623" i="7"/>
  <c r="D15623" i="7"/>
  <c r="K15622" i="7"/>
  <c r="L15623" i="7" s="1"/>
  <c r="E15622" i="7"/>
  <c r="D15622" i="7"/>
  <c r="L15621" i="7"/>
  <c r="E15621" i="7"/>
  <c r="D15621" i="7"/>
  <c r="E15620" i="7"/>
  <c r="D15620" i="7"/>
  <c r="L15619" i="7"/>
  <c r="E15619" i="7"/>
  <c r="D15619" i="7"/>
  <c r="E15618" i="7"/>
  <c r="D15618" i="7"/>
  <c r="L15617" i="7"/>
  <c r="E15617" i="7"/>
  <c r="D15617" i="7"/>
  <c r="E15616" i="7"/>
  <c r="D15616" i="7"/>
  <c r="E15615" i="7"/>
  <c r="D15615" i="7"/>
  <c r="E15614" i="7"/>
  <c r="D15614" i="7"/>
  <c r="L15613" i="7"/>
  <c r="E15613" i="7"/>
  <c r="D15613" i="7"/>
  <c r="E15612" i="7"/>
  <c r="D15612" i="7"/>
  <c r="L15609" i="7"/>
  <c r="E15609" i="7"/>
  <c r="D15609" i="7"/>
  <c r="E15608" i="7"/>
  <c r="D15608" i="7"/>
  <c r="L15594" i="7"/>
  <c r="E15594" i="7"/>
  <c r="D15594" i="7"/>
  <c r="E15593" i="7"/>
  <c r="D15593" i="7"/>
  <c r="E15592" i="7"/>
  <c r="D15592" i="7"/>
  <c r="E15591" i="7"/>
  <c r="D15591" i="7"/>
  <c r="E15590" i="7"/>
  <c r="D15590" i="7"/>
  <c r="E15574" i="7"/>
  <c r="D15574" i="7"/>
  <c r="E15573" i="7"/>
  <c r="D15573" i="7"/>
  <c r="E15572" i="7"/>
  <c r="D15572" i="7"/>
  <c r="E15571" i="7"/>
  <c r="D15571" i="7"/>
  <c r="E15570" i="7"/>
  <c r="D15570" i="7"/>
  <c r="E15569" i="7"/>
  <c r="D15569" i="7"/>
  <c r="E15568" i="7"/>
  <c r="D15568" i="7"/>
  <c r="E15567" i="7"/>
  <c r="D15567" i="7"/>
  <c r="E15588" i="7"/>
  <c r="D15588" i="7"/>
  <c r="E15589" i="7"/>
  <c r="D15589" i="7"/>
  <c r="E15587" i="7"/>
  <c r="D15587" i="7"/>
  <c r="D15581" i="7" l="1"/>
  <c r="E15581" i="7"/>
  <c r="D15582" i="7"/>
  <c r="E15582" i="7"/>
  <c r="D15583" i="7"/>
  <c r="E15583" i="7"/>
  <c r="E15584" i="7"/>
  <c r="D15584" i="7"/>
  <c r="E15580" i="7"/>
  <c r="D15580" i="7"/>
  <c r="L15579" i="7"/>
  <c r="E15579" i="7"/>
  <c r="D15579" i="7"/>
  <c r="E15578" i="7"/>
  <c r="D15578" i="7"/>
  <c r="L15586" i="7"/>
  <c r="E15586" i="7"/>
  <c r="D15586" i="7"/>
  <c r="E15585" i="7"/>
  <c r="D15585" i="7"/>
  <c r="E15577" i="7"/>
  <c r="D15577" i="7"/>
  <c r="E15576" i="7"/>
  <c r="D15576" i="7"/>
  <c r="E15575" i="7"/>
  <c r="D15575" i="7"/>
  <c r="E15564" i="7"/>
  <c r="D15564" i="7"/>
  <c r="E15563" i="7"/>
  <c r="D15563" i="7"/>
  <c r="E15562" i="7"/>
  <c r="D15562" i="7"/>
  <c r="E15561" i="7"/>
  <c r="D15561" i="7"/>
  <c r="E15560" i="7"/>
  <c r="D15560" i="7"/>
  <c r="E15559" i="7"/>
  <c r="D15559" i="7"/>
  <c r="E15558" i="7"/>
  <c r="D15558" i="7"/>
  <c r="E15557" i="7"/>
  <c r="D15557" i="7"/>
  <c r="E15556" i="7"/>
  <c r="D15556" i="7"/>
  <c r="E15555" i="7"/>
  <c r="D15555" i="7"/>
  <c r="E15554" i="7"/>
  <c r="D15554" i="7"/>
  <c r="E15553" i="7"/>
  <c r="D15553" i="7"/>
  <c r="D468" i="58" l="1"/>
  <c r="D469" i="58"/>
  <c r="D470" i="58"/>
  <c r="D471" i="58"/>
  <c r="D472" i="58"/>
  <c r="D473" i="58"/>
  <c r="D474" i="58"/>
  <c r="R474" i="58"/>
  <c r="P474" i="58"/>
  <c r="N474" i="58"/>
  <c r="L474" i="58"/>
  <c r="J474" i="58"/>
  <c r="H474" i="58"/>
  <c r="F474" i="58"/>
  <c r="R473" i="58"/>
  <c r="P473" i="58"/>
  <c r="N473" i="58"/>
  <c r="L473" i="58"/>
  <c r="J473" i="58"/>
  <c r="H473" i="58"/>
  <c r="F473" i="58"/>
  <c r="R472" i="58"/>
  <c r="P472" i="58"/>
  <c r="N472" i="58"/>
  <c r="L472" i="58"/>
  <c r="J472" i="58"/>
  <c r="H472" i="58"/>
  <c r="F472" i="58"/>
  <c r="R471" i="58"/>
  <c r="P471" i="58"/>
  <c r="N471" i="58"/>
  <c r="L471" i="58"/>
  <c r="J471" i="58"/>
  <c r="H471" i="58"/>
  <c r="F471" i="58"/>
  <c r="R470" i="58"/>
  <c r="P470" i="58"/>
  <c r="N470" i="58"/>
  <c r="L470" i="58"/>
  <c r="J470" i="58"/>
  <c r="H470" i="58"/>
  <c r="F470" i="58"/>
  <c r="R469" i="58"/>
  <c r="P469" i="58"/>
  <c r="N469" i="58"/>
  <c r="L469" i="58"/>
  <c r="J469" i="58"/>
  <c r="H469" i="58"/>
  <c r="F469" i="58"/>
  <c r="R468" i="58"/>
  <c r="P468" i="58"/>
  <c r="N468" i="58"/>
  <c r="L468" i="58"/>
  <c r="J468" i="58"/>
  <c r="H468" i="58"/>
  <c r="F468" i="58"/>
  <c r="E15536" i="7" l="1"/>
  <c r="D15536" i="7"/>
  <c r="E15535" i="7"/>
  <c r="D15535" i="7"/>
  <c r="E15534" i="7"/>
  <c r="D15534" i="7"/>
  <c r="E15533" i="7"/>
  <c r="D15533" i="7"/>
  <c r="E15532" i="7"/>
  <c r="D15532" i="7"/>
  <c r="L15531" i="7"/>
  <c r="L15529" i="7"/>
  <c r="L15527" i="7"/>
  <c r="L15525" i="7"/>
  <c r="E15529" i="7"/>
  <c r="D15529" i="7"/>
  <c r="E15528" i="7"/>
  <c r="D15528" i="7"/>
  <c r="E15531" i="7"/>
  <c r="D15531" i="7"/>
  <c r="E15530" i="7"/>
  <c r="D15530" i="7"/>
  <c r="E15527" i="7"/>
  <c r="D15527" i="7"/>
  <c r="E15526" i="7"/>
  <c r="D15526" i="7"/>
  <c r="E15525" i="7"/>
  <c r="D15525" i="7"/>
  <c r="E15524" i="7"/>
  <c r="D15524" i="7"/>
  <c r="E15523" i="7" l="1"/>
  <c r="D15523" i="7"/>
  <c r="E15522" i="7"/>
  <c r="D15522" i="7"/>
  <c r="E15521" i="7"/>
  <c r="D15521" i="7"/>
  <c r="E15552" i="7"/>
  <c r="D15552" i="7"/>
  <c r="K15551" i="7"/>
  <c r="L15552" i="7" s="1"/>
  <c r="E15551" i="7"/>
  <c r="D15551" i="7"/>
  <c r="E15550" i="7"/>
  <c r="D15550" i="7"/>
  <c r="K15549" i="7"/>
  <c r="L15550" i="7" s="1"/>
  <c r="E15549" i="7"/>
  <c r="D15549" i="7"/>
  <c r="L15548" i="7"/>
  <c r="E15548" i="7"/>
  <c r="D15548" i="7"/>
  <c r="E15547" i="7"/>
  <c r="D15547" i="7"/>
  <c r="L15546" i="7"/>
  <c r="E15546" i="7"/>
  <c r="D15546" i="7"/>
  <c r="E15545" i="7"/>
  <c r="D15545" i="7"/>
  <c r="L15544" i="7"/>
  <c r="E15544" i="7"/>
  <c r="D15544" i="7"/>
  <c r="E15543" i="7"/>
  <c r="D15543" i="7"/>
  <c r="E15542" i="7"/>
  <c r="D15542" i="7"/>
  <c r="E15541" i="7"/>
  <c r="D15541" i="7"/>
  <c r="L15540" i="7"/>
  <c r="E15540" i="7"/>
  <c r="D15540" i="7"/>
  <c r="E15539" i="7"/>
  <c r="D15539" i="7"/>
  <c r="L15538" i="7"/>
  <c r="E15538" i="7"/>
  <c r="D15538" i="7"/>
  <c r="E15537" i="7"/>
  <c r="D15537" i="7"/>
  <c r="E15520" i="7"/>
  <c r="D15520" i="7"/>
  <c r="E15519" i="7"/>
  <c r="D15519" i="7"/>
  <c r="E15518" i="7"/>
  <c r="D15518" i="7"/>
  <c r="E15517" i="7" l="1"/>
  <c r="D15517" i="7"/>
  <c r="E15516" i="7"/>
  <c r="D15516" i="7"/>
  <c r="E15515" i="7"/>
  <c r="D15515" i="7"/>
  <c r="E15514" i="7"/>
  <c r="D15514" i="7"/>
  <c r="E15513" i="7"/>
  <c r="D15513" i="7"/>
  <c r="E15504" i="7"/>
  <c r="D15504" i="7"/>
  <c r="E15503" i="7"/>
  <c r="D15503" i="7"/>
  <c r="E15502" i="7"/>
  <c r="D15502" i="7"/>
  <c r="E15501" i="7"/>
  <c r="D15501" i="7"/>
  <c r="E15500" i="7"/>
  <c r="D15500" i="7"/>
  <c r="E15499" i="7"/>
  <c r="D15499" i="7"/>
  <c r="E15498" i="7"/>
  <c r="D15498" i="7"/>
  <c r="E15497" i="7"/>
  <c r="D15497" i="7"/>
  <c r="E15496" i="7"/>
  <c r="D15496" i="7"/>
  <c r="E15495" i="7"/>
  <c r="D15495" i="7"/>
  <c r="L15293" i="7"/>
  <c r="E15511" i="7" l="1"/>
  <c r="D15511" i="7"/>
  <c r="E15512" i="7"/>
  <c r="D15512" i="7"/>
  <c r="E15510" i="7"/>
  <c r="D15510" i="7"/>
  <c r="E15506" i="7" l="1"/>
  <c r="D15506" i="7"/>
  <c r="E15505" i="7"/>
  <c r="D15505" i="7"/>
  <c r="E15494" i="7"/>
  <c r="D15494" i="7"/>
  <c r="E15493" i="7"/>
  <c r="D15493" i="7"/>
  <c r="E15492" i="7"/>
  <c r="D15492" i="7"/>
  <c r="E15509" i="7" l="1"/>
  <c r="D15509" i="7"/>
  <c r="E15508" i="7"/>
  <c r="D15508" i="7"/>
  <c r="E15507" i="7"/>
  <c r="D15507" i="7"/>
  <c r="E15472" i="7" l="1"/>
  <c r="D15472" i="7"/>
  <c r="E15471" i="7"/>
  <c r="D15471" i="7"/>
  <c r="E15470" i="7"/>
  <c r="D15470" i="7"/>
  <c r="E15469" i="7"/>
  <c r="D15469" i="7"/>
  <c r="E15468" i="7"/>
  <c r="D15468" i="7"/>
  <c r="D461" i="58" l="1"/>
  <c r="D462" i="58"/>
  <c r="D463" i="58"/>
  <c r="D464" i="58"/>
  <c r="D465" i="58"/>
  <c r="D466" i="58"/>
  <c r="D467" i="58"/>
  <c r="E15457" i="7"/>
  <c r="D15457" i="7"/>
  <c r="E15456" i="7"/>
  <c r="D15456" i="7"/>
  <c r="E15455" i="7"/>
  <c r="D15455" i="7"/>
  <c r="E15467" i="7" l="1"/>
  <c r="D15467" i="7"/>
  <c r="E15466" i="7"/>
  <c r="D15466" i="7"/>
  <c r="E15465" i="7"/>
  <c r="D15465" i="7"/>
  <c r="R467" i="58" l="1"/>
  <c r="P467" i="58"/>
  <c r="N467" i="58"/>
  <c r="L467" i="58"/>
  <c r="J467" i="58"/>
  <c r="H467" i="58"/>
  <c r="F467" i="58"/>
  <c r="R466" i="58"/>
  <c r="P466" i="58"/>
  <c r="N466" i="58"/>
  <c r="L466" i="58"/>
  <c r="J466" i="58"/>
  <c r="H466" i="58"/>
  <c r="F466" i="58"/>
  <c r="R465" i="58"/>
  <c r="P465" i="58"/>
  <c r="N465" i="58"/>
  <c r="L465" i="58"/>
  <c r="J465" i="58"/>
  <c r="H465" i="58"/>
  <c r="F465" i="58"/>
  <c r="R464" i="58"/>
  <c r="P464" i="58"/>
  <c r="N464" i="58"/>
  <c r="L464" i="58"/>
  <c r="J464" i="58"/>
  <c r="H464" i="58"/>
  <c r="F464" i="58"/>
  <c r="R463" i="58"/>
  <c r="P463" i="58"/>
  <c r="N463" i="58"/>
  <c r="L463" i="58"/>
  <c r="J463" i="58"/>
  <c r="H463" i="58"/>
  <c r="F463" i="58"/>
  <c r="R462" i="58"/>
  <c r="P462" i="58"/>
  <c r="N462" i="58"/>
  <c r="L462" i="58"/>
  <c r="J462" i="58"/>
  <c r="H462" i="58"/>
  <c r="F462" i="58"/>
  <c r="R461" i="58"/>
  <c r="P461" i="58"/>
  <c r="N461" i="58"/>
  <c r="L461" i="58"/>
  <c r="J461" i="58"/>
  <c r="H461" i="58"/>
  <c r="F461" i="58"/>
  <c r="E15491" i="7"/>
  <c r="D15491" i="7"/>
  <c r="K15490" i="7"/>
  <c r="L15491" i="7" s="1"/>
  <c r="E15490" i="7"/>
  <c r="D15490" i="7"/>
  <c r="E15489" i="7"/>
  <c r="D15489" i="7"/>
  <c r="K15488" i="7"/>
  <c r="L15489" i="7" s="1"/>
  <c r="E15488" i="7"/>
  <c r="D15488" i="7"/>
  <c r="L15487" i="7"/>
  <c r="E15487" i="7"/>
  <c r="D15487" i="7"/>
  <c r="E15486" i="7"/>
  <c r="D15486" i="7"/>
  <c r="L15485" i="7"/>
  <c r="E15485" i="7"/>
  <c r="D15485" i="7"/>
  <c r="E15484" i="7"/>
  <c r="D15484" i="7"/>
  <c r="L15483" i="7"/>
  <c r="E15483" i="7"/>
  <c r="D15483" i="7"/>
  <c r="E15482" i="7"/>
  <c r="D15482" i="7"/>
  <c r="E15481" i="7"/>
  <c r="D15481" i="7"/>
  <c r="E15480" i="7"/>
  <c r="D15480" i="7"/>
  <c r="L15479" i="7"/>
  <c r="E15479" i="7"/>
  <c r="D15479" i="7"/>
  <c r="E15478" i="7"/>
  <c r="D15478" i="7"/>
  <c r="L15477" i="7"/>
  <c r="E15477" i="7"/>
  <c r="D15477" i="7"/>
  <c r="E15476" i="7"/>
  <c r="D15476" i="7"/>
  <c r="E15464" i="7"/>
  <c r="D15464" i="7"/>
  <c r="E15463" i="7"/>
  <c r="D15463" i="7"/>
  <c r="E15462" i="7"/>
  <c r="D15462" i="7"/>
  <c r="E15461" i="7"/>
  <c r="D15461" i="7"/>
  <c r="E15460" i="7"/>
  <c r="D15460" i="7"/>
  <c r="E15454" i="7"/>
  <c r="D15454" i="7"/>
  <c r="E15453" i="7"/>
  <c r="D15453" i="7"/>
  <c r="E15452" i="7"/>
  <c r="D15452" i="7"/>
  <c r="E15451" i="7"/>
  <c r="D15451" i="7"/>
  <c r="E15450" i="7"/>
  <c r="D15450" i="7"/>
  <c r="E15447" i="7"/>
  <c r="D15447" i="7"/>
  <c r="E15446" i="7"/>
  <c r="D15446" i="7"/>
  <c r="E15445" i="7"/>
  <c r="D15445" i="7"/>
  <c r="E15444" i="7"/>
  <c r="D15444" i="7"/>
  <c r="E15443" i="7"/>
  <c r="D15443" i="7"/>
  <c r="E15436" i="7"/>
  <c r="D15436" i="7"/>
  <c r="E15435" i="7"/>
  <c r="D15435" i="7"/>
  <c r="E15434" i="7"/>
  <c r="D15434" i="7"/>
  <c r="E15433" i="7"/>
  <c r="D15433" i="7"/>
  <c r="E15432" i="7"/>
  <c r="D15432" i="7"/>
  <c r="L15459" i="7" l="1"/>
  <c r="L15449" i="7"/>
  <c r="E15449" i="7"/>
  <c r="D15449" i="7"/>
  <c r="E15448" i="7"/>
  <c r="D15448" i="7"/>
  <c r="L15441" i="7"/>
  <c r="L15438" i="7"/>
  <c r="E15442" i="7"/>
  <c r="D15442" i="7"/>
  <c r="E15441" i="7"/>
  <c r="D15441" i="7"/>
  <c r="E15440" i="7"/>
  <c r="D15440" i="7"/>
  <c r="E15439" i="7"/>
  <c r="D15439" i="7"/>
  <c r="E15438" i="7"/>
  <c r="D15438" i="7"/>
  <c r="E15437" i="7"/>
  <c r="D15437" i="7"/>
  <c r="L15431" i="7"/>
  <c r="E15431" i="7"/>
  <c r="D15431" i="7"/>
  <c r="E15430" i="7"/>
  <c r="D15430" i="7"/>
  <c r="D15427" i="7"/>
  <c r="E15427" i="7"/>
  <c r="D15428" i="7"/>
  <c r="E15428" i="7"/>
  <c r="E15429" i="7"/>
  <c r="D15429" i="7"/>
  <c r="E15426" i="7"/>
  <c r="D15426" i="7"/>
  <c r="E15459" i="7"/>
  <c r="D15459" i="7"/>
  <c r="E15458" i="7"/>
  <c r="D15458" i="7"/>
  <c r="E15425" i="7" l="1"/>
  <c r="D15425" i="7"/>
  <c r="K15424" i="7"/>
  <c r="L15425" i="7" s="1"/>
  <c r="E15424" i="7"/>
  <c r="D15424" i="7"/>
  <c r="E15423" i="7"/>
  <c r="D15423" i="7"/>
  <c r="K15422" i="7"/>
  <c r="L15423" i="7" s="1"/>
  <c r="E15422" i="7"/>
  <c r="D15422" i="7"/>
  <c r="L15421" i="7"/>
  <c r="E15421" i="7"/>
  <c r="D15421" i="7"/>
  <c r="E15420" i="7"/>
  <c r="D15420" i="7"/>
  <c r="L15419" i="7"/>
  <c r="E15419" i="7"/>
  <c r="D15419" i="7"/>
  <c r="E15418" i="7"/>
  <c r="D15418" i="7"/>
  <c r="L15417" i="7"/>
  <c r="E15417" i="7"/>
  <c r="D15417" i="7"/>
  <c r="E15416" i="7"/>
  <c r="D15416" i="7"/>
  <c r="E15415" i="7"/>
  <c r="D15415" i="7"/>
  <c r="E15414" i="7"/>
  <c r="D15414" i="7"/>
  <c r="L15413" i="7"/>
  <c r="E15413" i="7"/>
  <c r="D15413" i="7"/>
  <c r="E15412" i="7"/>
  <c r="D15412" i="7"/>
  <c r="L15411" i="7"/>
  <c r="E15411" i="7"/>
  <c r="D15411" i="7"/>
  <c r="E15410" i="7"/>
  <c r="D15410" i="7"/>
  <c r="D454" i="58"/>
  <c r="D455" i="58"/>
  <c r="D456" i="58"/>
  <c r="D457" i="58"/>
  <c r="D458" i="58"/>
  <c r="D459" i="58"/>
  <c r="D460" i="58"/>
  <c r="R460" i="58"/>
  <c r="P460" i="58"/>
  <c r="N460" i="58"/>
  <c r="L460" i="58"/>
  <c r="J460" i="58"/>
  <c r="H460" i="58"/>
  <c r="F460" i="58"/>
  <c r="R459" i="58"/>
  <c r="P459" i="58"/>
  <c r="N459" i="58"/>
  <c r="L459" i="58"/>
  <c r="J459" i="58"/>
  <c r="H459" i="58"/>
  <c r="F459" i="58"/>
  <c r="R458" i="58"/>
  <c r="P458" i="58"/>
  <c r="N458" i="58"/>
  <c r="L458" i="58"/>
  <c r="J458" i="58"/>
  <c r="H458" i="58"/>
  <c r="F458" i="58"/>
  <c r="R457" i="58"/>
  <c r="P457" i="58"/>
  <c r="N457" i="58"/>
  <c r="L457" i="58"/>
  <c r="J457" i="58"/>
  <c r="H457" i="58"/>
  <c r="F457" i="58"/>
  <c r="R456" i="58"/>
  <c r="P456" i="58"/>
  <c r="N456" i="58"/>
  <c r="L456" i="58"/>
  <c r="J456" i="58"/>
  <c r="H456" i="58"/>
  <c r="F456" i="58"/>
  <c r="R455" i="58"/>
  <c r="P455" i="58"/>
  <c r="N455" i="58"/>
  <c r="L455" i="58"/>
  <c r="J455" i="58"/>
  <c r="H455" i="58"/>
  <c r="F455" i="58"/>
  <c r="R454" i="58"/>
  <c r="P454" i="58"/>
  <c r="N454" i="58"/>
  <c r="L454" i="58"/>
  <c r="J454" i="58"/>
  <c r="H454" i="58"/>
  <c r="F454" i="58"/>
  <c r="E15356" i="7"/>
  <c r="D15356" i="7"/>
  <c r="E15355" i="7"/>
  <c r="D15355" i="7"/>
  <c r="E15354" i="7"/>
  <c r="D15354" i="7"/>
  <c r="L15409" i="7"/>
  <c r="E15409" i="7"/>
  <c r="D15409" i="7"/>
  <c r="E15408" i="7"/>
  <c r="D15408" i="7"/>
  <c r="L15407" i="7"/>
  <c r="E15407" i="7"/>
  <c r="D15407" i="7"/>
  <c r="E15406" i="7"/>
  <c r="D15406" i="7"/>
  <c r="E15402" i="7" l="1"/>
  <c r="D15402" i="7"/>
  <c r="E15401" i="7"/>
  <c r="D15401" i="7"/>
  <c r="E15400" i="7"/>
  <c r="D15400" i="7"/>
  <c r="D15403" i="7"/>
  <c r="E15403" i="7"/>
  <c r="E15399" i="7" l="1"/>
  <c r="D15399" i="7"/>
  <c r="E15398" i="7"/>
  <c r="D15398" i="7"/>
  <c r="E15397" i="7"/>
  <c r="D15397" i="7"/>
  <c r="E15396" i="7"/>
  <c r="D15396" i="7"/>
  <c r="E15395" i="7"/>
  <c r="D15395" i="7"/>
  <c r="L15394" i="7"/>
  <c r="E15394" i="7"/>
  <c r="D15394" i="7"/>
  <c r="E15393" i="7"/>
  <c r="D15393" i="7"/>
  <c r="E15405" i="7"/>
  <c r="D15405" i="7"/>
  <c r="E15404" i="7"/>
  <c r="D15404" i="7"/>
  <c r="E15392" i="7"/>
  <c r="D15392" i="7"/>
  <c r="E15391" i="7"/>
  <c r="D15391" i="7"/>
  <c r="E15390" i="7"/>
  <c r="D15390" i="7"/>
  <c r="E15389" i="7" l="1"/>
  <c r="D15389" i="7"/>
  <c r="E15388" i="7"/>
  <c r="D15388" i="7"/>
  <c r="E15387" i="7"/>
  <c r="D15387" i="7"/>
  <c r="E15386" i="7"/>
  <c r="D15386" i="7"/>
  <c r="E15385" i="7"/>
  <c r="D15385" i="7"/>
  <c r="E15379" i="7"/>
  <c r="D15379" i="7"/>
  <c r="E15378" i="7"/>
  <c r="D15378" i="7"/>
  <c r="E15377" i="7"/>
  <c r="D15377" i="7"/>
  <c r="E15376" i="7"/>
  <c r="D15376" i="7"/>
  <c r="E15375" i="7"/>
  <c r="D15375" i="7"/>
  <c r="L15384" i="7" l="1"/>
  <c r="E15384" i="7"/>
  <c r="D15384" i="7"/>
  <c r="E15383" i="7"/>
  <c r="D15383" i="7"/>
  <c r="L15374" i="7"/>
  <c r="E15374" i="7"/>
  <c r="D15374" i="7"/>
  <c r="E15373" i="7"/>
  <c r="D15373" i="7"/>
  <c r="E15382" i="7"/>
  <c r="D15382" i="7"/>
  <c r="E15381" i="7"/>
  <c r="D15381" i="7"/>
  <c r="E15380" i="7"/>
  <c r="D15380" i="7"/>
  <c r="E15372" i="7"/>
  <c r="D15372" i="7"/>
  <c r="E15371" i="7"/>
  <c r="D15371" i="7"/>
  <c r="E15370" i="7"/>
  <c r="D15370" i="7"/>
  <c r="E15369" i="7"/>
  <c r="D15369" i="7"/>
  <c r="E15368" i="7"/>
  <c r="D15368" i="7"/>
  <c r="E15367" i="7"/>
  <c r="D15367" i="7"/>
  <c r="E15366" i="7"/>
  <c r="D15366" i="7"/>
  <c r="E15365" i="7"/>
  <c r="D15365" i="7"/>
  <c r="E15364" i="7"/>
  <c r="D15364" i="7"/>
  <c r="L15337" i="7" l="1"/>
  <c r="E15337" i="7"/>
  <c r="D15337" i="7"/>
  <c r="E15336" i="7"/>
  <c r="D15336" i="7"/>
  <c r="D15362" i="7" l="1"/>
  <c r="E15362" i="7"/>
  <c r="E15363" i="7"/>
  <c r="D15363" i="7"/>
  <c r="E15361" i="7"/>
  <c r="D15361" i="7"/>
  <c r="L15360" i="7"/>
  <c r="E15360" i="7"/>
  <c r="D15360" i="7"/>
  <c r="E15359" i="7"/>
  <c r="D15359" i="7"/>
  <c r="L15358" i="7"/>
  <c r="E15358" i="7"/>
  <c r="D15358" i="7"/>
  <c r="E15357" i="7"/>
  <c r="D15357" i="7"/>
  <c r="E15335" i="7"/>
  <c r="D15335" i="7"/>
  <c r="E15334" i="7"/>
  <c r="D15334" i="7"/>
  <c r="E15333" i="7"/>
  <c r="D15333" i="7"/>
  <c r="E15332" i="7"/>
  <c r="D15332" i="7"/>
  <c r="L15331" i="7" l="1"/>
  <c r="E15331" i="7"/>
  <c r="D15331" i="7"/>
  <c r="E15330" i="7"/>
  <c r="D15330" i="7"/>
  <c r="E15329" i="7"/>
  <c r="D15329" i="7"/>
  <c r="E15328" i="7"/>
  <c r="D15328" i="7"/>
  <c r="E15327" i="7"/>
  <c r="D15327" i="7"/>
  <c r="D447" i="58" l="1"/>
  <c r="D448" i="58"/>
  <c r="D449" i="58"/>
  <c r="D450" i="58"/>
  <c r="D451" i="58"/>
  <c r="D452" i="58"/>
  <c r="D453" i="58"/>
  <c r="F447" i="58"/>
  <c r="F448" i="58"/>
  <c r="F449" i="58"/>
  <c r="F450" i="58"/>
  <c r="F451" i="58"/>
  <c r="F452" i="58"/>
  <c r="F453" i="58"/>
  <c r="R453" i="58"/>
  <c r="P453" i="58"/>
  <c r="N453" i="58"/>
  <c r="L453" i="58"/>
  <c r="J453" i="58"/>
  <c r="H453" i="58"/>
  <c r="R452" i="58"/>
  <c r="P452" i="58"/>
  <c r="N452" i="58"/>
  <c r="L452" i="58"/>
  <c r="J452" i="58"/>
  <c r="H452" i="58"/>
  <c r="R451" i="58"/>
  <c r="P451" i="58"/>
  <c r="N451" i="58"/>
  <c r="L451" i="58"/>
  <c r="J451" i="58"/>
  <c r="H451" i="58"/>
  <c r="R450" i="58"/>
  <c r="P450" i="58"/>
  <c r="N450" i="58"/>
  <c r="L450" i="58"/>
  <c r="J450" i="58"/>
  <c r="H450" i="58"/>
  <c r="R449" i="58"/>
  <c r="P449" i="58"/>
  <c r="N449" i="58"/>
  <c r="L449" i="58"/>
  <c r="J449" i="58"/>
  <c r="H449" i="58"/>
  <c r="R448" i="58"/>
  <c r="P448" i="58"/>
  <c r="N448" i="58"/>
  <c r="L448" i="58"/>
  <c r="J448" i="58"/>
  <c r="H448" i="58"/>
  <c r="R447" i="58"/>
  <c r="P447" i="58"/>
  <c r="N447" i="58"/>
  <c r="L447" i="58"/>
  <c r="J447" i="58"/>
  <c r="H447" i="58"/>
  <c r="E15353" i="7"/>
  <c r="D15353" i="7"/>
  <c r="K15352" i="7"/>
  <c r="L15353" i="7" s="1"/>
  <c r="E15352" i="7"/>
  <c r="D15352" i="7"/>
  <c r="E15351" i="7"/>
  <c r="D15351" i="7"/>
  <c r="K15350" i="7"/>
  <c r="L15351" i="7" s="1"/>
  <c r="E15350" i="7"/>
  <c r="D15350" i="7"/>
  <c r="L15349" i="7"/>
  <c r="E15349" i="7"/>
  <c r="D15349" i="7"/>
  <c r="E15348" i="7"/>
  <c r="D15348" i="7"/>
  <c r="L15347" i="7"/>
  <c r="E15347" i="7"/>
  <c r="D15347" i="7"/>
  <c r="E15346" i="7"/>
  <c r="D15346" i="7"/>
  <c r="L15345" i="7"/>
  <c r="E15345" i="7"/>
  <c r="D15345" i="7"/>
  <c r="E15344" i="7"/>
  <c r="D15344" i="7"/>
  <c r="E15343" i="7"/>
  <c r="D15343" i="7"/>
  <c r="E15342" i="7"/>
  <c r="D15342" i="7"/>
  <c r="L15341" i="7"/>
  <c r="E15341" i="7"/>
  <c r="D15341" i="7"/>
  <c r="E15340" i="7"/>
  <c r="D15340" i="7"/>
  <c r="L15339" i="7"/>
  <c r="E15339" i="7"/>
  <c r="D15339" i="7"/>
  <c r="E15338" i="7"/>
  <c r="D15338" i="7"/>
  <c r="E15322" i="7" l="1"/>
  <c r="D15322" i="7"/>
  <c r="E15321" i="7"/>
  <c r="D15321" i="7"/>
  <c r="E15320" i="7"/>
  <c r="D15320" i="7"/>
  <c r="L15326" i="7" l="1"/>
  <c r="E15326" i="7"/>
  <c r="D15326" i="7"/>
  <c r="E15325" i="7"/>
  <c r="D15325" i="7"/>
  <c r="L15324" i="7"/>
  <c r="E15324" i="7"/>
  <c r="D15324" i="7"/>
  <c r="E15323" i="7"/>
  <c r="D15323" i="7"/>
  <c r="L15319" i="7"/>
  <c r="E15319" i="7"/>
  <c r="D15319" i="7"/>
  <c r="E15318" i="7"/>
  <c r="D15318" i="7"/>
  <c r="E15317" i="7"/>
  <c r="D15317" i="7"/>
  <c r="E15316" i="7"/>
  <c r="D15316" i="7"/>
  <c r="E15315" i="7"/>
  <c r="D15315" i="7"/>
  <c r="E15314" i="7" l="1"/>
  <c r="D15314" i="7"/>
  <c r="E15313" i="7"/>
  <c r="D15313" i="7"/>
  <c r="E15312" i="7"/>
  <c r="D15312" i="7"/>
  <c r="E15311" i="7"/>
  <c r="D15311" i="7"/>
  <c r="E15310" i="7"/>
  <c r="D15310" i="7"/>
  <c r="E15309" i="7"/>
  <c r="D15309" i="7"/>
  <c r="E15308" i="7"/>
  <c r="D15308" i="7"/>
  <c r="E15289" i="7" l="1"/>
  <c r="D15289" i="7"/>
  <c r="E15288" i="7"/>
  <c r="D15288" i="7"/>
  <c r="E15287" i="7"/>
  <c r="D15287" i="7"/>
  <c r="E15286" i="7"/>
  <c r="D15286" i="7"/>
  <c r="E15285" i="7"/>
  <c r="D15285" i="7"/>
  <c r="D440" i="58" l="1"/>
  <c r="D441" i="58"/>
  <c r="D442" i="58"/>
  <c r="D443" i="58"/>
  <c r="D444" i="58"/>
  <c r="D445" i="58"/>
  <c r="D446" i="58"/>
  <c r="F440" i="58"/>
  <c r="F441" i="58"/>
  <c r="F442" i="58"/>
  <c r="F443" i="58"/>
  <c r="F444" i="58"/>
  <c r="F445" i="58"/>
  <c r="F446" i="58"/>
  <c r="R440" i="58"/>
  <c r="R441" i="58"/>
  <c r="R442" i="58"/>
  <c r="R443" i="58"/>
  <c r="R444" i="58"/>
  <c r="R445" i="58"/>
  <c r="R446" i="58"/>
  <c r="P440" i="58"/>
  <c r="P441" i="58"/>
  <c r="P442" i="58"/>
  <c r="P443" i="58"/>
  <c r="P444" i="58"/>
  <c r="P445" i="58"/>
  <c r="P446" i="58"/>
  <c r="N440" i="58"/>
  <c r="N441" i="58"/>
  <c r="N442" i="58"/>
  <c r="N443" i="58"/>
  <c r="N444" i="58"/>
  <c r="N445" i="58"/>
  <c r="N446" i="58"/>
  <c r="L440" i="58"/>
  <c r="L441" i="58"/>
  <c r="L442" i="58"/>
  <c r="L443" i="58"/>
  <c r="L444" i="58"/>
  <c r="L445" i="58"/>
  <c r="L446" i="58"/>
  <c r="J440" i="58"/>
  <c r="J441" i="58"/>
  <c r="J442" i="58"/>
  <c r="J443" i="58"/>
  <c r="J444" i="58"/>
  <c r="J445" i="58"/>
  <c r="J446" i="58"/>
  <c r="H440" i="58"/>
  <c r="H441" i="58"/>
  <c r="H442" i="58"/>
  <c r="H443" i="58"/>
  <c r="H444" i="58"/>
  <c r="H445" i="58"/>
  <c r="H446" i="58"/>
  <c r="E15272" i="7"/>
  <c r="D15272" i="7"/>
  <c r="E15271" i="7"/>
  <c r="D15271" i="7"/>
  <c r="E15270" i="7"/>
  <c r="D15270" i="7"/>
  <c r="L15284" i="7"/>
  <c r="E15284" i="7"/>
  <c r="D15284" i="7"/>
  <c r="E15283" i="7"/>
  <c r="D15283" i="7"/>
  <c r="E15282" i="7"/>
  <c r="D15282" i="7"/>
  <c r="E15281" i="7"/>
  <c r="D15281" i="7"/>
  <c r="E15280" i="7"/>
  <c r="D15280" i="7"/>
  <c r="E15279" i="7"/>
  <c r="D15279" i="7"/>
  <c r="E15278" i="7"/>
  <c r="D15278" i="7"/>
  <c r="E15277" i="7"/>
  <c r="D15277" i="7"/>
  <c r="L15276" i="7" l="1"/>
  <c r="E15276" i="7"/>
  <c r="D15276" i="7"/>
  <c r="E15275" i="7"/>
  <c r="D15275" i="7"/>
  <c r="L15274" i="7"/>
  <c r="E15274" i="7"/>
  <c r="D15274" i="7"/>
  <c r="E15273" i="7"/>
  <c r="D15273" i="7"/>
  <c r="E15269" i="7" l="1"/>
  <c r="D15269" i="7"/>
  <c r="E15268" i="7"/>
  <c r="D15268" i="7"/>
  <c r="E15267" i="7"/>
  <c r="D15267" i="7"/>
  <c r="E15266" i="7"/>
  <c r="D15266" i="7"/>
  <c r="E15265" i="7"/>
  <c r="D15265" i="7"/>
  <c r="E15264" i="7"/>
  <c r="D15264" i="7"/>
  <c r="E15307" i="7" l="1"/>
  <c r="D15307" i="7"/>
  <c r="K15306" i="7"/>
  <c r="L15307" i="7" s="1"/>
  <c r="E15306" i="7"/>
  <c r="D15306" i="7"/>
  <c r="E15305" i="7"/>
  <c r="D15305" i="7"/>
  <c r="K15304" i="7"/>
  <c r="L15305" i="7" s="1"/>
  <c r="E15304" i="7"/>
  <c r="D15304" i="7"/>
  <c r="L15303" i="7"/>
  <c r="E15303" i="7"/>
  <c r="D15303" i="7"/>
  <c r="E15302" i="7"/>
  <c r="D15302" i="7"/>
  <c r="L15301" i="7"/>
  <c r="E15301" i="7"/>
  <c r="D15301" i="7"/>
  <c r="E15300" i="7"/>
  <c r="D15300" i="7"/>
  <c r="L15299" i="7"/>
  <c r="E15299" i="7"/>
  <c r="D15299" i="7"/>
  <c r="E15298" i="7"/>
  <c r="D15298" i="7"/>
  <c r="E15297" i="7"/>
  <c r="D15297" i="7"/>
  <c r="E15296" i="7"/>
  <c r="D15296" i="7"/>
  <c r="L15295" i="7"/>
  <c r="E15295" i="7"/>
  <c r="D15295" i="7"/>
  <c r="E15294" i="7"/>
  <c r="D15294" i="7"/>
  <c r="E15293" i="7"/>
  <c r="D15293" i="7"/>
  <c r="E15292" i="7"/>
  <c r="D15292" i="7"/>
  <c r="L15291" i="7"/>
  <c r="E15291" i="7"/>
  <c r="D15291" i="7"/>
  <c r="E15290" i="7"/>
  <c r="D15290" i="7"/>
  <c r="E15263" i="7"/>
  <c r="D15263" i="7"/>
  <c r="E15262" i="7"/>
  <c r="D15262" i="7"/>
  <c r="E15261" i="7"/>
  <c r="D15261" i="7"/>
  <c r="E15260" i="7"/>
  <c r="D15260" i="7"/>
  <c r="E15259" i="7"/>
  <c r="D15259" i="7"/>
  <c r="E15251" i="7" l="1"/>
  <c r="D15251" i="7"/>
  <c r="E15250" i="7"/>
  <c r="D15250" i="7"/>
  <c r="E15249" i="7"/>
  <c r="D15249" i="7"/>
  <c r="L15258" i="7" l="1"/>
  <c r="E15258" i="7"/>
  <c r="D15258" i="7"/>
  <c r="E15257" i="7"/>
  <c r="D15257" i="7"/>
  <c r="E15256" i="7"/>
  <c r="D15256" i="7"/>
  <c r="E15255" i="7"/>
  <c r="D15255" i="7"/>
  <c r="E15254" i="7"/>
  <c r="D15254" i="7"/>
  <c r="E15253" i="7"/>
  <c r="D15253" i="7"/>
  <c r="E15252" i="7"/>
  <c r="D15252" i="7"/>
  <c r="E15248" i="7" l="1"/>
  <c r="D15248" i="7"/>
  <c r="E15247" i="7"/>
  <c r="D15247" i="7"/>
  <c r="E15246" i="7"/>
  <c r="D15246" i="7"/>
  <c r="E15245" i="7"/>
  <c r="D15245" i="7"/>
  <c r="E15244" i="7"/>
  <c r="D15244" i="7"/>
  <c r="E15243" i="7"/>
  <c r="D15243" i="7"/>
  <c r="E15242" i="7"/>
  <c r="D15242" i="7"/>
  <c r="E15241" i="7"/>
  <c r="D15241" i="7"/>
  <c r="E15240" i="7"/>
  <c r="D15240" i="7"/>
  <c r="E15239" i="7"/>
  <c r="D15239" i="7"/>
  <c r="E15238" i="7" l="1"/>
  <c r="D15238" i="7"/>
  <c r="E15237" i="7"/>
  <c r="D15237" i="7"/>
  <c r="E15236" i="7"/>
  <c r="D15236" i="7"/>
  <c r="E15217" i="7"/>
  <c r="D15217" i="7"/>
  <c r="E15216" i="7"/>
  <c r="D15216" i="7"/>
  <c r="L15215" i="7"/>
  <c r="E15215" i="7"/>
  <c r="D15215" i="7"/>
  <c r="E15214" i="7"/>
  <c r="D15214" i="7"/>
  <c r="E14674" i="7"/>
  <c r="D14674" i="7"/>
  <c r="E14673" i="7"/>
  <c r="D14673" i="7"/>
  <c r="E14635" i="7"/>
  <c r="D14635" i="7"/>
  <c r="E14634" i="7"/>
  <c r="D14634" i="7"/>
  <c r="E14174" i="7"/>
  <c r="D14174" i="7"/>
  <c r="E14173" i="7"/>
  <c r="D14173" i="7"/>
  <c r="L14412" i="7"/>
  <c r="E14412" i="7"/>
  <c r="D14412" i="7"/>
  <c r="E14411" i="7"/>
  <c r="D14411" i="7"/>
  <c r="L14410" i="7"/>
  <c r="E14410" i="7"/>
  <c r="D14410" i="7"/>
  <c r="E14409" i="7"/>
  <c r="D14409" i="7"/>
  <c r="E15213" i="7"/>
  <c r="D15213" i="7"/>
  <c r="E15212" i="7"/>
  <c r="D15212" i="7"/>
  <c r="E15211" i="7"/>
  <c r="D15211" i="7"/>
  <c r="E15235" i="7" l="1"/>
  <c r="D15235" i="7"/>
  <c r="K15234" i="7"/>
  <c r="L15235" i="7" s="1"/>
  <c r="E15234" i="7"/>
  <c r="D15234" i="7"/>
  <c r="E15233" i="7"/>
  <c r="D15233" i="7"/>
  <c r="K15232" i="7"/>
  <c r="L15233" i="7" s="1"/>
  <c r="E15232" i="7"/>
  <c r="D15232" i="7"/>
  <c r="L15231" i="7"/>
  <c r="E15231" i="7"/>
  <c r="D15231" i="7"/>
  <c r="E15230" i="7"/>
  <c r="D15230" i="7"/>
  <c r="L15229" i="7"/>
  <c r="E15229" i="7"/>
  <c r="D15229" i="7"/>
  <c r="E15228" i="7"/>
  <c r="D15228" i="7"/>
  <c r="L15227" i="7"/>
  <c r="E15227" i="7"/>
  <c r="D15227" i="7"/>
  <c r="E15226" i="7"/>
  <c r="D15226" i="7"/>
  <c r="E15225" i="7"/>
  <c r="D15225" i="7"/>
  <c r="E15224" i="7"/>
  <c r="D15224" i="7"/>
  <c r="L15223" i="7"/>
  <c r="E15223" i="7"/>
  <c r="D15223" i="7"/>
  <c r="E15222" i="7"/>
  <c r="D15222" i="7"/>
  <c r="L15221" i="7"/>
  <c r="E15221" i="7"/>
  <c r="D15221" i="7"/>
  <c r="E15220" i="7"/>
  <c r="D15220" i="7"/>
  <c r="L15219" i="7"/>
  <c r="E15219" i="7"/>
  <c r="D15219" i="7"/>
  <c r="E15218" i="7"/>
  <c r="D15218" i="7"/>
  <c r="D433" i="58"/>
  <c r="D434" i="58"/>
  <c r="D435" i="58"/>
  <c r="D436" i="58"/>
  <c r="D437" i="58"/>
  <c r="D438" i="58"/>
  <c r="D439" i="58"/>
  <c r="R439" i="58"/>
  <c r="P439" i="58"/>
  <c r="N439" i="58"/>
  <c r="L439" i="58"/>
  <c r="J439" i="58"/>
  <c r="H439" i="58"/>
  <c r="F439" i="58"/>
  <c r="R438" i="58"/>
  <c r="P438" i="58"/>
  <c r="N438" i="58"/>
  <c r="L438" i="58"/>
  <c r="J438" i="58"/>
  <c r="H438" i="58"/>
  <c r="F438" i="58"/>
  <c r="R437" i="58"/>
  <c r="P437" i="58"/>
  <c r="N437" i="58"/>
  <c r="L437" i="58"/>
  <c r="J437" i="58"/>
  <c r="H437" i="58"/>
  <c r="F437" i="58"/>
  <c r="R436" i="58"/>
  <c r="P436" i="58"/>
  <c r="N436" i="58"/>
  <c r="L436" i="58"/>
  <c r="J436" i="58"/>
  <c r="H436" i="58"/>
  <c r="F436" i="58"/>
  <c r="R435" i="58"/>
  <c r="P435" i="58"/>
  <c r="N435" i="58"/>
  <c r="L435" i="58"/>
  <c r="J435" i="58"/>
  <c r="H435" i="58"/>
  <c r="F435" i="58"/>
  <c r="R434" i="58"/>
  <c r="P434" i="58"/>
  <c r="N434" i="58"/>
  <c r="L434" i="58"/>
  <c r="J434" i="58"/>
  <c r="H434" i="58"/>
  <c r="F434" i="58"/>
  <c r="R433" i="58"/>
  <c r="P433" i="58"/>
  <c r="N433" i="58"/>
  <c r="L433" i="58"/>
  <c r="J433" i="58"/>
  <c r="H433" i="58"/>
  <c r="F433" i="58"/>
  <c r="E15198" i="7"/>
  <c r="D15198" i="7"/>
  <c r="E15197" i="7"/>
  <c r="D15197" i="7"/>
  <c r="E15196" i="7"/>
  <c r="D15196" i="7"/>
  <c r="L15195" i="7"/>
  <c r="E15195" i="7"/>
  <c r="D15195" i="7"/>
  <c r="E15194" i="7"/>
  <c r="D15194" i="7"/>
  <c r="E15193" i="7"/>
  <c r="D15193" i="7"/>
  <c r="E15192" i="7"/>
  <c r="D15192" i="7"/>
  <c r="E15191" i="7"/>
  <c r="D15191" i="7"/>
  <c r="E15210" i="7" l="1"/>
  <c r="D15210" i="7"/>
  <c r="E15209" i="7"/>
  <c r="D15209" i="7"/>
  <c r="E15208" i="7"/>
  <c r="D15208" i="7"/>
  <c r="E15207" i="7"/>
  <c r="D15207" i="7"/>
  <c r="E15206" i="7"/>
  <c r="D15206" i="7"/>
  <c r="E15205" i="7"/>
  <c r="D15205" i="7"/>
  <c r="E15204" i="7"/>
  <c r="D15204" i="7"/>
  <c r="E15203" i="7"/>
  <c r="D15203" i="7"/>
  <c r="E15202" i="7"/>
  <c r="D15202" i="7"/>
  <c r="E15201" i="7"/>
  <c r="D15201" i="7"/>
  <c r="E15200" i="7" l="1"/>
  <c r="D15200" i="7"/>
  <c r="E15199" i="7"/>
  <c r="D15199" i="7"/>
  <c r="E15190" i="7"/>
  <c r="D15190" i="7"/>
  <c r="E15189" i="7"/>
  <c r="D15189" i="7"/>
  <c r="E15188" i="7"/>
  <c r="D15188" i="7"/>
  <c r="E15187" i="7"/>
  <c r="D15187" i="7"/>
  <c r="E15186" i="7"/>
  <c r="D15186" i="7"/>
  <c r="E15181" i="7"/>
  <c r="D15181" i="7"/>
  <c r="E15180" i="7"/>
  <c r="D15180" i="7"/>
  <c r="E15179" i="7"/>
  <c r="D15179" i="7"/>
  <c r="L15185" i="7"/>
  <c r="E15185" i="7"/>
  <c r="D15185" i="7"/>
  <c r="E15184" i="7"/>
  <c r="D15184" i="7"/>
  <c r="L15183" i="7"/>
  <c r="E15183" i="7"/>
  <c r="D15183" i="7"/>
  <c r="E15182" i="7"/>
  <c r="D15182" i="7"/>
  <c r="L15178" i="7"/>
  <c r="E15178" i="7"/>
  <c r="D15178" i="7"/>
  <c r="E15177" i="7"/>
  <c r="D15177" i="7"/>
  <c r="E15176" i="7" l="1"/>
  <c r="D15176" i="7"/>
  <c r="E15175" i="7"/>
  <c r="D15175" i="7"/>
  <c r="E15174" i="7"/>
  <c r="D15174" i="7"/>
  <c r="E15173" i="7" l="1"/>
  <c r="D15173" i="7"/>
  <c r="K15172" i="7"/>
  <c r="L15173" i="7" s="1"/>
  <c r="E15172" i="7"/>
  <c r="D15172" i="7"/>
  <c r="E15171" i="7"/>
  <c r="D15171" i="7"/>
  <c r="K15170" i="7"/>
  <c r="L15171" i="7" s="1"/>
  <c r="E15170" i="7"/>
  <c r="D15170" i="7"/>
  <c r="L15169" i="7"/>
  <c r="E15169" i="7"/>
  <c r="D15169" i="7"/>
  <c r="E15168" i="7"/>
  <c r="D15168" i="7"/>
  <c r="L15167" i="7"/>
  <c r="E15167" i="7"/>
  <c r="D15167" i="7"/>
  <c r="E15166" i="7"/>
  <c r="D15166" i="7"/>
  <c r="L15165" i="7"/>
  <c r="E15165" i="7"/>
  <c r="D15165" i="7"/>
  <c r="E15164" i="7"/>
  <c r="D15164" i="7"/>
  <c r="E15163" i="7"/>
  <c r="D15163" i="7"/>
  <c r="E15162" i="7"/>
  <c r="D15162" i="7"/>
  <c r="L15161" i="7"/>
  <c r="E15161" i="7"/>
  <c r="D15161" i="7"/>
  <c r="E15160" i="7"/>
  <c r="D15160" i="7"/>
  <c r="L15159" i="7"/>
  <c r="E15159" i="7"/>
  <c r="D15159" i="7"/>
  <c r="E15158" i="7"/>
  <c r="D15158" i="7"/>
  <c r="L15157" i="7"/>
  <c r="E15157" i="7"/>
  <c r="D15157" i="7"/>
  <c r="E15156" i="7"/>
  <c r="D15156" i="7"/>
  <c r="L15155" i="7" l="1"/>
  <c r="E15155" i="7"/>
  <c r="D15155" i="7"/>
  <c r="E15154" i="7"/>
  <c r="D15154" i="7"/>
  <c r="L15153" i="7"/>
  <c r="E15153" i="7"/>
  <c r="D15153" i="7"/>
  <c r="E15152" i="7"/>
  <c r="D15152" i="7"/>
  <c r="L15148" i="7"/>
  <c r="E15148" i="7"/>
  <c r="D15148" i="7"/>
  <c r="E15147" i="7"/>
  <c r="D15147" i="7"/>
  <c r="D426" i="58"/>
  <c r="D427" i="58"/>
  <c r="D428" i="58"/>
  <c r="D429" i="58"/>
  <c r="D430" i="58"/>
  <c r="D431" i="58"/>
  <c r="D432" i="58"/>
  <c r="R432" i="58"/>
  <c r="P432" i="58"/>
  <c r="N432" i="58"/>
  <c r="L432" i="58"/>
  <c r="J432" i="58"/>
  <c r="H432" i="58"/>
  <c r="F432" i="58"/>
  <c r="R431" i="58"/>
  <c r="P431" i="58"/>
  <c r="N431" i="58"/>
  <c r="L431" i="58"/>
  <c r="J431" i="58"/>
  <c r="H431" i="58"/>
  <c r="F431" i="58"/>
  <c r="R430" i="58"/>
  <c r="P430" i="58"/>
  <c r="N430" i="58"/>
  <c r="L430" i="58"/>
  <c r="J430" i="58"/>
  <c r="H430" i="58"/>
  <c r="F430" i="58"/>
  <c r="R429" i="58"/>
  <c r="P429" i="58"/>
  <c r="N429" i="58"/>
  <c r="L429" i="58"/>
  <c r="J429" i="58"/>
  <c r="H429" i="58"/>
  <c r="F429" i="58"/>
  <c r="R428" i="58"/>
  <c r="P428" i="58"/>
  <c r="N428" i="58"/>
  <c r="L428" i="58"/>
  <c r="J428" i="58"/>
  <c r="H428" i="58"/>
  <c r="F428" i="58"/>
  <c r="R427" i="58"/>
  <c r="P427" i="58"/>
  <c r="N427" i="58"/>
  <c r="L427" i="58"/>
  <c r="J427" i="58"/>
  <c r="H427" i="58"/>
  <c r="F427" i="58"/>
  <c r="R426" i="58"/>
  <c r="P426" i="58"/>
  <c r="N426" i="58"/>
  <c r="L426" i="58"/>
  <c r="J426" i="58"/>
  <c r="H426" i="58"/>
  <c r="F426" i="58"/>
  <c r="E15151" i="7"/>
  <c r="D15151" i="7"/>
  <c r="E15150" i="7"/>
  <c r="D15150" i="7"/>
  <c r="E15149" i="7"/>
  <c r="D15149" i="7"/>
  <c r="E15146" i="7"/>
  <c r="D15146" i="7"/>
  <c r="E15145" i="7"/>
  <c r="D15145" i="7"/>
  <c r="E15144" i="7"/>
  <c r="D15144" i="7"/>
  <c r="E15107" i="7" l="1"/>
  <c r="D15107" i="7"/>
  <c r="E15106" i="7"/>
  <c r="D15106" i="7"/>
  <c r="E15105" i="7"/>
  <c r="D15105" i="7"/>
  <c r="L15143" i="7" l="1"/>
  <c r="E15143" i="7"/>
  <c r="D15143" i="7"/>
  <c r="E15142" i="7"/>
  <c r="D15142" i="7"/>
  <c r="E15141" i="7"/>
  <c r="D15141" i="7"/>
  <c r="E15140" i="7"/>
  <c r="D15140" i="7"/>
  <c r="E15139" i="7"/>
  <c r="D15139" i="7"/>
  <c r="E15138" i="7" l="1"/>
  <c r="D15138" i="7"/>
  <c r="E15137" i="7"/>
  <c r="D15137" i="7"/>
  <c r="E15136" i="7"/>
  <c r="D15136" i="7"/>
  <c r="E15135" i="7"/>
  <c r="D15135" i="7"/>
  <c r="E15134" i="7"/>
  <c r="D15134" i="7"/>
  <c r="E15129" i="7"/>
  <c r="D15129" i="7"/>
  <c r="E15128" i="7"/>
  <c r="D15128" i="7"/>
  <c r="E15127" i="7"/>
  <c r="D15127" i="7"/>
  <c r="L15133" i="7" l="1"/>
  <c r="E15133" i="7"/>
  <c r="D15133" i="7"/>
  <c r="E15132" i="7"/>
  <c r="D15132" i="7"/>
  <c r="L15126" i="7"/>
  <c r="E15126" i="7"/>
  <c r="D15126" i="7"/>
  <c r="E15125" i="7"/>
  <c r="D15125" i="7"/>
  <c r="L15131" i="7"/>
  <c r="E15131" i="7"/>
  <c r="D15131" i="7"/>
  <c r="E15130" i="7"/>
  <c r="D15130" i="7"/>
  <c r="E15124" i="7"/>
  <c r="D15124" i="7"/>
  <c r="E15123" i="7"/>
  <c r="D15123" i="7"/>
  <c r="E15122" i="7"/>
  <c r="D15122" i="7"/>
  <c r="L15121" i="7"/>
  <c r="E15121" i="7"/>
  <c r="D15121" i="7"/>
  <c r="E15120" i="7"/>
  <c r="D15120" i="7"/>
  <c r="L15119" i="7"/>
  <c r="E15119" i="7"/>
  <c r="D15119" i="7"/>
  <c r="E15118" i="7"/>
  <c r="D15118" i="7"/>
  <c r="L15096" i="7"/>
  <c r="E15096" i="7"/>
  <c r="D15096" i="7"/>
  <c r="E15095" i="7"/>
  <c r="D15095" i="7"/>
  <c r="E15117" i="7"/>
  <c r="D15117" i="7"/>
  <c r="E15116" i="7"/>
  <c r="D15116" i="7"/>
  <c r="E15115" i="7"/>
  <c r="D15115" i="7"/>
  <c r="E15114" i="7"/>
  <c r="D15114" i="7"/>
  <c r="E15113" i="7"/>
  <c r="D15113" i="7"/>
  <c r="E15112" i="7"/>
  <c r="D15112" i="7"/>
  <c r="E15111" i="7"/>
  <c r="D15111" i="7"/>
  <c r="E15110" i="7"/>
  <c r="D15110" i="7"/>
  <c r="E15109" i="7"/>
  <c r="D15109" i="7"/>
  <c r="E15108" i="7"/>
  <c r="D15108" i="7"/>
  <c r="E15104" i="7"/>
  <c r="D15104" i="7"/>
  <c r="E15103" i="7"/>
  <c r="D15103" i="7"/>
  <c r="E15102" i="7"/>
  <c r="D15102" i="7"/>
  <c r="E15101" i="7"/>
  <c r="D15101" i="7"/>
  <c r="E15100" i="7"/>
  <c r="D15100" i="7"/>
  <c r="E15099" i="7"/>
  <c r="D15099" i="7"/>
  <c r="E15098" i="7"/>
  <c r="D15098" i="7"/>
  <c r="E15097" i="7"/>
  <c r="D15097" i="7"/>
  <c r="L15094" i="7"/>
  <c r="E15094" i="7"/>
  <c r="D15094" i="7"/>
  <c r="E15093" i="7"/>
  <c r="D15093" i="7"/>
  <c r="E15092" i="7"/>
  <c r="D15092" i="7"/>
  <c r="E15091" i="7"/>
  <c r="D15091" i="7"/>
  <c r="E15090" i="7"/>
  <c r="D15090" i="7"/>
  <c r="E15071" i="7" l="1"/>
  <c r="D15071" i="7"/>
  <c r="E15070" i="7"/>
  <c r="D15070" i="7"/>
  <c r="E15069" i="7"/>
  <c r="D15069" i="7"/>
  <c r="E15089" i="7" l="1"/>
  <c r="D15089" i="7"/>
  <c r="K15088" i="7"/>
  <c r="L15089" i="7" s="1"/>
  <c r="E15088" i="7"/>
  <c r="D15088" i="7"/>
  <c r="E15087" i="7"/>
  <c r="D15087" i="7"/>
  <c r="K15086" i="7"/>
  <c r="L15087" i="7" s="1"/>
  <c r="E15086" i="7"/>
  <c r="D15086" i="7"/>
  <c r="L15085" i="7"/>
  <c r="E15085" i="7"/>
  <c r="D15085" i="7"/>
  <c r="E15084" i="7"/>
  <c r="D15084" i="7"/>
  <c r="L15083" i="7"/>
  <c r="E15083" i="7"/>
  <c r="D15083" i="7"/>
  <c r="E15082" i="7"/>
  <c r="D15082" i="7"/>
  <c r="L15081" i="7"/>
  <c r="E15081" i="7"/>
  <c r="D15081" i="7"/>
  <c r="E15080" i="7"/>
  <c r="D15080" i="7"/>
  <c r="E15079" i="7"/>
  <c r="D15079" i="7"/>
  <c r="E15078" i="7"/>
  <c r="D15078" i="7"/>
  <c r="L15077" i="7"/>
  <c r="E15077" i="7"/>
  <c r="D15077" i="7"/>
  <c r="E15076" i="7"/>
  <c r="D15076" i="7"/>
  <c r="L15075" i="7"/>
  <c r="E15075" i="7"/>
  <c r="D15075" i="7"/>
  <c r="E15074" i="7"/>
  <c r="D15074" i="7"/>
  <c r="L15073" i="7"/>
  <c r="E15073" i="7"/>
  <c r="D15073" i="7"/>
  <c r="E15072" i="7"/>
  <c r="D15072" i="7"/>
  <c r="K15036" i="7"/>
  <c r="E15038" i="7"/>
  <c r="D15038" i="7"/>
  <c r="E15037" i="7"/>
  <c r="D15037" i="7"/>
  <c r="E15036" i="7"/>
  <c r="D15036" i="7"/>
  <c r="L15068" i="7"/>
  <c r="E15068" i="7"/>
  <c r="D15068" i="7"/>
  <c r="E15067" i="7"/>
  <c r="D15067" i="7"/>
  <c r="L15066" i="7"/>
  <c r="E15066" i="7"/>
  <c r="D15066" i="7"/>
  <c r="E15065" i="7"/>
  <c r="D15065" i="7"/>
  <c r="L15064" i="7"/>
  <c r="E15064" i="7"/>
  <c r="D15064" i="7"/>
  <c r="E15063" i="7"/>
  <c r="D15063" i="7"/>
  <c r="L15062" i="7"/>
  <c r="E15062" i="7"/>
  <c r="D15062" i="7"/>
  <c r="E15061" i="7"/>
  <c r="D15061" i="7"/>
  <c r="L15060" i="7"/>
  <c r="E15060" i="7"/>
  <c r="D15060" i="7"/>
  <c r="E15059" i="7"/>
  <c r="D15059" i="7"/>
  <c r="D15053" i="7"/>
  <c r="D15054" i="7"/>
  <c r="D15055" i="7"/>
  <c r="E15055" i="7"/>
  <c r="E15054" i="7"/>
  <c r="E15053" i="7"/>
  <c r="E15058" i="7" l="1"/>
  <c r="D15058" i="7"/>
  <c r="E15057" i="7"/>
  <c r="D15057" i="7"/>
  <c r="E15056" i="7"/>
  <c r="D15056" i="7"/>
  <c r="E15052" i="7"/>
  <c r="D15052" i="7"/>
  <c r="E15051" i="7"/>
  <c r="D15051" i="7"/>
  <c r="E15050" i="7"/>
  <c r="D15050" i="7"/>
  <c r="E15049" i="7"/>
  <c r="D15049" i="7"/>
  <c r="E15048" i="7"/>
  <c r="D15048" i="7"/>
  <c r="E15047" i="7"/>
  <c r="D15047" i="7"/>
  <c r="E15046" i="7"/>
  <c r="D15046" i="7"/>
  <c r="E15045" i="7"/>
  <c r="D15045" i="7"/>
  <c r="E15044" i="7" l="1"/>
  <c r="D15044" i="7"/>
  <c r="E15043" i="7"/>
  <c r="D15043" i="7"/>
  <c r="E15042" i="7"/>
  <c r="D15042" i="7"/>
  <c r="E15041" i="7"/>
  <c r="D15041" i="7"/>
  <c r="E15040" i="7"/>
  <c r="D15040" i="7"/>
  <c r="E15039" i="7"/>
  <c r="D15039" i="7"/>
  <c r="E15035" i="7" l="1"/>
  <c r="D15035" i="7"/>
  <c r="E15034" i="7"/>
  <c r="D15034" i="7"/>
  <c r="E15033" i="7"/>
  <c r="D15033" i="7"/>
  <c r="E15032" i="7"/>
  <c r="D15032" i="7"/>
  <c r="E15031" i="7"/>
  <c r="D15031" i="7"/>
  <c r="E15030" i="7"/>
  <c r="D15030" i="7"/>
  <c r="L15029" i="7"/>
  <c r="E15029" i="7"/>
  <c r="D15029" i="7"/>
  <c r="E15028" i="7"/>
  <c r="D15028" i="7"/>
  <c r="L15027" i="7"/>
  <c r="E15027" i="7"/>
  <c r="D15027" i="7"/>
  <c r="E15026" i="7"/>
  <c r="D15026" i="7"/>
  <c r="L15025" i="7"/>
  <c r="E15025" i="7"/>
  <c r="D15025" i="7"/>
  <c r="E15024" i="7"/>
  <c r="D15024" i="7"/>
  <c r="E15023" i="7" l="1"/>
  <c r="D15023" i="7"/>
  <c r="E15022" i="7"/>
  <c r="D15022" i="7"/>
  <c r="E15021" i="7"/>
  <c r="D15021" i="7"/>
  <c r="D419" i="58"/>
  <c r="D420" i="58"/>
  <c r="D421" i="58"/>
  <c r="D422" i="58"/>
  <c r="D423" i="58"/>
  <c r="D424" i="58"/>
  <c r="D425" i="58"/>
  <c r="R425" i="58"/>
  <c r="P425" i="58"/>
  <c r="N425" i="58"/>
  <c r="L425" i="58"/>
  <c r="J425" i="58"/>
  <c r="H425" i="58"/>
  <c r="F425" i="58"/>
  <c r="R424" i="58"/>
  <c r="P424" i="58"/>
  <c r="N424" i="58"/>
  <c r="L424" i="58"/>
  <c r="J424" i="58"/>
  <c r="H424" i="58"/>
  <c r="F424" i="58"/>
  <c r="R423" i="58"/>
  <c r="P423" i="58"/>
  <c r="N423" i="58"/>
  <c r="L423" i="58"/>
  <c r="J423" i="58"/>
  <c r="H423" i="58"/>
  <c r="F423" i="58"/>
  <c r="R422" i="58"/>
  <c r="P422" i="58"/>
  <c r="N422" i="58"/>
  <c r="L422" i="58"/>
  <c r="J422" i="58"/>
  <c r="H422" i="58"/>
  <c r="F422" i="58"/>
  <c r="R421" i="58"/>
  <c r="P421" i="58"/>
  <c r="N421" i="58"/>
  <c r="L421" i="58"/>
  <c r="J421" i="58"/>
  <c r="H421" i="58"/>
  <c r="F421" i="58"/>
  <c r="R420" i="58"/>
  <c r="P420" i="58"/>
  <c r="N420" i="58"/>
  <c r="L420" i="58"/>
  <c r="J420" i="58"/>
  <c r="H420" i="58"/>
  <c r="F420" i="58"/>
  <c r="R419" i="58"/>
  <c r="P419" i="58"/>
  <c r="N419" i="58"/>
  <c r="L419" i="58"/>
  <c r="J419" i="58"/>
  <c r="H419" i="58"/>
  <c r="F419" i="58"/>
  <c r="L15020" i="7"/>
  <c r="E15020" i="7"/>
  <c r="D15020" i="7"/>
  <c r="E15019" i="7"/>
  <c r="D15019" i="7"/>
  <c r="L15018" i="7"/>
  <c r="E15018" i="7"/>
  <c r="D15018" i="7"/>
  <c r="E15017" i="7"/>
  <c r="D15017" i="7"/>
  <c r="L15016" i="7"/>
  <c r="E15016" i="7"/>
  <c r="D15016" i="7"/>
  <c r="E15015" i="7"/>
  <c r="D15015" i="7"/>
  <c r="E15014" i="7"/>
  <c r="D15014" i="7"/>
  <c r="E15013" i="7"/>
  <c r="D15013" i="7"/>
  <c r="L15012" i="7"/>
  <c r="E15012" i="7"/>
  <c r="D15012" i="7"/>
  <c r="E15011" i="7"/>
  <c r="D15011" i="7"/>
  <c r="L15010" i="7"/>
  <c r="E15010" i="7"/>
  <c r="D15010" i="7"/>
  <c r="E15009" i="7"/>
  <c r="D15009" i="7"/>
  <c r="E14997" i="7"/>
  <c r="D14997" i="7"/>
  <c r="E14996" i="7"/>
  <c r="D14996" i="7"/>
  <c r="E14995" i="7"/>
  <c r="D14995" i="7"/>
  <c r="L14994" i="7" l="1"/>
  <c r="E14994" i="7"/>
  <c r="D14994" i="7"/>
  <c r="E14993" i="7"/>
  <c r="D14993" i="7"/>
  <c r="L14992" i="7"/>
  <c r="E14992" i="7"/>
  <c r="D14992" i="7"/>
  <c r="E14991" i="7"/>
  <c r="D14991" i="7"/>
  <c r="L14956" i="7"/>
  <c r="E14956" i="7"/>
  <c r="D14956" i="7"/>
  <c r="E14955" i="7"/>
  <c r="D14955" i="7"/>
  <c r="L15008" i="7"/>
  <c r="E15008" i="7"/>
  <c r="D15008" i="7"/>
  <c r="E15007" i="7"/>
  <c r="D15007" i="7"/>
  <c r="L14990" i="7"/>
  <c r="E14990" i="7"/>
  <c r="D14990" i="7"/>
  <c r="E14989" i="7"/>
  <c r="D14989" i="7"/>
  <c r="E15000" i="7"/>
  <c r="D15000" i="7"/>
  <c r="E14999" i="7"/>
  <c r="D14999" i="7"/>
  <c r="E14998" i="7"/>
  <c r="D14998" i="7"/>
  <c r="E14988" i="7"/>
  <c r="D14988" i="7"/>
  <c r="E14987" i="7"/>
  <c r="D14987" i="7"/>
  <c r="E14986" i="7"/>
  <c r="D14986" i="7"/>
  <c r="E15006" i="7" l="1"/>
  <c r="D15006" i="7"/>
  <c r="E15005" i="7"/>
  <c r="D15005" i="7"/>
  <c r="E15004" i="7"/>
  <c r="D15004" i="7"/>
  <c r="E15003" i="7"/>
  <c r="D15003" i="7"/>
  <c r="E15002" i="7"/>
  <c r="D15002" i="7"/>
  <c r="E15001" i="7"/>
  <c r="D15001" i="7"/>
  <c r="E14985" i="7" l="1"/>
  <c r="D14985" i="7"/>
  <c r="E14984" i="7"/>
  <c r="D14984" i="7"/>
  <c r="E14983" i="7"/>
  <c r="D14983" i="7"/>
  <c r="E14982" i="7"/>
  <c r="D14982" i="7"/>
  <c r="E14981" i="7"/>
  <c r="D14981" i="7"/>
  <c r="E14980" i="7"/>
  <c r="D14980" i="7"/>
  <c r="E14979" i="7"/>
  <c r="D14979" i="7"/>
  <c r="E14978" i="7"/>
  <c r="D14978" i="7"/>
  <c r="E14977" i="7"/>
  <c r="D14977" i="7"/>
  <c r="E14976" i="7"/>
  <c r="D14976" i="7"/>
  <c r="E14975" i="7"/>
  <c r="D14975" i="7"/>
  <c r="E14946" i="7"/>
  <c r="D14946" i="7"/>
  <c r="E14945" i="7"/>
  <c r="D14945" i="7"/>
  <c r="E14944" i="7"/>
  <c r="D14944" i="7"/>
  <c r="E14943" i="7"/>
  <c r="D14943" i="7"/>
  <c r="E14942" i="7"/>
  <c r="D14942" i="7"/>
  <c r="E14954" i="7"/>
  <c r="D14954" i="7"/>
  <c r="E14953" i="7"/>
  <c r="D14953" i="7"/>
  <c r="E14952" i="7"/>
  <c r="D14952" i="7"/>
  <c r="E14951" i="7"/>
  <c r="D14951" i="7"/>
  <c r="E14950" i="7"/>
  <c r="D14950" i="7"/>
  <c r="E14949" i="7"/>
  <c r="D14949" i="7"/>
  <c r="E14948" i="7"/>
  <c r="D14948" i="7"/>
  <c r="E14947" i="7"/>
  <c r="D14947" i="7"/>
  <c r="D412" i="58"/>
  <c r="D413" i="58"/>
  <c r="D414" i="58"/>
  <c r="D415" i="58"/>
  <c r="D416" i="58"/>
  <c r="D417" i="58"/>
  <c r="D418" i="58"/>
  <c r="R418" i="58"/>
  <c r="P418" i="58"/>
  <c r="N418" i="58"/>
  <c r="L418" i="58"/>
  <c r="J418" i="58"/>
  <c r="H418" i="58"/>
  <c r="F418" i="58"/>
  <c r="R417" i="58"/>
  <c r="P417" i="58"/>
  <c r="N417" i="58"/>
  <c r="L417" i="58"/>
  <c r="J417" i="58"/>
  <c r="H417" i="58"/>
  <c r="F417" i="58"/>
  <c r="R416" i="58"/>
  <c r="P416" i="58"/>
  <c r="N416" i="58"/>
  <c r="L416" i="58"/>
  <c r="J416" i="58"/>
  <c r="H416" i="58"/>
  <c r="F416" i="58"/>
  <c r="R415" i="58"/>
  <c r="P415" i="58"/>
  <c r="N415" i="58"/>
  <c r="L415" i="58"/>
  <c r="J415" i="58"/>
  <c r="H415" i="58"/>
  <c r="F415" i="58"/>
  <c r="R414" i="58"/>
  <c r="P414" i="58"/>
  <c r="N414" i="58"/>
  <c r="L414" i="58"/>
  <c r="J414" i="58"/>
  <c r="H414" i="58"/>
  <c r="F414" i="58"/>
  <c r="R413" i="58"/>
  <c r="P413" i="58"/>
  <c r="N413" i="58"/>
  <c r="L413" i="58"/>
  <c r="J413" i="58"/>
  <c r="H413" i="58"/>
  <c r="F413" i="58"/>
  <c r="R412" i="58"/>
  <c r="P412" i="58"/>
  <c r="N412" i="58"/>
  <c r="L412" i="58"/>
  <c r="J412" i="58"/>
  <c r="H412" i="58"/>
  <c r="F412" i="58"/>
  <c r="E14918" i="7" l="1"/>
  <c r="D14918" i="7"/>
  <c r="E14917" i="7"/>
  <c r="D14917" i="7"/>
  <c r="E14916" i="7"/>
  <c r="D14916" i="7"/>
  <c r="E14941" i="7"/>
  <c r="D14941" i="7"/>
  <c r="E14940" i="7"/>
  <c r="D14940" i="7"/>
  <c r="E14939" i="7"/>
  <c r="D14939" i="7"/>
  <c r="E14938" i="7"/>
  <c r="D14938" i="7"/>
  <c r="E14937" i="7"/>
  <c r="D14937" i="7"/>
  <c r="E14936" i="7"/>
  <c r="D14936" i="7"/>
  <c r="L14935" i="7" l="1"/>
  <c r="E14935" i="7"/>
  <c r="D14935" i="7"/>
  <c r="E14934" i="7"/>
  <c r="D14934" i="7"/>
  <c r="L14933" i="7"/>
  <c r="E14933" i="7"/>
  <c r="D14933" i="7"/>
  <c r="E14932" i="7"/>
  <c r="D14932" i="7"/>
  <c r="E14974" i="7"/>
  <c r="D14974" i="7"/>
  <c r="K14973" i="7"/>
  <c r="L14974" i="7" s="1"/>
  <c r="E14973" i="7"/>
  <c r="D14973" i="7"/>
  <c r="E14972" i="7"/>
  <c r="D14972" i="7"/>
  <c r="K14971" i="7"/>
  <c r="L14972" i="7" s="1"/>
  <c r="E14971" i="7"/>
  <c r="D14971" i="7"/>
  <c r="L14970" i="7"/>
  <c r="E14970" i="7"/>
  <c r="D14970" i="7"/>
  <c r="E14969" i="7"/>
  <c r="D14969" i="7"/>
  <c r="L14968" i="7"/>
  <c r="E14968" i="7"/>
  <c r="D14968" i="7"/>
  <c r="E14967" i="7"/>
  <c r="D14967" i="7"/>
  <c r="L14966" i="7"/>
  <c r="E14966" i="7"/>
  <c r="D14966" i="7"/>
  <c r="E14965" i="7"/>
  <c r="D14965" i="7"/>
  <c r="E14964" i="7"/>
  <c r="D14964" i="7"/>
  <c r="E14963" i="7"/>
  <c r="D14963" i="7"/>
  <c r="L14962" i="7"/>
  <c r="E14962" i="7"/>
  <c r="D14962" i="7"/>
  <c r="E14961" i="7"/>
  <c r="D14961" i="7"/>
  <c r="L14960" i="7"/>
  <c r="E14960" i="7"/>
  <c r="D14960" i="7"/>
  <c r="E14959" i="7"/>
  <c r="D14959" i="7"/>
  <c r="L14958" i="7"/>
  <c r="E14958" i="7"/>
  <c r="D14958" i="7"/>
  <c r="E14957" i="7"/>
  <c r="D14957" i="7"/>
  <c r="L14931" i="7"/>
  <c r="E14931" i="7"/>
  <c r="D14931" i="7"/>
  <c r="E14930" i="7"/>
  <c r="D14930" i="7"/>
  <c r="L14915" i="7"/>
  <c r="E14915" i="7"/>
  <c r="D14915" i="7"/>
  <c r="E14914" i="7"/>
  <c r="D14914" i="7"/>
  <c r="L14895" i="7"/>
  <c r="E14895" i="7"/>
  <c r="D14895" i="7"/>
  <c r="E14894" i="7"/>
  <c r="D14894" i="7"/>
  <c r="L14880" i="7"/>
  <c r="E14880" i="7"/>
  <c r="D14880" i="7"/>
  <c r="E14879" i="7"/>
  <c r="D14879" i="7"/>
  <c r="E14845" i="7"/>
  <c r="D14845" i="7"/>
  <c r="E14844" i="7"/>
  <c r="D14844" i="7"/>
  <c r="E14843" i="7"/>
  <c r="D14843" i="7"/>
  <c r="E14842" i="7"/>
  <c r="D14842" i="7"/>
  <c r="E14841" i="7"/>
  <c r="D14841" i="7"/>
  <c r="E14840" i="7"/>
  <c r="D14840" i="7"/>
  <c r="L14929" i="7" l="1"/>
  <c r="E14929" i="7"/>
  <c r="D14929" i="7"/>
  <c r="E14928" i="7"/>
  <c r="D14928" i="7"/>
  <c r="L14913" i="7"/>
  <c r="E14913" i="7"/>
  <c r="D14913" i="7"/>
  <c r="E14912" i="7"/>
  <c r="D14912" i="7"/>
  <c r="D14910" i="7"/>
  <c r="E14910" i="7"/>
  <c r="E14911" i="7"/>
  <c r="D14911" i="7"/>
  <c r="L14909" i="7"/>
  <c r="E14909" i="7"/>
  <c r="D14909" i="7"/>
  <c r="E14908" i="7"/>
  <c r="D14908" i="7"/>
  <c r="L14907" i="7"/>
  <c r="E14907" i="7"/>
  <c r="D14907" i="7"/>
  <c r="E14906" i="7"/>
  <c r="D14906" i="7"/>
  <c r="L14893" i="7"/>
  <c r="E14893" i="7"/>
  <c r="D14893" i="7"/>
  <c r="E14892" i="7"/>
  <c r="D14892" i="7"/>
  <c r="L14878" i="7"/>
  <c r="E14878" i="7"/>
  <c r="D14878" i="7"/>
  <c r="E14877" i="7"/>
  <c r="D14877" i="7"/>
  <c r="E14927" i="7"/>
  <c r="D14927" i="7"/>
  <c r="E14926" i="7"/>
  <c r="D14926" i="7"/>
  <c r="E14925" i="7"/>
  <c r="D14925" i="7"/>
  <c r="E14924" i="7"/>
  <c r="D14924" i="7"/>
  <c r="E14923" i="7"/>
  <c r="D14923" i="7"/>
  <c r="E14922" i="7"/>
  <c r="D14922" i="7"/>
  <c r="E14921" i="7" l="1"/>
  <c r="D14921" i="7"/>
  <c r="E14920" i="7"/>
  <c r="D14920" i="7"/>
  <c r="E14919" i="7"/>
  <c r="D14919" i="7"/>
  <c r="E14905" i="7"/>
  <c r="D14905" i="7"/>
  <c r="E14904" i="7"/>
  <c r="D14904" i="7"/>
  <c r="E14903" i="7"/>
  <c r="D14903" i="7"/>
  <c r="E14902" i="7"/>
  <c r="D14902" i="7"/>
  <c r="E14901" i="7"/>
  <c r="D14901" i="7"/>
  <c r="E14900" i="7"/>
  <c r="D14900" i="7"/>
  <c r="E14899" i="7"/>
  <c r="D14899" i="7"/>
  <c r="E14898" i="7"/>
  <c r="D14898" i="7"/>
  <c r="E14897" i="7"/>
  <c r="D14897" i="7"/>
  <c r="E14896" i="7"/>
  <c r="D14896" i="7"/>
  <c r="E14891" i="7"/>
  <c r="D14891" i="7"/>
  <c r="E14890" i="7"/>
  <c r="D14890" i="7"/>
  <c r="E14889" i="7"/>
  <c r="D14889" i="7"/>
  <c r="E14888" i="7" l="1"/>
  <c r="D14888" i="7"/>
  <c r="E14887" i="7"/>
  <c r="D14887" i="7"/>
  <c r="E14886" i="7"/>
  <c r="D14886" i="7"/>
  <c r="E14885" i="7"/>
  <c r="D14885" i="7"/>
  <c r="E14884" i="7"/>
  <c r="D14884" i="7"/>
  <c r="E14883" i="7"/>
  <c r="D14883" i="7"/>
  <c r="E14882" i="7"/>
  <c r="D14882" i="7"/>
  <c r="E14881" i="7"/>
  <c r="D14881" i="7"/>
  <c r="E14873" i="7" l="1"/>
  <c r="D14873" i="7"/>
  <c r="E14872" i="7"/>
  <c r="D14872" i="7"/>
  <c r="E14871" i="7"/>
  <c r="D14871" i="7"/>
  <c r="E14870" i="7"/>
  <c r="D14870" i="7"/>
  <c r="E14869" i="7"/>
  <c r="D14869" i="7"/>
  <c r="E14876" i="7"/>
  <c r="D14876" i="7"/>
  <c r="E14875" i="7"/>
  <c r="D14875" i="7"/>
  <c r="E14874" i="7"/>
  <c r="D14874" i="7"/>
  <c r="E14868" i="7"/>
  <c r="D14868" i="7"/>
  <c r="E14867" i="7"/>
  <c r="D14867" i="7"/>
  <c r="E14866" i="7"/>
  <c r="D14866" i="7"/>
  <c r="E14865" i="7"/>
  <c r="D14865" i="7"/>
  <c r="E14864" i="7"/>
  <c r="D14864" i="7"/>
  <c r="E14839" i="7"/>
  <c r="D14839" i="7"/>
  <c r="E14838" i="7"/>
  <c r="D14838" i="7"/>
  <c r="E14837" i="7" l="1"/>
  <c r="D14837" i="7"/>
  <c r="E14836" i="7"/>
  <c r="D14836" i="7"/>
  <c r="E14835" i="7"/>
  <c r="D14835" i="7"/>
  <c r="E14863" i="7"/>
  <c r="D14863" i="7"/>
  <c r="K14862" i="7"/>
  <c r="L14863" i="7" s="1"/>
  <c r="E14862" i="7"/>
  <c r="D14862" i="7"/>
  <c r="E14861" i="7"/>
  <c r="D14861" i="7"/>
  <c r="K14860" i="7"/>
  <c r="L14861" i="7" s="1"/>
  <c r="E14860" i="7"/>
  <c r="D14860" i="7"/>
  <c r="L14859" i="7"/>
  <c r="E14859" i="7"/>
  <c r="D14859" i="7"/>
  <c r="E14858" i="7"/>
  <c r="D14858" i="7"/>
  <c r="L14857" i="7"/>
  <c r="E14857" i="7"/>
  <c r="D14857" i="7"/>
  <c r="E14856" i="7"/>
  <c r="D14856" i="7"/>
  <c r="L14855" i="7"/>
  <c r="E14855" i="7"/>
  <c r="D14855" i="7"/>
  <c r="E14854" i="7"/>
  <c r="D14854" i="7"/>
  <c r="E14853" i="7"/>
  <c r="D14853" i="7"/>
  <c r="E14852" i="7"/>
  <c r="D14852" i="7"/>
  <c r="L14851" i="7"/>
  <c r="E14851" i="7"/>
  <c r="D14851" i="7"/>
  <c r="E14850" i="7"/>
  <c r="D14850" i="7"/>
  <c r="L14849" i="7"/>
  <c r="E14849" i="7"/>
  <c r="D14849" i="7"/>
  <c r="E14848" i="7"/>
  <c r="D14848" i="7"/>
  <c r="L14847" i="7"/>
  <c r="E14847" i="7"/>
  <c r="D14847" i="7"/>
  <c r="E14846" i="7"/>
  <c r="D14846" i="7"/>
  <c r="D405" i="58"/>
  <c r="D406" i="58"/>
  <c r="D407" i="58"/>
  <c r="D408" i="58"/>
  <c r="D409" i="58"/>
  <c r="D410" i="58"/>
  <c r="D411" i="58"/>
  <c r="F405" i="58"/>
  <c r="F406" i="58"/>
  <c r="F407" i="58"/>
  <c r="F408" i="58"/>
  <c r="F409" i="58"/>
  <c r="F410" i="58"/>
  <c r="F411" i="58"/>
  <c r="R411" i="58"/>
  <c r="P411" i="58"/>
  <c r="N411" i="58"/>
  <c r="L411" i="58"/>
  <c r="J411" i="58"/>
  <c r="H411" i="58"/>
  <c r="R410" i="58"/>
  <c r="P410" i="58"/>
  <c r="N410" i="58"/>
  <c r="L410" i="58"/>
  <c r="J410" i="58"/>
  <c r="H410" i="58"/>
  <c r="R409" i="58"/>
  <c r="P409" i="58"/>
  <c r="N409" i="58"/>
  <c r="L409" i="58"/>
  <c r="J409" i="58"/>
  <c r="H409" i="58"/>
  <c r="R408" i="58"/>
  <c r="P408" i="58"/>
  <c r="N408" i="58"/>
  <c r="L408" i="58"/>
  <c r="J408" i="58"/>
  <c r="H408" i="58"/>
  <c r="R407" i="58"/>
  <c r="P407" i="58"/>
  <c r="N407" i="58"/>
  <c r="L407" i="58"/>
  <c r="J407" i="58"/>
  <c r="H407" i="58"/>
  <c r="R406" i="58"/>
  <c r="P406" i="58"/>
  <c r="N406" i="58"/>
  <c r="L406" i="58"/>
  <c r="J406" i="58"/>
  <c r="H406" i="58"/>
  <c r="R405" i="58"/>
  <c r="P405" i="58"/>
  <c r="N405" i="58"/>
  <c r="L405" i="58"/>
  <c r="J405" i="58"/>
  <c r="H405" i="58"/>
  <c r="L14834" i="7"/>
  <c r="E14834" i="7"/>
  <c r="D14834" i="7"/>
  <c r="E14833" i="7"/>
  <c r="D14833" i="7"/>
  <c r="L14832" i="7"/>
  <c r="E14832" i="7"/>
  <c r="D14832" i="7"/>
  <c r="E14831" i="7"/>
  <c r="D14831" i="7"/>
  <c r="L14827" i="7"/>
  <c r="E14827" i="7"/>
  <c r="D14827" i="7"/>
  <c r="E14826" i="7"/>
  <c r="D14826" i="7"/>
  <c r="E14830" i="7"/>
  <c r="D14830" i="7"/>
  <c r="E14829" i="7"/>
  <c r="D14829" i="7"/>
  <c r="E14828" i="7"/>
  <c r="D14828" i="7"/>
  <c r="L14825" i="7"/>
  <c r="E14825" i="7"/>
  <c r="D14825" i="7"/>
  <c r="E14824" i="7"/>
  <c r="D14824" i="7"/>
  <c r="E14778" i="7" l="1"/>
  <c r="D14778" i="7"/>
  <c r="E14777" i="7"/>
  <c r="D14777" i="7"/>
  <c r="E14776" i="7"/>
  <c r="D14776" i="7"/>
  <c r="E14823" i="7"/>
  <c r="D14823" i="7"/>
  <c r="E14822" i="7"/>
  <c r="D14822" i="7"/>
  <c r="E14821" i="7"/>
  <c r="D14821" i="7"/>
  <c r="E14806" i="7"/>
  <c r="D14806" i="7"/>
  <c r="E14805" i="7"/>
  <c r="D14805" i="7"/>
  <c r="E14804" i="7"/>
  <c r="D14804" i="7"/>
  <c r="E14820" i="7" l="1"/>
  <c r="D14820" i="7"/>
  <c r="E14819" i="7"/>
  <c r="D14819" i="7"/>
  <c r="E14818" i="7"/>
  <c r="D14818" i="7"/>
  <c r="K14772" i="7"/>
  <c r="E14817" i="7"/>
  <c r="D14817" i="7"/>
  <c r="E14816" i="7"/>
  <c r="D14816" i="7"/>
  <c r="E14815" i="7"/>
  <c r="D14815" i="7"/>
  <c r="E14814" i="7"/>
  <c r="D14814" i="7"/>
  <c r="E14813" i="7"/>
  <c r="D14813" i="7"/>
  <c r="E14800" i="7"/>
  <c r="D14800" i="7"/>
  <c r="E14799" i="7"/>
  <c r="D14799" i="7"/>
  <c r="E14798" i="7"/>
  <c r="D14798" i="7"/>
  <c r="E14791" i="7"/>
  <c r="D14791" i="7"/>
  <c r="E14790" i="7"/>
  <c r="D14790" i="7"/>
  <c r="E14789" i="7"/>
  <c r="D14789" i="7"/>
  <c r="L14812" i="7" l="1"/>
  <c r="E14812" i="7"/>
  <c r="D14812" i="7"/>
  <c r="E14811" i="7"/>
  <c r="D14811" i="7"/>
  <c r="L14788" i="7"/>
  <c r="E14788" i="7"/>
  <c r="D14788" i="7"/>
  <c r="E14787" i="7"/>
  <c r="D14787" i="7"/>
  <c r="L14810" i="7"/>
  <c r="E14810" i="7"/>
  <c r="D14810" i="7"/>
  <c r="E14809" i="7"/>
  <c r="D14809" i="7"/>
  <c r="L14808" i="7"/>
  <c r="E14808" i="7"/>
  <c r="D14808" i="7"/>
  <c r="E14807" i="7"/>
  <c r="D14807" i="7"/>
  <c r="L14786" i="7"/>
  <c r="E14786" i="7"/>
  <c r="D14786" i="7"/>
  <c r="E14785" i="7"/>
  <c r="D14785" i="7"/>
  <c r="L14757" i="7"/>
  <c r="E14757" i="7"/>
  <c r="D14757" i="7"/>
  <c r="E14756" i="7"/>
  <c r="D14756" i="7"/>
  <c r="E14803" i="7"/>
  <c r="D14803" i="7"/>
  <c r="E14802" i="7"/>
  <c r="D14802" i="7"/>
  <c r="E14801" i="7"/>
  <c r="D14801" i="7"/>
  <c r="E14797" i="7"/>
  <c r="D14797" i="7"/>
  <c r="E14796" i="7"/>
  <c r="D14796" i="7"/>
  <c r="E14795" i="7"/>
  <c r="D14795" i="7"/>
  <c r="E14794" i="7"/>
  <c r="D14794" i="7"/>
  <c r="E14793" i="7"/>
  <c r="D14793" i="7"/>
  <c r="E14792" i="7"/>
  <c r="D14792" i="7"/>
  <c r="E14784" i="7"/>
  <c r="D14784" i="7"/>
  <c r="E14783" i="7"/>
  <c r="D14783" i="7"/>
  <c r="E14782" i="7"/>
  <c r="D14782" i="7"/>
  <c r="E14781" i="7"/>
  <c r="D14781" i="7"/>
  <c r="E14780" i="7"/>
  <c r="D14780" i="7"/>
  <c r="E14779" i="7"/>
  <c r="D14779" i="7"/>
  <c r="E14755" i="7" l="1"/>
  <c r="D14755" i="7"/>
  <c r="E14754" i="7"/>
  <c r="D14754" i="7"/>
  <c r="E14753" i="7"/>
  <c r="D14753" i="7"/>
  <c r="E14775" i="7"/>
  <c r="D14775" i="7"/>
  <c r="K14774" i="7"/>
  <c r="L14775" i="7" s="1"/>
  <c r="E14774" i="7"/>
  <c r="D14774" i="7"/>
  <c r="E14773" i="7"/>
  <c r="D14773" i="7"/>
  <c r="L14773" i="7"/>
  <c r="E14772" i="7"/>
  <c r="D14772" i="7"/>
  <c r="L14771" i="7"/>
  <c r="E14771" i="7"/>
  <c r="D14771" i="7"/>
  <c r="E14770" i="7"/>
  <c r="D14770" i="7"/>
  <c r="L14769" i="7"/>
  <c r="E14769" i="7"/>
  <c r="D14769" i="7"/>
  <c r="E14768" i="7"/>
  <c r="D14768" i="7"/>
  <c r="L14767" i="7"/>
  <c r="E14767" i="7"/>
  <c r="D14767" i="7"/>
  <c r="E14766" i="7"/>
  <c r="D14766" i="7"/>
  <c r="E14765" i="7"/>
  <c r="D14765" i="7"/>
  <c r="E14764" i="7"/>
  <c r="D14764" i="7"/>
  <c r="L14763" i="7"/>
  <c r="E14763" i="7"/>
  <c r="D14763" i="7"/>
  <c r="E14762" i="7"/>
  <c r="D14762" i="7"/>
  <c r="L14761" i="7"/>
  <c r="E14761" i="7"/>
  <c r="D14761" i="7"/>
  <c r="E14760" i="7"/>
  <c r="D14760" i="7"/>
  <c r="L14759" i="7"/>
  <c r="E14759" i="7"/>
  <c r="D14759" i="7"/>
  <c r="E14758" i="7"/>
  <c r="D14758" i="7"/>
  <c r="E14752" i="7"/>
  <c r="D14752" i="7"/>
  <c r="E14751" i="7"/>
  <c r="D14751" i="7"/>
  <c r="E14750" i="7"/>
  <c r="D14750" i="7"/>
  <c r="L14749" i="7" l="1"/>
  <c r="E14749" i="7"/>
  <c r="D14749" i="7"/>
  <c r="E14748" i="7"/>
  <c r="D14748" i="7"/>
  <c r="E14747" i="7"/>
  <c r="D14747" i="7"/>
  <c r="E14746" i="7"/>
  <c r="D14746" i="7"/>
  <c r="E14745" i="7"/>
  <c r="D14745" i="7"/>
  <c r="E14740" i="7" l="1"/>
  <c r="D14740" i="7"/>
  <c r="E14739" i="7"/>
  <c r="D14739" i="7"/>
  <c r="E14738" i="7"/>
  <c r="D14738" i="7"/>
  <c r="E14737" i="7"/>
  <c r="D14737" i="7"/>
  <c r="E14736" i="7"/>
  <c r="D14736" i="7"/>
  <c r="E14722" i="7"/>
  <c r="D14722" i="7"/>
  <c r="E14721" i="7"/>
  <c r="D14721" i="7"/>
  <c r="E14720" i="7"/>
  <c r="D14720" i="7"/>
  <c r="E14719" i="7"/>
  <c r="D14719" i="7"/>
  <c r="E14718" i="7"/>
  <c r="D14718" i="7"/>
  <c r="E14709" i="7"/>
  <c r="D14709" i="7"/>
  <c r="E14708" i="7"/>
  <c r="D14708" i="7"/>
  <c r="E14707" i="7"/>
  <c r="D14707" i="7"/>
  <c r="E14706" i="7"/>
  <c r="D14706" i="7"/>
  <c r="E14705" i="7"/>
  <c r="D14705" i="7"/>
  <c r="E14701" i="7"/>
  <c r="D14701" i="7"/>
  <c r="E14700" i="7"/>
  <c r="D14700" i="7"/>
  <c r="E14699" i="7"/>
  <c r="D14699" i="7"/>
  <c r="E14698" i="7"/>
  <c r="D14698" i="7"/>
  <c r="E14697" i="7"/>
  <c r="D14697" i="7"/>
  <c r="L14735" i="7"/>
  <c r="E14735" i="7"/>
  <c r="D14735" i="7"/>
  <c r="E14734" i="7"/>
  <c r="D14734" i="7"/>
  <c r="E14744" i="7"/>
  <c r="D14744" i="7"/>
  <c r="E14743" i="7"/>
  <c r="D14743" i="7"/>
  <c r="L14742" i="7"/>
  <c r="E14742" i="7"/>
  <c r="D14742" i="7"/>
  <c r="E14741" i="7"/>
  <c r="D14741" i="7"/>
  <c r="L14733" i="7"/>
  <c r="E14733" i="7"/>
  <c r="D14733" i="7"/>
  <c r="E14732" i="7"/>
  <c r="D14732" i="7"/>
  <c r="E14731" i="7"/>
  <c r="D14731" i="7"/>
  <c r="E14730" i="7"/>
  <c r="D14730" i="7"/>
  <c r="E14729" i="7"/>
  <c r="D14729" i="7"/>
  <c r="L14717" i="7"/>
  <c r="E14717" i="7"/>
  <c r="D14717" i="7"/>
  <c r="E14716" i="7"/>
  <c r="D14716" i="7"/>
  <c r="D398" i="58" l="1"/>
  <c r="D399" i="58"/>
  <c r="D400" i="58"/>
  <c r="D401" i="58"/>
  <c r="D402" i="58"/>
  <c r="D403" i="58"/>
  <c r="D404" i="58"/>
  <c r="F398" i="58"/>
  <c r="F399" i="58"/>
  <c r="F400" i="58"/>
  <c r="F401" i="58"/>
  <c r="F402" i="58"/>
  <c r="F403" i="58"/>
  <c r="F404" i="58"/>
  <c r="H398" i="58"/>
  <c r="H399" i="58"/>
  <c r="H400" i="58"/>
  <c r="H401" i="58"/>
  <c r="H402" i="58"/>
  <c r="H403" i="58"/>
  <c r="H404" i="58"/>
  <c r="R404" i="58"/>
  <c r="P404" i="58"/>
  <c r="N404" i="58"/>
  <c r="L404" i="58"/>
  <c r="R403" i="58"/>
  <c r="P403" i="58"/>
  <c r="N403" i="58"/>
  <c r="L403" i="58"/>
  <c r="R402" i="58"/>
  <c r="P402" i="58"/>
  <c r="N402" i="58"/>
  <c r="L402" i="58"/>
  <c r="R401" i="58"/>
  <c r="P401" i="58"/>
  <c r="N401" i="58"/>
  <c r="L401" i="58"/>
  <c r="R400" i="58"/>
  <c r="P400" i="58"/>
  <c r="N400" i="58"/>
  <c r="L400" i="58"/>
  <c r="R399" i="58"/>
  <c r="P399" i="58"/>
  <c r="N399" i="58"/>
  <c r="L399" i="58"/>
  <c r="R398" i="58"/>
  <c r="P398" i="58"/>
  <c r="N398" i="58"/>
  <c r="L398" i="58"/>
  <c r="J398" i="58"/>
  <c r="J399" i="58"/>
  <c r="J400" i="58"/>
  <c r="J401" i="58"/>
  <c r="J402" i="58"/>
  <c r="J403" i="58"/>
  <c r="J404" i="58"/>
  <c r="E14715" i="7"/>
  <c r="D14715" i="7"/>
  <c r="E14714" i="7"/>
  <c r="D14714" i="7"/>
  <c r="E14713" i="7"/>
  <c r="D14713" i="7"/>
  <c r="E14672" i="7"/>
  <c r="D14672" i="7"/>
  <c r="E14671" i="7"/>
  <c r="D14671" i="7"/>
  <c r="E14670" i="7"/>
  <c r="D14670" i="7"/>
  <c r="E14669" i="7"/>
  <c r="D14669" i="7"/>
  <c r="E14668" i="7"/>
  <c r="D14668" i="7"/>
  <c r="E14667" i="7"/>
  <c r="D14667" i="7"/>
  <c r="E14728" i="7" l="1"/>
  <c r="D14728" i="7"/>
  <c r="E14727" i="7"/>
  <c r="D14727" i="7"/>
  <c r="E14726" i="7"/>
  <c r="D14726" i="7"/>
  <c r="E14725" i="7"/>
  <c r="D14725" i="7"/>
  <c r="E14724" i="7"/>
  <c r="D14724" i="7"/>
  <c r="E14723" i="7"/>
  <c r="D14723" i="7"/>
  <c r="E14696" i="7" l="1"/>
  <c r="D14696" i="7"/>
  <c r="E14695" i="7"/>
  <c r="D14695" i="7"/>
  <c r="L14694" i="7"/>
  <c r="E14694" i="7"/>
  <c r="D14694" i="7"/>
  <c r="E14693" i="7"/>
  <c r="D14693" i="7"/>
  <c r="E14712" i="7"/>
  <c r="D14712" i="7"/>
  <c r="E14711" i="7"/>
  <c r="D14711" i="7"/>
  <c r="E14710" i="7"/>
  <c r="D14710" i="7"/>
  <c r="E14704" i="7"/>
  <c r="D14704" i="7"/>
  <c r="E14703" i="7"/>
  <c r="D14703" i="7"/>
  <c r="E14702" i="7"/>
  <c r="D14702" i="7"/>
  <c r="E14666" i="7" l="1"/>
  <c r="D14666" i="7"/>
  <c r="E14665" i="7"/>
  <c r="D14665" i="7"/>
  <c r="E14664" i="7"/>
  <c r="D14664" i="7"/>
  <c r="E14663" i="7" l="1"/>
  <c r="D14663" i="7"/>
  <c r="E14662" i="7"/>
  <c r="D14662" i="7"/>
  <c r="E14661" i="7"/>
  <c r="D14661" i="7"/>
  <c r="E14641" i="7" l="1"/>
  <c r="D14641" i="7"/>
  <c r="E14640" i="7"/>
  <c r="D14640" i="7"/>
  <c r="E14639" i="7"/>
  <c r="D14639" i="7"/>
  <c r="E14660" i="7"/>
  <c r="D14660" i="7"/>
  <c r="E14659" i="7"/>
  <c r="D14659" i="7"/>
  <c r="L14658" i="7"/>
  <c r="E14658" i="7"/>
  <c r="D14658" i="7"/>
  <c r="E14657" i="7"/>
  <c r="D14657" i="7"/>
  <c r="E14656" i="7"/>
  <c r="D14656" i="7"/>
  <c r="E14655" i="7"/>
  <c r="D14655" i="7"/>
  <c r="E14654" i="7"/>
  <c r="D14654" i="7"/>
  <c r="E14692" i="7" l="1"/>
  <c r="D14692" i="7"/>
  <c r="K14691" i="7"/>
  <c r="L14692" i="7" s="1"/>
  <c r="E14691" i="7"/>
  <c r="D14691" i="7"/>
  <c r="E14690" i="7"/>
  <c r="D14690" i="7"/>
  <c r="K14689" i="7"/>
  <c r="L14690" i="7" s="1"/>
  <c r="E14689" i="7"/>
  <c r="D14689" i="7"/>
  <c r="L14688" i="7"/>
  <c r="E14688" i="7"/>
  <c r="D14688" i="7"/>
  <c r="E14687" i="7"/>
  <c r="D14687" i="7"/>
  <c r="L14686" i="7"/>
  <c r="E14686" i="7"/>
  <c r="D14686" i="7"/>
  <c r="E14685" i="7"/>
  <c r="D14685" i="7"/>
  <c r="L14684" i="7"/>
  <c r="E14684" i="7"/>
  <c r="D14684" i="7"/>
  <c r="E14683" i="7"/>
  <c r="D14683" i="7"/>
  <c r="E14682" i="7"/>
  <c r="D14682" i="7"/>
  <c r="E14681" i="7"/>
  <c r="D14681" i="7"/>
  <c r="L14680" i="7"/>
  <c r="E14680" i="7"/>
  <c r="D14680" i="7"/>
  <c r="E14679" i="7"/>
  <c r="D14679" i="7"/>
  <c r="L14678" i="7"/>
  <c r="E14678" i="7"/>
  <c r="D14678" i="7"/>
  <c r="E14677" i="7"/>
  <c r="D14677" i="7"/>
  <c r="L14676" i="7"/>
  <c r="E14676" i="7"/>
  <c r="D14676" i="7"/>
  <c r="E14675" i="7"/>
  <c r="D14675" i="7"/>
  <c r="E14653" i="7"/>
  <c r="D14653" i="7"/>
  <c r="E14652" i="7"/>
  <c r="D14652" i="7"/>
  <c r="E14633" i="7"/>
  <c r="D14633" i="7"/>
  <c r="E14632" i="7"/>
  <c r="D14632" i="7"/>
  <c r="E14651" i="7"/>
  <c r="D14651" i="7"/>
  <c r="E14650" i="7"/>
  <c r="D14650" i="7"/>
  <c r="E14649" i="7"/>
  <c r="D14649" i="7"/>
  <c r="L14648" i="7"/>
  <c r="E14648" i="7"/>
  <c r="D14648" i="7"/>
  <c r="E14647" i="7"/>
  <c r="D14647" i="7"/>
  <c r="E14631" i="7"/>
  <c r="D14631" i="7"/>
  <c r="E14630" i="7"/>
  <c r="D14630" i="7"/>
  <c r="E14629" i="7"/>
  <c r="D14629" i="7"/>
  <c r="E14628" i="7"/>
  <c r="D14628" i="7"/>
  <c r="E14623" i="7"/>
  <c r="D14623" i="7"/>
  <c r="L14622" i="7"/>
  <c r="E14622" i="7"/>
  <c r="D14622" i="7"/>
  <c r="E14621" i="7"/>
  <c r="D14621" i="7"/>
  <c r="L14620" i="7"/>
  <c r="E14620" i="7"/>
  <c r="D14620" i="7"/>
  <c r="E14619" i="7"/>
  <c r="D14619" i="7"/>
  <c r="L14618" i="7"/>
  <c r="E14618" i="7"/>
  <c r="D14618" i="7"/>
  <c r="E14617" i="7"/>
  <c r="D14617" i="7"/>
  <c r="L14616" i="7"/>
  <c r="E14616" i="7"/>
  <c r="D14616" i="7"/>
  <c r="E14615" i="7"/>
  <c r="D14615" i="7"/>
  <c r="K14601" i="7"/>
  <c r="E14602" i="7"/>
  <c r="D14602" i="7"/>
  <c r="E14601" i="7"/>
  <c r="D14601" i="7"/>
  <c r="D391" i="58"/>
  <c r="D392" i="58"/>
  <c r="D393" i="58"/>
  <c r="D394" i="58"/>
  <c r="D395" i="58"/>
  <c r="D396" i="58"/>
  <c r="D397" i="58"/>
  <c r="R397" i="58"/>
  <c r="P397" i="58"/>
  <c r="N397" i="58"/>
  <c r="L397" i="58"/>
  <c r="J397" i="58"/>
  <c r="H397" i="58"/>
  <c r="F397" i="58"/>
  <c r="R396" i="58"/>
  <c r="P396" i="58"/>
  <c r="N396" i="58"/>
  <c r="L396" i="58"/>
  <c r="J396" i="58"/>
  <c r="H396" i="58"/>
  <c r="F396" i="58"/>
  <c r="R395" i="58"/>
  <c r="P395" i="58"/>
  <c r="N395" i="58"/>
  <c r="L395" i="58"/>
  <c r="J395" i="58"/>
  <c r="H395" i="58"/>
  <c r="F395" i="58"/>
  <c r="R394" i="58"/>
  <c r="P394" i="58"/>
  <c r="N394" i="58"/>
  <c r="L394" i="58"/>
  <c r="J394" i="58"/>
  <c r="H394" i="58"/>
  <c r="F394" i="58"/>
  <c r="R393" i="58"/>
  <c r="P393" i="58"/>
  <c r="N393" i="58"/>
  <c r="L393" i="58"/>
  <c r="J393" i="58"/>
  <c r="H393" i="58"/>
  <c r="F393" i="58"/>
  <c r="R392" i="58"/>
  <c r="P392" i="58"/>
  <c r="N392" i="58"/>
  <c r="L392" i="58"/>
  <c r="J392" i="58"/>
  <c r="H392" i="58"/>
  <c r="F392" i="58"/>
  <c r="R391" i="58"/>
  <c r="P391" i="58"/>
  <c r="N391" i="58"/>
  <c r="L391" i="58"/>
  <c r="J391" i="58"/>
  <c r="H391" i="58"/>
  <c r="F391" i="58"/>
  <c r="E14638" i="7" l="1"/>
  <c r="D14638" i="7"/>
  <c r="E14637" i="7"/>
  <c r="D14637" i="7"/>
  <c r="E14636" i="7"/>
  <c r="D14636" i="7"/>
  <c r="E14591" i="7"/>
  <c r="D14591" i="7"/>
  <c r="E14590" i="7"/>
  <c r="D14590" i="7"/>
  <c r="E14589" i="7"/>
  <c r="D14589" i="7"/>
  <c r="E14611" i="7"/>
  <c r="D14611" i="7"/>
  <c r="E14610" i="7"/>
  <c r="D14610" i="7"/>
  <c r="E14609" i="7"/>
  <c r="D14609" i="7"/>
  <c r="E14614" i="7"/>
  <c r="D14614" i="7"/>
  <c r="E14613" i="7"/>
  <c r="D14613" i="7"/>
  <c r="E14612" i="7"/>
  <c r="D14612" i="7"/>
  <c r="D14642" i="7"/>
  <c r="E14642" i="7"/>
  <c r="E14608" i="7"/>
  <c r="D14608" i="7"/>
  <c r="E14607" i="7"/>
  <c r="D14607" i="7"/>
  <c r="E14606" i="7"/>
  <c r="D14606" i="7"/>
  <c r="E14600" i="7"/>
  <c r="D14600" i="7"/>
  <c r="E14599" i="7"/>
  <c r="D14599" i="7"/>
  <c r="E14598" i="7"/>
  <c r="D14598" i="7"/>
  <c r="E14646" i="7" l="1"/>
  <c r="D14646" i="7"/>
  <c r="E14645" i="7"/>
  <c r="D14645" i="7"/>
  <c r="E14644" i="7"/>
  <c r="D14644" i="7"/>
  <c r="E14643" i="7"/>
  <c r="D14643" i="7"/>
  <c r="E14605" i="7"/>
  <c r="D14605" i="7"/>
  <c r="E14604" i="7"/>
  <c r="D14604" i="7"/>
  <c r="E14603" i="7"/>
  <c r="D14603" i="7"/>
  <c r="E14597" i="7"/>
  <c r="D14597" i="7"/>
  <c r="E14596" i="7"/>
  <c r="D14596" i="7"/>
  <c r="E14595" i="7"/>
  <c r="D14595" i="7"/>
  <c r="E14594" i="7" l="1"/>
  <c r="D14594" i="7"/>
  <c r="E14593" i="7"/>
  <c r="D14593" i="7"/>
  <c r="E14592" i="7"/>
  <c r="D14592" i="7"/>
  <c r="E14570" i="7" l="1"/>
  <c r="D14570" i="7"/>
  <c r="E14569" i="7"/>
  <c r="D14569" i="7"/>
  <c r="E14568" i="7"/>
  <c r="D14568" i="7"/>
  <c r="D14571" i="7"/>
  <c r="E14571" i="7"/>
  <c r="E14567" i="7" l="1"/>
  <c r="D14567" i="7"/>
  <c r="E14566" i="7"/>
  <c r="D14566" i="7"/>
  <c r="E14565" i="7"/>
  <c r="D14565" i="7"/>
  <c r="E14564" i="7" l="1"/>
  <c r="D14564" i="7"/>
  <c r="E14563" i="7"/>
  <c r="D14563" i="7"/>
  <c r="E14562" i="7"/>
  <c r="D14562" i="7"/>
  <c r="E14561" i="7"/>
  <c r="D14561" i="7"/>
  <c r="E14560" i="7"/>
  <c r="D14560" i="7"/>
  <c r="E14559" i="7"/>
  <c r="D14559" i="7"/>
  <c r="E14558" i="7"/>
  <c r="D14558" i="7"/>
  <c r="E14557" i="7"/>
  <c r="D14557" i="7"/>
  <c r="E14588" i="7" l="1"/>
  <c r="D14588" i="7"/>
  <c r="K14587" i="7"/>
  <c r="L14588" i="7" s="1"/>
  <c r="E14587" i="7"/>
  <c r="D14587" i="7"/>
  <c r="E14586" i="7"/>
  <c r="D14586" i="7"/>
  <c r="K14585" i="7"/>
  <c r="L14586" i="7" s="1"/>
  <c r="E14585" i="7"/>
  <c r="D14585" i="7"/>
  <c r="L14584" i="7"/>
  <c r="E14584" i="7"/>
  <c r="D14584" i="7"/>
  <c r="E14583" i="7"/>
  <c r="D14583" i="7"/>
  <c r="L14582" i="7"/>
  <c r="E14582" i="7"/>
  <c r="D14582" i="7"/>
  <c r="E14581" i="7"/>
  <c r="D14581" i="7"/>
  <c r="L14580" i="7"/>
  <c r="E14580" i="7"/>
  <c r="D14580" i="7"/>
  <c r="E14579" i="7"/>
  <c r="D14579" i="7"/>
  <c r="E14578" i="7"/>
  <c r="D14578" i="7"/>
  <c r="E14577" i="7"/>
  <c r="D14577" i="7"/>
  <c r="L14576" i="7"/>
  <c r="E14576" i="7"/>
  <c r="D14576" i="7"/>
  <c r="E14575" i="7"/>
  <c r="D14575" i="7"/>
  <c r="L14574" i="7"/>
  <c r="E14574" i="7"/>
  <c r="D14574" i="7"/>
  <c r="E14573" i="7"/>
  <c r="D14573" i="7"/>
  <c r="L14572" i="7"/>
  <c r="E14572" i="7"/>
  <c r="D14572" i="7"/>
  <c r="L14556" i="7"/>
  <c r="E14556" i="7"/>
  <c r="D14556" i="7"/>
  <c r="E14555" i="7"/>
  <c r="D14555" i="7"/>
  <c r="E14554" i="7"/>
  <c r="D14554" i="7"/>
  <c r="E14553" i="7"/>
  <c r="D14553" i="7"/>
  <c r="E14552" i="7"/>
  <c r="D14552" i="7"/>
  <c r="E14551" i="7"/>
  <c r="D14551" i="7"/>
  <c r="E14550" i="7"/>
  <c r="D14550" i="7"/>
  <c r="E14504" i="7"/>
  <c r="D14504" i="7"/>
  <c r="E14503" i="7"/>
  <c r="D14503" i="7"/>
  <c r="E14502" i="7"/>
  <c r="D14502" i="7"/>
  <c r="D384" i="58" l="1"/>
  <c r="D385" i="58"/>
  <c r="D386" i="58"/>
  <c r="D387" i="58"/>
  <c r="D388" i="58"/>
  <c r="D389" i="58"/>
  <c r="D390" i="58"/>
  <c r="F384" i="58"/>
  <c r="F385" i="58"/>
  <c r="F386" i="58"/>
  <c r="F387" i="58"/>
  <c r="F388" i="58"/>
  <c r="F389" i="58"/>
  <c r="F390" i="58"/>
  <c r="H384" i="58"/>
  <c r="H385" i="58"/>
  <c r="H386" i="58"/>
  <c r="H387" i="58"/>
  <c r="H388" i="58"/>
  <c r="H389" i="58"/>
  <c r="H390" i="58"/>
  <c r="R390" i="58"/>
  <c r="P390" i="58"/>
  <c r="N390" i="58"/>
  <c r="L390" i="58"/>
  <c r="J390" i="58"/>
  <c r="R389" i="58"/>
  <c r="P389" i="58"/>
  <c r="N389" i="58"/>
  <c r="L389" i="58"/>
  <c r="J389" i="58"/>
  <c r="R388" i="58"/>
  <c r="P388" i="58"/>
  <c r="N388" i="58"/>
  <c r="L388" i="58"/>
  <c r="J388" i="58"/>
  <c r="R387" i="58"/>
  <c r="P387" i="58"/>
  <c r="N387" i="58"/>
  <c r="L387" i="58"/>
  <c r="J387" i="58"/>
  <c r="R386" i="58"/>
  <c r="P386" i="58"/>
  <c r="N386" i="58"/>
  <c r="L386" i="58"/>
  <c r="J386" i="58"/>
  <c r="R385" i="58"/>
  <c r="P385" i="58"/>
  <c r="N385" i="58"/>
  <c r="L385" i="58"/>
  <c r="J385" i="58"/>
  <c r="R384" i="58"/>
  <c r="P384" i="58"/>
  <c r="N384" i="58"/>
  <c r="L384" i="58"/>
  <c r="J384" i="58"/>
  <c r="E14549" i="7"/>
  <c r="D14549" i="7"/>
  <c r="E14548" i="7"/>
  <c r="D14548" i="7"/>
  <c r="E14543" i="7"/>
  <c r="D14543" i="7"/>
  <c r="E14542" i="7"/>
  <c r="D14542" i="7"/>
  <c r="L14545" i="7"/>
  <c r="E14545" i="7"/>
  <c r="D14545" i="7"/>
  <c r="E14544" i="7"/>
  <c r="D14544" i="7"/>
  <c r="L14547" i="7"/>
  <c r="E14547" i="7"/>
  <c r="D14547" i="7"/>
  <c r="E14546" i="7"/>
  <c r="D14546" i="7"/>
  <c r="L14541" i="7"/>
  <c r="E14541" i="7"/>
  <c r="D14541" i="7"/>
  <c r="E14540" i="7"/>
  <c r="D14540" i="7"/>
  <c r="E14524" i="7"/>
  <c r="D14524" i="7"/>
  <c r="E14523" i="7"/>
  <c r="D14523" i="7"/>
  <c r="E14522" i="7"/>
  <c r="D14522" i="7"/>
  <c r="E14521" i="7"/>
  <c r="D14521" i="7"/>
  <c r="E14520" i="7"/>
  <c r="D14520" i="7"/>
  <c r="E14519" i="7"/>
  <c r="D14519" i="7"/>
  <c r="E14516" i="7" l="1"/>
  <c r="D14516" i="7"/>
  <c r="E14515" i="7"/>
  <c r="D14515" i="7"/>
  <c r="L14501" i="7"/>
  <c r="E14501" i="7"/>
  <c r="D14501" i="7"/>
  <c r="E14500" i="7"/>
  <c r="D14500" i="7"/>
  <c r="L14499" i="7"/>
  <c r="E14499" i="7"/>
  <c r="D14499" i="7"/>
  <c r="E14498" i="7"/>
  <c r="D14498" i="7"/>
  <c r="E14497" i="7"/>
  <c r="D14497" i="7"/>
  <c r="E14496" i="7"/>
  <c r="D14496" i="7"/>
  <c r="E14495" i="7"/>
  <c r="D14495" i="7"/>
  <c r="E14494" i="7"/>
  <c r="D14494" i="7"/>
  <c r="E14493" i="7"/>
  <c r="D14493" i="7"/>
  <c r="E14492" i="7"/>
  <c r="D14492" i="7"/>
  <c r="E14539" i="7"/>
  <c r="D14539" i="7"/>
  <c r="E14538" i="7"/>
  <c r="D14538" i="7"/>
  <c r="E14518" i="7"/>
  <c r="D14518" i="7"/>
  <c r="E14517" i="7"/>
  <c r="D14517" i="7"/>
  <c r="E14491" i="7"/>
  <c r="D14491" i="7"/>
  <c r="E14490" i="7"/>
  <c r="D14490" i="7"/>
  <c r="E14537" i="7"/>
  <c r="D14537" i="7"/>
  <c r="E14536" i="7"/>
  <c r="D14536" i="7"/>
  <c r="E14535" i="7"/>
  <c r="D14535" i="7"/>
  <c r="E14534" i="7" l="1"/>
  <c r="D14534" i="7"/>
  <c r="E14533" i="7"/>
  <c r="D14533" i="7"/>
  <c r="E14532" i="7"/>
  <c r="D14532" i="7"/>
  <c r="E14531" i="7"/>
  <c r="D14531" i="7"/>
  <c r="E14530" i="7"/>
  <c r="D14530" i="7"/>
  <c r="E14529" i="7"/>
  <c r="D14529" i="7"/>
  <c r="E14528" i="7"/>
  <c r="D14528" i="7"/>
  <c r="E14527" i="7"/>
  <c r="D14527" i="7"/>
  <c r="E14526" i="7"/>
  <c r="D14526" i="7"/>
  <c r="E14525" i="7"/>
  <c r="D14525" i="7"/>
  <c r="L14514" i="7" l="1"/>
  <c r="E14514" i="7"/>
  <c r="D14514" i="7"/>
  <c r="E14513" i="7"/>
  <c r="D14513" i="7"/>
  <c r="E14512" i="7"/>
  <c r="D14512" i="7"/>
  <c r="E14511" i="7"/>
  <c r="D14511" i="7"/>
  <c r="E14510" i="7"/>
  <c r="D14510" i="7"/>
  <c r="E14509" i="7"/>
  <c r="D14509" i="7"/>
  <c r="E14508" i="7"/>
  <c r="D14508" i="7"/>
  <c r="E14489" i="7"/>
  <c r="D14489" i="7"/>
  <c r="E14488" i="7"/>
  <c r="D14488" i="7"/>
  <c r="E14507" i="7"/>
  <c r="D14507" i="7"/>
  <c r="E14506" i="7"/>
  <c r="D14506" i="7"/>
  <c r="E14505" i="7"/>
  <c r="D14505" i="7"/>
  <c r="E14462" i="7" l="1"/>
  <c r="D14462" i="7"/>
  <c r="E14461" i="7"/>
  <c r="D14461" i="7"/>
  <c r="L14487" i="7"/>
  <c r="E14487" i="7"/>
  <c r="D14487" i="7"/>
  <c r="E14486" i="7"/>
  <c r="D14486" i="7"/>
  <c r="E14485" i="7"/>
  <c r="D14485" i="7"/>
  <c r="E14484" i="7"/>
  <c r="D14484" i="7"/>
  <c r="E14483" i="7"/>
  <c r="D14483" i="7"/>
  <c r="E14482" i="7"/>
  <c r="D14482" i="7"/>
  <c r="E14481" i="7"/>
  <c r="D14481" i="7"/>
  <c r="E14460" i="7"/>
  <c r="D14460" i="7"/>
  <c r="E14459" i="7"/>
  <c r="D14459" i="7"/>
  <c r="E14458" i="7"/>
  <c r="D14458" i="7"/>
  <c r="E14457" i="7"/>
  <c r="D14457" i="7"/>
  <c r="E14456" i="7"/>
  <c r="D14456" i="7"/>
  <c r="D14453" i="7"/>
  <c r="D14454" i="7"/>
  <c r="D14455" i="7"/>
  <c r="E14455" i="7"/>
  <c r="E14454" i="7"/>
  <c r="E14453" i="7"/>
  <c r="E14480" i="7"/>
  <c r="D14480" i="7"/>
  <c r="K14479" i="7"/>
  <c r="L14480" i="7" s="1"/>
  <c r="E14479" i="7"/>
  <c r="D14479" i="7"/>
  <c r="E14478" i="7"/>
  <c r="D14478" i="7"/>
  <c r="K14477" i="7"/>
  <c r="L14478" i="7" s="1"/>
  <c r="E14477" i="7"/>
  <c r="D14477" i="7"/>
  <c r="L14476" i="7"/>
  <c r="E14476" i="7"/>
  <c r="D14476" i="7"/>
  <c r="E14475" i="7"/>
  <c r="D14475" i="7"/>
  <c r="L14474" i="7"/>
  <c r="E14474" i="7"/>
  <c r="D14474" i="7"/>
  <c r="E14473" i="7"/>
  <c r="D14473" i="7"/>
  <c r="L14472" i="7"/>
  <c r="E14472" i="7"/>
  <c r="D14472" i="7"/>
  <c r="E14471" i="7"/>
  <c r="D14471" i="7"/>
  <c r="E14470" i="7"/>
  <c r="D14470" i="7"/>
  <c r="E14469" i="7"/>
  <c r="D14469" i="7"/>
  <c r="L14468" i="7"/>
  <c r="E14468" i="7"/>
  <c r="D14468" i="7"/>
  <c r="E14467" i="7"/>
  <c r="D14467" i="7"/>
  <c r="L14466" i="7"/>
  <c r="E14466" i="7"/>
  <c r="D14466" i="7"/>
  <c r="E14465" i="7"/>
  <c r="D14465" i="7"/>
  <c r="L14464" i="7"/>
  <c r="E14464" i="7"/>
  <c r="D14464" i="7"/>
  <c r="E14463" i="7"/>
  <c r="D14463" i="7"/>
  <c r="D377" i="58"/>
  <c r="D378" i="58"/>
  <c r="D379" i="58"/>
  <c r="D380" i="58"/>
  <c r="D381" i="58"/>
  <c r="D382" i="58"/>
  <c r="D383" i="58"/>
  <c r="F377" i="58"/>
  <c r="F378" i="58"/>
  <c r="F379" i="58"/>
  <c r="F380" i="58"/>
  <c r="F381" i="58"/>
  <c r="F382" i="58"/>
  <c r="F383" i="58"/>
  <c r="R383" i="58"/>
  <c r="P383" i="58"/>
  <c r="N383" i="58"/>
  <c r="L383" i="58"/>
  <c r="J383" i="58"/>
  <c r="H383" i="58"/>
  <c r="R382" i="58"/>
  <c r="P382" i="58"/>
  <c r="N382" i="58"/>
  <c r="L382" i="58"/>
  <c r="J382" i="58"/>
  <c r="H382" i="58"/>
  <c r="R381" i="58"/>
  <c r="P381" i="58"/>
  <c r="N381" i="58"/>
  <c r="L381" i="58"/>
  <c r="J381" i="58"/>
  <c r="H381" i="58"/>
  <c r="R380" i="58"/>
  <c r="P380" i="58"/>
  <c r="N380" i="58"/>
  <c r="L380" i="58"/>
  <c r="J380" i="58"/>
  <c r="H380" i="58"/>
  <c r="R379" i="58"/>
  <c r="P379" i="58"/>
  <c r="N379" i="58"/>
  <c r="L379" i="58"/>
  <c r="J379" i="58"/>
  <c r="H379" i="58"/>
  <c r="R378" i="58"/>
  <c r="P378" i="58"/>
  <c r="N378" i="58"/>
  <c r="L378" i="58"/>
  <c r="J378" i="58"/>
  <c r="H378" i="58"/>
  <c r="R377" i="58"/>
  <c r="P377" i="58"/>
  <c r="N377" i="58"/>
  <c r="L377" i="58"/>
  <c r="J377" i="58"/>
  <c r="H377" i="58"/>
  <c r="E14452" i="7"/>
  <c r="D14452" i="7"/>
  <c r="E14451" i="7"/>
  <c r="D14451" i="7"/>
  <c r="E14450" i="7"/>
  <c r="D14450" i="7"/>
  <c r="E14449" i="7"/>
  <c r="D14449" i="7"/>
  <c r="E14448" i="7"/>
  <c r="D14448" i="7"/>
  <c r="E14447" i="7"/>
  <c r="D14447" i="7"/>
  <c r="E14446" i="7" l="1"/>
  <c r="D14446" i="7"/>
  <c r="E14445" i="7"/>
  <c r="D14445" i="7"/>
  <c r="E14423" i="7"/>
  <c r="D14423" i="7"/>
  <c r="E14422" i="7"/>
  <c r="D14422" i="7"/>
  <c r="E14444" i="7"/>
  <c r="D14444" i="7"/>
  <c r="E14443" i="7"/>
  <c r="D14443" i="7"/>
  <c r="E14442" i="7"/>
  <c r="D14442" i="7"/>
  <c r="L14441" i="7"/>
  <c r="E14441" i="7"/>
  <c r="D14441" i="7"/>
  <c r="E14440" i="7"/>
  <c r="D14440" i="7"/>
  <c r="L14439" i="7"/>
  <c r="E14439" i="7"/>
  <c r="D14439" i="7"/>
  <c r="E14438" i="7"/>
  <c r="D14438" i="7"/>
  <c r="E14437" i="7"/>
  <c r="D14437" i="7"/>
  <c r="E14436" i="7"/>
  <c r="D14436" i="7"/>
  <c r="E14435" i="7"/>
  <c r="D14435" i="7"/>
  <c r="E14434" i="7" l="1"/>
  <c r="D14434" i="7"/>
  <c r="E14433" i="7"/>
  <c r="D14433" i="7"/>
  <c r="E14432" i="7"/>
  <c r="D14432" i="7"/>
  <c r="E14431" i="7"/>
  <c r="D14431" i="7"/>
  <c r="E14430" i="7"/>
  <c r="D14430" i="7"/>
  <c r="E14429" i="7"/>
  <c r="D14429" i="7"/>
  <c r="E14428" i="7"/>
  <c r="D14428" i="7"/>
  <c r="E14427" i="7"/>
  <c r="D14427" i="7"/>
  <c r="E14426" i="7"/>
  <c r="D14426" i="7"/>
  <c r="E14421" i="7"/>
  <c r="D14421" i="7"/>
  <c r="E14420" i="7"/>
  <c r="D14420" i="7"/>
  <c r="E14419" i="7"/>
  <c r="D14419" i="7"/>
  <c r="E14418" i="7"/>
  <c r="D14418" i="7"/>
  <c r="E14417" i="7"/>
  <c r="D14417" i="7"/>
  <c r="L14425" i="7" l="1"/>
  <c r="E14425" i="7"/>
  <c r="D14425" i="7"/>
  <c r="E14424" i="7"/>
  <c r="D14424" i="7"/>
  <c r="L14416" i="7"/>
  <c r="E14416" i="7"/>
  <c r="D14416" i="7"/>
  <c r="E14415" i="7"/>
  <c r="D14415" i="7"/>
  <c r="L14414" i="7"/>
  <c r="E14414" i="7"/>
  <c r="D14414" i="7"/>
  <c r="E14413" i="7"/>
  <c r="D14413" i="7"/>
  <c r="L14408" i="7"/>
  <c r="E14408" i="7"/>
  <c r="D14408" i="7"/>
  <c r="E14407" i="7"/>
  <c r="D14407" i="7"/>
  <c r="E14406" i="7"/>
  <c r="D14406" i="7"/>
  <c r="E14405" i="7"/>
  <c r="D14405" i="7"/>
  <c r="E14404" i="7"/>
  <c r="D14404" i="7"/>
  <c r="E14403" i="7"/>
  <c r="D14403" i="7"/>
  <c r="E14402" i="7"/>
  <c r="D14402" i="7"/>
  <c r="E14401" i="7"/>
  <c r="D14401" i="7"/>
  <c r="E14400" i="7"/>
  <c r="D14400" i="7"/>
  <c r="E14399" i="7"/>
  <c r="D14399" i="7"/>
  <c r="L14368" i="7"/>
  <c r="E14368" i="7"/>
  <c r="D14368" i="7"/>
  <c r="E14367" i="7"/>
  <c r="D14367" i="7"/>
  <c r="L14398" i="7"/>
  <c r="E14398" i="7"/>
  <c r="D14398" i="7"/>
  <c r="E14397" i="7"/>
  <c r="D14397" i="7"/>
  <c r="L14396" i="7"/>
  <c r="E14396" i="7"/>
  <c r="D14396" i="7"/>
  <c r="E14395" i="7"/>
  <c r="D14395" i="7"/>
  <c r="E14394" i="7"/>
  <c r="D14394" i="7"/>
  <c r="E14393" i="7"/>
  <c r="D14393" i="7"/>
  <c r="E14392" i="7"/>
  <c r="D14392" i="7"/>
  <c r="E14391" i="7"/>
  <c r="D14391" i="7"/>
  <c r="E14390" i="7"/>
  <c r="D14390" i="7"/>
  <c r="E14389" i="7"/>
  <c r="D14389" i="7"/>
  <c r="E14388" i="7"/>
  <c r="D14388" i="7"/>
  <c r="E14387" i="7"/>
  <c r="D14387" i="7"/>
  <c r="L14366" i="7" l="1"/>
  <c r="E14366" i="7"/>
  <c r="D14366" i="7"/>
  <c r="E14365" i="7"/>
  <c r="D14365" i="7"/>
  <c r="E14361" i="7"/>
  <c r="D14361" i="7"/>
  <c r="E14360" i="7"/>
  <c r="D14360" i="7"/>
  <c r="E14359" i="7"/>
  <c r="D14359" i="7"/>
  <c r="E14358" i="7"/>
  <c r="D14358" i="7"/>
  <c r="E14357" i="7"/>
  <c r="D14357" i="7"/>
  <c r="D375" i="58" l="1"/>
  <c r="D376" i="58"/>
  <c r="E14364" i="7"/>
  <c r="D14364" i="7"/>
  <c r="E14363" i="7"/>
  <c r="D14363" i="7"/>
  <c r="E14362" i="7"/>
  <c r="D14362" i="7"/>
  <c r="E14356" i="7" l="1"/>
  <c r="D14356" i="7"/>
  <c r="E14355" i="7"/>
  <c r="D14355" i="7"/>
  <c r="E14354" i="7"/>
  <c r="D14354" i="7"/>
  <c r="E14353" i="7"/>
  <c r="D14353" i="7"/>
  <c r="E14352" i="7"/>
  <c r="D14352" i="7"/>
  <c r="E14386" i="7"/>
  <c r="D14386" i="7"/>
  <c r="K14385" i="7"/>
  <c r="L14386" i="7" s="1"/>
  <c r="E14385" i="7"/>
  <c r="D14385" i="7"/>
  <c r="E14384" i="7"/>
  <c r="D14384" i="7"/>
  <c r="K14383" i="7"/>
  <c r="L14384" i="7" s="1"/>
  <c r="E14383" i="7"/>
  <c r="D14383" i="7"/>
  <c r="L14382" i="7"/>
  <c r="E14382" i="7"/>
  <c r="D14382" i="7"/>
  <c r="E14381" i="7"/>
  <c r="D14381" i="7"/>
  <c r="L14380" i="7"/>
  <c r="E14380" i="7"/>
  <c r="D14380" i="7"/>
  <c r="E14379" i="7"/>
  <c r="D14379" i="7"/>
  <c r="L14378" i="7"/>
  <c r="E14378" i="7"/>
  <c r="D14378" i="7"/>
  <c r="E14377" i="7"/>
  <c r="D14377" i="7"/>
  <c r="E14376" i="7"/>
  <c r="D14376" i="7"/>
  <c r="E14375" i="7"/>
  <c r="D14375" i="7"/>
  <c r="L14374" i="7"/>
  <c r="E14374" i="7"/>
  <c r="D14374" i="7"/>
  <c r="E14373" i="7"/>
  <c r="D14373" i="7"/>
  <c r="L14372" i="7"/>
  <c r="E14372" i="7"/>
  <c r="D14372" i="7"/>
  <c r="E14371" i="7"/>
  <c r="D14371" i="7"/>
  <c r="L14370" i="7"/>
  <c r="E14370" i="7"/>
  <c r="D14370" i="7"/>
  <c r="E14369" i="7"/>
  <c r="D14369" i="7"/>
  <c r="D370" i="58"/>
  <c r="D371" i="58"/>
  <c r="D372" i="58"/>
  <c r="D373" i="58"/>
  <c r="D374" i="58"/>
  <c r="F373" i="58"/>
  <c r="R376" i="58"/>
  <c r="P376" i="58"/>
  <c r="N376" i="58"/>
  <c r="L376" i="58"/>
  <c r="J376" i="58"/>
  <c r="H376" i="58"/>
  <c r="F376" i="58"/>
  <c r="R375" i="58"/>
  <c r="P375" i="58"/>
  <c r="N375" i="58"/>
  <c r="L375" i="58"/>
  <c r="J375" i="58"/>
  <c r="H375" i="58"/>
  <c r="F375" i="58"/>
  <c r="R374" i="58"/>
  <c r="P374" i="58"/>
  <c r="N374" i="58"/>
  <c r="L374" i="58"/>
  <c r="J374" i="58"/>
  <c r="H374" i="58"/>
  <c r="F374" i="58"/>
  <c r="R373" i="58"/>
  <c r="P373" i="58"/>
  <c r="N373" i="58"/>
  <c r="L373" i="58"/>
  <c r="J373" i="58"/>
  <c r="H373" i="58"/>
  <c r="R372" i="58"/>
  <c r="P372" i="58"/>
  <c r="N372" i="58"/>
  <c r="L372" i="58"/>
  <c r="J372" i="58"/>
  <c r="H372" i="58"/>
  <c r="F372" i="58"/>
  <c r="R371" i="58"/>
  <c r="P371" i="58"/>
  <c r="N371" i="58"/>
  <c r="L371" i="58"/>
  <c r="J371" i="58"/>
  <c r="H371" i="58"/>
  <c r="F371" i="58"/>
  <c r="R370" i="58"/>
  <c r="P370" i="58"/>
  <c r="N370" i="58"/>
  <c r="L370" i="58"/>
  <c r="J370" i="58"/>
  <c r="H370" i="58"/>
  <c r="F370" i="58"/>
  <c r="L14351" i="7"/>
  <c r="E14351" i="7"/>
  <c r="D14351" i="7"/>
  <c r="E14350" i="7"/>
  <c r="D14350" i="7"/>
  <c r="E14349" i="7"/>
  <c r="D14349" i="7"/>
  <c r="E14348" i="7"/>
  <c r="D14348" i="7"/>
  <c r="L14347" i="7"/>
  <c r="E14347" i="7"/>
  <c r="D14347" i="7"/>
  <c r="E14346" i="7"/>
  <c r="D14346" i="7"/>
  <c r="E14345" i="7"/>
  <c r="D14345" i="7"/>
  <c r="E14344" i="7"/>
  <c r="D14344" i="7"/>
  <c r="E14343" i="7"/>
  <c r="D14343" i="7"/>
  <c r="E14321" i="7" l="1"/>
  <c r="D14321" i="7"/>
  <c r="E14320" i="7"/>
  <c r="D14320" i="7"/>
  <c r="E14319" i="7"/>
  <c r="D14319" i="7"/>
  <c r="L14118" i="7" l="1"/>
  <c r="E14265" i="7"/>
  <c r="D14265" i="7"/>
  <c r="E14264" i="7"/>
  <c r="D14264" i="7"/>
  <c r="E14318" i="7"/>
  <c r="D14318" i="7"/>
  <c r="E14317" i="7"/>
  <c r="D14317" i="7"/>
  <c r="E14342" i="7"/>
  <c r="D14342" i="7"/>
  <c r="E14341" i="7"/>
  <c r="D14341" i="7"/>
  <c r="E14340" i="7"/>
  <c r="D14340" i="7"/>
  <c r="E14339" i="7"/>
  <c r="D14339" i="7"/>
  <c r="L14338" i="7"/>
  <c r="E14338" i="7"/>
  <c r="D14338" i="7"/>
  <c r="E14337" i="7"/>
  <c r="D14337" i="7"/>
  <c r="L14336" i="7"/>
  <c r="E14336" i="7"/>
  <c r="D14336" i="7"/>
  <c r="E14335" i="7"/>
  <c r="D14335" i="7"/>
  <c r="L14316" i="7"/>
  <c r="E14316" i="7"/>
  <c r="D14316" i="7"/>
  <c r="E14315" i="7"/>
  <c r="D14315" i="7"/>
  <c r="E14334" i="7"/>
  <c r="D14334" i="7"/>
  <c r="E14333" i="7"/>
  <c r="D14333" i="7"/>
  <c r="E14332" i="7"/>
  <c r="D14332" i="7"/>
  <c r="E14331" i="7" l="1"/>
  <c r="D14331" i="7"/>
  <c r="E14330" i="7"/>
  <c r="D14330" i="7"/>
  <c r="E14329" i="7"/>
  <c r="D14329" i="7"/>
  <c r="E14328" i="7"/>
  <c r="D14328" i="7"/>
  <c r="E14327" i="7"/>
  <c r="D14327" i="7"/>
  <c r="E14326" i="7"/>
  <c r="D14326" i="7"/>
  <c r="E14325" i="7"/>
  <c r="D14325" i="7"/>
  <c r="E14324" i="7"/>
  <c r="D14324" i="7"/>
  <c r="E14323" i="7"/>
  <c r="D14323" i="7"/>
  <c r="E14322" i="7"/>
  <c r="D14322" i="7"/>
  <c r="E14314" i="7"/>
  <c r="D14314" i="7"/>
  <c r="E14313" i="7"/>
  <c r="D14313" i="7"/>
  <c r="E14312" i="7"/>
  <c r="D14312" i="7"/>
  <c r="E14311" i="7"/>
  <c r="D14311" i="7"/>
  <c r="E14310" i="7"/>
  <c r="D14310" i="7"/>
  <c r="E14309" i="7"/>
  <c r="D14309" i="7"/>
  <c r="E14308" i="7"/>
  <c r="D14308" i="7"/>
  <c r="E14307" i="7"/>
  <c r="D14307" i="7"/>
  <c r="E14306" i="7"/>
  <c r="D14306" i="7"/>
  <c r="E14305" i="7"/>
  <c r="D14305" i="7"/>
  <c r="H13399" i="7" l="1" a="1"/>
  <c r="H13399" i="7" s="1"/>
  <c r="E13399" i="7"/>
  <c r="D13399" i="7"/>
  <c r="H13398" i="7" a="1"/>
  <c r="H13398" i="7" s="1"/>
  <c r="E13398" i="7"/>
  <c r="D13398" i="7"/>
  <c r="E14041" i="7"/>
  <c r="D14041" i="7"/>
  <c r="K14040" i="7"/>
  <c r="L14041" i="7" s="1"/>
  <c r="E14040" i="7"/>
  <c r="D14040" i="7"/>
  <c r="E14095" i="7"/>
  <c r="D14095" i="7"/>
  <c r="E14094" i="7"/>
  <c r="D14094" i="7"/>
  <c r="E14093" i="7"/>
  <c r="D14093" i="7"/>
  <c r="K14092" i="7"/>
  <c r="E14092" i="7"/>
  <c r="D14092" i="7"/>
  <c r="E14091" i="7"/>
  <c r="D14091" i="7"/>
  <c r="E14090" i="7"/>
  <c r="D14090" i="7"/>
  <c r="E14089" i="7"/>
  <c r="D14089" i="7"/>
  <c r="E14088" i="7"/>
  <c r="D14088" i="7"/>
  <c r="E14087" i="7"/>
  <c r="D14087" i="7"/>
  <c r="E14086" i="7"/>
  <c r="D14086" i="7"/>
  <c r="E14085" i="7"/>
  <c r="D14085" i="7"/>
  <c r="E14084" i="7"/>
  <c r="D14084" i="7"/>
  <c r="E14083" i="7"/>
  <c r="D14083" i="7"/>
  <c r="E14082" i="7"/>
  <c r="D14082" i="7"/>
  <c r="E14081" i="7"/>
  <c r="D14081" i="7"/>
  <c r="E14080" i="7"/>
  <c r="D14080" i="7"/>
  <c r="E14079" i="7"/>
  <c r="D14079" i="7"/>
  <c r="E13995" i="7"/>
  <c r="D13995" i="7"/>
  <c r="E13994" i="7"/>
  <c r="D13994" i="7"/>
  <c r="H13330" i="7" a="1"/>
  <c r="H13330" i="7" s="1"/>
  <c r="E13330" i="7"/>
  <c r="D13330" i="7"/>
  <c r="H13329" i="7" a="1"/>
  <c r="H13329" i="7" s="1"/>
  <c r="E13329" i="7"/>
  <c r="D13329" i="7"/>
  <c r="L13281" i="7"/>
  <c r="H13281" i="7" a="1"/>
  <c r="H13281" i="7" s="1"/>
  <c r="E13281" i="7"/>
  <c r="D13281" i="7"/>
  <c r="H13280" i="7" a="1"/>
  <c r="H13280" i="7" s="1"/>
  <c r="E13280" i="7"/>
  <c r="D13280" i="7"/>
  <c r="L13279" i="7"/>
  <c r="H13279" i="7" a="1"/>
  <c r="H13279" i="7" s="1"/>
  <c r="E13279" i="7"/>
  <c r="D13279" i="7"/>
  <c r="H13278" i="7" a="1"/>
  <c r="H13278" i="7" s="1"/>
  <c r="E13278" i="7"/>
  <c r="D13278" i="7"/>
  <c r="E14304" i="7" l="1"/>
  <c r="D14304" i="7"/>
  <c r="E14303" i="7"/>
  <c r="D14303" i="7"/>
  <c r="E14302" i="7"/>
  <c r="D14302" i="7"/>
  <c r="E14295" i="7"/>
  <c r="D14295" i="7"/>
  <c r="E14294" i="7"/>
  <c r="D14294" i="7"/>
  <c r="E14293" i="7"/>
  <c r="D14293" i="7"/>
  <c r="E14301" i="7" l="1"/>
  <c r="D14301" i="7"/>
  <c r="E14300" i="7"/>
  <c r="D14300" i="7"/>
  <c r="E14292" i="7"/>
  <c r="D14292" i="7"/>
  <c r="E14291" i="7"/>
  <c r="D14291" i="7"/>
  <c r="E14263" i="7"/>
  <c r="D14263" i="7"/>
  <c r="E14262" i="7"/>
  <c r="D14262" i="7"/>
  <c r="E14299" i="7"/>
  <c r="D14299" i="7"/>
  <c r="E14298" i="7"/>
  <c r="D14298" i="7"/>
  <c r="L14297" i="7"/>
  <c r="E14297" i="7"/>
  <c r="D14297" i="7"/>
  <c r="E14296" i="7"/>
  <c r="D14296" i="7"/>
  <c r="L14290" i="7"/>
  <c r="L14288" i="7"/>
  <c r="E14290" i="7"/>
  <c r="D14290" i="7"/>
  <c r="E14289" i="7"/>
  <c r="D14289" i="7"/>
  <c r="E14288" i="7"/>
  <c r="D14288" i="7"/>
  <c r="E14287" i="7"/>
  <c r="D14287" i="7"/>
  <c r="E14286" i="7"/>
  <c r="D14286" i="7"/>
  <c r="E14285" i="7"/>
  <c r="D14285" i="7"/>
  <c r="E14284" i="7"/>
  <c r="D14284" i="7"/>
  <c r="E14283" i="7"/>
  <c r="D14283" i="7"/>
  <c r="E14282" i="7"/>
  <c r="D14282" i="7"/>
  <c r="E14281" i="7"/>
  <c r="D14281" i="7"/>
  <c r="E14261" i="7" l="1"/>
  <c r="D14261" i="7"/>
  <c r="E14260" i="7"/>
  <c r="D14260" i="7"/>
  <c r="E14280" i="7" l="1"/>
  <c r="D14280" i="7"/>
  <c r="E14279" i="7"/>
  <c r="D14279" i="7"/>
  <c r="E14278" i="7"/>
  <c r="D14278" i="7"/>
  <c r="E14277" i="7"/>
  <c r="D14277" i="7"/>
  <c r="E14276" i="7"/>
  <c r="D14276" i="7"/>
  <c r="E14275" i="7"/>
  <c r="D14275" i="7"/>
  <c r="E14274" i="7"/>
  <c r="D14274" i="7"/>
  <c r="E14273" i="7"/>
  <c r="D14273" i="7"/>
  <c r="E14272" i="7"/>
  <c r="D14272" i="7"/>
  <c r="E14271" i="7"/>
  <c r="D14271" i="7"/>
  <c r="E14270" i="7"/>
  <c r="D14270" i="7"/>
  <c r="E14269" i="7"/>
  <c r="D14269" i="7"/>
  <c r="E14268" i="7"/>
  <c r="D14268" i="7"/>
  <c r="E14267" i="7"/>
  <c r="D14267" i="7"/>
  <c r="E14266" i="7"/>
  <c r="D14266" i="7"/>
  <c r="E14259" i="7"/>
  <c r="D14259" i="7"/>
  <c r="E14258" i="7"/>
  <c r="D14258" i="7"/>
  <c r="E14257" i="7"/>
  <c r="D14257" i="7"/>
  <c r="E14256" i="7"/>
  <c r="D14256" i="7"/>
  <c r="E14255" i="7"/>
  <c r="D14255" i="7"/>
  <c r="E14254" i="7"/>
  <c r="D14254" i="7"/>
  <c r="E14253" i="7"/>
  <c r="D14253" i="7"/>
  <c r="E14252" i="7"/>
  <c r="D14252" i="7"/>
  <c r="E14251" i="7"/>
  <c r="D14251" i="7"/>
  <c r="E14250" i="7"/>
  <c r="D14250" i="7"/>
  <c r="E14249" i="7"/>
  <c r="D14249" i="7"/>
  <c r="E14248" i="7"/>
  <c r="D14248" i="7"/>
  <c r="E14247" i="7"/>
  <c r="D14247" i="7"/>
  <c r="D363" i="58"/>
  <c r="D364" i="58"/>
  <c r="D365" i="58"/>
  <c r="D366" i="58"/>
  <c r="D367" i="58"/>
  <c r="D368" i="58"/>
  <c r="D369" i="58"/>
  <c r="F363" i="58"/>
  <c r="F364" i="58"/>
  <c r="F365" i="58"/>
  <c r="F366" i="58"/>
  <c r="F367" i="58"/>
  <c r="F368" i="58"/>
  <c r="F369" i="58"/>
  <c r="E14228" i="7"/>
  <c r="D14228" i="7"/>
  <c r="E14227" i="7"/>
  <c r="D14227" i="7"/>
  <c r="D14226" i="7"/>
  <c r="E14226" i="7"/>
  <c r="E14225" i="7"/>
  <c r="D14225" i="7"/>
  <c r="E14195" i="7"/>
  <c r="D14195" i="7"/>
  <c r="E14194" i="7"/>
  <c r="D14194" i="7"/>
  <c r="E14224" i="7"/>
  <c r="D14224" i="7"/>
  <c r="E14223" i="7"/>
  <c r="D14223" i="7"/>
  <c r="E14222" i="7"/>
  <c r="D14222" i="7"/>
  <c r="R369" i="58" l="1"/>
  <c r="P369" i="58"/>
  <c r="N369" i="58"/>
  <c r="L369" i="58"/>
  <c r="J369" i="58"/>
  <c r="H369" i="58"/>
  <c r="R368" i="58"/>
  <c r="P368" i="58"/>
  <c r="N368" i="58"/>
  <c r="L368" i="58"/>
  <c r="J368" i="58"/>
  <c r="H368" i="58"/>
  <c r="R367" i="58"/>
  <c r="P367" i="58"/>
  <c r="N367" i="58"/>
  <c r="L367" i="58"/>
  <c r="J367" i="58"/>
  <c r="H367" i="58"/>
  <c r="R366" i="58"/>
  <c r="P366" i="58"/>
  <c r="N366" i="58"/>
  <c r="L366" i="58"/>
  <c r="J366" i="58"/>
  <c r="H366" i="58"/>
  <c r="R365" i="58"/>
  <c r="P365" i="58"/>
  <c r="N365" i="58"/>
  <c r="L365" i="58"/>
  <c r="J365" i="58"/>
  <c r="H365" i="58"/>
  <c r="R364" i="58"/>
  <c r="P364" i="58"/>
  <c r="N364" i="58"/>
  <c r="L364" i="58"/>
  <c r="J364" i="58"/>
  <c r="H364" i="58"/>
  <c r="R363" i="58"/>
  <c r="P363" i="58"/>
  <c r="N363" i="58"/>
  <c r="L363" i="58"/>
  <c r="J363" i="58"/>
  <c r="H363" i="58"/>
  <c r="E14221" i="7"/>
  <c r="D14221" i="7"/>
  <c r="E14220" i="7"/>
  <c r="D14220" i="7"/>
  <c r="E14219" i="7"/>
  <c r="D14219" i="7"/>
  <c r="E14218" i="7"/>
  <c r="D14218" i="7"/>
  <c r="E14217" i="7"/>
  <c r="D14217" i="7"/>
  <c r="E14216" i="7"/>
  <c r="D14216" i="7"/>
  <c r="E14215" i="7"/>
  <c r="D14215" i="7"/>
  <c r="E14214" i="7"/>
  <c r="D14214" i="7"/>
  <c r="E14213" i="7"/>
  <c r="D14213" i="7"/>
  <c r="E14246" i="7" l="1"/>
  <c r="D14246" i="7"/>
  <c r="K14245" i="7"/>
  <c r="L14246" i="7" s="1"/>
  <c r="E14245" i="7"/>
  <c r="D14245" i="7"/>
  <c r="E14244" i="7"/>
  <c r="D14244" i="7"/>
  <c r="K14243" i="7"/>
  <c r="L14244" i="7" s="1"/>
  <c r="E14243" i="7"/>
  <c r="D14243" i="7"/>
  <c r="L14242" i="7"/>
  <c r="E14242" i="7"/>
  <c r="D14242" i="7"/>
  <c r="E14241" i="7"/>
  <c r="D14241" i="7"/>
  <c r="L14240" i="7"/>
  <c r="E14240" i="7"/>
  <c r="D14240" i="7"/>
  <c r="E14239" i="7"/>
  <c r="D14239" i="7"/>
  <c r="L14238" i="7"/>
  <c r="E14238" i="7"/>
  <c r="D14238" i="7"/>
  <c r="E14237" i="7"/>
  <c r="D14237" i="7"/>
  <c r="E14236" i="7"/>
  <c r="D14236" i="7"/>
  <c r="E14235" i="7"/>
  <c r="D14235" i="7"/>
  <c r="L14234" i="7"/>
  <c r="E14234" i="7"/>
  <c r="D14234" i="7"/>
  <c r="E14233" i="7"/>
  <c r="D14233" i="7"/>
  <c r="L14232" i="7"/>
  <c r="E14232" i="7"/>
  <c r="D14232" i="7"/>
  <c r="E14231" i="7"/>
  <c r="D14231" i="7"/>
  <c r="L14230" i="7"/>
  <c r="E14230" i="7"/>
  <c r="D14230" i="7"/>
  <c r="E14229" i="7"/>
  <c r="D14229" i="7"/>
  <c r="E14132" i="7" l="1"/>
  <c r="D14132" i="7"/>
  <c r="E14131" i="7"/>
  <c r="D14131" i="7"/>
  <c r="E14212" i="7"/>
  <c r="D14212" i="7"/>
  <c r="E14211" i="7"/>
  <c r="D14211" i="7"/>
  <c r="E14210" i="7" l="1"/>
  <c r="D14210" i="7"/>
  <c r="E14209" i="7"/>
  <c r="D14209" i="7"/>
  <c r="E14208" i="7"/>
  <c r="D14208" i="7"/>
  <c r="E14207" i="7"/>
  <c r="D14207" i="7"/>
  <c r="E14206" i="7"/>
  <c r="D14206" i="7"/>
  <c r="E14205" i="7"/>
  <c r="D14205" i="7"/>
  <c r="E14204" i="7"/>
  <c r="D14204" i="7"/>
  <c r="E14193" i="7"/>
  <c r="D14193" i="7"/>
  <c r="E14192" i="7"/>
  <c r="D14192" i="7"/>
  <c r="E14189" i="7"/>
  <c r="D14189" i="7"/>
  <c r="E14188" i="7"/>
  <c r="D14188" i="7"/>
  <c r="E14187" i="7"/>
  <c r="D14187" i="7"/>
  <c r="E14186" i="7"/>
  <c r="D14186" i="7"/>
  <c r="E14191" i="7"/>
  <c r="D14191" i="7"/>
  <c r="E14190" i="7"/>
  <c r="D14190" i="7"/>
  <c r="E14172" i="7"/>
  <c r="D14172" i="7"/>
  <c r="E14171" i="7"/>
  <c r="D14171" i="7"/>
  <c r="E14170" i="7"/>
  <c r="D14170" i="7"/>
  <c r="E14169" i="7"/>
  <c r="D14169" i="7"/>
  <c r="E14168" i="7"/>
  <c r="D14168" i="7"/>
  <c r="E14167" i="7"/>
  <c r="D14167" i="7"/>
  <c r="E14198" i="7"/>
  <c r="D14198" i="7"/>
  <c r="E14197" i="7"/>
  <c r="D14197" i="7"/>
  <c r="E14196" i="7"/>
  <c r="D14196" i="7"/>
  <c r="E14185" i="7"/>
  <c r="D14185" i="7"/>
  <c r="E14184" i="7"/>
  <c r="D14184" i="7"/>
  <c r="E14183" i="7"/>
  <c r="D14183" i="7"/>
  <c r="E14182" i="7"/>
  <c r="D14182" i="7"/>
  <c r="E14181" i="7"/>
  <c r="D14181" i="7"/>
  <c r="E14180" i="7"/>
  <c r="D14180" i="7"/>
  <c r="E14166" i="7"/>
  <c r="D14166" i="7"/>
  <c r="E14165" i="7"/>
  <c r="D14165" i="7"/>
  <c r="E14164" i="7"/>
  <c r="D14164" i="7"/>
  <c r="E14163" i="7"/>
  <c r="D14163" i="7"/>
  <c r="E14162" i="7"/>
  <c r="D14162" i="7"/>
  <c r="E14161" i="7"/>
  <c r="D14161" i="7"/>
  <c r="E14203" i="7" l="1"/>
  <c r="D14203" i="7"/>
  <c r="E14202" i="7"/>
  <c r="D14202" i="7"/>
  <c r="E14201" i="7"/>
  <c r="D14201" i="7"/>
  <c r="E14200" i="7"/>
  <c r="D14200" i="7"/>
  <c r="E14199" i="7"/>
  <c r="D14199" i="7"/>
  <c r="E14179" i="7"/>
  <c r="D14179" i="7"/>
  <c r="E14178" i="7"/>
  <c r="D14178" i="7"/>
  <c r="E14177" i="7"/>
  <c r="D14177" i="7"/>
  <c r="E14176" i="7"/>
  <c r="D14176" i="7"/>
  <c r="E14175" i="7"/>
  <c r="D14175" i="7"/>
  <c r="E14160" i="7"/>
  <c r="D14160" i="7"/>
  <c r="E14159" i="7"/>
  <c r="D14159" i="7"/>
  <c r="E14158" i="7"/>
  <c r="D14158" i="7"/>
  <c r="E14157" i="7"/>
  <c r="D14157" i="7"/>
  <c r="E14156" i="7"/>
  <c r="D14156" i="7"/>
  <c r="E14155" i="7"/>
  <c r="D14155" i="7"/>
  <c r="E14154" i="7"/>
  <c r="D14154" i="7"/>
  <c r="E14153" i="7"/>
  <c r="D14153" i="7"/>
  <c r="E14152" i="7"/>
  <c r="D14152" i="7"/>
  <c r="E14151" i="7"/>
  <c r="D14151" i="7"/>
  <c r="E14130" i="7" l="1"/>
  <c r="D14130" i="7"/>
  <c r="E14129" i="7"/>
  <c r="D14129" i="7"/>
  <c r="E14128" i="7"/>
  <c r="D14128" i="7"/>
  <c r="E14127" i="7"/>
  <c r="D14127" i="7"/>
  <c r="E14126" i="7"/>
  <c r="D14126" i="7"/>
  <c r="E14125" i="7"/>
  <c r="D14125" i="7"/>
  <c r="E14124" i="7"/>
  <c r="D14124" i="7"/>
  <c r="E14123" i="7"/>
  <c r="D14123" i="7"/>
  <c r="E14122" i="7"/>
  <c r="D14122" i="7"/>
  <c r="L14136" i="7" l="1"/>
  <c r="E14136" i="7"/>
  <c r="D14136" i="7"/>
  <c r="E14135" i="7"/>
  <c r="D14135" i="7"/>
  <c r="E14150" i="7" l="1"/>
  <c r="D14150" i="7"/>
  <c r="K14149" i="7"/>
  <c r="L14150" i="7" s="1"/>
  <c r="E14149" i="7"/>
  <c r="D14149" i="7"/>
  <c r="E14148" i="7"/>
  <c r="D14148" i="7"/>
  <c r="K14147" i="7"/>
  <c r="L14148" i="7" s="1"/>
  <c r="E14147" i="7"/>
  <c r="D14147" i="7"/>
  <c r="L14146" i="7"/>
  <c r="E14146" i="7"/>
  <c r="D14146" i="7"/>
  <c r="E14145" i="7"/>
  <c r="D14145" i="7"/>
  <c r="L14144" i="7"/>
  <c r="E14144" i="7"/>
  <c r="D14144" i="7"/>
  <c r="E14143" i="7"/>
  <c r="D14143" i="7"/>
  <c r="L14142" i="7"/>
  <c r="E14142" i="7"/>
  <c r="D14142" i="7"/>
  <c r="E14141" i="7"/>
  <c r="D14141" i="7"/>
  <c r="E14140" i="7"/>
  <c r="D14140" i="7"/>
  <c r="E14139" i="7"/>
  <c r="D14139" i="7"/>
  <c r="L14138" i="7"/>
  <c r="E14138" i="7"/>
  <c r="D14138" i="7"/>
  <c r="E14137" i="7"/>
  <c r="D14137" i="7"/>
  <c r="L14134" i="7"/>
  <c r="E14134" i="7"/>
  <c r="D14134" i="7"/>
  <c r="E14133" i="7"/>
  <c r="D14133" i="7"/>
  <c r="E14121" i="7"/>
  <c r="D14121" i="7"/>
  <c r="E14120" i="7"/>
  <c r="D14120" i="7"/>
  <c r="E14119" i="7"/>
  <c r="D14119" i="7"/>
  <c r="E14111" i="7" l="1"/>
  <c r="D14111" i="7"/>
  <c r="E14110" i="7"/>
  <c r="D14110" i="7"/>
  <c r="E14109" i="7"/>
  <c r="D14109" i="7"/>
  <c r="E14114" i="7"/>
  <c r="D14114" i="7"/>
  <c r="E14113" i="7"/>
  <c r="D14113" i="7"/>
  <c r="E14112" i="7"/>
  <c r="D14112" i="7"/>
  <c r="J359" i="58" l="1"/>
  <c r="L359" i="58"/>
  <c r="N359" i="58"/>
  <c r="P359" i="58"/>
  <c r="J360" i="58"/>
  <c r="L360" i="58"/>
  <c r="N360" i="58"/>
  <c r="P360" i="58"/>
  <c r="J361" i="58"/>
  <c r="L361" i="58"/>
  <c r="N361" i="58"/>
  <c r="P361" i="58"/>
  <c r="J362" i="58"/>
  <c r="L362" i="58"/>
  <c r="N362" i="58"/>
  <c r="P362" i="58"/>
  <c r="R359" i="58"/>
  <c r="R360" i="58"/>
  <c r="R361" i="58"/>
  <c r="R362" i="58"/>
  <c r="D359" i="58"/>
  <c r="D360" i="58"/>
  <c r="D361" i="58"/>
  <c r="D362" i="58"/>
  <c r="F359" i="58"/>
  <c r="F360" i="58"/>
  <c r="F361" i="58"/>
  <c r="F362" i="58"/>
  <c r="H359" i="58"/>
  <c r="H360" i="58"/>
  <c r="H361" i="58"/>
  <c r="H362" i="58"/>
  <c r="R358" i="58"/>
  <c r="P358" i="58"/>
  <c r="N358" i="58"/>
  <c r="N541" i="58" s="1"/>
  <c r="L358" i="58"/>
  <c r="J358" i="58"/>
  <c r="J541" i="58" s="1"/>
  <c r="H358" i="58"/>
  <c r="F358" i="58"/>
  <c r="D358" i="58"/>
  <c r="E14078" i="7"/>
  <c r="D14078" i="7"/>
  <c r="E14077" i="7"/>
  <c r="D14077" i="7"/>
  <c r="E14118" i="7"/>
  <c r="D14118" i="7"/>
  <c r="E14117" i="7"/>
  <c r="D14117" i="7"/>
  <c r="E14116" i="7"/>
  <c r="D14116" i="7"/>
  <c r="E14115" i="7"/>
  <c r="D14115" i="7"/>
  <c r="E14108" i="7"/>
  <c r="D14108" i="7"/>
  <c r="E14107" i="7"/>
  <c r="D14107" i="7"/>
  <c r="E14106" i="7"/>
  <c r="D14106" i="7"/>
  <c r="E14105" i="7"/>
  <c r="D14105" i="7"/>
  <c r="E14104" i="7"/>
  <c r="D14104" i="7"/>
  <c r="E14070" i="7"/>
  <c r="D14070" i="7"/>
  <c r="E14069" i="7"/>
  <c r="D14069" i="7"/>
  <c r="E14068" i="7"/>
  <c r="D14068" i="7"/>
  <c r="L14067" i="7"/>
  <c r="E14067" i="7"/>
  <c r="D14067" i="7"/>
  <c r="E14066" i="7"/>
  <c r="D14066" i="7"/>
  <c r="E14101" i="7"/>
  <c r="D14101" i="7"/>
  <c r="E14100" i="7"/>
  <c r="D14100" i="7"/>
  <c r="E14076" i="7"/>
  <c r="D14076" i="7"/>
  <c r="E14075" i="7"/>
  <c r="D14075" i="7"/>
  <c r="E14074" i="7"/>
  <c r="D14074" i="7"/>
  <c r="E14099" i="7"/>
  <c r="D14099" i="7"/>
  <c r="E14098" i="7"/>
  <c r="D14098" i="7"/>
  <c r="E14073" i="7"/>
  <c r="D14073" i="7"/>
  <c r="L14072" i="7"/>
  <c r="E14072" i="7"/>
  <c r="D14072" i="7"/>
  <c r="E14071" i="7"/>
  <c r="D14071" i="7"/>
  <c r="E14103" i="7"/>
  <c r="D14103" i="7"/>
  <c r="E14102" i="7"/>
  <c r="D14102" i="7"/>
  <c r="E14065" i="7"/>
  <c r="D14065" i="7"/>
  <c r="E14064" i="7"/>
  <c r="D14064" i="7"/>
  <c r="L14062" i="7"/>
  <c r="E14097" i="7"/>
  <c r="D14097" i="7"/>
  <c r="E14096" i="7"/>
  <c r="D14096" i="7"/>
  <c r="L541" i="58" l="1"/>
  <c r="D541" i="58"/>
  <c r="F541" i="58"/>
  <c r="H541" i="58"/>
  <c r="P541" i="58"/>
  <c r="R541" i="58"/>
  <c r="R179" i="58"/>
  <c r="R180" i="58"/>
  <c r="R181" i="58"/>
  <c r="R182" i="58"/>
  <c r="R183" i="58"/>
  <c r="R184" i="58"/>
  <c r="R185" i="58"/>
  <c r="P179" i="58"/>
  <c r="P180" i="58"/>
  <c r="P181" i="58"/>
  <c r="P182" i="58"/>
  <c r="P183" i="58"/>
  <c r="P184" i="58"/>
  <c r="P185" i="58"/>
  <c r="N179" i="58"/>
  <c r="N180" i="58"/>
  <c r="N181" i="58"/>
  <c r="N182" i="58"/>
  <c r="N183" i="58"/>
  <c r="N184" i="58"/>
  <c r="N185" i="58"/>
  <c r="L179" i="58"/>
  <c r="L180" i="58"/>
  <c r="L181" i="58"/>
  <c r="L182" i="58"/>
  <c r="L183" i="58"/>
  <c r="L184" i="58"/>
  <c r="L185" i="58"/>
  <c r="J179" i="58"/>
  <c r="J180" i="58"/>
  <c r="J181" i="58"/>
  <c r="J182" i="58"/>
  <c r="J183" i="58"/>
  <c r="J184" i="58"/>
  <c r="J185" i="58"/>
  <c r="H179" i="58"/>
  <c r="H180" i="58"/>
  <c r="H181" i="58"/>
  <c r="H182" i="58"/>
  <c r="H183" i="58"/>
  <c r="H184" i="58"/>
  <c r="H185" i="58"/>
  <c r="F179" i="58"/>
  <c r="F180" i="58"/>
  <c r="F181" i="58"/>
  <c r="F182" i="58"/>
  <c r="F183" i="58"/>
  <c r="F184" i="58"/>
  <c r="F185" i="58"/>
  <c r="D179" i="58"/>
  <c r="D180" i="58"/>
  <c r="D181" i="58"/>
  <c r="D182" i="58"/>
  <c r="D183" i="58"/>
  <c r="D184" i="58"/>
  <c r="D185" i="58"/>
  <c r="E14063" i="7"/>
  <c r="D14063" i="7"/>
  <c r="E14062" i="7"/>
  <c r="D14062" i="7"/>
  <c r="E14061" i="7"/>
  <c r="D14061" i="7"/>
  <c r="E14060" i="7"/>
  <c r="D14060" i="7"/>
  <c r="E14059" i="7"/>
  <c r="D14059" i="7"/>
  <c r="E14058" i="7"/>
  <c r="D14058" i="7"/>
  <c r="E14057" i="7"/>
  <c r="D14057" i="7"/>
  <c r="H13666" i="7" l="1" a="1"/>
  <c r="H13666" i="7" s="1"/>
  <c r="E13666" i="7"/>
  <c r="D13666" i="7"/>
  <c r="H13665" i="7" a="1"/>
  <c r="H13665" i="7" s="1"/>
  <c r="E13665" i="7"/>
  <c r="D13665" i="7"/>
  <c r="E14056" i="7" l="1"/>
  <c r="D14056" i="7"/>
  <c r="E14055" i="7"/>
  <c r="D14055" i="7"/>
  <c r="E14054" i="7"/>
  <c r="D14054" i="7"/>
  <c r="E14053" i="7"/>
  <c r="D14053" i="7"/>
  <c r="E14052" i="7"/>
  <c r="D14052" i="7"/>
  <c r="E14051" i="7"/>
  <c r="D14051" i="7"/>
  <c r="E14050" i="7"/>
  <c r="D14050" i="7"/>
  <c r="E14049" i="7"/>
  <c r="D14049" i="7"/>
  <c r="E14048" i="7"/>
  <c r="D14048" i="7"/>
  <c r="E14047" i="7" l="1"/>
  <c r="D14047" i="7"/>
  <c r="E14046" i="7"/>
  <c r="D14046" i="7"/>
  <c r="E14039" i="7"/>
  <c r="D14039" i="7"/>
  <c r="E14038" i="7"/>
  <c r="D14038" i="7"/>
  <c r="E14045" i="7"/>
  <c r="D14045" i="7"/>
  <c r="E14044" i="7"/>
  <c r="D14044" i="7"/>
  <c r="E14043" i="7"/>
  <c r="D14043" i="7"/>
  <c r="E14042" i="7"/>
  <c r="D14042" i="7"/>
  <c r="E14037" i="7"/>
  <c r="D14037" i="7"/>
  <c r="E14036" i="7"/>
  <c r="D14036" i="7"/>
  <c r="E14035" i="7"/>
  <c r="D14035" i="7"/>
  <c r="E14034" i="7"/>
  <c r="D14034" i="7"/>
  <c r="E14033" i="7"/>
  <c r="D14033" i="7"/>
  <c r="E14032" i="7"/>
  <c r="D14032" i="7"/>
  <c r="E14031" i="7"/>
  <c r="D14031" i="7"/>
  <c r="E14030" i="7"/>
  <c r="D14030" i="7"/>
  <c r="E14029" i="7"/>
  <c r="D14029" i="7"/>
  <c r="D354" i="58"/>
  <c r="D355" i="58"/>
  <c r="R355" i="58"/>
  <c r="P355" i="58"/>
  <c r="N355" i="58"/>
  <c r="L355" i="58"/>
  <c r="J355" i="58"/>
  <c r="H355" i="58"/>
  <c r="F355" i="58"/>
  <c r="R354" i="58"/>
  <c r="P354" i="58"/>
  <c r="N354" i="58"/>
  <c r="L354" i="58"/>
  <c r="J354" i="58"/>
  <c r="H354" i="58"/>
  <c r="F354" i="58"/>
  <c r="E14028" i="7"/>
  <c r="D14028" i="7"/>
  <c r="E14027" i="7"/>
  <c r="D14027" i="7"/>
  <c r="E14026" i="7"/>
  <c r="D14026" i="7"/>
  <c r="E14025" i="7"/>
  <c r="D14025" i="7"/>
  <c r="E14024" i="7"/>
  <c r="D14024" i="7"/>
  <c r="E14023" i="7"/>
  <c r="D14023" i="7"/>
  <c r="E14022" i="7"/>
  <c r="D14022" i="7"/>
  <c r="E14021" i="7"/>
  <c r="D14021" i="7"/>
  <c r="E14020" i="7" l="1"/>
  <c r="D14020" i="7"/>
  <c r="E14019" i="7"/>
  <c r="D14019" i="7"/>
  <c r="E14018" i="7"/>
  <c r="D14018" i="7"/>
  <c r="E14017" i="7"/>
  <c r="D14017" i="7"/>
  <c r="E14016" i="7"/>
  <c r="D14016" i="7"/>
  <c r="E14015" i="7"/>
  <c r="D14015" i="7"/>
  <c r="E14014" i="7"/>
  <c r="D14014" i="7"/>
  <c r="E14013" i="7"/>
  <c r="D14013" i="7"/>
  <c r="E14012" i="7"/>
  <c r="D14012" i="7"/>
  <c r="E13880" i="7" l="1"/>
  <c r="D13880" i="7"/>
  <c r="E13879" i="7"/>
  <c r="D13879" i="7"/>
  <c r="E13933" i="7"/>
  <c r="D13933" i="7"/>
  <c r="E13932" i="7"/>
  <c r="D13932" i="7"/>
  <c r="E13958" i="7"/>
  <c r="D13958" i="7"/>
  <c r="E13957" i="7"/>
  <c r="D13957" i="7"/>
  <c r="E13956" i="7"/>
  <c r="D13956" i="7"/>
  <c r="E13955" i="7"/>
  <c r="D13955" i="7"/>
  <c r="E13954" i="7" l="1"/>
  <c r="D13954" i="7"/>
  <c r="E13953" i="7"/>
  <c r="D13953" i="7"/>
  <c r="E13952" i="7"/>
  <c r="D13952" i="7"/>
  <c r="D347" i="58" l="1"/>
  <c r="D348" i="58"/>
  <c r="D349" i="58"/>
  <c r="D350" i="58"/>
  <c r="D351" i="58"/>
  <c r="D352" i="58"/>
  <c r="D353" i="58"/>
  <c r="F347" i="58"/>
  <c r="F348" i="58"/>
  <c r="F349" i="58"/>
  <c r="F350" i="58"/>
  <c r="F351" i="58"/>
  <c r="F352" i="58"/>
  <c r="F353" i="58"/>
  <c r="E14011" i="7"/>
  <c r="D14011" i="7"/>
  <c r="K14010" i="7"/>
  <c r="L14011" i="7" s="1"/>
  <c r="E14010" i="7"/>
  <c r="D14010" i="7"/>
  <c r="E14009" i="7"/>
  <c r="D14009" i="7"/>
  <c r="K14008" i="7"/>
  <c r="L14009" i="7" s="1"/>
  <c r="E14008" i="7"/>
  <c r="D14008" i="7"/>
  <c r="L14007" i="7"/>
  <c r="E14007" i="7"/>
  <c r="D14007" i="7"/>
  <c r="E14006" i="7"/>
  <c r="D14006" i="7"/>
  <c r="L14005" i="7"/>
  <c r="E14005" i="7"/>
  <c r="D14005" i="7"/>
  <c r="E14004" i="7"/>
  <c r="D14004" i="7"/>
  <c r="L14003" i="7"/>
  <c r="E14003" i="7"/>
  <c r="D14003" i="7"/>
  <c r="E14002" i="7"/>
  <c r="D14002" i="7"/>
  <c r="E14001" i="7"/>
  <c r="D14001" i="7"/>
  <c r="E14000" i="7"/>
  <c r="D14000" i="7"/>
  <c r="L13999" i="7"/>
  <c r="E13999" i="7"/>
  <c r="D13999" i="7"/>
  <c r="E13998" i="7"/>
  <c r="D13998" i="7"/>
  <c r="L13997" i="7"/>
  <c r="E13997" i="7"/>
  <c r="D13997" i="7"/>
  <c r="E13996" i="7"/>
  <c r="D13996" i="7"/>
  <c r="E13951" i="7"/>
  <c r="D13951" i="7"/>
  <c r="E13950" i="7"/>
  <c r="D13950" i="7"/>
  <c r="E13949" i="7"/>
  <c r="D13949" i="7"/>
  <c r="E13993" i="7"/>
  <c r="D13993" i="7"/>
  <c r="E13992" i="7"/>
  <c r="D13992" i="7"/>
  <c r="E13991" i="7"/>
  <c r="D13991" i="7"/>
  <c r="E13990" i="7"/>
  <c r="D13990" i="7"/>
  <c r="E13989" i="7"/>
  <c r="D13989" i="7"/>
  <c r="E13948" i="7"/>
  <c r="D13948" i="7"/>
  <c r="E13947" i="7"/>
  <c r="D13947" i="7"/>
  <c r="E13946" i="7"/>
  <c r="D13946" i="7"/>
  <c r="E13945" i="7"/>
  <c r="D13945" i="7"/>
  <c r="E13944" i="7"/>
  <c r="D13944" i="7"/>
  <c r="E13943" i="7"/>
  <c r="D13943" i="7"/>
  <c r="E13942" i="7"/>
  <c r="D13942" i="7"/>
  <c r="E13941" i="7"/>
  <c r="D13941" i="7"/>
  <c r="E13940" i="7"/>
  <c r="D13940" i="7"/>
  <c r="E13931" i="7"/>
  <c r="D13931" i="7"/>
  <c r="E13930" i="7"/>
  <c r="D13930" i="7"/>
  <c r="E13920" i="7"/>
  <c r="D13920" i="7"/>
  <c r="E13919" i="7"/>
  <c r="D13919" i="7"/>
  <c r="E13918" i="7"/>
  <c r="D13918" i="7"/>
  <c r="R353" i="58"/>
  <c r="P353" i="58"/>
  <c r="N353" i="58"/>
  <c r="L353" i="58"/>
  <c r="J353" i="58"/>
  <c r="H353" i="58"/>
  <c r="R352" i="58"/>
  <c r="P352" i="58"/>
  <c r="N352" i="58"/>
  <c r="L352" i="58"/>
  <c r="J352" i="58"/>
  <c r="H352" i="58"/>
  <c r="R351" i="58"/>
  <c r="P351" i="58"/>
  <c r="N351" i="58"/>
  <c r="L351" i="58"/>
  <c r="J351" i="58"/>
  <c r="H351" i="58"/>
  <c r="R350" i="58"/>
  <c r="P350" i="58"/>
  <c r="N350" i="58"/>
  <c r="L350" i="58"/>
  <c r="J350" i="58"/>
  <c r="H350" i="58"/>
  <c r="R349" i="58"/>
  <c r="P349" i="58"/>
  <c r="N349" i="58"/>
  <c r="L349" i="58"/>
  <c r="J349" i="58"/>
  <c r="H349" i="58"/>
  <c r="R348" i="58"/>
  <c r="P348" i="58"/>
  <c r="N348" i="58"/>
  <c r="L348" i="58"/>
  <c r="J348" i="58"/>
  <c r="H348" i="58"/>
  <c r="R347" i="58"/>
  <c r="P347" i="58"/>
  <c r="N347" i="58"/>
  <c r="L347" i="58"/>
  <c r="J347" i="58"/>
  <c r="H347" i="58"/>
  <c r="E13988" i="7"/>
  <c r="D13988" i="7"/>
  <c r="E13987" i="7"/>
  <c r="D13987" i="7"/>
  <c r="E13986" i="7"/>
  <c r="D13986" i="7"/>
  <c r="E13985" i="7"/>
  <c r="D13985" i="7"/>
  <c r="E13984" i="7"/>
  <c r="D13984" i="7"/>
  <c r="E13983" i="7"/>
  <c r="D13983" i="7"/>
  <c r="E13982" i="7"/>
  <c r="D13982" i="7"/>
  <c r="E13981" i="7"/>
  <c r="D13981" i="7"/>
  <c r="E13980" i="7"/>
  <c r="D13980" i="7"/>
  <c r="E13979" i="7"/>
  <c r="D13979" i="7"/>
  <c r="E13978" i="7"/>
  <c r="D13978" i="7"/>
  <c r="E13977" i="7"/>
  <c r="D13977" i="7"/>
  <c r="E13967" i="7" l="1"/>
  <c r="D13967" i="7"/>
  <c r="E13966" i="7"/>
  <c r="D13966" i="7"/>
  <c r="E13965" i="7"/>
  <c r="D13965" i="7"/>
  <c r="E13976" i="7"/>
  <c r="D13976" i="7"/>
  <c r="E13975" i="7"/>
  <c r="D13975" i="7"/>
  <c r="E13974" i="7"/>
  <c r="D13974" i="7"/>
  <c r="E13970" i="7"/>
  <c r="D13970" i="7"/>
  <c r="E13969" i="7"/>
  <c r="D13969" i="7"/>
  <c r="E13968" i="7"/>
  <c r="D13968" i="7"/>
  <c r="E13973" i="7"/>
  <c r="D13973" i="7"/>
  <c r="E13972" i="7"/>
  <c r="D13972" i="7"/>
  <c r="E13971" i="7"/>
  <c r="D13971" i="7"/>
  <c r="E13964" i="7"/>
  <c r="D13964" i="7"/>
  <c r="E13963" i="7"/>
  <c r="D13963" i="7"/>
  <c r="E13962" i="7"/>
  <c r="D13962" i="7"/>
  <c r="E13939" i="7"/>
  <c r="D13939" i="7"/>
  <c r="E13938" i="7"/>
  <c r="D13938" i="7"/>
  <c r="E13937" i="7"/>
  <c r="D13937" i="7"/>
  <c r="E13910" i="7"/>
  <c r="D13910" i="7"/>
  <c r="E13909" i="7"/>
  <c r="D13909" i="7"/>
  <c r="E13908" i="7"/>
  <c r="D13908" i="7"/>
  <c r="E13902" i="7"/>
  <c r="D13902" i="7"/>
  <c r="E13901" i="7"/>
  <c r="D13901" i="7"/>
  <c r="E13900" i="7"/>
  <c r="D13900" i="7"/>
  <c r="E13899" i="7"/>
  <c r="D13899" i="7"/>
  <c r="E13898" i="7"/>
  <c r="D13898" i="7"/>
  <c r="E13897" i="7"/>
  <c r="D13897" i="7"/>
  <c r="E13878" i="7"/>
  <c r="D13878" i="7"/>
  <c r="E13877" i="7"/>
  <c r="D13877" i="7"/>
  <c r="E13876" i="7"/>
  <c r="D13876" i="7"/>
  <c r="E13961" i="7"/>
  <c r="D13961" i="7"/>
  <c r="E13960" i="7"/>
  <c r="D13960" i="7"/>
  <c r="E13959" i="7"/>
  <c r="D13959" i="7"/>
  <c r="E13936" i="7" l="1"/>
  <c r="D13936" i="7"/>
  <c r="E13935" i="7"/>
  <c r="D13935" i="7"/>
  <c r="E13934" i="7"/>
  <c r="D13934" i="7"/>
  <c r="E13929" i="7"/>
  <c r="D13929" i="7"/>
  <c r="E13928" i="7"/>
  <c r="D13928" i="7"/>
  <c r="E13927" i="7"/>
  <c r="D13927" i="7"/>
  <c r="E13926" i="7"/>
  <c r="D13926" i="7"/>
  <c r="E13925" i="7"/>
  <c r="D13925" i="7"/>
  <c r="E13914" i="7"/>
  <c r="D13914" i="7"/>
  <c r="E13913" i="7"/>
  <c r="D13913" i="7"/>
  <c r="E13912" i="7"/>
  <c r="D13912" i="7"/>
  <c r="E13911" i="7"/>
  <c r="D13911" i="7"/>
  <c r="E13917" i="7"/>
  <c r="D13917" i="7"/>
  <c r="E13916" i="7"/>
  <c r="D13916" i="7"/>
  <c r="E13915" i="7"/>
  <c r="D13915" i="7"/>
  <c r="E13924" i="7"/>
  <c r="D13924" i="7"/>
  <c r="E13923" i="7"/>
  <c r="D13923" i="7"/>
  <c r="E13922" i="7"/>
  <c r="D13922" i="7"/>
  <c r="E13921" i="7"/>
  <c r="D13921" i="7"/>
  <c r="E13907" i="7"/>
  <c r="D13907" i="7"/>
  <c r="E13906" i="7"/>
  <c r="D13906" i="7"/>
  <c r="E13905" i="7"/>
  <c r="D13905" i="7"/>
  <c r="E13904" i="7"/>
  <c r="D13904" i="7"/>
  <c r="E13903" i="7"/>
  <c r="D13903" i="7"/>
  <c r="E13896" i="7" l="1"/>
  <c r="D13896" i="7"/>
  <c r="K13895" i="7"/>
  <c r="L13896" i="7" s="1"/>
  <c r="E13895" i="7"/>
  <c r="D13895" i="7"/>
  <c r="E13894" i="7"/>
  <c r="D13894" i="7"/>
  <c r="K13893" i="7"/>
  <c r="L13894" i="7" s="1"/>
  <c r="E13893" i="7"/>
  <c r="D13893" i="7"/>
  <c r="L13892" i="7"/>
  <c r="E13892" i="7"/>
  <c r="D13892" i="7"/>
  <c r="E13891" i="7"/>
  <c r="D13891" i="7"/>
  <c r="L13890" i="7"/>
  <c r="E13890" i="7"/>
  <c r="D13890" i="7"/>
  <c r="E13889" i="7"/>
  <c r="D13889" i="7"/>
  <c r="L13888" i="7"/>
  <c r="E13888" i="7"/>
  <c r="D13888" i="7"/>
  <c r="E13887" i="7"/>
  <c r="D13887" i="7"/>
  <c r="E13886" i="7"/>
  <c r="D13886" i="7"/>
  <c r="E13885" i="7"/>
  <c r="D13885" i="7"/>
  <c r="L13884" i="7"/>
  <c r="E13884" i="7"/>
  <c r="D13884" i="7"/>
  <c r="E13883" i="7"/>
  <c r="D13883" i="7"/>
  <c r="L13882" i="7"/>
  <c r="E13882" i="7"/>
  <c r="D13882" i="7"/>
  <c r="E13881" i="7"/>
  <c r="D13881" i="7"/>
  <c r="E13875" i="7" l="1"/>
  <c r="D13875" i="7"/>
  <c r="E13874" i="7"/>
  <c r="D13874" i="7"/>
  <c r="E13873" i="7"/>
  <c r="D13873" i="7"/>
  <c r="E13872" i="7"/>
  <c r="D13872" i="7"/>
  <c r="E13871" i="7"/>
  <c r="D13871" i="7"/>
  <c r="E13864" i="7" l="1"/>
  <c r="D13864" i="7"/>
  <c r="E13863" i="7"/>
  <c r="D13863" i="7"/>
  <c r="D340" i="58"/>
  <c r="D341" i="58"/>
  <c r="D342" i="58"/>
  <c r="D343" i="58"/>
  <c r="D344" i="58"/>
  <c r="D345" i="58"/>
  <c r="D346" i="58"/>
  <c r="R346" i="58"/>
  <c r="P346" i="58"/>
  <c r="N346" i="58"/>
  <c r="L346" i="58"/>
  <c r="J346" i="58"/>
  <c r="H346" i="58"/>
  <c r="F346" i="58"/>
  <c r="R345" i="58"/>
  <c r="P345" i="58"/>
  <c r="N345" i="58"/>
  <c r="L345" i="58"/>
  <c r="J345" i="58"/>
  <c r="H345" i="58"/>
  <c r="F345" i="58"/>
  <c r="R344" i="58"/>
  <c r="P344" i="58"/>
  <c r="N344" i="58"/>
  <c r="L344" i="58"/>
  <c r="J344" i="58"/>
  <c r="H344" i="58"/>
  <c r="F344" i="58"/>
  <c r="R343" i="58"/>
  <c r="P343" i="58"/>
  <c r="N343" i="58"/>
  <c r="L343" i="58"/>
  <c r="J343" i="58"/>
  <c r="H343" i="58"/>
  <c r="F343" i="58"/>
  <c r="R342" i="58"/>
  <c r="P342" i="58"/>
  <c r="N342" i="58"/>
  <c r="L342" i="58"/>
  <c r="J342" i="58"/>
  <c r="H342" i="58"/>
  <c r="F342" i="58"/>
  <c r="R341" i="58"/>
  <c r="P341" i="58"/>
  <c r="N341" i="58"/>
  <c r="L341" i="58"/>
  <c r="J341" i="58"/>
  <c r="H341" i="58"/>
  <c r="F341" i="58"/>
  <c r="R340" i="58"/>
  <c r="P340" i="58"/>
  <c r="N340" i="58"/>
  <c r="L340" i="58"/>
  <c r="J340" i="58"/>
  <c r="H340" i="58"/>
  <c r="F340" i="58"/>
  <c r="E13841" i="7"/>
  <c r="D13841" i="7"/>
  <c r="E13840" i="7"/>
  <c r="D13840" i="7"/>
  <c r="E13839" i="7"/>
  <c r="D13839" i="7"/>
  <c r="E13824" i="7"/>
  <c r="D13824" i="7"/>
  <c r="E13823" i="7"/>
  <c r="D13823" i="7"/>
  <c r="E13822" i="7"/>
  <c r="D13822" i="7"/>
  <c r="E13870" i="7"/>
  <c r="D13870" i="7"/>
  <c r="E13869" i="7"/>
  <c r="D13869" i="7"/>
  <c r="E13868" i="7"/>
  <c r="D13868" i="7"/>
  <c r="E13867" i="7"/>
  <c r="D13867" i="7"/>
  <c r="E13866" i="7"/>
  <c r="D13866" i="7"/>
  <c r="E13865" i="7"/>
  <c r="D13865" i="7"/>
  <c r="E13805" i="7" l="1"/>
  <c r="D13805" i="7"/>
  <c r="E13804" i="7"/>
  <c r="D13804" i="7"/>
  <c r="E13860" i="7"/>
  <c r="D13860" i="7"/>
  <c r="E13859" i="7"/>
  <c r="D13859" i="7"/>
  <c r="E13838" i="7"/>
  <c r="D13838" i="7"/>
  <c r="E13837" i="7"/>
  <c r="D13837" i="7"/>
  <c r="E13862" i="7"/>
  <c r="D13862" i="7"/>
  <c r="E13861" i="7"/>
  <c r="D13861" i="7"/>
  <c r="E13858" i="7"/>
  <c r="D13858" i="7"/>
  <c r="E13857" i="7"/>
  <c r="D13857" i="7"/>
  <c r="E13856" i="7"/>
  <c r="D13856" i="7"/>
  <c r="E13855" i="7"/>
  <c r="D13855" i="7"/>
  <c r="E13851" i="7" l="1"/>
  <c r="D13851" i="7"/>
  <c r="E13847" i="7"/>
  <c r="D13847" i="7"/>
  <c r="L13846" i="7"/>
  <c r="E13846" i="7"/>
  <c r="D13846" i="7"/>
  <c r="E13845" i="7"/>
  <c r="D13845" i="7"/>
  <c r="L13836" i="7"/>
  <c r="E13836" i="7"/>
  <c r="D13836" i="7"/>
  <c r="E13835" i="7"/>
  <c r="D13835" i="7"/>
  <c r="E13834" i="7" l="1"/>
  <c r="D13834" i="7"/>
  <c r="E13833" i="7"/>
  <c r="D13833" i="7"/>
  <c r="E13832" i="7"/>
  <c r="D13832" i="7"/>
  <c r="E13831" i="7"/>
  <c r="D13831" i="7"/>
  <c r="E13854" i="7" l="1"/>
  <c r="D13854" i="7"/>
  <c r="E13853" i="7"/>
  <c r="D13853" i="7"/>
  <c r="E13852" i="7"/>
  <c r="D13852" i="7"/>
  <c r="E13844" i="7"/>
  <c r="D13844" i="7"/>
  <c r="E13843" i="7"/>
  <c r="D13843" i="7"/>
  <c r="E13842" i="7"/>
  <c r="D13842" i="7"/>
  <c r="E13830" i="7"/>
  <c r="D13830" i="7"/>
  <c r="E13829" i="7"/>
  <c r="D13829" i="7"/>
  <c r="E13828" i="7"/>
  <c r="D13828" i="7"/>
  <c r="E13827" i="7"/>
  <c r="D13827" i="7"/>
  <c r="E13826" i="7"/>
  <c r="D13826" i="7"/>
  <c r="E13825" i="7"/>
  <c r="D13825" i="7"/>
  <c r="N13816" i="7" l="1"/>
  <c r="E13821" i="7"/>
  <c r="D13821" i="7"/>
  <c r="L13821" i="7"/>
  <c r="E13820" i="7"/>
  <c r="D13820" i="7"/>
  <c r="E13819" i="7"/>
  <c r="D13819" i="7"/>
  <c r="L13819" i="7"/>
  <c r="E13818" i="7"/>
  <c r="D13818" i="7"/>
  <c r="L13817" i="7"/>
  <c r="E13817" i="7"/>
  <c r="D13817" i="7"/>
  <c r="E13816" i="7"/>
  <c r="D13816" i="7"/>
  <c r="L13815" i="7"/>
  <c r="E13815" i="7"/>
  <c r="D13815" i="7"/>
  <c r="E13814" i="7"/>
  <c r="D13814" i="7"/>
  <c r="L13813" i="7"/>
  <c r="E13813" i="7"/>
  <c r="D13813" i="7"/>
  <c r="E13812" i="7"/>
  <c r="D13812" i="7"/>
  <c r="E13811" i="7"/>
  <c r="D13811" i="7"/>
  <c r="E13810" i="7"/>
  <c r="D13810" i="7"/>
  <c r="L13809" i="7"/>
  <c r="E13809" i="7"/>
  <c r="D13809" i="7"/>
  <c r="E13808" i="7"/>
  <c r="D13808" i="7"/>
  <c r="L13807" i="7"/>
  <c r="E13807" i="7"/>
  <c r="D13807" i="7"/>
  <c r="E13806" i="7"/>
  <c r="D13806" i="7"/>
  <c r="E13803" i="7"/>
  <c r="D13803" i="7"/>
  <c r="E13802" i="7"/>
  <c r="D13802" i="7"/>
  <c r="E13801" i="7"/>
  <c r="D13801" i="7"/>
  <c r="N13818" i="7" l="1"/>
  <c r="N13820" i="7"/>
  <c r="E13800" i="7" l="1"/>
  <c r="D13800" i="7"/>
  <c r="E13799" i="7"/>
  <c r="D13799" i="7"/>
  <c r="E13798" i="7" l="1"/>
  <c r="D13798" i="7"/>
  <c r="E13797" i="7"/>
  <c r="D13797" i="7"/>
  <c r="E13796" i="7" l="1"/>
  <c r="D13796" i="7"/>
  <c r="E13795" i="7"/>
  <c r="D13795" i="7"/>
  <c r="E13794" i="7"/>
  <c r="D13794" i="7"/>
  <c r="E13793" i="7" l="1"/>
  <c r="D13793" i="7"/>
  <c r="E13792" i="7"/>
  <c r="D13792" i="7"/>
  <c r="E13791" i="7"/>
  <c r="D13791" i="7"/>
  <c r="E13790" i="7"/>
  <c r="D13790" i="7"/>
  <c r="E13789" i="7" l="1"/>
  <c r="D13789" i="7"/>
  <c r="E13788" i="7"/>
  <c r="D13788" i="7"/>
  <c r="E13787" i="7"/>
  <c r="D13787" i="7"/>
  <c r="E13786" i="7"/>
  <c r="D13786" i="7"/>
  <c r="E13785" i="7"/>
  <c r="D13785" i="7"/>
  <c r="E13784" i="7"/>
  <c r="D13784" i="7"/>
  <c r="E13783" i="7"/>
  <c r="D13783" i="7"/>
  <c r="E13782" i="7"/>
  <c r="D13782" i="7"/>
  <c r="D326" i="58"/>
  <c r="D327" i="58"/>
  <c r="D328" i="58"/>
  <c r="D329" i="58"/>
  <c r="D330" i="58"/>
  <c r="D331" i="58"/>
  <c r="D332" i="58"/>
  <c r="D333" i="58"/>
  <c r="D334" i="58"/>
  <c r="D335" i="58"/>
  <c r="D336" i="58"/>
  <c r="D337" i="58"/>
  <c r="D338" i="58"/>
  <c r="D339" i="58"/>
  <c r="R339" i="58"/>
  <c r="P339" i="58"/>
  <c r="N339" i="58"/>
  <c r="L339" i="58"/>
  <c r="J339" i="58"/>
  <c r="H339" i="58"/>
  <c r="F339" i="58"/>
  <c r="R338" i="58"/>
  <c r="P338" i="58"/>
  <c r="N338" i="58"/>
  <c r="L338" i="58"/>
  <c r="J338" i="58"/>
  <c r="H338" i="58"/>
  <c r="F338" i="58"/>
  <c r="R337" i="58"/>
  <c r="P337" i="58"/>
  <c r="N337" i="58"/>
  <c r="L337" i="58"/>
  <c r="J337" i="58"/>
  <c r="H337" i="58"/>
  <c r="F337" i="58"/>
  <c r="R336" i="58"/>
  <c r="P336" i="58"/>
  <c r="N336" i="58"/>
  <c r="L336" i="58"/>
  <c r="J336" i="58"/>
  <c r="H336" i="58"/>
  <c r="F336" i="58"/>
  <c r="R335" i="58"/>
  <c r="P335" i="58"/>
  <c r="N335" i="58"/>
  <c r="L335" i="58"/>
  <c r="J335" i="58"/>
  <c r="H335" i="58"/>
  <c r="F335" i="58"/>
  <c r="R334" i="58"/>
  <c r="P334" i="58"/>
  <c r="N334" i="58"/>
  <c r="L334" i="58"/>
  <c r="J334" i="58"/>
  <c r="H334" i="58"/>
  <c r="F334" i="58"/>
  <c r="R333" i="58"/>
  <c r="P333" i="58"/>
  <c r="N333" i="58"/>
  <c r="L333" i="58"/>
  <c r="J333" i="58"/>
  <c r="H333" i="58"/>
  <c r="F333" i="58"/>
  <c r="R332" i="58"/>
  <c r="P332" i="58"/>
  <c r="N332" i="58"/>
  <c r="L332" i="58"/>
  <c r="J332" i="58"/>
  <c r="H332" i="58"/>
  <c r="F332" i="58"/>
  <c r="R331" i="58"/>
  <c r="P331" i="58"/>
  <c r="N331" i="58"/>
  <c r="L331" i="58"/>
  <c r="J331" i="58"/>
  <c r="H331" i="58"/>
  <c r="F331" i="58"/>
  <c r="R330" i="58"/>
  <c r="P330" i="58"/>
  <c r="N330" i="58"/>
  <c r="L330" i="58"/>
  <c r="J330" i="58"/>
  <c r="H330" i="58"/>
  <c r="F330" i="58"/>
  <c r="R329" i="58"/>
  <c r="P329" i="58"/>
  <c r="N329" i="58"/>
  <c r="L329" i="58"/>
  <c r="J329" i="58"/>
  <c r="H329" i="58"/>
  <c r="F329" i="58"/>
  <c r="R328" i="58"/>
  <c r="P328" i="58"/>
  <c r="N328" i="58"/>
  <c r="L328" i="58"/>
  <c r="J328" i="58"/>
  <c r="H328" i="58"/>
  <c r="F328" i="58"/>
  <c r="R327" i="58"/>
  <c r="P327" i="58"/>
  <c r="N327" i="58"/>
  <c r="L327" i="58"/>
  <c r="J327" i="58"/>
  <c r="H327" i="58"/>
  <c r="F327" i="58"/>
  <c r="R326" i="58"/>
  <c r="P326" i="58"/>
  <c r="N326" i="58"/>
  <c r="L326" i="58"/>
  <c r="J326" i="58"/>
  <c r="H326" i="58"/>
  <c r="F326" i="58"/>
  <c r="E13736" i="7"/>
  <c r="D13736" i="7"/>
  <c r="E13735" i="7"/>
  <c r="D13735" i="7"/>
  <c r="E13781" i="7"/>
  <c r="D13781" i="7"/>
  <c r="E13780" i="7"/>
  <c r="D13780" i="7"/>
  <c r="E13779" i="7"/>
  <c r="D13779" i="7"/>
  <c r="E13778" i="7"/>
  <c r="D13778" i="7"/>
  <c r="E13767" i="7"/>
  <c r="D13767" i="7"/>
  <c r="E13766" i="7"/>
  <c r="D13766" i="7"/>
  <c r="E13765" i="7"/>
  <c r="D13765" i="7"/>
  <c r="E13764" i="7" l="1"/>
  <c r="D13764" i="7"/>
  <c r="E13763" i="7"/>
  <c r="D13763" i="7"/>
  <c r="E13762" i="7"/>
  <c r="D13762" i="7"/>
  <c r="E13761" i="7"/>
  <c r="D13761" i="7"/>
  <c r="E13760" i="7"/>
  <c r="D13760" i="7"/>
  <c r="E13759" i="7"/>
  <c r="D13759" i="7"/>
  <c r="E13777" i="7"/>
  <c r="D13777" i="7"/>
  <c r="E13776" i="7"/>
  <c r="D13776" i="7"/>
  <c r="E13775" i="7"/>
  <c r="D13775" i="7"/>
  <c r="E13774" i="7"/>
  <c r="D13774" i="7"/>
  <c r="E13773" i="7"/>
  <c r="D13773" i="7"/>
  <c r="E13772" i="7" l="1"/>
  <c r="D13772" i="7"/>
  <c r="E13771" i="7"/>
  <c r="D13771" i="7"/>
  <c r="E13770" i="7"/>
  <c r="D13770" i="7"/>
  <c r="E13769" i="7"/>
  <c r="D13769" i="7"/>
  <c r="E13768" i="7"/>
  <c r="D13768" i="7"/>
  <c r="E13758" i="7"/>
  <c r="D13758" i="7"/>
  <c r="E13757" i="7"/>
  <c r="D13757" i="7"/>
  <c r="E13756" i="7"/>
  <c r="D13756" i="7"/>
  <c r="E13755" i="7"/>
  <c r="D13755" i="7"/>
  <c r="E13754" i="7"/>
  <c r="D13754" i="7"/>
  <c r="E13753" i="7"/>
  <c r="D13753" i="7"/>
  <c r="E13734" i="7" l="1"/>
  <c r="D13734" i="7"/>
  <c r="E13733" i="7"/>
  <c r="D13733" i="7"/>
  <c r="E13732" i="7"/>
  <c r="D13732" i="7"/>
  <c r="E13731" i="7"/>
  <c r="D13731" i="7"/>
  <c r="E13730" i="7"/>
  <c r="D13730" i="7"/>
  <c r="E13729" i="7"/>
  <c r="D13729" i="7"/>
  <c r="E13701" i="7"/>
  <c r="D13701" i="7"/>
  <c r="E13700" i="7"/>
  <c r="D13700" i="7"/>
  <c r="E13728" i="7" l="1"/>
  <c r="D13728" i="7"/>
  <c r="E13727" i="7"/>
  <c r="D13727" i="7"/>
  <c r="E13726" i="7"/>
  <c r="D13726" i="7"/>
  <c r="E13725" i="7"/>
  <c r="D13725" i="7"/>
  <c r="E13724" i="7"/>
  <c r="D13724" i="7"/>
  <c r="E13723" i="7"/>
  <c r="D13723" i="7"/>
  <c r="E13752" i="7" l="1"/>
  <c r="D13752" i="7"/>
  <c r="K13751" i="7"/>
  <c r="L13752" i="7" s="1"/>
  <c r="E13751" i="7"/>
  <c r="D13751" i="7"/>
  <c r="E13750" i="7"/>
  <c r="D13750" i="7"/>
  <c r="K13749" i="7"/>
  <c r="L13750" i="7" s="1"/>
  <c r="E13749" i="7"/>
  <c r="D13749" i="7"/>
  <c r="L13748" i="7"/>
  <c r="E13748" i="7"/>
  <c r="D13748" i="7"/>
  <c r="E13747" i="7"/>
  <c r="D13747" i="7"/>
  <c r="L13746" i="7"/>
  <c r="E13746" i="7"/>
  <c r="D13746" i="7"/>
  <c r="E13745" i="7"/>
  <c r="D13745" i="7"/>
  <c r="L13744" i="7"/>
  <c r="E13744" i="7"/>
  <c r="D13744" i="7"/>
  <c r="E13743" i="7"/>
  <c r="D13743" i="7"/>
  <c r="E13742" i="7"/>
  <c r="D13742" i="7"/>
  <c r="E13741" i="7"/>
  <c r="D13741" i="7"/>
  <c r="L13740" i="7"/>
  <c r="E13740" i="7"/>
  <c r="D13740" i="7"/>
  <c r="E13739" i="7"/>
  <c r="D13739" i="7"/>
  <c r="L13738" i="7"/>
  <c r="E13738" i="7"/>
  <c r="D13738" i="7"/>
  <c r="E13737" i="7"/>
  <c r="D13737" i="7"/>
  <c r="D318" i="58"/>
  <c r="D319" i="58"/>
  <c r="D320" i="58"/>
  <c r="D321" i="58"/>
  <c r="D322" i="58"/>
  <c r="D323" i="58"/>
  <c r="D324" i="58"/>
  <c r="D325" i="58"/>
  <c r="F318" i="58"/>
  <c r="F319" i="58"/>
  <c r="F320" i="58"/>
  <c r="F321" i="58"/>
  <c r="F322" i="58"/>
  <c r="F323" i="58"/>
  <c r="F324" i="58"/>
  <c r="F325" i="58"/>
  <c r="E13699" i="7"/>
  <c r="D13699" i="7"/>
  <c r="E13698" i="7"/>
  <c r="D13698" i="7"/>
  <c r="E13697" i="7"/>
  <c r="D13697" i="7"/>
  <c r="R325" i="58"/>
  <c r="P325" i="58"/>
  <c r="N325" i="58"/>
  <c r="L325" i="58"/>
  <c r="J325" i="58"/>
  <c r="H325" i="58"/>
  <c r="R324" i="58"/>
  <c r="P324" i="58"/>
  <c r="N324" i="58"/>
  <c r="L324" i="58"/>
  <c r="J324" i="58"/>
  <c r="H324" i="58"/>
  <c r="R323" i="58"/>
  <c r="P323" i="58"/>
  <c r="N323" i="58"/>
  <c r="L323" i="58"/>
  <c r="J323" i="58"/>
  <c r="H323" i="58"/>
  <c r="R322" i="58"/>
  <c r="P322" i="58"/>
  <c r="N322" i="58"/>
  <c r="L322" i="58"/>
  <c r="J322" i="58"/>
  <c r="H322" i="58"/>
  <c r="R321" i="58"/>
  <c r="P321" i="58"/>
  <c r="N321" i="58"/>
  <c r="L321" i="58"/>
  <c r="J321" i="58"/>
  <c r="H321" i="58"/>
  <c r="R320" i="58"/>
  <c r="P320" i="58"/>
  <c r="N320" i="58"/>
  <c r="L320" i="58"/>
  <c r="J320" i="58"/>
  <c r="H320" i="58"/>
  <c r="R319" i="58"/>
  <c r="P319" i="58"/>
  <c r="N319" i="58"/>
  <c r="L319" i="58"/>
  <c r="J319" i="58"/>
  <c r="H319" i="58"/>
  <c r="R318" i="58"/>
  <c r="P318" i="58"/>
  <c r="N318" i="58"/>
  <c r="L318" i="58"/>
  <c r="J318" i="58"/>
  <c r="H318" i="58"/>
  <c r="H13696" i="7" a="1"/>
  <c r="H13696" i="7" s="1"/>
  <c r="E13696" i="7"/>
  <c r="D13696" i="7"/>
  <c r="H13695" i="7" a="1"/>
  <c r="H13695" i="7" s="1"/>
  <c r="E13695" i="7"/>
  <c r="D13695" i="7"/>
  <c r="H13694" i="7" a="1"/>
  <c r="H13694" i="7" s="1"/>
  <c r="E13694" i="7"/>
  <c r="D13694" i="7"/>
  <c r="E13720" i="7" l="1"/>
  <c r="D13720" i="7"/>
  <c r="E13719" i="7"/>
  <c r="D13719" i="7"/>
  <c r="E13718" i="7"/>
  <c r="D13718" i="7"/>
  <c r="E13722" i="7"/>
  <c r="D13722" i="7"/>
  <c r="E13721" i="7"/>
  <c r="D13721" i="7"/>
  <c r="E13717" i="7"/>
  <c r="D13717" i="7"/>
  <c r="E13716" i="7"/>
  <c r="D13716" i="7"/>
  <c r="E13715" i="7"/>
  <c r="D13715" i="7"/>
  <c r="E13714" i="7"/>
  <c r="D13714" i="7"/>
  <c r="E13713" i="7"/>
  <c r="D13713" i="7"/>
  <c r="H13693" i="7" a="1"/>
  <c r="H13693" i="7" s="1"/>
  <c r="E13693" i="7"/>
  <c r="D13693" i="7"/>
  <c r="H13688" i="7" a="1"/>
  <c r="H13688" i="7" s="1"/>
  <c r="E13688" i="7"/>
  <c r="D13688" i="7"/>
  <c r="E13712" i="7"/>
  <c r="D13712" i="7"/>
  <c r="E13711" i="7"/>
  <c r="D13711" i="7"/>
  <c r="E13710" i="7"/>
  <c r="D13710" i="7"/>
  <c r="E13709" i="7"/>
  <c r="D13709" i="7"/>
  <c r="E13708" i="7"/>
  <c r="D13708" i="7"/>
  <c r="E13707" i="7"/>
  <c r="D13707" i="7"/>
  <c r="E13706" i="7"/>
  <c r="D13706" i="7"/>
  <c r="H13687" i="7" a="1"/>
  <c r="H13687" i="7" s="1"/>
  <c r="E13687" i="7"/>
  <c r="D13687" i="7"/>
  <c r="H13686" i="7" a="1"/>
  <c r="H13686" i="7" s="1"/>
  <c r="E13686" i="7"/>
  <c r="D13686" i="7"/>
  <c r="E13705" i="7"/>
  <c r="D13705" i="7"/>
  <c r="E13704" i="7"/>
  <c r="D13704" i="7"/>
  <c r="E13703" i="7"/>
  <c r="D13703" i="7"/>
  <c r="E13702" i="7"/>
  <c r="D13702" i="7"/>
  <c r="H13685" i="7" a="1"/>
  <c r="H13685" i="7" s="1"/>
  <c r="E13685" i="7"/>
  <c r="D13685" i="7"/>
  <c r="H13684" i="7" a="1"/>
  <c r="H13684" i="7" s="1"/>
  <c r="E13684" i="7"/>
  <c r="D13684" i="7"/>
  <c r="H13683" i="7" a="1"/>
  <c r="H13683" i="7" s="1"/>
  <c r="E13683" i="7"/>
  <c r="D13683" i="7"/>
  <c r="H13682" i="7" a="1"/>
  <c r="H13682" i="7" s="1"/>
  <c r="E13682" i="7"/>
  <c r="D13682" i="7"/>
  <c r="H13681" i="7" a="1"/>
  <c r="H13681" i="7" s="1"/>
  <c r="E13681" i="7"/>
  <c r="D13681" i="7"/>
  <c r="H13680" i="7" a="1"/>
  <c r="H13680" i="7" s="1"/>
  <c r="E13680" i="7"/>
  <c r="D13680" i="7"/>
  <c r="H13679" i="7" a="1"/>
  <c r="H13679" i="7" s="1"/>
  <c r="E13679" i="7"/>
  <c r="D13679" i="7"/>
  <c r="H13678" i="7" a="1"/>
  <c r="H13678" i="7" s="1"/>
  <c r="E13678" i="7"/>
  <c r="D13678" i="7"/>
  <c r="H13674" i="7" a="1"/>
  <c r="H13674" i="7" s="1"/>
  <c r="E13674" i="7"/>
  <c r="D13674" i="7"/>
  <c r="H13673" i="7" a="1"/>
  <c r="H13673" i="7" s="1"/>
  <c r="E13673" i="7"/>
  <c r="D13673" i="7"/>
  <c r="H13672" i="7" a="1"/>
  <c r="H13672" i="7" s="1"/>
  <c r="E13672" i="7"/>
  <c r="D13672" i="7"/>
  <c r="H13671" i="7" a="1"/>
  <c r="H13671" i="7" s="1"/>
  <c r="E13671" i="7"/>
  <c r="D13671" i="7"/>
  <c r="H13670" i="7" a="1"/>
  <c r="H13670" i="7" s="1"/>
  <c r="E13670" i="7"/>
  <c r="D13670" i="7"/>
  <c r="H13669" i="7" a="1"/>
  <c r="H13669" i="7" s="1"/>
  <c r="E13669" i="7"/>
  <c r="D13669" i="7"/>
  <c r="H13668" i="7" a="1"/>
  <c r="H13668" i="7" s="1"/>
  <c r="E13668" i="7"/>
  <c r="D13668" i="7"/>
  <c r="H13667" i="7" a="1"/>
  <c r="H13667" i="7" s="1"/>
  <c r="E13667" i="7"/>
  <c r="D13667" i="7"/>
  <c r="H13664" i="7" a="1"/>
  <c r="H13664" i="7" s="1"/>
  <c r="E13664" i="7"/>
  <c r="D13664" i="7"/>
  <c r="H13663" i="7" a="1"/>
  <c r="H13663" i="7" s="1"/>
  <c r="E13663" i="7"/>
  <c r="D13663" i="7"/>
  <c r="H13677" i="7" a="1"/>
  <c r="H13677" i="7" s="1"/>
  <c r="E13677" i="7"/>
  <c r="D13677" i="7"/>
  <c r="H13676" i="7" a="1"/>
  <c r="H13676" i="7" s="1"/>
  <c r="E13676" i="7"/>
  <c r="D13676" i="7"/>
  <c r="H13675" i="7" a="1"/>
  <c r="H13675" i="7" s="1"/>
  <c r="E13675" i="7"/>
  <c r="D13675" i="7"/>
  <c r="H13662" i="7" l="1" a="1"/>
  <c r="H13662" i="7" s="1"/>
  <c r="E13662" i="7"/>
  <c r="D13662" i="7"/>
  <c r="K13661" i="7"/>
  <c r="L13662" i="7" s="1"/>
  <c r="H13661" i="7" a="1"/>
  <c r="H13661" i="7" s="1"/>
  <c r="E13661" i="7"/>
  <c r="D13661" i="7"/>
  <c r="H13660" i="7" a="1"/>
  <c r="H13660" i="7" s="1"/>
  <c r="E13660" i="7"/>
  <c r="D13660" i="7"/>
  <c r="K13659" i="7"/>
  <c r="L13660" i="7" s="1"/>
  <c r="H13659" i="7" a="1"/>
  <c r="H13659" i="7" s="1"/>
  <c r="E13659" i="7"/>
  <c r="D13659" i="7"/>
  <c r="L13658" i="7"/>
  <c r="H13658" i="7" a="1"/>
  <c r="H13658" i="7" s="1"/>
  <c r="E13658" i="7"/>
  <c r="D13658" i="7"/>
  <c r="H13657" i="7" a="1"/>
  <c r="H13657" i="7" s="1"/>
  <c r="E13657" i="7"/>
  <c r="D13657" i="7"/>
  <c r="L13656" i="7"/>
  <c r="H13656" i="7" a="1"/>
  <c r="H13656" i="7" s="1"/>
  <c r="E13656" i="7"/>
  <c r="D13656" i="7"/>
  <c r="H13655" i="7" a="1"/>
  <c r="H13655" i="7" s="1"/>
  <c r="E13655" i="7"/>
  <c r="D13655" i="7"/>
  <c r="L13654" i="7"/>
  <c r="H13654" i="7" a="1"/>
  <c r="H13654" i="7" s="1"/>
  <c r="E13654" i="7"/>
  <c r="D13654" i="7"/>
  <c r="H13653" i="7" a="1"/>
  <c r="H13653" i="7" s="1"/>
  <c r="E13653" i="7"/>
  <c r="D13653" i="7"/>
  <c r="H13652" i="7" a="1"/>
  <c r="H13652" i="7" s="1"/>
  <c r="E13652" i="7"/>
  <c r="D13652" i="7"/>
  <c r="H13651" i="7" a="1"/>
  <c r="H13651" i="7" s="1"/>
  <c r="E13651" i="7"/>
  <c r="D13651" i="7"/>
  <c r="L13650" i="7"/>
  <c r="H13650" i="7" a="1"/>
  <c r="H13650" i="7" s="1"/>
  <c r="E13650" i="7"/>
  <c r="D13650" i="7"/>
  <c r="H13649" i="7" a="1"/>
  <c r="H13649" i="7" s="1"/>
  <c r="E13649" i="7"/>
  <c r="D13649" i="7"/>
  <c r="L13648" i="7"/>
  <c r="H13648" i="7" a="1"/>
  <c r="H13648" i="7" s="1"/>
  <c r="E13648" i="7"/>
  <c r="D13648" i="7"/>
  <c r="H13647" i="7" a="1"/>
  <c r="H13647" i="7" s="1"/>
  <c r="E13647" i="7"/>
  <c r="D13647" i="7"/>
  <c r="D311" i="58"/>
  <c r="D312" i="58"/>
  <c r="D313" i="58"/>
  <c r="D314" i="58"/>
  <c r="D315" i="58"/>
  <c r="D316" i="58"/>
  <c r="D317" i="58"/>
  <c r="F311" i="58"/>
  <c r="F312" i="58"/>
  <c r="F313" i="58"/>
  <c r="F314" i="58"/>
  <c r="F315" i="58"/>
  <c r="F316" i="58"/>
  <c r="F317" i="58"/>
  <c r="R317" i="58"/>
  <c r="P317" i="58"/>
  <c r="N317" i="58"/>
  <c r="L317" i="58"/>
  <c r="J317" i="58"/>
  <c r="H317" i="58"/>
  <c r="R316" i="58"/>
  <c r="P316" i="58"/>
  <c r="N316" i="58"/>
  <c r="L316" i="58"/>
  <c r="J316" i="58"/>
  <c r="H316" i="58"/>
  <c r="R315" i="58"/>
  <c r="P315" i="58"/>
  <c r="N315" i="58"/>
  <c r="L315" i="58"/>
  <c r="J315" i="58"/>
  <c r="H315" i="58"/>
  <c r="R314" i="58"/>
  <c r="P314" i="58"/>
  <c r="N314" i="58"/>
  <c r="L314" i="58"/>
  <c r="J314" i="58"/>
  <c r="H314" i="58"/>
  <c r="R313" i="58"/>
  <c r="P313" i="58"/>
  <c r="N313" i="58"/>
  <c r="L313" i="58"/>
  <c r="J313" i="58"/>
  <c r="H313" i="58"/>
  <c r="R312" i="58"/>
  <c r="P312" i="58"/>
  <c r="N312" i="58"/>
  <c r="L312" i="58"/>
  <c r="J312" i="58"/>
  <c r="H312" i="58"/>
  <c r="R311" i="58"/>
  <c r="P311" i="58"/>
  <c r="N311" i="58"/>
  <c r="L311" i="58"/>
  <c r="J311" i="58"/>
  <c r="H311" i="58"/>
  <c r="H13579" i="7" a="1"/>
  <c r="H13579" i="7" s="1"/>
  <c r="E13579" i="7"/>
  <c r="D13579" i="7"/>
  <c r="H13578" i="7" a="1"/>
  <c r="H13578" i="7" s="1"/>
  <c r="E13578" i="7"/>
  <c r="D13578" i="7"/>
  <c r="H13577" i="7" a="1"/>
  <c r="H13577" i="7" s="1"/>
  <c r="E13577" i="7"/>
  <c r="D13577" i="7"/>
  <c r="H13646" i="7" l="1" a="1"/>
  <c r="H13646" i="7" s="1"/>
  <c r="E13646" i="7"/>
  <c r="D13646" i="7"/>
  <c r="H13645" i="7" a="1"/>
  <c r="H13645" i="7" s="1"/>
  <c r="E13645" i="7"/>
  <c r="D13645" i="7"/>
  <c r="H13644" i="7" a="1"/>
  <c r="H13644" i="7" s="1"/>
  <c r="E13644" i="7"/>
  <c r="D13644" i="7"/>
  <c r="H13643" i="7" a="1"/>
  <c r="H13643" i="7" s="1"/>
  <c r="E13643" i="7"/>
  <c r="D13643" i="7"/>
  <c r="H13642" i="7" a="1"/>
  <c r="H13642" i="7" s="1"/>
  <c r="E13642" i="7"/>
  <c r="D13642" i="7"/>
  <c r="H13639" i="7" l="1" a="1"/>
  <c r="H13639" i="7" s="1"/>
  <c r="E13639" i="7"/>
  <c r="D13639" i="7"/>
  <c r="H13638" i="7" a="1"/>
  <c r="H13638" i="7" s="1"/>
  <c r="E13638" i="7"/>
  <c r="D13638" i="7"/>
  <c r="H13637" i="7" a="1"/>
  <c r="H13637" i="7" s="1"/>
  <c r="E13637" i="7"/>
  <c r="D13637" i="7"/>
  <c r="H13641" i="7" l="1" a="1"/>
  <c r="H13641" i="7" s="1"/>
  <c r="E13641" i="7"/>
  <c r="D13641" i="7"/>
  <c r="H13640" i="7" a="1"/>
  <c r="H13640" i="7" s="1"/>
  <c r="E13640" i="7"/>
  <c r="D13640" i="7"/>
  <c r="H13636" i="7" a="1"/>
  <c r="H13636" i="7" s="1"/>
  <c r="E13636" i="7"/>
  <c r="D13636" i="7"/>
  <c r="H13635" i="7" a="1"/>
  <c r="H13635" i="7" s="1"/>
  <c r="E13635" i="7"/>
  <c r="D13635" i="7"/>
  <c r="H13634" i="7" a="1"/>
  <c r="H13634" i="7" s="1"/>
  <c r="E13634" i="7"/>
  <c r="D13634" i="7"/>
  <c r="H13633" i="7" a="1"/>
  <c r="H13633" i="7" s="1"/>
  <c r="E13633" i="7"/>
  <c r="D13633" i="7"/>
  <c r="H13632" i="7" a="1"/>
  <c r="H13632" i="7" s="1"/>
  <c r="E13632" i="7"/>
  <c r="D13632" i="7"/>
  <c r="H13631" i="7" a="1"/>
  <c r="H13631" i="7" s="1"/>
  <c r="E13631" i="7"/>
  <c r="D13631" i="7"/>
  <c r="H13630" i="7" a="1"/>
  <c r="H13630" i="7" s="1"/>
  <c r="E13630" i="7"/>
  <c r="D13630" i="7"/>
  <c r="H13629" i="7" a="1"/>
  <c r="H13629" i="7" s="1"/>
  <c r="E13629" i="7"/>
  <c r="D13629" i="7"/>
  <c r="H13628" i="7" a="1"/>
  <c r="H13628" i="7" s="1"/>
  <c r="E13628" i="7"/>
  <c r="D13628" i="7"/>
  <c r="H13627" i="7" a="1"/>
  <c r="H13627" i="7" s="1"/>
  <c r="E13627" i="7"/>
  <c r="D13627" i="7"/>
  <c r="H13626" i="7" a="1"/>
  <c r="H13626" i="7" s="1"/>
  <c r="E13626" i="7"/>
  <c r="D13626" i="7"/>
  <c r="H13625" i="7" a="1"/>
  <c r="H13625" i="7" s="1"/>
  <c r="E13625" i="7"/>
  <c r="D13625" i="7"/>
  <c r="H13624" i="7" a="1"/>
  <c r="H13624" i="7" s="1"/>
  <c r="E13624" i="7"/>
  <c r="D13624" i="7"/>
  <c r="H13623" i="7" a="1"/>
  <c r="H13623" i="7" s="1"/>
  <c r="E13623" i="7"/>
  <c r="D13623" i="7"/>
  <c r="H13622" i="7" a="1"/>
  <c r="H13622" i="7" s="1"/>
  <c r="E13622" i="7"/>
  <c r="D13622" i="7"/>
  <c r="H13621" i="7" a="1"/>
  <c r="H13621" i="7" s="1"/>
  <c r="E13621" i="7"/>
  <c r="D13621" i="7"/>
  <c r="H13620" i="7" a="1"/>
  <c r="H13620" i="7" s="1"/>
  <c r="E13620" i="7"/>
  <c r="D13620" i="7"/>
  <c r="L13616" i="7"/>
  <c r="L13614" i="7"/>
  <c r="L13612" i="7"/>
  <c r="L13610" i="7"/>
  <c r="L13608" i="7"/>
  <c r="H13616" i="7" a="1"/>
  <c r="H13616" i="7" s="1"/>
  <c r="E13616" i="7"/>
  <c r="D13616" i="7"/>
  <c r="H13615" i="7" a="1"/>
  <c r="H13615" i="7" s="1"/>
  <c r="E13615" i="7"/>
  <c r="D13615" i="7"/>
  <c r="H13614" i="7" a="1"/>
  <c r="H13614" i="7" s="1"/>
  <c r="E13614" i="7"/>
  <c r="D13614" i="7"/>
  <c r="H13613" i="7" a="1"/>
  <c r="H13613" i="7" s="1"/>
  <c r="E13613" i="7"/>
  <c r="D13613" i="7"/>
  <c r="H13612" i="7" a="1"/>
  <c r="H13612" i="7" s="1"/>
  <c r="E13612" i="7"/>
  <c r="D13612" i="7"/>
  <c r="H13611" i="7" a="1"/>
  <c r="H13611" i="7" s="1"/>
  <c r="E13611" i="7"/>
  <c r="D13611" i="7"/>
  <c r="H13610" i="7" a="1"/>
  <c r="H13610" i="7" s="1"/>
  <c r="E13610" i="7"/>
  <c r="D13610" i="7"/>
  <c r="H13609" i="7" a="1"/>
  <c r="H13609" i="7" s="1"/>
  <c r="E13609" i="7"/>
  <c r="D13609" i="7"/>
  <c r="H13608" i="7" a="1"/>
  <c r="H13608" i="7" s="1"/>
  <c r="E13608" i="7"/>
  <c r="D13608" i="7"/>
  <c r="H13607" i="7" a="1"/>
  <c r="H13607" i="7" s="1"/>
  <c r="E13607" i="7"/>
  <c r="D13607" i="7"/>
  <c r="H13606" i="7" a="1"/>
  <c r="H13606" i="7" s="1"/>
  <c r="E13606" i="7"/>
  <c r="D13606" i="7"/>
  <c r="H13605" i="7" a="1"/>
  <c r="H13605" i="7" s="1"/>
  <c r="E13605" i="7"/>
  <c r="D13605" i="7"/>
  <c r="H13619" i="7" a="1"/>
  <c r="H13619" i="7" s="1"/>
  <c r="E13619" i="7"/>
  <c r="D13619" i="7"/>
  <c r="H13618" i="7" a="1"/>
  <c r="H13618" i="7" s="1"/>
  <c r="E13618" i="7"/>
  <c r="D13618" i="7"/>
  <c r="H13617" i="7" a="1"/>
  <c r="H13617" i="7" s="1"/>
  <c r="E13617" i="7"/>
  <c r="D13617" i="7"/>
  <c r="H13604" i="7" a="1"/>
  <c r="H13604" i="7" s="1"/>
  <c r="E13604" i="7"/>
  <c r="D13604" i="7"/>
  <c r="H13603" i="7" a="1"/>
  <c r="H13603" i="7" s="1"/>
  <c r="E13603" i="7"/>
  <c r="D13603" i="7"/>
  <c r="H13602" i="7" a="1"/>
  <c r="H13602" i="7" s="1"/>
  <c r="E13602" i="7"/>
  <c r="D13602" i="7"/>
  <c r="H13601" i="7" a="1"/>
  <c r="H13601" i="7" s="1"/>
  <c r="E13601" i="7"/>
  <c r="D13601" i="7"/>
  <c r="H13600" i="7" a="1"/>
  <c r="H13600" i="7" s="1"/>
  <c r="E13600" i="7"/>
  <c r="D13600" i="7"/>
  <c r="H13599" i="7" a="1"/>
  <c r="H13599" i="7" s="1"/>
  <c r="E13599" i="7"/>
  <c r="D13599" i="7"/>
  <c r="H13598" i="7" a="1"/>
  <c r="H13598" i="7" s="1"/>
  <c r="E13598" i="7"/>
  <c r="D13598" i="7"/>
  <c r="H13597" i="7" a="1"/>
  <c r="H13597" i="7" s="1"/>
  <c r="E13597" i="7"/>
  <c r="D13597" i="7"/>
  <c r="H13596" i="7" a="1"/>
  <c r="H13596" i="7" s="1"/>
  <c r="E13596" i="7"/>
  <c r="D13596" i="7"/>
  <c r="H13576" i="7" a="1"/>
  <c r="H13576" i="7" s="1"/>
  <c r="E13576" i="7"/>
  <c r="D13576" i="7"/>
  <c r="H13575" i="7" a="1"/>
  <c r="H13575" i="7" s="1"/>
  <c r="E13575" i="7"/>
  <c r="D13575" i="7"/>
  <c r="H13574" i="7" a="1"/>
  <c r="H13574" i="7" s="1"/>
  <c r="E13574" i="7"/>
  <c r="D13574" i="7"/>
  <c r="H13573" i="7" a="1"/>
  <c r="H13573" i="7" s="1"/>
  <c r="E13573" i="7"/>
  <c r="D13573" i="7"/>
  <c r="H13572" i="7" a="1"/>
  <c r="H13572" i="7" s="1"/>
  <c r="E13572" i="7"/>
  <c r="D13572" i="7"/>
  <c r="H13564" i="7" a="1"/>
  <c r="H13564" i="7" s="1"/>
  <c r="E13564" i="7"/>
  <c r="D13564" i="7"/>
  <c r="H13563" i="7" a="1"/>
  <c r="H13563" i="7" s="1"/>
  <c r="E13563" i="7"/>
  <c r="D13563" i="7"/>
  <c r="H13571" i="7" l="1" a="1"/>
  <c r="H13571" i="7" s="1"/>
  <c r="E13571" i="7"/>
  <c r="D13571" i="7"/>
  <c r="H13570" i="7" a="1"/>
  <c r="H13570" i="7" s="1"/>
  <c r="E13570" i="7"/>
  <c r="D13570" i="7"/>
  <c r="H13569" i="7" a="1"/>
  <c r="H13569" i="7" s="1"/>
  <c r="E13569" i="7"/>
  <c r="D13569" i="7"/>
  <c r="H13568" i="7" a="1"/>
  <c r="H13568" i="7" s="1"/>
  <c r="E13568" i="7"/>
  <c r="D13568" i="7"/>
  <c r="H13567" i="7" a="1"/>
  <c r="H13567" i="7" s="1"/>
  <c r="E13567" i="7"/>
  <c r="D13567" i="7"/>
  <c r="H13595" i="7" l="1" a="1"/>
  <c r="H13595" i="7" s="1"/>
  <c r="E13595" i="7"/>
  <c r="D13595" i="7"/>
  <c r="K13594" i="7"/>
  <c r="L13595" i="7" s="1"/>
  <c r="H13594" i="7" a="1"/>
  <c r="H13594" i="7" s="1"/>
  <c r="E13594" i="7"/>
  <c r="D13594" i="7"/>
  <c r="H13593" i="7" a="1"/>
  <c r="H13593" i="7" s="1"/>
  <c r="E13593" i="7"/>
  <c r="D13593" i="7"/>
  <c r="K13592" i="7"/>
  <c r="L13593" i="7" s="1"/>
  <c r="H13592" i="7" a="1"/>
  <c r="H13592" i="7" s="1"/>
  <c r="E13592" i="7"/>
  <c r="D13592" i="7"/>
  <c r="L13591" i="7"/>
  <c r="H13591" i="7" a="1"/>
  <c r="H13591" i="7" s="1"/>
  <c r="E13591" i="7"/>
  <c r="D13591" i="7"/>
  <c r="H13590" i="7" a="1"/>
  <c r="H13590" i="7" s="1"/>
  <c r="E13590" i="7"/>
  <c r="D13590" i="7"/>
  <c r="L13589" i="7"/>
  <c r="H13589" i="7" a="1"/>
  <c r="H13589" i="7" s="1"/>
  <c r="E13589" i="7"/>
  <c r="D13589" i="7"/>
  <c r="H13588" i="7" a="1"/>
  <c r="H13588" i="7" s="1"/>
  <c r="E13588" i="7"/>
  <c r="D13588" i="7"/>
  <c r="L13587" i="7"/>
  <c r="H13587" i="7" a="1"/>
  <c r="H13587" i="7" s="1"/>
  <c r="E13587" i="7"/>
  <c r="D13587" i="7"/>
  <c r="H13586" i="7" a="1"/>
  <c r="H13586" i="7" s="1"/>
  <c r="E13586" i="7"/>
  <c r="D13586" i="7"/>
  <c r="H13585" i="7" a="1"/>
  <c r="H13585" i="7" s="1"/>
  <c r="E13585" i="7"/>
  <c r="D13585" i="7"/>
  <c r="H13584" i="7" a="1"/>
  <c r="H13584" i="7" s="1"/>
  <c r="E13584" i="7"/>
  <c r="D13584" i="7"/>
  <c r="L13583" i="7"/>
  <c r="H13583" i="7" a="1"/>
  <c r="H13583" i="7" s="1"/>
  <c r="E13583" i="7"/>
  <c r="D13583" i="7"/>
  <c r="H13582" i="7" a="1"/>
  <c r="H13582" i="7" s="1"/>
  <c r="E13582" i="7"/>
  <c r="D13582" i="7"/>
  <c r="L13581" i="7"/>
  <c r="H13581" i="7" a="1"/>
  <c r="H13581" i="7" s="1"/>
  <c r="E13581" i="7"/>
  <c r="D13581" i="7"/>
  <c r="H13580" i="7" a="1"/>
  <c r="H13580" i="7" s="1"/>
  <c r="E13580" i="7"/>
  <c r="D13580" i="7"/>
  <c r="D305" i="58"/>
  <c r="D306" i="58"/>
  <c r="D307" i="58"/>
  <c r="D308" i="58"/>
  <c r="D309" i="58"/>
  <c r="D310" i="58"/>
  <c r="R310" i="58"/>
  <c r="P310" i="58"/>
  <c r="N310" i="58"/>
  <c r="L310" i="58"/>
  <c r="J310" i="58"/>
  <c r="H310" i="58"/>
  <c r="F310" i="58"/>
  <c r="R309" i="58"/>
  <c r="P309" i="58"/>
  <c r="N309" i="58"/>
  <c r="L309" i="58"/>
  <c r="J309" i="58"/>
  <c r="H309" i="58"/>
  <c r="F309" i="58"/>
  <c r="R308" i="58"/>
  <c r="P308" i="58"/>
  <c r="N308" i="58"/>
  <c r="L308" i="58"/>
  <c r="J308" i="58"/>
  <c r="H308" i="58"/>
  <c r="F308" i="58"/>
  <c r="R307" i="58"/>
  <c r="P307" i="58"/>
  <c r="N307" i="58"/>
  <c r="L307" i="58"/>
  <c r="J307" i="58"/>
  <c r="H307" i="58"/>
  <c r="F307" i="58"/>
  <c r="R306" i="58"/>
  <c r="P306" i="58"/>
  <c r="N306" i="58"/>
  <c r="L306" i="58"/>
  <c r="J306" i="58"/>
  <c r="H306" i="58"/>
  <c r="F306" i="58"/>
  <c r="R305" i="58"/>
  <c r="P305" i="58"/>
  <c r="N305" i="58"/>
  <c r="L305" i="58"/>
  <c r="J305" i="58"/>
  <c r="H305" i="58"/>
  <c r="F305" i="58"/>
  <c r="H13510" i="7" a="1"/>
  <c r="H13510" i="7" s="1"/>
  <c r="E13510" i="7"/>
  <c r="D13510" i="7"/>
  <c r="H13509" i="7" a="1"/>
  <c r="H13509" i="7" s="1"/>
  <c r="E13509" i="7"/>
  <c r="D13509" i="7"/>
  <c r="H13566" i="7" a="1"/>
  <c r="H13566" i="7" s="1"/>
  <c r="E13566" i="7"/>
  <c r="D13566" i="7"/>
  <c r="H13565" i="7" a="1"/>
  <c r="H13565" i="7" s="1"/>
  <c r="E13565" i="7"/>
  <c r="D13565" i="7"/>
  <c r="H13562" i="7" a="1"/>
  <c r="H13562" i="7" s="1"/>
  <c r="E13562" i="7"/>
  <c r="D13562" i="7"/>
  <c r="H13561" i="7" a="1"/>
  <c r="H13561" i="7" s="1"/>
  <c r="E13561" i="7"/>
  <c r="D13561" i="7"/>
  <c r="H13560" i="7" a="1"/>
  <c r="H13560" i="7" s="1"/>
  <c r="E13560" i="7"/>
  <c r="D13560" i="7"/>
  <c r="H13559" i="7" a="1"/>
  <c r="H13559" i="7" s="1"/>
  <c r="E13559" i="7"/>
  <c r="D13559" i="7"/>
  <c r="H13558" i="7" a="1"/>
  <c r="H13558" i="7" s="1"/>
  <c r="E13558" i="7"/>
  <c r="D13558" i="7"/>
  <c r="H13557" i="7" a="1"/>
  <c r="H13557" i="7" s="1"/>
  <c r="E13557" i="7"/>
  <c r="D13557" i="7"/>
  <c r="H13556" i="7" a="1"/>
  <c r="H13556" i="7" s="1"/>
  <c r="E13556" i="7"/>
  <c r="D13556" i="7"/>
  <c r="H13555" i="7" a="1"/>
  <c r="H13555" i="7" s="1"/>
  <c r="E13555" i="7"/>
  <c r="D13555" i="7"/>
  <c r="H13554" i="7" a="1"/>
  <c r="H13554" i="7" s="1"/>
  <c r="E13554" i="7"/>
  <c r="D13554" i="7"/>
  <c r="H13553" i="7" a="1"/>
  <c r="H13553" i="7" s="1"/>
  <c r="E13553" i="7"/>
  <c r="D13553" i="7"/>
  <c r="H13552" i="7" a="1"/>
  <c r="H13552" i="7" s="1"/>
  <c r="E13552" i="7"/>
  <c r="D13552" i="7"/>
  <c r="H13551" i="7" a="1"/>
  <c r="H13551" i="7" s="1"/>
  <c r="E13551" i="7"/>
  <c r="D13551" i="7"/>
  <c r="H13550" i="7" a="1"/>
  <c r="H13550" i="7" s="1"/>
  <c r="E13550" i="7"/>
  <c r="D13550" i="7"/>
  <c r="H13549" i="7" a="1"/>
  <c r="H13549" i="7" s="1"/>
  <c r="E13549" i="7"/>
  <c r="D13549" i="7"/>
  <c r="H13548" i="7" a="1"/>
  <c r="H13548" i="7" s="1"/>
  <c r="E13548" i="7"/>
  <c r="D13548" i="7"/>
  <c r="H13547" i="7" a="1"/>
  <c r="H13547" i="7" s="1"/>
  <c r="E13547" i="7"/>
  <c r="D13547" i="7"/>
  <c r="H13546" i="7" a="1"/>
  <c r="H13546" i="7" s="1"/>
  <c r="E13546" i="7"/>
  <c r="D13546" i="7"/>
  <c r="H13545" i="7" a="1"/>
  <c r="H13545" i="7" s="1"/>
  <c r="E13545" i="7"/>
  <c r="D13545" i="7"/>
  <c r="H13544" i="7" a="1"/>
  <c r="H13544" i="7" s="1"/>
  <c r="E13544" i="7"/>
  <c r="D13544" i="7"/>
  <c r="H13537" i="7" a="1"/>
  <c r="H13537" i="7" s="1"/>
  <c r="E13537" i="7"/>
  <c r="D13537" i="7"/>
  <c r="H13536" i="7" a="1"/>
  <c r="H13536" i="7" s="1"/>
  <c r="E13536" i="7"/>
  <c r="D13536" i="7"/>
  <c r="H13535" i="7" a="1"/>
  <c r="H13535" i="7" s="1"/>
  <c r="E13535" i="7"/>
  <c r="D13535" i="7"/>
  <c r="H13534" i="7" a="1"/>
  <c r="H13534" i="7" s="1"/>
  <c r="E13534" i="7"/>
  <c r="D13534" i="7"/>
  <c r="H13533" i="7" a="1"/>
  <c r="H13533" i="7" s="1"/>
  <c r="E13533" i="7"/>
  <c r="D13533" i="7"/>
  <c r="H13532" i="7" a="1"/>
  <c r="H13532" i="7" s="1"/>
  <c r="E13532" i="7"/>
  <c r="D13532" i="7"/>
  <c r="H13531" i="7" a="1"/>
  <c r="H13531" i="7" s="1"/>
  <c r="E13531" i="7"/>
  <c r="D13531" i="7"/>
  <c r="H13530" i="7" a="1"/>
  <c r="H13530" i="7" s="1"/>
  <c r="E13530" i="7"/>
  <c r="D13530" i="7"/>
  <c r="H13543" i="7" l="1" a="1"/>
  <c r="H13543" i="7" s="1"/>
  <c r="E13543" i="7"/>
  <c r="D13543" i="7"/>
  <c r="H13542" i="7" a="1"/>
  <c r="H13542" i="7" s="1"/>
  <c r="E13542" i="7"/>
  <c r="D13542" i="7"/>
  <c r="H13541" i="7" a="1"/>
  <c r="H13541" i="7" s="1"/>
  <c r="E13541" i="7"/>
  <c r="D13541" i="7"/>
  <c r="H13540" i="7" a="1"/>
  <c r="H13540" i="7" s="1"/>
  <c r="E13540" i="7"/>
  <c r="D13540" i="7"/>
  <c r="H13539" i="7" a="1"/>
  <c r="H13539" i="7" s="1"/>
  <c r="E13539" i="7"/>
  <c r="D13539" i="7"/>
  <c r="H13538" i="7" a="1"/>
  <c r="H13538" i="7" s="1"/>
  <c r="E13538" i="7"/>
  <c r="D13538" i="7"/>
  <c r="H13529" i="7" a="1"/>
  <c r="H13529" i="7" s="1"/>
  <c r="E13529" i="7"/>
  <c r="D13529" i="7"/>
  <c r="H13528" i="7" a="1"/>
  <c r="H13528" i="7" s="1"/>
  <c r="E13528" i="7"/>
  <c r="D13528" i="7"/>
  <c r="H13527" i="7" a="1"/>
  <c r="H13527" i="7" s="1"/>
  <c r="E13527" i="7"/>
  <c r="D13527" i="7"/>
  <c r="H13508" i="7" l="1" a="1"/>
  <c r="H13508" i="7" s="1"/>
  <c r="E13508" i="7"/>
  <c r="D13508" i="7"/>
  <c r="H13507" i="7" a="1"/>
  <c r="H13507" i="7" s="1"/>
  <c r="E13507" i="7"/>
  <c r="D13507" i="7"/>
  <c r="H13506" i="7" a="1"/>
  <c r="H13506" i="7" s="1"/>
  <c r="E13506" i="7"/>
  <c r="D13506" i="7"/>
  <c r="H13453" i="7" a="1"/>
  <c r="H13453" i="7" s="1"/>
  <c r="E13453" i="7"/>
  <c r="D13453" i="7"/>
  <c r="H13452" i="7" a="1"/>
  <c r="H13452" i="7" s="1"/>
  <c r="E13452" i="7"/>
  <c r="D13452" i="7"/>
  <c r="H13451" i="7" a="1"/>
  <c r="H13451" i="7" s="1"/>
  <c r="E13451" i="7"/>
  <c r="D13451" i="7"/>
  <c r="D298" i="58"/>
  <c r="D299" i="58"/>
  <c r="D300" i="58"/>
  <c r="D301" i="58"/>
  <c r="D302" i="58"/>
  <c r="D303" i="58"/>
  <c r="D304" i="58"/>
  <c r="H13470" i="7" a="1"/>
  <c r="H13470" i="7" s="1"/>
  <c r="E13470" i="7"/>
  <c r="D13470" i="7"/>
  <c r="H13469" i="7" a="1"/>
  <c r="H13469" i="7" s="1"/>
  <c r="E13469" i="7"/>
  <c r="D13469" i="7"/>
  <c r="H13468" i="7" a="1"/>
  <c r="H13468" i="7" s="1"/>
  <c r="E13468" i="7"/>
  <c r="D13468" i="7"/>
  <c r="H13450" i="7" l="1" a="1"/>
  <c r="H13450" i="7" s="1"/>
  <c r="E13450" i="7"/>
  <c r="D13450" i="7"/>
  <c r="H13449" i="7" a="1"/>
  <c r="H13449" i="7" s="1"/>
  <c r="E13449" i="7"/>
  <c r="D13449" i="7"/>
  <c r="H13448" i="7" a="1"/>
  <c r="H13448" i="7" s="1"/>
  <c r="E13448" i="7"/>
  <c r="D13448" i="7"/>
  <c r="H13505" i="7" a="1"/>
  <c r="H13505" i="7" s="1"/>
  <c r="E13505" i="7"/>
  <c r="D13505" i="7"/>
  <c r="H13504" i="7" a="1"/>
  <c r="H13504" i="7" s="1"/>
  <c r="E13504" i="7"/>
  <c r="D13504" i="7"/>
  <c r="H13480" i="7" a="1"/>
  <c r="H13480" i="7" s="1"/>
  <c r="E13480" i="7"/>
  <c r="D13480" i="7"/>
  <c r="H13479" i="7" a="1"/>
  <c r="H13479" i="7" s="1"/>
  <c r="E13479" i="7"/>
  <c r="D13479" i="7"/>
  <c r="H13483" i="7" a="1"/>
  <c r="H13483" i="7" s="1"/>
  <c r="E13483" i="7"/>
  <c r="D13483" i="7"/>
  <c r="H13482" i="7" a="1"/>
  <c r="H13482" i="7" s="1"/>
  <c r="E13482" i="7"/>
  <c r="D13482" i="7"/>
  <c r="H13481" i="7" a="1"/>
  <c r="H13481" i="7" s="1"/>
  <c r="E13481" i="7"/>
  <c r="D13481" i="7"/>
  <c r="H13478" i="7" a="1"/>
  <c r="H13478" i="7" s="1"/>
  <c r="E13478" i="7"/>
  <c r="D13478" i="7"/>
  <c r="H13477" i="7" a="1"/>
  <c r="H13477" i="7" s="1"/>
  <c r="E13477" i="7"/>
  <c r="D13477" i="7"/>
  <c r="H13476" i="7" a="1"/>
  <c r="H13476" i="7" s="1"/>
  <c r="E13476" i="7"/>
  <c r="D13476" i="7"/>
  <c r="H13475" i="7" a="1"/>
  <c r="H13475" i="7" s="1"/>
  <c r="E13475" i="7"/>
  <c r="D13475" i="7"/>
  <c r="H13474" i="7" a="1"/>
  <c r="H13474" i="7" s="1"/>
  <c r="E13474" i="7"/>
  <c r="D13474" i="7"/>
  <c r="H13473" i="7" a="1"/>
  <c r="H13473" i="7" s="1"/>
  <c r="E13473" i="7"/>
  <c r="D13473" i="7"/>
  <c r="H13472" i="7" a="1"/>
  <c r="H13472" i="7" s="1"/>
  <c r="E13472" i="7"/>
  <c r="D13472" i="7"/>
  <c r="H13471" i="7" a="1"/>
  <c r="H13471" i="7" s="1"/>
  <c r="E13471" i="7"/>
  <c r="D13471" i="7"/>
  <c r="R304" i="58"/>
  <c r="P304" i="58"/>
  <c r="N304" i="58"/>
  <c r="L304" i="58"/>
  <c r="J304" i="58"/>
  <c r="H304" i="58"/>
  <c r="F304" i="58"/>
  <c r="R303" i="58"/>
  <c r="P303" i="58"/>
  <c r="N303" i="58"/>
  <c r="L303" i="58"/>
  <c r="J303" i="58"/>
  <c r="H303" i="58"/>
  <c r="F303" i="58"/>
  <c r="R302" i="58"/>
  <c r="P302" i="58"/>
  <c r="N302" i="58"/>
  <c r="L302" i="58"/>
  <c r="J302" i="58"/>
  <c r="H302" i="58"/>
  <c r="F302" i="58"/>
  <c r="R301" i="58"/>
  <c r="P301" i="58"/>
  <c r="N301" i="58"/>
  <c r="L301" i="58"/>
  <c r="J301" i="58"/>
  <c r="H301" i="58"/>
  <c r="F301" i="58"/>
  <c r="R300" i="58"/>
  <c r="P300" i="58"/>
  <c r="N300" i="58"/>
  <c r="L300" i="58"/>
  <c r="J300" i="58"/>
  <c r="H300" i="58"/>
  <c r="F300" i="58"/>
  <c r="R299" i="58"/>
  <c r="P299" i="58"/>
  <c r="N299" i="58"/>
  <c r="L299" i="58"/>
  <c r="J299" i="58"/>
  <c r="H299" i="58"/>
  <c r="F299" i="58"/>
  <c r="R298" i="58"/>
  <c r="P298" i="58"/>
  <c r="N298" i="58"/>
  <c r="L298" i="58"/>
  <c r="J298" i="58"/>
  <c r="H298" i="58"/>
  <c r="F298" i="58"/>
  <c r="H13526" i="7" a="1"/>
  <c r="H13526" i="7" s="1"/>
  <c r="E13526" i="7"/>
  <c r="D13526" i="7"/>
  <c r="K13525" i="7"/>
  <c r="L13526" i="7" s="1"/>
  <c r="H13525" i="7" a="1"/>
  <c r="H13525" i="7" s="1"/>
  <c r="E13525" i="7"/>
  <c r="D13525" i="7"/>
  <c r="H13524" i="7" a="1"/>
  <c r="H13524" i="7" s="1"/>
  <c r="E13524" i="7"/>
  <c r="D13524" i="7"/>
  <c r="K13523" i="7"/>
  <c r="L13524" i="7" s="1"/>
  <c r="H13523" i="7" a="1"/>
  <c r="H13523" i="7" s="1"/>
  <c r="E13523" i="7"/>
  <c r="D13523" i="7"/>
  <c r="L13522" i="7"/>
  <c r="H13522" i="7" a="1"/>
  <c r="H13522" i="7" s="1"/>
  <c r="E13522" i="7"/>
  <c r="D13522" i="7"/>
  <c r="H13521" i="7" a="1"/>
  <c r="H13521" i="7" s="1"/>
  <c r="E13521" i="7"/>
  <c r="D13521" i="7"/>
  <c r="L13520" i="7"/>
  <c r="H13520" i="7" a="1"/>
  <c r="H13520" i="7" s="1"/>
  <c r="E13520" i="7"/>
  <c r="D13520" i="7"/>
  <c r="H13519" i="7" a="1"/>
  <c r="H13519" i="7" s="1"/>
  <c r="E13519" i="7"/>
  <c r="D13519" i="7"/>
  <c r="L13518" i="7"/>
  <c r="H13518" i="7" a="1"/>
  <c r="H13518" i="7" s="1"/>
  <c r="E13518" i="7"/>
  <c r="D13518" i="7"/>
  <c r="H13517" i="7" a="1"/>
  <c r="H13517" i="7" s="1"/>
  <c r="E13517" i="7"/>
  <c r="D13517" i="7"/>
  <c r="H13516" i="7" a="1"/>
  <c r="H13516" i="7" s="1"/>
  <c r="E13516" i="7"/>
  <c r="D13516" i="7"/>
  <c r="H13515" i="7" a="1"/>
  <c r="H13515" i="7" s="1"/>
  <c r="E13515" i="7"/>
  <c r="D13515" i="7"/>
  <c r="L13514" i="7"/>
  <c r="H13514" i="7" a="1"/>
  <c r="H13514" i="7" s="1"/>
  <c r="E13514" i="7"/>
  <c r="D13514" i="7"/>
  <c r="H13513" i="7" a="1"/>
  <c r="H13513" i="7" s="1"/>
  <c r="E13513" i="7"/>
  <c r="D13513" i="7"/>
  <c r="L13512" i="7"/>
  <c r="H13512" i="7" a="1"/>
  <c r="H13512" i="7" s="1"/>
  <c r="E13512" i="7"/>
  <c r="D13512" i="7"/>
  <c r="H13511" i="7" a="1"/>
  <c r="H13511" i="7" s="1"/>
  <c r="E13511" i="7"/>
  <c r="D13511" i="7"/>
  <c r="H13503" i="7" a="1"/>
  <c r="H13503" i="7" s="1"/>
  <c r="E13503" i="7"/>
  <c r="D13503" i="7"/>
  <c r="H13502" i="7" a="1"/>
  <c r="H13502" i="7" s="1"/>
  <c r="E13502" i="7"/>
  <c r="D13502" i="7"/>
  <c r="H13501" i="7" a="1"/>
  <c r="H13501" i="7" s="1"/>
  <c r="E13501" i="7"/>
  <c r="D13501" i="7"/>
  <c r="H13500" i="7" a="1"/>
  <c r="H13500" i="7" s="1"/>
  <c r="E13500" i="7"/>
  <c r="D13500" i="7"/>
  <c r="H13499" i="7" a="1"/>
  <c r="H13499" i="7" s="1"/>
  <c r="E13499" i="7"/>
  <c r="D13499" i="7"/>
  <c r="H13498" i="7" a="1"/>
  <c r="H13498" i="7" s="1"/>
  <c r="E13498" i="7"/>
  <c r="D13498" i="7"/>
  <c r="H13497" i="7" a="1"/>
  <c r="H13497" i="7" s="1"/>
  <c r="E13497" i="7"/>
  <c r="D13497" i="7"/>
  <c r="H13496" i="7" a="1"/>
  <c r="H13496" i="7" s="1"/>
  <c r="E13496" i="7"/>
  <c r="D13496" i="7"/>
  <c r="H13495" i="7" a="1"/>
  <c r="H13495" i="7" s="1"/>
  <c r="E13495" i="7"/>
  <c r="D13495" i="7"/>
  <c r="H13494" i="7" a="1"/>
  <c r="H13494" i="7" s="1"/>
  <c r="E13494" i="7"/>
  <c r="D13494" i="7"/>
  <c r="H13493" i="7" a="1"/>
  <c r="H13493" i="7" s="1"/>
  <c r="E13493" i="7"/>
  <c r="D13493" i="7"/>
  <c r="H13492" i="7" a="1"/>
  <c r="H13492" i="7" s="1"/>
  <c r="E13492" i="7"/>
  <c r="D13492" i="7"/>
  <c r="H13491" i="7" a="1"/>
  <c r="H13491" i="7" s="1"/>
  <c r="E13491" i="7"/>
  <c r="D13491" i="7"/>
  <c r="H13490" i="7" a="1"/>
  <c r="H13490" i="7" s="1"/>
  <c r="E13490" i="7"/>
  <c r="D13490" i="7"/>
  <c r="H13489" i="7" a="1"/>
  <c r="H13489" i="7" s="1"/>
  <c r="E13489" i="7"/>
  <c r="D13489" i="7"/>
  <c r="H13488" i="7" a="1"/>
  <c r="H13488" i="7" s="1"/>
  <c r="E13488" i="7"/>
  <c r="D13488" i="7"/>
  <c r="H13487" i="7" a="1"/>
  <c r="H13487" i="7" s="1"/>
  <c r="E13487" i="7"/>
  <c r="D13487" i="7"/>
  <c r="H13486" i="7" a="1"/>
  <c r="H13486" i="7" s="1"/>
  <c r="E13486" i="7"/>
  <c r="D13486" i="7"/>
  <c r="H13485" i="7" a="1"/>
  <c r="H13485" i="7" s="1"/>
  <c r="E13485" i="7"/>
  <c r="D13485" i="7"/>
  <c r="H13484" i="7" a="1"/>
  <c r="H13484" i="7" s="1"/>
  <c r="E13484" i="7"/>
  <c r="D13484" i="7"/>
  <c r="E13467" i="7"/>
  <c r="D13467" i="7"/>
  <c r="E13466" i="7"/>
  <c r="D13466" i="7"/>
  <c r="E13465" i="7"/>
  <c r="D13465" i="7"/>
  <c r="H13447" i="7" a="1"/>
  <c r="H13447" i="7" s="1"/>
  <c r="E13447" i="7"/>
  <c r="D13447" i="7"/>
  <c r="H13446" i="7" a="1"/>
  <c r="H13446" i="7" s="1"/>
  <c r="E13446" i="7"/>
  <c r="D13446" i="7"/>
  <c r="H13464" i="7" a="1"/>
  <c r="H13464" i="7" s="1"/>
  <c r="E13464" i="7"/>
  <c r="D13464" i="7"/>
  <c r="H13463" i="7" a="1"/>
  <c r="H13463" i="7" s="1"/>
  <c r="E13463" i="7"/>
  <c r="D13463" i="7"/>
  <c r="H13462" i="7" a="1"/>
  <c r="H13462" i="7" s="1"/>
  <c r="E13462" i="7"/>
  <c r="D13462" i="7"/>
  <c r="H13461" i="7" a="1"/>
  <c r="H13461" i="7" s="1"/>
  <c r="E13461" i="7"/>
  <c r="D13461" i="7"/>
  <c r="H13460" i="7" a="1"/>
  <c r="H13460" i="7" s="1"/>
  <c r="E13460" i="7"/>
  <c r="D13460" i="7"/>
  <c r="H13459" i="7" a="1"/>
  <c r="H13459" i="7" s="1"/>
  <c r="E13459" i="7"/>
  <c r="D13459" i="7"/>
  <c r="H13458" i="7" a="1"/>
  <c r="H13458" i="7" s="1"/>
  <c r="E13458" i="7"/>
  <c r="D13458" i="7"/>
  <c r="H13457" i="7" a="1"/>
  <c r="H13457" i="7" s="1"/>
  <c r="E13457" i="7"/>
  <c r="D13457" i="7"/>
  <c r="H13456" i="7" a="1"/>
  <c r="H13456" i="7" s="1"/>
  <c r="E13456" i="7"/>
  <c r="D13456" i="7"/>
  <c r="H13455" i="7" a="1"/>
  <c r="H13455" i="7" s="1"/>
  <c r="E13455" i="7"/>
  <c r="D13455" i="7"/>
  <c r="H13454" i="7" a="1"/>
  <c r="H13454" i="7" s="1"/>
  <c r="E13454" i="7"/>
  <c r="D13454" i="7"/>
  <c r="H13445" i="7" a="1"/>
  <c r="H13445" i="7" s="1"/>
  <c r="E13445" i="7"/>
  <c r="D13445" i="7"/>
  <c r="H13444" i="7" a="1"/>
  <c r="H13444" i="7" s="1"/>
  <c r="E13444" i="7"/>
  <c r="D13444" i="7"/>
  <c r="H13443" i="7" a="1"/>
  <c r="H13443" i="7" s="1"/>
  <c r="E13443" i="7"/>
  <c r="D13443" i="7"/>
  <c r="H13442" i="7" a="1"/>
  <c r="H13442" i="7" s="1"/>
  <c r="E13442" i="7"/>
  <c r="D13442" i="7"/>
  <c r="H13441" i="7" a="1"/>
  <c r="H13441" i="7" s="1"/>
  <c r="E13441" i="7"/>
  <c r="D13441" i="7"/>
  <c r="H13440" i="7" a="1"/>
  <c r="H13440" i="7" s="1"/>
  <c r="E13440" i="7"/>
  <c r="D13440" i="7"/>
  <c r="H13439" i="7" a="1"/>
  <c r="H13439" i="7" s="1"/>
  <c r="E13439" i="7"/>
  <c r="D13439" i="7"/>
  <c r="H13438" i="7" a="1"/>
  <c r="H13438" i="7" s="1"/>
  <c r="E13438" i="7"/>
  <c r="D13438" i="7"/>
  <c r="H13421" i="7" l="1" a="1"/>
  <c r="H13421" i="7" s="1"/>
  <c r="E13421" i="7"/>
  <c r="D13421" i="7"/>
  <c r="H13420" i="7" a="1"/>
  <c r="H13420" i="7" s="1"/>
  <c r="E13420" i="7"/>
  <c r="D13420" i="7"/>
  <c r="H13419" i="7" a="1"/>
  <c r="H13419" i="7" s="1"/>
  <c r="E13419" i="7"/>
  <c r="D13419" i="7"/>
  <c r="H13418" i="7" a="1"/>
  <c r="H13418" i="7" s="1"/>
  <c r="E13418" i="7"/>
  <c r="D13418" i="7"/>
  <c r="H13417" i="7" a="1"/>
  <c r="H13417" i="7" s="1"/>
  <c r="E13417" i="7"/>
  <c r="D13417" i="7"/>
  <c r="H13416" i="7" a="1"/>
  <c r="H13416" i="7" s="1"/>
  <c r="E13416" i="7"/>
  <c r="D13416" i="7"/>
  <c r="H13415" i="7" a="1"/>
  <c r="H13415" i="7" s="1"/>
  <c r="E13415" i="7"/>
  <c r="D13415" i="7"/>
  <c r="H13414" i="7" a="1"/>
  <c r="H13414" i="7" s="1"/>
  <c r="E13414" i="7"/>
  <c r="D13414" i="7"/>
  <c r="H13413" i="7" a="1"/>
  <c r="H13413" i="7" s="1"/>
  <c r="E13413" i="7"/>
  <c r="D13413" i="7"/>
  <c r="H13412" i="7" a="1"/>
  <c r="H13412" i="7" s="1"/>
  <c r="E13412" i="7"/>
  <c r="D13412" i="7"/>
  <c r="H13411" i="7" a="1"/>
  <c r="H13411" i="7" s="1"/>
  <c r="E13411" i="7"/>
  <c r="D13411" i="7"/>
  <c r="H13410" i="7" a="1"/>
  <c r="H13410" i="7" s="1"/>
  <c r="E13410" i="7"/>
  <c r="D13410" i="7"/>
  <c r="H13437" i="7" a="1"/>
  <c r="H13437" i="7" s="1"/>
  <c r="E13437" i="7"/>
  <c r="D13437" i="7"/>
  <c r="K13436" i="7"/>
  <c r="L13437" i="7" s="1"/>
  <c r="H13436" i="7" a="1"/>
  <c r="H13436" i="7" s="1"/>
  <c r="E13436" i="7"/>
  <c r="D13436" i="7"/>
  <c r="H13435" i="7" a="1"/>
  <c r="H13435" i="7" s="1"/>
  <c r="E13435" i="7"/>
  <c r="D13435" i="7"/>
  <c r="K13434" i="7"/>
  <c r="L13435" i="7" s="1"/>
  <c r="H13434" i="7" a="1"/>
  <c r="H13434" i="7" s="1"/>
  <c r="E13434" i="7"/>
  <c r="D13434" i="7"/>
  <c r="L13433" i="7"/>
  <c r="H13433" i="7" a="1"/>
  <c r="H13433" i="7" s="1"/>
  <c r="E13433" i="7"/>
  <c r="D13433" i="7"/>
  <c r="H13432" i="7" a="1"/>
  <c r="H13432" i="7" s="1"/>
  <c r="E13432" i="7"/>
  <c r="D13432" i="7"/>
  <c r="L13431" i="7"/>
  <c r="H13431" i="7" a="1"/>
  <c r="H13431" i="7" s="1"/>
  <c r="E13431" i="7"/>
  <c r="D13431" i="7"/>
  <c r="H13430" i="7" a="1"/>
  <c r="H13430" i="7" s="1"/>
  <c r="E13430" i="7"/>
  <c r="D13430" i="7"/>
  <c r="L13429" i="7"/>
  <c r="H13429" i="7" a="1"/>
  <c r="H13429" i="7" s="1"/>
  <c r="E13429" i="7"/>
  <c r="D13429" i="7"/>
  <c r="H13428" i="7" a="1"/>
  <c r="H13428" i="7" s="1"/>
  <c r="E13428" i="7"/>
  <c r="D13428" i="7"/>
  <c r="H13427" i="7" a="1"/>
  <c r="H13427" i="7" s="1"/>
  <c r="E13427" i="7"/>
  <c r="D13427" i="7"/>
  <c r="H13426" i="7" a="1"/>
  <c r="H13426" i="7" s="1"/>
  <c r="E13426" i="7"/>
  <c r="D13426" i="7"/>
  <c r="L13425" i="7"/>
  <c r="H13425" i="7" a="1"/>
  <c r="H13425" i="7" s="1"/>
  <c r="E13425" i="7"/>
  <c r="D13425" i="7"/>
  <c r="H13424" i="7" a="1"/>
  <c r="H13424" i="7" s="1"/>
  <c r="E13424" i="7"/>
  <c r="D13424" i="7"/>
  <c r="L13423" i="7"/>
  <c r="H13423" i="7" a="1"/>
  <c r="H13423" i="7" s="1"/>
  <c r="E13423" i="7"/>
  <c r="D13423" i="7"/>
  <c r="H13422" i="7" a="1"/>
  <c r="H13422" i="7" s="1"/>
  <c r="E13422" i="7"/>
  <c r="D13422" i="7"/>
  <c r="H13388" i="7" a="1"/>
  <c r="H13388" i="7" s="1"/>
  <c r="E13388" i="7"/>
  <c r="D13388" i="7"/>
  <c r="H13387" i="7" a="1"/>
  <c r="H13387" i="7" s="1"/>
  <c r="E13387" i="7"/>
  <c r="D13387" i="7"/>
  <c r="H13386" i="7" a="1"/>
  <c r="H13386" i="7" s="1"/>
  <c r="E13386" i="7"/>
  <c r="D13386" i="7"/>
  <c r="D291" i="58"/>
  <c r="D292" i="58"/>
  <c r="D293" i="58"/>
  <c r="D294" i="58"/>
  <c r="D295" i="58"/>
  <c r="D296" i="58"/>
  <c r="D297" i="58"/>
  <c r="F291" i="58"/>
  <c r="F292" i="58"/>
  <c r="F293" i="58"/>
  <c r="F294" i="58"/>
  <c r="F295" i="58"/>
  <c r="F296" i="58"/>
  <c r="F297" i="58"/>
  <c r="R297" i="58"/>
  <c r="P297" i="58"/>
  <c r="N297" i="58"/>
  <c r="L297" i="58"/>
  <c r="J297" i="58"/>
  <c r="H297" i="58"/>
  <c r="R296" i="58"/>
  <c r="P296" i="58"/>
  <c r="N296" i="58"/>
  <c r="L296" i="58"/>
  <c r="J296" i="58"/>
  <c r="H296" i="58"/>
  <c r="R295" i="58"/>
  <c r="P295" i="58"/>
  <c r="N295" i="58"/>
  <c r="L295" i="58"/>
  <c r="J295" i="58"/>
  <c r="H295" i="58"/>
  <c r="R294" i="58"/>
  <c r="P294" i="58"/>
  <c r="N294" i="58"/>
  <c r="L294" i="58"/>
  <c r="J294" i="58"/>
  <c r="H294" i="58"/>
  <c r="R293" i="58"/>
  <c r="P293" i="58"/>
  <c r="N293" i="58"/>
  <c r="L293" i="58"/>
  <c r="J293" i="58"/>
  <c r="H293" i="58"/>
  <c r="R292" i="58"/>
  <c r="P292" i="58"/>
  <c r="N292" i="58"/>
  <c r="L292" i="58"/>
  <c r="J292" i="58"/>
  <c r="H292" i="58"/>
  <c r="R291" i="58"/>
  <c r="P291" i="58"/>
  <c r="N291" i="58"/>
  <c r="L291" i="58"/>
  <c r="J291" i="58"/>
  <c r="H291" i="58"/>
  <c r="H13409" i="7" a="1"/>
  <c r="H13409" i="7" s="1"/>
  <c r="E13409" i="7"/>
  <c r="D13409" i="7"/>
  <c r="H13408" i="7" a="1"/>
  <c r="H13408" i="7" s="1"/>
  <c r="E13408" i="7"/>
  <c r="D13408" i="7"/>
  <c r="H13407" i="7" a="1"/>
  <c r="H13407" i="7" s="1"/>
  <c r="E13407" i="7"/>
  <c r="D13407" i="7"/>
  <c r="H13406" i="7" a="1"/>
  <c r="H13406" i="7" s="1"/>
  <c r="E13406" i="7"/>
  <c r="D13406" i="7"/>
  <c r="H13405" i="7" l="1" a="1"/>
  <c r="H13405" i="7" s="1"/>
  <c r="E13405" i="7"/>
  <c r="D13405" i="7"/>
  <c r="H13404" i="7" a="1"/>
  <c r="H13404" i="7" s="1"/>
  <c r="E13404" i="7"/>
  <c r="D13404" i="7"/>
  <c r="H13403" i="7" a="1"/>
  <c r="H13403" i="7" s="1"/>
  <c r="E13403" i="7"/>
  <c r="D13403" i="7"/>
  <c r="H13402" i="7" a="1"/>
  <c r="H13402" i="7" s="1"/>
  <c r="E13402" i="7"/>
  <c r="D13402" i="7"/>
  <c r="H13401" i="7" a="1"/>
  <c r="H13401" i="7" s="1"/>
  <c r="E13401" i="7"/>
  <c r="D13401" i="7"/>
  <c r="H13400" i="7" a="1"/>
  <c r="H13400" i="7" s="1"/>
  <c r="E13400" i="7"/>
  <c r="D13400" i="7"/>
  <c r="E13396" i="7"/>
  <c r="D13396" i="7"/>
  <c r="H13397" i="7" a="1"/>
  <c r="H13397" i="7" s="1"/>
  <c r="E13397" i="7"/>
  <c r="D13397" i="7"/>
  <c r="H13395" i="7" a="1"/>
  <c r="H13395" i="7" s="1"/>
  <c r="E13395" i="7"/>
  <c r="D13395" i="7"/>
  <c r="H13394" i="7" a="1"/>
  <c r="H13394" i="7" s="1"/>
  <c r="E13394" i="7"/>
  <c r="D13394" i="7"/>
  <c r="H13393" i="7" a="1"/>
  <c r="H13393" i="7" s="1"/>
  <c r="E13393" i="7"/>
  <c r="D13393" i="7"/>
  <c r="H13392" i="7" a="1"/>
  <c r="H13392" i="7" s="1"/>
  <c r="E13392" i="7"/>
  <c r="D13392" i="7"/>
  <c r="H13385" i="7" l="1" a="1"/>
  <c r="H13385" i="7" s="1"/>
  <c r="E13385" i="7"/>
  <c r="D13385" i="7"/>
  <c r="H13384" i="7" a="1"/>
  <c r="H13384" i="7" s="1"/>
  <c r="E13384" i="7"/>
  <c r="D13384" i="7"/>
  <c r="H13383" i="7" a="1"/>
  <c r="H13383" i="7" s="1"/>
  <c r="E13383" i="7"/>
  <c r="D13383" i="7"/>
  <c r="H13391" i="7" l="1" a="1"/>
  <c r="H13391" i="7" s="1"/>
  <c r="E13391" i="7"/>
  <c r="D13391" i="7"/>
  <c r="H13390" i="7" a="1"/>
  <c r="H13390" i="7" s="1"/>
  <c r="E13390" i="7"/>
  <c r="D13390" i="7"/>
  <c r="H13389" i="7" a="1"/>
  <c r="H13389" i="7" s="1"/>
  <c r="E13389" i="7"/>
  <c r="D13389" i="7"/>
  <c r="H13382" i="7" a="1"/>
  <c r="H13382" i="7" s="1"/>
  <c r="E13382" i="7"/>
  <c r="D13382" i="7"/>
  <c r="H13381" i="7" a="1"/>
  <c r="H13381" i="7" s="1"/>
  <c r="E13381" i="7"/>
  <c r="D13381" i="7"/>
  <c r="H13380" i="7" a="1"/>
  <c r="H13380" i="7" s="1"/>
  <c r="E13380" i="7"/>
  <c r="D13380" i="7"/>
  <c r="H13363" i="7" a="1"/>
  <c r="H13363" i="7" s="1"/>
  <c r="E13363" i="7"/>
  <c r="D13363" i="7"/>
  <c r="H13362" i="7" a="1"/>
  <c r="H13362" i="7" s="1"/>
  <c r="E13362" i="7"/>
  <c r="D13362" i="7"/>
  <c r="H13361" i="7" a="1"/>
  <c r="H13361" i="7" s="1"/>
  <c r="E13361" i="7"/>
  <c r="D13361" i="7"/>
  <c r="H13359" i="7" a="1"/>
  <c r="H13359" i="7" s="1"/>
  <c r="E13359" i="7"/>
  <c r="D13359" i="7"/>
  <c r="H13358" i="7" a="1"/>
  <c r="H13358" i="7" s="1"/>
  <c r="E13358" i="7"/>
  <c r="D13358" i="7"/>
  <c r="H13357" i="7" a="1"/>
  <c r="H13357" i="7" s="1"/>
  <c r="E13357" i="7"/>
  <c r="D13357" i="7"/>
  <c r="H13356" i="7" a="1"/>
  <c r="H13356" i="7" s="1"/>
  <c r="E13356" i="7"/>
  <c r="D13356" i="7"/>
  <c r="H13355" i="7" a="1"/>
  <c r="H13355" i="7" s="1"/>
  <c r="E13355" i="7"/>
  <c r="D13355" i="7"/>
  <c r="H13354" i="7" a="1"/>
  <c r="H13354" i="7" s="1"/>
  <c r="E13354" i="7"/>
  <c r="D13354" i="7"/>
  <c r="H13353" i="7" a="1"/>
  <c r="H13353" i="7" s="1"/>
  <c r="E13353" i="7"/>
  <c r="D13353" i="7"/>
  <c r="H13352" i="7" a="1"/>
  <c r="H13352" i="7" s="1"/>
  <c r="E13352" i="7"/>
  <c r="D13352" i="7"/>
  <c r="H13351" i="7" a="1"/>
  <c r="H13351" i="7" s="1"/>
  <c r="E13351" i="7"/>
  <c r="D13351" i="7"/>
  <c r="H13379" i="7" l="1" a="1"/>
  <c r="H13379" i="7" s="1"/>
  <c r="E13379" i="7"/>
  <c r="D13379" i="7"/>
  <c r="K13378" i="7"/>
  <c r="L13379" i="7" s="1"/>
  <c r="H13378" i="7" a="1"/>
  <c r="H13378" i="7" s="1"/>
  <c r="E13378" i="7"/>
  <c r="D13378" i="7"/>
  <c r="H13377" i="7" a="1"/>
  <c r="H13377" i="7" s="1"/>
  <c r="E13377" i="7"/>
  <c r="D13377" i="7"/>
  <c r="K13376" i="7"/>
  <c r="L13377" i="7" s="1"/>
  <c r="H13376" i="7" a="1"/>
  <c r="H13376" i="7" s="1"/>
  <c r="E13376" i="7"/>
  <c r="D13376" i="7"/>
  <c r="L13375" i="7"/>
  <c r="H13375" i="7" a="1"/>
  <c r="H13375" i="7" s="1"/>
  <c r="E13375" i="7"/>
  <c r="D13375" i="7"/>
  <c r="H13374" i="7" a="1"/>
  <c r="H13374" i="7" s="1"/>
  <c r="E13374" i="7"/>
  <c r="D13374" i="7"/>
  <c r="L13373" i="7"/>
  <c r="H13373" i="7" a="1"/>
  <c r="H13373" i="7" s="1"/>
  <c r="E13373" i="7"/>
  <c r="D13373" i="7"/>
  <c r="H13372" i="7" a="1"/>
  <c r="H13372" i="7" s="1"/>
  <c r="E13372" i="7"/>
  <c r="D13372" i="7"/>
  <c r="L13371" i="7"/>
  <c r="H13371" i="7" a="1"/>
  <c r="H13371" i="7" s="1"/>
  <c r="E13371" i="7"/>
  <c r="D13371" i="7"/>
  <c r="H13370" i="7" a="1"/>
  <c r="H13370" i="7" s="1"/>
  <c r="E13370" i="7"/>
  <c r="D13370" i="7"/>
  <c r="H13369" i="7" a="1"/>
  <c r="H13369" i="7" s="1"/>
  <c r="E13369" i="7"/>
  <c r="D13369" i="7"/>
  <c r="H13368" i="7" a="1"/>
  <c r="H13368" i="7" s="1"/>
  <c r="E13368" i="7"/>
  <c r="D13368" i="7"/>
  <c r="L13367" i="7"/>
  <c r="H13367" i="7" a="1"/>
  <c r="H13367" i="7" s="1"/>
  <c r="E13367" i="7"/>
  <c r="D13367" i="7"/>
  <c r="H13366" i="7" a="1"/>
  <c r="H13366" i="7" s="1"/>
  <c r="E13366" i="7"/>
  <c r="D13366" i="7"/>
  <c r="L13365" i="7"/>
  <c r="H13365" i="7" a="1"/>
  <c r="H13365" i="7" s="1"/>
  <c r="E13365" i="7"/>
  <c r="D13365" i="7"/>
  <c r="H13364" i="7" a="1"/>
  <c r="H13364" i="7" s="1"/>
  <c r="E13364" i="7"/>
  <c r="D13364" i="7"/>
  <c r="D284" i="58"/>
  <c r="D285" i="58"/>
  <c r="D286" i="58"/>
  <c r="D287" i="58"/>
  <c r="D288" i="58"/>
  <c r="D289" i="58"/>
  <c r="D290" i="58"/>
  <c r="R290" i="58"/>
  <c r="P290" i="58"/>
  <c r="N290" i="58"/>
  <c r="L290" i="58"/>
  <c r="J290" i="58"/>
  <c r="H290" i="58"/>
  <c r="F290" i="58"/>
  <c r="R289" i="58"/>
  <c r="P289" i="58"/>
  <c r="N289" i="58"/>
  <c r="L289" i="58"/>
  <c r="J289" i="58"/>
  <c r="H289" i="58"/>
  <c r="F289" i="58"/>
  <c r="R288" i="58"/>
  <c r="P288" i="58"/>
  <c r="N288" i="58"/>
  <c r="L288" i="58"/>
  <c r="J288" i="58"/>
  <c r="H288" i="58"/>
  <c r="F288" i="58"/>
  <c r="R287" i="58"/>
  <c r="P287" i="58"/>
  <c r="N287" i="58"/>
  <c r="L287" i="58"/>
  <c r="J287" i="58"/>
  <c r="H287" i="58"/>
  <c r="F287" i="58"/>
  <c r="R286" i="58"/>
  <c r="P286" i="58"/>
  <c r="N286" i="58"/>
  <c r="L286" i="58"/>
  <c r="J286" i="58"/>
  <c r="H286" i="58"/>
  <c r="F286" i="58"/>
  <c r="R285" i="58"/>
  <c r="P285" i="58"/>
  <c r="N285" i="58"/>
  <c r="L285" i="58"/>
  <c r="J285" i="58"/>
  <c r="H285" i="58"/>
  <c r="F285" i="58"/>
  <c r="R284" i="58"/>
  <c r="P284" i="58"/>
  <c r="N284" i="58"/>
  <c r="L284" i="58"/>
  <c r="J284" i="58"/>
  <c r="H284" i="58"/>
  <c r="F284" i="58"/>
  <c r="H13350" i="7" a="1"/>
  <c r="H13350" i="7" s="1"/>
  <c r="E13350" i="7"/>
  <c r="D13350" i="7"/>
  <c r="H13349" i="7" a="1"/>
  <c r="H13349" i="7" s="1"/>
  <c r="E13349" i="7"/>
  <c r="D13349" i="7"/>
  <c r="H13348" i="7" a="1"/>
  <c r="H13348" i="7" s="1"/>
  <c r="E13348" i="7"/>
  <c r="D13348" i="7"/>
  <c r="H13347" i="7" a="1"/>
  <c r="H13347" i="7" s="1"/>
  <c r="E13347" i="7"/>
  <c r="D13347" i="7"/>
  <c r="H13328" i="7" a="1"/>
  <c r="H13328" i="7" s="1"/>
  <c r="E13328" i="7"/>
  <c r="D13328" i="7"/>
  <c r="H13327" i="7" a="1"/>
  <c r="H13327" i="7" s="1"/>
  <c r="E13327" i="7"/>
  <c r="D13327" i="7"/>
  <c r="H13326" i="7" a="1"/>
  <c r="H13326" i="7" s="1"/>
  <c r="E13326" i="7"/>
  <c r="D13326" i="7"/>
  <c r="H13323" i="7" l="1" a="1"/>
  <c r="H13323" i="7" s="1"/>
  <c r="E13323" i="7"/>
  <c r="D13323" i="7"/>
  <c r="H13322" i="7" a="1"/>
  <c r="H13322" i="7" s="1"/>
  <c r="E13322" i="7"/>
  <c r="D13322" i="7"/>
  <c r="H13314" i="7" a="1"/>
  <c r="H13314" i="7" s="1"/>
  <c r="E13314" i="7"/>
  <c r="D13314" i="7"/>
  <c r="H13313" i="7" a="1"/>
  <c r="H13313" i="7" s="1"/>
  <c r="E13313" i="7"/>
  <c r="D13313" i="7"/>
  <c r="H13312" i="7" a="1"/>
  <c r="H13312" i="7" s="1"/>
  <c r="E13312" i="7"/>
  <c r="D13312" i="7"/>
  <c r="H13311" i="7" a="1"/>
  <c r="H13311" i="7" s="1"/>
  <c r="E13311" i="7"/>
  <c r="D13311" i="7"/>
  <c r="H13346" i="7" a="1"/>
  <c r="H13346" i="7" s="1"/>
  <c r="E13346" i="7"/>
  <c r="D13346" i="7"/>
  <c r="H13345" i="7" a="1"/>
  <c r="H13345" i="7" s="1"/>
  <c r="E13345" i="7"/>
  <c r="D13345" i="7"/>
  <c r="H13344" i="7" a="1"/>
  <c r="H13344" i="7" s="1"/>
  <c r="E13344" i="7"/>
  <c r="D13344" i="7"/>
  <c r="H13343" i="7" a="1"/>
  <c r="H13343" i="7" s="1"/>
  <c r="E13343" i="7"/>
  <c r="D13343" i="7"/>
  <c r="H13340" i="7" a="1"/>
  <c r="H13340" i="7" s="1"/>
  <c r="E13340" i="7"/>
  <c r="D13340" i="7"/>
  <c r="H13341" i="7" a="1"/>
  <c r="H13341" i="7" s="1"/>
  <c r="E13341" i="7"/>
  <c r="D13341" i="7"/>
  <c r="H13342" i="7" a="1"/>
  <c r="H13342" i="7" s="1"/>
  <c r="E13342" i="7"/>
  <c r="D13342" i="7"/>
  <c r="H13339" i="7" a="1"/>
  <c r="H13339" i="7" s="1"/>
  <c r="E13339" i="7"/>
  <c r="D13339" i="7"/>
  <c r="H13338" i="7" a="1"/>
  <c r="H13338" i="7" s="1"/>
  <c r="E13338" i="7"/>
  <c r="D13338" i="7"/>
  <c r="H13337" i="7" a="1"/>
  <c r="H13337" i="7" s="1"/>
  <c r="E13337" i="7"/>
  <c r="D13337" i="7"/>
  <c r="H13336" i="7" a="1"/>
  <c r="H13336" i="7" s="1"/>
  <c r="E13336" i="7"/>
  <c r="D13336" i="7"/>
  <c r="L13325" i="7"/>
  <c r="H13325" i="7" a="1"/>
  <c r="H13325" i="7" s="1"/>
  <c r="E13325" i="7"/>
  <c r="D13325" i="7"/>
  <c r="H13324" i="7" a="1"/>
  <c r="H13324" i="7" s="1"/>
  <c r="E13324" i="7"/>
  <c r="D13324" i="7"/>
  <c r="H13321" i="7" a="1"/>
  <c r="H13321" i="7" s="1"/>
  <c r="E13321" i="7"/>
  <c r="D13321" i="7"/>
  <c r="H13320" i="7" a="1"/>
  <c r="H13320" i="7" s="1"/>
  <c r="E13320" i="7"/>
  <c r="D13320" i="7"/>
  <c r="H13292" i="7" a="1"/>
  <c r="H13292" i="7" s="1"/>
  <c r="E13292" i="7"/>
  <c r="D13292" i="7"/>
  <c r="H13291" i="7" a="1"/>
  <c r="H13291" i="7" s="1"/>
  <c r="E13291" i="7"/>
  <c r="D13291" i="7"/>
  <c r="H13290" i="7" a="1"/>
  <c r="H13290" i="7" s="1"/>
  <c r="E13290" i="7"/>
  <c r="D13290" i="7"/>
  <c r="H13335" i="7" a="1"/>
  <c r="H13335" i="7" s="1"/>
  <c r="E13335" i="7"/>
  <c r="D13335" i="7"/>
  <c r="H13334" i="7" a="1"/>
  <c r="H13334" i="7" s="1"/>
  <c r="E13334" i="7"/>
  <c r="D13334" i="7"/>
  <c r="H13333" i="7" a="1"/>
  <c r="H13333" i="7" s="1"/>
  <c r="E13333" i="7"/>
  <c r="D13333" i="7"/>
  <c r="H13332" i="7" a="1"/>
  <c r="H13332" i="7" s="1"/>
  <c r="E13332" i="7"/>
  <c r="D13332" i="7"/>
  <c r="H13331" i="7" a="1"/>
  <c r="H13331" i="7" s="1"/>
  <c r="E13331" i="7"/>
  <c r="D13331" i="7"/>
  <c r="H13319" i="7" a="1"/>
  <c r="H13319" i="7" s="1"/>
  <c r="E13319" i="7"/>
  <c r="D13319" i="7"/>
  <c r="H13318" i="7" a="1"/>
  <c r="H13318" i="7" s="1"/>
  <c r="E13318" i="7"/>
  <c r="D13318" i="7"/>
  <c r="H13317" i="7" a="1"/>
  <c r="H13317" i="7" s="1"/>
  <c r="E13317" i="7"/>
  <c r="D13317" i="7"/>
  <c r="H13316" i="7" a="1"/>
  <c r="H13316" i="7" s="1"/>
  <c r="E13316" i="7"/>
  <c r="D13316" i="7"/>
  <c r="H13315" i="7" a="1"/>
  <c r="H13315" i="7" s="1"/>
  <c r="E13315" i="7"/>
  <c r="D13315" i="7"/>
  <c r="H13310" i="7" l="1" a="1"/>
  <c r="H13310" i="7" s="1"/>
  <c r="E13310" i="7"/>
  <c r="D13310" i="7"/>
  <c r="K13309" i="7"/>
  <c r="L13310" i="7" s="1"/>
  <c r="H13309" i="7" a="1"/>
  <c r="H13309" i="7" s="1"/>
  <c r="E13309" i="7"/>
  <c r="D13309" i="7"/>
  <c r="H13308" i="7" a="1"/>
  <c r="H13308" i="7" s="1"/>
  <c r="E13308" i="7"/>
  <c r="D13308" i="7"/>
  <c r="K13307" i="7"/>
  <c r="L13308" i="7" s="1"/>
  <c r="H13307" i="7" a="1"/>
  <c r="H13307" i="7" s="1"/>
  <c r="E13307" i="7"/>
  <c r="D13307" i="7"/>
  <c r="L13306" i="7"/>
  <c r="H13306" i="7" a="1"/>
  <c r="H13306" i="7" s="1"/>
  <c r="E13306" i="7"/>
  <c r="D13306" i="7"/>
  <c r="H13305" i="7" a="1"/>
  <c r="H13305" i="7" s="1"/>
  <c r="E13305" i="7"/>
  <c r="D13305" i="7"/>
  <c r="L13304" i="7"/>
  <c r="H13304" i="7" a="1"/>
  <c r="H13304" i="7" s="1"/>
  <c r="E13304" i="7"/>
  <c r="D13304" i="7"/>
  <c r="H13303" i="7" a="1"/>
  <c r="H13303" i="7" s="1"/>
  <c r="E13303" i="7"/>
  <c r="D13303" i="7"/>
  <c r="L13302" i="7"/>
  <c r="H13302" i="7" a="1"/>
  <c r="H13302" i="7" s="1"/>
  <c r="E13302" i="7"/>
  <c r="D13302" i="7"/>
  <c r="H13301" i="7" a="1"/>
  <c r="H13301" i="7" s="1"/>
  <c r="E13301" i="7"/>
  <c r="D13301" i="7"/>
  <c r="H13300" i="7" a="1"/>
  <c r="H13300" i="7" s="1"/>
  <c r="E13300" i="7"/>
  <c r="D13300" i="7"/>
  <c r="H13299" i="7" a="1"/>
  <c r="H13299" i="7" s="1"/>
  <c r="E13299" i="7"/>
  <c r="D13299" i="7"/>
  <c r="L13298" i="7"/>
  <c r="H13298" i="7" a="1"/>
  <c r="H13298" i="7" s="1"/>
  <c r="E13298" i="7"/>
  <c r="D13298" i="7"/>
  <c r="H13297" i="7" a="1"/>
  <c r="H13297" i="7" s="1"/>
  <c r="E13297" i="7"/>
  <c r="D13297" i="7"/>
  <c r="L13296" i="7"/>
  <c r="H13296" i="7" a="1"/>
  <c r="H13296" i="7" s="1"/>
  <c r="E13296" i="7"/>
  <c r="D13296" i="7"/>
  <c r="H13295" i="7" a="1"/>
  <c r="H13295" i="7" s="1"/>
  <c r="E13295" i="7"/>
  <c r="D13295" i="7"/>
  <c r="L13294" i="7"/>
  <c r="H13294" i="7" a="1"/>
  <c r="H13294" i="7" s="1"/>
  <c r="E13294" i="7"/>
  <c r="D13294" i="7"/>
  <c r="H13293" i="7" a="1"/>
  <c r="H13293" i="7" s="1"/>
  <c r="E13293" i="7"/>
  <c r="D13293" i="7"/>
  <c r="D277" i="58"/>
  <c r="D278" i="58"/>
  <c r="D279" i="58"/>
  <c r="D280" i="58"/>
  <c r="D281" i="58"/>
  <c r="D282" i="58"/>
  <c r="D283" i="58"/>
  <c r="F277" i="58"/>
  <c r="F278" i="58"/>
  <c r="F279" i="58"/>
  <c r="F280" i="58"/>
  <c r="F281" i="58"/>
  <c r="F282" i="58"/>
  <c r="F283" i="58"/>
  <c r="R283" i="58"/>
  <c r="P283" i="58"/>
  <c r="N283" i="58"/>
  <c r="L283" i="58"/>
  <c r="J283" i="58"/>
  <c r="H283" i="58"/>
  <c r="R282" i="58"/>
  <c r="P282" i="58"/>
  <c r="N282" i="58"/>
  <c r="L282" i="58"/>
  <c r="J282" i="58"/>
  <c r="H282" i="58"/>
  <c r="R281" i="58"/>
  <c r="P281" i="58"/>
  <c r="N281" i="58"/>
  <c r="L281" i="58"/>
  <c r="J281" i="58"/>
  <c r="H281" i="58"/>
  <c r="R280" i="58"/>
  <c r="P280" i="58"/>
  <c r="N280" i="58"/>
  <c r="L280" i="58"/>
  <c r="J280" i="58"/>
  <c r="H280" i="58"/>
  <c r="R279" i="58"/>
  <c r="P279" i="58"/>
  <c r="N279" i="58"/>
  <c r="L279" i="58"/>
  <c r="J279" i="58"/>
  <c r="H279" i="58"/>
  <c r="R278" i="58"/>
  <c r="P278" i="58"/>
  <c r="N278" i="58"/>
  <c r="L278" i="58"/>
  <c r="J278" i="58"/>
  <c r="H278" i="58"/>
  <c r="R277" i="58"/>
  <c r="P277" i="58"/>
  <c r="N277" i="58"/>
  <c r="L277" i="58"/>
  <c r="J277" i="58"/>
  <c r="H277" i="58"/>
  <c r="H13277" i="7" a="1"/>
  <c r="H13277" i="7" s="1"/>
  <c r="E13277" i="7"/>
  <c r="D13277" i="7"/>
  <c r="H13276" i="7" a="1"/>
  <c r="H13276" i="7" s="1"/>
  <c r="E13276" i="7"/>
  <c r="D13276" i="7"/>
  <c r="H13289" i="7" a="1"/>
  <c r="H13289" i="7" s="1"/>
  <c r="E13289" i="7"/>
  <c r="D13289" i="7"/>
  <c r="H13288" i="7" a="1"/>
  <c r="H13288" i="7" s="1"/>
  <c r="E13288" i="7"/>
  <c r="D13288" i="7"/>
  <c r="H13287" i="7" l="1" a="1"/>
  <c r="H13287" i="7" s="1"/>
  <c r="E13287" i="7"/>
  <c r="D13287" i="7"/>
  <c r="H13286" i="7" a="1"/>
  <c r="H13286" i="7" s="1"/>
  <c r="E13286" i="7"/>
  <c r="D13286" i="7"/>
  <c r="H13285" i="7" a="1"/>
  <c r="H13285" i="7" s="1"/>
  <c r="E13285" i="7"/>
  <c r="D13285" i="7"/>
  <c r="H13284" i="7" a="1"/>
  <c r="H13284" i="7" s="1"/>
  <c r="E13284" i="7"/>
  <c r="D13284" i="7"/>
  <c r="H13283" i="7" a="1"/>
  <c r="H13283" i="7" s="1"/>
  <c r="E13283" i="7"/>
  <c r="D13283" i="7"/>
  <c r="H13282" i="7" a="1"/>
  <c r="H13282" i="7" s="1"/>
  <c r="E13282" i="7"/>
  <c r="D13282" i="7"/>
  <c r="H12633" i="7" l="1" a="1"/>
  <c r="H12633" i="7" s="1"/>
  <c r="E12633" i="7"/>
  <c r="D12633" i="7"/>
  <c r="K12632" i="7"/>
  <c r="H12632" i="7" a="1"/>
  <c r="H12632" i="7" s="1"/>
  <c r="E12632" i="7"/>
  <c r="D12632" i="7"/>
  <c r="H12666" i="7" a="1"/>
  <c r="H12666" i="7" s="1"/>
  <c r="E12666" i="7"/>
  <c r="D12666" i="7"/>
  <c r="H12665" i="7" a="1"/>
  <c r="H12665" i="7" s="1"/>
  <c r="E12665" i="7"/>
  <c r="D12665" i="7"/>
  <c r="K13274" i="7"/>
  <c r="K13272" i="7"/>
  <c r="H13275" i="7" l="1" a="1"/>
  <c r="H13275" i="7" s="1"/>
  <c r="E13275" i="7"/>
  <c r="D13275" i="7"/>
  <c r="L13275" i="7"/>
  <c r="H13274" i="7" a="1"/>
  <c r="H13274" i="7" s="1"/>
  <c r="E13274" i="7"/>
  <c r="D13274" i="7"/>
  <c r="H13273" i="7" a="1"/>
  <c r="H13273" i="7" s="1"/>
  <c r="E13273" i="7"/>
  <c r="D13273" i="7"/>
  <c r="L13273" i="7"/>
  <c r="H13272" i="7" a="1"/>
  <c r="H13272" i="7" s="1"/>
  <c r="E13272" i="7"/>
  <c r="D13272" i="7"/>
  <c r="L13271" i="7"/>
  <c r="H13271" i="7" a="1"/>
  <c r="H13271" i="7" s="1"/>
  <c r="E13271" i="7"/>
  <c r="D13271" i="7"/>
  <c r="H13270" i="7" a="1"/>
  <c r="H13270" i="7" s="1"/>
  <c r="E13270" i="7"/>
  <c r="D13270" i="7"/>
  <c r="L13269" i="7"/>
  <c r="H13269" i="7" a="1"/>
  <c r="H13269" i="7" s="1"/>
  <c r="E13269" i="7"/>
  <c r="D13269" i="7"/>
  <c r="H13268" i="7" a="1"/>
  <c r="H13268" i="7" s="1"/>
  <c r="E13268" i="7"/>
  <c r="D13268" i="7"/>
  <c r="L13267" i="7"/>
  <c r="H13267" i="7" a="1"/>
  <c r="H13267" i="7" s="1"/>
  <c r="E13267" i="7"/>
  <c r="D13267" i="7"/>
  <c r="H13266" i="7" a="1"/>
  <c r="H13266" i="7" s="1"/>
  <c r="E13266" i="7"/>
  <c r="D13266" i="7"/>
  <c r="H13265" i="7" a="1"/>
  <c r="H13265" i="7" s="1"/>
  <c r="E13265" i="7"/>
  <c r="D13265" i="7"/>
  <c r="H13264" i="7" a="1"/>
  <c r="H13264" i="7" s="1"/>
  <c r="E13264" i="7"/>
  <c r="D13264" i="7"/>
  <c r="L13263" i="7"/>
  <c r="H13263" i="7" a="1"/>
  <c r="H13263" i="7" s="1"/>
  <c r="E13263" i="7"/>
  <c r="D13263" i="7"/>
  <c r="H13262" i="7" a="1"/>
  <c r="H13262" i="7" s="1"/>
  <c r="E13262" i="7"/>
  <c r="D13262" i="7"/>
  <c r="L13261" i="7"/>
  <c r="H13261" i="7" a="1"/>
  <c r="H13261" i="7" s="1"/>
  <c r="E13261" i="7"/>
  <c r="D13261" i="7"/>
  <c r="H13260" i="7" a="1"/>
  <c r="H13260" i="7" s="1"/>
  <c r="E13260" i="7"/>
  <c r="D13260" i="7"/>
  <c r="L13259" i="7"/>
  <c r="H13259" i="7" a="1"/>
  <c r="H13259" i="7" s="1"/>
  <c r="E13259" i="7"/>
  <c r="D13259" i="7"/>
  <c r="H13258" i="7" a="1"/>
  <c r="H13258" i="7" s="1"/>
  <c r="E13258" i="7"/>
  <c r="D13258" i="7"/>
  <c r="D270" i="58"/>
  <c r="D271" i="58"/>
  <c r="D272" i="58"/>
  <c r="D273" i="58"/>
  <c r="D274" i="58"/>
  <c r="D275" i="58"/>
  <c r="D276" i="58"/>
  <c r="R276" i="58"/>
  <c r="P276" i="58"/>
  <c r="N276" i="58"/>
  <c r="L276" i="58"/>
  <c r="J276" i="58"/>
  <c r="H276" i="58"/>
  <c r="F276" i="58"/>
  <c r="R275" i="58"/>
  <c r="P275" i="58"/>
  <c r="N275" i="58"/>
  <c r="L275" i="58"/>
  <c r="J275" i="58"/>
  <c r="H275" i="58"/>
  <c r="F275" i="58"/>
  <c r="R274" i="58"/>
  <c r="P274" i="58"/>
  <c r="N274" i="58"/>
  <c r="L274" i="58"/>
  <c r="J274" i="58"/>
  <c r="H274" i="58"/>
  <c r="F274" i="58"/>
  <c r="R273" i="58"/>
  <c r="P273" i="58"/>
  <c r="N273" i="58"/>
  <c r="L273" i="58"/>
  <c r="J273" i="58"/>
  <c r="H273" i="58"/>
  <c r="F273" i="58"/>
  <c r="R272" i="58"/>
  <c r="P272" i="58"/>
  <c r="N272" i="58"/>
  <c r="L272" i="58"/>
  <c r="J272" i="58"/>
  <c r="H272" i="58"/>
  <c r="F272" i="58"/>
  <c r="R271" i="58"/>
  <c r="P271" i="58"/>
  <c r="N271" i="58"/>
  <c r="L271" i="58"/>
  <c r="J271" i="58"/>
  <c r="H271" i="58"/>
  <c r="F271" i="58"/>
  <c r="R270" i="58"/>
  <c r="P270" i="58"/>
  <c r="N270" i="58"/>
  <c r="L270" i="58"/>
  <c r="J270" i="58"/>
  <c r="H270" i="58"/>
  <c r="F270" i="58"/>
  <c r="H13232" i="7" a="1"/>
  <c r="H13232" i="7" s="1"/>
  <c r="E13232" i="7"/>
  <c r="D13232" i="7"/>
  <c r="H13231" i="7" a="1"/>
  <c r="H13231" i="7" s="1"/>
  <c r="E13231" i="7"/>
  <c r="D13231" i="7"/>
  <c r="H13230" i="7" a="1"/>
  <c r="H13230" i="7" s="1"/>
  <c r="E13230" i="7"/>
  <c r="D13230" i="7"/>
  <c r="H13198" i="7" a="1"/>
  <c r="H13198" i="7" s="1"/>
  <c r="E13198" i="7"/>
  <c r="D13198" i="7"/>
  <c r="H13197" i="7" a="1"/>
  <c r="H13197" i="7" s="1"/>
  <c r="E13197" i="7"/>
  <c r="D13197" i="7"/>
  <c r="H13196" i="7" a="1"/>
  <c r="H13196" i="7" s="1"/>
  <c r="E13196" i="7"/>
  <c r="D13196" i="7"/>
  <c r="H13255" i="7" l="1" a="1"/>
  <c r="H13255" i="7" s="1"/>
  <c r="E13255" i="7"/>
  <c r="D13255" i="7"/>
  <c r="H13254" i="7" a="1"/>
  <c r="H13254" i="7" s="1"/>
  <c r="E13254" i="7"/>
  <c r="D13254" i="7"/>
  <c r="H13257" i="7" a="1"/>
  <c r="H13257" i="7" s="1"/>
  <c r="E13257" i="7"/>
  <c r="D13257" i="7"/>
  <c r="H13256" i="7" a="1"/>
  <c r="H13256" i="7" s="1"/>
  <c r="E13256" i="7"/>
  <c r="D13256" i="7"/>
  <c r="H13253" i="7" a="1"/>
  <c r="H13253" i="7" s="1"/>
  <c r="E13253" i="7"/>
  <c r="D13253" i="7"/>
  <c r="H13252" i="7" a="1"/>
  <c r="H13252" i="7" s="1"/>
  <c r="E13252" i="7"/>
  <c r="D13252" i="7"/>
  <c r="H13251" i="7" a="1"/>
  <c r="H13251" i="7" s="1"/>
  <c r="E13251" i="7"/>
  <c r="D13251" i="7"/>
  <c r="H13250" i="7" a="1"/>
  <c r="H13250" i="7" s="1"/>
  <c r="E13250" i="7"/>
  <c r="D13250" i="7"/>
  <c r="H13249" i="7" a="1"/>
  <c r="H13249" i="7" s="1"/>
  <c r="E13249" i="7"/>
  <c r="D13249" i="7"/>
  <c r="H13248" i="7" a="1"/>
  <c r="H13248" i="7" s="1"/>
  <c r="E13248" i="7"/>
  <c r="D13248" i="7"/>
  <c r="H13247" i="7" a="1"/>
  <c r="H13247" i="7" s="1"/>
  <c r="E13247" i="7"/>
  <c r="D13247" i="7"/>
  <c r="H13246" i="7" l="1" a="1"/>
  <c r="H13246" i="7" s="1"/>
  <c r="E13246" i="7"/>
  <c r="D13246" i="7"/>
  <c r="H13245" i="7" a="1"/>
  <c r="H13245" i="7" s="1"/>
  <c r="E13245" i="7"/>
  <c r="D13245" i="7"/>
  <c r="H13244" i="7" a="1"/>
  <c r="H13244" i="7" s="1"/>
  <c r="E13244" i="7"/>
  <c r="D13244" i="7"/>
  <c r="H13237" i="7" a="1"/>
  <c r="H13237" i="7" s="1"/>
  <c r="E13237" i="7"/>
  <c r="D13237" i="7"/>
  <c r="H13236" i="7" a="1"/>
  <c r="H13236" i="7" s="1"/>
  <c r="E13236" i="7"/>
  <c r="D13236" i="7"/>
  <c r="H13235" i="7" a="1"/>
  <c r="H13235" i="7" s="1"/>
  <c r="E13235" i="7"/>
  <c r="D13235" i="7"/>
  <c r="H13234" i="7" a="1"/>
  <c r="H13234" i="7" s="1"/>
  <c r="E13234" i="7"/>
  <c r="D13234" i="7"/>
  <c r="H13233" i="7" a="1"/>
  <c r="H13233" i="7" s="1"/>
  <c r="E13233" i="7"/>
  <c r="D13233" i="7"/>
  <c r="H13227" i="7" a="1"/>
  <c r="H13227" i="7" s="1"/>
  <c r="E13227" i="7"/>
  <c r="D13227" i="7"/>
  <c r="H13226" i="7" a="1"/>
  <c r="H13226" i="7" s="1"/>
  <c r="E13226" i="7"/>
  <c r="D13226" i="7"/>
  <c r="H13225" i="7" a="1"/>
  <c r="H13225" i="7" s="1"/>
  <c r="E13225" i="7"/>
  <c r="D13225" i="7"/>
  <c r="H13224" i="7" a="1"/>
  <c r="H13224" i="7" s="1"/>
  <c r="E13224" i="7"/>
  <c r="D13224" i="7"/>
  <c r="H13223" i="7" a="1"/>
  <c r="H13223" i="7" s="1"/>
  <c r="E13223" i="7"/>
  <c r="D13223" i="7"/>
  <c r="D13238" i="7"/>
  <c r="E13238" i="7"/>
  <c r="H13238" i="7" a="1"/>
  <c r="H13238" i="7" s="1"/>
  <c r="H13243" i="7" a="1"/>
  <c r="H13243" i="7" s="1"/>
  <c r="E13243" i="7"/>
  <c r="D13243" i="7"/>
  <c r="H13242" i="7" a="1"/>
  <c r="H13242" i="7" s="1"/>
  <c r="E13242" i="7"/>
  <c r="D13242" i="7"/>
  <c r="H13222" i="7" a="1"/>
  <c r="H13222" i="7" s="1"/>
  <c r="E13222" i="7"/>
  <c r="D13222" i="7"/>
  <c r="H13221" i="7" a="1"/>
  <c r="H13221" i="7" s="1"/>
  <c r="E13221" i="7"/>
  <c r="D13221" i="7"/>
  <c r="H13241" i="7" a="1"/>
  <c r="H13241" i="7" s="1"/>
  <c r="E13241" i="7"/>
  <c r="D13241" i="7"/>
  <c r="H13240" i="7" a="1"/>
  <c r="H13240" i="7" s="1"/>
  <c r="E13240" i="7"/>
  <c r="D13240" i="7"/>
  <c r="H13239" i="7" a="1"/>
  <c r="H13239" i="7" s="1"/>
  <c r="E13239" i="7"/>
  <c r="D13239" i="7"/>
  <c r="H13229" i="7" a="1"/>
  <c r="H13229" i="7" s="1"/>
  <c r="E13229" i="7"/>
  <c r="D13229" i="7"/>
  <c r="H13228" i="7" a="1"/>
  <c r="H13228" i="7" s="1"/>
  <c r="E13228" i="7"/>
  <c r="D13228" i="7"/>
  <c r="D13219" i="7"/>
  <c r="D13220" i="7"/>
  <c r="H13220" i="7" a="1"/>
  <c r="H13220" i="7" s="1"/>
  <c r="E13220" i="7"/>
  <c r="H13219" i="7" a="1"/>
  <c r="H13219" i="7" s="1"/>
  <c r="E13219" i="7"/>
  <c r="H13218" i="7" l="1" a="1"/>
  <c r="H13218" i="7" s="1"/>
  <c r="E13218" i="7"/>
  <c r="D13218" i="7"/>
  <c r="H13217" i="7" a="1"/>
  <c r="H13217" i="7" s="1"/>
  <c r="E13217" i="7"/>
  <c r="D13217" i="7"/>
  <c r="H13195" i="7" a="1"/>
  <c r="H13195" i="7" s="1"/>
  <c r="E13195" i="7"/>
  <c r="D13195" i="7"/>
  <c r="H13194" i="7" a="1"/>
  <c r="H13194" i="7" s="1"/>
  <c r="E13194" i="7"/>
  <c r="D13194" i="7"/>
  <c r="H13193" i="7" a="1"/>
  <c r="H13193" i="7" s="1"/>
  <c r="E13193" i="7"/>
  <c r="D13193" i="7"/>
  <c r="H13192" i="7" a="1"/>
  <c r="H13192" i="7" s="1"/>
  <c r="E13192" i="7"/>
  <c r="D13192" i="7"/>
  <c r="H13191" i="7" a="1"/>
  <c r="H13191" i="7" s="1"/>
  <c r="E13191" i="7"/>
  <c r="D13191" i="7"/>
  <c r="H13190" i="7" a="1"/>
  <c r="H13190" i="7" s="1"/>
  <c r="E13190" i="7"/>
  <c r="D13190" i="7"/>
  <c r="H13174" i="7" a="1"/>
  <c r="H13174" i="7" s="1"/>
  <c r="E13174" i="7"/>
  <c r="D13174" i="7"/>
  <c r="H13173" i="7" a="1"/>
  <c r="H13173" i="7" s="1"/>
  <c r="E13173" i="7"/>
  <c r="D13173" i="7"/>
  <c r="H13172" i="7" a="1"/>
  <c r="H13172" i="7" s="1"/>
  <c r="E13172" i="7"/>
  <c r="D13172" i="7"/>
  <c r="H13189" i="7" l="1" a="1"/>
  <c r="H13189" i="7" s="1"/>
  <c r="E13189" i="7"/>
  <c r="D13189" i="7"/>
  <c r="H13188" i="7" a="1"/>
  <c r="H13188" i="7" s="1"/>
  <c r="E13188" i="7"/>
  <c r="D13188" i="7"/>
  <c r="H13187" i="7" a="1"/>
  <c r="H13187" i="7" s="1"/>
  <c r="E13187" i="7"/>
  <c r="D13187" i="7"/>
  <c r="H13186" i="7" a="1"/>
  <c r="H13186" i="7" s="1"/>
  <c r="E13186" i="7"/>
  <c r="D13186" i="7"/>
  <c r="H13185" i="7" a="1"/>
  <c r="H13185" i="7" s="1"/>
  <c r="E13185" i="7"/>
  <c r="D13185" i="7"/>
  <c r="H13184" i="7" a="1"/>
  <c r="H13184" i="7" s="1"/>
  <c r="E13184" i="7"/>
  <c r="D13184" i="7"/>
  <c r="L13212" i="7" l="1"/>
  <c r="L13200" i="7"/>
  <c r="H13183" i="7" a="1"/>
  <c r="H13183" i="7" s="1"/>
  <c r="E13183" i="7"/>
  <c r="D13183" i="7"/>
  <c r="H13182" i="7" a="1"/>
  <c r="H13182" i="7" s="1"/>
  <c r="E13182" i="7"/>
  <c r="D13182" i="7"/>
  <c r="H13181" i="7" a="1"/>
  <c r="H13181" i="7" s="1"/>
  <c r="E13181" i="7"/>
  <c r="D13181" i="7"/>
  <c r="H13180" i="7" a="1"/>
  <c r="H13180" i="7" s="1"/>
  <c r="E13180" i="7"/>
  <c r="D13180" i="7"/>
  <c r="H13171" i="7" a="1"/>
  <c r="H13171" i="7" s="1"/>
  <c r="E13171" i="7"/>
  <c r="D13171" i="7"/>
  <c r="H13170" i="7" a="1"/>
  <c r="H13170" i="7" s="1"/>
  <c r="E13170" i="7"/>
  <c r="D13170" i="7"/>
  <c r="H13169" i="7" a="1"/>
  <c r="H13169" i="7" s="1"/>
  <c r="E13169" i="7"/>
  <c r="D13169" i="7"/>
  <c r="H13179" i="7" a="1"/>
  <c r="H13179" i="7" s="1"/>
  <c r="E13179" i="7"/>
  <c r="D13179" i="7"/>
  <c r="H13178" i="7" a="1"/>
  <c r="H13178" i="7" s="1"/>
  <c r="E13178" i="7"/>
  <c r="D13178" i="7"/>
  <c r="H13177" i="7" l="1" a="1"/>
  <c r="H13177" i="7" s="1"/>
  <c r="E13177" i="7"/>
  <c r="D13177" i="7"/>
  <c r="H13176" i="7" a="1"/>
  <c r="H13176" i="7" s="1"/>
  <c r="E13176" i="7"/>
  <c r="D13176" i="7"/>
  <c r="H13175" i="7" a="1"/>
  <c r="H13175" i="7" s="1"/>
  <c r="E13175" i="7"/>
  <c r="D13175" i="7"/>
  <c r="H13168" i="7" l="1" a="1"/>
  <c r="H13168" i="7" s="1"/>
  <c r="E13168" i="7"/>
  <c r="D13168" i="7"/>
  <c r="H13167" i="7" a="1"/>
  <c r="H13167" i="7" s="1"/>
  <c r="E13167" i="7"/>
  <c r="D13167" i="7"/>
  <c r="H13166" i="7" a="1"/>
  <c r="H13166" i="7" s="1"/>
  <c r="E13166" i="7"/>
  <c r="D13166" i="7"/>
  <c r="H13165" i="7" a="1"/>
  <c r="H13165" i="7" s="1"/>
  <c r="E13165" i="7"/>
  <c r="D13165" i="7"/>
  <c r="R269" i="58"/>
  <c r="P269" i="58"/>
  <c r="N269" i="58"/>
  <c r="L269" i="58"/>
  <c r="J269" i="58"/>
  <c r="H269" i="58"/>
  <c r="F269" i="58"/>
  <c r="D269" i="58"/>
  <c r="R268" i="58"/>
  <c r="P268" i="58"/>
  <c r="N268" i="58"/>
  <c r="L268" i="58"/>
  <c r="J268" i="58"/>
  <c r="H268" i="58"/>
  <c r="F268" i="58"/>
  <c r="D268" i="58"/>
  <c r="R267" i="58"/>
  <c r="P267" i="58"/>
  <c r="N267" i="58"/>
  <c r="L267" i="58"/>
  <c r="J267" i="58"/>
  <c r="H267" i="58"/>
  <c r="F267" i="58"/>
  <c r="D267" i="58"/>
  <c r="R266" i="58"/>
  <c r="P266" i="58"/>
  <c r="N266" i="58"/>
  <c r="L266" i="58"/>
  <c r="J266" i="58"/>
  <c r="H266" i="58"/>
  <c r="F266" i="58"/>
  <c r="D266" i="58"/>
  <c r="R265" i="58"/>
  <c r="P265" i="58"/>
  <c r="N265" i="58"/>
  <c r="L265" i="58"/>
  <c r="J265" i="58"/>
  <c r="H265" i="58"/>
  <c r="F265" i="58"/>
  <c r="D265" i="58"/>
  <c r="R264" i="58"/>
  <c r="P264" i="58"/>
  <c r="N264" i="58"/>
  <c r="L264" i="58"/>
  <c r="J264" i="58"/>
  <c r="H264" i="58"/>
  <c r="F264" i="58"/>
  <c r="D264" i="58"/>
  <c r="R263" i="58"/>
  <c r="P263" i="58"/>
  <c r="N263" i="58"/>
  <c r="L263" i="58"/>
  <c r="J263" i="58"/>
  <c r="H263" i="58"/>
  <c r="F263" i="58"/>
  <c r="D263" i="58"/>
  <c r="H13216" i="7" l="1" a="1"/>
  <c r="H13216" i="7" s="1"/>
  <c r="E13216" i="7"/>
  <c r="D13216" i="7"/>
  <c r="K13215" i="7"/>
  <c r="L13216" i="7" s="1"/>
  <c r="H13215" i="7" a="1"/>
  <c r="H13215" i="7" s="1"/>
  <c r="E13215" i="7"/>
  <c r="D13215" i="7"/>
  <c r="H13214" i="7" a="1"/>
  <c r="H13214" i="7" s="1"/>
  <c r="E13214" i="7"/>
  <c r="D13214" i="7"/>
  <c r="K13213" i="7"/>
  <c r="L13214" i="7" s="1"/>
  <c r="H13213" i="7" a="1"/>
  <c r="H13213" i="7" s="1"/>
  <c r="E13213" i="7"/>
  <c r="D13213" i="7"/>
  <c r="H13212" i="7" a="1"/>
  <c r="H13212" i="7" s="1"/>
  <c r="E13212" i="7"/>
  <c r="D13212" i="7"/>
  <c r="H13211" i="7" a="1"/>
  <c r="H13211" i="7" s="1"/>
  <c r="E13211" i="7"/>
  <c r="D13211" i="7"/>
  <c r="L13210" i="7"/>
  <c r="H13210" i="7" a="1"/>
  <c r="H13210" i="7" s="1"/>
  <c r="E13210" i="7"/>
  <c r="D13210" i="7"/>
  <c r="H13209" i="7" a="1"/>
  <c r="H13209" i="7" s="1"/>
  <c r="E13209" i="7"/>
  <c r="D13209" i="7"/>
  <c r="L13208" i="7"/>
  <c r="H13208" i="7" a="1"/>
  <c r="H13208" i="7" s="1"/>
  <c r="E13208" i="7"/>
  <c r="D13208" i="7"/>
  <c r="H13207" i="7" a="1"/>
  <c r="H13207" i="7" s="1"/>
  <c r="E13207" i="7"/>
  <c r="D13207" i="7"/>
  <c r="H13206" i="7" a="1"/>
  <c r="H13206" i="7" s="1"/>
  <c r="E13206" i="7"/>
  <c r="D13206" i="7"/>
  <c r="H13205" i="7" a="1"/>
  <c r="H13205" i="7" s="1"/>
  <c r="E13205" i="7"/>
  <c r="D13205" i="7"/>
  <c r="L13204" i="7"/>
  <c r="H13204" i="7" a="1"/>
  <c r="H13204" i="7" s="1"/>
  <c r="E13204" i="7"/>
  <c r="D13204" i="7"/>
  <c r="H13203" i="7" a="1"/>
  <c r="H13203" i="7" s="1"/>
  <c r="E13203" i="7"/>
  <c r="D13203" i="7"/>
  <c r="L13202" i="7"/>
  <c r="H13202" i="7" a="1"/>
  <c r="H13202" i="7" s="1"/>
  <c r="E13202" i="7"/>
  <c r="D13202" i="7"/>
  <c r="H13201" i="7" a="1"/>
  <c r="H13201" i="7" s="1"/>
  <c r="E13201" i="7"/>
  <c r="D13201" i="7"/>
  <c r="H13200" i="7" a="1"/>
  <c r="H13200" i="7" s="1"/>
  <c r="E13200" i="7"/>
  <c r="D13200" i="7"/>
  <c r="H13199" i="7" a="1"/>
  <c r="H13199" i="7" s="1"/>
  <c r="E13199" i="7"/>
  <c r="D13199" i="7"/>
  <c r="D256" i="58"/>
  <c r="D257" i="58"/>
  <c r="D258" i="58"/>
  <c r="D259" i="58"/>
  <c r="D260" i="58"/>
  <c r="D261" i="58"/>
  <c r="D262" i="58"/>
  <c r="R262" i="58"/>
  <c r="P262" i="58"/>
  <c r="N262" i="58"/>
  <c r="L262" i="58"/>
  <c r="J262" i="58"/>
  <c r="H262" i="58"/>
  <c r="F262" i="58"/>
  <c r="R261" i="58"/>
  <c r="P261" i="58"/>
  <c r="N261" i="58"/>
  <c r="L261" i="58"/>
  <c r="J261" i="58"/>
  <c r="H261" i="58"/>
  <c r="F261" i="58"/>
  <c r="R260" i="58"/>
  <c r="P260" i="58"/>
  <c r="N260" i="58"/>
  <c r="L260" i="58"/>
  <c r="J260" i="58"/>
  <c r="H260" i="58"/>
  <c r="F260" i="58"/>
  <c r="R259" i="58"/>
  <c r="P259" i="58"/>
  <c r="N259" i="58"/>
  <c r="L259" i="58"/>
  <c r="J259" i="58"/>
  <c r="H259" i="58"/>
  <c r="F259" i="58"/>
  <c r="R258" i="58"/>
  <c r="P258" i="58"/>
  <c r="N258" i="58"/>
  <c r="L258" i="58"/>
  <c r="J258" i="58"/>
  <c r="H258" i="58"/>
  <c r="F258" i="58"/>
  <c r="R257" i="58"/>
  <c r="P257" i="58"/>
  <c r="N257" i="58"/>
  <c r="L257" i="58"/>
  <c r="J257" i="58"/>
  <c r="H257" i="58"/>
  <c r="F257" i="58"/>
  <c r="R256" i="58"/>
  <c r="P256" i="58"/>
  <c r="N256" i="58"/>
  <c r="L256" i="58"/>
  <c r="J256" i="58"/>
  <c r="H256" i="58"/>
  <c r="F256" i="58"/>
  <c r="H13150" i="7" a="1"/>
  <c r="H13150" i="7" s="1"/>
  <c r="E13150" i="7"/>
  <c r="D13150" i="7"/>
  <c r="H13149" i="7" a="1"/>
  <c r="H13149" i="7" s="1"/>
  <c r="E13149" i="7"/>
  <c r="D13149" i="7"/>
  <c r="H13148" i="7" a="1"/>
  <c r="H13148" i="7" s="1"/>
  <c r="E13148" i="7"/>
  <c r="D13148" i="7"/>
  <c r="H13116" i="7" a="1"/>
  <c r="H13116" i="7" s="1"/>
  <c r="E13116" i="7"/>
  <c r="D13116" i="7"/>
  <c r="H13115" i="7" a="1"/>
  <c r="H13115" i="7" s="1"/>
  <c r="E13115" i="7"/>
  <c r="D13115" i="7"/>
  <c r="H13114" i="7" l="1" a="1"/>
  <c r="H13114" i="7" s="1"/>
  <c r="E13114" i="7"/>
  <c r="D13114" i="7"/>
  <c r="H13113" i="7" a="1"/>
  <c r="H13113" i="7" s="1"/>
  <c r="E13113" i="7"/>
  <c r="D13113" i="7"/>
  <c r="H13164" i="7" a="1"/>
  <c r="H13164" i="7" s="1"/>
  <c r="E13164" i="7"/>
  <c r="D13164" i="7"/>
  <c r="H13163" i="7" a="1"/>
  <c r="H13163" i="7" s="1"/>
  <c r="E13163" i="7"/>
  <c r="D13163" i="7"/>
  <c r="H13147" i="7" a="1"/>
  <c r="H13147" i="7" s="1"/>
  <c r="E13147" i="7"/>
  <c r="D13147" i="7"/>
  <c r="H13146" i="7" a="1"/>
  <c r="H13146" i="7" s="1"/>
  <c r="E13146" i="7"/>
  <c r="D13146" i="7"/>
  <c r="H13162" i="7" a="1"/>
  <c r="H13162" i="7" s="1"/>
  <c r="E13162" i="7"/>
  <c r="D13162" i="7"/>
  <c r="H13161" i="7" a="1"/>
  <c r="H13161" i="7" s="1"/>
  <c r="E13161" i="7"/>
  <c r="D13161" i="7"/>
  <c r="H13160" i="7" a="1"/>
  <c r="H13160" i="7" s="1"/>
  <c r="E13160" i="7"/>
  <c r="D13160" i="7"/>
  <c r="H13159" i="7" a="1"/>
  <c r="H13159" i="7" s="1"/>
  <c r="E13159" i="7"/>
  <c r="D13159" i="7"/>
  <c r="H13158" i="7" a="1"/>
  <c r="H13158" i="7" s="1"/>
  <c r="E13158" i="7"/>
  <c r="D13158" i="7"/>
  <c r="H13157" i="7" a="1"/>
  <c r="H13157" i="7" s="1"/>
  <c r="E13157" i="7"/>
  <c r="D13157" i="7"/>
  <c r="H13156" i="7" a="1"/>
  <c r="H13156" i="7" s="1"/>
  <c r="E13156" i="7"/>
  <c r="D13156" i="7"/>
  <c r="H13155" i="7" a="1"/>
  <c r="H13155" i="7" s="1"/>
  <c r="E13155" i="7"/>
  <c r="D13155" i="7"/>
  <c r="H13154" i="7" a="1"/>
  <c r="H13154" i="7" s="1"/>
  <c r="E13154" i="7"/>
  <c r="D13154" i="7"/>
  <c r="H13145" i="7" a="1"/>
  <c r="H13145" i="7" s="1"/>
  <c r="E13145" i="7"/>
  <c r="D13145" i="7"/>
  <c r="H13144" i="7" a="1"/>
  <c r="H13144" i="7" s="1"/>
  <c r="E13144" i="7"/>
  <c r="D13144" i="7"/>
  <c r="H13143" i="7" a="1"/>
  <c r="H13143" i="7" s="1"/>
  <c r="E13143" i="7"/>
  <c r="D13143" i="7"/>
  <c r="H13142" i="7" a="1"/>
  <c r="H13142" i="7" s="1"/>
  <c r="E13142" i="7"/>
  <c r="D13142" i="7"/>
  <c r="H13141" i="7" a="1"/>
  <c r="H13141" i="7" s="1"/>
  <c r="E13141" i="7"/>
  <c r="D13141" i="7"/>
  <c r="H13153" i="7" l="1" a="1"/>
  <c r="H13153" i="7" s="1"/>
  <c r="E13153" i="7"/>
  <c r="D13153" i="7"/>
  <c r="H13152" i="7" a="1"/>
  <c r="H13152" i="7" s="1"/>
  <c r="E13152" i="7"/>
  <c r="D13152" i="7"/>
  <c r="H13151" i="7" a="1"/>
  <c r="H13151" i="7" s="1"/>
  <c r="E13151" i="7"/>
  <c r="D13151" i="7"/>
  <c r="H13140" i="7" a="1"/>
  <c r="H13140" i="7" s="1"/>
  <c r="E13140" i="7"/>
  <c r="D13140" i="7"/>
  <c r="H13139" i="7" a="1"/>
  <c r="H13139" i="7" s="1"/>
  <c r="E13139" i="7"/>
  <c r="D13139" i="7"/>
  <c r="H13138" i="7" a="1"/>
  <c r="H13138" i="7" s="1"/>
  <c r="E13138" i="7"/>
  <c r="D13138" i="7"/>
  <c r="H13137" i="7" a="1"/>
  <c r="H13137" i="7" s="1"/>
  <c r="E13137" i="7"/>
  <c r="D13137" i="7"/>
  <c r="H13136" i="7" a="1"/>
  <c r="H13136" i="7" s="1"/>
  <c r="E13136" i="7"/>
  <c r="D13136" i="7"/>
  <c r="H13135" i="7" a="1"/>
  <c r="H13135" i="7" s="1"/>
  <c r="E13135" i="7"/>
  <c r="D13135" i="7"/>
  <c r="H13109" i="7" l="1" a="1"/>
  <c r="H13109" i="7" s="1"/>
  <c r="E13109" i="7"/>
  <c r="D13109" i="7"/>
  <c r="H13108" i="7" a="1"/>
  <c r="H13108" i="7" s="1"/>
  <c r="E13108" i="7"/>
  <c r="D13108" i="7"/>
  <c r="H13107" i="7" a="1"/>
  <c r="H13107" i="7" s="1"/>
  <c r="E13107" i="7"/>
  <c r="D13107" i="7"/>
  <c r="H13106" i="7" a="1"/>
  <c r="H13106" i="7" s="1"/>
  <c r="E13106" i="7"/>
  <c r="D13106" i="7"/>
  <c r="H13105" i="7" a="1"/>
  <c r="H13105" i="7" s="1"/>
  <c r="E13105" i="7"/>
  <c r="D13105" i="7"/>
  <c r="H13104" i="7" a="1"/>
  <c r="H13104" i="7" s="1"/>
  <c r="E13104" i="7"/>
  <c r="D13104" i="7"/>
  <c r="H13103" i="7" a="1"/>
  <c r="H13103" i="7" s="1"/>
  <c r="E13103" i="7"/>
  <c r="D13103" i="7"/>
  <c r="H13102" i="7" a="1"/>
  <c r="H13102" i="7" s="1"/>
  <c r="E13102" i="7"/>
  <c r="D13102" i="7"/>
  <c r="H13134" i="7" l="1" a="1"/>
  <c r="H13134" i="7" s="1"/>
  <c r="E13134" i="7"/>
  <c r="D13134" i="7"/>
  <c r="K13133" i="7"/>
  <c r="L13134" i="7" s="1"/>
  <c r="H13133" i="7" a="1"/>
  <c r="H13133" i="7" s="1"/>
  <c r="E13133" i="7"/>
  <c r="D13133" i="7"/>
  <c r="H13132" i="7" a="1"/>
  <c r="H13132" i="7" s="1"/>
  <c r="E13132" i="7"/>
  <c r="D13132" i="7"/>
  <c r="K13131" i="7"/>
  <c r="L13132" i="7" s="1"/>
  <c r="H13131" i="7" a="1"/>
  <c r="H13131" i="7" s="1"/>
  <c r="E13131" i="7"/>
  <c r="D13131" i="7"/>
  <c r="H13130" i="7" a="1"/>
  <c r="H13130" i="7" s="1"/>
  <c r="E13130" i="7"/>
  <c r="D13130" i="7"/>
  <c r="H13129" i="7" a="1"/>
  <c r="H13129" i="7" s="1"/>
  <c r="E13129" i="7"/>
  <c r="D13129" i="7"/>
  <c r="L13128" i="7"/>
  <c r="H13128" i="7" a="1"/>
  <c r="H13128" i="7" s="1"/>
  <c r="E13128" i="7"/>
  <c r="D13128" i="7"/>
  <c r="H13127" i="7" a="1"/>
  <c r="H13127" i="7" s="1"/>
  <c r="E13127" i="7"/>
  <c r="D13127" i="7"/>
  <c r="L13126" i="7"/>
  <c r="H13126" i="7" a="1"/>
  <c r="H13126" i="7" s="1"/>
  <c r="E13126" i="7"/>
  <c r="D13126" i="7"/>
  <c r="H13125" i="7" a="1"/>
  <c r="H13125" i="7" s="1"/>
  <c r="E13125" i="7"/>
  <c r="D13125" i="7"/>
  <c r="H13124" i="7" a="1"/>
  <c r="H13124" i="7" s="1"/>
  <c r="E13124" i="7"/>
  <c r="D13124" i="7"/>
  <c r="H13123" i="7" a="1"/>
  <c r="H13123" i="7" s="1"/>
  <c r="E13123" i="7"/>
  <c r="D13123" i="7"/>
  <c r="L13122" i="7"/>
  <c r="H13122" i="7" a="1"/>
  <c r="H13122" i="7" s="1"/>
  <c r="E13122" i="7"/>
  <c r="D13122" i="7"/>
  <c r="H13121" i="7" a="1"/>
  <c r="H13121" i="7" s="1"/>
  <c r="E13121" i="7"/>
  <c r="D13121" i="7"/>
  <c r="L13120" i="7"/>
  <c r="H13120" i="7" a="1"/>
  <c r="H13120" i="7" s="1"/>
  <c r="E13120" i="7"/>
  <c r="D13120" i="7"/>
  <c r="H13119" i="7" a="1"/>
  <c r="H13119" i="7" s="1"/>
  <c r="E13119" i="7"/>
  <c r="D13119" i="7"/>
  <c r="H13118" i="7" a="1"/>
  <c r="H13118" i="7" s="1"/>
  <c r="E13118" i="7"/>
  <c r="D13118" i="7"/>
  <c r="H13117" i="7" a="1"/>
  <c r="H13117" i="7" s="1"/>
  <c r="E13117" i="7"/>
  <c r="D13117" i="7"/>
  <c r="D249" i="58"/>
  <c r="D250" i="58"/>
  <c r="D251" i="58"/>
  <c r="D252" i="58"/>
  <c r="D253" i="58"/>
  <c r="D254" i="58"/>
  <c r="D255" i="58"/>
  <c r="F249" i="58"/>
  <c r="F250" i="58"/>
  <c r="F251" i="58"/>
  <c r="F252" i="58"/>
  <c r="F253" i="58"/>
  <c r="F254" i="58"/>
  <c r="F255" i="58"/>
  <c r="R255" i="58"/>
  <c r="P255" i="58"/>
  <c r="N255" i="58"/>
  <c r="L255" i="58"/>
  <c r="J255" i="58"/>
  <c r="H255" i="58"/>
  <c r="R254" i="58"/>
  <c r="P254" i="58"/>
  <c r="N254" i="58"/>
  <c r="L254" i="58"/>
  <c r="J254" i="58"/>
  <c r="H254" i="58"/>
  <c r="R253" i="58"/>
  <c r="P253" i="58"/>
  <c r="N253" i="58"/>
  <c r="L253" i="58"/>
  <c r="J253" i="58"/>
  <c r="H253" i="58"/>
  <c r="R252" i="58"/>
  <c r="P252" i="58"/>
  <c r="N252" i="58"/>
  <c r="L252" i="58"/>
  <c r="J252" i="58"/>
  <c r="H252" i="58"/>
  <c r="R251" i="58"/>
  <c r="P251" i="58"/>
  <c r="N251" i="58"/>
  <c r="L251" i="58"/>
  <c r="J251" i="58"/>
  <c r="H251" i="58"/>
  <c r="R250" i="58"/>
  <c r="P250" i="58"/>
  <c r="N250" i="58"/>
  <c r="L250" i="58"/>
  <c r="J250" i="58"/>
  <c r="H250" i="58"/>
  <c r="R249" i="58"/>
  <c r="P249" i="58"/>
  <c r="N249" i="58"/>
  <c r="L249" i="58"/>
  <c r="J249" i="58"/>
  <c r="H249" i="58"/>
  <c r="H13101" i="7" l="1" a="1"/>
  <c r="H13101" i="7" s="1"/>
  <c r="E13101" i="7"/>
  <c r="D13101" i="7"/>
  <c r="H13100" i="7" a="1"/>
  <c r="H13100" i="7" s="1"/>
  <c r="E13100" i="7"/>
  <c r="D13100" i="7"/>
  <c r="H13059" i="7" a="1"/>
  <c r="H13059" i="7" s="1"/>
  <c r="E13059" i="7"/>
  <c r="D13059" i="7"/>
  <c r="H13058" i="7" a="1"/>
  <c r="H13058" i="7" s="1"/>
  <c r="E13058" i="7"/>
  <c r="D13058" i="7"/>
  <c r="H13057" i="7" a="1"/>
  <c r="H13057" i="7" s="1"/>
  <c r="E13057" i="7"/>
  <c r="D13057" i="7"/>
  <c r="H13056" i="7" a="1"/>
  <c r="H13056" i="7" s="1"/>
  <c r="E13056" i="7"/>
  <c r="D13056" i="7"/>
  <c r="H13096" i="7" a="1"/>
  <c r="H13096" i="7" s="1"/>
  <c r="E13096" i="7"/>
  <c r="D13096" i="7"/>
  <c r="H13095" i="7" a="1"/>
  <c r="H13095" i="7" s="1"/>
  <c r="E13095" i="7"/>
  <c r="D13095" i="7"/>
  <c r="H13091" i="7" a="1"/>
  <c r="H13091" i="7" s="1"/>
  <c r="E13091" i="7"/>
  <c r="D13091" i="7"/>
  <c r="H13090" i="7" a="1"/>
  <c r="H13090" i="7" s="1"/>
  <c r="E13090" i="7"/>
  <c r="D13090" i="7"/>
  <c r="H13089" i="7" a="1"/>
  <c r="H13089" i="7" s="1"/>
  <c r="E13089" i="7"/>
  <c r="D13089" i="7"/>
  <c r="H13088" i="7" a="1"/>
  <c r="H13088" i="7" s="1"/>
  <c r="E13088" i="7"/>
  <c r="D13088" i="7"/>
  <c r="H13087" i="7" a="1"/>
  <c r="H13087" i="7" s="1"/>
  <c r="E13087" i="7"/>
  <c r="D13087" i="7"/>
  <c r="H13086" i="7" a="1"/>
  <c r="H13086" i="7" s="1"/>
  <c r="E13086" i="7"/>
  <c r="D13086" i="7"/>
  <c r="H13099" i="7" a="1"/>
  <c r="H13099" i="7" s="1"/>
  <c r="E13099" i="7"/>
  <c r="D13099" i="7"/>
  <c r="H13098" i="7" a="1"/>
  <c r="H13098" i="7" s="1"/>
  <c r="E13098" i="7"/>
  <c r="D13098" i="7"/>
  <c r="H13097" i="7" a="1"/>
  <c r="H13097" i="7" s="1"/>
  <c r="E13097" i="7"/>
  <c r="D13097" i="7"/>
  <c r="H13094" i="7" a="1"/>
  <c r="H13094" i="7" s="1"/>
  <c r="E13094" i="7"/>
  <c r="D13094" i="7"/>
  <c r="H13093" i="7" a="1"/>
  <c r="H13093" i="7" s="1"/>
  <c r="E13093" i="7"/>
  <c r="D13093" i="7"/>
  <c r="H13092" i="7" a="1"/>
  <c r="H13092" i="7" s="1"/>
  <c r="E13092" i="7"/>
  <c r="D13092" i="7"/>
  <c r="H13085" i="7" a="1"/>
  <c r="H13085" i="7" s="1"/>
  <c r="E13085" i="7"/>
  <c r="D13085" i="7"/>
  <c r="H13084" i="7" a="1"/>
  <c r="H13084" i="7" s="1"/>
  <c r="E13084" i="7"/>
  <c r="D13084" i="7"/>
  <c r="H13083" i="7" a="1"/>
  <c r="H13083" i="7" s="1"/>
  <c r="E13083" i="7"/>
  <c r="D13083" i="7"/>
  <c r="H13082" i="7" a="1"/>
  <c r="H13082" i="7" s="1"/>
  <c r="E13082" i="7"/>
  <c r="D13082" i="7"/>
  <c r="H13081" i="7" a="1"/>
  <c r="H13081" i="7" s="1"/>
  <c r="E13081" i="7"/>
  <c r="D13081" i="7"/>
  <c r="H13080" i="7" a="1"/>
  <c r="H13080" i="7" s="1"/>
  <c r="E13080" i="7"/>
  <c r="D13080" i="7"/>
  <c r="D13110" i="7"/>
  <c r="E13110" i="7"/>
  <c r="H13110" i="7" a="1"/>
  <c r="H13110" i="7" s="1"/>
  <c r="H13112" i="7" l="1" a="1"/>
  <c r="H13112" i="7" s="1"/>
  <c r="E13112" i="7"/>
  <c r="D13112" i="7"/>
  <c r="H13111" i="7" a="1"/>
  <c r="H13111" i="7" s="1"/>
  <c r="E13111" i="7"/>
  <c r="D13111" i="7"/>
  <c r="H13079" i="7" a="1"/>
  <c r="H13079" i="7" s="1"/>
  <c r="E13079" i="7"/>
  <c r="D13079" i="7"/>
  <c r="H13078" i="7" a="1"/>
  <c r="H13078" i="7" s="1"/>
  <c r="E13078" i="7"/>
  <c r="D13078" i="7"/>
  <c r="H13055" i="7" a="1"/>
  <c r="H13055" i="7" s="1"/>
  <c r="E13055" i="7"/>
  <c r="D13055" i="7"/>
  <c r="H13054" i="7" a="1"/>
  <c r="H13054" i="7" s="1"/>
  <c r="E13054" i="7"/>
  <c r="D13054" i="7"/>
  <c r="H13039" i="7" a="1"/>
  <c r="H13039" i="7" s="1"/>
  <c r="E13039" i="7"/>
  <c r="D13039" i="7"/>
  <c r="H13038" i="7" a="1"/>
  <c r="H13038" i="7" s="1"/>
  <c r="E13038" i="7"/>
  <c r="D13038" i="7"/>
  <c r="H13037" i="7" a="1"/>
  <c r="H13037" i="7" s="1"/>
  <c r="E13037" i="7"/>
  <c r="D13037" i="7"/>
  <c r="H13077" i="7" l="1" a="1"/>
  <c r="H13077" i="7" s="1"/>
  <c r="E13077" i="7"/>
  <c r="D13077" i="7"/>
  <c r="K13076" i="7"/>
  <c r="L13077" i="7" s="1"/>
  <c r="H13076" i="7" a="1"/>
  <c r="H13076" i="7" s="1"/>
  <c r="E13076" i="7"/>
  <c r="D13076" i="7"/>
  <c r="H13075" i="7" a="1"/>
  <c r="H13075" i="7" s="1"/>
  <c r="E13075" i="7"/>
  <c r="D13075" i="7"/>
  <c r="K13074" i="7"/>
  <c r="L13075" i="7" s="1"/>
  <c r="H13074" i="7" a="1"/>
  <c r="H13074" i="7" s="1"/>
  <c r="E13074" i="7"/>
  <c r="D13074" i="7"/>
  <c r="H13073" i="7" a="1"/>
  <c r="H13073" i="7" s="1"/>
  <c r="E13073" i="7"/>
  <c r="D13073" i="7"/>
  <c r="H13072" i="7" a="1"/>
  <c r="H13072" i="7" s="1"/>
  <c r="E13072" i="7"/>
  <c r="D13072" i="7"/>
  <c r="L13071" i="7"/>
  <c r="H13071" i="7" a="1"/>
  <c r="H13071" i="7" s="1"/>
  <c r="E13071" i="7"/>
  <c r="D13071" i="7"/>
  <c r="H13070" i="7" a="1"/>
  <c r="H13070" i="7" s="1"/>
  <c r="E13070" i="7"/>
  <c r="D13070" i="7"/>
  <c r="L13069" i="7"/>
  <c r="H13069" i="7" a="1"/>
  <c r="H13069" i="7" s="1"/>
  <c r="E13069" i="7"/>
  <c r="D13069" i="7"/>
  <c r="H13068" i="7" a="1"/>
  <c r="H13068" i="7" s="1"/>
  <c r="E13068" i="7"/>
  <c r="D13068" i="7"/>
  <c r="H13067" i="7" a="1"/>
  <c r="H13067" i="7" s="1"/>
  <c r="E13067" i="7"/>
  <c r="D13067" i="7"/>
  <c r="H13066" i="7" a="1"/>
  <c r="H13066" i="7" s="1"/>
  <c r="E13066" i="7"/>
  <c r="D13066" i="7"/>
  <c r="L13065" i="7"/>
  <c r="H13065" i="7" a="1"/>
  <c r="H13065" i="7" s="1"/>
  <c r="E13065" i="7"/>
  <c r="D13065" i="7"/>
  <c r="H13064" i="7" a="1"/>
  <c r="H13064" i="7" s="1"/>
  <c r="E13064" i="7"/>
  <c r="D13064" i="7"/>
  <c r="L13063" i="7"/>
  <c r="H13063" i="7" a="1"/>
  <c r="H13063" i="7" s="1"/>
  <c r="E13063" i="7"/>
  <c r="D13063" i="7"/>
  <c r="H13062" i="7" a="1"/>
  <c r="H13062" i="7" s="1"/>
  <c r="E13062" i="7"/>
  <c r="D13062" i="7"/>
  <c r="H13061" i="7" a="1"/>
  <c r="H13061" i="7" s="1"/>
  <c r="E13061" i="7"/>
  <c r="D13061" i="7"/>
  <c r="H13060" i="7" a="1"/>
  <c r="H13060" i="7" s="1"/>
  <c r="E13060" i="7"/>
  <c r="D13060" i="7"/>
  <c r="D242" i="58"/>
  <c r="D243" i="58"/>
  <c r="D244" i="58"/>
  <c r="D245" i="58"/>
  <c r="D246" i="58"/>
  <c r="D247" i="58"/>
  <c r="D248" i="58"/>
  <c r="R248" i="58"/>
  <c r="P248" i="58"/>
  <c r="N248" i="58"/>
  <c r="L248" i="58"/>
  <c r="J248" i="58"/>
  <c r="H248" i="58"/>
  <c r="F248" i="58"/>
  <c r="R247" i="58"/>
  <c r="P247" i="58"/>
  <c r="N247" i="58"/>
  <c r="L247" i="58"/>
  <c r="J247" i="58"/>
  <c r="H247" i="58"/>
  <c r="F247" i="58"/>
  <c r="R246" i="58"/>
  <c r="P246" i="58"/>
  <c r="N246" i="58"/>
  <c r="L246" i="58"/>
  <c r="J246" i="58"/>
  <c r="H246" i="58"/>
  <c r="F246" i="58"/>
  <c r="R245" i="58"/>
  <c r="P245" i="58"/>
  <c r="N245" i="58"/>
  <c r="L245" i="58"/>
  <c r="J245" i="58"/>
  <c r="H245" i="58"/>
  <c r="F245" i="58"/>
  <c r="R244" i="58"/>
  <c r="P244" i="58"/>
  <c r="N244" i="58"/>
  <c r="L244" i="58"/>
  <c r="J244" i="58"/>
  <c r="H244" i="58"/>
  <c r="F244" i="58"/>
  <c r="R243" i="58"/>
  <c r="P243" i="58"/>
  <c r="N243" i="58"/>
  <c r="L243" i="58"/>
  <c r="J243" i="58"/>
  <c r="H243" i="58"/>
  <c r="F243" i="58"/>
  <c r="R242" i="58"/>
  <c r="P242" i="58"/>
  <c r="N242" i="58"/>
  <c r="L242" i="58"/>
  <c r="J242" i="58"/>
  <c r="H242" i="58"/>
  <c r="F242" i="58"/>
  <c r="H13036" i="7" a="1"/>
  <c r="H13036" i="7" s="1"/>
  <c r="E13036" i="7"/>
  <c r="D13036" i="7"/>
  <c r="E13035" i="7"/>
  <c r="D13035" i="7"/>
  <c r="H13034" i="7" a="1"/>
  <c r="H13034" i="7" s="1"/>
  <c r="E13034" i="7"/>
  <c r="D13034" i="7"/>
  <c r="H13033" i="7" a="1"/>
  <c r="H13033" i="7" s="1"/>
  <c r="E13033" i="7"/>
  <c r="D13033" i="7"/>
  <c r="H13032" i="7" a="1"/>
  <c r="H13032" i="7" s="1"/>
  <c r="E13032" i="7"/>
  <c r="D13032" i="7"/>
  <c r="H13031" i="7" a="1"/>
  <c r="H13031" i="7" s="1"/>
  <c r="E13031" i="7"/>
  <c r="D13031" i="7"/>
  <c r="H13053" i="7" a="1"/>
  <c r="H13053" i="7" s="1"/>
  <c r="E13053" i="7"/>
  <c r="D13053" i="7"/>
  <c r="H13052" i="7" a="1"/>
  <c r="H13052" i="7" s="1"/>
  <c r="E13052" i="7"/>
  <c r="D13052" i="7"/>
  <c r="H13051" i="7" a="1"/>
  <c r="H13051" i="7" s="1"/>
  <c r="E13051" i="7"/>
  <c r="D13051" i="7"/>
  <c r="H13050" i="7" a="1"/>
  <c r="H13050" i="7" s="1"/>
  <c r="E13050" i="7"/>
  <c r="D13050" i="7"/>
  <c r="H13049" i="7" a="1"/>
  <c r="H13049" i="7" s="1"/>
  <c r="E13049" i="7"/>
  <c r="D13049" i="7"/>
  <c r="H13048" i="7" a="1"/>
  <c r="H13048" i="7" s="1"/>
  <c r="E13048" i="7"/>
  <c r="D13048" i="7"/>
  <c r="H13047" i="7" a="1"/>
  <c r="H13047" i="7" s="1"/>
  <c r="E13047" i="7"/>
  <c r="D13047" i="7"/>
  <c r="H13046" i="7" a="1"/>
  <c r="H13046" i="7" s="1"/>
  <c r="E13046" i="7"/>
  <c r="D13046" i="7"/>
  <c r="H13045" i="7" a="1"/>
  <c r="H13045" i="7" s="1"/>
  <c r="E13045" i="7"/>
  <c r="D13045" i="7"/>
  <c r="D13040" i="7" l="1"/>
  <c r="E13040" i="7"/>
  <c r="H13040" i="7" a="1"/>
  <c r="H13040" i="7" s="1"/>
  <c r="D13041" i="7"/>
  <c r="E13041" i="7"/>
  <c r="H13041" i="7" a="1"/>
  <c r="H13041" i="7" s="1"/>
  <c r="D13042" i="7"/>
  <c r="E13042" i="7"/>
  <c r="H13042" i="7" a="1"/>
  <c r="H13042" i="7" s="1"/>
  <c r="D13043" i="7"/>
  <c r="E13043" i="7"/>
  <c r="H13043" i="7" a="1"/>
  <c r="H13043" i="7" s="1"/>
  <c r="D13044" i="7"/>
  <c r="E13044" i="7"/>
  <c r="H13044" i="7" a="1"/>
  <c r="H13044" i="7" s="1"/>
  <c r="H13030" i="7" a="1"/>
  <c r="H13030" i="7" s="1"/>
  <c r="E13030" i="7"/>
  <c r="D13030" i="7"/>
  <c r="K13029" i="7"/>
  <c r="L13030" i="7" s="1"/>
  <c r="H13029" i="7" a="1"/>
  <c r="H13029" i="7" s="1"/>
  <c r="E13029" i="7"/>
  <c r="D13029" i="7"/>
  <c r="H13028" i="7" a="1"/>
  <c r="H13028" i="7" s="1"/>
  <c r="E13028" i="7"/>
  <c r="D13028" i="7"/>
  <c r="K13027" i="7"/>
  <c r="L13028" i="7" s="1"/>
  <c r="H13027" i="7" a="1"/>
  <c r="H13027" i="7" s="1"/>
  <c r="E13027" i="7"/>
  <c r="D13027" i="7"/>
  <c r="H13026" i="7" a="1"/>
  <c r="H13026" i="7" s="1"/>
  <c r="E13026" i="7"/>
  <c r="D13026" i="7"/>
  <c r="H13025" i="7" a="1"/>
  <c r="H13025" i="7" s="1"/>
  <c r="E13025" i="7"/>
  <c r="D13025" i="7"/>
  <c r="L13024" i="7"/>
  <c r="H13024" i="7" a="1"/>
  <c r="H13024" i="7" s="1"/>
  <c r="E13024" i="7"/>
  <c r="D13024" i="7"/>
  <c r="H13023" i="7" a="1"/>
  <c r="H13023" i="7" s="1"/>
  <c r="E13023" i="7"/>
  <c r="D13023" i="7"/>
  <c r="L13022" i="7"/>
  <c r="H13022" i="7" a="1"/>
  <c r="H13022" i="7" s="1"/>
  <c r="E13022" i="7"/>
  <c r="D13022" i="7"/>
  <c r="H13021" i="7" a="1"/>
  <c r="H13021" i="7" s="1"/>
  <c r="E13021" i="7"/>
  <c r="D13021" i="7"/>
  <c r="H13020" i="7" a="1"/>
  <c r="H13020" i="7" s="1"/>
  <c r="E13020" i="7"/>
  <c r="D13020" i="7"/>
  <c r="H13019" i="7" a="1"/>
  <c r="H13019" i="7" s="1"/>
  <c r="E13019" i="7"/>
  <c r="D13019" i="7"/>
  <c r="L13018" i="7"/>
  <c r="H13018" i="7" a="1"/>
  <c r="H13018" i="7" s="1"/>
  <c r="E13018" i="7"/>
  <c r="D13018" i="7"/>
  <c r="H13017" i="7" a="1"/>
  <c r="H13017" i="7" s="1"/>
  <c r="E13017" i="7"/>
  <c r="D13017" i="7"/>
  <c r="L13016" i="7"/>
  <c r="H13016" i="7" a="1"/>
  <c r="H13016" i="7" s="1"/>
  <c r="E13016" i="7"/>
  <c r="D13016" i="7"/>
  <c r="H13015" i="7" a="1"/>
  <c r="H13015" i="7" s="1"/>
  <c r="E13015" i="7"/>
  <c r="D13015" i="7"/>
  <c r="H13014" i="7" a="1"/>
  <c r="H13014" i="7" s="1"/>
  <c r="E13014" i="7"/>
  <c r="D13014" i="7"/>
  <c r="H13013" i="7" a="1"/>
  <c r="H13013" i="7" s="1"/>
  <c r="E13013" i="7"/>
  <c r="D13013" i="7"/>
  <c r="F235" i="58"/>
  <c r="F236" i="58"/>
  <c r="F237" i="58"/>
  <c r="F238" i="58"/>
  <c r="F239" i="58"/>
  <c r="F240" i="58"/>
  <c r="F241" i="58"/>
  <c r="D235" i="58"/>
  <c r="D236" i="58"/>
  <c r="D237" i="58"/>
  <c r="D238" i="58"/>
  <c r="D239" i="58"/>
  <c r="D240" i="58"/>
  <c r="D241" i="58"/>
  <c r="H235" i="58"/>
  <c r="H236" i="58"/>
  <c r="H237" i="58"/>
  <c r="H238" i="58"/>
  <c r="H239" i="58"/>
  <c r="H240" i="58"/>
  <c r="H241" i="58"/>
  <c r="R241" i="58"/>
  <c r="P241" i="58"/>
  <c r="N241" i="58"/>
  <c r="L241" i="58"/>
  <c r="J241" i="58"/>
  <c r="R240" i="58"/>
  <c r="P240" i="58"/>
  <c r="N240" i="58"/>
  <c r="L240" i="58"/>
  <c r="J240" i="58"/>
  <c r="R239" i="58"/>
  <c r="P239" i="58"/>
  <c r="N239" i="58"/>
  <c r="L239" i="58"/>
  <c r="J239" i="58"/>
  <c r="R238" i="58"/>
  <c r="P238" i="58"/>
  <c r="N238" i="58"/>
  <c r="L238" i="58"/>
  <c r="J238" i="58"/>
  <c r="R237" i="58"/>
  <c r="P237" i="58"/>
  <c r="N237" i="58"/>
  <c r="L237" i="58"/>
  <c r="J237" i="58"/>
  <c r="R236" i="58"/>
  <c r="P236" i="58"/>
  <c r="N236" i="58"/>
  <c r="L236" i="58"/>
  <c r="J236" i="58"/>
  <c r="R235" i="58"/>
  <c r="P235" i="58"/>
  <c r="N235" i="58"/>
  <c r="L235" i="58"/>
  <c r="J235" i="58"/>
  <c r="H13012" i="7" a="1"/>
  <c r="H13012" i="7" s="1"/>
  <c r="E13012" i="7"/>
  <c r="D13012" i="7"/>
  <c r="H13011" i="7" a="1"/>
  <c r="H13011" i="7" s="1"/>
  <c r="E13011" i="7"/>
  <c r="D13011" i="7"/>
  <c r="H13010" i="7" a="1"/>
  <c r="H13010" i="7" s="1"/>
  <c r="E13010" i="7"/>
  <c r="D13010" i="7"/>
  <c r="H13009" i="7" a="1"/>
  <c r="H13009" i="7" s="1"/>
  <c r="E13009" i="7"/>
  <c r="D13009" i="7"/>
  <c r="H13008" i="7" a="1"/>
  <c r="H13008" i="7" s="1"/>
  <c r="E13008" i="7"/>
  <c r="D13008" i="7"/>
  <c r="H13007" i="7" a="1"/>
  <c r="H13007" i="7" s="1"/>
  <c r="E13007" i="7"/>
  <c r="D13007" i="7"/>
  <c r="H13006" i="7" l="1" a="1"/>
  <c r="H13006" i="7" s="1"/>
  <c r="E13006" i="7"/>
  <c r="D13006" i="7"/>
  <c r="H13005" i="7" a="1"/>
  <c r="H13005" i="7" s="1"/>
  <c r="E13005" i="7"/>
  <c r="D13005" i="7"/>
  <c r="E12954" i="7"/>
  <c r="D12954" i="7"/>
  <c r="E12953" i="7"/>
  <c r="D12953" i="7"/>
  <c r="H12982" i="7" a="1"/>
  <c r="H12982" i="7" s="1"/>
  <c r="E12982" i="7"/>
  <c r="D12982" i="7"/>
  <c r="H12981" i="7" a="1"/>
  <c r="H12981" i="7" s="1"/>
  <c r="E12981" i="7"/>
  <c r="D12981" i="7"/>
  <c r="H12980" i="7" a="1"/>
  <c r="H12980" i="7" s="1"/>
  <c r="E12980" i="7"/>
  <c r="D12980" i="7"/>
  <c r="H12979" i="7" a="1"/>
  <c r="H12979" i="7" s="1"/>
  <c r="E12979" i="7"/>
  <c r="D12979" i="7"/>
  <c r="H12935" i="7" a="1"/>
  <c r="H12935" i="7" s="1"/>
  <c r="E12935" i="7"/>
  <c r="D12935" i="7"/>
  <c r="H12934" i="7" a="1"/>
  <c r="H12934" i="7" s="1"/>
  <c r="E12934" i="7"/>
  <c r="D12934" i="7"/>
  <c r="H12968" i="7" a="1"/>
  <c r="H12968" i="7" s="1"/>
  <c r="E12968" i="7"/>
  <c r="D12968" i="7"/>
  <c r="H12967" i="7" a="1"/>
  <c r="H12967" i="7" s="1"/>
  <c r="E12967" i="7"/>
  <c r="D12967" i="7"/>
  <c r="H12971" i="7" a="1"/>
  <c r="H12971" i="7" s="1"/>
  <c r="E12971" i="7"/>
  <c r="D12971" i="7"/>
  <c r="H12970" i="7" a="1"/>
  <c r="H12970" i="7" s="1"/>
  <c r="E12970" i="7"/>
  <c r="D12970" i="7"/>
  <c r="H12969" i="7" a="1"/>
  <c r="H12969" i="7" s="1"/>
  <c r="E12969" i="7"/>
  <c r="D12969" i="7"/>
  <c r="H12966" i="7" a="1"/>
  <c r="H12966" i="7" s="1"/>
  <c r="E12966" i="7"/>
  <c r="D12966" i="7"/>
  <c r="H12965" i="7" a="1"/>
  <c r="H12965" i="7" s="1"/>
  <c r="E12965" i="7"/>
  <c r="D12965" i="7"/>
  <c r="H12964" i="7" a="1"/>
  <c r="H12964" i="7" s="1"/>
  <c r="E12964" i="7"/>
  <c r="D12964" i="7"/>
  <c r="H12963" i="7" a="1"/>
  <c r="H12963" i="7" s="1"/>
  <c r="E12963" i="7"/>
  <c r="D12963" i="7"/>
  <c r="H12962" i="7" a="1"/>
  <c r="H12962" i="7" s="1"/>
  <c r="E12962" i="7"/>
  <c r="D12962" i="7"/>
  <c r="H12961" i="7" a="1"/>
  <c r="H12961" i="7" s="1"/>
  <c r="E12961" i="7"/>
  <c r="D12961" i="7"/>
  <c r="H12960" i="7" a="1"/>
  <c r="H12960" i="7" s="1"/>
  <c r="E12960" i="7"/>
  <c r="D12960" i="7"/>
  <c r="H12959" i="7" a="1"/>
  <c r="H12959" i="7" s="1"/>
  <c r="E12959" i="7"/>
  <c r="D12959" i="7"/>
  <c r="H12958" i="7" a="1"/>
  <c r="H12958" i="7" s="1"/>
  <c r="E12958" i="7"/>
  <c r="D12958" i="7"/>
  <c r="H12986" i="7" l="1" a="1"/>
  <c r="H12986" i="7" s="1"/>
  <c r="E12986" i="7"/>
  <c r="D12986" i="7"/>
  <c r="H12985" i="7" a="1"/>
  <c r="H12985" i="7" s="1"/>
  <c r="E12985" i="7"/>
  <c r="D12985" i="7"/>
  <c r="H12973" i="7" a="1"/>
  <c r="H12973" i="7" s="1"/>
  <c r="E12973" i="7"/>
  <c r="D12973" i="7"/>
  <c r="H12972" i="7" a="1"/>
  <c r="H12972" i="7" s="1"/>
  <c r="E12972" i="7"/>
  <c r="D12972" i="7"/>
  <c r="H12957" i="7" a="1"/>
  <c r="H12957" i="7" s="1"/>
  <c r="E12957" i="7"/>
  <c r="D12957" i="7"/>
  <c r="H12956" i="7" a="1"/>
  <c r="H12956" i="7" s="1"/>
  <c r="E12956" i="7"/>
  <c r="D12956" i="7"/>
  <c r="H12933" i="7" a="1"/>
  <c r="H12933" i="7" s="1"/>
  <c r="E12933" i="7"/>
  <c r="D12933" i="7"/>
  <c r="H12932" i="7" a="1"/>
  <c r="H12932" i="7" s="1"/>
  <c r="E12932" i="7"/>
  <c r="D12932" i="7"/>
  <c r="H12905" i="7" a="1"/>
  <c r="H12905" i="7" s="1"/>
  <c r="E12905" i="7"/>
  <c r="D12905" i="7"/>
  <c r="H12904" i="7" a="1"/>
  <c r="H12904" i="7" s="1"/>
  <c r="E12904" i="7"/>
  <c r="D12904" i="7"/>
  <c r="H12984" i="7" a="1"/>
  <c r="H12984" i="7" s="1"/>
  <c r="E12984" i="7"/>
  <c r="D12984" i="7"/>
  <c r="H12983" i="7" a="1"/>
  <c r="H12983" i="7" s="1"/>
  <c r="E12983" i="7"/>
  <c r="D12983" i="7"/>
  <c r="H12975" i="7" a="1"/>
  <c r="H12975" i="7" s="1"/>
  <c r="E12975" i="7"/>
  <c r="D12975" i="7"/>
  <c r="H12974" i="7" a="1"/>
  <c r="H12974" i="7" s="1"/>
  <c r="E12974" i="7"/>
  <c r="D12974" i="7"/>
  <c r="H12955" i="7" a="1"/>
  <c r="H12955" i="7" s="1"/>
  <c r="E12955" i="7"/>
  <c r="D12955" i="7"/>
  <c r="H12952" i="7" a="1"/>
  <c r="H12952" i="7" s="1"/>
  <c r="E12952" i="7"/>
  <c r="D12952" i="7"/>
  <c r="H12948" i="7" a="1"/>
  <c r="H12948" i="7" s="1"/>
  <c r="E12948" i="7"/>
  <c r="D12948" i="7"/>
  <c r="H12947" i="7" a="1"/>
  <c r="H12947" i="7" s="1"/>
  <c r="E12947" i="7"/>
  <c r="D12947" i="7"/>
  <c r="H12946" i="7" a="1"/>
  <c r="H12946" i="7" s="1"/>
  <c r="E12946" i="7"/>
  <c r="D12946" i="7"/>
  <c r="H12945" i="7" a="1"/>
  <c r="H12945" i="7" s="1"/>
  <c r="E12945" i="7"/>
  <c r="D12945" i="7"/>
  <c r="H12944" i="7" a="1"/>
  <c r="H12944" i="7" s="1"/>
  <c r="E12944" i="7"/>
  <c r="D12944" i="7"/>
  <c r="H12943" i="7" a="1"/>
  <c r="H12943" i="7" s="1"/>
  <c r="E12943" i="7"/>
  <c r="D12943" i="7"/>
  <c r="H12942" i="7" a="1"/>
  <c r="H12942" i="7" s="1"/>
  <c r="E12942" i="7"/>
  <c r="D12942" i="7"/>
  <c r="H12941" i="7" a="1"/>
  <c r="H12941" i="7" s="1"/>
  <c r="E12941" i="7"/>
  <c r="D12941" i="7"/>
  <c r="H12940" i="7" a="1"/>
  <c r="H12940" i="7" s="1"/>
  <c r="E12940" i="7"/>
  <c r="D12940" i="7"/>
  <c r="H12939" i="7" a="1"/>
  <c r="H12939" i="7" s="1"/>
  <c r="E12939" i="7"/>
  <c r="D12939" i="7"/>
  <c r="H12931" i="7" a="1"/>
  <c r="H12931" i="7" s="1"/>
  <c r="E12931" i="7"/>
  <c r="D12931" i="7"/>
  <c r="H12930" i="7" a="1"/>
  <c r="H12930" i="7" s="1"/>
  <c r="E12930" i="7"/>
  <c r="D12930" i="7"/>
  <c r="H12978" i="7" a="1"/>
  <c r="H12978" i="7" s="1"/>
  <c r="E12978" i="7"/>
  <c r="D12978" i="7"/>
  <c r="H12977" i="7" a="1"/>
  <c r="H12977" i="7" s="1"/>
  <c r="E12977" i="7"/>
  <c r="D12977" i="7"/>
  <c r="H12976" i="7" a="1"/>
  <c r="H12976" i="7" s="1"/>
  <c r="E12976" i="7"/>
  <c r="D12976" i="7"/>
  <c r="D228" i="58"/>
  <c r="D229" i="58"/>
  <c r="D230" i="58"/>
  <c r="D231" i="58"/>
  <c r="D232" i="58"/>
  <c r="D233" i="58"/>
  <c r="D234" i="58"/>
  <c r="F228" i="58"/>
  <c r="F229" i="58"/>
  <c r="F230" i="58"/>
  <c r="F231" i="58"/>
  <c r="F232" i="58"/>
  <c r="F233" i="58"/>
  <c r="F234" i="58"/>
  <c r="H228" i="58"/>
  <c r="H229" i="58"/>
  <c r="H230" i="58"/>
  <c r="H231" i="58"/>
  <c r="H232" i="58"/>
  <c r="H233" i="58"/>
  <c r="H234" i="58"/>
  <c r="R234" i="58"/>
  <c r="P234" i="58"/>
  <c r="N234" i="58"/>
  <c r="L234" i="58"/>
  <c r="J234" i="58"/>
  <c r="R233" i="58"/>
  <c r="P233" i="58"/>
  <c r="N233" i="58"/>
  <c r="L233" i="58"/>
  <c r="J233" i="58"/>
  <c r="R232" i="58"/>
  <c r="P232" i="58"/>
  <c r="N232" i="58"/>
  <c r="L232" i="58"/>
  <c r="J232" i="58"/>
  <c r="R231" i="58"/>
  <c r="P231" i="58"/>
  <c r="N231" i="58"/>
  <c r="L231" i="58"/>
  <c r="J231" i="58"/>
  <c r="R230" i="58"/>
  <c r="P230" i="58"/>
  <c r="N230" i="58"/>
  <c r="L230" i="58"/>
  <c r="J230" i="58"/>
  <c r="R229" i="58"/>
  <c r="P229" i="58"/>
  <c r="N229" i="58"/>
  <c r="L229" i="58"/>
  <c r="J229" i="58"/>
  <c r="R228" i="58"/>
  <c r="P228" i="58"/>
  <c r="N228" i="58"/>
  <c r="L228" i="58"/>
  <c r="J228" i="58"/>
  <c r="H12929" i="7" a="1"/>
  <c r="H12929" i="7" s="1"/>
  <c r="E12929" i="7"/>
  <c r="D12929" i="7"/>
  <c r="H12928" i="7" a="1"/>
  <c r="H12928" i="7" s="1"/>
  <c r="E12928" i="7"/>
  <c r="D12928" i="7"/>
  <c r="H12927" i="7" a="1"/>
  <c r="H12927" i="7" s="1"/>
  <c r="E12927" i="7"/>
  <c r="D12927" i="7"/>
  <c r="H12926" i="7" a="1"/>
  <c r="H12926" i="7" s="1"/>
  <c r="E12926" i="7"/>
  <c r="D12926" i="7"/>
  <c r="H12925" i="7" a="1"/>
  <c r="H12925" i="7" s="1"/>
  <c r="E12925" i="7"/>
  <c r="D12925" i="7"/>
  <c r="H12924" i="7" a="1"/>
  <c r="H12924" i="7" s="1"/>
  <c r="E12924" i="7"/>
  <c r="D12924" i="7"/>
  <c r="H13004" i="7" l="1" a="1"/>
  <c r="H13004" i="7" s="1"/>
  <c r="E13004" i="7"/>
  <c r="D13004" i="7"/>
  <c r="K13003" i="7"/>
  <c r="L13004" i="7" s="1"/>
  <c r="H13003" i="7" a="1"/>
  <c r="H13003" i="7" s="1"/>
  <c r="E13003" i="7"/>
  <c r="D13003" i="7"/>
  <c r="H13002" i="7" a="1"/>
  <c r="H13002" i="7" s="1"/>
  <c r="E13002" i="7"/>
  <c r="D13002" i="7"/>
  <c r="K13001" i="7"/>
  <c r="L13002" i="7" s="1"/>
  <c r="H13001" i="7" a="1"/>
  <c r="H13001" i="7" s="1"/>
  <c r="E13001" i="7"/>
  <c r="D13001" i="7"/>
  <c r="H13000" i="7" a="1"/>
  <c r="H13000" i="7" s="1"/>
  <c r="E13000" i="7"/>
  <c r="D13000" i="7"/>
  <c r="H12999" i="7" a="1"/>
  <c r="H12999" i="7" s="1"/>
  <c r="E12999" i="7"/>
  <c r="D12999" i="7"/>
  <c r="L12998" i="7"/>
  <c r="H12998" i="7" a="1"/>
  <c r="H12998" i="7" s="1"/>
  <c r="E12998" i="7"/>
  <c r="D12998" i="7"/>
  <c r="H12997" i="7" a="1"/>
  <c r="H12997" i="7" s="1"/>
  <c r="E12997" i="7"/>
  <c r="D12997" i="7"/>
  <c r="L12996" i="7"/>
  <c r="H12996" i="7" a="1"/>
  <c r="H12996" i="7" s="1"/>
  <c r="E12996" i="7"/>
  <c r="D12996" i="7"/>
  <c r="H12995" i="7" a="1"/>
  <c r="H12995" i="7" s="1"/>
  <c r="E12995" i="7"/>
  <c r="D12995" i="7"/>
  <c r="H12994" i="7" a="1"/>
  <c r="H12994" i="7" s="1"/>
  <c r="E12994" i="7"/>
  <c r="D12994" i="7"/>
  <c r="H12993" i="7" a="1"/>
  <c r="H12993" i="7" s="1"/>
  <c r="E12993" i="7"/>
  <c r="D12993" i="7"/>
  <c r="L12992" i="7"/>
  <c r="H12992" i="7" a="1"/>
  <c r="H12992" i="7" s="1"/>
  <c r="E12992" i="7"/>
  <c r="D12992" i="7"/>
  <c r="H12991" i="7" a="1"/>
  <c r="H12991" i="7" s="1"/>
  <c r="E12991" i="7"/>
  <c r="D12991" i="7"/>
  <c r="L12990" i="7"/>
  <c r="H12990" i="7" a="1"/>
  <c r="H12990" i="7" s="1"/>
  <c r="E12990" i="7"/>
  <c r="D12990" i="7"/>
  <c r="H12989" i="7" a="1"/>
  <c r="H12989" i="7" s="1"/>
  <c r="E12989" i="7"/>
  <c r="D12989" i="7"/>
  <c r="H12988" i="7" a="1"/>
  <c r="H12988" i="7" s="1"/>
  <c r="E12988" i="7"/>
  <c r="D12988" i="7"/>
  <c r="H12987" i="7" a="1"/>
  <c r="H12987" i="7" s="1"/>
  <c r="E12987" i="7"/>
  <c r="D12987" i="7"/>
  <c r="H12951" i="7" a="1"/>
  <c r="H12951" i="7" s="1"/>
  <c r="E12951" i="7"/>
  <c r="D12951" i="7"/>
  <c r="H12950" i="7" a="1"/>
  <c r="H12950" i="7" s="1"/>
  <c r="E12950" i="7"/>
  <c r="D12950" i="7"/>
  <c r="H12949" i="7" a="1"/>
  <c r="H12949" i="7" s="1"/>
  <c r="E12949" i="7"/>
  <c r="D12949" i="7"/>
  <c r="H12938" i="7" a="1"/>
  <c r="H12938" i="7" s="1"/>
  <c r="E12938" i="7"/>
  <c r="D12938" i="7"/>
  <c r="H12937" i="7" a="1"/>
  <c r="H12937" i="7" s="1"/>
  <c r="E12937" i="7"/>
  <c r="D12937" i="7"/>
  <c r="H12936" i="7" a="1"/>
  <c r="H12936" i="7" s="1"/>
  <c r="E12936" i="7"/>
  <c r="D12936" i="7"/>
  <c r="D221" i="58" l="1"/>
  <c r="D222" i="58"/>
  <c r="D223" i="58"/>
  <c r="D224" i="58"/>
  <c r="D225" i="58"/>
  <c r="D226" i="58"/>
  <c r="D227" i="58"/>
  <c r="R227" i="58"/>
  <c r="P227" i="58"/>
  <c r="N227" i="58"/>
  <c r="L227" i="58"/>
  <c r="J227" i="58"/>
  <c r="H227" i="58"/>
  <c r="F227" i="58"/>
  <c r="R226" i="58"/>
  <c r="P226" i="58"/>
  <c r="N226" i="58"/>
  <c r="L226" i="58"/>
  <c r="J226" i="58"/>
  <c r="H226" i="58"/>
  <c r="F226" i="58"/>
  <c r="R225" i="58"/>
  <c r="P225" i="58"/>
  <c r="N225" i="58"/>
  <c r="L225" i="58"/>
  <c r="J225" i="58"/>
  <c r="H225" i="58"/>
  <c r="F225" i="58"/>
  <c r="R224" i="58"/>
  <c r="P224" i="58"/>
  <c r="N224" i="58"/>
  <c r="L224" i="58"/>
  <c r="J224" i="58"/>
  <c r="H224" i="58"/>
  <c r="F224" i="58"/>
  <c r="R223" i="58"/>
  <c r="P223" i="58"/>
  <c r="N223" i="58"/>
  <c r="L223" i="58"/>
  <c r="J223" i="58"/>
  <c r="H223" i="58"/>
  <c r="F223" i="58"/>
  <c r="R222" i="58"/>
  <c r="P222" i="58"/>
  <c r="N222" i="58"/>
  <c r="L222" i="58"/>
  <c r="J222" i="58"/>
  <c r="H222" i="58"/>
  <c r="F222" i="58"/>
  <c r="R221" i="58"/>
  <c r="P221" i="58"/>
  <c r="N221" i="58"/>
  <c r="L221" i="58"/>
  <c r="J221" i="58"/>
  <c r="H221" i="58"/>
  <c r="F221" i="58"/>
  <c r="H12923" i="7" a="1"/>
  <c r="H12923" i="7" s="1"/>
  <c r="E12923" i="7"/>
  <c r="D12923" i="7"/>
  <c r="K12922" i="7"/>
  <c r="L12923" i="7" s="1"/>
  <c r="H12922" i="7" a="1"/>
  <c r="H12922" i="7" s="1"/>
  <c r="E12922" i="7"/>
  <c r="D12922" i="7"/>
  <c r="H12921" i="7" a="1"/>
  <c r="H12921" i="7" s="1"/>
  <c r="E12921" i="7"/>
  <c r="D12921" i="7"/>
  <c r="K12920" i="7"/>
  <c r="L12921" i="7" s="1"/>
  <c r="H12920" i="7" a="1"/>
  <c r="H12920" i="7" s="1"/>
  <c r="E12920" i="7"/>
  <c r="D12920" i="7"/>
  <c r="H12919" i="7" a="1"/>
  <c r="H12919" i="7" s="1"/>
  <c r="E12919" i="7"/>
  <c r="D12919" i="7"/>
  <c r="H12918" i="7" a="1"/>
  <c r="H12918" i="7" s="1"/>
  <c r="E12918" i="7"/>
  <c r="D12918" i="7"/>
  <c r="L12917" i="7"/>
  <c r="H12917" i="7" a="1"/>
  <c r="H12917" i="7" s="1"/>
  <c r="E12917" i="7"/>
  <c r="D12917" i="7"/>
  <c r="H12916" i="7" a="1"/>
  <c r="H12916" i="7" s="1"/>
  <c r="E12916" i="7"/>
  <c r="D12916" i="7"/>
  <c r="L12915" i="7"/>
  <c r="H12915" i="7" a="1"/>
  <c r="H12915" i="7" s="1"/>
  <c r="E12915" i="7"/>
  <c r="D12915" i="7"/>
  <c r="H12914" i="7" a="1"/>
  <c r="H12914" i="7" s="1"/>
  <c r="E12914" i="7"/>
  <c r="D12914" i="7"/>
  <c r="H12913" i="7" a="1"/>
  <c r="H12913" i="7" s="1"/>
  <c r="E12913" i="7"/>
  <c r="D12913" i="7"/>
  <c r="H12912" i="7" a="1"/>
  <c r="H12912" i="7" s="1"/>
  <c r="E12912" i="7"/>
  <c r="D12912" i="7"/>
  <c r="L12911" i="7"/>
  <c r="H12911" i="7" a="1"/>
  <c r="H12911" i="7" s="1"/>
  <c r="E12911" i="7"/>
  <c r="D12911" i="7"/>
  <c r="H12910" i="7" a="1"/>
  <c r="H12910" i="7" s="1"/>
  <c r="E12910" i="7"/>
  <c r="D12910" i="7"/>
  <c r="L12909" i="7"/>
  <c r="H12909" i="7" a="1"/>
  <c r="H12909" i="7" s="1"/>
  <c r="E12909" i="7"/>
  <c r="D12909" i="7"/>
  <c r="H12908" i="7" a="1"/>
  <c r="H12908" i="7" s="1"/>
  <c r="E12908" i="7"/>
  <c r="D12908" i="7"/>
  <c r="H12907" i="7" a="1"/>
  <c r="H12907" i="7" s="1"/>
  <c r="E12907" i="7"/>
  <c r="D12907" i="7"/>
  <c r="H12906" i="7" a="1"/>
  <c r="H12906" i="7" s="1"/>
  <c r="E12906" i="7"/>
  <c r="D12906" i="7"/>
  <c r="H12903" i="7" a="1"/>
  <c r="H12903" i="7" s="1"/>
  <c r="E12903" i="7"/>
  <c r="D12903" i="7"/>
  <c r="H12902" i="7" a="1"/>
  <c r="H12902" i="7" s="1"/>
  <c r="E12902" i="7"/>
  <c r="D12902" i="7"/>
  <c r="H12901" i="7" a="1"/>
  <c r="H12901" i="7" s="1"/>
  <c r="E12901" i="7"/>
  <c r="D12901" i="7"/>
  <c r="H12843" i="7" l="1" a="1"/>
  <c r="H12843" i="7" s="1"/>
  <c r="E12843" i="7"/>
  <c r="D12843" i="7"/>
  <c r="H12842" i="7" a="1"/>
  <c r="H12842" i="7" s="1"/>
  <c r="E12842" i="7"/>
  <c r="D12842" i="7"/>
  <c r="H12841" i="7" a="1"/>
  <c r="H12841" i="7" s="1"/>
  <c r="E12841" i="7"/>
  <c r="D12841" i="7"/>
  <c r="H12840" i="7" a="1"/>
  <c r="H12840" i="7" s="1"/>
  <c r="E12840" i="7"/>
  <c r="D12840" i="7"/>
  <c r="H12701" i="7" a="1"/>
  <c r="H12701" i="7" s="1"/>
  <c r="E12701" i="7"/>
  <c r="D12701" i="7"/>
  <c r="H12700" i="7" a="1"/>
  <c r="H12700" i="7" s="1"/>
  <c r="E12700" i="7"/>
  <c r="D12700" i="7"/>
  <c r="H12699" i="7" a="1"/>
  <c r="H12699" i="7" s="1"/>
  <c r="E12699" i="7"/>
  <c r="D12699" i="7"/>
  <c r="H12698" i="7" a="1"/>
  <c r="H12698" i="7" s="1"/>
  <c r="E12698" i="7"/>
  <c r="D12698" i="7"/>
  <c r="H12875" i="7" a="1"/>
  <c r="H12875" i="7" s="1"/>
  <c r="E12875" i="7"/>
  <c r="D12875" i="7"/>
  <c r="H12874" i="7" a="1"/>
  <c r="H12874" i="7" s="1"/>
  <c r="E12874" i="7"/>
  <c r="D12874" i="7"/>
  <c r="H12873" i="7" a="1"/>
  <c r="H12873" i="7" s="1"/>
  <c r="E12873" i="7"/>
  <c r="D12873" i="7"/>
  <c r="H12900" i="7" l="1" a="1"/>
  <c r="H12900" i="7" s="1"/>
  <c r="E12900" i="7"/>
  <c r="D12900" i="7"/>
  <c r="H12899" i="7" a="1"/>
  <c r="H12899" i="7" s="1"/>
  <c r="E12899" i="7"/>
  <c r="D12899" i="7"/>
  <c r="J20" i="2"/>
  <c r="H12898" i="7" a="1"/>
  <c r="H12898" i="7" s="1"/>
  <c r="E12898" i="7"/>
  <c r="D12898" i="7"/>
  <c r="E12897" i="7"/>
  <c r="D12897" i="7"/>
  <c r="H12896" i="7" a="1"/>
  <c r="H12896" i="7" s="1"/>
  <c r="E12896" i="7"/>
  <c r="D12896" i="7"/>
  <c r="H12895" i="7" a="1"/>
  <c r="H12895" i="7" s="1"/>
  <c r="E12895" i="7"/>
  <c r="D12895" i="7"/>
  <c r="H12894" i="7" a="1"/>
  <c r="H12894" i="7" s="1"/>
  <c r="E12894" i="7"/>
  <c r="D12894" i="7"/>
  <c r="H12893" i="7" a="1"/>
  <c r="H12893" i="7" s="1"/>
  <c r="E12893" i="7"/>
  <c r="D12893" i="7"/>
  <c r="H12892" i="7" a="1"/>
  <c r="H12892" i="7" s="1"/>
  <c r="E12892" i="7"/>
  <c r="D12892" i="7"/>
  <c r="H12877" i="7" a="1"/>
  <c r="H12877" i="7" s="1"/>
  <c r="E12877" i="7"/>
  <c r="D12877" i="7"/>
  <c r="H12876" i="7" a="1"/>
  <c r="H12876" i="7" s="1"/>
  <c r="E12876" i="7"/>
  <c r="D12876" i="7"/>
  <c r="H12891" i="7" l="1" a="1"/>
  <c r="H12891" i="7" s="1"/>
  <c r="E12891" i="7"/>
  <c r="D12891" i="7"/>
  <c r="H12890" i="7" a="1"/>
  <c r="H12890" i="7" s="1"/>
  <c r="E12890" i="7"/>
  <c r="D12890" i="7"/>
  <c r="H12889" i="7" a="1"/>
  <c r="H12889" i="7" s="1"/>
  <c r="E12889" i="7"/>
  <c r="D12889" i="7"/>
  <c r="H12888" i="7" a="1"/>
  <c r="H12888" i="7" s="1"/>
  <c r="E12888" i="7"/>
  <c r="D12888" i="7"/>
  <c r="H12887" i="7" a="1"/>
  <c r="H12887" i="7" s="1"/>
  <c r="E12887" i="7"/>
  <c r="D12887" i="7"/>
  <c r="H12886" i="7" a="1"/>
  <c r="H12886" i="7" s="1"/>
  <c r="E12886" i="7"/>
  <c r="D12886" i="7"/>
  <c r="H12885" i="7" a="1"/>
  <c r="H12885" i="7" s="1"/>
  <c r="E12885" i="7"/>
  <c r="D12885" i="7"/>
  <c r="H12884" i="7" a="1"/>
  <c r="H12884" i="7" s="1"/>
  <c r="E12884" i="7"/>
  <c r="D12884" i="7"/>
  <c r="H12883" i="7" a="1"/>
  <c r="H12883" i="7" s="1"/>
  <c r="E12883" i="7"/>
  <c r="D12883" i="7"/>
  <c r="H12882" i="7" a="1"/>
  <c r="H12882" i="7" s="1"/>
  <c r="E12882" i="7"/>
  <c r="D12882" i="7"/>
  <c r="H12881" i="7" a="1"/>
  <c r="H12881" i="7" s="1"/>
  <c r="E12881" i="7"/>
  <c r="D12881" i="7"/>
  <c r="H12880" i="7" a="1"/>
  <c r="H12880" i="7" s="1"/>
  <c r="E12880" i="7"/>
  <c r="D12880" i="7"/>
  <c r="H12879" i="7" a="1"/>
  <c r="H12879" i="7" s="1"/>
  <c r="E12879" i="7"/>
  <c r="D12879" i="7"/>
  <c r="H12878" i="7" a="1"/>
  <c r="H12878" i="7" s="1"/>
  <c r="E12878" i="7"/>
  <c r="D12878" i="7"/>
  <c r="H12624" i="7" l="1" a="1"/>
  <c r="H12624" i="7" s="1"/>
  <c r="E12624" i="7"/>
  <c r="D12624" i="7"/>
  <c r="H12623" i="7" a="1"/>
  <c r="H12623" i="7" s="1"/>
  <c r="E12623" i="7"/>
  <c r="D12623" i="7"/>
  <c r="H12854" i="7" a="1"/>
  <c r="H12854" i="7" s="1"/>
  <c r="E12854" i="7"/>
  <c r="D12854" i="7"/>
  <c r="H12853" i="7" a="1"/>
  <c r="H12853" i="7" s="1"/>
  <c r="E12853" i="7"/>
  <c r="D12853" i="7"/>
  <c r="H12852" i="7" a="1"/>
  <c r="H12852" i="7" s="1"/>
  <c r="E12852" i="7"/>
  <c r="D12852" i="7"/>
  <c r="H12872" i="7" l="1" a="1"/>
  <c r="H12872" i="7" s="1"/>
  <c r="E12872" i="7"/>
  <c r="D12872" i="7"/>
  <c r="K12871" i="7"/>
  <c r="L12872" i="7" s="1"/>
  <c r="H12871" i="7" a="1"/>
  <c r="H12871" i="7" s="1"/>
  <c r="E12871" i="7"/>
  <c r="D12871" i="7"/>
  <c r="H12870" i="7" a="1"/>
  <c r="H12870" i="7" s="1"/>
  <c r="E12870" i="7"/>
  <c r="D12870" i="7"/>
  <c r="K12869" i="7"/>
  <c r="L12870" i="7" s="1"/>
  <c r="H12869" i="7" a="1"/>
  <c r="H12869" i="7" s="1"/>
  <c r="E12869" i="7"/>
  <c r="D12869" i="7"/>
  <c r="H12868" i="7" a="1"/>
  <c r="H12868" i="7" s="1"/>
  <c r="E12868" i="7"/>
  <c r="D12868" i="7"/>
  <c r="H12867" i="7" a="1"/>
  <c r="H12867" i="7" s="1"/>
  <c r="E12867" i="7"/>
  <c r="D12867" i="7"/>
  <c r="L12866" i="7"/>
  <c r="H12866" i="7" a="1"/>
  <c r="H12866" i="7" s="1"/>
  <c r="E12866" i="7"/>
  <c r="D12866" i="7"/>
  <c r="H12865" i="7" a="1"/>
  <c r="H12865" i="7" s="1"/>
  <c r="E12865" i="7"/>
  <c r="D12865" i="7"/>
  <c r="L12864" i="7"/>
  <c r="H12864" i="7" a="1"/>
  <c r="H12864" i="7" s="1"/>
  <c r="E12864" i="7"/>
  <c r="D12864" i="7"/>
  <c r="H12863" i="7" a="1"/>
  <c r="H12863" i="7" s="1"/>
  <c r="E12863" i="7"/>
  <c r="D12863" i="7"/>
  <c r="H12862" i="7" a="1"/>
  <c r="H12862" i="7" s="1"/>
  <c r="E12862" i="7"/>
  <c r="D12862" i="7"/>
  <c r="H12861" i="7" a="1"/>
  <c r="H12861" i="7" s="1"/>
  <c r="E12861" i="7"/>
  <c r="D12861" i="7"/>
  <c r="L12860" i="7"/>
  <c r="H12860" i="7" a="1"/>
  <c r="H12860" i="7" s="1"/>
  <c r="E12860" i="7"/>
  <c r="D12860" i="7"/>
  <c r="H12859" i="7" a="1"/>
  <c r="H12859" i="7" s="1"/>
  <c r="E12859" i="7"/>
  <c r="D12859" i="7"/>
  <c r="L12858" i="7"/>
  <c r="H12858" i="7" a="1"/>
  <c r="H12858" i="7" s="1"/>
  <c r="E12858" i="7"/>
  <c r="D12858" i="7"/>
  <c r="H12857" i="7" a="1"/>
  <c r="H12857" i="7" s="1"/>
  <c r="E12857" i="7"/>
  <c r="D12857" i="7"/>
  <c r="H12856" i="7" a="1"/>
  <c r="H12856" i="7" s="1"/>
  <c r="E12856" i="7"/>
  <c r="D12856" i="7"/>
  <c r="H12855" i="7" a="1"/>
  <c r="H12855" i="7" s="1"/>
  <c r="E12855" i="7"/>
  <c r="D12855" i="7"/>
  <c r="D214" i="58"/>
  <c r="D215" i="58"/>
  <c r="D216" i="58"/>
  <c r="D217" i="58"/>
  <c r="D218" i="58"/>
  <c r="D219" i="58"/>
  <c r="D220" i="58"/>
  <c r="R220" i="58"/>
  <c r="P220" i="58"/>
  <c r="N220" i="58"/>
  <c r="L220" i="58"/>
  <c r="J220" i="58"/>
  <c r="H220" i="58"/>
  <c r="F220" i="58"/>
  <c r="R219" i="58"/>
  <c r="P219" i="58"/>
  <c r="N219" i="58"/>
  <c r="L219" i="58"/>
  <c r="J219" i="58"/>
  <c r="H219" i="58"/>
  <c r="F219" i="58"/>
  <c r="R218" i="58"/>
  <c r="P218" i="58"/>
  <c r="N218" i="58"/>
  <c r="L218" i="58"/>
  <c r="J218" i="58"/>
  <c r="H218" i="58"/>
  <c r="F218" i="58"/>
  <c r="R217" i="58"/>
  <c r="P217" i="58"/>
  <c r="N217" i="58"/>
  <c r="L217" i="58"/>
  <c r="J217" i="58"/>
  <c r="H217" i="58"/>
  <c r="F217" i="58"/>
  <c r="R216" i="58"/>
  <c r="P216" i="58"/>
  <c r="N216" i="58"/>
  <c r="L216" i="58"/>
  <c r="J216" i="58"/>
  <c r="H216" i="58"/>
  <c r="F216" i="58"/>
  <c r="R215" i="58"/>
  <c r="P215" i="58"/>
  <c r="N215" i="58"/>
  <c r="L215" i="58"/>
  <c r="J215" i="58"/>
  <c r="H215" i="58"/>
  <c r="F215" i="58"/>
  <c r="R214" i="58"/>
  <c r="P214" i="58"/>
  <c r="N214" i="58"/>
  <c r="L214" i="58"/>
  <c r="J214" i="58"/>
  <c r="H214" i="58"/>
  <c r="F214" i="58"/>
  <c r="D12850" i="7"/>
  <c r="E12850" i="7"/>
  <c r="H12851" i="7" a="1"/>
  <c r="H12851" i="7" s="1"/>
  <c r="E12851" i="7"/>
  <c r="D12851" i="7"/>
  <c r="H12849" i="7" a="1"/>
  <c r="H12849" i="7" s="1"/>
  <c r="E12849" i="7"/>
  <c r="D12849" i="7"/>
  <c r="H12848" i="7" a="1"/>
  <c r="H12848" i="7" s="1"/>
  <c r="E12848" i="7"/>
  <c r="D12848" i="7"/>
  <c r="H12847" i="7" a="1"/>
  <c r="H12847" i="7" s="1"/>
  <c r="E12847" i="7"/>
  <c r="D12847" i="7"/>
  <c r="H12846" i="7" a="1"/>
  <c r="H12846" i="7" s="1"/>
  <c r="E12846" i="7"/>
  <c r="D12846" i="7"/>
  <c r="H12845" i="7" a="1"/>
  <c r="H12845" i="7" s="1"/>
  <c r="E12845" i="7"/>
  <c r="D12845" i="7"/>
  <c r="H12844" i="7" a="1"/>
  <c r="H12844" i="7" s="1"/>
  <c r="E12844" i="7"/>
  <c r="D12844" i="7"/>
  <c r="E12691" i="7" l="1"/>
  <c r="D12691" i="7"/>
  <c r="H12839" i="7" a="1"/>
  <c r="H12839" i="7" s="1"/>
  <c r="E12839" i="7"/>
  <c r="D12839" i="7"/>
  <c r="H12838" i="7" a="1"/>
  <c r="H12838" i="7" s="1"/>
  <c r="E12838" i="7"/>
  <c r="D12838" i="7"/>
  <c r="H12837" i="7" a="1"/>
  <c r="H12837" i="7" s="1"/>
  <c r="E12837" i="7"/>
  <c r="D12837" i="7"/>
  <c r="H12836" i="7" a="1"/>
  <c r="H12836" i="7" s="1"/>
  <c r="E12836" i="7"/>
  <c r="D12836" i="7"/>
  <c r="H12817" i="7" a="1"/>
  <c r="H12817" i="7" s="1"/>
  <c r="E12817" i="7"/>
  <c r="D12817" i="7"/>
  <c r="H12816" i="7" a="1"/>
  <c r="H12816" i="7" s="1"/>
  <c r="E12816" i="7"/>
  <c r="D12816" i="7"/>
  <c r="H12815" i="7" a="1"/>
  <c r="H12815" i="7" s="1"/>
  <c r="E12815" i="7"/>
  <c r="D12815" i="7"/>
  <c r="H12835" i="7" l="1" a="1"/>
  <c r="H12835" i="7" s="1"/>
  <c r="E12835" i="7"/>
  <c r="D12835" i="7"/>
  <c r="K12834" i="7"/>
  <c r="L12835" i="7" s="1"/>
  <c r="H12834" i="7" a="1"/>
  <c r="H12834" i="7" s="1"/>
  <c r="E12834" i="7"/>
  <c r="D12834" i="7"/>
  <c r="H12833" i="7" a="1"/>
  <c r="H12833" i="7" s="1"/>
  <c r="E12833" i="7"/>
  <c r="D12833" i="7"/>
  <c r="K12832" i="7"/>
  <c r="L12833" i="7" s="1"/>
  <c r="H12832" i="7" a="1"/>
  <c r="H12832" i="7" s="1"/>
  <c r="E12832" i="7"/>
  <c r="D12832" i="7"/>
  <c r="H12831" i="7" a="1"/>
  <c r="H12831" i="7" s="1"/>
  <c r="E12831" i="7"/>
  <c r="D12831" i="7"/>
  <c r="H12830" i="7" a="1"/>
  <c r="H12830" i="7" s="1"/>
  <c r="E12830" i="7"/>
  <c r="D12830" i="7"/>
  <c r="L12829" i="7"/>
  <c r="H12829" i="7" a="1"/>
  <c r="H12829" i="7" s="1"/>
  <c r="E12829" i="7"/>
  <c r="D12829" i="7"/>
  <c r="H12828" i="7" a="1"/>
  <c r="H12828" i="7" s="1"/>
  <c r="E12828" i="7"/>
  <c r="D12828" i="7"/>
  <c r="L12827" i="7"/>
  <c r="H12827" i="7" a="1"/>
  <c r="H12827" i="7" s="1"/>
  <c r="E12827" i="7"/>
  <c r="D12827" i="7"/>
  <c r="H12826" i="7" a="1"/>
  <c r="H12826" i="7" s="1"/>
  <c r="E12826" i="7"/>
  <c r="D12826" i="7"/>
  <c r="H12825" i="7" a="1"/>
  <c r="H12825" i="7" s="1"/>
  <c r="E12825" i="7"/>
  <c r="D12825" i="7"/>
  <c r="H12824" i="7" a="1"/>
  <c r="H12824" i="7" s="1"/>
  <c r="E12824" i="7"/>
  <c r="D12824" i="7"/>
  <c r="L12823" i="7"/>
  <c r="H12823" i="7" a="1"/>
  <c r="H12823" i="7" s="1"/>
  <c r="E12823" i="7"/>
  <c r="D12823" i="7"/>
  <c r="H12822" i="7" a="1"/>
  <c r="H12822" i="7" s="1"/>
  <c r="E12822" i="7"/>
  <c r="D12822" i="7"/>
  <c r="L12821" i="7"/>
  <c r="H12821" i="7" a="1"/>
  <c r="H12821" i="7" s="1"/>
  <c r="E12821" i="7"/>
  <c r="D12821" i="7"/>
  <c r="H12820" i="7" a="1"/>
  <c r="H12820" i="7" s="1"/>
  <c r="E12820" i="7"/>
  <c r="D12820" i="7"/>
  <c r="H12819" i="7" a="1"/>
  <c r="H12819" i="7" s="1"/>
  <c r="E12819" i="7"/>
  <c r="D12819" i="7"/>
  <c r="H12818" i="7" a="1"/>
  <c r="H12818" i="7" s="1"/>
  <c r="E12818" i="7"/>
  <c r="D12818" i="7"/>
  <c r="H12814" i="7" a="1"/>
  <c r="H12814" i="7" s="1"/>
  <c r="E12814" i="7"/>
  <c r="D12814" i="7"/>
  <c r="H12813" i="7" a="1"/>
  <c r="H12813" i="7" s="1"/>
  <c r="E12813" i="7"/>
  <c r="D12813" i="7"/>
  <c r="H12812" i="7" a="1"/>
  <c r="H12812" i="7" s="1"/>
  <c r="E12812" i="7"/>
  <c r="D12812" i="7"/>
  <c r="D207" i="58" l="1"/>
  <c r="D208" i="58"/>
  <c r="D209" i="58"/>
  <c r="D210" i="58"/>
  <c r="D211" i="58"/>
  <c r="D212" i="58"/>
  <c r="D213" i="58"/>
  <c r="F207" i="58"/>
  <c r="F208" i="58"/>
  <c r="F209" i="58"/>
  <c r="F210" i="58"/>
  <c r="F211" i="58"/>
  <c r="F212" i="58"/>
  <c r="F213" i="58"/>
  <c r="R213" i="58"/>
  <c r="P213" i="58"/>
  <c r="N213" i="58"/>
  <c r="L213" i="58"/>
  <c r="J213" i="58"/>
  <c r="H213" i="58"/>
  <c r="R212" i="58"/>
  <c r="P212" i="58"/>
  <c r="N212" i="58"/>
  <c r="L212" i="58"/>
  <c r="J212" i="58"/>
  <c r="H212" i="58"/>
  <c r="R211" i="58"/>
  <c r="P211" i="58"/>
  <c r="N211" i="58"/>
  <c r="L211" i="58"/>
  <c r="J211" i="58"/>
  <c r="H211" i="58"/>
  <c r="R210" i="58"/>
  <c r="P210" i="58"/>
  <c r="N210" i="58"/>
  <c r="L210" i="58"/>
  <c r="J210" i="58"/>
  <c r="H210" i="58"/>
  <c r="R209" i="58"/>
  <c r="P209" i="58"/>
  <c r="N209" i="58"/>
  <c r="L209" i="58"/>
  <c r="J209" i="58"/>
  <c r="H209" i="58"/>
  <c r="R208" i="58"/>
  <c r="P208" i="58"/>
  <c r="N208" i="58"/>
  <c r="L208" i="58"/>
  <c r="J208" i="58"/>
  <c r="H208" i="58"/>
  <c r="R207" i="58"/>
  <c r="P207" i="58"/>
  <c r="N207" i="58"/>
  <c r="L207" i="58"/>
  <c r="J207" i="58"/>
  <c r="H207" i="58"/>
  <c r="H12805" i="7" a="1"/>
  <c r="H12805" i="7" s="1"/>
  <c r="E12805" i="7"/>
  <c r="D12805" i="7"/>
  <c r="H12804" i="7" a="1"/>
  <c r="H12804" i="7" s="1"/>
  <c r="E12804" i="7"/>
  <c r="D12804" i="7"/>
  <c r="H12803" i="7" a="1"/>
  <c r="H12803" i="7" s="1"/>
  <c r="E12803" i="7"/>
  <c r="D12803" i="7"/>
  <c r="H12796" i="7" a="1"/>
  <c r="H12796" i="7" s="1"/>
  <c r="E12796" i="7"/>
  <c r="D12796" i="7"/>
  <c r="H12795" i="7" a="1"/>
  <c r="H12795" i="7" s="1"/>
  <c r="E12795" i="7"/>
  <c r="D12795" i="7"/>
  <c r="H12794" i="7" a="1"/>
  <c r="H12794" i="7" s="1"/>
  <c r="E12794" i="7"/>
  <c r="D12794" i="7"/>
  <c r="H12811" i="7" l="1" a="1"/>
  <c r="H12811" i="7" s="1"/>
  <c r="E12811" i="7"/>
  <c r="D12811" i="7"/>
  <c r="H12810" i="7" a="1"/>
  <c r="H12810" i="7" s="1"/>
  <c r="E12810" i="7"/>
  <c r="D12810" i="7"/>
  <c r="H12802" i="7" a="1"/>
  <c r="H12802" i="7" s="1"/>
  <c r="E12802" i="7"/>
  <c r="D12802" i="7"/>
  <c r="H12801" i="7" a="1"/>
  <c r="H12801" i="7" s="1"/>
  <c r="E12801" i="7"/>
  <c r="D12801" i="7"/>
  <c r="H12809" i="7" a="1"/>
  <c r="H12809" i="7" s="1"/>
  <c r="E12809" i="7"/>
  <c r="D12809" i="7"/>
  <c r="H12808" i="7" a="1"/>
  <c r="H12808" i="7" s="1"/>
  <c r="E12808" i="7"/>
  <c r="D12808" i="7"/>
  <c r="H12807" i="7" a="1"/>
  <c r="H12807" i="7" s="1"/>
  <c r="E12807" i="7"/>
  <c r="D12807" i="7"/>
  <c r="H12806" i="7" a="1"/>
  <c r="H12806" i="7" s="1"/>
  <c r="E12806" i="7"/>
  <c r="D12806" i="7"/>
  <c r="H12800" i="7" a="1"/>
  <c r="H12800" i="7" s="1"/>
  <c r="E12800" i="7"/>
  <c r="D12800" i="7"/>
  <c r="H12799" i="7" a="1"/>
  <c r="H12799" i="7" s="1"/>
  <c r="E12799" i="7"/>
  <c r="D12799" i="7"/>
  <c r="H12775" i="7" a="1"/>
  <c r="H12775" i="7" s="1"/>
  <c r="E12775" i="7"/>
  <c r="D12775" i="7"/>
  <c r="H12774" i="7" a="1"/>
  <c r="H12774" i="7" s="1"/>
  <c r="E12774" i="7"/>
  <c r="D12774" i="7"/>
  <c r="H12798" i="7" a="1"/>
  <c r="H12798" i="7" s="1"/>
  <c r="E12798" i="7"/>
  <c r="D12798" i="7"/>
  <c r="H12797" i="7" a="1"/>
  <c r="H12797" i="7" s="1"/>
  <c r="E12797" i="7"/>
  <c r="D12797" i="7"/>
  <c r="H12773" i="7" a="1"/>
  <c r="H12773" i="7" s="1"/>
  <c r="E12773" i="7"/>
  <c r="D12773" i="7"/>
  <c r="H12772" i="7" a="1"/>
  <c r="H12772" i="7" s="1"/>
  <c r="E12772" i="7"/>
  <c r="D12772" i="7"/>
  <c r="H12771" i="7" a="1"/>
  <c r="H12771" i="7" s="1"/>
  <c r="E12771" i="7"/>
  <c r="D12771" i="7"/>
  <c r="K12792" i="7"/>
  <c r="L12793" i="7" s="1"/>
  <c r="K12790" i="7"/>
  <c r="L12791" i="7" s="1"/>
  <c r="H12793" i="7" a="1"/>
  <c r="H12793" i="7" s="1"/>
  <c r="E12793" i="7"/>
  <c r="D12793" i="7"/>
  <c r="H12792" i="7" a="1"/>
  <c r="H12792" i="7" s="1"/>
  <c r="E12792" i="7"/>
  <c r="D12792" i="7"/>
  <c r="H12791" i="7" a="1"/>
  <c r="H12791" i="7" s="1"/>
  <c r="E12791" i="7"/>
  <c r="D12791" i="7"/>
  <c r="H12790" i="7" a="1"/>
  <c r="H12790" i="7" s="1"/>
  <c r="E12790" i="7"/>
  <c r="D12790" i="7"/>
  <c r="H12789" i="7" a="1"/>
  <c r="H12789" i="7" s="1"/>
  <c r="E12789" i="7"/>
  <c r="D12789" i="7"/>
  <c r="H12788" i="7" a="1"/>
  <c r="H12788" i="7" s="1"/>
  <c r="E12788" i="7"/>
  <c r="D12788" i="7"/>
  <c r="H12787" i="7" a="1"/>
  <c r="H12787" i="7" s="1"/>
  <c r="E12787" i="7"/>
  <c r="D12787" i="7"/>
  <c r="H12786" i="7" a="1"/>
  <c r="H12786" i="7" s="1"/>
  <c r="E12786" i="7"/>
  <c r="D12786" i="7"/>
  <c r="L12785" i="7"/>
  <c r="H12785" i="7" a="1"/>
  <c r="H12785" i="7" s="1"/>
  <c r="E12785" i="7"/>
  <c r="D12785" i="7"/>
  <c r="H12784" i="7" a="1"/>
  <c r="H12784" i="7" s="1"/>
  <c r="E12784" i="7"/>
  <c r="D12784" i="7"/>
  <c r="H12783" i="7" a="1"/>
  <c r="H12783" i="7" s="1"/>
  <c r="E12783" i="7"/>
  <c r="D12783" i="7"/>
  <c r="H12782" i="7" a="1"/>
  <c r="H12782" i="7" s="1"/>
  <c r="E12782" i="7"/>
  <c r="D12782" i="7"/>
  <c r="L12781" i="7"/>
  <c r="H12781" i="7" a="1"/>
  <c r="H12781" i="7" s="1"/>
  <c r="E12781" i="7"/>
  <c r="D12781" i="7"/>
  <c r="H12780" i="7" a="1"/>
  <c r="H12780" i="7" s="1"/>
  <c r="E12780" i="7"/>
  <c r="D12780" i="7"/>
  <c r="L12779" i="7"/>
  <c r="H12779" i="7" a="1"/>
  <c r="H12779" i="7" s="1"/>
  <c r="E12779" i="7"/>
  <c r="D12779" i="7"/>
  <c r="H12778" i="7" a="1"/>
  <c r="H12778" i="7" s="1"/>
  <c r="E12778" i="7"/>
  <c r="D12778" i="7"/>
  <c r="H12777" i="7" a="1"/>
  <c r="H12777" i="7" s="1"/>
  <c r="E12777" i="7"/>
  <c r="D12777" i="7"/>
  <c r="H12776" i="7" a="1"/>
  <c r="H12776" i="7" s="1"/>
  <c r="E12776" i="7"/>
  <c r="D12776" i="7"/>
  <c r="H12770" i="7" a="1"/>
  <c r="H12770" i="7" s="1"/>
  <c r="E12770" i="7"/>
  <c r="D12770" i="7"/>
  <c r="H12769" i="7" a="1"/>
  <c r="H12769" i="7" s="1"/>
  <c r="E12769" i="7"/>
  <c r="D12769" i="7"/>
  <c r="H12768" i="7" a="1"/>
  <c r="H12768" i="7" s="1"/>
  <c r="E12768" i="7"/>
  <c r="D12768" i="7"/>
  <c r="H12767" i="7" a="1"/>
  <c r="H12767" i="7" s="1"/>
  <c r="E12767" i="7"/>
  <c r="D12767" i="7"/>
  <c r="H12764" i="7" a="1"/>
  <c r="H12764" i="7" s="1"/>
  <c r="E12764" i="7"/>
  <c r="D12764" i="7"/>
  <c r="H12763" i="7" a="1"/>
  <c r="H12763" i="7" s="1"/>
  <c r="E12763" i="7"/>
  <c r="D12763" i="7"/>
  <c r="H12762" i="7" a="1"/>
  <c r="H12762" i="7" s="1"/>
  <c r="E12762" i="7"/>
  <c r="D12762" i="7"/>
  <c r="H12761" i="7" a="1"/>
  <c r="H12761" i="7" s="1"/>
  <c r="E12761" i="7"/>
  <c r="D12761" i="7"/>
  <c r="H12755" i="7" a="1"/>
  <c r="H12755" i="7" s="1"/>
  <c r="E12755" i="7"/>
  <c r="D12755" i="7"/>
  <c r="H12754" i="7" a="1"/>
  <c r="H12754" i="7" s="1"/>
  <c r="E12754" i="7"/>
  <c r="D12754" i="7"/>
  <c r="H12753" i="7" a="1"/>
  <c r="H12753" i="7" s="1"/>
  <c r="E12753" i="7"/>
  <c r="D12753" i="7"/>
  <c r="H12766" i="7" l="1" a="1"/>
  <c r="H12766" i="7" s="1"/>
  <c r="E12766" i="7"/>
  <c r="D12766" i="7"/>
  <c r="H12765" i="7" a="1"/>
  <c r="H12765" i="7" s="1"/>
  <c r="E12765" i="7"/>
  <c r="D12765" i="7"/>
  <c r="H12760" i="7" l="1" a="1"/>
  <c r="H12760" i="7" s="1"/>
  <c r="E12760" i="7"/>
  <c r="D12760" i="7"/>
  <c r="H12759" i="7" a="1"/>
  <c r="H12759" i="7" s="1"/>
  <c r="E12759" i="7"/>
  <c r="D12759" i="7"/>
  <c r="H12758" i="7" a="1"/>
  <c r="H12758" i="7" s="1"/>
  <c r="E12758" i="7"/>
  <c r="D12758" i="7"/>
  <c r="H12757" i="7" a="1"/>
  <c r="H12757" i="7" s="1"/>
  <c r="E12757" i="7"/>
  <c r="D12757" i="7"/>
  <c r="H12756" i="7" a="1"/>
  <c r="H12756" i="7" s="1"/>
  <c r="E12756" i="7"/>
  <c r="D12756" i="7"/>
  <c r="D200" i="58"/>
  <c r="D201" i="58"/>
  <c r="D202" i="58"/>
  <c r="D203" i="58"/>
  <c r="D204" i="58"/>
  <c r="D205" i="58"/>
  <c r="D206" i="58"/>
  <c r="F200" i="58"/>
  <c r="F201" i="58"/>
  <c r="F202" i="58"/>
  <c r="F203" i="58"/>
  <c r="F204" i="58"/>
  <c r="F205" i="58"/>
  <c r="F206" i="58"/>
  <c r="R206" i="58"/>
  <c r="P206" i="58"/>
  <c r="N206" i="58"/>
  <c r="L206" i="58"/>
  <c r="J206" i="58"/>
  <c r="H206" i="58"/>
  <c r="R205" i="58"/>
  <c r="P205" i="58"/>
  <c r="N205" i="58"/>
  <c r="L205" i="58"/>
  <c r="J205" i="58"/>
  <c r="H205" i="58"/>
  <c r="R204" i="58"/>
  <c r="P204" i="58"/>
  <c r="N204" i="58"/>
  <c r="L204" i="58"/>
  <c r="J204" i="58"/>
  <c r="H204" i="58"/>
  <c r="R203" i="58"/>
  <c r="P203" i="58"/>
  <c r="N203" i="58"/>
  <c r="L203" i="58"/>
  <c r="J203" i="58"/>
  <c r="H203" i="58"/>
  <c r="R202" i="58"/>
  <c r="P202" i="58"/>
  <c r="N202" i="58"/>
  <c r="L202" i="58"/>
  <c r="J202" i="58"/>
  <c r="H202" i="58"/>
  <c r="R201" i="58"/>
  <c r="P201" i="58"/>
  <c r="N201" i="58"/>
  <c r="L201" i="58"/>
  <c r="J201" i="58"/>
  <c r="H201" i="58"/>
  <c r="R200" i="58"/>
  <c r="P200" i="58"/>
  <c r="N200" i="58"/>
  <c r="L200" i="58"/>
  <c r="J200" i="58"/>
  <c r="H200" i="58"/>
  <c r="L12738" i="7"/>
  <c r="L12740" i="7"/>
  <c r="L12752" i="7"/>
  <c r="L12750" i="7"/>
  <c r="L12746" i="7"/>
  <c r="L12744" i="7"/>
  <c r="H12752" i="7" a="1"/>
  <c r="H12752" i="7" s="1"/>
  <c r="H12751" i="7" a="1"/>
  <c r="H12751" i="7" s="1"/>
  <c r="H12750" i="7" a="1"/>
  <c r="H12750" i="7" s="1"/>
  <c r="H12749" i="7" a="1"/>
  <c r="H12749" i="7" s="1"/>
  <c r="H12748" i="7" a="1"/>
  <c r="H12748" i="7" s="1"/>
  <c r="H12747" i="7" a="1"/>
  <c r="H12747" i="7" s="1"/>
  <c r="H12746" i="7" a="1"/>
  <c r="H12746" i="7" s="1"/>
  <c r="H12745" i="7" a="1"/>
  <c r="H12745" i="7" s="1"/>
  <c r="H12744" i="7" a="1"/>
  <c r="H12744" i="7" s="1"/>
  <c r="H12743" i="7" a="1"/>
  <c r="H12743" i="7" s="1"/>
  <c r="H12742" i="7" a="1"/>
  <c r="H12742" i="7" s="1"/>
  <c r="H12741" i="7" a="1"/>
  <c r="H12741" i="7" s="1"/>
  <c r="H12740" i="7" a="1"/>
  <c r="H12740" i="7" s="1"/>
  <c r="H12739" i="7" a="1"/>
  <c r="H12739" i="7" s="1"/>
  <c r="H12738" i="7" a="1"/>
  <c r="H12738" i="7" s="1"/>
  <c r="H12737" i="7" a="1"/>
  <c r="H12737" i="7" s="1"/>
  <c r="H12736" i="7" a="1"/>
  <c r="H12736" i="7" s="1"/>
  <c r="H12735" i="7" a="1"/>
  <c r="H12735" i="7" s="1"/>
  <c r="H12734" i="7" a="1"/>
  <c r="H12734" i="7" s="1"/>
  <c r="H12733" i="7" a="1"/>
  <c r="H12733" i="7" s="1"/>
  <c r="H12732" i="7" a="1"/>
  <c r="H12732" i="7" s="1"/>
  <c r="H12731" i="7" a="1"/>
  <c r="H12731" i="7" s="1"/>
  <c r="H12730" i="7" a="1"/>
  <c r="H12730" i="7" s="1"/>
  <c r="H12729" i="7" a="1"/>
  <c r="H12729" i="7" s="1"/>
  <c r="H12728" i="7" a="1"/>
  <c r="H12728" i="7" s="1"/>
  <c r="H12727" i="7" a="1"/>
  <c r="H12727" i="7" s="1"/>
  <c r="H12726" i="7" a="1"/>
  <c r="H12726" i="7" s="1"/>
  <c r="H12725" i="7" a="1"/>
  <c r="H12725" i="7" s="1"/>
  <c r="H12724" i="7" a="1"/>
  <c r="H12724" i="7" s="1"/>
  <c r="H12723" i="7" a="1"/>
  <c r="H12723" i="7" s="1"/>
  <c r="H12722" i="7" a="1"/>
  <c r="H12722" i="7" s="1"/>
  <c r="H12721" i="7" a="1"/>
  <c r="H12721" i="7" s="1"/>
  <c r="H12720" i="7" a="1"/>
  <c r="H12720" i="7" s="1"/>
  <c r="H12719" i="7" a="1"/>
  <c r="H12719" i="7" s="1"/>
  <c r="H12718" i="7" a="1"/>
  <c r="H12718" i="7" s="1"/>
  <c r="H12717" i="7" a="1"/>
  <c r="H12717" i="7" s="1"/>
  <c r="H12716" i="7" a="1"/>
  <c r="H12716" i="7" s="1"/>
  <c r="H12715" i="7" a="1"/>
  <c r="H12715" i="7" s="1"/>
  <c r="H12714" i="7" a="1"/>
  <c r="H12714" i="7" s="1"/>
  <c r="H12713" i="7" a="1"/>
  <c r="H12713" i="7" s="1"/>
  <c r="H12712" i="7" a="1"/>
  <c r="H12712" i="7" s="1"/>
  <c r="H12711" i="7" a="1"/>
  <c r="H12711" i="7" s="1"/>
  <c r="H12710" i="7" a="1"/>
  <c r="H12710" i="7" s="1"/>
  <c r="H12709" i="7" a="1"/>
  <c r="H12709" i="7" s="1"/>
  <c r="H12708" i="7" a="1"/>
  <c r="H12708" i="7" s="1"/>
  <c r="H12707" i="7" a="1"/>
  <c r="H12707" i="7" s="1"/>
  <c r="H12706" i="7" a="1"/>
  <c r="H12706" i="7" s="1"/>
  <c r="H12705" i="7" a="1"/>
  <c r="H12705" i="7" s="1"/>
  <c r="H12704" i="7" a="1"/>
  <c r="H12704" i="7" s="1"/>
  <c r="H12703" i="7" a="1"/>
  <c r="H12703" i="7" s="1"/>
  <c r="H12702" i="7" a="1"/>
  <c r="H12702" i="7" s="1"/>
  <c r="H12697" i="7" a="1"/>
  <c r="H12697" i="7" s="1"/>
  <c r="H12696" i="7" a="1"/>
  <c r="H12696" i="7" s="1"/>
  <c r="H12695" i="7" a="1"/>
  <c r="H12695" i="7" s="1"/>
  <c r="H12694" i="7" a="1"/>
  <c r="H12694" i="7" s="1"/>
  <c r="H12693" i="7" a="1"/>
  <c r="H12693" i="7" s="1"/>
  <c r="H12692" i="7" a="1"/>
  <c r="H12692" i="7" s="1"/>
  <c r="H12690" i="7" a="1"/>
  <c r="H12690" i="7" s="1"/>
  <c r="H12689" i="7" a="1"/>
  <c r="H12689" i="7" s="1"/>
  <c r="H12688" i="7" a="1"/>
  <c r="H12688" i="7" s="1"/>
  <c r="H12687" i="7" a="1"/>
  <c r="H12687" i="7" s="1"/>
  <c r="H12686" i="7" a="1"/>
  <c r="H12686" i="7" s="1"/>
  <c r="H12685" i="7" a="1"/>
  <c r="H12685" i="7" s="1"/>
  <c r="H12684" i="7" a="1"/>
  <c r="H12684" i="7" s="1"/>
  <c r="H12683" i="7" a="1"/>
  <c r="H12683" i="7" s="1"/>
  <c r="H12682" i="7" a="1"/>
  <c r="H12682" i="7" s="1"/>
  <c r="H12681" i="7" a="1"/>
  <c r="H12681" i="7" s="1"/>
  <c r="H12680" i="7" a="1"/>
  <c r="H12680" i="7" s="1"/>
  <c r="H12679" i="7" a="1"/>
  <c r="H12679" i="7" s="1"/>
  <c r="H12678" i="7" a="1"/>
  <c r="H12678" i="7" s="1"/>
  <c r="H12677" i="7" a="1"/>
  <c r="H12677" i="7" s="1"/>
  <c r="H12676" i="7" a="1"/>
  <c r="H12676" i="7" s="1"/>
  <c r="H12675" i="7" a="1"/>
  <c r="H12675" i="7" s="1"/>
  <c r="H12674" i="7" a="1"/>
  <c r="H12674" i="7" s="1"/>
  <c r="H12673" i="7" a="1"/>
  <c r="H12673" i="7" s="1"/>
  <c r="H12672" i="7" a="1"/>
  <c r="H12672" i="7" s="1"/>
  <c r="H12671" i="7" a="1"/>
  <c r="H12671" i="7" s="1"/>
  <c r="H12670" i="7" a="1"/>
  <c r="H12670" i="7" s="1"/>
  <c r="H12669" i="7" a="1"/>
  <c r="H12669" i="7" s="1"/>
  <c r="H12668" i="7" a="1"/>
  <c r="H12668" i="7" s="1"/>
  <c r="H12667" i="7" a="1"/>
  <c r="H12667" i="7" s="1"/>
  <c r="H12664" i="7" a="1"/>
  <c r="H12664" i="7" s="1"/>
  <c r="H12663" i="7" a="1"/>
  <c r="H12663" i="7" s="1"/>
  <c r="H12662" i="7" a="1"/>
  <c r="H12662" i="7" s="1"/>
  <c r="H12661" i="7" a="1"/>
  <c r="H12661" i="7" s="1"/>
  <c r="H12660" i="7" a="1"/>
  <c r="H12660" i="7" s="1"/>
  <c r="H12659" i="7" a="1"/>
  <c r="H12659" i="7" s="1"/>
  <c r="H12658" i="7" a="1"/>
  <c r="H12658" i="7" s="1"/>
  <c r="H12657" i="7" a="1"/>
  <c r="H12657" i="7" s="1"/>
  <c r="H12656" i="7" a="1"/>
  <c r="H12656" i="7" s="1"/>
  <c r="H12655" i="7" a="1"/>
  <c r="H12655" i="7" s="1"/>
  <c r="H12654" i="7" a="1"/>
  <c r="H12654" i="7" s="1"/>
  <c r="H12653" i="7" a="1"/>
  <c r="H12653" i="7" s="1"/>
  <c r="H12652" i="7" a="1"/>
  <c r="H12652" i="7" s="1"/>
  <c r="H12651" i="7" a="1"/>
  <c r="H12651" i="7" s="1"/>
  <c r="H12650" i="7" a="1"/>
  <c r="H12650" i="7" s="1"/>
  <c r="H12649" i="7" a="1"/>
  <c r="H12649" i="7" s="1"/>
  <c r="H12648" i="7" a="1"/>
  <c r="H12648" i="7" s="1"/>
  <c r="H12647" i="7" a="1"/>
  <c r="H12647" i="7" s="1"/>
  <c r="H12646" i="7" a="1"/>
  <c r="H12646" i="7" s="1"/>
  <c r="H12645" i="7" a="1"/>
  <c r="H12645" i="7" s="1"/>
  <c r="H12644" i="7" a="1"/>
  <c r="H12644" i="7" s="1"/>
  <c r="H12643" i="7" a="1"/>
  <c r="H12643" i="7" s="1"/>
  <c r="H12642" i="7" a="1"/>
  <c r="H12642" i="7" s="1"/>
  <c r="H12641" i="7" a="1"/>
  <c r="H12641" i="7" s="1"/>
  <c r="H12640" i="7" a="1"/>
  <c r="H12640" i="7" s="1"/>
  <c r="H12639" i="7" a="1"/>
  <c r="H12639" i="7" s="1"/>
  <c r="H12638" i="7" a="1"/>
  <c r="H12638" i="7" s="1"/>
  <c r="H12637" i="7" a="1"/>
  <c r="H12637" i="7" s="1"/>
  <c r="H12636" i="7" a="1"/>
  <c r="H12636" i="7" s="1"/>
  <c r="H12635" i="7" a="1"/>
  <c r="H12635" i="7" s="1"/>
  <c r="H12634" i="7" a="1"/>
  <c r="H12634" i="7" s="1"/>
  <c r="H12631" i="7" a="1"/>
  <c r="H12631" i="7" s="1"/>
  <c r="H12630" i="7" a="1"/>
  <c r="H12630" i="7" s="1"/>
  <c r="H12629" i="7" a="1"/>
  <c r="H12629" i="7" s="1"/>
  <c r="H12628" i="7" a="1"/>
  <c r="H12628" i="7" s="1"/>
  <c r="H12627" i="7" a="1"/>
  <c r="H12627" i="7" s="1"/>
  <c r="H12626" i="7" a="1"/>
  <c r="H12626" i="7" s="1"/>
  <c r="H12625" i="7" a="1"/>
  <c r="H12625" i="7" s="1"/>
  <c r="H12622" i="7" a="1"/>
  <c r="H12622" i="7" s="1"/>
  <c r="H12621" i="7" a="1"/>
  <c r="H12621" i="7" s="1"/>
  <c r="H12620" i="7" a="1"/>
  <c r="H12620" i="7" s="1"/>
  <c r="H12619" i="7" a="1"/>
  <c r="H12619" i="7" s="1"/>
  <c r="H12618" i="7" a="1"/>
  <c r="H12618" i="7" s="1"/>
  <c r="H12617" i="7" a="1"/>
  <c r="H12617" i="7" s="1"/>
  <c r="H12616" i="7" a="1"/>
  <c r="H12616" i="7" s="1"/>
  <c r="H12615" i="7" a="1"/>
  <c r="H12615" i="7" s="1"/>
  <c r="H12614" i="7" a="1"/>
  <c r="H12614" i="7" s="1"/>
  <c r="H12613" i="7" a="1"/>
  <c r="H12613" i="7" s="1"/>
  <c r="H12612" i="7" a="1"/>
  <c r="H12612" i="7" s="1"/>
  <c r="H12611" i="7" a="1"/>
  <c r="H12611" i="7" s="1"/>
  <c r="H12610" i="7" a="1"/>
  <c r="H12610" i="7" s="1"/>
  <c r="H12609" i="7" a="1"/>
  <c r="H12609" i="7" s="1"/>
  <c r="H12608" i="7" a="1"/>
  <c r="H12608" i="7" s="1"/>
  <c r="H12607" i="7" a="1"/>
  <c r="H12607" i="7" s="1"/>
  <c r="H12606" i="7" a="1"/>
  <c r="H12606" i="7" s="1"/>
  <c r="H12605" i="7" a="1"/>
  <c r="H12605" i="7" s="1"/>
  <c r="H12604" i="7" a="1"/>
  <c r="H12604" i="7" s="1"/>
  <c r="H12603" i="7" a="1"/>
  <c r="H12603" i="7" s="1"/>
  <c r="H12602" i="7" a="1"/>
  <c r="H12602" i="7" s="1"/>
  <c r="H12601" i="7" a="1"/>
  <c r="H12601" i="7" s="1"/>
  <c r="H12600" i="7" a="1"/>
  <c r="H12600" i="7" s="1"/>
  <c r="H12599" i="7" a="1"/>
  <c r="H12599" i="7" s="1"/>
  <c r="H12598" i="7" a="1"/>
  <c r="H12598" i="7" s="1"/>
  <c r="H12597" i="7" a="1"/>
  <c r="H12597" i="7" s="1"/>
  <c r="H12596" i="7" a="1"/>
  <c r="H12596" i="7" s="1"/>
  <c r="H12595" i="7" a="1"/>
  <c r="H12595" i="7" s="1"/>
  <c r="H12594" i="7" a="1"/>
  <c r="H12594" i="7" s="1"/>
  <c r="H12593" i="7" a="1"/>
  <c r="H12593" i="7" s="1"/>
  <c r="H12592" i="7" a="1"/>
  <c r="H12592" i="7" s="1"/>
  <c r="H12591" i="7" a="1"/>
  <c r="H12591" i="7" s="1"/>
  <c r="H12590" i="7" a="1"/>
  <c r="H12590" i="7" s="1"/>
  <c r="H12589" i="7" a="1"/>
  <c r="H12589" i="7" s="1"/>
  <c r="H12588" i="7" a="1"/>
  <c r="H12588" i="7" s="1"/>
  <c r="H12587" i="7" a="1"/>
  <c r="H12587" i="7" s="1"/>
  <c r="H12586" i="7" a="1"/>
  <c r="H12586" i="7" s="1"/>
  <c r="H12585" i="7" a="1"/>
  <c r="H12585" i="7" s="1"/>
  <c r="H12584" i="7" a="1"/>
  <c r="H12584" i="7" s="1"/>
  <c r="H12583" i="7" a="1"/>
  <c r="H12583" i="7" s="1"/>
  <c r="H12582" i="7" a="1"/>
  <c r="H12582" i="7" s="1"/>
  <c r="H12581" i="7" a="1"/>
  <c r="H12581" i="7" s="1"/>
  <c r="H12580" i="7" a="1"/>
  <c r="H12580" i="7" s="1"/>
  <c r="H12579" i="7" a="1"/>
  <c r="H12579" i="7" s="1"/>
  <c r="H12578" i="7" a="1"/>
  <c r="H12578" i="7" s="1"/>
  <c r="H12577" i="7" a="1"/>
  <c r="H12577" i="7" s="1"/>
  <c r="H12576" i="7" a="1"/>
  <c r="H12576" i="7" s="1"/>
  <c r="H12575" i="7" a="1"/>
  <c r="H12575" i="7" s="1"/>
  <c r="H12574" i="7" a="1"/>
  <c r="H12574" i="7" s="1"/>
  <c r="H12573" i="7" a="1"/>
  <c r="H12573" i="7" s="1"/>
  <c r="H12572" i="7" a="1"/>
  <c r="H12572" i="7" s="1"/>
  <c r="H12571" i="7" a="1"/>
  <c r="H12571" i="7" s="1"/>
  <c r="H12570" i="7" a="1"/>
  <c r="H12570" i="7" s="1"/>
  <c r="H12569" i="7" a="1"/>
  <c r="H12569" i="7" s="1"/>
  <c r="H12568" i="7" a="1"/>
  <c r="H12568" i="7" s="1"/>
  <c r="H12567" i="7" a="1"/>
  <c r="H12567" i="7" s="1"/>
  <c r="H12566" i="7" a="1"/>
  <c r="H12566" i="7" s="1"/>
  <c r="H12565" i="7" a="1"/>
  <c r="H12565" i="7" s="1"/>
  <c r="H12564" i="7" a="1"/>
  <c r="H12564" i="7" s="1"/>
  <c r="H12563" i="7" a="1"/>
  <c r="H12563" i="7" s="1"/>
  <c r="H12562" i="7" a="1"/>
  <c r="H12562" i="7" s="1"/>
  <c r="H12561" i="7" a="1"/>
  <c r="H12561" i="7" s="1"/>
  <c r="H12560" i="7" a="1"/>
  <c r="H12560" i="7" s="1"/>
  <c r="H12559" i="7" a="1"/>
  <c r="H12559" i="7" s="1"/>
  <c r="H12558" i="7" a="1"/>
  <c r="H12558" i="7" s="1"/>
  <c r="H12557" i="7" a="1"/>
  <c r="H12557" i="7" s="1"/>
  <c r="H12556" i="7" a="1"/>
  <c r="H12556" i="7" s="1"/>
  <c r="H12555" i="7" a="1"/>
  <c r="H12555" i="7" s="1"/>
  <c r="H12554" i="7" a="1"/>
  <c r="H12554" i="7" s="1"/>
  <c r="H12553" i="7" a="1"/>
  <c r="H12553" i="7" s="1"/>
  <c r="H12552" i="7" a="1"/>
  <c r="H12552" i="7" s="1"/>
  <c r="H12551" i="7" a="1"/>
  <c r="H12551" i="7" s="1"/>
  <c r="H12550" i="7" a="1"/>
  <c r="H12550" i="7" s="1"/>
  <c r="H12549" i="7" a="1"/>
  <c r="H12549" i="7" s="1"/>
  <c r="H12548" i="7" a="1"/>
  <c r="H12548" i="7" s="1"/>
  <c r="H12547" i="7" a="1"/>
  <c r="H12547" i="7" s="1"/>
  <c r="H12546" i="7" a="1"/>
  <c r="H12546" i="7" s="1"/>
  <c r="H12545" i="7" a="1"/>
  <c r="H12545" i="7" s="1"/>
  <c r="H12544" i="7" a="1"/>
  <c r="H12544" i="7" s="1"/>
  <c r="H12543" i="7" a="1"/>
  <c r="H12543" i="7" s="1"/>
  <c r="H12542" i="7" a="1"/>
  <c r="H12542" i="7" s="1"/>
  <c r="H12541" i="7" a="1"/>
  <c r="H12541" i="7" s="1"/>
  <c r="H12540" i="7" a="1"/>
  <c r="H12540" i="7" s="1"/>
  <c r="H12539" i="7" a="1"/>
  <c r="H12539" i="7" s="1"/>
  <c r="H12538" i="7" a="1"/>
  <c r="H12538" i="7" s="1"/>
  <c r="H12537" i="7" a="1"/>
  <c r="H12537" i="7" s="1"/>
  <c r="H12536" i="7" a="1"/>
  <c r="H12536" i="7" s="1"/>
  <c r="H12535" i="7" a="1"/>
  <c r="H12535" i="7" s="1"/>
  <c r="H12534" i="7" a="1"/>
  <c r="H12534" i="7" s="1"/>
  <c r="H12533" i="7" a="1"/>
  <c r="H12533" i="7" s="1"/>
  <c r="H12532" i="7" a="1"/>
  <c r="H12532" i="7" s="1"/>
  <c r="H12531" i="7" a="1"/>
  <c r="H12531" i="7" s="1"/>
  <c r="H12530" i="7" a="1"/>
  <c r="H12530" i="7" s="1"/>
  <c r="H12529" i="7" a="1"/>
  <c r="H12529" i="7" s="1"/>
  <c r="H12528" i="7" a="1"/>
  <c r="H12528" i="7" s="1"/>
  <c r="H12527" i="7" a="1"/>
  <c r="H12527" i="7" s="1"/>
  <c r="H12526" i="7" a="1"/>
  <c r="H12526" i="7" s="1"/>
  <c r="H12525" i="7" a="1"/>
  <c r="H12525" i="7" s="1"/>
  <c r="H12524" i="7" a="1"/>
  <c r="H12524" i="7" s="1"/>
  <c r="H12523" i="7" a="1"/>
  <c r="H12523" i="7" s="1"/>
  <c r="H12522" i="7" a="1"/>
  <c r="H12522" i="7" s="1"/>
  <c r="H12521" i="7" a="1"/>
  <c r="H12521" i="7" s="1"/>
  <c r="H12520" i="7" a="1"/>
  <c r="H12520" i="7" s="1"/>
  <c r="H12519" i="7" a="1"/>
  <c r="H12519" i="7" s="1"/>
  <c r="H12518" i="7" a="1"/>
  <c r="H12518" i="7" s="1"/>
  <c r="H12517" i="7" a="1"/>
  <c r="H12517" i="7" s="1"/>
  <c r="H12516" i="7" a="1"/>
  <c r="H12516" i="7" s="1"/>
  <c r="H12515" i="7" a="1"/>
  <c r="H12515" i="7" s="1"/>
  <c r="H12514" i="7" a="1"/>
  <c r="H12514" i="7" s="1"/>
  <c r="H12513" i="7" a="1"/>
  <c r="H12513" i="7" s="1"/>
  <c r="H12512" i="7" a="1"/>
  <c r="H12512" i="7" s="1"/>
  <c r="H12511" i="7" a="1"/>
  <c r="H12511" i="7" s="1"/>
  <c r="H12510" i="7" a="1"/>
  <c r="H12510" i="7" s="1"/>
  <c r="H12509" i="7" a="1"/>
  <c r="H12509" i="7" s="1"/>
  <c r="H12508" i="7" a="1"/>
  <c r="H12508" i="7" s="1"/>
  <c r="H12507" i="7" a="1"/>
  <c r="H12507" i="7" s="1"/>
  <c r="H12506" i="7" a="1"/>
  <c r="H12506" i="7" s="1"/>
  <c r="H12505" i="7" a="1"/>
  <c r="H12505" i="7" s="1"/>
  <c r="H12504" i="7" a="1"/>
  <c r="H12504" i="7" s="1"/>
  <c r="H12503" i="7" a="1"/>
  <c r="H12503" i="7" s="1"/>
  <c r="H12502" i="7" a="1"/>
  <c r="H12502" i="7" s="1"/>
  <c r="H12501" i="7" a="1"/>
  <c r="H12501" i="7" s="1"/>
  <c r="H12500" i="7" a="1"/>
  <c r="H12500" i="7" s="1"/>
  <c r="H12499" i="7" a="1"/>
  <c r="H12499" i="7" s="1"/>
  <c r="H12498" i="7" a="1"/>
  <c r="H12498" i="7" s="1"/>
  <c r="H12497" i="7" a="1"/>
  <c r="H12497" i="7" s="1"/>
  <c r="H12496" i="7" a="1"/>
  <c r="H12496" i="7" s="1"/>
  <c r="H12495" i="7" a="1"/>
  <c r="H12495" i="7" s="1"/>
  <c r="H12494" i="7" a="1"/>
  <c r="H12494" i="7" s="1"/>
  <c r="H12493" i="7" a="1"/>
  <c r="H12493" i="7" s="1"/>
  <c r="H12492" i="7" a="1"/>
  <c r="H12492" i="7" s="1"/>
  <c r="H12491" i="7" a="1"/>
  <c r="H12491" i="7" s="1"/>
  <c r="H12490" i="7" a="1"/>
  <c r="H12490" i="7" s="1"/>
  <c r="H12489" i="7" a="1"/>
  <c r="H12489" i="7" s="1"/>
  <c r="H12488" i="7" a="1"/>
  <c r="H12488" i="7" s="1"/>
  <c r="H12487" i="7" a="1"/>
  <c r="H12487" i="7" s="1"/>
  <c r="H12486" i="7" a="1"/>
  <c r="H12486" i="7" s="1"/>
  <c r="H12485" i="7" a="1"/>
  <c r="H12485" i="7" s="1"/>
  <c r="H12484" i="7" a="1"/>
  <c r="H12484" i="7" s="1"/>
  <c r="H12483" i="7" a="1"/>
  <c r="H12483" i="7" s="1"/>
  <c r="H12482" i="7" a="1"/>
  <c r="H12482" i="7" s="1"/>
  <c r="H12481" i="7" a="1"/>
  <c r="H12481" i="7" s="1"/>
  <c r="H12480" i="7" a="1"/>
  <c r="H12480" i="7" s="1"/>
  <c r="H12479" i="7" a="1"/>
  <c r="H12479" i="7" s="1"/>
  <c r="H12478" i="7" a="1"/>
  <c r="H12478" i="7" s="1"/>
  <c r="H12477" i="7" a="1"/>
  <c r="H12477" i="7" s="1"/>
  <c r="H12476" i="7" a="1"/>
  <c r="H12476" i="7" s="1"/>
  <c r="H12475" i="7" a="1"/>
  <c r="H12475" i="7" s="1"/>
  <c r="H12474" i="7" a="1"/>
  <c r="H12474" i="7" s="1"/>
  <c r="H12473" i="7" a="1"/>
  <c r="H12473" i="7" s="1"/>
  <c r="H12472" i="7" a="1"/>
  <c r="H12472" i="7" s="1"/>
  <c r="H12471" i="7" a="1"/>
  <c r="H12471" i="7" s="1"/>
  <c r="H12470" i="7" a="1"/>
  <c r="H12470" i="7" s="1"/>
  <c r="H12469" i="7" a="1"/>
  <c r="H12469" i="7" s="1"/>
  <c r="H12468" i="7" a="1"/>
  <c r="H12468" i="7" s="1"/>
  <c r="H12467" i="7" a="1"/>
  <c r="H12467" i="7" s="1"/>
  <c r="H12466" i="7" a="1"/>
  <c r="H12466" i="7" s="1"/>
  <c r="H12465" i="7" a="1"/>
  <c r="H12465" i="7" s="1"/>
  <c r="H12464" i="7" a="1"/>
  <c r="H12464" i="7" s="1"/>
  <c r="H12463" i="7" a="1"/>
  <c r="H12463" i="7" s="1"/>
  <c r="H12462" i="7" a="1"/>
  <c r="H12462" i="7" s="1"/>
  <c r="H12461" i="7" a="1"/>
  <c r="H12461" i="7" s="1"/>
  <c r="H12460" i="7" a="1"/>
  <c r="H12460" i="7" s="1"/>
  <c r="H12459" i="7" a="1"/>
  <c r="H12459" i="7" s="1"/>
  <c r="H12458" i="7" a="1"/>
  <c r="H12458" i="7" s="1"/>
  <c r="H12457" i="7" a="1"/>
  <c r="H12457" i="7" s="1"/>
  <c r="H12456" i="7" a="1"/>
  <c r="H12456" i="7" s="1"/>
  <c r="H12455" i="7" a="1"/>
  <c r="H12455" i="7" s="1"/>
  <c r="H12454" i="7" a="1"/>
  <c r="H12454" i="7" s="1"/>
  <c r="H12453" i="7" a="1"/>
  <c r="H12453" i="7" s="1"/>
  <c r="H12452" i="7" a="1"/>
  <c r="H12452" i="7" s="1"/>
  <c r="H12451" i="7" a="1"/>
  <c r="H12451" i="7" s="1"/>
  <c r="H12450" i="7" a="1"/>
  <c r="H12450" i="7" s="1"/>
  <c r="H12449" i="7" a="1"/>
  <c r="H12449" i="7" s="1"/>
  <c r="H12448" i="7" a="1"/>
  <c r="H12448" i="7" s="1"/>
  <c r="H12447" i="7" a="1"/>
  <c r="H12447" i="7" s="1"/>
  <c r="H12446" i="7" a="1"/>
  <c r="H12446" i="7" s="1"/>
  <c r="H12445" i="7" a="1"/>
  <c r="H12445" i="7" s="1"/>
  <c r="H12444" i="7" a="1"/>
  <c r="H12444" i="7" s="1"/>
  <c r="H12443" i="7" a="1"/>
  <c r="H12443" i="7" s="1"/>
  <c r="H12442" i="7" a="1"/>
  <c r="H12442" i="7" s="1"/>
  <c r="H12441" i="7" a="1"/>
  <c r="H12441" i="7" s="1"/>
  <c r="H12440" i="7" a="1"/>
  <c r="H12440" i="7" s="1"/>
  <c r="H12439" i="7" a="1"/>
  <c r="H12439" i="7" s="1"/>
  <c r="H12438" i="7" a="1"/>
  <c r="H12438" i="7" s="1"/>
  <c r="H12437" i="7" a="1"/>
  <c r="H12437" i="7" s="1"/>
  <c r="H12436" i="7" a="1"/>
  <c r="H12436" i="7" s="1"/>
  <c r="H12435" i="7" a="1"/>
  <c r="H12435" i="7" s="1"/>
  <c r="H12434" i="7" a="1"/>
  <c r="H12434" i="7" s="1"/>
  <c r="H12433" i="7" a="1"/>
  <c r="H12433" i="7" s="1"/>
  <c r="H12432" i="7" a="1"/>
  <c r="H12432" i="7" s="1"/>
  <c r="H12431" i="7" a="1"/>
  <c r="H12431" i="7" s="1"/>
  <c r="H12430" i="7" a="1"/>
  <c r="H12430" i="7" s="1"/>
  <c r="H12429" i="7" a="1"/>
  <c r="H12429" i="7" s="1"/>
  <c r="H12428" i="7" a="1"/>
  <c r="H12428" i="7" s="1"/>
  <c r="H12427" i="7" a="1"/>
  <c r="H12427" i="7" s="1"/>
  <c r="H12426" i="7" a="1"/>
  <c r="H12426" i="7" s="1"/>
  <c r="H12425" i="7" a="1"/>
  <c r="H12425" i="7" s="1"/>
  <c r="H12424" i="7" a="1"/>
  <c r="H12424" i="7" s="1"/>
  <c r="H12423" i="7" a="1"/>
  <c r="H12423" i="7" s="1"/>
  <c r="H12422" i="7" a="1"/>
  <c r="H12422" i="7" s="1"/>
  <c r="H12421" i="7" a="1"/>
  <c r="H12421" i="7" s="1"/>
  <c r="H12420" i="7" a="1"/>
  <c r="H12420" i="7" s="1"/>
  <c r="H12419" i="7" a="1"/>
  <c r="H12419" i="7" s="1"/>
  <c r="H12418" i="7" a="1"/>
  <c r="H12418" i="7" s="1"/>
  <c r="H12417" i="7" a="1"/>
  <c r="H12417" i="7" s="1"/>
  <c r="H12416" i="7" a="1"/>
  <c r="H12416" i="7" s="1"/>
  <c r="H12415" i="7" a="1"/>
  <c r="H12415" i="7" s="1"/>
  <c r="H12414" i="7" a="1"/>
  <c r="H12414" i="7" s="1"/>
  <c r="H12413" i="7" a="1"/>
  <c r="H12413" i="7" s="1"/>
  <c r="H12412" i="7" a="1"/>
  <c r="H12412" i="7" s="1"/>
  <c r="H12411" i="7" a="1"/>
  <c r="H12411" i="7" s="1"/>
  <c r="H12410" i="7" a="1"/>
  <c r="H12410" i="7" s="1"/>
  <c r="H12409" i="7" a="1"/>
  <c r="H12409" i="7" s="1"/>
  <c r="H12408" i="7" a="1"/>
  <c r="H12408" i="7" s="1"/>
  <c r="H12407" i="7" a="1"/>
  <c r="H12407" i="7" s="1"/>
  <c r="H12406" i="7" a="1"/>
  <c r="H12406" i="7" s="1"/>
  <c r="H12405" i="7" a="1"/>
  <c r="H12405" i="7" s="1"/>
  <c r="H12404" i="7" a="1"/>
  <c r="H12404" i="7" s="1"/>
  <c r="H12403" i="7" a="1"/>
  <c r="H12403" i="7" s="1"/>
  <c r="H12402" i="7" a="1"/>
  <c r="H12402" i="7" s="1"/>
  <c r="H12401" i="7" a="1"/>
  <c r="H12401" i="7" s="1"/>
  <c r="H12400" i="7" a="1"/>
  <c r="H12400" i="7" s="1"/>
  <c r="H12399" i="7" a="1"/>
  <c r="H12399" i="7" s="1"/>
  <c r="H12398" i="7" a="1"/>
  <c r="H12398" i="7" s="1"/>
  <c r="H12397" i="7" a="1"/>
  <c r="H12397" i="7" s="1"/>
  <c r="H12396" i="7" a="1"/>
  <c r="H12396" i="7" s="1"/>
  <c r="H12395" i="7" a="1"/>
  <c r="H12395" i="7" s="1"/>
  <c r="H12394" i="7" a="1"/>
  <c r="H12394" i="7" s="1"/>
  <c r="H12393" i="7" a="1"/>
  <c r="H12393" i="7" s="1"/>
  <c r="H12392" i="7" a="1"/>
  <c r="H12392" i="7" s="1"/>
  <c r="H12391" i="7" a="1"/>
  <c r="H12391" i="7" s="1"/>
  <c r="H12390" i="7" a="1"/>
  <c r="H12390" i="7" s="1"/>
  <c r="H12389" i="7" a="1"/>
  <c r="H12389" i="7" s="1"/>
  <c r="H12388" i="7" a="1"/>
  <c r="H12388" i="7" s="1"/>
  <c r="H12387" i="7" a="1"/>
  <c r="H12387" i="7" s="1"/>
  <c r="H12386" i="7" a="1"/>
  <c r="H12386" i="7" s="1"/>
  <c r="H12385" i="7" a="1"/>
  <c r="H12385" i="7" s="1"/>
  <c r="H12384" i="7" a="1"/>
  <c r="H12384" i="7" s="1"/>
  <c r="H12383" i="7" a="1"/>
  <c r="H12383" i="7" s="1"/>
  <c r="H12382" i="7" a="1"/>
  <c r="H12382" i="7" s="1"/>
  <c r="H12381" i="7" a="1"/>
  <c r="H12381" i="7" s="1"/>
  <c r="H12380" i="7" a="1"/>
  <c r="H12380" i="7" s="1"/>
  <c r="H12379" i="7" a="1"/>
  <c r="H12379" i="7" s="1"/>
  <c r="H12378" i="7" a="1"/>
  <c r="H12378" i="7" s="1"/>
  <c r="H12377" i="7" a="1"/>
  <c r="H12377" i="7" s="1"/>
  <c r="H12376" i="7" a="1"/>
  <c r="H12376" i="7" s="1"/>
  <c r="H12375" i="7" a="1"/>
  <c r="H12375" i="7" s="1"/>
  <c r="H12374" i="7" a="1"/>
  <c r="H12374" i="7" s="1"/>
  <c r="H12373" i="7" a="1"/>
  <c r="H12373" i="7" s="1"/>
  <c r="H12372" i="7" a="1"/>
  <c r="H12372" i="7" s="1"/>
  <c r="H12371" i="7" a="1"/>
  <c r="H12371" i="7" s="1"/>
  <c r="H12370" i="7" a="1"/>
  <c r="H12370" i="7" s="1"/>
  <c r="H12369" i="7" a="1"/>
  <c r="H12369" i="7" s="1"/>
  <c r="H12368" i="7" a="1"/>
  <c r="H12368" i="7" s="1"/>
  <c r="H12367" i="7" a="1"/>
  <c r="H12367" i="7" s="1"/>
  <c r="H12366" i="7" a="1"/>
  <c r="H12366" i="7" s="1"/>
  <c r="H12365" i="7" a="1"/>
  <c r="H12365" i="7" s="1"/>
  <c r="H12364" i="7" a="1"/>
  <c r="H12364" i="7" s="1"/>
  <c r="H12363" i="7" a="1"/>
  <c r="H12363" i="7" s="1"/>
  <c r="H12362" i="7" a="1"/>
  <c r="H12362" i="7" s="1"/>
  <c r="H12361" i="7" a="1"/>
  <c r="H12361" i="7" s="1"/>
  <c r="H12360" i="7" a="1"/>
  <c r="H12360" i="7" s="1"/>
  <c r="H12359" i="7" a="1"/>
  <c r="H12359" i="7" s="1"/>
  <c r="H12358" i="7" a="1"/>
  <c r="H12358" i="7" s="1"/>
  <c r="H12357" i="7" a="1"/>
  <c r="H12357" i="7" s="1"/>
  <c r="H12356" i="7" a="1"/>
  <c r="H12356" i="7" s="1"/>
  <c r="H12355" i="7" a="1"/>
  <c r="H12355" i="7" s="1"/>
  <c r="H12354" i="7" a="1"/>
  <c r="H12354" i="7" s="1"/>
  <c r="H12353" i="7" a="1"/>
  <c r="H12353" i="7" s="1"/>
  <c r="H12352" i="7" a="1"/>
  <c r="H12352" i="7" s="1"/>
  <c r="H12351" i="7" a="1"/>
  <c r="H12351" i="7" s="1"/>
  <c r="H12350" i="7" a="1"/>
  <c r="H12350" i="7" s="1"/>
  <c r="H12349" i="7" a="1"/>
  <c r="H12349" i="7" s="1"/>
  <c r="H12348" i="7" a="1"/>
  <c r="H12348" i="7" s="1"/>
  <c r="H12347" i="7" a="1"/>
  <c r="H12347" i="7" s="1"/>
  <c r="H12346" i="7" a="1"/>
  <c r="H12346" i="7" s="1"/>
  <c r="H12345" i="7" a="1"/>
  <c r="H12345" i="7" s="1"/>
  <c r="H12344" i="7" a="1"/>
  <c r="H12344" i="7" s="1"/>
  <c r="H12343" i="7" a="1"/>
  <c r="H12343" i="7" s="1"/>
  <c r="H12342" i="7" a="1"/>
  <c r="H12342" i="7" s="1"/>
  <c r="H12341" i="7" a="1"/>
  <c r="H12341" i="7" s="1"/>
  <c r="H12340" i="7" a="1"/>
  <c r="H12340" i="7" s="1"/>
  <c r="H12339" i="7" a="1"/>
  <c r="H12339" i="7" s="1"/>
  <c r="H12338" i="7" a="1"/>
  <c r="H12338" i="7" s="1"/>
  <c r="H12337" i="7" a="1"/>
  <c r="H12337" i="7" s="1"/>
  <c r="H12336" i="7" a="1"/>
  <c r="H12336" i="7" s="1"/>
  <c r="H12335" i="7" a="1"/>
  <c r="H12335" i="7" s="1"/>
  <c r="H12334" i="7" a="1"/>
  <c r="H12334" i="7" s="1"/>
  <c r="H12333" i="7" a="1"/>
  <c r="H12333" i="7" s="1"/>
  <c r="H12332" i="7" a="1"/>
  <c r="H12332" i="7" s="1"/>
  <c r="H12331" i="7" a="1"/>
  <c r="H12331" i="7" s="1"/>
  <c r="H12330" i="7" a="1"/>
  <c r="H12330" i="7" s="1"/>
  <c r="H12329" i="7" a="1"/>
  <c r="H12329" i="7" s="1"/>
  <c r="H12328" i="7" a="1"/>
  <c r="H12328" i="7" s="1"/>
  <c r="H12327" i="7" a="1"/>
  <c r="H12327" i="7" s="1"/>
  <c r="H12326" i="7" a="1"/>
  <c r="H12326" i="7" s="1"/>
  <c r="H12325" i="7" a="1"/>
  <c r="H12325" i="7" s="1"/>
  <c r="H12324" i="7" a="1"/>
  <c r="H12324" i="7" s="1"/>
  <c r="H12323" i="7" a="1"/>
  <c r="H12323" i="7" s="1"/>
  <c r="H12322" i="7" a="1"/>
  <c r="H12322" i="7" s="1"/>
  <c r="H12321" i="7" a="1"/>
  <c r="H12321" i="7" s="1"/>
  <c r="H12320" i="7" a="1"/>
  <c r="H12320" i="7" s="1"/>
  <c r="H12319" i="7" a="1"/>
  <c r="H12319" i="7" s="1"/>
  <c r="H12318" i="7" a="1"/>
  <c r="H12318" i="7" s="1"/>
  <c r="H12317" i="7" a="1"/>
  <c r="H12317" i="7" s="1"/>
  <c r="H12316" i="7" a="1"/>
  <c r="H12316" i="7" s="1"/>
  <c r="H12315" i="7" a="1"/>
  <c r="H12315" i="7" s="1"/>
  <c r="H12314" i="7" a="1"/>
  <c r="H12314" i="7" s="1"/>
  <c r="H12313" i="7" a="1"/>
  <c r="H12313" i="7" s="1"/>
  <c r="H12312" i="7" a="1"/>
  <c r="H12312" i="7" s="1"/>
  <c r="H12311" i="7" a="1"/>
  <c r="H12311" i="7" s="1"/>
  <c r="H12310" i="7" a="1"/>
  <c r="H12310" i="7" s="1"/>
  <c r="H12309" i="7" a="1"/>
  <c r="H12309" i="7" s="1"/>
  <c r="H12308" i="7" a="1"/>
  <c r="H12308" i="7" s="1"/>
  <c r="H12307" i="7" a="1"/>
  <c r="H12307" i="7" s="1"/>
  <c r="H12306" i="7" a="1"/>
  <c r="H12306" i="7" s="1"/>
  <c r="H12305" i="7" a="1"/>
  <c r="H12305" i="7" s="1"/>
  <c r="H12304" i="7" a="1"/>
  <c r="H12304" i="7" s="1"/>
  <c r="H12303" i="7" a="1"/>
  <c r="H12303" i="7" s="1"/>
  <c r="H12302" i="7" a="1"/>
  <c r="H12302" i="7" s="1"/>
  <c r="H12301" i="7" a="1"/>
  <c r="H12301" i="7" s="1"/>
  <c r="H12300" i="7" a="1"/>
  <c r="H12300" i="7" s="1"/>
  <c r="H12299" i="7" a="1"/>
  <c r="H12299" i="7" s="1"/>
  <c r="H12298" i="7" a="1"/>
  <c r="H12298" i="7" s="1"/>
  <c r="H12297" i="7" a="1"/>
  <c r="H12297" i="7" s="1"/>
  <c r="H12296" i="7" a="1"/>
  <c r="H12296" i="7" s="1"/>
  <c r="H12295" i="7" a="1"/>
  <c r="H12295" i="7" s="1"/>
  <c r="H12294" i="7" a="1"/>
  <c r="H12294" i="7" s="1"/>
  <c r="H12293" i="7" a="1"/>
  <c r="H12293" i="7" s="1"/>
  <c r="H12292" i="7" a="1"/>
  <c r="H12292" i="7" s="1"/>
  <c r="H12291" i="7" a="1"/>
  <c r="H12291" i="7" s="1"/>
  <c r="H12290" i="7" a="1"/>
  <c r="H12290" i="7" s="1"/>
  <c r="H12289" i="7" a="1"/>
  <c r="H12289" i="7" s="1"/>
  <c r="H12288" i="7" a="1"/>
  <c r="H12288" i="7" s="1"/>
  <c r="H12287" i="7" a="1"/>
  <c r="H12287" i="7" s="1"/>
  <c r="H12286" i="7" a="1"/>
  <c r="H12286" i="7" s="1"/>
  <c r="H12285" i="7" a="1"/>
  <c r="H12285" i="7" s="1"/>
  <c r="H12284" i="7" a="1"/>
  <c r="H12284" i="7" s="1"/>
  <c r="H12283" i="7" a="1"/>
  <c r="H12283" i="7" s="1"/>
  <c r="H12282" i="7" a="1"/>
  <c r="H12282" i="7" s="1"/>
  <c r="H12281" i="7" a="1"/>
  <c r="H12281" i="7" s="1"/>
  <c r="H12280" i="7" a="1"/>
  <c r="H12280" i="7" s="1"/>
  <c r="H12279" i="7" a="1"/>
  <c r="H12279" i="7" s="1"/>
  <c r="H12278" i="7" a="1"/>
  <c r="H12278" i="7" s="1"/>
  <c r="H12277" i="7" a="1"/>
  <c r="H12277" i="7" s="1"/>
  <c r="H12276" i="7" a="1"/>
  <c r="H12276" i="7" s="1"/>
  <c r="H12275" i="7" a="1"/>
  <c r="H12275" i="7" s="1"/>
  <c r="H12274" i="7" a="1"/>
  <c r="H12274" i="7" s="1"/>
  <c r="H12273" i="7" a="1"/>
  <c r="H12273" i="7" s="1"/>
  <c r="H12272" i="7" a="1"/>
  <c r="H12272" i="7" s="1"/>
  <c r="H12271" i="7" a="1"/>
  <c r="H12271" i="7" s="1"/>
  <c r="H12270" i="7" a="1"/>
  <c r="H12270" i="7" s="1"/>
  <c r="H12269" i="7" a="1"/>
  <c r="H12269" i="7" s="1"/>
  <c r="H12268" i="7" a="1"/>
  <c r="H12268" i="7" s="1"/>
  <c r="H12267" i="7" a="1"/>
  <c r="H12267" i="7" s="1"/>
  <c r="H12266" i="7" a="1"/>
  <c r="H12266" i="7" s="1"/>
  <c r="H12265" i="7" a="1"/>
  <c r="H12265" i="7" s="1"/>
  <c r="H12264" i="7" a="1"/>
  <c r="H12264" i="7" s="1"/>
  <c r="H12263" i="7" a="1"/>
  <c r="H12263" i="7" s="1"/>
  <c r="H12262" i="7" a="1"/>
  <c r="H12262" i="7" s="1"/>
  <c r="H12261" i="7" a="1"/>
  <c r="H12261" i="7" s="1"/>
  <c r="H12260" i="7" a="1"/>
  <c r="H12260" i="7" s="1"/>
  <c r="H12259" i="7" a="1"/>
  <c r="H12259" i="7" s="1"/>
  <c r="H12258" i="7" a="1"/>
  <c r="H12258" i="7" s="1"/>
  <c r="H12257" i="7" a="1"/>
  <c r="H12257" i="7" s="1"/>
  <c r="H12256" i="7" a="1"/>
  <c r="H12256" i="7" s="1"/>
  <c r="H12255" i="7" a="1"/>
  <c r="H12255" i="7" s="1"/>
  <c r="H12254" i="7" a="1"/>
  <c r="H12254" i="7" s="1"/>
  <c r="H12253" i="7" a="1"/>
  <c r="H12253" i="7" s="1"/>
  <c r="H12252" i="7" a="1"/>
  <c r="H12252" i="7" s="1"/>
  <c r="H12251" i="7" a="1"/>
  <c r="H12251" i="7" s="1"/>
  <c r="H12250" i="7" a="1"/>
  <c r="H12250" i="7" s="1"/>
  <c r="H12249" i="7" a="1"/>
  <c r="H12249" i="7" s="1"/>
  <c r="H12248" i="7" a="1"/>
  <c r="H12248" i="7" s="1"/>
  <c r="H12247" i="7" a="1"/>
  <c r="H12247" i="7" s="1"/>
  <c r="H12246" i="7" a="1"/>
  <c r="H12246" i="7" s="1"/>
  <c r="H12245" i="7" a="1"/>
  <c r="H12245" i="7" s="1"/>
  <c r="H12244" i="7" a="1"/>
  <c r="H12244" i="7" s="1"/>
  <c r="H12243" i="7" a="1"/>
  <c r="H12243" i="7" s="1"/>
  <c r="H12242" i="7" a="1"/>
  <c r="H12242" i="7" s="1"/>
  <c r="H12241" i="7" a="1"/>
  <c r="H12241" i="7" s="1"/>
  <c r="H12240" i="7" a="1"/>
  <c r="H12240" i="7" s="1"/>
  <c r="H12239" i="7" a="1"/>
  <c r="H12239" i="7" s="1"/>
  <c r="H12238" i="7" a="1"/>
  <c r="H12238" i="7" s="1"/>
  <c r="H12237" i="7" a="1"/>
  <c r="H12237" i="7" s="1"/>
  <c r="H12236" i="7" a="1"/>
  <c r="H12236" i="7" s="1"/>
  <c r="H12235" i="7" a="1"/>
  <c r="H12235" i="7" s="1"/>
  <c r="H12234" i="7" a="1"/>
  <c r="H12234" i="7" s="1"/>
  <c r="H12233" i="7" a="1"/>
  <c r="H12233" i="7" s="1"/>
  <c r="H12232" i="7" a="1"/>
  <c r="H12232" i="7" s="1"/>
  <c r="H12231" i="7" a="1"/>
  <c r="H12231" i="7" s="1"/>
  <c r="H12230" i="7" a="1"/>
  <c r="H12230" i="7" s="1"/>
  <c r="H12229" i="7" a="1"/>
  <c r="H12229" i="7" s="1"/>
  <c r="H12228" i="7" a="1"/>
  <c r="H12228" i="7" s="1"/>
  <c r="H12227" i="7" a="1"/>
  <c r="H12227" i="7" s="1"/>
  <c r="H12226" i="7" a="1"/>
  <c r="H12226" i="7" s="1"/>
  <c r="H12225" i="7" a="1"/>
  <c r="H12225" i="7" s="1"/>
  <c r="H12224" i="7" a="1"/>
  <c r="H12224" i="7" s="1"/>
  <c r="H12223" i="7" a="1"/>
  <c r="H12223" i="7" s="1"/>
  <c r="H12222" i="7" a="1"/>
  <c r="H12222" i="7" s="1"/>
  <c r="H12221" i="7" a="1"/>
  <c r="H12221" i="7" s="1"/>
  <c r="H12220" i="7" a="1"/>
  <c r="H12220" i="7" s="1"/>
  <c r="H12219" i="7" a="1"/>
  <c r="H12219" i="7" s="1"/>
  <c r="H12218" i="7" a="1"/>
  <c r="H12218" i="7" s="1"/>
  <c r="H12217" i="7" a="1"/>
  <c r="H12217" i="7" s="1"/>
  <c r="H12216" i="7" a="1"/>
  <c r="H12216" i="7" s="1"/>
  <c r="H12215" i="7" a="1"/>
  <c r="H12215" i="7" s="1"/>
  <c r="H12214" i="7" a="1"/>
  <c r="H12214" i="7" s="1"/>
  <c r="H12213" i="7" a="1"/>
  <c r="H12213" i="7" s="1"/>
  <c r="H12212" i="7" a="1"/>
  <c r="H12212" i="7" s="1"/>
  <c r="H12211" i="7" a="1"/>
  <c r="H12211" i="7" s="1"/>
  <c r="H12210" i="7" a="1"/>
  <c r="H12210" i="7" s="1"/>
  <c r="H12209" i="7" a="1"/>
  <c r="H12209" i="7" s="1"/>
  <c r="H12208" i="7" a="1"/>
  <c r="H12208" i="7" s="1"/>
  <c r="H12207" i="7" a="1"/>
  <c r="H12207" i="7" s="1"/>
  <c r="H12206" i="7" a="1"/>
  <c r="H12206" i="7" s="1"/>
  <c r="H12205" i="7" a="1"/>
  <c r="H12205" i="7" s="1"/>
  <c r="H12204" i="7" a="1"/>
  <c r="H12204" i="7" s="1"/>
  <c r="H12203" i="7" a="1"/>
  <c r="H12203" i="7" s="1"/>
  <c r="H12202" i="7" a="1"/>
  <c r="H12202" i="7" s="1"/>
  <c r="H12201" i="7" a="1"/>
  <c r="H12201" i="7" s="1"/>
  <c r="H12200" i="7" a="1"/>
  <c r="H12200" i="7" s="1"/>
  <c r="H12199" i="7" a="1"/>
  <c r="H12199" i="7" s="1"/>
  <c r="H12198" i="7" a="1"/>
  <c r="H12198" i="7" s="1"/>
  <c r="H12197" i="7" a="1"/>
  <c r="H12197" i="7" s="1"/>
  <c r="H12196" i="7" a="1"/>
  <c r="H12196" i="7" s="1"/>
  <c r="H12195" i="7" a="1"/>
  <c r="H12195" i="7" s="1"/>
  <c r="H12194" i="7" a="1"/>
  <c r="H12194" i="7" s="1"/>
  <c r="H12193" i="7" a="1"/>
  <c r="H12193" i="7" s="1"/>
  <c r="H12192" i="7" a="1"/>
  <c r="H12192" i="7" s="1"/>
  <c r="H12191" i="7" a="1"/>
  <c r="H12191" i="7" s="1"/>
  <c r="H12190" i="7" a="1"/>
  <c r="H12190" i="7" s="1"/>
  <c r="H12189" i="7" a="1"/>
  <c r="H12189" i="7" s="1"/>
  <c r="H12188" i="7" a="1"/>
  <c r="H12188" i="7" s="1"/>
  <c r="H12187" i="7" a="1"/>
  <c r="H12187" i="7" s="1"/>
  <c r="H12186" i="7" a="1"/>
  <c r="H12186" i="7" s="1"/>
  <c r="H12185" i="7" a="1"/>
  <c r="H12185" i="7" s="1"/>
  <c r="H12184" i="7" a="1"/>
  <c r="H12184" i="7" s="1"/>
  <c r="H12183" i="7" a="1"/>
  <c r="H12183" i="7" s="1"/>
  <c r="H12182" i="7" a="1"/>
  <c r="H12182" i="7" s="1"/>
  <c r="H12181" i="7" a="1"/>
  <c r="H12181" i="7" s="1"/>
  <c r="H12180" i="7" a="1"/>
  <c r="H12180" i="7" s="1"/>
  <c r="H12179" i="7" a="1"/>
  <c r="H12179" i="7" s="1"/>
  <c r="H12178" i="7" a="1"/>
  <c r="H12178" i="7" s="1"/>
  <c r="H12177" i="7" a="1"/>
  <c r="H12177" i="7" s="1"/>
  <c r="H12176" i="7" a="1"/>
  <c r="H12176" i="7" s="1"/>
  <c r="H12175" i="7" a="1"/>
  <c r="H12175" i="7" s="1"/>
  <c r="H12174" i="7" a="1"/>
  <c r="H12174" i="7" s="1"/>
  <c r="H12173" i="7" a="1"/>
  <c r="H12173" i="7" s="1"/>
  <c r="H12172" i="7" a="1"/>
  <c r="H12172" i="7" s="1"/>
  <c r="H12171" i="7" a="1"/>
  <c r="H12171" i="7" s="1"/>
  <c r="H12170" i="7" a="1"/>
  <c r="H12170" i="7" s="1"/>
  <c r="H12169" i="7" a="1"/>
  <c r="H12169" i="7" s="1"/>
  <c r="H12168" i="7" a="1"/>
  <c r="H12168" i="7" s="1"/>
  <c r="H12167" i="7" a="1"/>
  <c r="H12167" i="7" s="1"/>
  <c r="H12166" i="7" a="1"/>
  <c r="H12166" i="7" s="1"/>
  <c r="H12165" i="7" a="1"/>
  <c r="H12165" i="7" s="1"/>
  <c r="H12164" i="7" a="1"/>
  <c r="H12164" i="7" s="1"/>
  <c r="H12163" i="7" a="1"/>
  <c r="H12163" i="7" s="1"/>
  <c r="H12162" i="7" a="1"/>
  <c r="H12162" i="7" s="1"/>
  <c r="H12161" i="7" a="1"/>
  <c r="H12161" i="7" s="1"/>
  <c r="H12160" i="7" a="1"/>
  <c r="H12160" i="7" s="1"/>
  <c r="H12159" i="7" a="1"/>
  <c r="H12159" i="7" s="1"/>
  <c r="H12158" i="7" a="1"/>
  <c r="H12158" i="7" s="1"/>
  <c r="H12157" i="7" a="1"/>
  <c r="H12157" i="7" s="1"/>
  <c r="H12156" i="7" a="1"/>
  <c r="H12156" i="7" s="1"/>
  <c r="H12155" i="7" a="1"/>
  <c r="H12155" i="7" s="1"/>
  <c r="H12154" i="7" a="1"/>
  <c r="H12154" i="7" s="1"/>
  <c r="H12153" i="7" a="1"/>
  <c r="H12153" i="7" s="1"/>
  <c r="H12152" i="7" a="1"/>
  <c r="H12152" i="7" s="1"/>
  <c r="H12151" i="7" a="1"/>
  <c r="H12151" i="7" s="1"/>
  <c r="H12150" i="7" a="1"/>
  <c r="H12150" i="7" s="1"/>
  <c r="H12149" i="7" a="1"/>
  <c r="H12149" i="7" s="1"/>
  <c r="H12148" i="7" a="1"/>
  <c r="H12148" i="7" s="1"/>
  <c r="H12147" i="7" a="1"/>
  <c r="H12147" i="7" s="1"/>
  <c r="H12146" i="7" a="1"/>
  <c r="H12146" i="7" s="1"/>
  <c r="H12145" i="7" a="1"/>
  <c r="H12145" i="7" s="1"/>
  <c r="H12144" i="7" a="1"/>
  <c r="H12144" i="7" s="1"/>
  <c r="H12143" i="7" a="1"/>
  <c r="H12143" i="7" s="1"/>
  <c r="H12142" i="7" a="1"/>
  <c r="H12142" i="7" s="1"/>
  <c r="H12141" i="7" a="1"/>
  <c r="H12141" i="7" s="1"/>
  <c r="H12140" i="7" a="1"/>
  <c r="H12140" i="7" s="1"/>
  <c r="H12139" i="7" a="1"/>
  <c r="H12139" i="7" s="1"/>
  <c r="H12138" i="7" a="1"/>
  <c r="H12138" i="7" s="1"/>
  <c r="H12137" i="7" a="1"/>
  <c r="H12137" i="7" s="1"/>
  <c r="H12136" i="7" a="1"/>
  <c r="H12136" i="7" s="1"/>
  <c r="H12135" i="7" a="1"/>
  <c r="H12135" i="7" s="1"/>
  <c r="H12134" i="7" a="1"/>
  <c r="H12134" i="7" s="1"/>
  <c r="H12133" i="7" a="1"/>
  <c r="H12133" i="7" s="1"/>
  <c r="H12132" i="7" a="1"/>
  <c r="H12132" i="7" s="1"/>
  <c r="H12131" i="7" a="1"/>
  <c r="H12131" i="7" s="1"/>
  <c r="H11019" i="7" a="1"/>
  <c r="H11019" i="7" s="1"/>
  <c r="E12738" i="7"/>
  <c r="D12738" i="7"/>
  <c r="E12737" i="7"/>
  <c r="D12737" i="7"/>
  <c r="E12752" i="7"/>
  <c r="D12752" i="7"/>
  <c r="E12751" i="7"/>
  <c r="D12751" i="7"/>
  <c r="E12750" i="7"/>
  <c r="D12750" i="7"/>
  <c r="E12749" i="7"/>
  <c r="D12749" i="7"/>
  <c r="E12748" i="7"/>
  <c r="D12748" i="7"/>
  <c r="E12747" i="7"/>
  <c r="D12747" i="7"/>
  <c r="E12746" i="7"/>
  <c r="D12746" i="7"/>
  <c r="E12745" i="7"/>
  <c r="D12745" i="7"/>
  <c r="E12744" i="7"/>
  <c r="D12744" i="7"/>
  <c r="E12743" i="7"/>
  <c r="D12743" i="7"/>
  <c r="E12742" i="7"/>
  <c r="D12742" i="7"/>
  <c r="E12741" i="7"/>
  <c r="D12741" i="7"/>
  <c r="E12740" i="7"/>
  <c r="D12740" i="7"/>
  <c r="E12739" i="7"/>
  <c r="D12739" i="7"/>
  <c r="E12736" i="7"/>
  <c r="D12736" i="7"/>
  <c r="E12735" i="7"/>
  <c r="D12735" i="7"/>
  <c r="E12731" i="7"/>
  <c r="D12731" i="7"/>
  <c r="E12730" i="7"/>
  <c r="D12730" i="7"/>
  <c r="E12729" i="7"/>
  <c r="D12729" i="7"/>
  <c r="E12706" i="7"/>
  <c r="D12706" i="7"/>
  <c r="E12705" i="7"/>
  <c r="D12705" i="7"/>
  <c r="E12734" i="7"/>
  <c r="D12734" i="7"/>
  <c r="E12733" i="7"/>
  <c r="D12733" i="7"/>
  <c r="E12732" i="7"/>
  <c r="D12732" i="7"/>
  <c r="E12728" i="7"/>
  <c r="D12728" i="7"/>
  <c r="E12727" i="7"/>
  <c r="D12727" i="7"/>
  <c r="E12726" i="7"/>
  <c r="D12726" i="7"/>
  <c r="E12725" i="7"/>
  <c r="D12725" i="7"/>
  <c r="E12724" i="7"/>
  <c r="D12724" i="7"/>
  <c r="E12723" i="7"/>
  <c r="D12723" i="7"/>
  <c r="F193" i="58"/>
  <c r="F194" i="58"/>
  <c r="F195" i="58"/>
  <c r="F196" i="58"/>
  <c r="F197" i="58"/>
  <c r="F198" i="58"/>
  <c r="F199" i="58"/>
  <c r="D193" i="58"/>
  <c r="D194" i="58"/>
  <c r="D195" i="58"/>
  <c r="D196" i="58"/>
  <c r="D197" i="58"/>
  <c r="D198" i="58"/>
  <c r="D199" i="58"/>
  <c r="R199" i="58"/>
  <c r="P199" i="58"/>
  <c r="N199" i="58"/>
  <c r="L199" i="58"/>
  <c r="J199" i="58"/>
  <c r="H199" i="58"/>
  <c r="R198" i="58"/>
  <c r="P198" i="58"/>
  <c r="N198" i="58"/>
  <c r="L198" i="58"/>
  <c r="J198" i="58"/>
  <c r="H198" i="58"/>
  <c r="R197" i="58"/>
  <c r="P197" i="58"/>
  <c r="N197" i="58"/>
  <c r="L197" i="58"/>
  <c r="J197" i="58"/>
  <c r="H197" i="58"/>
  <c r="R196" i="58"/>
  <c r="P196" i="58"/>
  <c r="N196" i="58"/>
  <c r="L196" i="58"/>
  <c r="J196" i="58"/>
  <c r="H196" i="58"/>
  <c r="R195" i="58"/>
  <c r="P195" i="58"/>
  <c r="N195" i="58"/>
  <c r="L195" i="58"/>
  <c r="J195" i="58"/>
  <c r="H195" i="58"/>
  <c r="R194" i="58"/>
  <c r="P194" i="58"/>
  <c r="N194" i="58"/>
  <c r="L194" i="58"/>
  <c r="J194" i="58"/>
  <c r="H194" i="58"/>
  <c r="R193" i="58"/>
  <c r="P193" i="58"/>
  <c r="N193" i="58"/>
  <c r="L193" i="58"/>
  <c r="J193" i="58"/>
  <c r="H193" i="58"/>
  <c r="R192" i="58"/>
  <c r="P192" i="58"/>
  <c r="N192" i="58"/>
  <c r="L192" i="58"/>
  <c r="J192" i="58"/>
  <c r="H192" i="58"/>
  <c r="F192" i="58"/>
  <c r="D192" i="58"/>
  <c r="R191" i="58"/>
  <c r="P191" i="58"/>
  <c r="N191" i="58"/>
  <c r="L191" i="58"/>
  <c r="J191" i="58"/>
  <c r="H191" i="58"/>
  <c r="F191" i="58"/>
  <c r="D191" i="58"/>
  <c r="R190" i="58"/>
  <c r="P190" i="58"/>
  <c r="N190" i="58"/>
  <c r="L190" i="58"/>
  <c r="J190" i="58"/>
  <c r="H190" i="58"/>
  <c r="F190" i="58"/>
  <c r="D190" i="58"/>
  <c r="R189" i="58"/>
  <c r="P189" i="58"/>
  <c r="N189" i="58"/>
  <c r="L189" i="58"/>
  <c r="J189" i="58"/>
  <c r="H189" i="58"/>
  <c r="F189" i="58"/>
  <c r="D189" i="58"/>
  <c r="R188" i="58"/>
  <c r="P188" i="58"/>
  <c r="N188" i="58"/>
  <c r="L188" i="58"/>
  <c r="J188" i="58"/>
  <c r="H188" i="58"/>
  <c r="F188" i="58"/>
  <c r="D188" i="58"/>
  <c r="R187" i="58"/>
  <c r="P187" i="58"/>
  <c r="N187" i="58"/>
  <c r="L187" i="58"/>
  <c r="J187" i="58"/>
  <c r="H187" i="58"/>
  <c r="F187" i="58"/>
  <c r="D187" i="58"/>
  <c r="R186" i="58"/>
  <c r="P186" i="58"/>
  <c r="N186" i="58"/>
  <c r="L186" i="58"/>
  <c r="J186" i="58"/>
  <c r="H186" i="58"/>
  <c r="F186" i="58"/>
  <c r="D186" i="58"/>
  <c r="R178" i="58"/>
  <c r="P178" i="58"/>
  <c r="N178" i="58"/>
  <c r="L178" i="58"/>
  <c r="J178" i="58"/>
  <c r="H178" i="58"/>
  <c r="F178" i="58"/>
  <c r="D178" i="58"/>
  <c r="R177" i="58"/>
  <c r="P177" i="58"/>
  <c r="N177" i="58"/>
  <c r="L177" i="58"/>
  <c r="J177" i="58"/>
  <c r="H177" i="58"/>
  <c r="F177" i="58"/>
  <c r="D177" i="58"/>
  <c r="R176" i="58"/>
  <c r="P176" i="58"/>
  <c r="N176" i="58"/>
  <c r="L176" i="58"/>
  <c r="J176" i="58"/>
  <c r="H176" i="58"/>
  <c r="F176" i="58"/>
  <c r="D176" i="58"/>
  <c r="B176" i="58"/>
  <c r="B177" i="58" s="1"/>
  <c r="B178" i="58" s="1"/>
  <c r="B179" i="58" s="1"/>
  <c r="B180" i="58" s="1"/>
  <c r="B181" i="58" s="1"/>
  <c r="B182" i="58" s="1"/>
  <c r="B183" i="58" s="1"/>
  <c r="B184" i="58" s="1"/>
  <c r="B185" i="58" s="1"/>
  <c r="B186" i="58" s="1"/>
  <c r="B187" i="58" s="1"/>
  <c r="B188" i="58" s="1"/>
  <c r="B189" i="58" s="1"/>
  <c r="B190" i="58" s="1"/>
  <c r="B191" i="58" s="1"/>
  <c r="B192" i="58" s="1"/>
  <c r="B193" i="58" s="1"/>
  <c r="B194" i="58" s="1"/>
  <c r="B195" i="58" s="1"/>
  <c r="B196" i="58" s="1"/>
  <c r="B197" i="58" s="1"/>
  <c r="B198" i="58" s="1"/>
  <c r="B199" i="58" s="1"/>
  <c r="B200" i="58" s="1"/>
  <c r="B201" i="58" s="1"/>
  <c r="B202" i="58" s="1"/>
  <c r="B203" i="58" s="1"/>
  <c r="B204" i="58" s="1"/>
  <c r="B205" i="58" s="1"/>
  <c r="B206" i="58" s="1"/>
  <c r="B207" i="58" s="1"/>
  <c r="B208" i="58" s="1"/>
  <c r="B209" i="58" s="1"/>
  <c r="B210" i="58" s="1"/>
  <c r="B211" i="58" s="1"/>
  <c r="B212" i="58" s="1"/>
  <c r="B213" i="58" s="1"/>
  <c r="B214" i="58" s="1"/>
  <c r="B215" i="58" s="1"/>
  <c r="B216" i="58" s="1"/>
  <c r="B217" i="58" s="1"/>
  <c r="B218" i="58" s="1"/>
  <c r="B219" i="58" s="1"/>
  <c r="B220" i="58" s="1"/>
  <c r="B221" i="58" s="1"/>
  <c r="B222" i="58" s="1"/>
  <c r="B223" i="58" s="1"/>
  <c r="B224" i="58" s="1"/>
  <c r="B225" i="58" s="1"/>
  <c r="B226" i="58" s="1"/>
  <c r="B227" i="58" s="1"/>
  <c r="B228" i="58" s="1"/>
  <c r="B229" i="58" s="1"/>
  <c r="B230" i="58" s="1"/>
  <c r="B231" i="58" s="1"/>
  <c r="B232" i="58" s="1"/>
  <c r="B233" i="58" s="1"/>
  <c r="B234" i="58" s="1"/>
  <c r="B235" i="58" s="1"/>
  <c r="B236" i="58" s="1"/>
  <c r="B237" i="58" s="1"/>
  <c r="B238" i="58" s="1"/>
  <c r="B239" i="58" s="1"/>
  <c r="B240" i="58" s="1"/>
  <c r="B241" i="58" s="1"/>
  <c r="B242" i="58" s="1"/>
  <c r="B243" i="58" s="1"/>
  <c r="B244" i="58" s="1"/>
  <c r="B245" i="58" s="1"/>
  <c r="B246" i="58" s="1"/>
  <c r="B247" i="58" s="1"/>
  <c r="B248" i="58" s="1"/>
  <c r="B249" i="58" s="1"/>
  <c r="B250" i="58" s="1"/>
  <c r="B251" i="58" s="1"/>
  <c r="B252" i="58" s="1"/>
  <c r="B253" i="58" s="1"/>
  <c r="B254" i="58" s="1"/>
  <c r="B255" i="58" s="1"/>
  <c r="B256" i="58" s="1"/>
  <c r="B257" i="58" s="1"/>
  <c r="B258" i="58" s="1"/>
  <c r="B259" i="58" s="1"/>
  <c r="B260" i="58" s="1"/>
  <c r="B261" i="58" s="1"/>
  <c r="B262" i="58" s="1"/>
  <c r="B263" i="58" s="1"/>
  <c r="B264" i="58" s="1"/>
  <c r="B265" i="58" s="1"/>
  <c r="B266" i="58" s="1"/>
  <c r="B267" i="58" s="1"/>
  <c r="B268" i="58" s="1"/>
  <c r="B269" i="58" s="1"/>
  <c r="B270" i="58" s="1"/>
  <c r="B271" i="58" s="1"/>
  <c r="B272" i="58" s="1"/>
  <c r="B273" i="58" s="1"/>
  <c r="B274" i="58" s="1"/>
  <c r="B275" i="58" s="1"/>
  <c r="B276" i="58" s="1"/>
  <c r="B277" i="58" s="1"/>
  <c r="B278" i="58" s="1"/>
  <c r="B279" i="58" s="1"/>
  <c r="B280" i="58" s="1"/>
  <c r="B281" i="58" s="1"/>
  <c r="B282" i="58" s="1"/>
  <c r="B283" i="58" s="1"/>
  <c r="B284" i="58" s="1"/>
  <c r="B285" i="58" s="1"/>
  <c r="B286" i="58" s="1"/>
  <c r="B287" i="58" s="1"/>
  <c r="B288" i="58" s="1"/>
  <c r="B289" i="58" s="1"/>
  <c r="B290" i="58" s="1"/>
  <c r="B291" i="58" s="1"/>
  <c r="B292" i="58" s="1"/>
  <c r="B293" i="58" s="1"/>
  <c r="B294" i="58" s="1"/>
  <c r="B295" i="58" s="1"/>
  <c r="B296" i="58" s="1"/>
  <c r="B297" i="58" s="1"/>
  <c r="B298" i="58" s="1"/>
  <c r="B299" i="58" s="1"/>
  <c r="B300" i="58" s="1"/>
  <c r="B301" i="58" s="1"/>
  <c r="B302" i="58" s="1"/>
  <c r="B303" i="58" s="1"/>
  <c r="B304" i="58" s="1"/>
  <c r="B305" i="58" s="1"/>
  <c r="B306" i="58" s="1"/>
  <c r="B307" i="58" s="1"/>
  <c r="B308" i="58" s="1"/>
  <c r="B309" i="58" s="1"/>
  <c r="B310" i="58" s="1"/>
  <c r="B311" i="58" s="1"/>
  <c r="B312" i="58" s="1"/>
  <c r="B313" i="58" s="1"/>
  <c r="B314" i="58" s="1"/>
  <c r="B315" i="58" s="1"/>
  <c r="B316" i="58" s="1"/>
  <c r="B317" i="58" s="1"/>
  <c r="B318" i="58" s="1"/>
  <c r="B319" i="58" s="1"/>
  <c r="B320" i="58" s="1"/>
  <c r="B321" i="58" s="1"/>
  <c r="B322" i="58" s="1"/>
  <c r="B323" i="58" s="1"/>
  <c r="B324" i="58" s="1"/>
  <c r="B325" i="58" s="1"/>
  <c r="B326" i="58" s="1"/>
  <c r="B327" i="58" s="1"/>
  <c r="B328" i="58" s="1"/>
  <c r="B329" i="58" s="1"/>
  <c r="B330" i="58" s="1"/>
  <c r="B331" i="58" s="1"/>
  <c r="B332" i="58" s="1"/>
  <c r="B333" i="58" s="1"/>
  <c r="B334" i="58" s="1"/>
  <c r="B335" i="58" s="1"/>
  <c r="B336" i="58" s="1"/>
  <c r="B337" i="58" s="1"/>
  <c r="B338" i="58" s="1"/>
  <c r="B339" i="58" s="1"/>
  <c r="B340" i="58" s="1"/>
  <c r="B341" i="58" s="1"/>
  <c r="B342" i="58" s="1"/>
  <c r="B343" i="58" s="1"/>
  <c r="B344" i="58" s="1"/>
  <c r="B345" i="58" s="1"/>
  <c r="B346" i="58" s="1"/>
  <c r="B347" i="58" s="1"/>
  <c r="B348" i="58" s="1"/>
  <c r="B349" i="58" s="1"/>
  <c r="B350" i="58" s="1"/>
  <c r="B351" i="58" s="1"/>
  <c r="B352" i="58" s="1"/>
  <c r="B353" i="58" s="1"/>
  <c r="B354" i="58" s="1"/>
  <c r="B355" i="58" s="1"/>
  <c r="B358" i="58" s="1"/>
  <c r="B359" i="58" s="1"/>
  <c r="B360" i="58" s="1"/>
  <c r="B361" i="58" s="1"/>
  <c r="B362" i="58" s="1"/>
  <c r="B363" i="58" s="1"/>
  <c r="B364" i="58" s="1"/>
  <c r="B365" i="58" s="1"/>
  <c r="B366" i="58" s="1"/>
  <c r="B367" i="58" s="1"/>
  <c r="B368" i="58" s="1"/>
  <c r="B369" i="58" s="1"/>
  <c r="B370" i="58" s="1"/>
  <c r="B371" i="58" s="1"/>
  <c r="B372" i="58" s="1"/>
  <c r="B373" i="58" s="1"/>
  <c r="B374" i="58" s="1"/>
  <c r="B375" i="58" s="1"/>
  <c r="B376" i="58" s="1"/>
  <c r="B377" i="58" s="1"/>
  <c r="B378" i="58" s="1"/>
  <c r="B379" i="58" s="1"/>
  <c r="B380" i="58" s="1"/>
  <c r="B381" i="58" s="1"/>
  <c r="B382" i="58" s="1"/>
  <c r="B383" i="58" s="1"/>
  <c r="B384" i="58" s="1"/>
  <c r="B385" i="58" s="1"/>
  <c r="B386" i="58" s="1"/>
  <c r="B387" i="58" s="1"/>
  <c r="B388" i="58" s="1"/>
  <c r="B389" i="58" s="1"/>
  <c r="B390" i="58" s="1"/>
  <c r="B391" i="58" s="1"/>
  <c r="B392" i="58" s="1"/>
  <c r="B393" i="58" s="1"/>
  <c r="B394" i="58" s="1"/>
  <c r="B395" i="58" s="1"/>
  <c r="B396" i="58" s="1"/>
  <c r="B397" i="58" s="1"/>
  <c r="B398" i="58" s="1"/>
  <c r="B399" i="58" s="1"/>
  <c r="B400" i="58" s="1"/>
  <c r="B401" i="58" s="1"/>
  <c r="B402" i="58" s="1"/>
  <c r="B403" i="58" s="1"/>
  <c r="B404" i="58" s="1"/>
  <c r="B405" i="58" s="1"/>
  <c r="B406" i="58" s="1"/>
  <c r="B407" i="58" s="1"/>
  <c r="B408" i="58" s="1"/>
  <c r="B409" i="58" s="1"/>
  <c r="B410" i="58" s="1"/>
  <c r="B411" i="58" s="1"/>
  <c r="B412" i="58" s="1"/>
  <c r="B413" i="58" s="1"/>
  <c r="B414" i="58" s="1"/>
  <c r="B415" i="58" s="1"/>
  <c r="B416" i="58" s="1"/>
  <c r="B417" i="58" s="1"/>
  <c r="B418" i="58" s="1"/>
  <c r="B419" i="58" s="1"/>
  <c r="B420" i="58" s="1"/>
  <c r="B421" i="58" s="1"/>
  <c r="B422" i="58" s="1"/>
  <c r="B423" i="58" s="1"/>
  <c r="B424" i="58" s="1"/>
  <c r="B425" i="58" s="1"/>
  <c r="B426" i="58" s="1"/>
  <c r="B427" i="58" s="1"/>
  <c r="B428" i="58" s="1"/>
  <c r="B429" i="58" s="1"/>
  <c r="B430" i="58" s="1"/>
  <c r="B431" i="58" s="1"/>
  <c r="B432" i="58" s="1"/>
  <c r="B433" i="58" s="1"/>
  <c r="B434" i="58" s="1"/>
  <c r="B435" i="58" s="1"/>
  <c r="B436" i="58" s="1"/>
  <c r="B437" i="58" s="1"/>
  <c r="B438" i="58" s="1"/>
  <c r="B439" i="58" s="1"/>
  <c r="B440" i="58" s="1"/>
  <c r="B441" i="58" s="1"/>
  <c r="B442" i="58" s="1"/>
  <c r="B443" i="58" s="1"/>
  <c r="B444" i="58" s="1"/>
  <c r="B445" i="58" s="1"/>
  <c r="B446" i="58" s="1"/>
  <c r="B447" i="58" s="1"/>
  <c r="B448" i="58" s="1"/>
  <c r="B449" i="58" s="1"/>
  <c r="B450" i="58" s="1"/>
  <c r="B451" i="58" s="1"/>
  <c r="B452" i="58" s="1"/>
  <c r="B453" i="58" s="1"/>
  <c r="B454" i="58" s="1"/>
  <c r="B455" i="58" s="1"/>
  <c r="B456" i="58" s="1"/>
  <c r="B457" i="58" s="1"/>
  <c r="B458" i="58" s="1"/>
  <c r="B459" i="58" s="1"/>
  <c r="B460" i="58" s="1"/>
  <c r="B461" i="58" s="1"/>
  <c r="B462" i="58" s="1"/>
  <c r="B463" i="58" s="1"/>
  <c r="B464" i="58" s="1"/>
  <c r="B465" i="58" s="1"/>
  <c r="B466" i="58" s="1"/>
  <c r="B467" i="58" s="1"/>
  <c r="B468" i="58" s="1"/>
  <c r="B469" i="58" s="1"/>
  <c r="B470" i="58" s="1"/>
  <c r="B471" i="58" s="1"/>
  <c r="B472" i="58" s="1"/>
  <c r="B473" i="58" s="1"/>
  <c r="B474" i="58" s="1"/>
  <c r="B475" i="58" s="1"/>
  <c r="B476" i="58" s="1"/>
  <c r="B477" i="58" s="1"/>
  <c r="B478" i="58" s="1"/>
  <c r="B479" i="58" s="1"/>
  <c r="B480" i="58" s="1"/>
  <c r="B481" i="58" s="1"/>
  <c r="B482" i="58" s="1"/>
  <c r="B483" i="58" s="1"/>
  <c r="B484" i="58" s="1"/>
  <c r="B485" i="58" s="1"/>
  <c r="B486" i="58" s="1"/>
  <c r="B487" i="58" s="1"/>
  <c r="B488" i="58" s="1"/>
  <c r="B489" i="58" s="1"/>
  <c r="B490" i="58" s="1"/>
  <c r="B491" i="58" s="1"/>
  <c r="B492" i="58" s="1"/>
  <c r="B493" i="58" s="1"/>
  <c r="B494" i="58" s="1"/>
  <c r="B495" i="58" s="1"/>
  <c r="B496" i="58" s="1"/>
  <c r="B497" i="58" s="1"/>
  <c r="B498" i="58" s="1"/>
  <c r="B499" i="58" s="1"/>
  <c r="B500" i="58" s="1"/>
  <c r="B501" i="58" s="1"/>
  <c r="B502" i="58" s="1"/>
  <c r="B503" i="58" s="1"/>
  <c r="B504" i="58" s="1"/>
  <c r="B505" i="58" s="1"/>
  <c r="B506" i="58" s="1"/>
  <c r="B507" i="58" s="1"/>
  <c r="B508" i="58" s="1"/>
  <c r="B509" i="58" s="1"/>
  <c r="B510" i="58" s="1"/>
  <c r="B511" i="58" s="1"/>
  <c r="B512" i="58" s="1"/>
  <c r="B513" i="58" s="1"/>
  <c r="B514" i="58" s="1"/>
  <c r="B515" i="58" s="1"/>
  <c r="B516" i="58" s="1"/>
  <c r="B517" i="58" s="1"/>
  <c r="B518" i="58" s="1"/>
  <c r="B519" i="58" s="1"/>
  <c r="B520" i="58" s="1"/>
  <c r="B521" i="58" s="1"/>
  <c r="B522" i="58" s="1"/>
  <c r="B523" i="58" s="1"/>
  <c r="B524" i="58" s="1"/>
  <c r="B525" i="58" s="1"/>
  <c r="B526" i="58" s="1"/>
  <c r="B527" i="58" s="1"/>
  <c r="B528" i="58" s="1"/>
  <c r="B529" i="58" s="1"/>
  <c r="B530" i="58" s="1"/>
  <c r="B531" i="58" s="1"/>
  <c r="B532" i="58" s="1"/>
  <c r="B533" i="58" s="1"/>
  <c r="B534" i="58" s="1"/>
  <c r="B535" i="58" s="1"/>
  <c r="B536" i="58" s="1"/>
  <c r="B537" i="58" s="1"/>
  <c r="R175" i="58"/>
  <c r="P175" i="58"/>
  <c r="N175" i="58"/>
  <c r="L175" i="58"/>
  <c r="J175" i="58"/>
  <c r="H175" i="58"/>
  <c r="F175" i="58"/>
  <c r="D175" i="58"/>
  <c r="H356" i="58" l="1"/>
  <c r="P356" i="58"/>
  <c r="B538" i="58"/>
  <c r="B539" i="58" s="1"/>
  <c r="B540" i="58" s="1"/>
  <c r="J356" i="58"/>
  <c r="R356" i="58"/>
  <c r="D356" i="58"/>
  <c r="L356" i="58"/>
  <c r="F356" i="58"/>
  <c r="N356" i="58"/>
  <c r="E12722" i="7"/>
  <c r="D12722" i="7"/>
  <c r="E12721" i="7"/>
  <c r="D12721" i="7"/>
  <c r="E12720" i="7"/>
  <c r="D12720" i="7"/>
  <c r="E12719" i="7"/>
  <c r="D12719" i="7"/>
  <c r="E12718" i="7"/>
  <c r="D12718" i="7"/>
  <c r="E12717" i="7"/>
  <c r="D12717" i="7"/>
  <c r="E12716" i="7"/>
  <c r="D12716" i="7"/>
  <c r="E12715" i="7"/>
  <c r="D12715" i="7"/>
  <c r="E12714" i="7"/>
  <c r="D12714" i="7"/>
  <c r="E12713" i="7"/>
  <c r="D12713" i="7"/>
  <c r="E12712" i="7"/>
  <c r="D12712" i="7"/>
  <c r="E12711" i="7"/>
  <c r="D12711" i="7"/>
  <c r="E12710" i="7"/>
  <c r="D12710" i="7"/>
  <c r="E12709" i="7"/>
  <c r="D12709" i="7"/>
  <c r="E12708" i="7"/>
  <c r="D12708" i="7"/>
  <c r="E12707" i="7"/>
  <c r="D12707" i="7"/>
  <c r="E12704" i="7"/>
  <c r="D12704" i="7"/>
  <c r="E12703" i="7"/>
  <c r="D12703" i="7"/>
  <c r="E12702" i="7"/>
  <c r="D12702" i="7"/>
  <c r="E12697" i="7"/>
  <c r="D12697" i="7"/>
  <c r="E12696" i="7"/>
  <c r="D12696" i="7"/>
  <c r="E12695" i="7"/>
  <c r="D12695" i="7"/>
  <c r="E12694" i="7"/>
  <c r="D12694" i="7"/>
  <c r="E12693" i="7"/>
  <c r="D12693" i="7"/>
  <c r="E12692" i="7"/>
  <c r="D12692" i="7"/>
  <c r="E12690" i="7"/>
  <c r="D12690" i="7"/>
  <c r="E12689" i="7"/>
  <c r="D12689" i="7"/>
  <c r="E12688" i="7"/>
  <c r="D12688" i="7"/>
  <c r="E12687" i="7"/>
  <c r="D12687" i="7"/>
  <c r="E12686" i="7"/>
  <c r="D12686" i="7"/>
  <c r="E12685" i="7"/>
  <c r="D12685" i="7"/>
  <c r="E12684" i="7"/>
  <c r="D12684" i="7"/>
  <c r="E12683" i="7"/>
  <c r="D12683" i="7"/>
  <c r="E12682" i="7"/>
  <c r="D12682" i="7"/>
  <c r="E12681" i="7"/>
  <c r="D12681" i="7"/>
  <c r="E12680" i="7"/>
  <c r="D12680" i="7"/>
  <c r="E12679" i="7"/>
  <c r="D12679" i="7"/>
  <c r="E12678" i="7"/>
  <c r="D12678" i="7"/>
  <c r="E12677" i="7"/>
  <c r="D12677" i="7"/>
  <c r="E12676" i="7"/>
  <c r="D12676" i="7"/>
  <c r="E12675" i="7"/>
  <c r="D12675" i="7"/>
  <c r="E12674" i="7"/>
  <c r="D12674" i="7"/>
  <c r="E12673" i="7"/>
  <c r="D12673" i="7"/>
  <c r="E12672" i="7"/>
  <c r="D12672" i="7"/>
  <c r="E12671" i="7"/>
  <c r="D12671" i="7"/>
  <c r="E12670" i="7"/>
  <c r="D12670" i="7"/>
  <c r="E12669" i="7"/>
  <c r="D12669" i="7"/>
  <c r="E12668" i="7"/>
  <c r="D12668" i="7"/>
  <c r="E12667" i="7"/>
  <c r="D12667" i="7"/>
  <c r="E12664" i="7"/>
  <c r="D12664" i="7"/>
  <c r="E12663" i="7"/>
  <c r="D12663" i="7"/>
  <c r="E12662" i="7"/>
  <c r="D12662" i="7"/>
  <c r="E12661" i="7"/>
  <c r="D12661" i="7"/>
  <c r="E12660" i="7"/>
  <c r="D12660" i="7"/>
  <c r="E12659" i="7"/>
  <c r="D12659" i="7"/>
  <c r="E12658" i="7"/>
  <c r="D12658" i="7"/>
  <c r="E12657" i="7"/>
  <c r="D12657" i="7"/>
  <c r="E12656" i="7"/>
  <c r="D12656" i="7"/>
  <c r="E12655" i="7"/>
  <c r="D12655" i="7"/>
  <c r="E12654" i="7"/>
  <c r="D12654" i="7"/>
  <c r="E12653" i="7"/>
  <c r="D12653" i="7"/>
  <c r="E12652" i="7"/>
  <c r="D12652" i="7"/>
  <c r="E12651" i="7"/>
  <c r="D12651" i="7"/>
  <c r="E12650" i="7"/>
  <c r="D12650" i="7"/>
  <c r="E12649" i="7"/>
  <c r="D12649" i="7"/>
  <c r="E12648" i="7"/>
  <c r="D12648" i="7"/>
  <c r="E12647" i="7"/>
  <c r="D12647" i="7"/>
  <c r="E12646" i="7"/>
  <c r="D12646" i="7"/>
  <c r="E12645" i="7"/>
  <c r="D12645" i="7"/>
  <c r="E12644" i="7"/>
  <c r="D12644" i="7"/>
  <c r="E12643" i="7"/>
  <c r="D12643" i="7"/>
  <c r="E12642" i="7"/>
  <c r="D12642" i="7"/>
  <c r="E12641" i="7"/>
  <c r="D12641" i="7"/>
  <c r="E12640" i="7"/>
  <c r="D12640" i="7"/>
  <c r="E12639" i="7"/>
  <c r="D12639" i="7"/>
  <c r="E12638" i="7"/>
  <c r="D12638" i="7"/>
  <c r="E12637" i="7"/>
  <c r="D12637" i="7"/>
  <c r="E12636" i="7"/>
  <c r="D12636" i="7"/>
  <c r="E12635" i="7"/>
  <c r="D12635" i="7"/>
  <c r="E12634" i="7"/>
  <c r="D12634" i="7"/>
  <c r="E12631" i="7"/>
  <c r="D12631" i="7"/>
  <c r="E12630" i="7"/>
  <c r="D12630" i="7"/>
  <c r="E12629" i="7"/>
  <c r="D12629" i="7"/>
  <c r="E12628" i="7"/>
  <c r="D12628" i="7"/>
  <c r="E12627" i="7"/>
  <c r="D12627" i="7"/>
  <c r="E12626" i="7"/>
  <c r="D12626" i="7"/>
  <c r="E12625" i="7"/>
  <c r="D12625" i="7"/>
  <c r="E12375" i="7" l="1"/>
  <c r="D12375" i="7"/>
  <c r="E12374" i="7"/>
  <c r="D12374" i="7"/>
  <c r="E12606" i="7" l="1"/>
  <c r="D12606" i="7"/>
  <c r="E12605" i="7"/>
  <c r="D12605" i="7"/>
  <c r="E12470" i="7" l="1"/>
  <c r="D12470" i="7"/>
  <c r="E12469" i="7"/>
  <c r="D12469" i="7"/>
  <c r="H11105" i="7" a="1"/>
  <c r="H11105" i="7" s="1"/>
  <c r="E11105" i="7"/>
  <c r="D11105" i="7"/>
  <c r="H11104" i="7" a="1"/>
  <c r="H11104" i="7" s="1"/>
  <c r="E11104" i="7"/>
  <c r="D11104" i="7"/>
  <c r="H10400" i="7" a="1"/>
  <c r="H10400" i="7" s="1"/>
  <c r="E10400" i="7"/>
  <c r="D10400" i="7"/>
  <c r="H10399" i="7" a="1"/>
  <c r="H10399" i="7" s="1"/>
  <c r="E10399" i="7"/>
  <c r="D10399" i="7"/>
  <c r="K12621" i="7"/>
  <c r="K12619" i="7"/>
  <c r="E12608" i="7"/>
  <c r="D12608" i="7"/>
  <c r="E12607" i="7"/>
  <c r="D12607" i="7"/>
  <c r="E12589" i="7" l="1"/>
  <c r="D12589" i="7"/>
  <c r="E12588" i="7"/>
  <c r="D12588" i="7"/>
  <c r="E12587" i="7"/>
  <c r="D12587" i="7"/>
  <c r="E12591" i="7"/>
  <c r="D12591" i="7"/>
  <c r="E12590" i="7"/>
  <c r="D12590" i="7"/>
  <c r="E12537" i="7"/>
  <c r="D12537" i="7"/>
  <c r="E12536" i="7"/>
  <c r="D12536" i="7"/>
  <c r="E12308" i="7"/>
  <c r="D12308" i="7"/>
  <c r="E12307" i="7"/>
  <c r="D12307" i="7"/>
  <c r="E12561" i="7"/>
  <c r="D12561" i="7"/>
  <c r="E12560" i="7"/>
  <c r="D12560" i="7"/>
  <c r="E12586" i="7"/>
  <c r="D12586" i="7"/>
  <c r="E12585" i="7"/>
  <c r="D12585" i="7"/>
  <c r="E12584" i="7"/>
  <c r="D12584" i="7"/>
  <c r="E12583" i="7"/>
  <c r="D12583" i="7"/>
  <c r="E12582" i="7"/>
  <c r="D12582" i="7"/>
  <c r="E12581" i="7"/>
  <c r="D12581" i="7"/>
  <c r="E12580" i="7"/>
  <c r="D12580" i="7"/>
  <c r="E12604" i="7"/>
  <c r="D12604" i="7"/>
  <c r="E12603" i="7"/>
  <c r="D12603" i="7"/>
  <c r="E12602" i="7"/>
  <c r="D12602" i="7"/>
  <c r="E12601" i="7"/>
  <c r="D12601" i="7"/>
  <c r="E12600" i="7"/>
  <c r="D12600" i="7"/>
  <c r="E12579" i="7"/>
  <c r="D12579" i="7"/>
  <c r="E12578" i="7"/>
  <c r="D12578" i="7"/>
  <c r="E12599" i="7"/>
  <c r="D12599" i="7"/>
  <c r="E12598" i="7"/>
  <c r="D12598" i="7"/>
  <c r="K12617" i="7" l="1"/>
  <c r="L12618" i="7" s="1"/>
  <c r="E12622" i="7"/>
  <c r="D12622" i="7"/>
  <c r="L12622" i="7"/>
  <c r="E12621" i="7"/>
  <c r="D12621" i="7"/>
  <c r="E12620" i="7"/>
  <c r="D12620" i="7"/>
  <c r="L12620" i="7"/>
  <c r="E12619" i="7"/>
  <c r="D12619" i="7"/>
  <c r="E12618" i="7"/>
  <c r="D12618" i="7"/>
  <c r="E12617" i="7"/>
  <c r="D12617" i="7"/>
  <c r="L12616" i="7"/>
  <c r="E12616" i="7"/>
  <c r="D12616" i="7"/>
  <c r="E12615" i="7"/>
  <c r="D12615" i="7"/>
  <c r="L12614" i="7"/>
  <c r="E12614" i="7"/>
  <c r="D12614" i="7"/>
  <c r="E12613" i="7"/>
  <c r="D12613" i="7"/>
  <c r="L12612" i="7"/>
  <c r="E12612" i="7"/>
  <c r="D12612" i="7"/>
  <c r="E12611" i="7"/>
  <c r="D12611" i="7"/>
  <c r="E12610" i="7"/>
  <c r="D12610" i="7"/>
  <c r="E12609" i="7"/>
  <c r="D12609" i="7"/>
  <c r="E12577" i="7"/>
  <c r="D12577" i="7"/>
  <c r="E12576" i="7"/>
  <c r="D12576" i="7"/>
  <c r="E12573" i="7"/>
  <c r="D12573" i="7"/>
  <c r="E12572" i="7"/>
  <c r="D12572" i="7"/>
  <c r="E12571" i="7"/>
  <c r="D12571" i="7"/>
  <c r="E12559" i="7"/>
  <c r="D12559" i="7"/>
  <c r="E12558" i="7"/>
  <c r="D12558" i="7"/>
  <c r="E12557" i="7"/>
  <c r="D12557" i="7"/>
  <c r="E12556" i="7"/>
  <c r="D12556" i="7"/>
  <c r="E12596" i="7"/>
  <c r="D12596" i="7"/>
  <c r="E12593" i="7"/>
  <c r="D12593" i="7"/>
  <c r="E12575" i="7"/>
  <c r="D12575" i="7"/>
  <c r="E12574" i="7"/>
  <c r="D12574" i="7"/>
  <c r="E12569" i="7"/>
  <c r="D12569" i="7"/>
  <c r="E12570" i="7"/>
  <c r="D12570" i="7"/>
  <c r="E12568" i="7"/>
  <c r="D12568" i="7"/>
  <c r="E12555" i="7"/>
  <c r="D12555" i="7"/>
  <c r="E12554" i="7"/>
  <c r="D12554" i="7"/>
  <c r="E12567" i="7" l="1"/>
  <c r="D12567" i="7"/>
  <c r="E12566" i="7"/>
  <c r="D12566" i="7"/>
  <c r="E12565" i="7"/>
  <c r="D12565" i="7"/>
  <c r="E12564" i="7"/>
  <c r="D12564" i="7"/>
  <c r="E12563" i="7"/>
  <c r="D12563" i="7"/>
  <c r="E12562" i="7"/>
  <c r="D12562" i="7"/>
  <c r="E12597" i="7"/>
  <c r="D12597" i="7"/>
  <c r="E12595" i="7"/>
  <c r="D12595" i="7"/>
  <c r="E12535" i="7"/>
  <c r="D12535" i="7"/>
  <c r="E12534" i="7"/>
  <c r="D12534" i="7"/>
  <c r="E12533" i="7"/>
  <c r="D12533" i="7"/>
  <c r="E12594" i="7" l="1"/>
  <c r="D12594" i="7"/>
  <c r="E12592" i="7"/>
  <c r="D12592" i="7"/>
  <c r="E12553" i="7"/>
  <c r="D12553" i="7"/>
  <c r="K12552" i="7"/>
  <c r="L12553" i="7" s="1"/>
  <c r="E12552" i="7"/>
  <c r="D12552" i="7"/>
  <c r="E12551" i="7"/>
  <c r="D12551" i="7"/>
  <c r="K12550" i="7"/>
  <c r="L12551" i="7" s="1"/>
  <c r="E12550" i="7"/>
  <c r="D12550" i="7"/>
  <c r="E12549" i="7"/>
  <c r="D12549" i="7"/>
  <c r="E12548" i="7"/>
  <c r="D12548" i="7"/>
  <c r="L12547" i="7"/>
  <c r="E12547" i="7"/>
  <c r="D12547" i="7"/>
  <c r="E12546" i="7"/>
  <c r="D12546" i="7"/>
  <c r="L12545" i="7"/>
  <c r="E12545" i="7"/>
  <c r="D12545" i="7"/>
  <c r="E12544" i="7"/>
  <c r="D12544" i="7"/>
  <c r="L12543" i="7"/>
  <c r="E12543" i="7"/>
  <c r="D12543" i="7"/>
  <c r="E12542" i="7"/>
  <c r="D12542" i="7"/>
  <c r="L12541" i="7"/>
  <c r="E12541" i="7"/>
  <c r="D12541" i="7"/>
  <c r="E12540" i="7"/>
  <c r="D12540" i="7"/>
  <c r="E12539" i="7"/>
  <c r="D12539" i="7"/>
  <c r="E12538" i="7"/>
  <c r="D12538" i="7"/>
  <c r="R171" i="58"/>
  <c r="P171" i="58"/>
  <c r="N171" i="58"/>
  <c r="L171" i="58"/>
  <c r="J171" i="58"/>
  <c r="H171" i="58"/>
  <c r="F171" i="58"/>
  <c r="D171" i="58"/>
  <c r="R170" i="58"/>
  <c r="P170" i="58"/>
  <c r="N170" i="58"/>
  <c r="L170" i="58"/>
  <c r="J170" i="58"/>
  <c r="H170" i="58"/>
  <c r="F170" i="58"/>
  <c r="D170" i="58"/>
  <c r="R169" i="58"/>
  <c r="P169" i="58"/>
  <c r="N169" i="58"/>
  <c r="L169" i="58"/>
  <c r="J169" i="58"/>
  <c r="H169" i="58"/>
  <c r="F169" i="58"/>
  <c r="D169" i="58"/>
  <c r="R168" i="58"/>
  <c r="P168" i="58"/>
  <c r="N168" i="58"/>
  <c r="L168" i="58"/>
  <c r="J168" i="58"/>
  <c r="H168" i="58"/>
  <c r="F168" i="58"/>
  <c r="D168" i="58"/>
  <c r="R167" i="58"/>
  <c r="P167" i="58"/>
  <c r="N167" i="58"/>
  <c r="L167" i="58"/>
  <c r="J167" i="58"/>
  <c r="H167" i="58"/>
  <c r="F167" i="58"/>
  <c r="D167" i="58"/>
  <c r="R166" i="58"/>
  <c r="P166" i="58"/>
  <c r="N166" i="58"/>
  <c r="L166" i="58"/>
  <c r="J166" i="58"/>
  <c r="H166" i="58"/>
  <c r="F166" i="58"/>
  <c r="D166" i="58"/>
  <c r="R165" i="58"/>
  <c r="P165" i="58"/>
  <c r="N165" i="58"/>
  <c r="L165" i="58"/>
  <c r="J165" i="58"/>
  <c r="H165" i="58"/>
  <c r="F165" i="58"/>
  <c r="D165" i="58"/>
  <c r="E12532" i="7"/>
  <c r="D12532" i="7"/>
  <c r="E12531" i="7"/>
  <c r="D12531" i="7"/>
  <c r="E12530" i="7"/>
  <c r="D12530" i="7"/>
  <c r="E12529" i="7" l="1"/>
  <c r="D12529" i="7"/>
  <c r="K12528" i="7"/>
  <c r="L12529" i="7" s="1"/>
  <c r="E12528" i="7"/>
  <c r="D12528" i="7"/>
  <c r="E12527" i="7"/>
  <c r="D12527" i="7"/>
  <c r="K12526" i="7"/>
  <c r="L12527" i="7" s="1"/>
  <c r="E12526" i="7"/>
  <c r="D12526" i="7"/>
  <c r="E12525" i="7"/>
  <c r="D12525" i="7"/>
  <c r="E12524" i="7"/>
  <c r="D12524" i="7"/>
  <c r="L12523" i="7"/>
  <c r="E12523" i="7"/>
  <c r="D12523" i="7"/>
  <c r="E12522" i="7"/>
  <c r="D12522" i="7"/>
  <c r="L12521" i="7"/>
  <c r="E12521" i="7"/>
  <c r="D12521" i="7"/>
  <c r="E12520" i="7"/>
  <c r="D12520" i="7"/>
  <c r="L12519" i="7"/>
  <c r="E12519" i="7"/>
  <c r="D12519" i="7"/>
  <c r="E12518" i="7"/>
  <c r="D12518" i="7"/>
  <c r="L12517" i="7"/>
  <c r="E12517" i="7"/>
  <c r="D12517" i="7"/>
  <c r="E12516" i="7"/>
  <c r="D12516" i="7"/>
  <c r="E12515" i="7"/>
  <c r="D12515" i="7"/>
  <c r="E12514" i="7"/>
  <c r="D12514" i="7"/>
  <c r="E12513" i="7"/>
  <c r="D12513" i="7"/>
  <c r="E12512" i="7"/>
  <c r="D12512" i="7"/>
  <c r="E12511" i="7"/>
  <c r="D12511" i="7"/>
  <c r="E12510" i="7"/>
  <c r="D12510" i="7"/>
  <c r="E12509" i="7"/>
  <c r="D12509" i="7"/>
  <c r="E12493" i="7"/>
  <c r="D12493" i="7"/>
  <c r="E12492" i="7"/>
  <c r="D12492" i="7"/>
  <c r="L12491" i="7"/>
  <c r="E12491" i="7"/>
  <c r="D12491" i="7"/>
  <c r="E12490" i="7"/>
  <c r="D12490" i="7"/>
  <c r="D158" i="58"/>
  <c r="D159" i="58"/>
  <c r="D160" i="58"/>
  <c r="D161" i="58"/>
  <c r="D162" i="58"/>
  <c r="D163" i="58"/>
  <c r="D164" i="58"/>
  <c r="F158" i="58"/>
  <c r="F159" i="58"/>
  <c r="F160" i="58"/>
  <c r="F161" i="58"/>
  <c r="F162" i="58"/>
  <c r="F163" i="58"/>
  <c r="F164" i="58"/>
  <c r="E12508" i="7"/>
  <c r="D12508" i="7"/>
  <c r="E12507" i="7"/>
  <c r="D12507" i="7"/>
  <c r="E12506" i="7"/>
  <c r="D12506" i="7"/>
  <c r="H158" i="58"/>
  <c r="H159" i="58"/>
  <c r="H160" i="58"/>
  <c r="H161" i="58"/>
  <c r="H162" i="58"/>
  <c r="H163" i="58"/>
  <c r="H164" i="58"/>
  <c r="R164" i="58"/>
  <c r="P164" i="58"/>
  <c r="N164" i="58"/>
  <c r="L164" i="58"/>
  <c r="J164" i="58"/>
  <c r="R163" i="58"/>
  <c r="P163" i="58"/>
  <c r="N163" i="58"/>
  <c r="L163" i="58"/>
  <c r="J163" i="58"/>
  <c r="R162" i="58"/>
  <c r="P162" i="58"/>
  <c r="N162" i="58"/>
  <c r="L162" i="58"/>
  <c r="J162" i="58"/>
  <c r="R161" i="58"/>
  <c r="P161" i="58"/>
  <c r="N161" i="58"/>
  <c r="L161" i="58"/>
  <c r="J161" i="58"/>
  <c r="R160" i="58"/>
  <c r="P160" i="58"/>
  <c r="N160" i="58"/>
  <c r="L160" i="58"/>
  <c r="J160" i="58"/>
  <c r="R159" i="58"/>
  <c r="P159" i="58"/>
  <c r="N159" i="58"/>
  <c r="L159" i="58"/>
  <c r="J159" i="58"/>
  <c r="R158" i="58"/>
  <c r="P158" i="58"/>
  <c r="N158" i="58"/>
  <c r="L158" i="58"/>
  <c r="J158" i="58"/>
  <c r="E12489" i="7"/>
  <c r="D12489" i="7"/>
  <c r="E12488" i="7"/>
  <c r="D12488" i="7"/>
  <c r="E12487" i="7"/>
  <c r="D12487" i="7"/>
  <c r="E12505" i="7"/>
  <c r="D12505" i="7"/>
  <c r="E12504" i="7"/>
  <c r="D12504" i="7"/>
  <c r="E12503" i="7"/>
  <c r="D12503" i="7"/>
  <c r="E12502" i="7"/>
  <c r="D12502" i="7"/>
  <c r="E12501" i="7"/>
  <c r="D12501" i="7"/>
  <c r="E12500" i="7"/>
  <c r="D12500" i="7"/>
  <c r="E12499" i="7"/>
  <c r="D12499" i="7"/>
  <c r="E12498" i="7"/>
  <c r="D12498" i="7"/>
  <c r="E12497" i="7"/>
  <c r="D12497" i="7"/>
  <c r="E12496" i="7"/>
  <c r="D12496" i="7"/>
  <c r="E12495" i="7"/>
  <c r="D12495" i="7"/>
  <c r="E12494" i="7"/>
  <c r="D12494" i="7"/>
  <c r="E12468" i="7" l="1"/>
  <c r="D12468" i="7"/>
  <c r="E12467" i="7"/>
  <c r="D12467" i="7"/>
  <c r="E12466" i="7"/>
  <c r="D12466" i="7"/>
  <c r="E12465" i="7"/>
  <c r="D12465" i="7"/>
  <c r="E12464" i="7"/>
  <c r="D12464" i="7"/>
  <c r="E12463" i="7"/>
  <c r="D12463" i="7"/>
  <c r="E12462" i="7"/>
  <c r="D12462" i="7"/>
  <c r="E12461" i="7"/>
  <c r="D12461" i="7"/>
  <c r="E12460" i="7"/>
  <c r="D12460" i="7"/>
  <c r="E12459" i="7"/>
  <c r="D12459" i="7"/>
  <c r="E12458" i="7"/>
  <c r="D12458" i="7"/>
  <c r="E12486" i="7" l="1"/>
  <c r="D12486" i="7"/>
  <c r="K12485" i="7"/>
  <c r="L12486" i="7" s="1"/>
  <c r="E12485" i="7"/>
  <c r="D12485" i="7"/>
  <c r="E12484" i="7"/>
  <c r="D12484" i="7"/>
  <c r="K12483" i="7"/>
  <c r="L12484" i="7" s="1"/>
  <c r="E12483" i="7"/>
  <c r="D12483" i="7"/>
  <c r="E12482" i="7"/>
  <c r="D12482" i="7"/>
  <c r="E12481" i="7"/>
  <c r="D12481" i="7"/>
  <c r="L12480" i="7"/>
  <c r="E12480" i="7"/>
  <c r="D12480" i="7"/>
  <c r="E12479" i="7"/>
  <c r="D12479" i="7"/>
  <c r="L12478" i="7"/>
  <c r="E12478" i="7"/>
  <c r="D12478" i="7"/>
  <c r="E12477" i="7"/>
  <c r="D12477" i="7"/>
  <c r="L12476" i="7"/>
  <c r="E12476" i="7"/>
  <c r="D12476" i="7"/>
  <c r="E12475" i="7"/>
  <c r="D12475" i="7"/>
  <c r="L12474" i="7"/>
  <c r="E12474" i="7"/>
  <c r="D12474" i="7"/>
  <c r="E12473" i="7"/>
  <c r="D12473" i="7"/>
  <c r="E12472" i="7"/>
  <c r="D12472" i="7"/>
  <c r="E12471" i="7"/>
  <c r="D12471" i="7"/>
  <c r="D151" i="58"/>
  <c r="D152" i="58"/>
  <c r="D153" i="58"/>
  <c r="D154" i="58"/>
  <c r="D155" i="58"/>
  <c r="D156" i="58"/>
  <c r="D157" i="58"/>
  <c r="F151" i="58"/>
  <c r="F152" i="58"/>
  <c r="F153" i="58"/>
  <c r="F154" i="58"/>
  <c r="F155" i="58"/>
  <c r="F156" i="58"/>
  <c r="F157" i="58"/>
  <c r="H151" i="58"/>
  <c r="H152" i="58"/>
  <c r="H153" i="58"/>
  <c r="H154" i="58"/>
  <c r="H155" i="58"/>
  <c r="H156" i="58"/>
  <c r="H157" i="58"/>
  <c r="R157" i="58"/>
  <c r="P157" i="58"/>
  <c r="N157" i="58"/>
  <c r="L157" i="58"/>
  <c r="J157" i="58"/>
  <c r="R156" i="58"/>
  <c r="P156" i="58"/>
  <c r="N156" i="58"/>
  <c r="L156" i="58"/>
  <c r="J156" i="58"/>
  <c r="R155" i="58"/>
  <c r="P155" i="58"/>
  <c r="N155" i="58"/>
  <c r="L155" i="58"/>
  <c r="J155" i="58"/>
  <c r="R154" i="58"/>
  <c r="P154" i="58"/>
  <c r="N154" i="58"/>
  <c r="L154" i="58"/>
  <c r="J154" i="58"/>
  <c r="R153" i="58"/>
  <c r="P153" i="58"/>
  <c r="N153" i="58"/>
  <c r="L153" i="58"/>
  <c r="J153" i="58"/>
  <c r="R152" i="58"/>
  <c r="P152" i="58"/>
  <c r="N152" i="58"/>
  <c r="L152" i="58"/>
  <c r="J152" i="58"/>
  <c r="R151" i="58"/>
  <c r="P151" i="58"/>
  <c r="N151" i="58"/>
  <c r="L151" i="58"/>
  <c r="J151" i="58"/>
  <c r="E12455" i="7"/>
  <c r="D12455" i="7"/>
  <c r="E12456" i="7"/>
  <c r="D12456" i="7"/>
  <c r="E12457" i="7"/>
  <c r="D12457" i="7"/>
  <c r="E12454" i="7"/>
  <c r="D12454" i="7"/>
  <c r="E12434" i="7"/>
  <c r="D12434" i="7"/>
  <c r="E12433" i="7"/>
  <c r="D12433" i="7"/>
  <c r="E12432" i="7"/>
  <c r="D12432" i="7"/>
  <c r="E12453" i="7"/>
  <c r="D12453" i="7"/>
  <c r="E12452" i="7"/>
  <c r="D12452" i="7"/>
  <c r="E12451" i="7"/>
  <c r="D12451" i="7"/>
  <c r="E12450" i="7" l="1"/>
  <c r="D12450" i="7"/>
  <c r="K12449" i="7"/>
  <c r="L12450" i="7" s="1"/>
  <c r="E12449" i="7"/>
  <c r="D12449" i="7"/>
  <c r="E12448" i="7"/>
  <c r="D12448" i="7"/>
  <c r="K12447" i="7"/>
  <c r="L12448" i="7" s="1"/>
  <c r="E12447" i="7"/>
  <c r="D12447" i="7"/>
  <c r="E12446" i="7"/>
  <c r="D12446" i="7"/>
  <c r="E12445" i="7"/>
  <c r="D12445" i="7"/>
  <c r="L12444" i="7"/>
  <c r="E12444" i="7"/>
  <c r="D12444" i="7"/>
  <c r="E12443" i="7"/>
  <c r="D12443" i="7"/>
  <c r="L12442" i="7"/>
  <c r="E12442" i="7"/>
  <c r="D12442" i="7"/>
  <c r="E12441" i="7"/>
  <c r="D12441" i="7"/>
  <c r="L12440" i="7"/>
  <c r="E12440" i="7"/>
  <c r="D12440" i="7"/>
  <c r="E12439" i="7"/>
  <c r="D12439" i="7"/>
  <c r="L12438" i="7"/>
  <c r="E12438" i="7"/>
  <c r="D12438" i="7"/>
  <c r="E12437" i="7"/>
  <c r="D12437" i="7"/>
  <c r="E12436" i="7"/>
  <c r="D12436" i="7"/>
  <c r="E12435" i="7"/>
  <c r="D12435" i="7"/>
  <c r="D144" i="58"/>
  <c r="D145" i="58"/>
  <c r="D146" i="58"/>
  <c r="D147" i="58"/>
  <c r="D148" i="58"/>
  <c r="D149" i="58"/>
  <c r="D150" i="58"/>
  <c r="F144" i="58"/>
  <c r="F145" i="58"/>
  <c r="F146" i="58"/>
  <c r="F147" i="58"/>
  <c r="F148" i="58"/>
  <c r="F149" i="58"/>
  <c r="F150" i="58"/>
  <c r="R144" i="58"/>
  <c r="R145" i="58"/>
  <c r="R146" i="58"/>
  <c r="R147" i="58"/>
  <c r="R148" i="58"/>
  <c r="R149" i="58"/>
  <c r="R150" i="58"/>
  <c r="P144" i="58"/>
  <c r="P145" i="58"/>
  <c r="P146" i="58"/>
  <c r="P147" i="58"/>
  <c r="P148" i="58"/>
  <c r="P149" i="58"/>
  <c r="P150" i="58"/>
  <c r="N144" i="58"/>
  <c r="N145" i="58"/>
  <c r="N146" i="58"/>
  <c r="N147" i="58"/>
  <c r="N148" i="58"/>
  <c r="N149" i="58"/>
  <c r="N150" i="58"/>
  <c r="L144" i="58"/>
  <c r="L145" i="58"/>
  <c r="L146" i="58"/>
  <c r="L147" i="58"/>
  <c r="L148" i="58"/>
  <c r="L149" i="58"/>
  <c r="L150" i="58"/>
  <c r="J144" i="58"/>
  <c r="J145" i="58"/>
  <c r="J146" i="58"/>
  <c r="J147" i="58"/>
  <c r="J148" i="58"/>
  <c r="J149" i="58"/>
  <c r="J150" i="58"/>
  <c r="H144" i="58"/>
  <c r="H145" i="58"/>
  <c r="H146" i="58"/>
  <c r="H147" i="58"/>
  <c r="H148" i="58"/>
  <c r="H149" i="58"/>
  <c r="H150" i="58"/>
  <c r="E12431" i="7"/>
  <c r="D12431" i="7"/>
  <c r="E12430" i="7"/>
  <c r="D12430" i="7"/>
  <c r="E12429" i="7"/>
  <c r="D12429" i="7"/>
  <c r="E12428" i="7" l="1"/>
  <c r="D12428" i="7"/>
  <c r="E12427" i="7"/>
  <c r="D12427" i="7"/>
  <c r="E12426" i="7"/>
  <c r="D12426" i="7"/>
  <c r="E12425" i="7"/>
  <c r="D12425" i="7"/>
  <c r="E12424" i="7"/>
  <c r="D12424" i="7"/>
  <c r="E12423" i="7"/>
  <c r="D12423" i="7"/>
  <c r="E12422" i="7"/>
  <c r="D12422" i="7"/>
  <c r="E12405" i="7" l="1"/>
  <c r="D12405" i="7"/>
  <c r="E12404" i="7"/>
  <c r="D12404" i="7"/>
  <c r="E12403" i="7"/>
  <c r="D12403" i="7"/>
  <c r="D137" i="58" l="1"/>
  <c r="D138" i="58"/>
  <c r="D139" i="58"/>
  <c r="D140" i="58"/>
  <c r="D141" i="58"/>
  <c r="D142" i="58"/>
  <c r="D143" i="58"/>
  <c r="E12402" i="7"/>
  <c r="D12402" i="7"/>
  <c r="E12401" i="7"/>
  <c r="D12401" i="7"/>
  <c r="F137" i="58"/>
  <c r="F138" i="58"/>
  <c r="F139" i="58"/>
  <c r="F140" i="58"/>
  <c r="F141" i="58"/>
  <c r="F142" i="58"/>
  <c r="F143" i="58"/>
  <c r="H137" i="58"/>
  <c r="H138" i="58"/>
  <c r="H139" i="58"/>
  <c r="H140" i="58"/>
  <c r="H141" i="58"/>
  <c r="H142" i="58"/>
  <c r="H143" i="58"/>
  <c r="R143" i="58"/>
  <c r="P143" i="58"/>
  <c r="N143" i="58"/>
  <c r="L143" i="58"/>
  <c r="J143" i="58"/>
  <c r="R142" i="58"/>
  <c r="P142" i="58"/>
  <c r="N142" i="58"/>
  <c r="L142" i="58"/>
  <c r="J142" i="58"/>
  <c r="R141" i="58"/>
  <c r="P141" i="58"/>
  <c r="N141" i="58"/>
  <c r="L141" i="58"/>
  <c r="J141" i="58"/>
  <c r="R140" i="58"/>
  <c r="P140" i="58"/>
  <c r="N140" i="58"/>
  <c r="L140" i="58"/>
  <c r="J140" i="58"/>
  <c r="R139" i="58"/>
  <c r="P139" i="58"/>
  <c r="N139" i="58"/>
  <c r="L139" i="58"/>
  <c r="J139" i="58"/>
  <c r="R138" i="58"/>
  <c r="P138" i="58"/>
  <c r="N138" i="58"/>
  <c r="L138" i="58"/>
  <c r="J138" i="58"/>
  <c r="R137" i="58"/>
  <c r="P137" i="58"/>
  <c r="N137" i="58"/>
  <c r="L137" i="58"/>
  <c r="J137" i="58"/>
  <c r="E12421" i="7"/>
  <c r="D12421" i="7"/>
  <c r="K12420" i="7"/>
  <c r="L12421" i="7" s="1"/>
  <c r="E12420" i="7"/>
  <c r="D12420" i="7"/>
  <c r="E12419" i="7"/>
  <c r="D12419" i="7"/>
  <c r="K12418" i="7"/>
  <c r="L12419" i="7" s="1"/>
  <c r="E12418" i="7"/>
  <c r="D12418" i="7"/>
  <c r="E12417" i="7"/>
  <c r="D12417" i="7"/>
  <c r="E12416" i="7"/>
  <c r="D12416" i="7"/>
  <c r="L12415" i="7"/>
  <c r="E12415" i="7"/>
  <c r="D12415" i="7"/>
  <c r="E12414" i="7"/>
  <c r="D12414" i="7"/>
  <c r="L12413" i="7"/>
  <c r="E12413" i="7"/>
  <c r="D12413" i="7"/>
  <c r="E12412" i="7"/>
  <c r="D12412" i="7"/>
  <c r="L12411" i="7"/>
  <c r="E12411" i="7"/>
  <c r="D12411" i="7"/>
  <c r="E12410" i="7"/>
  <c r="D12410" i="7"/>
  <c r="L12409" i="7"/>
  <c r="E12409" i="7"/>
  <c r="D12409" i="7"/>
  <c r="E12408" i="7"/>
  <c r="D12408" i="7"/>
  <c r="E12407" i="7"/>
  <c r="D12407" i="7"/>
  <c r="E12406" i="7"/>
  <c r="D12406" i="7"/>
  <c r="E12400" i="7"/>
  <c r="D12400" i="7"/>
  <c r="E12399" i="7"/>
  <c r="D12399" i="7"/>
  <c r="E12398" i="7"/>
  <c r="D12398" i="7"/>
  <c r="E12397" i="7" l="1"/>
  <c r="D12397" i="7"/>
  <c r="E12396" i="7"/>
  <c r="D12396" i="7"/>
  <c r="E12395" i="7"/>
  <c r="D12395" i="7"/>
  <c r="E12394" i="7" l="1"/>
  <c r="D12394" i="7"/>
  <c r="E12393" i="7"/>
  <c r="D12393" i="7"/>
  <c r="E12392" i="7"/>
  <c r="D12392" i="7"/>
  <c r="E12364" i="7" l="1"/>
  <c r="D12364" i="7"/>
  <c r="E12363" i="7"/>
  <c r="D12363" i="7"/>
  <c r="E12357" i="7"/>
  <c r="D12357" i="7"/>
  <c r="E12356" i="7"/>
  <c r="D12356" i="7"/>
  <c r="E12362" i="7"/>
  <c r="D12362" i="7"/>
  <c r="E12361" i="7"/>
  <c r="D12361" i="7"/>
  <c r="E12391" i="7" l="1"/>
  <c r="D12391" i="7"/>
  <c r="K12390" i="7"/>
  <c r="L12391" i="7" s="1"/>
  <c r="E12390" i="7"/>
  <c r="D12390" i="7"/>
  <c r="E12389" i="7"/>
  <c r="D12389" i="7"/>
  <c r="K12388" i="7"/>
  <c r="L12389" i="7" s="1"/>
  <c r="E12388" i="7"/>
  <c r="D12388" i="7"/>
  <c r="E12387" i="7"/>
  <c r="D12387" i="7"/>
  <c r="E12386" i="7"/>
  <c r="D12386" i="7"/>
  <c r="L12385" i="7"/>
  <c r="E12385" i="7"/>
  <c r="D12385" i="7"/>
  <c r="E12384" i="7"/>
  <c r="D12384" i="7"/>
  <c r="L12383" i="7"/>
  <c r="E12383" i="7"/>
  <c r="D12383" i="7"/>
  <c r="E12382" i="7"/>
  <c r="D12382" i="7"/>
  <c r="L12381" i="7"/>
  <c r="E12381" i="7"/>
  <c r="D12381" i="7"/>
  <c r="E12380" i="7"/>
  <c r="D12380" i="7"/>
  <c r="L12379" i="7"/>
  <c r="E12379" i="7"/>
  <c r="D12379" i="7"/>
  <c r="E12378" i="7"/>
  <c r="D12378" i="7"/>
  <c r="E12377" i="7"/>
  <c r="D12377" i="7"/>
  <c r="E12376" i="7"/>
  <c r="D12376" i="7"/>
  <c r="F131" i="58"/>
  <c r="F132" i="58"/>
  <c r="F133" i="58"/>
  <c r="F134" i="58"/>
  <c r="F135" i="58"/>
  <c r="F136" i="58"/>
  <c r="D131" i="58"/>
  <c r="D132" i="58"/>
  <c r="D133" i="58"/>
  <c r="D134" i="58"/>
  <c r="D135" i="58"/>
  <c r="D136" i="58"/>
  <c r="H131" i="58"/>
  <c r="H132" i="58"/>
  <c r="H133" i="58"/>
  <c r="H134" i="58"/>
  <c r="H135" i="58"/>
  <c r="H136" i="58"/>
  <c r="D130" i="58"/>
  <c r="F130" i="58"/>
  <c r="F129" i="58"/>
  <c r="H130" i="58"/>
  <c r="J131" i="58"/>
  <c r="J132" i="58"/>
  <c r="J133" i="58"/>
  <c r="J134" i="58"/>
  <c r="J135" i="58"/>
  <c r="J136" i="58"/>
  <c r="J130" i="58"/>
  <c r="R136" i="58"/>
  <c r="P136" i="58"/>
  <c r="N136" i="58"/>
  <c r="L136" i="58"/>
  <c r="R135" i="58"/>
  <c r="P135" i="58"/>
  <c r="N135" i="58"/>
  <c r="L135" i="58"/>
  <c r="R134" i="58"/>
  <c r="P134" i="58"/>
  <c r="N134" i="58"/>
  <c r="L134" i="58"/>
  <c r="R133" i="58"/>
  <c r="P133" i="58"/>
  <c r="N133" i="58"/>
  <c r="L133" i="58"/>
  <c r="R132" i="58"/>
  <c r="P132" i="58"/>
  <c r="N132" i="58"/>
  <c r="L132" i="58"/>
  <c r="R131" i="58"/>
  <c r="P131" i="58"/>
  <c r="N131" i="58"/>
  <c r="L131" i="58"/>
  <c r="R130" i="58"/>
  <c r="P130" i="58"/>
  <c r="N130" i="58"/>
  <c r="L130" i="58"/>
  <c r="E12373" i="7"/>
  <c r="D12373" i="7"/>
  <c r="E12372" i="7"/>
  <c r="D12372" i="7"/>
  <c r="E12371" i="7"/>
  <c r="D12371" i="7"/>
  <c r="E12370" i="7"/>
  <c r="D12370" i="7"/>
  <c r="E12369" i="7"/>
  <c r="D12369" i="7"/>
  <c r="E12368" i="7"/>
  <c r="D12368" i="7"/>
  <c r="E12348" i="7"/>
  <c r="D12348" i="7"/>
  <c r="E12347" i="7"/>
  <c r="D12347" i="7"/>
  <c r="E12346" i="7"/>
  <c r="D12346" i="7"/>
  <c r="E12367" i="7" l="1"/>
  <c r="D12367" i="7"/>
  <c r="E12366" i="7"/>
  <c r="D12366" i="7"/>
  <c r="E12365" i="7"/>
  <c r="D12365" i="7"/>
  <c r="E12360" i="7" l="1"/>
  <c r="D12360" i="7"/>
  <c r="E12359" i="7"/>
  <c r="D12359" i="7"/>
  <c r="E12358" i="7"/>
  <c r="D12358" i="7"/>
  <c r="E12355" i="7"/>
  <c r="D12355" i="7"/>
  <c r="E12354" i="7"/>
  <c r="D12354" i="7"/>
  <c r="E12353" i="7"/>
  <c r="D12353" i="7"/>
  <c r="E12352" i="7"/>
  <c r="D12352" i="7"/>
  <c r="E12351" i="7"/>
  <c r="D12351" i="7"/>
  <c r="L12350" i="7"/>
  <c r="E12350" i="7"/>
  <c r="D12350" i="7"/>
  <c r="E12349" i="7"/>
  <c r="D12349" i="7"/>
  <c r="E12345" i="7"/>
  <c r="D12345" i="7"/>
  <c r="K12344" i="7"/>
  <c r="L12345" i="7" s="1"/>
  <c r="E12344" i="7"/>
  <c r="D12344" i="7"/>
  <c r="E12343" i="7"/>
  <c r="D12343" i="7"/>
  <c r="K12342" i="7"/>
  <c r="L12343" i="7" s="1"/>
  <c r="E12342" i="7"/>
  <c r="D12342" i="7"/>
  <c r="E12341" i="7"/>
  <c r="D12341" i="7"/>
  <c r="E12340" i="7"/>
  <c r="D12340" i="7"/>
  <c r="L12339" i="7"/>
  <c r="E12339" i="7"/>
  <c r="D12339" i="7"/>
  <c r="E12338" i="7"/>
  <c r="D12338" i="7"/>
  <c r="L12337" i="7"/>
  <c r="E12337" i="7"/>
  <c r="D12337" i="7"/>
  <c r="E12336" i="7"/>
  <c r="D12336" i="7"/>
  <c r="L12335" i="7"/>
  <c r="E12335" i="7"/>
  <c r="D12335" i="7"/>
  <c r="E12334" i="7"/>
  <c r="D12334" i="7"/>
  <c r="L12333" i="7"/>
  <c r="E12333" i="7"/>
  <c r="D12333" i="7"/>
  <c r="E12332" i="7"/>
  <c r="D12332" i="7"/>
  <c r="E12331" i="7"/>
  <c r="D12331" i="7"/>
  <c r="E12330" i="7"/>
  <c r="D12330" i="7"/>
  <c r="E12327" i="7"/>
  <c r="D12327" i="7"/>
  <c r="E12326" i="7"/>
  <c r="D12326" i="7"/>
  <c r="L12329" i="7"/>
  <c r="E12329" i="7"/>
  <c r="D12329" i="7"/>
  <c r="E12328" i="7"/>
  <c r="D12328" i="7"/>
  <c r="E12325" i="7"/>
  <c r="D12325" i="7"/>
  <c r="E12324" i="7"/>
  <c r="D12324" i="7"/>
  <c r="E12323" i="7"/>
  <c r="D12323" i="7"/>
  <c r="E12322" i="7"/>
  <c r="D12322" i="7"/>
  <c r="E12321" i="7"/>
  <c r="D12321" i="7"/>
  <c r="E12320" i="7"/>
  <c r="D12320" i="7"/>
  <c r="E12319" i="7"/>
  <c r="D12319" i="7"/>
  <c r="E12318" i="7"/>
  <c r="D12318" i="7"/>
  <c r="E12317" i="7"/>
  <c r="D12317" i="7"/>
  <c r="E12316" i="7"/>
  <c r="D12316" i="7"/>
  <c r="E12315" i="7"/>
  <c r="D12315" i="7"/>
  <c r="E12314" i="7"/>
  <c r="D12314" i="7"/>
  <c r="E12313" i="7"/>
  <c r="D12313" i="7"/>
  <c r="E12312" i="7"/>
  <c r="D12312" i="7"/>
  <c r="E12311" i="7"/>
  <c r="D12311" i="7"/>
  <c r="E12310" i="7"/>
  <c r="D12310" i="7"/>
  <c r="E12309" i="7"/>
  <c r="D12309" i="7"/>
  <c r="E12306" i="7"/>
  <c r="D12306" i="7"/>
  <c r="E12305" i="7"/>
  <c r="D12305" i="7"/>
  <c r="E12304" i="7"/>
  <c r="D12304" i="7"/>
  <c r="E12303" i="7"/>
  <c r="D12303" i="7"/>
  <c r="E12302" i="7"/>
  <c r="D12302" i="7"/>
  <c r="E12301" i="7"/>
  <c r="D12301" i="7"/>
  <c r="E12300" i="7"/>
  <c r="D12300" i="7"/>
  <c r="E12299" i="7"/>
  <c r="D12299" i="7"/>
  <c r="E12298" i="7"/>
  <c r="D12298" i="7"/>
  <c r="E12297" i="7"/>
  <c r="D12297" i="7"/>
  <c r="E12296" i="7"/>
  <c r="D12296" i="7"/>
  <c r="E12295" i="7"/>
  <c r="D12295" i="7"/>
  <c r="E12294" i="7"/>
  <c r="D12294" i="7"/>
  <c r="E12293" i="7"/>
  <c r="D12293" i="7"/>
  <c r="E12292" i="7"/>
  <c r="D12292" i="7"/>
  <c r="E12291" i="7"/>
  <c r="D12291" i="7"/>
  <c r="E12290" i="7"/>
  <c r="D12290" i="7"/>
  <c r="E12289" i="7"/>
  <c r="D12289" i="7"/>
  <c r="E12288" i="7"/>
  <c r="D12288" i="7"/>
  <c r="E12287" i="7"/>
  <c r="D12287" i="7"/>
  <c r="E12286" i="7"/>
  <c r="D12286" i="7"/>
  <c r="E12285" i="7"/>
  <c r="D12285" i="7"/>
  <c r="E12284" i="7"/>
  <c r="D12284" i="7"/>
  <c r="K12283" i="7"/>
  <c r="L12284" i="7" s="1"/>
  <c r="E12283" i="7"/>
  <c r="D12283" i="7"/>
  <c r="E12282" i="7"/>
  <c r="D12282" i="7"/>
  <c r="K12281" i="7"/>
  <c r="L12282" i="7" s="1"/>
  <c r="E12281" i="7"/>
  <c r="D12281" i="7"/>
  <c r="E12280" i="7"/>
  <c r="D12280" i="7"/>
  <c r="E12279" i="7"/>
  <c r="D12279" i="7"/>
  <c r="L12278" i="7"/>
  <c r="E12278" i="7"/>
  <c r="D12278" i="7"/>
  <c r="E12277" i="7"/>
  <c r="D12277" i="7"/>
  <c r="L12276" i="7"/>
  <c r="E12276" i="7"/>
  <c r="D12276" i="7"/>
  <c r="E12275" i="7"/>
  <c r="D12275" i="7"/>
  <c r="L12274" i="7"/>
  <c r="E12274" i="7"/>
  <c r="D12274" i="7"/>
  <c r="E12273" i="7"/>
  <c r="D12273" i="7"/>
  <c r="L12272" i="7"/>
  <c r="E12272" i="7"/>
  <c r="D12272" i="7"/>
  <c r="E12271" i="7"/>
  <c r="D12271" i="7"/>
  <c r="E12270" i="7"/>
  <c r="D12270" i="7"/>
  <c r="E12269" i="7"/>
  <c r="D12269" i="7"/>
  <c r="E12268" i="7" l="1"/>
  <c r="D12268" i="7"/>
  <c r="E12267" i="7"/>
  <c r="D12267" i="7"/>
  <c r="E12266" i="7"/>
  <c r="D12266" i="7"/>
  <c r="E12265" i="7"/>
  <c r="D12265" i="7"/>
  <c r="E12264" i="7"/>
  <c r="D12264" i="7"/>
  <c r="E12263" i="7"/>
  <c r="D12263" i="7"/>
  <c r="E12262" i="7"/>
  <c r="D12262" i="7"/>
  <c r="E12261" i="7"/>
  <c r="D12261" i="7"/>
  <c r="E12260" i="7"/>
  <c r="D12260" i="7"/>
  <c r="E12259" i="7"/>
  <c r="D12259" i="7"/>
  <c r="E12258" i="7"/>
  <c r="D12258" i="7"/>
  <c r="E12257" i="7"/>
  <c r="D12257" i="7"/>
  <c r="E12256" i="7"/>
  <c r="D12256" i="7"/>
  <c r="E12255" i="7"/>
  <c r="D12255" i="7"/>
  <c r="E12254" i="7"/>
  <c r="D12254" i="7"/>
  <c r="E12253" i="7"/>
  <c r="D12253" i="7"/>
  <c r="E12252" i="7"/>
  <c r="D12252" i="7"/>
  <c r="E12251" i="7"/>
  <c r="D12251" i="7"/>
  <c r="E12250" i="7"/>
  <c r="D12250" i="7"/>
  <c r="E12249" i="7"/>
  <c r="D12249" i="7"/>
  <c r="E12248" i="7"/>
  <c r="D12248" i="7"/>
  <c r="E12247" i="7"/>
  <c r="D12247" i="7"/>
  <c r="E12246" i="7"/>
  <c r="D12246" i="7"/>
  <c r="E12245" i="7"/>
  <c r="D12245" i="7"/>
  <c r="E12244" i="7"/>
  <c r="D12244" i="7"/>
  <c r="E12243" i="7"/>
  <c r="D12243" i="7"/>
  <c r="E12242" i="7"/>
  <c r="D12242" i="7"/>
  <c r="E12241" i="7"/>
  <c r="D12241" i="7"/>
  <c r="E12240" i="7"/>
  <c r="D12240" i="7"/>
  <c r="E12239" i="7"/>
  <c r="D12239" i="7"/>
  <c r="E12238" i="7"/>
  <c r="D12238" i="7"/>
  <c r="E12237" i="7"/>
  <c r="D12237" i="7"/>
  <c r="E12236" i="7"/>
  <c r="D12236" i="7"/>
  <c r="E12235" i="7"/>
  <c r="D12235" i="7"/>
  <c r="E12234" i="7"/>
  <c r="D12234" i="7"/>
  <c r="E12233" i="7"/>
  <c r="D12233" i="7"/>
  <c r="E12232" i="7"/>
  <c r="D12232" i="7"/>
  <c r="E12231" i="7"/>
  <c r="D12231" i="7"/>
  <c r="E12230" i="7"/>
  <c r="D12230" i="7"/>
  <c r="E12229" i="7"/>
  <c r="D12229" i="7"/>
  <c r="E12228" i="7"/>
  <c r="D12228" i="7"/>
  <c r="E12227" i="7"/>
  <c r="D12227" i="7"/>
  <c r="E12226" i="7"/>
  <c r="D12226" i="7"/>
  <c r="E12225" i="7"/>
  <c r="D12225" i="7"/>
  <c r="H11952" i="7" l="1" a="1"/>
  <c r="H11952" i="7" s="1"/>
  <c r="E11952" i="7"/>
  <c r="D11952" i="7"/>
  <c r="H11951" i="7" a="1"/>
  <c r="H11951" i="7" s="1"/>
  <c r="E11951" i="7"/>
  <c r="D11951" i="7"/>
  <c r="H11950" i="7" a="1"/>
  <c r="H11950" i="7" s="1"/>
  <c r="E11950" i="7"/>
  <c r="D11950" i="7"/>
  <c r="H11949" i="7" a="1"/>
  <c r="H11949" i="7" s="1"/>
  <c r="E11949" i="7"/>
  <c r="D11949" i="7"/>
  <c r="H11905" i="7" a="1"/>
  <c r="H11905" i="7" s="1"/>
  <c r="E11905" i="7"/>
  <c r="D11905" i="7"/>
  <c r="H11904" i="7" a="1"/>
  <c r="H11904" i="7" s="1"/>
  <c r="E11904" i="7"/>
  <c r="D11904" i="7"/>
  <c r="H11874" i="7" a="1"/>
  <c r="H11874" i="7" s="1"/>
  <c r="E11874" i="7"/>
  <c r="D11874" i="7"/>
  <c r="H11873" i="7" a="1"/>
  <c r="H11873" i="7" s="1"/>
  <c r="E11873" i="7"/>
  <c r="D11873" i="7"/>
  <c r="H11648" i="7" a="1"/>
  <c r="H11648" i="7" s="1"/>
  <c r="E11648" i="7"/>
  <c r="D11648" i="7"/>
  <c r="H11647" i="7" a="1"/>
  <c r="H11647" i="7" s="1"/>
  <c r="E11647" i="7"/>
  <c r="D11647" i="7"/>
  <c r="H11657" i="7" a="1"/>
  <c r="H11657" i="7" s="1"/>
  <c r="E11657" i="7"/>
  <c r="D11657" i="7"/>
  <c r="H11656" i="7" a="1"/>
  <c r="H11656" i="7" s="1"/>
  <c r="E11656" i="7"/>
  <c r="D11656" i="7"/>
  <c r="E12208" i="7"/>
  <c r="D12208" i="7"/>
  <c r="E12207" i="7"/>
  <c r="D12207" i="7"/>
  <c r="E12206" i="7"/>
  <c r="D12206" i="7"/>
  <c r="E12205" i="7"/>
  <c r="D12205" i="7"/>
  <c r="E12204" i="7"/>
  <c r="D12204" i="7"/>
  <c r="F123" i="58"/>
  <c r="F124" i="58"/>
  <c r="F125" i="58"/>
  <c r="F126" i="58"/>
  <c r="F127" i="58"/>
  <c r="F128" i="58"/>
  <c r="D123" i="58"/>
  <c r="D124" i="58"/>
  <c r="D125" i="58"/>
  <c r="D126" i="58"/>
  <c r="D127" i="58"/>
  <c r="D128" i="58"/>
  <c r="D129" i="58"/>
  <c r="J129" i="58"/>
  <c r="H129" i="58"/>
  <c r="J128" i="58"/>
  <c r="H128" i="58"/>
  <c r="J127" i="58"/>
  <c r="H127" i="58"/>
  <c r="J126" i="58"/>
  <c r="H126" i="58"/>
  <c r="J125" i="58"/>
  <c r="H125" i="58"/>
  <c r="J124" i="58"/>
  <c r="H124" i="58"/>
  <c r="J123" i="58"/>
  <c r="H123" i="58"/>
  <c r="R129" i="58"/>
  <c r="P129" i="58"/>
  <c r="N129" i="58"/>
  <c r="L129" i="58"/>
  <c r="R128" i="58"/>
  <c r="P128" i="58"/>
  <c r="N128" i="58"/>
  <c r="L128" i="58"/>
  <c r="R127" i="58"/>
  <c r="P127" i="58"/>
  <c r="N127" i="58"/>
  <c r="L127" i="58"/>
  <c r="R126" i="58"/>
  <c r="P126" i="58"/>
  <c r="N126" i="58"/>
  <c r="L126" i="58"/>
  <c r="R125" i="58"/>
  <c r="P125" i="58"/>
  <c r="N125" i="58"/>
  <c r="L125" i="58"/>
  <c r="R124" i="58"/>
  <c r="P124" i="58"/>
  <c r="N124" i="58"/>
  <c r="L124" i="58"/>
  <c r="R123" i="58"/>
  <c r="P123" i="58"/>
  <c r="N123" i="58"/>
  <c r="L123" i="58"/>
  <c r="E12203" i="7"/>
  <c r="D12203" i="7"/>
  <c r="E12202" i="7"/>
  <c r="D12202" i="7"/>
  <c r="E12201" i="7"/>
  <c r="D12201" i="7"/>
  <c r="E12184" i="7" l="1"/>
  <c r="D12184" i="7"/>
  <c r="E12183" i="7"/>
  <c r="D12183" i="7"/>
  <c r="E12182" i="7"/>
  <c r="D12182" i="7"/>
  <c r="E12181" i="7"/>
  <c r="D12181" i="7"/>
  <c r="E12180" i="7"/>
  <c r="D12180" i="7"/>
  <c r="E12200" i="7" l="1"/>
  <c r="D12200" i="7"/>
  <c r="E12199" i="7"/>
  <c r="D12199" i="7"/>
  <c r="E12198" i="7"/>
  <c r="D12198" i="7"/>
  <c r="E12197" i="7"/>
  <c r="D12197" i="7"/>
  <c r="E12196" i="7"/>
  <c r="D12196" i="7"/>
  <c r="E12195" i="7"/>
  <c r="D12195" i="7"/>
  <c r="E12194" i="7"/>
  <c r="D12194" i="7"/>
  <c r="E12193" i="7" l="1"/>
  <c r="D12193" i="7"/>
  <c r="E12192" i="7"/>
  <c r="D12192" i="7"/>
  <c r="E12191" i="7"/>
  <c r="D12191" i="7"/>
  <c r="E12190" i="7"/>
  <c r="D12190" i="7"/>
  <c r="E12189" i="7"/>
  <c r="D12189" i="7"/>
  <c r="E12188" i="7"/>
  <c r="D12188" i="7"/>
  <c r="E12187" i="7"/>
  <c r="D12187" i="7"/>
  <c r="E12186" i="7"/>
  <c r="D12186" i="7"/>
  <c r="E12185" i="7"/>
  <c r="D12185" i="7"/>
  <c r="E12155" i="7" l="1"/>
  <c r="D12155" i="7"/>
  <c r="E12154" i="7"/>
  <c r="D12154" i="7"/>
  <c r="E12153" i="7"/>
  <c r="D12153" i="7"/>
  <c r="E12169" i="7" l="1"/>
  <c r="D12169" i="7"/>
  <c r="E12168" i="7"/>
  <c r="D12168" i="7"/>
  <c r="E12167" i="7"/>
  <c r="D12167" i="7"/>
  <c r="E12166" i="7"/>
  <c r="D12166" i="7"/>
  <c r="E12179" i="7"/>
  <c r="D12179" i="7"/>
  <c r="E12178" i="7"/>
  <c r="D12178" i="7"/>
  <c r="E12177" i="7"/>
  <c r="D12177" i="7"/>
  <c r="E12176" i="7"/>
  <c r="D12176" i="7"/>
  <c r="E12175" i="7"/>
  <c r="D12175" i="7"/>
  <c r="E12174" i="7" l="1"/>
  <c r="D12174" i="7"/>
  <c r="E12173" i="7"/>
  <c r="D12173" i="7"/>
  <c r="E12172" i="7"/>
  <c r="D12172" i="7"/>
  <c r="E12171" i="7"/>
  <c r="D12171" i="7"/>
  <c r="E12170" i="7"/>
  <c r="D12170" i="7"/>
  <c r="E12224" i="7" l="1"/>
  <c r="D12224" i="7"/>
  <c r="K12223" i="7"/>
  <c r="L12224" i="7" s="1"/>
  <c r="E12223" i="7"/>
  <c r="D12223" i="7"/>
  <c r="E12222" i="7"/>
  <c r="D12222" i="7"/>
  <c r="K12221" i="7"/>
  <c r="L12222" i="7" s="1"/>
  <c r="E12221" i="7"/>
  <c r="D12221" i="7"/>
  <c r="E12220" i="7"/>
  <c r="D12220" i="7"/>
  <c r="E12219" i="7"/>
  <c r="D12219" i="7"/>
  <c r="L12218" i="7"/>
  <c r="E12218" i="7"/>
  <c r="D12218" i="7"/>
  <c r="E12217" i="7"/>
  <c r="D12217" i="7"/>
  <c r="L12216" i="7"/>
  <c r="E12216" i="7"/>
  <c r="D12216" i="7"/>
  <c r="E12215" i="7"/>
  <c r="D12215" i="7"/>
  <c r="L12214" i="7"/>
  <c r="E12214" i="7"/>
  <c r="D12214" i="7"/>
  <c r="E12213" i="7"/>
  <c r="D12213" i="7"/>
  <c r="L12212" i="7"/>
  <c r="E12212" i="7"/>
  <c r="D12212" i="7"/>
  <c r="E12211" i="7"/>
  <c r="D12211" i="7"/>
  <c r="E12210" i="7"/>
  <c r="D12210" i="7"/>
  <c r="E12209" i="7"/>
  <c r="D12209" i="7"/>
  <c r="E12165" i="7"/>
  <c r="D12165" i="7"/>
  <c r="E12164" i="7"/>
  <c r="D12164" i="7"/>
  <c r="E12163" i="7"/>
  <c r="D12163" i="7"/>
  <c r="E12152" i="7" l="1"/>
  <c r="D12152" i="7"/>
  <c r="E12151" i="7"/>
  <c r="D12151" i="7"/>
  <c r="E12134" i="7"/>
  <c r="D12134" i="7"/>
  <c r="E12133" i="7"/>
  <c r="D12133" i="7"/>
  <c r="E12131" i="7"/>
  <c r="D12131" i="7"/>
  <c r="E12132" i="7"/>
  <c r="D12132" i="7"/>
  <c r="H12130" i="7" a="1"/>
  <c r="H12130" i="7" s="1"/>
  <c r="E12130" i="7"/>
  <c r="D12130" i="7"/>
  <c r="E12162" i="7"/>
  <c r="D12162" i="7"/>
  <c r="E12161" i="7"/>
  <c r="D12161" i="7"/>
  <c r="E12160" i="7"/>
  <c r="D12160" i="7"/>
  <c r="E12159" i="7"/>
  <c r="D12159" i="7"/>
  <c r="E12158" i="7"/>
  <c r="D12158" i="7"/>
  <c r="E12157" i="7"/>
  <c r="D12157" i="7"/>
  <c r="E12156" i="7"/>
  <c r="D12156" i="7"/>
  <c r="H12129" i="7" a="1"/>
  <c r="H12129" i="7" s="1"/>
  <c r="E12129" i="7"/>
  <c r="D12129" i="7"/>
  <c r="H12128" i="7" a="1"/>
  <c r="H12128" i="7" s="1"/>
  <c r="E12128" i="7"/>
  <c r="D12128" i="7"/>
  <c r="H12127" i="7" a="1"/>
  <c r="H12127" i="7" s="1"/>
  <c r="E12127" i="7"/>
  <c r="D12127" i="7"/>
  <c r="H12126" i="7" a="1"/>
  <c r="H12126" i="7" s="1"/>
  <c r="E12126" i="7"/>
  <c r="D12126" i="7"/>
  <c r="H12125" i="7" a="1"/>
  <c r="H12125" i="7" s="1"/>
  <c r="E12125" i="7"/>
  <c r="D12125" i="7"/>
  <c r="H12124" i="7" a="1"/>
  <c r="H12124" i="7" s="1"/>
  <c r="E12124" i="7"/>
  <c r="D12124" i="7"/>
  <c r="H12123" i="7" a="1"/>
  <c r="H12123" i="7" s="1"/>
  <c r="E12123" i="7"/>
  <c r="D12123" i="7"/>
  <c r="H12122" i="7" a="1"/>
  <c r="H12122" i="7" s="1"/>
  <c r="E12122" i="7"/>
  <c r="D12122" i="7"/>
  <c r="D116" i="58"/>
  <c r="D117" i="58"/>
  <c r="D118" i="58"/>
  <c r="D119" i="58"/>
  <c r="D120" i="58"/>
  <c r="D121" i="58"/>
  <c r="D122" i="58"/>
  <c r="F116" i="58"/>
  <c r="F117" i="58"/>
  <c r="F118" i="58"/>
  <c r="F119" i="58"/>
  <c r="F120" i="58"/>
  <c r="F121" i="58"/>
  <c r="F122" i="58"/>
  <c r="R122" i="58"/>
  <c r="P122" i="58"/>
  <c r="N122" i="58"/>
  <c r="R121" i="58"/>
  <c r="P121" i="58"/>
  <c r="N121" i="58"/>
  <c r="R120" i="58"/>
  <c r="P120" i="58"/>
  <c r="N120" i="58"/>
  <c r="R119" i="58"/>
  <c r="P119" i="58"/>
  <c r="N119" i="58"/>
  <c r="R118" i="58"/>
  <c r="P118" i="58"/>
  <c r="N118" i="58"/>
  <c r="R117" i="58"/>
  <c r="P117" i="58"/>
  <c r="N117" i="58"/>
  <c r="R116" i="58"/>
  <c r="P116" i="58"/>
  <c r="N116" i="58"/>
  <c r="L122" i="58"/>
  <c r="J122" i="58"/>
  <c r="H122" i="58"/>
  <c r="L121" i="58"/>
  <c r="J121" i="58"/>
  <c r="H121" i="58"/>
  <c r="L120" i="58"/>
  <c r="J120" i="58"/>
  <c r="H120" i="58"/>
  <c r="L119" i="58"/>
  <c r="J119" i="58"/>
  <c r="H119" i="58"/>
  <c r="L118" i="58"/>
  <c r="J118" i="58"/>
  <c r="H118" i="58"/>
  <c r="L117" i="58"/>
  <c r="J117" i="58"/>
  <c r="H117" i="58"/>
  <c r="L116" i="58"/>
  <c r="J116" i="58"/>
  <c r="H116" i="58"/>
  <c r="E12150" i="7"/>
  <c r="D12150" i="7"/>
  <c r="K12149" i="7"/>
  <c r="L12150" i="7" s="1"/>
  <c r="E12149" i="7"/>
  <c r="D12149" i="7"/>
  <c r="E12148" i="7"/>
  <c r="D12148" i="7"/>
  <c r="K12147" i="7"/>
  <c r="L12148" i="7" s="1"/>
  <c r="E12147" i="7"/>
  <c r="D12147" i="7"/>
  <c r="E12146" i="7"/>
  <c r="D12146" i="7"/>
  <c r="E12145" i="7"/>
  <c r="D12145" i="7"/>
  <c r="L12144" i="7"/>
  <c r="E12144" i="7"/>
  <c r="D12144" i="7"/>
  <c r="E12143" i="7"/>
  <c r="D12143" i="7"/>
  <c r="L12142" i="7"/>
  <c r="E12142" i="7"/>
  <c r="D12142" i="7"/>
  <c r="E12141" i="7"/>
  <c r="D12141" i="7"/>
  <c r="L12140" i="7"/>
  <c r="E12140" i="7"/>
  <c r="D12140" i="7"/>
  <c r="E12139" i="7"/>
  <c r="D12139" i="7"/>
  <c r="L12138" i="7"/>
  <c r="E12138" i="7"/>
  <c r="D12138" i="7"/>
  <c r="E12137" i="7"/>
  <c r="D12137" i="7"/>
  <c r="E12136" i="7"/>
  <c r="D12136" i="7"/>
  <c r="E12135" i="7"/>
  <c r="D12135" i="7"/>
  <c r="H12121" i="7" a="1"/>
  <c r="H12121" i="7" s="1"/>
  <c r="E12121" i="7"/>
  <c r="D12121" i="7"/>
  <c r="H12120" i="7" a="1"/>
  <c r="H12120" i="7" s="1"/>
  <c r="E12120" i="7"/>
  <c r="D12120" i="7"/>
  <c r="H12119" i="7" a="1"/>
  <c r="H12119" i="7" s="1"/>
  <c r="E12119" i="7"/>
  <c r="D12119" i="7"/>
  <c r="H12118" i="7" a="1"/>
  <c r="H12118" i="7" s="1"/>
  <c r="E12118" i="7"/>
  <c r="D12118" i="7"/>
  <c r="H12117" i="7" a="1"/>
  <c r="H12117" i="7" s="1"/>
  <c r="E12117" i="7"/>
  <c r="D12117" i="7"/>
  <c r="H12116" i="7" a="1"/>
  <c r="H12116" i="7" s="1"/>
  <c r="E12116" i="7"/>
  <c r="D12116" i="7"/>
  <c r="H12115" i="7" a="1"/>
  <c r="H12115" i="7" s="1"/>
  <c r="E12115" i="7"/>
  <c r="D12115" i="7"/>
  <c r="H12114" i="7" a="1"/>
  <c r="H12114" i="7" s="1"/>
  <c r="E12114" i="7"/>
  <c r="D12114" i="7"/>
  <c r="H12113" i="7" a="1"/>
  <c r="H12113" i="7" s="1"/>
  <c r="E12113" i="7"/>
  <c r="D12113" i="7"/>
  <c r="H12112" i="7" a="1"/>
  <c r="H12112" i="7" s="1"/>
  <c r="E12112" i="7"/>
  <c r="D12112" i="7"/>
  <c r="H12111" i="7" a="1"/>
  <c r="H12111" i="7" s="1"/>
  <c r="E12111" i="7"/>
  <c r="D12111" i="7"/>
  <c r="H12110" i="7" a="1"/>
  <c r="H12110" i="7" s="1"/>
  <c r="E12110" i="7"/>
  <c r="D12110" i="7"/>
  <c r="H12109" i="7" a="1"/>
  <c r="H12109" i="7" s="1"/>
  <c r="E12109" i="7"/>
  <c r="D12109" i="7"/>
  <c r="H12108" i="7" a="1"/>
  <c r="H12108" i="7" s="1"/>
  <c r="E12108" i="7"/>
  <c r="D12108" i="7"/>
  <c r="H12107" i="7" a="1"/>
  <c r="H12107" i="7" s="1"/>
  <c r="E12107" i="7"/>
  <c r="D12107" i="7"/>
  <c r="H12106" i="7" a="1"/>
  <c r="H12106" i="7" s="1"/>
  <c r="E12106" i="7"/>
  <c r="D12106" i="7"/>
  <c r="H12105" i="7" a="1"/>
  <c r="H12105" i="7" s="1"/>
  <c r="E12105" i="7"/>
  <c r="D12105" i="7"/>
  <c r="E12104" i="7" l="1"/>
  <c r="D12104" i="7"/>
  <c r="K12103" i="7"/>
  <c r="L12104" i="7" s="1"/>
  <c r="E12103" i="7"/>
  <c r="D12103" i="7"/>
  <c r="E12102" i="7"/>
  <c r="D12102" i="7"/>
  <c r="K12101" i="7"/>
  <c r="L12102" i="7" s="1"/>
  <c r="E12101" i="7"/>
  <c r="D12101" i="7"/>
  <c r="E12100" i="7"/>
  <c r="D12100" i="7"/>
  <c r="E12099" i="7"/>
  <c r="D12099" i="7"/>
  <c r="L12098" i="7"/>
  <c r="E12098" i="7"/>
  <c r="D12098" i="7"/>
  <c r="E12097" i="7"/>
  <c r="D12097" i="7"/>
  <c r="L12096" i="7"/>
  <c r="E12096" i="7"/>
  <c r="D12096" i="7"/>
  <c r="E12095" i="7"/>
  <c r="D12095" i="7"/>
  <c r="L12094" i="7"/>
  <c r="E12094" i="7"/>
  <c r="D12094" i="7"/>
  <c r="E12093" i="7"/>
  <c r="D12093" i="7"/>
  <c r="L12092" i="7"/>
  <c r="E12092" i="7"/>
  <c r="D12092" i="7"/>
  <c r="E12091" i="7"/>
  <c r="D12091" i="7"/>
  <c r="E12090" i="7"/>
  <c r="D12090" i="7"/>
  <c r="E12089" i="7"/>
  <c r="D12089" i="7"/>
  <c r="D109" i="58"/>
  <c r="D110" i="58"/>
  <c r="D111" i="58"/>
  <c r="D112" i="58"/>
  <c r="D113" i="58"/>
  <c r="D114" i="58"/>
  <c r="D115" i="58"/>
  <c r="F109" i="58"/>
  <c r="F110" i="58"/>
  <c r="F111" i="58"/>
  <c r="F112" i="58"/>
  <c r="F113" i="58"/>
  <c r="F114" i="58"/>
  <c r="F115" i="58"/>
  <c r="R115" i="58"/>
  <c r="P115" i="58"/>
  <c r="N115" i="58"/>
  <c r="L115" i="58"/>
  <c r="J115" i="58"/>
  <c r="H115" i="58"/>
  <c r="R114" i="58"/>
  <c r="P114" i="58"/>
  <c r="N114" i="58"/>
  <c r="L114" i="58"/>
  <c r="J114" i="58"/>
  <c r="H114" i="58"/>
  <c r="R113" i="58"/>
  <c r="P113" i="58"/>
  <c r="N113" i="58"/>
  <c r="L113" i="58"/>
  <c r="J113" i="58"/>
  <c r="H113" i="58"/>
  <c r="R112" i="58"/>
  <c r="P112" i="58"/>
  <c r="N112" i="58"/>
  <c r="L112" i="58"/>
  <c r="J112" i="58"/>
  <c r="H112" i="58"/>
  <c r="R111" i="58"/>
  <c r="P111" i="58"/>
  <c r="N111" i="58"/>
  <c r="L111" i="58"/>
  <c r="J111" i="58"/>
  <c r="H111" i="58"/>
  <c r="R110" i="58"/>
  <c r="P110" i="58"/>
  <c r="N110" i="58"/>
  <c r="L110" i="58"/>
  <c r="J110" i="58"/>
  <c r="H110" i="58"/>
  <c r="R109" i="58"/>
  <c r="P109" i="58"/>
  <c r="N109" i="58"/>
  <c r="L109" i="58"/>
  <c r="J109" i="58"/>
  <c r="H109" i="58"/>
  <c r="H12080" i="7" a="1"/>
  <c r="H12080" i="7" s="1"/>
  <c r="E12080" i="7"/>
  <c r="D12080" i="7"/>
  <c r="H12079" i="7" a="1"/>
  <c r="H12079" i="7" s="1"/>
  <c r="E12079" i="7"/>
  <c r="D12079" i="7"/>
  <c r="H12078" i="7" a="1"/>
  <c r="H12078" i="7" s="1"/>
  <c r="E12078" i="7"/>
  <c r="D12078" i="7"/>
  <c r="H12077" i="7" a="1"/>
  <c r="H12077" i="7" s="1"/>
  <c r="E12077" i="7"/>
  <c r="D12077" i="7"/>
  <c r="H12076" i="7" a="1"/>
  <c r="H12076" i="7" s="1"/>
  <c r="E12076" i="7"/>
  <c r="D12076" i="7"/>
  <c r="H12075" i="7" a="1"/>
  <c r="H12075" i="7" s="1"/>
  <c r="E12075" i="7"/>
  <c r="D12075" i="7"/>
  <c r="H12088" i="7" a="1"/>
  <c r="H12088" i="7" s="1"/>
  <c r="E12088" i="7"/>
  <c r="D12088" i="7"/>
  <c r="H12087" i="7" a="1"/>
  <c r="H12087" i="7" s="1"/>
  <c r="E12087" i="7"/>
  <c r="D12087" i="7"/>
  <c r="H12086" i="7" a="1"/>
  <c r="H12086" i="7" s="1"/>
  <c r="E12086" i="7"/>
  <c r="D12086" i="7"/>
  <c r="H12085" i="7" a="1"/>
  <c r="H12085" i="7" s="1"/>
  <c r="E12085" i="7"/>
  <c r="D12085" i="7"/>
  <c r="H12084" i="7" a="1"/>
  <c r="H12084" i="7" s="1"/>
  <c r="E12084" i="7"/>
  <c r="D12084" i="7"/>
  <c r="H12083" i="7" a="1"/>
  <c r="H12083" i="7" s="1"/>
  <c r="E12083" i="7"/>
  <c r="D12083" i="7"/>
  <c r="H12082" i="7" a="1"/>
  <c r="H12082" i="7" s="1"/>
  <c r="E12082" i="7"/>
  <c r="D12082" i="7"/>
  <c r="H12081" i="7" a="1"/>
  <c r="H12081" i="7" s="1"/>
  <c r="E12081" i="7"/>
  <c r="D12081" i="7"/>
  <c r="E12074" i="7" l="1"/>
  <c r="D12074" i="7"/>
  <c r="K12073" i="7"/>
  <c r="L12074" i="7" s="1"/>
  <c r="E12073" i="7"/>
  <c r="D12073" i="7"/>
  <c r="E12072" i="7"/>
  <c r="D12072" i="7"/>
  <c r="K12071" i="7"/>
  <c r="L12072" i="7" s="1"/>
  <c r="E12071" i="7"/>
  <c r="D12071" i="7"/>
  <c r="E12070" i="7"/>
  <c r="D12070" i="7"/>
  <c r="E12069" i="7"/>
  <c r="D12069" i="7"/>
  <c r="L12068" i="7"/>
  <c r="E12068" i="7"/>
  <c r="D12068" i="7"/>
  <c r="E12067" i="7"/>
  <c r="D12067" i="7"/>
  <c r="L12066" i="7"/>
  <c r="E12066" i="7"/>
  <c r="D12066" i="7"/>
  <c r="E12065" i="7"/>
  <c r="D12065" i="7"/>
  <c r="L12064" i="7"/>
  <c r="E12064" i="7"/>
  <c r="D12064" i="7"/>
  <c r="E12063" i="7"/>
  <c r="D12063" i="7"/>
  <c r="L12062" i="7"/>
  <c r="E12062" i="7"/>
  <c r="D12062" i="7"/>
  <c r="E12061" i="7"/>
  <c r="D12061" i="7"/>
  <c r="E12060" i="7"/>
  <c r="D12060" i="7"/>
  <c r="E12059" i="7"/>
  <c r="D12059" i="7"/>
  <c r="D102" i="58"/>
  <c r="D103" i="58"/>
  <c r="D104" i="58"/>
  <c r="D105" i="58"/>
  <c r="D106" i="58"/>
  <c r="D107" i="58"/>
  <c r="D108" i="58"/>
  <c r="F102" i="58"/>
  <c r="F103" i="58"/>
  <c r="F104" i="58"/>
  <c r="F105" i="58"/>
  <c r="F106" i="58"/>
  <c r="F107" i="58"/>
  <c r="F108" i="58"/>
  <c r="R108" i="58"/>
  <c r="P108" i="58"/>
  <c r="N108" i="58"/>
  <c r="L108" i="58"/>
  <c r="J108" i="58"/>
  <c r="H108" i="58"/>
  <c r="R107" i="58"/>
  <c r="P107" i="58"/>
  <c r="N107" i="58"/>
  <c r="L107" i="58"/>
  <c r="J107" i="58"/>
  <c r="H107" i="58"/>
  <c r="R106" i="58"/>
  <c r="P106" i="58"/>
  <c r="N106" i="58"/>
  <c r="L106" i="58"/>
  <c r="J106" i="58"/>
  <c r="H106" i="58"/>
  <c r="R105" i="58"/>
  <c r="P105" i="58"/>
  <c r="N105" i="58"/>
  <c r="L105" i="58"/>
  <c r="J105" i="58"/>
  <c r="H105" i="58"/>
  <c r="R104" i="58"/>
  <c r="P104" i="58"/>
  <c r="N104" i="58"/>
  <c r="L104" i="58"/>
  <c r="J104" i="58"/>
  <c r="H104" i="58"/>
  <c r="R103" i="58"/>
  <c r="P103" i="58"/>
  <c r="N103" i="58"/>
  <c r="L103" i="58"/>
  <c r="J103" i="58"/>
  <c r="H103" i="58"/>
  <c r="R102" i="58"/>
  <c r="P102" i="58"/>
  <c r="N102" i="58"/>
  <c r="L102" i="58"/>
  <c r="J102" i="58"/>
  <c r="H102" i="58"/>
  <c r="H12053" i="7" a="1"/>
  <c r="H12053" i="7" s="1"/>
  <c r="E12053" i="7"/>
  <c r="D12053" i="7"/>
  <c r="H12052" i="7" a="1"/>
  <c r="H12052" i="7" s="1"/>
  <c r="E12052" i="7"/>
  <c r="D12052" i="7"/>
  <c r="H12039" i="7" a="1"/>
  <c r="H12039" i="7" s="1"/>
  <c r="E12039" i="7"/>
  <c r="D12039" i="7"/>
  <c r="H12038" i="7" a="1"/>
  <c r="H12038" i="7" s="1"/>
  <c r="E12038" i="7"/>
  <c r="D12038" i="7"/>
  <c r="H12058" i="7" a="1"/>
  <c r="H12058" i="7" s="1"/>
  <c r="E12058" i="7"/>
  <c r="D12058" i="7"/>
  <c r="H12057" i="7" a="1"/>
  <c r="H12057" i="7" s="1"/>
  <c r="E12057" i="7"/>
  <c r="D12057" i="7"/>
  <c r="H12048" i="7" a="1"/>
  <c r="H12048" i="7" s="1"/>
  <c r="E12048" i="7"/>
  <c r="D12048" i="7"/>
  <c r="H12047" i="7" a="1"/>
  <c r="H12047" i="7" s="1"/>
  <c r="E12047" i="7"/>
  <c r="D12047" i="7"/>
  <c r="H12043" i="7" a="1"/>
  <c r="H12043" i="7" s="1"/>
  <c r="E12043" i="7"/>
  <c r="D12043" i="7"/>
  <c r="H12042" i="7" a="1"/>
  <c r="H12042" i="7" s="1"/>
  <c r="E12042" i="7"/>
  <c r="D12042" i="7"/>
  <c r="H12041" i="7" a="1"/>
  <c r="H12041" i="7" s="1"/>
  <c r="E12041" i="7"/>
  <c r="D12041" i="7"/>
  <c r="H12040" i="7" a="1"/>
  <c r="H12040" i="7" s="1"/>
  <c r="E12040" i="7"/>
  <c r="D12040" i="7"/>
  <c r="H12034" i="7" a="1"/>
  <c r="H12034" i="7" s="1"/>
  <c r="E12034" i="7"/>
  <c r="D12034" i="7"/>
  <c r="H12033" i="7" a="1"/>
  <c r="H12033" i="7" s="1"/>
  <c r="E12033" i="7"/>
  <c r="D12033" i="7"/>
  <c r="H12056" i="7" l="1" a="1"/>
  <c r="H12056" i="7" s="1"/>
  <c r="E12056" i="7"/>
  <c r="D12056" i="7"/>
  <c r="H12055" i="7" a="1"/>
  <c r="H12055" i="7" s="1"/>
  <c r="E12055" i="7"/>
  <c r="D12055" i="7"/>
  <c r="H12054" i="7" a="1"/>
  <c r="H12054" i="7" s="1"/>
  <c r="E12054" i="7"/>
  <c r="D12054" i="7"/>
  <c r="H12051" i="7" a="1"/>
  <c r="H12051" i="7" s="1"/>
  <c r="E12051" i="7"/>
  <c r="D12051" i="7"/>
  <c r="H12050" i="7" a="1"/>
  <c r="H12050" i="7" s="1"/>
  <c r="E12050" i="7"/>
  <c r="D12050" i="7"/>
  <c r="H12049" i="7" a="1"/>
  <c r="H12049" i="7" s="1"/>
  <c r="E12049" i="7"/>
  <c r="D12049" i="7"/>
  <c r="H12046" i="7" a="1"/>
  <c r="H12046" i="7" s="1"/>
  <c r="E12046" i="7"/>
  <c r="D12046" i="7"/>
  <c r="H12045" i="7" a="1"/>
  <c r="H12045" i="7" s="1"/>
  <c r="E12045" i="7"/>
  <c r="D12045" i="7"/>
  <c r="H12044" i="7" a="1"/>
  <c r="H12044" i="7" s="1"/>
  <c r="E12044" i="7"/>
  <c r="D12044" i="7"/>
  <c r="H12037" i="7" a="1"/>
  <c r="H12037" i="7" s="1"/>
  <c r="E12037" i="7"/>
  <c r="D12037" i="7"/>
  <c r="H12036" i="7" a="1"/>
  <c r="H12036" i="7" s="1"/>
  <c r="E12036" i="7"/>
  <c r="D12036" i="7"/>
  <c r="H12035" i="7" a="1"/>
  <c r="H12035" i="7" s="1"/>
  <c r="E12035" i="7"/>
  <c r="D12035" i="7"/>
  <c r="H12032" i="7" l="1" a="1"/>
  <c r="H12032" i="7" s="1"/>
  <c r="E12032" i="7"/>
  <c r="D12032" i="7"/>
  <c r="H12031" i="7" a="1"/>
  <c r="H12031" i="7" s="1"/>
  <c r="E12031" i="7"/>
  <c r="D12031" i="7"/>
  <c r="H12030" i="7" a="1"/>
  <c r="H12030" i="7" s="1"/>
  <c r="E12030" i="7"/>
  <c r="D12030" i="7"/>
  <c r="E12013" i="7" l="1"/>
  <c r="D12013" i="7"/>
  <c r="E12012" i="7"/>
  <c r="D12012" i="7"/>
  <c r="H12011" i="7" l="1" a="1"/>
  <c r="H12011" i="7" s="1"/>
  <c r="E12011" i="7"/>
  <c r="D12011" i="7"/>
  <c r="H12010" i="7" a="1"/>
  <c r="H12010" i="7" s="1"/>
  <c r="E12010" i="7"/>
  <c r="D12010" i="7"/>
  <c r="H12009" i="7" a="1"/>
  <c r="H12009" i="7" s="1"/>
  <c r="E12009" i="7"/>
  <c r="D12009" i="7"/>
  <c r="H12008" i="7" a="1"/>
  <c r="H12008" i="7" s="1"/>
  <c r="E12008" i="7"/>
  <c r="D12008" i="7"/>
  <c r="H12007" i="7" a="1"/>
  <c r="H12007" i="7" s="1"/>
  <c r="E12007" i="7"/>
  <c r="D12007" i="7"/>
  <c r="H12006" i="7" a="1"/>
  <c r="H12006" i="7" s="1"/>
  <c r="E12006" i="7"/>
  <c r="D12006" i="7"/>
  <c r="D95" i="58" l="1"/>
  <c r="D96" i="58"/>
  <c r="D97" i="58"/>
  <c r="D98" i="58"/>
  <c r="D99" i="58"/>
  <c r="D100" i="58"/>
  <c r="D101" i="58"/>
  <c r="F95" i="58"/>
  <c r="F96" i="58"/>
  <c r="F97" i="58"/>
  <c r="F98" i="58"/>
  <c r="F99" i="58"/>
  <c r="F100" i="58"/>
  <c r="F101" i="58"/>
  <c r="H95" i="58"/>
  <c r="H96" i="58"/>
  <c r="H97" i="58"/>
  <c r="H98" i="58"/>
  <c r="H99" i="58"/>
  <c r="H100" i="58"/>
  <c r="H101" i="58"/>
  <c r="P101" i="58"/>
  <c r="N101" i="58"/>
  <c r="L101" i="58"/>
  <c r="J101" i="58"/>
  <c r="P100" i="58"/>
  <c r="N100" i="58"/>
  <c r="L100" i="58"/>
  <c r="J100" i="58"/>
  <c r="P99" i="58"/>
  <c r="N99" i="58"/>
  <c r="L99" i="58"/>
  <c r="J99" i="58"/>
  <c r="P98" i="58"/>
  <c r="N98" i="58"/>
  <c r="L98" i="58"/>
  <c r="J98" i="58"/>
  <c r="P97" i="58"/>
  <c r="N97" i="58"/>
  <c r="L97" i="58"/>
  <c r="J97" i="58"/>
  <c r="P96" i="58"/>
  <c r="N96" i="58"/>
  <c r="L96" i="58"/>
  <c r="J96" i="58"/>
  <c r="P95" i="58"/>
  <c r="N95" i="58"/>
  <c r="L95" i="58"/>
  <c r="J95" i="58"/>
  <c r="R95" i="58"/>
  <c r="R96" i="58"/>
  <c r="R97" i="58"/>
  <c r="R98" i="58"/>
  <c r="R99" i="58"/>
  <c r="R100" i="58"/>
  <c r="R101" i="58"/>
  <c r="H12005" i="7" a="1"/>
  <c r="H12005" i="7" s="1"/>
  <c r="E12005" i="7"/>
  <c r="D12005" i="7"/>
  <c r="H12004" i="7" a="1"/>
  <c r="H12004" i="7" s="1"/>
  <c r="E12004" i="7"/>
  <c r="D12004" i="7"/>
  <c r="H12003" i="7" a="1"/>
  <c r="H12003" i="7" s="1"/>
  <c r="E12003" i="7"/>
  <c r="D12003" i="7"/>
  <c r="L11978" i="7" l="1"/>
  <c r="H12002" i="7" l="1" a="1"/>
  <c r="H12002" i="7" s="1"/>
  <c r="H12001" i="7" a="1"/>
  <c r="H12001" i="7" s="1"/>
  <c r="H12000" i="7" a="1"/>
  <c r="H12000" i="7" s="1"/>
  <c r="H11999" i="7" a="1"/>
  <c r="H11999" i="7" s="1"/>
  <c r="H11998" i="7" a="1"/>
  <c r="H11998" i="7" s="1"/>
  <c r="H11997" i="7" a="1"/>
  <c r="H11997" i="7" s="1"/>
  <c r="H11996" i="7" a="1"/>
  <c r="H11996" i="7" s="1"/>
  <c r="H11995" i="7" a="1"/>
  <c r="H11995" i="7" s="1"/>
  <c r="H11994" i="7" a="1"/>
  <c r="H11994" i="7" s="1"/>
  <c r="H11993" i="7" a="1"/>
  <c r="H11993" i="7" s="1"/>
  <c r="H11992" i="7" a="1"/>
  <c r="H11992" i="7" s="1"/>
  <c r="H11991" i="7" a="1"/>
  <c r="H11991" i="7" s="1"/>
  <c r="H11990" i="7" a="1"/>
  <c r="H11990" i="7" s="1"/>
  <c r="H11989" i="7" a="1"/>
  <c r="H11989" i="7" s="1"/>
  <c r="H11988" i="7" a="1"/>
  <c r="H11988" i="7" s="1"/>
  <c r="H11987" i="7" a="1"/>
  <c r="H11987" i="7" s="1"/>
  <c r="H11986" i="7" a="1"/>
  <c r="H11986" i="7" s="1"/>
  <c r="H11985" i="7" a="1"/>
  <c r="H11985" i="7" s="1"/>
  <c r="H11984" i="7" a="1"/>
  <c r="H11984" i="7" s="1"/>
  <c r="H11983" i="7" a="1"/>
  <c r="H11983" i="7" s="1"/>
  <c r="H11982" i="7" a="1"/>
  <c r="H11982" i="7" s="1"/>
  <c r="H11981" i="7" a="1"/>
  <c r="H11981" i="7" s="1"/>
  <c r="H11980" i="7" a="1"/>
  <c r="H11980" i="7" s="1"/>
  <c r="H11979" i="7" a="1"/>
  <c r="H11979" i="7" s="1"/>
  <c r="H11978" i="7" a="1"/>
  <c r="H11978" i="7" s="1"/>
  <c r="H11977" i="7" a="1"/>
  <c r="H11977" i="7" s="1"/>
  <c r="H11976" i="7" a="1"/>
  <c r="H11976" i="7" s="1"/>
  <c r="H11975" i="7" a="1"/>
  <c r="H11975" i="7" s="1"/>
  <c r="H11974" i="7" a="1"/>
  <c r="H11974" i="7" s="1"/>
  <c r="H11973" i="7" a="1"/>
  <c r="H11973" i="7" s="1"/>
  <c r="H11972" i="7" a="1"/>
  <c r="H11972" i="7" s="1"/>
  <c r="H11971" i="7" a="1"/>
  <c r="H11971" i="7" s="1"/>
  <c r="H11970" i="7" a="1"/>
  <c r="H11970" i="7" s="1"/>
  <c r="H11969" i="7" a="1"/>
  <c r="H11969" i="7" s="1"/>
  <c r="H11968" i="7" a="1"/>
  <c r="H11968" i="7" s="1"/>
  <c r="H11967" i="7" a="1"/>
  <c r="H11967" i="7" s="1"/>
  <c r="H11966" i="7" a="1"/>
  <c r="H11966" i="7" s="1"/>
  <c r="H11965" i="7" a="1"/>
  <c r="H11965" i="7" s="1"/>
  <c r="H11964" i="7" a="1"/>
  <c r="H11964" i="7" s="1"/>
  <c r="H11963" i="7" a="1"/>
  <c r="H11963" i="7" s="1"/>
  <c r="H11962" i="7" a="1"/>
  <c r="H11962" i="7" s="1"/>
  <c r="H11961" i="7" a="1"/>
  <c r="H11961" i="7" s="1"/>
  <c r="H11960" i="7" a="1"/>
  <c r="H11960" i="7" s="1"/>
  <c r="H11959" i="7" a="1"/>
  <c r="H11959" i="7" s="1"/>
  <c r="H11958" i="7" a="1"/>
  <c r="H11958" i="7" s="1"/>
  <c r="H11957" i="7" a="1"/>
  <c r="H11957" i="7" s="1"/>
  <c r="H11956" i="7" a="1"/>
  <c r="H11956" i="7" s="1"/>
  <c r="H11955" i="7" a="1"/>
  <c r="H11955" i="7" s="1"/>
  <c r="H11954" i="7" a="1"/>
  <c r="H11954" i="7" s="1"/>
  <c r="H11953" i="7" a="1"/>
  <c r="H11953" i="7" s="1"/>
  <c r="H11948" i="7" a="1"/>
  <c r="H11948" i="7" s="1"/>
  <c r="H11947" i="7" a="1"/>
  <c r="H11947" i="7" s="1"/>
  <c r="H11946" i="7" a="1"/>
  <c r="H11946" i="7" s="1"/>
  <c r="H11945" i="7" a="1"/>
  <c r="H11945" i="7" s="1"/>
  <c r="H11944" i="7" a="1"/>
  <c r="H11944" i="7" s="1"/>
  <c r="H11943" i="7" a="1"/>
  <c r="H11943" i="7" s="1"/>
  <c r="H11942" i="7" a="1"/>
  <c r="H11942" i="7" s="1"/>
  <c r="H11941" i="7" a="1"/>
  <c r="H11941" i="7" s="1"/>
  <c r="H11940" i="7" a="1"/>
  <c r="H11940" i="7" s="1"/>
  <c r="H11939" i="7" a="1"/>
  <c r="H11939" i="7" s="1"/>
  <c r="H11938" i="7" a="1"/>
  <c r="H11938" i="7" s="1"/>
  <c r="H11937" i="7" a="1"/>
  <c r="H11937" i="7" s="1"/>
  <c r="H11936" i="7" a="1"/>
  <c r="H11936" i="7" s="1"/>
  <c r="H11935" i="7" a="1"/>
  <c r="H11935" i="7" s="1"/>
  <c r="H11934" i="7" a="1"/>
  <c r="H11934" i="7" s="1"/>
  <c r="H11933" i="7" a="1"/>
  <c r="H11933" i="7" s="1"/>
  <c r="H11932" i="7" a="1"/>
  <c r="H11932" i="7" s="1"/>
  <c r="H11931" i="7" a="1"/>
  <c r="H11931" i="7" s="1"/>
  <c r="H11930" i="7" a="1"/>
  <c r="H11930" i="7" s="1"/>
  <c r="H11929" i="7" a="1"/>
  <c r="H11929" i="7" s="1"/>
  <c r="H11928" i="7" a="1"/>
  <c r="H11928" i="7" s="1"/>
  <c r="H11927" i="7" a="1"/>
  <c r="H11927" i="7" s="1"/>
  <c r="H11926" i="7" a="1"/>
  <c r="H11926" i="7" s="1"/>
  <c r="H11925" i="7" a="1"/>
  <c r="H11925" i="7" s="1"/>
  <c r="H11924" i="7" a="1"/>
  <c r="H11924" i="7" s="1"/>
  <c r="H11923" i="7" a="1"/>
  <c r="H11923" i="7" s="1"/>
  <c r="H11922" i="7" a="1"/>
  <c r="H11922" i="7" s="1"/>
  <c r="H11921" i="7" a="1"/>
  <c r="H11921" i="7" s="1"/>
  <c r="H11920" i="7" a="1"/>
  <c r="H11920" i="7" s="1"/>
  <c r="H11919" i="7" a="1"/>
  <c r="H11919" i="7" s="1"/>
  <c r="H11918" i="7" a="1"/>
  <c r="H11918" i="7" s="1"/>
  <c r="H11917" i="7" a="1"/>
  <c r="H11917" i="7" s="1"/>
  <c r="H11916" i="7" a="1"/>
  <c r="H11916" i="7" s="1"/>
  <c r="H11915" i="7" a="1"/>
  <c r="H11915" i="7" s="1"/>
  <c r="H11914" i="7" a="1"/>
  <c r="H11914" i="7" s="1"/>
  <c r="H11913" i="7" a="1"/>
  <c r="H11913" i="7" s="1"/>
  <c r="H11912" i="7" a="1"/>
  <c r="H11912" i="7" s="1"/>
  <c r="H11911" i="7" a="1"/>
  <c r="H11911" i="7" s="1"/>
  <c r="H11910" i="7" a="1"/>
  <c r="H11910" i="7" s="1"/>
  <c r="H11909" i="7" a="1"/>
  <c r="H11909" i="7" s="1"/>
  <c r="H11908" i="7" a="1"/>
  <c r="H11908" i="7" s="1"/>
  <c r="H11907" i="7" a="1"/>
  <c r="H11907" i="7" s="1"/>
  <c r="H11906" i="7" a="1"/>
  <c r="H11906" i="7" s="1"/>
  <c r="H11903" i="7" a="1"/>
  <c r="H11903" i="7" s="1"/>
  <c r="H11902" i="7" a="1"/>
  <c r="H11902" i="7" s="1"/>
  <c r="H11901" i="7" a="1"/>
  <c r="H11901" i="7" s="1"/>
  <c r="H11900" i="7" a="1"/>
  <c r="H11900" i="7" s="1"/>
  <c r="H11899" i="7" a="1"/>
  <c r="H11899" i="7" s="1"/>
  <c r="H11898" i="7" a="1"/>
  <c r="H11898" i="7" s="1"/>
  <c r="H11897" i="7" a="1"/>
  <c r="H11897" i="7" s="1"/>
  <c r="H11896" i="7" a="1"/>
  <c r="H11896" i="7" s="1"/>
  <c r="H11895" i="7" a="1"/>
  <c r="H11895" i="7" s="1"/>
  <c r="H11894" i="7" a="1"/>
  <c r="H11894" i="7" s="1"/>
  <c r="H11893" i="7" a="1"/>
  <c r="H11893" i="7" s="1"/>
  <c r="H11892" i="7" a="1"/>
  <c r="H11892" i="7" s="1"/>
  <c r="H11891" i="7" a="1"/>
  <c r="H11891" i="7" s="1"/>
  <c r="H11890" i="7" a="1"/>
  <c r="H11890" i="7" s="1"/>
  <c r="H11889" i="7" a="1"/>
  <c r="H11889" i="7" s="1"/>
  <c r="H11888" i="7" a="1"/>
  <c r="H11888" i="7" s="1"/>
  <c r="H11887" i="7" a="1"/>
  <c r="H11887" i="7" s="1"/>
  <c r="H11886" i="7" a="1"/>
  <c r="H11886" i="7" s="1"/>
  <c r="H11885" i="7" a="1"/>
  <c r="H11885" i="7" s="1"/>
  <c r="H11884" i="7" a="1"/>
  <c r="H11884" i="7" s="1"/>
  <c r="H11883" i="7" a="1"/>
  <c r="H11883" i="7" s="1"/>
  <c r="H11882" i="7" a="1"/>
  <c r="H11882" i="7" s="1"/>
  <c r="H11881" i="7" a="1"/>
  <c r="H11881" i="7" s="1"/>
  <c r="H11880" i="7" a="1"/>
  <c r="H11880" i="7" s="1"/>
  <c r="H11879" i="7" a="1"/>
  <c r="H11879" i="7" s="1"/>
  <c r="H11878" i="7" a="1"/>
  <c r="H11878" i="7" s="1"/>
  <c r="H11877" i="7" a="1"/>
  <c r="H11877" i="7" s="1"/>
  <c r="H11876" i="7" a="1"/>
  <c r="H11876" i="7" s="1"/>
  <c r="H11875" i="7" a="1"/>
  <c r="H11875" i="7" s="1"/>
  <c r="H11872" i="7" a="1"/>
  <c r="H11872" i="7" s="1"/>
  <c r="H11871" i="7" a="1"/>
  <c r="H11871" i="7" s="1"/>
  <c r="H11870" i="7" a="1"/>
  <c r="H11870" i="7" s="1"/>
  <c r="H11869" i="7" a="1"/>
  <c r="H11869" i="7" s="1"/>
  <c r="H11868" i="7" a="1"/>
  <c r="H11868" i="7" s="1"/>
  <c r="H11867" i="7" a="1"/>
  <c r="H11867" i="7" s="1"/>
  <c r="H11866" i="7" a="1"/>
  <c r="H11866" i="7" s="1"/>
  <c r="H11865" i="7" a="1"/>
  <c r="H11865" i="7" s="1"/>
  <c r="H11864" i="7" a="1"/>
  <c r="H11864" i="7" s="1"/>
  <c r="H11863" i="7" a="1"/>
  <c r="H11863" i="7" s="1"/>
  <c r="H11862" i="7" a="1"/>
  <c r="H11862" i="7" s="1"/>
  <c r="H11861" i="7" a="1"/>
  <c r="H11861" i="7" s="1"/>
  <c r="H11860" i="7" a="1"/>
  <c r="H11860" i="7" s="1"/>
  <c r="H11859" i="7" a="1"/>
  <c r="H11859" i="7" s="1"/>
  <c r="H11858" i="7" a="1"/>
  <c r="H11858" i="7" s="1"/>
  <c r="H11857" i="7" a="1"/>
  <c r="H11857" i="7" s="1"/>
  <c r="H11856" i="7" a="1"/>
  <c r="H11856" i="7" s="1"/>
  <c r="H11855" i="7" a="1"/>
  <c r="H11855" i="7" s="1"/>
  <c r="H11854" i="7" a="1"/>
  <c r="H11854" i="7" s="1"/>
  <c r="H11853" i="7" a="1"/>
  <c r="H11853" i="7" s="1"/>
  <c r="H11852" i="7" a="1"/>
  <c r="H11852" i="7" s="1"/>
  <c r="H11851" i="7" a="1"/>
  <c r="H11851" i="7" s="1"/>
  <c r="H11850" i="7" a="1"/>
  <c r="H11850" i="7" s="1"/>
  <c r="H11849" i="7" a="1"/>
  <c r="H11849" i="7" s="1"/>
  <c r="H11848" i="7" a="1"/>
  <c r="H11848" i="7" s="1"/>
  <c r="H11847" i="7" a="1"/>
  <c r="H11847" i="7" s="1"/>
  <c r="H11846" i="7" a="1"/>
  <c r="H11846" i="7" s="1"/>
  <c r="H11845" i="7" a="1"/>
  <c r="H11845" i="7" s="1"/>
  <c r="H11844" i="7" a="1"/>
  <c r="H11844" i="7" s="1"/>
  <c r="H11843" i="7" a="1"/>
  <c r="H11843" i="7" s="1"/>
  <c r="H11842" i="7" a="1"/>
  <c r="H11842" i="7" s="1"/>
  <c r="H11841" i="7" a="1"/>
  <c r="H11841" i="7" s="1"/>
  <c r="H11840" i="7" a="1"/>
  <c r="H11840" i="7" s="1"/>
  <c r="H11839" i="7" a="1"/>
  <c r="H11839" i="7" s="1"/>
  <c r="H11838" i="7" a="1"/>
  <c r="H11838" i="7" s="1"/>
  <c r="H11837" i="7" a="1"/>
  <c r="H11837" i="7" s="1"/>
  <c r="H11836" i="7" a="1"/>
  <c r="H11836" i="7" s="1"/>
  <c r="H11835" i="7" a="1"/>
  <c r="H11835" i="7" s="1"/>
  <c r="H11834" i="7" a="1"/>
  <c r="H11834" i="7" s="1"/>
  <c r="H11833" i="7" a="1"/>
  <c r="H11833" i="7" s="1"/>
  <c r="H11832" i="7" a="1"/>
  <c r="H11832" i="7" s="1"/>
  <c r="H11831" i="7" a="1"/>
  <c r="H11831" i="7" s="1"/>
  <c r="H11830" i="7" a="1"/>
  <c r="H11830" i="7" s="1"/>
  <c r="H11829" i="7" a="1"/>
  <c r="H11829" i="7" s="1"/>
  <c r="H11828" i="7" a="1"/>
  <c r="H11828" i="7" s="1"/>
  <c r="H11827" i="7" a="1"/>
  <c r="H11827" i="7" s="1"/>
  <c r="H11826" i="7" a="1"/>
  <c r="H11826" i="7" s="1"/>
  <c r="H11825" i="7" a="1"/>
  <c r="H11825" i="7" s="1"/>
  <c r="H11824" i="7" a="1"/>
  <c r="H11824" i="7" s="1"/>
  <c r="H11823" i="7" a="1"/>
  <c r="H11823" i="7" s="1"/>
  <c r="H11822" i="7" a="1"/>
  <c r="H11822" i="7" s="1"/>
  <c r="H11821" i="7" a="1"/>
  <c r="H11821" i="7" s="1"/>
  <c r="H11820" i="7" a="1"/>
  <c r="H11820" i="7" s="1"/>
  <c r="H11819" i="7" a="1"/>
  <c r="H11819" i="7" s="1"/>
  <c r="H11818" i="7" a="1"/>
  <c r="H11818" i="7" s="1"/>
  <c r="H11817" i="7" a="1"/>
  <c r="H11817" i="7" s="1"/>
  <c r="H11816" i="7" a="1"/>
  <c r="H11816" i="7" s="1"/>
  <c r="H11815" i="7" a="1"/>
  <c r="H11815" i="7" s="1"/>
  <c r="H11814" i="7" a="1"/>
  <c r="H11814" i="7" s="1"/>
  <c r="H11813" i="7" a="1"/>
  <c r="H11813" i="7" s="1"/>
  <c r="H11812" i="7" a="1"/>
  <c r="H11812" i="7" s="1"/>
  <c r="H11811" i="7" a="1"/>
  <c r="H11811" i="7" s="1"/>
  <c r="H11810" i="7" a="1"/>
  <c r="H11810" i="7" s="1"/>
  <c r="H11809" i="7" a="1"/>
  <c r="H11809" i="7" s="1"/>
  <c r="H11808" i="7" a="1"/>
  <c r="H11808" i="7" s="1"/>
  <c r="H11807" i="7" a="1"/>
  <c r="H11807" i="7" s="1"/>
  <c r="H11806" i="7" a="1"/>
  <c r="H11806" i="7" s="1"/>
  <c r="H11805" i="7" a="1"/>
  <c r="H11805" i="7" s="1"/>
  <c r="H11804" i="7" a="1"/>
  <c r="H11804" i="7" s="1"/>
  <c r="H11803" i="7" a="1"/>
  <c r="H11803" i="7" s="1"/>
  <c r="H11802" i="7" a="1"/>
  <c r="H11802" i="7" s="1"/>
  <c r="H11801" i="7" a="1"/>
  <c r="H11801" i="7" s="1"/>
  <c r="H11800" i="7" a="1"/>
  <c r="H11800" i="7" s="1"/>
  <c r="H11799" i="7" a="1"/>
  <c r="H11799" i="7" s="1"/>
  <c r="H11798" i="7" a="1"/>
  <c r="H11798" i="7" s="1"/>
  <c r="H11797" i="7" a="1"/>
  <c r="H11797" i="7" s="1"/>
  <c r="H11796" i="7" a="1"/>
  <c r="H11796" i="7" s="1"/>
  <c r="H11795" i="7" a="1"/>
  <c r="H11795" i="7" s="1"/>
  <c r="H11794" i="7" a="1"/>
  <c r="H11794" i="7" s="1"/>
  <c r="H11793" i="7" a="1"/>
  <c r="H11793" i="7" s="1"/>
  <c r="H11792" i="7" a="1"/>
  <c r="H11792" i="7" s="1"/>
  <c r="H11791" i="7" a="1"/>
  <c r="H11791" i="7" s="1"/>
  <c r="H11790" i="7" a="1"/>
  <c r="H11790" i="7" s="1"/>
  <c r="H11789" i="7" a="1"/>
  <c r="H11789" i="7" s="1"/>
  <c r="H11788" i="7" a="1"/>
  <c r="H11788" i="7" s="1"/>
  <c r="H11787" i="7" a="1"/>
  <c r="H11787" i="7" s="1"/>
  <c r="H11786" i="7" a="1"/>
  <c r="H11786" i="7" s="1"/>
  <c r="H11785" i="7" a="1"/>
  <c r="H11785" i="7" s="1"/>
  <c r="H11784" i="7" a="1"/>
  <c r="H11784" i="7" s="1"/>
  <c r="H11783" i="7" a="1"/>
  <c r="H11783" i="7" s="1"/>
  <c r="H11782" i="7" a="1"/>
  <c r="H11782" i="7" s="1"/>
  <c r="H11781" i="7" a="1"/>
  <c r="H11781" i="7" s="1"/>
  <c r="H11780" i="7" a="1"/>
  <c r="H11780" i="7" s="1"/>
  <c r="H11779" i="7" a="1"/>
  <c r="H11779" i="7" s="1"/>
  <c r="H11778" i="7" a="1"/>
  <c r="H11778" i="7" s="1"/>
  <c r="H11777" i="7" a="1"/>
  <c r="H11777" i="7" s="1"/>
  <c r="H11776" i="7" a="1"/>
  <c r="H11776" i="7" s="1"/>
  <c r="H11775" i="7" a="1"/>
  <c r="H11775" i="7" s="1"/>
  <c r="H11774" i="7" a="1"/>
  <c r="H11774" i="7" s="1"/>
  <c r="H11773" i="7" a="1"/>
  <c r="H11773" i="7" s="1"/>
  <c r="H11772" i="7" a="1"/>
  <c r="H11772" i="7" s="1"/>
  <c r="H11771" i="7" a="1"/>
  <c r="H11771" i="7" s="1"/>
  <c r="H11770" i="7" a="1"/>
  <c r="H11770" i="7" s="1"/>
  <c r="H11769" i="7" a="1"/>
  <c r="H11769" i="7" s="1"/>
  <c r="H11768" i="7" a="1"/>
  <c r="H11768" i="7" s="1"/>
  <c r="H11767" i="7" a="1"/>
  <c r="H11767" i="7" s="1"/>
  <c r="H11766" i="7" a="1"/>
  <c r="H11766" i="7" s="1"/>
  <c r="H11765" i="7" a="1"/>
  <c r="H11765" i="7" s="1"/>
  <c r="H11764" i="7" a="1"/>
  <c r="H11764" i="7" s="1"/>
  <c r="H11763" i="7" a="1"/>
  <c r="H11763" i="7" s="1"/>
  <c r="H11762" i="7" a="1"/>
  <c r="H11762" i="7" s="1"/>
  <c r="H11761" i="7" a="1"/>
  <c r="H11761" i="7" s="1"/>
  <c r="H11760" i="7" a="1"/>
  <c r="H11760" i="7" s="1"/>
  <c r="H11759" i="7" a="1"/>
  <c r="H11759" i="7" s="1"/>
  <c r="H11758" i="7" a="1"/>
  <c r="H11758" i="7" s="1"/>
  <c r="H11757" i="7" a="1"/>
  <c r="H11757" i="7" s="1"/>
  <c r="H11756" i="7" a="1"/>
  <c r="H11756" i="7" s="1"/>
  <c r="H11755" i="7" a="1"/>
  <c r="H11755" i="7" s="1"/>
  <c r="H11754" i="7" a="1"/>
  <c r="H11754" i="7" s="1"/>
  <c r="H11753" i="7" a="1"/>
  <c r="H11753" i="7" s="1"/>
  <c r="H11752" i="7" a="1"/>
  <c r="H11752" i="7" s="1"/>
  <c r="H11751" i="7" a="1"/>
  <c r="H11751" i="7" s="1"/>
  <c r="H11750" i="7" a="1"/>
  <c r="H11750" i="7" s="1"/>
  <c r="H11749" i="7" a="1"/>
  <c r="H11749" i="7" s="1"/>
  <c r="H11748" i="7" a="1"/>
  <c r="H11748" i="7" s="1"/>
  <c r="H11747" i="7" a="1"/>
  <c r="H11747" i="7" s="1"/>
  <c r="H11746" i="7" a="1"/>
  <c r="H11746" i="7" s="1"/>
  <c r="H11745" i="7" a="1"/>
  <c r="H11745" i="7" s="1"/>
  <c r="H11744" i="7" a="1"/>
  <c r="H11744" i="7" s="1"/>
  <c r="H11743" i="7" a="1"/>
  <c r="H11743" i="7" s="1"/>
  <c r="H11742" i="7" a="1"/>
  <c r="H11742" i="7" s="1"/>
  <c r="H11741" i="7" a="1"/>
  <c r="H11741" i="7" s="1"/>
  <c r="H11740" i="7" a="1"/>
  <c r="H11740" i="7" s="1"/>
  <c r="H11739" i="7" a="1"/>
  <c r="H11739" i="7" s="1"/>
  <c r="H11738" i="7" a="1"/>
  <c r="H11738" i="7" s="1"/>
  <c r="H11737" i="7" a="1"/>
  <c r="H11737" i="7" s="1"/>
  <c r="H11736" i="7" a="1"/>
  <c r="H11736" i="7" s="1"/>
  <c r="H11735" i="7" a="1"/>
  <c r="H11735" i="7" s="1"/>
  <c r="H11734" i="7" a="1"/>
  <c r="H11734" i="7" s="1"/>
  <c r="H11733" i="7" a="1"/>
  <c r="H11733" i="7" s="1"/>
  <c r="H11732" i="7" a="1"/>
  <c r="H11732" i="7" s="1"/>
  <c r="H11731" i="7" a="1"/>
  <c r="H11731" i="7" s="1"/>
  <c r="H11730" i="7" a="1"/>
  <c r="H11730" i="7" s="1"/>
  <c r="H11729" i="7" a="1"/>
  <c r="H11729" i="7" s="1"/>
  <c r="H11728" i="7" a="1"/>
  <c r="H11728" i="7" s="1"/>
  <c r="H11727" i="7" a="1"/>
  <c r="H11727" i="7" s="1"/>
  <c r="H11726" i="7" a="1"/>
  <c r="H11726" i="7" s="1"/>
  <c r="H11725" i="7" a="1"/>
  <c r="H11725" i="7" s="1"/>
  <c r="H11724" i="7" a="1"/>
  <c r="H11724" i="7" s="1"/>
  <c r="H11723" i="7" a="1"/>
  <c r="H11723" i="7" s="1"/>
  <c r="H11722" i="7" a="1"/>
  <c r="H11722" i="7" s="1"/>
  <c r="H11721" i="7" a="1"/>
  <c r="H11721" i="7" s="1"/>
  <c r="H11720" i="7" a="1"/>
  <c r="H11720" i="7" s="1"/>
  <c r="H11719" i="7" a="1"/>
  <c r="H11719" i="7" s="1"/>
  <c r="H11718" i="7" a="1"/>
  <c r="H11718" i="7" s="1"/>
  <c r="H11717" i="7" a="1"/>
  <c r="H11717" i="7" s="1"/>
  <c r="H11716" i="7" a="1"/>
  <c r="H11716" i="7" s="1"/>
  <c r="H11715" i="7" a="1"/>
  <c r="H11715" i="7" s="1"/>
  <c r="H11714" i="7" a="1"/>
  <c r="H11714" i="7" s="1"/>
  <c r="H11713" i="7" a="1"/>
  <c r="H11713" i="7" s="1"/>
  <c r="H11712" i="7" a="1"/>
  <c r="H11712" i="7" s="1"/>
  <c r="H11711" i="7" a="1"/>
  <c r="H11711" i="7" s="1"/>
  <c r="H11710" i="7" a="1"/>
  <c r="H11710" i="7" s="1"/>
  <c r="H11709" i="7" a="1"/>
  <c r="H11709" i="7" s="1"/>
  <c r="H11708" i="7" a="1"/>
  <c r="H11708" i="7" s="1"/>
  <c r="H11707" i="7" a="1"/>
  <c r="H11707" i="7" s="1"/>
  <c r="H11706" i="7" a="1"/>
  <c r="H11706" i="7" s="1"/>
  <c r="H11705" i="7" a="1"/>
  <c r="H11705" i="7" s="1"/>
  <c r="H11704" i="7" a="1"/>
  <c r="H11704" i="7" s="1"/>
  <c r="H11703" i="7" a="1"/>
  <c r="H11703" i="7" s="1"/>
  <c r="H11702" i="7" a="1"/>
  <c r="H11702" i="7" s="1"/>
  <c r="H11701" i="7" a="1"/>
  <c r="H11701" i="7" s="1"/>
  <c r="H11700" i="7" a="1"/>
  <c r="H11700" i="7" s="1"/>
  <c r="H11699" i="7" a="1"/>
  <c r="H11699" i="7" s="1"/>
  <c r="H11698" i="7" a="1"/>
  <c r="H11698" i="7" s="1"/>
  <c r="H11697" i="7" a="1"/>
  <c r="H11697" i="7" s="1"/>
  <c r="H11696" i="7" a="1"/>
  <c r="H11696" i="7" s="1"/>
  <c r="H11695" i="7" a="1"/>
  <c r="H11695" i="7" s="1"/>
  <c r="H11694" i="7" a="1"/>
  <c r="H11694" i="7" s="1"/>
  <c r="H11693" i="7" a="1"/>
  <c r="H11693" i="7" s="1"/>
  <c r="H11692" i="7" a="1"/>
  <c r="H11692" i="7" s="1"/>
  <c r="H11691" i="7" a="1"/>
  <c r="H11691" i="7" s="1"/>
  <c r="H11690" i="7" a="1"/>
  <c r="H11690" i="7" s="1"/>
  <c r="H11689" i="7" a="1"/>
  <c r="H11689" i="7" s="1"/>
  <c r="H11688" i="7" a="1"/>
  <c r="H11688" i="7" s="1"/>
  <c r="H11687" i="7" a="1"/>
  <c r="H11687" i="7" s="1"/>
  <c r="H11686" i="7" a="1"/>
  <c r="H11686" i="7" s="1"/>
  <c r="H11685" i="7" a="1"/>
  <c r="H11685" i="7" s="1"/>
  <c r="H11684" i="7" a="1"/>
  <c r="H11684" i="7" s="1"/>
  <c r="H11683" i="7" a="1"/>
  <c r="H11683" i="7" s="1"/>
  <c r="H11682" i="7" a="1"/>
  <c r="H11682" i="7" s="1"/>
  <c r="H11681" i="7" a="1"/>
  <c r="H11681" i="7" s="1"/>
  <c r="H11680" i="7" a="1"/>
  <c r="H11680" i="7" s="1"/>
  <c r="H11679" i="7" a="1"/>
  <c r="H11679" i="7" s="1"/>
  <c r="H11678" i="7" a="1"/>
  <c r="H11678" i="7" s="1"/>
  <c r="H11677" i="7" a="1"/>
  <c r="H11677" i="7" s="1"/>
  <c r="H11676" i="7" a="1"/>
  <c r="H11676" i="7" s="1"/>
  <c r="H11675" i="7" a="1"/>
  <c r="H11675" i="7" s="1"/>
  <c r="H11674" i="7" a="1"/>
  <c r="H11674" i="7" s="1"/>
  <c r="H11673" i="7" a="1"/>
  <c r="H11673" i="7" s="1"/>
  <c r="H11672" i="7" a="1"/>
  <c r="H11672" i="7" s="1"/>
  <c r="H11671" i="7" a="1"/>
  <c r="H11671" i="7" s="1"/>
  <c r="H11670" i="7" a="1"/>
  <c r="H11670" i="7" s="1"/>
  <c r="H11669" i="7" a="1"/>
  <c r="H11669" i="7" s="1"/>
  <c r="H11668" i="7" a="1"/>
  <c r="H11668" i="7" s="1"/>
  <c r="H11667" i="7" a="1"/>
  <c r="H11667" i="7" s="1"/>
  <c r="H11666" i="7" a="1"/>
  <c r="H11666" i="7" s="1"/>
  <c r="H11665" i="7" a="1"/>
  <c r="H11665" i="7" s="1"/>
  <c r="H11664" i="7" a="1"/>
  <c r="H11664" i="7" s="1"/>
  <c r="H11663" i="7" a="1"/>
  <c r="H11663" i="7" s="1"/>
  <c r="H11662" i="7" a="1"/>
  <c r="H11662" i="7" s="1"/>
  <c r="H11661" i="7" a="1"/>
  <c r="H11661" i="7" s="1"/>
  <c r="H11660" i="7" a="1"/>
  <c r="H11660" i="7" s="1"/>
  <c r="H11659" i="7" a="1"/>
  <c r="H11659" i="7" s="1"/>
  <c r="H11658" i="7" a="1"/>
  <c r="H11658" i="7" s="1"/>
  <c r="H11655" i="7" a="1"/>
  <c r="H11655" i="7" s="1"/>
  <c r="H11654" i="7" a="1"/>
  <c r="H11654" i="7" s="1"/>
  <c r="H11653" i="7" a="1"/>
  <c r="H11653" i="7" s="1"/>
  <c r="H11652" i="7" a="1"/>
  <c r="H11652" i="7" s="1"/>
  <c r="H11651" i="7" a="1"/>
  <c r="H11651" i="7" s="1"/>
  <c r="H11650" i="7" a="1"/>
  <c r="H11650" i="7" s="1"/>
  <c r="H11649" i="7" a="1"/>
  <c r="H11649" i="7" s="1"/>
  <c r="H11646" i="7" a="1"/>
  <c r="H11646" i="7" s="1"/>
  <c r="H11645" i="7" a="1"/>
  <c r="H11645" i="7" s="1"/>
  <c r="H11644" i="7" a="1"/>
  <c r="H11644" i="7" s="1"/>
  <c r="H11643" i="7" a="1"/>
  <c r="H11643" i="7" s="1"/>
  <c r="H11642" i="7" a="1"/>
  <c r="H11642" i="7" s="1"/>
  <c r="H11641" i="7" a="1"/>
  <c r="H11641" i="7" s="1"/>
  <c r="H11640" i="7" a="1"/>
  <c r="H11640" i="7" s="1"/>
  <c r="H11639" i="7" a="1"/>
  <c r="H11639" i="7" s="1"/>
  <c r="H11638" i="7" a="1"/>
  <c r="H11638" i="7" s="1"/>
  <c r="H11637" i="7" a="1"/>
  <c r="H11637" i="7" s="1"/>
  <c r="H11636" i="7" a="1"/>
  <c r="H11636" i="7" s="1"/>
  <c r="H11635" i="7" a="1"/>
  <c r="H11635" i="7" s="1"/>
  <c r="H11634" i="7" a="1"/>
  <c r="H11634" i="7" s="1"/>
  <c r="H11633" i="7" a="1"/>
  <c r="H11633" i="7" s="1"/>
  <c r="H11632" i="7" a="1"/>
  <c r="H11632" i="7" s="1"/>
  <c r="H11631" i="7" a="1"/>
  <c r="H11631" i="7" s="1"/>
  <c r="H11630" i="7" a="1"/>
  <c r="H11630" i="7" s="1"/>
  <c r="H11629" i="7" a="1"/>
  <c r="H11629" i="7" s="1"/>
  <c r="H11628" i="7" a="1"/>
  <c r="H11628" i="7" s="1"/>
  <c r="H11627" i="7" a="1"/>
  <c r="H11627" i="7" s="1"/>
  <c r="H11626" i="7" a="1"/>
  <c r="H11626" i="7" s="1"/>
  <c r="H11625" i="7" a="1"/>
  <c r="H11625" i="7" s="1"/>
  <c r="H11624" i="7" a="1"/>
  <c r="H11624" i="7" s="1"/>
  <c r="H11623" i="7" a="1"/>
  <c r="H11623" i="7" s="1"/>
  <c r="H11622" i="7" a="1"/>
  <c r="H11622" i="7" s="1"/>
  <c r="H11621" i="7" a="1"/>
  <c r="H11621" i="7" s="1"/>
  <c r="H11620" i="7" a="1"/>
  <c r="H11620" i="7" s="1"/>
  <c r="H11619" i="7" a="1"/>
  <c r="H11619" i="7" s="1"/>
  <c r="H11618" i="7" a="1"/>
  <c r="H11618" i="7" s="1"/>
  <c r="H11617" i="7" a="1"/>
  <c r="H11617" i="7" s="1"/>
  <c r="H11616" i="7" a="1"/>
  <c r="H11616" i="7" s="1"/>
  <c r="H11615" i="7" a="1"/>
  <c r="H11615" i="7" s="1"/>
  <c r="H11614" i="7" a="1"/>
  <c r="H11614" i="7" s="1"/>
  <c r="H11613" i="7" a="1"/>
  <c r="H11613" i="7" s="1"/>
  <c r="H11612" i="7" a="1"/>
  <c r="H11612" i="7" s="1"/>
  <c r="H11611" i="7" a="1"/>
  <c r="H11611" i="7" s="1"/>
  <c r="H11610" i="7" a="1"/>
  <c r="H11610" i="7" s="1"/>
  <c r="H11609" i="7" a="1"/>
  <c r="H11609" i="7" s="1"/>
  <c r="H11608" i="7" a="1"/>
  <c r="H11608" i="7" s="1"/>
  <c r="H11607" i="7" a="1"/>
  <c r="H11607" i="7" s="1"/>
  <c r="H11606" i="7" a="1"/>
  <c r="H11606" i="7" s="1"/>
  <c r="H11605" i="7" a="1"/>
  <c r="H11605" i="7" s="1"/>
  <c r="H11604" i="7" a="1"/>
  <c r="H11604" i="7" s="1"/>
  <c r="H11603" i="7" a="1"/>
  <c r="H11603" i="7" s="1"/>
  <c r="H11602" i="7" a="1"/>
  <c r="H11602" i="7" s="1"/>
  <c r="H11601" i="7" a="1"/>
  <c r="H11601" i="7" s="1"/>
  <c r="H11600" i="7" a="1"/>
  <c r="H11600" i="7" s="1"/>
  <c r="H11599" i="7" a="1"/>
  <c r="H11599" i="7" s="1"/>
  <c r="H11598" i="7" a="1"/>
  <c r="H11598" i="7" s="1"/>
  <c r="H11597" i="7" a="1"/>
  <c r="H11597" i="7" s="1"/>
  <c r="H11596" i="7" a="1"/>
  <c r="H11596" i="7" s="1"/>
  <c r="H11595" i="7" a="1"/>
  <c r="H11595" i="7" s="1"/>
  <c r="H11594" i="7" a="1"/>
  <c r="H11594" i="7" s="1"/>
  <c r="H11593" i="7" a="1"/>
  <c r="H11593" i="7" s="1"/>
  <c r="H11592" i="7" a="1"/>
  <c r="H11592" i="7" s="1"/>
  <c r="H11591" i="7" a="1"/>
  <c r="H11591" i="7" s="1"/>
  <c r="H11590" i="7" a="1"/>
  <c r="H11590" i="7" s="1"/>
  <c r="H11589" i="7" a="1"/>
  <c r="H11589" i="7" s="1"/>
  <c r="H11588" i="7" a="1"/>
  <c r="H11588" i="7" s="1"/>
  <c r="H11587" i="7" a="1"/>
  <c r="H11587" i="7" s="1"/>
  <c r="H11586" i="7" a="1"/>
  <c r="H11586" i="7" s="1"/>
  <c r="H11585" i="7" a="1"/>
  <c r="H11585" i="7" s="1"/>
  <c r="H11584" i="7" a="1"/>
  <c r="H11584" i="7" s="1"/>
  <c r="H11583" i="7" a="1"/>
  <c r="H11583" i="7" s="1"/>
  <c r="H11582" i="7" a="1"/>
  <c r="H11582" i="7" s="1"/>
  <c r="H11581" i="7" a="1"/>
  <c r="H11581" i="7" s="1"/>
  <c r="H11580" i="7" a="1"/>
  <c r="H11580" i="7" s="1"/>
  <c r="H11579" i="7" a="1"/>
  <c r="H11579" i="7" s="1"/>
  <c r="H11578" i="7" a="1"/>
  <c r="H11578" i="7" s="1"/>
  <c r="H11577" i="7" a="1"/>
  <c r="H11577" i="7" s="1"/>
  <c r="H11576" i="7" a="1"/>
  <c r="H11576" i="7" s="1"/>
  <c r="H11575" i="7" a="1"/>
  <c r="H11575" i="7" s="1"/>
  <c r="H11574" i="7" a="1"/>
  <c r="H11574" i="7" s="1"/>
  <c r="H11573" i="7" a="1"/>
  <c r="H11573" i="7" s="1"/>
  <c r="H11572" i="7" a="1"/>
  <c r="H11572" i="7" s="1"/>
  <c r="H11571" i="7" a="1"/>
  <c r="H11571" i="7" s="1"/>
  <c r="H11570" i="7" a="1"/>
  <c r="H11570" i="7" s="1"/>
  <c r="H11569" i="7" a="1"/>
  <c r="H11569" i="7" s="1"/>
  <c r="H11568" i="7" a="1"/>
  <c r="H11568" i="7" s="1"/>
  <c r="H11567" i="7" a="1"/>
  <c r="H11567" i="7" s="1"/>
  <c r="H11566" i="7" a="1"/>
  <c r="H11566" i="7" s="1"/>
  <c r="H11565" i="7" a="1"/>
  <c r="H11565" i="7" s="1"/>
  <c r="H11564" i="7" a="1"/>
  <c r="H11564" i="7" s="1"/>
  <c r="H11563" i="7" a="1"/>
  <c r="H11563" i="7" s="1"/>
  <c r="H11562" i="7" a="1"/>
  <c r="H11562" i="7" s="1"/>
  <c r="H11561" i="7" a="1"/>
  <c r="H11561" i="7" s="1"/>
  <c r="H11560" i="7" a="1"/>
  <c r="H11560" i="7" s="1"/>
  <c r="H11559" i="7" a="1"/>
  <c r="H11559" i="7" s="1"/>
  <c r="H11558" i="7" a="1"/>
  <c r="H11558" i="7" s="1"/>
  <c r="H11557" i="7" a="1"/>
  <c r="H11557" i="7" s="1"/>
  <c r="H11556" i="7" a="1"/>
  <c r="H11556" i="7" s="1"/>
  <c r="H11555" i="7" a="1"/>
  <c r="H11555" i="7" s="1"/>
  <c r="H11554" i="7" a="1"/>
  <c r="H11554" i="7" s="1"/>
  <c r="H11553" i="7" a="1"/>
  <c r="H11553" i="7" s="1"/>
  <c r="H11552" i="7" a="1"/>
  <c r="H11552" i="7" s="1"/>
  <c r="H11551" i="7" a="1"/>
  <c r="H11551" i="7" s="1"/>
  <c r="H11550" i="7" a="1"/>
  <c r="H11550" i="7" s="1"/>
  <c r="H11549" i="7" a="1"/>
  <c r="H11549" i="7" s="1"/>
  <c r="H11548" i="7" a="1"/>
  <c r="H11548" i="7" s="1"/>
  <c r="H11547" i="7" a="1"/>
  <c r="H11547" i="7" s="1"/>
  <c r="H11546" i="7" a="1"/>
  <c r="H11546" i="7" s="1"/>
  <c r="H11545" i="7" a="1"/>
  <c r="H11545" i="7" s="1"/>
  <c r="H11544" i="7" a="1"/>
  <c r="H11544" i="7" s="1"/>
  <c r="H11543" i="7" a="1"/>
  <c r="H11543" i="7" s="1"/>
  <c r="H11542" i="7" a="1"/>
  <c r="H11542" i="7" s="1"/>
  <c r="H11541" i="7" a="1"/>
  <c r="H11541" i="7" s="1"/>
  <c r="H11540" i="7" a="1"/>
  <c r="H11540" i="7" s="1"/>
  <c r="H11539" i="7" a="1"/>
  <c r="H11539" i="7" s="1"/>
  <c r="H11538" i="7" a="1"/>
  <c r="H11538" i="7" s="1"/>
  <c r="H11537" i="7" a="1"/>
  <c r="H11537" i="7" s="1"/>
  <c r="H11536" i="7" a="1"/>
  <c r="H11536" i="7" s="1"/>
  <c r="H11535" i="7" a="1"/>
  <c r="H11535" i="7" s="1"/>
  <c r="H11534" i="7" a="1"/>
  <c r="H11534" i="7" s="1"/>
  <c r="H11533" i="7" a="1"/>
  <c r="H11533" i="7" s="1"/>
  <c r="H11532" i="7" a="1"/>
  <c r="H11532" i="7" s="1"/>
  <c r="H11531" i="7" a="1"/>
  <c r="H11531" i="7" s="1"/>
  <c r="H11530" i="7" a="1"/>
  <c r="H11530" i="7" s="1"/>
  <c r="H11529" i="7" a="1"/>
  <c r="H11529" i="7" s="1"/>
  <c r="H11528" i="7" a="1"/>
  <c r="H11528" i="7" s="1"/>
  <c r="H11527" i="7" a="1"/>
  <c r="H11527" i="7" s="1"/>
  <c r="H11526" i="7" a="1"/>
  <c r="H11526" i="7" s="1"/>
  <c r="H11525" i="7" a="1"/>
  <c r="H11525" i="7" s="1"/>
  <c r="H11524" i="7" a="1"/>
  <c r="H11524" i="7" s="1"/>
  <c r="H11523" i="7" a="1"/>
  <c r="H11523" i="7" s="1"/>
  <c r="H11522" i="7" a="1"/>
  <c r="H11522" i="7" s="1"/>
  <c r="H11521" i="7" a="1"/>
  <c r="H11521" i="7" s="1"/>
  <c r="H11520" i="7" a="1"/>
  <c r="H11520" i="7" s="1"/>
  <c r="H11519" i="7" a="1"/>
  <c r="H11519" i="7" s="1"/>
  <c r="H11518" i="7" a="1"/>
  <c r="H11518" i="7" s="1"/>
  <c r="H11517" i="7" a="1"/>
  <c r="H11517" i="7" s="1"/>
  <c r="H11516" i="7" a="1"/>
  <c r="H11516" i="7" s="1"/>
  <c r="H11515" i="7" a="1"/>
  <c r="H11515" i="7" s="1"/>
  <c r="H11514" i="7" a="1"/>
  <c r="H11514" i="7" s="1"/>
  <c r="H11513" i="7" a="1"/>
  <c r="H11513" i="7" s="1"/>
  <c r="H11512" i="7" a="1"/>
  <c r="H11512" i="7" s="1"/>
  <c r="H11511" i="7" a="1"/>
  <c r="H11511" i="7" s="1"/>
  <c r="H11510" i="7" a="1"/>
  <c r="H11510" i="7" s="1"/>
  <c r="H11509" i="7" a="1"/>
  <c r="H11509" i="7" s="1"/>
  <c r="H11508" i="7" a="1"/>
  <c r="H11508" i="7" s="1"/>
  <c r="H11507" i="7" a="1"/>
  <c r="H11507" i="7" s="1"/>
  <c r="H11506" i="7" a="1"/>
  <c r="H11506" i="7" s="1"/>
  <c r="H11505" i="7" a="1"/>
  <c r="H11505" i="7" s="1"/>
  <c r="H11504" i="7" a="1"/>
  <c r="H11504" i="7" s="1"/>
  <c r="H11503" i="7" a="1"/>
  <c r="H11503" i="7" s="1"/>
  <c r="H11502" i="7" a="1"/>
  <c r="H11502" i="7" s="1"/>
  <c r="H11501" i="7" a="1"/>
  <c r="H11501" i="7" s="1"/>
  <c r="H11500" i="7" a="1"/>
  <c r="H11500" i="7" s="1"/>
  <c r="H11499" i="7" a="1"/>
  <c r="H11499" i="7" s="1"/>
  <c r="H11498" i="7" a="1"/>
  <c r="H11498" i="7" s="1"/>
  <c r="H11497" i="7" a="1"/>
  <c r="H11497" i="7" s="1"/>
  <c r="H11496" i="7" a="1"/>
  <c r="H11496" i="7" s="1"/>
  <c r="H11495" i="7" a="1"/>
  <c r="H11495" i="7" s="1"/>
  <c r="H11494" i="7" a="1"/>
  <c r="H11494" i="7" s="1"/>
  <c r="H11493" i="7" a="1"/>
  <c r="H11493" i="7" s="1"/>
  <c r="H11492" i="7" a="1"/>
  <c r="H11492" i="7" s="1"/>
  <c r="H11491" i="7" a="1"/>
  <c r="H11491" i="7" s="1"/>
  <c r="H11490" i="7" a="1"/>
  <c r="H11490" i="7" s="1"/>
  <c r="H11489" i="7" a="1"/>
  <c r="H11489" i="7" s="1"/>
  <c r="H11488" i="7" a="1"/>
  <c r="H11488" i="7" s="1"/>
  <c r="H11487" i="7" a="1"/>
  <c r="H11487" i="7" s="1"/>
  <c r="H11486" i="7" a="1"/>
  <c r="H11486" i="7" s="1"/>
  <c r="H11485" i="7" a="1"/>
  <c r="H11485" i="7" s="1"/>
  <c r="H11484" i="7" a="1"/>
  <c r="H11484" i="7" s="1"/>
  <c r="H11483" i="7" a="1"/>
  <c r="H11483" i="7" s="1"/>
  <c r="H11482" i="7" a="1"/>
  <c r="H11482" i="7" s="1"/>
  <c r="H11481" i="7" a="1"/>
  <c r="H11481" i="7" s="1"/>
  <c r="H11480" i="7" a="1"/>
  <c r="H11480" i="7" s="1"/>
  <c r="H11479" i="7" a="1"/>
  <c r="H11479" i="7" s="1"/>
  <c r="H11478" i="7" a="1"/>
  <c r="H11478" i="7" s="1"/>
  <c r="H11477" i="7" a="1"/>
  <c r="H11477" i="7" s="1"/>
  <c r="H11476" i="7" a="1"/>
  <c r="H11476" i="7" s="1"/>
  <c r="H11475" i="7" a="1"/>
  <c r="H11475" i="7" s="1"/>
  <c r="H11474" i="7" a="1"/>
  <c r="H11474" i="7" s="1"/>
  <c r="H11473" i="7" a="1"/>
  <c r="H11473" i="7" s="1"/>
  <c r="H11472" i="7" a="1"/>
  <c r="H11472" i="7" s="1"/>
  <c r="H11471" i="7" a="1"/>
  <c r="H11471" i="7" s="1"/>
  <c r="H11470" i="7" a="1"/>
  <c r="H11470" i="7" s="1"/>
  <c r="H11469" i="7" a="1"/>
  <c r="H11469" i="7" s="1"/>
  <c r="H11468" i="7" a="1"/>
  <c r="H11468" i="7" s="1"/>
  <c r="H11467" i="7" a="1"/>
  <c r="H11467" i="7" s="1"/>
  <c r="H11466" i="7" a="1"/>
  <c r="H11466" i="7" s="1"/>
  <c r="H11465" i="7" a="1"/>
  <c r="H11465" i="7" s="1"/>
  <c r="H11464" i="7" a="1"/>
  <c r="H11464" i="7" s="1"/>
  <c r="H11463" i="7" a="1"/>
  <c r="H11463" i="7" s="1"/>
  <c r="H11462" i="7" a="1"/>
  <c r="H11462" i="7" s="1"/>
  <c r="H11461" i="7" a="1"/>
  <c r="H11461" i="7" s="1"/>
  <c r="H11460" i="7" a="1"/>
  <c r="H11460" i="7" s="1"/>
  <c r="H11459" i="7" a="1"/>
  <c r="H11459" i="7" s="1"/>
  <c r="H11458" i="7" a="1"/>
  <c r="H11458" i="7" s="1"/>
  <c r="H11457" i="7" a="1"/>
  <c r="H11457" i="7" s="1"/>
  <c r="H11456" i="7" a="1"/>
  <c r="H11456" i="7" s="1"/>
  <c r="H11455" i="7" a="1"/>
  <c r="H11455" i="7" s="1"/>
  <c r="H11454" i="7" a="1"/>
  <c r="H11454" i="7" s="1"/>
  <c r="H11453" i="7" a="1"/>
  <c r="H11453" i="7" s="1"/>
  <c r="H11452" i="7" a="1"/>
  <c r="H11452" i="7" s="1"/>
  <c r="H11451" i="7" a="1"/>
  <c r="H11451" i="7" s="1"/>
  <c r="H11450" i="7" a="1"/>
  <c r="H11450" i="7" s="1"/>
  <c r="H11449" i="7" a="1"/>
  <c r="H11449" i="7" s="1"/>
  <c r="H11448" i="7" a="1"/>
  <c r="H11448" i="7" s="1"/>
  <c r="H11447" i="7" a="1"/>
  <c r="H11447" i="7" s="1"/>
  <c r="H11446" i="7" a="1"/>
  <c r="H11446" i="7" s="1"/>
  <c r="H11445" i="7" a="1"/>
  <c r="H11445" i="7" s="1"/>
  <c r="H11444" i="7" a="1"/>
  <c r="H11444" i="7" s="1"/>
  <c r="H11443" i="7" a="1"/>
  <c r="H11443" i="7" s="1"/>
  <c r="H11442" i="7" a="1"/>
  <c r="H11442" i="7" s="1"/>
  <c r="H11441" i="7" a="1"/>
  <c r="H11441" i="7" s="1"/>
  <c r="H11440" i="7" a="1"/>
  <c r="H11440" i="7" s="1"/>
  <c r="H11439" i="7" a="1"/>
  <c r="H11439" i="7" s="1"/>
  <c r="H11438" i="7" a="1"/>
  <c r="H11438" i="7" s="1"/>
  <c r="H11437" i="7" a="1"/>
  <c r="H11437" i="7" s="1"/>
  <c r="H11436" i="7" a="1"/>
  <c r="H11436" i="7" s="1"/>
  <c r="H11435" i="7" a="1"/>
  <c r="H11435" i="7" s="1"/>
  <c r="H11434" i="7" a="1"/>
  <c r="H11434" i="7" s="1"/>
  <c r="H11433" i="7" a="1"/>
  <c r="H11433" i="7" s="1"/>
  <c r="H11432" i="7" a="1"/>
  <c r="H11432" i="7" s="1"/>
  <c r="H11431" i="7" a="1"/>
  <c r="H11431" i="7" s="1"/>
  <c r="H11430" i="7" a="1"/>
  <c r="H11430" i="7" s="1"/>
  <c r="H11429" i="7" a="1"/>
  <c r="H11429" i="7" s="1"/>
  <c r="H11428" i="7" a="1"/>
  <c r="H11428" i="7" s="1"/>
  <c r="H11427" i="7" a="1"/>
  <c r="H11427" i="7" s="1"/>
  <c r="H11426" i="7" a="1"/>
  <c r="H11426" i="7" s="1"/>
  <c r="H11425" i="7" a="1"/>
  <c r="H11425" i="7" s="1"/>
  <c r="H11424" i="7" a="1"/>
  <c r="H11424" i="7" s="1"/>
  <c r="H11423" i="7" a="1"/>
  <c r="H11423" i="7" s="1"/>
  <c r="H11422" i="7" a="1"/>
  <c r="H11422" i="7" s="1"/>
  <c r="H11421" i="7" a="1"/>
  <c r="H11421" i="7" s="1"/>
  <c r="H11420" i="7" a="1"/>
  <c r="H11420" i="7" s="1"/>
  <c r="H11419" i="7" a="1"/>
  <c r="H11419" i="7" s="1"/>
  <c r="H11418" i="7" a="1"/>
  <c r="H11418" i="7" s="1"/>
  <c r="H11417" i="7" a="1"/>
  <c r="H11417" i="7" s="1"/>
  <c r="H11416" i="7" a="1"/>
  <c r="H11416" i="7" s="1"/>
  <c r="H11415" i="7" a="1"/>
  <c r="H11415" i="7" s="1"/>
  <c r="H11414" i="7" a="1"/>
  <c r="H11414" i="7" s="1"/>
  <c r="H11413" i="7" a="1"/>
  <c r="H11413" i="7" s="1"/>
  <c r="H11412" i="7" a="1"/>
  <c r="H11412" i="7" s="1"/>
  <c r="H11411" i="7" a="1"/>
  <c r="H11411" i="7" s="1"/>
  <c r="H11410" i="7" a="1"/>
  <c r="H11410" i="7" s="1"/>
  <c r="H11409" i="7" a="1"/>
  <c r="H11409" i="7" s="1"/>
  <c r="H11408" i="7" a="1"/>
  <c r="H11408" i="7" s="1"/>
  <c r="H11407" i="7" a="1"/>
  <c r="H11407" i="7" s="1"/>
  <c r="H11406" i="7" a="1"/>
  <c r="H11406" i="7" s="1"/>
  <c r="H11405" i="7" a="1"/>
  <c r="H11405" i="7" s="1"/>
  <c r="H11404" i="7" a="1"/>
  <c r="H11404" i="7" s="1"/>
  <c r="H11403" i="7" a="1"/>
  <c r="H11403" i="7" s="1"/>
  <c r="H11402" i="7" a="1"/>
  <c r="H11402" i="7" s="1"/>
  <c r="H11401" i="7" a="1"/>
  <c r="H11401" i="7" s="1"/>
  <c r="H11400" i="7" a="1"/>
  <c r="H11400" i="7" s="1"/>
  <c r="H11399" i="7" a="1"/>
  <c r="H11399" i="7" s="1"/>
  <c r="H11398" i="7" a="1"/>
  <c r="H11398" i="7" s="1"/>
  <c r="H11397" i="7" a="1"/>
  <c r="H11397" i="7" s="1"/>
  <c r="H11396" i="7" a="1"/>
  <c r="H11396" i="7" s="1"/>
  <c r="H11395" i="7" a="1"/>
  <c r="H11395" i="7" s="1"/>
  <c r="H11394" i="7" a="1"/>
  <c r="H11394" i="7" s="1"/>
  <c r="H11393" i="7" a="1"/>
  <c r="H11393" i="7" s="1"/>
  <c r="H11392" i="7" a="1"/>
  <c r="H11392" i="7" s="1"/>
  <c r="H11391" i="7" a="1"/>
  <c r="H11391" i="7" s="1"/>
  <c r="H11390" i="7" a="1"/>
  <c r="H11390" i="7" s="1"/>
  <c r="H11389" i="7" a="1"/>
  <c r="H11389" i="7" s="1"/>
  <c r="H11388" i="7" a="1"/>
  <c r="H11388" i="7" s="1"/>
  <c r="H11387" i="7" a="1"/>
  <c r="H11387" i="7" s="1"/>
  <c r="H11386" i="7" a="1"/>
  <c r="H11386" i="7" s="1"/>
  <c r="H11385" i="7" a="1"/>
  <c r="H11385" i="7" s="1"/>
  <c r="H11384" i="7" a="1"/>
  <c r="H11384" i="7" s="1"/>
  <c r="H11383" i="7" a="1"/>
  <c r="H11383" i="7" s="1"/>
  <c r="H11382" i="7" a="1"/>
  <c r="H11382" i="7" s="1"/>
  <c r="H11381" i="7" a="1"/>
  <c r="H11381" i="7" s="1"/>
  <c r="H11380" i="7" a="1"/>
  <c r="H11380" i="7" s="1"/>
  <c r="H11379" i="7" a="1"/>
  <c r="H11379" i="7" s="1"/>
  <c r="H11378" i="7" a="1"/>
  <c r="H11378" i="7" s="1"/>
  <c r="H11377" i="7" a="1"/>
  <c r="H11377" i="7" s="1"/>
  <c r="H11376" i="7" a="1"/>
  <c r="H11376" i="7" s="1"/>
  <c r="H11375" i="7" a="1"/>
  <c r="H11375" i="7" s="1"/>
  <c r="H11374" i="7" a="1"/>
  <c r="H11374" i="7" s="1"/>
  <c r="H11373" i="7" a="1"/>
  <c r="H11373" i="7" s="1"/>
  <c r="H11372" i="7" a="1"/>
  <c r="H11372" i="7" s="1"/>
  <c r="H11371" i="7" a="1"/>
  <c r="H11371" i="7" s="1"/>
  <c r="H11370" i="7" a="1"/>
  <c r="H11370" i="7" s="1"/>
  <c r="H11369" i="7" a="1"/>
  <c r="H11369" i="7" s="1"/>
  <c r="H11368" i="7" a="1"/>
  <c r="H11368" i="7" s="1"/>
  <c r="H11367" i="7" a="1"/>
  <c r="H11367" i="7" s="1"/>
  <c r="H11366" i="7" a="1"/>
  <c r="H11366" i="7" s="1"/>
  <c r="H11365" i="7" a="1"/>
  <c r="H11365" i="7" s="1"/>
  <c r="H11364" i="7" a="1"/>
  <c r="H11364" i="7" s="1"/>
  <c r="H11363" i="7" a="1"/>
  <c r="H11363" i="7" s="1"/>
  <c r="H11362" i="7" a="1"/>
  <c r="H11362" i="7" s="1"/>
  <c r="H11361" i="7" a="1"/>
  <c r="H11361" i="7" s="1"/>
  <c r="H11360" i="7" a="1"/>
  <c r="H11360" i="7" s="1"/>
  <c r="H11359" i="7" a="1"/>
  <c r="H11359" i="7" s="1"/>
  <c r="H11358" i="7" a="1"/>
  <c r="H11358" i="7" s="1"/>
  <c r="H11357" i="7" a="1"/>
  <c r="H11357" i="7" s="1"/>
  <c r="E12029" i="7"/>
  <c r="D12029" i="7"/>
  <c r="K12028" i="7"/>
  <c r="L12029" i="7" s="1"/>
  <c r="E12028" i="7"/>
  <c r="D12028" i="7"/>
  <c r="E12027" i="7"/>
  <c r="D12027" i="7"/>
  <c r="K12026" i="7"/>
  <c r="L12027" i="7" s="1"/>
  <c r="E12026" i="7"/>
  <c r="D12026" i="7"/>
  <c r="E12025" i="7"/>
  <c r="D12025" i="7"/>
  <c r="E12024" i="7"/>
  <c r="D12024" i="7"/>
  <c r="L12023" i="7"/>
  <c r="E12023" i="7"/>
  <c r="D12023" i="7"/>
  <c r="E12022" i="7"/>
  <c r="D12022" i="7"/>
  <c r="L12021" i="7"/>
  <c r="E12021" i="7"/>
  <c r="D12021" i="7"/>
  <c r="E12020" i="7"/>
  <c r="D12020" i="7"/>
  <c r="L12019" i="7"/>
  <c r="E12019" i="7"/>
  <c r="D12019" i="7"/>
  <c r="E12018" i="7"/>
  <c r="D12018" i="7"/>
  <c r="L12017" i="7"/>
  <c r="E12017" i="7"/>
  <c r="D12017" i="7"/>
  <c r="E12016" i="7"/>
  <c r="D12016" i="7"/>
  <c r="E12015" i="7"/>
  <c r="D12015" i="7"/>
  <c r="E12014" i="7"/>
  <c r="D12014" i="7"/>
  <c r="E11997" i="7"/>
  <c r="D11997" i="7"/>
  <c r="E11996" i="7"/>
  <c r="D11996" i="7"/>
  <c r="E11995" i="7"/>
  <c r="D11995" i="7"/>
  <c r="E11976" i="7"/>
  <c r="D11976" i="7"/>
  <c r="E11975" i="7"/>
  <c r="D11975" i="7"/>
  <c r="E11974" i="7"/>
  <c r="D11974" i="7"/>
  <c r="E12002" i="7" l="1"/>
  <c r="D12002" i="7"/>
  <c r="E12001" i="7"/>
  <c r="D12001" i="7"/>
  <c r="E12000" i="7"/>
  <c r="D12000" i="7"/>
  <c r="E11999" i="7"/>
  <c r="D11999" i="7"/>
  <c r="E11998" i="7"/>
  <c r="D11998" i="7"/>
  <c r="E11994" i="7" l="1"/>
  <c r="D11994" i="7"/>
  <c r="E11993" i="7"/>
  <c r="D11993" i="7"/>
  <c r="E11973" i="7"/>
  <c r="D11973" i="7"/>
  <c r="E11972" i="7"/>
  <c r="D11972" i="7"/>
  <c r="E11971" i="7"/>
  <c r="D11971" i="7"/>
  <c r="E11970" i="7"/>
  <c r="D11970" i="7"/>
  <c r="R94" i="58" l="1"/>
  <c r="P94" i="58"/>
  <c r="N94" i="58"/>
  <c r="L94" i="58"/>
  <c r="R93" i="58"/>
  <c r="P93" i="58"/>
  <c r="N93" i="58"/>
  <c r="L93" i="58"/>
  <c r="R92" i="58"/>
  <c r="P92" i="58"/>
  <c r="N92" i="58"/>
  <c r="L92" i="58"/>
  <c r="R91" i="58"/>
  <c r="P91" i="58"/>
  <c r="N91" i="58"/>
  <c r="L91" i="58"/>
  <c r="R90" i="58"/>
  <c r="P90" i="58"/>
  <c r="N90" i="58"/>
  <c r="L90" i="58"/>
  <c r="R89" i="58"/>
  <c r="P89" i="58"/>
  <c r="N89" i="58"/>
  <c r="L89" i="58"/>
  <c r="R88" i="58"/>
  <c r="P88" i="58"/>
  <c r="N88" i="58"/>
  <c r="L88" i="58"/>
  <c r="F88" i="58"/>
  <c r="F89" i="58"/>
  <c r="F90" i="58"/>
  <c r="F91" i="58"/>
  <c r="F92" i="58"/>
  <c r="F93" i="58"/>
  <c r="F94" i="58"/>
  <c r="D88" i="58"/>
  <c r="D89" i="58"/>
  <c r="D90" i="58"/>
  <c r="D91" i="58"/>
  <c r="D92" i="58"/>
  <c r="D93" i="58"/>
  <c r="D94" i="58"/>
  <c r="E11958" i="7"/>
  <c r="D11958" i="7"/>
  <c r="E11957" i="7"/>
  <c r="D11957" i="7"/>
  <c r="E11956" i="7"/>
  <c r="D11956" i="7"/>
  <c r="E11955" i="7"/>
  <c r="D11955" i="7"/>
  <c r="E11954" i="7"/>
  <c r="D11954" i="7"/>
  <c r="E11953" i="7"/>
  <c r="D11953" i="7"/>
  <c r="J88" i="58"/>
  <c r="J89" i="58"/>
  <c r="J90" i="58"/>
  <c r="J91" i="58"/>
  <c r="J92" i="58"/>
  <c r="J93" i="58"/>
  <c r="J94" i="58"/>
  <c r="H88" i="58"/>
  <c r="H89" i="58"/>
  <c r="H90" i="58"/>
  <c r="H91" i="58"/>
  <c r="H92" i="58"/>
  <c r="H93" i="58"/>
  <c r="H94" i="58"/>
  <c r="E11992" i="7"/>
  <c r="D11992" i="7"/>
  <c r="K11991" i="7"/>
  <c r="L11992" i="7" s="1"/>
  <c r="E11991" i="7"/>
  <c r="D11991" i="7"/>
  <c r="E11990" i="7"/>
  <c r="D11990" i="7"/>
  <c r="K11989" i="7"/>
  <c r="L11990" i="7" s="1"/>
  <c r="E11989" i="7"/>
  <c r="D11989" i="7"/>
  <c r="E11988" i="7"/>
  <c r="D11988" i="7"/>
  <c r="E11987" i="7"/>
  <c r="D11987" i="7"/>
  <c r="L11986" i="7"/>
  <c r="E11986" i="7"/>
  <c r="D11986" i="7"/>
  <c r="E11985" i="7"/>
  <c r="D11985" i="7"/>
  <c r="L11984" i="7"/>
  <c r="E11984" i="7"/>
  <c r="D11984" i="7"/>
  <c r="E11983" i="7"/>
  <c r="D11983" i="7"/>
  <c r="L11982" i="7"/>
  <c r="E11982" i="7"/>
  <c r="D11982" i="7"/>
  <c r="E11981" i="7"/>
  <c r="D11981" i="7"/>
  <c r="L11980" i="7"/>
  <c r="E11980" i="7"/>
  <c r="D11980" i="7"/>
  <c r="E11979" i="7"/>
  <c r="D11979" i="7"/>
  <c r="E11978" i="7"/>
  <c r="D11978" i="7"/>
  <c r="E11977" i="7"/>
  <c r="D11977" i="7"/>
  <c r="E11969" i="7"/>
  <c r="D11969" i="7"/>
  <c r="E11968" i="7"/>
  <c r="D11968" i="7"/>
  <c r="E11967" i="7"/>
  <c r="D11967" i="7"/>
  <c r="E11966" i="7"/>
  <c r="D11966" i="7"/>
  <c r="E11965" i="7"/>
  <c r="D11965" i="7"/>
  <c r="E11964" i="7"/>
  <c r="D11964" i="7"/>
  <c r="E11963" i="7" l="1"/>
  <c r="D11963" i="7"/>
  <c r="E11962" i="7"/>
  <c r="D11962" i="7"/>
  <c r="E11961" i="7"/>
  <c r="D11961" i="7"/>
  <c r="E11960" i="7"/>
  <c r="D11960" i="7"/>
  <c r="E11959" i="7"/>
  <c r="D11959" i="7"/>
  <c r="E11948" i="7"/>
  <c r="D11948" i="7"/>
  <c r="E11947" i="7"/>
  <c r="D11947" i="7"/>
  <c r="E11946" i="7"/>
  <c r="D11946" i="7"/>
  <c r="E11945" i="7"/>
  <c r="D11945" i="7"/>
  <c r="E11944" i="7"/>
  <c r="D11944" i="7"/>
  <c r="E11927" i="7" l="1"/>
  <c r="D11927" i="7"/>
  <c r="E11926" i="7"/>
  <c r="D11926" i="7"/>
  <c r="E11925" i="7"/>
  <c r="D11925" i="7"/>
  <c r="E11943" i="7"/>
  <c r="D11943" i="7"/>
  <c r="K11942" i="7"/>
  <c r="L11943" i="7" s="1"/>
  <c r="E11942" i="7"/>
  <c r="D11942" i="7"/>
  <c r="E11941" i="7"/>
  <c r="D11941" i="7"/>
  <c r="K11940" i="7"/>
  <c r="L11941" i="7" s="1"/>
  <c r="E11940" i="7"/>
  <c r="D11940" i="7"/>
  <c r="E11939" i="7"/>
  <c r="D11939" i="7"/>
  <c r="E11938" i="7"/>
  <c r="D11938" i="7"/>
  <c r="L11937" i="7"/>
  <c r="E11937" i="7"/>
  <c r="D11937" i="7"/>
  <c r="E11936" i="7"/>
  <c r="D11936" i="7"/>
  <c r="L11935" i="7"/>
  <c r="E11935" i="7"/>
  <c r="D11935" i="7"/>
  <c r="E11934" i="7"/>
  <c r="D11934" i="7"/>
  <c r="L11933" i="7"/>
  <c r="E11933" i="7"/>
  <c r="D11933" i="7"/>
  <c r="E11932" i="7"/>
  <c r="D11932" i="7"/>
  <c r="L11931" i="7"/>
  <c r="E11931" i="7"/>
  <c r="D11931" i="7"/>
  <c r="E11930" i="7"/>
  <c r="D11930" i="7"/>
  <c r="E11929" i="7"/>
  <c r="D11929" i="7"/>
  <c r="E11928" i="7"/>
  <c r="D11928" i="7"/>
  <c r="D81" i="58"/>
  <c r="D82" i="58"/>
  <c r="D83" i="58"/>
  <c r="D84" i="58"/>
  <c r="D85" i="58"/>
  <c r="D86" i="58"/>
  <c r="D87" i="58"/>
  <c r="F81" i="58"/>
  <c r="F82" i="58"/>
  <c r="F83" i="58"/>
  <c r="F84" i="58"/>
  <c r="F85" i="58"/>
  <c r="F86" i="58"/>
  <c r="F87" i="58"/>
  <c r="J87" i="58"/>
  <c r="H87" i="58"/>
  <c r="J86" i="58"/>
  <c r="H86" i="58"/>
  <c r="J85" i="58"/>
  <c r="H85" i="58"/>
  <c r="J84" i="58"/>
  <c r="H84" i="58"/>
  <c r="J83" i="58"/>
  <c r="H83" i="58"/>
  <c r="J82" i="58"/>
  <c r="H82" i="58"/>
  <c r="J81" i="58"/>
  <c r="H81" i="58"/>
  <c r="R87" i="58"/>
  <c r="P87" i="58"/>
  <c r="N87" i="58"/>
  <c r="L87" i="58"/>
  <c r="R86" i="58"/>
  <c r="P86" i="58"/>
  <c r="N86" i="58"/>
  <c r="L86" i="58"/>
  <c r="R85" i="58"/>
  <c r="P85" i="58"/>
  <c r="N85" i="58"/>
  <c r="L85" i="58"/>
  <c r="R84" i="58"/>
  <c r="P84" i="58"/>
  <c r="N84" i="58"/>
  <c r="L84" i="58"/>
  <c r="R83" i="58"/>
  <c r="P83" i="58"/>
  <c r="N83" i="58"/>
  <c r="L83" i="58"/>
  <c r="R82" i="58"/>
  <c r="P82" i="58"/>
  <c r="N82" i="58"/>
  <c r="L82" i="58"/>
  <c r="R81" i="58"/>
  <c r="P81" i="58"/>
  <c r="N81" i="58"/>
  <c r="L81" i="58"/>
  <c r="E11922" i="7"/>
  <c r="D11922" i="7"/>
  <c r="E11923" i="7"/>
  <c r="D11923" i="7"/>
  <c r="E11921" i="7"/>
  <c r="D11921" i="7"/>
  <c r="E11924" i="7"/>
  <c r="D11924" i="7"/>
  <c r="E11920" i="7"/>
  <c r="D11920" i="7"/>
  <c r="E11919" i="7"/>
  <c r="D11919" i="7"/>
  <c r="E11918" i="7"/>
  <c r="D11918" i="7"/>
  <c r="E11915" i="7"/>
  <c r="D11915" i="7"/>
  <c r="E11914" i="7"/>
  <c r="D11914" i="7"/>
  <c r="E11917" i="7"/>
  <c r="D11917" i="7"/>
  <c r="E11916" i="7"/>
  <c r="D11916" i="7"/>
  <c r="E11903" i="7"/>
  <c r="D11903" i="7"/>
  <c r="E11902" i="7"/>
  <c r="D11902" i="7"/>
  <c r="E11901" i="7"/>
  <c r="D11901" i="7"/>
  <c r="E11910" i="7" l="1"/>
  <c r="D11910" i="7"/>
  <c r="E11909" i="7"/>
  <c r="D11909" i="7"/>
  <c r="E11913" i="7"/>
  <c r="D11913" i="7"/>
  <c r="E11912" i="7"/>
  <c r="D11912" i="7"/>
  <c r="E11911" i="7"/>
  <c r="D11911" i="7"/>
  <c r="E11908" i="7"/>
  <c r="D11908" i="7"/>
  <c r="E11907" i="7"/>
  <c r="D11907" i="7"/>
  <c r="E11906" i="7"/>
  <c r="D11906" i="7"/>
  <c r="E11900" i="7"/>
  <c r="D11900" i="7"/>
  <c r="E11899" i="7"/>
  <c r="D11899" i="7"/>
  <c r="E11898" i="7"/>
  <c r="D11898" i="7"/>
  <c r="E11897" i="7"/>
  <c r="D11897" i="7"/>
  <c r="E11896" i="7"/>
  <c r="D11896" i="7"/>
  <c r="E11895" i="7"/>
  <c r="D11895" i="7"/>
  <c r="E11894" i="7" l="1"/>
  <c r="D11894" i="7"/>
  <c r="K11893" i="7"/>
  <c r="L11894" i="7" s="1"/>
  <c r="E11893" i="7"/>
  <c r="D11893" i="7"/>
  <c r="E11892" i="7"/>
  <c r="D11892" i="7"/>
  <c r="K11891" i="7"/>
  <c r="L11892" i="7" s="1"/>
  <c r="E11891" i="7"/>
  <c r="D11891" i="7"/>
  <c r="E11890" i="7"/>
  <c r="D11890" i="7"/>
  <c r="E11889" i="7"/>
  <c r="D11889" i="7"/>
  <c r="L11888" i="7"/>
  <c r="E11888" i="7"/>
  <c r="D11888" i="7"/>
  <c r="E11887" i="7"/>
  <c r="D11887" i="7"/>
  <c r="L11886" i="7"/>
  <c r="E11886" i="7"/>
  <c r="D11886" i="7"/>
  <c r="E11885" i="7"/>
  <c r="D11885" i="7"/>
  <c r="L11884" i="7"/>
  <c r="E11884" i="7"/>
  <c r="D11884" i="7"/>
  <c r="E11883" i="7"/>
  <c r="D11883" i="7"/>
  <c r="L11882" i="7"/>
  <c r="E11882" i="7"/>
  <c r="D11882" i="7"/>
  <c r="E11881" i="7"/>
  <c r="D11881" i="7"/>
  <c r="E11880" i="7"/>
  <c r="D11880" i="7"/>
  <c r="E11879" i="7"/>
  <c r="D11879" i="7"/>
  <c r="F74" i="58"/>
  <c r="F75" i="58"/>
  <c r="F76" i="58"/>
  <c r="F77" i="58"/>
  <c r="F78" i="58"/>
  <c r="F79" i="58"/>
  <c r="F80" i="58"/>
  <c r="D74" i="58"/>
  <c r="D75" i="58"/>
  <c r="D76" i="58"/>
  <c r="D77" i="58"/>
  <c r="D78" i="58"/>
  <c r="D79" i="58"/>
  <c r="D80" i="58"/>
  <c r="J80" i="58"/>
  <c r="H80" i="58"/>
  <c r="J79" i="58"/>
  <c r="H79" i="58"/>
  <c r="J78" i="58"/>
  <c r="H78" i="58"/>
  <c r="J77" i="58"/>
  <c r="H77" i="58"/>
  <c r="J76" i="58"/>
  <c r="H76" i="58"/>
  <c r="J75" i="58"/>
  <c r="H75" i="58"/>
  <c r="J74" i="58"/>
  <c r="H74" i="58"/>
  <c r="R80" i="58"/>
  <c r="P80" i="58"/>
  <c r="N80" i="58"/>
  <c r="L80" i="58"/>
  <c r="R79" i="58"/>
  <c r="P79" i="58"/>
  <c r="N79" i="58"/>
  <c r="L79" i="58"/>
  <c r="R78" i="58"/>
  <c r="P78" i="58"/>
  <c r="N78" i="58"/>
  <c r="L78" i="58"/>
  <c r="R77" i="58"/>
  <c r="P77" i="58"/>
  <c r="N77" i="58"/>
  <c r="L77" i="58"/>
  <c r="R76" i="58"/>
  <c r="P76" i="58"/>
  <c r="N76" i="58"/>
  <c r="L76" i="58"/>
  <c r="R75" i="58"/>
  <c r="P75" i="58"/>
  <c r="N75" i="58"/>
  <c r="L75" i="58"/>
  <c r="R74" i="58"/>
  <c r="P74" i="58"/>
  <c r="N74" i="58"/>
  <c r="L74" i="58"/>
  <c r="E11853" i="7" l="1"/>
  <c r="D11853" i="7"/>
  <c r="E11852" i="7"/>
  <c r="D11852" i="7"/>
  <c r="E11851" i="7"/>
  <c r="D11851" i="7"/>
  <c r="E11850" i="7" l="1"/>
  <c r="D11850" i="7"/>
  <c r="E11849" i="7"/>
  <c r="D11849" i="7"/>
  <c r="E11848" i="7"/>
  <c r="D11848" i="7"/>
  <c r="E11876" i="7"/>
  <c r="D11876" i="7"/>
  <c r="E11875" i="7"/>
  <c r="D11875" i="7"/>
  <c r="E11878" i="7"/>
  <c r="D11878" i="7"/>
  <c r="E11877" i="7"/>
  <c r="D11877" i="7"/>
  <c r="E11872" i="7"/>
  <c r="D11872" i="7"/>
  <c r="E11871" i="7"/>
  <c r="D11871" i="7"/>
  <c r="E11870" i="7"/>
  <c r="D11870" i="7"/>
  <c r="R73" i="58" l="1"/>
  <c r="P73" i="58"/>
  <c r="N73" i="58"/>
  <c r="L73" i="58"/>
  <c r="J73" i="58"/>
  <c r="H73" i="58"/>
  <c r="F73" i="58"/>
  <c r="D73" i="58"/>
  <c r="R72" i="58"/>
  <c r="P72" i="58"/>
  <c r="N72" i="58"/>
  <c r="L72" i="58"/>
  <c r="J72" i="58"/>
  <c r="H72" i="58"/>
  <c r="F72" i="58"/>
  <c r="D72" i="58"/>
  <c r="R71" i="58"/>
  <c r="P71" i="58"/>
  <c r="N71" i="58"/>
  <c r="L71" i="58"/>
  <c r="J71" i="58"/>
  <c r="H71" i="58"/>
  <c r="F71" i="58"/>
  <c r="D71" i="58"/>
  <c r="R70" i="58"/>
  <c r="P70" i="58"/>
  <c r="N70" i="58"/>
  <c r="L70" i="58"/>
  <c r="J70" i="58"/>
  <c r="H70" i="58"/>
  <c r="F70" i="58"/>
  <c r="D70" i="58"/>
  <c r="R69" i="58"/>
  <c r="P69" i="58"/>
  <c r="N69" i="58"/>
  <c r="L69" i="58"/>
  <c r="J69" i="58"/>
  <c r="H69" i="58"/>
  <c r="F69" i="58"/>
  <c r="D69" i="58"/>
  <c r="R68" i="58"/>
  <c r="P68" i="58"/>
  <c r="N68" i="58"/>
  <c r="L68" i="58"/>
  <c r="J68" i="58"/>
  <c r="H68" i="58"/>
  <c r="F68" i="58"/>
  <c r="D68" i="58"/>
  <c r="R67" i="58"/>
  <c r="P67" i="58"/>
  <c r="N67" i="58"/>
  <c r="L67" i="58"/>
  <c r="J67" i="58"/>
  <c r="H67" i="58"/>
  <c r="F67" i="58"/>
  <c r="D67" i="58"/>
  <c r="E11869" i="7"/>
  <c r="D11869" i="7"/>
  <c r="K11868" i="7"/>
  <c r="L11869" i="7" s="1"/>
  <c r="E11868" i="7"/>
  <c r="D11868" i="7"/>
  <c r="E11867" i="7"/>
  <c r="D11867" i="7"/>
  <c r="K11866" i="7"/>
  <c r="L11867" i="7" s="1"/>
  <c r="E11866" i="7"/>
  <c r="D11866" i="7"/>
  <c r="E11865" i="7"/>
  <c r="D11865" i="7"/>
  <c r="E11864" i="7"/>
  <c r="D11864" i="7"/>
  <c r="L11863" i="7"/>
  <c r="E11863" i="7"/>
  <c r="D11863" i="7"/>
  <c r="E11862" i="7"/>
  <c r="D11862" i="7"/>
  <c r="L11861" i="7"/>
  <c r="E11861" i="7"/>
  <c r="D11861" i="7"/>
  <c r="E11860" i="7"/>
  <c r="D11860" i="7"/>
  <c r="L11859" i="7"/>
  <c r="E11859" i="7"/>
  <c r="D11859" i="7"/>
  <c r="E11858" i="7"/>
  <c r="D11858" i="7"/>
  <c r="L11857" i="7"/>
  <c r="E11857" i="7"/>
  <c r="D11857" i="7"/>
  <c r="E11856" i="7"/>
  <c r="D11856" i="7"/>
  <c r="E11855" i="7"/>
  <c r="D11855" i="7"/>
  <c r="E11854" i="7"/>
  <c r="D11854" i="7"/>
  <c r="E11820" i="7" l="1"/>
  <c r="D11820" i="7"/>
  <c r="E11821" i="7"/>
  <c r="D11821" i="7"/>
  <c r="E11822" i="7"/>
  <c r="D11822" i="7"/>
  <c r="E11819" i="7"/>
  <c r="D11819" i="7"/>
  <c r="E11847" i="7" l="1"/>
  <c r="D11847" i="7"/>
  <c r="E11846" i="7"/>
  <c r="D11846" i="7"/>
  <c r="E11824" i="7"/>
  <c r="D11824" i="7"/>
  <c r="E11823" i="7"/>
  <c r="D11823" i="7"/>
  <c r="E11806" i="7"/>
  <c r="D11806" i="7"/>
  <c r="E11805" i="7"/>
  <c r="D11805" i="7"/>
  <c r="E11845" i="7"/>
  <c r="D11845" i="7"/>
  <c r="E11844" i="7"/>
  <c r="D11844" i="7"/>
  <c r="E11843" i="7"/>
  <c r="D11843" i="7"/>
  <c r="E11842" i="7"/>
  <c r="D11842" i="7"/>
  <c r="E11826" i="7"/>
  <c r="D11826" i="7"/>
  <c r="E11825" i="7"/>
  <c r="D11825" i="7"/>
  <c r="E11810" i="7"/>
  <c r="D11810" i="7"/>
  <c r="E11809" i="7"/>
  <c r="D11809" i="7"/>
  <c r="E11818" i="7"/>
  <c r="D11818" i="7"/>
  <c r="E11817" i="7"/>
  <c r="D11817" i="7"/>
  <c r="E11816" i="7"/>
  <c r="D11816" i="7"/>
  <c r="E11815" i="7"/>
  <c r="D11815" i="7"/>
  <c r="E11814" i="7"/>
  <c r="D11814" i="7"/>
  <c r="E11808" i="7"/>
  <c r="D11808" i="7"/>
  <c r="E11807" i="7"/>
  <c r="D11807" i="7"/>
  <c r="E11835" i="7" l="1"/>
  <c r="D11835" i="7"/>
  <c r="E11834" i="7"/>
  <c r="D11834" i="7"/>
  <c r="E11833" i="7"/>
  <c r="D11833" i="7"/>
  <c r="E11841" i="7" l="1"/>
  <c r="D11841" i="7"/>
  <c r="E11840" i="7"/>
  <c r="D11840" i="7"/>
  <c r="E11839" i="7"/>
  <c r="D11839" i="7"/>
  <c r="E11838" i="7"/>
  <c r="D11838" i="7"/>
  <c r="E11837" i="7"/>
  <c r="D11837" i="7"/>
  <c r="E11836" i="7"/>
  <c r="D11836" i="7"/>
  <c r="E11832" i="7"/>
  <c r="D11832" i="7"/>
  <c r="E11831" i="7"/>
  <c r="D11831" i="7"/>
  <c r="E11830" i="7"/>
  <c r="D11830" i="7"/>
  <c r="E11829" i="7"/>
  <c r="D11829" i="7"/>
  <c r="E11828" i="7"/>
  <c r="D11828" i="7"/>
  <c r="E11827" i="7"/>
  <c r="D11827" i="7"/>
  <c r="E11813" i="7" l="1"/>
  <c r="D11813" i="7"/>
  <c r="E11812" i="7"/>
  <c r="D11812" i="7"/>
  <c r="E11811" i="7"/>
  <c r="D11811" i="7"/>
  <c r="E11756" i="7"/>
  <c r="D11756" i="7"/>
  <c r="E11755" i="7"/>
  <c r="D11755" i="7"/>
  <c r="E11754" i="7"/>
  <c r="D11754" i="7"/>
  <c r="E11753" i="7"/>
  <c r="D11753" i="7"/>
  <c r="D11757" i="7"/>
  <c r="D11758" i="7"/>
  <c r="E11758" i="7"/>
  <c r="E11757" i="7"/>
  <c r="E11804" i="7"/>
  <c r="D11804" i="7"/>
  <c r="K11803" i="7"/>
  <c r="L11804" i="7" s="1"/>
  <c r="E11803" i="7"/>
  <c r="D11803" i="7"/>
  <c r="E11802" i="7"/>
  <c r="D11802" i="7"/>
  <c r="K11801" i="7"/>
  <c r="L11802" i="7" s="1"/>
  <c r="E11801" i="7"/>
  <c r="D11801" i="7"/>
  <c r="E11800" i="7"/>
  <c r="D11800" i="7"/>
  <c r="E11799" i="7"/>
  <c r="D11799" i="7"/>
  <c r="L11798" i="7"/>
  <c r="E11798" i="7"/>
  <c r="D11798" i="7"/>
  <c r="E11797" i="7"/>
  <c r="D11797" i="7"/>
  <c r="L11796" i="7"/>
  <c r="E11796" i="7"/>
  <c r="D11796" i="7"/>
  <c r="E11795" i="7"/>
  <c r="D11795" i="7"/>
  <c r="L11794" i="7"/>
  <c r="E11794" i="7"/>
  <c r="D11794" i="7"/>
  <c r="E11793" i="7"/>
  <c r="D11793" i="7"/>
  <c r="L11792" i="7"/>
  <c r="E11792" i="7"/>
  <c r="D11792" i="7"/>
  <c r="E11791" i="7"/>
  <c r="D11791" i="7"/>
  <c r="E11790" i="7"/>
  <c r="D11790" i="7"/>
  <c r="E11789" i="7"/>
  <c r="D11789" i="7"/>
  <c r="E11775" i="7"/>
  <c r="D11775" i="7"/>
  <c r="E11774" i="7"/>
  <c r="D11774" i="7"/>
  <c r="E11788" i="7" l="1"/>
  <c r="D11788" i="7"/>
  <c r="E11787" i="7"/>
  <c r="D11787" i="7"/>
  <c r="E11770" i="7"/>
  <c r="D11770" i="7"/>
  <c r="E11769" i="7"/>
  <c r="D11769" i="7"/>
  <c r="E11768" i="7"/>
  <c r="D11768" i="7"/>
  <c r="E11767" i="7"/>
  <c r="D11767" i="7"/>
  <c r="E11766" i="7"/>
  <c r="D11766" i="7"/>
  <c r="E11765" i="7"/>
  <c r="D11765" i="7"/>
  <c r="E11764" i="7"/>
  <c r="D11764" i="7"/>
  <c r="E11763" i="7"/>
  <c r="D11763" i="7"/>
  <c r="E11762" i="7"/>
  <c r="D11762" i="7"/>
  <c r="E11786" i="7"/>
  <c r="D11786" i="7"/>
  <c r="E11785" i="7"/>
  <c r="D11785" i="7"/>
  <c r="E11784" i="7"/>
  <c r="D11784" i="7"/>
  <c r="E11780" i="7"/>
  <c r="D11780" i="7"/>
  <c r="E11779" i="7"/>
  <c r="D11779" i="7"/>
  <c r="E11778" i="7"/>
  <c r="D11778" i="7"/>
  <c r="E11777" i="7"/>
  <c r="D11777" i="7"/>
  <c r="E11776" i="7"/>
  <c r="D11776" i="7"/>
  <c r="R66" i="58" l="1"/>
  <c r="P66" i="58"/>
  <c r="N66" i="58"/>
  <c r="L66" i="58"/>
  <c r="J66" i="58"/>
  <c r="H66" i="58"/>
  <c r="F66" i="58"/>
  <c r="D66" i="58"/>
  <c r="R65" i="58"/>
  <c r="P65" i="58"/>
  <c r="N65" i="58"/>
  <c r="L65" i="58"/>
  <c r="J65" i="58"/>
  <c r="H65" i="58"/>
  <c r="F65" i="58"/>
  <c r="D65" i="58"/>
  <c r="R64" i="58"/>
  <c r="P64" i="58"/>
  <c r="N64" i="58"/>
  <c r="L64" i="58"/>
  <c r="J64" i="58"/>
  <c r="H64" i="58"/>
  <c r="F64" i="58"/>
  <c r="D64" i="58"/>
  <c r="R63" i="58"/>
  <c r="P63" i="58"/>
  <c r="N63" i="58"/>
  <c r="L63" i="58"/>
  <c r="J63" i="58"/>
  <c r="H63" i="58"/>
  <c r="F63" i="58"/>
  <c r="D63" i="58"/>
  <c r="R62" i="58"/>
  <c r="P62" i="58"/>
  <c r="N62" i="58"/>
  <c r="L62" i="58"/>
  <c r="J62" i="58"/>
  <c r="H62" i="58"/>
  <c r="F62" i="58"/>
  <c r="D62" i="58"/>
  <c r="R61" i="58"/>
  <c r="P61" i="58"/>
  <c r="N61" i="58"/>
  <c r="L61" i="58"/>
  <c r="J61" i="58"/>
  <c r="H61" i="58"/>
  <c r="F61" i="58"/>
  <c r="D61" i="58"/>
  <c r="R60" i="58"/>
  <c r="P60" i="58"/>
  <c r="N60" i="58"/>
  <c r="L60" i="58"/>
  <c r="J60" i="58"/>
  <c r="H60" i="58"/>
  <c r="F60" i="58"/>
  <c r="D60" i="58"/>
  <c r="E11761" i="7"/>
  <c r="D11761" i="7"/>
  <c r="E11760" i="7"/>
  <c r="D11760" i="7"/>
  <c r="E11759" i="7"/>
  <c r="D11759" i="7"/>
  <c r="E11773" i="7"/>
  <c r="D11773" i="7"/>
  <c r="E11772" i="7"/>
  <c r="D11772" i="7"/>
  <c r="E11771" i="7"/>
  <c r="D11771" i="7"/>
  <c r="E11783" i="7"/>
  <c r="D11783" i="7"/>
  <c r="E11782" i="7"/>
  <c r="D11782" i="7"/>
  <c r="E11781" i="7"/>
  <c r="D11781" i="7"/>
  <c r="D11734" i="7" l="1"/>
  <c r="E11734" i="7"/>
  <c r="E11736" i="7"/>
  <c r="D11736" i="7"/>
  <c r="E11735" i="7"/>
  <c r="D11735" i="7"/>
  <c r="H53" i="58" l="1"/>
  <c r="H54" i="58"/>
  <c r="H55" i="58"/>
  <c r="H56" i="58"/>
  <c r="H57" i="58"/>
  <c r="H58" i="58"/>
  <c r="H59" i="58"/>
  <c r="F53" i="58"/>
  <c r="F54" i="58"/>
  <c r="F55" i="58"/>
  <c r="F56" i="58"/>
  <c r="F57" i="58"/>
  <c r="F58" i="58"/>
  <c r="F59" i="58"/>
  <c r="D53" i="58"/>
  <c r="D54" i="58"/>
  <c r="D55" i="58"/>
  <c r="D56" i="58"/>
  <c r="D57" i="58"/>
  <c r="D58" i="58"/>
  <c r="D59" i="58"/>
  <c r="R59" i="58"/>
  <c r="P59" i="58"/>
  <c r="N59" i="58"/>
  <c r="L59" i="58"/>
  <c r="J59" i="58"/>
  <c r="R58" i="58"/>
  <c r="P58" i="58"/>
  <c r="N58" i="58"/>
  <c r="L58" i="58"/>
  <c r="J58" i="58"/>
  <c r="R57" i="58"/>
  <c r="P57" i="58"/>
  <c r="N57" i="58"/>
  <c r="L57" i="58"/>
  <c r="J57" i="58"/>
  <c r="R56" i="58"/>
  <c r="P56" i="58"/>
  <c r="N56" i="58"/>
  <c r="L56" i="58"/>
  <c r="J56" i="58"/>
  <c r="R55" i="58"/>
  <c r="P55" i="58"/>
  <c r="N55" i="58"/>
  <c r="L55" i="58"/>
  <c r="J55" i="58"/>
  <c r="R54" i="58"/>
  <c r="P54" i="58"/>
  <c r="N54" i="58"/>
  <c r="L54" i="58"/>
  <c r="J54" i="58"/>
  <c r="R53" i="58"/>
  <c r="P53" i="58"/>
  <c r="N53" i="58"/>
  <c r="L53" i="58"/>
  <c r="J53" i="58"/>
  <c r="E11752" i="7"/>
  <c r="D11752" i="7"/>
  <c r="K11751" i="7"/>
  <c r="L11752" i="7" s="1"/>
  <c r="E11751" i="7"/>
  <c r="D11751" i="7"/>
  <c r="E11750" i="7"/>
  <c r="D11750" i="7"/>
  <c r="K11749" i="7"/>
  <c r="L11750" i="7" s="1"/>
  <c r="E11749" i="7"/>
  <c r="D11749" i="7"/>
  <c r="E11748" i="7"/>
  <c r="D11748" i="7"/>
  <c r="E11747" i="7"/>
  <c r="D11747" i="7"/>
  <c r="L11746" i="7"/>
  <c r="E11746" i="7"/>
  <c r="D11746" i="7"/>
  <c r="E11745" i="7"/>
  <c r="D11745" i="7"/>
  <c r="L11744" i="7"/>
  <c r="E11744" i="7"/>
  <c r="D11744" i="7"/>
  <c r="E11743" i="7"/>
  <c r="D11743" i="7"/>
  <c r="L11742" i="7"/>
  <c r="E11742" i="7"/>
  <c r="D11742" i="7"/>
  <c r="E11741" i="7"/>
  <c r="D11741" i="7"/>
  <c r="L11740" i="7"/>
  <c r="E11740" i="7"/>
  <c r="D11740" i="7"/>
  <c r="E11739" i="7"/>
  <c r="D11739" i="7"/>
  <c r="E11738" i="7"/>
  <c r="D11738" i="7"/>
  <c r="E11737" i="7"/>
  <c r="D11737" i="7"/>
  <c r="E11717" i="7"/>
  <c r="D11717" i="7"/>
  <c r="E11716" i="7"/>
  <c r="D11716" i="7"/>
  <c r="E11720" i="7"/>
  <c r="D11720" i="7"/>
  <c r="E11719" i="7"/>
  <c r="D11719" i="7"/>
  <c r="E11718" i="7"/>
  <c r="D11718" i="7"/>
  <c r="E11715" i="7"/>
  <c r="D11715" i="7"/>
  <c r="E11714" i="7"/>
  <c r="D11714" i="7"/>
  <c r="D11721" i="7"/>
  <c r="E11721" i="7"/>
  <c r="E11707" i="7"/>
  <c r="D11707" i="7"/>
  <c r="E11706" i="7"/>
  <c r="D11706" i="7"/>
  <c r="E11705" i="7"/>
  <c r="D11705" i="7"/>
  <c r="E11704" i="7"/>
  <c r="D11704" i="7"/>
  <c r="E11703" i="7"/>
  <c r="D11703" i="7"/>
  <c r="E11702" i="7"/>
  <c r="D11702" i="7"/>
  <c r="E11701" i="7"/>
  <c r="D11701" i="7"/>
  <c r="E11700" i="7"/>
  <c r="D11700" i="7"/>
  <c r="E11699" i="7"/>
  <c r="D11699" i="7"/>
  <c r="E11727" i="7" l="1"/>
  <c r="D11727" i="7"/>
  <c r="E11726" i="7"/>
  <c r="D11726" i="7"/>
  <c r="E11725" i="7"/>
  <c r="D11725" i="7"/>
  <c r="E11724" i="7"/>
  <c r="D11724" i="7"/>
  <c r="E11713" i="7"/>
  <c r="D11713" i="7"/>
  <c r="E11712" i="7"/>
  <c r="D11712" i="7"/>
  <c r="E11711" i="7"/>
  <c r="D11711" i="7"/>
  <c r="E11710" i="7"/>
  <c r="D11710" i="7"/>
  <c r="E11709" i="7"/>
  <c r="D11709" i="7"/>
  <c r="E11708" i="7"/>
  <c r="D11708" i="7"/>
  <c r="E11733" i="7"/>
  <c r="D11733" i="7"/>
  <c r="E11732" i="7"/>
  <c r="D11732" i="7"/>
  <c r="E11731" i="7"/>
  <c r="D11731" i="7"/>
  <c r="E11730" i="7"/>
  <c r="D11730" i="7"/>
  <c r="E11729" i="7"/>
  <c r="D11729" i="7"/>
  <c r="E11728" i="7"/>
  <c r="D11728" i="7"/>
  <c r="E11723" i="7"/>
  <c r="D11723" i="7"/>
  <c r="E11722" i="7"/>
  <c r="D11722" i="7"/>
  <c r="E11682" i="7" l="1"/>
  <c r="D11682" i="7"/>
  <c r="E11681" i="7"/>
  <c r="D11681" i="7"/>
  <c r="E11680" i="7"/>
  <c r="D11680" i="7"/>
  <c r="E11679" i="7" l="1"/>
  <c r="D11679" i="7"/>
  <c r="E11678" i="7"/>
  <c r="D11678" i="7"/>
  <c r="E11677" i="7"/>
  <c r="D11677" i="7"/>
  <c r="E11676" i="7"/>
  <c r="D11676" i="7"/>
  <c r="E11675" i="7"/>
  <c r="D11675" i="7"/>
  <c r="E11674" i="7"/>
  <c r="D11674" i="7"/>
  <c r="E11673" i="7"/>
  <c r="D11673" i="7"/>
  <c r="J46" i="58"/>
  <c r="J47" i="58"/>
  <c r="J48" i="58"/>
  <c r="J49" i="58"/>
  <c r="J50" i="58"/>
  <c r="J51" i="58"/>
  <c r="J52" i="58"/>
  <c r="H46" i="58"/>
  <c r="H47" i="58"/>
  <c r="H48" i="58"/>
  <c r="H49" i="58"/>
  <c r="H50" i="58"/>
  <c r="H51" i="58"/>
  <c r="H52" i="58"/>
  <c r="F46" i="58"/>
  <c r="F47" i="58"/>
  <c r="F48" i="58"/>
  <c r="F49" i="58"/>
  <c r="F50" i="58"/>
  <c r="F51" i="58"/>
  <c r="F52" i="58"/>
  <c r="D46" i="58"/>
  <c r="D47" i="58"/>
  <c r="D48" i="58"/>
  <c r="D49" i="58"/>
  <c r="D50" i="58"/>
  <c r="D51" i="58"/>
  <c r="D52" i="58"/>
  <c r="L46" i="58"/>
  <c r="N46" i="58"/>
  <c r="P46" i="58"/>
  <c r="R46" i="58"/>
  <c r="L47" i="58"/>
  <c r="N47" i="58"/>
  <c r="P47" i="58"/>
  <c r="R47" i="58"/>
  <c r="L48" i="58"/>
  <c r="N48" i="58"/>
  <c r="P48" i="58"/>
  <c r="R48" i="58"/>
  <c r="L49" i="58"/>
  <c r="N49" i="58"/>
  <c r="P49" i="58"/>
  <c r="R49" i="58"/>
  <c r="L50" i="58"/>
  <c r="N50" i="58"/>
  <c r="P50" i="58"/>
  <c r="R50" i="58"/>
  <c r="L51" i="58"/>
  <c r="N51" i="58"/>
  <c r="P51" i="58"/>
  <c r="R51" i="58"/>
  <c r="L52" i="58"/>
  <c r="N52" i="58"/>
  <c r="P52" i="58"/>
  <c r="R52" i="58"/>
  <c r="E11672" i="7"/>
  <c r="D11672" i="7"/>
  <c r="E11671" i="7"/>
  <c r="D11671" i="7"/>
  <c r="E11670" i="7"/>
  <c r="D11670" i="7"/>
  <c r="E11698" i="7" l="1"/>
  <c r="D11698" i="7"/>
  <c r="K11697" i="7"/>
  <c r="L11698" i="7" s="1"/>
  <c r="E11697" i="7"/>
  <c r="D11697" i="7"/>
  <c r="E11696" i="7"/>
  <c r="D11696" i="7"/>
  <c r="K11695" i="7"/>
  <c r="L11696" i="7" s="1"/>
  <c r="E11695" i="7"/>
  <c r="D11695" i="7"/>
  <c r="E11694" i="7"/>
  <c r="D11694" i="7"/>
  <c r="E11693" i="7"/>
  <c r="D11693" i="7"/>
  <c r="L11692" i="7"/>
  <c r="E11692" i="7"/>
  <c r="D11692" i="7"/>
  <c r="E11691" i="7"/>
  <c r="D11691" i="7"/>
  <c r="L11690" i="7"/>
  <c r="E11690" i="7"/>
  <c r="D11690" i="7"/>
  <c r="E11689" i="7"/>
  <c r="D11689" i="7"/>
  <c r="L11688" i="7"/>
  <c r="E11688" i="7"/>
  <c r="D11688" i="7"/>
  <c r="E11687" i="7"/>
  <c r="D11687" i="7"/>
  <c r="L11686" i="7"/>
  <c r="E11686" i="7"/>
  <c r="D11686" i="7"/>
  <c r="E11685" i="7"/>
  <c r="D11685" i="7"/>
  <c r="E11684" i="7"/>
  <c r="D11684" i="7"/>
  <c r="E11683" i="7"/>
  <c r="D11683" i="7"/>
  <c r="E11613" i="7"/>
  <c r="D11613" i="7"/>
  <c r="E11612" i="7"/>
  <c r="D11612" i="7"/>
  <c r="E11611" i="7"/>
  <c r="D11611" i="7"/>
  <c r="E11636" i="7"/>
  <c r="D11636" i="7"/>
  <c r="E11635" i="7"/>
  <c r="D11635" i="7"/>
  <c r="E11668" i="7"/>
  <c r="D11668" i="7"/>
  <c r="E11669" i="7"/>
  <c r="D11669" i="7"/>
  <c r="E11667" i="7"/>
  <c r="D11667" i="7"/>
  <c r="E11666" i="7"/>
  <c r="D11666" i="7"/>
  <c r="E11665" i="7"/>
  <c r="D11665" i="7"/>
  <c r="E11664" i="7"/>
  <c r="D11664" i="7"/>
  <c r="E11663" i="7"/>
  <c r="D11663" i="7"/>
  <c r="E11650" i="7"/>
  <c r="D11650" i="7"/>
  <c r="E11649" i="7"/>
  <c r="D11649" i="7"/>
  <c r="E11634" i="7"/>
  <c r="D11634" i="7"/>
  <c r="E11633" i="7"/>
  <c r="D11633" i="7"/>
  <c r="E11662" i="7"/>
  <c r="D11662" i="7"/>
  <c r="E11661" i="7"/>
  <c r="D11661" i="7"/>
  <c r="E11660" i="7"/>
  <c r="D11660" i="7"/>
  <c r="E11659" i="7"/>
  <c r="D11659" i="7"/>
  <c r="E11658" i="7"/>
  <c r="D11658" i="7"/>
  <c r="E11655" i="7"/>
  <c r="D11655" i="7"/>
  <c r="E11654" i="7"/>
  <c r="D11654" i="7"/>
  <c r="E11653" i="7"/>
  <c r="D11653" i="7"/>
  <c r="E11652" i="7"/>
  <c r="D11652" i="7"/>
  <c r="E11651" i="7"/>
  <c r="D11651" i="7"/>
  <c r="E11646" i="7"/>
  <c r="D11646" i="7"/>
  <c r="E11645" i="7"/>
  <c r="D11645" i="7"/>
  <c r="E11644" i="7"/>
  <c r="D11644" i="7"/>
  <c r="E11643" i="7"/>
  <c r="D11643" i="7"/>
  <c r="E11642" i="7"/>
  <c r="D11642" i="7"/>
  <c r="E11641" i="7"/>
  <c r="D11641" i="7"/>
  <c r="E11640" i="7"/>
  <c r="D11640" i="7"/>
  <c r="E11639" i="7"/>
  <c r="D11639" i="7"/>
  <c r="E11638" i="7"/>
  <c r="D11638" i="7"/>
  <c r="E11637" i="7"/>
  <c r="D11637" i="7"/>
  <c r="E11610" i="7"/>
  <c r="D11610" i="7"/>
  <c r="E11609" i="7"/>
  <c r="D11609" i="7"/>
  <c r="E11608" i="7"/>
  <c r="D11608" i="7"/>
  <c r="E11602" i="7"/>
  <c r="D11602" i="7"/>
  <c r="E11601" i="7"/>
  <c r="D11601" i="7"/>
  <c r="E11591" i="7"/>
  <c r="D11591" i="7"/>
  <c r="E11590" i="7"/>
  <c r="D11590" i="7"/>
  <c r="E11589" i="7"/>
  <c r="D11589" i="7"/>
  <c r="E11588" i="7"/>
  <c r="D11588" i="7"/>
  <c r="E11587" i="7"/>
  <c r="D11587" i="7"/>
  <c r="E11586" i="7"/>
  <c r="D11586" i="7"/>
  <c r="E11585" i="7"/>
  <c r="D11585" i="7"/>
  <c r="E11584" i="7"/>
  <c r="D11584" i="7"/>
  <c r="E11607" i="7"/>
  <c r="D11607" i="7"/>
  <c r="E11606" i="7"/>
  <c r="D11606" i="7"/>
  <c r="E11605" i="7"/>
  <c r="D11605" i="7"/>
  <c r="E11604" i="7"/>
  <c r="D11604" i="7"/>
  <c r="E11603" i="7"/>
  <c r="D11603" i="7"/>
  <c r="E11600" i="7" l="1"/>
  <c r="D11600" i="7"/>
  <c r="E11599" i="7"/>
  <c r="D11599" i="7"/>
  <c r="E11598" i="7"/>
  <c r="D11598" i="7"/>
  <c r="E11597" i="7"/>
  <c r="D11597" i="7"/>
  <c r="E11596" i="7"/>
  <c r="D11596" i="7"/>
  <c r="E11595" i="7"/>
  <c r="D11595" i="7"/>
  <c r="E11632" i="7" l="1"/>
  <c r="D11632" i="7"/>
  <c r="E11631" i="7"/>
  <c r="D11631" i="7"/>
  <c r="E11630" i="7"/>
  <c r="D11630" i="7"/>
  <c r="E11594" i="7"/>
  <c r="D11594" i="7"/>
  <c r="E11593" i="7"/>
  <c r="D11593" i="7"/>
  <c r="E11592" i="7"/>
  <c r="D11592" i="7"/>
  <c r="E11571" i="7" l="1"/>
  <c r="D11571" i="7"/>
  <c r="E11570" i="7"/>
  <c r="D11570" i="7"/>
  <c r="E11569" i="7"/>
  <c r="D11569" i="7"/>
  <c r="E11568" i="7"/>
  <c r="D11568" i="7"/>
  <c r="E11567" i="7"/>
  <c r="D11567" i="7"/>
  <c r="J39" i="58"/>
  <c r="J40" i="58"/>
  <c r="J41" i="58"/>
  <c r="J42" i="58"/>
  <c r="J43" i="58"/>
  <c r="J44" i="58"/>
  <c r="J45" i="58"/>
  <c r="H39" i="58"/>
  <c r="H40" i="58"/>
  <c r="H41" i="58"/>
  <c r="H42" i="58"/>
  <c r="H43" i="58"/>
  <c r="H44" i="58"/>
  <c r="H45" i="58"/>
  <c r="F39" i="58"/>
  <c r="F40" i="58"/>
  <c r="F41" i="58"/>
  <c r="F42" i="58"/>
  <c r="F43" i="58"/>
  <c r="F44" i="58"/>
  <c r="F45" i="58"/>
  <c r="D39" i="58"/>
  <c r="D40" i="58"/>
  <c r="D41" i="58"/>
  <c r="D42" i="58"/>
  <c r="D43" i="58"/>
  <c r="D44" i="58"/>
  <c r="D45" i="58"/>
  <c r="L39" i="58"/>
  <c r="N39" i="58"/>
  <c r="P39" i="58"/>
  <c r="R39" i="58"/>
  <c r="L40" i="58"/>
  <c r="N40" i="58"/>
  <c r="P40" i="58"/>
  <c r="R40" i="58"/>
  <c r="L41" i="58"/>
  <c r="N41" i="58"/>
  <c r="P41" i="58"/>
  <c r="R41" i="58"/>
  <c r="L42" i="58"/>
  <c r="N42" i="58"/>
  <c r="P42" i="58"/>
  <c r="R42" i="58"/>
  <c r="L43" i="58"/>
  <c r="N43" i="58"/>
  <c r="P43" i="58"/>
  <c r="R43" i="58"/>
  <c r="L44" i="58"/>
  <c r="N44" i="58"/>
  <c r="P44" i="58"/>
  <c r="R44" i="58"/>
  <c r="L45" i="58"/>
  <c r="N45" i="58"/>
  <c r="P45" i="58"/>
  <c r="R45" i="58"/>
  <c r="E11583" i="7"/>
  <c r="D11583" i="7"/>
  <c r="E11582" i="7"/>
  <c r="D11582" i="7"/>
  <c r="E11581" i="7"/>
  <c r="D11581" i="7"/>
  <c r="E11580" i="7"/>
  <c r="D11580" i="7"/>
  <c r="E11579" i="7"/>
  <c r="D11579" i="7"/>
  <c r="E11566" i="7"/>
  <c r="D11566" i="7"/>
  <c r="E11565" i="7"/>
  <c r="D11565" i="7"/>
  <c r="E11564" i="7"/>
  <c r="D11564" i="7"/>
  <c r="E11629" i="7" l="1"/>
  <c r="D11629" i="7"/>
  <c r="K11628" i="7"/>
  <c r="L11629" i="7" s="1"/>
  <c r="E11628" i="7"/>
  <c r="D11628" i="7"/>
  <c r="E11627" i="7"/>
  <c r="D11627" i="7"/>
  <c r="K11626" i="7"/>
  <c r="L11627" i="7" s="1"/>
  <c r="E11626" i="7"/>
  <c r="D11626" i="7"/>
  <c r="E11625" i="7"/>
  <c r="D11625" i="7"/>
  <c r="E11624" i="7"/>
  <c r="D11624" i="7"/>
  <c r="L11623" i="7"/>
  <c r="E11623" i="7"/>
  <c r="D11623" i="7"/>
  <c r="E11622" i="7"/>
  <c r="D11622" i="7"/>
  <c r="L11621" i="7"/>
  <c r="E11621" i="7"/>
  <c r="D11621" i="7"/>
  <c r="E11620" i="7"/>
  <c r="D11620" i="7"/>
  <c r="L11619" i="7"/>
  <c r="E11619" i="7"/>
  <c r="D11619" i="7"/>
  <c r="E11618" i="7"/>
  <c r="D11618" i="7"/>
  <c r="L11617" i="7"/>
  <c r="E11617" i="7"/>
  <c r="D11617" i="7"/>
  <c r="E11616" i="7"/>
  <c r="D11616" i="7"/>
  <c r="E11615" i="7"/>
  <c r="D11615" i="7"/>
  <c r="E11614" i="7"/>
  <c r="D11614" i="7"/>
  <c r="E11578" i="7"/>
  <c r="D11578" i="7"/>
  <c r="E11577" i="7"/>
  <c r="D11577" i="7"/>
  <c r="E11576" i="7"/>
  <c r="D11576" i="7"/>
  <c r="E11575" i="7"/>
  <c r="D11575" i="7"/>
  <c r="E11574" i="7"/>
  <c r="D11574" i="7"/>
  <c r="E11573" i="7" l="1"/>
  <c r="D11573" i="7"/>
  <c r="E11572" i="7"/>
  <c r="D11572" i="7"/>
  <c r="L11551" i="7"/>
  <c r="E11551" i="7"/>
  <c r="D11551" i="7"/>
  <c r="E11550" i="7"/>
  <c r="D11550" i="7"/>
  <c r="E11563" i="7"/>
  <c r="D11563" i="7"/>
  <c r="K11562" i="7"/>
  <c r="L11563" i="7" s="1"/>
  <c r="E11562" i="7"/>
  <c r="D11562" i="7"/>
  <c r="E11561" i="7"/>
  <c r="D11561" i="7"/>
  <c r="K11560" i="7"/>
  <c r="L11561" i="7" s="1"/>
  <c r="E11560" i="7"/>
  <c r="D11560" i="7"/>
  <c r="E11559" i="7"/>
  <c r="D11559" i="7"/>
  <c r="E11558" i="7"/>
  <c r="D11558" i="7"/>
  <c r="L11557" i="7"/>
  <c r="E11557" i="7"/>
  <c r="D11557" i="7"/>
  <c r="E11556" i="7"/>
  <c r="D11556" i="7"/>
  <c r="L11555" i="7"/>
  <c r="E11555" i="7"/>
  <c r="D11555" i="7"/>
  <c r="E11554" i="7"/>
  <c r="D11554" i="7"/>
  <c r="L11553" i="7"/>
  <c r="E11553" i="7"/>
  <c r="D11553" i="7"/>
  <c r="E11552" i="7"/>
  <c r="D11552" i="7"/>
  <c r="E11549" i="7"/>
  <c r="D11549" i="7"/>
  <c r="E11548" i="7"/>
  <c r="D11548" i="7"/>
  <c r="E11544" i="7"/>
  <c r="D11544" i="7"/>
  <c r="E11543" i="7"/>
  <c r="D11543" i="7"/>
  <c r="E11542" i="7"/>
  <c r="D11542" i="7"/>
  <c r="E11541" i="7"/>
  <c r="D11541" i="7"/>
  <c r="E11540" i="7"/>
  <c r="D11540" i="7"/>
  <c r="E11539" i="7"/>
  <c r="D11539" i="7"/>
  <c r="E11538" i="7"/>
  <c r="D11538" i="7"/>
  <c r="E11525" i="7"/>
  <c r="D11525" i="7"/>
  <c r="E11524" i="7"/>
  <c r="D11524" i="7"/>
  <c r="E11530" i="7"/>
  <c r="D11530" i="7"/>
  <c r="E11529" i="7"/>
  <c r="D11529" i="7"/>
  <c r="E11528" i="7"/>
  <c r="D11528" i="7"/>
  <c r="E11523" i="7"/>
  <c r="D11523" i="7"/>
  <c r="E11522" i="7"/>
  <c r="D11522" i="7"/>
  <c r="E11527" i="7"/>
  <c r="D11527" i="7"/>
  <c r="E11526" i="7"/>
  <c r="D11526" i="7"/>
  <c r="E11521" i="7"/>
  <c r="D11521" i="7"/>
  <c r="E11520" i="7"/>
  <c r="D11520" i="7"/>
  <c r="E11519" i="7"/>
  <c r="D11519" i="7"/>
  <c r="E11518" i="7"/>
  <c r="D11518" i="7"/>
  <c r="E11547" i="7"/>
  <c r="D11547" i="7"/>
  <c r="E11546" i="7"/>
  <c r="D11546" i="7"/>
  <c r="E11545" i="7"/>
  <c r="D11545" i="7"/>
  <c r="E11517" i="7" l="1"/>
  <c r="D11517" i="7"/>
  <c r="E11516" i="7"/>
  <c r="D11516" i="7"/>
  <c r="E11515" i="7"/>
  <c r="D11515" i="7"/>
  <c r="E11537" i="7" l="1"/>
  <c r="D11537" i="7"/>
  <c r="E11536" i="7"/>
  <c r="D11536" i="7"/>
  <c r="E11535" i="7"/>
  <c r="D11535" i="7"/>
  <c r="R38" i="58" l="1"/>
  <c r="P38" i="58"/>
  <c r="N38" i="58"/>
  <c r="L38" i="58"/>
  <c r="J38" i="58"/>
  <c r="H38" i="58"/>
  <c r="F38" i="58"/>
  <c r="D38" i="58"/>
  <c r="R37" i="58"/>
  <c r="P37" i="58"/>
  <c r="N37" i="58"/>
  <c r="L37" i="58"/>
  <c r="J37" i="58"/>
  <c r="H37" i="58"/>
  <c r="F37" i="58"/>
  <c r="D37" i="58"/>
  <c r="R36" i="58"/>
  <c r="P36" i="58"/>
  <c r="N36" i="58"/>
  <c r="L36" i="58"/>
  <c r="J36" i="58"/>
  <c r="H36" i="58"/>
  <c r="F36" i="58"/>
  <c r="D36" i="58"/>
  <c r="R35" i="58"/>
  <c r="P35" i="58"/>
  <c r="N35" i="58"/>
  <c r="L35" i="58"/>
  <c r="J35" i="58"/>
  <c r="H35" i="58"/>
  <c r="F35" i="58"/>
  <c r="D35" i="58"/>
  <c r="R34" i="58"/>
  <c r="P34" i="58"/>
  <c r="N34" i="58"/>
  <c r="L34" i="58"/>
  <c r="J34" i="58"/>
  <c r="H34" i="58"/>
  <c r="F34" i="58"/>
  <c r="D34" i="58"/>
  <c r="R33" i="58"/>
  <c r="P33" i="58"/>
  <c r="N33" i="58"/>
  <c r="L33" i="58"/>
  <c r="J33" i="58"/>
  <c r="H33" i="58"/>
  <c r="F33" i="58"/>
  <c r="D33" i="58"/>
  <c r="R32" i="58"/>
  <c r="P32" i="58"/>
  <c r="N32" i="58"/>
  <c r="L32" i="58"/>
  <c r="J32" i="58"/>
  <c r="H32" i="58"/>
  <c r="F32" i="58"/>
  <c r="D32" i="58"/>
  <c r="R31" i="58"/>
  <c r="P31" i="58"/>
  <c r="N31" i="58"/>
  <c r="L31" i="58"/>
  <c r="J31" i="58"/>
  <c r="H31" i="58"/>
  <c r="F31" i="58"/>
  <c r="D31" i="58"/>
  <c r="R30" i="58"/>
  <c r="P30" i="58"/>
  <c r="N30" i="58"/>
  <c r="L30" i="58"/>
  <c r="J30" i="58"/>
  <c r="H30" i="58"/>
  <c r="F30" i="58"/>
  <c r="D30" i="58"/>
  <c r="R29" i="58"/>
  <c r="P29" i="58"/>
  <c r="N29" i="58"/>
  <c r="L29" i="58"/>
  <c r="J29" i="58"/>
  <c r="H29" i="58"/>
  <c r="F29" i="58"/>
  <c r="D29" i="58"/>
  <c r="R28" i="58"/>
  <c r="P28" i="58"/>
  <c r="N28" i="58"/>
  <c r="L28" i="58"/>
  <c r="J28" i="58"/>
  <c r="H28" i="58"/>
  <c r="F28" i="58"/>
  <c r="D28" i="58"/>
  <c r="R27" i="58"/>
  <c r="P27" i="58"/>
  <c r="N27" i="58"/>
  <c r="L27" i="58"/>
  <c r="J27" i="58"/>
  <c r="H27" i="58"/>
  <c r="F27" i="58"/>
  <c r="D27" i="58"/>
  <c r="R26" i="58"/>
  <c r="P26" i="58"/>
  <c r="N26" i="58"/>
  <c r="L26" i="58"/>
  <c r="J26" i="58"/>
  <c r="H26" i="58"/>
  <c r="F26" i="58"/>
  <c r="D26" i="58"/>
  <c r="R25" i="58"/>
  <c r="P25" i="58"/>
  <c r="N25" i="58"/>
  <c r="L25" i="58"/>
  <c r="J25" i="58"/>
  <c r="H25" i="58"/>
  <c r="F25" i="58"/>
  <c r="D25" i="58"/>
  <c r="R24" i="58"/>
  <c r="P24" i="58"/>
  <c r="N24" i="58"/>
  <c r="L24" i="58"/>
  <c r="J24" i="58"/>
  <c r="H24" i="58"/>
  <c r="F24" i="58"/>
  <c r="D24" i="58"/>
  <c r="R23" i="58"/>
  <c r="P23" i="58"/>
  <c r="N23" i="58"/>
  <c r="L23" i="58"/>
  <c r="J23" i="58"/>
  <c r="H23" i="58"/>
  <c r="F23" i="58"/>
  <c r="D23" i="58"/>
  <c r="R22" i="58"/>
  <c r="P22" i="58"/>
  <c r="N22" i="58"/>
  <c r="L22" i="58"/>
  <c r="J22" i="58"/>
  <c r="H22" i="58"/>
  <c r="F22" i="58"/>
  <c r="D22" i="58"/>
  <c r="R21" i="58"/>
  <c r="P21" i="58"/>
  <c r="N21" i="58"/>
  <c r="L21" i="58"/>
  <c r="J21" i="58"/>
  <c r="H21" i="58"/>
  <c r="F21" i="58"/>
  <c r="D21" i="58"/>
  <c r="R20" i="58"/>
  <c r="P20" i="58"/>
  <c r="N20" i="58"/>
  <c r="L20" i="58"/>
  <c r="J20" i="58"/>
  <c r="H20" i="58"/>
  <c r="F20" i="58"/>
  <c r="D20" i="58"/>
  <c r="R19" i="58"/>
  <c r="P19" i="58"/>
  <c r="N19" i="58"/>
  <c r="L19" i="58"/>
  <c r="J19" i="58"/>
  <c r="H19" i="58"/>
  <c r="F19" i="58"/>
  <c r="D19" i="58"/>
  <c r="R18" i="58"/>
  <c r="P18" i="58"/>
  <c r="N18" i="58"/>
  <c r="L18" i="58"/>
  <c r="J18" i="58"/>
  <c r="H18" i="58"/>
  <c r="F18" i="58"/>
  <c r="D18" i="58"/>
  <c r="R17" i="58"/>
  <c r="P17" i="58"/>
  <c r="N17" i="58"/>
  <c r="L17" i="58"/>
  <c r="J17" i="58"/>
  <c r="H17" i="58"/>
  <c r="F17" i="58"/>
  <c r="D17" i="58"/>
  <c r="R16" i="58"/>
  <c r="P16" i="58"/>
  <c r="N16" i="58"/>
  <c r="L16" i="58"/>
  <c r="J16" i="58"/>
  <c r="H16" i="58"/>
  <c r="F16" i="58"/>
  <c r="D16" i="58"/>
  <c r="R15" i="58"/>
  <c r="P15" i="58"/>
  <c r="N15" i="58"/>
  <c r="L15" i="58"/>
  <c r="J15" i="58"/>
  <c r="H15" i="58"/>
  <c r="F15" i="58"/>
  <c r="D15" i="58"/>
  <c r="R14" i="58"/>
  <c r="P14" i="58"/>
  <c r="N14" i="58"/>
  <c r="L14" i="58"/>
  <c r="J14" i="58"/>
  <c r="H14" i="58"/>
  <c r="F14" i="58"/>
  <c r="D14" i="58"/>
  <c r="R13" i="58"/>
  <c r="P13" i="58"/>
  <c r="N13" i="58"/>
  <c r="L13" i="58"/>
  <c r="J13" i="58"/>
  <c r="H13" i="58"/>
  <c r="F13" i="58"/>
  <c r="D13" i="58"/>
  <c r="R12" i="58"/>
  <c r="P12" i="58"/>
  <c r="N12" i="58"/>
  <c r="L12" i="58"/>
  <c r="J12" i="58"/>
  <c r="H12" i="58"/>
  <c r="F12" i="58"/>
  <c r="D12" i="58"/>
  <c r="R11" i="58"/>
  <c r="P11" i="58"/>
  <c r="N11" i="58"/>
  <c r="L11" i="58"/>
  <c r="J11" i="58"/>
  <c r="H11" i="58"/>
  <c r="F11" i="58"/>
  <c r="D11" i="58"/>
  <c r="R10" i="58"/>
  <c r="P10" i="58"/>
  <c r="N10" i="58"/>
  <c r="L10" i="58"/>
  <c r="J10" i="58"/>
  <c r="H10" i="58"/>
  <c r="F10" i="58"/>
  <c r="D10" i="58"/>
  <c r="R9" i="58"/>
  <c r="P9" i="58"/>
  <c r="N9" i="58"/>
  <c r="L9" i="58"/>
  <c r="J9" i="58"/>
  <c r="H9" i="58"/>
  <c r="F9" i="58"/>
  <c r="D9" i="58"/>
  <c r="R8" i="58"/>
  <c r="P8" i="58"/>
  <c r="N8" i="58"/>
  <c r="L8" i="58"/>
  <c r="J8" i="58"/>
  <c r="H8" i="58"/>
  <c r="F8" i="58"/>
  <c r="D8" i="58"/>
  <c r="R7" i="58"/>
  <c r="P7" i="58"/>
  <c r="N7" i="58"/>
  <c r="L7" i="58"/>
  <c r="J7" i="58"/>
  <c r="H7" i="58"/>
  <c r="F7" i="58"/>
  <c r="D7" i="58"/>
  <c r="R6" i="58"/>
  <c r="P6" i="58"/>
  <c r="N6" i="58"/>
  <c r="L6" i="58"/>
  <c r="J6" i="58"/>
  <c r="H6" i="58"/>
  <c r="F6" i="58"/>
  <c r="D6" i="58"/>
  <c r="B6" i="58"/>
  <c r="B7" i="58" s="1"/>
  <c r="B8" i="58" s="1"/>
  <c r="B9" i="58" s="1"/>
  <c r="B10" i="58" s="1"/>
  <c r="B11" i="58" s="1"/>
  <c r="B12" i="58" s="1"/>
  <c r="B13" i="58" s="1"/>
  <c r="B14" i="58" s="1"/>
  <c r="B15" i="58" s="1"/>
  <c r="B16" i="58" s="1"/>
  <c r="B17" i="58" s="1"/>
  <c r="B18" i="58" s="1"/>
  <c r="B19" i="58" s="1"/>
  <c r="B20" i="58" s="1"/>
  <c r="B21" i="58" s="1"/>
  <c r="B22" i="58" s="1"/>
  <c r="B23" i="58" s="1"/>
  <c r="B24" i="58" s="1"/>
  <c r="B25" i="58" s="1"/>
  <c r="B26" i="58" s="1"/>
  <c r="B27" i="58" s="1"/>
  <c r="B28" i="58" s="1"/>
  <c r="B29" i="58" s="1"/>
  <c r="B30" i="58" s="1"/>
  <c r="B31" i="58" s="1"/>
  <c r="B32" i="58" s="1"/>
  <c r="B33" i="58" s="1"/>
  <c r="B34" i="58" s="1"/>
  <c r="B35" i="58" s="1"/>
  <c r="B36" i="58" s="1"/>
  <c r="B37" i="58" s="1"/>
  <c r="B38" i="58" s="1"/>
  <c r="B39" i="58" s="1"/>
  <c r="B40" i="58" s="1"/>
  <c r="B41" i="58" s="1"/>
  <c r="B42" i="58" s="1"/>
  <c r="B43" i="58" s="1"/>
  <c r="B44" i="58" s="1"/>
  <c r="B45" i="58" s="1"/>
  <c r="B46" i="58" s="1"/>
  <c r="B47" i="58" s="1"/>
  <c r="B48" i="58" s="1"/>
  <c r="B49" i="58" s="1"/>
  <c r="B50" i="58" s="1"/>
  <c r="B51" i="58" s="1"/>
  <c r="B52" i="58" s="1"/>
  <c r="B53" i="58" s="1"/>
  <c r="B54" i="58" s="1"/>
  <c r="B55" i="58" s="1"/>
  <c r="B56" i="58" s="1"/>
  <c r="B57" i="58" s="1"/>
  <c r="B58" i="58" s="1"/>
  <c r="B59" i="58" s="1"/>
  <c r="B60" i="58" s="1"/>
  <c r="B61" i="58" s="1"/>
  <c r="B62" i="58" s="1"/>
  <c r="B63" i="58" s="1"/>
  <c r="B64" i="58" s="1"/>
  <c r="B65" i="58" s="1"/>
  <c r="B66" i="58" s="1"/>
  <c r="B67" i="58" s="1"/>
  <c r="B68" i="58" s="1"/>
  <c r="B69" i="58" s="1"/>
  <c r="B70" i="58" s="1"/>
  <c r="B71" i="58" s="1"/>
  <c r="B72" i="58" s="1"/>
  <c r="B73" i="58" s="1"/>
  <c r="B74" i="58" s="1"/>
  <c r="B75" i="58" s="1"/>
  <c r="B76" i="58" s="1"/>
  <c r="B77" i="58" s="1"/>
  <c r="B78" i="58" s="1"/>
  <c r="B79" i="58" s="1"/>
  <c r="B80" i="58" s="1"/>
  <c r="B81" i="58" s="1"/>
  <c r="B82" i="58" s="1"/>
  <c r="B83" i="58" s="1"/>
  <c r="B84" i="58" s="1"/>
  <c r="B85" i="58" s="1"/>
  <c r="B86" i="58" s="1"/>
  <c r="B87" i="58" s="1"/>
  <c r="B88" i="58" s="1"/>
  <c r="B89" i="58" s="1"/>
  <c r="B90" i="58" s="1"/>
  <c r="B91" i="58" s="1"/>
  <c r="B92" i="58" s="1"/>
  <c r="B93" i="58" s="1"/>
  <c r="B94" i="58" s="1"/>
  <c r="B95" i="58" s="1"/>
  <c r="B96" i="58" s="1"/>
  <c r="B97" i="58" s="1"/>
  <c r="B98" i="58" s="1"/>
  <c r="B99" i="58" s="1"/>
  <c r="B100" i="58" s="1"/>
  <c r="B101" i="58" s="1"/>
  <c r="B102" i="58" s="1"/>
  <c r="B103" i="58" s="1"/>
  <c r="B104" i="58" s="1"/>
  <c r="B105" i="58" s="1"/>
  <c r="B106" i="58" s="1"/>
  <c r="B107" i="58" s="1"/>
  <c r="B108" i="58" s="1"/>
  <c r="B109" i="58" s="1"/>
  <c r="B110" i="58" s="1"/>
  <c r="B111" i="58" s="1"/>
  <c r="B112" i="58" s="1"/>
  <c r="B113" i="58" s="1"/>
  <c r="B114" i="58" s="1"/>
  <c r="B115" i="58" s="1"/>
  <c r="B116" i="58" s="1"/>
  <c r="B117" i="58" s="1"/>
  <c r="B118" i="58" s="1"/>
  <c r="B119" i="58" s="1"/>
  <c r="B120" i="58" s="1"/>
  <c r="B121" i="58" s="1"/>
  <c r="B122" i="58" s="1"/>
  <c r="B123" i="58" s="1"/>
  <c r="B124" i="58" s="1"/>
  <c r="B125" i="58" s="1"/>
  <c r="B126" i="58" s="1"/>
  <c r="B127" i="58" s="1"/>
  <c r="B128" i="58" s="1"/>
  <c r="B129" i="58" s="1"/>
  <c r="B131" i="58" s="1"/>
  <c r="B132" i="58" s="1"/>
  <c r="B133" i="58" s="1"/>
  <c r="B134" i="58" s="1"/>
  <c r="B135" i="58" s="1"/>
  <c r="B136" i="58" s="1"/>
  <c r="B137" i="58" s="1"/>
  <c r="B138" i="58" s="1"/>
  <c r="B139" i="58" s="1"/>
  <c r="B140" i="58" s="1"/>
  <c r="B141" i="58" s="1"/>
  <c r="B142" i="58" s="1"/>
  <c r="B143" i="58" s="1"/>
  <c r="B144" i="58" s="1"/>
  <c r="B145" i="58" s="1"/>
  <c r="B146" i="58" s="1"/>
  <c r="B147" i="58" s="1"/>
  <c r="B148" i="58" s="1"/>
  <c r="B149" i="58" s="1"/>
  <c r="B150" i="58" s="1"/>
  <c r="B151" i="58" s="1"/>
  <c r="B152" i="58" s="1"/>
  <c r="B153" i="58" s="1"/>
  <c r="B154" i="58" s="1"/>
  <c r="B155" i="58" s="1"/>
  <c r="B156" i="58" s="1"/>
  <c r="B157" i="58" s="1"/>
  <c r="B158" i="58" s="1"/>
  <c r="B159" i="58" s="1"/>
  <c r="B160" i="58" s="1"/>
  <c r="B161" i="58" s="1"/>
  <c r="B162" i="58" s="1"/>
  <c r="B163" i="58" s="1"/>
  <c r="B164" i="58" s="1"/>
  <c r="B165" i="58" s="1"/>
  <c r="B166" i="58" s="1"/>
  <c r="B167" i="58" s="1"/>
  <c r="B168" i="58" s="1"/>
  <c r="B169" i="58" s="1"/>
  <c r="B170" i="58" s="1"/>
  <c r="B171" i="58" s="1"/>
  <c r="R5" i="58"/>
  <c r="P5" i="58"/>
  <c r="N5" i="58"/>
  <c r="L5" i="58"/>
  <c r="J5" i="58"/>
  <c r="H5" i="58"/>
  <c r="F5" i="58"/>
  <c r="D5" i="58"/>
  <c r="A2" i="58"/>
  <c r="H173" i="58" l="1"/>
  <c r="P173" i="58"/>
  <c r="F173" i="58"/>
  <c r="N173" i="58"/>
  <c r="J173" i="58"/>
  <c r="R173" i="58"/>
  <c r="D173" i="58"/>
  <c r="L173" i="58"/>
  <c r="E11534" i="7"/>
  <c r="D11534" i="7"/>
  <c r="E11533" i="7"/>
  <c r="D11533" i="7"/>
  <c r="E11532" i="7"/>
  <c r="D11532" i="7"/>
  <c r="E11531" i="7"/>
  <c r="D11531" i="7"/>
  <c r="E11514" i="7"/>
  <c r="D11514" i="7"/>
  <c r="E11513" i="7"/>
  <c r="D11513" i="7"/>
  <c r="E11512" i="7"/>
  <c r="D11512" i="7"/>
  <c r="E11511" i="7"/>
  <c r="D11511" i="7"/>
  <c r="E11510" i="7"/>
  <c r="D11510" i="7"/>
  <c r="E11509" i="7"/>
  <c r="D11509" i="7"/>
  <c r="E11508" i="7" l="1"/>
  <c r="D11508" i="7"/>
  <c r="L11508" i="7"/>
  <c r="E11507" i="7"/>
  <c r="D11507" i="7"/>
  <c r="E11506" i="7"/>
  <c r="D11506" i="7"/>
  <c r="K11505" i="7"/>
  <c r="L11506" i="7" s="1"/>
  <c r="E11505" i="7"/>
  <c r="D11505" i="7"/>
  <c r="E11504" i="7"/>
  <c r="D11504" i="7"/>
  <c r="E11503" i="7"/>
  <c r="D11503" i="7"/>
  <c r="L11502" i="7"/>
  <c r="E11502" i="7"/>
  <c r="D11502" i="7"/>
  <c r="E11501" i="7"/>
  <c r="D11501" i="7"/>
  <c r="L11500" i="7"/>
  <c r="E11500" i="7"/>
  <c r="D11500" i="7"/>
  <c r="E11499" i="7"/>
  <c r="D11499" i="7"/>
  <c r="L11498" i="7"/>
  <c r="E11498" i="7"/>
  <c r="D11498" i="7"/>
  <c r="E11497" i="7"/>
  <c r="D11497" i="7"/>
  <c r="E11496" i="7"/>
  <c r="D11496" i="7"/>
  <c r="E11495" i="7"/>
  <c r="D11495" i="7"/>
  <c r="E11488" i="7" l="1"/>
  <c r="D11488" i="7"/>
  <c r="E11487" i="7"/>
  <c r="D11487" i="7"/>
  <c r="E11486" i="7"/>
  <c r="D11486" i="7"/>
  <c r="E11485" i="7"/>
  <c r="D11485" i="7"/>
  <c r="E11484" i="7"/>
  <c r="D11484" i="7"/>
  <c r="E11483" i="7"/>
  <c r="D11483" i="7"/>
  <c r="E11494" i="7"/>
  <c r="D11494" i="7"/>
  <c r="E11493" i="7"/>
  <c r="D11493" i="7"/>
  <c r="E11492" i="7"/>
  <c r="D11492" i="7"/>
  <c r="E11491" i="7"/>
  <c r="D11491" i="7"/>
  <c r="E11490" i="7"/>
  <c r="D11490" i="7"/>
  <c r="E11489" i="7"/>
  <c r="D11489" i="7"/>
  <c r="E11482" i="7" l="1"/>
  <c r="D11482" i="7"/>
  <c r="E11481" i="7"/>
  <c r="D11481" i="7"/>
  <c r="E11480" i="7"/>
  <c r="D11480" i="7"/>
  <c r="E11479" i="7"/>
  <c r="D11479" i="7"/>
  <c r="E11478" i="7"/>
  <c r="D11478" i="7"/>
  <c r="E11477" i="7"/>
  <c r="D11477" i="7"/>
  <c r="E11462" i="7" l="1"/>
  <c r="D11462" i="7"/>
  <c r="E11461" i="7"/>
  <c r="D11461" i="7"/>
  <c r="E11460" i="7"/>
  <c r="D11460" i="7"/>
  <c r="E11476" i="7"/>
  <c r="D11476" i="7"/>
  <c r="K11475" i="7"/>
  <c r="L11476" i="7" s="1"/>
  <c r="E11475" i="7"/>
  <c r="D11475" i="7"/>
  <c r="E11474" i="7"/>
  <c r="D11474" i="7"/>
  <c r="K11473" i="7"/>
  <c r="L11474" i="7" s="1"/>
  <c r="E11473" i="7"/>
  <c r="D11473" i="7"/>
  <c r="E11472" i="7"/>
  <c r="D11472" i="7"/>
  <c r="E11471" i="7"/>
  <c r="D11471" i="7"/>
  <c r="L11470" i="7"/>
  <c r="E11470" i="7"/>
  <c r="D11470" i="7"/>
  <c r="E11469" i="7"/>
  <c r="D11469" i="7"/>
  <c r="L11468" i="7"/>
  <c r="E11468" i="7"/>
  <c r="D11468" i="7"/>
  <c r="E11467" i="7"/>
  <c r="D11467" i="7"/>
  <c r="L11466" i="7"/>
  <c r="E11466" i="7"/>
  <c r="D11466" i="7"/>
  <c r="E11465" i="7"/>
  <c r="D11465" i="7"/>
  <c r="E11464" i="7"/>
  <c r="D11464" i="7"/>
  <c r="E11463" i="7"/>
  <c r="D11463" i="7"/>
  <c r="E11459" i="7" l="1"/>
  <c r="D11459" i="7"/>
  <c r="E11458" i="7"/>
  <c r="D11458" i="7"/>
  <c r="E11451" i="7"/>
  <c r="D11451" i="7"/>
  <c r="E11450" i="7"/>
  <c r="D11450" i="7"/>
  <c r="E11449" i="7"/>
  <c r="D11449" i="7"/>
  <c r="E11448" i="7"/>
  <c r="D11448" i="7"/>
  <c r="E11454" i="7"/>
  <c r="D11454" i="7"/>
  <c r="E11453" i="7"/>
  <c r="D11453" i="7"/>
  <c r="E11452" i="7"/>
  <c r="D11452" i="7"/>
  <c r="E11457" i="7"/>
  <c r="D11457" i="7"/>
  <c r="E11456" i="7"/>
  <c r="D11456" i="7"/>
  <c r="E11455" i="7"/>
  <c r="D11455" i="7"/>
  <c r="E11447" i="7" l="1"/>
  <c r="D11447" i="7"/>
  <c r="K11446" i="7"/>
  <c r="L11447" i="7" s="1"/>
  <c r="E11446" i="7"/>
  <c r="D11446" i="7"/>
  <c r="E11445" i="7"/>
  <c r="D11445" i="7"/>
  <c r="K11444" i="7"/>
  <c r="L11445" i="7" s="1"/>
  <c r="E11444" i="7"/>
  <c r="D11444" i="7"/>
  <c r="E11443" i="7"/>
  <c r="D11443" i="7"/>
  <c r="E11442" i="7"/>
  <c r="D11442" i="7"/>
  <c r="L11441" i="7"/>
  <c r="E11441" i="7"/>
  <c r="D11441" i="7"/>
  <c r="E11440" i="7"/>
  <c r="D11440" i="7"/>
  <c r="L11439" i="7"/>
  <c r="E11439" i="7"/>
  <c r="D11439" i="7"/>
  <c r="E11438" i="7"/>
  <c r="D11438" i="7"/>
  <c r="L11437" i="7"/>
  <c r="E11437" i="7"/>
  <c r="D11437" i="7"/>
  <c r="E11436" i="7"/>
  <c r="D11436" i="7"/>
  <c r="E11435" i="7"/>
  <c r="D11435" i="7"/>
  <c r="E11434" i="7"/>
  <c r="D11434" i="7"/>
  <c r="E11433" i="7" l="1"/>
  <c r="D11433" i="7"/>
  <c r="E11432" i="7"/>
  <c r="D11432" i="7"/>
  <c r="E11431" i="7"/>
  <c r="D11431" i="7"/>
  <c r="E11430" i="7"/>
  <c r="D11430" i="7"/>
  <c r="E11429" i="7"/>
  <c r="D11429" i="7"/>
  <c r="E11428" i="7"/>
  <c r="D11428" i="7"/>
  <c r="E11415" i="7"/>
  <c r="D11415" i="7"/>
  <c r="E11414" i="7"/>
  <c r="D11414" i="7"/>
  <c r="E11413" i="7"/>
  <c r="D11413" i="7"/>
  <c r="E11412" i="7"/>
  <c r="D11412" i="7"/>
  <c r="E11411" i="7"/>
  <c r="D11411" i="7"/>
  <c r="E11410" i="7"/>
  <c r="D11410" i="7"/>
  <c r="E11409" i="7"/>
  <c r="D11409" i="7"/>
  <c r="E11408" i="7"/>
  <c r="D11408" i="7"/>
  <c r="D11405" i="7" l="1"/>
  <c r="D11406" i="7"/>
  <c r="D11407" i="7"/>
  <c r="E11407" i="7"/>
  <c r="E11406" i="7"/>
  <c r="E11405" i="7"/>
  <c r="E11421" i="7"/>
  <c r="D11421" i="7"/>
  <c r="E11420" i="7"/>
  <c r="D11420" i="7"/>
  <c r="E11419" i="7"/>
  <c r="D11419" i="7"/>
  <c r="E11427" i="7"/>
  <c r="D11427" i="7"/>
  <c r="E11426" i="7"/>
  <c r="D11426" i="7"/>
  <c r="E11425" i="7"/>
  <c r="D11425" i="7"/>
  <c r="E11424" i="7"/>
  <c r="D11424" i="7"/>
  <c r="E11423" i="7"/>
  <c r="D11423" i="7"/>
  <c r="E11422" i="7"/>
  <c r="D11422" i="7"/>
  <c r="E11418" i="7"/>
  <c r="D11418" i="7"/>
  <c r="E11417" i="7"/>
  <c r="D11417" i="7"/>
  <c r="E11416" i="7"/>
  <c r="D11416" i="7"/>
  <c r="E11404" i="7"/>
  <c r="D11404" i="7"/>
  <c r="E11403" i="7"/>
  <c r="D11403" i="7"/>
  <c r="E11402" i="7"/>
  <c r="D11402" i="7"/>
  <c r="E11401" i="7"/>
  <c r="D11401" i="7"/>
  <c r="K11400" i="7"/>
  <c r="L11401" i="7" s="1"/>
  <c r="E11400" i="7"/>
  <c r="D11400" i="7"/>
  <c r="E11399" i="7"/>
  <c r="D11399" i="7"/>
  <c r="K11398" i="7"/>
  <c r="L11399" i="7" s="1"/>
  <c r="E11398" i="7"/>
  <c r="D11398" i="7"/>
  <c r="E11397" i="7"/>
  <c r="D11397" i="7"/>
  <c r="E11396" i="7"/>
  <c r="D11396" i="7"/>
  <c r="L11395" i="7"/>
  <c r="E11395" i="7"/>
  <c r="D11395" i="7"/>
  <c r="E11394" i="7"/>
  <c r="D11394" i="7"/>
  <c r="L11393" i="7"/>
  <c r="E11393" i="7"/>
  <c r="D11393" i="7"/>
  <c r="E11392" i="7"/>
  <c r="D11392" i="7"/>
  <c r="L11391" i="7"/>
  <c r="E11391" i="7"/>
  <c r="D11391" i="7"/>
  <c r="E11390" i="7"/>
  <c r="D11390" i="7"/>
  <c r="L11389" i="7"/>
  <c r="E11389" i="7"/>
  <c r="D11389" i="7"/>
  <c r="E11388" i="7"/>
  <c r="D11388" i="7"/>
  <c r="E11387" i="7"/>
  <c r="D11387" i="7"/>
  <c r="E11386" i="7"/>
  <c r="D11386" i="7"/>
  <c r="E11385" i="7"/>
  <c r="D11385" i="7"/>
  <c r="E11384" i="7"/>
  <c r="D11384" i="7"/>
  <c r="E11383" i="7"/>
  <c r="D11383" i="7"/>
  <c r="E11382" i="7"/>
  <c r="D11382" i="7"/>
  <c r="E11381" i="7"/>
  <c r="D11381" i="7"/>
  <c r="E11380" i="7"/>
  <c r="D11380" i="7"/>
  <c r="E11379" i="7"/>
  <c r="D11379" i="7"/>
  <c r="E11378" i="7"/>
  <c r="D11378" i="7"/>
  <c r="E11377" i="7"/>
  <c r="D11377" i="7"/>
  <c r="E11376" i="7"/>
  <c r="D11376" i="7"/>
  <c r="E11375" i="7"/>
  <c r="D11375" i="7"/>
  <c r="E11374" i="7"/>
  <c r="D11374" i="7"/>
  <c r="H11343" i="7" l="1" a="1"/>
  <c r="H11343" i="7" s="1"/>
  <c r="E11343" i="7"/>
  <c r="D11343" i="7"/>
  <c r="H11342" i="7" a="1"/>
  <c r="H11342" i="7" s="1"/>
  <c r="E11342" i="7"/>
  <c r="D11342" i="7"/>
  <c r="H11341" i="7" a="1"/>
  <c r="H11341" i="7" s="1"/>
  <c r="E11341" i="7"/>
  <c r="D11341" i="7"/>
  <c r="H11340" i="7" a="1"/>
  <c r="H11340" i="7" s="1"/>
  <c r="E11340" i="7"/>
  <c r="D11340" i="7"/>
  <c r="H11339" i="7" a="1"/>
  <c r="H11339" i="7" s="1"/>
  <c r="E11339" i="7"/>
  <c r="D11339" i="7"/>
  <c r="H11338" i="7" a="1"/>
  <c r="H11338" i="7" s="1"/>
  <c r="E11338" i="7"/>
  <c r="D11338" i="7"/>
  <c r="H11329" i="7" a="1"/>
  <c r="H11329" i="7" s="1"/>
  <c r="E11329" i="7"/>
  <c r="D11329" i="7"/>
  <c r="H11328" i="7" a="1"/>
  <c r="H11328" i="7" s="1"/>
  <c r="E11328" i="7"/>
  <c r="D11328" i="7"/>
  <c r="H11335" i="7" a="1"/>
  <c r="H11335" i="7" s="1"/>
  <c r="E11335" i="7"/>
  <c r="D11335" i="7"/>
  <c r="H11334" i="7" a="1"/>
  <c r="H11334" i="7" s="1"/>
  <c r="E11334" i="7"/>
  <c r="D11334" i="7"/>
  <c r="H11337" i="7" a="1"/>
  <c r="H11337" i="7" s="1"/>
  <c r="E11337" i="7"/>
  <c r="D11337" i="7"/>
  <c r="H11336" i="7" a="1"/>
  <c r="H11336" i="7" s="1"/>
  <c r="E11336" i="7"/>
  <c r="D11336" i="7"/>
  <c r="H11333" i="7" a="1"/>
  <c r="H11333" i="7" s="1"/>
  <c r="E11333" i="7"/>
  <c r="D11333" i="7"/>
  <c r="H11332" i="7" a="1"/>
  <c r="H11332" i="7" s="1"/>
  <c r="E11332" i="7"/>
  <c r="D11332" i="7"/>
  <c r="H11331" i="7" a="1"/>
  <c r="H11331" i="7" s="1"/>
  <c r="E11331" i="7"/>
  <c r="D11331" i="7"/>
  <c r="H11330" i="7" a="1"/>
  <c r="H11330" i="7" s="1"/>
  <c r="E11330" i="7"/>
  <c r="D11330" i="7"/>
  <c r="E11373" i="7"/>
  <c r="D11373" i="7"/>
  <c r="E11372" i="7"/>
  <c r="D11372" i="7"/>
  <c r="H11248" i="7" a="1"/>
  <c r="H11248" i="7" s="1"/>
  <c r="E11248" i="7"/>
  <c r="D11248" i="7"/>
  <c r="E11247" i="7"/>
  <c r="D11247" i="7"/>
  <c r="H11246" i="7" l="1" a="1"/>
  <c r="H11246" i="7" s="1"/>
  <c r="E11246" i="7"/>
  <c r="D11246" i="7"/>
  <c r="E11245" i="7"/>
  <c r="D11245" i="7"/>
  <c r="E11371" i="7" l="1"/>
  <c r="D11371" i="7"/>
  <c r="E11370" i="7"/>
  <c r="D11370" i="7"/>
  <c r="E11369" i="7" l="1"/>
  <c r="D11369" i="7"/>
  <c r="E11368" i="7"/>
  <c r="D11368" i="7"/>
  <c r="E11367" i="7"/>
  <c r="D11367" i="7"/>
  <c r="E11366" i="7"/>
  <c r="D11366" i="7"/>
  <c r="E11365" i="7"/>
  <c r="D11365" i="7"/>
  <c r="E11364" i="7"/>
  <c r="D11364" i="7"/>
  <c r="E11363" i="7"/>
  <c r="D11363" i="7"/>
  <c r="E11362" i="7"/>
  <c r="D11362" i="7"/>
  <c r="E11361" i="7"/>
  <c r="D11361" i="7"/>
  <c r="E11360" i="7"/>
  <c r="D11360" i="7"/>
  <c r="E11359" i="7"/>
  <c r="D11359" i="7"/>
  <c r="E11358" i="7"/>
  <c r="D11358" i="7"/>
  <c r="E11357" i="7"/>
  <c r="D11357" i="7"/>
  <c r="H11356" i="7" a="1"/>
  <c r="H11356" i="7" s="1"/>
  <c r="E11356" i="7"/>
  <c r="D11356" i="7"/>
  <c r="E11355" i="7"/>
  <c r="D11355" i="7"/>
  <c r="H11354" i="7" a="1"/>
  <c r="H11354" i="7" s="1"/>
  <c r="E11354" i="7"/>
  <c r="D11354" i="7"/>
  <c r="H11353" i="7" a="1"/>
  <c r="H11353" i="7" s="1"/>
  <c r="E11353" i="7"/>
  <c r="D11353" i="7"/>
  <c r="H11352" i="7" a="1"/>
  <c r="H11352" i="7" s="1"/>
  <c r="E11352" i="7"/>
  <c r="D11352" i="7"/>
  <c r="H11351" i="7" a="1"/>
  <c r="H11351" i="7" s="1"/>
  <c r="E11351" i="7"/>
  <c r="D11351" i="7"/>
  <c r="H11350" i="7" a="1"/>
  <c r="H11350" i="7" s="1"/>
  <c r="E11350" i="7"/>
  <c r="D11350" i="7"/>
  <c r="H11349" i="7" a="1"/>
  <c r="H11349" i="7" s="1"/>
  <c r="E11349" i="7"/>
  <c r="D11349" i="7"/>
  <c r="H11348" i="7" a="1"/>
  <c r="H11348" i="7" s="1"/>
  <c r="E11348" i="7"/>
  <c r="D11348" i="7"/>
  <c r="H11347" i="7" a="1"/>
  <c r="H11347" i="7" s="1"/>
  <c r="E11347" i="7"/>
  <c r="D11347" i="7"/>
  <c r="H11346" i="7" a="1"/>
  <c r="H11346" i="7" s="1"/>
  <c r="E11346" i="7"/>
  <c r="D11346" i="7"/>
  <c r="E11345" i="7" l="1"/>
  <c r="D11345" i="7"/>
  <c r="H11344" i="7" a="1"/>
  <c r="H11344" i="7" s="1"/>
  <c r="E11344" i="7"/>
  <c r="D11344" i="7"/>
  <c r="H11302" i="7" a="1"/>
  <c r="H11302" i="7" s="1"/>
  <c r="E11302" i="7"/>
  <c r="D11302" i="7"/>
  <c r="H11301" i="7" a="1"/>
  <c r="H11301" i="7" s="1"/>
  <c r="E11301" i="7"/>
  <c r="D11301" i="7"/>
  <c r="E11300" i="7"/>
  <c r="D11300" i="7"/>
  <c r="H11299" i="7" a="1"/>
  <c r="H11299" i="7" s="1"/>
  <c r="E11299" i="7"/>
  <c r="D11299" i="7"/>
  <c r="H11315" i="7" a="1"/>
  <c r="H11315" i="7" s="1"/>
  <c r="E11315" i="7"/>
  <c r="D11315" i="7"/>
  <c r="H11314" i="7" a="1"/>
  <c r="H11314" i="7" s="1"/>
  <c r="E11314" i="7"/>
  <c r="D11314" i="7"/>
  <c r="H11327" i="7" a="1"/>
  <c r="H11327" i="7" s="1"/>
  <c r="E11327" i="7"/>
  <c r="D11327" i="7"/>
  <c r="K11326" i="7"/>
  <c r="L11327" i="7" s="1"/>
  <c r="H11326" i="7" a="1"/>
  <c r="H11326" i="7" s="1"/>
  <c r="E11326" i="7"/>
  <c r="D11326" i="7"/>
  <c r="H11325" i="7" a="1"/>
  <c r="H11325" i="7" s="1"/>
  <c r="E11325" i="7"/>
  <c r="D11325" i="7"/>
  <c r="K11324" i="7"/>
  <c r="L11325" i="7" s="1"/>
  <c r="H11324" i="7" a="1"/>
  <c r="H11324" i="7" s="1"/>
  <c r="E11324" i="7"/>
  <c r="D11324" i="7"/>
  <c r="H11323" i="7" a="1"/>
  <c r="H11323" i="7" s="1"/>
  <c r="E11323" i="7"/>
  <c r="D11323" i="7"/>
  <c r="H11322" i="7" a="1"/>
  <c r="H11322" i="7" s="1"/>
  <c r="E11322" i="7"/>
  <c r="D11322" i="7"/>
  <c r="L11321" i="7"/>
  <c r="H11321" i="7" a="1"/>
  <c r="H11321" i="7" s="1"/>
  <c r="E11321" i="7"/>
  <c r="D11321" i="7"/>
  <c r="H11320" i="7" a="1"/>
  <c r="H11320" i="7" s="1"/>
  <c r="E11320" i="7"/>
  <c r="D11320" i="7"/>
  <c r="L11319" i="7"/>
  <c r="H11319" i="7" a="1"/>
  <c r="H11319" i="7" s="1"/>
  <c r="E11319" i="7"/>
  <c r="D11319" i="7"/>
  <c r="H11318" i="7" a="1"/>
  <c r="H11318" i="7" s="1"/>
  <c r="E11318" i="7"/>
  <c r="D11318" i="7"/>
  <c r="L11317" i="7"/>
  <c r="H11317" i="7" a="1"/>
  <c r="H11317" i="7" s="1"/>
  <c r="E11317" i="7"/>
  <c r="D11317" i="7"/>
  <c r="H11316" i="7" a="1"/>
  <c r="H11316" i="7" s="1"/>
  <c r="E11316" i="7"/>
  <c r="D11316" i="7"/>
  <c r="H11313" i="7" a="1"/>
  <c r="H11313" i="7" s="1"/>
  <c r="E11313" i="7"/>
  <c r="D11313" i="7"/>
  <c r="H11312" i="7" a="1"/>
  <c r="H11312" i="7" s="1"/>
  <c r="E11312" i="7"/>
  <c r="D11312" i="7"/>
  <c r="H11311" i="7" a="1"/>
  <c r="H11311" i="7" s="1"/>
  <c r="E11311" i="7"/>
  <c r="D11311" i="7"/>
  <c r="H11310" i="7" a="1"/>
  <c r="H11310" i="7" s="1"/>
  <c r="E11310" i="7"/>
  <c r="D11310" i="7"/>
  <c r="H11309" i="7" a="1"/>
  <c r="H11309" i="7" s="1"/>
  <c r="E11309" i="7"/>
  <c r="D11309" i="7"/>
  <c r="H11308" i="7" a="1"/>
  <c r="H11308" i="7" s="1"/>
  <c r="E11308" i="7"/>
  <c r="D11308" i="7"/>
  <c r="H11307" i="7" a="1"/>
  <c r="H11307" i="7" s="1"/>
  <c r="E11307" i="7"/>
  <c r="D11307" i="7"/>
  <c r="H11306" i="7" a="1"/>
  <c r="H11306" i="7" s="1"/>
  <c r="E11306" i="7"/>
  <c r="D11306" i="7"/>
  <c r="H11305" i="7" a="1"/>
  <c r="H11305" i="7" s="1"/>
  <c r="E11305" i="7"/>
  <c r="D11305" i="7"/>
  <c r="H11304" i="7" a="1"/>
  <c r="H11304" i="7" s="1"/>
  <c r="E11304" i="7"/>
  <c r="D11304" i="7"/>
  <c r="H11298" i="7" a="1"/>
  <c r="H11298" i="7" s="1"/>
  <c r="E11298" i="7"/>
  <c r="D11298" i="7"/>
  <c r="H11297" i="7" a="1"/>
  <c r="H11297" i="7" s="1"/>
  <c r="E11297" i="7"/>
  <c r="D11297" i="7"/>
  <c r="H11293" i="7" a="1"/>
  <c r="H11293" i="7" s="1"/>
  <c r="E11293" i="7"/>
  <c r="D11293" i="7"/>
  <c r="H11292" i="7" a="1"/>
  <c r="H11292" i="7" s="1"/>
  <c r="E11292" i="7"/>
  <c r="D11292" i="7"/>
  <c r="E11279" i="7"/>
  <c r="D11279" i="7"/>
  <c r="E11278" i="7"/>
  <c r="D11278" i="7"/>
  <c r="H11277" i="7" a="1"/>
  <c r="H11277" i="7" s="1"/>
  <c r="E11277" i="7"/>
  <c r="D11277" i="7"/>
  <c r="H11303" i="7" l="1" a="1"/>
  <c r="H11303" i="7" s="1"/>
  <c r="E11303" i="7"/>
  <c r="D11303" i="7"/>
  <c r="H11296" i="7" l="1" a="1"/>
  <c r="H11296" i="7" s="1"/>
  <c r="E11296" i="7"/>
  <c r="D11296" i="7"/>
  <c r="E11295" i="7"/>
  <c r="D11295" i="7"/>
  <c r="H11294" i="7" a="1"/>
  <c r="H11294" i="7" s="1"/>
  <c r="E11294" i="7"/>
  <c r="D11294" i="7"/>
  <c r="H11291" i="7" a="1"/>
  <c r="H11291" i="7" s="1"/>
  <c r="E11291" i="7"/>
  <c r="D11291" i="7"/>
  <c r="K11290" i="7"/>
  <c r="L11291" i="7" s="1"/>
  <c r="H11290" i="7" a="1"/>
  <c r="H11290" i="7" s="1"/>
  <c r="E11290" i="7"/>
  <c r="D11290" i="7"/>
  <c r="H11289" i="7" a="1"/>
  <c r="H11289" i="7" s="1"/>
  <c r="E11289" i="7"/>
  <c r="D11289" i="7"/>
  <c r="K11288" i="7"/>
  <c r="L11289" i="7" s="1"/>
  <c r="H11288" i="7" a="1"/>
  <c r="H11288" i="7" s="1"/>
  <c r="E11288" i="7"/>
  <c r="D11288" i="7"/>
  <c r="H11287" i="7" a="1"/>
  <c r="H11287" i="7" s="1"/>
  <c r="E11287" i="7"/>
  <c r="D11287" i="7"/>
  <c r="H11286" i="7" a="1"/>
  <c r="H11286" i="7" s="1"/>
  <c r="E11286" i="7"/>
  <c r="D11286" i="7"/>
  <c r="L11285" i="7"/>
  <c r="H11285" i="7" a="1"/>
  <c r="H11285" i="7" s="1"/>
  <c r="E11285" i="7"/>
  <c r="D11285" i="7"/>
  <c r="H11284" i="7" a="1"/>
  <c r="H11284" i="7" s="1"/>
  <c r="E11284" i="7"/>
  <c r="D11284" i="7"/>
  <c r="L11283" i="7"/>
  <c r="H11283" i="7" a="1"/>
  <c r="H11283" i="7" s="1"/>
  <c r="E11283" i="7"/>
  <c r="D11283" i="7"/>
  <c r="H11282" i="7" a="1"/>
  <c r="H11282" i="7" s="1"/>
  <c r="E11282" i="7"/>
  <c r="D11282" i="7"/>
  <c r="L11281" i="7"/>
  <c r="H11281" i="7" a="1"/>
  <c r="H11281" i="7" s="1"/>
  <c r="E11281" i="7"/>
  <c r="D11281" i="7"/>
  <c r="H11280" i="7" a="1"/>
  <c r="H11280" i="7" s="1"/>
  <c r="E11280" i="7"/>
  <c r="D11280" i="7"/>
  <c r="H11253" i="7" a="1"/>
  <c r="H11253" i="7" s="1"/>
  <c r="E11253" i="7"/>
  <c r="D11253" i="7"/>
  <c r="E11252" i="7"/>
  <c r="D11252" i="7"/>
  <c r="H11251" i="7" a="1"/>
  <c r="H11251" i="7" s="1"/>
  <c r="E11251" i="7"/>
  <c r="D11251" i="7"/>
  <c r="H11268" i="7" a="1"/>
  <c r="H11268" i="7" s="1"/>
  <c r="E11268" i="7"/>
  <c r="D11268" i="7"/>
  <c r="H11267" i="7" a="1"/>
  <c r="H11267" i="7" s="1"/>
  <c r="E11267" i="7"/>
  <c r="D11267" i="7"/>
  <c r="H11266" i="7" a="1"/>
  <c r="H11266" i="7" s="1"/>
  <c r="E11266" i="7"/>
  <c r="D11266" i="7"/>
  <c r="H11276" i="7" l="1" a="1"/>
  <c r="H11276" i="7" s="1"/>
  <c r="E11276" i="7"/>
  <c r="D11276" i="7"/>
  <c r="H11275" i="7" a="1"/>
  <c r="H11275" i="7" s="1"/>
  <c r="E11275" i="7"/>
  <c r="D11275" i="7"/>
  <c r="E11274" i="7"/>
  <c r="D11274" i="7"/>
  <c r="E11273" i="7"/>
  <c r="D11273" i="7"/>
  <c r="H11272" i="7" a="1"/>
  <c r="H11272" i="7" s="1"/>
  <c r="E11272" i="7"/>
  <c r="D11272" i="7"/>
  <c r="E11271" i="7"/>
  <c r="D11271" i="7"/>
  <c r="E11270" i="7"/>
  <c r="D11270" i="7"/>
  <c r="H11269" i="7" a="1"/>
  <c r="H11269" i="7" s="1"/>
  <c r="E11269" i="7"/>
  <c r="D11269" i="7"/>
  <c r="H11265" i="7" l="1" a="1"/>
  <c r="H11265" i="7" s="1"/>
  <c r="E11265" i="7"/>
  <c r="D11265" i="7"/>
  <c r="K11264" i="7"/>
  <c r="L11265" i="7" s="1"/>
  <c r="H11264" i="7" a="1"/>
  <c r="H11264" i="7" s="1"/>
  <c r="E11264" i="7"/>
  <c r="D11264" i="7"/>
  <c r="H11263" i="7" a="1"/>
  <c r="H11263" i="7" s="1"/>
  <c r="E11263" i="7"/>
  <c r="D11263" i="7"/>
  <c r="K11262" i="7"/>
  <c r="L11263" i="7" s="1"/>
  <c r="H11262" i="7" a="1"/>
  <c r="H11262" i="7" s="1"/>
  <c r="E11262" i="7"/>
  <c r="D11262" i="7"/>
  <c r="H11261" i="7" a="1"/>
  <c r="H11261" i="7" s="1"/>
  <c r="E11261" i="7"/>
  <c r="D11261" i="7"/>
  <c r="H11260" i="7" a="1"/>
  <c r="H11260" i="7" s="1"/>
  <c r="E11260" i="7"/>
  <c r="D11260" i="7"/>
  <c r="L11259" i="7"/>
  <c r="H11259" i="7" a="1"/>
  <c r="H11259" i="7" s="1"/>
  <c r="E11259" i="7"/>
  <c r="D11259" i="7"/>
  <c r="H11258" i="7" a="1"/>
  <c r="H11258" i="7" s="1"/>
  <c r="E11258" i="7"/>
  <c r="D11258" i="7"/>
  <c r="L11257" i="7"/>
  <c r="H11257" i="7" a="1"/>
  <c r="H11257" i="7" s="1"/>
  <c r="E11257" i="7"/>
  <c r="D11257" i="7"/>
  <c r="H11256" i="7" a="1"/>
  <c r="H11256" i="7" s="1"/>
  <c r="E11256" i="7"/>
  <c r="D11256" i="7"/>
  <c r="L11255" i="7"/>
  <c r="H11255" i="7" a="1"/>
  <c r="H11255" i="7" s="1"/>
  <c r="E11255" i="7"/>
  <c r="D11255" i="7"/>
  <c r="H11254" i="7" a="1"/>
  <c r="H11254" i="7" s="1"/>
  <c r="E11254" i="7"/>
  <c r="D11254" i="7"/>
  <c r="H11250" i="7" a="1"/>
  <c r="H11250" i="7" s="1"/>
  <c r="E11250" i="7"/>
  <c r="D11250" i="7"/>
  <c r="H11249" i="7" a="1"/>
  <c r="H11249" i="7" s="1"/>
  <c r="E11249" i="7"/>
  <c r="D11249" i="7"/>
  <c r="H11241" i="7" a="1"/>
  <c r="H11241" i="7" s="1"/>
  <c r="E11241" i="7"/>
  <c r="D11241" i="7"/>
  <c r="H11240" i="7" a="1"/>
  <c r="H11240" i="7" s="1"/>
  <c r="E11240" i="7"/>
  <c r="D11240" i="7"/>
  <c r="H11244" i="7" a="1"/>
  <c r="H11244" i="7" s="1"/>
  <c r="E11244" i="7"/>
  <c r="D11244" i="7"/>
  <c r="H11243" i="7" a="1"/>
  <c r="H11243" i="7" s="1"/>
  <c r="E11243" i="7"/>
  <c r="D11243" i="7"/>
  <c r="H11242" i="7" a="1"/>
  <c r="H11242" i="7" s="1"/>
  <c r="E11242" i="7"/>
  <c r="D11242" i="7"/>
  <c r="H11239" i="7" a="1"/>
  <c r="H11239" i="7" s="1"/>
  <c r="E11239" i="7"/>
  <c r="D11239" i="7"/>
  <c r="H11238" i="7" a="1"/>
  <c r="H11238" i="7" s="1"/>
  <c r="E11238" i="7"/>
  <c r="D11238" i="7"/>
  <c r="H11237" i="7" a="1"/>
  <c r="H11237" i="7" s="1"/>
  <c r="E11237" i="7"/>
  <c r="D11237" i="7"/>
  <c r="H11236" i="7" l="1" a="1"/>
  <c r="H11236" i="7" s="1"/>
  <c r="E11236" i="7"/>
  <c r="D11236" i="7"/>
  <c r="H11235" i="7" a="1"/>
  <c r="H11235" i="7" s="1"/>
  <c r="E11235" i="7"/>
  <c r="D11235" i="7"/>
  <c r="H11234" i="7" a="1"/>
  <c r="H11234" i="7" s="1"/>
  <c r="E11234" i="7"/>
  <c r="D11234" i="7"/>
  <c r="H11233" i="7" a="1"/>
  <c r="H11233" i="7" s="1"/>
  <c r="E11233" i="7"/>
  <c r="D11233" i="7"/>
  <c r="H11232" i="7" a="1"/>
  <c r="H11232" i="7" s="1"/>
  <c r="E11232" i="7"/>
  <c r="D11232" i="7"/>
  <c r="H11231" i="7" a="1"/>
  <c r="H11231" i="7" s="1"/>
  <c r="E11231" i="7"/>
  <c r="D11231" i="7"/>
  <c r="H11230" i="7" l="1" a="1"/>
  <c r="H11230" i="7" s="1"/>
  <c r="E11230" i="7"/>
  <c r="D11230" i="7"/>
  <c r="H11229" i="7" a="1"/>
  <c r="H11229" i="7" s="1"/>
  <c r="E11229" i="7"/>
  <c r="D11229" i="7"/>
  <c r="H11225" i="7" a="1"/>
  <c r="H11225" i="7" s="1"/>
  <c r="E11225" i="7"/>
  <c r="D11225" i="7"/>
  <c r="H11224" i="7" a="1"/>
  <c r="H11224" i="7" s="1"/>
  <c r="E11224" i="7"/>
  <c r="D11224" i="7"/>
  <c r="E11228" i="7"/>
  <c r="D11228" i="7"/>
  <c r="E11227" i="7"/>
  <c r="D11227" i="7"/>
  <c r="H11226" i="7" a="1"/>
  <c r="H11226" i="7" s="1"/>
  <c r="E11226" i="7"/>
  <c r="D11226" i="7"/>
  <c r="H11223" i="7" a="1"/>
  <c r="H11223" i="7" s="1"/>
  <c r="E11223" i="7"/>
  <c r="D11223" i="7"/>
  <c r="H11222" i="7" a="1"/>
  <c r="H11222" i="7" s="1"/>
  <c r="E11222" i="7"/>
  <c r="D11222" i="7"/>
  <c r="E11221" i="7"/>
  <c r="D11221" i="7"/>
  <c r="H11220" i="7" a="1"/>
  <c r="H11220" i="7" s="1"/>
  <c r="E11220" i="7"/>
  <c r="D11220" i="7"/>
  <c r="H11219" i="7" l="1" a="1"/>
  <c r="H11219" i="7" s="1"/>
  <c r="E11219" i="7"/>
  <c r="D11219" i="7"/>
  <c r="K11218" i="7"/>
  <c r="L11219" i="7" s="1"/>
  <c r="H11218" i="7" a="1"/>
  <c r="H11218" i="7" s="1"/>
  <c r="E11218" i="7"/>
  <c r="D11218" i="7"/>
  <c r="H11217" i="7" a="1"/>
  <c r="H11217" i="7" s="1"/>
  <c r="E11217" i="7"/>
  <c r="D11217" i="7"/>
  <c r="K11216" i="7"/>
  <c r="L11217" i="7" s="1"/>
  <c r="H11216" i="7" a="1"/>
  <c r="H11216" i="7" s="1"/>
  <c r="E11216" i="7"/>
  <c r="D11216" i="7"/>
  <c r="H11215" i="7" a="1"/>
  <c r="H11215" i="7" s="1"/>
  <c r="E11215" i="7"/>
  <c r="D11215" i="7"/>
  <c r="H11214" i="7" a="1"/>
  <c r="H11214" i="7" s="1"/>
  <c r="E11214" i="7"/>
  <c r="D11214" i="7"/>
  <c r="L11213" i="7"/>
  <c r="H11213" i="7" a="1"/>
  <c r="H11213" i="7" s="1"/>
  <c r="E11213" i="7"/>
  <c r="D11213" i="7"/>
  <c r="H11212" i="7" a="1"/>
  <c r="H11212" i="7" s="1"/>
  <c r="E11212" i="7"/>
  <c r="D11212" i="7"/>
  <c r="L11211" i="7"/>
  <c r="H11211" i="7" a="1"/>
  <c r="H11211" i="7" s="1"/>
  <c r="E11211" i="7"/>
  <c r="D11211" i="7"/>
  <c r="H11210" i="7" a="1"/>
  <c r="H11210" i="7" s="1"/>
  <c r="E11210" i="7"/>
  <c r="D11210" i="7"/>
  <c r="L11209" i="7"/>
  <c r="H11209" i="7" a="1"/>
  <c r="H11209" i="7" s="1"/>
  <c r="E11209" i="7"/>
  <c r="D11209" i="7"/>
  <c r="H11208" i="7" a="1"/>
  <c r="H11208" i="7" s="1"/>
  <c r="E11208" i="7"/>
  <c r="D11208" i="7"/>
  <c r="H11204" i="7" l="1" a="1"/>
  <c r="H11204" i="7" s="1"/>
  <c r="E11204" i="7"/>
  <c r="D11204" i="7"/>
  <c r="H11203" i="7" a="1"/>
  <c r="H11203" i="7" s="1"/>
  <c r="E11203" i="7"/>
  <c r="D11203" i="7"/>
  <c r="H11202" i="7" a="1"/>
  <c r="H11202" i="7" s="1"/>
  <c r="E11202" i="7"/>
  <c r="D11202" i="7"/>
  <c r="H11207" i="7" l="1" a="1"/>
  <c r="H11207" i="7" s="1"/>
  <c r="E11207" i="7"/>
  <c r="D11207" i="7"/>
  <c r="H11206" i="7" a="1"/>
  <c r="H11206" i="7" s="1"/>
  <c r="E11206" i="7"/>
  <c r="D11206" i="7"/>
  <c r="H11205" i="7" a="1"/>
  <c r="H11205" i="7" s="1"/>
  <c r="E11205" i="7"/>
  <c r="D11205" i="7"/>
  <c r="H11195" i="7" l="1" a="1"/>
  <c r="H11195" i="7" s="1"/>
  <c r="E11195" i="7"/>
  <c r="D11195" i="7"/>
  <c r="H11194" i="7" a="1"/>
  <c r="H11194" i="7" s="1"/>
  <c r="E11194" i="7"/>
  <c r="D11194" i="7"/>
  <c r="D11191" i="7"/>
  <c r="D11192" i="7"/>
  <c r="D11193" i="7"/>
  <c r="E11193" i="7"/>
  <c r="E11192" i="7"/>
  <c r="H11191" i="7" a="1"/>
  <c r="H11191" i="7" s="1"/>
  <c r="E11191" i="7"/>
  <c r="H11190" i="7" l="1" a="1"/>
  <c r="H11190" i="7" s="1"/>
  <c r="E11190" i="7"/>
  <c r="D11190" i="7"/>
  <c r="E11189" i="7"/>
  <c r="D11189" i="7"/>
  <c r="H11188" i="7" a="1"/>
  <c r="H11188" i="7" s="1"/>
  <c r="E11188" i="7"/>
  <c r="D11188" i="7"/>
  <c r="H11201" i="7" a="1"/>
  <c r="H11201" i="7" s="1"/>
  <c r="E11201" i="7"/>
  <c r="D11201" i="7"/>
  <c r="H11200" i="7" a="1"/>
  <c r="H11200" i="7" s="1"/>
  <c r="E11200" i="7"/>
  <c r="D11200" i="7"/>
  <c r="H11199" i="7" a="1"/>
  <c r="H11199" i="7" s="1"/>
  <c r="E11199" i="7"/>
  <c r="D11199" i="7"/>
  <c r="H11198" i="7" a="1"/>
  <c r="H11198" i="7" s="1"/>
  <c r="E11198" i="7"/>
  <c r="D11198" i="7"/>
  <c r="H11197" i="7" a="1"/>
  <c r="H11197" i="7" s="1"/>
  <c r="E11197" i="7"/>
  <c r="D11197" i="7"/>
  <c r="H11196" i="7" a="1"/>
  <c r="H11196" i="7" s="1"/>
  <c r="E11196" i="7"/>
  <c r="D11196" i="7"/>
  <c r="L11187" i="7" l="1"/>
  <c r="H11187" i="7" a="1"/>
  <c r="H11187" i="7" s="1"/>
  <c r="E11187" i="7"/>
  <c r="D11187" i="7"/>
  <c r="H11186" i="7" a="1"/>
  <c r="H11186" i="7" s="1"/>
  <c r="E11186" i="7"/>
  <c r="D11186" i="7"/>
  <c r="H11185" i="7" l="1" a="1"/>
  <c r="H11185" i="7" s="1"/>
  <c r="E11185" i="7"/>
  <c r="D11185" i="7"/>
  <c r="K11184" i="7"/>
  <c r="L11185" i="7" s="1"/>
  <c r="H11184" i="7" a="1"/>
  <c r="H11184" i="7" s="1"/>
  <c r="E11184" i="7"/>
  <c r="D11184" i="7"/>
  <c r="H11183" i="7" a="1"/>
  <c r="H11183" i="7" s="1"/>
  <c r="E11183" i="7"/>
  <c r="D11183" i="7"/>
  <c r="K11182" i="7"/>
  <c r="L11183" i="7" s="1"/>
  <c r="H11182" i="7" a="1"/>
  <c r="H11182" i="7" s="1"/>
  <c r="E11182" i="7"/>
  <c r="D11182" i="7"/>
  <c r="H11181" i="7" a="1"/>
  <c r="H11181" i="7" s="1"/>
  <c r="E11181" i="7"/>
  <c r="D11181" i="7"/>
  <c r="H11180" i="7" a="1"/>
  <c r="H11180" i="7" s="1"/>
  <c r="E11180" i="7"/>
  <c r="D11180" i="7"/>
  <c r="L11179" i="7"/>
  <c r="H11179" i="7" a="1"/>
  <c r="H11179" i="7" s="1"/>
  <c r="E11179" i="7"/>
  <c r="D11179" i="7"/>
  <c r="H11178" i="7" a="1"/>
  <c r="H11178" i="7" s="1"/>
  <c r="E11178" i="7"/>
  <c r="D11178" i="7"/>
  <c r="L11177" i="7"/>
  <c r="H11177" i="7" a="1"/>
  <c r="H11177" i="7" s="1"/>
  <c r="E11177" i="7"/>
  <c r="D11177" i="7"/>
  <c r="H11176" i="7" a="1"/>
  <c r="H11176" i="7" s="1"/>
  <c r="E11176" i="7"/>
  <c r="D11176" i="7"/>
  <c r="L11175" i="7"/>
  <c r="H11175" i="7" a="1"/>
  <c r="H11175" i="7" s="1"/>
  <c r="E11175" i="7"/>
  <c r="D11175" i="7"/>
  <c r="H11174" i="7" a="1"/>
  <c r="H11174" i="7" s="1"/>
  <c r="E11174" i="7"/>
  <c r="D11174" i="7"/>
  <c r="D11159" i="7"/>
  <c r="D11160" i="7"/>
  <c r="D11161" i="7"/>
  <c r="E11161" i="7"/>
  <c r="E11160" i="7"/>
  <c r="H11159" i="7" a="1"/>
  <c r="H11159" i="7" s="1"/>
  <c r="E11159" i="7"/>
  <c r="H11173" i="7" a="1"/>
  <c r="H11173" i="7" s="1"/>
  <c r="E11173" i="7"/>
  <c r="D11173" i="7"/>
  <c r="H11172" i="7" a="1"/>
  <c r="H11172" i="7" s="1"/>
  <c r="E11172" i="7"/>
  <c r="D11172" i="7"/>
  <c r="H11171" i="7" a="1"/>
  <c r="H11171" i="7" s="1"/>
  <c r="E11171" i="7"/>
  <c r="D11171" i="7"/>
  <c r="H11170" i="7" a="1"/>
  <c r="H11170" i="7" s="1"/>
  <c r="E11170" i="7"/>
  <c r="D11170" i="7"/>
  <c r="H11169" i="7" a="1"/>
  <c r="H11169" i="7" s="1"/>
  <c r="E11169" i="7"/>
  <c r="D11169" i="7"/>
  <c r="H11168" i="7" l="1" a="1"/>
  <c r="H11168" i="7" s="1"/>
  <c r="E11168" i="7"/>
  <c r="D11168" i="7"/>
  <c r="E11167" i="7"/>
  <c r="D11167" i="7"/>
  <c r="H11166" i="7" a="1"/>
  <c r="H11166" i="7" s="1"/>
  <c r="E11166" i="7"/>
  <c r="D11166" i="7"/>
  <c r="H11158" i="7" l="1" a="1"/>
  <c r="H11158" i="7" s="1"/>
  <c r="E11158" i="7"/>
  <c r="D11158" i="7"/>
  <c r="H11157" i="7" a="1"/>
  <c r="H11157" i="7" s="1"/>
  <c r="E11157" i="7"/>
  <c r="D11157" i="7"/>
  <c r="H11156" i="7" a="1"/>
  <c r="H11156" i="7" s="1"/>
  <c r="E11156" i="7"/>
  <c r="D11156" i="7"/>
  <c r="D11162" i="7"/>
  <c r="E11162" i="7"/>
  <c r="H11162" i="7" a="1"/>
  <c r="H11162" i="7" s="1"/>
  <c r="E11165" i="7" l="1"/>
  <c r="D11165" i="7"/>
  <c r="E11164" i="7"/>
  <c r="D11164" i="7"/>
  <c r="E11163" i="7"/>
  <c r="D11163" i="7"/>
  <c r="H11155" i="7" a="1"/>
  <c r="H11155" i="7" s="1"/>
  <c r="E11155" i="7"/>
  <c r="D11155" i="7"/>
  <c r="K11154" i="7"/>
  <c r="L11155" i="7" s="1"/>
  <c r="H11154" i="7" a="1"/>
  <c r="H11154" i="7" s="1"/>
  <c r="E11154" i="7"/>
  <c r="D11154" i="7"/>
  <c r="H11153" i="7" a="1"/>
  <c r="H11153" i="7" s="1"/>
  <c r="E11153" i="7"/>
  <c r="D11153" i="7"/>
  <c r="K11152" i="7"/>
  <c r="L11153" i="7" s="1"/>
  <c r="H11152" i="7" a="1"/>
  <c r="H11152" i="7" s="1"/>
  <c r="E11152" i="7"/>
  <c r="D11152" i="7"/>
  <c r="H11151" i="7" a="1"/>
  <c r="H11151" i="7" s="1"/>
  <c r="E11151" i="7"/>
  <c r="D11151" i="7"/>
  <c r="H11150" i="7" a="1"/>
  <c r="H11150" i="7" s="1"/>
  <c r="E11150" i="7"/>
  <c r="D11150" i="7"/>
  <c r="L11149" i="7"/>
  <c r="H11149" i="7" a="1"/>
  <c r="H11149" i="7" s="1"/>
  <c r="E11149" i="7"/>
  <c r="D11149" i="7"/>
  <c r="H11148" i="7" a="1"/>
  <c r="H11148" i="7" s="1"/>
  <c r="E11148" i="7"/>
  <c r="D11148" i="7"/>
  <c r="L11147" i="7"/>
  <c r="H11147" i="7" a="1"/>
  <c r="H11147" i="7" s="1"/>
  <c r="E11147" i="7"/>
  <c r="D11147" i="7"/>
  <c r="H11146" i="7" a="1"/>
  <c r="H11146" i="7" s="1"/>
  <c r="E11146" i="7"/>
  <c r="D11146" i="7"/>
  <c r="L11145" i="7"/>
  <c r="H11145" i="7" a="1"/>
  <c r="H11145" i="7" s="1"/>
  <c r="E11145" i="7"/>
  <c r="D11145" i="7"/>
  <c r="H11144" i="7" a="1"/>
  <c r="H11144" i="7" s="1"/>
  <c r="E11144" i="7"/>
  <c r="D11144" i="7"/>
  <c r="H11119" i="7" l="1" a="1"/>
  <c r="H11119" i="7" s="1"/>
  <c r="E11119" i="7"/>
  <c r="D11119" i="7"/>
  <c r="E11118" i="7"/>
  <c r="D11118" i="7"/>
  <c r="H11117" i="7" a="1"/>
  <c r="H11117" i="7" s="1"/>
  <c r="E11117" i="7"/>
  <c r="D11117" i="7"/>
  <c r="H11143" i="7" a="1"/>
  <c r="H11143" i="7" s="1"/>
  <c r="E11143" i="7"/>
  <c r="D11143" i="7"/>
  <c r="H11142" i="7" a="1"/>
  <c r="H11142" i="7" s="1"/>
  <c r="E11142" i="7"/>
  <c r="D11142" i="7"/>
  <c r="H11141" i="7" a="1"/>
  <c r="H11141" i="7" s="1"/>
  <c r="E11141" i="7"/>
  <c r="D11141" i="7"/>
  <c r="H11137" i="7" a="1"/>
  <c r="H11137" i="7" s="1"/>
  <c r="E11137" i="7"/>
  <c r="D11137" i="7"/>
  <c r="H11136" i="7" a="1"/>
  <c r="H11136" i="7" s="1"/>
  <c r="E11136" i="7"/>
  <c r="D11136" i="7"/>
  <c r="H11135" i="7" a="1"/>
  <c r="H11135" i="7" s="1"/>
  <c r="E11135" i="7"/>
  <c r="D11135" i="7"/>
  <c r="H11134" i="7" a="1"/>
  <c r="H11134" i="7" s="1"/>
  <c r="E11134" i="7"/>
  <c r="D11134" i="7"/>
  <c r="H11133" i="7" a="1"/>
  <c r="H11133" i="7" s="1"/>
  <c r="E11133" i="7"/>
  <c r="D11133" i="7"/>
  <c r="H11132" i="7" a="1"/>
  <c r="H11132" i="7" s="1"/>
  <c r="E11132" i="7"/>
  <c r="D11132" i="7"/>
  <c r="D11115" i="7" l="1"/>
  <c r="E11115" i="7"/>
  <c r="H11116" i="7" a="1"/>
  <c r="H11116" i="7" s="1"/>
  <c r="E11116" i="7"/>
  <c r="D11116" i="7"/>
  <c r="H11114" i="7" a="1"/>
  <c r="H11114" i="7" s="1"/>
  <c r="E11114" i="7"/>
  <c r="D11114" i="7"/>
  <c r="H11140" i="7" a="1"/>
  <c r="H11140" i="7" s="1"/>
  <c r="E11140" i="7"/>
  <c r="D11140" i="7"/>
  <c r="E11139" i="7"/>
  <c r="D11139" i="7"/>
  <c r="H11138" i="7" a="1"/>
  <c r="H11138" i="7" s="1"/>
  <c r="E11138" i="7"/>
  <c r="D11138" i="7"/>
  <c r="L11125" i="7"/>
  <c r="L11123" i="7"/>
  <c r="L11121" i="7"/>
  <c r="H11131" i="7" a="1"/>
  <c r="H11131" i="7" s="1"/>
  <c r="E11131" i="7"/>
  <c r="D11131" i="7"/>
  <c r="K11130" i="7"/>
  <c r="L11131" i="7" s="1"/>
  <c r="H11130" i="7" a="1"/>
  <c r="H11130" i="7" s="1"/>
  <c r="E11130" i="7"/>
  <c r="D11130" i="7"/>
  <c r="H11129" i="7" a="1"/>
  <c r="H11129" i="7" s="1"/>
  <c r="E11129" i="7"/>
  <c r="D11129" i="7"/>
  <c r="K11128" i="7"/>
  <c r="L11129" i="7" s="1"/>
  <c r="H11128" i="7" a="1"/>
  <c r="H11128" i="7" s="1"/>
  <c r="E11128" i="7"/>
  <c r="D11128" i="7"/>
  <c r="H11127" i="7" a="1"/>
  <c r="H11127" i="7" s="1"/>
  <c r="E11127" i="7"/>
  <c r="D11127" i="7"/>
  <c r="H11126" i="7" a="1"/>
  <c r="H11126" i="7" s="1"/>
  <c r="E11126" i="7"/>
  <c r="D11126" i="7"/>
  <c r="H11125" i="7" a="1"/>
  <c r="H11125" i="7" s="1"/>
  <c r="E11125" i="7"/>
  <c r="D11125" i="7"/>
  <c r="H11124" i="7" a="1"/>
  <c r="H11124" i="7" s="1"/>
  <c r="E11124" i="7"/>
  <c r="D11124" i="7"/>
  <c r="H11123" i="7" a="1"/>
  <c r="H11123" i="7" s="1"/>
  <c r="E11123" i="7"/>
  <c r="D11123" i="7"/>
  <c r="H11122" i="7" a="1"/>
  <c r="H11122" i="7" s="1"/>
  <c r="E11122" i="7"/>
  <c r="D11122" i="7"/>
  <c r="H11121" i="7" a="1"/>
  <c r="H11121" i="7" s="1"/>
  <c r="E11121" i="7"/>
  <c r="D11121" i="7"/>
  <c r="H11120" i="7" a="1"/>
  <c r="H11120" i="7" s="1"/>
  <c r="E11120" i="7"/>
  <c r="D11120" i="7"/>
  <c r="H11110" i="7" l="1" a="1"/>
  <c r="H11110" i="7" s="1"/>
  <c r="E11110" i="7"/>
  <c r="D11110" i="7"/>
  <c r="H11109" i="7" a="1"/>
  <c r="H11109" i="7" s="1"/>
  <c r="E11109" i="7"/>
  <c r="D11109" i="7"/>
  <c r="H11108" i="7" a="1"/>
  <c r="H11108" i="7" s="1"/>
  <c r="E11108" i="7"/>
  <c r="D11108" i="7"/>
  <c r="H11113" i="7" a="1"/>
  <c r="H11113" i="7" s="1"/>
  <c r="E11113" i="7"/>
  <c r="D11113" i="7"/>
  <c r="H11112" i="7" a="1"/>
  <c r="H11112" i="7" s="1"/>
  <c r="E11112" i="7"/>
  <c r="D11112" i="7"/>
  <c r="H11111" i="7" a="1"/>
  <c r="H11111" i="7" s="1"/>
  <c r="E11111" i="7"/>
  <c r="D11111" i="7"/>
  <c r="H11107" i="7" l="1" a="1"/>
  <c r="H11107" i="7" s="1"/>
  <c r="E11107" i="7"/>
  <c r="D11107" i="7"/>
  <c r="H11106" i="7" a="1"/>
  <c r="H11106" i="7" s="1"/>
  <c r="E11106" i="7"/>
  <c r="D11106" i="7"/>
  <c r="E11103" i="7"/>
  <c r="D11103" i="7"/>
  <c r="E11102" i="7"/>
  <c r="D11102" i="7"/>
  <c r="E11101" i="7"/>
  <c r="D11101" i="7"/>
  <c r="E11100" i="7"/>
  <c r="D11100" i="7"/>
  <c r="H11099" i="7" a="1"/>
  <c r="H11099" i="7" s="1"/>
  <c r="E11099" i="7"/>
  <c r="D11099" i="7"/>
  <c r="H11098" i="7" a="1"/>
  <c r="H11098" i="7" s="1"/>
  <c r="E11098" i="7"/>
  <c r="D11098" i="7"/>
  <c r="H11097" i="7" a="1"/>
  <c r="H11097" i="7" s="1"/>
  <c r="E11097" i="7"/>
  <c r="D11097" i="7"/>
  <c r="H11096" i="7" a="1"/>
  <c r="H11096" i="7" s="1"/>
  <c r="E11096" i="7"/>
  <c r="D11096" i="7"/>
  <c r="H11095" i="7" a="1"/>
  <c r="H11095" i="7" s="1"/>
  <c r="E11095" i="7"/>
  <c r="D11095" i="7"/>
  <c r="H11094" i="7" a="1"/>
  <c r="H11094" i="7" s="1"/>
  <c r="E11094" i="7"/>
  <c r="D11094" i="7"/>
  <c r="H11093" i="7" a="1"/>
  <c r="H11093" i="7" s="1"/>
  <c r="E11093" i="7"/>
  <c r="D11093" i="7"/>
  <c r="H11092" i="7" a="1"/>
  <c r="H11092" i="7" s="1"/>
  <c r="E11092" i="7"/>
  <c r="D11092" i="7"/>
  <c r="H11091" i="7" a="1"/>
  <c r="H11091" i="7" s="1"/>
  <c r="E11091" i="7"/>
  <c r="D11091" i="7"/>
  <c r="L11080" i="7" l="1"/>
  <c r="L11082" i="7"/>
  <c r="H11090" i="7" a="1"/>
  <c r="H11090" i="7" s="1"/>
  <c r="E11090" i="7"/>
  <c r="D11090" i="7"/>
  <c r="K11089" i="7"/>
  <c r="L11090" i="7" s="1"/>
  <c r="H11089" i="7" a="1"/>
  <c r="H11089" i="7" s="1"/>
  <c r="E11089" i="7"/>
  <c r="D11089" i="7"/>
  <c r="H11088" i="7" a="1"/>
  <c r="H11088" i="7" s="1"/>
  <c r="E11088" i="7"/>
  <c r="D11088" i="7"/>
  <c r="K11087" i="7"/>
  <c r="L11088" i="7" s="1"/>
  <c r="H11087" i="7" a="1"/>
  <c r="H11087" i="7" s="1"/>
  <c r="E11087" i="7"/>
  <c r="D11087" i="7"/>
  <c r="H11086" i="7" a="1"/>
  <c r="H11086" i="7" s="1"/>
  <c r="E11086" i="7"/>
  <c r="D11086" i="7"/>
  <c r="H11085" i="7" a="1"/>
  <c r="H11085" i="7" s="1"/>
  <c r="E11085" i="7"/>
  <c r="D11085" i="7"/>
  <c r="H11084" i="7" a="1"/>
  <c r="H11084" i="7" s="1"/>
  <c r="E11084" i="7"/>
  <c r="D11084" i="7"/>
  <c r="H11083" i="7" a="1"/>
  <c r="H11083" i="7" s="1"/>
  <c r="E11083" i="7"/>
  <c r="D11083" i="7"/>
  <c r="H11082" i="7" a="1"/>
  <c r="H11082" i="7" s="1"/>
  <c r="E11082" i="7"/>
  <c r="D11082" i="7"/>
  <c r="H11081" i="7" a="1"/>
  <c r="H11081" i="7" s="1"/>
  <c r="E11081" i="7"/>
  <c r="D11081" i="7"/>
  <c r="H11080" i="7" a="1"/>
  <c r="H11080" i="7" s="1"/>
  <c r="E11080" i="7"/>
  <c r="D11080" i="7"/>
  <c r="H11079" i="7" a="1"/>
  <c r="H11079" i="7" s="1"/>
  <c r="E11079" i="7"/>
  <c r="D11079" i="7"/>
  <c r="D11069" i="7"/>
  <c r="E11069" i="7"/>
  <c r="H11070" i="7" a="1"/>
  <c r="H11070" i="7" s="1"/>
  <c r="E11070" i="7"/>
  <c r="D11070" i="7"/>
  <c r="H11068" i="7" a="1"/>
  <c r="H11068" i="7" s="1"/>
  <c r="E11068" i="7"/>
  <c r="D11068" i="7"/>
  <c r="H11078" i="7" a="1"/>
  <c r="H11078" i="7" s="1"/>
  <c r="E11078" i="7"/>
  <c r="D11078" i="7"/>
  <c r="H11077" i="7" a="1"/>
  <c r="H11077" i="7" s="1"/>
  <c r="E11077" i="7"/>
  <c r="D11077" i="7"/>
  <c r="D11065" i="7"/>
  <c r="D11066" i="7"/>
  <c r="D11067" i="7"/>
  <c r="H11067" i="7" a="1"/>
  <c r="H11067" i="7" s="1"/>
  <c r="E11067" i="7"/>
  <c r="E11066" i="7"/>
  <c r="H11065" i="7" a="1"/>
  <c r="H11065" i="7" s="1"/>
  <c r="E11065" i="7"/>
  <c r="H11073" i="7" l="1" a="1"/>
  <c r="H11073" i="7" s="1"/>
  <c r="E11073" i="7"/>
  <c r="D11073" i="7"/>
  <c r="H11072" i="7" a="1"/>
  <c r="H11072" i="7" s="1"/>
  <c r="E11072" i="7"/>
  <c r="D11072" i="7"/>
  <c r="H11071" i="7" a="1"/>
  <c r="H11071" i="7" s="1"/>
  <c r="E11071" i="7"/>
  <c r="D11071" i="7"/>
  <c r="H11076" i="7" a="1"/>
  <c r="H11076" i="7" s="1"/>
  <c r="E11076" i="7"/>
  <c r="D11076" i="7"/>
  <c r="H11075" i="7" a="1"/>
  <c r="H11075" i="7" s="1"/>
  <c r="E11075" i="7"/>
  <c r="D11075" i="7"/>
  <c r="H11074" i="7" a="1"/>
  <c r="H11074" i="7" s="1"/>
  <c r="E11074" i="7"/>
  <c r="D11074" i="7"/>
  <c r="H11064" i="7" a="1"/>
  <c r="H11064" i="7" s="1"/>
  <c r="E11064" i="7"/>
  <c r="D11064" i="7"/>
  <c r="H11063" i="7" a="1"/>
  <c r="H11063" i="7" s="1"/>
  <c r="E11063" i="7"/>
  <c r="D11063" i="7"/>
  <c r="H11062" i="7" a="1"/>
  <c r="H11062" i="7" s="1"/>
  <c r="E11062" i="7"/>
  <c r="D11062" i="7"/>
  <c r="D11048" i="7" l="1"/>
  <c r="E11048" i="7"/>
  <c r="H11049" i="7" a="1"/>
  <c r="H11049" i="7" s="1"/>
  <c r="E11049" i="7"/>
  <c r="D11049" i="7"/>
  <c r="H11047" i="7" a="1"/>
  <c r="H11047" i="7" s="1"/>
  <c r="E11047" i="7"/>
  <c r="D11047" i="7"/>
  <c r="H11029" i="7" a="1"/>
  <c r="H11029" i="7" s="1"/>
  <c r="E11029" i="7"/>
  <c r="D11029" i="7"/>
  <c r="H11028" i="7" a="1"/>
  <c r="H11028" i="7" s="1"/>
  <c r="E11028" i="7"/>
  <c r="D11028" i="7"/>
  <c r="H11046" i="7" l="1" a="1"/>
  <c r="H11046" i="7" s="1"/>
  <c r="E11046" i="7"/>
  <c r="D11046" i="7"/>
  <c r="H11045" i="7" a="1"/>
  <c r="H11045" i="7" s="1"/>
  <c r="E11045" i="7"/>
  <c r="D11045" i="7"/>
  <c r="H11044" i="7" a="1"/>
  <c r="H11044" i="7" s="1"/>
  <c r="E11044" i="7"/>
  <c r="D11044" i="7"/>
  <c r="H11043" i="7" a="1"/>
  <c r="H11043" i="7" s="1"/>
  <c r="E11043" i="7"/>
  <c r="D11043" i="7"/>
  <c r="H11042" i="7" a="1"/>
  <c r="H11042" i="7" s="1"/>
  <c r="E11042" i="7"/>
  <c r="D11042" i="7"/>
  <c r="H11061" i="7" a="1"/>
  <c r="H11061" i="7" s="1"/>
  <c r="E11061" i="7"/>
  <c r="D11061" i="7"/>
  <c r="H11060" i="7" a="1"/>
  <c r="H11060" i="7" s="1"/>
  <c r="E11060" i="7"/>
  <c r="D11060" i="7"/>
  <c r="H11059" i="7" a="1"/>
  <c r="H11059" i="7" s="1"/>
  <c r="E11059" i="7"/>
  <c r="D11059" i="7"/>
  <c r="H11058" i="7" a="1"/>
  <c r="H11058" i="7" s="1"/>
  <c r="E11058" i="7"/>
  <c r="D11058" i="7"/>
  <c r="H11057" i="7" a="1"/>
  <c r="H11057" i="7" s="1"/>
  <c r="E11057" i="7"/>
  <c r="D11057" i="7"/>
  <c r="H11056" i="7" a="1"/>
  <c r="H11056" i="7" s="1"/>
  <c r="E11056" i="7"/>
  <c r="D11056" i="7"/>
  <c r="H11055" i="7" a="1"/>
  <c r="H11055" i="7" s="1"/>
  <c r="E11055" i="7"/>
  <c r="D11055" i="7"/>
  <c r="H11054" i="7" a="1"/>
  <c r="H11054" i="7" s="1"/>
  <c r="E11054" i="7"/>
  <c r="D11054" i="7"/>
  <c r="H11053" i="7" a="1"/>
  <c r="H11053" i="7" s="1"/>
  <c r="E11053" i="7"/>
  <c r="D11053" i="7"/>
  <c r="H11052" i="7" a="1"/>
  <c r="H11052" i="7" s="1"/>
  <c r="E11052" i="7"/>
  <c r="D11052" i="7"/>
  <c r="H11051" i="7" a="1"/>
  <c r="H11051" i="7" s="1"/>
  <c r="E11051" i="7"/>
  <c r="D11051" i="7"/>
  <c r="H11050" i="7" a="1"/>
  <c r="H11050" i="7" s="1"/>
  <c r="E11050" i="7"/>
  <c r="D11050" i="7"/>
  <c r="H11041" i="7" l="1" a="1"/>
  <c r="H11041" i="7" s="1"/>
  <c r="E11041" i="7"/>
  <c r="D11041" i="7"/>
  <c r="K11040" i="7"/>
  <c r="L11041" i="7" s="1"/>
  <c r="H11040" i="7" a="1"/>
  <c r="H11040" i="7" s="1"/>
  <c r="E11040" i="7"/>
  <c r="D11040" i="7"/>
  <c r="H11039" i="7" a="1"/>
  <c r="H11039" i="7" s="1"/>
  <c r="E11039" i="7"/>
  <c r="D11039" i="7"/>
  <c r="K11038" i="7"/>
  <c r="L11039" i="7" s="1"/>
  <c r="H11038" i="7" a="1"/>
  <c r="H11038" i="7" s="1"/>
  <c r="E11038" i="7"/>
  <c r="D11038" i="7"/>
  <c r="H11037" i="7" a="1"/>
  <c r="H11037" i="7" s="1"/>
  <c r="E11037" i="7"/>
  <c r="D11037" i="7"/>
  <c r="H11036" i="7" a="1"/>
  <c r="H11036" i="7" s="1"/>
  <c r="E11036" i="7"/>
  <c r="D11036" i="7"/>
  <c r="H11035" i="7" a="1"/>
  <c r="H11035" i="7" s="1"/>
  <c r="E11035" i="7"/>
  <c r="D11035" i="7"/>
  <c r="H11034" i="7" a="1"/>
  <c r="H11034" i="7" s="1"/>
  <c r="E11034" i="7"/>
  <c r="D11034" i="7"/>
  <c r="H11033" i="7" a="1"/>
  <c r="H11033" i="7" s="1"/>
  <c r="E11033" i="7"/>
  <c r="D11033" i="7"/>
  <c r="H11032" i="7" a="1"/>
  <c r="H11032" i="7" s="1"/>
  <c r="E11032" i="7"/>
  <c r="D11032" i="7"/>
  <c r="H11031" i="7" a="1"/>
  <c r="H11031" i="7" s="1"/>
  <c r="E11031" i="7"/>
  <c r="D11031" i="7"/>
  <c r="H11030" i="7" a="1"/>
  <c r="H11030" i="7" s="1"/>
  <c r="E11030" i="7"/>
  <c r="D11030" i="7"/>
  <c r="H11025" i="7" a="1"/>
  <c r="H11025" i="7" s="1"/>
  <c r="E11025" i="7"/>
  <c r="D11025" i="7"/>
  <c r="H11024" i="7" a="1"/>
  <c r="H11024" i="7" s="1"/>
  <c r="E11024" i="7"/>
  <c r="D11024" i="7"/>
  <c r="H11027" i="7" a="1"/>
  <c r="H11027" i="7" s="1"/>
  <c r="E11027" i="7"/>
  <c r="D11027" i="7"/>
  <c r="H11026" i="7" a="1"/>
  <c r="H11026" i="7" s="1"/>
  <c r="E11026" i="7"/>
  <c r="D11026" i="7"/>
  <c r="H11023" i="7" a="1"/>
  <c r="H11023" i="7" s="1"/>
  <c r="E11023" i="7"/>
  <c r="D11023" i="7"/>
  <c r="H11022" i="7" a="1"/>
  <c r="H11022" i="7" s="1"/>
  <c r="E11022" i="7"/>
  <c r="D11022" i="7"/>
  <c r="H11021" i="7" a="1"/>
  <c r="H11021" i="7" s="1"/>
  <c r="E11021" i="7"/>
  <c r="D11021" i="7"/>
  <c r="E11020" i="7"/>
  <c r="D11020" i="7"/>
  <c r="E11019" i="7"/>
  <c r="D11019" i="7"/>
  <c r="H11012" i="7" a="1"/>
  <c r="H11012" i="7" s="1"/>
  <c r="E11012" i="7"/>
  <c r="D11012" i="7"/>
  <c r="H11011" i="7" a="1"/>
  <c r="H11011" i="7" s="1"/>
  <c r="E11011" i="7"/>
  <c r="D11011" i="7"/>
  <c r="E11018" i="7"/>
  <c r="D11018" i="7"/>
  <c r="E11017" i="7"/>
  <c r="D11017" i="7"/>
  <c r="H11016" i="7" a="1"/>
  <c r="H11016" i="7" s="1"/>
  <c r="E11016" i="7"/>
  <c r="D11016" i="7"/>
  <c r="E11010" i="7"/>
  <c r="D11010" i="7"/>
  <c r="E11009" i="7"/>
  <c r="D11009" i="7"/>
  <c r="H11008" i="7" a="1"/>
  <c r="H11008" i="7" s="1"/>
  <c r="E11008" i="7"/>
  <c r="D11008" i="7"/>
  <c r="H11007" i="7" l="1" a="1"/>
  <c r="H11007" i="7" s="1"/>
  <c r="E11007" i="7"/>
  <c r="D11007" i="7"/>
  <c r="H11006" i="7" a="1"/>
  <c r="H11006" i="7" s="1"/>
  <c r="E11006" i="7"/>
  <c r="D11006" i="7"/>
  <c r="H11005" i="7" a="1"/>
  <c r="H11005" i="7" s="1"/>
  <c r="E11005" i="7"/>
  <c r="D11005" i="7"/>
  <c r="H11015" i="7" l="1" a="1"/>
  <c r="H11015" i="7" s="1"/>
  <c r="E11015" i="7"/>
  <c r="D11015" i="7"/>
  <c r="H11014" i="7" a="1"/>
  <c r="H11014" i="7" s="1"/>
  <c r="E11014" i="7"/>
  <c r="D11014" i="7"/>
  <c r="H11013" i="7" a="1"/>
  <c r="H11013" i="7" s="1"/>
  <c r="E11013" i="7"/>
  <c r="D11013" i="7"/>
  <c r="H11004" i="7" a="1"/>
  <c r="H11004" i="7" s="1"/>
  <c r="E11004" i="7"/>
  <c r="D11004" i="7"/>
  <c r="H11003" i="7" a="1"/>
  <c r="H11003" i="7" s="1"/>
  <c r="E11003" i="7"/>
  <c r="D11003" i="7"/>
  <c r="H11002" i="7" a="1"/>
  <c r="H11002" i="7" s="1"/>
  <c r="E11002" i="7"/>
  <c r="D11002" i="7"/>
  <c r="H11001" i="7" l="1" a="1"/>
  <c r="H11001" i="7" s="1"/>
  <c r="E11001" i="7"/>
  <c r="D11001" i="7"/>
  <c r="K11000" i="7"/>
  <c r="L11001" i="7" s="1"/>
  <c r="H11000" i="7" a="1"/>
  <c r="H11000" i="7" s="1"/>
  <c r="E11000" i="7"/>
  <c r="D11000" i="7"/>
  <c r="H10999" i="7" a="1"/>
  <c r="H10999" i="7" s="1"/>
  <c r="E10999" i="7"/>
  <c r="D10999" i="7"/>
  <c r="K10998" i="7"/>
  <c r="L10999" i="7" s="1"/>
  <c r="H10998" i="7" a="1"/>
  <c r="H10998" i="7" s="1"/>
  <c r="E10998" i="7"/>
  <c r="D10998" i="7"/>
  <c r="H10997" i="7" a="1"/>
  <c r="H10997" i="7" s="1"/>
  <c r="E10997" i="7"/>
  <c r="D10997" i="7"/>
  <c r="H10996" i="7" a="1"/>
  <c r="H10996" i="7" s="1"/>
  <c r="E10996" i="7"/>
  <c r="D10996" i="7"/>
  <c r="H10995" i="7" a="1"/>
  <c r="H10995" i="7" s="1"/>
  <c r="E10995" i="7"/>
  <c r="D10995" i="7"/>
  <c r="H10994" i="7" a="1"/>
  <c r="H10994" i="7" s="1"/>
  <c r="E10994" i="7"/>
  <c r="D10994" i="7"/>
  <c r="H10993" i="7" a="1"/>
  <c r="H10993" i="7" s="1"/>
  <c r="E10993" i="7"/>
  <c r="D10993" i="7"/>
  <c r="H10992" i="7" a="1"/>
  <c r="H10992" i="7" s="1"/>
  <c r="E10992" i="7"/>
  <c r="D10992" i="7"/>
  <c r="H10991" i="7" a="1"/>
  <c r="H10991" i="7" s="1"/>
  <c r="E10991" i="7"/>
  <c r="D10991" i="7"/>
  <c r="H10990" i="7" a="1"/>
  <c r="H10990" i="7" s="1"/>
  <c r="E10990" i="7"/>
  <c r="D10990" i="7"/>
  <c r="H10989" i="7" a="1"/>
  <c r="H10989" i="7" s="1"/>
  <c r="E10989" i="7"/>
  <c r="D10989" i="7"/>
  <c r="H10988" i="7" a="1"/>
  <c r="H10988" i="7" s="1"/>
  <c r="E10988" i="7"/>
  <c r="D10988" i="7"/>
  <c r="E10987" i="7"/>
  <c r="D10987" i="7"/>
  <c r="E10986" i="7"/>
  <c r="D10986" i="7"/>
  <c r="H10985" i="7" a="1"/>
  <c r="H10985" i="7" s="1"/>
  <c r="E10985" i="7"/>
  <c r="D10985" i="7"/>
  <c r="D10983" i="7" l="1"/>
  <c r="E10983" i="7"/>
  <c r="H10984" i="7" a="1"/>
  <c r="H10984" i="7" s="1"/>
  <c r="E10984" i="7"/>
  <c r="D10984" i="7"/>
  <c r="H10982" i="7" a="1"/>
  <c r="H10982" i="7" s="1"/>
  <c r="E10982" i="7"/>
  <c r="D10982" i="7"/>
  <c r="H10981" i="7" a="1"/>
  <c r="H10981" i="7" s="1"/>
  <c r="E10981" i="7"/>
  <c r="D10981" i="7"/>
  <c r="E10980" i="7"/>
  <c r="D10980" i="7"/>
  <c r="H10979" i="7" a="1"/>
  <c r="H10979" i="7" s="1"/>
  <c r="E10979" i="7"/>
  <c r="D10979" i="7"/>
  <c r="H10954" i="7" a="1"/>
  <c r="H10954" i="7" s="1"/>
  <c r="E10954" i="7"/>
  <c r="D10954" i="7"/>
  <c r="H10953" i="7" a="1"/>
  <c r="H10953" i="7" s="1"/>
  <c r="E10953" i="7"/>
  <c r="D10953" i="7"/>
  <c r="H10978" i="7" a="1"/>
  <c r="H10978" i="7" s="1"/>
  <c r="E10978" i="7"/>
  <c r="D10978" i="7"/>
  <c r="H10977" i="7" a="1"/>
  <c r="H10977" i="7" s="1"/>
  <c r="E10977" i="7"/>
  <c r="D10977" i="7"/>
  <c r="H10976" i="7" a="1"/>
  <c r="H10976" i="7" s="1"/>
  <c r="E10976" i="7"/>
  <c r="D10976" i="7"/>
  <c r="H10975" i="7" a="1"/>
  <c r="H10975" i="7" s="1"/>
  <c r="E10975" i="7"/>
  <c r="D10975" i="7"/>
  <c r="H10974" i="7" a="1"/>
  <c r="H10974" i="7" s="1"/>
  <c r="E10974" i="7"/>
  <c r="D10974" i="7"/>
  <c r="H10973" i="7" a="1"/>
  <c r="H10973" i="7" s="1"/>
  <c r="E10973" i="7"/>
  <c r="D10973" i="7"/>
  <c r="H10970" i="7" l="1" a="1"/>
  <c r="H10970" i="7" s="1"/>
  <c r="E10970" i="7"/>
  <c r="D10970" i="7"/>
  <c r="H10969" i="7" a="1"/>
  <c r="H10969" i="7" s="1"/>
  <c r="E10969" i="7"/>
  <c r="D10969" i="7"/>
  <c r="H10972" i="7" a="1"/>
  <c r="H10972" i="7" s="1"/>
  <c r="E10972" i="7"/>
  <c r="D10972" i="7"/>
  <c r="H10971" i="7" a="1"/>
  <c r="H10971" i="7" s="1"/>
  <c r="E10971" i="7"/>
  <c r="D10971" i="7"/>
  <c r="H10968" i="7" a="1"/>
  <c r="H10968" i="7" s="1"/>
  <c r="E10968" i="7"/>
  <c r="D10968" i="7"/>
  <c r="H10967" i="7" a="1"/>
  <c r="H10967" i="7" s="1"/>
  <c r="E10967" i="7"/>
  <c r="D10967" i="7"/>
  <c r="H10966" i="7" l="1" a="1"/>
  <c r="H10966" i="7" s="1"/>
  <c r="E10966" i="7"/>
  <c r="D10966" i="7"/>
  <c r="K10965" i="7"/>
  <c r="L10966" i="7" s="1"/>
  <c r="H10965" i="7" a="1"/>
  <c r="H10965" i="7" s="1"/>
  <c r="E10965" i="7"/>
  <c r="D10965" i="7"/>
  <c r="H10964" i="7" a="1"/>
  <c r="H10964" i="7" s="1"/>
  <c r="E10964" i="7"/>
  <c r="D10964" i="7"/>
  <c r="K10963" i="7"/>
  <c r="L10964" i="7" s="1"/>
  <c r="H10963" i="7" a="1"/>
  <c r="H10963" i="7" s="1"/>
  <c r="E10963" i="7"/>
  <c r="D10963" i="7"/>
  <c r="H10962" i="7" a="1"/>
  <c r="H10962" i="7" s="1"/>
  <c r="E10962" i="7"/>
  <c r="D10962" i="7"/>
  <c r="H10961" i="7" a="1"/>
  <c r="H10961" i="7" s="1"/>
  <c r="E10961" i="7"/>
  <c r="D10961" i="7"/>
  <c r="H10960" i="7" a="1"/>
  <c r="H10960" i="7" s="1"/>
  <c r="E10960" i="7"/>
  <c r="D10960" i="7"/>
  <c r="H10959" i="7" a="1"/>
  <c r="H10959" i="7" s="1"/>
  <c r="E10959" i="7"/>
  <c r="D10959" i="7"/>
  <c r="H10958" i="7" a="1"/>
  <c r="H10958" i="7" s="1"/>
  <c r="E10958" i="7"/>
  <c r="D10958" i="7"/>
  <c r="H10957" i="7" a="1"/>
  <c r="H10957" i="7" s="1"/>
  <c r="E10957" i="7"/>
  <c r="D10957" i="7"/>
  <c r="H10956" i="7" a="1"/>
  <c r="H10956" i="7" s="1"/>
  <c r="E10956" i="7"/>
  <c r="D10956" i="7"/>
  <c r="H10955" i="7" a="1"/>
  <c r="H10955" i="7" s="1"/>
  <c r="E10955" i="7"/>
  <c r="D10955" i="7"/>
  <c r="E10946" i="7"/>
  <c r="D10946" i="7"/>
  <c r="E10945" i="7"/>
  <c r="D10945" i="7"/>
  <c r="H10944" i="7" a="1"/>
  <c r="H10944" i="7" s="1"/>
  <c r="E10944" i="7"/>
  <c r="D10944" i="7"/>
  <c r="H10943" i="7" a="1"/>
  <c r="H10943" i="7" s="1"/>
  <c r="E10943" i="7"/>
  <c r="D10943" i="7"/>
  <c r="H10942" i="7" a="1"/>
  <c r="H10942" i="7" s="1"/>
  <c r="E10942" i="7"/>
  <c r="D10942" i="7"/>
  <c r="E10941" i="7"/>
  <c r="D10941" i="7"/>
  <c r="H10940" i="7" a="1"/>
  <c r="H10940" i="7" s="1"/>
  <c r="E10940" i="7"/>
  <c r="D10940" i="7"/>
  <c r="E10950" i="7" l="1"/>
  <c r="D10950" i="7"/>
  <c r="D10951" i="7"/>
  <c r="E10951" i="7"/>
  <c r="H10952" i="7" a="1"/>
  <c r="H10952" i="7" s="1"/>
  <c r="E10952" i="7"/>
  <c r="D10952" i="7"/>
  <c r="H10949" i="7" a="1"/>
  <c r="H10949" i="7" s="1"/>
  <c r="E10949" i="7"/>
  <c r="D10949" i="7"/>
  <c r="H10948" i="7" a="1"/>
  <c r="H10948" i="7" s="1"/>
  <c r="E10948" i="7"/>
  <c r="D10948" i="7"/>
  <c r="H10947" i="7" a="1"/>
  <c r="H10947" i="7" s="1"/>
  <c r="E10947" i="7"/>
  <c r="D10947" i="7"/>
  <c r="H10939" i="7" a="1"/>
  <c r="H10939" i="7" s="1"/>
  <c r="E10939" i="7"/>
  <c r="D10939" i="7"/>
  <c r="H10938" i="7" a="1"/>
  <c r="H10938" i="7" s="1"/>
  <c r="E10938" i="7"/>
  <c r="D10938" i="7"/>
  <c r="H10937" i="7" a="1"/>
  <c r="H10937" i="7" s="1"/>
  <c r="E10937" i="7"/>
  <c r="D10937" i="7"/>
  <c r="H10936" i="7" l="1" a="1"/>
  <c r="H10936" i="7" s="1"/>
  <c r="E10936" i="7"/>
  <c r="D10936" i="7"/>
  <c r="K10935" i="7"/>
  <c r="L10936" i="7" s="1"/>
  <c r="H10935" i="7" a="1"/>
  <c r="H10935" i="7" s="1"/>
  <c r="E10935" i="7"/>
  <c r="D10935" i="7"/>
  <c r="H10934" i="7" a="1"/>
  <c r="H10934" i="7" s="1"/>
  <c r="E10934" i="7"/>
  <c r="D10934" i="7"/>
  <c r="K10933" i="7"/>
  <c r="L10934" i="7" s="1"/>
  <c r="H10933" i="7" a="1"/>
  <c r="H10933" i="7" s="1"/>
  <c r="E10933" i="7"/>
  <c r="D10933" i="7"/>
  <c r="H10932" i="7" a="1"/>
  <c r="H10932" i="7" s="1"/>
  <c r="E10932" i="7"/>
  <c r="D10932" i="7"/>
  <c r="H10931" i="7" a="1"/>
  <c r="H10931" i="7" s="1"/>
  <c r="E10931" i="7"/>
  <c r="D10931" i="7"/>
  <c r="H10930" i="7" a="1"/>
  <c r="H10930" i="7" s="1"/>
  <c r="E10930" i="7"/>
  <c r="D10930" i="7"/>
  <c r="H10929" i="7" a="1"/>
  <c r="H10929" i="7" s="1"/>
  <c r="E10929" i="7"/>
  <c r="D10929" i="7"/>
  <c r="H10928" i="7" a="1"/>
  <c r="H10928" i="7" s="1"/>
  <c r="E10928" i="7"/>
  <c r="D10928" i="7"/>
  <c r="H10927" i="7" a="1"/>
  <c r="H10927" i="7" s="1"/>
  <c r="E10927" i="7"/>
  <c r="D10927" i="7"/>
  <c r="H10926" i="7" a="1"/>
  <c r="H10926" i="7" s="1"/>
  <c r="E10926" i="7"/>
  <c r="D10926" i="7"/>
  <c r="H10925" i="7" a="1"/>
  <c r="H10925" i="7" s="1"/>
  <c r="E10925" i="7"/>
  <c r="D10925" i="7"/>
  <c r="H10916" i="7" l="1" a="1"/>
  <c r="H10916" i="7" s="1"/>
  <c r="E10916" i="7"/>
  <c r="D10916" i="7"/>
  <c r="H10915" i="7" a="1"/>
  <c r="H10915" i="7" s="1"/>
  <c r="E10915" i="7"/>
  <c r="D10915" i="7"/>
  <c r="H10914" i="7" a="1"/>
  <c r="H10914" i="7" s="1"/>
  <c r="E10914" i="7"/>
  <c r="D10914" i="7"/>
  <c r="D10923" i="7" l="1"/>
  <c r="E10923" i="7"/>
  <c r="H10924" i="7" a="1"/>
  <c r="H10924" i="7" s="1"/>
  <c r="E10924" i="7"/>
  <c r="D10924" i="7"/>
  <c r="H10922" i="7" a="1"/>
  <c r="H10922" i="7" s="1"/>
  <c r="E10922" i="7"/>
  <c r="D10922" i="7"/>
  <c r="H10921" i="7" a="1"/>
  <c r="H10921" i="7" s="1"/>
  <c r="E10921" i="7"/>
  <c r="D10921" i="7"/>
  <c r="E10920" i="7"/>
  <c r="D10920" i="7"/>
  <c r="H10919" i="7" a="1"/>
  <c r="H10919" i="7" s="1"/>
  <c r="E10919" i="7"/>
  <c r="D10919" i="7"/>
  <c r="H10918" i="7" a="1"/>
  <c r="H10918" i="7" s="1"/>
  <c r="E10918" i="7"/>
  <c r="D10918" i="7"/>
  <c r="H10917" i="7" a="1"/>
  <c r="H10917" i="7" s="1"/>
  <c r="E10917" i="7"/>
  <c r="D10917" i="7"/>
  <c r="H10905" i="7" l="1" a="1"/>
  <c r="H10905" i="7" s="1"/>
  <c r="E10905" i="7"/>
  <c r="D10905" i="7"/>
  <c r="H10904" i="7" a="1"/>
  <c r="H10904" i="7" s="1"/>
  <c r="E10904" i="7"/>
  <c r="D10904" i="7"/>
  <c r="H10913" i="7" a="1"/>
  <c r="H10913" i="7" s="1"/>
  <c r="E10913" i="7"/>
  <c r="D10913" i="7"/>
  <c r="K10912" i="7"/>
  <c r="L10913" i="7" s="1"/>
  <c r="H10912" i="7" a="1"/>
  <c r="H10912" i="7" s="1"/>
  <c r="E10912" i="7"/>
  <c r="D10912" i="7"/>
  <c r="H10911" i="7" a="1"/>
  <c r="H10911" i="7" s="1"/>
  <c r="E10911" i="7"/>
  <c r="D10911" i="7"/>
  <c r="K10910" i="7"/>
  <c r="L10911" i="7" s="1"/>
  <c r="H10910" i="7" a="1"/>
  <c r="H10910" i="7" s="1"/>
  <c r="E10910" i="7"/>
  <c r="D10910" i="7"/>
  <c r="H10909" i="7" a="1"/>
  <c r="H10909" i="7" s="1"/>
  <c r="E10909" i="7"/>
  <c r="D10909" i="7"/>
  <c r="H10908" i="7" a="1"/>
  <c r="H10908" i="7" s="1"/>
  <c r="E10908" i="7"/>
  <c r="D10908" i="7"/>
  <c r="H10907" i="7" a="1"/>
  <c r="H10907" i="7" s="1"/>
  <c r="E10907" i="7"/>
  <c r="D10907" i="7"/>
  <c r="H10906" i="7" a="1"/>
  <c r="H10906" i="7" s="1"/>
  <c r="E10906" i="7"/>
  <c r="D10906" i="7"/>
  <c r="H10903" i="7" a="1"/>
  <c r="H10903" i="7" s="1"/>
  <c r="E10903" i="7"/>
  <c r="D10903" i="7"/>
  <c r="H10902" i="7" a="1"/>
  <c r="H10902" i="7" s="1"/>
  <c r="E10902" i="7"/>
  <c r="D10902" i="7"/>
  <c r="H10861" i="7" a="1"/>
  <c r="H10861" i="7" s="1"/>
  <c r="E10861" i="7"/>
  <c r="D10861" i="7"/>
  <c r="H10860" i="7" a="1"/>
  <c r="H10860" i="7" s="1"/>
  <c r="E10860" i="7"/>
  <c r="D10860" i="7"/>
  <c r="D10862" i="7"/>
  <c r="E10862" i="7"/>
  <c r="H10862" i="7" a="1"/>
  <c r="H10862" i="7" s="1"/>
  <c r="H10901" i="7" a="1"/>
  <c r="H10901" i="7" s="1"/>
  <c r="E10901" i="7"/>
  <c r="D10901" i="7"/>
  <c r="H10900" i="7" a="1"/>
  <c r="H10900" i="7" s="1"/>
  <c r="E10900" i="7"/>
  <c r="D10900" i="7"/>
  <c r="D10897" i="7" l="1"/>
  <c r="E10897" i="7"/>
  <c r="D10898" i="7"/>
  <c r="E10898" i="7"/>
  <c r="H10899" i="7" a="1"/>
  <c r="H10899" i="7" s="1"/>
  <c r="E10899" i="7"/>
  <c r="D10899" i="7"/>
  <c r="H10896" i="7" a="1"/>
  <c r="H10896" i="7" s="1"/>
  <c r="E10896" i="7"/>
  <c r="D10896" i="7"/>
  <c r="E10891" i="7"/>
  <c r="D10891" i="7"/>
  <c r="E10895" i="7"/>
  <c r="D10895" i="7"/>
  <c r="H10894" i="7" a="1"/>
  <c r="H10894" i="7" s="1"/>
  <c r="E10894" i="7"/>
  <c r="D10894" i="7"/>
  <c r="E10892" i="7"/>
  <c r="D10892" i="7"/>
  <c r="E10890" i="7"/>
  <c r="D10890" i="7"/>
  <c r="E10893" i="7"/>
  <c r="D10893" i="7"/>
  <c r="H10889" i="7" a="1"/>
  <c r="H10889" i="7" s="1"/>
  <c r="E10889" i="7"/>
  <c r="D10889" i="7"/>
  <c r="H10882" i="7" a="1"/>
  <c r="H10882" i="7" s="1"/>
  <c r="E10882" i="7"/>
  <c r="D10882" i="7"/>
  <c r="H10881" i="7" a="1"/>
  <c r="H10881" i="7" s="1"/>
  <c r="E10881" i="7"/>
  <c r="D10881" i="7"/>
  <c r="H10876" i="7" a="1"/>
  <c r="H10876" i="7" s="1"/>
  <c r="E10876" i="7"/>
  <c r="D10876" i="7"/>
  <c r="H10875" i="7" a="1"/>
  <c r="H10875" i="7" s="1"/>
  <c r="E10875" i="7"/>
  <c r="D10875" i="7"/>
  <c r="H10880" i="7" a="1"/>
  <c r="H10880" i="7" s="1"/>
  <c r="E10880" i="7"/>
  <c r="D10880" i="7"/>
  <c r="H10879" i="7" a="1"/>
  <c r="H10879" i="7" s="1"/>
  <c r="E10879" i="7"/>
  <c r="D10879" i="7"/>
  <c r="E10878" i="7"/>
  <c r="D10878" i="7"/>
  <c r="H10877" i="7" a="1"/>
  <c r="H10877" i="7" s="1"/>
  <c r="E10877" i="7"/>
  <c r="D10877" i="7"/>
  <c r="H10888" i="7" l="1" a="1"/>
  <c r="H10888" i="7" s="1"/>
  <c r="E10888" i="7"/>
  <c r="D10888" i="7"/>
  <c r="H10887" i="7" a="1"/>
  <c r="H10887" i="7" s="1"/>
  <c r="E10887" i="7"/>
  <c r="D10887" i="7"/>
  <c r="H10886" i="7" a="1"/>
  <c r="H10886" i="7" s="1"/>
  <c r="E10886" i="7"/>
  <c r="D10886" i="7"/>
  <c r="H10885" i="7" l="1" a="1"/>
  <c r="H10885" i="7" s="1"/>
  <c r="E10885" i="7"/>
  <c r="D10885" i="7"/>
  <c r="H10884" i="7" a="1"/>
  <c r="H10884" i="7" s="1"/>
  <c r="E10884" i="7"/>
  <c r="D10884" i="7"/>
  <c r="H10883" i="7" a="1"/>
  <c r="H10883" i="7" s="1"/>
  <c r="E10883" i="7"/>
  <c r="D10883" i="7"/>
  <c r="H10874" i="7" l="1" a="1"/>
  <c r="H10874" i="7" s="1"/>
  <c r="E10874" i="7"/>
  <c r="D10874" i="7"/>
  <c r="H10873" i="7" a="1"/>
  <c r="H10873" i="7" s="1"/>
  <c r="E10873" i="7"/>
  <c r="D10873" i="7"/>
  <c r="H10872" i="7" a="1"/>
  <c r="H10872" i="7" s="1"/>
  <c r="E10872" i="7"/>
  <c r="D10872" i="7"/>
  <c r="H10859" i="7" l="1" a="1"/>
  <c r="H10859" i="7" s="1"/>
  <c r="E10859" i="7"/>
  <c r="D10859" i="7"/>
  <c r="H10858" i="7" a="1"/>
  <c r="H10858" i="7" s="1"/>
  <c r="E10858" i="7"/>
  <c r="D10858" i="7"/>
  <c r="E10857" i="7"/>
  <c r="D10857" i="7"/>
  <c r="H10856" i="7" a="1"/>
  <c r="H10856" i="7" s="1"/>
  <c r="E10856" i="7"/>
  <c r="D10856" i="7"/>
  <c r="H10855" i="7" a="1"/>
  <c r="H10855" i="7" s="1"/>
  <c r="E10855" i="7"/>
  <c r="D10855" i="7"/>
  <c r="H10854" i="7" a="1"/>
  <c r="H10854" i="7" s="1"/>
  <c r="E10854" i="7"/>
  <c r="D10854" i="7"/>
  <c r="H10853" i="7" a="1"/>
  <c r="H10853" i="7" s="1"/>
  <c r="E10853" i="7"/>
  <c r="D10853" i="7"/>
  <c r="H10871" i="7" l="1" a="1"/>
  <c r="H10871" i="7" s="1"/>
  <c r="E10871" i="7"/>
  <c r="D10871" i="7"/>
  <c r="K10870" i="7"/>
  <c r="L10871" i="7" s="1"/>
  <c r="H10870" i="7" a="1"/>
  <c r="H10870" i="7" s="1"/>
  <c r="E10870" i="7"/>
  <c r="D10870" i="7"/>
  <c r="H10869" i="7" a="1"/>
  <c r="H10869" i="7" s="1"/>
  <c r="E10869" i="7"/>
  <c r="D10869" i="7"/>
  <c r="K10868" i="7"/>
  <c r="L10869" i="7" s="1"/>
  <c r="H10868" i="7" a="1"/>
  <c r="H10868" i="7" s="1"/>
  <c r="E10868" i="7"/>
  <c r="D10868" i="7"/>
  <c r="H10867" i="7" a="1"/>
  <c r="H10867" i="7" s="1"/>
  <c r="E10867" i="7"/>
  <c r="D10867" i="7"/>
  <c r="H10866" i="7" a="1"/>
  <c r="H10866" i="7" s="1"/>
  <c r="E10866" i="7"/>
  <c r="D10866" i="7"/>
  <c r="H10865" i="7" a="1"/>
  <c r="H10865" i="7" s="1"/>
  <c r="E10865" i="7"/>
  <c r="D10865" i="7"/>
  <c r="H10864" i="7" a="1"/>
  <c r="H10864" i="7" s="1"/>
  <c r="E10864" i="7"/>
  <c r="D10864" i="7"/>
  <c r="H10863" i="7" a="1"/>
  <c r="H10863" i="7" s="1"/>
  <c r="E10863" i="7"/>
  <c r="D10863" i="7"/>
  <c r="H10845" i="7" a="1"/>
  <c r="H10845" i="7" s="1"/>
  <c r="E10845" i="7"/>
  <c r="D10845" i="7"/>
  <c r="H10844" i="7" a="1"/>
  <c r="H10844" i="7" s="1"/>
  <c r="E10844" i="7"/>
  <c r="D10844" i="7"/>
  <c r="H10843" i="7" a="1"/>
  <c r="H10843" i="7" s="1"/>
  <c r="E10843" i="7"/>
  <c r="D10843" i="7"/>
  <c r="H10842" i="7" a="1"/>
  <c r="H10842" i="7" s="1"/>
  <c r="E10842" i="7"/>
  <c r="D10842" i="7"/>
  <c r="H10841" i="7" a="1"/>
  <c r="H10841" i="7" s="1"/>
  <c r="E10841" i="7"/>
  <c r="D10841" i="7"/>
  <c r="H10840" i="7" a="1"/>
  <c r="H10840" i="7" s="1"/>
  <c r="E10840" i="7"/>
  <c r="D10840" i="7"/>
  <c r="E10839" i="7"/>
  <c r="D10839" i="7"/>
  <c r="H10838" i="7" a="1"/>
  <c r="H10838" i="7" s="1"/>
  <c r="E10838" i="7"/>
  <c r="D10838" i="7"/>
  <c r="H10848" i="7" a="1"/>
  <c r="H10848" i="7" s="1"/>
  <c r="E10848" i="7"/>
  <c r="D10848" i="7"/>
  <c r="H10847" i="7" a="1"/>
  <c r="H10847" i="7" s="1"/>
  <c r="E10847" i="7"/>
  <c r="D10847" i="7"/>
  <c r="H10846" i="7" a="1"/>
  <c r="H10846" i="7" s="1"/>
  <c r="E10846" i="7"/>
  <c r="D10846" i="7"/>
  <c r="H10825" i="7" l="1" a="1"/>
  <c r="H10825" i="7" s="1"/>
  <c r="E10825" i="7"/>
  <c r="D10825" i="7"/>
  <c r="E10824" i="7"/>
  <c r="D10824" i="7"/>
  <c r="H10823" i="7" a="1"/>
  <c r="H10823" i="7" s="1"/>
  <c r="E10823" i="7"/>
  <c r="D10823" i="7"/>
  <c r="L10772" i="7"/>
  <c r="L10771" i="7"/>
  <c r="K10770" i="7"/>
  <c r="H10852" i="7" a="1"/>
  <c r="H10852" i="7" s="1"/>
  <c r="E10852" i="7"/>
  <c r="D10852" i="7"/>
  <c r="H10851" i="7" a="1"/>
  <c r="H10851" i="7" s="1"/>
  <c r="E10851" i="7"/>
  <c r="D10851" i="7"/>
  <c r="E10850" i="7"/>
  <c r="D10850" i="7"/>
  <c r="H10849" i="7" a="1"/>
  <c r="H10849" i="7" s="1"/>
  <c r="E10849" i="7"/>
  <c r="D10849" i="7"/>
  <c r="H10837" i="7" a="1"/>
  <c r="H10837" i="7" s="1"/>
  <c r="E10837" i="7"/>
  <c r="D10837" i="7"/>
  <c r="H10836" i="7" a="1"/>
  <c r="H10836" i="7" s="1"/>
  <c r="E10836" i="7"/>
  <c r="D10836" i="7"/>
  <c r="H10835" i="7" a="1"/>
  <c r="H10835" i="7" s="1"/>
  <c r="E10835" i="7"/>
  <c r="D10835" i="7"/>
  <c r="H10834" i="7" a="1"/>
  <c r="H10834" i="7" s="1"/>
  <c r="E10834" i="7"/>
  <c r="D10834" i="7"/>
  <c r="H10833" i="7" a="1"/>
  <c r="H10833" i="7" s="1"/>
  <c r="E10833" i="7"/>
  <c r="D10833" i="7"/>
  <c r="H10832" i="7" a="1"/>
  <c r="H10832" i="7" s="1"/>
  <c r="E10832" i="7"/>
  <c r="D10832" i="7"/>
  <c r="H10831" i="7" a="1"/>
  <c r="H10831" i="7" s="1"/>
  <c r="E10831" i="7"/>
  <c r="D10831" i="7"/>
  <c r="H10830" i="7" a="1"/>
  <c r="H10830" i="7" s="1"/>
  <c r="E10830" i="7"/>
  <c r="D10830" i="7"/>
  <c r="H10829" i="7" a="1"/>
  <c r="H10829" i="7" s="1"/>
  <c r="E10829" i="7"/>
  <c r="D10829" i="7"/>
  <c r="E10822" i="7" l="1"/>
  <c r="D10822" i="7"/>
  <c r="H10821" i="7" a="1"/>
  <c r="H10821" i="7" s="1"/>
  <c r="E10821" i="7"/>
  <c r="D10821" i="7"/>
  <c r="E10820" i="7"/>
  <c r="D10820" i="7"/>
  <c r="H10819" i="7" a="1"/>
  <c r="H10819" i="7" s="1"/>
  <c r="E10819" i="7"/>
  <c r="D10819" i="7"/>
  <c r="E10807" i="7" l="1"/>
  <c r="D10807" i="7"/>
  <c r="D10808" i="7"/>
  <c r="E10808" i="7"/>
  <c r="H10808" i="7" a="1"/>
  <c r="H10808" i="7" s="1"/>
  <c r="D10715" i="7"/>
  <c r="E10715" i="7"/>
  <c r="E57" i="6" l="1"/>
  <c r="E56" i="6"/>
  <c r="D10609" i="7"/>
  <c r="E10609" i="7"/>
  <c r="K10817" i="7"/>
  <c r="L10818" i="7" s="1"/>
  <c r="K10815" i="7"/>
  <c r="H10818" i="7" a="1"/>
  <c r="H10818" i="7" s="1"/>
  <c r="E10818" i="7"/>
  <c r="D10818" i="7"/>
  <c r="H10817" i="7" a="1"/>
  <c r="H10817" i="7" s="1"/>
  <c r="E10817" i="7"/>
  <c r="D10817" i="7"/>
  <c r="H10816" i="7" a="1"/>
  <c r="H10816" i="7" s="1"/>
  <c r="E10816" i="7"/>
  <c r="D10816" i="7"/>
  <c r="H10815" i="7" a="1"/>
  <c r="H10815" i="7" s="1"/>
  <c r="E10815" i="7"/>
  <c r="D10815" i="7"/>
  <c r="H10814" i="7" a="1"/>
  <c r="H10814" i="7" s="1"/>
  <c r="E10814" i="7"/>
  <c r="D10814" i="7"/>
  <c r="H10813" i="7" a="1"/>
  <c r="H10813" i="7" s="1"/>
  <c r="E10813" i="7"/>
  <c r="D10813" i="7"/>
  <c r="H10812" i="7" a="1"/>
  <c r="H10812" i="7" s="1"/>
  <c r="E10812" i="7"/>
  <c r="D10812" i="7"/>
  <c r="H10811" i="7" a="1"/>
  <c r="H10811" i="7" s="1"/>
  <c r="E10811" i="7"/>
  <c r="D10811" i="7"/>
  <c r="H10810" i="7" a="1"/>
  <c r="H10810" i="7" s="1"/>
  <c r="E10810" i="7"/>
  <c r="D10810" i="7"/>
  <c r="H10809" i="7" a="1"/>
  <c r="H10809" i="7" s="1"/>
  <c r="E10809" i="7"/>
  <c r="D10809" i="7"/>
  <c r="L10816" i="7" l="1"/>
  <c r="H10805" i="7" a="1"/>
  <c r="H10805" i="7" s="1"/>
  <c r="E10805" i="7"/>
  <c r="D10805" i="7"/>
  <c r="H10804" i="7" a="1"/>
  <c r="H10804" i="7" s="1"/>
  <c r="E10804" i="7"/>
  <c r="D10804" i="7"/>
  <c r="H10803" i="7" a="1"/>
  <c r="H10803" i="7" s="1"/>
  <c r="E10803" i="7"/>
  <c r="D10803" i="7"/>
  <c r="H10802" i="7" a="1"/>
  <c r="H10802" i="7" s="1"/>
  <c r="E10802" i="7"/>
  <c r="D10802" i="7"/>
  <c r="H10801" i="7" a="1"/>
  <c r="H10801" i="7" s="1"/>
  <c r="E10801" i="7"/>
  <c r="D10801" i="7"/>
  <c r="E10828" i="7"/>
  <c r="D10828" i="7"/>
  <c r="E10827" i="7"/>
  <c r="D10827" i="7"/>
  <c r="H10826" i="7" a="1"/>
  <c r="H10826" i="7" s="1"/>
  <c r="E10826" i="7"/>
  <c r="D10826" i="7"/>
  <c r="H10800" i="7" a="1"/>
  <c r="H10800" i="7" s="1"/>
  <c r="E10800" i="7"/>
  <c r="D10800" i="7"/>
  <c r="H10799" i="7" a="1"/>
  <c r="H10799" i="7" s="1"/>
  <c r="E10799" i="7"/>
  <c r="D10799" i="7"/>
  <c r="H10798" i="7" a="1"/>
  <c r="H10798" i="7" s="1"/>
  <c r="E10798" i="7"/>
  <c r="D10798" i="7"/>
  <c r="H10793" i="7" a="1"/>
  <c r="H10793" i="7" s="1"/>
  <c r="E10793" i="7"/>
  <c r="D10793" i="7"/>
  <c r="H10792" i="7" a="1"/>
  <c r="H10792" i="7" s="1"/>
  <c r="E10792" i="7"/>
  <c r="D10792" i="7"/>
  <c r="H10791" i="7" a="1"/>
  <c r="H10791" i="7" s="1"/>
  <c r="E10791" i="7"/>
  <c r="D10791" i="7"/>
  <c r="H10806" i="7" l="1" a="1"/>
  <c r="H10806" i="7" s="1"/>
  <c r="E10806" i="7"/>
  <c r="D10806" i="7"/>
  <c r="H10797" i="7" l="1" a="1"/>
  <c r="H10797" i="7" s="1"/>
  <c r="E10797" i="7"/>
  <c r="D10797" i="7"/>
  <c r="H10796" i="7" a="1"/>
  <c r="H10796" i="7" s="1"/>
  <c r="E10796" i="7"/>
  <c r="D10796" i="7"/>
  <c r="H10795" i="7" a="1"/>
  <c r="H10795" i="7" s="1"/>
  <c r="E10795" i="7"/>
  <c r="D10795" i="7"/>
  <c r="H10794" i="7" a="1"/>
  <c r="H10794" i="7" s="1"/>
  <c r="E10794" i="7"/>
  <c r="D10794" i="7"/>
  <c r="H10780" i="7" a="1"/>
  <c r="H10780" i="7" s="1"/>
  <c r="E10780" i="7"/>
  <c r="D10780" i="7"/>
  <c r="H10779" i="7" a="1"/>
  <c r="H10779" i="7" s="1"/>
  <c r="E10779" i="7"/>
  <c r="D10779" i="7"/>
  <c r="E10778" i="7"/>
  <c r="D10778" i="7"/>
  <c r="H10777" i="7" a="1"/>
  <c r="H10777" i="7" s="1"/>
  <c r="E10777" i="7"/>
  <c r="D10777" i="7"/>
  <c r="H10769" i="7" a="1"/>
  <c r="H10769" i="7" s="1"/>
  <c r="E10769" i="7"/>
  <c r="D10769" i="7"/>
  <c r="H10768" i="7" a="1"/>
  <c r="H10768" i="7" s="1"/>
  <c r="E10768" i="7"/>
  <c r="D10768" i="7"/>
  <c r="H10767" i="7" a="1"/>
  <c r="H10767" i="7" s="1"/>
  <c r="E10767" i="7"/>
  <c r="D10767" i="7"/>
  <c r="H10790" i="7" a="1"/>
  <c r="H10790" i="7" s="1"/>
  <c r="E10790" i="7"/>
  <c r="D10790" i="7"/>
  <c r="H10789" i="7" a="1"/>
  <c r="H10789" i="7" s="1"/>
  <c r="E10789" i="7"/>
  <c r="D10789" i="7"/>
  <c r="H10788" i="7" a="1"/>
  <c r="H10788" i="7" s="1"/>
  <c r="E10788" i="7"/>
  <c r="D10788" i="7"/>
  <c r="H10787" i="7" a="1"/>
  <c r="H10787" i="7" s="1"/>
  <c r="E10787" i="7"/>
  <c r="D10787" i="7"/>
  <c r="H10786" i="7" a="1"/>
  <c r="H10786" i="7" s="1"/>
  <c r="E10786" i="7"/>
  <c r="D10786" i="7"/>
  <c r="H10785" i="7" a="1"/>
  <c r="H10785" i="7" s="1"/>
  <c r="E10785" i="7"/>
  <c r="D10785" i="7"/>
  <c r="H10784" i="7" a="1"/>
  <c r="H10784" i="7" s="1"/>
  <c r="E10784" i="7"/>
  <c r="D10784" i="7"/>
  <c r="H10783" i="7" a="1"/>
  <c r="H10783" i="7" s="1"/>
  <c r="E10783" i="7"/>
  <c r="D10783" i="7"/>
  <c r="H10782" i="7" a="1"/>
  <c r="H10782" i="7" s="1"/>
  <c r="E10782" i="7"/>
  <c r="D10782" i="7"/>
  <c r="H10781" i="7" a="1"/>
  <c r="H10781" i="7" s="1"/>
  <c r="E10781" i="7"/>
  <c r="D10781" i="7"/>
  <c r="E10774" i="7"/>
  <c r="D10774" i="7"/>
  <c r="H10776" i="7" a="1"/>
  <c r="H10776" i="7" s="1"/>
  <c r="E10776" i="7"/>
  <c r="D10776" i="7"/>
  <c r="H10775" i="7" a="1"/>
  <c r="H10775" i="7" s="1"/>
  <c r="E10775" i="7"/>
  <c r="D10775" i="7"/>
  <c r="H10773" i="7" a="1"/>
  <c r="H10773" i="7" s="1"/>
  <c r="E10773" i="7"/>
  <c r="D10773" i="7"/>
  <c r="E10772" i="7"/>
  <c r="D10772" i="7"/>
  <c r="E10771" i="7"/>
  <c r="D10771" i="7"/>
  <c r="H10770" i="7" a="1"/>
  <c r="H10770" i="7" s="1"/>
  <c r="E10770" i="7"/>
  <c r="D10770" i="7"/>
  <c r="H10764" i="7" a="1"/>
  <c r="H10764" i="7" s="1"/>
  <c r="E10764" i="7"/>
  <c r="D10764" i="7"/>
  <c r="H10763" i="7" a="1"/>
  <c r="H10763" i="7" s="1"/>
  <c r="E10763" i="7"/>
  <c r="D10763" i="7"/>
  <c r="E10762" i="7"/>
  <c r="D10762" i="7"/>
  <c r="H10761" i="7" a="1"/>
  <c r="H10761" i="7" s="1"/>
  <c r="E10761" i="7"/>
  <c r="D10761" i="7"/>
  <c r="H10760" i="7" l="1" a="1"/>
  <c r="H10760" i="7" s="1"/>
  <c r="E10760" i="7"/>
  <c r="D10760" i="7"/>
  <c r="H10759" i="7" a="1"/>
  <c r="H10759" i="7" s="1"/>
  <c r="E10759" i="7"/>
  <c r="D10759" i="7"/>
  <c r="H10758" i="7" a="1"/>
  <c r="H10758" i="7" s="1"/>
  <c r="E10758" i="7"/>
  <c r="D10758" i="7"/>
  <c r="H10757" i="7" a="1"/>
  <c r="H10757" i="7" s="1"/>
  <c r="E10757" i="7"/>
  <c r="D10757" i="7"/>
  <c r="H10756" i="7" a="1"/>
  <c r="H10756" i="7" s="1"/>
  <c r="E10756" i="7"/>
  <c r="D10756" i="7"/>
  <c r="H10755" i="7" a="1"/>
  <c r="H10755" i="7" s="1"/>
  <c r="E10755" i="7"/>
  <c r="D10755" i="7"/>
  <c r="H10754" i="7" a="1"/>
  <c r="H10754" i="7" s="1"/>
  <c r="E10754" i="7"/>
  <c r="D10754" i="7"/>
  <c r="H10753" i="7" a="1"/>
  <c r="H10753" i="7" s="1"/>
  <c r="E10753" i="7"/>
  <c r="D10753" i="7"/>
  <c r="H10752" i="7" a="1"/>
  <c r="H10752" i="7" s="1"/>
  <c r="E10752" i="7"/>
  <c r="D10752" i="7"/>
  <c r="H10766" i="7" l="1" a="1"/>
  <c r="H10766" i="7" s="1"/>
  <c r="E10766" i="7"/>
  <c r="D10766" i="7"/>
  <c r="H10765" i="7" a="1"/>
  <c r="H10765" i="7" s="1"/>
  <c r="E10765" i="7"/>
  <c r="D10765" i="7"/>
  <c r="H10751" i="7" a="1"/>
  <c r="H10751" i="7" s="1"/>
  <c r="E10751" i="7"/>
  <c r="D10751" i="7"/>
  <c r="H10750" i="7" a="1"/>
  <c r="H10750" i="7" s="1"/>
  <c r="E10750" i="7"/>
  <c r="D10750" i="7"/>
  <c r="H10749" i="7" a="1"/>
  <c r="H10749" i="7" s="1"/>
  <c r="E10749" i="7"/>
  <c r="D10749" i="7"/>
  <c r="H10740" i="7" l="1" a="1"/>
  <c r="H10740" i="7" s="1"/>
  <c r="E10740" i="7"/>
  <c r="D10740" i="7"/>
  <c r="E10739" i="7"/>
  <c r="D10739" i="7"/>
  <c r="H10738" i="7" a="1"/>
  <c r="H10738" i="7" s="1"/>
  <c r="E10738" i="7"/>
  <c r="D10738" i="7"/>
  <c r="H10737" i="7" a="1"/>
  <c r="H10737" i="7" s="1"/>
  <c r="E10737" i="7"/>
  <c r="D10737" i="7"/>
  <c r="H10736" i="7" a="1"/>
  <c r="H10736" i="7" s="1"/>
  <c r="E10736" i="7"/>
  <c r="D10736" i="7"/>
  <c r="H10748" i="7" l="1" a="1"/>
  <c r="H10748" i="7" s="1"/>
  <c r="E10748" i="7"/>
  <c r="D10748" i="7"/>
  <c r="H10747" i="7" a="1"/>
  <c r="H10747" i="7" s="1"/>
  <c r="E10747" i="7"/>
  <c r="D10747" i="7"/>
  <c r="E10746" i="7"/>
  <c r="D10746" i="7"/>
  <c r="H10745" i="7" a="1"/>
  <c r="H10745" i="7" s="1"/>
  <c r="E10745" i="7"/>
  <c r="D10745" i="7"/>
  <c r="H10744" i="7" a="1"/>
  <c r="H10744" i="7" s="1"/>
  <c r="E10744" i="7"/>
  <c r="D10744" i="7"/>
  <c r="H10743" i="7" a="1"/>
  <c r="H10743" i="7" s="1"/>
  <c r="E10743" i="7"/>
  <c r="D10743" i="7"/>
  <c r="E10742" i="7"/>
  <c r="D10742" i="7"/>
  <c r="H10741" i="7" a="1"/>
  <c r="H10741" i="7" s="1"/>
  <c r="E10741" i="7"/>
  <c r="D10741" i="7"/>
  <c r="H10504" i="7" l="1" a="1"/>
  <c r="H10504" i="7" s="1"/>
  <c r="E10504" i="7"/>
  <c r="D10504" i="7"/>
  <c r="H10503" i="7" a="1"/>
  <c r="H10503" i="7" s="1"/>
  <c r="E10503" i="7"/>
  <c r="D10503" i="7"/>
  <c r="H10502" i="7" a="1"/>
  <c r="H10502" i="7" s="1"/>
  <c r="E10502" i="7"/>
  <c r="D10502" i="7"/>
  <c r="H10392" i="7" a="1"/>
  <c r="H10392" i="7" s="1"/>
  <c r="E10392" i="7"/>
  <c r="D10392" i="7"/>
  <c r="H10391" i="7" a="1"/>
  <c r="H10391" i="7" s="1"/>
  <c r="E10391" i="7"/>
  <c r="D10391" i="7"/>
  <c r="H10390" i="7" a="1"/>
  <c r="H10390" i="7" s="1"/>
  <c r="E10390" i="7"/>
  <c r="D10390" i="7"/>
  <c r="H10352" i="7" a="1"/>
  <c r="H10352" i="7" s="1"/>
  <c r="E10352" i="7"/>
  <c r="D10352" i="7"/>
  <c r="H10351" i="7" a="1"/>
  <c r="H10351" i="7" s="1"/>
  <c r="E10351" i="7"/>
  <c r="D10351" i="7"/>
  <c r="H10350" i="7" a="1"/>
  <c r="H10350" i="7" s="1"/>
  <c r="E10350" i="7"/>
  <c r="D10350" i="7"/>
  <c r="H10386" i="7" a="1"/>
  <c r="H10386" i="7" s="1"/>
  <c r="E10386" i="7"/>
  <c r="D10386" i="7"/>
  <c r="H10385" i="7" a="1"/>
  <c r="H10385" i="7" s="1"/>
  <c r="E10385" i="7"/>
  <c r="D10385" i="7"/>
  <c r="H10384" i="7" a="1"/>
  <c r="H10384" i="7" s="1"/>
  <c r="E10384" i="7"/>
  <c r="D10384" i="7"/>
  <c r="D10387" i="7"/>
  <c r="E10387" i="7"/>
  <c r="H10387" i="7" a="1"/>
  <c r="H10387" i="7" s="1"/>
  <c r="H10300" i="7" a="1"/>
  <c r="H10300" i="7" s="1"/>
  <c r="E10300" i="7"/>
  <c r="D10300" i="7"/>
  <c r="H10299" i="7" a="1"/>
  <c r="H10299" i="7" s="1"/>
  <c r="E10299" i="7"/>
  <c r="D10299" i="7"/>
  <c r="H10298" i="7" a="1"/>
  <c r="H10298" i="7" s="1"/>
  <c r="E10298" i="7"/>
  <c r="D10298" i="7"/>
  <c r="H10689" i="7" a="1"/>
  <c r="H10689" i="7" s="1"/>
  <c r="E10689" i="7"/>
  <c r="D10689" i="7"/>
  <c r="H10688" i="7" a="1"/>
  <c r="H10688" i="7" s="1"/>
  <c r="E10688" i="7"/>
  <c r="D10688" i="7"/>
  <c r="H10677" i="7" a="1"/>
  <c r="H10677" i="7" s="1"/>
  <c r="E10677" i="7"/>
  <c r="D10677" i="7"/>
  <c r="H10676" i="7" a="1"/>
  <c r="H10676" i="7" s="1"/>
  <c r="E10676" i="7"/>
  <c r="D10676" i="7"/>
  <c r="H10735" i="7" a="1"/>
  <c r="H10735" i="7" s="1"/>
  <c r="E10735" i="7"/>
  <c r="D10735" i="7"/>
  <c r="H10734" i="7" a="1"/>
  <c r="H10734" i="7" s="1"/>
  <c r="E10734" i="7"/>
  <c r="D10734" i="7"/>
  <c r="H10733" i="7" a="1"/>
  <c r="H10733" i="7" s="1"/>
  <c r="E10733" i="7"/>
  <c r="D10733" i="7"/>
  <c r="H10732" i="7" a="1"/>
  <c r="H10732" i="7" s="1"/>
  <c r="E10732" i="7"/>
  <c r="D10732" i="7"/>
  <c r="H10731" i="7" a="1"/>
  <c r="H10731" i="7" s="1"/>
  <c r="E10731" i="7"/>
  <c r="D10731" i="7"/>
  <c r="H10730" i="7" a="1"/>
  <c r="H10730" i="7" s="1"/>
  <c r="E10730" i="7"/>
  <c r="D10730" i="7"/>
  <c r="H10729" i="7" a="1"/>
  <c r="H10729" i="7" s="1"/>
  <c r="E10729" i="7"/>
  <c r="D10729" i="7"/>
  <c r="H10728" i="7" a="1"/>
  <c r="H10728" i="7" s="1"/>
  <c r="E10728" i="7"/>
  <c r="D10728" i="7"/>
  <c r="H10727" i="7" a="1"/>
  <c r="H10727" i="7" s="1"/>
  <c r="E10727" i="7"/>
  <c r="D10727" i="7"/>
  <c r="H10726" i="7" a="1"/>
  <c r="H10726" i="7" s="1"/>
  <c r="E10726" i="7"/>
  <c r="D10726" i="7"/>
  <c r="H10716" i="7" l="1" a="1"/>
  <c r="H10716" i="7" s="1"/>
  <c r="E10716" i="7"/>
  <c r="D10716" i="7"/>
  <c r="H10714" i="7" a="1"/>
  <c r="H10714" i="7" s="1"/>
  <c r="E10714" i="7"/>
  <c r="D10714" i="7"/>
  <c r="H10706" i="7" a="1"/>
  <c r="H10706" i="7" s="1"/>
  <c r="E10706" i="7"/>
  <c r="D10706" i="7"/>
  <c r="H10705" i="7" a="1"/>
  <c r="H10705" i="7" s="1"/>
  <c r="E10705" i="7"/>
  <c r="D10705" i="7"/>
  <c r="H10704" i="7" a="1"/>
  <c r="H10704" i="7" s="1"/>
  <c r="E10704" i="7"/>
  <c r="D10704" i="7"/>
  <c r="H10703" i="7" a="1"/>
  <c r="H10703" i="7" s="1"/>
  <c r="E10703" i="7"/>
  <c r="D10703" i="7"/>
  <c r="H10713" i="7" a="1"/>
  <c r="H10713" i="7" s="1"/>
  <c r="E10713" i="7"/>
  <c r="D10713" i="7"/>
  <c r="H10712" i="7" a="1"/>
  <c r="H10712" i="7" s="1"/>
  <c r="E10712" i="7"/>
  <c r="D10712" i="7"/>
  <c r="E10711" i="7"/>
  <c r="D10711" i="7"/>
  <c r="H10710" i="7" a="1"/>
  <c r="H10710" i="7" s="1"/>
  <c r="E10710" i="7"/>
  <c r="D10710" i="7"/>
  <c r="H10709" i="7" l="1" a="1"/>
  <c r="H10709" i="7" s="1"/>
  <c r="E10709" i="7"/>
  <c r="D10709" i="7"/>
  <c r="H10708" i="7" a="1"/>
  <c r="H10708" i="7" s="1"/>
  <c r="E10708" i="7"/>
  <c r="D10708" i="7"/>
  <c r="H10707" i="7" a="1"/>
  <c r="H10707" i="7" s="1"/>
  <c r="E10707" i="7"/>
  <c r="D10707" i="7"/>
  <c r="H10725" i="7" a="1"/>
  <c r="H10725" i="7" s="1"/>
  <c r="E10725" i="7"/>
  <c r="D10725" i="7"/>
  <c r="H10724" i="7" a="1"/>
  <c r="H10724" i="7" s="1"/>
  <c r="E10724" i="7"/>
  <c r="D10724" i="7"/>
  <c r="H10723" i="7" a="1"/>
  <c r="H10723" i="7" s="1"/>
  <c r="E10723" i="7"/>
  <c r="D10723" i="7"/>
  <c r="H10722" i="7" a="1"/>
  <c r="H10722" i="7" s="1"/>
  <c r="E10722" i="7"/>
  <c r="D10722" i="7"/>
  <c r="H10721" i="7" a="1"/>
  <c r="H10721" i="7" s="1"/>
  <c r="E10721" i="7"/>
  <c r="D10721" i="7"/>
  <c r="H10720" i="7" a="1"/>
  <c r="H10720" i="7" s="1"/>
  <c r="E10720" i="7"/>
  <c r="D10720" i="7"/>
  <c r="H10719" i="7" a="1"/>
  <c r="H10719" i="7" s="1"/>
  <c r="E10719" i="7"/>
  <c r="D10719" i="7"/>
  <c r="H10718" i="7" a="1"/>
  <c r="H10718" i="7" s="1"/>
  <c r="E10718" i="7"/>
  <c r="D10718" i="7"/>
  <c r="H10717" i="7" a="1"/>
  <c r="H10717" i="7" s="1"/>
  <c r="E10717" i="7"/>
  <c r="D10717" i="7"/>
  <c r="H10702" i="7" l="1" a="1"/>
  <c r="H10702" i="7" s="1"/>
  <c r="E10702" i="7"/>
  <c r="D10702" i="7"/>
  <c r="E10701" i="7"/>
  <c r="D10701" i="7"/>
  <c r="H10700" i="7" a="1"/>
  <c r="H10700" i="7" s="1"/>
  <c r="E10700" i="7"/>
  <c r="D10700" i="7"/>
  <c r="H10697" i="7" a="1"/>
  <c r="H10697" i="7" s="1"/>
  <c r="E10697" i="7"/>
  <c r="D10697" i="7"/>
  <c r="H10696" i="7" a="1"/>
  <c r="H10696" i="7" s="1"/>
  <c r="E10696" i="7"/>
  <c r="D10696" i="7"/>
  <c r="H10695" i="7" a="1"/>
  <c r="H10695" i="7" s="1"/>
  <c r="E10695" i="7"/>
  <c r="D10695" i="7"/>
  <c r="H10694" i="7" a="1"/>
  <c r="H10694" i="7" s="1"/>
  <c r="E10694" i="7"/>
  <c r="D10694" i="7"/>
  <c r="H10699" i="7" a="1"/>
  <c r="H10699" i="7" s="1"/>
  <c r="E10699" i="7"/>
  <c r="D10699" i="7"/>
  <c r="H10698" i="7" a="1"/>
  <c r="H10698" i="7" s="1"/>
  <c r="E10698" i="7"/>
  <c r="D10698" i="7"/>
  <c r="H10693" i="7" a="1"/>
  <c r="H10693" i="7" s="1"/>
  <c r="E10693" i="7"/>
  <c r="D10693" i="7"/>
  <c r="H10692" i="7" a="1"/>
  <c r="H10692" i="7" s="1"/>
  <c r="E10692" i="7"/>
  <c r="D10692" i="7"/>
  <c r="E10691" i="7"/>
  <c r="D10691" i="7"/>
  <c r="H10690" i="7" a="1"/>
  <c r="H10690" i="7" s="1"/>
  <c r="E10690" i="7"/>
  <c r="D10690" i="7"/>
  <c r="H10675" i="7" l="1" a="1"/>
  <c r="H10675" i="7" s="1"/>
  <c r="E10675" i="7"/>
  <c r="D10675" i="7"/>
  <c r="H10674" i="7" a="1"/>
  <c r="H10674" i="7" s="1"/>
  <c r="E10674" i="7"/>
  <c r="D10674" i="7"/>
  <c r="E10673" i="7"/>
  <c r="D10673" i="7"/>
  <c r="H10672" i="7" a="1"/>
  <c r="H10672" i="7" s="1"/>
  <c r="E10672" i="7"/>
  <c r="D10672" i="7"/>
  <c r="H10687" i="7" l="1" a="1"/>
  <c r="H10687" i="7" s="1"/>
  <c r="E10687" i="7"/>
  <c r="D10687" i="7"/>
  <c r="H10686" i="7" a="1"/>
  <c r="H10686" i="7" s="1"/>
  <c r="E10686" i="7"/>
  <c r="D10686" i="7"/>
  <c r="H10685" i="7" a="1"/>
  <c r="H10685" i="7" s="1"/>
  <c r="E10685" i="7"/>
  <c r="D10685" i="7"/>
  <c r="H10684" i="7" a="1"/>
  <c r="H10684" i="7" s="1"/>
  <c r="E10684" i="7"/>
  <c r="D10684" i="7"/>
  <c r="H10683" i="7" a="1"/>
  <c r="H10683" i="7" s="1"/>
  <c r="E10683" i="7"/>
  <c r="D10683" i="7"/>
  <c r="H10682" i="7" a="1"/>
  <c r="H10682" i="7" s="1"/>
  <c r="E10682" i="7"/>
  <c r="D10682" i="7"/>
  <c r="H10681" i="7" a="1"/>
  <c r="H10681" i="7" s="1"/>
  <c r="E10681" i="7"/>
  <c r="D10681" i="7"/>
  <c r="H10680" i="7" a="1"/>
  <c r="H10680" i="7" s="1"/>
  <c r="E10680" i="7"/>
  <c r="D10680" i="7"/>
  <c r="H10679" i="7" a="1"/>
  <c r="H10679" i="7" s="1"/>
  <c r="E10679" i="7"/>
  <c r="D10679" i="7"/>
  <c r="H10678" i="7" a="1"/>
  <c r="H10678" i="7" s="1"/>
  <c r="E10678" i="7"/>
  <c r="D10678" i="7"/>
  <c r="H10669" i="7" a="1"/>
  <c r="H10669" i="7" s="1"/>
  <c r="H10668" i="7" a="1"/>
  <c r="H10668" i="7" s="1"/>
  <c r="H10667" i="7" a="1"/>
  <c r="H10667" i="7" s="1"/>
  <c r="E10669" i="7"/>
  <c r="D10669" i="7"/>
  <c r="E10668" i="7"/>
  <c r="D10668" i="7"/>
  <c r="E10667" i="7"/>
  <c r="D10667" i="7"/>
  <c r="H10666" i="7" l="1" a="1"/>
  <c r="H10666" i="7" s="1"/>
  <c r="E10666" i="7"/>
  <c r="D10666" i="7"/>
  <c r="H10665" i="7" a="1"/>
  <c r="H10665" i="7" s="1"/>
  <c r="E10665" i="7"/>
  <c r="D10665" i="7"/>
  <c r="E10664" i="7"/>
  <c r="D10664" i="7"/>
  <c r="E10663" i="7"/>
  <c r="D10663" i="7"/>
  <c r="E10662" i="7"/>
  <c r="D10662" i="7"/>
  <c r="H10661" i="7" a="1"/>
  <c r="H10661" i="7" s="1"/>
  <c r="E10661" i="7"/>
  <c r="D10661" i="7"/>
  <c r="E10671" i="7" l="1"/>
  <c r="D10671" i="7"/>
  <c r="H10670" i="7" a="1"/>
  <c r="H10670" i="7" s="1"/>
  <c r="E10670" i="7"/>
  <c r="D10670" i="7"/>
  <c r="H10635" i="7" l="1" a="1"/>
  <c r="H10635" i="7" s="1"/>
  <c r="E10635" i="7"/>
  <c r="D10635" i="7"/>
  <c r="H10634" i="7" a="1"/>
  <c r="H10634" i="7" s="1"/>
  <c r="E10634" i="7"/>
  <c r="D10634" i="7"/>
  <c r="H10633" i="7" a="1"/>
  <c r="H10633" i="7" s="1"/>
  <c r="E10633" i="7"/>
  <c r="D10633" i="7"/>
  <c r="H10657" i="7" a="1"/>
  <c r="H10657" i="7" s="1"/>
  <c r="E10657" i="7"/>
  <c r="D10657" i="7"/>
  <c r="H10656" i="7" a="1"/>
  <c r="H10656" i="7" s="1"/>
  <c r="E10656" i="7"/>
  <c r="D10656" i="7"/>
  <c r="H10655" i="7" a="1"/>
  <c r="H10655" i="7" s="1"/>
  <c r="E10655" i="7"/>
  <c r="D10655" i="7"/>
  <c r="H10654" i="7" l="1" a="1"/>
  <c r="H10654" i="7" s="1"/>
  <c r="E10654" i="7"/>
  <c r="D10654" i="7"/>
  <c r="H10653" i="7" a="1"/>
  <c r="H10653" i="7" s="1"/>
  <c r="E10653" i="7"/>
  <c r="D10653" i="7"/>
  <c r="E10652" i="7"/>
  <c r="D10652" i="7"/>
  <c r="E10651" i="7"/>
  <c r="D10651" i="7"/>
  <c r="E10650" i="7"/>
  <c r="D10650" i="7"/>
  <c r="H10649" i="7" a="1"/>
  <c r="H10649" i="7" s="1"/>
  <c r="E10649" i="7"/>
  <c r="D10649" i="7"/>
  <c r="H10660" i="7" l="1" a="1"/>
  <c r="H10660" i="7" s="1"/>
  <c r="E10660" i="7"/>
  <c r="D10660" i="7"/>
  <c r="E10659" i="7"/>
  <c r="D10659" i="7"/>
  <c r="H10658" i="7" a="1"/>
  <c r="H10658" i="7" s="1"/>
  <c r="E10658" i="7"/>
  <c r="D10658" i="7"/>
  <c r="H10648" i="7" a="1"/>
  <c r="H10648" i="7" s="1"/>
  <c r="E10648" i="7"/>
  <c r="D10648" i="7"/>
  <c r="H10647" i="7" a="1"/>
  <c r="H10647" i="7" s="1"/>
  <c r="E10647" i="7"/>
  <c r="D10647" i="7"/>
  <c r="H10646" i="7" a="1"/>
  <c r="H10646" i="7" s="1"/>
  <c r="E10646" i="7"/>
  <c r="D10646" i="7"/>
  <c r="H10645" i="7" a="1"/>
  <c r="H10645" i="7" s="1"/>
  <c r="E10645" i="7"/>
  <c r="D10645" i="7"/>
  <c r="E10644" i="7"/>
  <c r="D10644" i="7"/>
  <c r="H10643" i="7" a="1"/>
  <c r="H10643" i="7" s="1"/>
  <c r="E10643" i="7"/>
  <c r="D10643" i="7"/>
  <c r="H10637" i="7" a="1"/>
  <c r="H10637" i="7" s="1"/>
  <c r="E10637" i="7"/>
  <c r="D10637" i="7"/>
  <c r="H10636" i="7" a="1"/>
  <c r="H10636" i="7" s="1"/>
  <c r="E10636" i="7"/>
  <c r="D10636" i="7"/>
  <c r="H10642" i="7" a="1"/>
  <c r="H10642" i="7" s="1"/>
  <c r="E10642" i="7"/>
  <c r="D10642" i="7"/>
  <c r="H10641" i="7" a="1"/>
  <c r="H10641" i="7" s="1"/>
  <c r="E10641" i="7"/>
  <c r="D10641" i="7"/>
  <c r="E10640" i="7"/>
  <c r="D10640" i="7"/>
  <c r="E10639" i="7"/>
  <c r="D10639" i="7"/>
  <c r="H10638" i="7" a="1"/>
  <c r="H10638" i="7" s="1"/>
  <c r="E10638" i="7"/>
  <c r="D10638" i="7"/>
  <c r="E10613" i="7" l="1"/>
  <c r="D10613" i="7"/>
  <c r="E10619" i="7"/>
  <c r="D10619" i="7"/>
  <c r="E10620" i="7" l="1"/>
  <c r="D10620" i="7"/>
  <c r="E10618" i="7"/>
  <c r="D10618" i="7"/>
  <c r="E10614" i="7"/>
  <c r="D10614" i="7"/>
  <c r="E10612" i="7"/>
  <c r="D10612" i="7"/>
  <c r="H10622" i="7" l="1" a="1"/>
  <c r="H10622" i="7" s="1"/>
  <c r="E10622" i="7"/>
  <c r="D10622" i="7"/>
  <c r="H10621" i="7" a="1"/>
  <c r="H10621" i="7" s="1"/>
  <c r="E10621" i="7"/>
  <c r="D10621" i="7"/>
  <c r="H10617" i="7" a="1"/>
  <c r="H10617" i="7" s="1"/>
  <c r="E10617" i="7"/>
  <c r="D10617" i="7"/>
  <c r="H10616" i="7" a="1"/>
  <c r="H10616" i="7" s="1"/>
  <c r="E10616" i="7"/>
  <c r="D10616" i="7"/>
  <c r="H10615" i="7" a="1"/>
  <c r="H10615" i="7" s="1"/>
  <c r="E10615" i="7"/>
  <c r="D10615" i="7"/>
  <c r="H10611" i="7" a="1"/>
  <c r="H10611" i="7" s="1"/>
  <c r="E10611" i="7"/>
  <c r="D10611" i="7"/>
  <c r="H10632" i="7" l="1" a="1"/>
  <c r="H10632" i="7" s="1"/>
  <c r="E10632" i="7"/>
  <c r="D10632" i="7"/>
  <c r="H10631" i="7" a="1"/>
  <c r="H10631" i="7" s="1"/>
  <c r="E10631" i="7"/>
  <c r="D10631" i="7"/>
  <c r="H10630" i="7" a="1"/>
  <c r="H10630" i="7" s="1"/>
  <c r="E10630" i="7"/>
  <c r="D10630" i="7"/>
  <c r="H10629" i="7" a="1"/>
  <c r="H10629" i="7" s="1"/>
  <c r="E10629" i="7"/>
  <c r="D10629" i="7"/>
  <c r="H10628" i="7" a="1"/>
  <c r="H10628" i="7" s="1"/>
  <c r="E10628" i="7"/>
  <c r="D10628" i="7"/>
  <c r="H10627" i="7" a="1"/>
  <c r="H10627" i="7" s="1"/>
  <c r="E10627" i="7"/>
  <c r="D10627" i="7"/>
  <c r="H10626" i="7" a="1"/>
  <c r="H10626" i="7" s="1"/>
  <c r="E10626" i="7"/>
  <c r="D10626" i="7"/>
  <c r="H10625" i="7" a="1"/>
  <c r="H10625" i="7" s="1"/>
  <c r="E10625" i="7"/>
  <c r="D10625" i="7"/>
  <c r="H10624" i="7" a="1"/>
  <c r="H10624" i="7" s="1"/>
  <c r="E10624" i="7"/>
  <c r="D10624" i="7"/>
  <c r="H10623" i="7" a="1"/>
  <c r="H10623" i="7" s="1"/>
  <c r="E10623" i="7"/>
  <c r="D10623" i="7"/>
  <c r="H10585" i="7" a="1"/>
  <c r="H10585" i="7" s="1"/>
  <c r="E10585" i="7"/>
  <c r="D10585" i="7"/>
  <c r="H10584" i="7" a="1"/>
  <c r="H10584" i="7" s="1"/>
  <c r="E10584" i="7"/>
  <c r="D10584" i="7"/>
  <c r="H10583" i="7" a="1"/>
  <c r="H10583" i="7" s="1"/>
  <c r="E10583" i="7"/>
  <c r="D10583" i="7"/>
  <c r="H10610" i="7" l="1" a="1"/>
  <c r="H10610" i="7" s="1"/>
  <c r="E10610" i="7"/>
  <c r="D10610" i="7"/>
  <c r="H10608" i="7" a="1"/>
  <c r="H10608" i="7" s="1"/>
  <c r="E10608" i="7"/>
  <c r="D10608" i="7"/>
  <c r="H10600" i="7" a="1"/>
  <c r="H10600" i="7" s="1"/>
  <c r="E10600" i="7"/>
  <c r="D10600" i="7"/>
  <c r="H10599" i="7" a="1"/>
  <c r="H10599" i="7" s="1"/>
  <c r="E10599" i="7"/>
  <c r="D10599" i="7"/>
  <c r="D10567" i="7"/>
  <c r="E10567" i="7"/>
  <c r="H10607" i="7" a="1"/>
  <c r="H10607" i="7" s="1"/>
  <c r="E10607" i="7"/>
  <c r="D10607" i="7"/>
  <c r="H10606" i="7" a="1"/>
  <c r="H10606" i="7" s="1"/>
  <c r="E10606" i="7"/>
  <c r="D10606" i="7"/>
  <c r="H10605" i="7" a="1"/>
  <c r="H10605" i="7" s="1"/>
  <c r="E10605" i="7"/>
  <c r="D10605" i="7"/>
  <c r="E10604" i="7"/>
  <c r="D10604" i="7"/>
  <c r="H10603" i="7" a="1"/>
  <c r="H10603" i="7" s="1"/>
  <c r="E10603" i="7"/>
  <c r="D10603" i="7"/>
  <c r="H10602" i="7" l="1" a="1"/>
  <c r="H10602" i="7" s="1"/>
  <c r="E10602" i="7"/>
  <c r="D10602" i="7"/>
  <c r="H10601" i="7" a="1"/>
  <c r="H10601" i="7" s="1"/>
  <c r="E10601" i="7"/>
  <c r="D10601" i="7"/>
  <c r="E10598" i="7"/>
  <c r="D10598" i="7"/>
  <c r="E10597" i="7"/>
  <c r="D10597" i="7"/>
  <c r="H10596" i="7" a="1"/>
  <c r="H10596" i="7" s="1"/>
  <c r="E10596" i="7"/>
  <c r="D10596" i="7"/>
  <c r="H10285" i="7" l="1" a="1"/>
  <c r="H10285" i="7" s="1"/>
  <c r="E10285" i="7"/>
  <c r="D10285" i="7"/>
  <c r="H10284" i="7" a="1"/>
  <c r="H10284" i="7" s="1"/>
  <c r="E10284" i="7"/>
  <c r="D10284" i="7"/>
  <c r="H10595" i="7" a="1"/>
  <c r="H10595" i="7" s="1"/>
  <c r="E10595" i="7"/>
  <c r="D10595" i="7"/>
  <c r="H10594" i="7" a="1"/>
  <c r="H10594" i="7" s="1"/>
  <c r="E10594" i="7"/>
  <c r="D10594" i="7"/>
  <c r="H10593" i="7" a="1"/>
  <c r="H10593" i="7" s="1"/>
  <c r="E10593" i="7"/>
  <c r="D10593" i="7"/>
  <c r="H10592" i="7" a="1"/>
  <c r="H10592" i="7" s="1"/>
  <c r="E10592" i="7"/>
  <c r="D10592" i="7"/>
  <c r="H10591" i="7" a="1"/>
  <c r="H10591" i="7" s="1"/>
  <c r="E10591" i="7"/>
  <c r="D10591" i="7"/>
  <c r="H10590" i="7" a="1"/>
  <c r="H10590" i="7" s="1"/>
  <c r="E10590" i="7"/>
  <c r="D10590" i="7"/>
  <c r="H10589" i="7" a="1"/>
  <c r="H10589" i="7" s="1"/>
  <c r="E10589" i="7"/>
  <c r="D10589" i="7"/>
  <c r="H10588" i="7" a="1"/>
  <c r="H10588" i="7" s="1"/>
  <c r="E10588" i="7"/>
  <c r="D10588" i="7"/>
  <c r="H10587" i="7" a="1"/>
  <c r="H10587" i="7" s="1"/>
  <c r="E10587" i="7"/>
  <c r="D10587" i="7"/>
  <c r="H10586" i="7" a="1"/>
  <c r="H10586" i="7" s="1"/>
  <c r="E10586" i="7"/>
  <c r="D10586" i="7"/>
  <c r="H10582" i="7" a="1"/>
  <c r="H10582" i="7" s="1"/>
  <c r="E10582" i="7"/>
  <c r="D10582" i="7"/>
  <c r="H10581" i="7" a="1"/>
  <c r="H10581" i="7" s="1"/>
  <c r="E10581" i="7"/>
  <c r="D10581" i="7"/>
  <c r="H10580" i="7" a="1"/>
  <c r="H10580" i="7" s="1"/>
  <c r="E10580" i="7"/>
  <c r="D10580" i="7"/>
  <c r="H10579" i="7" a="1"/>
  <c r="H10579" i="7" s="1"/>
  <c r="E10579" i="7"/>
  <c r="D10579" i="7"/>
  <c r="H10578" i="7" a="1"/>
  <c r="H10578" i="7" s="1"/>
  <c r="E10578" i="7"/>
  <c r="D10578" i="7"/>
  <c r="H10577" i="7" a="1"/>
  <c r="H10577" i="7" s="1"/>
  <c r="E10577" i="7"/>
  <c r="D10577" i="7"/>
  <c r="H10576" i="7" l="1" a="1"/>
  <c r="H10576" i="7" s="1"/>
  <c r="E10576" i="7"/>
  <c r="D10576" i="7"/>
  <c r="H10575" i="7" a="1"/>
  <c r="H10575" i="7" s="1"/>
  <c r="E10575" i="7"/>
  <c r="D10575" i="7"/>
  <c r="H10574" i="7" a="1"/>
  <c r="H10574" i="7" s="1"/>
  <c r="E10574" i="7"/>
  <c r="D10574" i="7"/>
  <c r="H10573" i="7" a="1"/>
  <c r="H10573" i="7" s="1"/>
  <c r="E10573" i="7"/>
  <c r="D10573" i="7"/>
  <c r="H10572" i="7" a="1"/>
  <c r="H10572" i="7" s="1"/>
  <c r="E10572" i="7"/>
  <c r="D10572" i="7"/>
  <c r="H10571" i="7" a="1"/>
  <c r="H10571" i="7" s="1"/>
  <c r="E10571" i="7"/>
  <c r="D10571" i="7"/>
  <c r="H10564" i="7" a="1"/>
  <c r="H10564" i="7" s="1"/>
  <c r="E10564" i="7"/>
  <c r="D10564" i="7"/>
  <c r="E10563" i="7"/>
  <c r="D10563" i="7"/>
  <c r="H10562" i="7" a="1"/>
  <c r="H10562" i="7" s="1"/>
  <c r="E10562" i="7"/>
  <c r="D10562" i="7"/>
  <c r="H10555" i="7" a="1"/>
  <c r="H10555" i="7" s="1"/>
  <c r="E10555" i="7"/>
  <c r="D10555" i="7"/>
  <c r="H10554" i="7" a="1"/>
  <c r="H10554" i="7" s="1"/>
  <c r="E10554" i="7"/>
  <c r="D10554" i="7"/>
  <c r="H10570" i="7" a="1"/>
  <c r="H10570" i="7" s="1"/>
  <c r="E10570" i="7"/>
  <c r="D10570" i="7"/>
  <c r="H10569" i="7" a="1"/>
  <c r="H10569" i="7" s="1"/>
  <c r="E10569" i="7"/>
  <c r="D10569" i="7"/>
  <c r="E10568" i="7"/>
  <c r="D10568" i="7"/>
  <c r="E10566" i="7"/>
  <c r="D10566" i="7"/>
  <c r="H10565" i="7" a="1"/>
  <c r="H10565" i="7" s="1"/>
  <c r="E10565" i="7"/>
  <c r="D10565" i="7"/>
  <c r="E10561" i="7"/>
  <c r="D10561" i="7"/>
  <c r="E10560" i="7"/>
  <c r="D10560" i="7"/>
  <c r="H10559" i="7" a="1"/>
  <c r="H10559" i="7" s="1"/>
  <c r="E10559" i="7"/>
  <c r="D10559" i="7"/>
  <c r="E10558" i="7"/>
  <c r="D10558" i="7"/>
  <c r="E10557" i="7"/>
  <c r="D10557" i="7"/>
  <c r="H10556" i="7" a="1"/>
  <c r="H10556" i="7" s="1"/>
  <c r="E10556" i="7"/>
  <c r="D10556" i="7"/>
  <c r="H10553" i="7" a="1"/>
  <c r="H10553" i="7" s="1"/>
  <c r="E10553" i="7"/>
  <c r="D10553" i="7"/>
  <c r="H10552" i="7" a="1"/>
  <c r="H10552" i="7" s="1"/>
  <c r="E10552" i="7"/>
  <c r="D10552" i="7"/>
  <c r="E10551" i="7"/>
  <c r="D10551" i="7"/>
  <c r="H10550" i="7" a="1"/>
  <c r="H10550" i="7" s="1"/>
  <c r="E10550" i="7"/>
  <c r="D10550" i="7"/>
  <c r="H10549" i="7" l="1" a="1"/>
  <c r="H10549" i="7" s="1"/>
  <c r="E10549" i="7"/>
  <c r="D10549" i="7"/>
  <c r="H10548" i="7" a="1"/>
  <c r="H10548" i="7" s="1"/>
  <c r="E10548" i="7"/>
  <c r="D10548" i="7"/>
  <c r="H10547" i="7" a="1"/>
  <c r="H10547" i="7" s="1"/>
  <c r="E10547" i="7"/>
  <c r="D10547" i="7"/>
  <c r="H10546" i="7" a="1"/>
  <c r="H10546" i="7" s="1"/>
  <c r="E10546" i="7"/>
  <c r="D10546" i="7"/>
  <c r="H10545" i="7" a="1"/>
  <c r="H10545" i="7" s="1"/>
  <c r="E10545" i="7"/>
  <c r="D10545" i="7"/>
  <c r="H10544" i="7" a="1"/>
  <c r="H10544" i="7" s="1"/>
  <c r="E10544" i="7"/>
  <c r="D10544" i="7"/>
  <c r="H10543" i="7" a="1"/>
  <c r="H10543" i="7" s="1"/>
  <c r="E10543" i="7"/>
  <c r="D10543" i="7"/>
  <c r="H10542" i="7" a="1"/>
  <c r="H10542" i="7" s="1"/>
  <c r="E10542" i="7"/>
  <c r="D10542" i="7"/>
  <c r="H10541" i="7" a="1"/>
  <c r="H10541" i="7" s="1"/>
  <c r="E10541" i="7"/>
  <c r="D10541" i="7"/>
  <c r="H10540" i="7" l="1" a="1"/>
  <c r="H10540" i="7" s="1"/>
  <c r="E10540" i="7"/>
  <c r="D10540" i="7"/>
  <c r="H10539" i="7" a="1"/>
  <c r="H10539" i="7" s="1"/>
  <c r="E10539" i="7"/>
  <c r="D10539" i="7"/>
  <c r="H10538" i="7" a="1"/>
  <c r="H10538" i="7" s="1"/>
  <c r="E10538" i="7"/>
  <c r="D10538" i="7"/>
  <c r="H10537" i="7" a="1"/>
  <c r="H10537" i="7" s="1"/>
  <c r="E10537" i="7"/>
  <c r="D10537" i="7"/>
  <c r="H10536" i="7" a="1"/>
  <c r="H10536" i="7" s="1"/>
  <c r="E10536" i="7"/>
  <c r="D10536" i="7"/>
  <c r="H10535" i="7" a="1"/>
  <c r="H10535" i="7" s="1"/>
  <c r="E10535" i="7"/>
  <c r="D10535" i="7"/>
  <c r="H10534" i="7" a="1"/>
  <c r="H10534" i="7" s="1"/>
  <c r="E10534" i="7"/>
  <c r="D10534" i="7"/>
  <c r="H10533" i="7" a="1"/>
  <c r="H10533" i="7" s="1"/>
  <c r="E10533" i="7"/>
  <c r="D10533" i="7"/>
  <c r="H10532" i="7" a="1"/>
  <c r="H10532" i="7" s="1"/>
  <c r="E10532" i="7"/>
  <c r="D10532" i="7"/>
  <c r="H10531" i="7" a="1"/>
  <c r="H10531" i="7" s="1"/>
  <c r="E10531" i="7"/>
  <c r="D10531" i="7"/>
  <c r="H10530" i="7" a="1"/>
  <c r="H10530" i="7" s="1"/>
  <c r="E10530" i="7"/>
  <c r="D10530" i="7"/>
  <c r="H10529" i="7" a="1"/>
  <c r="H10529" i="7" s="1"/>
  <c r="E10529" i="7"/>
  <c r="D10529" i="7"/>
  <c r="E10528" i="7"/>
  <c r="D10528" i="7"/>
  <c r="H10527" i="7" a="1"/>
  <c r="H10527" i="7" s="1"/>
  <c r="E10527" i="7"/>
  <c r="D10527" i="7"/>
  <c r="H10526" i="7" a="1"/>
  <c r="H10526" i="7" s="1"/>
  <c r="E10526" i="7"/>
  <c r="D10526" i="7"/>
  <c r="H10525" i="7" a="1"/>
  <c r="H10525" i="7" s="1"/>
  <c r="E10525" i="7"/>
  <c r="D10525" i="7"/>
  <c r="H10524" i="7" a="1"/>
  <c r="H10524" i="7" s="1"/>
  <c r="E10524" i="7"/>
  <c r="D10524" i="7"/>
  <c r="H10523" i="7" a="1"/>
  <c r="H10523" i="7" s="1"/>
  <c r="E10523" i="7"/>
  <c r="D10523" i="7"/>
  <c r="H10522" i="7" a="1"/>
  <c r="H10522" i="7" s="1"/>
  <c r="E10522" i="7"/>
  <c r="D10522" i="7"/>
  <c r="H10521" i="7" a="1"/>
  <c r="H10521" i="7" s="1"/>
  <c r="E10521" i="7"/>
  <c r="D10521" i="7"/>
  <c r="E10520" i="7"/>
  <c r="D10520" i="7"/>
  <c r="E10519" i="7"/>
  <c r="D10519" i="7"/>
  <c r="H10518" i="7" a="1"/>
  <c r="H10518" i="7" s="1"/>
  <c r="E10518" i="7"/>
  <c r="D10518" i="7"/>
  <c r="E10517" i="7"/>
  <c r="D10517" i="7"/>
  <c r="E10516" i="7"/>
  <c r="D10516" i="7"/>
  <c r="H10515" i="7" a="1"/>
  <c r="H10515" i="7" s="1"/>
  <c r="E10515" i="7"/>
  <c r="D10515" i="7"/>
  <c r="H10501" i="7" a="1"/>
  <c r="H10501" i="7" s="1"/>
  <c r="E10501" i="7"/>
  <c r="D10501" i="7"/>
  <c r="H10500" i="7" a="1"/>
  <c r="H10500" i="7" s="1"/>
  <c r="E10500" i="7"/>
  <c r="D10500" i="7"/>
  <c r="E10499" i="7"/>
  <c r="D10499" i="7"/>
  <c r="H10498" i="7" a="1"/>
  <c r="H10498" i="7" s="1"/>
  <c r="E10498" i="7"/>
  <c r="D10498" i="7"/>
  <c r="H10514" i="7" a="1"/>
  <c r="H10514" i="7" s="1"/>
  <c r="E10514" i="7"/>
  <c r="D10514" i="7"/>
  <c r="H10513" i="7" a="1"/>
  <c r="H10513" i="7" s="1"/>
  <c r="E10513" i="7"/>
  <c r="D10513" i="7"/>
  <c r="H10512" i="7" a="1"/>
  <c r="H10512" i="7" s="1"/>
  <c r="E10512" i="7"/>
  <c r="D10512" i="7"/>
  <c r="H10511" i="7" a="1"/>
  <c r="H10511" i="7" s="1"/>
  <c r="E10511" i="7"/>
  <c r="D10511" i="7"/>
  <c r="H10507" i="7" l="1" a="1"/>
  <c r="H10507" i="7" s="1"/>
  <c r="E10507" i="7"/>
  <c r="D10507" i="7"/>
  <c r="H10506" i="7" a="1"/>
  <c r="H10506" i="7" s="1"/>
  <c r="E10506" i="7"/>
  <c r="D10506" i="7"/>
  <c r="H10505" i="7" a="1"/>
  <c r="H10505" i="7" s="1"/>
  <c r="E10505" i="7"/>
  <c r="D10505" i="7"/>
  <c r="H10510" i="7" a="1"/>
  <c r="H10510" i="7" s="1"/>
  <c r="E10510" i="7"/>
  <c r="D10510" i="7"/>
  <c r="H10509" i="7" a="1"/>
  <c r="H10509" i="7" s="1"/>
  <c r="E10509" i="7"/>
  <c r="D10509" i="7"/>
  <c r="H10508" i="7" a="1"/>
  <c r="H10508" i="7" s="1"/>
  <c r="E10508" i="7"/>
  <c r="D10508" i="7"/>
  <c r="H10497" i="7" l="1" a="1"/>
  <c r="H10497" i="7" s="1"/>
  <c r="E10497" i="7"/>
  <c r="D10497" i="7"/>
  <c r="H10496" i="7" a="1"/>
  <c r="H10496" i="7" s="1"/>
  <c r="E10496" i="7"/>
  <c r="D10496" i="7"/>
  <c r="H10495" i="7" a="1"/>
  <c r="H10495" i="7" s="1"/>
  <c r="E10495" i="7"/>
  <c r="D10495" i="7"/>
  <c r="H10494" i="7" a="1"/>
  <c r="H10494" i="7" s="1"/>
  <c r="E10494" i="7"/>
  <c r="D10494" i="7"/>
  <c r="H10493" i="7" a="1"/>
  <c r="H10493" i="7" s="1"/>
  <c r="E10493" i="7"/>
  <c r="D10493" i="7"/>
  <c r="H10492" i="7" a="1"/>
  <c r="H10492" i="7" s="1"/>
  <c r="E10492" i="7"/>
  <c r="D10492" i="7"/>
  <c r="H10491" i="7" a="1"/>
  <c r="H10491" i="7" s="1"/>
  <c r="E10491" i="7"/>
  <c r="D10491" i="7"/>
  <c r="H10490" i="7" a="1"/>
  <c r="H10490" i="7" s="1"/>
  <c r="E10490" i="7"/>
  <c r="D10490" i="7"/>
  <c r="H10489" i="7" a="1"/>
  <c r="H10489" i="7" s="1"/>
  <c r="E10489" i="7"/>
  <c r="D10489" i="7"/>
  <c r="H10488" i="7" a="1"/>
  <c r="H10488" i="7" s="1"/>
  <c r="E10488" i="7"/>
  <c r="D10488" i="7"/>
  <c r="H10485" i="7" l="1" a="1"/>
  <c r="H10485" i="7" s="1"/>
  <c r="E10485" i="7"/>
  <c r="D10485" i="7"/>
  <c r="H10484" i="7" a="1"/>
  <c r="H10484" i="7" s="1"/>
  <c r="E10484" i="7"/>
  <c r="D10484" i="7"/>
  <c r="H10483" i="7" a="1"/>
  <c r="H10483" i="7" s="1"/>
  <c r="E10483" i="7"/>
  <c r="D10483" i="7"/>
  <c r="H10468" i="7" l="1" a="1"/>
  <c r="H10468" i="7" s="1"/>
  <c r="E10468" i="7"/>
  <c r="D10468" i="7"/>
  <c r="H10467" i="7" a="1"/>
  <c r="H10467" i="7" s="1"/>
  <c r="E10467" i="7"/>
  <c r="D10467" i="7"/>
  <c r="H10466" i="7" a="1"/>
  <c r="H10466" i="7" s="1"/>
  <c r="E10466" i="7"/>
  <c r="D10466" i="7"/>
  <c r="H10465" i="7" a="1"/>
  <c r="H10465" i="7" s="1"/>
  <c r="E10465" i="7"/>
  <c r="D10465" i="7"/>
  <c r="H10464" i="7" a="1"/>
  <c r="H10464" i="7" s="1"/>
  <c r="E10464" i="7"/>
  <c r="D10464" i="7"/>
  <c r="H10463" i="7" a="1"/>
  <c r="H10463" i="7" s="1"/>
  <c r="E10463" i="7"/>
  <c r="D10463" i="7"/>
  <c r="H10462" i="7" a="1"/>
  <c r="H10462" i="7" s="1"/>
  <c r="E10462" i="7"/>
  <c r="D10462" i="7"/>
  <c r="H10461" i="7" a="1"/>
  <c r="H10461" i="7" s="1"/>
  <c r="E10461" i="7"/>
  <c r="D10461" i="7"/>
  <c r="E10460" i="7"/>
  <c r="D10460" i="7"/>
  <c r="E10459" i="7"/>
  <c r="D10459" i="7"/>
  <c r="H10458" i="7" a="1"/>
  <c r="H10458" i="7" s="1"/>
  <c r="E10458" i="7"/>
  <c r="D10458" i="7"/>
  <c r="H10487" i="7" l="1" a="1"/>
  <c r="H10487" i="7" s="1"/>
  <c r="E10487" i="7"/>
  <c r="D10487" i="7"/>
  <c r="H10486" i="7" a="1"/>
  <c r="H10486" i="7" s="1"/>
  <c r="E10486" i="7"/>
  <c r="D10486" i="7"/>
  <c r="H10482" i="7" a="1"/>
  <c r="H10482" i="7" s="1"/>
  <c r="E10482" i="7"/>
  <c r="D10482" i="7"/>
  <c r="H10481" i="7" a="1"/>
  <c r="H10481" i="7" s="1"/>
  <c r="E10481" i="7"/>
  <c r="D10481" i="7"/>
  <c r="H10480" i="7" a="1"/>
  <c r="H10480" i="7" s="1"/>
  <c r="E10480" i="7"/>
  <c r="D10480" i="7"/>
  <c r="H10479" i="7" a="1"/>
  <c r="H10479" i="7" s="1"/>
  <c r="E10479" i="7"/>
  <c r="D10479" i="7"/>
  <c r="H10321" i="7" a="1"/>
  <c r="H10321" i="7" s="1"/>
  <c r="E10321" i="7"/>
  <c r="D10321" i="7"/>
  <c r="H10320" i="7" a="1"/>
  <c r="H10320" i="7" s="1"/>
  <c r="E10320" i="7"/>
  <c r="D10320" i="7"/>
  <c r="H10457" i="7" a="1"/>
  <c r="H10457" i="7" s="1"/>
  <c r="E10457" i="7"/>
  <c r="D10457" i="7"/>
  <c r="H10456" i="7" a="1"/>
  <c r="H10456" i="7" s="1"/>
  <c r="E10456" i="7"/>
  <c r="D10456" i="7"/>
  <c r="E10455" i="7"/>
  <c r="D10455" i="7"/>
  <c r="H10454" i="7" a="1"/>
  <c r="H10454" i="7" s="1"/>
  <c r="E10454" i="7"/>
  <c r="D10454" i="7"/>
  <c r="H10478" i="7" l="1" a="1"/>
  <c r="H10478" i="7" s="1"/>
  <c r="E10478" i="7"/>
  <c r="D10478" i="7"/>
  <c r="H10477" i="7" a="1"/>
  <c r="H10477" i="7" s="1"/>
  <c r="E10477" i="7"/>
  <c r="D10477" i="7"/>
  <c r="H10476" i="7" a="1"/>
  <c r="H10476" i="7" s="1"/>
  <c r="E10476" i="7"/>
  <c r="D10476" i="7"/>
  <c r="H10475" i="7" a="1"/>
  <c r="H10475" i="7" s="1"/>
  <c r="E10475" i="7"/>
  <c r="D10475" i="7"/>
  <c r="H10474" i="7" a="1"/>
  <c r="H10474" i="7" s="1"/>
  <c r="E10474" i="7"/>
  <c r="D10474" i="7"/>
  <c r="H10473" i="7" a="1"/>
  <c r="H10473" i="7" s="1"/>
  <c r="E10473" i="7"/>
  <c r="D10473" i="7"/>
  <c r="H10472" i="7" a="1"/>
  <c r="H10472" i="7" s="1"/>
  <c r="E10472" i="7"/>
  <c r="D10472" i="7"/>
  <c r="H10471" i="7" a="1"/>
  <c r="H10471" i="7" s="1"/>
  <c r="E10471" i="7"/>
  <c r="D10471" i="7"/>
  <c r="H10470" i="7" a="1"/>
  <c r="H10470" i="7" s="1"/>
  <c r="E10470" i="7"/>
  <c r="D10470" i="7"/>
  <c r="H10469" i="7" a="1"/>
  <c r="H10469" i="7" s="1"/>
  <c r="E10469" i="7"/>
  <c r="D10469" i="7"/>
  <c r="H10440" i="7" a="1"/>
  <c r="H10440" i="7" s="1"/>
  <c r="E10440" i="7"/>
  <c r="D10440" i="7"/>
  <c r="H10439" i="7" a="1"/>
  <c r="H10439" i="7" s="1"/>
  <c r="E10439" i="7"/>
  <c r="D10439" i="7"/>
  <c r="H10453" i="7" a="1"/>
  <c r="H10453" i="7" s="1"/>
  <c r="E10453" i="7"/>
  <c r="D10453" i="7"/>
  <c r="H10452" i="7" a="1"/>
  <c r="H10452" i="7" s="1"/>
  <c r="E10452" i="7"/>
  <c r="D10452" i="7"/>
  <c r="H10451" i="7" a="1"/>
  <c r="H10451" i="7" s="1"/>
  <c r="E10451" i="7"/>
  <c r="D10451" i="7"/>
  <c r="H10450" i="7" a="1"/>
  <c r="H10450" i="7" s="1"/>
  <c r="E10450" i="7"/>
  <c r="D10450" i="7"/>
  <c r="H10418" i="7" a="1"/>
  <c r="H10418" i="7" s="1"/>
  <c r="E10418" i="7"/>
  <c r="D10418" i="7"/>
  <c r="H10417" i="7" a="1"/>
  <c r="H10417" i="7" s="1"/>
  <c r="E10417" i="7"/>
  <c r="D10417" i="7"/>
  <c r="H10449" i="7" a="1"/>
  <c r="H10449" i="7" s="1"/>
  <c r="E10449" i="7"/>
  <c r="D10449" i="7"/>
  <c r="H10448" i="7" a="1"/>
  <c r="H10448" i="7" s="1"/>
  <c r="E10448" i="7"/>
  <c r="D10448" i="7"/>
  <c r="H10447" i="7" a="1"/>
  <c r="H10447" i="7" s="1"/>
  <c r="E10447" i="7"/>
  <c r="D10447" i="7"/>
  <c r="H10446" i="7" a="1"/>
  <c r="H10446" i="7" s="1"/>
  <c r="E10446" i="7"/>
  <c r="D10446" i="7"/>
  <c r="H10445" i="7" a="1"/>
  <c r="H10445" i="7" s="1"/>
  <c r="E10445" i="7"/>
  <c r="D10445" i="7"/>
  <c r="H10434" i="7" l="1" a="1"/>
  <c r="H10434" i="7" s="1"/>
  <c r="E10434" i="7"/>
  <c r="D10434" i="7"/>
  <c r="H10433" i="7" a="1"/>
  <c r="H10433" i="7" s="1"/>
  <c r="E10433" i="7"/>
  <c r="D10433" i="7"/>
  <c r="H10444" i="7" a="1"/>
  <c r="H10444" i="7" s="1"/>
  <c r="E10444" i="7"/>
  <c r="D10444" i="7"/>
  <c r="H10443" i="7" a="1"/>
  <c r="H10443" i="7" s="1"/>
  <c r="E10443" i="7"/>
  <c r="D10443" i="7"/>
  <c r="E10442" i="7"/>
  <c r="D10442" i="7"/>
  <c r="H10441" i="7" a="1"/>
  <c r="H10441" i="7" s="1"/>
  <c r="E10441" i="7"/>
  <c r="D10441" i="7"/>
  <c r="H10438" i="7" a="1"/>
  <c r="H10438" i="7" s="1"/>
  <c r="E10438" i="7"/>
  <c r="D10438" i="7"/>
  <c r="H10437" i="7" a="1"/>
  <c r="H10437" i="7" s="1"/>
  <c r="E10437" i="7"/>
  <c r="D10437" i="7"/>
  <c r="E10436" i="7"/>
  <c r="D10436" i="7"/>
  <c r="H10435" i="7" a="1"/>
  <c r="H10435" i="7" s="1"/>
  <c r="E10435" i="7"/>
  <c r="D10435" i="7"/>
  <c r="H10432" i="7" a="1"/>
  <c r="H10432" i="7" s="1"/>
  <c r="E10432" i="7"/>
  <c r="D10432" i="7"/>
  <c r="H10431" i="7" a="1"/>
  <c r="H10431" i="7" s="1"/>
  <c r="E10431" i="7"/>
  <c r="D10431" i="7"/>
  <c r="E10430" i="7"/>
  <c r="D10430" i="7"/>
  <c r="H10429" i="7" a="1"/>
  <c r="H10429" i="7" s="1"/>
  <c r="E10429" i="7"/>
  <c r="D10429" i="7"/>
  <c r="H10428" i="7" l="1" a="1"/>
  <c r="H10428" i="7" s="1"/>
  <c r="E10428" i="7"/>
  <c r="D10428" i="7"/>
  <c r="H10427" i="7" a="1"/>
  <c r="H10427" i="7" s="1"/>
  <c r="E10427" i="7"/>
  <c r="D10427" i="7"/>
  <c r="H10426" i="7" a="1"/>
  <c r="H10426" i="7" s="1"/>
  <c r="E10426" i="7"/>
  <c r="D10426" i="7"/>
  <c r="H10425" i="7" a="1"/>
  <c r="H10425" i="7" s="1"/>
  <c r="E10425" i="7"/>
  <c r="D10425" i="7"/>
  <c r="H10424" i="7" a="1"/>
  <c r="H10424" i="7" s="1"/>
  <c r="E10424" i="7"/>
  <c r="D10424" i="7"/>
  <c r="H10423" i="7" a="1"/>
  <c r="H10423" i="7" s="1"/>
  <c r="E10423" i="7"/>
  <c r="D10423" i="7"/>
  <c r="H10422" i="7" a="1"/>
  <c r="H10422" i="7" s="1"/>
  <c r="E10422" i="7"/>
  <c r="D10422" i="7"/>
  <c r="H10421" i="7" a="1"/>
  <c r="H10421" i="7" s="1"/>
  <c r="E10421" i="7"/>
  <c r="D10421" i="7"/>
  <c r="H10420" i="7" a="1"/>
  <c r="H10420" i="7" s="1"/>
  <c r="E10420" i="7"/>
  <c r="D10420" i="7"/>
  <c r="H10419" i="7" a="1"/>
  <c r="H10419" i="7" s="1"/>
  <c r="E10419" i="7"/>
  <c r="D10419" i="7"/>
  <c r="H10413" i="7" l="1" a="1"/>
  <c r="H10413" i="7" s="1"/>
  <c r="E10413" i="7"/>
  <c r="D10413" i="7"/>
  <c r="H10412" i="7" a="1"/>
  <c r="H10412" i="7" s="1"/>
  <c r="E10412" i="7"/>
  <c r="D10412" i="7"/>
  <c r="H10411" i="7" a="1"/>
  <c r="H10411" i="7" s="1"/>
  <c r="E10411" i="7"/>
  <c r="D10411" i="7"/>
  <c r="H10398" i="7" a="1"/>
  <c r="H10398" i="7" s="1"/>
  <c r="E10398" i="7"/>
  <c r="D10398" i="7"/>
  <c r="H10397" i="7" a="1"/>
  <c r="H10397" i="7" s="1"/>
  <c r="E10397" i="7"/>
  <c r="D10397" i="7"/>
  <c r="H10396" i="7" a="1"/>
  <c r="H10396" i="7" s="1"/>
  <c r="E10396" i="7"/>
  <c r="D10396" i="7"/>
  <c r="H10416" i="7" a="1"/>
  <c r="H10416" i="7" s="1"/>
  <c r="E10416" i="7"/>
  <c r="D10416" i="7"/>
  <c r="H10415" i="7" a="1"/>
  <c r="H10415" i="7" s="1"/>
  <c r="E10415" i="7"/>
  <c r="D10415" i="7"/>
  <c r="H10414" i="7" a="1"/>
  <c r="H10414" i="7" s="1"/>
  <c r="E10414" i="7"/>
  <c r="D10414" i="7"/>
  <c r="H10395" i="7" a="1"/>
  <c r="H10395" i="7" s="1"/>
  <c r="E10395" i="7"/>
  <c r="D10395" i="7"/>
  <c r="H10394" i="7" a="1"/>
  <c r="H10394" i="7" s="1"/>
  <c r="E10394" i="7"/>
  <c r="D10394" i="7"/>
  <c r="H10393" i="7" a="1"/>
  <c r="H10393" i="7" s="1"/>
  <c r="E10393" i="7"/>
  <c r="D10393" i="7"/>
  <c r="H10389" i="7" a="1"/>
  <c r="H10389" i="7" s="1"/>
  <c r="E10389" i="7"/>
  <c r="D10389" i="7"/>
  <c r="H10388" i="7" a="1"/>
  <c r="H10388" i="7" s="1"/>
  <c r="E10388" i="7"/>
  <c r="D10388" i="7"/>
  <c r="H10410" i="7" l="1" a="1"/>
  <c r="H10410" i="7" s="1"/>
  <c r="E10410" i="7"/>
  <c r="D10410" i="7"/>
  <c r="H10409" i="7" a="1"/>
  <c r="H10409" i="7" s="1"/>
  <c r="E10409" i="7"/>
  <c r="D10409" i="7"/>
  <c r="H10408" i="7" a="1"/>
  <c r="H10408" i="7" s="1"/>
  <c r="E10408" i="7"/>
  <c r="D10408" i="7"/>
  <c r="H10407" i="7" a="1"/>
  <c r="H10407" i="7" s="1"/>
  <c r="E10407" i="7"/>
  <c r="D10407" i="7"/>
  <c r="E10406" i="7"/>
  <c r="D10406" i="7"/>
  <c r="H10405" i="7" a="1"/>
  <c r="H10405" i="7" s="1"/>
  <c r="E10405" i="7"/>
  <c r="D10405" i="7"/>
  <c r="H10383" i="7" a="1"/>
  <c r="H10383" i="7" s="1"/>
  <c r="E10383" i="7"/>
  <c r="D10383" i="7"/>
  <c r="H10382" i="7" a="1"/>
  <c r="H10382" i="7" s="1"/>
  <c r="E10382" i="7"/>
  <c r="D10382" i="7"/>
  <c r="E10381" i="7"/>
  <c r="D10381" i="7"/>
  <c r="H10380" i="7" a="1"/>
  <c r="H10380" i="7" s="1"/>
  <c r="E10380" i="7"/>
  <c r="D10380" i="7"/>
  <c r="H10404" i="7" a="1"/>
  <c r="H10404" i="7" s="1"/>
  <c r="E10404" i="7"/>
  <c r="D10404" i="7"/>
  <c r="H10403" i="7" a="1"/>
  <c r="H10403" i="7" s="1"/>
  <c r="E10403" i="7"/>
  <c r="D10403" i="7"/>
  <c r="H10402" i="7" a="1"/>
  <c r="H10402" i="7" s="1"/>
  <c r="E10402" i="7"/>
  <c r="D10402" i="7"/>
  <c r="H10401" i="7" a="1"/>
  <c r="H10401" i="7" s="1"/>
  <c r="E10401" i="7"/>
  <c r="D10401" i="7"/>
  <c r="H10379" i="7" a="1"/>
  <c r="H10379" i="7" s="1"/>
  <c r="E10379" i="7"/>
  <c r="D10379" i="7"/>
  <c r="H10378" i="7" a="1"/>
  <c r="H10378" i="7" s="1"/>
  <c r="E10378" i="7"/>
  <c r="D10378" i="7"/>
  <c r="H10377" i="7" a="1"/>
  <c r="H10377" i="7" s="1"/>
  <c r="E10377" i="7"/>
  <c r="D10377" i="7"/>
  <c r="E10376" i="7"/>
  <c r="D10376" i="7"/>
  <c r="H10375" i="7" a="1"/>
  <c r="H10375" i="7" s="1"/>
  <c r="E10375" i="7"/>
  <c r="D10375" i="7"/>
  <c r="H10374" i="7" l="1" a="1"/>
  <c r="H10374" i="7" s="1"/>
  <c r="E10374" i="7"/>
  <c r="D10374" i="7"/>
  <c r="H10373" i="7" a="1"/>
  <c r="H10373" i="7" s="1"/>
  <c r="E10373" i="7"/>
  <c r="D10373" i="7"/>
  <c r="H10372" i="7" a="1"/>
  <c r="H10372" i="7" s="1"/>
  <c r="E10372" i="7"/>
  <c r="D10372" i="7"/>
  <c r="H10371" i="7" a="1"/>
  <c r="H10371" i="7" s="1"/>
  <c r="E10371" i="7"/>
  <c r="D10371" i="7"/>
  <c r="H10370" i="7" a="1"/>
  <c r="H10370" i="7" s="1"/>
  <c r="E10370" i="7"/>
  <c r="D10370" i="7"/>
  <c r="H10369" i="7" a="1"/>
  <c r="H10369" i="7" s="1"/>
  <c r="E10369" i="7"/>
  <c r="D10369" i="7"/>
  <c r="H10368" i="7" a="1"/>
  <c r="H10368" i="7" s="1"/>
  <c r="E10368" i="7"/>
  <c r="D10368" i="7"/>
  <c r="H10367" i="7" a="1"/>
  <c r="H10367" i="7" s="1"/>
  <c r="E10367" i="7"/>
  <c r="D10367" i="7"/>
  <c r="H10366" i="7" a="1"/>
  <c r="H10366" i="7" s="1"/>
  <c r="E10366" i="7"/>
  <c r="D10366" i="7"/>
  <c r="H10365" i="7" a="1"/>
  <c r="H10365" i="7" s="1"/>
  <c r="E10365" i="7"/>
  <c r="D10365" i="7"/>
  <c r="H10364" i="7" a="1"/>
  <c r="H10364" i="7" s="1"/>
  <c r="E10364" i="7"/>
  <c r="D10364" i="7"/>
  <c r="H10363" i="7" a="1"/>
  <c r="H10363" i="7" s="1"/>
  <c r="E10363" i="7"/>
  <c r="D10363" i="7"/>
  <c r="H10362" i="7" a="1"/>
  <c r="H10362" i="7" s="1"/>
  <c r="E10362" i="7"/>
  <c r="D10362" i="7"/>
  <c r="H10319" i="7" l="1" a="1"/>
  <c r="H10319" i="7" s="1"/>
  <c r="E10319" i="7"/>
  <c r="D10319" i="7"/>
  <c r="H10318" i="7" a="1"/>
  <c r="H10318" i="7" s="1"/>
  <c r="E10318" i="7"/>
  <c r="D10318" i="7"/>
  <c r="H10317" i="7" a="1"/>
  <c r="H10317" i="7" s="1"/>
  <c r="E10317" i="7"/>
  <c r="D10317" i="7"/>
  <c r="H10316" i="7" a="1"/>
  <c r="H10316" i="7" s="1"/>
  <c r="E10316" i="7"/>
  <c r="D10316" i="7"/>
  <c r="H10315" i="7" a="1"/>
  <c r="H10315" i="7" s="1"/>
  <c r="E10315" i="7"/>
  <c r="D10315" i="7"/>
  <c r="H10314" i="7" a="1"/>
  <c r="H10314" i="7" s="1"/>
  <c r="E10314" i="7"/>
  <c r="D10314" i="7"/>
  <c r="H10355" i="7" a="1"/>
  <c r="H10355" i="7" s="1"/>
  <c r="E10355" i="7"/>
  <c r="D10355" i="7"/>
  <c r="H10354" i="7" a="1"/>
  <c r="H10354" i="7" s="1"/>
  <c r="E10354" i="7"/>
  <c r="D10354" i="7"/>
  <c r="H10353" i="7" a="1"/>
  <c r="H10353" i="7" s="1"/>
  <c r="E10353" i="7"/>
  <c r="D10353" i="7"/>
  <c r="H10334" i="7" a="1"/>
  <c r="H10334" i="7" s="1"/>
  <c r="E10334" i="7"/>
  <c r="D10334" i="7"/>
  <c r="H10333" i="7" a="1"/>
  <c r="H10333" i="7" s="1"/>
  <c r="E10333" i="7"/>
  <c r="D10333" i="7"/>
  <c r="H10332" i="7" a="1"/>
  <c r="H10332" i="7" s="1"/>
  <c r="E10332" i="7"/>
  <c r="D10332" i="7"/>
  <c r="H10337" i="7" a="1"/>
  <c r="H10337" i="7" s="1"/>
  <c r="E10337" i="7"/>
  <c r="D10337" i="7"/>
  <c r="H10336" i="7" a="1"/>
  <c r="H10336" i="7" s="1"/>
  <c r="E10336" i="7"/>
  <c r="D10336" i="7"/>
  <c r="H10335" i="7" a="1"/>
  <c r="H10335" i="7" s="1"/>
  <c r="E10335" i="7"/>
  <c r="D10335" i="7"/>
  <c r="H10313" i="7" l="1" a="1"/>
  <c r="H10313" i="7" s="1"/>
  <c r="E10313" i="7"/>
  <c r="D10313" i="7"/>
  <c r="H10312" i="7" a="1"/>
  <c r="H10312" i="7" s="1"/>
  <c r="E10312" i="7"/>
  <c r="D10312" i="7"/>
  <c r="H10361" i="7" l="1" a="1"/>
  <c r="H10361" i="7" s="1"/>
  <c r="E10361" i="7"/>
  <c r="D10361" i="7"/>
  <c r="H10360" i="7" a="1"/>
  <c r="H10360" i="7" s="1"/>
  <c r="E10360" i="7"/>
  <c r="D10360" i="7"/>
  <c r="E10359" i="7"/>
  <c r="D10359" i="7"/>
  <c r="H10358" i="7" a="1"/>
  <c r="H10358" i="7" s="1"/>
  <c r="E10358" i="7"/>
  <c r="D10358" i="7"/>
  <c r="H10357" i="7" a="1"/>
  <c r="H10357" i="7" s="1"/>
  <c r="E10357" i="7"/>
  <c r="D10357" i="7"/>
  <c r="H10356" i="7" a="1"/>
  <c r="H10356" i="7" s="1"/>
  <c r="E10356" i="7"/>
  <c r="D10356" i="7"/>
  <c r="H10343" i="7" a="1"/>
  <c r="H10343" i="7" s="1"/>
  <c r="E10343" i="7"/>
  <c r="D10343" i="7"/>
  <c r="H10342" i="7" a="1"/>
  <c r="H10342" i="7" s="1"/>
  <c r="E10342" i="7"/>
  <c r="D10342" i="7"/>
  <c r="E10341" i="7"/>
  <c r="D10341" i="7"/>
  <c r="H10340" i="7" a="1"/>
  <c r="H10340" i="7" s="1"/>
  <c r="E10340" i="7"/>
  <c r="D10340" i="7"/>
  <c r="H10349" i="7" l="1" a="1"/>
  <c r="H10349" i="7" s="1"/>
  <c r="E10349" i="7"/>
  <c r="D10349" i="7"/>
  <c r="H10348" i="7" a="1"/>
  <c r="H10348" i="7" s="1"/>
  <c r="E10348" i="7"/>
  <c r="D10348" i="7"/>
  <c r="H10347" i="7" a="1"/>
  <c r="H10347" i="7" s="1"/>
  <c r="E10347" i="7"/>
  <c r="D10347" i="7"/>
  <c r="H10346" i="7" a="1"/>
  <c r="H10346" i="7" s="1"/>
  <c r="E10346" i="7"/>
  <c r="D10346" i="7"/>
  <c r="H10345" i="7" a="1"/>
  <c r="H10345" i="7" s="1"/>
  <c r="E10345" i="7"/>
  <c r="D10345" i="7"/>
  <c r="H10344" i="7" a="1"/>
  <c r="H10344" i="7" s="1"/>
  <c r="E10344" i="7"/>
  <c r="D10344" i="7"/>
  <c r="H10339" i="7" a="1"/>
  <c r="H10339" i="7" s="1"/>
  <c r="E10339" i="7"/>
  <c r="D10339" i="7"/>
  <c r="H10338" i="7" a="1"/>
  <c r="H10338" i="7" s="1"/>
  <c r="E10338" i="7"/>
  <c r="D10338" i="7"/>
  <c r="H10331" i="7" a="1"/>
  <c r="H10331" i="7" s="1"/>
  <c r="E10331" i="7"/>
  <c r="D10331" i="7"/>
  <c r="H10330" i="7" a="1"/>
  <c r="H10330" i="7" s="1"/>
  <c r="E10330" i="7"/>
  <c r="D10330" i="7"/>
  <c r="H10329" i="7" a="1"/>
  <c r="H10329" i="7" s="1"/>
  <c r="E10329" i="7"/>
  <c r="D10329" i="7"/>
  <c r="H10328" i="7" a="1"/>
  <c r="H10328" i="7" s="1"/>
  <c r="E10328" i="7"/>
  <c r="D10328" i="7"/>
  <c r="H10327" i="7" a="1"/>
  <c r="H10327" i="7" s="1"/>
  <c r="E10327" i="7"/>
  <c r="D10327" i="7"/>
  <c r="H10326" i="7" a="1"/>
  <c r="H10326" i="7" s="1"/>
  <c r="E10326" i="7"/>
  <c r="D10326" i="7"/>
  <c r="H10325" i="7" a="1"/>
  <c r="H10325" i="7" s="1"/>
  <c r="E10325" i="7"/>
  <c r="D10325" i="7"/>
  <c r="H10324" i="7" a="1"/>
  <c r="H10324" i="7" s="1"/>
  <c r="E10324" i="7"/>
  <c r="D10324" i="7"/>
  <c r="H10323" i="7" a="1"/>
  <c r="H10323" i="7" s="1"/>
  <c r="E10323" i="7"/>
  <c r="D10323" i="7"/>
  <c r="H10322" i="7" a="1"/>
  <c r="H10322" i="7" s="1"/>
  <c r="E10322" i="7"/>
  <c r="D10322" i="7"/>
  <c r="H10311" i="7" a="1"/>
  <c r="H10311" i="7" s="1"/>
  <c r="E10311" i="7"/>
  <c r="D10311" i="7"/>
  <c r="H10310" i="7" a="1"/>
  <c r="H10310" i="7" s="1"/>
  <c r="E10310" i="7"/>
  <c r="D10310" i="7"/>
  <c r="E10309" i="7"/>
  <c r="D10309" i="7"/>
  <c r="H10308" i="7" a="1"/>
  <c r="H10308" i="7" s="1"/>
  <c r="E10308" i="7"/>
  <c r="D10308" i="7"/>
  <c r="H10307" i="7" a="1"/>
  <c r="H10307" i="7" s="1"/>
  <c r="E10307" i="7"/>
  <c r="D10307" i="7"/>
  <c r="H10306" i="7" a="1"/>
  <c r="H10306" i="7" s="1"/>
  <c r="E10306" i="7"/>
  <c r="D10306" i="7"/>
  <c r="E10305" i="7"/>
  <c r="D10305" i="7"/>
  <c r="H10304" i="7" a="1"/>
  <c r="H10304" i="7" s="1"/>
  <c r="E10304" i="7"/>
  <c r="D10304" i="7"/>
  <c r="H10293" i="7" l="1" a="1"/>
  <c r="H10293" i="7" s="1"/>
  <c r="E10293" i="7"/>
  <c r="D10293" i="7"/>
  <c r="H10292" i="7" a="1"/>
  <c r="H10292" i="7" s="1"/>
  <c r="E10292" i="7"/>
  <c r="D10292" i="7"/>
  <c r="H10291" i="7" a="1"/>
  <c r="H10291" i="7" s="1"/>
  <c r="E10291" i="7"/>
  <c r="D10291" i="7"/>
  <c r="H10290" i="7" a="1"/>
  <c r="H10290" i="7" s="1"/>
  <c r="E10290" i="7"/>
  <c r="D10290" i="7"/>
  <c r="H10287" i="7" a="1"/>
  <c r="H10287" i="7" s="1"/>
  <c r="E10287" i="7"/>
  <c r="D10287" i="7"/>
  <c r="H10286" i="7" a="1"/>
  <c r="H10286" i="7" s="1"/>
  <c r="E10286" i="7"/>
  <c r="D10286" i="7"/>
  <c r="H10289" i="7" a="1"/>
  <c r="H10289" i="7" s="1"/>
  <c r="E10289" i="7"/>
  <c r="D10289" i="7"/>
  <c r="H10288" i="7" a="1"/>
  <c r="H10288" i="7" s="1"/>
  <c r="E10288" i="7"/>
  <c r="D10288" i="7"/>
  <c r="H10303" i="7" a="1"/>
  <c r="H10303" i="7" s="1"/>
  <c r="E10303" i="7"/>
  <c r="D10303" i="7"/>
  <c r="H10302" i="7" a="1"/>
  <c r="H10302" i="7" s="1"/>
  <c r="E10302" i="7"/>
  <c r="D10302" i="7"/>
  <c r="H10301" i="7" a="1"/>
  <c r="H10301" i="7" s="1"/>
  <c r="E10301" i="7"/>
  <c r="D10301" i="7"/>
  <c r="H10297" i="7" l="1" a="1"/>
  <c r="H10297" i="7" s="1"/>
  <c r="E10297" i="7"/>
  <c r="D10297" i="7"/>
  <c r="H10296" i="7" a="1"/>
  <c r="H10296" i="7" s="1"/>
  <c r="E10296" i="7"/>
  <c r="D10296" i="7"/>
  <c r="H10295" i="7" a="1"/>
  <c r="H10295" i="7" s="1"/>
  <c r="E10295" i="7"/>
  <c r="D10295" i="7"/>
  <c r="H10294" i="7" a="1"/>
  <c r="H10294" i="7" s="1"/>
  <c r="E10294" i="7"/>
  <c r="D10294" i="7"/>
  <c r="H10271" i="7" a="1"/>
  <c r="H10271" i="7" s="1"/>
  <c r="E10271" i="7"/>
  <c r="D10271" i="7"/>
  <c r="H10270" i="7" a="1"/>
  <c r="H10270" i="7" s="1"/>
  <c r="E10270" i="7"/>
  <c r="D10270" i="7"/>
  <c r="H10269" i="7" a="1"/>
  <c r="H10269" i="7" s="1"/>
  <c r="E10269" i="7"/>
  <c r="D10269" i="7"/>
  <c r="H10268" i="7" a="1"/>
  <c r="H10268" i="7" s="1"/>
  <c r="E10268" i="7"/>
  <c r="D10268" i="7"/>
  <c r="H10267" i="7" a="1"/>
  <c r="H10267" i="7" s="1"/>
  <c r="E10267" i="7"/>
  <c r="D10267" i="7"/>
  <c r="H10266" i="7" a="1"/>
  <c r="H10266" i="7" s="1"/>
  <c r="E10266" i="7"/>
  <c r="D10266" i="7"/>
  <c r="H10265" i="7" a="1"/>
  <c r="H10265" i="7" s="1"/>
  <c r="E10265" i="7"/>
  <c r="D10265" i="7"/>
  <c r="H10264" i="7" a="1"/>
  <c r="H10264" i="7" s="1"/>
  <c r="E10264" i="7"/>
  <c r="D10264" i="7"/>
  <c r="H10263" i="7" a="1"/>
  <c r="H10263" i="7" s="1"/>
  <c r="E10263" i="7"/>
  <c r="D10263" i="7"/>
  <c r="H10262" i="7" a="1"/>
  <c r="H10262" i="7" s="1"/>
  <c r="E10262" i="7"/>
  <c r="D10262" i="7"/>
  <c r="H10261" i="7" a="1"/>
  <c r="H10261" i="7" s="1"/>
  <c r="E10261" i="7"/>
  <c r="D10261" i="7"/>
  <c r="H10260" i="7" a="1"/>
  <c r="H10260" i="7" s="1"/>
  <c r="E10260" i="7"/>
  <c r="D10260" i="7"/>
  <c r="H10259" i="7" a="1"/>
  <c r="H10259" i="7" s="1"/>
  <c r="E10259" i="7"/>
  <c r="D10259" i="7"/>
  <c r="H10258" i="7" a="1"/>
  <c r="H10258" i="7" s="1"/>
  <c r="E10258" i="7"/>
  <c r="D10258" i="7"/>
  <c r="H10257" i="7" a="1"/>
  <c r="H10257" i="7" s="1"/>
  <c r="E10257" i="7"/>
  <c r="D10257" i="7"/>
  <c r="H10256" i="7" a="1"/>
  <c r="H10256" i="7" s="1"/>
  <c r="E10256" i="7"/>
  <c r="D10256" i="7"/>
  <c r="H10255" i="7" a="1"/>
  <c r="H10255" i="7" s="1"/>
  <c r="E10255" i="7"/>
  <c r="D10255" i="7"/>
  <c r="H10254" i="7" a="1"/>
  <c r="H10254" i="7" s="1"/>
  <c r="E10254" i="7"/>
  <c r="D10254" i="7"/>
  <c r="H10253" i="7" a="1"/>
  <c r="H10253" i="7" s="1"/>
  <c r="E10253" i="7"/>
  <c r="D10253" i="7"/>
  <c r="H10252" i="7" a="1"/>
  <c r="H10252" i="7" s="1"/>
  <c r="E10252" i="7"/>
  <c r="D10252" i="7"/>
  <c r="H10251" i="7" a="1"/>
  <c r="H10251" i="7" s="1"/>
  <c r="E10251" i="7"/>
  <c r="D10251" i="7"/>
  <c r="H10250" i="7" a="1"/>
  <c r="H10250" i="7" s="1"/>
  <c r="E10250" i="7"/>
  <c r="D10250" i="7"/>
  <c r="H10249" i="7" a="1"/>
  <c r="H10249" i="7" s="1"/>
  <c r="E10249" i="7"/>
  <c r="D10249" i="7"/>
  <c r="H10248" i="7" a="1"/>
  <c r="H10248" i="7" s="1"/>
  <c r="E10248" i="7"/>
  <c r="D10248" i="7"/>
  <c r="H10247" i="7" a="1"/>
  <c r="H10247" i="7" s="1"/>
  <c r="E10247" i="7"/>
  <c r="D10247" i="7"/>
  <c r="H10246" i="7" a="1"/>
  <c r="H10246" i="7" s="1"/>
  <c r="E10246" i="7"/>
  <c r="D10246" i="7"/>
  <c r="H10245" i="7" a="1"/>
  <c r="H10245" i="7" s="1"/>
  <c r="E10245" i="7"/>
  <c r="D10245" i="7"/>
  <c r="H10244" i="7" a="1"/>
  <c r="H10244" i="7" s="1"/>
  <c r="E10244" i="7"/>
  <c r="D10244" i="7"/>
  <c r="H10243" i="7" a="1"/>
  <c r="H10243" i="7" s="1"/>
  <c r="E10243" i="7"/>
  <c r="D10243" i="7"/>
  <c r="H10242" i="7" a="1"/>
  <c r="H10242" i="7" s="1"/>
  <c r="E10242" i="7"/>
  <c r="D10242" i="7"/>
  <c r="H10237" i="7" a="1"/>
  <c r="H10237" i="7" s="1"/>
  <c r="E10237" i="7"/>
  <c r="D10237" i="7"/>
  <c r="H10236" i="7" a="1"/>
  <c r="H10236" i="7" s="1"/>
  <c r="E10236" i="7"/>
  <c r="D10236" i="7"/>
  <c r="H10235" i="7" a="1"/>
  <c r="H10235" i="7" s="1"/>
  <c r="E10235" i="7"/>
  <c r="D10235" i="7"/>
  <c r="H10234" i="7" a="1"/>
  <c r="H10234" i="7" s="1"/>
  <c r="E10234" i="7"/>
  <c r="D10234" i="7"/>
  <c r="H10233" i="7" a="1"/>
  <c r="H10233" i="7" s="1"/>
  <c r="E10233" i="7"/>
  <c r="D10233" i="7"/>
  <c r="H10232" i="7" a="1"/>
  <c r="H10232" i="7" s="1"/>
  <c r="E10232" i="7"/>
  <c r="D10232" i="7"/>
  <c r="H10231" i="7" a="1"/>
  <c r="H10231" i="7" s="1"/>
  <c r="E10231" i="7"/>
  <c r="D10231" i="7"/>
  <c r="H10230" i="7" a="1"/>
  <c r="H10230" i="7" s="1"/>
  <c r="E10230" i="7"/>
  <c r="D10230" i="7"/>
  <c r="H10241" i="7" a="1"/>
  <c r="H10241" i="7" s="1"/>
  <c r="E10241" i="7"/>
  <c r="D10241" i="7"/>
  <c r="H10240" i="7" a="1"/>
  <c r="H10240" i="7" s="1"/>
  <c r="E10240" i="7"/>
  <c r="D10240" i="7"/>
  <c r="H10239" i="7" a="1"/>
  <c r="H10239" i="7" s="1"/>
  <c r="E10239" i="7"/>
  <c r="D10239" i="7"/>
  <c r="H10238" i="7" a="1"/>
  <c r="H10238" i="7" s="1"/>
  <c r="E10238" i="7"/>
  <c r="D10238" i="7"/>
  <c r="H10283" i="7" a="1"/>
  <c r="H10283" i="7" s="1"/>
  <c r="E10283" i="7"/>
  <c r="D10283" i="7"/>
  <c r="H10282" i="7" a="1"/>
  <c r="H10282" i="7" s="1"/>
  <c r="E10282" i="7"/>
  <c r="D10282" i="7"/>
  <c r="H10281" i="7" a="1"/>
  <c r="H10281" i="7" s="1"/>
  <c r="E10281" i="7"/>
  <c r="D10281" i="7"/>
  <c r="H10280" i="7" a="1"/>
  <c r="H10280" i="7" s="1"/>
  <c r="E10280" i="7"/>
  <c r="D10280" i="7"/>
  <c r="H10279" i="7" a="1"/>
  <c r="H10279" i="7" s="1"/>
  <c r="E10279" i="7"/>
  <c r="D10279" i="7"/>
  <c r="H10278" i="7" a="1"/>
  <c r="H10278" i="7" s="1"/>
  <c r="E10278" i="7"/>
  <c r="D10278" i="7"/>
  <c r="H10277" i="7" a="1"/>
  <c r="H10277" i="7" s="1"/>
  <c r="E10277" i="7"/>
  <c r="D10277" i="7"/>
  <c r="H10276" i="7" a="1"/>
  <c r="H10276" i="7" s="1"/>
  <c r="E10276" i="7"/>
  <c r="D10276" i="7"/>
  <c r="H10275" i="7" a="1"/>
  <c r="H10275" i="7" s="1"/>
  <c r="E10275" i="7"/>
  <c r="D10275" i="7"/>
  <c r="H10274" i="7" a="1"/>
  <c r="H10274" i="7" s="1"/>
  <c r="E10274" i="7"/>
  <c r="D10274" i="7"/>
  <c r="G14" i="8" l="1"/>
  <c r="H10273" i="7" l="1" a="1"/>
  <c r="H10273" i="7" s="1"/>
  <c r="E10273" i="7"/>
  <c r="D10273" i="7"/>
  <c r="H10272" i="7" a="1"/>
  <c r="H10272" i="7" s="1"/>
  <c r="E10272" i="7"/>
  <c r="D10272" i="7"/>
  <c r="H10229" i="7" a="1"/>
  <c r="H10229" i="7" s="1"/>
  <c r="E10229" i="7"/>
  <c r="D10229" i="7"/>
  <c r="H10228" i="7" a="1"/>
  <c r="H10228" i="7" s="1"/>
  <c r="E10228" i="7"/>
  <c r="D10228" i="7"/>
  <c r="H10223" i="7" a="1"/>
  <c r="H10223" i="7" s="1"/>
  <c r="E10223" i="7"/>
  <c r="D10223" i="7"/>
  <c r="H10222" i="7" a="1"/>
  <c r="H10222" i="7" s="1"/>
  <c r="E10222" i="7"/>
  <c r="D10222" i="7"/>
  <c r="H10227" i="7" a="1"/>
  <c r="H10227" i="7" s="1"/>
  <c r="E10227" i="7"/>
  <c r="D10227" i="7"/>
  <c r="H10226" i="7" a="1"/>
  <c r="H10226" i="7" s="1"/>
  <c r="E10226" i="7"/>
  <c r="D10226" i="7"/>
  <c r="H10225" i="7" a="1"/>
  <c r="H10225" i="7" s="1"/>
  <c r="E10225" i="7"/>
  <c r="D10225" i="7"/>
  <c r="H10224" i="7" a="1"/>
  <c r="H10224" i="7" s="1"/>
  <c r="E10224" i="7"/>
  <c r="D10224" i="7"/>
  <c r="H10221" i="7" a="1"/>
  <c r="H10221" i="7" s="1"/>
  <c r="E10221" i="7"/>
  <c r="D10221" i="7"/>
  <c r="H10220" i="7" a="1"/>
  <c r="H10220" i="7" s="1"/>
  <c r="E10220" i="7"/>
  <c r="D10220" i="7"/>
  <c r="H10219" i="7" a="1"/>
  <c r="H10219" i="7" s="1"/>
  <c r="E10219" i="7"/>
  <c r="D10219" i="7"/>
  <c r="H10218" i="7" a="1"/>
  <c r="H10218" i="7" s="1"/>
  <c r="E10218" i="7"/>
  <c r="D10218" i="7"/>
  <c r="H10217" i="7" a="1"/>
  <c r="H10217" i="7" s="1"/>
  <c r="E10217" i="7"/>
  <c r="D10217" i="7"/>
  <c r="H10216" i="7" a="1"/>
  <c r="H10216" i="7" s="1"/>
  <c r="E10216" i="7"/>
  <c r="D10216" i="7"/>
  <c r="H10215" i="7" a="1"/>
  <c r="H10215" i="7" s="1"/>
  <c r="E10215" i="7"/>
  <c r="D10215" i="7"/>
  <c r="H10214" i="7" a="1"/>
  <c r="H10214" i="7" s="1"/>
  <c r="E10214" i="7"/>
  <c r="D10214" i="7"/>
  <c r="H10213" i="7" a="1"/>
  <c r="H10213" i="7" s="1"/>
  <c r="E10213" i="7"/>
  <c r="D10213" i="7"/>
  <c r="H10212" i="7" a="1"/>
  <c r="H10212" i="7" s="1"/>
  <c r="E10212" i="7"/>
  <c r="D10212" i="7"/>
  <c r="H10211" i="7" a="1"/>
  <c r="H10211" i="7" s="1"/>
  <c r="E10211" i="7"/>
  <c r="D10211" i="7"/>
  <c r="H10210" i="7" a="1"/>
  <c r="H10210" i="7" s="1"/>
  <c r="E10210" i="7"/>
  <c r="D10210" i="7"/>
  <c r="H10209" i="7" l="1" a="1"/>
  <c r="H10209" i="7" s="1"/>
  <c r="E10209" i="7"/>
  <c r="D10209" i="7"/>
  <c r="H10208" i="7" a="1"/>
  <c r="H10208" i="7" s="1"/>
  <c r="E10208" i="7"/>
  <c r="D10208" i="7"/>
  <c r="E10207" i="7"/>
  <c r="D10207" i="7"/>
  <c r="H10206" i="7" a="1"/>
  <c r="H10206" i="7" s="1"/>
  <c r="E10206" i="7"/>
  <c r="D10206" i="7"/>
  <c r="H10185" i="7" a="1"/>
  <c r="H10185" i="7" s="1"/>
  <c r="E10185" i="7"/>
  <c r="D10185" i="7"/>
  <c r="H10184" i="7" a="1"/>
  <c r="H10184" i="7" s="1"/>
  <c r="E10184" i="7"/>
  <c r="D10184" i="7"/>
  <c r="E10183" i="7"/>
  <c r="D10183" i="7"/>
  <c r="H10182" i="7" a="1"/>
  <c r="H10182" i="7" s="1"/>
  <c r="E10182" i="7"/>
  <c r="D10182" i="7"/>
  <c r="H10192" i="7" a="1"/>
  <c r="H10192" i="7" s="1"/>
  <c r="E10192" i="7"/>
  <c r="D10192" i="7"/>
  <c r="H10191" i="7" a="1"/>
  <c r="H10191" i="7" s="1"/>
  <c r="E10191" i="7"/>
  <c r="D10191" i="7"/>
  <c r="H10190" i="7" a="1"/>
  <c r="H10190" i="7" s="1"/>
  <c r="E10190" i="7"/>
  <c r="D10190" i="7"/>
  <c r="H10205" i="7" l="1" a="1"/>
  <c r="H10205" i="7" s="1"/>
  <c r="E10205" i="7"/>
  <c r="D10205" i="7"/>
  <c r="H10204" i="7" a="1"/>
  <c r="H10204" i="7" s="1"/>
  <c r="E10204" i="7"/>
  <c r="D10204" i="7"/>
  <c r="E10202" i="7"/>
  <c r="D10202" i="7"/>
  <c r="E10201" i="7"/>
  <c r="D10201" i="7"/>
  <c r="H10203" i="7" a="1"/>
  <c r="H10203" i="7" s="1"/>
  <c r="E10203" i="7"/>
  <c r="D10203" i="7"/>
  <c r="H10200" i="7" a="1"/>
  <c r="H10200" i="7" s="1"/>
  <c r="E10200" i="7"/>
  <c r="D10200" i="7"/>
  <c r="H10199" i="7" a="1"/>
  <c r="H10199" i="7" s="1"/>
  <c r="E10199" i="7"/>
  <c r="D10199" i="7"/>
  <c r="E10198" i="7"/>
  <c r="D10198" i="7"/>
  <c r="H10197" i="7" a="1"/>
  <c r="H10197" i="7" s="1"/>
  <c r="E10197" i="7"/>
  <c r="D10197" i="7"/>
  <c r="H10162" i="7" l="1" a="1"/>
  <c r="H10162" i="7" s="1"/>
  <c r="E10162" i="7"/>
  <c r="D10162" i="7"/>
  <c r="H10161" i="7" a="1"/>
  <c r="H10161" i="7" s="1"/>
  <c r="E10161" i="7"/>
  <c r="D10161" i="7"/>
  <c r="E10194" i="7"/>
  <c r="D10194" i="7"/>
  <c r="H10196" i="7" a="1"/>
  <c r="H10196" i="7" s="1"/>
  <c r="E10196" i="7"/>
  <c r="D10196" i="7"/>
  <c r="E10195" i="7"/>
  <c r="D10195" i="7"/>
  <c r="H10193" i="7" a="1"/>
  <c r="H10193" i="7" s="1"/>
  <c r="E10193" i="7"/>
  <c r="D10193" i="7"/>
  <c r="H10189" i="7" a="1"/>
  <c r="H10189" i="7" s="1"/>
  <c r="E10189" i="7"/>
  <c r="D10189" i="7"/>
  <c r="H10188" i="7" a="1"/>
  <c r="H10188" i="7" s="1"/>
  <c r="E10188" i="7"/>
  <c r="D10188" i="7"/>
  <c r="H10187" i="7" a="1"/>
  <c r="H10187" i="7" s="1"/>
  <c r="E10187" i="7"/>
  <c r="D10187" i="7"/>
  <c r="H10186" i="7" a="1"/>
  <c r="H10186" i="7" s="1"/>
  <c r="E10186" i="7"/>
  <c r="D10186" i="7"/>
  <c r="E10181" i="7"/>
  <c r="D10181" i="7"/>
  <c r="E10180" i="7"/>
  <c r="D10180" i="7"/>
  <c r="E10179" i="7"/>
  <c r="D10179" i="7"/>
  <c r="E10178" i="7"/>
  <c r="D10178" i="7"/>
  <c r="E10177" i="7"/>
  <c r="D10177" i="7"/>
  <c r="E10176" i="7"/>
  <c r="D10176" i="7"/>
  <c r="D10174" i="7" l="1"/>
  <c r="E10174" i="7"/>
  <c r="E10175" i="7"/>
  <c r="D10175" i="7"/>
  <c r="E10173" i="7"/>
  <c r="D10173" i="7"/>
  <c r="H10172" i="7" l="1" a="1"/>
  <c r="H10172" i="7" s="1"/>
  <c r="E10172" i="7"/>
  <c r="D10172" i="7"/>
  <c r="H10171" i="7" a="1"/>
  <c r="H10171" i="7" s="1"/>
  <c r="E10171" i="7"/>
  <c r="D10171" i="7"/>
  <c r="H10170" i="7" a="1"/>
  <c r="H10170" i="7" s="1"/>
  <c r="E10170" i="7"/>
  <c r="D10170" i="7"/>
  <c r="H10169" i="7" a="1"/>
  <c r="H10169" i="7" s="1"/>
  <c r="E10169" i="7"/>
  <c r="D10169" i="7"/>
  <c r="H10168" i="7" a="1"/>
  <c r="H10168" i="7" s="1"/>
  <c r="E10168" i="7"/>
  <c r="D10168" i="7"/>
  <c r="H10167" i="7" a="1"/>
  <c r="H10167" i="7" s="1"/>
  <c r="E10167" i="7"/>
  <c r="D10167" i="7"/>
  <c r="H10166" i="7" a="1"/>
  <c r="H10166" i="7" s="1"/>
  <c r="E10166" i="7"/>
  <c r="D10166" i="7"/>
  <c r="H10165" i="7" a="1"/>
  <c r="H10165" i="7" s="1"/>
  <c r="E10165" i="7"/>
  <c r="D10165" i="7"/>
  <c r="H10164" i="7" a="1"/>
  <c r="H10164" i="7" s="1"/>
  <c r="E10164" i="7"/>
  <c r="D10164" i="7"/>
  <c r="H10163" i="7" a="1"/>
  <c r="H10163" i="7" s="1"/>
  <c r="E10163" i="7"/>
  <c r="D10163" i="7"/>
  <c r="H10135" i="7" a="1"/>
  <c r="H10135" i="7" s="1"/>
  <c r="E10135" i="7"/>
  <c r="D10135" i="7"/>
  <c r="H10134" i="7" a="1"/>
  <c r="H10134" i="7" s="1"/>
  <c r="E10134" i="7"/>
  <c r="D10134" i="7"/>
  <c r="E10133" i="7"/>
  <c r="D10133" i="7"/>
  <c r="H10132" i="7" a="1"/>
  <c r="H10132" i="7" s="1"/>
  <c r="E10132" i="7"/>
  <c r="D10132" i="7"/>
  <c r="H10160" i="7" a="1"/>
  <c r="H10160" i="7" s="1"/>
  <c r="E10160" i="7"/>
  <c r="D10160" i="7"/>
  <c r="H10159" i="7" a="1"/>
  <c r="H10159" i="7" s="1"/>
  <c r="E10159" i="7"/>
  <c r="D10159" i="7"/>
  <c r="E10158" i="7"/>
  <c r="D10158" i="7"/>
  <c r="H10157" i="7" a="1"/>
  <c r="H10157" i="7" s="1"/>
  <c r="E10157" i="7"/>
  <c r="D10157" i="7"/>
  <c r="H10131" i="7" l="1" a="1"/>
  <c r="H10131" i="7" s="1"/>
  <c r="E10131" i="7"/>
  <c r="D10131" i="7"/>
  <c r="H10130" i="7" a="1"/>
  <c r="H10130" i="7" s="1"/>
  <c r="E10130" i="7"/>
  <c r="D10130" i="7"/>
  <c r="H10104" i="7" a="1"/>
  <c r="H10104" i="7" s="1"/>
  <c r="E10104" i="7"/>
  <c r="D10104" i="7"/>
  <c r="H10103" i="7" a="1"/>
  <c r="H10103" i="7" s="1"/>
  <c r="E10103" i="7"/>
  <c r="D10103" i="7"/>
  <c r="H10102" i="7" a="1"/>
  <c r="H10102" i="7" s="1"/>
  <c r="E10102" i="7"/>
  <c r="D10102" i="7"/>
  <c r="H10156" i="7" a="1"/>
  <c r="H10156" i="7" s="1"/>
  <c r="E10156" i="7"/>
  <c r="D10156" i="7"/>
  <c r="H10155" i="7" a="1"/>
  <c r="H10155" i="7" s="1"/>
  <c r="E10155" i="7"/>
  <c r="D10155" i="7"/>
  <c r="H10154" i="7" a="1"/>
  <c r="H10154" i="7" s="1"/>
  <c r="E10154" i="7"/>
  <c r="D10154" i="7"/>
  <c r="H10147" i="7" l="1" a="1"/>
  <c r="H10147" i="7" s="1"/>
  <c r="E10147" i="7"/>
  <c r="D10147" i="7"/>
  <c r="H10146" i="7" a="1"/>
  <c r="H10146" i="7" s="1"/>
  <c r="E10146" i="7"/>
  <c r="D10146" i="7"/>
  <c r="H10145" i="7" a="1"/>
  <c r="H10145" i="7" s="1"/>
  <c r="E10145" i="7"/>
  <c r="D10145" i="7"/>
  <c r="H10153" i="7" a="1"/>
  <c r="H10153" i="7" s="1"/>
  <c r="E10153" i="7"/>
  <c r="D10153" i="7"/>
  <c r="H10152" i="7" a="1"/>
  <c r="H10152" i="7" s="1"/>
  <c r="E10152" i="7"/>
  <c r="D10152" i="7"/>
  <c r="H10151" i="7" a="1"/>
  <c r="H10151" i="7" s="1"/>
  <c r="E10151" i="7"/>
  <c r="D10151" i="7"/>
  <c r="H10150" i="7" a="1"/>
  <c r="H10150" i="7" s="1"/>
  <c r="E10150" i="7"/>
  <c r="D10150" i="7"/>
  <c r="H10149" i="7" a="1"/>
  <c r="H10149" i="7" s="1"/>
  <c r="E10149" i="7"/>
  <c r="D10149" i="7"/>
  <c r="H10148" i="7" a="1"/>
  <c r="H10148" i="7" s="1"/>
  <c r="E10148" i="7"/>
  <c r="D10148" i="7"/>
  <c r="H10144" i="7" a="1"/>
  <c r="H10144" i="7" s="1"/>
  <c r="E10144" i="7"/>
  <c r="D10144" i="7"/>
  <c r="H10143" i="7" a="1"/>
  <c r="H10143" i="7" s="1"/>
  <c r="E10143" i="7"/>
  <c r="D10143" i="7"/>
  <c r="H10142" i="7" a="1"/>
  <c r="H10142" i="7" s="1"/>
  <c r="E10142" i="7"/>
  <c r="D10142" i="7"/>
  <c r="H10141" i="7" a="1"/>
  <c r="H10141" i="7" s="1"/>
  <c r="E10141" i="7"/>
  <c r="D10141" i="7"/>
  <c r="H10140" i="7" a="1"/>
  <c r="H10140" i="7" s="1"/>
  <c r="E10140" i="7"/>
  <c r="D10140" i="7"/>
  <c r="H10139" i="7" a="1"/>
  <c r="H10139" i="7" s="1"/>
  <c r="E10139" i="7"/>
  <c r="D10139" i="7"/>
  <c r="H10138" i="7" a="1"/>
  <c r="H10138" i="7" s="1"/>
  <c r="E10138" i="7"/>
  <c r="D10138" i="7"/>
  <c r="H10137" i="7" a="1"/>
  <c r="H10137" i="7" s="1"/>
  <c r="E10137" i="7"/>
  <c r="D10137" i="7"/>
  <c r="H10136" i="7" a="1"/>
  <c r="H10136" i="7" s="1"/>
  <c r="E10136" i="7"/>
  <c r="D10136" i="7"/>
  <c r="E10128" i="7" l="1"/>
  <c r="D10128" i="7"/>
  <c r="E10125" i="7"/>
  <c r="D10125" i="7"/>
  <c r="H10129" i="7" a="1"/>
  <c r="H10129" i="7" s="1"/>
  <c r="E10129" i="7"/>
  <c r="D10129" i="7"/>
  <c r="H10127" i="7" a="1"/>
  <c r="H10127" i="7" s="1"/>
  <c r="E10127" i="7"/>
  <c r="D10127" i="7"/>
  <c r="H10126" i="7" a="1"/>
  <c r="H10126" i="7" s="1"/>
  <c r="E10126" i="7"/>
  <c r="D10126" i="7"/>
  <c r="H10124" i="7" a="1"/>
  <c r="H10124" i="7" s="1"/>
  <c r="E10124" i="7"/>
  <c r="D10124" i="7"/>
  <c r="E10120" i="7"/>
  <c r="D10120" i="7"/>
  <c r="E10123" i="7"/>
  <c r="D10123" i="7"/>
  <c r="E10122" i="7"/>
  <c r="D10122" i="7"/>
  <c r="E10121" i="7"/>
  <c r="D10121" i="7"/>
  <c r="E10119" i="7"/>
  <c r="D10119" i="7"/>
  <c r="E10118" i="7"/>
  <c r="D10118" i="7"/>
  <c r="E10117" i="7"/>
  <c r="D10117" i="7"/>
  <c r="H10116" i="7" l="1" a="1"/>
  <c r="H10116" i="7" s="1"/>
  <c r="E10116" i="7"/>
  <c r="D10116" i="7"/>
  <c r="H10115" i="7" a="1"/>
  <c r="H10115" i="7" s="1"/>
  <c r="E10115" i="7"/>
  <c r="D10115" i="7"/>
  <c r="H10114" i="7" a="1"/>
  <c r="H10114" i="7" s="1"/>
  <c r="E10114" i="7"/>
  <c r="D10114" i="7"/>
  <c r="H10113" i="7" a="1"/>
  <c r="H10113" i="7" s="1"/>
  <c r="E10113" i="7"/>
  <c r="D10113" i="7"/>
  <c r="H10112" i="7" a="1"/>
  <c r="H10112" i="7" s="1"/>
  <c r="E10112" i="7"/>
  <c r="D10112" i="7"/>
  <c r="H10111" i="7" a="1"/>
  <c r="H10111" i="7" s="1"/>
  <c r="E10111" i="7"/>
  <c r="D10111" i="7"/>
  <c r="H10110" i="7" l="1" a="1"/>
  <c r="H10110" i="7" s="1"/>
  <c r="E10110" i="7"/>
  <c r="D10110" i="7"/>
  <c r="H10109" i="7" a="1"/>
  <c r="H10109" i="7" s="1"/>
  <c r="E10109" i="7"/>
  <c r="D10109" i="7"/>
  <c r="H10108" i="7" a="1"/>
  <c r="H10108" i="7" s="1"/>
  <c r="E10108" i="7"/>
  <c r="D10108" i="7"/>
  <c r="H10107" i="7" a="1"/>
  <c r="H10107" i="7" s="1"/>
  <c r="E10107" i="7"/>
  <c r="D10107" i="7"/>
  <c r="H10106" i="7" a="1"/>
  <c r="H10106" i="7" s="1"/>
  <c r="E10106" i="7"/>
  <c r="D10106" i="7"/>
  <c r="H10105" i="7" a="1"/>
  <c r="H10105" i="7" s="1"/>
  <c r="E10105" i="7"/>
  <c r="D10105" i="7"/>
  <c r="H10101" i="7" l="1" a="1"/>
  <c r="H10101" i="7" s="1"/>
  <c r="E10101" i="7"/>
  <c r="D10101" i="7"/>
  <c r="H10100" i="7" a="1"/>
  <c r="H10100" i="7" s="1"/>
  <c r="E10100" i="7"/>
  <c r="D10100" i="7"/>
  <c r="H10099" i="7" a="1"/>
  <c r="H10099" i="7" s="1"/>
  <c r="E10099" i="7"/>
  <c r="D10099" i="7"/>
  <c r="H10098" i="7" a="1"/>
  <c r="H10098" i="7" s="1"/>
  <c r="E10098" i="7"/>
  <c r="D10098" i="7"/>
  <c r="H10097" i="7" a="1"/>
  <c r="H10097" i="7" s="1"/>
  <c r="E10097" i="7"/>
  <c r="D10097" i="7"/>
  <c r="H10096" i="7" a="1"/>
  <c r="H10096" i="7" s="1"/>
  <c r="E10096" i="7"/>
  <c r="D10096" i="7"/>
  <c r="H10095" i="7" a="1"/>
  <c r="H10095" i="7" s="1"/>
  <c r="E10095" i="7"/>
  <c r="D10095" i="7"/>
  <c r="H10094" i="7" a="1"/>
  <c r="H10094" i="7" s="1"/>
  <c r="E10094" i="7"/>
  <c r="D10094" i="7"/>
  <c r="H10093" i="7" a="1"/>
  <c r="H10093" i="7" s="1"/>
  <c r="E10093" i="7"/>
  <c r="D10093" i="7"/>
  <c r="H10092" i="7" a="1"/>
  <c r="H10092" i="7" s="1"/>
  <c r="E10092" i="7"/>
  <c r="D10092" i="7"/>
  <c r="H10056" i="7" a="1"/>
  <c r="H10056" i="7" s="1"/>
  <c r="E10056" i="7"/>
  <c r="D10056" i="7"/>
  <c r="H10055" i="7" a="1"/>
  <c r="H10055" i="7" s="1"/>
  <c r="E10055" i="7"/>
  <c r="D10055" i="7"/>
  <c r="H10054" i="7" a="1"/>
  <c r="H10054" i="7" s="1"/>
  <c r="E10054" i="7"/>
  <c r="D10054" i="7"/>
  <c r="H10087" i="7" a="1"/>
  <c r="H10087" i="7" s="1"/>
  <c r="E10087" i="7"/>
  <c r="D10087" i="7"/>
  <c r="H10086" i="7" a="1"/>
  <c r="H10086" i="7" s="1"/>
  <c r="E10086" i="7"/>
  <c r="D10086" i="7"/>
  <c r="H10091" i="7" a="1"/>
  <c r="H10091" i="7" s="1"/>
  <c r="E10091" i="7"/>
  <c r="D10091" i="7"/>
  <c r="H10090" i="7" a="1"/>
  <c r="H10090" i="7" s="1"/>
  <c r="E10090" i="7"/>
  <c r="D10090" i="7"/>
  <c r="E10089" i="7"/>
  <c r="D10089" i="7"/>
  <c r="H10088" i="7" a="1"/>
  <c r="H10088" i="7" s="1"/>
  <c r="E10088" i="7"/>
  <c r="D10088" i="7"/>
  <c r="H10085" i="7" a="1"/>
  <c r="H10085" i="7" s="1"/>
  <c r="E10085" i="7"/>
  <c r="D10085" i="7"/>
  <c r="H10084" i="7" a="1"/>
  <c r="H10084" i="7" s="1"/>
  <c r="E10084" i="7"/>
  <c r="D10084" i="7"/>
  <c r="E10083" i="7"/>
  <c r="D10083" i="7"/>
  <c r="H10082" i="7" a="1"/>
  <c r="H10082" i="7" s="1"/>
  <c r="E10082" i="7"/>
  <c r="D10082" i="7"/>
  <c r="H10081" i="7" a="1"/>
  <c r="H10081" i="7" s="1"/>
  <c r="E10081" i="7"/>
  <c r="D10081" i="7"/>
  <c r="H10080" i="7" a="1"/>
  <c r="H10080" i="7" s="1"/>
  <c r="E10080" i="7"/>
  <c r="D10080" i="7"/>
  <c r="E10079" i="7"/>
  <c r="D10079" i="7"/>
  <c r="H10078" i="7" a="1"/>
  <c r="H10078" i="7" s="1"/>
  <c r="E10078" i="7"/>
  <c r="D10078" i="7"/>
  <c r="H10077" i="7" a="1"/>
  <c r="H10077" i="7" s="1"/>
  <c r="E10077" i="7"/>
  <c r="D10077" i="7"/>
  <c r="H10076" i="7" a="1"/>
  <c r="H10076" i="7" s="1"/>
  <c r="E10076" i="7"/>
  <c r="D10076" i="7"/>
  <c r="E10075" i="7"/>
  <c r="D10075" i="7"/>
  <c r="H10074" i="7" a="1"/>
  <c r="H10074" i="7" s="1"/>
  <c r="E10074" i="7"/>
  <c r="D10074" i="7"/>
  <c r="H10073" i="7" a="1"/>
  <c r="H10073" i="7" s="1"/>
  <c r="E10073" i="7"/>
  <c r="D10073" i="7"/>
  <c r="H10072" i="7" a="1"/>
  <c r="H10072" i="7" s="1"/>
  <c r="E10072" i="7"/>
  <c r="D10072" i="7"/>
  <c r="H10071" i="7" l="1" a="1"/>
  <c r="H10071" i="7" s="1"/>
  <c r="E10071" i="7"/>
  <c r="D10071" i="7"/>
  <c r="H10070" i="7" a="1"/>
  <c r="H10070" i="7" s="1"/>
  <c r="E10070" i="7"/>
  <c r="D10070" i="7"/>
  <c r="H10069" i="7" a="1"/>
  <c r="H10069" i="7" s="1"/>
  <c r="E10069" i="7"/>
  <c r="D10069" i="7"/>
  <c r="H10068" i="7" a="1"/>
  <c r="H10068" i="7" s="1"/>
  <c r="E10068" i="7"/>
  <c r="D10068" i="7"/>
  <c r="H10067" i="7" a="1"/>
  <c r="H10067" i="7" s="1"/>
  <c r="E10067" i="7"/>
  <c r="D10067" i="7"/>
  <c r="H10066" i="7" a="1"/>
  <c r="H10066" i="7" s="1"/>
  <c r="E10066" i="7"/>
  <c r="D10066" i="7"/>
  <c r="H10065" i="7" a="1"/>
  <c r="H10065" i="7" s="1"/>
  <c r="E10065" i="7"/>
  <c r="D10065" i="7"/>
  <c r="E10064" i="7"/>
  <c r="D10064" i="7"/>
  <c r="H10063" i="7" a="1"/>
  <c r="H10063" i="7" s="1"/>
  <c r="E10063" i="7"/>
  <c r="D10063" i="7"/>
  <c r="D10061" i="7"/>
  <c r="E10061" i="7"/>
  <c r="H10062" i="7" a="1"/>
  <c r="H10062" i="7" s="1"/>
  <c r="E10062" i="7"/>
  <c r="D10062" i="7"/>
  <c r="H10060" i="7" a="1"/>
  <c r="H10060" i="7" s="1"/>
  <c r="E10060" i="7"/>
  <c r="D10060" i="7"/>
  <c r="H10059" i="7" a="1"/>
  <c r="H10059" i="7" s="1"/>
  <c r="E10059" i="7"/>
  <c r="D10059" i="7"/>
  <c r="H10058" i="7" a="1"/>
  <c r="H10058" i="7" s="1"/>
  <c r="E10058" i="7"/>
  <c r="D10058" i="7"/>
  <c r="H10057" i="7" a="1"/>
  <c r="H10057" i="7" s="1"/>
  <c r="E10057" i="7"/>
  <c r="D10057" i="7"/>
  <c r="H10053" i="7" l="1" a="1"/>
  <c r="H10053" i="7" s="1"/>
  <c r="E10053" i="7"/>
  <c r="D10053" i="7"/>
  <c r="H10052" i="7" a="1"/>
  <c r="H10052" i="7" s="1"/>
  <c r="E10052" i="7"/>
  <c r="D10052" i="7"/>
  <c r="H10051" i="7" a="1"/>
  <c r="H10051" i="7" s="1"/>
  <c r="E10051" i="7"/>
  <c r="D10051" i="7"/>
  <c r="H10050" i="7" a="1"/>
  <c r="H10050" i="7" s="1"/>
  <c r="E10050" i="7"/>
  <c r="D10050" i="7"/>
  <c r="H10049" i="7" a="1"/>
  <c r="H10049" i="7" s="1"/>
  <c r="E10049" i="7"/>
  <c r="D10049" i="7"/>
  <c r="H10048" i="7" a="1"/>
  <c r="H10048" i="7" s="1"/>
  <c r="E10048" i="7"/>
  <c r="D10048" i="7"/>
  <c r="H10047" i="7" a="1"/>
  <c r="H10047" i="7" s="1"/>
  <c r="E10047" i="7"/>
  <c r="D10047" i="7"/>
  <c r="H10046" i="7" a="1"/>
  <c r="H10046" i="7" s="1"/>
  <c r="E10046" i="7"/>
  <c r="D10046" i="7"/>
  <c r="H10045" i="7" a="1"/>
  <c r="H10045" i="7" s="1"/>
  <c r="E10045" i="7"/>
  <c r="D10045" i="7"/>
  <c r="H10044" i="7" a="1"/>
  <c r="H10044" i="7" s="1"/>
  <c r="E10044" i="7"/>
  <c r="D10044" i="7"/>
  <c r="H10041" i="7" a="1"/>
  <c r="H10041" i="7" s="1"/>
  <c r="E10041" i="7"/>
  <c r="D10041" i="7"/>
  <c r="H10040" i="7" a="1"/>
  <c r="H10040" i="7" s="1"/>
  <c r="E10040" i="7"/>
  <c r="D10040" i="7"/>
  <c r="H10039" i="7" a="1"/>
  <c r="H10039" i="7" s="1"/>
  <c r="E10039" i="7"/>
  <c r="D10039" i="7"/>
  <c r="H10038" i="7" a="1"/>
  <c r="H10038" i="7" s="1"/>
  <c r="E10038" i="7"/>
  <c r="D10038" i="7"/>
  <c r="H10037" i="7" a="1"/>
  <c r="H10037" i="7" s="1"/>
  <c r="E10037" i="7"/>
  <c r="D10037" i="7"/>
  <c r="H10036" i="7" a="1"/>
  <c r="H10036" i="7" s="1"/>
  <c r="E10036" i="7"/>
  <c r="D10036" i="7"/>
  <c r="H10043" i="7" l="1" a="1"/>
  <c r="H10043" i="7" s="1"/>
  <c r="E10043" i="7"/>
  <c r="D10043" i="7"/>
  <c r="H10042" i="7" a="1"/>
  <c r="H10042" i="7" s="1"/>
  <c r="E10042" i="7"/>
  <c r="D10042" i="7"/>
  <c r="H10035" i="7" a="1"/>
  <c r="H10035" i="7" s="1"/>
  <c r="E10035" i="7"/>
  <c r="D10035" i="7"/>
  <c r="H10034" i="7" a="1"/>
  <c r="H10034" i="7" s="1"/>
  <c r="E10034" i="7"/>
  <c r="D10034" i="7"/>
  <c r="E10033" i="7"/>
  <c r="D10033" i="7"/>
  <c r="H10032" i="7" a="1"/>
  <c r="H10032" i="7" s="1"/>
  <c r="E10032" i="7"/>
  <c r="D10032" i="7"/>
  <c r="H10010" i="7" a="1"/>
  <c r="H10010" i="7" s="1"/>
  <c r="E10010" i="7"/>
  <c r="D10010" i="7"/>
  <c r="H10009" i="7" a="1"/>
  <c r="H10009" i="7" s="1"/>
  <c r="E10009" i="7"/>
  <c r="D10009" i="7"/>
  <c r="E10008" i="7"/>
  <c r="D10008" i="7"/>
  <c r="H10007" i="7" a="1"/>
  <c r="H10007" i="7" s="1"/>
  <c r="E10007" i="7"/>
  <c r="D10007" i="7"/>
  <c r="H10031" i="7" l="1" a="1"/>
  <c r="H10031" i="7" s="1"/>
  <c r="E10031" i="7"/>
  <c r="D10031" i="7"/>
  <c r="H10030" i="7" a="1"/>
  <c r="H10030" i="7" s="1"/>
  <c r="E10030" i="7"/>
  <c r="D10030" i="7"/>
  <c r="H10029" i="7" a="1"/>
  <c r="H10029" i="7" s="1"/>
  <c r="E10029" i="7"/>
  <c r="D10029" i="7"/>
  <c r="H10025" i="7" l="1" a="1"/>
  <c r="H10025" i="7" s="1"/>
  <c r="E10025" i="7"/>
  <c r="D10025" i="7"/>
  <c r="H10024" i="7" a="1"/>
  <c r="H10024" i="7" s="1"/>
  <c r="E10024" i="7"/>
  <c r="D10024" i="7"/>
  <c r="H9998" i="7" a="1"/>
  <c r="H9998" i="7" s="1"/>
  <c r="E9998" i="7"/>
  <c r="D9998" i="7"/>
  <c r="H9997" i="7" a="1"/>
  <c r="H9997" i="7" s="1"/>
  <c r="E9997" i="7"/>
  <c r="D9997" i="7"/>
  <c r="H10023" i="7" a="1"/>
  <c r="H10023" i="7" s="1"/>
  <c r="E10023" i="7"/>
  <c r="D10023" i="7"/>
  <c r="E10022" i="7"/>
  <c r="D10022" i="7"/>
  <c r="E10021" i="7"/>
  <c r="D10021" i="7"/>
  <c r="H10020" i="7" a="1"/>
  <c r="H10020" i="7" s="1"/>
  <c r="E10020" i="7"/>
  <c r="D10020" i="7"/>
  <c r="E10019" i="7"/>
  <c r="D10019" i="7"/>
  <c r="E10018" i="7"/>
  <c r="D10018" i="7"/>
  <c r="H10017" i="7" l="1" a="1"/>
  <c r="H10017" i="7" s="1"/>
  <c r="E10017" i="7"/>
  <c r="D10017" i="7"/>
  <c r="H10016" i="7" a="1"/>
  <c r="H10016" i="7" s="1"/>
  <c r="E10016" i="7"/>
  <c r="D10016" i="7"/>
  <c r="H10028" i="7" a="1"/>
  <c r="H10028" i="7" s="1"/>
  <c r="E10028" i="7"/>
  <c r="D10028" i="7"/>
  <c r="H10027" i="7" a="1"/>
  <c r="H10027" i="7" s="1"/>
  <c r="E10027" i="7"/>
  <c r="D10027" i="7"/>
  <c r="H10026" i="7" a="1"/>
  <c r="H10026" i="7" s="1"/>
  <c r="E10026" i="7"/>
  <c r="D10026" i="7"/>
  <c r="H10015" i="7" a="1"/>
  <c r="H10015" i="7" s="1"/>
  <c r="E10015" i="7"/>
  <c r="D10015" i="7"/>
  <c r="H10014" i="7" a="1"/>
  <c r="H10014" i="7" s="1"/>
  <c r="E10014" i="7"/>
  <c r="D10014" i="7"/>
  <c r="H10013" i="7" a="1"/>
  <c r="H10013" i="7" s="1"/>
  <c r="E10013" i="7"/>
  <c r="D10013" i="7"/>
  <c r="H10012" i="7" l="1" a="1"/>
  <c r="H10012" i="7" s="1"/>
  <c r="E10012" i="7"/>
  <c r="D10012" i="7"/>
  <c r="H10011" i="7" a="1"/>
  <c r="H10011" i="7" s="1"/>
  <c r="E10011" i="7"/>
  <c r="D10011" i="7"/>
  <c r="H10006" i="7" a="1"/>
  <c r="H10006" i="7" s="1"/>
  <c r="E10006" i="7"/>
  <c r="D10006" i="7"/>
  <c r="H10005" i="7" a="1"/>
  <c r="H10005" i="7" s="1"/>
  <c r="E10005" i="7"/>
  <c r="D10005" i="7"/>
  <c r="H10004" i="7" a="1"/>
  <c r="H10004" i="7" s="1"/>
  <c r="E10004" i="7"/>
  <c r="D10004" i="7"/>
  <c r="H10003" i="7" a="1"/>
  <c r="H10003" i="7" s="1"/>
  <c r="E10003" i="7"/>
  <c r="D10003" i="7"/>
  <c r="H10002" i="7" a="1"/>
  <c r="H10002" i="7" s="1"/>
  <c r="E10002" i="7"/>
  <c r="D10002" i="7"/>
  <c r="E10001" i="7"/>
  <c r="D10001" i="7"/>
  <c r="E10000" i="7"/>
  <c r="D10000" i="7"/>
  <c r="E9999" i="7"/>
  <c r="D9999" i="7"/>
  <c r="H9979" i="7" l="1" a="1"/>
  <c r="H9979" i="7" s="1"/>
  <c r="E9979" i="7"/>
  <c r="D9979" i="7"/>
  <c r="H9978" i="7" a="1"/>
  <c r="H9978" i="7" s="1"/>
  <c r="E9978" i="7"/>
  <c r="D9978" i="7"/>
  <c r="E9977" i="7"/>
  <c r="D9977" i="7"/>
  <c r="H9976" i="7" a="1"/>
  <c r="H9976" i="7" s="1"/>
  <c r="E9976" i="7"/>
  <c r="D9976" i="7"/>
  <c r="H9986" i="7" a="1"/>
  <c r="H9986" i="7" s="1"/>
  <c r="E9986" i="7"/>
  <c r="D9986" i="7"/>
  <c r="H9985" i="7" a="1"/>
  <c r="H9985" i="7" s="1"/>
  <c r="E9985" i="7"/>
  <c r="D9985" i="7"/>
  <c r="E9984" i="7"/>
  <c r="D9984" i="7"/>
  <c r="H9983" i="7" a="1"/>
  <c r="H9983" i="7" s="1"/>
  <c r="E9983" i="7"/>
  <c r="D9983" i="7"/>
  <c r="H9996" i="7" a="1"/>
  <c r="H9996" i="7" s="1"/>
  <c r="E9996" i="7"/>
  <c r="D9996" i="7"/>
  <c r="H9995" i="7" a="1"/>
  <c r="H9995" i="7" s="1"/>
  <c r="E9995" i="7"/>
  <c r="D9995" i="7"/>
  <c r="H9994" i="7" a="1"/>
  <c r="H9994" i="7" s="1"/>
  <c r="E9994" i="7"/>
  <c r="D9994" i="7"/>
  <c r="H9993" i="7" a="1"/>
  <c r="H9993" i="7" s="1"/>
  <c r="E9993" i="7"/>
  <c r="D9993" i="7"/>
  <c r="H9992" i="7" a="1"/>
  <c r="H9992" i="7" s="1"/>
  <c r="E9992" i="7"/>
  <c r="D9992" i="7"/>
  <c r="H9991" i="7" a="1"/>
  <c r="H9991" i="7" s="1"/>
  <c r="E9991" i="7"/>
  <c r="D9991" i="7"/>
  <c r="H9990" i="7" a="1"/>
  <c r="H9990" i="7" s="1"/>
  <c r="E9990" i="7"/>
  <c r="D9990" i="7"/>
  <c r="H9989" i="7" a="1"/>
  <c r="H9989" i="7" s="1"/>
  <c r="E9989" i="7"/>
  <c r="D9989" i="7"/>
  <c r="H9988" i="7" a="1"/>
  <c r="H9988" i="7" s="1"/>
  <c r="E9988" i="7"/>
  <c r="D9988" i="7"/>
  <c r="H9987" i="7" a="1"/>
  <c r="H9987" i="7" s="1"/>
  <c r="E9987" i="7"/>
  <c r="D9987" i="7"/>
  <c r="H9969" i="7" a="1"/>
  <c r="H9969" i="7" s="1"/>
  <c r="E9969" i="7"/>
  <c r="D9969" i="7"/>
  <c r="H9968" i="7" a="1"/>
  <c r="H9968" i="7" s="1"/>
  <c r="E9968" i="7"/>
  <c r="D9968" i="7"/>
  <c r="H9967" i="7" a="1"/>
  <c r="H9967" i="7" s="1"/>
  <c r="E9967" i="7"/>
  <c r="D9967" i="7"/>
  <c r="E9966" i="7"/>
  <c r="D9966" i="7"/>
  <c r="E9965" i="7"/>
  <c r="D9965" i="7"/>
  <c r="D9963" i="7" l="1"/>
  <c r="E9963" i="7"/>
  <c r="H9964" i="7" a="1"/>
  <c r="H9964" i="7" s="1"/>
  <c r="E9964" i="7"/>
  <c r="D9964" i="7"/>
  <c r="E9962" i="7"/>
  <c r="D9962" i="7"/>
  <c r="H9982" i="7" a="1"/>
  <c r="H9982" i="7" s="1"/>
  <c r="E9982" i="7"/>
  <c r="D9982" i="7"/>
  <c r="H9981" i="7" a="1"/>
  <c r="H9981" i="7" s="1"/>
  <c r="E9981" i="7"/>
  <c r="D9981" i="7"/>
  <c r="H9980" i="7" a="1"/>
  <c r="H9980" i="7" s="1"/>
  <c r="E9980" i="7"/>
  <c r="D9980" i="7"/>
  <c r="H9975" i="7" a="1"/>
  <c r="H9975" i="7" s="1"/>
  <c r="E9975" i="7"/>
  <c r="D9975" i="7"/>
  <c r="H9974" i="7" a="1"/>
  <c r="H9974" i="7" s="1"/>
  <c r="E9974" i="7"/>
  <c r="D9974" i="7"/>
  <c r="H9973" i="7" a="1"/>
  <c r="H9973" i="7" s="1"/>
  <c r="E9973" i="7"/>
  <c r="D9973" i="7"/>
  <c r="H9945" i="7" l="1" a="1"/>
  <c r="H9945" i="7" s="1"/>
  <c r="E9945" i="7"/>
  <c r="D9945" i="7"/>
  <c r="H9944" i="7" a="1"/>
  <c r="H9944" i="7" s="1"/>
  <c r="E9944" i="7"/>
  <c r="D9944" i="7"/>
  <c r="H9943" i="7" a="1"/>
  <c r="H9943" i="7" s="1"/>
  <c r="E9943" i="7"/>
  <c r="D9943" i="7"/>
  <c r="H9972" i="7" l="1" a="1"/>
  <c r="H9972" i="7" s="1"/>
  <c r="E9972" i="7"/>
  <c r="D9972" i="7"/>
  <c r="E9971" i="7"/>
  <c r="D9971" i="7"/>
  <c r="H9970" i="7" a="1"/>
  <c r="H9970" i="7" s="1"/>
  <c r="E9970" i="7"/>
  <c r="D9970" i="7"/>
  <c r="H9904" i="7" a="1"/>
  <c r="H9904" i="7" s="1"/>
  <c r="E9904" i="7"/>
  <c r="D9904" i="7"/>
  <c r="H9903" i="7" a="1"/>
  <c r="H9903" i="7" s="1"/>
  <c r="E9903" i="7"/>
  <c r="D9903" i="7"/>
  <c r="E9902" i="7"/>
  <c r="D9902" i="7"/>
  <c r="H9901" i="7" a="1"/>
  <c r="H9901" i="7" s="1"/>
  <c r="E9901" i="7"/>
  <c r="D9901" i="7"/>
  <c r="H9915" i="7" a="1"/>
  <c r="H9915" i="7" s="1"/>
  <c r="E9915" i="7"/>
  <c r="D9915" i="7"/>
  <c r="H9914" i="7" a="1"/>
  <c r="H9914" i="7" s="1"/>
  <c r="E9914" i="7"/>
  <c r="D9914" i="7"/>
  <c r="E9913" i="7"/>
  <c r="D9913" i="7"/>
  <c r="H9912" i="7" a="1"/>
  <c r="H9912" i="7" s="1"/>
  <c r="E9912" i="7"/>
  <c r="D9912" i="7"/>
  <c r="H9961" i="7" a="1"/>
  <c r="H9961" i="7" s="1"/>
  <c r="E9961" i="7"/>
  <c r="D9961" i="7"/>
  <c r="H9960" i="7" a="1"/>
  <c r="H9960" i="7" s="1"/>
  <c r="E9960" i="7"/>
  <c r="D9960" i="7"/>
  <c r="H9959" i="7" l="1" a="1"/>
  <c r="H9959" i="7" s="1"/>
  <c r="E9959" i="7"/>
  <c r="D9959" i="7"/>
  <c r="H9958" i="7" a="1"/>
  <c r="H9958" i="7" s="1"/>
  <c r="E9958" i="7"/>
  <c r="D9958" i="7"/>
  <c r="H9957" i="7" a="1"/>
  <c r="H9957" i="7" s="1"/>
  <c r="E9957" i="7"/>
  <c r="D9957" i="7"/>
  <c r="H9956" i="7" a="1"/>
  <c r="H9956" i="7" s="1"/>
  <c r="E9956" i="7"/>
  <c r="D9956" i="7"/>
  <c r="E9955" i="7"/>
  <c r="D9955" i="7"/>
  <c r="H9954" i="7" a="1"/>
  <c r="H9954" i="7" s="1"/>
  <c r="E9954" i="7"/>
  <c r="D9954" i="7"/>
  <c r="H9953" i="7" a="1"/>
  <c r="H9953" i="7" s="1"/>
  <c r="E9953" i="7"/>
  <c r="D9953" i="7"/>
  <c r="H9952" i="7" a="1"/>
  <c r="H9952" i="7" s="1"/>
  <c r="E9952" i="7"/>
  <c r="D9952" i="7"/>
  <c r="E9951" i="7"/>
  <c r="D9951" i="7"/>
  <c r="H9950" i="7" a="1"/>
  <c r="H9950" i="7" s="1"/>
  <c r="E9950" i="7"/>
  <c r="D9950" i="7"/>
  <c r="H9949" i="7" a="1"/>
  <c r="H9949" i="7" s="1"/>
  <c r="E9949" i="7"/>
  <c r="D9949" i="7"/>
  <c r="H9948" i="7" a="1"/>
  <c r="H9948" i="7" s="1"/>
  <c r="E9948" i="7"/>
  <c r="D9948" i="7"/>
  <c r="H9947" i="7" l="1" a="1"/>
  <c r="H9947" i="7" s="1"/>
  <c r="E9947" i="7"/>
  <c r="D9947" i="7"/>
  <c r="H9946" i="7" a="1"/>
  <c r="H9946" i="7" s="1"/>
  <c r="E9946" i="7"/>
  <c r="D9946" i="7"/>
  <c r="H9928" i="7" l="1" a="1"/>
  <c r="H9928" i="7" s="1"/>
  <c r="E9928" i="7"/>
  <c r="D9928" i="7"/>
  <c r="H9927" i="7" a="1"/>
  <c r="H9927" i="7" s="1"/>
  <c r="E9927" i="7"/>
  <c r="D9927" i="7"/>
  <c r="E9926" i="7"/>
  <c r="D9926" i="7"/>
  <c r="H9925" i="7" a="1"/>
  <c r="H9925" i="7" s="1"/>
  <c r="E9925" i="7"/>
  <c r="D9925" i="7"/>
  <c r="H9942" i="7" l="1" a="1"/>
  <c r="H9942" i="7" s="1"/>
  <c r="E9942" i="7"/>
  <c r="D9942" i="7"/>
  <c r="H9941" i="7" a="1"/>
  <c r="H9941" i="7" s="1"/>
  <c r="E9941" i="7"/>
  <c r="D9941" i="7"/>
  <c r="H9940" i="7" a="1"/>
  <c r="H9940" i="7" s="1"/>
  <c r="E9940" i="7"/>
  <c r="D9940" i="7"/>
  <c r="H9939" i="7" a="1"/>
  <c r="H9939" i="7" s="1"/>
  <c r="E9939" i="7"/>
  <c r="D9939" i="7"/>
  <c r="H9938" i="7" a="1"/>
  <c r="H9938" i="7" s="1"/>
  <c r="E9938" i="7"/>
  <c r="D9938" i="7"/>
  <c r="H9937" i="7" a="1"/>
  <c r="H9937" i="7" s="1"/>
  <c r="E9937" i="7"/>
  <c r="D9937" i="7"/>
  <c r="H9936" i="7" a="1"/>
  <c r="H9936" i="7" s="1"/>
  <c r="E9936" i="7"/>
  <c r="D9936" i="7"/>
  <c r="H9935" i="7" a="1"/>
  <c r="H9935" i="7" s="1"/>
  <c r="E9935" i="7"/>
  <c r="D9935" i="7"/>
  <c r="H9934" i="7" a="1"/>
  <c r="H9934" i="7" s="1"/>
  <c r="E9934" i="7"/>
  <c r="D9934" i="7"/>
  <c r="H9933" i="7" a="1"/>
  <c r="H9933" i="7" s="1"/>
  <c r="E9933" i="7"/>
  <c r="D9933" i="7"/>
  <c r="H9932" i="7" a="1"/>
  <c r="H9932" i="7" s="1"/>
  <c r="E9932" i="7"/>
  <c r="D9932" i="7"/>
  <c r="H9931" i="7" a="1"/>
  <c r="H9931" i="7" s="1"/>
  <c r="E9931" i="7"/>
  <c r="D9931" i="7"/>
  <c r="H9930" i="7" a="1"/>
  <c r="H9930" i="7" s="1"/>
  <c r="E9930" i="7"/>
  <c r="D9930" i="7"/>
  <c r="H9929" i="7" a="1"/>
  <c r="H9929" i="7" s="1"/>
  <c r="E9929" i="7"/>
  <c r="D9929" i="7"/>
  <c r="H9924" i="7" a="1"/>
  <c r="H9924" i="7" s="1"/>
  <c r="E9924" i="7"/>
  <c r="D9924" i="7"/>
  <c r="H9923" i="7" a="1"/>
  <c r="H9923" i="7" s="1"/>
  <c r="E9923" i="7"/>
  <c r="D9923" i="7"/>
  <c r="H9922" i="7" a="1"/>
  <c r="H9922" i="7" s="1"/>
  <c r="E9922" i="7"/>
  <c r="D9922" i="7"/>
  <c r="H9921" i="7" l="1" a="1"/>
  <c r="H9921" i="7" s="1"/>
  <c r="E9921" i="7"/>
  <c r="D9921" i="7"/>
  <c r="H9920" i="7" a="1"/>
  <c r="H9920" i="7" s="1"/>
  <c r="E9920" i="7"/>
  <c r="D9920" i="7"/>
  <c r="H9919" i="7" a="1"/>
  <c r="H9919" i="7" s="1"/>
  <c r="E9919" i="7"/>
  <c r="D9919" i="7"/>
  <c r="H9911" i="7" l="1" a="1"/>
  <c r="H9911" i="7" s="1"/>
  <c r="E9911" i="7"/>
  <c r="D9911" i="7"/>
  <c r="H9910" i="7" a="1"/>
  <c r="H9910" i="7" s="1"/>
  <c r="E9910" i="7"/>
  <c r="D9910" i="7"/>
  <c r="H9909" i="7" a="1"/>
  <c r="H9909" i="7" s="1"/>
  <c r="E9909" i="7"/>
  <c r="D9909" i="7"/>
  <c r="H9918" i="7" a="1"/>
  <c r="H9918" i="7" s="1"/>
  <c r="E9918" i="7"/>
  <c r="D9918" i="7"/>
  <c r="H9917" i="7" a="1"/>
  <c r="H9917" i="7" s="1"/>
  <c r="E9917" i="7"/>
  <c r="D9917" i="7"/>
  <c r="H9916" i="7" a="1"/>
  <c r="H9916" i="7" s="1"/>
  <c r="E9916" i="7"/>
  <c r="D9916" i="7"/>
  <c r="H9908" i="7" l="1" a="1"/>
  <c r="H9908" i="7" s="1"/>
  <c r="E9908" i="7"/>
  <c r="D9908" i="7"/>
  <c r="H9907" i="7" a="1"/>
  <c r="H9907" i="7" s="1"/>
  <c r="E9907" i="7"/>
  <c r="D9907" i="7"/>
  <c r="H9906" i="7" l="1" a="1"/>
  <c r="H9906" i="7" s="1"/>
  <c r="E9906" i="7"/>
  <c r="D9906" i="7"/>
  <c r="H9905" i="7" a="1"/>
  <c r="H9905" i="7" s="1"/>
  <c r="E9905" i="7"/>
  <c r="D9905" i="7"/>
  <c r="H9900" i="7" l="1" a="1"/>
  <c r="H9900" i="7" s="1"/>
  <c r="E9900" i="7"/>
  <c r="D9900" i="7"/>
  <c r="H9899" i="7" a="1"/>
  <c r="H9899" i="7" s="1"/>
  <c r="E9899" i="7"/>
  <c r="D9899" i="7"/>
  <c r="H9898" i="7" l="1" a="1"/>
  <c r="H9898" i="7" s="1"/>
  <c r="E9898" i="7"/>
  <c r="D9898" i="7"/>
  <c r="E9897" i="7"/>
  <c r="D9897" i="7"/>
  <c r="E9896" i="7"/>
  <c r="D9896" i="7"/>
  <c r="E9895" i="7"/>
  <c r="D9895" i="7"/>
  <c r="H9894" i="7" a="1"/>
  <c r="H9894" i="7" s="1"/>
  <c r="E9894" i="7"/>
  <c r="D9894" i="7"/>
  <c r="E9893" i="7"/>
  <c r="D9893" i="7"/>
  <c r="E9892" i="7"/>
  <c r="D9892" i="7"/>
  <c r="E9891" i="7"/>
  <c r="D9891" i="7"/>
  <c r="H9874" i="7" l="1" a="1"/>
  <c r="H9874" i="7" s="1"/>
  <c r="E9874" i="7"/>
  <c r="D9874" i="7"/>
  <c r="H9873" i="7" a="1"/>
  <c r="H9873" i="7" s="1"/>
  <c r="E9873" i="7"/>
  <c r="D9873" i="7"/>
  <c r="H9840" i="7" a="1"/>
  <c r="H9840" i="7" s="1"/>
  <c r="E9840" i="7"/>
  <c r="D9840" i="7"/>
  <c r="H9839" i="7" a="1"/>
  <c r="H9839" i="7" s="1"/>
  <c r="E9839" i="7"/>
  <c r="D9839" i="7"/>
  <c r="H9890" i="7" a="1"/>
  <c r="H9890" i="7" s="1"/>
  <c r="E9890" i="7"/>
  <c r="D9890" i="7"/>
  <c r="H9889" i="7" a="1"/>
  <c r="H9889" i="7" s="1"/>
  <c r="E9889" i="7"/>
  <c r="D9889" i="7"/>
  <c r="H9888" i="7" a="1"/>
  <c r="H9888" i="7" s="1"/>
  <c r="E9888" i="7"/>
  <c r="D9888" i="7"/>
  <c r="H9887" i="7" a="1"/>
  <c r="H9887" i="7" s="1"/>
  <c r="E9887" i="7"/>
  <c r="D9887" i="7"/>
  <c r="H9886" i="7" a="1"/>
  <c r="H9886" i="7" s="1"/>
  <c r="E9886" i="7"/>
  <c r="D9886" i="7"/>
  <c r="H9885" i="7" a="1"/>
  <c r="H9885" i="7" s="1"/>
  <c r="E9885" i="7"/>
  <c r="D9885" i="7"/>
  <c r="H9884" i="7" a="1"/>
  <c r="H9884" i="7" s="1"/>
  <c r="E9884" i="7"/>
  <c r="D9884" i="7"/>
  <c r="H9883" i="7" a="1"/>
  <c r="H9883" i="7" s="1"/>
  <c r="E9883" i="7"/>
  <c r="D9883" i="7"/>
  <c r="H9882" i="7" a="1"/>
  <c r="H9882" i="7" s="1"/>
  <c r="E9882" i="7"/>
  <c r="D9882" i="7"/>
  <c r="H9881" i="7" a="1"/>
  <c r="H9881" i="7" s="1"/>
  <c r="E9881" i="7"/>
  <c r="D9881" i="7"/>
  <c r="H9880" i="7" a="1"/>
  <c r="H9880" i="7" s="1"/>
  <c r="E9880" i="7"/>
  <c r="D9880" i="7"/>
  <c r="H9879" i="7" a="1"/>
  <c r="H9879" i="7" s="1"/>
  <c r="E9879" i="7"/>
  <c r="D9879" i="7"/>
  <c r="H9878" i="7" a="1"/>
  <c r="H9878" i="7" s="1"/>
  <c r="E9878" i="7"/>
  <c r="D9878" i="7"/>
  <c r="H9877" i="7" a="1"/>
  <c r="H9877" i="7" s="1"/>
  <c r="E9877" i="7"/>
  <c r="D9877" i="7"/>
  <c r="H9876" i="7" a="1"/>
  <c r="H9876" i="7" s="1"/>
  <c r="E9876" i="7"/>
  <c r="D9876" i="7"/>
  <c r="H9875" i="7" a="1"/>
  <c r="H9875" i="7" s="1"/>
  <c r="E9875" i="7"/>
  <c r="D9875" i="7"/>
  <c r="H9872" i="7" l="1" a="1"/>
  <c r="H9872" i="7" s="1"/>
  <c r="E9872" i="7"/>
  <c r="D9872" i="7"/>
  <c r="E9871" i="7"/>
  <c r="D9871" i="7"/>
  <c r="E9870" i="7"/>
  <c r="D9870" i="7"/>
  <c r="E9869" i="7"/>
  <c r="D9869" i="7"/>
  <c r="H9868" i="7" a="1"/>
  <c r="H9868" i="7" s="1"/>
  <c r="E9868" i="7"/>
  <c r="D9868" i="7"/>
  <c r="E9867" i="7"/>
  <c r="D9867" i="7"/>
  <c r="E9866" i="7"/>
  <c r="D9866" i="7"/>
  <c r="E9865" i="7"/>
  <c r="D9865" i="7"/>
  <c r="H9858" i="7" l="1" a="1"/>
  <c r="H9858" i="7" s="1"/>
  <c r="E9858" i="7"/>
  <c r="D9858" i="7"/>
  <c r="H9857" i="7" a="1"/>
  <c r="H9857" i="7" s="1"/>
  <c r="E9857" i="7"/>
  <c r="D9857" i="7"/>
  <c r="H9856" i="7" a="1"/>
  <c r="H9856" i="7" s="1"/>
  <c r="E9856" i="7"/>
  <c r="D9856" i="7"/>
  <c r="H9855" i="7" a="1"/>
  <c r="H9855" i="7" s="1"/>
  <c r="E9855" i="7"/>
  <c r="D9855" i="7"/>
  <c r="H9864" i="7" l="1" a="1"/>
  <c r="H9864" i="7" s="1"/>
  <c r="E9864" i="7"/>
  <c r="D9864" i="7"/>
  <c r="H9863" i="7" a="1"/>
  <c r="H9863" i="7" s="1"/>
  <c r="E9863" i="7"/>
  <c r="D9863" i="7"/>
  <c r="H9862" i="7" a="1"/>
  <c r="H9862" i="7" s="1"/>
  <c r="E9862" i="7"/>
  <c r="D9862" i="7"/>
  <c r="H9861" i="7" a="1"/>
  <c r="H9861" i="7" s="1"/>
  <c r="E9861" i="7"/>
  <c r="D9861" i="7"/>
  <c r="H9860" i="7" a="1"/>
  <c r="H9860" i="7" s="1"/>
  <c r="E9860" i="7"/>
  <c r="D9860" i="7"/>
  <c r="H9859" i="7" a="1"/>
  <c r="H9859" i="7" s="1"/>
  <c r="E9859" i="7"/>
  <c r="D9859" i="7"/>
  <c r="H9854" i="7" l="1" a="1"/>
  <c r="H9854" i="7" s="1"/>
  <c r="E9854" i="7"/>
  <c r="D9854" i="7"/>
  <c r="H9853" i="7" a="1"/>
  <c r="H9853" i="7" s="1"/>
  <c r="E9853" i="7"/>
  <c r="D9853" i="7"/>
  <c r="H9852" i="7" a="1"/>
  <c r="H9852" i="7" s="1"/>
  <c r="E9852" i="7"/>
  <c r="D9852" i="7"/>
  <c r="H9851" i="7" a="1"/>
  <c r="H9851" i="7" s="1"/>
  <c r="E9851" i="7"/>
  <c r="D9851" i="7"/>
  <c r="H9850" i="7" a="1"/>
  <c r="H9850" i="7" s="1"/>
  <c r="E9850" i="7"/>
  <c r="D9850" i="7"/>
  <c r="H9849" i="7" a="1"/>
  <c r="H9849" i="7" s="1"/>
  <c r="E9849" i="7"/>
  <c r="D9849" i="7"/>
  <c r="H9848" i="7" a="1"/>
  <c r="H9848" i="7" s="1"/>
  <c r="E9848" i="7"/>
  <c r="D9848" i="7"/>
  <c r="H9847" i="7" a="1"/>
  <c r="H9847" i="7" s="1"/>
  <c r="E9847" i="7"/>
  <c r="D9847" i="7"/>
  <c r="H9846" i="7" a="1"/>
  <c r="H9846" i="7" s="1"/>
  <c r="E9846" i="7"/>
  <c r="D9846" i="7"/>
  <c r="H9845" i="7" a="1"/>
  <c r="H9845" i="7" s="1"/>
  <c r="E9845" i="7"/>
  <c r="D9845" i="7"/>
  <c r="H9844" i="7" a="1"/>
  <c r="H9844" i="7" s="1"/>
  <c r="E9844" i="7"/>
  <c r="D9844" i="7"/>
  <c r="H9843" i="7" a="1"/>
  <c r="H9843" i="7" s="1"/>
  <c r="E9843" i="7"/>
  <c r="D9843" i="7"/>
  <c r="H9842" i="7" a="1"/>
  <c r="H9842" i="7" s="1"/>
  <c r="E9842" i="7"/>
  <c r="D9842" i="7"/>
  <c r="H9841" i="7" a="1"/>
  <c r="H9841" i="7" s="1"/>
  <c r="E9841" i="7"/>
  <c r="D9841" i="7"/>
  <c r="H9838" i="7" a="1"/>
  <c r="H9838" i="7" s="1"/>
  <c r="E9838" i="7"/>
  <c r="D9838" i="7"/>
  <c r="H9837" i="7" a="1"/>
  <c r="H9837" i="7" s="1"/>
  <c r="E9837" i="7"/>
  <c r="D9837" i="7"/>
  <c r="H9820" i="7" a="1"/>
  <c r="H9820" i="7" s="1"/>
  <c r="E9820" i="7"/>
  <c r="D9820" i="7"/>
  <c r="H9819" i="7" a="1"/>
  <c r="H9819" i="7" s="1"/>
  <c r="E9819" i="7"/>
  <c r="D9819" i="7"/>
  <c r="H9836" i="7" l="1" a="1"/>
  <c r="H9836" i="7" s="1"/>
  <c r="E9836" i="7"/>
  <c r="D9836" i="7"/>
  <c r="H9835" i="7" a="1"/>
  <c r="H9835" i="7" s="1"/>
  <c r="E9835" i="7"/>
  <c r="D9835" i="7"/>
  <c r="H9834" i="7" a="1"/>
  <c r="H9834" i="7" s="1"/>
  <c r="E9834" i="7"/>
  <c r="D9834" i="7"/>
  <c r="H9833" i="7" a="1"/>
  <c r="H9833" i="7" s="1"/>
  <c r="E9833" i="7"/>
  <c r="D9833" i="7"/>
  <c r="H9832" i="7" a="1"/>
  <c r="H9832" i="7" s="1"/>
  <c r="E9832" i="7"/>
  <c r="D9832" i="7"/>
  <c r="H9831" i="7" a="1"/>
  <c r="H9831" i="7" s="1"/>
  <c r="E9831" i="7"/>
  <c r="D9831" i="7"/>
  <c r="H9830" i="7" a="1"/>
  <c r="H9830" i="7" s="1"/>
  <c r="E9830" i="7"/>
  <c r="D9830" i="7"/>
  <c r="H9829" i="7" a="1"/>
  <c r="H9829" i="7" s="1"/>
  <c r="E9829" i="7"/>
  <c r="D9829" i="7"/>
  <c r="H9828" i="7" a="1"/>
  <c r="H9828" i="7" s="1"/>
  <c r="E9828" i="7"/>
  <c r="D9828" i="7"/>
  <c r="H9827" i="7" a="1"/>
  <c r="H9827" i="7" s="1"/>
  <c r="E9827" i="7"/>
  <c r="D9827" i="7"/>
  <c r="H9826" i="7" a="1"/>
  <c r="H9826" i="7" s="1"/>
  <c r="E9826" i="7"/>
  <c r="D9826" i="7"/>
  <c r="H9825" i="7" a="1"/>
  <c r="H9825" i="7" s="1"/>
  <c r="E9825" i="7"/>
  <c r="D9825" i="7"/>
  <c r="H9824" i="7" a="1"/>
  <c r="H9824" i="7" s="1"/>
  <c r="E9824" i="7"/>
  <c r="D9824" i="7"/>
  <c r="H9823" i="7" a="1"/>
  <c r="H9823" i="7" s="1"/>
  <c r="E9823" i="7"/>
  <c r="D9823" i="7"/>
  <c r="H9822" i="7" a="1"/>
  <c r="H9822" i="7" s="1"/>
  <c r="E9822" i="7"/>
  <c r="D9822" i="7"/>
  <c r="H9821" i="7" a="1"/>
  <c r="H9821" i="7" s="1"/>
  <c r="E9821" i="7"/>
  <c r="D9821" i="7"/>
  <c r="H9818" i="7" a="1"/>
  <c r="H9818" i="7" s="1"/>
  <c r="E9818" i="7"/>
  <c r="D9818" i="7"/>
  <c r="H9817" i="7" a="1"/>
  <c r="H9817" i="7" s="1"/>
  <c r="E9817" i="7"/>
  <c r="D9817" i="7"/>
  <c r="E9816" i="7"/>
  <c r="D9816" i="7"/>
  <c r="H9815" i="7" a="1"/>
  <c r="H9815" i="7" s="1"/>
  <c r="E9815" i="7"/>
  <c r="D9815" i="7"/>
  <c r="H9801" i="7" a="1"/>
  <c r="H9801" i="7" s="1"/>
  <c r="E9801" i="7"/>
  <c r="D9801" i="7"/>
  <c r="H9800" i="7" a="1"/>
  <c r="H9800" i="7" s="1"/>
  <c r="E9800" i="7"/>
  <c r="D9800" i="7"/>
  <c r="E9799" i="7"/>
  <c r="D9799" i="7"/>
  <c r="H9798" i="7" a="1"/>
  <c r="H9798" i="7" s="1"/>
  <c r="E9798" i="7"/>
  <c r="D9798" i="7"/>
  <c r="H9812" i="7" a="1"/>
  <c r="H9812" i="7" s="1"/>
  <c r="E9812" i="7"/>
  <c r="D9812" i="7"/>
  <c r="H9811" i="7" a="1"/>
  <c r="H9811" i="7" s="1"/>
  <c r="E9811" i="7"/>
  <c r="D9811" i="7"/>
  <c r="E9810" i="7"/>
  <c r="D9810" i="7"/>
  <c r="H9809" i="7" a="1"/>
  <c r="H9809" i="7" s="1"/>
  <c r="E9809" i="7"/>
  <c r="D9809" i="7"/>
  <c r="H9814" i="7" a="1"/>
  <c r="H9814" i="7" s="1"/>
  <c r="E9814" i="7"/>
  <c r="D9814" i="7"/>
  <c r="H9813" i="7" a="1"/>
  <c r="H9813" i="7" s="1"/>
  <c r="E9813" i="7"/>
  <c r="D9813" i="7"/>
  <c r="H9808" i="7" a="1"/>
  <c r="H9808" i="7" s="1"/>
  <c r="E9808" i="7"/>
  <c r="D9808" i="7"/>
  <c r="H9807" i="7" a="1"/>
  <c r="H9807" i="7" s="1"/>
  <c r="E9807" i="7"/>
  <c r="D9807" i="7"/>
  <c r="E9806" i="7"/>
  <c r="D9806" i="7"/>
  <c r="H9805" i="7" a="1"/>
  <c r="H9805" i="7" s="1"/>
  <c r="E9805" i="7"/>
  <c r="D9805" i="7"/>
  <c r="H9557" i="7" l="1" a="1"/>
  <c r="H9557" i="7" s="1"/>
  <c r="E9557" i="7"/>
  <c r="D9557" i="7"/>
  <c r="H9556" i="7" a="1"/>
  <c r="H9556" i="7" s="1"/>
  <c r="E9556" i="7"/>
  <c r="D9556" i="7"/>
  <c r="H9804" i="7" a="1"/>
  <c r="H9804" i="7" s="1"/>
  <c r="E9804" i="7"/>
  <c r="D9804" i="7"/>
  <c r="H9803" i="7" a="1"/>
  <c r="H9803" i="7" s="1"/>
  <c r="E9803" i="7"/>
  <c r="D9803" i="7"/>
  <c r="H9802" i="7" a="1"/>
  <c r="H9802" i="7" s="1"/>
  <c r="E9802" i="7"/>
  <c r="D9802" i="7"/>
  <c r="H9794" i="7" a="1"/>
  <c r="H9794" i="7" s="1"/>
  <c r="E9794" i="7"/>
  <c r="D9794" i="7"/>
  <c r="H9793" i="7" a="1"/>
  <c r="H9793" i="7" s="1"/>
  <c r="E9793" i="7"/>
  <c r="D9793" i="7"/>
  <c r="H9792" i="7" a="1"/>
  <c r="H9792" i="7" s="1"/>
  <c r="E9792" i="7"/>
  <c r="D9792" i="7"/>
  <c r="H9791" i="7" a="1"/>
  <c r="H9791" i="7" s="1"/>
  <c r="E9791" i="7"/>
  <c r="D9791" i="7"/>
  <c r="H9790" i="7" a="1"/>
  <c r="H9790" i="7" s="1"/>
  <c r="E9790" i="7"/>
  <c r="D9790" i="7"/>
  <c r="H9789" i="7" a="1"/>
  <c r="H9789" i="7" s="1"/>
  <c r="E9789" i="7"/>
  <c r="D9789" i="7"/>
  <c r="H9797" i="7" a="1"/>
  <c r="H9797" i="7" s="1"/>
  <c r="E9797" i="7"/>
  <c r="D9797" i="7"/>
  <c r="H9796" i="7" a="1"/>
  <c r="H9796" i="7" s="1"/>
  <c r="E9796" i="7"/>
  <c r="D9796" i="7"/>
  <c r="H9795" i="7" a="1"/>
  <c r="H9795" i="7" s="1"/>
  <c r="E9795" i="7"/>
  <c r="D9795" i="7"/>
  <c r="H9788" i="7" l="1" a="1"/>
  <c r="H9788" i="7" s="1"/>
  <c r="E9788" i="7"/>
  <c r="D9788" i="7"/>
  <c r="H9787" i="7" a="1"/>
  <c r="H9787" i="7" s="1"/>
  <c r="E9787" i="7"/>
  <c r="D9787" i="7"/>
  <c r="H9786" i="7" a="1"/>
  <c r="H9786" i="7" s="1"/>
  <c r="E9786" i="7"/>
  <c r="D9786" i="7"/>
  <c r="H9785" i="7" a="1"/>
  <c r="H9785" i="7" s="1"/>
  <c r="E9785" i="7"/>
  <c r="D9785" i="7"/>
  <c r="H9784" i="7" a="1"/>
  <c r="H9784" i="7" s="1"/>
  <c r="E9784" i="7"/>
  <c r="D9784" i="7"/>
  <c r="H9783" i="7" a="1"/>
  <c r="H9783" i="7" s="1"/>
  <c r="E9783" i="7"/>
  <c r="D9783" i="7"/>
  <c r="H9782" i="7" a="1"/>
  <c r="H9782" i="7" s="1"/>
  <c r="E9782" i="7"/>
  <c r="D9782" i="7"/>
  <c r="H9781" i="7" a="1"/>
  <c r="H9781" i="7" s="1"/>
  <c r="E9781" i="7"/>
  <c r="D9781" i="7"/>
  <c r="H9780" i="7" a="1"/>
  <c r="H9780" i="7" s="1"/>
  <c r="E9780" i="7"/>
  <c r="D9780" i="7"/>
  <c r="H9779" i="7" a="1"/>
  <c r="H9779" i="7" s="1"/>
  <c r="E9779" i="7"/>
  <c r="D9779" i="7"/>
  <c r="H9778" i="7" a="1"/>
  <c r="H9778" i="7" s="1"/>
  <c r="E9778" i="7"/>
  <c r="D9778" i="7"/>
  <c r="H9777" i="7" a="1"/>
  <c r="H9777" i="7" s="1"/>
  <c r="E9777" i="7"/>
  <c r="D9777" i="7"/>
  <c r="H9776" i="7" a="1"/>
  <c r="H9776" i="7" s="1"/>
  <c r="E9776" i="7"/>
  <c r="D9776" i="7"/>
  <c r="H9775" i="7" a="1"/>
  <c r="H9775" i="7" s="1"/>
  <c r="E9775" i="7"/>
  <c r="D9775" i="7"/>
  <c r="H9774" i="7" a="1"/>
  <c r="H9774" i="7" s="1"/>
  <c r="E9774" i="7"/>
  <c r="D9774" i="7"/>
  <c r="H9773" i="7" a="1"/>
  <c r="H9773" i="7" s="1"/>
  <c r="E9773" i="7"/>
  <c r="D9773" i="7"/>
  <c r="H9772" i="7" l="1" a="1"/>
  <c r="H9772" i="7" s="1"/>
  <c r="E9772" i="7"/>
  <c r="D9772" i="7"/>
  <c r="H9771" i="7" a="1"/>
  <c r="H9771" i="7" s="1"/>
  <c r="E9771" i="7"/>
  <c r="D9771" i="7"/>
  <c r="H9770" i="7" a="1"/>
  <c r="H9770" i="7" s="1"/>
  <c r="E9770" i="7"/>
  <c r="D9770" i="7"/>
  <c r="H9769" i="7" a="1"/>
  <c r="H9769" i="7" s="1"/>
  <c r="E9769" i="7"/>
  <c r="D9769" i="7"/>
  <c r="H9768" i="7" a="1"/>
  <c r="H9768" i="7" s="1"/>
  <c r="E9768" i="7"/>
  <c r="D9768" i="7"/>
  <c r="H9752" i="7" l="1" a="1"/>
  <c r="H9752" i="7" s="1"/>
  <c r="E9752" i="7"/>
  <c r="D9752" i="7"/>
  <c r="H9751" i="7" a="1"/>
  <c r="H9751" i="7" s="1"/>
  <c r="E9751" i="7"/>
  <c r="D9751" i="7"/>
  <c r="H9750" i="7" a="1"/>
  <c r="H9750" i="7" s="1"/>
  <c r="E9750" i="7"/>
  <c r="D9750" i="7"/>
  <c r="H9767" i="7" l="1" a="1"/>
  <c r="H9767" i="7" s="1"/>
  <c r="E9767" i="7"/>
  <c r="D9767" i="7"/>
  <c r="H9766" i="7" a="1"/>
  <c r="H9766" i="7" s="1"/>
  <c r="E9766" i="7"/>
  <c r="D9766" i="7"/>
  <c r="H9765" i="7" a="1"/>
  <c r="H9765" i="7" s="1"/>
  <c r="E9765" i="7"/>
  <c r="D9765" i="7"/>
  <c r="H9764" i="7" a="1"/>
  <c r="H9764" i="7" s="1"/>
  <c r="E9764" i="7"/>
  <c r="D9764" i="7"/>
  <c r="H9763" i="7" a="1"/>
  <c r="H9763" i="7" s="1"/>
  <c r="E9763" i="7"/>
  <c r="D9763" i="7"/>
  <c r="H9762" i="7" a="1"/>
  <c r="H9762" i="7" s="1"/>
  <c r="E9762" i="7"/>
  <c r="D9762" i="7"/>
  <c r="H9761" i="7" a="1"/>
  <c r="H9761" i="7" s="1"/>
  <c r="E9761" i="7"/>
  <c r="D9761" i="7"/>
  <c r="H9760" i="7" a="1"/>
  <c r="H9760" i="7" s="1"/>
  <c r="E9760" i="7"/>
  <c r="D9760" i="7"/>
  <c r="H9759" i="7" a="1"/>
  <c r="H9759" i="7" s="1"/>
  <c r="E9759" i="7"/>
  <c r="D9759" i="7"/>
  <c r="H9758" i="7" l="1" a="1"/>
  <c r="H9758" i="7" s="1"/>
  <c r="E9758" i="7"/>
  <c r="D9758" i="7"/>
  <c r="H9757" i="7" a="1"/>
  <c r="H9757" i="7" s="1"/>
  <c r="E9757" i="7"/>
  <c r="D9757" i="7"/>
  <c r="H9756" i="7" a="1"/>
  <c r="H9756" i="7" s="1"/>
  <c r="E9756" i="7"/>
  <c r="D9756" i="7"/>
  <c r="H9755" i="7" a="1"/>
  <c r="H9755" i="7" s="1"/>
  <c r="E9755" i="7"/>
  <c r="D9755" i="7"/>
  <c r="H9754" i="7" a="1"/>
  <c r="H9754" i="7" s="1"/>
  <c r="E9754" i="7"/>
  <c r="D9754" i="7"/>
  <c r="H9753" i="7" a="1"/>
  <c r="H9753" i="7" s="1"/>
  <c r="E9753" i="7"/>
  <c r="D9753" i="7"/>
  <c r="E9725" i="7"/>
  <c r="D9725" i="7"/>
  <c r="E9724" i="7"/>
  <c r="D9724" i="7"/>
  <c r="H9723" i="7" a="1"/>
  <c r="H9723" i="7" s="1"/>
  <c r="E9723" i="7"/>
  <c r="D9723" i="7"/>
  <c r="H9717" i="7" a="1"/>
  <c r="H9717" i="7" s="1"/>
  <c r="E9717" i="7"/>
  <c r="D9717" i="7"/>
  <c r="H9716" i="7" a="1"/>
  <c r="H9716" i="7" s="1"/>
  <c r="E9716" i="7"/>
  <c r="D9716" i="7"/>
  <c r="E9715" i="7"/>
  <c r="D9715" i="7"/>
  <c r="H9714" i="7" a="1"/>
  <c r="H9714" i="7" s="1"/>
  <c r="E9714" i="7"/>
  <c r="D9714" i="7"/>
  <c r="H9749" i="7" a="1"/>
  <c r="H9749" i="7" s="1"/>
  <c r="E9749" i="7"/>
  <c r="D9749" i="7"/>
  <c r="H9748" i="7" a="1"/>
  <c r="H9748" i="7" s="1"/>
  <c r="E9748" i="7"/>
  <c r="D9748" i="7"/>
  <c r="H9747" i="7" a="1"/>
  <c r="H9747" i="7" s="1"/>
  <c r="E9747" i="7"/>
  <c r="D9747" i="7"/>
  <c r="H9746" i="7" a="1"/>
  <c r="H9746" i="7" s="1"/>
  <c r="E9746" i="7"/>
  <c r="D9746" i="7"/>
  <c r="H9745" i="7" a="1"/>
  <c r="H9745" i="7" s="1"/>
  <c r="E9745" i="7"/>
  <c r="D9745" i="7"/>
  <c r="H9744" i="7" a="1"/>
  <c r="H9744" i="7" s="1"/>
  <c r="E9744" i="7"/>
  <c r="D9744" i="7"/>
  <c r="H9743" i="7" a="1"/>
  <c r="H9743" i="7" s="1"/>
  <c r="E9743" i="7"/>
  <c r="D9743" i="7"/>
  <c r="H9742" i="7" a="1"/>
  <c r="H9742" i="7" s="1"/>
  <c r="E9742" i="7"/>
  <c r="D9742" i="7"/>
  <c r="H9741" i="7" a="1"/>
  <c r="H9741" i="7" s="1"/>
  <c r="E9741" i="7"/>
  <c r="D9741" i="7"/>
  <c r="H9740" i="7" a="1"/>
  <c r="H9740" i="7" s="1"/>
  <c r="E9740" i="7"/>
  <c r="D9740" i="7"/>
  <c r="H9739" i="7" a="1"/>
  <c r="H9739" i="7" s="1"/>
  <c r="E9739" i="7"/>
  <c r="D9739" i="7"/>
  <c r="H9738" i="7" a="1"/>
  <c r="H9738" i="7" s="1"/>
  <c r="E9738" i="7"/>
  <c r="D9738" i="7"/>
  <c r="H9737" i="7" a="1"/>
  <c r="H9737" i="7" s="1"/>
  <c r="E9737" i="7"/>
  <c r="D9737" i="7"/>
  <c r="H9736" i="7" a="1"/>
  <c r="H9736" i="7" s="1"/>
  <c r="E9736" i="7"/>
  <c r="D9736" i="7"/>
  <c r="H9735" i="7" a="1"/>
  <c r="H9735" i="7" s="1"/>
  <c r="E9735" i="7"/>
  <c r="D9735" i="7"/>
  <c r="H9734" i="7" a="1"/>
  <c r="H9734" i="7" s="1"/>
  <c r="E9734" i="7"/>
  <c r="D9734" i="7"/>
  <c r="H9713" i="7" a="1"/>
  <c r="H9713" i="7" s="1"/>
  <c r="E9713" i="7"/>
  <c r="D9713" i="7"/>
  <c r="H9712" i="7" a="1"/>
  <c r="H9712" i="7" s="1"/>
  <c r="E9712" i="7"/>
  <c r="D9712" i="7"/>
  <c r="H9733" i="7" a="1"/>
  <c r="H9733" i="7" s="1"/>
  <c r="E9733" i="7"/>
  <c r="D9733" i="7"/>
  <c r="E9732" i="7"/>
  <c r="D9732" i="7"/>
  <c r="E9731" i="7"/>
  <c r="D9731" i="7"/>
  <c r="E9730" i="7"/>
  <c r="D9730" i="7"/>
  <c r="D9727" i="7"/>
  <c r="E9727" i="7"/>
  <c r="H9729" i="7" a="1"/>
  <c r="H9729" i="7" s="1"/>
  <c r="E9729" i="7"/>
  <c r="D9729" i="7"/>
  <c r="E9728" i="7"/>
  <c r="D9728" i="7"/>
  <c r="E9726" i="7"/>
  <c r="D9726" i="7"/>
  <c r="H9722" i="7" a="1"/>
  <c r="H9722" i="7" s="1"/>
  <c r="E9722" i="7"/>
  <c r="D9722" i="7"/>
  <c r="H9721" i="7" a="1"/>
  <c r="H9721" i="7" s="1"/>
  <c r="E9721" i="7"/>
  <c r="D9721" i="7"/>
  <c r="H9720" i="7" a="1"/>
  <c r="H9720" i="7" s="1"/>
  <c r="E9720" i="7"/>
  <c r="D9720" i="7"/>
  <c r="H9719" i="7" l="1" a="1"/>
  <c r="H9719" i="7" s="1"/>
  <c r="E9719" i="7"/>
  <c r="D9719" i="7"/>
  <c r="H9718" i="7" a="1"/>
  <c r="H9718" i="7" s="1"/>
  <c r="E9718" i="7"/>
  <c r="D9718" i="7"/>
  <c r="H9711" i="7" l="1" a="1"/>
  <c r="H9711" i="7" s="1"/>
  <c r="E9711" i="7"/>
  <c r="D9711" i="7"/>
  <c r="H9710" i="7" a="1"/>
  <c r="H9710" i="7" s="1"/>
  <c r="E9710" i="7"/>
  <c r="D9710" i="7"/>
  <c r="H9709" i="7" a="1"/>
  <c r="H9709" i="7" s="1"/>
  <c r="E9709" i="7"/>
  <c r="D9709" i="7"/>
  <c r="H9708" i="7" a="1"/>
  <c r="H9708" i="7" s="1"/>
  <c r="E9708" i="7"/>
  <c r="D9708" i="7"/>
  <c r="H9707" i="7" a="1"/>
  <c r="H9707" i="7" s="1"/>
  <c r="E9707" i="7"/>
  <c r="D9707" i="7"/>
  <c r="H9706" i="7" a="1"/>
  <c r="H9706" i="7" s="1"/>
  <c r="E9706" i="7"/>
  <c r="D9706" i="7"/>
  <c r="H9705" i="7" a="1"/>
  <c r="H9705" i="7" s="1"/>
  <c r="E9705" i="7"/>
  <c r="D9705" i="7"/>
  <c r="H9704" i="7" a="1"/>
  <c r="H9704" i="7" s="1"/>
  <c r="E9704" i="7"/>
  <c r="D9704" i="7"/>
  <c r="H9703" i="7" a="1"/>
  <c r="H9703" i="7" s="1"/>
  <c r="E9703" i="7"/>
  <c r="D9703" i="7"/>
  <c r="H9702" i="7" a="1"/>
  <c r="H9702" i="7" s="1"/>
  <c r="E9702" i="7"/>
  <c r="D9702" i="7"/>
  <c r="H9701" i="7" a="1"/>
  <c r="H9701" i="7" s="1"/>
  <c r="E9701" i="7"/>
  <c r="D9701" i="7"/>
  <c r="H9700" i="7" a="1"/>
  <c r="H9700" i="7" s="1"/>
  <c r="E9700" i="7"/>
  <c r="D9700" i="7"/>
  <c r="H9699" i="7" a="1"/>
  <c r="H9699" i="7" s="1"/>
  <c r="E9699" i="7"/>
  <c r="D9699" i="7"/>
  <c r="H9698" i="7" a="1"/>
  <c r="H9698" i="7" s="1"/>
  <c r="E9698" i="7"/>
  <c r="D9698" i="7"/>
  <c r="H9697" i="7" a="1"/>
  <c r="H9697" i="7" s="1"/>
  <c r="E9697" i="7"/>
  <c r="D9697" i="7"/>
  <c r="H9696" i="7" a="1"/>
  <c r="H9696" i="7" s="1"/>
  <c r="E9696" i="7"/>
  <c r="D9696" i="7"/>
  <c r="H9695" i="7" l="1" a="1"/>
  <c r="H9695" i="7" s="1"/>
  <c r="E9695" i="7"/>
  <c r="D9695" i="7"/>
  <c r="H9694" i="7" a="1"/>
  <c r="H9694" i="7" s="1"/>
  <c r="E9694" i="7"/>
  <c r="D9694" i="7"/>
  <c r="H9693" i="7" a="1"/>
  <c r="H9693" i="7" s="1"/>
  <c r="E9693" i="7"/>
  <c r="D9693" i="7"/>
  <c r="H9688" i="7" a="1"/>
  <c r="H9688" i="7" s="1"/>
  <c r="E9688" i="7"/>
  <c r="D9688" i="7"/>
  <c r="H9687" i="7" a="1"/>
  <c r="H9687" i="7" s="1"/>
  <c r="E9687" i="7"/>
  <c r="D9687" i="7"/>
  <c r="H9686" i="7" a="1"/>
  <c r="H9686" i="7" s="1"/>
  <c r="E9686" i="7"/>
  <c r="D9686" i="7"/>
  <c r="H9692" i="7" l="1" a="1"/>
  <c r="H9692" i="7" s="1"/>
  <c r="E9692" i="7"/>
  <c r="D9692" i="7"/>
  <c r="H9691" i="7" a="1"/>
  <c r="H9691" i="7" s="1"/>
  <c r="E9691" i="7"/>
  <c r="D9691" i="7"/>
  <c r="H9690" i="7" a="1"/>
  <c r="H9690" i="7" s="1"/>
  <c r="E9690" i="7"/>
  <c r="D9690" i="7"/>
  <c r="H9689" i="7" a="1"/>
  <c r="H9689" i="7" s="1"/>
  <c r="E9689" i="7"/>
  <c r="D9689" i="7"/>
  <c r="G28" i="8" l="1"/>
  <c r="H9685" i="7" l="1" a="1"/>
  <c r="H9685" i="7" s="1"/>
  <c r="E9685" i="7"/>
  <c r="D9685" i="7"/>
  <c r="H9684" i="7" a="1"/>
  <c r="H9684" i="7" s="1"/>
  <c r="E9684" i="7"/>
  <c r="D9684" i="7"/>
  <c r="H9683" i="7" a="1"/>
  <c r="H9683" i="7" s="1"/>
  <c r="E9683" i="7"/>
  <c r="D9683" i="7"/>
  <c r="H9682" i="7" a="1"/>
  <c r="H9682" i="7" s="1"/>
  <c r="E9682" i="7"/>
  <c r="D9682" i="7"/>
  <c r="H9681" i="7" a="1"/>
  <c r="H9681" i="7" s="1"/>
  <c r="E9681" i="7"/>
  <c r="D9681" i="7"/>
  <c r="H9680" i="7" a="1"/>
  <c r="H9680" i="7" s="1"/>
  <c r="E9680" i="7"/>
  <c r="D9680" i="7"/>
  <c r="H9679" i="7" a="1"/>
  <c r="H9679" i="7" s="1"/>
  <c r="E9679" i="7"/>
  <c r="D9679" i="7"/>
  <c r="H9678" i="7" a="1"/>
  <c r="H9678" i="7" s="1"/>
  <c r="E9678" i="7"/>
  <c r="D9678" i="7"/>
  <c r="H9677" i="7" a="1"/>
  <c r="H9677" i="7" s="1"/>
  <c r="E9677" i="7"/>
  <c r="D9677" i="7"/>
  <c r="H9676" i="7" a="1"/>
  <c r="H9676" i="7" s="1"/>
  <c r="E9676" i="7"/>
  <c r="D9676" i="7"/>
  <c r="H9675" i="7" a="1"/>
  <c r="H9675" i="7" s="1"/>
  <c r="E9675" i="7"/>
  <c r="D9675" i="7"/>
  <c r="H9674" i="7" a="1"/>
  <c r="H9674" i="7" s="1"/>
  <c r="E9674" i="7"/>
  <c r="D9674" i="7"/>
  <c r="H9673" i="7" a="1"/>
  <c r="H9673" i="7" s="1"/>
  <c r="E9673" i="7"/>
  <c r="D9673" i="7"/>
  <c r="H9672" i="7" a="1"/>
  <c r="H9672" i="7" s="1"/>
  <c r="E9672" i="7"/>
  <c r="D9672" i="7"/>
  <c r="H9643" i="7" a="1"/>
  <c r="H9643" i="7" s="1"/>
  <c r="E9643" i="7"/>
  <c r="D9643" i="7"/>
  <c r="H9642" i="7" a="1"/>
  <c r="H9642" i="7" s="1"/>
  <c r="E9642" i="7"/>
  <c r="D9642" i="7"/>
  <c r="H9641" i="7" a="1"/>
  <c r="H9641" i="7" s="1"/>
  <c r="E9641" i="7"/>
  <c r="D9641" i="7"/>
  <c r="H9640" i="7" a="1"/>
  <c r="H9640" i="7" s="1"/>
  <c r="E9640" i="7"/>
  <c r="D9640" i="7"/>
  <c r="H9639" i="7" a="1"/>
  <c r="H9639" i="7" s="1"/>
  <c r="E9639" i="7"/>
  <c r="D9639" i="7"/>
  <c r="H9638" i="7" a="1"/>
  <c r="H9638" i="7" s="1"/>
  <c r="E9638" i="7"/>
  <c r="D9638" i="7"/>
  <c r="H9671" i="7" l="1" a="1"/>
  <c r="H9671" i="7" s="1"/>
  <c r="E9671" i="7"/>
  <c r="D9671" i="7"/>
  <c r="H9670" i="7" a="1"/>
  <c r="H9670" i="7" s="1"/>
  <c r="E9670" i="7"/>
  <c r="D9670" i="7"/>
  <c r="H9669" i="7" a="1"/>
  <c r="H9669" i="7" s="1"/>
  <c r="E9669" i="7"/>
  <c r="D9669" i="7"/>
  <c r="H9663" i="7" l="1" a="1"/>
  <c r="H9663" i="7" s="1"/>
  <c r="E9663" i="7"/>
  <c r="D9663" i="7"/>
  <c r="H9662" i="7" a="1"/>
  <c r="H9662" i="7" s="1"/>
  <c r="E9662" i="7"/>
  <c r="D9662" i="7"/>
  <c r="H9658" i="7" a="1"/>
  <c r="H9658" i="7" s="1"/>
  <c r="E9658" i="7"/>
  <c r="D9658" i="7"/>
  <c r="H9657" i="7" a="1"/>
  <c r="H9657" i="7" s="1"/>
  <c r="E9657" i="7"/>
  <c r="D9657" i="7"/>
  <c r="H9668" i="7" a="1"/>
  <c r="H9668" i="7" s="1"/>
  <c r="E9668" i="7"/>
  <c r="D9668" i="7"/>
  <c r="H9667" i="7" a="1"/>
  <c r="H9667" i="7" s="1"/>
  <c r="E9667" i="7"/>
  <c r="D9667" i="7"/>
  <c r="H9656" i="7" a="1"/>
  <c r="H9656" i="7" s="1"/>
  <c r="E9656" i="7"/>
  <c r="D9656" i="7"/>
  <c r="H9655" i="7" a="1"/>
  <c r="H9655" i="7" s="1"/>
  <c r="E9655" i="7"/>
  <c r="D9655" i="7"/>
  <c r="E9666" i="7"/>
  <c r="D9666" i="7"/>
  <c r="E9665" i="7"/>
  <c r="D9665" i="7"/>
  <c r="H9664" i="7" a="1"/>
  <c r="H9664" i="7" s="1"/>
  <c r="E9664" i="7"/>
  <c r="D9664" i="7"/>
  <c r="E9654" i="7" l="1"/>
  <c r="D9654" i="7"/>
  <c r="E9653" i="7"/>
  <c r="D9653" i="7"/>
  <c r="H9652" i="7" a="1"/>
  <c r="H9652" i="7" s="1"/>
  <c r="E9652" i="7"/>
  <c r="D9652" i="7"/>
  <c r="E9651" i="7"/>
  <c r="D9651" i="7"/>
  <c r="E9650" i="7"/>
  <c r="D9650" i="7"/>
  <c r="H9649" i="7" a="1"/>
  <c r="H9649" i="7" s="1"/>
  <c r="E9649" i="7"/>
  <c r="D9649" i="7"/>
  <c r="H9648" i="7" l="1" a="1"/>
  <c r="H9648" i="7" s="1"/>
  <c r="E9648" i="7"/>
  <c r="D9648" i="7"/>
  <c r="H9647" i="7" a="1"/>
  <c r="H9647" i="7" s="1"/>
  <c r="E9647" i="7"/>
  <c r="D9647" i="7"/>
  <c r="H9661" i="7" a="1"/>
  <c r="H9661" i="7" s="1"/>
  <c r="E9661" i="7"/>
  <c r="D9661" i="7"/>
  <c r="H9660" i="7" a="1"/>
  <c r="H9660" i="7" s="1"/>
  <c r="E9660" i="7"/>
  <c r="D9660" i="7"/>
  <c r="H9659" i="7" a="1"/>
  <c r="H9659" i="7" s="1"/>
  <c r="E9659" i="7"/>
  <c r="D9659" i="7"/>
  <c r="H9646" i="7" l="1" a="1"/>
  <c r="H9646" i="7" s="1"/>
  <c r="E9646" i="7"/>
  <c r="D9646" i="7"/>
  <c r="H9645" i="7" a="1"/>
  <c r="H9645" i="7" s="1"/>
  <c r="E9645" i="7"/>
  <c r="D9645" i="7"/>
  <c r="H9644" i="7" a="1"/>
  <c r="H9644" i="7" s="1"/>
  <c r="E9644" i="7"/>
  <c r="D9644" i="7"/>
  <c r="H9637" i="7" l="1" a="1"/>
  <c r="H9637" i="7" s="1"/>
  <c r="E9637" i="7"/>
  <c r="D9637" i="7"/>
  <c r="H9636" i="7" a="1"/>
  <c r="H9636" i="7" s="1"/>
  <c r="E9636" i="7"/>
  <c r="D9636" i="7"/>
  <c r="H9635" i="7" a="1"/>
  <c r="H9635" i="7" s="1"/>
  <c r="E9635" i="7"/>
  <c r="D9635" i="7"/>
  <c r="H9634" i="7" a="1"/>
  <c r="H9634" i="7" s="1"/>
  <c r="E9634" i="7"/>
  <c r="D9634" i="7"/>
  <c r="H9633" i="7" a="1"/>
  <c r="H9633" i="7" s="1"/>
  <c r="E9633" i="7"/>
  <c r="D9633" i="7"/>
  <c r="H9632" i="7" a="1"/>
  <c r="H9632" i="7" s="1"/>
  <c r="E9632" i="7"/>
  <c r="D9632" i="7"/>
  <c r="H9631" i="7" a="1"/>
  <c r="H9631" i="7" s="1"/>
  <c r="E9631" i="7"/>
  <c r="D9631" i="7"/>
  <c r="H9630" i="7" a="1"/>
  <c r="H9630" i="7" s="1"/>
  <c r="E9630" i="7"/>
  <c r="D9630" i="7"/>
  <c r="H9629" i="7" a="1"/>
  <c r="H9629" i="7" s="1"/>
  <c r="E9629" i="7"/>
  <c r="D9629" i="7"/>
  <c r="H9628" i="7" a="1"/>
  <c r="H9628" i="7" s="1"/>
  <c r="E9628" i="7"/>
  <c r="D9628" i="7"/>
  <c r="H9627" i="7" a="1"/>
  <c r="H9627" i="7" s="1"/>
  <c r="E9627" i="7"/>
  <c r="D9627" i="7"/>
  <c r="H9626" i="7" a="1"/>
  <c r="H9626" i="7" s="1"/>
  <c r="E9626" i="7"/>
  <c r="D9626" i="7"/>
  <c r="H9625" i="7" a="1"/>
  <c r="H9625" i="7" s="1"/>
  <c r="E9625" i="7"/>
  <c r="D9625" i="7"/>
  <c r="H9624" i="7" a="1"/>
  <c r="H9624" i="7" s="1"/>
  <c r="E9624" i="7"/>
  <c r="D9624" i="7"/>
  <c r="H9623" i="7" l="1" a="1"/>
  <c r="H9623" i="7" s="1"/>
  <c r="E9623" i="7"/>
  <c r="D9623" i="7"/>
  <c r="H9622" i="7" a="1"/>
  <c r="H9622" i="7" s="1"/>
  <c r="E9622" i="7"/>
  <c r="D9622" i="7"/>
  <c r="H9621" i="7" a="1"/>
  <c r="H9621" i="7" s="1"/>
  <c r="E9621" i="7"/>
  <c r="D9621" i="7"/>
  <c r="H9620" i="7" l="1" a="1"/>
  <c r="H9620" i="7" s="1"/>
  <c r="E9620" i="7"/>
  <c r="D9620" i="7"/>
  <c r="H9619" i="7" a="1"/>
  <c r="H9619" i="7" s="1"/>
  <c r="E9619" i="7"/>
  <c r="D9619" i="7"/>
  <c r="H9618" i="7" l="1" a="1"/>
  <c r="H9618" i="7" s="1"/>
  <c r="E9618" i="7"/>
  <c r="D9618" i="7"/>
  <c r="H9617" i="7" a="1"/>
  <c r="H9617" i="7" s="1"/>
  <c r="E9617" i="7"/>
  <c r="D9617" i="7"/>
  <c r="H9616" i="7" a="1"/>
  <c r="H9616" i="7" s="1"/>
  <c r="E9616" i="7"/>
  <c r="D9616" i="7"/>
  <c r="H9615" i="7" a="1"/>
  <c r="H9615" i="7" s="1"/>
  <c r="E9615" i="7"/>
  <c r="D9615" i="7"/>
  <c r="H9614" i="7" a="1"/>
  <c r="H9614" i="7" s="1"/>
  <c r="E9614" i="7"/>
  <c r="D9614" i="7"/>
  <c r="H9599" i="7" l="1" a="1"/>
  <c r="H9599" i="7" s="1"/>
  <c r="E9599" i="7"/>
  <c r="D9599" i="7"/>
  <c r="H9598" i="7" a="1"/>
  <c r="H9598" i="7" s="1"/>
  <c r="E9598" i="7"/>
  <c r="D9598" i="7"/>
  <c r="E9597" i="7"/>
  <c r="D9597" i="7"/>
  <c r="H9596" i="7" a="1"/>
  <c r="H9596" i="7" s="1"/>
  <c r="E9596" i="7"/>
  <c r="D9596" i="7"/>
  <c r="H9587" i="7" a="1"/>
  <c r="H9587" i="7" s="1"/>
  <c r="E9587" i="7"/>
  <c r="D9587" i="7"/>
  <c r="H9586" i="7" a="1"/>
  <c r="H9586" i="7" s="1"/>
  <c r="E9586" i="7"/>
  <c r="D9586" i="7"/>
  <c r="E9585" i="7"/>
  <c r="D9585" i="7"/>
  <c r="H9584" i="7" a="1"/>
  <c r="H9584" i="7" s="1"/>
  <c r="E9584" i="7"/>
  <c r="D9584" i="7"/>
  <c r="H9613" i="7" l="1" a="1"/>
  <c r="H9613" i="7" s="1"/>
  <c r="E9613" i="7"/>
  <c r="D9613" i="7"/>
  <c r="H9612" i="7" a="1"/>
  <c r="H9612" i="7" s="1"/>
  <c r="E9612" i="7"/>
  <c r="D9612" i="7"/>
  <c r="H9611" i="7" a="1"/>
  <c r="H9611" i="7" s="1"/>
  <c r="E9611" i="7"/>
  <c r="D9611" i="7"/>
  <c r="H9610" i="7" a="1"/>
  <c r="H9610" i="7" s="1"/>
  <c r="E9610" i="7"/>
  <c r="D9610" i="7"/>
  <c r="H9609" i="7" a="1"/>
  <c r="H9609" i="7" s="1"/>
  <c r="E9609" i="7"/>
  <c r="D9609" i="7"/>
  <c r="H9608" i="7" a="1"/>
  <c r="H9608" i="7" s="1"/>
  <c r="E9608" i="7"/>
  <c r="D9608" i="7"/>
  <c r="H9607" i="7" a="1"/>
  <c r="H9607" i="7" s="1"/>
  <c r="E9607" i="7"/>
  <c r="D9607" i="7"/>
  <c r="H9606" i="7" a="1"/>
  <c r="H9606" i="7" s="1"/>
  <c r="E9606" i="7"/>
  <c r="D9606" i="7"/>
  <c r="H9605" i="7" a="1"/>
  <c r="H9605" i="7" s="1"/>
  <c r="E9605" i="7"/>
  <c r="D9605" i="7"/>
  <c r="H9604" i="7" a="1"/>
  <c r="H9604" i="7" s="1"/>
  <c r="E9604" i="7"/>
  <c r="D9604" i="7"/>
  <c r="H9603" i="7" a="1"/>
  <c r="H9603" i="7" s="1"/>
  <c r="E9603" i="7"/>
  <c r="D9603" i="7"/>
  <c r="H9602" i="7" a="1"/>
  <c r="H9602" i="7" s="1"/>
  <c r="E9602" i="7"/>
  <c r="D9602" i="7"/>
  <c r="H9601" i="7" a="1"/>
  <c r="H9601" i="7" s="1"/>
  <c r="E9601" i="7"/>
  <c r="D9601" i="7"/>
  <c r="H9600" i="7" a="1"/>
  <c r="H9600" i="7" s="1"/>
  <c r="E9600" i="7"/>
  <c r="D9600" i="7"/>
  <c r="H9595" i="7" a="1"/>
  <c r="H9595" i="7" s="1"/>
  <c r="E9595" i="7"/>
  <c r="D9595" i="7"/>
  <c r="H9594" i="7" a="1"/>
  <c r="H9594" i="7" s="1"/>
  <c r="E9594" i="7"/>
  <c r="D9594" i="7"/>
  <c r="H9593" i="7" a="1"/>
  <c r="H9593" i="7" s="1"/>
  <c r="E9593" i="7"/>
  <c r="D9593" i="7"/>
  <c r="H9592" i="7" l="1" a="1"/>
  <c r="H9592" i="7" s="1"/>
  <c r="E9592" i="7"/>
  <c r="D9592" i="7"/>
  <c r="H9591" i="7" a="1"/>
  <c r="H9591" i="7" s="1"/>
  <c r="E9591" i="7"/>
  <c r="D9591" i="7"/>
  <c r="H9590" i="7" a="1"/>
  <c r="H9590" i="7" s="1"/>
  <c r="E9590" i="7"/>
  <c r="D9590" i="7"/>
  <c r="H9589" i="7" a="1"/>
  <c r="H9589" i="7" s="1"/>
  <c r="E9589" i="7"/>
  <c r="D9589" i="7"/>
  <c r="H9588" i="7" a="1"/>
  <c r="H9588" i="7" s="1"/>
  <c r="E9588" i="7"/>
  <c r="D9588" i="7"/>
  <c r="H9583" i="7" a="1"/>
  <c r="H9583" i="7" s="1"/>
  <c r="E9583" i="7"/>
  <c r="D9583" i="7"/>
  <c r="H9582" i="7" a="1"/>
  <c r="H9582" i="7" s="1"/>
  <c r="E9582" i="7"/>
  <c r="D9582" i="7"/>
  <c r="H9581" i="7" a="1"/>
  <c r="H9581" i="7" s="1"/>
  <c r="E9581" i="7"/>
  <c r="D9581" i="7"/>
  <c r="H9580" i="7" a="1"/>
  <c r="H9580" i="7" s="1"/>
  <c r="E9580" i="7"/>
  <c r="D9580" i="7"/>
  <c r="H9579" i="7" a="1"/>
  <c r="H9579" i="7" s="1"/>
  <c r="E9579" i="7"/>
  <c r="D9579" i="7"/>
  <c r="H9578" i="7" a="1"/>
  <c r="H9578" i="7" s="1"/>
  <c r="E9578" i="7"/>
  <c r="D9578" i="7"/>
  <c r="H9577" i="7" a="1"/>
  <c r="H9577" i="7" s="1"/>
  <c r="E9577" i="7"/>
  <c r="D9577" i="7"/>
  <c r="H9576" i="7" a="1"/>
  <c r="H9576" i="7" s="1"/>
  <c r="E9576" i="7"/>
  <c r="D9576" i="7"/>
  <c r="H9575" i="7" a="1"/>
  <c r="H9575" i="7" s="1"/>
  <c r="E9575" i="7"/>
  <c r="D9575" i="7"/>
  <c r="H9574" i="7" l="1" a="1"/>
  <c r="H9574" i="7" s="1"/>
  <c r="E9574" i="7"/>
  <c r="D9574" i="7"/>
  <c r="H9573" i="7" a="1"/>
  <c r="H9573" i="7" s="1"/>
  <c r="E9573" i="7"/>
  <c r="D9573" i="7"/>
  <c r="H9572" i="7" a="1"/>
  <c r="H9572" i="7" s="1"/>
  <c r="E9572" i="7"/>
  <c r="D9572" i="7"/>
  <c r="H9571" i="7" a="1"/>
  <c r="H9571" i="7" s="1"/>
  <c r="E9571" i="7"/>
  <c r="D9571" i="7"/>
  <c r="H9570" i="7" a="1"/>
  <c r="H9570" i="7" s="1"/>
  <c r="E9570" i="7"/>
  <c r="D9570" i="7"/>
  <c r="H9569" i="7" a="1"/>
  <c r="H9569" i="7" s="1"/>
  <c r="E9569" i="7"/>
  <c r="D9569" i="7"/>
  <c r="H9568" i="7" a="1"/>
  <c r="H9568" i="7" s="1"/>
  <c r="E9568" i="7"/>
  <c r="D9568" i="7"/>
  <c r="H9567" i="7" a="1"/>
  <c r="H9567" i="7" s="1"/>
  <c r="E9567" i="7"/>
  <c r="D9567" i="7"/>
  <c r="H9566" i="7" a="1"/>
  <c r="H9566" i="7" s="1"/>
  <c r="E9566" i="7"/>
  <c r="D9566" i="7"/>
  <c r="H9565" i="7" a="1"/>
  <c r="H9565" i="7" s="1"/>
  <c r="E9565" i="7"/>
  <c r="D9565" i="7"/>
  <c r="H9564" i="7" a="1"/>
  <c r="H9564" i="7" s="1"/>
  <c r="E9564" i="7"/>
  <c r="D9564" i="7"/>
  <c r="H9563" i="7" a="1"/>
  <c r="H9563" i="7" s="1"/>
  <c r="E9563" i="7"/>
  <c r="D9563" i="7"/>
  <c r="H9562" i="7" a="1"/>
  <c r="H9562" i="7" s="1"/>
  <c r="E9562" i="7"/>
  <c r="D9562" i="7"/>
  <c r="H9561" i="7" a="1"/>
  <c r="H9561" i="7" s="1"/>
  <c r="E9561" i="7"/>
  <c r="D9561" i="7"/>
  <c r="H9538" i="7" l="1" a="1"/>
  <c r="H9538" i="7" s="1"/>
  <c r="E9538" i="7"/>
  <c r="D9538" i="7"/>
  <c r="H9537" i="7" a="1"/>
  <c r="H9537" i="7" s="1"/>
  <c r="E9537" i="7"/>
  <c r="D9537" i="7"/>
  <c r="H9536" i="7" a="1"/>
  <c r="H9536" i="7" s="1"/>
  <c r="E9536" i="7"/>
  <c r="D9536" i="7"/>
  <c r="H9535" i="7" a="1"/>
  <c r="H9535" i="7" s="1"/>
  <c r="E9535" i="7"/>
  <c r="D9535" i="7"/>
  <c r="H9534" i="7" a="1"/>
  <c r="H9534" i="7" s="1"/>
  <c r="E9534" i="7"/>
  <c r="D9534" i="7"/>
  <c r="H9533" i="7" a="1"/>
  <c r="H9533" i="7" s="1"/>
  <c r="E9533" i="7"/>
  <c r="D9533" i="7"/>
  <c r="H9532" i="7" a="1"/>
  <c r="H9532" i="7" s="1"/>
  <c r="E9532" i="7"/>
  <c r="D9532" i="7"/>
  <c r="H9531" i="7" a="1"/>
  <c r="H9531" i="7" s="1"/>
  <c r="E9531" i="7"/>
  <c r="D9531" i="7"/>
  <c r="H9530" i="7" a="1"/>
  <c r="H9530" i="7" s="1"/>
  <c r="E9530" i="7"/>
  <c r="D9530" i="7"/>
  <c r="H9529" i="7" a="1"/>
  <c r="H9529" i="7" s="1"/>
  <c r="E9529" i="7"/>
  <c r="D9529" i="7"/>
  <c r="H9528" i="7" a="1"/>
  <c r="H9528" i="7" s="1"/>
  <c r="E9528" i="7"/>
  <c r="D9528" i="7"/>
  <c r="H9560" i="7" a="1"/>
  <c r="H9560" i="7" s="1"/>
  <c r="E9560" i="7"/>
  <c r="D9560" i="7"/>
  <c r="E9559" i="7"/>
  <c r="D9559" i="7"/>
  <c r="E9558" i="7"/>
  <c r="D9558" i="7"/>
  <c r="E9555" i="7"/>
  <c r="D9555" i="7"/>
  <c r="H9554" i="7" a="1"/>
  <c r="H9554" i="7" s="1"/>
  <c r="E9554" i="7"/>
  <c r="D9554" i="7"/>
  <c r="E9553" i="7"/>
  <c r="D9553" i="7"/>
  <c r="H9552" i="7" a="1"/>
  <c r="H9552" i="7" s="1"/>
  <c r="E9552" i="7"/>
  <c r="D9552" i="7"/>
  <c r="E9551" i="7"/>
  <c r="D9551" i="7"/>
  <c r="E9550" i="7"/>
  <c r="D9550" i="7"/>
  <c r="H9549" i="7" a="1"/>
  <c r="H9549" i="7" s="1"/>
  <c r="E9549" i="7"/>
  <c r="D9549" i="7"/>
  <c r="E9548" i="7"/>
  <c r="D9548" i="7"/>
  <c r="H9547" i="7" a="1"/>
  <c r="H9547" i="7" s="1"/>
  <c r="E9547" i="7"/>
  <c r="D9547" i="7"/>
  <c r="E9546" i="7"/>
  <c r="D9546" i="7"/>
  <c r="E9545" i="7"/>
  <c r="D9545" i="7"/>
  <c r="H9544" i="7" a="1"/>
  <c r="H9544" i="7" s="1"/>
  <c r="E9544" i="7"/>
  <c r="D9544" i="7"/>
  <c r="E9543" i="7"/>
  <c r="D9543" i="7"/>
  <c r="H9542" i="7" a="1"/>
  <c r="H9542" i="7" s="1"/>
  <c r="E9542" i="7"/>
  <c r="D9542" i="7"/>
  <c r="E9541" i="7"/>
  <c r="D9541" i="7"/>
  <c r="H9540" i="7" l="1" a="1"/>
  <c r="H9540" i="7" s="1"/>
  <c r="E9540" i="7"/>
  <c r="D9540" i="7"/>
  <c r="H9539" i="7" a="1"/>
  <c r="H9539" i="7" s="1"/>
  <c r="E9539" i="7"/>
  <c r="D9539" i="7"/>
  <c r="H9513" i="7" l="1" a="1"/>
  <c r="H9513" i="7" s="1"/>
  <c r="E9513" i="7"/>
  <c r="D9513" i="7"/>
  <c r="H9512" i="7" a="1"/>
  <c r="H9512" i="7" s="1"/>
  <c r="E9512" i="7"/>
  <c r="D9512" i="7"/>
  <c r="H9511" i="7" a="1"/>
  <c r="H9511" i="7" s="1"/>
  <c r="E9511" i="7"/>
  <c r="D9511" i="7"/>
  <c r="H9527" i="7" a="1"/>
  <c r="H9527" i="7" s="1"/>
  <c r="E9527" i="7"/>
  <c r="D9527" i="7"/>
  <c r="H9526" i="7" a="1"/>
  <c r="H9526" i="7" s="1"/>
  <c r="E9526" i="7"/>
  <c r="D9526" i="7"/>
  <c r="H9525" i="7" a="1"/>
  <c r="H9525" i="7" s="1"/>
  <c r="E9525" i="7"/>
  <c r="D9525" i="7"/>
  <c r="H9524" i="7" a="1"/>
  <c r="H9524" i="7" s="1"/>
  <c r="E9524" i="7"/>
  <c r="D9524" i="7"/>
  <c r="H9523" i="7" a="1"/>
  <c r="H9523" i="7" s="1"/>
  <c r="E9523" i="7"/>
  <c r="D9523" i="7"/>
  <c r="H9522" i="7" a="1"/>
  <c r="H9522" i="7" s="1"/>
  <c r="E9522" i="7"/>
  <c r="D9522" i="7"/>
  <c r="H9521" i="7" a="1"/>
  <c r="H9521" i="7" s="1"/>
  <c r="E9521" i="7"/>
  <c r="D9521" i="7"/>
  <c r="H9520" i="7" a="1"/>
  <c r="H9520" i="7" s="1"/>
  <c r="E9520" i="7"/>
  <c r="D9520" i="7"/>
  <c r="H9519" i="7" a="1"/>
  <c r="H9519" i="7" s="1"/>
  <c r="E9519" i="7"/>
  <c r="D9519" i="7"/>
  <c r="H9518" i="7" a="1"/>
  <c r="H9518" i="7" s="1"/>
  <c r="E9518" i="7"/>
  <c r="D9518" i="7"/>
  <c r="H9517" i="7" a="1"/>
  <c r="H9517" i="7" s="1"/>
  <c r="E9517" i="7"/>
  <c r="D9517" i="7"/>
  <c r="H9516" i="7" a="1"/>
  <c r="H9516" i="7" s="1"/>
  <c r="E9516" i="7"/>
  <c r="D9516" i="7"/>
  <c r="H9515" i="7" a="1"/>
  <c r="H9515" i="7" s="1"/>
  <c r="E9515" i="7"/>
  <c r="D9515" i="7"/>
  <c r="H9514" i="7" a="1"/>
  <c r="H9514" i="7" s="1"/>
  <c r="E9514" i="7"/>
  <c r="D9514" i="7"/>
  <c r="H9510" i="7" l="1" a="1"/>
  <c r="H9510" i="7" s="1"/>
  <c r="E9510" i="7"/>
  <c r="D9510" i="7"/>
  <c r="H9509" i="7" a="1"/>
  <c r="H9509" i="7" s="1"/>
  <c r="E9509" i="7"/>
  <c r="D9509" i="7"/>
  <c r="H9508" i="7" a="1"/>
  <c r="H9508" i="7" s="1"/>
  <c r="E9508" i="7"/>
  <c r="D9508" i="7"/>
  <c r="H9507" i="7" a="1"/>
  <c r="H9507" i="7" s="1"/>
  <c r="E9507" i="7"/>
  <c r="D9507" i="7"/>
  <c r="H9506" i="7" a="1"/>
  <c r="H9506" i="7" s="1"/>
  <c r="E9506" i="7"/>
  <c r="D9506" i="7"/>
  <c r="H9505" i="7" a="1"/>
  <c r="H9505" i="7" s="1"/>
  <c r="E9505" i="7"/>
  <c r="D9505" i="7"/>
  <c r="H9504" i="7" a="1"/>
  <c r="H9504" i="7" s="1"/>
  <c r="E9504" i="7"/>
  <c r="D9504" i="7"/>
  <c r="H9503" i="7" a="1"/>
  <c r="H9503" i="7" s="1"/>
  <c r="E9503" i="7"/>
  <c r="D9503" i="7"/>
  <c r="D9500" i="7"/>
  <c r="D9501" i="7"/>
  <c r="D9502" i="7"/>
  <c r="H9502" i="7" a="1"/>
  <c r="H9502" i="7" s="1"/>
  <c r="E9502" i="7"/>
  <c r="H9501" i="7" a="1"/>
  <c r="H9501" i="7" s="1"/>
  <c r="E9501" i="7"/>
  <c r="H9500" i="7" a="1"/>
  <c r="H9500" i="7" s="1"/>
  <c r="E9500" i="7"/>
  <c r="H9499" i="7" a="1"/>
  <c r="H9499" i="7" s="1"/>
  <c r="E9499" i="7"/>
  <c r="D9499" i="7"/>
  <c r="H9498" i="7" a="1"/>
  <c r="H9498" i="7" s="1"/>
  <c r="E9498" i="7"/>
  <c r="D9498" i="7"/>
  <c r="H9497" i="7" a="1"/>
  <c r="H9497" i="7" s="1"/>
  <c r="E9497" i="7"/>
  <c r="D9497" i="7"/>
  <c r="E9496" i="7" l="1"/>
  <c r="D9496" i="7"/>
  <c r="H9495" i="7" a="1"/>
  <c r="H9495" i="7" s="1"/>
  <c r="E9495" i="7"/>
  <c r="D9495" i="7"/>
  <c r="H9494" i="7" a="1"/>
  <c r="H9494" i="7" s="1"/>
  <c r="E9494" i="7"/>
  <c r="D9494" i="7"/>
  <c r="E9493" i="7"/>
  <c r="D9493" i="7"/>
  <c r="D9490" i="7"/>
  <c r="E9490" i="7"/>
  <c r="E9492" i="7"/>
  <c r="D9492" i="7"/>
  <c r="H9491" i="7" a="1"/>
  <c r="H9491" i="7" s="1"/>
  <c r="E9491" i="7"/>
  <c r="D9491" i="7"/>
  <c r="H9489" i="7" a="1"/>
  <c r="H9489" i="7" s="1"/>
  <c r="E9489" i="7"/>
  <c r="D9489" i="7"/>
  <c r="E9488" i="7"/>
  <c r="D9488" i="7"/>
  <c r="H9487" i="7" l="1" a="1"/>
  <c r="H9487" i="7" s="1"/>
  <c r="E9487" i="7"/>
  <c r="D9487" i="7"/>
  <c r="H9486" i="7" a="1"/>
  <c r="H9486" i="7" s="1"/>
  <c r="E9486" i="7"/>
  <c r="D9486" i="7"/>
  <c r="H9485" i="7" a="1"/>
  <c r="H9485" i="7" s="1"/>
  <c r="E9485" i="7"/>
  <c r="D9485" i="7"/>
  <c r="H9484" i="7" a="1"/>
  <c r="H9484" i="7" s="1"/>
  <c r="E9484" i="7"/>
  <c r="D9484" i="7"/>
  <c r="H9483" i="7" a="1"/>
  <c r="H9483" i="7" s="1"/>
  <c r="E9483" i="7"/>
  <c r="D9483" i="7"/>
  <c r="H9482" i="7" a="1"/>
  <c r="H9482" i="7" s="1"/>
  <c r="E9482" i="7"/>
  <c r="D9482" i="7"/>
  <c r="H9481" i="7" a="1"/>
  <c r="H9481" i="7" s="1"/>
  <c r="E9481" i="7"/>
  <c r="D9481" i="7"/>
  <c r="H9480" i="7" a="1"/>
  <c r="H9480" i="7" s="1"/>
  <c r="E9480" i="7"/>
  <c r="D9480" i="7"/>
  <c r="H9479" i="7" a="1"/>
  <c r="H9479" i="7" s="1"/>
  <c r="E9479" i="7"/>
  <c r="D9479" i="7"/>
  <c r="H9478" i="7" a="1"/>
  <c r="H9478" i="7" s="1"/>
  <c r="E9478" i="7"/>
  <c r="D9478" i="7"/>
  <c r="H9477" i="7" a="1"/>
  <c r="H9477" i="7" s="1"/>
  <c r="E9477" i="7"/>
  <c r="D9477" i="7"/>
  <c r="H9476" i="7" a="1"/>
  <c r="H9476" i="7" s="1"/>
  <c r="E9476" i="7"/>
  <c r="D9476" i="7"/>
  <c r="H9475" i="7" a="1"/>
  <c r="H9475" i="7" s="1"/>
  <c r="E9475" i="7"/>
  <c r="D9475" i="7"/>
  <c r="H9474" i="7" a="1"/>
  <c r="H9474" i="7" s="1"/>
  <c r="E9474" i="7"/>
  <c r="D9474" i="7"/>
  <c r="H9473" i="7" l="1" a="1"/>
  <c r="H9473" i="7" s="1"/>
  <c r="E9473" i="7"/>
  <c r="D9473" i="7"/>
  <c r="H9472" i="7" a="1"/>
  <c r="H9472" i="7" s="1"/>
  <c r="E9472" i="7"/>
  <c r="D9472" i="7"/>
  <c r="H9471" i="7" a="1"/>
  <c r="H9471" i="7" s="1"/>
  <c r="E9471" i="7"/>
  <c r="D9471" i="7"/>
  <c r="H9470" i="7" a="1"/>
  <c r="H9470" i="7" s="1"/>
  <c r="E9470" i="7"/>
  <c r="D9470" i="7"/>
  <c r="H9469" i="7" a="1"/>
  <c r="H9469" i="7" s="1"/>
  <c r="E9469" i="7"/>
  <c r="D9469" i="7"/>
  <c r="H9468" i="7" a="1"/>
  <c r="H9468" i="7" s="1"/>
  <c r="E9468" i="7"/>
  <c r="D9468" i="7"/>
  <c r="H9467" i="7" a="1"/>
  <c r="H9467" i="7" s="1"/>
  <c r="E9467" i="7"/>
  <c r="D9467" i="7"/>
  <c r="H9466" i="7" a="1"/>
  <c r="H9466" i="7" s="1"/>
  <c r="E9466" i="7"/>
  <c r="D9466" i="7"/>
  <c r="H9465" i="7" a="1"/>
  <c r="H9465" i="7" s="1"/>
  <c r="E9465" i="7"/>
  <c r="D9465" i="7"/>
  <c r="H9464" i="7" a="1"/>
  <c r="H9464" i="7" s="1"/>
  <c r="E9464" i="7"/>
  <c r="D9464" i="7"/>
  <c r="H9463" i="7" a="1"/>
  <c r="H9463" i="7" s="1"/>
  <c r="E9463" i="7"/>
  <c r="D9463" i="7"/>
  <c r="H9462" i="7" a="1"/>
  <c r="H9462" i="7" s="1"/>
  <c r="E9462" i="7"/>
  <c r="D9462" i="7"/>
  <c r="H9461" i="7" a="1"/>
  <c r="H9461" i="7" s="1"/>
  <c r="E9461" i="7"/>
  <c r="D9461" i="7"/>
  <c r="H9460" i="7" a="1"/>
  <c r="H9460" i="7" s="1"/>
  <c r="E9460" i="7"/>
  <c r="D9460" i="7"/>
  <c r="H9459" i="7" a="1"/>
  <c r="H9459" i="7" s="1"/>
  <c r="E9459" i="7"/>
  <c r="D9459" i="7"/>
  <c r="H9458" i="7" a="1"/>
  <c r="H9458" i="7" s="1"/>
  <c r="E9458" i="7"/>
  <c r="D9458" i="7"/>
  <c r="H9457" i="7" a="1"/>
  <c r="H9457" i="7" s="1"/>
  <c r="E9457" i="7"/>
  <c r="D9457" i="7"/>
  <c r="H9456" i="7" a="1"/>
  <c r="H9456" i="7" s="1"/>
  <c r="E9456" i="7"/>
  <c r="D9456" i="7"/>
  <c r="H9455" i="7" l="1" a="1"/>
  <c r="H9455" i="7" s="1"/>
  <c r="E9455" i="7"/>
  <c r="D9455" i="7"/>
  <c r="H9454" i="7" a="1"/>
  <c r="H9454" i="7" s="1"/>
  <c r="E9454" i="7"/>
  <c r="D9454" i="7"/>
  <c r="H9453" i="7" a="1"/>
  <c r="H9453" i="7" s="1"/>
  <c r="E9453" i="7"/>
  <c r="D9453" i="7"/>
  <c r="H9452" i="7" a="1"/>
  <c r="H9452" i="7" s="1"/>
  <c r="E9452" i="7"/>
  <c r="D9452" i="7"/>
  <c r="H9451" i="7" a="1"/>
  <c r="H9451" i="7" s="1"/>
  <c r="E9451" i="7"/>
  <c r="D9451" i="7"/>
  <c r="H9450" i="7" a="1"/>
  <c r="H9450" i="7" s="1"/>
  <c r="E9450" i="7"/>
  <c r="D9450" i="7"/>
  <c r="H9449" i="7" a="1"/>
  <c r="H9449" i="7" s="1"/>
  <c r="E9449" i="7"/>
  <c r="D9449" i="7"/>
  <c r="H9448" i="7" a="1"/>
  <c r="H9448" i="7" s="1"/>
  <c r="E9448" i="7"/>
  <c r="D9448" i="7"/>
  <c r="H9447" i="7" a="1"/>
  <c r="H9447" i="7" s="1"/>
  <c r="E9447" i="7"/>
  <c r="D9447" i="7"/>
  <c r="H9446" i="7" a="1"/>
  <c r="H9446" i="7" s="1"/>
  <c r="E9446" i="7"/>
  <c r="D9446" i="7"/>
  <c r="H9445" i="7" a="1"/>
  <c r="H9445" i="7" s="1"/>
  <c r="E9445" i="7"/>
  <c r="D9445" i="7"/>
  <c r="H9444" i="7" a="1"/>
  <c r="H9444" i="7" s="1"/>
  <c r="E9444" i="7"/>
  <c r="D9444" i="7"/>
  <c r="H9443" i="7" a="1"/>
  <c r="H9443" i="7" s="1"/>
  <c r="E9443" i="7"/>
  <c r="D9443" i="7"/>
  <c r="H9442" i="7" a="1"/>
  <c r="H9442" i="7" s="1"/>
  <c r="E9442" i="7"/>
  <c r="D9442" i="7"/>
  <c r="H9441" i="7" l="1" a="1"/>
  <c r="H9441" i="7" s="1"/>
  <c r="E9441" i="7"/>
  <c r="D9441" i="7"/>
  <c r="H9440" i="7" a="1"/>
  <c r="H9440" i="7" s="1"/>
  <c r="E9440" i="7"/>
  <c r="D9440" i="7"/>
  <c r="H9439" i="7" a="1"/>
  <c r="H9439" i="7" s="1"/>
  <c r="E9439" i="7"/>
  <c r="D9439" i="7"/>
  <c r="H9438" i="7" a="1"/>
  <c r="H9438" i="7" s="1"/>
  <c r="E9438" i="7"/>
  <c r="D9438" i="7"/>
  <c r="H9437" i="7" a="1"/>
  <c r="H9437" i="7" s="1"/>
  <c r="E9437" i="7"/>
  <c r="D9437" i="7"/>
  <c r="H9436" i="7" a="1"/>
  <c r="H9436" i="7" s="1"/>
  <c r="E9436" i="7"/>
  <c r="D9436" i="7"/>
  <c r="H9435" i="7" a="1"/>
  <c r="H9435" i="7" s="1"/>
  <c r="E9435" i="7"/>
  <c r="D9435" i="7"/>
  <c r="H9434" i="7" a="1"/>
  <c r="H9434" i="7" s="1"/>
  <c r="E9434" i="7"/>
  <c r="D9434" i="7"/>
  <c r="H9433" i="7" a="1"/>
  <c r="H9433" i="7" s="1"/>
  <c r="E9433" i="7"/>
  <c r="D9433" i="7"/>
  <c r="D9430" i="7" l="1"/>
  <c r="E9430" i="7"/>
  <c r="H9429" i="7" a="1"/>
  <c r="H9429" i="7" s="1"/>
  <c r="E9429" i="7"/>
  <c r="D9429" i="7"/>
  <c r="D9117" i="7"/>
  <c r="E9117" i="7"/>
  <c r="D9118" i="7"/>
  <c r="E9118" i="7"/>
  <c r="H9432" i="7" l="1" a="1"/>
  <c r="H9432" i="7" s="1"/>
  <c r="E9432" i="7"/>
  <c r="D9432" i="7"/>
  <c r="H9431" i="7" a="1"/>
  <c r="H9431" i="7" s="1"/>
  <c r="E9431" i="7"/>
  <c r="D9431" i="7"/>
  <c r="H9425" i="7" a="1"/>
  <c r="H9425" i="7" s="1"/>
  <c r="E9425" i="7"/>
  <c r="D9425" i="7"/>
  <c r="H9424" i="7" a="1"/>
  <c r="H9424" i="7" s="1"/>
  <c r="E9424" i="7"/>
  <c r="D9424" i="7"/>
  <c r="H9423" i="7" a="1"/>
  <c r="H9423" i="7" s="1"/>
  <c r="E9423" i="7"/>
  <c r="D9423" i="7"/>
  <c r="H9428" i="7" a="1"/>
  <c r="H9428" i="7" s="1"/>
  <c r="E9428" i="7"/>
  <c r="D9428" i="7"/>
  <c r="H9427" i="7" a="1"/>
  <c r="H9427" i="7" s="1"/>
  <c r="E9427" i="7"/>
  <c r="D9427" i="7"/>
  <c r="H9426" i="7" a="1"/>
  <c r="H9426" i="7" s="1"/>
  <c r="E9426" i="7"/>
  <c r="D9426" i="7"/>
  <c r="H9422" i="7" a="1"/>
  <c r="H9422" i="7" s="1"/>
  <c r="E9422" i="7"/>
  <c r="D9422" i="7"/>
  <c r="H9421" i="7" a="1"/>
  <c r="H9421" i="7" s="1"/>
  <c r="E9421" i="7"/>
  <c r="D9421" i="7"/>
  <c r="H9420" i="7" a="1"/>
  <c r="H9420" i="7" s="1"/>
  <c r="E9420" i="7"/>
  <c r="D9420" i="7"/>
  <c r="H9419" i="7" l="1" a="1"/>
  <c r="H9419" i="7" s="1"/>
  <c r="E9419" i="7"/>
  <c r="D9419" i="7"/>
  <c r="H9418" i="7" a="1"/>
  <c r="H9418" i="7" s="1"/>
  <c r="E9418" i="7"/>
  <c r="D9418" i="7"/>
  <c r="D9414" i="7"/>
  <c r="E9414" i="7"/>
  <c r="H9417" i="7" a="1"/>
  <c r="H9417" i="7" s="1"/>
  <c r="E9417" i="7"/>
  <c r="D9417" i="7"/>
  <c r="H9416" i="7" a="1"/>
  <c r="H9416" i="7" s="1"/>
  <c r="E9416" i="7"/>
  <c r="D9416" i="7"/>
  <c r="E9415" i="7"/>
  <c r="D9415" i="7"/>
  <c r="E9413" i="7"/>
  <c r="D9413" i="7"/>
  <c r="H9412" i="7" a="1"/>
  <c r="H9412" i="7" s="1"/>
  <c r="E9412" i="7"/>
  <c r="D9412" i="7"/>
  <c r="E9411" i="7" l="1"/>
  <c r="D9411" i="7"/>
  <c r="H9410" i="7" a="1"/>
  <c r="H9410" i="7" s="1"/>
  <c r="E9410" i="7"/>
  <c r="D9410" i="7"/>
  <c r="H9409" i="7" a="1"/>
  <c r="H9409" i="7" s="1"/>
  <c r="E9409" i="7"/>
  <c r="D9409" i="7"/>
  <c r="E9408" i="7"/>
  <c r="D9408" i="7"/>
  <c r="H9407" i="7" a="1"/>
  <c r="H9407" i="7" s="1"/>
  <c r="E9407" i="7"/>
  <c r="D9407" i="7"/>
  <c r="H9406" i="7" a="1"/>
  <c r="H9406" i="7" s="1"/>
  <c r="E9406" i="7"/>
  <c r="D9406" i="7"/>
  <c r="H9389" i="7" a="1"/>
  <c r="H9389" i="7" s="1"/>
  <c r="E9389" i="7"/>
  <c r="D9389" i="7"/>
  <c r="H9388" i="7" a="1"/>
  <c r="H9388" i="7" s="1"/>
  <c r="E9388" i="7"/>
  <c r="D9388" i="7"/>
  <c r="H9387" i="7" a="1"/>
  <c r="H9387" i="7" s="1"/>
  <c r="E9387" i="7"/>
  <c r="D9387" i="7"/>
  <c r="H9405" i="7" a="1"/>
  <c r="H9405" i="7" s="1"/>
  <c r="E9405" i="7"/>
  <c r="D9405" i="7"/>
  <c r="H9404" i="7" a="1"/>
  <c r="H9404" i="7" s="1"/>
  <c r="E9404" i="7"/>
  <c r="D9404" i="7"/>
  <c r="H9403" i="7" a="1"/>
  <c r="H9403" i="7" s="1"/>
  <c r="E9403" i="7"/>
  <c r="D9403" i="7"/>
  <c r="H9402" i="7" a="1"/>
  <c r="H9402" i="7" s="1"/>
  <c r="E9402" i="7"/>
  <c r="D9402" i="7"/>
  <c r="H9401" i="7" a="1"/>
  <c r="H9401" i="7" s="1"/>
  <c r="E9401" i="7"/>
  <c r="D9401" i="7"/>
  <c r="H9400" i="7" a="1"/>
  <c r="H9400" i="7" s="1"/>
  <c r="E9400" i="7"/>
  <c r="D9400" i="7"/>
  <c r="H9399" i="7" a="1"/>
  <c r="H9399" i="7" s="1"/>
  <c r="E9399" i="7"/>
  <c r="D9399" i="7"/>
  <c r="H9398" i="7" a="1"/>
  <c r="H9398" i="7" s="1"/>
  <c r="E9398" i="7"/>
  <c r="D9398" i="7"/>
  <c r="H9397" i="7" a="1"/>
  <c r="H9397" i="7" s="1"/>
  <c r="E9397" i="7"/>
  <c r="D9397" i="7"/>
  <c r="H9396" i="7" a="1"/>
  <c r="H9396" i="7" s="1"/>
  <c r="E9396" i="7"/>
  <c r="D9396" i="7"/>
  <c r="H9395" i="7" a="1"/>
  <c r="H9395" i="7" s="1"/>
  <c r="E9395" i="7"/>
  <c r="D9395" i="7"/>
  <c r="H9394" i="7" a="1"/>
  <c r="H9394" i="7" s="1"/>
  <c r="E9394" i="7"/>
  <c r="D9394" i="7"/>
  <c r="H9393" i="7" a="1"/>
  <c r="H9393" i="7" s="1"/>
  <c r="E9393" i="7"/>
  <c r="D9393" i="7"/>
  <c r="H9392" i="7" a="1"/>
  <c r="H9392" i="7" s="1"/>
  <c r="E9392" i="7"/>
  <c r="D9392" i="7"/>
  <c r="H9386" i="7" l="1" a="1"/>
  <c r="H9386" i="7" s="1"/>
  <c r="E9386" i="7"/>
  <c r="D9386" i="7"/>
  <c r="H9385" i="7" a="1"/>
  <c r="H9385" i="7" s="1"/>
  <c r="E9385" i="7"/>
  <c r="D9385" i="7"/>
  <c r="H9384" i="7" a="1"/>
  <c r="H9384" i="7" s="1"/>
  <c r="E9384" i="7"/>
  <c r="D9384" i="7"/>
  <c r="H9383" i="7" a="1"/>
  <c r="H9383" i="7" s="1"/>
  <c r="E9383" i="7"/>
  <c r="D9383" i="7"/>
  <c r="H9382" i="7" a="1"/>
  <c r="H9382" i="7" s="1"/>
  <c r="E9382" i="7"/>
  <c r="D9382" i="7"/>
  <c r="H9381" i="7" a="1"/>
  <c r="H9381" i="7" s="1"/>
  <c r="E9381" i="7"/>
  <c r="D9381" i="7"/>
  <c r="H9380" i="7" a="1"/>
  <c r="H9380" i="7" s="1"/>
  <c r="E9380" i="7"/>
  <c r="D9380" i="7"/>
  <c r="H9379" i="7" a="1"/>
  <c r="H9379" i="7" s="1"/>
  <c r="E9379" i="7"/>
  <c r="D9379" i="7"/>
  <c r="H9378" i="7" a="1"/>
  <c r="H9378" i="7" s="1"/>
  <c r="E9378" i="7"/>
  <c r="D9378" i="7"/>
  <c r="H9391" i="7" l="1" a="1"/>
  <c r="H9391" i="7" s="1"/>
  <c r="E9391" i="7"/>
  <c r="D9391" i="7"/>
  <c r="H9390" i="7" a="1"/>
  <c r="H9390" i="7" s="1"/>
  <c r="E9390" i="7"/>
  <c r="D9390" i="7"/>
  <c r="H9377" i="7" a="1"/>
  <c r="H9377" i="7" s="1"/>
  <c r="E9377" i="7"/>
  <c r="D9377" i="7"/>
  <c r="H9376" i="7" a="1"/>
  <c r="H9376" i="7" s="1"/>
  <c r="E9376" i="7"/>
  <c r="D9376" i="7"/>
  <c r="H9375" i="7" a="1"/>
  <c r="H9375" i="7" s="1"/>
  <c r="E9375" i="7"/>
  <c r="D9375" i="7"/>
  <c r="H9374" i="7" a="1"/>
  <c r="H9374" i="7" s="1"/>
  <c r="E9374" i="7"/>
  <c r="D9374" i="7"/>
  <c r="H9373" i="7" a="1"/>
  <c r="H9373" i="7" s="1"/>
  <c r="E9373" i="7"/>
  <c r="D9373" i="7"/>
  <c r="H9372" i="7" a="1"/>
  <c r="H9372" i="7" s="1"/>
  <c r="E9372" i="7"/>
  <c r="D9372" i="7"/>
  <c r="H9371" i="7" a="1"/>
  <c r="H9371" i="7" s="1"/>
  <c r="E9371" i="7"/>
  <c r="D9371" i="7"/>
  <c r="H9370" i="7" a="1"/>
  <c r="H9370" i="7" s="1"/>
  <c r="E9370" i="7"/>
  <c r="D9370" i="7"/>
  <c r="H9369" i="7" a="1"/>
  <c r="H9369" i="7" s="1"/>
  <c r="E9369" i="7"/>
  <c r="D9369" i="7"/>
  <c r="H9368" i="7" a="1"/>
  <c r="H9368" i="7" s="1"/>
  <c r="E9368" i="7"/>
  <c r="D9368" i="7"/>
  <c r="H9367" i="7" a="1"/>
  <c r="H9367" i="7" s="1"/>
  <c r="E9367" i="7"/>
  <c r="D9367" i="7"/>
  <c r="H9366" i="7" a="1"/>
  <c r="H9366" i="7" s="1"/>
  <c r="E9366" i="7"/>
  <c r="D9366" i="7"/>
  <c r="H9365" i="7" a="1"/>
  <c r="H9365" i="7" s="1"/>
  <c r="E9365" i="7"/>
  <c r="D9365" i="7"/>
  <c r="H9364" i="7" a="1"/>
  <c r="H9364" i="7" s="1"/>
  <c r="E9364" i="7"/>
  <c r="D9364" i="7"/>
  <c r="H9363" i="7" a="1"/>
  <c r="H9363" i="7" s="1"/>
  <c r="E9363" i="7"/>
  <c r="D9363" i="7"/>
  <c r="H9362" i="7" a="1"/>
  <c r="H9362" i="7" s="1"/>
  <c r="E9362" i="7"/>
  <c r="D9362" i="7"/>
  <c r="H9361" i="7" a="1"/>
  <c r="H9361" i="7" s="1"/>
  <c r="E9361" i="7"/>
  <c r="D9361" i="7"/>
  <c r="H9360" i="7" a="1"/>
  <c r="H9360" i="7" s="1"/>
  <c r="E9360" i="7"/>
  <c r="D9360" i="7"/>
  <c r="H9330" i="7" a="1"/>
  <c r="H9330" i="7" s="1"/>
  <c r="E9330" i="7"/>
  <c r="D9330" i="7"/>
  <c r="H9329" i="7" a="1"/>
  <c r="H9329" i="7" s="1"/>
  <c r="E9329" i="7"/>
  <c r="D9329" i="7"/>
  <c r="H9359" i="7" a="1"/>
  <c r="H9359" i="7" s="1"/>
  <c r="E9359" i="7"/>
  <c r="D9359" i="7"/>
  <c r="H9358" i="7" a="1"/>
  <c r="H9358" i="7" s="1"/>
  <c r="E9358" i="7"/>
  <c r="D9358" i="7"/>
  <c r="H9357" i="7" a="1"/>
  <c r="H9357" i="7" s="1"/>
  <c r="E9357" i="7"/>
  <c r="D9357" i="7"/>
  <c r="H9356" i="7" a="1"/>
  <c r="H9356" i="7" s="1"/>
  <c r="E9356" i="7"/>
  <c r="D9356" i="7"/>
  <c r="H9355" i="7" a="1"/>
  <c r="H9355" i="7" s="1"/>
  <c r="E9355" i="7"/>
  <c r="D9355" i="7"/>
  <c r="H9354" i="7" a="1"/>
  <c r="H9354" i="7" s="1"/>
  <c r="E9354" i="7"/>
  <c r="D9354" i="7"/>
  <c r="H9353" i="7" a="1"/>
  <c r="H9353" i="7" s="1"/>
  <c r="E9353" i="7"/>
  <c r="D9353" i="7"/>
  <c r="H9352" i="7" a="1"/>
  <c r="H9352" i="7" s="1"/>
  <c r="E9352" i="7"/>
  <c r="D9352" i="7"/>
  <c r="H9351" i="7" a="1"/>
  <c r="H9351" i="7" s="1"/>
  <c r="E9351" i="7"/>
  <c r="D9351" i="7"/>
  <c r="H9350" i="7" a="1"/>
  <c r="H9350" i="7" s="1"/>
  <c r="E9350" i="7"/>
  <c r="D9350" i="7"/>
  <c r="H9349" i="7" a="1"/>
  <c r="H9349" i="7" s="1"/>
  <c r="E9349" i="7"/>
  <c r="D9349" i="7"/>
  <c r="H9348" i="7" a="1"/>
  <c r="H9348" i="7" s="1"/>
  <c r="E9348" i="7"/>
  <c r="D9348" i="7"/>
  <c r="H9347" i="7" a="1"/>
  <c r="H9347" i="7" s="1"/>
  <c r="E9347" i="7"/>
  <c r="D9347" i="7"/>
  <c r="H9346" i="7" a="1"/>
  <c r="H9346" i="7" s="1"/>
  <c r="E9346" i="7"/>
  <c r="D9346" i="7"/>
  <c r="H9345" i="7" a="1"/>
  <c r="H9345" i="7" s="1"/>
  <c r="E9345" i="7"/>
  <c r="D9345" i="7"/>
  <c r="H9344" i="7" a="1"/>
  <c r="H9344" i="7" s="1"/>
  <c r="E9344" i="7"/>
  <c r="D9344" i="7"/>
  <c r="H9343" i="7" a="1"/>
  <c r="H9343" i="7" s="1"/>
  <c r="E9343" i="7"/>
  <c r="D9343" i="7"/>
  <c r="H9342" i="7" a="1"/>
  <c r="H9342" i="7" s="1"/>
  <c r="E9342" i="7"/>
  <c r="D9342" i="7"/>
  <c r="H9341" i="7" a="1"/>
  <c r="H9341" i="7" s="1"/>
  <c r="E9341" i="7"/>
  <c r="D9341" i="7"/>
  <c r="H9340" i="7" a="1"/>
  <c r="H9340" i="7" s="1"/>
  <c r="E9340" i="7"/>
  <c r="D9340" i="7"/>
  <c r="H9333" i="7" a="1"/>
  <c r="H9333" i="7" s="1"/>
  <c r="E9333" i="7"/>
  <c r="D9333" i="7"/>
  <c r="H9332" i="7" a="1"/>
  <c r="H9332" i="7" s="1"/>
  <c r="E9332" i="7"/>
  <c r="D9332" i="7"/>
  <c r="H9331" i="7" a="1"/>
  <c r="H9331" i="7" s="1"/>
  <c r="E9331" i="7"/>
  <c r="D9331" i="7"/>
  <c r="H9339" i="7" a="1"/>
  <c r="H9339" i="7" s="1"/>
  <c r="E9339" i="7"/>
  <c r="D9339" i="7"/>
  <c r="H9338" i="7" a="1"/>
  <c r="H9338" i="7" s="1"/>
  <c r="E9338" i="7"/>
  <c r="D9338" i="7"/>
  <c r="D9336" i="7" l="1"/>
  <c r="E9336" i="7"/>
  <c r="H9337" i="7" a="1"/>
  <c r="H9337" i="7" s="1"/>
  <c r="E9337" i="7"/>
  <c r="D9337" i="7"/>
  <c r="E9335" i="7"/>
  <c r="D9335" i="7"/>
  <c r="E9334" i="7"/>
  <c r="D9334" i="7"/>
  <c r="D9246" i="7" l="1"/>
  <c r="E9246" i="7"/>
  <c r="E9248" i="7"/>
  <c r="D9248" i="7"/>
  <c r="H9247" i="7" a="1"/>
  <c r="H9247" i="7" s="1"/>
  <c r="E9247" i="7"/>
  <c r="D9247" i="7"/>
  <c r="H9245" i="7" a="1"/>
  <c r="H9245" i="7" s="1"/>
  <c r="E9245" i="7"/>
  <c r="D9245" i="7"/>
  <c r="E9244" i="7"/>
  <c r="D9244" i="7"/>
  <c r="H9328" i="7" a="1"/>
  <c r="H9328" i="7" s="1"/>
  <c r="E9328" i="7"/>
  <c r="D9328" i="7"/>
  <c r="H9327" i="7" a="1"/>
  <c r="H9327" i="7" s="1"/>
  <c r="E9327" i="7"/>
  <c r="D9327" i="7"/>
  <c r="H9326" i="7" a="1"/>
  <c r="H9326" i="7" s="1"/>
  <c r="E9326" i="7"/>
  <c r="D9326" i="7"/>
  <c r="H9325" i="7" a="1"/>
  <c r="H9325" i="7" s="1"/>
  <c r="E9325" i="7"/>
  <c r="D9325" i="7"/>
  <c r="H9324" i="7" a="1"/>
  <c r="H9324" i="7" s="1"/>
  <c r="E9324" i="7"/>
  <c r="D9324" i="7"/>
  <c r="H9323" i="7" a="1"/>
  <c r="H9323" i="7" s="1"/>
  <c r="E9323" i="7"/>
  <c r="D9323" i="7"/>
  <c r="H9322" i="7" a="1"/>
  <c r="H9322" i="7" s="1"/>
  <c r="E9322" i="7"/>
  <c r="D9322" i="7"/>
  <c r="H9321" i="7" a="1"/>
  <c r="H9321" i="7" s="1"/>
  <c r="E9321" i="7"/>
  <c r="D9321" i="7"/>
  <c r="H9320" i="7" a="1"/>
  <c r="H9320" i="7" s="1"/>
  <c r="E9320" i="7"/>
  <c r="D9320" i="7"/>
  <c r="H9319" i="7" a="1"/>
  <c r="H9319" i="7" s="1"/>
  <c r="E9319" i="7"/>
  <c r="D9319" i="7"/>
  <c r="H9318" i="7" a="1"/>
  <c r="H9318" i="7" s="1"/>
  <c r="E9318" i="7"/>
  <c r="D9318" i="7"/>
  <c r="H9317" i="7" a="1"/>
  <c r="H9317" i="7" s="1"/>
  <c r="E9317" i="7"/>
  <c r="D9317" i="7"/>
  <c r="H9316" i="7" a="1"/>
  <c r="H9316" i="7" s="1"/>
  <c r="E9316" i="7"/>
  <c r="D9316" i="7"/>
  <c r="H9315" i="7" a="1"/>
  <c r="H9315" i="7" s="1"/>
  <c r="E9315" i="7"/>
  <c r="D9315" i="7"/>
  <c r="H9314" i="7" a="1"/>
  <c r="H9314" i="7" s="1"/>
  <c r="E9314" i="7"/>
  <c r="D9314" i="7"/>
  <c r="H9313" i="7" a="1"/>
  <c r="H9313" i="7" s="1"/>
  <c r="E9313" i="7"/>
  <c r="D9313" i="7"/>
  <c r="H9312" i="7" a="1"/>
  <c r="H9312" i="7" s="1"/>
  <c r="E9312" i="7"/>
  <c r="D9312" i="7"/>
  <c r="H9311" i="7" a="1"/>
  <c r="H9311" i="7" s="1"/>
  <c r="E9311" i="7"/>
  <c r="D9311" i="7"/>
  <c r="H9310" i="7" a="1"/>
  <c r="H9310" i="7" s="1"/>
  <c r="E9310" i="7"/>
  <c r="D9310" i="7"/>
  <c r="H9309" i="7" a="1"/>
  <c r="H9309" i="7" s="1"/>
  <c r="E9309" i="7"/>
  <c r="D9309" i="7"/>
  <c r="H9308" i="7" a="1"/>
  <c r="H9308" i="7" s="1"/>
  <c r="E9308" i="7"/>
  <c r="D9308" i="7"/>
  <c r="H9307" i="7" a="1"/>
  <c r="H9307" i="7" s="1"/>
  <c r="E9307" i="7"/>
  <c r="D9307" i="7"/>
  <c r="H9306" i="7" a="1"/>
  <c r="H9306" i="7" s="1"/>
  <c r="E9306" i="7"/>
  <c r="D9306" i="7"/>
  <c r="H9305" i="7" a="1"/>
  <c r="H9305" i="7" s="1"/>
  <c r="E9305" i="7"/>
  <c r="D9305" i="7"/>
  <c r="H9304" i="7" a="1"/>
  <c r="H9304" i="7" s="1"/>
  <c r="E9304" i="7"/>
  <c r="D9304" i="7"/>
  <c r="E9267" i="7" l="1"/>
  <c r="D9267" i="7"/>
  <c r="H9266" i="7" a="1"/>
  <c r="H9266" i="7" s="1"/>
  <c r="E9266" i="7"/>
  <c r="D9266" i="7"/>
  <c r="H9265" i="7" a="1"/>
  <c r="H9265" i="7" s="1"/>
  <c r="E9265" i="7"/>
  <c r="D9265" i="7"/>
  <c r="E9264" i="7"/>
  <c r="D9264" i="7"/>
  <c r="E9263" i="7"/>
  <c r="D9263" i="7"/>
  <c r="H9262" i="7" a="1"/>
  <c r="H9262" i="7" s="1"/>
  <c r="E9262" i="7"/>
  <c r="D9262" i="7"/>
  <c r="H9261" i="7" a="1"/>
  <c r="H9261" i="7" s="1"/>
  <c r="E9261" i="7"/>
  <c r="D9261" i="7"/>
  <c r="E9260" i="7"/>
  <c r="D9260" i="7"/>
  <c r="H9303" i="7" l="1" a="1"/>
  <c r="H9303" i="7" s="1"/>
  <c r="E9303" i="7"/>
  <c r="D9303" i="7"/>
  <c r="H9302" i="7" a="1"/>
  <c r="H9302" i="7" s="1"/>
  <c r="E9302" i="7"/>
  <c r="D9302" i="7"/>
  <c r="H9301" i="7" a="1"/>
  <c r="H9301" i="7" s="1"/>
  <c r="E9301" i="7"/>
  <c r="D9301" i="7"/>
  <c r="H9289" i="7" a="1"/>
  <c r="H9289" i="7" s="1"/>
  <c r="E9289" i="7"/>
  <c r="D9289" i="7"/>
  <c r="H9288" i="7" a="1"/>
  <c r="H9288" i="7" s="1"/>
  <c r="E9288" i="7"/>
  <c r="D9288" i="7"/>
  <c r="H9287" i="7" a="1"/>
  <c r="H9287" i="7" s="1"/>
  <c r="E9287" i="7"/>
  <c r="D9287" i="7"/>
  <c r="H9286" i="7" a="1"/>
  <c r="H9286" i="7" s="1"/>
  <c r="E9286" i="7"/>
  <c r="D9286" i="7"/>
  <c r="H9285" i="7" a="1"/>
  <c r="H9285" i="7" s="1"/>
  <c r="E9285" i="7"/>
  <c r="D9285" i="7"/>
  <c r="H9284" i="7" a="1"/>
  <c r="H9284" i="7" s="1"/>
  <c r="E9284" i="7"/>
  <c r="D9284" i="7"/>
  <c r="H9300" i="7" l="1" a="1"/>
  <c r="H9300" i="7" s="1"/>
  <c r="E9300" i="7"/>
  <c r="D9300" i="7"/>
  <c r="E9299" i="7"/>
  <c r="D9299" i="7"/>
  <c r="E9298" i="7"/>
  <c r="D9298" i="7"/>
  <c r="H9297" i="7" a="1"/>
  <c r="H9297" i="7" s="1"/>
  <c r="E9297" i="7"/>
  <c r="D9297" i="7"/>
  <c r="E9296" i="7"/>
  <c r="D9296" i="7"/>
  <c r="E9295" i="7"/>
  <c r="D9295" i="7"/>
  <c r="D9293" i="7"/>
  <c r="E9293" i="7"/>
  <c r="H9294" i="7" a="1"/>
  <c r="H9294" i="7" s="1"/>
  <c r="E9294" i="7"/>
  <c r="D9294" i="7"/>
  <c r="E9292" i="7"/>
  <c r="D9292" i="7"/>
  <c r="H9291" i="7" l="1" a="1"/>
  <c r="H9291" i="7" s="1"/>
  <c r="E9291" i="7"/>
  <c r="D9291" i="7"/>
  <c r="H9290" i="7" a="1"/>
  <c r="H9290" i="7" s="1"/>
  <c r="E9290" i="7"/>
  <c r="D9290" i="7"/>
  <c r="H9283" i="7" a="1"/>
  <c r="H9283" i="7" s="1"/>
  <c r="E9283" i="7"/>
  <c r="D9283" i="7"/>
  <c r="H9282" i="7" a="1"/>
  <c r="H9282" i="7" s="1"/>
  <c r="E9282" i="7"/>
  <c r="D9282" i="7"/>
  <c r="H9281" i="7" a="1"/>
  <c r="H9281" i="7" s="1"/>
  <c r="E9281" i="7"/>
  <c r="D9281" i="7"/>
  <c r="H9280" i="7" a="1"/>
  <c r="H9280" i="7" s="1"/>
  <c r="E9280" i="7"/>
  <c r="D9280" i="7"/>
  <c r="H9279" i="7" a="1"/>
  <c r="H9279" i="7" s="1"/>
  <c r="E9279" i="7"/>
  <c r="D9279" i="7"/>
  <c r="H9278" i="7" a="1"/>
  <c r="H9278" i="7" s="1"/>
  <c r="E9278" i="7"/>
  <c r="D9278" i="7"/>
  <c r="H9277" i="7" a="1"/>
  <c r="H9277" i="7" s="1"/>
  <c r="E9277" i="7"/>
  <c r="D9277" i="7"/>
  <c r="H9276" i="7" a="1"/>
  <c r="H9276" i="7" s="1"/>
  <c r="E9276" i="7"/>
  <c r="D9276" i="7"/>
  <c r="H9275" i="7" a="1"/>
  <c r="H9275" i="7" s="1"/>
  <c r="E9275" i="7"/>
  <c r="D9275" i="7"/>
  <c r="H9274" i="7" a="1"/>
  <c r="H9274" i="7" s="1"/>
  <c r="E9274" i="7"/>
  <c r="D9274" i="7"/>
  <c r="H9273" i="7" a="1"/>
  <c r="H9273" i="7" s="1"/>
  <c r="E9273" i="7"/>
  <c r="D9273" i="7"/>
  <c r="H9272" i="7" a="1"/>
  <c r="H9272" i="7" s="1"/>
  <c r="E9272" i="7"/>
  <c r="D9272" i="7"/>
  <c r="H9271" i="7" a="1"/>
  <c r="H9271" i="7" s="1"/>
  <c r="E9271" i="7"/>
  <c r="D9271" i="7"/>
  <c r="H9270" i="7" a="1"/>
  <c r="H9270" i="7" s="1"/>
  <c r="E9270" i="7"/>
  <c r="D9270" i="7"/>
  <c r="H9269" i="7" a="1"/>
  <c r="H9269" i="7" s="1"/>
  <c r="E9269" i="7"/>
  <c r="D9269" i="7"/>
  <c r="H9268" i="7" a="1"/>
  <c r="H9268" i="7" s="1"/>
  <c r="E9268" i="7"/>
  <c r="D9268" i="7"/>
  <c r="H9259" i="7" a="1"/>
  <c r="H9259" i="7" s="1"/>
  <c r="E9259" i="7"/>
  <c r="D9259" i="7"/>
  <c r="H9258" i="7" a="1"/>
  <c r="H9258" i="7" s="1"/>
  <c r="E9258" i="7"/>
  <c r="D9258" i="7"/>
  <c r="H9257" i="7" a="1"/>
  <c r="H9257" i="7" s="1"/>
  <c r="E9257" i="7"/>
  <c r="D9257" i="7"/>
  <c r="H9256" i="7" l="1" a="1"/>
  <c r="H9256" i="7" s="1"/>
  <c r="E9256" i="7"/>
  <c r="D9256" i="7"/>
  <c r="H9255" i="7" a="1"/>
  <c r="H9255" i="7" s="1"/>
  <c r="E9255" i="7"/>
  <c r="D9255" i="7"/>
  <c r="H9254" i="7" a="1"/>
  <c r="H9254" i="7" s="1"/>
  <c r="E9254" i="7"/>
  <c r="D9254" i="7"/>
  <c r="H9253" i="7" a="1"/>
  <c r="H9253" i="7" s="1"/>
  <c r="E9253" i="7"/>
  <c r="D9253" i="7"/>
  <c r="H9252" i="7" a="1"/>
  <c r="H9252" i="7" s="1"/>
  <c r="E9252" i="7"/>
  <c r="D9252" i="7"/>
  <c r="H9251" i="7" a="1"/>
  <c r="H9251" i="7" s="1"/>
  <c r="E9251" i="7"/>
  <c r="D9251" i="7"/>
  <c r="H9250" i="7" a="1"/>
  <c r="H9250" i="7" s="1"/>
  <c r="E9250" i="7"/>
  <c r="D9250" i="7"/>
  <c r="H9249" i="7" a="1"/>
  <c r="H9249" i="7" s="1"/>
  <c r="E9249" i="7"/>
  <c r="D9249" i="7"/>
  <c r="H9243" i="7" a="1"/>
  <c r="H9243" i="7" s="1"/>
  <c r="E9243" i="7"/>
  <c r="D9243" i="7"/>
  <c r="H9242" i="7" a="1"/>
  <c r="H9242" i="7" s="1"/>
  <c r="E9242" i="7"/>
  <c r="D9242" i="7"/>
  <c r="E9241" i="7"/>
  <c r="D9241" i="7"/>
  <c r="H9240" i="7" a="1"/>
  <c r="H9240" i="7" s="1"/>
  <c r="E9240" i="7"/>
  <c r="D9240" i="7"/>
  <c r="H9239" i="7" l="1" a="1"/>
  <c r="H9239" i="7" s="1"/>
  <c r="E9239" i="7"/>
  <c r="D9239" i="7"/>
  <c r="H9238" i="7" a="1"/>
  <c r="H9238" i="7" s="1"/>
  <c r="E9238" i="7"/>
  <c r="D9238" i="7"/>
  <c r="H9237" i="7" a="1"/>
  <c r="H9237" i="7" s="1"/>
  <c r="E9237" i="7"/>
  <c r="D9237" i="7"/>
  <c r="H9236" i="7" a="1"/>
  <c r="H9236" i="7" s="1"/>
  <c r="E9236" i="7"/>
  <c r="D9236" i="7"/>
  <c r="H9235" i="7" a="1"/>
  <c r="H9235" i="7" s="1"/>
  <c r="E9235" i="7"/>
  <c r="D9235" i="7"/>
  <c r="H9234" i="7" a="1"/>
  <c r="H9234" i="7" s="1"/>
  <c r="E9234" i="7"/>
  <c r="D9234" i="7"/>
  <c r="H9233" i="7" a="1"/>
  <c r="H9233" i="7" s="1"/>
  <c r="E9233" i="7"/>
  <c r="D9233" i="7"/>
  <c r="H9232" i="7" a="1"/>
  <c r="H9232" i="7" s="1"/>
  <c r="E9232" i="7"/>
  <c r="D9232" i="7"/>
  <c r="H9231" i="7" a="1"/>
  <c r="H9231" i="7" s="1"/>
  <c r="E9231" i="7"/>
  <c r="D9231" i="7"/>
  <c r="H9230" i="7" a="1"/>
  <c r="H9230" i="7" s="1"/>
  <c r="E9230" i="7"/>
  <c r="D9230" i="7"/>
  <c r="H9229" i="7" a="1"/>
  <c r="H9229" i="7" s="1"/>
  <c r="E9229" i="7"/>
  <c r="D9229" i="7"/>
  <c r="H9228" i="7" a="1"/>
  <c r="H9228" i="7" s="1"/>
  <c r="E9228" i="7"/>
  <c r="D9228" i="7"/>
  <c r="H9227" i="7" a="1"/>
  <c r="H9227" i="7" s="1"/>
  <c r="E9227" i="7"/>
  <c r="D9227" i="7"/>
  <c r="H9226" i="7" a="1"/>
  <c r="H9226" i="7" s="1"/>
  <c r="E9226" i="7"/>
  <c r="D9226" i="7"/>
  <c r="H9225" i="7" a="1"/>
  <c r="H9225" i="7" s="1"/>
  <c r="E9225" i="7"/>
  <c r="D9225" i="7"/>
  <c r="H9224" i="7" a="1"/>
  <c r="H9224" i="7" s="1"/>
  <c r="E9224" i="7"/>
  <c r="D9224" i="7"/>
  <c r="H9223" i="7" a="1"/>
  <c r="H9223" i="7" s="1"/>
  <c r="E9223" i="7"/>
  <c r="D9223" i="7"/>
  <c r="H9222" i="7" a="1"/>
  <c r="H9222" i="7" s="1"/>
  <c r="E9222" i="7"/>
  <c r="D9222" i="7"/>
  <c r="H9221" i="7" a="1"/>
  <c r="H9221" i="7" s="1"/>
  <c r="E9221" i="7"/>
  <c r="D9221" i="7"/>
  <c r="H9202" i="7" l="1" a="1"/>
  <c r="H9202" i="7" s="1"/>
  <c r="E9202" i="7"/>
  <c r="D9202" i="7"/>
  <c r="H9201" i="7" a="1"/>
  <c r="H9201" i="7" s="1"/>
  <c r="E9201" i="7"/>
  <c r="D9201" i="7"/>
  <c r="E9200" i="7"/>
  <c r="D9200" i="7"/>
  <c r="H9199" i="7" a="1"/>
  <c r="H9199" i="7" s="1"/>
  <c r="E9199" i="7"/>
  <c r="D9199" i="7"/>
  <c r="H9220" i="7" a="1"/>
  <c r="H9220" i="7" s="1"/>
  <c r="E9220" i="7"/>
  <c r="D9220" i="7"/>
  <c r="H9219" i="7" a="1"/>
  <c r="H9219" i="7" s="1"/>
  <c r="E9219" i="7"/>
  <c r="D9219" i="7"/>
  <c r="H9198" i="7" a="1"/>
  <c r="H9198" i="7" s="1"/>
  <c r="E9198" i="7"/>
  <c r="D9198" i="7"/>
  <c r="H9197" i="7" a="1"/>
  <c r="H9197" i="7" s="1"/>
  <c r="E9197" i="7"/>
  <c r="D9197" i="7"/>
  <c r="H9218" i="7" a="1"/>
  <c r="H9218" i="7" s="1"/>
  <c r="E9218" i="7"/>
  <c r="D9218" i="7"/>
  <c r="H9217" i="7" a="1"/>
  <c r="H9217" i="7" s="1"/>
  <c r="E9217" i="7"/>
  <c r="D9217" i="7"/>
  <c r="H9216" i="7" a="1"/>
  <c r="H9216" i="7" s="1"/>
  <c r="E9216" i="7"/>
  <c r="D9216" i="7"/>
  <c r="H9215" i="7" a="1"/>
  <c r="H9215" i="7" s="1"/>
  <c r="E9215" i="7"/>
  <c r="D9215" i="7"/>
  <c r="H9214" i="7" a="1"/>
  <c r="H9214" i="7" s="1"/>
  <c r="E9214" i="7"/>
  <c r="D9214" i="7"/>
  <c r="H9213" i="7" a="1"/>
  <c r="H9213" i="7" s="1"/>
  <c r="E9213" i="7"/>
  <c r="D9213" i="7"/>
  <c r="H9212" i="7" l="1" a="1"/>
  <c r="H9212" i="7" s="1"/>
  <c r="E9212" i="7"/>
  <c r="D9212" i="7"/>
  <c r="H9211" i="7" a="1"/>
  <c r="H9211" i="7" s="1"/>
  <c r="E9211" i="7"/>
  <c r="D9211" i="7"/>
  <c r="E9210" i="7"/>
  <c r="D9210" i="7"/>
  <c r="H9209" i="7" a="1"/>
  <c r="H9209" i="7" s="1"/>
  <c r="E9209" i="7"/>
  <c r="D9209" i="7"/>
  <c r="H9208" i="7" a="1"/>
  <c r="H9208" i="7" s="1"/>
  <c r="E9208" i="7"/>
  <c r="D9208" i="7"/>
  <c r="E9207" i="7"/>
  <c r="D9207" i="7"/>
  <c r="E9206" i="7"/>
  <c r="D9206" i="7"/>
  <c r="H9205" i="7" a="1"/>
  <c r="H9205" i="7" s="1"/>
  <c r="E9205" i="7"/>
  <c r="D9205" i="7"/>
  <c r="H9204" i="7" a="1"/>
  <c r="H9204" i="7" s="1"/>
  <c r="E9204" i="7"/>
  <c r="D9204" i="7"/>
  <c r="E9203" i="7"/>
  <c r="D9203" i="7"/>
  <c r="H9180" i="7" l="1" a="1"/>
  <c r="H9180" i="7" s="1"/>
  <c r="E9180" i="7"/>
  <c r="D9180" i="7"/>
  <c r="H9179" i="7" a="1"/>
  <c r="H9179" i="7" s="1"/>
  <c r="E9179" i="7"/>
  <c r="D9179" i="7"/>
  <c r="H9178" i="7" a="1"/>
  <c r="H9178" i="7" s="1"/>
  <c r="E9178" i="7"/>
  <c r="D9178" i="7"/>
  <c r="H9196" i="7" l="1" a="1"/>
  <c r="H9196" i="7" s="1"/>
  <c r="E9196" i="7"/>
  <c r="D9196" i="7"/>
  <c r="H9195" i="7" a="1"/>
  <c r="H9195" i="7" s="1"/>
  <c r="E9195" i="7"/>
  <c r="D9195" i="7"/>
  <c r="H9194" i="7" a="1"/>
  <c r="H9194" i="7" s="1"/>
  <c r="E9194" i="7"/>
  <c r="D9194" i="7"/>
  <c r="H9193" i="7" a="1"/>
  <c r="H9193" i="7" s="1"/>
  <c r="E9193" i="7"/>
  <c r="D9193" i="7"/>
  <c r="H9192" i="7" a="1"/>
  <c r="H9192" i="7" s="1"/>
  <c r="E9192" i="7"/>
  <c r="D9192" i="7"/>
  <c r="H9191" i="7" a="1"/>
  <c r="H9191" i="7" s="1"/>
  <c r="E9191" i="7"/>
  <c r="D9191" i="7"/>
  <c r="H9190" i="7" a="1"/>
  <c r="H9190" i="7" s="1"/>
  <c r="E9190" i="7"/>
  <c r="D9190" i="7"/>
  <c r="H9189" i="7" a="1"/>
  <c r="H9189" i="7" s="1"/>
  <c r="E9189" i="7"/>
  <c r="D9189" i="7"/>
  <c r="H9188" i="7" a="1"/>
  <c r="H9188" i="7" s="1"/>
  <c r="E9188" i="7"/>
  <c r="D9188" i="7"/>
  <c r="H9187" i="7" a="1"/>
  <c r="H9187" i="7" s="1"/>
  <c r="E9187" i="7"/>
  <c r="D9187" i="7"/>
  <c r="H9186" i="7" a="1"/>
  <c r="H9186" i="7" s="1"/>
  <c r="E9186" i="7"/>
  <c r="D9186" i="7"/>
  <c r="H9185" i="7" a="1"/>
  <c r="H9185" i="7" s="1"/>
  <c r="E9185" i="7"/>
  <c r="D9185" i="7"/>
  <c r="H9184" i="7" a="1"/>
  <c r="H9184" i="7" s="1"/>
  <c r="E9184" i="7"/>
  <c r="D9184" i="7"/>
  <c r="H9183" i="7" a="1"/>
  <c r="H9183" i="7" s="1"/>
  <c r="E9183" i="7"/>
  <c r="D9183" i="7"/>
  <c r="H9182" i="7" a="1"/>
  <c r="H9182" i="7" s="1"/>
  <c r="E9182" i="7"/>
  <c r="D9182" i="7"/>
  <c r="H9181" i="7" a="1"/>
  <c r="H9181" i="7" s="1"/>
  <c r="E9181" i="7"/>
  <c r="D9181" i="7"/>
  <c r="H9171" i="7" l="1" a="1"/>
  <c r="H9171" i="7" s="1"/>
  <c r="E9171" i="7"/>
  <c r="D9171" i="7"/>
  <c r="H9170" i="7" a="1"/>
  <c r="H9170" i="7" s="1"/>
  <c r="E9170" i="7"/>
  <c r="D9170" i="7"/>
  <c r="H9177" i="7" a="1"/>
  <c r="H9177" i="7" s="1"/>
  <c r="E9177" i="7"/>
  <c r="D9177" i="7"/>
  <c r="H9176" i="7" a="1"/>
  <c r="H9176" i="7" s="1"/>
  <c r="E9176" i="7"/>
  <c r="D9176" i="7"/>
  <c r="H9175" i="7" a="1"/>
  <c r="H9175" i="7" s="1"/>
  <c r="E9175" i="7"/>
  <c r="D9175" i="7"/>
  <c r="H9174" i="7" a="1"/>
  <c r="H9174" i="7" s="1"/>
  <c r="E9174" i="7"/>
  <c r="D9174" i="7"/>
  <c r="H9173" i="7" a="1"/>
  <c r="H9173" i="7" s="1"/>
  <c r="E9173" i="7"/>
  <c r="D9173" i="7"/>
  <c r="H9172" i="7" a="1"/>
  <c r="H9172" i="7" s="1"/>
  <c r="E9172" i="7"/>
  <c r="D9172" i="7"/>
  <c r="H9169" i="7" a="1"/>
  <c r="H9169" i="7" s="1"/>
  <c r="E9169" i="7"/>
  <c r="D9169" i="7"/>
  <c r="H9168" i="7" a="1"/>
  <c r="H9168" i="7" s="1"/>
  <c r="E9168" i="7"/>
  <c r="D9168" i="7"/>
  <c r="H9167" i="7" a="1"/>
  <c r="H9167" i="7" s="1"/>
  <c r="E9167" i="7"/>
  <c r="D9167" i="7"/>
  <c r="H9166" i="7" l="1" a="1"/>
  <c r="H9166" i="7" s="1"/>
  <c r="E9166" i="7"/>
  <c r="D9166" i="7"/>
  <c r="H9165" i="7" a="1"/>
  <c r="H9165" i="7" s="1"/>
  <c r="E9165" i="7"/>
  <c r="D9165" i="7"/>
  <c r="H9164" i="7" a="1"/>
  <c r="H9164" i="7" s="1"/>
  <c r="E9164" i="7"/>
  <c r="D9164" i="7"/>
  <c r="H9163" i="7" a="1"/>
  <c r="H9163" i="7" s="1"/>
  <c r="E9163" i="7"/>
  <c r="D9163" i="7"/>
  <c r="H9162" i="7" a="1"/>
  <c r="H9162" i="7" s="1"/>
  <c r="E9162" i="7"/>
  <c r="D9162" i="7"/>
  <c r="H9161" i="7" a="1"/>
  <c r="H9161" i="7" s="1"/>
  <c r="E9161" i="7"/>
  <c r="D9161" i="7"/>
  <c r="H9160" i="7" a="1"/>
  <c r="H9160" i="7" s="1"/>
  <c r="E9160" i="7"/>
  <c r="D9160" i="7"/>
  <c r="H9159" i="7" a="1"/>
  <c r="H9159" i="7" s="1"/>
  <c r="E9159" i="7"/>
  <c r="D9159" i="7"/>
  <c r="H9158" i="7" a="1"/>
  <c r="H9158" i="7" s="1"/>
  <c r="E9158" i="7"/>
  <c r="D9158" i="7"/>
  <c r="H9157" i="7" a="1"/>
  <c r="H9157" i="7" s="1"/>
  <c r="E9157" i="7"/>
  <c r="D9157" i="7"/>
  <c r="H9156" i="7" a="1"/>
  <c r="H9156" i="7" s="1"/>
  <c r="E9156" i="7"/>
  <c r="D9156" i="7"/>
  <c r="H9155" i="7" a="1"/>
  <c r="H9155" i="7" s="1"/>
  <c r="E9155" i="7"/>
  <c r="D9155" i="7"/>
  <c r="H9154" i="7" a="1"/>
  <c r="H9154" i="7" s="1"/>
  <c r="E9154" i="7"/>
  <c r="D9154" i="7"/>
  <c r="H9153" i="7" a="1"/>
  <c r="H9153" i="7" s="1"/>
  <c r="E9153" i="7"/>
  <c r="D9153" i="7"/>
  <c r="H9152" i="7" a="1"/>
  <c r="H9152" i="7" s="1"/>
  <c r="E9152" i="7"/>
  <c r="D9152" i="7"/>
  <c r="H9151" i="7" a="1"/>
  <c r="H9151" i="7" s="1"/>
  <c r="E9151" i="7"/>
  <c r="D9151" i="7"/>
  <c r="H9147" i="7" l="1" a="1"/>
  <c r="H9147" i="7" s="1"/>
  <c r="E9147" i="7"/>
  <c r="D9147" i="7"/>
  <c r="H9146" i="7" a="1"/>
  <c r="H9146" i="7" s="1"/>
  <c r="E9146" i="7"/>
  <c r="D9146" i="7"/>
  <c r="H9145" i="7" a="1"/>
  <c r="H9145" i="7" s="1"/>
  <c r="E9145" i="7"/>
  <c r="D9145" i="7"/>
  <c r="H9150" i="7" a="1"/>
  <c r="H9150" i="7" s="1"/>
  <c r="E9150" i="7"/>
  <c r="D9150" i="7"/>
  <c r="H9149" i="7" a="1"/>
  <c r="H9149" i="7" s="1"/>
  <c r="E9149" i="7"/>
  <c r="D9149" i="7"/>
  <c r="H9148" i="7" a="1"/>
  <c r="H9148" i="7" s="1"/>
  <c r="E9148" i="7"/>
  <c r="D9148" i="7"/>
  <c r="H9144" i="7" l="1" a="1"/>
  <c r="H9144" i="7" s="1"/>
  <c r="E9144" i="7"/>
  <c r="D9144" i="7"/>
  <c r="H9143" i="7" a="1"/>
  <c r="H9143" i="7" s="1"/>
  <c r="E9143" i="7"/>
  <c r="D9143" i="7"/>
  <c r="H9142" i="7" a="1"/>
  <c r="H9142" i="7" s="1"/>
  <c r="E9142" i="7"/>
  <c r="D9142" i="7"/>
  <c r="H9141" i="7" a="1"/>
  <c r="H9141" i="7" s="1"/>
  <c r="E9141" i="7"/>
  <c r="D9141" i="7"/>
  <c r="H9140" i="7" a="1"/>
  <c r="H9140" i="7" s="1"/>
  <c r="E9140" i="7"/>
  <c r="D9140" i="7"/>
  <c r="H9139" i="7" a="1"/>
  <c r="H9139" i="7" s="1"/>
  <c r="E9139" i="7"/>
  <c r="D9139" i="7"/>
  <c r="H9138" i="7" a="1"/>
  <c r="H9138" i="7" s="1"/>
  <c r="E9138" i="7"/>
  <c r="D9138" i="7"/>
  <c r="H9137" i="7" a="1"/>
  <c r="H9137" i="7" s="1"/>
  <c r="E9137" i="7"/>
  <c r="D9137" i="7"/>
  <c r="H9136" i="7" a="1"/>
  <c r="H9136" i="7" s="1"/>
  <c r="E9136" i="7"/>
  <c r="D9136" i="7"/>
  <c r="H9135" i="7" a="1"/>
  <c r="H9135" i="7" s="1"/>
  <c r="E9135" i="7"/>
  <c r="D9135" i="7"/>
  <c r="H9134" i="7" a="1"/>
  <c r="H9134" i="7" s="1"/>
  <c r="E9134" i="7"/>
  <c r="D9134" i="7"/>
  <c r="H9133" i="7" a="1"/>
  <c r="H9133" i="7" s="1"/>
  <c r="E9133" i="7"/>
  <c r="D9133" i="7"/>
  <c r="H9132" i="7" a="1"/>
  <c r="H9132" i="7" s="1"/>
  <c r="E9132" i="7"/>
  <c r="D9132" i="7"/>
  <c r="H9131" i="7" a="1"/>
  <c r="H9131" i="7" s="1"/>
  <c r="E9131" i="7"/>
  <c r="D9131" i="7"/>
  <c r="H9130" i="7" a="1"/>
  <c r="H9130" i="7" s="1"/>
  <c r="E9130" i="7"/>
  <c r="D9130" i="7"/>
  <c r="H9129" i="7" a="1"/>
  <c r="H9129" i="7" s="1"/>
  <c r="E9129" i="7"/>
  <c r="D9129" i="7"/>
  <c r="H9125" i="7" a="1"/>
  <c r="H9125" i="7" s="1"/>
  <c r="E9125" i="7"/>
  <c r="D9125" i="7"/>
  <c r="H9124" i="7" a="1"/>
  <c r="H9124" i="7" s="1"/>
  <c r="E9124" i="7"/>
  <c r="D9124" i="7"/>
  <c r="H9123" i="7" a="1"/>
  <c r="H9123" i="7" s="1"/>
  <c r="E9123" i="7"/>
  <c r="D9123" i="7"/>
  <c r="H9122" i="7" a="1"/>
  <c r="H9122" i="7" s="1"/>
  <c r="E9122" i="7"/>
  <c r="D9122" i="7"/>
  <c r="H9121" i="7" a="1"/>
  <c r="H9121" i="7" s="1"/>
  <c r="E9121" i="7"/>
  <c r="D9121" i="7"/>
  <c r="H9120" i="7" a="1"/>
  <c r="H9120" i="7" s="1"/>
  <c r="E9120" i="7"/>
  <c r="D9120" i="7"/>
  <c r="H9119" i="7" l="1" a="1"/>
  <c r="H9119" i="7" s="1"/>
  <c r="E9119" i="7"/>
  <c r="D9119" i="7"/>
  <c r="H9116" i="7" a="1"/>
  <c r="H9116" i="7" s="1"/>
  <c r="E9116" i="7"/>
  <c r="D9116" i="7"/>
  <c r="H9128" i="7" l="1" a="1"/>
  <c r="H9128" i="7" s="1"/>
  <c r="E9128" i="7"/>
  <c r="D9128" i="7"/>
  <c r="H9127" i="7" a="1"/>
  <c r="H9127" i="7" s="1"/>
  <c r="E9127" i="7"/>
  <c r="D9127" i="7"/>
  <c r="H9126" i="7" a="1"/>
  <c r="H9126" i="7" s="1"/>
  <c r="E9126" i="7"/>
  <c r="D9126" i="7"/>
  <c r="H9109" i="7" l="1" a="1"/>
  <c r="H9109" i="7" s="1"/>
  <c r="E9109" i="7"/>
  <c r="D9109" i="7"/>
  <c r="H9108" i="7" a="1"/>
  <c r="H9108" i="7" s="1"/>
  <c r="E9108" i="7"/>
  <c r="D9108" i="7"/>
  <c r="H9107" i="7" a="1"/>
  <c r="H9107" i="7" s="1"/>
  <c r="E9107" i="7"/>
  <c r="D9107" i="7"/>
  <c r="H9106" i="7" a="1"/>
  <c r="H9106" i="7" s="1"/>
  <c r="E9106" i="7"/>
  <c r="D9106" i="7"/>
  <c r="H9115" i="7" a="1"/>
  <c r="H9115" i="7" s="1"/>
  <c r="E9115" i="7"/>
  <c r="D9115" i="7"/>
  <c r="E9114" i="7"/>
  <c r="D9114" i="7"/>
  <c r="H9113" i="7" a="1"/>
  <c r="H9113" i="7" s="1"/>
  <c r="E9113" i="7"/>
  <c r="D9113" i="7"/>
  <c r="H9112" i="7" a="1"/>
  <c r="H9112" i="7" s="1"/>
  <c r="E9112" i="7"/>
  <c r="D9112" i="7"/>
  <c r="H9111" i="7" a="1"/>
  <c r="H9111" i="7" s="1"/>
  <c r="E9111" i="7"/>
  <c r="D9111" i="7"/>
  <c r="H9110" i="7" a="1"/>
  <c r="H9110" i="7" s="1"/>
  <c r="E9110" i="7"/>
  <c r="D9110" i="7"/>
  <c r="H9089" i="7" l="1" a="1"/>
  <c r="H9089" i="7" s="1"/>
  <c r="E9089" i="7"/>
  <c r="D9089" i="7"/>
  <c r="H9088" i="7" a="1"/>
  <c r="H9088" i="7" s="1"/>
  <c r="E9088" i="7"/>
  <c r="D9088" i="7"/>
  <c r="H9083" i="7" a="1"/>
  <c r="H9083" i="7" s="1"/>
  <c r="E9083" i="7"/>
  <c r="D9083" i="7"/>
  <c r="H9082" i="7" a="1"/>
  <c r="H9082" i="7" s="1"/>
  <c r="E9082" i="7"/>
  <c r="D9082" i="7"/>
  <c r="H9081" i="7" a="1"/>
  <c r="H9081" i="7" s="1"/>
  <c r="E9081" i="7"/>
  <c r="D9081" i="7"/>
  <c r="H9087" i="7" l="1" a="1"/>
  <c r="H9087" i="7" s="1"/>
  <c r="E9087" i="7"/>
  <c r="D9087" i="7"/>
  <c r="H9086" i="7" a="1"/>
  <c r="H9086" i="7" s="1"/>
  <c r="E9086" i="7"/>
  <c r="D9086" i="7"/>
  <c r="H9085" i="7" a="1"/>
  <c r="H9085" i="7" s="1"/>
  <c r="E9085" i="7"/>
  <c r="D9085" i="7"/>
  <c r="H9084" i="7" a="1"/>
  <c r="H9084" i="7" s="1"/>
  <c r="E9084" i="7"/>
  <c r="D9084" i="7"/>
  <c r="H9080" i="7" a="1"/>
  <c r="H9080" i="7" s="1"/>
  <c r="E9080" i="7"/>
  <c r="D9080" i="7"/>
  <c r="H9079" i="7" a="1"/>
  <c r="H9079" i="7" s="1"/>
  <c r="E9079" i="7"/>
  <c r="D9079" i="7"/>
  <c r="H9078" i="7" a="1"/>
  <c r="H9078" i="7" s="1"/>
  <c r="E9078" i="7"/>
  <c r="D9078" i="7"/>
  <c r="H9077" i="7" a="1"/>
  <c r="H9077" i="7" s="1"/>
  <c r="E9077" i="7"/>
  <c r="D9077" i="7"/>
  <c r="H9076" i="7" a="1"/>
  <c r="H9076" i="7" s="1"/>
  <c r="E9076" i="7"/>
  <c r="D9076" i="7"/>
  <c r="H9075" i="7" a="1"/>
  <c r="H9075" i="7" s="1"/>
  <c r="E9075" i="7"/>
  <c r="D9075" i="7"/>
  <c r="H9105" i="7" a="1"/>
  <c r="H9105" i="7" s="1"/>
  <c r="E9105" i="7"/>
  <c r="D9105" i="7"/>
  <c r="H9104" i="7" a="1"/>
  <c r="H9104" i="7" s="1"/>
  <c r="E9104" i="7"/>
  <c r="D9104" i="7"/>
  <c r="H9103" i="7" a="1"/>
  <c r="H9103" i="7" s="1"/>
  <c r="E9103" i="7"/>
  <c r="D9103" i="7"/>
  <c r="H9102" i="7" a="1"/>
  <c r="H9102" i="7" s="1"/>
  <c r="E9102" i="7"/>
  <c r="D9102" i="7"/>
  <c r="H9101" i="7" a="1"/>
  <c r="H9101" i="7" s="1"/>
  <c r="E9101" i="7"/>
  <c r="D9101" i="7"/>
  <c r="H9100" i="7" a="1"/>
  <c r="H9100" i="7" s="1"/>
  <c r="E9100" i="7"/>
  <c r="D9100" i="7"/>
  <c r="H9099" i="7" a="1"/>
  <c r="H9099" i="7" s="1"/>
  <c r="E9099" i="7"/>
  <c r="D9099" i="7"/>
  <c r="H9098" i="7" a="1"/>
  <c r="H9098" i="7" s="1"/>
  <c r="E9098" i="7"/>
  <c r="D9098" i="7"/>
  <c r="H9097" i="7" a="1"/>
  <c r="H9097" i="7" s="1"/>
  <c r="E9097" i="7"/>
  <c r="D9097" i="7"/>
  <c r="H9096" i="7" a="1"/>
  <c r="H9096" i="7" s="1"/>
  <c r="E9096" i="7"/>
  <c r="D9096" i="7"/>
  <c r="H9095" i="7" a="1"/>
  <c r="H9095" i="7" s="1"/>
  <c r="E9095" i="7"/>
  <c r="D9095" i="7"/>
  <c r="H9094" i="7" a="1"/>
  <c r="H9094" i="7" s="1"/>
  <c r="E9094" i="7"/>
  <c r="D9094" i="7"/>
  <c r="H9093" i="7" a="1"/>
  <c r="H9093" i="7" s="1"/>
  <c r="E9093" i="7"/>
  <c r="D9093" i="7"/>
  <c r="H9092" i="7" a="1"/>
  <c r="H9092" i="7" s="1"/>
  <c r="E9092" i="7"/>
  <c r="D9092" i="7"/>
  <c r="H9091" i="7" a="1"/>
  <c r="H9091" i="7" s="1"/>
  <c r="E9091" i="7"/>
  <c r="D9091" i="7"/>
  <c r="H9090" i="7" a="1"/>
  <c r="H9090" i="7" s="1"/>
  <c r="E9090" i="7"/>
  <c r="D9090" i="7"/>
  <c r="H9074" i="7" l="1" a="1"/>
  <c r="H9074" i="7" s="1"/>
  <c r="E9074" i="7"/>
  <c r="D9074" i="7"/>
  <c r="H9073" i="7" a="1"/>
  <c r="H9073" i="7" s="1"/>
  <c r="E9073" i="7"/>
  <c r="D9073" i="7"/>
  <c r="H9072" i="7" a="1"/>
  <c r="H9072" i="7" s="1"/>
  <c r="E9072" i="7"/>
  <c r="D9072" i="7"/>
  <c r="H9071" i="7" a="1"/>
  <c r="H9071" i="7" s="1"/>
  <c r="E9071" i="7"/>
  <c r="D9071" i="7"/>
  <c r="H9070" i="7" a="1"/>
  <c r="H9070" i="7" s="1"/>
  <c r="E9070" i="7"/>
  <c r="D9070" i="7"/>
  <c r="H9069" i="7" l="1" a="1"/>
  <c r="H9069" i="7" s="1"/>
  <c r="E9069" i="7"/>
  <c r="D9069" i="7"/>
  <c r="H9068" i="7" a="1"/>
  <c r="H9068" i="7" s="1"/>
  <c r="E9068" i="7"/>
  <c r="D9068" i="7"/>
  <c r="H9067" i="7" a="1"/>
  <c r="H9067" i="7" s="1"/>
  <c r="E9067" i="7"/>
  <c r="D9067" i="7"/>
  <c r="E9066" i="7"/>
  <c r="D9066" i="7"/>
  <c r="H9065" i="7" a="1"/>
  <c r="H9065" i="7" s="1"/>
  <c r="E9065" i="7"/>
  <c r="D9065" i="7"/>
  <c r="H9064" i="7" a="1"/>
  <c r="H9064" i="7" s="1"/>
  <c r="E9064" i="7"/>
  <c r="D9064" i="7"/>
  <c r="H9063" i="7" a="1"/>
  <c r="H9063" i="7" s="1"/>
  <c r="E9063" i="7"/>
  <c r="D9063" i="7"/>
  <c r="H9062" i="7" a="1"/>
  <c r="H9062" i="7" s="1"/>
  <c r="E9062" i="7"/>
  <c r="D9062" i="7"/>
  <c r="H9061" i="7" l="1" a="1"/>
  <c r="H9061" i="7" s="1"/>
  <c r="E9061" i="7"/>
  <c r="D9061" i="7"/>
  <c r="H9060" i="7" a="1"/>
  <c r="H9060" i="7" s="1"/>
  <c r="E9060" i="7"/>
  <c r="D9060" i="7"/>
  <c r="H9059" i="7" a="1"/>
  <c r="H9059" i="7" s="1"/>
  <c r="E9059" i="7"/>
  <c r="D9059" i="7"/>
  <c r="H9058" i="7" a="1"/>
  <c r="H9058" i="7" s="1"/>
  <c r="E9058" i="7"/>
  <c r="D9058" i="7"/>
  <c r="H9057" i="7" a="1"/>
  <c r="H9057" i="7" s="1"/>
  <c r="E9057" i="7"/>
  <c r="D9057" i="7"/>
  <c r="H9056" i="7" a="1"/>
  <c r="H9056" i="7" s="1"/>
  <c r="E9056" i="7"/>
  <c r="D9056" i="7"/>
  <c r="H9055" i="7" a="1"/>
  <c r="H9055" i="7" s="1"/>
  <c r="E9055" i="7"/>
  <c r="D9055" i="7"/>
  <c r="H9054" i="7" a="1"/>
  <c r="H9054" i="7" s="1"/>
  <c r="E9054" i="7"/>
  <c r="D9054" i="7"/>
  <c r="H9053" i="7" a="1"/>
  <c r="H9053" i="7" s="1"/>
  <c r="E9053" i="7"/>
  <c r="D9053" i="7"/>
  <c r="H9052" i="7" a="1"/>
  <c r="H9052" i="7" s="1"/>
  <c r="E9052" i="7"/>
  <c r="D9052" i="7"/>
  <c r="H9051" i="7" a="1"/>
  <c r="H9051" i="7" s="1"/>
  <c r="E9051" i="7"/>
  <c r="D9051" i="7"/>
  <c r="H9050" i="7" a="1"/>
  <c r="H9050" i="7" s="1"/>
  <c r="E9050" i="7"/>
  <c r="D9050" i="7"/>
  <c r="H9049" i="7" a="1"/>
  <c r="H9049" i="7" s="1"/>
  <c r="E9049" i="7"/>
  <c r="D9049" i="7"/>
  <c r="H9048" i="7" a="1"/>
  <c r="H9048" i="7" s="1"/>
  <c r="E9048" i="7"/>
  <c r="D9048" i="7"/>
  <c r="H9047" i="7" a="1"/>
  <c r="H9047" i="7" s="1"/>
  <c r="E9047" i="7"/>
  <c r="D9047" i="7"/>
  <c r="H9046" i="7" a="1"/>
  <c r="H9046" i="7" s="1"/>
  <c r="E9046" i="7"/>
  <c r="D9046" i="7"/>
  <c r="H9019" i="7" l="1" a="1"/>
  <c r="H9019" i="7" s="1"/>
  <c r="E9019" i="7"/>
  <c r="D9019" i="7"/>
  <c r="H9018" i="7" a="1"/>
  <c r="H9018" i="7" s="1"/>
  <c r="E9018" i="7"/>
  <c r="D9018" i="7"/>
  <c r="E9045" i="7"/>
  <c r="D9045" i="7"/>
  <c r="H9044" i="7" a="1"/>
  <c r="H9044" i="7" s="1"/>
  <c r="E9044" i="7"/>
  <c r="D9044" i="7"/>
  <c r="H9043" i="7" a="1"/>
  <c r="H9043" i="7" s="1"/>
  <c r="E9043" i="7"/>
  <c r="D9043" i="7"/>
  <c r="E9042" i="7"/>
  <c r="D9042" i="7"/>
  <c r="E9041" i="7"/>
  <c r="D9041" i="7"/>
  <c r="H9040" i="7" a="1"/>
  <c r="H9040" i="7" s="1"/>
  <c r="E9040" i="7"/>
  <c r="D9040" i="7"/>
  <c r="H9039" i="7" a="1"/>
  <c r="H9039" i="7" s="1"/>
  <c r="E9039" i="7"/>
  <c r="D9039" i="7"/>
  <c r="E9038" i="7"/>
  <c r="D9038" i="7"/>
  <c r="E9031" i="7" l="1"/>
  <c r="D9031" i="7"/>
  <c r="H9030" i="7" a="1"/>
  <c r="H9030" i="7" s="1"/>
  <c r="E9030" i="7"/>
  <c r="D9030" i="7"/>
  <c r="H9029" i="7" a="1"/>
  <c r="H9029" i="7" s="1"/>
  <c r="E9029" i="7"/>
  <c r="D9029" i="7"/>
  <c r="E9028" i="7"/>
  <c r="D9028" i="7"/>
  <c r="E9027" i="7"/>
  <c r="D9027" i="7"/>
  <c r="H9026" i="7" a="1"/>
  <c r="H9026" i="7" s="1"/>
  <c r="E9026" i="7"/>
  <c r="D9026" i="7"/>
  <c r="H9025" i="7" a="1"/>
  <c r="H9025" i="7" s="1"/>
  <c r="E9025" i="7"/>
  <c r="D9025" i="7"/>
  <c r="E9024" i="7"/>
  <c r="D9024" i="7"/>
  <c r="E9023" i="7"/>
  <c r="D9023" i="7"/>
  <c r="H9022" i="7" a="1"/>
  <c r="H9022" i="7" s="1"/>
  <c r="E9022" i="7"/>
  <c r="D9022" i="7"/>
  <c r="H9021" i="7" a="1"/>
  <c r="H9021" i="7" s="1"/>
  <c r="E9021" i="7"/>
  <c r="D9021" i="7"/>
  <c r="E9020" i="7"/>
  <c r="D9020" i="7"/>
  <c r="H9037" i="7" l="1" a="1"/>
  <c r="H9037" i="7" s="1"/>
  <c r="E9037" i="7"/>
  <c r="D9037" i="7"/>
  <c r="H9036" i="7" a="1"/>
  <c r="H9036" i="7" s="1"/>
  <c r="E9036" i="7"/>
  <c r="D9036" i="7"/>
  <c r="H9035" i="7" a="1"/>
  <c r="H9035" i="7" s="1"/>
  <c r="E9035" i="7"/>
  <c r="D9035" i="7"/>
  <c r="H9034" i="7" l="1" a="1"/>
  <c r="H9034" i="7" s="1"/>
  <c r="E9034" i="7"/>
  <c r="D9034" i="7"/>
  <c r="H9033" i="7" a="1"/>
  <c r="H9033" i="7" s="1"/>
  <c r="E9033" i="7"/>
  <c r="D9033" i="7"/>
  <c r="H9032" i="7" a="1"/>
  <c r="H9032" i="7" s="1"/>
  <c r="E9032" i="7"/>
  <c r="D9032" i="7"/>
  <c r="E8723" i="7" l="1"/>
  <c r="D8723" i="7"/>
  <c r="H8722" i="7" a="1"/>
  <c r="H8722" i="7" s="1"/>
  <c r="E8722" i="7"/>
  <c r="D8722" i="7"/>
  <c r="E8721" i="7"/>
  <c r="D8721" i="7"/>
  <c r="E8720" i="7"/>
  <c r="D8720" i="7"/>
  <c r="H8719" i="7" a="1"/>
  <c r="H8719" i="7" s="1"/>
  <c r="E8719" i="7"/>
  <c r="D8719" i="7"/>
  <c r="E8718" i="7"/>
  <c r="D8718" i="7"/>
  <c r="H9015" i="7" a="1"/>
  <c r="H9015" i="7" s="1"/>
  <c r="E9015" i="7"/>
  <c r="D9015" i="7"/>
  <c r="H9014" i="7" a="1"/>
  <c r="H9014" i="7" s="1"/>
  <c r="E9014" i="7"/>
  <c r="D9014" i="7"/>
  <c r="H9013" i="7" a="1"/>
  <c r="H9013" i="7" s="1"/>
  <c r="E9013" i="7"/>
  <c r="D9013" i="7"/>
  <c r="H9017" i="7" l="1" a="1"/>
  <c r="H9017" i="7" s="1"/>
  <c r="E9017" i="7"/>
  <c r="D9017" i="7"/>
  <c r="H9016" i="7" a="1"/>
  <c r="H9016" i="7" s="1"/>
  <c r="E9016" i="7"/>
  <c r="D9016" i="7"/>
  <c r="H9012" i="7" a="1"/>
  <c r="H9012" i="7" s="1"/>
  <c r="E9012" i="7"/>
  <c r="D9012" i="7"/>
  <c r="H9011" i="7" a="1"/>
  <c r="H9011" i="7" s="1"/>
  <c r="E9011" i="7"/>
  <c r="D9011" i="7"/>
  <c r="H9010" i="7" a="1"/>
  <c r="H9010" i="7" s="1"/>
  <c r="E9010" i="7"/>
  <c r="D9010" i="7"/>
  <c r="H9009" i="7" a="1"/>
  <c r="H9009" i="7" s="1"/>
  <c r="E9009" i="7"/>
  <c r="D9009" i="7"/>
  <c r="H9008" i="7" a="1"/>
  <c r="H9008" i="7" s="1"/>
  <c r="E9008" i="7"/>
  <c r="D9008" i="7"/>
  <c r="H9007" i="7" a="1"/>
  <c r="H9007" i="7" s="1"/>
  <c r="E9007" i="7"/>
  <c r="D9007" i="7"/>
  <c r="H9006" i="7" a="1"/>
  <c r="H9006" i="7" s="1"/>
  <c r="E9006" i="7"/>
  <c r="D9006" i="7"/>
  <c r="H9005" i="7" a="1"/>
  <c r="H9005" i="7" s="1"/>
  <c r="E9005" i="7"/>
  <c r="D9005" i="7"/>
  <c r="H9004" i="7" a="1"/>
  <c r="H9004" i="7" s="1"/>
  <c r="E9004" i="7"/>
  <c r="D9004" i="7"/>
  <c r="H9003" i="7" a="1"/>
  <c r="H9003" i="7" s="1"/>
  <c r="E9003" i="7"/>
  <c r="D9003" i="7"/>
  <c r="H9002" i="7" a="1"/>
  <c r="H9002" i="7" s="1"/>
  <c r="E9002" i="7"/>
  <c r="D9002" i="7"/>
  <c r="H9001" i="7" a="1"/>
  <c r="H9001" i="7" s="1"/>
  <c r="E9001" i="7"/>
  <c r="D9001" i="7"/>
  <c r="H9000" i="7" a="1"/>
  <c r="H9000" i="7" s="1"/>
  <c r="E9000" i="7"/>
  <c r="D9000" i="7"/>
  <c r="H8999" i="7" a="1"/>
  <c r="H8999" i="7" s="1"/>
  <c r="E8999" i="7"/>
  <c r="D8999" i="7"/>
  <c r="H8998" i="7" a="1"/>
  <c r="H8998" i="7" s="1"/>
  <c r="E8998" i="7"/>
  <c r="D8998" i="7"/>
  <c r="H8997" i="7" a="1"/>
  <c r="H8997" i="7" s="1"/>
  <c r="E8997" i="7"/>
  <c r="D8997" i="7"/>
  <c r="H8996" i="7" a="1"/>
  <c r="H8996" i="7" s="1"/>
  <c r="E8996" i="7"/>
  <c r="D8996" i="7"/>
  <c r="H8995" i="7" a="1"/>
  <c r="H8995" i="7" s="1"/>
  <c r="E8995" i="7"/>
  <c r="D8995" i="7"/>
  <c r="E8994" i="7"/>
  <c r="D8994" i="7"/>
  <c r="H8993" i="7" a="1"/>
  <c r="H8993" i="7" s="1"/>
  <c r="E8993" i="7"/>
  <c r="D8993" i="7"/>
  <c r="H8992" i="7" l="1" a="1"/>
  <c r="H8992" i="7" s="1"/>
  <c r="E8992" i="7"/>
  <c r="D8992" i="7"/>
  <c r="H8991" i="7" a="1"/>
  <c r="H8991" i="7" s="1"/>
  <c r="E8991" i="7"/>
  <c r="D8991" i="7"/>
  <c r="D8983" i="7"/>
  <c r="E8983" i="7"/>
  <c r="D8988" i="7"/>
  <c r="E8988" i="7"/>
  <c r="E8990" i="7"/>
  <c r="D8990" i="7"/>
  <c r="H8989" i="7" a="1"/>
  <c r="H8989" i="7" s="1"/>
  <c r="E8989" i="7"/>
  <c r="D8989" i="7"/>
  <c r="H8987" i="7" a="1"/>
  <c r="H8987" i="7" s="1"/>
  <c r="E8987" i="7"/>
  <c r="D8987" i="7"/>
  <c r="E8986" i="7"/>
  <c r="D8986" i="7"/>
  <c r="E8985" i="7"/>
  <c r="D8985" i="7"/>
  <c r="H8984" i="7" a="1"/>
  <c r="H8984" i="7" s="1"/>
  <c r="E8984" i="7"/>
  <c r="D8984" i="7"/>
  <c r="H8982" i="7" a="1"/>
  <c r="H8982" i="7" s="1"/>
  <c r="E8982" i="7"/>
  <c r="D8982" i="7"/>
  <c r="E8981" i="7"/>
  <c r="D8981" i="7"/>
  <c r="H8980" i="7" l="1" a="1"/>
  <c r="H8980" i="7" s="1"/>
  <c r="E8980" i="7"/>
  <c r="D8980" i="7"/>
  <c r="H8979" i="7" a="1"/>
  <c r="H8979" i="7" s="1"/>
  <c r="E8979" i="7"/>
  <c r="D8979" i="7"/>
  <c r="H8978" i="7" a="1"/>
  <c r="H8978" i="7" s="1"/>
  <c r="E8978" i="7"/>
  <c r="D8978" i="7"/>
  <c r="H8977" i="7" a="1"/>
  <c r="H8977" i="7" s="1"/>
  <c r="E8977" i="7"/>
  <c r="D8977" i="7"/>
  <c r="H8976" i="7" a="1"/>
  <c r="H8976" i="7" s="1"/>
  <c r="E8976" i="7"/>
  <c r="D8976" i="7"/>
  <c r="H8975" i="7" a="1"/>
  <c r="H8975" i="7" s="1"/>
  <c r="E8975" i="7"/>
  <c r="D8975" i="7"/>
  <c r="H8974" i="7" a="1"/>
  <c r="H8974" i="7" s="1"/>
  <c r="E8974" i="7"/>
  <c r="D8974" i="7"/>
  <c r="H8973" i="7" a="1"/>
  <c r="H8973" i="7" s="1"/>
  <c r="E8973" i="7"/>
  <c r="D8973" i="7"/>
  <c r="H8972" i="7" a="1"/>
  <c r="H8972" i="7" s="1"/>
  <c r="E8972" i="7"/>
  <c r="D8972" i="7"/>
  <c r="H8971" i="7" a="1"/>
  <c r="H8971" i="7" s="1"/>
  <c r="E8971" i="7"/>
  <c r="D8971" i="7"/>
  <c r="H8970" i="7" a="1"/>
  <c r="H8970" i="7" s="1"/>
  <c r="E8970" i="7"/>
  <c r="D8970" i="7"/>
  <c r="H8969" i="7" l="1" a="1"/>
  <c r="H8969" i="7" s="1"/>
  <c r="E8969" i="7"/>
  <c r="D8969" i="7"/>
  <c r="E8968" i="7"/>
  <c r="D8968" i="7"/>
  <c r="H8967" i="7" a="1"/>
  <c r="H8967" i="7" s="1"/>
  <c r="E8967" i="7"/>
  <c r="D8967" i="7"/>
  <c r="H8963" i="7" a="1"/>
  <c r="H8963" i="7" s="1"/>
  <c r="E8963" i="7"/>
  <c r="D8963" i="7"/>
  <c r="H8962" i="7" a="1"/>
  <c r="H8962" i="7" s="1"/>
  <c r="E8962" i="7"/>
  <c r="D8962" i="7"/>
  <c r="H8961" i="7" a="1"/>
  <c r="H8961" i="7" s="1"/>
  <c r="E8961" i="7"/>
  <c r="D8961" i="7"/>
  <c r="H8960" i="7" a="1"/>
  <c r="H8960" i="7" s="1"/>
  <c r="E8960" i="7"/>
  <c r="D8960" i="7"/>
  <c r="H8966" i="7" a="1"/>
  <c r="H8966" i="7" s="1"/>
  <c r="E8966" i="7"/>
  <c r="D8966" i="7"/>
  <c r="H8965" i="7" a="1"/>
  <c r="H8965" i="7" s="1"/>
  <c r="E8965" i="7"/>
  <c r="D8965" i="7"/>
  <c r="H8964" i="7" a="1"/>
  <c r="H8964" i="7" s="1"/>
  <c r="E8964" i="7"/>
  <c r="D8964" i="7"/>
  <c r="H8959" i="7" a="1"/>
  <c r="H8959" i="7" s="1"/>
  <c r="E8959" i="7"/>
  <c r="D8959" i="7"/>
  <c r="H8958" i="7" a="1"/>
  <c r="H8958" i="7" s="1"/>
  <c r="E8958" i="7"/>
  <c r="D8958" i="7"/>
  <c r="H8957" i="7" a="1"/>
  <c r="H8957" i="7" s="1"/>
  <c r="E8957" i="7"/>
  <c r="D8957" i="7"/>
  <c r="H8956" i="7" l="1" a="1"/>
  <c r="H8956" i="7" s="1"/>
  <c r="E8956" i="7"/>
  <c r="D8956" i="7"/>
  <c r="H8955" i="7" a="1"/>
  <c r="H8955" i="7" s="1"/>
  <c r="E8955" i="7"/>
  <c r="D8955" i="7"/>
  <c r="E8954" i="7"/>
  <c r="D8954" i="7"/>
  <c r="H8953" i="7" a="1"/>
  <c r="H8953" i="7" s="1"/>
  <c r="E8953" i="7"/>
  <c r="D8953" i="7"/>
  <c r="H8952" i="7" a="1"/>
  <c r="H8952" i="7" s="1"/>
  <c r="E8952" i="7"/>
  <c r="D8952" i="7"/>
  <c r="H8951" i="7" a="1"/>
  <c r="H8951" i="7" s="1"/>
  <c r="E8951" i="7"/>
  <c r="D8951" i="7"/>
  <c r="H8950" i="7" a="1"/>
  <c r="H8950" i="7" s="1"/>
  <c r="E8950" i="7"/>
  <c r="D8950" i="7"/>
  <c r="H8949" i="7" a="1"/>
  <c r="H8949" i="7" s="1"/>
  <c r="E8949" i="7"/>
  <c r="D8949" i="7"/>
  <c r="H8948" i="7" a="1"/>
  <c r="H8948" i="7" s="1"/>
  <c r="E8948" i="7"/>
  <c r="D8948" i="7"/>
  <c r="H8947" i="7" a="1"/>
  <c r="H8947" i="7" s="1"/>
  <c r="E8947" i="7"/>
  <c r="D8947" i="7"/>
  <c r="H8946" i="7" a="1"/>
  <c r="H8946" i="7" s="1"/>
  <c r="E8946" i="7"/>
  <c r="D8946" i="7"/>
  <c r="H8945" i="7" a="1"/>
  <c r="H8945" i="7" s="1"/>
  <c r="E8945" i="7"/>
  <c r="D8945" i="7"/>
  <c r="H8944" i="7" a="1"/>
  <c r="H8944" i="7" s="1"/>
  <c r="E8944" i="7"/>
  <c r="D8944" i="7"/>
  <c r="H8943" i="7" a="1"/>
  <c r="H8943" i="7" s="1"/>
  <c r="E8943" i="7"/>
  <c r="D8943" i="7"/>
  <c r="H8942" i="7" a="1"/>
  <c r="H8942" i="7" s="1"/>
  <c r="E8942" i="7"/>
  <c r="D8942" i="7"/>
  <c r="H8941" i="7" a="1"/>
  <c r="H8941" i="7" s="1"/>
  <c r="E8941" i="7"/>
  <c r="D8941" i="7"/>
  <c r="H8940" i="7" a="1"/>
  <c r="H8940" i="7" s="1"/>
  <c r="E8940" i="7"/>
  <c r="D8940" i="7"/>
  <c r="H8939" i="7" a="1"/>
  <c r="H8939" i="7" s="1"/>
  <c r="E8939" i="7"/>
  <c r="D8939" i="7"/>
  <c r="H8938" i="7" a="1"/>
  <c r="H8938" i="7" s="1"/>
  <c r="E8938" i="7"/>
  <c r="D8938" i="7"/>
  <c r="H8937" i="7" a="1"/>
  <c r="H8937" i="7" s="1"/>
  <c r="E8937" i="7"/>
  <c r="D8937" i="7"/>
  <c r="H8931" i="7" a="1"/>
  <c r="H8931" i="7" s="1"/>
  <c r="H8936" i="7" a="1"/>
  <c r="H8936" i="7" s="1"/>
  <c r="E8936" i="7"/>
  <c r="D8936" i="7"/>
  <c r="H8935" i="7" a="1"/>
  <c r="H8935" i="7" s="1"/>
  <c r="E8935" i="7"/>
  <c r="D8935" i="7"/>
  <c r="E8934" i="7"/>
  <c r="D8934" i="7"/>
  <c r="H8933" i="7" a="1"/>
  <c r="H8933" i="7" s="1"/>
  <c r="E8933" i="7"/>
  <c r="D8933" i="7"/>
  <c r="H8927" i="7" l="1" a="1"/>
  <c r="H8927" i="7" s="1"/>
  <c r="E8927" i="7"/>
  <c r="D8927" i="7"/>
  <c r="H8926" i="7" a="1"/>
  <c r="H8926" i="7" s="1"/>
  <c r="E8926" i="7"/>
  <c r="D8926" i="7"/>
  <c r="H8925" i="7" a="1"/>
  <c r="H8925" i="7" s="1"/>
  <c r="E8925" i="7"/>
  <c r="D8925" i="7"/>
  <c r="H8917" i="7" a="1"/>
  <c r="H8917" i="7" s="1"/>
  <c r="E8917" i="7"/>
  <c r="D8917" i="7"/>
  <c r="H8916" i="7" a="1"/>
  <c r="H8916" i="7" s="1"/>
  <c r="E8916" i="7"/>
  <c r="D8916" i="7"/>
  <c r="H8915" i="7" a="1"/>
  <c r="H8915" i="7" s="1"/>
  <c r="E8915" i="7"/>
  <c r="D8915" i="7"/>
  <c r="H8914" i="7" a="1"/>
  <c r="H8914" i="7" s="1"/>
  <c r="E8914" i="7"/>
  <c r="D8914" i="7"/>
  <c r="H8913" i="7" a="1"/>
  <c r="H8913" i="7" s="1"/>
  <c r="E8913" i="7"/>
  <c r="D8913" i="7"/>
  <c r="H8912" i="7" a="1"/>
  <c r="H8912" i="7" s="1"/>
  <c r="E8912" i="7"/>
  <c r="D8912" i="7"/>
  <c r="H8929" i="7" a="1"/>
  <c r="H8929" i="7" s="1"/>
  <c r="E8929" i="7"/>
  <c r="D8929" i="7"/>
  <c r="H8928" i="7" a="1"/>
  <c r="H8928" i="7" s="1"/>
  <c r="E8928" i="7"/>
  <c r="D8928" i="7"/>
  <c r="H8932" i="7" a="1"/>
  <c r="H8932" i="7" s="1"/>
  <c r="E8932" i="7"/>
  <c r="D8932" i="7"/>
  <c r="E8931" i="7"/>
  <c r="D8931" i="7"/>
  <c r="H8930" i="7" a="1"/>
  <c r="H8930" i="7" s="1"/>
  <c r="E8930" i="7"/>
  <c r="D8930" i="7"/>
  <c r="H8924" i="7" l="1" a="1"/>
  <c r="H8924" i="7" s="1"/>
  <c r="E8924" i="7"/>
  <c r="D8924" i="7"/>
  <c r="H8923" i="7" a="1"/>
  <c r="H8923" i="7" s="1"/>
  <c r="E8923" i="7"/>
  <c r="D8923" i="7"/>
  <c r="E8922" i="7"/>
  <c r="D8922" i="7"/>
  <c r="H8921" i="7" a="1"/>
  <c r="H8921" i="7" s="1"/>
  <c r="E8921" i="7"/>
  <c r="D8921" i="7"/>
  <c r="H8920" i="7" a="1"/>
  <c r="H8920" i="7" s="1"/>
  <c r="E8920" i="7"/>
  <c r="D8920" i="7"/>
  <c r="H8919" i="7" a="1"/>
  <c r="H8919" i="7" s="1"/>
  <c r="E8919" i="7"/>
  <c r="D8919" i="7"/>
  <c r="H8918" i="7" a="1"/>
  <c r="H8918" i="7" s="1"/>
  <c r="E8918" i="7"/>
  <c r="D8918" i="7"/>
  <c r="H8911" i="7" l="1" a="1"/>
  <c r="H8911" i="7" s="1"/>
  <c r="E8911" i="7"/>
  <c r="D8911" i="7"/>
  <c r="H8910" i="7" a="1"/>
  <c r="H8910" i="7" s="1"/>
  <c r="E8910" i="7"/>
  <c r="D8910" i="7"/>
  <c r="H8909" i="7" a="1"/>
  <c r="H8909" i="7" s="1"/>
  <c r="E8909" i="7"/>
  <c r="D8909" i="7"/>
  <c r="H8908" i="7" l="1" a="1"/>
  <c r="H8908" i="7" s="1"/>
  <c r="E8908" i="7"/>
  <c r="D8908" i="7"/>
  <c r="H8907" i="7" a="1"/>
  <c r="H8907" i="7" s="1"/>
  <c r="E8907" i="7"/>
  <c r="D8907" i="7"/>
  <c r="H8906" i="7" a="1"/>
  <c r="H8906" i="7" s="1"/>
  <c r="E8906" i="7"/>
  <c r="D8906" i="7"/>
  <c r="H8905" i="7" a="1"/>
  <c r="H8905" i="7" s="1"/>
  <c r="E8905" i="7"/>
  <c r="D8905" i="7"/>
  <c r="H8904" i="7" a="1"/>
  <c r="H8904" i="7" s="1"/>
  <c r="E8904" i="7"/>
  <c r="D8904" i="7"/>
  <c r="H8903" i="7" a="1"/>
  <c r="H8903" i="7" s="1"/>
  <c r="E8903" i="7"/>
  <c r="D8903" i="7"/>
  <c r="H8902" i="7" a="1"/>
  <c r="H8902" i="7" s="1"/>
  <c r="E8902" i="7"/>
  <c r="D8902" i="7"/>
  <c r="H8901" i="7" a="1"/>
  <c r="H8901" i="7" s="1"/>
  <c r="E8901" i="7"/>
  <c r="D8901" i="7"/>
  <c r="H8900" i="7" a="1"/>
  <c r="H8900" i="7" s="1"/>
  <c r="E8900" i="7"/>
  <c r="D8900" i="7"/>
  <c r="H8899" i="7" a="1"/>
  <c r="H8899" i="7" s="1"/>
  <c r="E8899" i="7"/>
  <c r="D8899" i="7"/>
  <c r="H8898" i="7" a="1"/>
  <c r="H8898" i="7" s="1"/>
  <c r="E8898" i="7"/>
  <c r="D8898" i="7"/>
  <c r="H8897" i="7" a="1"/>
  <c r="H8897" i="7" s="1"/>
  <c r="E8897" i="7"/>
  <c r="D8897" i="7"/>
  <c r="H8896" i="7" a="1"/>
  <c r="H8896" i="7" s="1"/>
  <c r="E8896" i="7"/>
  <c r="D8896" i="7"/>
  <c r="H8895" i="7" a="1"/>
  <c r="H8895" i="7" s="1"/>
  <c r="E8895" i="7"/>
  <c r="D8895" i="7"/>
  <c r="H8894" i="7" a="1"/>
  <c r="H8894" i="7" s="1"/>
  <c r="E8894" i="7"/>
  <c r="D8894" i="7"/>
  <c r="H8893" i="7" a="1"/>
  <c r="H8893" i="7" s="1"/>
  <c r="E8893" i="7"/>
  <c r="D8893" i="7"/>
  <c r="H8892" i="7" a="1"/>
  <c r="H8892" i="7" s="1"/>
  <c r="E8892" i="7"/>
  <c r="D8892" i="7"/>
  <c r="H8891" i="7" a="1"/>
  <c r="H8891" i="7" s="1"/>
  <c r="E8891" i="7"/>
  <c r="D8891" i="7"/>
  <c r="H8811" i="7" a="1"/>
  <c r="H8811" i="7" s="1"/>
  <c r="E8811" i="7"/>
  <c r="D8811" i="7"/>
  <c r="H8810" i="7" a="1"/>
  <c r="H8810" i="7" s="1"/>
  <c r="E8810" i="7"/>
  <c r="D8810" i="7"/>
  <c r="H8888" i="7" l="1" a="1"/>
  <c r="H8888" i="7" s="1"/>
  <c r="E8888" i="7"/>
  <c r="D8888" i="7"/>
  <c r="H8887" i="7" a="1"/>
  <c r="H8887" i="7" s="1"/>
  <c r="E8887" i="7"/>
  <c r="D8887" i="7"/>
  <c r="H8890" i="7" a="1"/>
  <c r="H8890" i="7" s="1"/>
  <c r="E8890" i="7"/>
  <c r="D8890" i="7"/>
  <c r="H8889" i="7" a="1"/>
  <c r="H8889" i="7" s="1"/>
  <c r="E8889" i="7"/>
  <c r="D8889" i="7"/>
  <c r="H8859" i="7" a="1"/>
  <c r="H8859" i="7" s="1"/>
  <c r="E8859" i="7"/>
  <c r="D8859" i="7"/>
  <c r="H8858" i="7" a="1"/>
  <c r="H8858" i="7" s="1"/>
  <c r="E8858" i="7"/>
  <c r="D8858" i="7"/>
  <c r="H8857" i="7" a="1"/>
  <c r="H8857" i="7" s="1"/>
  <c r="E8857" i="7"/>
  <c r="D8857" i="7"/>
  <c r="H8886" i="7" a="1"/>
  <c r="H8886" i="7" s="1"/>
  <c r="E8886" i="7"/>
  <c r="D8886" i="7"/>
  <c r="H8885" i="7" a="1"/>
  <c r="H8885" i="7" s="1"/>
  <c r="E8885" i="7"/>
  <c r="D8885" i="7"/>
  <c r="H8884" i="7" a="1"/>
  <c r="H8884" i="7" s="1"/>
  <c r="E8884" i="7"/>
  <c r="D8884" i="7"/>
  <c r="H8883" i="7" a="1"/>
  <c r="H8883" i="7" s="1"/>
  <c r="E8883" i="7"/>
  <c r="D8883" i="7"/>
  <c r="H8882" i="7" a="1"/>
  <c r="H8882" i="7" s="1"/>
  <c r="E8882" i="7"/>
  <c r="D8882" i="7"/>
  <c r="D8876" i="7" l="1"/>
  <c r="E8876" i="7"/>
  <c r="H8881" i="7" a="1"/>
  <c r="H8881" i="7" s="1"/>
  <c r="E8881" i="7"/>
  <c r="D8881" i="7"/>
  <c r="H8880" i="7" a="1"/>
  <c r="H8880" i="7" s="1"/>
  <c r="E8880" i="7"/>
  <c r="D8880" i="7"/>
  <c r="E8879" i="7"/>
  <c r="D8879" i="7"/>
  <c r="H8878" i="7" a="1"/>
  <c r="H8878" i="7" s="1"/>
  <c r="E8878" i="7"/>
  <c r="D8878" i="7"/>
  <c r="H8877" i="7" a="1"/>
  <c r="H8877" i="7" s="1"/>
  <c r="E8877" i="7"/>
  <c r="D8877" i="7"/>
  <c r="H8875" i="7" a="1"/>
  <c r="H8875" i="7" s="1"/>
  <c r="E8875" i="7"/>
  <c r="D8875" i="7"/>
  <c r="H8874" i="7" a="1"/>
  <c r="H8874" i="7" s="1"/>
  <c r="E8874" i="7"/>
  <c r="D8874" i="7"/>
  <c r="H8873" i="7" a="1"/>
  <c r="H8873" i="7" s="1"/>
  <c r="E8873" i="7"/>
  <c r="D8873" i="7"/>
  <c r="E8872" i="7"/>
  <c r="D8872" i="7"/>
  <c r="H8871" i="7" a="1"/>
  <c r="H8871" i="7" s="1"/>
  <c r="E8871" i="7"/>
  <c r="D8871" i="7"/>
  <c r="H8870" i="7" l="1" a="1"/>
  <c r="H8870" i="7" s="1"/>
  <c r="E8870" i="7"/>
  <c r="D8870" i="7"/>
  <c r="H8869" i="7" a="1"/>
  <c r="H8869" i="7" s="1"/>
  <c r="E8869" i="7"/>
  <c r="D8869" i="7"/>
  <c r="H8868" i="7" a="1"/>
  <c r="H8868" i="7" s="1"/>
  <c r="E8868" i="7"/>
  <c r="D8868" i="7"/>
  <c r="H8867" i="7" a="1"/>
  <c r="H8867" i="7" s="1"/>
  <c r="E8867" i="7"/>
  <c r="D8867" i="7"/>
  <c r="H8866" i="7" a="1"/>
  <c r="H8866" i="7" s="1"/>
  <c r="E8866" i="7"/>
  <c r="D8866" i="7"/>
  <c r="H8865" i="7" a="1"/>
  <c r="H8865" i="7" s="1"/>
  <c r="E8865" i="7"/>
  <c r="D8865" i="7"/>
  <c r="E8864" i="7"/>
  <c r="D8864" i="7"/>
  <c r="E8863" i="7"/>
  <c r="D8863" i="7"/>
  <c r="H8862" i="7" a="1"/>
  <c r="H8862" i="7" s="1"/>
  <c r="E8862" i="7"/>
  <c r="D8862" i="7"/>
  <c r="H8861" i="7" l="1" a="1"/>
  <c r="H8861" i="7" s="1"/>
  <c r="E8861" i="7"/>
  <c r="D8861" i="7"/>
  <c r="H8860" i="7" a="1"/>
  <c r="H8860" i="7" s="1"/>
  <c r="E8860" i="7"/>
  <c r="D8860" i="7"/>
  <c r="E8851" i="7"/>
  <c r="D8851" i="7"/>
  <c r="E8850" i="7"/>
  <c r="D8850" i="7"/>
  <c r="H8849" i="7" a="1"/>
  <c r="H8849" i="7" s="1"/>
  <c r="E8849" i="7"/>
  <c r="D8849" i="7"/>
  <c r="H8856" i="7" a="1"/>
  <c r="H8856" i="7" s="1"/>
  <c r="E8856" i="7"/>
  <c r="D8856" i="7"/>
  <c r="H8855" i="7" a="1"/>
  <c r="H8855" i="7" s="1"/>
  <c r="E8855" i="7"/>
  <c r="D8855" i="7"/>
  <c r="H8854" i="7" a="1"/>
  <c r="H8854" i="7" s="1"/>
  <c r="E8854" i="7"/>
  <c r="D8854" i="7"/>
  <c r="H8853" i="7" a="1"/>
  <c r="H8853" i="7" s="1"/>
  <c r="E8853" i="7"/>
  <c r="D8853" i="7"/>
  <c r="H8852" i="7" a="1"/>
  <c r="H8852" i="7" s="1"/>
  <c r="E8852" i="7"/>
  <c r="D8852" i="7"/>
  <c r="H8848" i="7" a="1"/>
  <c r="H8848" i="7" s="1"/>
  <c r="E8848" i="7"/>
  <c r="D8848" i="7"/>
  <c r="H8847" i="7" a="1"/>
  <c r="H8847" i="7" s="1"/>
  <c r="E8847" i="7"/>
  <c r="D8847" i="7"/>
  <c r="H8846" i="7" a="1"/>
  <c r="H8846" i="7" s="1"/>
  <c r="E8846" i="7"/>
  <c r="D8846" i="7"/>
  <c r="H8845" i="7" l="1" a="1"/>
  <c r="H8845" i="7" s="1"/>
  <c r="E8845" i="7"/>
  <c r="D8845" i="7"/>
  <c r="H8844" i="7" a="1"/>
  <c r="H8844" i="7" s="1"/>
  <c r="E8844" i="7"/>
  <c r="D8844" i="7"/>
  <c r="H8843" i="7" a="1"/>
  <c r="H8843" i="7" s="1"/>
  <c r="E8843" i="7"/>
  <c r="D8843" i="7"/>
  <c r="H8842" i="7" a="1"/>
  <c r="H8842" i="7" s="1"/>
  <c r="E8842" i="7"/>
  <c r="D8842" i="7"/>
  <c r="H8841" i="7" a="1"/>
  <c r="H8841" i="7" s="1"/>
  <c r="E8841" i="7"/>
  <c r="D8841" i="7"/>
  <c r="H8840" i="7" a="1"/>
  <c r="H8840" i="7" s="1"/>
  <c r="E8840" i="7"/>
  <c r="D8840" i="7"/>
  <c r="H8839" i="7" a="1"/>
  <c r="H8839" i="7" s="1"/>
  <c r="E8839" i="7"/>
  <c r="D8839" i="7"/>
  <c r="H8838" i="7" a="1"/>
  <c r="H8838" i="7" s="1"/>
  <c r="E8838" i="7"/>
  <c r="D8838" i="7"/>
  <c r="H8837" i="7" a="1"/>
  <c r="H8837" i="7" s="1"/>
  <c r="E8837" i="7"/>
  <c r="D8837" i="7"/>
  <c r="H8836" i="7" a="1"/>
  <c r="H8836" i="7" s="1"/>
  <c r="E8836" i="7"/>
  <c r="D8836" i="7"/>
  <c r="H8835" i="7" a="1"/>
  <c r="H8835" i="7" s="1"/>
  <c r="E8835" i="7"/>
  <c r="D8835" i="7"/>
  <c r="H8834" i="7" a="1"/>
  <c r="H8834" i="7" s="1"/>
  <c r="E8834" i="7"/>
  <c r="D8834" i="7"/>
  <c r="H8833" i="7" a="1"/>
  <c r="H8833" i="7" s="1"/>
  <c r="E8833" i="7"/>
  <c r="D8833" i="7"/>
  <c r="H8832" i="7" a="1"/>
  <c r="H8832" i="7" s="1"/>
  <c r="E8832" i="7"/>
  <c r="D8832" i="7"/>
  <c r="H8831" i="7" a="1"/>
  <c r="H8831" i="7" s="1"/>
  <c r="E8831" i="7"/>
  <c r="D8831" i="7"/>
  <c r="H8830" i="7" a="1"/>
  <c r="H8830" i="7" s="1"/>
  <c r="E8830" i="7"/>
  <c r="D8830" i="7"/>
  <c r="H8819" i="7" a="1"/>
  <c r="H8819" i="7" s="1"/>
  <c r="E8819" i="7"/>
  <c r="D8819" i="7"/>
  <c r="H8818" i="7" a="1"/>
  <c r="H8818" i="7" s="1"/>
  <c r="E8818" i="7"/>
  <c r="D8818" i="7"/>
  <c r="E8817" i="7"/>
  <c r="D8817" i="7"/>
  <c r="H8816" i="7" a="1"/>
  <c r="H8816" i="7" s="1"/>
  <c r="E8816" i="7"/>
  <c r="D8816" i="7"/>
  <c r="H8829" i="7" a="1"/>
  <c r="H8829" i="7" s="1"/>
  <c r="E8829" i="7"/>
  <c r="D8829" i="7"/>
  <c r="H8828" i="7" a="1"/>
  <c r="H8828" i="7" s="1"/>
  <c r="E8828" i="7"/>
  <c r="D8828" i="7"/>
  <c r="H8827" i="7" a="1"/>
  <c r="H8827" i="7" s="1"/>
  <c r="E8827" i="7"/>
  <c r="D8827" i="7"/>
  <c r="H8826" i="7" a="1"/>
  <c r="H8826" i="7" s="1"/>
  <c r="E8826" i="7"/>
  <c r="D8826" i="7"/>
  <c r="E8825" i="7"/>
  <c r="D8825" i="7"/>
  <c r="H8824" i="7" a="1"/>
  <c r="H8824" i="7" s="1"/>
  <c r="E8824" i="7"/>
  <c r="D8824" i="7"/>
  <c r="H8823" i="7" a="1"/>
  <c r="H8823" i="7" s="1"/>
  <c r="E8823" i="7"/>
  <c r="D8823" i="7"/>
  <c r="H8822" i="7" a="1"/>
  <c r="H8822" i="7" s="1"/>
  <c r="E8822" i="7"/>
  <c r="D8822" i="7"/>
  <c r="E8821" i="7"/>
  <c r="D8821" i="7"/>
  <c r="H8820" i="7" a="1"/>
  <c r="H8820" i="7" s="1"/>
  <c r="E8820" i="7"/>
  <c r="D8820" i="7"/>
  <c r="H8815" i="7" l="1" a="1"/>
  <c r="H8815" i="7" s="1"/>
  <c r="E8815" i="7"/>
  <c r="D8815" i="7"/>
  <c r="H8814" i="7" a="1"/>
  <c r="H8814" i="7" s="1"/>
  <c r="E8814" i="7"/>
  <c r="D8814" i="7"/>
  <c r="E8809" i="7"/>
  <c r="D8809" i="7"/>
  <c r="E8808" i="7"/>
  <c r="D8808" i="7"/>
  <c r="H8807" i="7" a="1"/>
  <c r="H8807" i="7" s="1"/>
  <c r="E8807" i="7"/>
  <c r="D8807" i="7"/>
  <c r="E8806" i="7"/>
  <c r="D8806" i="7"/>
  <c r="E8805" i="7"/>
  <c r="D8805" i="7"/>
  <c r="H8804" i="7" a="1"/>
  <c r="H8804" i="7" s="1"/>
  <c r="E8804" i="7"/>
  <c r="D8804" i="7"/>
  <c r="H8813" i="7" a="1"/>
  <c r="H8813" i="7" s="1"/>
  <c r="E8813" i="7"/>
  <c r="D8813" i="7"/>
  <c r="H8812" i="7" a="1"/>
  <c r="H8812" i="7" s="1"/>
  <c r="E8812" i="7"/>
  <c r="D8812" i="7"/>
  <c r="H8803" i="7" a="1"/>
  <c r="H8803" i="7" s="1"/>
  <c r="E8803" i="7"/>
  <c r="D8803" i="7"/>
  <c r="H8802" i="7" a="1"/>
  <c r="H8802" i="7" s="1"/>
  <c r="E8802" i="7"/>
  <c r="D8802" i="7"/>
  <c r="H8801" i="7" l="1" a="1"/>
  <c r="H8801" i="7" s="1"/>
  <c r="E8801" i="7"/>
  <c r="D8801" i="7"/>
  <c r="H8800" i="7" a="1"/>
  <c r="H8800" i="7" s="1"/>
  <c r="E8800" i="7"/>
  <c r="D8800" i="7"/>
  <c r="E8799" i="7"/>
  <c r="D8799" i="7"/>
  <c r="H8798" i="7" a="1"/>
  <c r="H8798" i="7" s="1"/>
  <c r="E8798" i="7"/>
  <c r="D8798" i="7"/>
  <c r="H8797" i="7" a="1"/>
  <c r="H8797" i="7" s="1"/>
  <c r="E8797" i="7"/>
  <c r="D8797" i="7"/>
  <c r="H8796" i="7" a="1"/>
  <c r="H8796" i="7" s="1"/>
  <c r="E8796" i="7"/>
  <c r="D8796" i="7"/>
  <c r="E8795" i="7"/>
  <c r="D8795" i="7"/>
  <c r="H8794" i="7" a="1"/>
  <c r="H8794" i="7" s="1"/>
  <c r="E8794" i="7"/>
  <c r="D8794" i="7"/>
  <c r="H8793" i="7" a="1"/>
  <c r="H8793" i="7" s="1"/>
  <c r="E8793" i="7"/>
  <c r="D8793" i="7"/>
  <c r="H8792" i="7" a="1"/>
  <c r="H8792" i="7" s="1"/>
  <c r="E8792" i="7"/>
  <c r="D8792" i="7"/>
  <c r="H8791" i="7" a="1"/>
  <c r="H8791" i="7" s="1"/>
  <c r="E8791" i="7"/>
  <c r="D8791" i="7"/>
  <c r="H8790" i="7" a="1"/>
  <c r="H8790" i="7" s="1"/>
  <c r="E8790" i="7"/>
  <c r="D8790" i="7"/>
  <c r="H8789" i="7" a="1"/>
  <c r="H8789" i="7" s="1"/>
  <c r="E8789" i="7"/>
  <c r="D8789" i="7"/>
  <c r="H8689" i="7" l="1" a="1"/>
  <c r="H8689" i="7" s="1"/>
  <c r="E8689" i="7"/>
  <c r="D8689" i="7"/>
  <c r="H8688" i="7" a="1"/>
  <c r="H8688" i="7" s="1"/>
  <c r="E8688" i="7"/>
  <c r="D8688" i="7"/>
  <c r="H8772" i="7" a="1"/>
  <c r="H8772" i="7" s="1"/>
  <c r="E8772" i="7"/>
  <c r="D8772" i="7"/>
  <c r="H8771" i="7" a="1"/>
  <c r="H8771" i="7" s="1"/>
  <c r="E8771" i="7"/>
  <c r="D8771" i="7"/>
  <c r="E8770" i="7" l="1"/>
  <c r="D8770" i="7"/>
  <c r="H8769" i="7" a="1"/>
  <c r="H8769" i="7" s="1"/>
  <c r="E8769" i="7"/>
  <c r="D8769" i="7"/>
  <c r="H8768" i="7" a="1"/>
  <c r="H8768" i="7" s="1"/>
  <c r="E8768" i="7"/>
  <c r="D8768" i="7"/>
  <c r="E8767" i="7"/>
  <c r="D8767" i="7"/>
  <c r="H8788" i="7" a="1"/>
  <c r="H8788" i="7" s="1"/>
  <c r="E8788" i="7"/>
  <c r="D8788" i="7"/>
  <c r="H8787" i="7" a="1"/>
  <c r="H8787" i="7" s="1"/>
  <c r="E8787" i="7"/>
  <c r="D8787" i="7"/>
  <c r="H8786" i="7" a="1"/>
  <c r="H8786" i="7" s="1"/>
  <c r="E8786" i="7"/>
  <c r="D8786" i="7"/>
  <c r="H8785" i="7" a="1"/>
  <c r="H8785" i="7" s="1"/>
  <c r="E8785" i="7"/>
  <c r="D8785" i="7"/>
  <c r="H8784" i="7" a="1"/>
  <c r="H8784" i="7" s="1"/>
  <c r="E8784" i="7"/>
  <c r="D8784" i="7"/>
  <c r="H8783" i="7" a="1"/>
  <c r="H8783" i="7" s="1"/>
  <c r="E8783" i="7"/>
  <c r="D8783" i="7"/>
  <c r="H8782" i="7" a="1"/>
  <c r="H8782" i="7" s="1"/>
  <c r="E8782" i="7"/>
  <c r="D8782" i="7"/>
  <c r="H8781" i="7" a="1"/>
  <c r="H8781" i="7" s="1"/>
  <c r="E8781" i="7"/>
  <c r="D8781" i="7"/>
  <c r="H8780" i="7" a="1"/>
  <c r="H8780" i="7" s="1"/>
  <c r="E8780" i="7"/>
  <c r="D8780" i="7"/>
  <c r="H8779" i="7" a="1"/>
  <c r="H8779" i="7" s="1"/>
  <c r="E8779" i="7"/>
  <c r="D8779" i="7"/>
  <c r="H8778" i="7" a="1"/>
  <c r="H8778" i="7" s="1"/>
  <c r="E8778" i="7"/>
  <c r="D8778" i="7"/>
  <c r="H8777" i="7" a="1"/>
  <c r="H8777" i="7" s="1"/>
  <c r="E8777" i="7"/>
  <c r="D8777" i="7"/>
  <c r="H8776" i="7" a="1"/>
  <c r="H8776" i="7" s="1"/>
  <c r="E8776" i="7"/>
  <c r="D8776" i="7"/>
  <c r="H8775" i="7" a="1"/>
  <c r="H8775" i="7" s="1"/>
  <c r="E8775" i="7"/>
  <c r="D8775" i="7"/>
  <c r="H8774" i="7" a="1"/>
  <c r="H8774" i="7" s="1"/>
  <c r="E8774" i="7"/>
  <c r="D8774" i="7"/>
  <c r="H8773" i="7" a="1"/>
  <c r="H8773" i="7" s="1"/>
  <c r="E8773" i="7"/>
  <c r="D8773" i="7"/>
  <c r="H8752" i="7" a="1"/>
  <c r="H8752" i="7" s="1"/>
  <c r="E8752" i="7"/>
  <c r="D8752" i="7"/>
  <c r="H8751" i="7" a="1"/>
  <c r="H8751" i="7" s="1"/>
  <c r="E8751" i="7"/>
  <c r="D8751" i="7"/>
  <c r="E8750" i="7"/>
  <c r="D8750" i="7"/>
  <c r="H8749" i="7" a="1"/>
  <c r="H8749" i="7" s="1"/>
  <c r="E8749" i="7"/>
  <c r="D8749" i="7"/>
  <c r="H8766" i="7" l="1" a="1"/>
  <c r="H8766" i="7" s="1"/>
  <c r="E8766" i="7"/>
  <c r="D8766" i="7"/>
  <c r="H8765" i="7" a="1"/>
  <c r="H8765" i="7" s="1"/>
  <c r="E8765" i="7"/>
  <c r="D8765" i="7"/>
  <c r="H8764" i="7" a="1"/>
  <c r="H8764" i="7" s="1"/>
  <c r="E8764" i="7"/>
  <c r="D8764" i="7"/>
  <c r="H8763" i="7" a="1"/>
  <c r="H8763" i="7" s="1"/>
  <c r="E8763" i="7"/>
  <c r="D8763" i="7"/>
  <c r="H8762" i="7" a="1"/>
  <c r="H8762" i="7" s="1"/>
  <c r="E8762" i="7"/>
  <c r="D8762" i="7"/>
  <c r="H8761" i="7" a="1"/>
  <c r="H8761" i="7" s="1"/>
  <c r="E8761" i="7"/>
  <c r="D8761" i="7"/>
  <c r="E8760" i="7"/>
  <c r="D8760" i="7"/>
  <c r="H8759" i="7" a="1"/>
  <c r="H8759" i="7" s="1"/>
  <c r="E8759" i="7"/>
  <c r="D8759" i="7"/>
  <c r="H8758" i="7" l="1" a="1"/>
  <c r="H8758" i="7" s="1"/>
  <c r="E8758" i="7"/>
  <c r="D8758" i="7"/>
  <c r="H8757" i="7" a="1"/>
  <c r="H8757" i="7" s="1"/>
  <c r="E8757" i="7"/>
  <c r="D8757" i="7"/>
  <c r="H8754" i="7" a="1"/>
  <c r="H8754" i="7" s="1"/>
  <c r="E8754" i="7"/>
  <c r="D8754" i="7"/>
  <c r="H8753" i="7" a="1"/>
  <c r="H8753" i="7" s="1"/>
  <c r="E8753" i="7"/>
  <c r="D8753" i="7"/>
  <c r="H8756" i="7" a="1"/>
  <c r="H8756" i="7" s="1"/>
  <c r="E8756" i="7"/>
  <c r="D8756" i="7"/>
  <c r="H8755" i="7" a="1"/>
  <c r="H8755" i="7" s="1"/>
  <c r="E8755" i="7"/>
  <c r="D8755" i="7"/>
  <c r="H8745" i="7" l="1" a="1"/>
  <c r="H8745" i="7" s="1"/>
  <c r="E8745" i="7"/>
  <c r="D8745" i="7"/>
  <c r="H8744" i="7" a="1"/>
  <c r="H8744" i="7" s="1"/>
  <c r="E8744" i="7"/>
  <c r="D8744" i="7"/>
  <c r="E8743" i="7"/>
  <c r="D8743" i="7"/>
  <c r="H8742" i="7" a="1"/>
  <c r="H8742" i="7" s="1"/>
  <c r="E8742" i="7"/>
  <c r="D8742" i="7"/>
  <c r="H8748" i="7" a="1"/>
  <c r="H8748" i="7" s="1"/>
  <c r="E8748" i="7"/>
  <c r="D8748" i="7"/>
  <c r="H8747" i="7" a="1"/>
  <c r="H8747" i="7" s="1"/>
  <c r="E8747" i="7"/>
  <c r="D8747" i="7"/>
  <c r="H8746" i="7" a="1"/>
  <c r="H8746" i="7" s="1"/>
  <c r="E8746" i="7"/>
  <c r="D8746" i="7"/>
  <c r="D8736" i="7"/>
  <c r="E8736" i="7"/>
  <c r="D8731" i="7"/>
  <c r="E8731" i="7"/>
  <c r="E8738" i="7" l="1"/>
  <c r="D8738" i="7"/>
  <c r="H8737" i="7" a="1"/>
  <c r="H8737" i="7" s="1"/>
  <c r="E8737" i="7"/>
  <c r="D8737" i="7"/>
  <c r="H8735" i="7" a="1"/>
  <c r="H8735" i="7" s="1"/>
  <c r="E8735" i="7"/>
  <c r="D8735" i="7"/>
  <c r="E8734" i="7"/>
  <c r="D8734" i="7"/>
  <c r="E8733" i="7"/>
  <c r="D8733" i="7"/>
  <c r="H8732" i="7" a="1"/>
  <c r="H8732" i="7" s="1"/>
  <c r="E8732" i="7"/>
  <c r="D8732" i="7"/>
  <c r="H8730" i="7" a="1"/>
  <c r="H8730" i="7" s="1"/>
  <c r="E8730" i="7"/>
  <c r="D8730" i="7"/>
  <c r="E8729" i="7"/>
  <c r="D8729" i="7"/>
  <c r="H8728" i="7" a="1"/>
  <c r="H8728" i="7" s="1"/>
  <c r="E8728" i="7"/>
  <c r="D8728" i="7"/>
  <c r="H8727" i="7" a="1"/>
  <c r="H8727" i="7" s="1"/>
  <c r="E8727" i="7"/>
  <c r="D8727" i="7"/>
  <c r="H8741" i="7" a="1"/>
  <c r="H8741" i="7" s="1"/>
  <c r="E8741" i="7"/>
  <c r="D8741" i="7"/>
  <c r="H8740" i="7" a="1"/>
  <c r="H8740" i="7" s="1"/>
  <c r="E8740" i="7"/>
  <c r="D8740" i="7"/>
  <c r="H8739" i="7" a="1"/>
  <c r="H8739" i="7" s="1"/>
  <c r="E8739" i="7"/>
  <c r="D8739" i="7"/>
  <c r="H8726" i="7" a="1"/>
  <c r="H8726" i="7" s="1"/>
  <c r="E8726" i="7"/>
  <c r="D8726" i="7"/>
  <c r="H8725" i="7" a="1"/>
  <c r="H8725" i="7" s="1"/>
  <c r="E8725" i="7"/>
  <c r="D8725" i="7"/>
  <c r="H8724" i="7" a="1"/>
  <c r="H8724" i="7" s="1"/>
  <c r="E8724" i="7"/>
  <c r="D8724" i="7"/>
  <c r="H8717" i="7" l="1" a="1"/>
  <c r="H8717" i="7" s="1"/>
  <c r="E8717" i="7"/>
  <c r="D8717" i="7"/>
  <c r="H8716" i="7" a="1"/>
  <c r="H8716" i="7" s="1"/>
  <c r="E8716" i="7"/>
  <c r="D8716" i="7"/>
  <c r="H8715" i="7" a="1"/>
  <c r="H8715" i="7" s="1"/>
  <c r="E8715" i="7"/>
  <c r="D8715" i="7"/>
  <c r="H8714" i="7" a="1"/>
  <c r="H8714" i="7" s="1"/>
  <c r="E8714" i="7"/>
  <c r="D8714" i="7"/>
  <c r="H8713" i="7" a="1"/>
  <c r="H8713" i="7" s="1"/>
  <c r="E8713" i="7"/>
  <c r="D8713" i="7"/>
  <c r="H8712" i="7" a="1"/>
  <c r="H8712" i="7" s="1"/>
  <c r="E8712" i="7"/>
  <c r="D8712" i="7"/>
  <c r="H8711" i="7" a="1"/>
  <c r="H8711" i="7" s="1"/>
  <c r="E8711" i="7"/>
  <c r="D8711" i="7"/>
  <c r="H8710" i="7" a="1"/>
  <c r="H8710" i="7" s="1"/>
  <c r="E8710" i="7"/>
  <c r="D8710" i="7"/>
  <c r="H8709" i="7" a="1"/>
  <c r="H8709" i="7" s="1"/>
  <c r="E8709" i="7"/>
  <c r="D8709" i="7"/>
  <c r="H8708" i="7" a="1"/>
  <c r="H8708" i="7" s="1"/>
  <c r="E8708" i="7"/>
  <c r="D8708" i="7"/>
  <c r="H8707" i="7" a="1"/>
  <c r="H8707" i="7" s="1"/>
  <c r="E8707" i="7"/>
  <c r="D8707" i="7"/>
  <c r="H8706" i="7" a="1"/>
  <c r="H8706" i="7" s="1"/>
  <c r="E8706" i="7"/>
  <c r="D8706" i="7"/>
  <c r="H8705" i="7" a="1"/>
  <c r="H8705" i="7" s="1"/>
  <c r="E8705" i="7"/>
  <c r="D8705" i="7"/>
  <c r="H8704" i="7" a="1"/>
  <c r="H8704" i="7" s="1"/>
  <c r="E8704" i="7"/>
  <c r="D8704" i="7"/>
  <c r="H8703" i="7" a="1"/>
  <c r="H8703" i="7" s="1"/>
  <c r="E8703" i="7"/>
  <c r="D8703" i="7"/>
  <c r="H8702" i="7" a="1"/>
  <c r="H8702" i="7" s="1"/>
  <c r="E8702" i="7"/>
  <c r="D8702" i="7"/>
  <c r="H8698" i="7" l="1" a="1"/>
  <c r="H8698" i="7" s="1"/>
  <c r="E8698" i="7"/>
  <c r="D8698" i="7"/>
  <c r="H8697" i="7" a="1"/>
  <c r="H8697" i="7" s="1"/>
  <c r="E8697" i="7"/>
  <c r="D8697" i="7"/>
  <c r="E8696" i="7"/>
  <c r="D8696" i="7"/>
  <c r="H8695" i="7" a="1"/>
  <c r="H8695" i="7" s="1"/>
  <c r="E8695" i="7"/>
  <c r="D8695" i="7"/>
  <c r="H8694" i="7" l="1" a="1"/>
  <c r="H8694" i="7" s="1"/>
  <c r="E8694" i="7"/>
  <c r="D8694" i="7"/>
  <c r="H8693" i="7" a="1"/>
  <c r="H8693" i="7" s="1"/>
  <c r="E8693" i="7"/>
  <c r="D8693" i="7"/>
  <c r="H8692" i="7" l="1" a="1"/>
  <c r="H8692" i="7" s="1"/>
  <c r="E8692" i="7"/>
  <c r="D8692" i="7"/>
  <c r="E8691" i="7"/>
  <c r="D8691" i="7"/>
  <c r="H8690" i="7" a="1"/>
  <c r="H8690" i="7" s="1"/>
  <c r="E8690" i="7"/>
  <c r="D8690" i="7"/>
  <c r="H8701" i="7" a="1"/>
  <c r="H8701" i="7" s="1"/>
  <c r="E8701" i="7"/>
  <c r="D8701" i="7"/>
  <c r="H8700" i="7" a="1"/>
  <c r="H8700" i="7" s="1"/>
  <c r="E8700" i="7"/>
  <c r="D8700" i="7"/>
  <c r="H8699" i="7" a="1"/>
  <c r="H8699" i="7" s="1"/>
  <c r="E8699" i="7"/>
  <c r="D8699" i="7"/>
  <c r="E8656" i="7"/>
  <c r="D8656" i="7"/>
  <c r="H8655" i="7" a="1"/>
  <c r="H8655" i="7" s="1"/>
  <c r="E8655" i="7"/>
  <c r="D8655" i="7"/>
  <c r="H8654" i="7" a="1"/>
  <c r="H8654" i="7" s="1"/>
  <c r="E8654" i="7"/>
  <c r="D8654" i="7"/>
  <c r="E8653" i="7"/>
  <c r="D8653" i="7"/>
  <c r="H8687" i="7" a="1"/>
  <c r="H8687" i="7" s="1"/>
  <c r="E8687" i="7"/>
  <c r="D8687" i="7"/>
  <c r="H8686" i="7" a="1"/>
  <c r="H8686" i="7" s="1"/>
  <c r="E8686" i="7"/>
  <c r="D8686" i="7"/>
  <c r="H8685" i="7" a="1"/>
  <c r="H8685" i="7" s="1"/>
  <c r="E8685" i="7"/>
  <c r="D8685" i="7"/>
  <c r="H8684" i="7" a="1"/>
  <c r="H8684" i="7" s="1"/>
  <c r="E8684" i="7"/>
  <c r="D8684" i="7"/>
  <c r="H8680" i="7" l="1" a="1"/>
  <c r="H8680" i="7" s="1"/>
  <c r="E8680" i="7"/>
  <c r="D8680" i="7"/>
  <c r="H8679" i="7" a="1"/>
  <c r="H8679" i="7" s="1"/>
  <c r="E8679" i="7"/>
  <c r="D8679" i="7"/>
  <c r="H8652" i="7" a="1"/>
  <c r="H8652" i="7" s="1"/>
  <c r="E8652" i="7"/>
  <c r="D8652" i="7"/>
  <c r="H8651" i="7" a="1"/>
  <c r="H8651" i="7" s="1"/>
  <c r="E8651" i="7"/>
  <c r="D8651" i="7"/>
  <c r="H8683" i="7" a="1"/>
  <c r="H8683" i="7" s="1"/>
  <c r="E8683" i="7"/>
  <c r="D8683" i="7"/>
  <c r="H8682" i="7" a="1"/>
  <c r="H8682" i="7" s="1"/>
  <c r="E8682" i="7"/>
  <c r="D8682" i="7"/>
  <c r="H8681" i="7" a="1"/>
  <c r="H8681" i="7" s="1"/>
  <c r="E8681" i="7"/>
  <c r="D8681" i="7"/>
  <c r="H8678" i="7" a="1"/>
  <c r="H8678" i="7" s="1"/>
  <c r="E8678" i="7"/>
  <c r="D8678" i="7"/>
  <c r="H8677" i="7" a="1"/>
  <c r="H8677" i="7" s="1"/>
  <c r="E8677" i="7"/>
  <c r="D8677" i="7"/>
  <c r="H8676" i="7" a="1"/>
  <c r="H8676" i="7" s="1"/>
  <c r="E8676" i="7"/>
  <c r="D8676" i="7"/>
  <c r="H8675" i="7" a="1"/>
  <c r="H8675" i="7" s="1"/>
  <c r="E8675" i="7"/>
  <c r="D8675" i="7"/>
  <c r="H8674" i="7" a="1"/>
  <c r="H8674" i="7" s="1"/>
  <c r="E8674" i="7"/>
  <c r="D8674" i="7"/>
  <c r="H8673" i="7" a="1"/>
  <c r="H8673" i="7" s="1"/>
  <c r="E8673" i="7"/>
  <c r="D8673" i="7"/>
  <c r="H8672" i="7" l="1" a="1"/>
  <c r="H8672" i="7" s="1"/>
  <c r="E8672" i="7"/>
  <c r="D8672" i="7"/>
  <c r="H8671" i="7" a="1"/>
  <c r="H8671" i="7" s="1"/>
  <c r="E8671" i="7"/>
  <c r="D8671" i="7"/>
  <c r="H8670" i="7" a="1"/>
  <c r="H8670" i="7" s="1"/>
  <c r="E8670" i="7"/>
  <c r="D8670" i="7"/>
  <c r="H8669" i="7" a="1"/>
  <c r="H8669" i="7" s="1"/>
  <c r="E8669" i="7"/>
  <c r="D8669" i="7"/>
  <c r="H8668" i="7" a="1"/>
  <c r="H8668" i="7" s="1"/>
  <c r="E8668" i="7"/>
  <c r="D8668" i="7"/>
  <c r="H8667" i="7" a="1"/>
  <c r="H8667" i="7" s="1"/>
  <c r="E8667" i="7"/>
  <c r="D8667" i="7"/>
  <c r="H8666" i="7" a="1"/>
  <c r="H8666" i="7" s="1"/>
  <c r="E8666" i="7"/>
  <c r="D8666" i="7"/>
  <c r="H8665" i="7" a="1"/>
  <c r="H8665" i="7" s="1"/>
  <c r="E8665" i="7"/>
  <c r="D8665" i="7"/>
  <c r="H8664" i="7" a="1"/>
  <c r="H8664" i="7" s="1"/>
  <c r="E8664" i="7"/>
  <c r="D8664" i="7"/>
  <c r="H8663" i="7" a="1"/>
  <c r="H8663" i="7" s="1"/>
  <c r="E8663" i="7"/>
  <c r="D8663" i="7"/>
  <c r="H8662" i="7" a="1"/>
  <c r="H8662" i="7" s="1"/>
  <c r="E8662" i="7"/>
  <c r="D8662" i="7"/>
  <c r="H8661" i="7" a="1"/>
  <c r="H8661" i="7" s="1"/>
  <c r="E8661" i="7"/>
  <c r="D8661" i="7"/>
  <c r="H8660" i="7" a="1"/>
  <c r="H8660" i="7" s="1"/>
  <c r="E8660" i="7"/>
  <c r="D8660" i="7"/>
  <c r="H8659" i="7" a="1"/>
  <c r="H8659" i="7" s="1"/>
  <c r="E8659" i="7"/>
  <c r="D8659" i="7"/>
  <c r="H8658" i="7" a="1"/>
  <c r="H8658" i="7" s="1"/>
  <c r="E8658" i="7"/>
  <c r="D8658" i="7"/>
  <c r="H8657" i="7" a="1"/>
  <c r="H8657" i="7" s="1"/>
  <c r="E8657" i="7"/>
  <c r="D8657" i="7"/>
  <c r="E8647" i="7"/>
  <c r="D8647" i="7"/>
  <c r="H8646" i="7" a="1"/>
  <c r="H8646" i="7" s="1"/>
  <c r="E8646" i="7"/>
  <c r="D8646" i="7"/>
  <c r="H8645" i="7" a="1"/>
  <c r="H8645" i="7" s="1"/>
  <c r="E8645" i="7"/>
  <c r="D8645" i="7"/>
  <c r="E8644" i="7"/>
  <c r="D8644" i="7"/>
  <c r="E8643" i="7"/>
  <c r="D8643" i="7"/>
  <c r="H8642" i="7" a="1"/>
  <c r="H8642" i="7" s="1"/>
  <c r="E8642" i="7"/>
  <c r="D8642" i="7"/>
  <c r="H8641" i="7" a="1"/>
  <c r="H8641" i="7" s="1"/>
  <c r="E8641" i="7"/>
  <c r="D8641" i="7"/>
  <c r="E8640" i="7"/>
  <c r="D8640" i="7"/>
  <c r="H8650" i="7" l="1" a="1"/>
  <c r="H8650" i="7" s="1"/>
  <c r="E8650" i="7"/>
  <c r="D8650" i="7"/>
  <c r="H8649" i="7" a="1"/>
  <c r="H8649" i="7" s="1"/>
  <c r="E8649" i="7"/>
  <c r="D8649" i="7"/>
  <c r="H8648" i="7" a="1"/>
  <c r="H8648" i="7" s="1"/>
  <c r="E8648" i="7"/>
  <c r="D8648" i="7"/>
  <c r="H8639" i="7" a="1"/>
  <c r="H8639" i="7" s="1"/>
  <c r="E8639" i="7"/>
  <c r="D8639" i="7"/>
  <c r="H8638" i="7" a="1"/>
  <c r="H8638" i="7" s="1"/>
  <c r="E8638" i="7"/>
  <c r="D8638" i="7"/>
  <c r="E8637" i="7"/>
  <c r="D8637" i="7"/>
  <c r="H8636" i="7" a="1"/>
  <c r="H8636" i="7" s="1"/>
  <c r="E8636" i="7"/>
  <c r="D8636" i="7"/>
  <c r="H8635" i="7" a="1"/>
  <c r="H8635" i="7" s="1"/>
  <c r="E8635" i="7"/>
  <c r="D8635" i="7"/>
  <c r="H8634" i="7" a="1"/>
  <c r="H8634" i="7" s="1"/>
  <c r="E8634" i="7"/>
  <c r="D8634" i="7"/>
  <c r="E8633" i="7"/>
  <c r="D8633" i="7"/>
  <c r="H8632" i="7" a="1"/>
  <c r="H8632" i="7" s="1"/>
  <c r="E8632" i="7"/>
  <c r="D8632" i="7"/>
  <c r="H8631" i="7" l="1" a="1"/>
  <c r="H8631" i="7" s="1"/>
  <c r="E8631" i="7"/>
  <c r="D8631" i="7"/>
  <c r="H8630" i="7" a="1"/>
  <c r="H8630" i="7" s="1"/>
  <c r="E8630" i="7"/>
  <c r="D8630" i="7"/>
  <c r="H8629" i="7" a="1"/>
  <c r="H8629" i="7" s="1"/>
  <c r="E8629" i="7"/>
  <c r="D8629" i="7"/>
  <c r="H8628" i="7" a="1"/>
  <c r="H8628" i="7" s="1"/>
  <c r="E8628" i="7"/>
  <c r="D8628" i="7"/>
  <c r="H8627" i="7" a="1"/>
  <c r="H8627" i="7" s="1"/>
  <c r="E8627" i="7"/>
  <c r="D8627" i="7"/>
  <c r="H8626" i="7" a="1"/>
  <c r="H8626" i="7" s="1"/>
  <c r="E8626" i="7"/>
  <c r="D8626" i="7"/>
  <c r="H8625" i="7" a="1"/>
  <c r="H8625" i="7" s="1"/>
  <c r="E8625" i="7"/>
  <c r="D8625" i="7"/>
  <c r="H8624" i="7" a="1"/>
  <c r="H8624" i="7" s="1"/>
  <c r="E8624" i="7"/>
  <c r="D8624" i="7"/>
  <c r="H8623" i="7" a="1"/>
  <c r="H8623" i="7" s="1"/>
  <c r="E8623" i="7"/>
  <c r="D8623" i="7"/>
  <c r="H8622" i="7" a="1"/>
  <c r="H8622" i="7" s="1"/>
  <c r="E8622" i="7"/>
  <c r="D8622" i="7"/>
  <c r="H8621" i="7" a="1"/>
  <c r="H8621" i="7" s="1"/>
  <c r="E8621" i="7"/>
  <c r="D8621" i="7"/>
  <c r="H8620" i="7" a="1"/>
  <c r="H8620" i="7" s="1"/>
  <c r="E8620" i="7"/>
  <c r="D8620" i="7"/>
  <c r="H8619" i="7" a="1"/>
  <c r="H8619" i="7" s="1"/>
  <c r="E8619" i="7"/>
  <c r="D8619" i="7"/>
  <c r="H8618" i="7" a="1"/>
  <c r="H8618" i="7" s="1"/>
  <c r="E8618" i="7"/>
  <c r="D8618" i="7"/>
  <c r="H8617" i="7" a="1"/>
  <c r="H8617" i="7" s="1"/>
  <c r="E8617" i="7"/>
  <c r="D8617" i="7"/>
  <c r="H8616" i="7" a="1"/>
  <c r="H8616" i="7" s="1"/>
  <c r="E8616" i="7"/>
  <c r="D8616" i="7"/>
  <c r="H8615" i="7" a="1"/>
  <c r="H8615" i="7" s="1"/>
  <c r="E8615" i="7"/>
  <c r="D8615" i="7"/>
  <c r="H8614" i="7" a="1"/>
  <c r="H8614" i="7" s="1"/>
  <c r="E8614" i="7"/>
  <c r="D8614" i="7"/>
  <c r="H8613" i="7" a="1"/>
  <c r="H8613" i="7" s="1"/>
  <c r="E8613" i="7"/>
  <c r="D8613" i="7"/>
  <c r="H8612" i="7" l="1" a="1"/>
  <c r="H8612" i="7" s="1"/>
  <c r="E8612" i="7"/>
  <c r="D8612" i="7"/>
  <c r="H8611" i="7" a="1"/>
  <c r="H8611" i="7" s="1"/>
  <c r="E8611" i="7"/>
  <c r="D8611" i="7"/>
  <c r="H8610" i="7" a="1"/>
  <c r="H8610" i="7" s="1"/>
  <c r="E8610" i="7"/>
  <c r="D8610" i="7"/>
  <c r="H8609" i="7" a="1"/>
  <c r="H8609" i="7" s="1"/>
  <c r="E8609" i="7"/>
  <c r="D8609" i="7"/>
  <c r="H8608" i="7" a="1"/>
  <c r="H8608" i="7" s="1"/>
  <c r="E8608" i="7"/>
  <c r="D8608" i="7"/>
  <c r="H8607" i="7" a="1"/>
  <c r="H8607" i="7" s="1"/>
  <c r="E8607" i="7"/>
  <c r="D8607" i="7"/>
  <c r="H8606" i="7" a="1"/>
  <c r="H8606" i="7" s="1"/>
  <c r="E8606" i="7"/>
  <c r="D8606" i="7"/>
  <c r="H8605" i="7" a="1"/>
  <c r="H8605" i="7" s="1"/>
  <c r="E8605" i="7"/>
  <c r="D8605" i="7"/>
  <c r="H8588" i="7" l="1" a="1"/>
  <c r="H8588" i="7" s="1"/>
  <c r="E8588" i="7"/>
  <c r="D8588" i="7"/>
  <c r="H8587" i="7" a="1"/>
  <c r="H8587" i="7" s="1"/>
  <c r="E8587" i="7"/>
  <c r="D8587" i="7"/>
  <c r="H8604" i="7" a="1"/>
  <c r="H8604" i="7" s="1"/>
  <c r="E8604" i="7"/>
  <c r="D8604" i="7"/>
  <c r="H8603" i="7" a="1"/>
  <c r="H8603" i="7" s="1"/>
  <c r="E8603" i="7"/>
  <c r="D8603" i="7"/>
  <c r="H8602" i="7" a="1"/>
  <c r="H8602" i="7" s="1"/>
  <c r="E8602" i="7"/>
  <c r="D8602" i="7"/>
  <c r="H8601" i="7" a="1"/>
  <c r="H8601" i="7" s="1"/>
  <c r="E8601" i="7"/>
  <c r="D8601" i="7"/>
  <c r="H8600" i="7" a="1"/>
  <c r="H8600" i="7" s="1"/>
  <c r="E8600" i="7"/>
  <c r="D8600" i="7"/>
  <c r="H8599" i="7" a="1"/>
  <c r="H8599" i="7" s="1"/>
  <c r="E8599" i="7"/>
  <c r="D8599" i="7"/>
  <c r="H8598" i="7" a="1"/>
  <c r="H8598" i="7" s="1"/>
  <c r="E8598" i="7"/>
  <c r="D8598" i="7"/>
  <c r="H8597" i="7" a="1"/>
  <c r="H8597" i="7" s="1"/>
  <c r="E8597" i="7"/>
  <c r="D8597" i="7"/>
  <c r="H8596" i="7" a="1"/>
  <c r="H8596" i="7" s="1"/>
  <c r="E8596" i="7"/>
  <c r="D8596" i="7"/>
  <c r="H8595" i="7" a="1"/>
  <c r="H8595" i="7" s="1"/>
  <c r="E8595" i="7"/>
  <c r="D8595" i="7"/>
  <c r="H8594" i="7" a="1"/>
  <c r="H8594" i="7" s="1"/>
  <c r="E8594" i="7"/>
  <c r="D8594" i="7"/>
  <c r="H8593" i="7" a="1"/>
  <c r="H8593" i="7" s="1"/>
  <c r="E8593" i="7"/>
  <c r="D8593" i="7"/>
  <c r="H8592" i="7" a="1"/>
  <c r="H8592" i="7" s="1"/>
  <c r="E8592" i="7"/>
  <c r="D8592" i="7"/>
  <c r="H8591" i="7" a="1"/>
  <c r="H8591" i="7" s="1"/>
  <c r="E8591" i="7"/>
  <c r="D8591" i="7"/>
  <c r="H8590" i="7" a="1"/>
  <c r="H8590" i="7" s="1"/>
  <c r="E8590" i="7"/>
  <c r="D8590" i="7"/>
  <c r="H8589" i="7" a="1"/>
  <c r="H8589" i="7" s="1"/>
  <c r="E8589" i="7"/>
  <c r="D8589" i="7"/>
  <c r="H8583" i="7" l="1" a="1"/>
  <c r="H8583" i="7" s="1"/>
  <c r="E8583" i="7"/>
  <c r="D8583" i="7"/>
  <c r="H8582" i="7" a="1"/>
  <c r="H8582" i="7" s="1"/>
  <c r="E8582" i="7"/>
  <c r="D8582" i="7"/>
  <c r="H8581" i="7" a="1"/>
  <c r="H8581" i="7" s="1"/>
  <c r="E8581" i="7"/>
  <c r="D8581" i="7"/>
  <c r="H8580" i="7" a="1"/>
  <c r="H8580" i="7" s="1"/>
  <c r="E8580" i="7"/>
  <c r="D8580" i="7"/>
  <c r="H8579" i="7" a="1"/>
  <c r="H8579" i="7" s="1"/>
  <c r="E8579" i="7"/>
  <c r="D8579" i="7"/>
  <c r="H8586" i="7" a="1"/>
  <c r="H8586" i="7" s="1"/>
  <c r="E8586" i="7"/>
  <c r="D8586" i="7"/>
  <c r="H8585" i="7" a="1"/>
  <c r="H8585" i="7" s="1"/>
  <c r="E8585" i="7"/>
  <c r="D8585" i="7"/>
  <c r="H8584" i="7" a="1"/>
  <c r="H8584" i="7" s="1"/>
  <c r="E8584" i="7"/>
  <c r="D8584" i="7"/>
  <c r="H8578" i="7" l="1" a="1"/>
  <c r="H8578" i="7" s="1"/>
  <c r="E8578" i="7"/>
  <c r="D8578" i="7"/>
  <c r="H8577" i="7" a="1"/>
  <c r="H8577" i="7" s="1"/>
  <c r="E8577" i="7"/>
  <c r="D8577" i="7"/>
  <c r="H8576" i="7" a="1"/>
  <c r="H8576" i="7" s="1"/>
  <c r="E8576" i="7"/>
  <c r="D8576" i="7"/>
  <c r="H8575" i="7" a="1"/>
  <c r="H8575" i="7" s="1"/>
  <c r="E8575" i="7"/>
  <c r="D8575" i="7"/>
  <c r="H8574" i="7" a="1"/>
  <c r="H8574" i="7" s="1"/>
  <c r="E8574" i="7"/>
  <c r="D8574" i="7"/>
  <c r="H8573" i="7" a="1"/>
  <c r="H8573" i="7" s="1"/>
  <c r="E8573" i="7"/>
  <c r="D8573" i="7"/>
  <c r="H8572" i="7" a="1"/>
  <c r="H8572" i="7" s="1"/>
  <c r="E8572" i="7"/>
  <c r="D8572" i="7"/>
  <c r="H8571" i="7" a="1"/>
  <c r="H8571" i="7" s="1"/>
  <c r="E8571" i="7"/>
  <c r="D8571" i="7"/>
  <c r="H8570" i="7" a="1"/>
  <c r="H8570" i="7" s="1"/>
  <c r="E8570" i="7"/>
  <c r="D8570" i="7"/>
  <c r="H8569" i="7" a="1"/>
  <c r="H8569" i="7" s="1"/>
  <c r="E8569" i="7"/>
  <c r="D8569" i="7"/>
  <c r="H8568" i="7" a="1"/>
  <c r="H8568" i="7" s="1"/>
  <c r="E8568" i="7"/>
  <c r="D8568" i="7"/>
  <c r="H8567" i="7" a="1"/>
  <c r="H8567" i="7" s="1"/>
  <c r="E8567" i="7"/>
  <c r="D8567" i="7"/>
  <c r="H8566" i="7" a="1"/>
  <c r="H8566" i="7" s="1"/>
  <c r="E8566" i="7"/>
  <c r="D8566" i="7"/>
  <c r="H8565" i="7" a="1"/>
  <c r="H8565" i="7" s="1"/>
  <c r="E8565" i="7"/>
  <c r="D8565" i="7"/>
  <c r="H8564" i="7" a="1"/>
  <c r="H8564" i="7" s="1"/>
  <c r="E8564" i="7"/>
  <c r="D8564" i="7"/>
  <c r="H8563" i="7" a="1"/>
  <c r="H8563" i="7" s="1"/>
  <c r="E8563" i="7"/>
  <c r="D8563" i="7"/>
  <c r="H8562" i="7" a="1"/>
  <c r="H8562" i="7" s="1"/>
  <c r="E8562" i="7"/>
  <c r="D8562" i="7"/>
  <c r="H8561" i="7" a="1"/>
  <c r="H8561" i="7" s="1"/>
  <c r="E8561" i="7"/>
  <c r="D8561" i="7"/>
  <c r="H8557" i="7" a="1"/>
  <c r="H8557" i="7" s="1"/>
  <c r="E8557" i="7"/>
  <c r="D8557" i="7"/>
  <c r="H8556" i="7" a="1"/>
  <c r="H8556" i="7" s="1"/>
  <c r="E8556" i="7"/>
  <c r="D8556" i="7"/>
  <c r="H8550" i="7" a="1"/>
  <c r="H8550" i="7" s="1"/>
  <c r="E8550" i="7"/>
  <c r="D8550" i="7"/>
  <c r="H8549" i="7" a="1"/>
  <c r="H8549" i="7" s="1"/>
  <c r="E8549" i="7"/>
  <c r="D8549" i="7"/>
  <c r="E8548" i="7"/>
  <c r="D8548" i="7"/>
  <c r="H8547" i="7" a="1"/>
  <c r="H8547" i="7" s="1"/>
  <c r="E8547" i="7"/>
  <c r="D8547" i="7"/>
  <c r="H8555" i="7" l="1" a="1"/>
  <c r="H8555" i="7" s="1"/>
  <c r="E8555" i="7"/>
  <c r="D8555" i="7"/>
  <c r="H8554" i="7" a="1"/>
  <c r="H8554" i="7" s="1"/>
  <c r="E8554" i="7"/>
  <c r="D8554" i="7"/>
  <c r="H8560" i="7" a="1"/>
  <c r="H8560" i="7" s="1"/>
  <c r="E8560" i="7"/>
  <c r="D8560" i="7"/>
  <c r="H8559" i="7" a="1"/>
  <c r="H8559" i="7" s="1"/>
  <c r="E8559" i="7"/>
  <c r="D8559" i="7"/>
  <c r="H8558" i="7" a="1"/>
  <c r="H8558" i="7" s="1"/>
  <c r="E8558" i="7"/>
  <c r="D8558" i="7"/>
  <c r="H8553" i="7" a="1"/>
  <c r="H8553" i="7" s="1"/>
  <c r="E8553" i="7"/>
  <c r="D8553" i="7"/>
  <c r="H8552" i="7" a="1"/>
  <c r="H8552" i="7" s="1"/>
  <c r="E8552" i="7"/>
  <c r="D8552" i="7"/>
  <c r="H8551" i="7" a="1"/>
  <c r="H8551" i="7" s="1"/>
  <c r="E8551" i="7"/>
  <c r="D8551" i="7"/>
  <c r="H8546" i="7" l="1" a="1"/>
  <c r="H8546" i="7" s="1"/>
  <c r="E8546" i="7"/>
  <c r="D8546" i="7"/>
  <c r="H8545" i="7" a="1"/>
  <c r="H8545" i="7" s="1"/>
  <c r="E8545" i="7"/>
  <c r="D8545" i="7"/>
  <c r="H8544" i="7" a="1"/>
  <c r="H8544" i="7" s="1"/>
  <c r="E8544" i="7"/>
  <c r="D8544" i="7"/>
  <c r="H8543" i="7" a="1"/>
  <c r="H8543" i="7" s="1"/>
  <c r="E8543" i="7"/>
  <c r="D8543" i="7"/>
  <c r="H8542" i="7" a="1"/>
  <c r="H8542" i="7" s="1"/>
  <c r="E8542" i="7"/>
  <c r="D8542" i="7"/>
  <c r="H8541" i="7" a="1"/>
  <c r="H8541" i="7" s="1"/>
  <c r="E8541" i="7"/>
  <c r="D8541" i="7"/>
  <c r="H8540" i="7" a="1"/>
  <c r="H8540" i="7" s="1"/>
  <c r="E8540" i="7"/>
  <c r="D8540" i="7"/>
  <c r="H8539" i="7" a="1"/>
  <c r="H8539" i="7" s="1"/>
  <c r="E8539" i="7"/>
  <c r="D8539" i="7"/>
  <c r="H8538" i="7" a="1"/>
  <c r="H8538" i="7" s="1"/>
  <c r="E8538" i="7"/>
  <c r="D8538" i="7"/>
  <c r="H8537" i="7" a="1"/>
  <c r="H8537" i="7" s="1"/>
  <c r="E8537" i="7"/>
  <c r="D8537" i="7"/>
  <c r="H8536" i="7" a="1"/>
  <c r="H8536" i="7" s="1"/>
  <c r="E8536" i="7"/>
  <c r="D8536" i="7"/>
  <c r="H8535" i="7" a="1"/>
  <c r="H8535" i="7" s="1"/>
  <c r="E8535" i="7"/>
  <c r="D8535" i="7"/>
  <c r="H8534" i="7" a="1"/>
  <c r="H8534" i="7" s="1"/>
  <c r="E8534" i="7"/>
  <c r="D8534" i="7"/>
  <c r="H8533" i="7" a="1"/>
  <c r="H8533" i="7" s="1"/>
  <c r="E8533" i="7"/>
  <c r="D8533" i="7"/>
  <c r="H8532" i="7" a="1"/>
  <c r="H8532" i="7" s="1"/>
  <c r="E8532" i="7"/>
  <c r="D8532" i="7"/>
  <c r="H8531" i="7" a="1"/>
  <c r="H8531" i="7" s="1"/>
  <c r="E8531" i="7"/>
  <c r="D8531" i="7"/>
  <c r="H8509" i="7" a="1"/>
  <c r="H8509" i="7" s="1"/>
  <c r="E8509" i="7"/>
  <c r="D8509" i="7"/>
  <c r="H8508" i="7" a="1"/>
  <c r="H8508" i="7" s="1"/>
  <c r="E8508" i="7"/>
  <c r="D8508" i="7"/>
  <c r="H8507" i="7" a="1"/>
  <c r="H8507" i="7" s="1"/>
  <c r="E8507" i="7"/>
  <c r="D8507" i="7"/>
  <c r="H8530" i="7" a="1"/>
  <c r="H8530" i="7" s="1"/>
  <c r="E8530" i="7"/>
  <c r="D8530" i="7"/>
  <c r="H8529" i="7" a="1"/>
  <c r="H8529" i="7" s="1"/>
  <c r="E8529" i="7"/>
  <c r="D8529" i="7"/>
  <c r="H8528" i="7" a="1"/>
  <c r="H8528" i="7" s="1"/>
  <c r="E8528" i="7"/>
  <c r="D8528" i="7"/>
  <c r="H8527" i="7" a="1"/>
  <c r="H8527" i="7" s="1"/>
  <c r="E8527" i="7"/>
  <c r="D8527" i="7"/>
  <c r="H8526" i="7" a="1"/>
  <c r="H8526" i="7" s="1"/>
  <c r="E8526" i="7"/>
  <c r="D8526" i="7"/>
  <c r="H8525" i="7" a="1"/>
  <c r="H8525" i="7" s="1"/>
  <c r="E8525" i="7"/>
  <c r="D8525" i="7"/>
  <c r="H8524" i="7" a="1"/>
  <c r="H8524" i="7" s="1"/>
  <c r="E8524" i="7"/>
  <c r="D8524" i="7"/>
  <c r="E8523" i="7"/>
  <c r="D8523" i="7"/>
  <c r="H8522" i="7" a="1"/>
  <c r="H8522" i="7" s="1"/>
  <c r="E8522" i="7"/>
  <c r="D8522" i="7"/>
  <c r="H8521" i="7" a="1"/>
  <c r="H8521" i="7" s="1"/>
  <c r="E8521" i="7"/>
  <c r="D8521" i="7"/>
  <c r="H8511" i="7" a="1"/>
  <c r="H8511" i="7" s="1"/>
  <c r="E8511" i="7"/>
  <c r="D8511" i="7"/>
  <c r="H8510" i="7" a="1"/>
  <c r="H8510" i="7" s="1"/>
  <c r="E8510" i="7"/>
  <c r="D8510" i="7"/>
  <c r="H8506" i="7" a="1"/>
  <c r="H8506" i="7" s="1"/>
  <c r="E8506" i="7"/>
  <c r="D8506" i="7"/>
  <c r="H8505" i="7" a="1"/>
  <c r="H8505" i="7" s="1"/>
  <c r="E8505" i="7"/>
  <c r="D8505" i="7"/>
  <c r="H8520" i="7" a="1"/>
  <c r="H8520" i="7" s="1"/>
  <c r="E8520" i="7"/>
  <c r="D8520" i="7"/>
  <c r="H8519" i="7" a="1"/>
  <c r="H8519" i="7" s="1"/>
  <c r="E8519" i="7"/>
  <c r="D8519" i="7"/>
  <c r="H8518" i="7" a="1"/>
  <c r="H8518" i="7" s="1"/>
  <c r="E8518" i="7"/>
  <c r="D8518" i="7"/>
  <c r="H8517" i="7" a="1"/>
  <c r="H8517" i="7" s="1"/>
  <c r="E8517" i="7"/>
  <c r="D8517" i="7"/>
  <c r="H8516" i="7" a="1"/>
  <c r="H8516" i="7" s="1"/>
  <c r="E8516" i="7"/>
  <c r="D8516" i="7"/>
  <c r="H8515" i="7" a="1"/>
  <c r="H8515" i="7" s="1"/>
  <c r="E8515" i="7"/>
  <c r="D8515" i="7"/>
  <c r="H8514" i="7" a="1"/>
  <c r="H8514" i="7" s="1"/>
  <c r="E8514" i="7"/>
  <c r="D8514" i="7"/>
  <c r="H8513" i="7" a="1"/>
  <c r="H8513" i="7" s="1"/>
  <c r="E8513" i="7"/>
  <c r="D8513" i="7"/>
  <c r="H8512" i="7" a="1"/>
  <c r="H8512" i="7" s="1"/>
  <c r="E8512" i="7"/>
  <c r="D8512" i="7"/>
  <c r="H8504" i="7" a="1"/>
  <c r="H8504" i="7" s="1"/>
  <c r="E8504" i="7"/>
  <c r="D8504" i="7"/>
  <c r="H8503" i="7" a="1"/>
  <c r="H8503" i="7" s="1"/>
  <c r="E8503" i="7"/>
  <c r="D8503" i="7"/>
  <c r="H8502" i="7" a="1"/>
  <c r="H8502" i="7" s="1"/>
  <c r="E8502" i="7"/>
  <c r="D8502" i="7"/>
  <c r="H8501" i="7" a="1"/>
  <c r="H8501" i="7" s="1"/>
  <c r="E8501" i="7"/>
  <c r="D8501" i="7"/>
  <c r="H8500" i="7" a="1"/>
  <c r="H8500" i="7" s="1"/>
  <c r="E8500" i="7"/>
  <c r="D8500" i="7"/>
  <c r="H8499" i="7" a="1"/>
  <c r="H8499" i="7" s="1"/>
  <c r="E8499" i="7"/>
  <c r="D8499" i="7"/>
  <c r="H8498" i="7" l="1" a="1"/>
  <c r="H8498" i="7" s="1"/>
  <c r="E8498" i="7"/>
  <c r="D8498" i="7"/>
  <c r="H8497" i="7" a="1"/>
  <c r="H8497" i="7" s="1"/>
  <c r="E8497" i="7"/>
  <c r="D8497" i="7"/>
  <c r="H8496" i="7" a="1"/>
  <c r="H8496" i="7" s="1"/>
  <c r="E8496" i="7"/>
  <c r="D8496" i="7"/>
  <c r="H8495" i="7" a="1"/>
  <c r="H8495" i="7" s="1"/>
  <c r="E8495" i="7"/>
  <c r="D8495" i="7"/>
  <c r="H8494" i="7" a="1"/>
  <c r="H8494" i="7" s="1"/>
  <c r="E8494" i="7"/>
  <c r="D8494" i="7"/>
  <c r="H8493" i="7" a="1"/>
  <c r="H8493" i="7" s="1"/>
  <c r="E8493" i="7"/>
  <c r="D8493" i="7"/>
  <c r="H8492" i="7" a="1"/>
  <c r="H8492" i="7" s="1"/>
  <c r="E8492" i="7"/>
  <c r="D8492" i="7"/>
  <c r="H8491" i="7" a="1"/>
  <c r="H8491" i="7" s="1"/>
  <c r="E8491" i="7"/>
  <c r="D8491" i="7"/>
  <c r="H8490" i="7" a="1"/>
  <c r="H8490" i="7" s="1"/>
  <c r="E8490" i="7"/>
  <c r="D8490" i="7"/>
  <c r="H8489" i="7" a="1"/>
  <c r="H8489" i="7" s="1"/>
  <c r="E8489" i="7"/>
  <c r="D8489" i="7"/>
  <c r="H8488" i="7" a="1"/>
  <c r="H8488" i="7" s="1"/>
  <c r="E8488" i="7"/>
  <c r="D8488" i="7"/>
  <c r="H8487" i="7" a="1"/>
  <c r="H8487" i="7" s="1"/>
  <c r="E8487" i="7"/>
  <c r="D8487" i="7"/>
  <c r="H8486" i="7" a="1"/>
  <c r="H8486" i="7" s="1"/>
  <c r="E8486" i="7"/>
  <c r="D8486" i="7"/>
  <c r="H8485" i="7" a="1"/>
  <c r="H8485" i="7" s="1"/>
  <c r="E8485" i="7"/>
  <c r="D8485" i="7"/>
  <c r="H8484" i="7" a="1"/>
  <c r="H8484" i="7" s="1"/>
  <c r="E8484" i="7"/>
  <c r="D8484" i="7"/>
  <c r="H8483" i="7" a="1"/>
  <c r="H8483" i="7" s="1"/>
  <c r="E8483" i="7"/>
  <c r="D8483" i="7"/>
  <c r="H8482" i="7" l="1" a="1"/>
  <c r="H8482" i="7" s="1"/>
  <c r="E8482" i="7"/>
  <c r="D8482" i="7"/>
  <c r="H8481" i="7" a="1"/>
  <c r="H8481" i="7" s="1"/>
  <c r="E8481" i="7"/>
  <c r="D8481" i="7"/>
  <c r="H8480" i="7" a="1"/>
  <c r="H8480" i="7" s="1"/>
  <c r="E8480" i="7"/>
  <c r="D8480" i="7"/>
  <c r="H8479" i="7" a="1"/>
  <c r="H8479" i="7" s="1"/>
  <c r="E8479" i="7"/>
  <c r="D8479" i="7"/>
  <c r="H8478" i="7" a="1"/>
  <c r="H8478" i="7" s="1"/>
  <c r="E8478" i="7"/>
  <c r="D8478" i="7"/>
  <c r="H8477" i="7" l="1" a="1"/>
  <c r="H8477" i="7" s="1"/>
  <c r="E8477" i="7"/>
  <c r="D8477" i="7"/>
  <c r="H8476" i="7" a="1"/>
  <c r="H8476" i="7" s="1"/>
  <c r="E8476" i="7"/>
  <c r="D8476" i="7"/>
  <c r="H8475" i="7" a="1"/>
  <c r="H8475" i="7" s="1"/>
  <c r="E8475" i="7"/>
  <c r="D8475" i="7"/>
  <c r="H8474" i="7" a="1"/>
  <c r="H8474" i="7" s="1"/>
  <c r="E8474" i="7"/>
  <c r="D8474" i="7"/>
  <c r="H8473" i="7" a="1"/>
  <c r="H8473" i="7" s="1"/>
  <c r="E8473" i="7"/>
  <c r="D8473" i="7"/>
  <c r="H8472" i="7" a="1"/>
  <c r="H8472" i="7" s="1"/>
  <c r="E8472" i="7"/>
  <c r="D8472" i="7"/>
  <c r="H8471" i="7" a="1"/>
  <c r="H8471" i="7" s="1"/>
  <c r="E8471" i="7"/>
  <c r="D8471" i="7"/>
  <c r="H8470" i="7" a="1"/>
  <c r="H8470" i="7" s="1"/>
  <c r="E8470" i="7"/>
  <c r="D8470" i="7"/>
  <c r="H8423" i="7" l="1" a="1"/>
  <c r="H8423" i="7" s="1"/>
  <c r="E8423" i="7"/>
  <c r="D8423" i="7"/>
  <c r="H8422" i="7" a="1"/>
  <c r="H8422" i="7" s="1"/>
  <c r="E8422" i="7"/>
  <c r="D8422" i="7"/>
  <c r="H8469" i="7" a="1"/>
  <c r="H8469" i="7" s="1"/>
  <c r="E8469" i="7"/>
  <c r="D8469" i="7"/>
  <c r="H8468" i="7" a="1"/>
  <c r="H8468" i="7" s="1"/>
  <c r="E8468" i="7"/>
  <c r="D8468" i="7"/>
  <c r="H8467" i="7" a="1"/>
  <c r="H8467" i="7" s="1"/>
  <c r="E8467" i="7"/>
  <c r="D8467" i="7"/>
  <c r="H8466" i="7" a="1"/>
  <c r="H8466" i="7" s="1"/>
  <c r="E8466" i="7"/>
  <c r="D8466" i="7"/>
  <c r="H8465" i="7" a="1"/>
  <c r="H8465" i="7" s="1"/>
  <c r="E8465" i="7"/>
  <c r="D8465" i="7"/>
  <c r="H8464" i="7" a="1"/>
  <c r="H8464" i="7" s="1"/>
  <c r="E8464" i="7"/>
  <c r="D8464" i="7"/>
  <c r="H8463" i="7" a="1"/>
  <c r="H8463" i="7" s="1"/>
  <c r="E8463" i="7"/>
  <c r="D8463" i="7"/>
  <c r="H8462" i="7" a="1"/>
  <c r="H8462" i="7" s="1"/>
  <c r="E8462" i="7"/>
  <c r="D8462" i="7"/>
  <c r="H8461" i="7" a="1"/>
  <c r="H8461" i="7" s="1"/>
  <c r="E8461" i="7"/>
  <c r="D8461" i="7"/>
  <c r="H8460" i="7" a="1"/>
  <c r="H8460" i="7" s="1"/>
  <c r="E8460" i="7"/>
  <c r="D8460" i="7"/>
  <c r="H8459" i="7" a="1"/>
  <c r="H8459" i="7" s="1"/>
  <c r="E8459" i="7"/>
  <c r="D8459" i="7"/>
  <c r="H8458" i="7" a="1"/>
  <c r="H8458" i="7" s="1"/>
  <c r="E8458" i="7"/>
  <c r="D8458" i="7"/>
  <c r="H8457" i="7" a="1"/>
  <c r="H8457" i="7" s="1"/>
  <c r="E8457" i="7"/>
  <c r="D8457" i="7"/>
  <c r="H8456" i="7" a="1"/>
  <c r="H8456" i="7" s="1"/>
  <c r="E8456" i="7"/>
  <c r="D8456" i="7"/>
  <c r="H8455" i="7" a="1"/>
  <c r="H8455" i="7" s="1"/>
  <c r="E8455" i="7"/>
  <c r="D8455" i="7"/>
  <c r="H8454" i="7" a="1"/>
  <c r="H8454" i="7" s="1"/>
  <c r="E8454" i="7"/>
  <c r="D8454" i="7"/>
  <c r="H8453" i="7" l="1" a="1"/>
  <c r="H8453" i="7" s="1"/>
  <c r="E8453" i="7"/>
  <c r="D8453" i="7"/>
  <c r="H8452" i="7" a="1"/>
  <c r="H8452" i="7" s="1"/>
  <c r="E8452" i="7"/>
  <c r="D8452" i="7"/>
  <c r="H8451" i="7" l="1" a="1"/>
  <c r="H8451" i="7" s="1"/>
  <c r="E8451" i="7"/>
  <c r="D8451" i="7"/>
  <c r="H8450" i="7" a="1"/>
  <c r="H8450" i="7" s="1"/>
  <c r="E8450" i="7"/>
  <c r="D8450" i="7"/>
  <c r="H8449" i="7" a="1"/>
  <c r="H8449" i="7" s="1"/>
  <c r="E8449" i="7"/>
  <c r="D8449" i="7"/>
  <c r="H8448" i="7" a="1"/>
  <c r="H8448" i="7" s="1"/>
  <c r="E8448" i="7"/>
  <c r="D8448" i="7"/>
  <c r="H8447" i="7" a="1"/>
  <c r="H8447" i="7" s="1"/>
  <c r="E8447" i="7"/>
  <c r="D8447" i="7"/>
  <c r="H8446" i="7" l="1" a="1"/>
  <c r="H8446" i="7" s="1"/>
  <c r="E8446" i="7"/>
  <c r="D8446" i="7"/>
  <c r="H8445" i="7" a="1"/>
  <c r="H8445" i="7" s="1"/>
  <c r="E8445" i="7"/>
  <c r="D8445" i="7"/>
  <c r="H8444" i="7" a="1"/>
  <c r="H8444" i="7" s="1"/>
  <c r="E8444" i="7"/>
  <c r="D8444" i="7"/>
  <c r="H8443" i="7" a="1"/>
  <c r="H8443" i="7" s="1"/>
  <c r="E8443" i="7"/>
  <c r="D8443" i="7"/>
  <c r="H8442" i="7" a="1"/>
  <c r="H8442" i="7" s="1"/>
  <c r="E8442" i="7"/>
  <c r="D8442" i="7"/>
  <c r="H8441" i="7" a="1"/>
  <c r="H8441" i="7" s="1"/>
  <c r="E8441" i="7"/>
  <c r="D8441" i="7"/>
  <c r="H8440" i="7" a="1"/>
  <c r="H8440" i="7" s="1"/>
  <c r="E8440" i="7"/>
  <c r="D8440" i="7"/>
  <c r="K8424" i="7" l="1"/>
  <c r="H8425" i="7" a="1"/>
  <c r="H8425" i="7" s="1"/>
  <c r="E8425" i="7"/>
  <c r="D8425" i="7"/>
  <c r="H8424" i="7" a="1"/>
  <c r="H8424" i="7" s="1"/>
  <c r="E8424" i="7"/>
  <c r="D8424" i="7"/>
  <c r="H8439" i="7" a="1"/>
  <c r="H8439" i="7" s="1"/>
  <c r="E8439" i="7"/>
  <c r="D8439" i="7"/>
  <c r="H8438" i="7" a="1"/>
  <c r="H8438" i="7" s="1"/>
  <c r="E8438" i="7"/>
  <c r="D8438" i="7"/>
  <c r="H8437" i="7" a="1"/>
  <c r="H8437" i="7" s="1"/>
  <c r="E8437" i="7"/>
  <c r="D8437" i="7"/>
  <c r="H8436" i="7" a="1"/>
  <c r="H8436" i="7" s="1"/>
  <c r="E8436" i="7"/>
  <c r="D8436" i="7"/>
  <c r="H8435" i="7" a="1"/>
  <c r="H8435" i="7" s="1"/>
  <c r="E8435" i="7"/>
  <c r="D8435" i="7"/>
  <c r="H8434" i="7" a="1"/>
  <c r="H8434" i="7" s="1"/>
  <c r="E8434" i="7"/>
  <c r="D8434" i="7"/>
  <c r="H8433" i="7" a="1"/>
  <c r="H8433" i="7" s="1"/>
  <c r="E8433" i="7"/>
  <c r="D8433" i="7"/>
  <c r="H8432" i="7" a="1"/>
  <c r="H8432" i="7" s="1"/>
  <c r="E8432" i="7"/>
  <c r="D8432" i="7"/>
  <c r="H8431" i="7" a="1"/>
  <c r="H8431" i="7" s="1"/>
  <c r="E8431" i="7"/>
  <c r="D8431" i="7"/>
  <c r="H8430" i="7" a="1"/>
  <c r="H8430" i="7" s="1"/>
  <c r="E8430" i="7"/>
  <c r="D8430" i="7"/>
  <c r="H8429" i="7" a="1"/>
  <c r="H8429" i="7" s="1"/>
  <c r="E8429" i="7"/>
  <c r="D8429" i="7"/>
  <c r="H8428" i="7" a="1"/>
  <c r="H8428" i="7" s="1"/>
  <c r="E8428" i="7"/>
  <c r="D8428" i="7"/>
  <c r="H8427" i="7" a="1"/>
  <c r="H8427" i="7" s="1"/>
  <c r="E8427" i="7"/>
  <c r="D8427" i="7"/>
  <c r="H8426" i="7" a="1"/>
  <c r="H8426" i="7" s="1"/>
  <c r="E8426" i="7"/>
  <c r="D8426" i="7"/>
  <c r="E8418" i="7"/>
  <c r="D8418" i="7"/>
  <c r="H8417" i="7" a="1"/>
  <c r="H8417" i="7" s="1"/>
  <c r="E8417" i="7"/>
  <c r="D8417" i="7"/>
  <c r="E8416" i="7"/>
  <c r="D8416" i="7"/>
  <c r="H8415" i="7" a="1"/>
  <c r="H8415" i="7" s="1"/>
  <c r="E8415" i="7"/>
  <c r="D8415" i="7"/>
  <c r="E8414" i="7"/>
  <c r="D8414" i="7"/>
  <c r="D8410" i="7"/>
  <c r="E8410" i="7"/>
  <c r="D8411" i="7"/>
  <c r="E8411" i="7"/>
  <c r="D8412" i="7"/>
  <c r="E8412" i="7"/>
  <c r="D8413" i="7"/>
  <c r="E8413" i="7"/>
  <c r="E8409" i="7"/>
  <c r="D8409" i="7"/>
  <c r="H8405" i="7" a="1"/>
  <c r="H8405" i="7" s="1"/>
  <c r="E8405" i="7"/>
  <c r="D8405" i="7"/>
  <c r="H8404" i="7" a="1"/>
  <c r="H8404" i="7" s="1"/>
  <c r="E8404" i="7"/>
  <c r="D8404" i="7"/>
  <c r="E8403" i="7"/>
  <c r="D8403" i="7"/>
  <c r="H8402" i="7" a="1"/>
  <c r="H8402" i="7" s="1"/>
  <c r="E8402" i="7"/>
  <c r="D8402" i="7"/>
  <c r="H8421" i="7" l="1" a="1"/>
  <c r="H8421" i="7" s="1"/>
  <c r="E8421" i="7"/>
  <c r="D8421" i="7"/>
  <c r="H8420" i="7" a="1"/>
  <c r="H8420" i="7" s="1"/>
  <c r="E8420" i="7"/>
  <c r="D8420" i="7"/>
  <c r="H8419" i="7" a="1"/>
  <c r="H8419" i="7" s="1"/>
  <c r="E8419" i="7"/>
  <c r="D8419" i="7"/>
  <c r="H8394" i="7" l="1" a="1"/>
  <c r="H8394" i="7" s="1"/>
  <c r="E8394" i="7"/>
  <c r="D8394" i="7"/>
  <c r="H8393" i="7" a="1"/>
  <c r="H8393" i="7" s="1"/>
  <c r="E8393" i="7"/>
  <c r="D8393" i="7"/>
  <c r="H8412" i="7" a="1"/>
  <c r="H8412" i="7" s="1"/>
  <c r="H8410" i="7" a="1"/>
  <c r="H8410" i="7" s="1"/>
  <c r="H8249" i="7" a="1"/>
  <c r="H8249" i="7" s="1"/>
  <c r="E8249" i="7"/>
  <c r="D8249" i="7"/>
  <c r="H8248" i="7" a="1"/>
  <c r="H8248" i="7" s="1"/>
  <c r="E8248" i="7"/>
  <c r="D8248" i="7"/>
  <c r="H8398" i="7" a="1"/>
  <c r="H8398" i="7" s="1"/>
  <c r="E8398" i="7"/>
  <c r="D8398" i="7"/>
  <c r="H8397" i="7" a="1"/>
  <c r="H8397" i="7" s="1"/>
  <c r="E8397" i="7"/>
  <c r="D8397" i="7"/>
  <c r="H8396" i="7" a="1"/>
  <c r="H8396" i="7" s="1"/>
  <c r="E8396" i="7"/>
  <c r="D8396" i="7"/>
  <c r="H8395" i="7" a="1"/>
  <c r="H8395" i="7" s="1"/>
  <c r="E8395" i="7"/>
  <c r="D8395" i="7"/>
  <c r="H8392" i="7" l="1" a="1"/>
  <c r="H8392" i="7" s="1"/>
  <c r="E8392" i="7"/>
  <c r="D8392" i="7"/>
  <c r="H8391" i="7" a="1"/>
  <c r="H8391" i="7" s="1"/>
  <c r="E8391" i="7"/>
  <c r="D8391" i="7"/>
  <c r="H8390" i="7" a="1"/>
  <c r="H8390" i="7" s="1"/>
  <c r="E8390" i="7"/>
  <c r="D8390" i="7"/>
  <c r="H8389" i="7" a="1"/>
  <c r="H8389" i="7" s="1"/>
  <c r="E8389" i="7"/>
  <c r="D8389" i="7"/>
  <c r="H8408" i="7" a="1"/>
  <c r="H8408" i="7" s="1"/>
  <c r="E8408" i="7"/>
  <c r="D8408" i="7"/>
  <c r="H8407" i="7" a="1"/>
  <c r="H8407" i="7" s="1"/>
  <c r="E8407" i="7"/>
  <c r="D8407" i="7"/>
  <c r="H8406" i="7" a="1"/>
  <c r="H8406" i="7" s="1"/>
  <c r="E8406" i="7"/>
  <c r="D8406" i="7"/>
  <c r="H8401" i="7" a="1"/>
  <c r="H8401" i="7" s="1"/>
  <c r="E8401" i="7"/>
  <c r="D8401" i="7"/>
  <c r="H8400" i="7" a="1"/>
  <c r="H8400" i="7" s="1"/>
  <c r="E8400" i="7"/>
  <c r="D8400" i="7"/>
  <c r="H8399" i="7" a="1"/>
  <c r="H8399" i="7" s="1"/>
  <c r="E8399" i="7"/>
  <c r="D8399" i="7"/>
  <c r="H8388" i="7" l="1" a="1"/>
  <c r="H8388" i="7" s="1"/>
  <c r="E8388" i="7"/>
  <c r="D8388" i="7"/>
  <c r="H8387" i="7" a="1"/>
  <c r="H8387" i="7" s="1"/>
  <c r="E8387" i="7"/>
  <c r="D8387" i="7"/>
  <c r="H8386" i="7" a="1"/>
  <c r="H8386" i="7" s="1"/>
  <c r="E8386" i="7"/>
  <c r="D8386" i="7"/>
  <c r="H8385" i="7" l="1" a="1"/>
  <c r="H8385" i="7" s="1"/>
  <c r="E8385" i="7"/>
  <c r="D8385" i="7"/>
  <c r="H8384" i="7" a="1"/>
  <c r="H8384" i="7" s="1"/>
  <c r="E8384" i="7"/>
  <c r="D8384" i="7"/>
  <c r="H8383" i="7" a="1"/>
  <c r="H8383" i="7" s="1"/>
  <c r="E8383" i="7"/>
  <c r="D8383" i="7"/>
  <c r="H8382" i="7" a="1"/>
  <c r="H8382" i="7" s="1"/>
  <c r="E8382" i="7"/>
  <c r="D8382" i="7"/>
  <c r="H8381" i="7" a="1"/>
  <c r="H8381" i="7" s="1"/>
  <c r="E8381" i="7"/>
  <c r="D8381" i="7"/>
  <c r="H8380" i="7" a="1"/>
  <c r="H8380" i="7" s="1"/>
  <c r="E8380" i="7"/>
  <c r="D8380" i="7"/>
  <c r="H8379" i="7" a="1"/>
  <c r="H8379" i="7" s="1"/>
  <c r="E8379" i="7"/>
  <c r="D8379" i="7"/>
  <c r="H8378" i="7" a="1"/>
  <c r="H8378" i="7" s="1"/>
  <c r="E8378" i="7"/>
  <c r="D8378" i="7"/>
  <c r="H8377" i="7" a="1"/>
  <c r="H8377" i="7" s="1"/>
  <c r="E8377" i="7"/>
  <c r="D8377" i="7"/>
  <c r="H8376" i="7" a="1"/>
  <c r="H8376" i="7" s="1"/>
  <c r="E8376" i="7"/>
  <c r="D8376" i="7"/>
  <c r="H8375" i="7" a="1"/>
  <c r="H8375" i="7" s="1"/>
  <c r="E8375" i="7"/>
  <c r="D8375" i="7"/>
  <c r="H8374" i="7" a="1"/>
  <c r="H8374" i="7" s="1"/>
  <c r="E8374" i="7"/>
  <c r="D8374" i="7"/>
  <c r="H8373" i="7" a="1"/>
  <c r="H8373" i="7" s="1"/>
  <c r="E8373" i="7"/>
  <c r="D8373" i="7"/>
  <c r="H8372" i="7" a="1"/>
  <c r="H8372" i="7" s="1"/>
  <c r="E8372" i="7"/>
  <c r="D8372" i="7"/>
  <c r="H8371" i="7" a="1"/>
  <c r="H8371" i="7" s="1"/>
  <c r="E8371" i="7"/>
  <c r="D8371" i="7"/>
  <c r="H8370" i="7" a="1"/>
  <c r="H8370" i="7" s="1"/>
  <c r="E8370" i="7"/>
  <c r="D8370" i="7"/>
  <c r="E8369" i="7"/>
  <c r="D8369" i="7"/>
  <c r="H8368" i="7" a="1"/>
  <c r="H8368" i="7" s="1"/>
  <c r="E8368" i="7"/>
  <c r="D8368" i="7"/>
  <c r="H8367" i="7" l="1" a="1"/>
  <c r="H8367" i="7" s="1"/>
  <c r="E8367" i="7"/>
  <c r="D8367" i="7"/>
  <c r="H8366" i="7" a="1"/>
  <c r="H8366" i="7" s="1"/>
  <c r="E8366" i="7"/>
  <c r="D8366" i="7"/>
  <c r="H8365" i="7" a="1"/>
  <c r="H8365" i="7" s="1"/>
  <c r="E8365" i="7"/>
  <c r="D8365" i="7"/>
  <c r="H8361" i="7" a="1"/>
  <c r="H8361" i="7" s="1"/>
  <c r="E8361" i="7"/>
  <c r="D8361" i="7"/>
  <c r="H8360" i="7" a="1"/>
  <c r="H8360" i="7" s="1"/>
  <c r="E8360" i="7"/>
  <c r="D8360" i="7"/>
  <c r="H8359" i="7" a="1"/>
  <c r="H8359" i="7" s="1"/>
  <c r="E8359" i="7"/>
  <c r="D8359" i="7"/>
  <c r="H8364" i="7" l="1" a="1"/>
  <c r="H8364" i="7" s="1"/>
  <c r="E8364" i="7"/>
  <c r="D8364" i="7"/>
  <c r="H8363" i="7" a="1"/>
  <c r="H8363" i="7" s="1"/>
  <c r="E8363" i="7"/>
  <c r="D8363" i="7"/>
  <c r="H8362" i="7" a="1"/>
  <c r="H8362" i="7" s="1"/>
  <c r="E8362" i="7"/>
  <c r="D8362" i="7"/>
  <c r="H8358" i="7" a="1"/>
  <c r="H8358" i="7" s="1"/>
  <c r="E8358" i="7"/>
  <c r="D8358" i="7"/>
  <c r="H8357" i="7" a="1"/>
  <c r="H8357" i="7" s="1"/>
  <c r="E8357" i="7"/>
  <c r="D8357" i="7"/>
  <c r="H8356" i="7" a="1"/>
  <c r="H8356" i="7" s="1"/>
  <c r="E8356" i="7"/>
  <c r="D8356" i="7"/>
  <c r="H8316" i="7" l="1" a="1"/>
  <c r="H8316" i="7" s="1"/>
  <c r="E8316" i="7"/>
  <c r="D8316" i="7"/>
  <c r="H8315" i="7" a="1"/>
  <c r="H8315" i="7" s="1"/>
  <c r="E8315" i="7"/>
  <c r="D8315" i="7"/>
  <c r="H8341" i="7" a="1"/>
  <c r="H8341" i="7" s="1"/>
  <c r="E8341" i="7"/>
  <c r="D8341" i="7"/>
  <c r="H8340" i="7" a="1"/>
  <c r="H8340" i="7" s="1"/>
  <c r="E8340" i="7"/>
  <c r="D8340" i="7"/>
  <c r="H8355" i="7" l="1" a="1"/>
  <c r="H8355" i="7" s="1"/>
  <c r="E8355" i="7"/>
  <c r="D8355" i="7"/>
  <c r="H8354" i="7" a="1"/>
  <c r="H8354" i="7" s="1"/>
  <c r="E8354" i="7"/>
  <c r="D8354" i="7"/>
  <c r="H8353" i="7" a="1"/>
  <c r="H8353" i="7" s="1"/>
  <c r="E8353" i="7"/>
  <c r="D8353" i="7"/>
  <c r="H8352" i="7" a="1"/>
  <c r="H8352" i="7" s="1"/>
  <c r="E8352" i="7"/>
  <c r="D8352" i="7"/>
  <c r="H8351" i="7" a="1"/>
  <c r="H8351" i="7" s="1"/>
  <c r="E8351" i="7"/>
  <c r="D8351" i="7"/>
  <c r="H8350" i="7" a="1"/>
  <c r="H8350" i="7" s="1"/>
  <c r="E8350" i="7"/>
  <c r="D8350" i="7"/>
  <c r="H8349" i="7" a="1"/>
  <c r="H8349" i="7" s="1"/>
  <c r="E8349" i="7"/>
  <c r="D8349" i="7"/>
  <c r="H8348" i="7" a="1"/>
  <c r="H8348" i="7" s="1"/>
  <c r="E8348" i="7"/>
  <c r="D8348" i="7"/>
  <c r="H8347" i="7" a="1"/>
  <c r="H8347" i="7" s="1"/>
  <c r="E8347" i="7"/>
  <c r="D8347" i="7"/>
  <c r="H8346" i="7" a="1"/>
  <c r="H8346" i="7" s="1"/>
  <c r="E8346" i="7"/>
  <c r="D8346" i="7"/>
  <c r="H8345" i="7" a="1"/>
  <c r="H8345" i="7" s="1"/>
  <c r="E8345" i="7"/>
  <c r="D8345" i="7"/>
  <c r="H8344" i="7" a="1"/>
  <c r="H8344" i="7" s="1"/>
  <c r="E8344" i="7"/>
  <c r="D8344" i="7"/>
  <c r="H8343" i="7" a="1"/>
  <c r="H8343" i="7" s="1"/>
  <c r="E8343" i="7"/>
  <c r="D8343" i="7"/>
  <c r="H8342" i="7" a="1"/>
  <c r="H8342" i="7" s="1"/>
  <c r="E8342" i="7"/>
  <c r="D8342" i="7"/>
  <c r="H8339" i="7" a="1"/>
  <c r="H8339" i="7" s="1"/>
  <c r="E8339" i="7"/>
  <c r="D8339" i="7"/>
  <c r="H8338" i="7" a="1"/>
  <c r="H8338" i="7" s="1"/>
  <c r="E8338" i="7"/>
  <c r="D8338" i="7"/>
  <c r="H8337" i="7" a="1"/>
  <c r="H8337" i="7" s="1"/>
  <c r="E8337" i="7"/>
  <c r="D8337" i="7"/>
  <c r="E8332" i="7" l="1"/>
  <c r="D8332" i="7"/>
  <c r="H8333" i="7" a="1"/>
  <c r="H8333" i="7" s="1"/>
  <c r="E8333" i="7"/>
  <c r="D8333" i="7"/>
  <c r="E8331" i="7"/>
  <c r="D8331" i="7"/>
  <c r="H8330" i="7" a="1"/>
  <c r="H8330" i="7" s="1"/>
  <c r="E8330" i="7"/>
  <c r="D8330" i="7"/>
  <c r="H8336" i="7" a="1"/>
  <c r="H8336" i="7" s="1"/>
  <c r="E8336" i="7"/>
  <c r="D8336" i="7"/>
  <c r="H8335" i="7" a="1"/>
  <c r="H8335" i="7" s="1"/>
  <c r="E8335" i="7"/>
  <c r="D8335" i="7"/>
  <c r="H8334" i="7" a="1"/>
  <c r="H8334" i="7" s="1"/>
  <c r="E8334" i="7"/>
  <c r="D8334" i="7"/>
  <c r="H8324" i="7" a="1"/>
  <c r="H8324" i="7" s="1"/>
  <c r="E8324" i="7"/>
  <c r="D8324" i="7"/>
  <c r="H8323" i="7" a="1"/>
  <c r="H8323" i="7" s="1"/>
  <c r="E8323" i="7"/>
  <c r="D8323" i="7"/>
  <c r="H8322" i="7" a="1"/>
  <c r="H8322" i="7" s="1"/>
  <c r="E8322" i="7"/>
  <c r="D8322" i="7"/>
  <c r="H8329" i="7" l="1" a="1"/>
  <c r="H8329" i="7" s="1"/>
  <c r="E8329" i="7"/>
  <c r="D8329" i="7"/>
  <c r="H8328" i="7" a="1"/>
  <c r="H8328" i="7" s="1"/>
  <c r="E8328" i="7"/>
  <c r="D8328" i="7"/>
  <c r="H8321" i="7" a="1"/>
  <c r="H8321" i="7" s="1"/>
  <c r="E8321" i="7"/>
  <c r="D8321" i="7"/>
  <c r="H8320" i="7" a="1"/>
  <c r="H8320" i="7" s="1"/>
  <c r="E8320" i="7"/>
  <c r="D8320" i="7"/>
  <c r="H8327" i="7" a="1"/>
  <c r="H8327" i="7" s="1"/>
  <c r="E8327" i="7"/>
  <c r="D8327" i="7"/>
  <c r="H8326" i="7" a="1"/>
  <c r="H8326" i="7" s="1"/>
  <c r="E8326" i="7"/>
  <c r="D8326" i="7"/>
  <c r="H8325" i="7" a="1"/>
  <c r="H8325" i="7" s="1"/>
  <c r="E8325" i="7"/>
  <c r="D8325" i="7"/>
  <c r="H8319" i="7" a="1"/>
  <c r="H8319" i="7" s="1"/>
  <c r="E8319" i="7"/>
  <c r="D8319" i="7"/>
  <c r="H8318" i="7" a="1"/>
  <c r="H8318" i="7" s="1"/>
  <c r="E8318" i="7"/>
  <c r="D8318" i="7"/>
  <c r="H8317" i="7" a="1"/>
  <c r="H8317" i="7" s="1"/>
  <c r="E8317" i="7"/>
  <c r="D8317" i="7"/>
  <c r="D8307" i="7" l="1"/>
  <c r="E8307" i="7"/>
  <c r="H8307" i="7" a="1"/>
  <c r="H8307" i="7" s="1"/>
  <c r="D8308" i="7"/>
  <c r="E8308" i="7"/>
  <c r="H8308" i="7" a="1"/>
  <c r="H8308" i="7" s="1"/>
  <c r="H8314" i="7" a="1"/>
  <c r="H8314" i="7" s="1"/>
  <c r="E8314" i="7"/>
  <c r="D8314" i="7"/>
  <c r="H8313" i="7" a="1"/>
  <c r="H8313" i="7" s="1"/>
  <c r="E8313" i="7"/>
  <c r="D8313" i="7"/>
  <c r="H8312" i="7" a="1"/>
  <c r="H8312" i="7" s="1"/>
  <c r="E8312" i="7"/>
  <c r="D8312" i="7"/>
  <c r="H8311" i="7" a="1"/>
  <c r="H8311" i="7" s="1"/>
  <c r="E8311" i="7"/>
  <c r="D8311" i="7"/>
  <c r="H8310" i="7" a="1"/>
  <c r="H8310" i="7" s="1"/>
  <c r="E8310" i="7"/>
  <c r="D8310" i="7"/>
  <c r="H8309" i="7" a="1"/>
  <c r="H8309" i="7" s="1"/>
  <c r="E8309" i="7"/>
  <c r="D8309" i="7"/>
  <c r="H8306" i="7" a="1"/>
  <c r="H8306" i="7" s="1"/>
  <c r="E8306" i="7"/>
  <c r="D8306" i="7"/>
  <c r="H8305" i="7" a="1"/>
  <c r="H8305" i="7" s="1"/>
  <c r="E8305" i="7"/>
  <c r="D8305" i="7"/>
  <c r="H8304" i="7" a="1"/>
  <c r="H8304" i="7" s="1"/>
  <c r="E8304" i="7"/>
  <c r="D8304" i="7"/>
  <c r="H8303" i="7" a="1"/>
  <c r="H8303" i="7" s="1"/>
  <c r="E8303" i="7"/>
  <c r="D8303" i="7"/>
  <c r="H8302" i="7" a="1"/>
  <c r="H8302" i="7" s="1"/>
  <c r="E8302" i="7"/>
  <c r="D8302" i="7"/>
  <c r="H8301" i="7" a="1"/>
  <c r="H8301" i="7" s="1"/>
  <c r="E8301" i="7"/>
  <c r="D8301" i="7"/>
  <c r="D8299" i="7"/>
  <c r="E8299" i="7"/>
  <c r="H8300" i="7" l="1" a="1"/>
  <c r="H8300" i="7" s="1"/>
  <c r="E8300" i="7"/>
  <c r="D8300" i="7"/>
  <c r="H8298" i="7" a="1"/>
  <c r="H8298" i="7" s="1"/>
  <c r="E8298" i="7"/>
  <c r="D8298" i="7"/>
  <c r="H8267" i="7" a="1"/>
  <c r="H8267" i="7" s="1"/>
  <c r="E8267" i="7"/>
  <c r="D8267" i="7"/>
  <c r="H8266" i="7" a="1"/>
  <c r="H8266" i="7" s="1"/>
  <c r="E8266" i="7"/>
  <c r="D8266" i="7"/>
  <c r="H8297" i="7" a="1"/>
  <c r="H8297" i="7" s="1"/>
  <c r="E8297" i="7"/>
  <c r="D8297" i="7"/>
  <c r="H8296" i="7" a="1"/>
  <c r="H8296" i="7" s="1"/>
  <c r="E8296" i="7"/>
  <c r="D8296" i="7"/>
  <c r="H8295" i="7" a="1"/>
  <c r="H8295" i="7" s="1"/>
  <c r="E8295" i="7"/>
  <c r="D8295" i="7"/>
  <c r="E8294" i="7"/>
  <c r="D8294" i="7"/>
  <c r="H8293" i="7" a="1"/>
  <c r="H8293" i="7" s="1"/>
  <c r="E8293" i="7"/>
  <c r="D8293" i="7"/>
  <c r="H8292" i="7" a="1"/>
  <c r="H8292" i="7" s="1"/>
  <c r="E8292" i="7"/>
  <c r="D8292" i="7"/>
  <c r="H8291" i="7" a="1"/>
  <c r="H8291" i="7" s="1"/>
  <c r="E8291" i="7"/>
  <c r="D8291" i="7"/>
  <c r="H8290" i="7" a="1"/>
  <c r="H8290" i="7" s="1"/>
  <c r="E8290" i="7"/>
  <c r="D8290" i="7"/>
  <c r="H8286" i="7" l="1" a="1"/>
  <c r="H8286" i="7" s="1"/>
  <c r="E8286" i="7"/>
  <c r="D8286" i="7"/>
  <c r="H8285" i="7" a="1"/>
  <c r="H8285" i="7" s="1"/>
  <c r="E8285" i="7"/>
  <c r="D8285" i="7"/>
  <c r="H8289" i="7" a="1"/>
  <c r="H8289" i="7" s="1"/>
  <c r="E8289" i="7"/>
  <c r="D8289" i="7"/>
  <c r="H8288" i="7" a="1"/>
  <c r="H8288" i="7" s="1"/>
  <c r="E8288" i="7"/>
  <c r="D8288" i="7"/>
  <c r="H8287" i="7" a="1"/>
  <c r="H8287" i="7" s="1"/>
  <c r="E8287" i="7"/>
  <c r="D8287" i="7"/>
  <c r="H8284" i="7" a="1"/>
  <c r="H8284" i="7" s="1"/>
  <c r="E8284" i="7"/>
  <c r="D8284" i="7"/>
  <c r="H8283" i="7" a="1"/>
  <c r="H8283" i="7" s="1"/>
  <c r="E8283" i="7"/>
  <c r="D8283" i="7"/>
  <c r="H8282" i="7" a="1"/>
  <c r="H8282" i="7" s="1"/>
  <c r="E8282" i="7"/>
  <c r="D8282" i="7"/>
  <c r="H8265" i="7" l="1" a="1"/>
  <c r="H8265" i="7" s="1"/>
  <c r="E8265" i="7"/>
  <c r="D8265" i="7"/>
  <c r="H8264" i="7" a="1"/>
  <c r="H8264" i="7" s="1"/>
  <c r="E8264" i="7"/>
  <c r="D8264" i="7"/>
  <c r="H8263" i="7" a="1"/>
  <c r="H8263" i="7" s="1"/>
  <c r="E8263" i="7"/>
  <c r="D8263" i="7"/>
  <c r="H8281" i="7" a="1"/>
  <c r="H8281" i="7" s="1"/>
  <c r="E8281" i="7"/>
  <c r="D8281" i="7"/>
  <c r="H8280" i="7" a="1"/>
  <c r="H8280" i="7" s="1"/>
  <c r="E8280" i="7"/>
  <c r="D8280" i="7"/>
  <c r="H8279" i="7" a="1"/>
  <c r="H8279" i="7" s="1"/>
  <c r="E8279" i="7"/>
  <c r="D8279" i="7"/>
  <c r="H8278" i="7" a="1"/>
  <c r="H8278" i="7" s="1"/>
  <c r="E8278" i="7"/>
  <c r="D8278" i="7"/>
  <c r="H8277" i="7" a="1"/>
  <c r="H8277" i="7" s="1"/>
  <c r="E8277" i="7"/>
  <c r="D8277" i="7"/>
  <c r="H8276" i="7" a="1"/>
  <c r="H8276" i="7" s="1"/>
  <c r="E8276" i="7"/>
  <c r="D8276" i="7"/>
  <c r="H8275" i="7" a="1"/>
  <c r="H8275" i="7" s="1"/>
  <c r="E8275" i="7"/>
  <c r="D8275" i="7"/>
  <c r="H8274" i="7" a="1"/>
  <c r="H8274" i="7" s="1"/>
  <c r="E8274" i="7"/>
  <c r="D8274" i="7"/>
  <c r="H8273" i="7" a="1"/>
  <c r="H8273" i="7" s="1"/>
  <c r="E8273" i="7"/>
  <c r="D8273" i="7"/>
  <c r="H8272" i="7" a="1"/>
  <c r="H8272" i="7" s="1"/>
  <c r="E8272" i="7"/>
  <c r="D8272" i="7"/>
  <c r="H8271" i="7" a="1"/>
  <c r="H8271" i="7" s="1"/>
  <c r="E8271" i="7"/>
  <c r="D8271" i="7"/>
  <c r="H8270" i="7" a="1"/>
  <c r="H8270" i="7" s="1"/>
  <c r="E8270" i="7"/>
  <c r="D8270" i="7"/>
  <c r="H8269" i="7" a="1"/>
  <c r="H8269" i="7" s="1"/>
  <c r="E8269" i="7"/>
  <c r="D8269" i="7"/>
  <c r="H8268" i="7" a="1"/>
  <c r="H8268" i="7" s="1"/>
  <c r="E8268" i="7"/>
  <c r="D8268" i="7"/>
  <c r="H8247" i="7" a="1"/>
  <c r="H8247" i="7" s="1"/>
  <c r="E8247" i="7"/>
  <c r="D8247" i="7"/>
  <c r="H8246" i="7" a="1"/>
  <c r="H8246" i="7" s="1"/>
  <c r="E8246" i="7"/>
  <c r="D8246" i="7"/>
  <c r="H8245" i="7" a="1"/>
  <c r="H8245" i="7" s="1"/>
  <c r="E8245" i="7"/>
  <c r="D8245" i="7"/>
  <c r="H8262" i="7" a="1"/>
  <c r="H8262" i="7" s="1"/>
  <c r="E8262" i="7"/>
  <c r="D8262" i="7"/>
  <c r="H8261" i="7" a="1"/>
  <c r="H8261" i="7" s="1"/>
  <c r="E8261" i="7"/>
  <c r="D8261" i="7"/>
  <c r="H8260" i="7" a="1"/>
  <c r="H8260" i="7" s="1"/>
  <c r="E8260" i="7"/>
  <c r="D8260" i="7"/>
  <c r="H8259" i="7" a="1"/>
  <c r="H8259" i="7" s="1"/>
  <c r="E8259" i="7"/>
  <c r="D8259" i="7"/>
  <c r="H8179" i="7" l="1" a="1"/>
  <c r="H8179" i="7" s="1"/>
  <c r="E8179" i="7"/>
  <c r="D8179" i="7"/>
  <c r="H8178" i="7" a="1"/>
  <c r="H8178" i="7" s="1"/>
  <c r="E8178" i="7"/>
  <c r="D8178" i="7"/>
  <c r="H8258" i="7" l="1" a="1"/>
  <c r="H8258" i="7" s="1"/>
  <c r="E8258" i="7"/>
  <c r="D8258" i="7"/>
  <c r="H8257" i="7" a="1"/>
  <c r="H8257" i="7" s="1"/>
  <c r="E8257" i="7"/>
  <c r="D8257" i="7"/>
  <c r="E8256" i="7"/>
  <c r="D8256" i="7"/>
  <c r="H8255" i="7" a="1"/>
  <c r="H8255" i="7" s="1"/>
  <c r="E8255" i="7"/>
  <c r="D8255" i="7"/>
  <c r="H8244" i="7" a="1"/>
  <c r="H8244" i="7" s="1"/>
  <c r="E8244" i="7"/>
  <c r="D8244" i="7"/>
  <c r="H8243" i="7" a="1"/>
  <c r="H8243" i="7" s="1"/>
  <c r="E8243" i="7"/>
  <c r="D8243" i="7"/>
  <c r="H8254" i="7" a="1"/>
  <c r="H8254" i="7" s="1"/>
  <c r="E8254" i="7"/>
  <c r="D8254" i="7"/>
  <c r="H8253" i="7" a="1"/>
  <c r="H8253" i="7" s="1"/>
  <c r="E8253" i="7"/>
  <c r="D8253" i="7"/>
  <c r="H8242" i="7" a="1"/>
  <c r="H8242" i="7" s="1"/>
  <c r="E8242" i="7"/>
  <c r="D8242" i="7"/>
  <c r="H8241" i="7" a="1"/>
  <c r="H8241" i="7" s="1"/>
  <c r="E8241" i="7"/>
  <c r="D8241" i="7"/>
  <c r="H8252" i="7" a="1"/>
  <c r="H8252" i="7" s="1"/>
  <c r="E8252" i="7"/>
  <c r="D8252" i="7"/>
  <c r="H8251" i="7" a="1"/>
  <c r="H8251" i="7" s="1"/>
  <c r="E8251" i="7"/>
  <c r="D8251" i="7"/>
  <c r="H8250" i="7" a="1"/>
  <c r="H8250" i="7" s="1"/>
  <c r="E8250" i="7"/>
  <c r="D8250" i="7"/>
  <c r="H8240" i="7" l="1" a="1"/>
  <c r="H8240" i="7" s="1"/>
  <c r="E8240" i="7"/>
  <c r="D8240" i="7"/>
  <c r="H8239" i="7" a="1"/>
  <c r="H8239" i="7" s="1"/>
  <c r="E8239" i="7"/>
  <c r="D8239" i="7"/>
  <c r="H8238" i="7" a="1"/>
  <c r="H8238" i="7" s="1"/>
  <c r="E8238" i="7"/>
  <c r="D8238" i="7"/>
  <c r="H8237" i="7" a="1"/>
  <c r="H8237" i="7" s="1"/>
  <c r="E8237" i="7"/>
  <c r="D8237" i="7"/>
  <c r="H8236" i="7" a="1"/>
  <c r="H8236" i="7" s="1"/>
  <c r="E8236" i="7"/>
  <c r="D8236" i="7"/>
  <c r="H8235" i="7" a="1"/>
  <c r="H8235" i="7" s="1"/>
  <c r="E8235" i="7"/>
  <c r="D8235" i="7"/>
  <c r="H8234" i="7" a="1"/>
  <c r="H8234" i="7" s="1"/>
  <c r="E8234" i="7"/>
  <c r="D8234" i="7"/>
  <c r="H8233" i="7" a="1"/>
  <c r="H8233" i="7" s="1"/>
  <c r="E8233" i="7"/>
  <c r="D8233" i="7"/>
  <c r="H8232" i="7" a="1"/>
  <c r="H8232" i="7" s="1"/>
  <c r="E8232" i="7"/>
  <c r="D8232" i="7"/>
  <c r="H8231" i="7" a="1"/>
  <c r="H8231" i="7" s="1"/>
  <c r="E8231" i="7"/>
  <c r="D8231" i="7"/>
  <c r="H8230" i="7" a="1"/>
  <c r="H8230" i="7" s="1"/>
  <c r="E8230" i="7"/>
  <c r="D8230" i="7"/>
  <c r="H8229" i="7" a="1"/>
  <c r="H8229" i="7" s="1"/>
  <c r="E8229" i="7"/>
  <c r="D8229" i="7"/>
  <c r="H8228" i="7" a="1"/>
  <c r="H8228" i="7" s="1"/>
  <c r="E8228" i="7"/>
  <c r="D8228" i="7"/>
  <c r="H8227" i="7" a="1"/>
  <c r="H8227" i="7" s="1"/>
  <c r="E8227" i="7"/>
  <c r="D8227" i="7"/>
  <c r="H8226" i="7" l="1" a="1"/>
  <c r="H8226" i="7" s="1"/>
  <c r="E8226" i="7"/>
  <c r="D8226" i="7"/>
  <c r="H8225" i="7" a="1"/>
  <c r="H8225" i="7" s="1"/>
  <c r="E8225" i="7"/>
  <c r="D8225" i="7"/>
  <c r="E8224" i="7"/>
  <c r="D8224" i="7"/>
  <c r="E8223" i="7"/>
  <c r="D8223" i="7"/>
  <c r="H8222" i="7" a="1"/>
  <c r="H8222" i="7" s="1"/>
  <c r="E8222" i="7"/>
  <c r="D8222" i="7"/>
  <c r="D8220" i="7"/>
  <c r="E8220" i="7"/>
  <c r="H8221" i="7" a="1"/>
  <c r="H8221" i="7" s="1"/>
  <c r="E8221" i="7"/>
  <c r="D8221" i="7"/>
  <c r="H8219" i="7" a="1"/>
  <c r="H8219" i="7" s="1"/>
  <c r="E8219" i="7"/>
  <c r="D8219" i="7"/>
  <c r="H8212" i="7" l="1" a="1"/>
  <c r="H8212" i="7" s="1"/>
  <c r="E8212" i="7"/>
  <c r="D8212" i="7"/>
  <c r="H8211" i="7" a="1"/>
  <c r="H8211" i="7" s="1"/>
  <c r="E8211" i="7"/>
  <c r="D8211" i="7"/>
  <c r="H8210" i="7" a="1"/>
  <c r="H8210" i="7" s="1"/>
  <c r="E8210" i="7"/>
  <c r="D8210" i="7"/>
  <c r="H8209" i="7" a="1"/>
  <c r="H8209" i="7" s="1"/>
  <c r="E8209" i="7"/>
  <c r="D8209" i="7"/>
  <c r="H8218" i="7" l="1" a="1"/>
  <c r="H8218" i="7" s="1"/>
  <c r="E8218" i="7"/>
  <c r="D8218" i="7"/>
  <c r="H8217" i="7" a="1"/>
  <c r="H8217" i="7" s="1"/>
  <c r="E8217" i="7"/>
  <c r="D8217" i="7"/>
  <c r="H8216" i="7" a="1"/>
  <c r="H8216" i="7" s="1"/>
  <c r="E8216" i="7"/>
  <c r="D8216" i="7"/>
  <c r="H8215" i="7" a="1"/>
  <c r="H8215" i="7" s="1"/>
  <c r="E8215" i="7"/>
  <c r="D8215" i="7"/>
  <c r="H8214" i="7" a="1"/>
  <c r="H8214" i="7" s="1"/>
  <c r="E8214" i="7"/>
  <c r="D8214" i="7"/>
  <c r="H8213" i="7" a="1"/>
  <c r="H8213" i="7" s="1"/>
  <c r="E8213" i="7"/>
  <c r="D8213" i="7"/>
  <c r="H8208" i="7" l="1" a="1"/>
  <c r="H8208" i="7" s="1"/>
  <c r="E8208" i="7"/>
  <c r="D8208" i="7"/>
  <c r="H8207" i="7" a="1"/>
  <c r="H8207" i="7" s="1"/>
  <c r="E8207" i="7"/>
  <c r="D8207" i="7"/>
  <c r="H8206" i="7" a="1"/>
  <c r="H8206" i="7" s="1"/>
  <c r="E8206" i="7"/>
  <c r="D8206" i="7"/>
  <c r="H8205" i="7" a="1"/>
  <c r="H8205" i="7" s="1"/>
  <c r="E8205" i="7"/>
  <c r="D8205" i="7"/>
  <c r="H8204" i="7" a="1"/>
  <c r="H8204" i="7" s="1"/>
  <c r="E8204" i="7"/>
  <c r="D8204" i="7"/>
  <c r="H8203" i="7" a="1"/>
  <c r="H8203" i="7" s="1"/>
  <c r="E8203" i="7"/>
  <c r="D8203" i="7"/>
  <c r="H8202" i="7" a="1"/>
  <c r="H8202" i="7" s="1"/>
  <c r="E8202" i="7"/>
  <c r="D8202" i="7"/>
  <c r="H8201" i="7" a="1"/>
  <c r="H8201" i="7" s="1"/>
  <c r="E8201" i="7"/>
  <c r="D8201" i="7"/>
  <c r="E8200" i="7"/>
  <c r="D8200" i="7"/>
  <c r="H8199" i="7" a="1"/>
  <c r="H8199" i="7" s="1"/>
  <c r="E8199" i="7"/>
  <c r="D8199" i="7"/>
  <c r="H8198" i="7" a="1"/>
  <c r="H8198" i="7" s="1"/>
  <c r="E8198" i="7"/>
  <c r="D8198" i="7"/>
  <c r="H8197" i="7" a="1"/>
  <c r="H8197" i="7" s="1"/>
  <c r="E8197" i="7"/>
  <c r="D8197" i="7"/>
  <c r="H8177" i="7" a="1"/>
  <c r="H8177" i="7" s="1"/>
  <c r="E8177" i="7"/>
  <c r="D8177" i="7"/>
  <c r="H8176" i="7" a="1"/>
  <c r="H8176" i="7" s="1"/>
  <c r="E8176" i="7"/>
  <c r="D8176" i="7"/>
  <c r="H8196" i="7" a="1"/>
  <c r="H8196" i="7" s="1"/>
  <c r="E8196" i="7"/>
  <c r="D8196" i="7"/>
  <c r="H8195" i="7" a="1"/>
  <c r="H8195" i="7" s="1"/>
  <c r="E8195" i="7"/>
  <c r="D8195" i="7"/>
  <c r="H8194" i="7" a="1"/>
  <c r="H8194" i="7" s="1"/>
  <c r="E8194" i="7"/>
  <c r="D8194" i="7"/>
  <c r="H8193" i="7" l="1" a="1"/>
  <c r="H8193" i="7" s="1"/>
  <c r="E8193" i="7"/>
  <c r="D8193" i="7"/>
  <c r="H8192" i="7" a="1"/>
  <c r="H8192" i="7" s="1"/>
  <c r="E8192" i="7"/>
  <c r="D8192" i="7"/>
  <c r="H8191" i="7" a="1"/>
  <c r="H8191" i="7" s="1"/>
  <c r="E8191" i="7"/>
  <c r="D8191" i="7"/>
  <c r="H8190" i="7" a="1"/>
  <c r="H8190" i="7" s="1"/>
  <c r="E8190" i="7"/>
  <c r="D8190" i="7"/>
  <c r="H8189" i="7" a="1"/>
  <c r="H8189" i="7" s="1"/>
  <c r="E8189" i="7"/>
  <c r="D8189" i="7"/>
  <c r="H8188" i="7" a="1"/>
  <c r="H8188" i="7" s="1"/>
  <c r="E8188" i="7"/>
  <c r="D8188" i="7"/>
  <c r="H8187" i="7" a="1"/>
  <c r="H8187" i="7" s="1"/>
  <c r="E8187" i="7"/>
  <c r="D8187" i="7"/>
  <c r="H8186" i="7" a="1"/>
  <c r="H8186" i="7" s="1"/>
  <c r="E8186" i="7"/>
  <c r="D8186" i="7"/>
  <c r="H8185" i="7" a="1"/>
  <c r="H8185" i="7" s="1"/>
  <c r="E8185" i="7"/>
  <c r="D8185" i="7"/>
  <c r="H8184" i="7" a="1"/>
  <c r="H8184" i="7" s="1"/>
  <c r="E8184" i="7"/>
  <c r="D8184" i="7"/>
  <c r="H8183" i="7" a="1"/>
  <c r="H8183" i="7" s="1"/>
  <c r="E8183" i="7"/>
  <c r="D8183" i="7"/>
  <c r="H8182" i="7" a="1"/>
  <c r="H8182" i="7" s="1"/>
  <c r="E8182" i="7"/>
  <c r="D8182" i="7"/>
  <c r="H8181" i="7" a="1"/>
  <c r="H8181" i="7" s="1"/>
  <c r="E8181" i="7"/>
  <c r="D8181" i="7"/>
  <c r="H8180" i="7" a="1"/>
  <c r="H8180" i="7" s="1"/>
  <c r="E8180" i="7"/>
  <c r="D8180" i="7"/>
  <c r="H8175" i="7" l="1" a="1"/>
  <c r="H8175" i="7" s="1"/>
  <c r="E8175" i="7"/>
  <c r="D8175" i="7"/>
  <c r="H8174" i="7" a="1"/>
  <c r="H8174" i="7" s="1"/>
  <c r="E8174" i="7"/>
  <c r="D8174" i="7"/>
  <c r="E8173" i="7"/>
  <c r="D8173" i="7"/>
  <c r="H8172" i="7" a="1"/>
  <c r="H8172" i="7" s="1"/>
  <c r="E8172" i="7"/>
  <c r="D8172" i="7"/>
  <c r="H8171" i="7" l="1" a="1"/>
  <c r="H8171" i="7" s="1"/>
  <c r="E8171" i="7"/>
  <c r="D8171" i="7"/>
  <c r="H8170" i="7" a="1"/>
  <c r="H8170" i="7" s="1"/>
  <c r="E8170" i="7"/>
  <c r="D8170" i="7"/>
  <c r="H8169" i="7" a="1"/>
  <c r="H8169" i="7" s="1"/>
  <c r="E8169" i="7"/>
  <c r="D8169" i="7"/>
  <c r="H8168" i="7" a="1"/>
  <c r="H8168" i="7" s="1"/>
  <c r="E8168" i="7"/>
  <c r="D8168" i="7"/>
  <c r="H8167" i="7" a="1"/>
  <c r="H8167" i="7" s="1"/>
  <c r="E8167" i="7"/>
  <c r="D8167" i="7"/>
  <c r="H8166" i="7" a="1"/>
  <c r="H8166" i="7" s="1"/>
  <c r="E8166" i="7"/>
  <c r="D8166" i="7"/>
  <c r="H8165" i="7" a="1"/>
  <c r="H8165" i="7" s="1"/>
  <c r="E8165" i="7"/>
  <c r="D8165" i="7"/>
  <c r="H8164" i="7" a="1"/>
  <c r="H8164" i="7" s="1"/>
  <c r="E8164" i="7"/>
  <c r="D8164" i="7"/>
  <c r="H8163" i="7" a="1"/>
  <c r="H8163" i="7" s="1"/>
  <c r="E8163" i="7"/>
  <c r="D8163" i="7"/>
  <c r="H8162" i="7" a="1"/>
  <c r="H8162" i="7" s="1"/>
  <c r="E8162" i="7"/>
  <c r="D8162" i="7"/>
  <c r="H8161" i="7" a="1"/>
  <c r="H8161" i="7" s="1"/>
  <c r="E8161" i="7"/>
  <c r="D8161" i="7"/>
  <c r="H8160" i="7" a="1"/>
  <c r="H8160" i="7" s="1"/>
  <c r="E8160" i="7"/>
  <c r="D8160" i="7"/>
  <c r="H8159" i="7" a="1"/>
  <c r="H8159" i="7" s="1"/>
  <c r="E8159" i="7"/>
  <c r="D8159" i="7"/>
  <c r="H8158" i="7" a="1"/>
  <c r="H8158" i="7" s="1"/>
  <c r="E8158" i="7"/>
  <c r="D8158" i="7"/>
  <c r="H8157" i="7" a="1"/>
  <c r="H8157" i="7" s="1"/>
  <c r="E8157" i="7"/>
  <c r="D8157" i="7"/>
  <c r="H8156" i="7" a="1"/>
  <c r="H8156" i="7" s="1"/>
  <c r="E8156" i="7"/>
  <c r="D8156" i="7"/>
  <c r="H8155" i="7" a="1"/>
  <c r="H8155" i="7" s="1"/>
  <c r="E8155" i="7"/>
  <c r="D8155" i="7"/>
  <c r="H8154" i="7" l="1" a="1"/>
  <c r="H8154" i="7" s="1"/>
  <c r="E8154" i="7"/>
  <c r="D8154" i="7"/>
  <c r="H8153" i="7" a="1"/>
  <c r="H8153" i="7" s="1"/>
  <c r="E8153" i="7"/>
  <c r="D8153" i="7"/>
  <c r="E8152" i="7"/>
  <c r="D8152" i="7"/>
  <c r="H8151" i="7" a="1"/>
  <c r="H8151" i="7" s="1"/>
  <c r="E8151" i="7"/>
  <c r="D8151" i="7"/>
  <c r="H8138" i="7" a="1"/>
  <c r="H8138" i="7" s="1"/>
  <c r="E8138" i="7"/>
  <c r="D8138" i="7"/>
  <c r="H8137" i="7" a="1"/>
  <c r="H8137" i="7" s="1"/>
  <c r="E8137" i="7"/>
  <c r="D8137" i="7"/>
  <c r="E8136" i="7"/>
  <c r="D8136" i="7"/>
  <c r="E8135" i="7"/>
  <c r="D8135" i="7"/>
  <c r="H8134" i="7" a="1"/>
  <c r="H8134" i="7" s="1"/>
  <c r="E8134" i="7"/>
  <c r="D8134" i="7"/>
  <c r="H8131" i="7" a="1"/>
  <c r="H8131" i="7" s="1"/>
  <c r="E8131" i="7"/>
  <c r="D8131" i="7"/>
  <c r="H8130" i="7" a="1"/>
  <c r="H8130" i="7" s="1"/>
  <c r="E8130" i="7"/>
  <c r="D8130" i="7"/>
  <c r="E8129" i="7"/>
  <c r="D8129" i="7"/>
  <c r="H8128" i="7" a="1"/>
  <c r="H8128" i="7" s="1"/>
  <c r="E8128" i="7"/>
  <c r="D8128" i="7"/>
  <c r="H8150" i="7" l="1" a="1"/>
  <c r="H8150" i="7" s="1"/>
  <c r="E8150" i="7"/>
  <c r="D8150" i="7"/>
  <c r="H8149" i="7" a="1"/>
  <c r="H8149" i="7" s="1"/>
  <c r="E8149" i="7"/>
  <c r="D8149" i="7"/>
  <c r="H8148" i="7" a="1"/>
  <c r="H8148" i="7" s="1"/>
  <c r="E8148" i="7"/>
  <c r="D8148" i="7"/>
  <c r="H8147" i="7" a="1"/>
  <c r="H8147" i="7" s="1"/>
  <c r="E8147" i="7"/>
  <c r="D8147" i="7"/>
  <c r="H8133" i="7" l="1" a="1"/>
  <c r="H8133" i="7" s="1"/>
  <c r="E8133" i="7"/>
  <c r="D8133" i="7"/>
  <c r="H8132" i="7" a="1"/>
  <c r="H8132" i="7" s="1"/>
  <c r="E8132" i="7"/>
  <c r="D8132" i="7"/>
  <c r="H8146" i="7" a="1"/>
  <c r="H8146" i="7" s="1"/>
  <c r="E8146" i="7"/>
  <c r="D8146" i="7"/>
  <c r="H8145" i="7" a="1"/>
  <c r="H8145" i="7" s="1"/>
  <c r="E8145" i="7"/>
  <c r="D8145" i="7"/>
  <c r="H8124" i="7" a="1"/>
  <c r="H8124" i="7" s="1"/>
  <c r="E8124" i="7"/>
  <c r="D8124" i="7"/>
  <c r="H8123" i="7" a="1"/>
  <c r="H8123" i="7" s="1"/>
  <c r="E8123" i="7"/>
  <c r="D8123" i="7"/>
  <c r="H8122" i="7" a="1"/>
  <c r="H8122" i="7" s="1"/>
  <c r="E8122" i="7"/>
  <c r="D8122" i="7"/>
  <c r="H8144" i="7" a="1"/>
  <c r="H8144" i="7" s="1"/>
  <c r="E8144" i="7"/>
  <c r="D8144" i="7"/>
  <c r="H8143" i="7" a="1"/>
  <c r="H8143" i="7" s="1"/>
  <c r="E8143" i="7"/>
  <c r="D8143" i="7"/>
  <c r="H8142" i="7" a="1"/>
  <c r="H8142" i="7" s="1"/>
  <c r="E8142" i="7"/>
  <c r="D8142" i="7"/>
  <c r="H8141" i="7" a="1"/>
  <c r="H8141" i="7" s="1"/>
  <c r="E8141" i="7"/>
  <c r="D8141" i="7"/>
  <c r="H8140" i="7" a="1"/>
  <c r="H8140" i="7" s="1"/>
  <c r="E8140" i="7"/>
  <c r="D8140" i="7"/>
  <c r="H8139" i="7" a="1"/>
  <c r="H8139" i="7" s="1"/>
  <c r="E8139" i="7"/>
  <c r="D8139" i="7"/>
  <c r="H8127" i="7" a="1"/>
  <c r="H8127" i="7" s="1"/>
  <c r="E8127" i="7"/>
  <c r="D8127" i="7"/>
  <c r="H8126" i="7" a="1"/>
  <c r="H8126" i="7" s="1"/>
  <c r="E8126" i="7"/>
  <c r="D8126" i="7"/>
  <c r="H8125" i="7" a="1"/>
  <c r="H8125" i="7" s="1"/>
  <c r="E8125" i="7"/>
  <c r="D8125" i="7"/>
  <c r="H8121" i="7" a="1"/>
  <c r="H8121" i="7" s="1"/>
  <c r="E8121" i="7"/>
  <c r="D8121" i="7"/>
  <c r="H8120" i="7" a="1"/>
  <c r="H8120" i="7" s="1"/>
  <c r="E8120" i="7"/>
  <c r="D8120" i="7"/>
  <c r="H8119" i="7" a="1"/>
  <c r="H8119" i="7" s="1"/>
  <c r="E8119" i="7"/>
  <c r="D8119" i="7"/>
  <c r="H8114" i="7" a="1"/>
  <c r="H8114" i="7" s="1"/>
  <c r="E8114" i="7"/>
  <c r="D8114" i="7"/>
  <c r="H8113" i="7" a="1"/>
  <c r="H8113" i="7" s="1"/>
  <c r="E8113" i="7"/>
  <c r="D8113" i="7"/>
  <c r="H8112" i="7" l="1" a="1"/>
  <c r="H8112" i="7" s="1"/>
  <c r="E8112" i="7"/>
  <c r="D8112" i="7"/>
  <c r="H8111" i="7" a="1"/>
  <c r="H8111" i="7" s="1"/>
  <c r="E8111" i="7"/>
  <c r="D8111" i="7"/>
  <c r="H8110" i="7" a="1"/>
  <c r="H8110" i="7" s="1"/>
  <c r="E8110" i="7"/>
  <c r="D8110" i="7"/>
  <c r="H8109" i="7" a="1"/>
  <c r="H8109" i="7" s="1"/>
  <c r="E8109" i="7"/>
  <c r="D8109" i="7"/>
  <c r="H8108" i="7" a="1"/>
  <c r="H8108" i="7" s="1"/>
  <c r="E8108" i="7"/>
  <c r="D8108" i="7"/>
  <c r="H8107" i="7" a="1"/>
  <c r="H8107" i="7" s="1"/>
  <c r="E8107" i="7"/>
  <c r="D8107" i="7"/>
  <c r="H8118" i="7" a="1"/>
  <c r="H8118" i="7" s="1"/>
  <c r="E8118" i="7"/>
  <c r="D8118" i="7"/>
  <c r="H8117" i="7" a="1"/>
  <c r="H8117" i="7" s="1"/>
  <c r="E8117" i="7"/>
  <c r="D8117" i="7"/>
  <c r="E8116" i="7"/>
  <c r="D8116" i="7"/>
  <c r="H8115" i="7" a="1"/>
  <c r="H8115" i="7" s="1"/>
  <c r="E8115" i="7"/>
  <c r="D8115" i="7"/>
  <c r="H8106" i="7" a="1"/>
  <c r="H8106" i="7" s="1"/>
  <c r="E8106" i="7"/>
  <c r="D8106" i="7"/>
  <c r="H8105" i="7" a="1"/>
  <c r="H8105" i="7" s="1"/>
  <c r="E8105" i="7"/>
  <c r="D8105" i="7"/>
  <c r="H8104" i="7" a="1"/>
  <c r="H8104" i="7" s="1"/>
  <c r="E8104" i="7"/>
  <c r="D8104" i="7"/>
  <c r="H8103" i="7" a="1"/>
  <c r="H8103" i="7" s="1"/>
  <c r="E8103" i="7"/>
  <c r="D8103" i="7"/>
  <c r="H8102" i="7" a="1"/>
  <c r="H8102" i="7" s="1"/>
  <c r="E8102" i="7"/>
  <c r="D8102" i="7"/>
  <c r="H8101" i="7" a="1"/>
  <c r="H8101" i="7" s="1"/>
  <c r="E8101" i="7"/>
  <c r="D8101" i="7"/>
  <c r="H8100" i="7" a="1"/>
  <c r="H8100" i="7" s="1"/>
  <c r="E8100" i="7"/>
  <c r="D8100" i="7"/>
  <c r="H8099" i="7" a="1"/>
  <c r="H8099" i="7" s="1"/>
  <c r="E8099" i="7"/>
  <c r="D8099" i="7"/>
  <c r="H8092" i="7" a="1"/>
  <c r="H8092" i="7" s="1"/>
  <c r="E8092" i="7"/>
  <c r="D8092" i="7"/>
  <c r="H8091" i="7" a="1"/>
  <c r="H8091" i="7" s="1"/>
  <c r="E8091" i="7"/>
  <c r="D8091" i="7"/>
  <c r="H8090" i="7" a="1"/>
  <c r="H8090" i="7" s="1"/>
  <c r="E8090" i="7"/>
  <c r="D8090" i="7"/>
  <c r="H8089" i="7" a="1"/>
  <c r="H8089" i="7" s="1"/>
  <c r="E8089" i="7"/>
  <c r="D8089" i="7"/>
  <c r="H8084" i="7" a="1"/>
  <c r="H8084" i="7" s="1"/>
  <c r="E8084" i="7"/>
  <c r="D8084" i="7"/>
  <c r="H8083" i="7" a="1"/>
  <c r="H8083" i="7" s="1"/>
  <c r="E8083" i="7"/>
  <c r="D8083" i="7"/>
  <c r="H8082" i="7" a="1"/>
  <c r="H8082" i="7" s="1"/>
  <c r="E8082" i="7"/>
  <c r="D8082" i="7"/>
  <c r="H8088" i="7" a="1"/>
  <c r="H8088" i="7" s="1"/>
  <c r="E8088" i="7"/>
  <c r="D8088" i="7"/>
  <c r="H8087" i="7" a="1"/>
  <c r="H8087" i="7" s="1"/>
  <c r="E8087" i="7"/>
  <c r="D8087" i="7"/>
  <c r="E8086" i="7"/>
  <c r="D8086" i="7"/>
  <c r="H8085" i="7" a="1"/>
  <c r="H8085" i="7" s="1"/>
  <c r="E8085" i="7"/>
  <c r="D8085" i="7"/>
  <c r="H8081" i="7" l="1" a="1"/>
  <c r="H8081" i="7" s="1"/>
  <c r="E8081" i="7"/>
  <c r="D8081" i="7"/>
  <c r="H8080" i="7" a="1"/>
  <c r="H8080" i="7" s="1"/>
  <c r="E8080" i="7"/>
  <c r="D8080" i="7"/>
  <c r="H8079" i="7" a="1"/>
  <c r="H8079" i="7" s="1"/>
  <c r="E8079" i="7"/>
  <c r="D8079" i="7"/>
  <c r="H8078" i="7" l="1" a="1"/>
  <c r="H8078" i="7" s="1"/>
  <c r="E8078" i="7"/>
  <c r="D8078" i="7"/>
  <c r="H8077" i="7" a="1"/>
  <c r="H8077" i="7" s="1"/>
  <c r="E8077" i="7"/>
  <c r="D8077" i="7"/>
  <c r="H8076" i="7" a="1"/>
  <c r="H8076" i="7" s="1"/>
  <c r="E8076" i="7"/>
  <c r="D8076" i="7"/>
  <c r="H8075" i="7" a="1"/>
  <c r="H8075" i="7" s="1"/>
  <c r="E8075" i="7"/>
  <c r="D8075" i="7"/>
  <c r="H8062" i="7" l="1" a="1"/>
  <c r="H8062" i="7" s="1"/>
  <c r="E8062" i="7"/>
  <c r="D8062" i="7"/>
  <c r="H8061" i="7" a="1"/>
  <c r="H8061" i="7" s="1"/>
  <c r="E8061" i="7"/>
  <c r="D8061" i="7"/>
  <c r="E8060" i="7"/>
  <c r="D8060" i="7"/>
  <c r="H8059" i="7" a="1"/>
  <c r="H8059" i="7" s="1"/>
  <c r="E8059" i="7"/>
  <c r="D8059" i="7"/>
  <c r="H8098" i="7" a="1"/>
  <c r="H8098" i="7" s="1"/>
  <c r="E8098" i="7"/>
  <c r="D8098" i="7"/>
  <c r="H8097" i="7" a="1"/>
  <c r="H8097" i="7" s="1"/>
  <c r="E8097" i="7"/>
  <c r="D8097" i="7"/>
  <c r="H8096" i="7" a="1"/>
  <c r="H8096" i="7" s="1"/>
  <c r="E8096" i="7"/>
  <c r="D8096" i="7"/>
  <c r="H8095" i="7" a="1"/>
  <c r="H8095" i="7" s="1"/>
  <c r="E8095" i="7"/>
  <c r="D8095" i="7"/>
  <c r="H8094" i="7" a="1"/>
  <c r="H8094" i="7" s="1"/>
  <c r="E8094" i="7"/>
  <c r="D8094" i="7"/>
  <c r="H8093" i="7" a="1"/>
  <c r="H8093" i="7" s="1"/>
  <c r="E8093" i="7"/>
  <c r="D8093" i="7"/>
  <c r="H8069" i="7" l="1" a="1"/>
  <c r="H8069" i="7" s="1"/>
  <c r="E8069" i="7"/>
  <c r="D8069" i="7"/>
  <c r="H8068" i="7" a="1"/>
  <c r="H8068" i="7" s="1"/>
  <c r="E8068" i="7"/>
  <c r="D8068" i="7"/>
  <c r="H8067" i="7" a="1"/>
  <c r="H8067" i="7" s="1"/>
  <c r="E8067" i="7"/>
  <c r="D8067" i="7"/>
  <c r="H8066" i="7" a="1"/>
  <c r="H8066" i="7" s="1"/>
  <c r="E8066" i="7"/>
  <c r="D8066" i="7"/>
  <c r="E8064" i="7"/>
  <c r="D8064" i="7"/>
  <c r="H8065" i="7" a="1"/>
  <c r="H8065" i="7" s="1"/>
  <c r="E8065" i="7"/>
  <c r="D8065" i="7"/>
  <c r="H8063" i="7" a="1"/>
  <c r="H8063" i="7" s="1"/>
  <c r="E8063" i="7"/>
  <c r="D8063" i="7"/>
  <c r="H8052" i="7" a="1"/>
  <c r="H8052" i="7" s="1"/>
  <c r="E8052" i="7"/>
  <c r="D8052" i="7"/>
  <c r="H8051" i="7" a="1"/>
  <c r="H8051" i="7" s="1"/>
  <c r="E8051" i="7"/>
  <c r="D8051" i="7"/>
  <c r="E8047" i="7"/>
  <c r="D8047" i="7"/>
  <c r="H8050" i="7" a="1"/>
  <c r="H8050" i="7" s="1"/>
  <c r="E8050" i="7"/>
  <c r="D8050" i="7"/>
  <c r="H8049" i="7" a="1"/>
  <c r="H8049" i="7" s="1"/>
  <c r="E8049" i="7"/>
  <c r="D8049" i="7"/>
  <c r="H8048" i="7" a="1"/>
  <c r="H8048" i="7" s="1"/>
  <c r="E8048" i="7"/>
  <c r="D8048" i="7"/>
  <c r="H8046" i="7" a="1"/>
  <c r="H8046" i="7" s="1"/>
  <c r="E8046" i="7"/>
  <c r="D8046" i="7"/>
  <c r="H8045" i="7" a="1"/>
  <c r="H8045" i="7" s="1"/>
  <c r="E8045" i="7"/>
  <c r="D8045" i="7"/>
  <c r="H8044" i="7" a="1"/>
  <c r="H8044" i="7" s="1"/>
  <c r="E8044" i="7"/>
  <c r="D8044" i="7"/>
  <c r="H8040" i="7" a="1"/>
  <c r="H8040" i="7" s="1"/>
  <c r="E8040" i="7"/>
  <c r="D8040" i="7"/>
  <c r="H8039" i="7" a="1"/>
  <c r="H8039" i="7" s="1"/>
  <c r="E8039" i="7"/>
  <c r="D8039" i="7"/>
  <c r="E8038" i="7"/>
  <c r="D8038" i="7"/>
  <c r="H8037" i="7" a="1"/>
  <c r="H8037" i="7" s="1"/>
  <c r="E8037" i="7"/>
  <c r="D8037" i="7"/>
  <c r="H8033" i="7" a="1"/>
  <c r="H8033" i="7" s="1"/>
  <c r="E8033" i="7"/>
  <c r="D8033" i="7"/>
  <c r="H8032" i="7" a="1"/>
  <c r="H8032" i="7" s="1"/>
  <c r="E8032" i="7"/>
  <c r="D8032" i="7"/>
  <c r="H8031" i="7" a="1"/>
  <c r="H8031" i="7" s="1"/>
  <c r="E8031" i="7"/>
  <c r="D8031" i="7"/>
  <c r="H8030" i="7" a="1"/>
  <c r="H8030" i="7" s="1"/>
  <c r="E8030" i="7"/>
  <c r="D8030" i="7"/>
  <c r="E8018" i="7"/>
  <c r="D8018" i="7"/>
  <c r="E8017" i="7"/>
  <c r="D8017" i="7"/>
  <c r="H8016" i="7" a="1"/>
  <c r="H8016" i="7" s="1"/>
  <c r="E8016" i="7"/>
  <c r="D8016" i="7"/>
  <c r="E8015" i="7"/>
  <c r="D8015" i="7"/>
  <c r="E8014" i="7"/>
  <c r="D8014" i="7"/>
  <c r="H8013" i="7" a="1"/>
  <c r="H8013" i="7" s="1"/>
  <c r="E8013" i="7"/>
  <c r="D8013" i="7"/>
  <c r="H8007" i="7" a="1"/>
  <c r="H8007" i="7" s="1"/>
  <c r="E8007" i="7"/>
  <c r="D8007" i="7"/>
  <c r="H8006" i="7" a="1"/>
  <c r="H8006" i="7" s="1"/>
  <c r="E8006" i="7"/>
  <c r="D8006" i="7"/>
  <c r="H8055" i="7" a="1"/>
  <c r="H8055" i="7" s="1"/>
  <c r="E8055" i="7"/>
  <c r="D8055" i="7"/>
  <c r="H8054" i="7" a="1"/>
  <c r="H8054" i="7" s="1"/>
  <c r="E8054" i="7"/>
  <c r="D8054" i="7"/>
  <c r="H8053" i="7" a="1"/>
  <c r="H8053" i="7" s="1"/>
  <c r="E8053" i="7"/>
  <c r="D8053" i="7"/>
  <c r="H8036" i="7" a="1"/>
  <c r="H8036" i="7" s="1"/>
  <c r="E8036" i="7"/>
  <c r="D8036" i="7"/>
  <c r="H8035" i="7" a="1"/>
  <c r="H8035" i="7" s="1"/>
  <c r="E8035" i="7"/>
  <c r="D8035" i="7"/>
  <c r="H8034" i="7" a="1"/>
  <c r="H8034" i="7" s="1"/>
  <c r="E8034" i="7"/>
  <c r="D8034" i="7"/>
  <c r="H8021" i="7" a="1"/>
  <c r="H8021" i="7" s="1"/>
  <c r="E8021" i="7"/>
  <c r="D8021" i="7"/>
  <c r="H8020" i="7" a="1"/>
  <c r="H8020" i="7" s="1"/>
  <c r="E8020" i="7"/>
  <c r="D8020" i="7"/>
  <c r="H8019" i="7" a="1"/>
  <c r="H8019" i="7" s="1"/>
  <c r="E8019" i="7"/>
  <c r="D8019" i="7"/>
  <c r="E8010" i="7"/>
  <c r="D8010" i="7"/>
  <c r="E8009" i="7"/>
  <c r="D8009" i="7"/>
  <c r="H8008" i="7" a="1"/>
  <c r="H8008" i="7" s="1"/>
  <c r="E8008" i="7"/>
  <c r="D8008" i="7"/>
  <c r="H8012" i="7" l="1" a="1"/>
  <c r="H8012" i="7" s="1"/>
  <c r="E8012" i="7"/>
  <c r="D8012" i="7"/>
  <c r="H8011" i="7" a="1"/>
  <c r="H8011" i="7" s="1"/>
  <c r="E8011" i="7"/>
  <c r="D8011" i="7"/>
  <c r="H8074" i="7" a="1"/>
  <c r="H8074" i="7" s="1"/>
  <c r="E8074" i="7"/>
  <c r="D8074" i="7"/>
  <c r="H8073" i="7" a="1"/>
  <c r="H8073" i="7" s="1"/>
  <c r="E8073" i="7"/>
  <c r="D8073" i="7"/>
  <c r="H8072" i="7" a="1"/>
  <c r="H8072" i="7" s="1"/>
  <c r="E8072" i="7"/>
  <c r="D8072" i="7"/>
  <c r="H8071" i="7" a="1"/>
  <c r="H8071" i="7" s="1"/>
  <c r="E8071" i="7"/>
  <c r="D8071" i="7"/>
  <c r="H8070" i="7" a="1"/>
  <c r="H8070" i="7" s="1"/>
  <c r="E8070" i="7"/>
  <c r="D8070" i="7"/>
  <c r="H8058" i="7" a="1"/>
  <c r="H8058" i="7" s="1"/>
  <c r="E8058" i="7"/>
  <c r="D8058" i="7"/>
  <c r="H8057" i="7" a="1"/>
  <c r="H8057" i="7" s="1"/>
  <c r="E8057" i="7"/>
  <c r="D8057" i="7"/>
  <c r="H8056" i="7" a="1"/>
  <c r="H8056" i="7" s="1"/>
  <c r="E8056" i="7"/>
  <c r="D8056" i="7"/>
  <c r="H8043" i="7" a="1"/>
  <c r="H8043" i="7" s="1"/>
  <c r="E8043" i="7"/>
  <c r="D8043" i="7"/>
  <c r="H8042" i="7" a="1"/>
  <c r="H8042" i="7" s="1"/>
  <c r="E8042" i="7"/>
  <c r="D8042" i="7"/>
  <c r="H8041" i="7" a="1"/>
  <c r="H8041" i="7" s="1"/>
  <c r="E8041" i="7"/>
  <c r="D8041" i="7"/>
  <c r="H8029" i="7" a="1"/>
  <c r="H8029" i="7" s="1"/>
  <c r="E8029" i="7"/>
  <c r="D8029" i="7"/>
  <c r="H8028" i="7" a="1"/>
  <c r="H8028" i="7" s="1"/>
  <c r="E8028" i="7"/>
  <c r="D8028" i="7"/>
  <c r="H8027" i="7" a="1"/>
  <c r="H8027" i="7" s="1"/>
  <c r="E8027" i="7"/>
  <c r="D8027" i="7"/>
  <c r="H8026" i="7" a="1"/>
  <c r="H8026" i="7" s="1"/>
  <c r="E8026" i="7"/>
  <c r="D8026" i="7"/>
  <c r="H8025" i="7" a="1"/>
  <c r="H8025" i="7" s="1"/>
  <c r="E8025" i="7"/>
  <c r="D8025" i="7"/>
  <c r="H8024" i="7" a="1"/>
  <c r="H8024" i="7" s="1"/>
  <c r="E8024" i="7"/>
  <c r="D8024" i="7"/>
  <c r="H8023" i="7" a="1"/>
  <c r="H8023" i="7" s="1"/>
  <c r="E8023" i="7"/>
  <c r="D8023" i="7"/>
  <c r="H8022" i="7" a="1"/>
  <c r="H8022" i="7" s="1"/>
  <c r="E8022" i="7"/>
  <c r="D8022" i="7"/>
  <c r="N5220" i="7" l="1"/>
  <c r="N5226" i="7"/>
  <c r="N5225" i="7"/>
  <c r="H7979" i="7" a="1"/>
  <c r="H7979" i="7" s="1"/>
  <c r="E7979" i="7"/>
  <c r="D7979" i="7"/>
  <c r="H7978" i="7" a="1"/>
  <c r="H7978" i="7" s="1"/>
  <c r="E7978" i="7"/>
  <c r="D7978" i="7"/>
  <c r="N5222" i="7" l="1"/>
  <c r="N5227" i="7"/>
  <c r="N5228" i="7" s="1"/>
  <c r="D12" i="2"/>
  <c r="N7384" i="7" l="1"/>
  <c r="H8005" i="7" l="1" a="1"/>
  <c r="H8005" i="7" s="1"/>
  <c r="E8005" i="7"/>
  <c r="D8005" i="7"/>
  <c r="H8004" i="7" a="1"/>
  <c r="H8004" i="7" s="1"/>
  <c r="E8004" i="7"/>
  <c r="D8004" i="7"/>
  <c r="H8003" i="7" a="1"/>
  <c r="H8003" i="7" s="1"/>
  <c r="E8003" i="7"/>
  <c r="D8003" i="7"/>
  <c r="H8002" i="7" a="1"/>
  <c r="H8002" i="7" s="1"/>
  <c r="E8002" i="7"/>
  <c r="D8002" i="7"/>
  <c r="H8001" i="7" a="1"/>
  <c r="H8001" i="7" s="1"/>
  <c r="E8001" i="7"/>
  <c r="D8001" i="7"/>
  <c r="H8000" i="7" a="1"/>
  <c r="H8000" i="7" s="1"/>
  <c r="E8000" i="7"/>
  <c r="D8000" i="7"/>
  <c r="H7977" i="7" a="1"/>
  <c r="H7977" i="7" s="1"/>
  <c r="E7977" i="7"/>
  <c r="D7977" i="7"/>
  <c r="H7976" i="7" a="1"/>
  <c r="H7976" i="7" s="1"/>
  <c r="E7976" i="7"/>
  <c r="D7976" i="7"/>
  <c r="H7975" i="7" a="1"/>
  <c r="H7975" i="7" s="1"/>
  <c r="E7975" i="7"/>
  <c r="D7975" i="7"/>
  <c r="H7974" i="7" a="1"/>
  <c r="H7974" i="7" s="1"/>
  <c r="E7974" i="7"/>
  <c r="D7974" i="7"/>
  <c r="H7999" i="7" a="1"/>
  <c r="H7999" i="7" s="1"/>
  <c r="E7999" i="7"/>
  <c r="D7999" i="7"/>
  <c r="H7998" i="7" a="1"/>
  <c r="H7998" i="7" s="1"/>
  <c r="E7998" i="7"/>
  <c r="D7998" i="7"/>
  <c r="H7997" i="7" a="1"/>
  <c r="H7997" i="7" s="1"/>
  <c r="E7997" i="7"/>
  <c r="D7997" i="7"/>
  <c r="H7996" i="7" a="1"/>
  <c r="H7996" i="7" s="1"/>
  <c r="E7996" i="7"/>
  <c r="D7996" i="7"/>
  <c r="H7995" i="7" a="1"/>
  <c r="H7995" i="7" s="1"/>
  <c r="E7995" i="7"/>
  <c r="D7995" i="7"/>
  <c r="H7994" i="7" a="1"/>
  <c r="H7994" i="7" s="1"/>
  <c r="E7994" i="7"/>
  <c r="D7994" i="7"/>
  <c r="H7973" i="7" a="1"/>
  <c r="H7973" i="7" s="1"/>
  <c r="E7973" i="7"/>
  <c r="D7973" i="7"/>
  <c r="H7972" i="7" a="1"/>
  <c r="H7972" i="7" s="1"/>
  <c r="E7972" i="7"/>
  <c r="D7972" i="7"/>
  <c r="H7971" i="7" a="1"/>
  <c r="H7971" i="7" s="1"/>
  <c r="E7971" i="7"/>
  <c r="D7971" i="7"/>
  <c r="H7970" i="7" a="1"/>
  <c r="H7970" i="7" s="1"/>
  <c r="E7970" i="7"/>
  <c r="D7970" i="7"/>
  <c r="H7969" i="7" a="1"/>
  <c r="H7969" i="7" s="1"/>
  <c r="E7969" i="7"/>
  <c r="D7969" i="7"/>
  <c r="H7968" i="7" a="1"/>
  <c r="H7968" i="7" s="1"/>
  <c r="E7968" i="7"/>
  <c r="D7968" i="7"/>
  <c r="H7967" i="7" a="1"/>
  <c r="H7967" i="7" s="1"/>
  <c r="E7967" i="7"/>
  <c r="D7967" i="7"/>
  <c r="H7966" i="7" a="1"/>
  <c r="H7966" i="7" s="1"/>
  <c r="E7966" i="7"/>
  <c r="D7966" i="7"/>
  <c r="H7965" i="7" a="1"/>
  <c r="H7965" i="7" s="1"/>
  <c r="E7965" i="7"/>
  <c r="D7965" i="7"/>
  <c r="H7964" i="7" a="1"/>
  <c r="H7964" i="7" s="1"/>
  <c r="E7964" i="7"/>
  <c r="D7964" i="7"/>
  <c r="H7963" i="7" a="1"/>
  <c r="H7963" i="7" s="1"/>
  <c r="E7963" i="7"/>
  <c r="D7963" i="7"/>
  <c r="H7962" i="7" a="1"/>
  <c r="H7962" i="7" s="1"/>
  <c r="E7962" i="7"/>
  <c r="D7962" i="7"/>
  <c r="H7961" i="7" a="1"/>
  <c r="H7961" i="7" s="1"/>
  <c r="E7961" i="7"/>
  <c r="D7961" i="7"/>
  <c r="H7960" i="7" a="1"/>
  <c r="H7960" i="7" s="1"/>
  <c r="E7960" i="7"/>
  <c r="D7960" i="7"/>
  <c r="H7959" i="7" a="1"/>
  <c r="H7959" i="7" s="1"/>
  <c r="E7959" i="7"/>
  <c r="D7959" i="7"/>
  <c r="H7958" i="7" a="1"/>
  <c r="H7958" i="7" s="1"/>
  <c r="E7958" i="7"/>
  <c r="D7958" i="7"/>
  <c r="H7957" i="7" a="1"/>
  <c r="H7957" i="7" s="1"/>
  <c r="E7957" i="7"/>
  <c r="D7957" i="7"/>
  <c r="H7956" i="7" a="1"/>
  <c r="H7956" i="7" s="1"/>
  <c r="E7956" i="7"/>
  <c r="D7956" i="7"/>
  <c r="H7993" i="7" a="1"/>
  <c r="H7993" i="7" s="1"/>
  <c r="E7993" i="7"/>
  <c r="D7993" i="7"/>
  <c r="H7992" i="7" a="1"/>
  <c r="H7992" i="7" s="1"/>
  <c r="E7992" i="7"/>
  <c r="D7992" i="7"/>
  <c r="H7991" i="7" a="1"/>
  <c r="H7991" i="7" s="1"/>
  <c r="E7991" i="7"/>
  <c r="D7991" i="7"/>
  <c r="H7990" i="7" a="1"/>
  <c r="H7990" i="7" s="1"/>
  <c r="E7990" i="7"/>
  <c r="D7990" i="7"/>
  <c r="H7989" i="7" a="1"/>
  <c r="H7989" i="7" s="1"/>
  <c r="E7989" i="7"/>
  <c r="D7989" i="7"/>
  <c r="H7988" i="7" a="1"/>
  <c r="H7988" i="7" s="1"/>
  <c r="E7988" i="7"/>
  <c r="D7988" i="7"/>
  <c r="H7987" i="7" a="1"/>
  <c r="H7987" i="7" s="1"/>
  <c r="E7987" i="7"/>
  <c r="D7987" i="7"/>
  <c r="H7986" i="7" a="1"/>
  <c r="H7986" i="7" s="1"/>
  <c r="E7986" i="7"/>
  <c r="D7986" i="7"/>
  <c r="H7985" i="7" a="1"/>
  <c r="H7985" i="7" s="1"/>
  <c r="E7985" i="7"/>
  <c r="D7985" i="7"/>
  <c r="H7984" i="7" a="1"/>
  <c r="H7984" i="7" s="1"/>
  <c r="E7984" i="7"/>
  <c r="D7984" i="7"/>
  <c r="H7983" i="7" a="1"/>
  <c r="H7983" i="7" s="1"/>
  <c r="E7983" i="7"/>
  <c r="D7983" i="7"/>
  <c r="H7982" i="7" a="1"/>
  <c r="H7982" i="7" s="1"/>
  <c r="E7982" i="7"/>
  <c r="D7982" i="7"/>
  <c r="H7981" i="7" a="1"/>
  <c r="H7981" i="7" s="1"/>
  <c r="E7981" i="7"/>
  <c r="D7981" i="7"/>
  <c r="H7980" i="7" a="1"/>
  <c r="H7980" i="7" s="1"/>
  <c r="E7980" i="7"/>
  <c r="D7980" i="7"/>
  <c r="H7955" i="7" a="1"/>
  <c r="H7955" i="7" s="1"/>
  <c r="E7955" i="7"/>
  <c r="D7955" i="7"/>
  <c r="H7954" i="7" a="1"/>
  <c r="H7954" i="7" s="1"/>
  <c r="E7954" i="7"/>
  <c r="D7954" i="7"/>
  <c r="E7953" i="7"/>
  <c r="D7953" i="7"/>
  <c r="H7952" i="7" a="1"/>
  <c r="H7952" i="7" s="1"/>
  <c r="E7952" i="7"/>
  <c r="D7952" i="7"/>
  <c r="H7951" i="7" a="1"/>
  <c r="H7951" i="7" s="1"/>
  <c r="E7951" i="7"/>
  <c r="D7951" i="7"/>
  <c r="H7950" i="7" a="1"/>
  <c r="H7950" i="7" s="1"/>
  <c r="E7950" i="7"/>
  <c r="D7950" i="7"/>
  <c r="H7949" i="7" l="1" a="1"/>
  <c r="H7949" i="7" s="1"/>
  <c r="E7949" i="7"/>
  <c r="D7949" i="7"/>
  <c r="H7948" i="7" a="1"/>
  <c r="H7948" i="7" s="1"/>
  <c r="E7948" i="7"/>
  <c r="D7948" i="7"/>
  <c r="H7947" i="7" a="1"/>
  <c r="H7947" i="7" s="1"/>
  <c r="E7947" i="7"/>
  <c r="D7947" i="7"/>
  <c r="H7946" i="7" l="1" a="1"/>
  <c r="H7946" i="7" s="1"/>
  <c r="E7946" i="7"/>
  <c r="D7946" i="7"/>
  <c r="H7945" i="7" a="1"/>
  <c r="H7945" i="7" s="1"/>
  <c r="E7945" i="7"/>
  <c r="D7945" i="7"/>
  <c r="H7944" i="7" a="1"/>
  <c r="H7944" i="7" s="1"/>
  <c r="E7944" i="7"/>
  <c r="D7944" i="7"/>
  <c r="H7943" i="7" a="1"/>
  <c r="H7943" i="7" s="1"/>
  <c r="E7943" i="7"/>
  <c r="D7943" i="7"/>
  <c r="H7942" i="7" a="1"/>
  <c r="H7942" i="7" s="1"/>
  <c r="E7942" i="7"/>
  <c r="D7942" i="7"/>
  <c r="H7941" i="7" l="1" a="1"/>
  <c r="H7941" i="7" s="1"/>
  <c r="E7941" i="7"/>
  <c r="D7941" i="7"/>
  <c r="H7940" i="7" a="1"/>
  <c r="H7940" i="7" s="1"/>
  <c r="E7940" i="7"/>
  <c r="D7940" i="7"/>
  <c r="H7939" i="7" a="1"/>
  <c r="H7939" i="7" s="1"/>
  <c r="E7939" i="7"/>
  <c r="D7939" i="7"/>
  <c r="H7938" i="7" a="1"/>
  <c r="H7938" i="7" s="1"/>
  <c r="E7938" i="7"/>
  <c r="D7938" i="7"/>
  <c r="H7937" i="7" a="1"/>
  <c r="H7937" i="7" s="1"/>
  <c r="E7937" i="7"/>
  <c r="D7937" i="7"/>
  <c r="H7936" i="7" a="1"/>
  <c r="H7936" i="7" s="1"/>
  <c r="E7936" i="7"/>
  <c r="D7936" i="7"/>
  <c r="H7935" i="7" a="1"/>
  <c r="H7935" i="7" s="1"/>
  <c r="E7935" i="7"/>
  <c r="D7935" i="7"/>
  <c r="H7934" i="7" a="1"/>
  <c r="H7934" i="7" s="1"/>
  <c r="E7934" i="7"/>
  <c r="D7934" i="7"/>
  <c r="H7933" i="7" a="1"/>
  <c r="H7933" i="7" s="1"/>
  <c r="E7933" i="7"/>
  <c r="D7933" i="7"/>
  <c r="H7932" i="7" a="1"/>
  <c r="H7932" i="7" s="1"/>
  <c r="E7932" i="7"/>
  <c r="D7932" i="7"/>
  <c r="H7931" i="7" a="1"/>
  <c r="H7931" i="7" s="1"/>
  <c r="E7931" i="7"/>
  <c r="D7931" i="7"/>
  <c r="H7930" i="7" a="1"/>
  <c r="H7930" i="7" s="1"/>
  <c r="E7930" i="7"/>
  <c r="D7930" i="7"/>
  <c r="H7929" i="7" a="1"/>
  <c r="H7929" i="7" s="1"/>
  <c r="E7929" i="7"/>
  <c r="D7929" i="7"/>
  <c r="H7928" i="7" a="1"/>
  <c r="H7928" i="7" s="1"/>
  <c r="E7928" i="7"/>
  <c r="D7928" i="7"/>
  <c r="H7927" i="7" a="1"/>
  <c r="H7927" i="7" s="1"/>
  <c r="E7927" i="7"/>
  <c r="D7927" i="7"/>
  <c r="H7926" i="7" a="1"/>
  <c r="H7926" i="7" s="1"/>
  <c r="E7926" i="7"/>
  <c r="D7926" i="7"/>
  <c r="H7925" i="7" l="1" a="1"/>
  <c r="H7925" i="7" s="1"/>
  <c r="E7925" i="7"/>
  <c r="D7925" i="7"/>
  <c r="H7924" i="7" a="1"/>
  <c r="H7924" i="7" s="1"/>
  <c r="E7924" i="7"/>
  <c r="D7924" i="7"/>
  <c r="E7923" i="7"/>
  <c r="D7923" i="7"/>
  <c r="E7922" i="7"/>
  <c r="D7922" i="7"/>
  <c r="H7921" i="7" a="1"/>
  <c r="H7921" i="7" s="1"/>
  <c r="E7921" i="7"/>
  <c r="D7921" i="7"/>
  <c r="H7918" i="7" l="1" a="1"/>
  <c r="H7918" i="7" s="1"/>
  <c r="E7918" i="7"/>
  <c r="D7918" i="7"/>
  <c r="H7917" i="7" a="1"/>
  <c r="H7917" i="7" s="1"/>
  <c r="E7917" i="7"/>
  <c r="D7917" i="7"/>
  <c r="H7916" i="7" a="1"/>
  <c r="H7916" i="7" s="1"/>
  <c r="E7916" i="7"/>
  <c r="D7916" i="7"/>
  <c r="H7920" i="7" a="1"/>
  <c r="H7920" i="7" s="1"/>
  <c r="E7920" i="7"/>
  <c r="D7920" i="7"/>
  <c r="H7919" i="7" a="1"/>
  <c r="H7919" i="7" s="1"/>
  <c r="E7919" i="7"/>
  <c r="D7919" i="7"/>
  <c r="H7915" i="7" a="1"/>
  <c r="H7915" i="7" s="1"/>
  <c r="E7915" i="7"/>
  <c r="D7915" i="7"/>
  <c r="H7914" i="7" a="1"/>
  <c r="H7914" i="7" s="1"/>
  <c r="E7914" i="7"/>
  <c r="D7914" i="7"/>
  <c r="H7913" i="7" a="1"/>
  <c r="H7913" i="7" s="1"/>
  <c r="E7913" i="7"/>
  <c r="D7913" i="7"/>
  <c r="H7898" i="7" l="1" a="1"/>
  <c r="H7898" i="7" s="1"/>
  <c r="E7898" i="7"/>
  <c r="D7898" i="7"/>
  <c r="H7897" i="7" a="1"/>
  <c r="H7897" i="7" s="1"/>
  <c r="E7897" i="7"/>
  <c r="D7897" i="7"/>
  <c r="H7887" i="7" a="1"/>
  <c r="H7887" i="7" s="1"/>
  <c r="E7887" i="7"/>
  <c r="D7887" i="7"/>
  <c r="H7886" i="7" a="1"/>
  <c r="H7886" i="7" s="1"/>
  <c r="E7886" i="7"/>
  <c r="D7886" i="7"/>
  <c r="H7912" i="7" a="1"/>
  <c r="H7912" i="7" s="1"/>
  <c r="E7912" i="7"/>
  <c r="D7912" i="7"/>
  <c r="H7911" i="7" a="1"/>
  <c r="H7911" i="7" s="1"/>
  <c r="E7911" i="7"/>
  <c r="D7911" i="7"/>
  <c r="H7910" i="7" a="1"/>
  <c r="H7910" i="7" s="1"/>
  <c r="E7910" i="7"/>
  <c r="D7910" i="7"/>
  <c r="H7909" i="7" a="1"/>
  <c r="H7909" i="7" s="1"/>
  <c r="E7909" i="7"/>
  <c r="D7909" i="7"/>
  <c r="H7908" i="7" a="1"/>
  <c r="H7908" i="7" s="1"/>
  <c r="E7908" i="7"/>
  <c r="D7908" i="7"/>
  <c r="H7907" i="7" a="1"/>
  <c r="H7907" i="7" s="1"/>
  <c r="E7907" i="7"/>
  <c r="D7907" i="7"/>
  <c r="H7906" i="7" a="1"/>
  <c r="H7906" i="7" s="1"/>
  <c r="E7906" i="7"/>
  <c r="D7906" i="7"/>
  <c r="H7905" i="7" a="1"/>
  <c r="H7905" i="7" s="1"/>
  <c r="E7905" i="7"/>
  <c r="D7905" i="7"/>
  <c r="H7904" i="7" a="1"/>
  <c r="H7904" i="7" s="1"/>
  <c r="E7904" i="7"/>
  <c r="D7904" i="7"/>
  <c r="H7903" i="7" a="1"/>
  <c r="H7903" i="7" s="1"/>
  <c r="E7903" i="7"/>
  <c r="D7903" i="7"/>
  <c r="H7902" i="7" a="1"/>
  <c r="H7902" i="7" s="1"/>
  <c r="E7902" i="7"/>
  <c r="D7902" i="7"/>
  <c r="H7901" i="7" a="1"/>
  <c r="H7901" i="7" s="1"/>
  <c r="E7901" i="7"/>
  <c r="D7901" i="7"/>
  <c r="H7900" i="7" a="1"/>
  <c r="H7900" i="7" s="1"/>
  <c r="E7900" i="7"/>
  <c r="D7900" i="7"/>
  <c r="H7899" i="7" a="1"/>
  <c r="H7899" i="7" s="1"/>
  <c r="E7899" i="7"/>
  <c r="D7899" i="7"/>
  <c r="D7893" i="7"/>
  <c r="D7894" i="7"/>
  <c r="H7894" i="7" a="1"/>
  <c r="H7894" i="7" s="1"/>
  <c r="E7894" i="7"/>
  <c r="H7893" i="7" a="1"/>
  <c r="H7893" i="7" s="1"/>
  <c r="E7893" i="7"/>
  <c r="H7892" i="7" a="1"/>
  <c r="H7892" i="7" s="1"/>
  <c r="E7892" i="7"/>
  <c r="D7892" i="7"/>
  <c r="H7891" i="7" a="1"/>
  <c r="H7891" i="7" s="1"/>
  <c r="E7891" i="7"/>
  <c r="D7891" i="7"/>
  <c r="E7890" i="7"/>
  <c r="D7890" i="7"/>
  <c r="E7889" i="7"/>
  <c r="D7889" i="7"/>
  <c r="H7888" i="7" a="1"/>
  <c r="H7888" i="7" s="1"/>
  <c r="E7888" i="7"/>
  <c r="D7888" i="7"/>
  <c r="H7896" i="7" l="1" a="1"/>
  <c r="H7896" i="7" s="1"/>
  <c r="E7896" i="7"/>
  <c r="D7896" i="7"/>
  <c r="H7895" i="7" a="1"/>
  <c r="H7895" i="7" s="1"/>
  <c r="E7895" i="7"/>
  <c r="D7895" i="7"/>
  <c r="H7885" i="7" l="1" a="1"/>
  <c r="H7885" i="7" s="1"/>
  <c r="E7885" i="7"/>
  <c r="D7885" i="7"/>
  <c r="H7884" i="7" a="1"/>
  <c r="H7884" i="7" s="1"/>
  <c r="E7884" i="7"/>
  <c r="D7884" i="7"/>
  <c r="E7883" i="7"/>
  <c r="D7883" i="7"/>
  <c r="H7882" i="7" a="1"/>
  <c r="H7882" i="7" s="1"/>
  <c r="E7882" i="7"/>
  <c r="D7882" i="7"/>
  <c r="H7881" i="7" a="1"/>
  <c r="H7881" i="7" s="1"/>
  <c r="E7881" i="7"/>
  <c r="D7881" i="7"/>
  <c r="H7880" i="7" a="1"/>
  <c r="H7880" i="7" s="1"/>
  <c r="E7880" i="7"/>
  <c r="D7880" i="7"/>
  <c r="H7879" i="7" a="1"/>
  <c r="H7879" i="7" s="1"/>
  <c r="E7879" i="7"/>
  <c r="D7879" i="7"/>
  <c r="H7878" i="7" a="1"/>
  <c r="H7878" i="7" s="1"/>
  <c r="E7878" i="7"/>
  <c r="D7878" i="7"/>
  <c r="H7877" i="7" a="1"/>
  <c r="H7877" i="7" s="1"/>
  <c r="E7877" i="7"/>
  <c r="D7877" i="7"/>
  <c r="H7876" i="7" a="1"/>
  <c r="H7876" i="7" s="1"/>
  <c r="E7876" i="7"/>
  <c r="D7876" i="7"/>
  <c r="H7875" i="7" a="1"/>
  <c r="H7875" i="7" s="1"/>
  <c r="E7875" i="7"/>
  <c r="D7875" i="7"/>
  <c r="H7874" i="7" a="1"/>
  <c r="H7874" i="7" s="1"/>
  <c r="E7874" i="7"/>
  <c r="D7874" i="7"/>
  <c r="H7873" i="7" a="1"/>
  <c r="H7873" i="7" s="1"/>
  <c r="E7873" i="7"/>
  <c r="D7873" i="7"/>
  <c r="H7872" i="7" l="1" a="1"/>
  <c r="H7872" i="7" s="1"/>
  <c r="E7872" i="7"/>
  <c r="D7872" i="7"/>
  <c r="H7871" i="7" a="1"/>
  <c r="H7871" i="7" s="1"/>
  <c r="E7871" i="7"/>
  <c r="D7871" i="7"/>
  <c r="H7870" i="7" a="1"/>
  <c r="H7870" i="7" s="1"/>
  <c r="E7870" i="7"/>
  <c r="D7870" i="7"/>
  <c r="H7869" i="7" a="1"/>
  <c r="H7869" i="7" s="1"/>
  <c r="E7869" i="7"/>
  <c r="D7869" i="7"/>
  <c r="H7868" i="7" a="1"/>
  <c r="H7868" i="7" s="1"/>
  <c r="E7868" i="7"/>
  <c r="D7868" i="7"/>
  <c r="H7867" i="7" l="1" a="1"/>
  <c r="H7867" i="7" s="1"/>
  <c r="E7867" i="7"/>
  <c r="D7867" i="7"/>
  <c r="H7866" i="7" a="1"/>
  <c r="H7866" i="7" s="1"/>
  <c r="E7866" i="7"/>
  <c r="D7866" i="7"/>
  <c r="H7865" i="7" a="1"/>
  <c r="H7865" i="7" s="1"/>
  <c r="E7865" i="7"/>
  <c r="D7865" i="7"/>
  <c r="H7864" i="7" a="1"/>
  <c r="H7864" i="7" s="1"/>
  <c r="E7864" i="7"/>
  <c r="D7864" i="7"/>
  <c r="H7863" i="7" a="1"/>
  <c r="H7863" i="7" s="1"/>
  <c r="E7863" i="7"/>
  <c r="D7863" i="7"/>
  <c r="H7862" i="7" a="1"/>
  <c r="H7862" i="7" s="1"/>
  <c r="E7862" i="7"/>
  <c r="D7862" i="7"/>
  <c r="H7861" i="7" a="1"/>
  <c r="H7861" i="7" s="1"/>
  <c r="E7861" i="7"/>
  <c r="D7861" i="7"/>
  <c r="H7860" i="7" a="1"/>
  <c r="H7860" i="7" s="1"/>
  <c r="E7860" i="7"/>
  <c r="D7860" i="7"/>
  <c r="H7859" i="7" a="1"/>
  <c r="H7859" i="7" s="1"/>
  <c r="E7859" i="7"/>
  <c r="D7859" i="7"/>
  <c r="H7858" i="7" a="1"/>
  <c r="H7858" i="7" s="1"/>
  <c r="E7858" i="7"/>
  <c r="D7858" i="7"/>
  <c r="H7857" i="7" a="1"/>
  <c r="H7857" i="7" s="1"/>
  <c r="E7857" i="7"/>
  <c r="D7857" i="7"/>
  <c r="H7856" i="7" a="1"/>
  <c r="H7856" i="7" s="1"/>
  <c r="E7856" i="7"/>
  <c r="D7856" i="7"/>
  <c r="H7855" i="7" a="1"/>
  <c r="H7855" i="7" s="1"/>
  <c r="E7855" i="7"/>
  <c r="D7855" i="7"/>
  <c r="H7854" i="7" a="1"/>
  <c r="H7854" i="7" s="1"/>
  <c r="E7854" i="7"/>
  <c r="D7854" i="7"/>
  <c r="H7853" i="7" l="1" a="1"/>
  <c r="H7853" i="7" s="1"/>
  <c r="E7853" i="7"/>
  <c r="D7853" i="7"/>
  <c r="H7852" i="7" a="1"/>
  <c r="H7852" i="7" s="1"/>
  <c r="E7852" i="7"/>
  <c r="D7852" i="7"/>
  <c r="E7851" i="7"/>
  <c r="D7851" i="7"/>
  <c r="H7850" i="7" a="1"/>
  <c r="H7850" i="7" s="1"/>
  <c r="E7850" i="7"/>
  <c r="D7850" i="7"/>
  <c r="H7849" i="7" a="1"/>
  <c r="H7849" i="7" s="1"/>
  <c r="E7849" i="7"/>
  <c r="D7849" i="7"/>
  <c r="H7848" i="7" a="1"/>
  <c r="H7848" i="7" s="1"/>
  <c r="E7848" i="7"/>
  <c r="D7848" i="7"/>
  <c r="H7847" i="7" a="1"/>
  <c r="H7847" i="7" s="1"/>
  <c r="E7847" i="7"/>
  <c r="D7847" i="7"/>
  <c r="H7846" i="7" a="1"/>
  <c r="H7846" i="7" s="1"/>
  <c r="E7846" i="7"/>
  <c r="D7846" i="7"/>
  <c r="H7845" i="7" a="1"/>
  <c r="H7845" i="7" s="1"/>
  <c r="E7845" i="7"/>
  <c r="D7845" i="7"/>
  <c r="H7844" i="7" a="1"/>
  <c r="H7844" i="7" s="1"/>
  <c r="E7844" i="7"/>
  <c r="D7844" i="7"/>
  <c r="H7843" i="7" a="1"/>
  <c r="H7843" i="7" s="1"/>
  <c r="E7843" i="7"/>
  <c r="D7843" i="7"/>
  <c r="H7842" i="7" a="1"/>
  <c r="H7842" i="7" s="1"/>
  <c r="E7842" i="7"/>
  <c r="D7842" i="7"/>
  <c r="H7841" i="7" a="1"/>
  <c r="H7841" i="7" s="1"/>
  <c r="E7841" i="7"/>
  <c r="D7841" i="7"/>
  <c r="H7840" i="7" a="1"/>
  <c r="H7840" i="7" s="1"/>
  <c r="E7840" i="7"/>
  <c r="D7840" i="7"/>
  <c r="H7839" i="7" a="1"/>
  <c r="H7839" i="7" s="1"/>
  <c r="E7839" i="7"/>
  <c r="D7839" i="7"/>
  <c r="H7838" i="7" a="1"/>
  <c r="H7838" i="7" s="1"/>
  <c r="E7838" i="7"/>
  <c r="D7838" i="7"/>
  <c r="H7837" i="7" l="1" a="1"/>
  <c r="H7837" i="7" s="1"/>
  <c r="E7837" i="7"/>
  <c r="D7837" i="7"/>
  <c r="H7836" i="7" a="1"/>
  <c r="H7836" i="7" s="1"/>
  <c r="E7836" i="7"/>
  <c r="D7836" i="7"/>
  <c r="H7835" i="7" a="1"/>
  <c r="H7835" i="7" s="1"/>
  <c r="E7835" i="7"/>
  <c r="D7835" i="7"/>
  <c r="H7834" i="7" a="1"/>
  <c r="H7834" i="7" s="1"/>
  <c r="E7834" i="7"/>
  <c r="D7834" i="7"/>
  <c r="H7833" i="7" a="1"/>
  <c r="H7833" i="7" s="1"/>
  <c r="E7833" i="7"/>
  <c r="D7833" i="7"/>
  <c r="H7832" i="7" a="1"/>
  <c r="H7832" i="7" s="1"/>
  <c r="E7832" i="7"/>
  <c r="D7832" i="7"/>
  <c r="H7817" i="7" l="1" a="1"/>
  <c r="H7817" i="7" s="1"/>
  <c r="E7817" i="7"/>
  <c r="D7817" i="7"/>
  <c r="H7816" i="7" a="1"/>
  <c r="H7816" i="7" s="1"/>
  <c r="E7816" i="7"/>
  <c r="D7816" i="7"/>
  <c r="H7815" i="7" a="1"/>
  <c r="H7815" i="7" s="1"/>
  <c r="E7815" i="7"/>
  <c r="D7815" i="7"/>
  <c r="H7796" i="7" l="1" a="1"/>
  <c r="H7796" i="7" s="1"/>
  <c r="E7796" i="7"/>
  <c r="D7796" i="7"/>
  <c r="H7795" i="7" a="1"/>
  <c r="H7795" i="7" s="1"/>
  <c r="E7795" i="7"/>
  <c r="D7795" i="7"/>
  <c r="H7823" i="7" a="1"/>
  <c r="H7823" i="7" s="1"/>
  <c r="E7823" i="7"/>
  <c r="D7823" i="7"/>
  <c r="H7822" i="7" a="1"/>
  <c r="H7822" i="7" s="1"/>
  <c r="E7822" i="7"/>
  <c r="D7822" i="7"/>
  <c r="H7821" i="7" a="1"/>
  <c r="H7821" i="7" s="1"/>
  <c r="E7821" i="7"/>
  <c r="D7821" i="7"/>
  <c r="H7820" i="7" a="1"/>
  <c r="H7820" i="7" s="1"/>
  <c r="E7820" i="7"/>
  <c r="D7820" i="7"/>
  <c r="D7825" i="7"/>
  <c r="H7831" i="7" a="1"/>
  <c r="H7831" i="7" s="1"/>
  <c r="H7830" i="7" a="1"/>
  <c r="H7830" i="7" s="1"/>
  <c r="H7829" i="7" a="1"/>
  <c r="H7829" i="7" s="1"/>
  <c r="H7828" i="7" a="1"/>
  <c r="H7828" i="7" s="1"/>
  <c r="H7827" i="7" a="1"/>
  <c r="H7827" i="7" s="1"/>
  <c r="H7826" i="7" a="1"/>
  <c r="H7826" i="7" s="1"/>
  <c r="H7825" i="7" a="1"/>
  <c r="H7825" i="7" s="1"/>
  <c r="E7825" i="7"/>
  <c r="H7824" i="7" a="1"/>
  <c r="H7824" i="7" s="1"/>
  <c r="E7824" i="7"/>
  <c r="D7824" i="7"/>
  <c r="H7819" i="7" a="1"/>
  <c r="H7819" i="7" s="1"/>
  <c r="E7819" i="7"/>
  <c r="D7819" i="7"/>
  <c r="H7818" i="7" a="1"/>
  <c r="H7818" i="7" s="1"/>
  <c r="E7818" i="7"/>
  <c r="D7818" i="7"/>
  <c r="E7827" i="7" l="1"/>
  <c r="D7827" i="7"/>
  <c r="D7826" i="7"/>
  <c r="E7826" i="7"/>
  <c r="E7828" i="7" l="1"/>
  <c r="D7828" i="7"/>
  <c r="D7829" i="7" l="1"/>
  <c r="E7829" i="7"/>
  <c r="E7830" i="7" l="1"/>
  <c r="D7830" i="7"/>
  <c r="E7831" i="7" l="1"/>
  <c r="D7831" i="7"/>
  <c r="H7814" i="7" l="1" a="1"/>
  <c r="H7814" i="7" s="1"/>
  <c r="E7814" i="7"/>
  <c r="D7814" i="7"/>
  <c r="H7813" i="7" a="1"/>
  <c r="H7813" i="7" s="1"/>
  <c r="E7813" i="7"/>
  <c r="D7813" i="7"/>
  <c r="H7812" i="7" a="1"/>
  <c r="H7812" i="7" s="1"/>
  <c r="E7812" i="7"/>
  <c r="D7812" i="7"/>
  <c r="H7811" i="7" a="1"/>
  <c r="H7811" i="7" s="1"/>
  <c r="E7811" i="7"/>
  <c r="D7811" i="7"/>
  <c r="H7810" i="7" l="1" a="1"/>
  <c r="H7810" i="7" s="1"/>
  <c r="E7810" i="7"/>
  <c r="D7810" i="7"/>
  <c r="H7809" i="7" a="1"/>
  <c r="H7809" i="7" s="1"/>
  <c r="E7809" i="7"/>
  <c r="D7809" i="7"/>
  <c r="H7808" i="7" a="1"/>
  <c r="H7808" i="7" s="1"/>
  <c r="E7808" i="7"/>
  <c r="D7808" i="7"/>
  <c r="H7807" i="7" a="1"/>
  <c r="H7807" i="7" s="1"/>
  <c r="E7807" i="7"/>
  <c r="D7807" i="7"/>
  <c r="H7806" i="7" l="1" a="1"/>
  <c r="H7806" i="7" s="1"/>
  <c r="E7806" i="7"/>
  <c r="D7806" i="7"/>
  <c r="E7805" i="7"/>
  <c r="D7805" i="7"/>
  <c r="H7804" i="7" a="1"/>
  <c r="H7804" i="7" s="1"/>
  <c r="E7804" i="7"/>
  <c r="D7804" i="7"/>
  <c r="H7803" i="7" a="1"/>
  <c r="H7803" i="7" s="1"/>
  <c r="E7803" i="7"/>
  <c r="D7803" i="7"/>
  <c r="H7802" i="7" a="1"/>
  <c r="H7802" i="7" s="1"/>
  <c r="E7802" i="7"/>
  <c r="D7802" i="7"/>
  <c r="H7801" i="7" a="1"/>
  <c r="H7801" i="7" s="1"/>
  <c r="E7801" i="7"/>
  <c r="D7801" i="7"/>
  <c r="H7800" i="7" a="1"/>
  <c r="H7800" i="7" s="1"/>
  <c r="E7800" i="7"/>
  <c r="D7800" i="7"/>
  <c r="H7799" i="7" l="1" a="1"/>
  <c r="H7799" i="7" s="1"/>
  <c r="E7799" i="7"/>
  <c r="D7799" i="7"/>
  <c r="H7798" i="7" a="1"/>
  <c r="H7798" i="7" s="1"/>
  <c r="E7798" i="7"/>
  <c r="D7798" i="7"/>
  <c r="H7797" i="7" a="1"/>
  <c r="H7797" i="7" s="1"/>
  <c r="E7797" i="7"/>
  <c r="D7797" i="7"/>
  <c r="H7794" i="7" l="1" a="1"/>
  <c r="H7794" i="7" s="1"/>
  <c r="E7794" i="7"/>
  <c r="D7794" i="7"/>
  <c r="H7793" i="7" a="1"/>
  <c r="H7793" i="7" s="1"/>
  <c r="E7793" i="7"/>
  <c r="D7793" i="7"/>
  <c r="H7792" i="7" l="1" a="1"/>
  <c r="H7792" i="7" s="1"/>
  <c r="E7792" i="7"/>
  <c r="D7792" i="7"/>
  <c r="H7791" i="7" a="1"/>
  <c r="H7791" i="7" s="1"/>
  <c r="E7791" i="7"/>
  <c r="D7791" i="7"/>
  <c r="H7790" i="7" a="1"/>
  <c r="H7790" i="7" s="1"/>
  <c r="E7790" i="7"/>
  <c r="D7790" i="7"/>
  <c r="H7789" i="7" l="1" a="1"/>
  <c r="H7789" i="7" s="1"/>
  <c r="E7789" i="7"/>
  <c r="D7789" i="7"/>
  <c r="H7788" i="7" a="1"/>
  <c r="H7788" i="7" s="1"/>
  <c r="E7788" i="7"/>
  <c r="D7788" i="7"/>
  <c r="H7787" i="7" a="1"/>
  <c r="H7787" i="7" s="1"/>
  <c r="E7787" i="7"/>
  <c r="D7787" i="7"/>
  <c r="H7786" i="7" l="1" a="1"/>
  <c r="H7786" i="7" s="1"/>
  <c r="E7786" i="7"/>
  <c r="D7786" i="7"/>
  <c r="H7785" i="7" a="1"/>
  <c r="H7785" i="7" s="1"/>
  <c r="E7785" i="7"/>
  <c r="D7785" i="7"/>
  <c r="H7784" i="7" a="1"/>
  <c r="H7784" i="7" s="1"/>
  <c r="E7784" i="7"/>
  <c r="D7784" i="7"/>
  <c r="H7765" i="7" a="1"/>
  <c r="H7765" i="7" s="1"/>
  <c r="E7765" i="7"/>
  <c r="D7765" i="7"/>
  <c r="H7764" i="7" a="1"/>
  <c r="H7764" i="7" s="1"/>
  <c r="E7764" i="7"/>
  <c r="D7764" i="7"/>
  <c r="H7783" i="7" l="1" a="1"/>
  <c r="H7783" i="7" s="1"/>
  <c r="E7783" i="7"/>
  <c r="D7783" i="7"/>
  <c r="H7782" i="7" a="1"/>
  <c r="H7782" i="7" s="1"/>
  <c r="E7782" i="7"/>
  <c r="D7782" i="7"/>
  <c r="H7781" i="7" a="1"/>
  <c r="H7781" i="7" s="1"/>
  <c r="E7781" i="7"/>
  <c r="D7781" i="7"/>
  <c r="H7780" i="7" a="1"/>
  <c r="H7780" i="7" s="1"/>
  <c r="E7780" i="7"/>
  <c r="D7780" i="7"/>
  <c r="H7779" i="7" a="1"/>
  <c r="H7779" i="7" s="1"/>
  <c r="E7779" i="7"/>
  <c r="D7779" i="7"/>
  <c r="H7778" i="7" a="1"/>
  <c r="H7778" i="7" s="1"/>
  <c r="E7778" i="7"/>
  <c r="D7778" i="7"/>
  <c r="H7777" i="7" a="1"/>
  <c r="H7777" i="7" s="1"/>
  <c r="E7777" i="7"/>
  <c r="D7777" i="7"/>
  <c r="H7776" i="7" a="1"/>
  <c r="H7776" i="7" s="1"/>
  <c r="E7776" i="7"/>
  <c r="D7776" i="7"/>
  <c r="H7775" i="7" a="1"/>
  <c r="H7775" i="7" s="1"/>
  <c r="E7775" i="7"/>
  <c r="D7775" i="7"/>
  <c r="H7774" i="7" a="1"/>
  <c r="H7774" i="7" s="1"/>
  <c r="E7774" i="7"/>
  <c r="D7774" i="7"/>
  <c r="H7773" i="7" a="1"/>
  <c r="H7773" i="7" s="1"/>
  <c r="E7773" i="7"/>
  <c r="D7773" i="7"/>
  <c r="H7772" i="7" a="1"/>
  <c r="H7772" i="7" s="1"/>
  <c r="E7772" i="7"/>
  <c r="D7772" i="7"/>
  <c r="H7771" i="7" a="1"/>
  <c r="H7771" i="7" s="1"/>
  <c r="E7771" i="7"/>
  <c r="D7771" i="7"/>
  <c r="H7770" i="7" a="1"/>
  <c r="H7770" i="7" s="1"/>
  <c r="E7770" i="7"/>
  <c r="D7770" i="7"/>
  <c r="H7769" i="7" l="1" a="1"/>
  <c r="H7769" i="7" s="1"/>
  <c r="E7769" i="7"/>
  <c r="D7769" i="7"/>
  <c r="H7768" i="7" a="1"/>
  <c r="H7768" i="7" s="1"/>
  <c r="E7768" i="7"/>
  <c r="D7768" i="7"/>
  <c r="E7767" i="7"/>
  <c r="D7767" i="7"/>
  <c r="H7766" i="7" a="1"/>
  <c r="H7766" i="7" s="1"/>
  <c r="E7766" i="7"/>
  <c r="D7766" i="7"/>
  <c r="H7763" i="7" a="1"/>
  <c r="H7763" i="7" s="1"/>
  <c r="E7763" i="7"/>
  <c r="D7763" i="7"/>
  <c r="H7762" i="7" a="1"/>
  <c r="H7762" i="7" s="1"/>
  <c r="E7762" i="7"/>
  <c r="D7762" i="7"/>
  <c r="H7761" i="7" a="1"/>
  <c r="H7761" i="7" s="1"/>
  <c r="E7761" i="7"/>
  <c r="D7761" i="7"/>
  <c r="H7760" i="7" l="1" a="1"/>
  <c r="H7760" i="7" s="1"/>
  <c r="E7760" i="7"/>
  <c r="D7760" i="7"/>
  <c r="H7759" i="7" a="1"/>
  <c r="H7759" i="7" s="1"/>
  <c r="E7759" i="7"/>
  <c r="D7759" i="7"/>
  <c r="E7758" i="7"/>
  <c r="D7758" i="7"/>
  <c r="H7757" i="7" a="1"/>
  <c r="H7757" i="7" s="1"/>
  <c r="E7757" i="7"/>
  <c r="D7757" i="7"/>
  <c r="H7756" i="7" a="1"/>
  <c r="H7756" i="7" s="1"/>
  <c r="E7756" i="7"/>
  <c r="D7756" i="7"/>
  <c r="H7755" i="7" a="1"/>
  <c r="H7755" i="7" s="1"/>
  <c r="E7755" i="7"/>
  <c r="D7755" i="7"/>
  <c r="H7754" i="7" l="1" a="1"/>
  <c r="H7754" i="7" s="1"/>
  <c r="E7754" i="7"/>
  <c r="D7754" i="7"/>
  <c r="H7753" i="7" a="1"/>
  <c r="H7753" i="7" s="1"/>
  <c r="E7753" i="7"/>
  <c r="D7753" i="7"/>
  <c r="H7752" i="7" a="1"/>
  <c r="H7752" i="7" s="1"/>
  <c r="E7752" i="7"/>
  <c r="D7752" i="7"/>
  <c r="H7751" i="7" a="1"/>
  <c r="H7751" i="7" s="1"/>
  <c r="E7751" i="7"/>
  <c r="D7751" i="7"/>
  <c r="H7750" i="7" a="1"/>
  <c r="H7750" i="7" s="1"/>
  <c r="E7750" i="7"/>
  <c r="D7750" i="7"/>
  <c r="H7749" i="7" l="1" a="1"/>
  <c r="H7749" i="7" s="1"/>
  <c r="E7749" i="7"/>
  <c r="D7749" i="7"/>
  <c r="E7748" i="7"/>
  <c r="D7748" i="7"/>
  <c r="H7747" i="7" a="1"/>
  <c r="H7747" i="7" s="1"/>
  <c r="E7747" i="7"/>
  <c r="D7747" i="7"/>
  <c r="H7746" i="7" a="1"/>
  <c r="H7746" i="7" s="1"/>
  <c r="E7746" i="7"/>
  <c r="D7746" i="7"/>
  <c r="H7745" i="7" a="1"/>
  <c r="H7745" i="7" s="1"/>
  <c r="E7745" i="7"/>
  <c r="D7745" i="7"/>
  <c r="H7744" i="7" a="1"/>
  <c r="H7744" i="7" s="1"/>
  <c r="E7744" i="7"/>
  <c r="D7744" i="7"/>
  <c r="H7743" i="7" l="1" a="1"/>
  <c r="H7743" i="7" s="1"/>
  <c r="E7743" i="7"/>
  <c r="D7743" i="7"/>
  <c r="H7742" i="7" a="1"/>
  <c r="H7742" i="7" s="1"/>
  <c r="E7742" i="7"/>
  <c r="D7742" i="7"/>
  <c r="H7741" i="7" a="1"/>
  <c r="H7741" i="7" s="1"/>
  <c r="E7741" i="7"/>
  <c r="D7741" i="7"/>
  <c r="H7740" i="7" a="1"/>
  <c r="H7740" i="7" s="1"/>
  <c r="E7740" i="7"/>
  <c r="D7740" i="7"/>
  <c r="E7739" i="7"/>
  <c r="D7739" i="7"/>
  <c r="H7738" i="7" a="1"/>
  <c r="H7738" i="7" s="1"/>
  <c r="E7738" i="7"/>
  <c r="D7738" i="7"/>
  <c r="H7737" i="7" a="1"/>
  <c r="H7737" i="7" s="1"/>
  <c r="E7737" i="7"/>
  <c r="D7737" i="7"/>
  <c r="H7736" i="7" a="1"/>
  <c r="H7736" i="7" s="1"/>
  <c r="E7736" i="7"/>
  <c r="D7736" i="7"/>
  <c r="H7735" i="7" a="1"/>
  <c r="H7735" i="7" s="1"/>
  <c r="E7735" i="7"/>
  <c r="D7735" i="7"/>
  <c r="H7734" i="7" a="1"/>
  <c r="H7734" i="7" s="1"/>
  <c r="E7734" i="7"/>
  <c r="D7734" i="7"/>
  <c r="H7733" i="7" a="1"/>
  <c r="H7733" i="7" s="1"/>
  <c r="E7733" i="7"/>
  <c r="D7733" i="7"/>
  <c r="H7732" i="7" l="1" a="1"/>
  <c r="H7732" i="7" s="1"/>
  <c r="E7732" i="7"/>
  <c r="D7732" i="7"/>
  <c r="H7731" i="7" a="1"/>
  <c r="H7731" i="7" s="1"/>
  <c r="E7731" i="7"/>
  <c r="D7731" i="7"/>
  <c r="E7730" i="7"/>
  <c r="D7730" i="7"/>
  <c r="E7729" i="7"/>
  <c r="D7729" i="7"/>
  <c r="H7728" i="7" a="1"/>
  <c r="H7728" i="7" s="1"/>
  <c r="E7728" i="7"/>
  <c r="D7728" i="7"/>
  <c r="H7727" i="7" l="1" a="1"/>
  <c r="H7727" i="7" s="1"/>
  <c r="E7727" i="7"/>
  <c r="D7727" i="7"/>
  <c r="H7726" i="7" a="1"/>
  <c r="H7726" i="7" s="1"/>
  <c r="E7726" i="7"/>
  <c r="D7726" i="7"/>
  <c r="H7725" i="7" a="1"/>
  <c r="H7725" i="7" s="1"/>
  <c r="E7725" i="7"/>
  <c r="D7725" i="7"/>
  <c r="H7724" i="7" a="1"/>
  <c r="H7724" i="7" s="1"/>
  <c r="E7724" i="7"/>
  <c r="D7724" i="7"/>
  <c r="H7723" i="7" a="1"/>
  <c r="H7723" i="7" s="1"/>
  <c r="E7723" i="7"/>
  <c r="D7723" i="7"/>
  <c r="H7722" i="7" a="1"/>
  <c r="H7722" i="7" s="1"/>
  <c r="E7722" i="7"/>
  <c r="D7722" i="7"/>
  <c r="H7721" i="7" a="1"/>
  <c r="H7721" i="7" s="1"/>
  <c r="E7721" i="7"/>
  <c r="D7721" i="7"/>
  <c r="H7720" i="7" a="1"/>
  <c r="H7720" i="7" s="1"/>
  <c r="E7720" i="7"/>
  <c r="D7720" i="7"/>
  <c r="H7719" i="7" a="1"/>
  <c r="H7719" i="7" s="1"/>
  <c r="E7719" i="7"/>
  <c r="D7719" i="7"/>
  <c r="H7718" i="7" a="1"/>
  <c r="H7718" i="7" s="1"/>
  <c r="E7718" i="7"/>
  <c r="D7718" i="7"/>
  <c r="H7717" i="7" a="1"/>
  <c r="H7717" i="7" s="1"/>
  <c r="E7717" i="7"/>
  <c r="D7717" i="7"/>
  <c r="H7716" i="7" a="1"/>
  <c r="H7716" i="7" s="1"/>
  <c r="E7716" i="7"/>
  <c r="D7716" i="7"/>
  <c r="H7715" i="7" a="1"/>
  <c r="H7715" i="7" s="1"/>
  <c r="E7715" i="7"/>
  <c r="D7715" i="7"/>
  <c r="H7714" i="7" a="1"/>
  <c r="H7714" i="7" s="1"/>
  <c r="E7714" i="7"/>
  <c r="D7714" i="7"/>
  <c r="E7713" i="7"/>
  <c r="D7713" i="7"/>
  <c r="E7712" i="7"/>
  <c r="D7712" i="7"/>
  <c r="H7711" i="7" a="1"/>
  <c r="H7711" i="7" s="1"/>
  <c r="E7711" i="7"/>
  <c r="D7711" i="7"/>
  <c r="H7698" i="7" l="1" a="1"/>
  <c r="H7698" i="7" s="1"/>
  <c r="E7698" i="7"/>
  <c r="D7698" i="7"/>
  <c r="H7697" i="7" a="1"/>
  <c r="H7697" i="7" s="1"/>
  <c r="E7697" i="7"/>
  <c r="D7697" i="7"/>
  <c r="H7696" i="7" a="1"/>
  <c r="H7696" i="7" s="1"/>
  <c r="E7696" i="7"/>
  <c r="D7696" i="7"/>
  <c r="H7700" i="7" l="1" a="1"/>
  <c r="H7700" i="7" s="1"/>
  <c r="E7700" i="7"/>
  <c r="D7700" i="7"/>
  <c r="H7699" i="7" a="1"/>
  <c r="H7699" i="7" s="1"/>
  <c r="E7699" i="7"/>
  <c r="D7699" i="7"/>
  <c r="H7710" i="7" a="1"/>
  <c r="H7710" i="7" s="1"/>
  <c r="E7710" i="7"/>
  <c r="D7710" i="7"/>
  <c r="H7709" i="7" a="1"/>
  <c r="H7709" i="7" s="1"/>
  <c r="E7709" i="7"/>
  <c r="D7709" i="7"/>
  <c r="H7705" i="7" a="1"/>
  <c r="H7705" i="7" s="1"/>
  <c r="E7705" i="7"/>
  <c r="D7705" i="7"/>
  <c r="H7704" i="7" a="1"/>
  <c r="H7704" i="7" s="1"/>
  <c r="E7704" i="7"/>
  <c r="D7704" i="7"/>
  <c r="H7695" i="7" a="1"/>
  <c r="H7695" i="7" s="1"/>
  <c r="E7695" i="7"/>
  <c r="D7695" i="7"/>
  <c r="H7694" i="7" a="1"/>
  <c r="H7694" i="7" s="1"/>
  <c r="E7694" i="7"/>
  <c r="D7694" i="7"/>
  <c r="H7708" i="7" a="1"/>
  <c r="H7708" i="7" s="1"/>
  <c r="E7708" i="7"/>
  <c r="D7708" i="7"/>
  <c r="H7707" i="7" a="1"/>
  <c r="H7707" i="7" s="1"/>
  <c r="E7707" i="7"/>
  <c r="D7707" i="7"/>
  <c r="H7706" i="7" a="1"/>
  <c r="H7706" i="7" s="1"/>
  <c r="E7706" i="7"/>
  <c r="D7706" i="7"/>
  <c r="H7703" i="7" a="1"/>
  <c r="H7703" i="7" s="1"/>
  <c r="E7703" i="7"/>
  <c r="D7703" i="7"/>
  <c r="H7702" i="7" a="1"/>
  <c r="H7702" i="7" s="1"/>
  <c r="E7702" i="7"/>
  <c r="D7702" i="7"/>
  <c r="H7701" i="7" a="1"/>
  <c r="H7701" i="7" s="1"/>
  <c r="E7701" i="7"/>
  <c r="D7701" i="7"/>
  <c r="H7693" i="7" a="1"/>
  <c r="H7693" i="7" s="1"/>
  <c r="E7693" i="7"/>
  <c r="D7693" i="7"/>
  <c r="H7692" i="7" a="1"/>
  <c r="H7692" i="7" s="1"/>
  <c r="E7692" i="7"/>
  <c r="D7692" i="7"/>
  <c r="H7691" i="7" a="1"/>
  <c r="H7691" i="7" s="1"/>
  <c r="E7691" i="7"/>
  <c r="D7691" i="7"/>
  <c r="H7690" i="7" a="1"/>
  <c r="H7690" i="7" s="1"/>
  <c r="E7690" i="7"/>
  <c r="D7690" i="7"/>
  <c r="H7689" i="7" a="1"/>
  <c r="H7689" i="7" s="1"/>
  <c r="E7689" i="7"/>
  <c r="D7689" i="7"/>
  <c r="H7688" i="7" a="1"/>
  <c r="H7688" i="7" s="1"/>
  <c r="E7688" i="7"/>
  <c r="D7688" i="7"/>
  <c r="H7683" i="7" l="1" a="1"/>
  <c r="H7683" i="7" s="1"/>
  <c r="E7683" i="7"/>
  <c r="D7683" i="7"/>
  <c r="H7682" i="7" a="1"/>
  <c r="H7682" i="7" s="1"/>
  <c r="E7682" i="7"/>
  <c r="D7682" i="7"/>
  <c r="D7685" i="7"/>
  <c r="E7685" i="7"/>
  <c r="H7687" i="7" a="1"/>
  <c r="H7687" i="7" s="1"/>
  <c r="E7687" i="7"/>
  <c r="D7687" i="7"/>
  <c r="E7686" i="7"/>
  <c r="D7686" i="7"/>
  <c r="H7684" i="7" a="1"/>
  <c r="H7684" i="7" s="1"/>
  <c r="E7684" i="7"/>
  <c r="D7684" i="7"/>
  <c r="H7658" i="7" a="1"/>
  <c r="H7658" i="7" s="1"/>
  <c r="E7658" i="7"/>
  <c r="D7658" i="7"/>
  <c r="H7657" i="7" a="1"/>
  <c r="H7657" i="7" s="1"/>
  <c r="E7657" i="7"/>
  <c r="D7657" i="7"/>
  <c r="D7679" i="7"/>
  <c r="E7679" i="7"/>
  <c r="D7680" i="7"/>
  <c r="E7680" i="7"/>
  <c r="H7681" i="7" a="1"/>
  <c r="H7681" i="7" s="1"/>
  <c r="E7681" i="7"/>
  <c r="D7681" i="7"/>
  <c r="H7678" i="7" a="1"/>
  <c r="H7678" i="7" s="1"/>
  <c r="E7678" i="7"/>
  <c r="D7678" i="7"/>
  <c r="H7674" i="7" a="1"/>
  <c r="H7674" i="7" s="1"/>
  <c r="E7674" i="7"/>
  <c r="D7674" i="7"/>
  <c r="H7673" i="7" a="1"/>
  <c r="H7673" i="7" s="1"/>
  <c r="E7673" i="7"/>
  <c r="D7673" i="7"/>
  <c r="H7677" i="7" a="1"/>
  <c r="H7677" i="7" s="1"/>
  <c r="E7677" i="7"/>
  <c r="D7677" i="7"/>
  <c r="H7676" i="7" a="1"/>
  <c r="H7676" i="7" s="1"/>
  <c r="E7676" i="7"/>
  <c r="D7676" i="7"/>
  <c r="H7675" i="7" a="1"/>
  <c r="H7675" i="7" s="1"/>
  <c r="E7675" i="7"/>
  <c r="D7675" i="7"/>
  <c r="H7672" i="7" a="1"/>
  <c r="H7672" i="7" s="1"/>
  <c r="E7672" i="7"/>
  <c r="D7672" i="7"/>
  <c r="H7671" i="7" a="1"/>
  <c r="H7671" i="7" s="1"/>
  <c r="E7671" i="7"/>
  <c r="D7671" i="7"/>
  <c r="H7670" i="7" a="1"/>
  <c r="H7670" i="7" s="1"/>
  <c r="E7670" i="7"/>
  <c r="D7670" i="7"/>
  <c r="H7669" i="7" a="1"/>
  <c r="H7669" i="7" s="1"/>
  <c r="E7669" i="7"/>
  <c r="D7669" i="7"/>
  <c r="H7668" i="7" a="1"/>
  <c r="H7668" i="7" s="1"/>
  <c r="E7668" i="7"/>
  <c r="D7668" i="7"/>
  <c r="H7667" i="7" a="1"/>
  <c r="H7667" i="7" s="1"/>
  <c r="E7667" i="7"/>
  <c r="D7667" i="7"/>
  <c r="H7666" i="7" a="1"/>
  <c r="H7666" i="7" s="1"/>
  <c r="E7666" i="7"/>
  <c r="D7666" i="7"/>
  <c r="H7665" i="7" a="1"/>
  <c r="H7665" i="7" s="1"/>
  <c r="E7665" i="7"/>
  <c r="D7665" i="7"/>
  <c r="H7664" i="7" a="1"/>
  <c r="H7664" i="7" s="1"/>
  <c r="E7664" i="7"/>
  <c r="D7664" i="7"/>
  <c r="H7663" i="7" a="1"/>
  <c r="H7663" i="7" s="1"/>
  <c r="E7663" i="7"/>
  <c r="D7663" i="7"/>
  <c r="H7662" i="7" a="1"/>
  <c r="H7662" i="7" s="1"/>
  <c r="E7662" i="7"/>
  <c r="D7662" i="7"/>
  <c r="H7661" i="7" a="1"/>
  <c r="H7661" i="7" s="1"/>
  <c r="E7661" i="7"/>
  <c r="D7661" i="7"/>
  <c r="H7660" i="7" a="1"/>
  <c r="H7660" i="7" s="1"/>
  <c r="E7660" i="7"/>
  <c r="D7660" i="7"/>
  <c r="H7659" i="7" a="1"/>
  <c r="H7659" i="7" s="1"/>
  <c r="E7659" i="7"/>
  <c r="D7659" i="7"/>
  <c r="H7653" i="7" l="1" a="1"/>
  <c r="H7653" i="7" s="1"/>
  <c r="E7653" i="7"/>
  <c r="D7653" i="7"/>
  <c r="H7652" i="7" a="1"/>
  <c r="H7652" i="7" s="1"/>
  <c r="E7652" i="7"/>
  <c r="D7652" i="7"/>
  <c r="H7656" i="7" a="1"/>
  <c r="H7656" i="7" s="1"/>
  <c r="E7656" i="7"/>
  <c r="D7656" i="7"/>
  <c r="H7655" i="7" a="1"/>
  <c r="H7655" i="7" s="1"/>
  <c r="E7655" i="7"/>
  <c r="D7655" i="7"/>
  <c r="H7654" i="7" a="1"/>
  <c r="H7654" i="7" s="1"/>
  <c r="E7654" i="7"/>
  <c r="D7654" i="7"/>
  <c r="H7633" i="7" l="1" a="1"/>
  <c r="H7633" i="7" s="1"/>
  <c r="E7633" i="7"/>
  <c r="D7633" i="7"/>
  <c r="H7632" i="7" a="1"/>
  <c r="H7632" i="7" s="1"/>
  <c r="E7632" i="7"/>
  <c r="D7632" i="7"/>
  <c r="H7631" i="7" a="1"/>
  <c r="H7631" i="7" s="1"/>
  <c r="E7631" i="7"/>
  <c r="D7631" i="7"/>
  <c r="H7630" i="7" l="1" a="1"/>
  <c r="H7630" i="7" s="1"/>
  <c r="E7630" i="7"/>
  <c r="D7630" i="7"/>
  <c r="H7629" i="7" a="1"/>
  <c r="H7629" i="7" s="1"/>
  <c r="E7629" i="7"/>
  <c r="D7629" i="7"/>
  <c r="E7628" i="7"/>
  <c r="D7628" i="7"/>
  <c r="H7627" i="7" a="1"/>
  <c r="H7627" i="7" s="1"/>
  <c r="E7627" i="7"/>
  <c r="D7627" i="7"/>
  <c r="H7643" i="7" a="1"/>
  <c r="H7643" i="7" s="1"/>
  <c r="E7643" i="7"/>
  <c r="D7643" i="7"/>
  <c r="H7642" i="7" a="1"/>
  <c r="H7642" i="7" s="1"/>
  <c r="E7642" i="7"/>
  <c r="D7642" i="7"/>
  <c r="H7651" i="7" l="1" a="1"/>
  <c r="H7651" i="7" s="1"/>
  <c r="E7651" i="7"/>
  <c r="D7651" i="7"/>
  <c r="H7650" i="7" a="1"/>
  <c r="H7650" i="7" s="1"/>
  <c r="E7650" i="7"/>
  <c r="D7650" i="7"/>
  <c r="H7649" i="7" a="1"/>
  <c r="H7649" i="7" s="1"/>
  <c r="E7649" i="7"/>
  <c r="D7649" i="7"/>
  <c r="H7645" i="7" a="1"/>
  <c r="H7645" i="7" s="1"/>
  <c r="E7645" i="7"/>
  <c r="D7645" i="7"/>
  <c r="H7644" i="7" a="1"/>
  <c r="H7644" i="7" s="1"/>
  <c r="E7644" i="7"/>
  <c r="D7644" i="7"/>
  <c r="H7641" i="7" a="1"/>
  <c r="H7641" i="7" s="1"/>
  <c r="E7641" i="7"/>
  <c r="D7641" i="7"/>
  <c r="H7640" i="7" a="1"/>
  <c r="H7640" i="7" s="1"/>
  <c r="E7640" i="7"/>
  <c r="D7640" i="7"/>
  <c r="H7648" i="7" a="1"/>
  <c r="H7648" i="7" s="1"/>
  <c r="E7648" i="7"/>
  <c r="D7648" i="7"/>
  <c r="H7647" i="7" a="1"/>
  <c r="H7647" i="7" s="1"/>
  <c r="E7647" i="7"/>
  <c r="D7647" i="7"/>
  <c r="H7646" i="7" a="1"/>
  <c r="H7646" i="7" s="1"/>
  <c r="E7646" i="7"/>
  <c r="D7646" i="7"/>
  <c r="H7639" i="7" a="1"/>
  <c r="H7639" i="7" s="1"/>
  <c r="E7639" i="7"/>
  <c r="D7639" i="7"/>
  <c r="H7638" i="7" a="1"/>
  <c r="H7638" i="7" s="1"/>
  <c r="E7638" i="7"/>
  <c r="D7638" i="7"/>
  <c r="H7637" i="7" a="1"/>
  <c r="H7637" i="7" s="1"/>
  <c r="E7637" i="7"/>
  <c r="D7637" i="7"/>
  <c r="H7636" i="7" a="1"/>
  <c r="H7636" i="7" s="1"/>
  <c r="E7636" i="7"/>
  <c r="D7636" i="7"/>
  <c r="H7635" i="7" a="1"/>
  <c r="H7635" i="7" s="1"/>
  <c r="E7635" i="7"/>
  <c r="D7635" i="7"/>
  <c r="H7634" i="7" a="1"/>
  <c r="H7634" i="7" s="1"/>
  <c r="E7634" i="7"/>
  <c r="D7634" i="7"/>
  <c r="H7626" i="7" a="1"/>
  <c r="H7626" i="7" s="1"/>
  <c r="E7626" i="7"/>
  <c r="D7626" i="7"/>
  <c r="H7625" i="7" a="1"/>
  <c r="H7625" i="7" s="1"/>
  <c r="E7625" i="7"/>
  <c r="D7625" i="7"/>
  <c r="H7624" i="7" a="1"/>
  <c r="H7624" i="7" s="1"/>
  <c r="E7624" i="7"/>
  <c r="D7624" i="7"/>
  <c r="H7623" i="7" a="1"/>
  <c r="H7623" i="7" s="1"/>
  <c r="E7623" i="7"/>
  <c r="D7623" i="7"/>
  <c r="H7622" i="7" a="1"/>
  <c r="H7622" i="7" s="1"/>
  <c r="E7622" i="7"/>
  <c r="D7622" i="7"/>
  <c r="H7621" i="7" a="1"/>
  <c r="H7621" i="7" s="1"/>
  <c r="E7621" i="7"/>
  <c r="D7621" i="7"/>
  <c r="H7606" i="7" a="1"/>
  <c r="H7606" i="7" s="1"/>
  <c r="E7606" i="7"/>
  <c r="D7606" i="7"/>
  <c r="H7605" i="7" a="1"/>
  <c r="H7605" i="7" s="1"/>
  <c r="E7605" i="7"/>
  <c r="D7605" i="7"/>
  <c r="E7604" i="7"/>
  <c r="D7604" i="7"/>
  <c r="H7603" i="7" a="1"/>
  <c r="H7603" i="7" s="1"/>
  <c r="E7603" i="7"/>
  <c r="D7603" i="7"/>
  <c r="H7602" i="7" a="1"/>
  <c r="H7602" i="7" s="1"/>
  <c r="E7602" i="7"/>
  <c r="D7602" i="7"/>
  <c r="H7601" i="7" a="1"/>
  <c r="H7601" i="7" s="1"/>
  <c r="E7601" i="7"/>
  <c r="D7601" i="7"/>
  <c r="E7600" i="7"/>
  <c r="D7600" i="7"/>
  <c r="H7599" i="7" a="1"/>
  <c r="H7599" i="7" s="1"/>
  <c r="E7599" i="7"/>
  <c r="D7599" i="7"/>
  <c r="H7620" i="7" a="1"/>
  <c r="H7620" i="7" s="1"/>
  <c r="E7620" i="7"/>
  <c r="D7620" i="7"/>
  <c r="H7619" i="7" a="1"/>
  <c r="H7619" i="7" s="1"/>
  <c r="E7619" i="7"/>
  <c r="D7619" i="7"/>
  <c r="H7618" i="7" a="1"/>
  <c r="H7618" i="7" s="1"/>
  <c r="E7618" i="7"/>
  <c r="D7618" i="7"/>
  <c r="H7617" i="7" a="1"/>
  <c r="H7617" i="7" s="1"/>
  <c r="E7617" i="7"/>
  <c r="D7617" i="7"/>
  <c r="H7616" i="7" a="1"/>
  <c r="H7616" i="7" s="1"/>
  <c r="E7616" i="7"/>
  <c r="D7616" i="7"/>
  <c r="H7615" i="7" a="1"/>
  <c r="H7615" i="7" s="1"/>
  <c r="E7615" i="7"/>
  <c r="D7615" i="7"/>
  <c r="H7614" i="7" a="1"/>
  <c r="H7614" i="7" s="1"/>
  <c r="E7614" i="7"/>
  <c r="D7614" i="7"/>
  <c r="H7613" i="7" a="1"/>
  <c r="H7613" i="7" s="1"/>
  <c r="E7613" i="7"/>
  <c r="D7613" i="7"/>
  <c r="H7612" i="7" a="1"/>
  <c r="H7612" i="7" s="1"/>
  <c r="E7612" i="7"/>
  <c r="D7612" i="7"/>
  <c r="H7611" i="7" a="1"/>
  <c r="H7611" i="7" s="1"/>
  <c r="E7611" i="7"/>
  <c r="D7611" i="7"/>
  <c r="H7610" i="7" a="1"/>
  <c r="H7610" i="7" s="1"/>
  <c r="E7610" i="7"/>
  <c r="D7610" i="7"/>
  <c r="H7609" i="7" a="1"/>
  <c r="H7609" i="7" s="1"/>
  <c r="E7609" i="7"/>
  <c r="D7609" i="7"/>
  <c r="H7608" i="7" a="1"/>
  <c r="H7608" i="7" s="1"/>
  <c r="E7608" i="7"/>
  <c r="D7608" i="7"/>
  <c r="H7607" i="7" a="1"/>
  <c r="H7607" i="7" s="1"/>
  <c r="E7607" i="7"/>
  <c r="D7607" i="7"/>
  <c r="H7598" i="7" a="1"/>
  <c r="H7598" i="7" s="1"/>
  <c r="E7598" i="7"/>
  <c r="D7598" i="7"/>
  <c r="H7597" i="7" a="1"/>
  <c r="H7597" i="7" s="1"/>
  <c r="E7597" i="7"/>
  <c r="D7597" i="7"/>
  <c r="H7596" i="7" l="1" a="1"/>
  <c r="H7596" i="7" s="1"/>
  <c r="E7596" i="7"/>
  <c r="D7596" i="7"/>
  <c r="H7595" i="7" a="1"/>
  <c r="H7595" i="7" s="1"/>
  <c r="E7595" i="7"/>
  <c r="D7595" i="7"/>
  <c r="H7594" i="7" a="1"/>
  <c r="H7594" i="7" s="1"/>
  <c r="E7594" i="7"/>
  <c r="D7594" i="7"/>
  <c r="H7593" i="7" l="1" a="1"/>
  <c r="H7593" i="7" s="1"/>
  <c r="E7593" i="7"/>
  <c r="D7593" i="7"/>
  <c r="H7592" i="7" a="1"/>
  <c r="H7592" i="7" s="1"/>
  <c r="E7592" i="7"/>
  <c r="D7592" i="7"/>
  <c r="E7591" i="7"/>
  <c r="D7591" i="7"/>
  <c r="H7590" i="7" a="1"/>
  <c r="H7590" i="7" s="1"/>
  <c r="E7590" i="7"/>
  <c r="D7590" i="7"/>
  <c r="H7589" i="7" l="1" a="1"/>
  <c r="H7589" i="7" s="1"/>
  <c r="E7589" i="7"/>
  <c r="D7589" i="7"/>
  <c r="H7588" i="7" a="1"/>
  <c r="H7588" i="7" s="1"/>
  <c r="E7588" i="7"/>
  <c r="D7588" i="7"/>
  <c r="H7570" i="7" l="1" a="1"/>
  <c r="H7570" i="7" s="1"/>
  <c r="E7570" i="7"/>
  <c r="D7570" i="7"/>
  <c r="H7569" i="7" a="1"/>
  <c r="H7569" i="7" s="1"/>
  <c r="E7569" i="7"/>
  <c r="D7569" i="7"/>
  <c r="H7568" i="7" a="1"/>
  <c r="H7568" i="7" s="1"/>
  <c r="E7568" i="7"/>
  <c r="D7568" i="7"/>
  <c r="H7587" i="7" a="1"/>
  <c r="H7587" i="7" s="1"/>
  <c r="E7587" i="7"/>
  <c r="D7587" i="7"/>
  <c r="H7586" i="7" a="1"/>
  <c r="H7586" i="7" s="1"/>
  <c r="E7586" i="7"/>
  <c r="D7586" i="7"/>
  <c r="H7585" i="7" a="1"/>
  <c r="H7585" i="7" s="1"/>
  <c r="E7585" i="7"/>
  <c r="D7585" i="7"/>
  <c r="H7584" i="7" a="1"/>
  <c r="H7584" i="7" s="1"/>
  <c r="E7584" i="7"/>
  <c r="D7584" i="7"/>
  <c r="H7583" i="7" a="1"/>
  <c r="H7583" i="7" s="1"/>
  <c r="E7583" i="7"/>
  <c r="D7583" i="7"/>
  <c r="H7582" i="7" a="1"/>
  <c r="H7582" i="7" s="1"/>
  <c r="E7582" i="7"/>
  <c r="D7582" i="7"/>
  <c r="H7581" i="7" a="1"/>
  <c r="H7581" i="7" s="1"/>
  <c r="E7581" i="7"/>
  <c r="D7581" i="7"/>
  <c r="H7580" i="7" a="1"/>
  <c r="H7580" i="7" s="1"/>
  <c r="E7580" i="7"/>
  <c r="D7580" i="7"/>
  <c r="H7579" i="7" a="1"/>
  <c r="H7579" i="7" s="1"/>
  <c r="E7579" i="7"/>
  <c r="D7579" i="7"/>
  <c r="H7578" i="7" a="1"/>
  <c r="H7578" i="7" s="1"/>
  <c r="E7578" i="7"/>
  <c r="D7578" i="7"/>
  <c r="H7577" i="7" a="1"/>
  <c r="H7577" i="7" s="1"/>
  <c r="E7577" i="7"/>
  <c r="D7577" i="7"/>
  <c r="H7576" i="7" a="1"/>
  <c r="H7576" i="7" s="1"/>
  <c r="E7576" i="7"/>
  <c r="D7576" i="7"/>
  <c r="H7575" i="7" a="1"/>
  <c r="H7575" i="7" s="1"/>
  <c r="E7575" i="7"/>
  <c r="D7575" i="7"/>
  <c r="H7574" i="7" a="1"/>
  <c r="H7574" i="7" s="1"/>
  <c r="E7574" i="7"/>
  <c r="D7574" i="7"/>
  <c r="H7573" i="7" a="1"/>
  <c r="H7573" i="7" s="1"/>
  <c r="E7573" i="7"/>
  <c r="D7573" i="7"/>
  <c r="H7572" i="7" a="1"/>
  <c r="H7572" i="7" s="1"/>
  <c r="E7572" i="7"/>
  <c r="D7572" i="7"/>
  <c r="H7571" i="7" a="1"/>
  <c r="H7571" i="7" s="1"/>
  <c r="E7571" i="7"/>
  <c r="D7571" i="7"/>
  <c r="H7558" i="7" a="1"/>
  <c r="H7558" i="7" s="1"/>
  <c r="E7558" i="7"/>
  <c r="D7558" i="7"/>
  <c r="H7557" i="7" a="1"/>
  <c r="H7557" i="7" s="1"/>
  <c r="E7557" i="7"/>
  <c r="D7557" i="7"/>
  <c r="H7564" i="7" a="1"/>
  <c r="H7564" i="7" s="1"/>
  <c r="E7564" i="7"/>
  <c r="D7564" i="7"/>
  <c r="H7563" i="7" a="1"/>
  <c r="H7563" i="7" s="1"/>
  <c r="E7563" i="7"/>
  <c r="D7563" i="7"/>
  <c r="H7562" i="7" a="1"/>
  <c r="H7562" i="7" s="1"/>
  <c r="E7562" i="7"/>
  <c r="D7562" i="7"/>
  <c r="H7567" i="7" a="1"/>
  <c r="H7567" i="7" s="1"/>
  <c r="E7567" i="7"/>
  <c r="D7567" i="7"/>
  <c r="H7566" i="7" a="1"/>
  <c r="H7566" i="7" s="1"/>
  <c r="E7566" i="7"/>
  <c r="D7566" i="7"/>
  <c r="H7565" i="7" a="1"/>
  <c r="H7565" i="7" s="1"/>
  <c r="E7565" i="7"/>
  <c r="D7565" i="7"/>
  <c r="H7561" i="7" a="1"/>
  <c r="H7561" i="7" s="1"/>
  <c r="E7561" i="7"/>
  <c r="D7561" i="7"/>
  <c r="H7560" i="7" a="1"/>
  <c r="H7560" i="7" s="1"/>
  <c r="E7560" i="7"/>
  <c r="D7560" i="7"/>
  <c r="H7559" i="7" a="1"/>
  <c r="H7559" i="7" s="1"/>
  <c r="E7559" i="7"/>
  <c r="D7559" i="7"/>
  <c r="H7556" i="7" a="1"/>
  <c r="H7556" i="7" s="1"/>
  <c r="E7556" i="7"/>
  <c r="D7556" i="7"/>
  <c r="H7555" i="7" a="1"/>
  <c r="H7555" i="7" s="1"/>
  <c r="E7555" i="7"/>
  <c r="D7555" i="7"/>
  <c r="H7554" i="7" a="1"/>
  <c r="H7554" i="7" s="1"/>
  <c r="E7554" i="7"/>
  <c r="D7554" i="7"/>
  <c r="H7553" i="7" a="1"/>
  <c r="H7553" i="7" s="1"/>
  <c r="E7553" i="7"/>
  <c r="D7553" i="7"/>
  <c r="H7552" i="7" a="1"/>
  <c r="H7552" i="7" s="1"/>
  <c r="E7552" i="7"/>
  <c r="D7552" i="7"/>
  <c r="H7551" i="7" a="1"/>
  <c r="H7551" i="7" s="1"/>
  <c r="E7551" i="7"/>
  <c r="D7551" i="7"/>
  <c r="H7550" i="7" l="1" a="1"/>
  <c r="H7550" i="7" s="1"/>
  <c r="E7550" i="7"/>
  <c r="D7550" i="7"/>
  <c r="H7549" i="7" a="1"/>
  <c r="H7549" i="7" s="1"/>
  <c r="E7549" i="7"/>
  <c r="D7549" i="7"/>
  <c r="E7548" i="7"/>
  <c r="D7548" i="7"/>
  <c r="H7547" i="7" a="1"/>
  <c r="H7547" i="7" s="1"/>
  <c r="E7547" i="7"/>
  <c r="D7547" i="7"/>
  <c r="H7546" i="7" l="1" a="1"/>
  <c r="H7546" i="7" s="1"/>
  <c r="E7546" i="7"/>
  <c r="D7546" i="7"/>
  <c r="H7545" i="7" a="1"/>
  <c r="H7545" i="7" s="1"/>
  <c r="E7545" i="7"/>
  <c r="D7545" i="7"/>
  <c r="H7544" i="7" a="1"/>
  <c r="H7544" i="7" s="1"/>
  <c r="E7544" i="7"/>
  <c r="D7544" i="7"/>
  <c r="H7543" i="7" a="1"/>
  <c r="H7543" i="7" s="1"/>
  <c r="E7543" i="7"/>
  <c r="D7543" i="7"/>
  <c r="H7542" i="7" a="1"/>
  <c r="H7542" i="7" s="1"/>
  <c r="E7542" i="7"/>
  <c r="D7542" i="7"/>
  <c r="H7541" i="7" a="1"/>
  <c r="H7541" i="7" s="1"/>
  <c r="E7541" i="7"/>
  <c r="D7541" i="7"/>
  <c r="H7540" i="7" a="1"/>
  <c r="H7540" i="7" s="1"/>
  <c r="E7540" i="7"/>
  <c r="D7540" i="7"/>
  <c r="E7539" i="7"/>
  <c r="D7539" i="7"/>
  <c r="H7538" i="7" a="1"/>
  <c r="H7538" i="7" s="1"/>
  <c r="E7538" i="7"/>
  <c r="D7538" i="7"/>
  <c r="H7537" i="7" a="1"/>
  <c r="H7537" i="7" s="1"/>
  <c r="E7537" i="7"/>
  <c r="D7537" i="7"/>
  <c r="H7536" i="7" a="1"/>
  <c r="H7536" i="7" s="1"/>
  <c r="E7536" i="7"/>
  <c r="D7536" i="7"/>
  <c r="H7535" i="7" a="1"/>
  <c r="H7535" i="7" s="1"/>
  <c r="E7535" i="7"/>
  <c r="D7535" i="7"/>
  <c r="H7534" i="7" l="1" a="1"/>
  <c r="H7534" i="7" s="1"/>
  <c r="E7534" i="7"/>
  <c r="D7534" i="7"/>
  <c r="H7533" i="7" a="1"/>
  <c r="H7533" i="7" s="1"/>
  <c r="E7533" i="7"/>
  <c r="D7533" i="7"/>
  <c r="H7532" i="7" a="1"/>
  <c r="H7532" i="7" s="1"/>
  <c r="E7532" i="7"/>
  <c r="D7532" i="7"/>
  <c r="H7531" i="7" a="1"/>
  <c r="H7531" i="7" s="1"/>
  <c r="E7531" i="7"/>
  <c r="D7531" i="7"/>
  <c r="H7530" i="7" a="1"/>
  <c r="H7530" i="7" s="1"/>
  <c r="E7530" i="7"/>
  <c r="D7530" i="7"/>
  <c r="H7529" i="7" a="1"/>
  <c r="H7529" i="7" s="1"/>
  <c r="E7529" i="7"/>
  <c r="D7529" i="7"/>
  <c r="H7528" i="7" a="1"/>
  <c r="H7528" i="7" s="1"/>
  <c r="E7528" i="7"/>
  <c r="D7528" i="7"/>
  <c r="H7527" i="7" a="1"/>
  <c r="H7527" i="7" s="1"/>
  <c r="E7527" i="7"/>
  <c r="D7527" i="7"/>
  <c r="H7526" i="7" a="1"/>
  <c r="H7526" i="7" s="1"/>
  <c r="E7526" i="7"/>
  <c r="D7526" i="7"/>
  <c r="H7525" i="7" a="1"/>
  <c r="H7525" i="7" s="1"/>
  <c r="E7525" i="7"/>
  <c r="D7525" i="7"/>
  <c r="H7524" i="7" a="1"/>
  <c r="H7524" i="7" s="1"/>
  <c r="E7524" i="7"/>
  <c r="D7524" i="7"/>
  <c r="H7523" i="7" a="1"/>
  <c r="H7523" i="7" s="1"/>
  <c r="E7523" i="7"/>
  <c r="D7523" i="7"/>
  <c r="H7522" i="7" a="1"/>
  <c r="H7522" i="7" s="1"/>
  <c r="E7522" i="7"/>
  <c r="D7522" i="7"/>
  <c r="H7521" i="7" a="1"/>
  <c r="H7521" i="7" s="1"/>
  <c r="E7521" i="7"/>
  <c r="D7521" i="7"/>
  <c r="H7500" i="7" a="1"/>
  <c r="H7500" i="7" s="1"/>
  <c r="E7500" i="7"/>
  <c r="D7500" i="7"/>
  <c r="H7499" i="7" a="1"/>
  <c r="H7499" i="7" s="1"/>
  <c r="E7499" i="7"/>
  <c r="D7499" i="7"/>
  <c r="H7498" i="7" a="1"/>
  <c r="H7498" i="7" s="1"/>
  <c r="E7498" i="7"/>
  <c r="D7498" i="7"/>
  <c r="H7506" i="7" a="1"/>
  <c r="H7506" i="7" s="1"/>
  <c r="E7506" i="7"/>
  <c r="D7506" i="7"/>
  <c r="E7505" i="7"/>
  <c r="D7505" i="7"/>
  <c r="H7504" i="7" a="1"/>
  <c r="H7504" i="7" s="1"/>
  <c r="E7504" i="7"/>
  <c r="D7504" i="7"/>
  <c r="H7503" i="7" a="1"/>
  <c r="H7503" i="7" s="1"/>
  <c r="E7503" i="7"/>
  <c r="D7503" i="7"/>
  <c r="H7502" i="7" a="1"/>
  <c r="H7502" i="7" s="1"/>
  <c r="E7502" i="7"/>
  <c r="D7502" i="7"/>
  <c r="H7501" i="7" a="1"/>
  <c r="H7501" i="7" s="1"/>
  <c r="E7501" i="7"/>
  <c r="D7501" i="7"/>
  <c r="H7520" i="7" a="1"/>
  <c r="H7520" i="7" s="1"/>
  <c r="E7520" i="7"/>
  <c r="D7520" i="7"/>
  <c r="H7519" i="7" a="1"/>
  <c r="H7519" i="7" s="1"/>
  <c r="E7519" i="7"/>
  <c r="D7519" i="7"/>
  <c r="H7518" i="7" a="1"/>
  <c r="H7518" i="7" s="1"/>
  <c r="E7518" i="7"/>
  <c r="D7518" i="7"/>
  <c r="H7517" i="7" a="1"/>
  <c r="H7517" i="7" s="1"/>
  <c r="E7517" i="7"/>
  <c r="D7517" i="7"/>
  <c r="H7516" i="7" a="1"/>
  <c r="H7516" i="7" s="1"/>
  <c r="E7516" i="7"/>
  <c r="D7516" i="7"/>
  <c r="H7515" i="7" a="1"/>
  <c r="H7515" i="7" s="1"/>
  <c r="E7515" i="7"/>
  <c r="D7515" i="7"/>
  <c r="H7514" i="7" a="1"/>
  <c r="H7514" i="7" s="1"/>
  <c r="E7514" i="7"/>
  <c r="D7514" i="7"/>
  <c r="H7513" i="7" a="1"/>
  <c r="H7513" i="7" s="1"/>
  <c r="E7513" i="7"/>
  <c r="D7513" i="7"/>
  <c r="H7512" i="7" a="1"/>
  <c r="H7512" i="7" s="1"/>
  <c r="E7512" i="7"/>
  <c r="D7512" i="7"/>
  <c r="H7511" i="7" a="1"/>
  <c r="H7511" i="7" s="1"/>
  <c r="E7511" i="7"/>
  <c r="D7511" i="7"/>
  <c r="H7510" i="7" a="1"/>
  <c r="H7510" i="7" s="1"/>
  <c r="E7510" i="7"/>
  <c r="D7510" i="7"/>
  <c r="H7509" i="7" a="1"/>
  <c r="H7509" i="7" s="1"/>
  <c r="E7509" i="7"/>
  <c r="D7509" i="7"/>
  <c r="H7508" i="7" a="1"/>
  <c r="H7508" i="7" s="1"/>
  <c r="E7508" i="7"/>
  <c r="D7508" i="7"/>
  <c r="H7507" i="7" a="1"/>
  <c r="H7507" i="7" s="1"/>
  <c r="E7507" i="7"/>
  <c r="D7507" i="7"/>
  <c r="H7497" i="7" l="1" a="1"/>
  <c r="H7497" i="7" s="1"/>
  <c r="E7497" i="7"/>
  <c r="D7497" i="7"/>
  <c r="H7496" i="7" a="1"/>
  <c r="H7496" i="7" s="1"/>
  <c r="E7496" i="7"/>
  <c r="D7496" i="7"/>
  <c r="H7495" i="7" l="1" a="1"/>
  <c r="H7495" i="7" s="1"/>
  <c r="E7495" i="7"/>
  <c r="D7495" i="7"/>
  <c r="H7494" i="7" a="1"/>
  <c r="H7494" i="7" s="1"/>
  <c r="E7494" i="7"/>
  <c r="D7494" i="7"/>
  <c r="H7493" i="7" a="1"/>
  <c r="H7493" i="7" s="1"/>
  <c r="E7493" i="7"/>
  <c r="D7493" i="7"/>
  <c r="H7467" i="7" l="1" a="1"/>
  <c r="H7467" i="7" s="1"/>
  <c r="E7467" i="7"/>
  <c r="D7467" i="7"/>
  <c r="H7466" i="7" a="1"/>
  <c r="H7466" i="7" s="1"/>
  <c r="E7466" i="7"/>
  <c r="D7466" i="7"/>
  <c r="H7465" i="7" a="1"/>
  <c r="H7465" i="7" s="1"/>
  <c r="E7465" i="7"/>
  <c r="D7465" i="7"/>
  <c r="H7492" i="7" l="1" a="1"/>
  <c r="H7492" i="7" s="1"/>
  <c r="E7492" i="7"/>
  <c r="D7492" i="7"/>
  <c r="H7491" i="7" a="1"/>
  <c r="H7491" i="7" s="1"/>
  <c r="E7491" i="7"/>
  <c r="D7491" i="7"/>
  <c r="H7490" i="7" a="1"/>
  <c r="H7490" i="7" s="1"/>
  <c r="E7490" i="7"/>
  <c r="D7490" i="7"/>
  <c r="H7489" i="7" a="1"/>
  <c r="H7489" i="7" s="1"/>
  <c r="E7489" i="7"/>
  <c r="D7489" i="7"/>
  <c r="H7488" i="7" a="1"/>
  <c r="H7488" i="7" s="1"/>
  <c r="E7488" i="7"/>
  <c r="D7488" i="7"/>
  <c r="H7487" i="7" a="1"/>
  <c r="H7487" i="7" s="1"/>
  <c r="E7487" i="7"/>
  <c r="D7487" i="7"/>
  <c r="H7486" i="7" a="1"/>
  <c r="H7486" i="7" s="1"/>
  <c r="E7486" i="7"/>
  <c r="D7486" i="7"/>
  <c r="H7485" i="7" a="1"/>
  <c r="H7485" i="7" s="1"/>
  <c r="E7485" i="7"/>
  <c r="D7485" i="7"/>
  <c r="H7484" i="7" a="1"/>
  <c r="H7484" i="7" s="1"/>
  <c r="E7484" i="7"/>
  <c r="D7484" i="7"/>
  <c r="H7483" i="7" a="1"/>
  <c r="H7483" i="7" s="1"/>
  <c r="E7483" i="7"/>
  <c r="D7483" i="7"/>
  <c r="H7482" i="7" a="1"/>
  <c r="H7482" i="7" s="1"/>
  <c r="E7482" i="7"/>
  <c r="D7482" i="7"/>
  <c r="H7481" i="7" a="1"/>
  <c r="H7481" i="7" s="1"/>
  <c r="E7481" i="7"/>
  <c r="D7481" i="7"/>
  <c r="H7480" i="7" a="1"/>
  <c r="H7480" i="7" s="1"/>
  <c r="E7480" i="7"/>
  <c r="D7480" i="7"/>
  <c r="H7479" i="7" a="1"/>
  <c r="H7479" i="7" s="1"/>
  <c r="E7479" i="7"/>
  <c r="D7479" i="7"/>
  <c r="H7478" i="7" a="1"/>
  <c r="H7478" i="7" s="1"/>
  <c r="E7478" i="7"/>
  <c r="D7478" i="7"/>
  <c r="H7477" i="7" a="1"/>
  <c r="H7477" i="7" s="1"/>
  <c r="E7477" i="7"/>
  <c r="D7477" i="7"/>
  <c r="H7476" i="7" a="1"/>
  <c r="H7476" i="7" s="1"/>
  <c r="E7476" i="7"/>
  <c r="D7476" i="7"/>
  <c r="H7475" i="7" a="1"/>
  <c r="H7475" i="7" s="1"/>
  <c r="E7475" i="7"/>
  <c r="D7475" i="7"/>
  <c r="H7474" i="7" a="1"/>
  <c r="H7474" i="7" s="1"/>
  <c r="E7474" i="7"/>
  <c r="D7474" i="7"/>
  <c r="H7473" i="7" a="1"/>
  <c r="H7473" i="7" s="1"/>
  <c r="E7473" i="7"/>
  <c r="D7473" i="7"/>
  <c r="H7472" i="7" a="1"/>
  <c r="H7472" i="7" s="1"/>
  <c r="E7472" i="7"/>
  <c r="D7472" i="7"/>
  <c r="H7471" i="7" a="1"/>
  <c r="H7471" i="7" s="1"/>
  <c r="E7471" i="7"/>
  <c r="D7471" i="7"/>
  <c r="H7470" i="7" a="1"/>
  <c r="H7470" i="7" s="1"/>
  <c r="E7470" i="7"/>
  <c r="D7470" i="7"/>
  <c r="H7469" i="7" a="1"/>
  <c r="H7469" i="7" s="1"/>
  <c r="E7469" i="7"/>
  <c r="D7469" i="7"/>
  <c r="H7468" i="7" a="1"/>
  <c r="H7468" i="7" s="1"/>
  <c r="E7468" i="7"/>
  <c r="D7468" i="7"/>
  <c r="E7162" i="7"/>
  <c r="D7162" i="7"/>
  <c r="H7450" i="7" l="1" a="1"/>
  <c r="H7450" i="7" s="1"/>
  <c r="E7450" i="7"/>
  <c r="D7450" i="7"/>
  <c r="E7449" i="7"/>
  <c r="D7449" i="7"/>
  <c r="H7448" i="7" a="1"/>
  <c r="H7448" i="7" s="1"/>
  <c r="E7448" i="7"/>
  <c r="D7448" i="7"/>
  <c r="H7447" i="7" a="1"/>
  <c r="H7447" i="7" s="1"/>
  <c r="E7447" i="7"/>
  <c r="D7447" i="7"/>
  <c r="H7464" i="7" l="1" a="1"/>
  <c r="H7464" i="7" s="1"/>
  <c r="E7464" i="7"/>
  <c r="D7464" i="7"/>
  <c r="H7463" i="7" a="1"/>
  <c r="H7463" i="7" s="1"/>
  <c r="E7463" i="7"/>
  <c r="D7463" i="7"/>
  <c r="H7462" i="7" a="1"/>
  <c r="H7462" i="7" s="1"/>
  <c r="E7462" i="7"/>
  <c r="D7462" i="7"/>
  <c r="H7461" i="7" a="1"/>
  <c r="H7461" i="7" s="1"/>
  <c r="E7461" i="7"/>
  <c r="D7461" i="7"/>
  <c r="H7460" i="7" a="1"/>
  <c r="H7460" i="7" s="1"/>
  <c r="E7460" i="7"/>
  <c r="D7460" i="7"/>
  <c r="H7459" i="7" a="1"/>
  <c r="H7459" i="7" s="1"/>
  <c r="E7459" i="7"/>
  <c r="D7459" i="7"/>
  <c r="H7458" i="7" a="1"/>
  <c r="H7458" i="7" s="1"/>
  <c r="E7458" i="7"/>
  <c r="D7458" i="7"/>
  <c r="H7457" i="7" a="1"/>
  <c r="H7457" i="7" s="1"/>
  <c r="E7457" i="7"/>
  <c r="D7457" i="7"/>
  <c r="H7456" i="7" a="1"/>
  <c r="H7456" i="7" s="1"/>
  <c r="E7456" i="7"/>
  <c r="D7456" i="7"/>
  <c r="H7455" i="7" a="1"/>
  <c r="H7455" i="7" s="1"/>
  <c r="E7455" i="7"/>
  <c r="D7455" i="7"/>
  <c r="H7454" i="7" a="1"/>
  <c r="H7454" i="7" s="1"/>
  <c r="E7454" i="7"/>
  <c r="D7454" i="7"/>
  <c r="H7453" i="7" a="1"/>
  <c r="H7453" i="7" s="1"/>
  <c r="E7453" i="7"/>
  <c r="D7453" i="7"/>
  <c r="H7452" i="7" a="1"/>
  <c r="H7452" i="7" s="1"/>
  <c r="E7452" i="7"/>
  <c r="D7452" i="7"/>
  <c r="H7451" i="7" a="1"/>
  <c r="H7451" i="7" s="1"/>
  <c r="E7451" i="7"/>
  <c r="D7451" i="7"/>
  <c r="H7443" i="7" a="1"/>
  <c r="H7443" i="7" s="1"/>
  <c r="E7443" i="7"/>
  <c r="D7443" i="7"/>
  <c r="H7442" i="7" a="1"/>
  <c r="H7442" i="7" s="1"/>
  <c r="E7442" i="7"/>
  <c r="D7442" i="7"/>
  <c r="H7446" i="7" a="1"/>
  <c r="H7446" i="7" s="1"/>
  <c r="E7446" i="7"/>
  <c r="D7446" i="7"/>
  <c r="H7445" i="7" a="1"/>
  <c r="H7445" i="7" s="1"/>
  <c r="E7445" i="7"/>
  <c r="D7445" i="7"/>
  <c r="H7444" i="7" a="1"/>
  <c r="H7444" i="7" s="1"/>
  <c r="E7444" i="7"/>
  <c r="D7444" i="7"/>
  <c r="H7409" i="7" a="1"/>
  <c r="H7409" i="7" s="1"/>
  <c r="E7409" i="7"/>
  <c r="D7409" i="7"/>
  <c r="H7408" i="7" a="1"/>
  <c r="H7408" i="7" s="1"/>
  <c r="E7408" i="7"/>
  <c r="D7408" i="7"/>
  <c r="H7407" i="7" a="1"/>
  <c r="H7407" i="7" s="1"/>
  <c r="E7407" i="7"/>
  <c r="D7407" i="7"/>
  <c r="H7433" i="7" a="1"/>
  <c r="H7433" i="7" s="1"/>
  <c r="E7433" i="7"/>
  <c r="D7433" i="7"/>
  <c r="H7432" i="7" a="1"/>
  <c r="H7432" i="7" s="1"/>
  <c r="E7432" i="7"/>
  <c r="D7432" i="7"/>
  <c r="H7431" i="7" a="1"/>
  <c r="H7431" i="7" s="1"/>
  <c r="E7431" i="7"/>
  <c r="D7431" i="7"/>
  <c r="H7430" i="7" a="1"/>
  <c r="H7430" i="7" s="1"/>
  <c r="E7430" i="7"/>
  <c r="D7430" i="7"/>
  <c r="H7429" i="7" a="1"/>
  <c r="H7429" i="7" s="1"/>
  <c r="E7429" i="7"/>
  <c r="D7429" i="7"/>
  <c r="H7428" i="7" a="1"/>
  <c r="H7428" i="7" s="1"/>
  <c r="E7428" i="7"/>
  <c r="D7428" i="7"/>
  <c r="H7427" i="7" a="1"/>
  <c r="H7427" i="7" s="1"/>
  <c r="E7427" i="7"/>
  <c r="D7427" i="7"/>
  <c r="H7426" i="7" a="1"/>
  <c r="H7426" i="7" s="1"/>
  <c r="E7426" i="7"/>
  <c r="D7426" i="7"/>
  <c r="H7350" i="7" a="1"/>
  <c r="H7350" i="7" s="1"/>
  <c r="E7350" i="7"/>
  <c r="D7350" i="7"/>
  <c r="N7349" i="7"/>
  <c r="O7349" i="7" s="1"/>
  <c r="H7349" i="7" a="1"/>
  <c r="H7349" i="7" s="1"/>
  <c r="E7349" i="7"/>
  <c r="D7349" i="7"/>
  <c r="H7441" i="7" a="1"/>
  <c r="H7441" i="7" s="1"/>
  <c r="E7441" i="7"/>
  <c r="D7441" i="7"/>
  <c r="H7440" i="7" a="1"/>
  <c r="H7440" i="7" s="1"/>
  <c r="E7440" i="7"/>
  <c r="D7440" i="7"/>
  <c r="H7439" i="7" a="1"/>
  <c r="H7439" i="7" s="1"/>
  <c r="E7439" i="7"/>
  <c r="D7439" i="7"/>
  <c r="H7438" i="7" a="1"/>
  <c r="H7438" i="7" s="1"/>
  <c r="E7438" i="7"/>
  <c r="D7438" i="7"/>
  <c r="H7437" i="7" a="1"/>
  <c r="H7437" i="7" s="1"/>
  <c r="E7437" i="7"/>
  <c r="D7437" i="7"/>
  <c r="H7436" i="7" a="1"/>
  <c r="H7436" i="7" s="1"/>
  <c r="E7436" i="7"/>
  <c r="D7436" i="7"/>
  <c r="H7435" i="7" a="1"/>
  <c r="H7435" i="7" s="1"/>
  <c r="E7435" i="7"/>
  <c r="D7435" i="7"/>
  <c r="H7434" i="7" a="1"/>
  <c r="H7434" i="7" s="1"/>
  <c r="E7434" i="7"/>
  <c r="D7434" i="7"/>
  <c r="H7422" i="7" a="1"/>
  <c r="H7422" i="7" s="1"/>
  <c r="E7422" i="7"/>
  <c r="D7422" i="7"/>
  <c r="E7421" i="7"/>
  <c r="D7421" i="7"/>
  <c r="H7420" i="7" a="1"/>
  <c r="H7420" i="7" s="1"/>
  <c r="E7420" i="7"/>
  <c r="D7420" i="7"/>
  <c r="H7419" i="7" a="1"/>
  <c r="H7419" i="7" s="1"/>
  <c r="E7419" i="7"/>
  <c r="D7419" i="7"/>
  <c r="H7425" i="7" a="1"/>
  <c r="H7425" i="7" s="1"/>
  <c r="E7425" i="7"/>
  <c r="D7425" i="7"/>
  <c r="H7424" i="7" a="1"/>
  <c r="H7424" i="7" s="1"/>
  <c r="E7424" i="7"/>
  <c r="D7424" i="7"/>
  <c r="H7423" i="7" a="1"/>
  <c r="H7423" i="7" s="1"/>
  <c r="E7423" i="7"/>
  <c r="D7423" i="7"/>
  <c r="H7418" i="7" a="1"/>
  <c r="H7418" i="7" s="1"/>
  <c r="E7418" i="7"/>
  <c r="D7418" i="7"/>
  <c r="H7417" i="7" a="1"/>
  <c r="H7417" i="7" s="1"/>
  <c r="E7417" i="7"/>
  <c r="D7417" i="7"/>
  <c r="H7416" i="7" a="1"/>
  <c r="H7416" i="7" s="1"/>
  <c r="E7416" i="7"/>
  <c r="D7416" i="7"/>
  <c r="H7415" i="7" a="1"/>
  <c r="H7415" i="7" s="1"/>
  <c r="E7415" i="7"/>
  <c r="D7415" i="7"/>
  <c r="H7414" i="7" a="1"/>
  <c r="H7414" i="7" s="1"/>
  <c r="E7414" i="7"/>
  <c r="D7414" i="7"/>
  <c r="H7413" i="7" a="1"/>
  <c r="H7413" i="7" s="1"/>
  <c r="E7413" i="7"/>
  <c r="D7413" i="7"/>
  <c r="H7412" i="7" a="1"/>
  <c r="H7412" i="7" s="1"/>
  <c r="E7412" i="7"/>
  <c r="D7412" i="7"/>
  <c r="H7411" i="7" a="1"/>
  <c r="H7411" i="7" s="1"/>
  <c r="E7411" i="7"/>
  <c r="D7411" i="7"/>
  <c r="H7410" i="7" a="1"/>
  <c r="H7410" i="7" s="1"/>
  <c r="E7410" i="7"/>
  <c r="D7410" i="7"/>
  <c r="H7392" i="7" l="1" a="1"/>
  <c r="H7392" i="7" s="1"/>
  <c r="E7392" i="7"/>
  <c r="D7392" i="7"/>
  <c r="H7391" i="7" a="1"/>
  <c r="H7391" i="7" s="1"/>
  <c r="E7391" i="7"/>
  <c r="D7391" i="7"/>
  <c r="H7390" i="7" a="1"/>
  <c r="H7390" i="7" s="1"/>
  <c r="E7390" i="7"/>
  <c r="D7390" i="7"/>
  <c r="H7406" i="7" a="1"/>
  <c r="H7406" i="7" s="1"/>
  <c r="E7406" i="7"/>
  <c r="D7406" i="7"/>
  <c r="H7405" i="7" a="1"/>
  <c r="H7405" i="7" s="1"/>
  <c r="E7405" i="7"/>
  <c r="D7405" i="7"/>
  <c r="H7404" i="7" a="1"/>
  <c r="H7404" i="7" s="1"/>
  <c r="E7404" i="7"/>
  <c r="D7404" i="7"/>
  <c r="H7403" i="7" a="1"/>
  <c r="H7403" i="7" s="1"/>
  <c r="E7403" i="7"/>
  <c r="D7403" i="7"/>
  <c r="H7402" i="7" a="1"/>
  <c r="H7402" i="7" s="1"/>
  <c r="E7402" i="7"/>
  <c r="D7402" i="7"/>
  <c r="H7401" i="7" a="1"/>
  <c r="H7401" i="7" s="1"/>
  <c r="E7401" i="7"/>
  <c r="D7401" i="7"/>
  <c r="H7400" i="7" a="1"/>
  <c r="H7400" i="7" s="1"/>
  <c r="E7400" i="7"/>
  <c r="D7400" i="7"/>
  <c r="H7399" i="7" a="1"/>
  <c r="H7399" i="7" s="1"/>
  <c r="E7399" i="7"/>
  <c r="D7399" i="7"/>
  <c r="H7398" i="7" a="1"/>
  <c r="H7398" i="7" s="1"/>
  <c r="E7398" i="7"/>
  <c r="D7398" i="7"/>
  <c r="H7397" i="7" a="1"/>
  <c r="H7397" i="7" s="1"/>
  <c r="E7397" i="7"/>
  <c r="D7397" i="7"/>
  <c r="H7396" i="7" a="1"/>
  <c r="H7396" i="7" s="1"/>
  <c r="E7396" i="7"/>
  <c r="D7396" i="7"/>
  <c r="H7395" i="7" a="1"/>
  <c r="H7395" i="7" s="1"/>
  <c r="E7395" i="7"/>
  <c r="D7395" i="7"/>
  <c r="H7394" i="7" a="1"/>
  <c r="H7394" i="7" s="1"/>
  <c r="E7394" i="7"/>
  <c r="D7394" i="7"/>
  <c r="H7393" i="7" a="1"/>
  <c r="H7393" i="7" s="1"/>
  <c r="E7393" i="7"/>
  <c r="D7393" i="7"/>
  <c r="H7367" i="7" a="1"/>
  <c r="H7367" i="7" s="1"/>
  <c r="E7367" i="7"/>
  <c r="D7367" i="7"/>
  <c r="H7366" i="7" a="1"/>
  <c r="H7366" i="7" s="1"/>
  <c r="E7366" i="7"/>
  <c r="D7366" i="7"/>
  <c r="H7365" i="7" a="1"/>
  <c r="H7365" i="7" s="1"/>
  <c r="E7365" i="7"/>
  <c r="D7365" i="7"/>
  <c r="H7389" i="7" a="1"/>
  <c r="H7389" i="7" s="1"/>
  <c r="E7389" i="7"/>
  <c r="D7389" i="7"/>
  <c r="H7388" i="7" a="1"/>
  <c r="H7388" i="7" s="1"/>
  <c r="E7388" i="7"/>
  <c r="D7388" i="7"/>
  <c r="E7387" i="7"/>
  <c r="D7387" i="7"/>
  <c r="E7386" i="7"/>
  <c r="D7386" i="7"/>
  <c r="H7385" i="7" a="1"/>
  <c r="H7385" i="7" s="1"/>
  <c r="E7385" i="7"/>
  <c r="D7385" i="7"/>
  <c r="H7374" i="7" l="1" a="1"/>
  <c r="H7374" i="7" s="1"/>
  <c r="E7374" i="7"/>
  <c r="D7374" i="7"/>
  <c r="H7373" i="7" a="1"/>
  <c r="H7373" i="7" s="1"/>
  <c r="E7373" i="7"/>
  <c r="D7373" i="7"/>
  <c r="N7255" i="7" l="1"/>
  <c r="O7255" i="7" s="1"/>
  <c r="H7384" i="7" l="1" a="1"/>
  <c r="H7384" i="7" s="1"/>
  <c r="E7384" i="7"/>
  <c r="D7384" i="7"/>
  <c r="H7383" i="7" a="1"/>
  <c r="H7383" i="7" s="1"/>
  <c r="E7383" i="7"/>
  <c r="D7383" i="7"/>
  <c r="H7382" i="7" a="1"/>
  <c r="H7382" i="7" s="1"/>
  <c r="E7382" i="7"/>
  <c r="D7382" i="7"/>
  <c r="H7381" i="7" a="1"/>
  <c r="H7381" i="7" s="1"/>
  <c r="E7381" i="7"/>
  <c r="D7381" i="7"/>
  <c r="H7380" i="7" a="1"/>
  <c r="H7380" i="7" s="1"/>
  <c r="E7380" i="7"/>
  <c r="D7380" i="7"/>
  <c r="H7379" i="7" a="1"/>
  <c r="H7379" i="7" s="1"/>
  <c r="E7379" i="7"/>
  <c r="D7379" i="7"/>
  <c r="H7378" i="7" a="1"/>
  <c r="H7378" i="7" s="1"/>
  <c r="E7378" i="7"/>
  <c r="D7378" i="7"/>
  <c r="H7377" i="7" a="1"/>
  <c r="H7377" i="7" s="1"/>
  <c r="E7377" i="7"/>
  <c r="D7377" i="7"/>
  <c r="H7376" i="7" a="1"/>
  <c r="H7376" i="7" s="1"/>
  <c r="E7376" i="7"/>
  <c r="D7376" i="7"/>
  <c r="H7375" i="7" a="1"/>
  <c r="H7375" i="7" s="1"/>
  <c r="E7375" i="7"/>
  <c r="D7375" i="7"/>
  <c r="H7369" i="7" a="1"/>
  <c r="H7369" i="7" s="1"/>
  <c r="E7369" i="7"/>
  <c r="D7369" i="7"/>
  <c r="H7368" i="7" a="1"/>
  <c r="H7368" i="7" s="1"/>
  <c r="E7368" i="7"/>
  <c r="D7368" i="7"/>
  <c r="H7372" i="7" a="1"/>
  <c r="H7372" i="7" s="1"/>
  <c r="E7372" i="7"/>
  <c r="D7372" i="7"/>
  <c r="H7371" i="7" a="1"/>
  <c r="H7371" i="7" s="1"/>
  <c r="E7371" i="7"/>
  <c r="D7371" i="7"/>
  <c r="H7370" i="7" a="1"/>
  <c r="H7370" i="7" s="1"/>
  <c r="E7370" i="7"/>
  <c r="D7370" i="7"/>
  <c r="H7364" i="7" a="1"/>
  <c r="H7364" i="7" s="1"/>
  <c r="E7364" i="7"/>
  <c r="D7364" i="7"/>
  <c r="H7363" i="7" a="1"/>
  <c r="H7363" i="7" s="1"/>
  <c r="E7363" i="7"/>
  <c r="D7363" i="7"/>
  <c r="H7362" i="7" a="1"/>
  <c r="H7362" i="7" s="1"/>
  <c r="E7362" i="7"/>
  <c r="D7362" i="7"/>
  <c r="H7361" i="7" a="1"/>
  <c r="H7361" i="7" s="1"/>
  <c r="E7361" i="7"/>
  <c r="D7361" i="7"/>
  <c r="H7360" i="7" a="1"/>
  <c r="H7360" i="7" s="1"/>
  <c r="E7360" i="7"/>
  <c r="D7360" i="7"/>
  <c r="H7359" i="7" a="1"/>
  <c r="H7359" i="7" s="1"/>
  <c r="E7359" i="7"/>
  <c r="D7359" i="7"/>
  <c r="H7358" i="7" a="1"/>
  <c r="H7358" i="7" s="1"/>
  <c r="E7358" i="7"/>
  <c r="D7358" i="7"/>
  <c r="H7357" i="7" a="1"/>
  <c r="H7357" i="7" s="1"/>
  <c r="E7357" i="7"/>
  <c r="D7357" i="7"/>
  <c r="H7356" i="7" a="1"/>
  <c r="H7356" i="7" s="1"/>
  <c r="E7356" i="7"/>
  <c r="D7356" i="7"/>
  <c r="H7355" i="7" a="1"/>
  <c r="H7355" i="7" s="1"/>
  <c r="E7355" i="7"/>
  <c r="D7355" i="7"/>
  <c r="H7354" i="7" a="1"/>
  <c r="H7354" i="7" s="1"/>
  <c r="E7354" i="7"/>
  <c r="D7354" i="7"/>
  <c r="H7353" i="7" a="1"/>
  <c r="H7353" i="7" s="1"/>
  <c r="E7353" i="7"/>
  <c r="D7353" i="7"/>
  <c r="H7352" i="7" a="1"/>
  <c r="H7352" i="7" s="1"/>
  <c r="E7352" i="7"/>
  <c r="D7352" i="7"/>
  <c r="H7351" i="7" a="1"/>
  <c r="H7351" i="7" s="1"/>
  <c r="E7351" i="7"/>
  <c r="D7351" i="7"/>
  <c r="H7348" i="7" a="1"/>
  <c r="H7348" i="7" s="1"/>
  <c r="E7348" i="7"/>
  <c r="D7348" i="7"/>
  <c r="H7347" i="7" a="1"/>
  <c r="H7347" i="7" s="1"/>
  <c r="E7347" i="7"/>
  <c r="D7347" i="7"/>
  <c r="D7343" i="7"/>
  <c r="E7343" i="7"/>
  <c r="H7343" i="7" a="1"/>
  <c r="H7343" i="7" s="1"/>
  <c r="H7346" i="7" a="1"/>
  <c r="H7346" i="7" s="1"/>
  <c r="E7346" i="7"/>
  <c r="D7346" i="7"/>
  <c r="H7345" i="7" a="1"/>
  <c r="H7345" i="7" s="1"/>
  <c r="E7345" i="7"/>
  <c r="D7345" i="7"/>
  <c r="E7344" i="7"/>
  <c r="D7344" i="7"/>
  <c r="H7342" i="7" l="1" a="1"/>
  <c r="H7342" i="7" s="1"/>
  <c r="E7342" i="7"/>
  <c r="D7342" i="7"/>
  <c r="H7341" i="7" a="1"/>
  <c r="H7341" i="7" s="1"/>
  <c r="E7341" i="7"/>
  <c r="D7341" i="7"/>
  <c r="H7340" i="7" a="1"/>
  <c r="H7340" i="7" s="1"/>
  <c r="E7340" i="7"/>
  <c r="D7340" i="7"/>
  <c r="H7339" i="7" l="1" a="1"/>
  <c r="H7339" i="7" s="1"/>
  <c r="E7339" i="7"/>
  <c r="D7339" i="7"/>
  <c r="H7338" i="7" a="1"/>
  <c r="H7338" i="7" s="1"/>
  <c r="E7338" i="7"/>
  <c r="D7338" i="7"/>
  <c r="H7337" i="7" a="1"/>
  <c r="H7337" i="7" s="1"/>
  <c r="E7337" i="7"/>
  <c r="D7337" i="7"/>
  <c r="H7336" i="7" l="1" a="1"/>
  <c r="H7336" i="7" s="1"/>
  <c r="E7336" i="7"/>
  <c r="D7336" i="7"/>
  <c r="H7335" i="7" a="1"/>
  <c r="H7335" i="7" s="1"/>
  <c r="E7335" i="7"/>
  <c r="D7335" i="7"/>
  <c r="H7334" i="7" a="1"/>
  <c r="H7334" i="7" s="1"/>
  <c r="E7334" i="7"/>
  <c r="D7334" i="7"/>
  <c r="H7333" i="7" a="1"/>
  <c r="H7333" i="7" s="1"/>
  <c r="E7333" i="7"/>
  <c r="D7333" i="7"/>
  <c r="H7332" i="7" a="1"/>
  <c r="H7332" i="7" s="1"/>
  <c r="E7332" i="7"/>
  <c r="D7332" i="7"/>
  <c r="H7331" i="7" a="1"/>
  <c r="H7331" i="7" s="1"/>
  <c r="E7331" i="7"/>
  <c r="D7331" i="7"/>
  <c r="H7330" i="7" a="1"/>
  <c r="H7330" i="7" s="1"/>
  <c r="E7330" i="7"/>
  <c r="D7330" i="7"/>
  <c r="H7329" i="7" a="1"/>
  <c r="H7329" i="7" s="1"/>
  <c r="E7329" i="7"/>
  <c r="D7329" i="7"/>
  <c r="H7328" i="7" a="1"/>
  <c r="H7328" i="7" s="1"/>
  <c r="E7328" i="7"/>
  <c r="D7328" i="7"/>
  <c r="H7327" i="7" l="1" a="1"/>
  <c r="H7327" i="7" s="1"/>
  <c r="E7327" i="7"/>
  <c r="D7327" i="7"/>
  <c r="H7326" i="7" a="1"/>
  <c r="H7326" i="7" s="1"/>
  <c r="E7326" i="7"/>
  <c r="D7326" i="7"/>
  <c r="H7325" i="7" a="1"/>
  <c r="H7325" i="7" s="1"/>
  <c r="E7325" i="7"/>
  <c r="D7325" i="7"/>
  <c r="H7324" i="7" a="1"/>
  <c r="H7324" i="7" s="1"/>
  <c r="E7324" i="7"/>
  <c r="D7324" i="7"/>
  <c r="H7323" i="7" a="1"/>
  <c r="H7323" i="7" s="1"/>
  <c r="E7323" i="7"/>
  <c r="D7323" i="7"/>
  <c r="H7322" i="7" a="1"/>
  <c r="H7322" i="7" s="1"/>
  <c r="E7322" i="7"/>
  <c r="D7322" i="7"/>
  <c r="H7321" i="7" a="1"/>
  <c r="H7321" i="7" s="1"/>
  <c r="E7321" i="7"/>
  <c r="D7321" i="7"/>
  <c r="H7320" i="7" a="1"/>
  <c r="H7320" i="7" s="1"/>
  <c r="E7320" i="7"/>
  <c r="D7320" i="7"/>
  <c r="H7319" i="7" l="1" a="1"/>
  <c r="H7319" i="7" s="1"/>
  <c r="E7319" i="7"/>
  <c r="D7319" i="7"/>
  <c r="H7318" i="7" a="1"/>
  <c r="H7318" i="7" s="1"/>
  <c r="E7318" i="7"/>
  <c r="D7318" i="7"/>
  <c r="H7317" i="7" a="1"/>
  <c r="H7317" i="7" s="1"/>
  <c r="E7317" i="7"/>
  <c r="D7317" i="7"/>
  <c r="H7316" i="7" a="1"/>
  <c r="H7316" i="7" s="1"/>
  <c r="E7316" i="7"/>
  <c r="D7316" i="7"/>
  <c r="H7315" i="7" a="1"/>
  <c r="H7315" i="7" s="1"/>
  <c r="E7315" i="7"/>
  <c r="D7315" i="7"/>
  <c r="H7314" i="7" a="1"/>
  <c r="H7314" i="7" s="1"/>
  <c r="E7314" i="7"/>
  <c r="D7314" i="7"/>
  <c r="H7313" i="7" a="1"/>
  <c r="H7313" i="7" s="1"/>
  <c r="E7313" i="7"/>
  <c r="D7313" i="7"/>
  <c r="H7312" i="7" a="1"/>
  <c r="H7312" i="7" s="1"/>
  <c r="E7312" i="7"/>
  <c r="D7312" i="7"/>
  <c r="H7311" i="7" a="1"/>
  <c r="H7311" i="7" s="1"/>
  <c r="E7311" i="7"/>
  <c r="D7311" i="7"/>
  <c r="H7307" i="7" l="1" a="1"/>
  <c r="H7307" i="7" s="1"/>
  <c r="E7307" i="7"/>
  <c r="D7307" i="7"/>
  <c r="H7306" i="7" a="1"/>
  <c r="H7306" i="7" s="1"/>
  <c r="E7306" i="7"/>
  <c r="D7306" i="7"/>
  <c r="H7310" i="7" a="1"/>
  <c r="H7310" i="7" s="1"/>
  <c r="E7310" i="7"/>
  <c r="D7310" i="7"/>
  <c r="H7309" i="7" a="1"/>
  <c r="H7309" i="7" s="1"/>
  <c r="E7309" i="7"/>
  <c r="D7309" i="7"/>
  <c r="H7308" i="7" a="1"/>
  <c r="H7308" i="7" s="1"/>
  <c r="E7308" i="7"/>
  <c r="D7308" i="7"/>
  <c r="H7303" i="7" l="1" a="1"/>
  <c r="H7303" i="7" s="1"/>
  <c r="E7303" i="7"/>
  <c r="D7303" i="7"/>
  <c r="H7302" i="7" a="1"/>
  <c r="H7302" i="7" s="1"/>
  <c r="E7302" i="7"/>
  <c r="D7302" i="7"/>
  <c r="H7301" i="7" a="1"/>
  <c r="H7301" i="7" s="1"/>
  <c r="E7301" i="7"/>
  <c r="D7301" i="7"/>
  <c r="H7305" i="7" l="1" a="1"/>
  <c r="H7305" i="7" s="1"/>
  <c r="E7305" i="7"/>
  <c r="D7305" i="7"/>
  <c r="H7304" i="7" a="1"/>
  <c r="H7304" i="7" s="1"/>
  <c r="E7304" i="7"/>
  <c r="D7304" i="7"/>
  <c r="H7300" i="7" a="1"/>
  <c r="H7300" i="7" s="1"/>
  <c r="E7300" i="7"/>
  <c r="D7300" i="7"/>
  <c r="H7299" i="7" a="1"/>
  <c r="H7299" i="7" s="1"/>
  <c r="E7299" i="7"/>
  <c r="D7299" i="7"/>
  <c r="H7163" i="7" a="1"/>
  <c r="H7163" i="7" s="1"/>
  <c r="E7163" i="7"/>
  <c r="D7163" i="7"/>
  <c r="H7161" i="7" a="1"/>
  <c r="H7161" i="7" s="1"/>
  <c r="E7161" i="7"/>
  <c r="D7161" i="7"/>
  <c r="H7176" i="7" a="1"/>
  <c r="H7176" i="7" s="1"/>
  <c r="E7176" i="7"/>
  <c r="D7176" i="7"/>
  <c r="H7175" i="7" a="1"/>
  <c r="H7175" i="7" s="1"/>
  <c r="E7175" i="7"/>
  <c r="D7175" i="7"/>
  <c r="H7174" i="7" a="1"/>
  <c r="H7174" i="7" s="1"/>
  <c r="E7174" i="7"/>
  <c r="D7174" i="7"/>
  <c r="H7173" i="7" a="1"/>
  <c r="H7173" i="7" s="1"/>
  <c r="E7173" i="7"/>
  <c r="D7173" i="7"/>
  <c r="H7172" i="7" a="1"/>
  <c r="H7172" i="7" s="1"/>
  <c r="E7172" i="7"/>
  <c r="D7172" i="7"/>
  <c r="H7160" i="7" a="1"/>
  <c r="H7160" i="7" s="1"/>
  <c r="E7160" i="7"/>
  <c r="D7160" i="7"/>
  <c r="H7159" i="7" a="1"/>
  <c r="H7159" i="7" s="1"/>
  <c r="E7159" i="7"/>
  <c r="D7159" i="7"/>
  <c r="H7281" i="7" a="1"/>
  <c r="H7281" i="7" s="1"/>
  <c r="E7281" i="7"/>
  <c r="D7281" i="7"/>
  <c r="H7280" i="7" a="1"/>
  <c r="H7280" i="7" s="1"/>
  <c r="E7280" i="7"/>
  <c r="D7280" i="7"/>
  <c r="H7283" i="7" a="1"/>
  <c r="H7283" i="7" s="1"/>
  <c r="E7283" i="7"/>
  <c r="D7283" i="7"/>
  <c r="H7282" i="7" a="1"/>
  <c r="H7282" i="7" s="1"/>
  <c r="E7282" i="7"/>
  <c r="D7282" i="7"/>
  <c r="H7298" i="7" l="1" a="1"/>
  <c r="H7298" i="7" s="1"/>
  <c r="E7298" i="7"/>
  <c r="D7298" i="7"/>
  <c r="H7297" i="7" a="1"/>
  <c r="H7297" i="7" s="1"/>
  <c r="E7297" i="7"/>
  <c r="D7297" i="7"/>
  <c r="H7296" i="7" a="1"/>
  <c r="H7296" i="7" s="1"/>
  <c r="E7296" i="7"/>
  <c r="D7296" i="7"/>
  <c r="H7295" i="7" a="1"/>
  <c r="H7295" i="7" s="1"/>
  <c r="E7295" i="7"/>
  <c r="D7295" i="7"/>
  <c r="H7294" i="7" a="1"/>
  <c r="H7294" i="7" s="1"/>
  <c r="E7294" i="7"/>
  <c r="D7294" i="7"/>
  <c r="H7293" i="7" a="1"/>
  <c r="H7293" i="7" s="1"/>
  <c r="E7293" i="7"/>
  <c r="D7293" i="7"/>
  <c r="H7292" i="7" a="1"/>
  <c r="H7292" i="7" s="1"/>
  <c r="E7292" i="7"/>
  <c r="D7292" i="7"/>
  <c r="H7291" i="7" a="1"/>
  <c r="H7291" i="7" s="1"/>
  <c r="E7291" i="7"/>
  <c r="D7291" i="7"/>
  <c r="H7290" i="7" l="1" a="1"/>
  <c r="H7290" i="7" s="1"/>
  <c r="E7290" i="7"/>
  <c r="D7290" i="7"/>
  <c r="H7289" i="7" a="1"/>
  <c r="H7289" i="7" s="1"/>
  <c r="E7289" i="7"/>
  <c r="D7289" i="7"/>
  <c r="H7288" i="7" a="1"/>
  <c r="H7288" i="7" s="1"/>
  <c r="E7288" i="7"/>
  <c r="D7288" i="7"/>
  <c r="H7287" i="7" a="1"/>
  <c r="H7287" i="7" s="1"/>
  <c r="E7287" i="7"/>
  <c r="D7287" i="7"/>
  <c r="H7286" i="7" a="1"/>
  <c r="H7286" i="7" s="1"/>
  <c r="E7286" i="7"/>
  <c r="D7286" i="7"/>
  <c r="H7285" i="7" l="1" a="1"/>
  <c r="H7285" i="7" s="1"/>
  <c r="E7285" i="7"/>
  <c r="D7285" i="7"/>
  <c r="H7284" i="7" a="1"/>
  <c r="H7284" i="7" s="1"/>
  <c r="E7284" i="7"/>
  <c r="D7284" i="7"/>
  <c r="H7279" i="7" a="1"/>
  <c r="H7279" i="7" s="1"/>
  <c r="E7279" i="7"/>
  <c r="D7279" i="7"/>
  <c r="H7278" i="7" a="1"/>
  <c r="H7278" i="7" s="1"/>
  <c r="E7278" i="7"/>
  <c r="D7278" i="7"/>
  <c r="H7277" i="7" a="1"/>
  <c r="H7277" i="7" s="1"/>
  <c r="E7277" i="7"/>
  <c r="D7277" i="7"/>
  <c r="H7276" i="7" a="1"/>
  <c r="H7276" i="7" s="1"/>
  <c r="E7276" i="7"/>
  <c r="D7276" i="7"/>
  <c r="H7275" i="7" a="1"/>
  <c r="H7275" i="7" s="1"/>
  <c r="E7275" i="7"/>
  <c r="D7275" i="7"/>
  <c r="H7274" i="7" a="1"/>
  <c r="H7274" i="7" s="1"/>
  <c r="E7274" i="7"/>
  <c r="D7274" i="7"/>
  <c r="H7273" i="7" a="1"/>
  <c r="H7273" i="7" s="1"/>
  <c r="E7273" i="7"/>
  <c r="D7273" i="7"/>
  <c r="H7272" i="7" a="1"/>
  <c r="H7272" i="7" s="1"/>
  <c r="E7272" i="7"/>
  <c r="D7272" i="7"/>
  <c r="H7271" i="7" a="1"/>
  <c r="H7271" i="7" s="1"/>
  <c r="E7271" i="7"/>
  <c r="D7271" i="7"/>
  <c r="H7270" i="7" a="1"/>
  <c r="H7270" i="7" s="1"/>
  <c r="E7270" i="7"/>
  <c r="D7270" i="7"/>
  <c r="H7269" i="7" a="1"/>
  <c r="H7269" i="7" s="1"/>
  <c r="E7269" i="7"/>
  <c r="D7269" i="7"/>
  <c r="H7268" i="7" a="1"/>
  <c r="H7268" i="7" s="1"/>
  <c r="E7268" i="7"/>
  <c r="D7268" i="7"/>
  <c r="H7267" i="7" a="1"/>
  <c r="H7267" i="7" s="1"/>
  <c r="E7267" i="7"/>
  <c r="D7267" i="7"/>
  <c r="H7266" i="7" a="1"/>
  <c r="H7266" i="7" s="1"/>
  <c r="E7266" i="7"/>
  <c r="D7266" i="7"/>
  <c r="H7265" i="7" a="1"/>
  <c r="H7265" i="7" s="1"/>
  <c r="E7265" i="7"/>
  <c r="D7265" i="7"/>
  <c r="H7256" i="7" a="1"/>
  <c r="H7256" i="7" s="1"/>
  <c r="E7256" i="7"/>
  <c r="D7256" i="7"/>
  <c r="H7255" i="7" a="1"/>
  <c r="H7255" i="7" s="1"/>
  <c r="E7255" i="7"/>
  <c r="D7255" i="7"/>
  <c r="H7242" i="7" l="1" a="1"/>
  <c r="H7242" i="7" s="1"/>
  <c r="E7242" i="7"/>
  <c r="D7242" i="7"/>
  <c r="H7241" i="7" a="1"/>
  <c r="H7241" i="7" s="1"/>
  <c r="E7241" i="7"/>
  <c r="D7241" i="7"/>
  <c r="H7264" i="7" a="1"/>
  <c r="H7264" i="7" s="1"/>
  <c r="E7264" i="7"/>
  <c r="D7264" i="7"/>
  <c r="H7263" i="7" a="1"/>
  <c r="H7263" i="7" s="1"/>
  <c r="E7263" i="7"/>
  <c r="D7263" i="7"/>
  <c r="H7262" i="7" a="1"/>
  <c r="H7262" i="7" s="1"/>
  <c r="E7262" i="7"/>
  <c r="D7262" i="7"/>
  <c r="H7261" i="7" a="1"/>
  <c r="H7261" i="7" s="1"/>
  <c r="E7261" i="7"/>
  <c r="D7261" i="7"/>
  <c r="H7260" i="7" a="1"/>
  <c r="H7260" i="7" s="1"/>
  <c r="E7260" i="7"/>
  <c r="D7260" i="7"/>
  <c r="H7259" i="7" a="1"/>
  <c r="H7259" i="7" s="1"/>
  <c r="E7259" i="7"/>
  <c r="D7259" i="7"/>
  <c r="H7258" i="7" a="1"/>
  <c r="H7258" i="7" s="1"/>
  <c r="E7258" i="7"/>
  <c r="D7258" i="7"/>
  <c r="H7257" i="7" a="1"/>
  <c r="H7257" i="7" s="1"/>
  <c r="E7257" i="7"/>
  <c r="D7257" i="7"/>
  <c r="H7254" i="7" a="1"/>
  <c r="H7254" i="7" s="1"/>
  <c r="E7254" i="7"/>
  <c r="D7254" i="7"/>
  <c r="H7253" i="7" a="1"/>
  <c r="H7253" i="7" s="1"/>
  <c r="E7253" i="7"/>
  <c r="D7253" i="7"/>
  <c r="H7252" i="7" a="1"/>
  <c r="H7252" i="7" s="1"/>
  <c r="E7252" i="7"/>
  <c r="D7252" i="7"/>
  <c r="H7251" i="7" a="1"/>
  <c r="H7251" i="7" s="1"/>
  <c r="E7251" i="7"/>
  <c r="D7251" i="7"/>
  <c r="H7250" i="7" a="1"/>
  <c r="H7250" i="7" s="1"/>
  <c r="E7250" i="7"/>
  <c r="D7250" i="7"/>
  <c r="H7249" i="7" a="1"/>
  <c r="H7249" i="7" s="1"/>
  <c r="E7249" i="7"/>
  <c r="D7249" i="7"/>
  <c r="H7248" i="7" a="1"/>
  <c r="H7248" i="7" s="1"/>
  <c r="E7248" i="7"/>
  <c r="D7248" i="7"/>
  <c r="E7247" i="7"/>
  <c r="D7247" i="7"/>
  <c r="H7246" i="7" a="1"/>
  <c r="H7246" i="7" s="1"/>
  <c r="E7246" i="7"/>
  <c r="D7246" i="7"/>
  <c r="H7245" i="7" a="1"/>
  <c r="H7245" i="7" s="1"/>
  <c r="E7245" i="7"/>
  <c r="D7245" i="7"/>
  <c r="H7244" i="7" a="1"/>
  <c r="H7244" i="7" s="1"/>
  <c r="E7244" i="7"/>
  <c r="D7244" i="7"/>
  <c r="H7243" i="7" a="1"/>
  <c r="H7243" i="7" s="1"/>
  <c r="E7243" i="7"/>
  <c r="D7243" i="7"/>
  <c r="H7213" i="7" l="1" a="1"/>
  <c r="H7213" i="7" s="1"/>
  <c r="H7212" i="7" a="1"/>
  <c r="H7212" i="7" s="1"/>
  <c r="H7211" i="7" a="1"/>
  <c r="H7211" i="7" s="1"/>
  <c r="H7240" i="7" l="1" a="1"/>
  <c r="H7240" i="7" s="1"/>
  <c r="E7240" i="7"/>
  <c r="D7240" i="7"/>
  <c r="H7239" i="7" a="1"/>
  <c r="H7239" i="7" s="1"/>
  <c r="E7239" i="7"/>
  <c r="D7239" i="7"/>
  <c r="H7238" i="7" a="1"/>
  <c r="H7238" i="7" s="1"/>
  <c r="E7238" i="7"/>
  <c r="D7238" i="7"/>
  <c r="H7237" i="7" a="1"/>
  <c r="H7237" i="7" s="1"/>
  <c r="E7237" i="7"/>
  <c r="D7237" i="7"/>
  <c r="H7236" i="7" a="1"/>
  <c r="H7236" i="7" s="1"/>
  <c r="E7236" i="7"/>
  <c r="D7236" i="7"/>
  <c r="H7235" i="7" a="1"/>
  <c r="H7235" i="7" s="1"/>
  <c r="E7235" i="7"/>
  <c r="D7235" i="7"/>
  <c r="H7234" i="7" a="1"/>
  <c r="H7234" i="7" s="1"/>
  <c r="E7234" i="7"/>
  <c r="D7234" i="7"/>
  <c r="H7225" i="7" l="1" a="1"/>
  <c r="H7225" i="7" s="1"/>
  <c r="E7225" i="7"/>
  <c r="D7225" i="7"/>
  <c r="H7224" i="7" a="1"/>
  <c r="H7224" i="7" s="1"/>
  <c r="E7224" i="7"/>
  <c r="D7224" i="7"/>
  <c r="D6119" i="7"/>
  <c r="E6119" i="7"/>
  <c r="D6120" i="7"/>
  <c r="E6120" i="7"/>
  <c r="H6120" i="7" a="1"/>
  <c r="H6120" i="7" s="1"/>
  <c r="H7233" i="7" l="1" a="1"/>
  <c r="H7233" i="7" s="1"/>
  <c r="E7233" i="7"/>
  <c r="D7233" i="7"/>
  <c r="H7232" i="7" a="1"/>
  <c r="H7232" i="7" s="1"/>
  <c r="E7232" i="7"/>
  <c r="D7232" i="7"/>
  <c r="H7231" i="7" a="1"/>
  <c r="H7231" i="7" s="1"/>
  <c r="E7231" i="7"/>
  <c r="D7231" i="7"/>
  <c r="H7230" i="7" a="1"/>
  <c r="H7230" i="7" s="1"/>
  <c r="E7230" i="7"/>
  <c r="D7230" i="7"/>
  <c r="H7229" i="7" a="1"/>
  <c r="H7229" i="7" s="1"/>
  <c r="E7229" i="7"/>
  <c r="D7229" i="7"/>
  <c r="H7228" i="7" a="1"/>
  <c r="H7228" i="7" s="1"/>
  <c r="E7228" i="7"/>
  <c r="D7228" i="7"/>
  <c r="H7227" i="7" a="1"/>
  <c r="H7227" i="7" s="1"/>
  <c r="E7227" i="7"/>
  <c r="D7227" i="7"/>
  <c r="H7226" i="7" a="1"/>
  <c r="H7226" i="7" s="1"/>
  <c r="E7226" i="7"/>
  <c r="D7226" i="7"/>
  <c r="H7223" i="7" a="1"/>
  <c r="H7223" i="7" s="1"/>
  <c r="E7223" i="7"/>
  <c r="D7223" i="7"/>
  <c r="H7222" i="7" a="1"/>
  <c r="H7222" i="7" s="1"/>
  <c r="E7222" i="7"/>
  <c r="D7222" i="7"/>
  <c r="E7221" i="7"/>
  <c r="D7221" i="7"/>
  <c r="E7220" i="7"/>
  <c r="D7220" i="7"/>
  <c r="H7219" i="7" a="1"/>
  <c r="H7219" i="7" s="1"/>
  <c r="E7219" i="7"/>
  <c r="D7219" i="7"/>
  <c r="H7218" i="7" l="1" a="1"/>
  <c r="H7218" i="7" s="1"/>
  <c r="E7218" i="7"/>
  <c r="D7218" i="7"/>
  <c r="H7217" i="7" a="1"/>
  <c r="H7217" i="7" s="1"/>
  <c r="E7217" i="7"/>
  <c r="D7217" i="7"/>
  <c r="H7216" i="7" a="1"/>
  <c r="H7216" i="7" s="1"/>
  <c r="E7216" i="7"/>
  <c r="D7216" i="7"/>
  <c r="H7201" i="7" l="1" a="1"/>
  <c r="H7201" i="7" s="1"/>
  <c r="E7201" i="7"/>
  <c r="D7201" i="7"/>
  <c r="H7200" i="7" a="1"/>
  <c r="H7200" i="7" s="1"/>
  <c r="E7200" i="7"/>
  <c r="D7200" i="7"/>
  <c r="H7199" i="7" a="1"/>
  <c r="H7199" i="7" s="1"/>
  <c r="E7199" i="7"/>
  <c r="D7199" i="7"/>
  <c r="H7207" i="7" l="1" a="1"/>
  <c r="H7207" i="7" s="1"/>
  <c r="E7207" i="7"/>
  <c r="D7207" i="7"/>
  <c r="H7206" i="7" a="1"/>
  <c r="H7206" i="7" s="1"/>
  <c r="E7206" i="7"/>
  <c r="D7206" i="7"/>
  <c r="H7205" i="7" a="1"/>
  <c r="H7205" i="7" s="1"/>
  <c r="E7205" i="7"/>
  <c r="D7205" i="7"/>
  <c r="H7210" i="7" a="1"/>
  <c r="H7210" i="7" s="1"/>
  <c r="E7210" i="7"/>
  <c r="D7210" i="7"/>
  <c r="H7209" i="7" a="1"/>
  <c r="H7209" i="7" s="1"/>
  <c r="E7209" i="7"/>
  <c r="D7209" i="7"/>
  <c r="H7208" i="7" a="1"/>
  <c r="H7208" i="7" s="1"/>
  <c r="E7208" i="7"/>
  <c r="D7208" i="7"/>
  <c r="H7204" i="7" a="1"/>
  <c r="H7204" i="7" s="1"/>
  <c r="E7204" i="7"/>
  <c r="D7204" i="7"/>
  <c r="H7203" i="7" a="1"/>
  <c r="H7203" i="7" s="1"/>
  <c r="E7203" i="7"/>
  <c r="D7203" i="7"/>
  <c r="H7202" i="7" a="1"/>
  <c r="H7202" i="7" s="1"/>
  <c r="E7202" i="7"/>
  <c r="D7202" i="7"/>
  <c r="E7213" i="7"/>
  <c r="D7213" i="7"/>
  <c r="E7212" i="7"/>
  <c r="D7212" i="7"/>
  <c r="E7211" i="7"/>
  <c r="D7211" i="7"/>
  <c r="H7198" i="7" a="1"/>
  <c r="H7198" i="7" s="1"/>
  <c r="E7198" i="7"/>
  <c r="D7198" i="7"/>
  <c r="H7197" i="7" a="1"/>
  <c r="H7197" i="7" s="1"/>
  <c r="E7197" i="7"/>
  <c r="D7197" i="7"/>
  <c r="H7196" i="7" l="1" a="1"/>
  <c r="H7196" i="7" s="1"/>
  <c r="E7196" i="7"/>
  <c r="D7196" i="7"/>
  <c r="H7195" i="7" a="1"/>
  <c r="H7195" i="7" s="1"/>
  <c r="E7195" i="7"/>
  <c r="D7195" i="7"/>
  <c r="H7194" i="7" a="1"/>
  <c r="H7194" i="7" s="1"/>
  <c r="E7194" i="7"/>
  <c r="D7194" i="7"/>
  <c r="H7193" i="7" a="1"/>
  <c r="H7193" i="7" s="1"/>
  <c r="E7193" i="7"/>
  <c r="D7193" i="7"/>
  <c r="H7192" i="7" a="1"/>
  <c r="H7192" i="7" s="1"/>
  <c r="E7192" i="7"/>
  <c r="D7192" i="7"/>
  <c r="H7191" i="7" a="1"/>
  <c r="H7191" i="7" s="1"/>
  <c r="E7191" i="7"/>
  <c r="D7191" i="7"/>
  <c r="H7190" i="7" a="1"/>
  <c r="H7190" i="7" s="1"/>
  <c r="E7190" i="7"/>
  <c r="D7190" i="7"/>
  <c r="H7189" i="7" a="1"/>
  <c r="H7189" i="7" s="1"/>
  <c r="E7189" i="7"/>
  <c r="D7189" i="7"/>
  <c r="H7188" i="7" a="1"/>
  <c r="H7188" i="7" s="1"/>
  <c r="E7188" i="7"/>
  <c r="D7188" i="7"/>
  <c r="H7187" i="7" a="1"/>
  <c r="H7187" i="7" s="1"/>
  <c r="E7187" i="7"/>
  <c r="D7187" i="7"/>
  <c r="H7186" i="7" a="1"/>
  <c r="H7186" i="7" s="1"/>
  <c r="E7186" i="7"/>
  <c r="D7186" i="7"/>
  <c r="H7185" i="7" a="1"/>
  <c r="H7185" i="7" s="1"/>
  <c r="E7185" i="7"/>
  <c r="D7185" i="7"/>
  <c r="H7184" i="7" a="1"/>
  <c r="H7184" i="7" s="1"/>
  <c r="E7184" i="7"/>
  <c r="D7184" i="7"/>
  <c r="H7183" i="7" a="1"/>
  <c r="H7183" i="7" s="1"/>
  <c r="E7183" i="7"/>
  <c r="D7183" i="7"/>
  <c r="H7182" i="7" a="1"/>
  <c r="H7182" i="7" s="1"/>
  <c r="E7182" i="7"/>
  <c r="D7182" i="7"/>
  <c r="H7181" i="7" a="1"/>
  <c r="H7181" i="7" s="1"/>
  <c r="E7181" i="7"/>
  <c r="D7181" i="7"/>
  <c r="H7180" i="7" a="1"/>
  <c r="H7180" i="7" s="1"/>
  <c r="E7180" i="7"/>
  <c r="D7180" i="7"/>
  <c r="H7179" i="7" a="1"/>
  <c r="H7179" i="7" s="1"/>
  <c r="E7179" i="7"/>
  <c r="D7179" i="7"/>
  <c r="H7178" i="7" a="1"/>
  <c r="H7178" i="7" s="1"/>
  <c r="E7178" i="7"/>
  <c r="D7178" i="7"/>
  <c r="H7177" i="7" a="1"/>
  <c r="H7177" i="7" s="1"/>
  <c r="E7177" i="7"/>
  <c r="D7177" i="7"/>
  <c r="H7215" i="7" a="1"/>
  <c r="H7215" i="7" s="1"/>
  <c r="E7215" i="7"/>
  <c r="D7215" i="7"/>
  <c r="H7214" i="7" a="1"/>
  <c r="H7214" i="7" s="1"/>
  <c r="E7214" i="7"/>
  <c r="D7214" i="7"/>
  <c r="H7132" i="7" l="1" a="1"/>
  <c r="H7132" i="7" s="1"/>
  <c r="E7132" i="7"/>
  <c r="D7132" i="7"/>
  <c r="H7131" i="7" a="1"/>
  <c r="H7131" i="7" s="1"/>
  <c r="E7131" i="7"/>
  <c r="D7131" i="7"/>
  <c r="H7171" i="7" a="1"/>
  <c r="H7171" i="7" s="1"/>
  <c r="E7171" i="7"/>
  <c r="D7171" i="7"/>
  <c r="H7170" i="7" a="1"/>
  <c r="H7170" i="7" s="1"/>
  <c r="E7170" i="7"/>
  <c r="D7170" i="7"/>
  <c r="H7169" i="7" a="1"/>
  <c r="H7169" i="7" s="1"/>
  <c r="E7169" i="7"/>
  <c r="D7169" i="7"/>
  <c r="H7168" i="7" a="1"/>
  <c r="H7168" i="7" s="1"/>
  <c r="E7168" i="7"/>
  <c r="D7168" i="7"/>
  <c r="H7167" i="7" a="1"/>
  <c r="H7167" i="7" s="1"/>
  <c r="E7167" i="7"/>
  <c r="D7167" i="7"/>
  <c r="H7166" i="7" a="1"/>
  <c r="H7166" i="7" s="1"/>
  <c r="E7166" i="7"/>
  <c r="D7166" i="7"/>
  <c r="H7165" i="7" a="1"/>
  <c r="H7165" i="7" s="1"/>
  <c r="E7165" i="7"/>
  <c r="D7165" i="7"/>
  <c r="H7164" i="7" a="1"/>
  <c r="H7164" i="7" s="1"/>
  <c r="E7164" i="7"/>
  <c r="D7164" i="7"/>
  <c r="H7119" i="7" a="1"/>
  <c r="H7119" i="7" s="1"/>
  <c r="E7119" i="7"/>
  <c r="D7119" i="7"/>
  <c r="H7118" i="7" a="1"/>
  <c r="H7118" i="7" s="1"/>
  <c r="E7118" i="7"/>
  <c r="D7118" i="7"/>
  <c r="H7117" i="7" a="1"/>
  <c r="H7117" i="7" s="1"/>
  <c r="E7117" i="7"/>
  <c r="D7117" i="7"/>
  <c r="H7122" i="7" a="1"/>
  <c r="H7122" i="7" s="1"/>
  <c r="E7122" i="7"/>
  <c r="D7122" i="7"/>
  <c r="H7121" i="7" a="1"/>
  <c r="H7121" i="7" s="1"/>
  <c r="E7121" i="7"/>
  <c r="D7121" i="7"/>
  <c r="H7120" i="7" a="1"/>
  <c r="H7120" i="7" s="1"/>
  <c r="E7120" i="7"/>
  <c r="D7120" i="7"/>
  <c r="H7116" i="7" a="1"/>
  <c r="H7116" i="7" s="1"/>
  <c r="E7116" i="7"/>
  <c r="D7116" i="7"/>
  <c r="H7115" i="7" a="1"/>
  <c r="H7115" i="7" s="1"/>
  <c r="E7115" i="7"/>
  <c r="D7115" i="7"/>
  <c r="H7114" i="7" a="1"/>
  <c r="H7114" i="7" s="1"/>
  <c r="E7114" i="7"/>
  <c r="D7114" i="7"/>
  <c r="H7146" i="7" a="1"/>
  <c r="H7146" i="7" s="1"/>
  <c r="E7146" i="7"/>
  <c r="D7146" i="7"/>
  <c r="H7145" i="7" a="1"/>
  <c r="H7145" i="7" s="1"/>
  <c r="E7145" i="7"/>
  <c r="D7145" i="7"/>
  <c r="E7144" i="7"/>
  <c r="D7144" i="7"/>
  <c r="E7143" i="7"/>
  <c r="D7143" i="7"/>
  <c r="H7142" i="7" a="1"/>
  <c r="H7142" i="7" s="1"/>
  <c r="E7142" i="7"/>
  <c r="D7142" i="7"/>
  <c r="H7141" i="7" a="1"/>
  <c r="H7141" i="7" s="1"/>
  <c r="E7141" i="7"/>
  <c r="D7141" i="7"/>
  <c r="H7140" i="7" a="1"/>
  <c r="H7140" i="7" s="1"/>
  <c r="E7140" i="7"/>
  <c r="D7140" i="7"/>
  <c r="H7134" i="7" a="1"/>
  <c r="H7134" i="7" s="1"/>
  <c r="E7134" i="7"/>
  <c r="D7134" i="7"/>
  <c r="H7133" i="7" a="1"/>
  <c r="H7133" i="7" s="1"/>
  <c r="E7133" i="7"/>
  <c r="D7133" i="7"/>
  <c r="H7149" i="7" l="1" a="1"/>
  <c r="H7149" i="7" s="1"/>
  <c r="E7149" i="7"/>
  <c r="D7149" i="7"/>
  <c r="H7148" i="7" a="1"/>
  <c r="H7148" i="7" s="1"/>
  <c r="E7148" i="7"/>
  <c r="D7148" i="7"/>
  <c r="H7147" i="7" a="1"/>
  <c r="H7147" i="7" s="1"/>
  <c r="E7147" i="7"/>
  <c r="D7147" i="7"/>
  <c r="H7152" i="7" a="1"/>
  <c r="H7152" i="7" s="1"/>
  <c r="E7152" i="7"/>
  <c r="D7152" i="7"/>
  <c r="H7151" i="7" a="1"/>
  <c r="H7151" i="7" s="1"/>
  <c r="E7151" i="7"/>
  <c r="D7151" i="7"/>
  <c r="H7150" i="7" a="1"/>
  <c r="H7150" i="7" s="1"/>
  <c r="E7150" i="7"/>
  <c r="D7150" i="7"/>
  <c r="H7155" i="7" a="1"/>
  <c r="H7155" i="7" s="1"/>
  <c r="E7155" i="7"/>
  <c r="D7155" i="7"/>
  <c r="H7154" i="7" a="1"/>
  <c r="H7154" i="7" s="1"/>
  <c r="E7154" i="7"/>
  <c r="D7154" i="7"/>
  <c r="H7153" i="7" a="1"/>
  <c r="H7153" i="7" s="1"/>
  <c r="E7153" i="7"/>
  <c r="D7153" i="7"/>
  <c r="H7158" i="7" a="1"/>
  <c r="H7158" i="7" s="1"/>
  <c r="E7158" i="7"/>
  <c r="D7158" i="7"/>
  <c r="H7157" i="7" a="1"/>
  <c r="H7157" i="7" s="1"/>
  <c r="E7157" i="7"/>
  <c r="D7157" i="7"/>
  <c r="H7156" i="7" a="1"/>
  <c r="H7156" i="7" s="1"/>
  <c r="E7156" i="7"/>
  <c r="D7156" i="7"/>
  <c r="H7139" i="7" a="1"/>
  <c r="H7139" i="7" s="1"/>
  <c r="E7139" i="7"/>
  <c r="D7139" i="7"/>
  <c r="H7138" i="7" a="1"/>
  <c r="H7138" i="7" s="1"/>
  <c r="E7138" i="7"/>
  <c r="D7138" i="7"/>
  <c r="H7137" i="7" l="1" a="1"/>
  <c r="H7137" i="7" s="1"/>
  <c r="E7137" i="7"/>
  <c r="D7137" i="7"/>
  <c r="H7136" i="7" a="1"/>
  <c r="H7136" i="7" s="1"/>
  <c r="E7136" i="7"/>
  <c r="D7136" i="7"/>
  <c r="H7135" i="7" a="1"/>
  <c r="H7135" i="7" s="1"/>
  <c r="E7135" i="7"/>
  <c r="D7135" i="7"/>
  <c r="H7113" i="7" l="1" a="1"/>
  <c r="H7113" i="7" s="1"/>
  <c r="E7113" i="7"/>
  <c r="D7113" i="7"/>
  <c r="H7112" i="7" a="1"/>
  <c r="H7112" i="7" s="1"/>
  <c r="E7112" i="7"/>
  <c r="D7112" i="7"/>
  <c r="H7111" i="7" a="1"/>
  <c r="H7111" i="7" s="1"/>
  <c r="E7111" i="7"/>
  <c r="D7111" i="7"/>
  <c r="H7110" i="7" a="1"/>
  <c r="H7110" i="7" s="1"/>
  <c r="E7110" i="7"/>
  <c r="D7110" i="7"/>
  <c r="H7109" i="7" a="1"/>
  <c r="H7109" i="7" s="1"/>
  <c r="E7109" i="7"/>
  <c r="D7109" i="7"/>
  <c r="H7108" i="7" a="1"/>
  <c r="H7108" i="7" s="1"/>
  <c r="E7108" i="7"/>
  <c r="D7108" i="7"/>
  <c r="H7107" i="7" a="1"/>
  <c r="H7107" i="7" s="1"/>
  <c r="E7107" i="7"/>
  <c r="D7107" i="7"/>
  <c r="H7106" i="7" a="1"/>
  <c r="H7106" i="7" s="1"/>
  <c r="E7106" i="7"/>
  <c r="D7106" i="7"/>
  <c r="H7130" i="7" a="1"/>
  <c r="H7130" i="7" s="1"/>
  <c r="E7130" i="7"/>
  <c r="D7130" i="7"/>
  <c r="H7129" i="7" a="1"/>
  <c r="H7129" i="7" s="1"/>
  <c r="E7129" i="7"/>
  <c r="D7129" i="7"/>
  <c r="D7126" i="7"/>
  <c r="D7127" i="7"/>
  <c r="D7128" i="7"/>
  <c r="H7128" i="7" a="1"/>
  <c r="H7128" i="7" s="1"/>
  <c r="E7128" i="7"/>
  <c r="H7127" i="7" a="1"/>
  <c r="H7127" i="7" s="1"/>
  <c r="E7127" i="7"/>
  <c r="H7126" i="7" a="1"/>
  <c r="H7126" i="7" s="1"/>
  <c r="E7126" i="7"/>
  <c r="H7125" i="7" a="1"/>
  <c r="H7125" i="7" s="1"/>
  <c r="E7125" i="7"/>
  <c r="D7125" i="7"/>
  <c r="H7124" i="7" a="1"/>
  <c r="H7124" i="7" s="1"/>
  <c r="E7124" i="7"/>
  <c r="D7124" i="7"/>
  <c r="H7123" i="7" a="1"/>
  <c r="H7123" i="7" s="1"/>
  <c r="E7123" i="7"/>
  <c r="D7123" i="7"/>
  <c r="H7105" i="7" l="1" a="1"/>
  <c r="H7105" i="7" s="1"/>
  <c r="E7105" i="7"/>
  <c r="D7105" i="7"/>
  <c r="H7104" i="7" a="1"/>
  <c r="H7104" i="7" s="1"/>
  <c r="E7104" i="7"/>
  <c r="D7104" i="7"/>
  <c r="H7103" i="7" a="1"/>
  <c r="H7103" i="7" s="1"/>
  <c r="E7103" i="7"/>
  <c r="D7103" i="7"/>
  <c r="H7102" i="7" a="1"/>
  <c r="H7102" i="7" s="1"/>
  <c r="E7102" i="7"/>
  <c r="D7102" i="7"/>
  <c r="H7101" i="7" a="1"/>
  <c r="H7101" i="7" s="1"/>
  <c r="E7101" i="7"/>
  <c r="D7101" i="7"/>
  <c r="H7100" i="7" a="1"/>
  <c r="H7100" i="7" s="1"/>
  <c r="E7100" i="7"/>
  <c r="D7100" i="7"/>
  <c r="H7099" i="7" a="1"/>
  <c r="H7099" i="7" s="1"/>
  <c r="E7099" i="7"/>
  <c r="D7099" i="7"/>
  <c r="H7098" i="7" a="1"/>
  <c r="H7098" i="7" s="1"/>
  <c r="E7098" i="7"/>
  <c r="D7098" i="7"/>
  <c r="H7045" i="7" l="1" a="1"/>
  <c r="H7045" i="7" s="1"/>
  <c r="H7044" i="7" a="1"/>
  <c r="H7044" i="7" s="1"/>
  <c r="H7043" i="7" a="1"/>
  <c r="H7043" i="7" s="1"/>
  <c r="E7045" i="7"/>
  <c r="D7045" i="7"/>
  <c r="E7044" i="7"/>
  <c r="D7044" i="7"/>
  <c r="E7043" i="7"/>
  <c r="D7043" i="7"/>
  <c r="H7097" i="7" a="1"/>
  <c r="H7097" i="7" s="1"/>
  <c r="E7097" i="7"/>
  <c r="D7097" i="7"/>
  <c r="H7096" i="7" a="1"/>
  <c r="H7096" i="7" s="1"/>
  <c r="E7096" i="7"/>
  <c r="D7096" i="7"/>
  <c r="H7095" i="7" a="1"/>
  <c r="H7095" i="7" s="1"/>
  <c r="E7095" i="7"/>
  <c r="D7095" i="7"/>
  <c r="H7094" i="7" a="1"/>
  <c r="H7094" i="7" s="1"/>
  <c r="E7094" i="7"/>
  <c r="D7094" i="7"/>
  <c r="H7093" i="7" a="1"/>
  <c r="H7093" i="7" s="1"/>
  <c r="E7093" i="7"/>
  <c r="D7093" i="7"/>
  <c r="H7092" i="7" a="1"/>
  <c r="H7092" i="7" s="1"/>
  <c r="E7092" i="7"/>
  <c r="D7092" i="7"/>
  <c r="H7091" i="7" a="1"/>
  <c r="H7091" i="7" s="1"/>
  <c r="E7091" i="7"/>
  <c r="D7091" i="7"/>
  <c r="H7090" i="7" a="1"/>
  <c r="H7090" i="7" s="1"/>
  <c r="E7090" i="7"/>
  <c r="D7090" i="7"/>
  <c r="H7089" i="7" a="1"/>
  <c r="H7089" i="7" s="1"/>
  <c r="E7089" i="7"/>
  <c r="D7089" i="7"/>
  <c r="H7088" i="7" a="1"/>
  <c r="H7088" i="7" s="1"/>
  <c r="E7088" i="7"/>
  <c r="D7088" i="7"/>
  <c r="H7087" i="7" a="1"/>
  <c r="H7087" i="7" s="1"/>
  <c r="E7087" i="7"/>
  <c r="D7087" i="7"/>
  <c r="H7086" i="7" a="1"/>
  <c r="H7086" i="7" s="1"/>
  <c r="E7086" i="7"/>
  <c r="D7086" i="7"/>
  <c r="H7085" i="7" a="1"/>
  <c r="H7085" i="7" s="1"/>
  <c r="E7085" i="7"/>
  <c r="D7085" i="7"/>
  <c r="H7084" i="7" a="1"/>
  <c r="H7084" i="7" s="1"/>
  <c r="E7084" i="7"/>
  <c r="D7084" i="7"/>
  <c r="H7083" i="7" a="1"/>
  <c r="H7083" i="7" s="1"/>
  <c r="E7083" i="7"/>
  <c r="D7083" i="7"/>
  <c r="H7082" i="7" a="1"/>
  <c r="H7082" i="7" s="1"/>
  <c r="E7082" i="7"/>
  <c r="D7082" i="7"/>
  <c r="H7081" i="7" a="1"/>
  <c r="H7081" i="7" s="1"/>
  <c r="E7081" i="7"/>
  <c r="D7081" i="7"/>
  <c r="H7080" i="7" a="1"/>
  <c r="H7080" i="7" s="1"/>
  <c r="E7080" i="7"/>
  <c r="D7080" i="7"/>
  <c r="H7079" i="7" a="1"/>
  <c r="H7079" i="7" s="1"/>
  <c r="E7079" i="7"/>
  <c r="D7079" i="7"/>
  <c r="H7078" i="7" a="1"/>
  <c r="H7078" i="7" s="1"/>
  <c r="E7078" i="7"/>
  <c r="D7078" i="7"/>
  <c r="H7077" i="7" a="1"/>
  <c r="H7077" i="7" s="1"/>
  <c r="E7077" i="7"/>
  <c r="D7077" i="7"/>
  <c r="H7076" i="7" a="1"/>
  <c r="H7076" i="7" s="1"/>
  <c r="E7076" i="7"/>
  <c r="D7076" i="7"/>
  <c r="H7075" i="7" a="1"/>
  <c r="H7075" i="7" s="1"/>
  <c r="E7075" i="7"/>
  <c r="D7075" i="7"/>
  <c r="H7074" i="7" a="1"/>
  <c r="H7074" i="7" s="1"/>
  <c r="E7074" i="7"/>
  <c r="D7074" i="7"/>
  <c r="H7073" i="7" a="1"/>
  <c r="H7073" i="7" s="1"/>
  <c r="E7073" i="7"/>
  <c r="D7073" i="7"/>
  <c r="H7072" i="7" a="1"/>
  <c r="H7072" i="7" s="1"/>
  <c r="E7072" i="7"/>
  <c r="D7072" i="7"/>
  <c r="H7071" i="7" a="1"/>
  <c r="H7071" i="7" s="1"/>
  <c r="E7071" i="7"/>
  <c r="D7071" i="7"/>
  <c r="H7070" i="7" a="1"/>
  <c r="H7070" i="7" s="1"/>
  <c r="E7070" i="7"/>
  <c r="D7070" i="7"/>
  <c r="H7069" i="7" a="1"/>
  <c r="H7069" i="7" s="1"/>
  <c r="E7069" i="7"/>
  <c r="D7069" i="7"/>
  <c r="H7068" i="7" l="1" a="1"/>
  <c r="H7068" i="7" s="1"/>
  <c r="E7068" i="7"/>
  <c r="D7068" i="7"/>
  <c r="H7067" i="7" a="1"/>
  <c r="H7067" i="7" s="1"/>
  <c r="E7067" i="7"/>
  <c r="D7067" i="7"/>
  <c r="H7066" i="7" a="1"/>
  <c r="H7066" i="7" s="1"/>
  <c r="E7066" i="7"/>
  <c r="D7066" i="7"/>
  <c r="H7065" i="7" a="1"/>
  <c r="H7065" i="7" s="1"/>
  <c r="E7065" i="7"/>
  <c r="D7065" i="7"/>
  <c r="H7064" i="7" a="1"/>
  <c r="H7064" i="7" s="1"/>
  <c r="E7064" i="7"/>
  <c r="D7064" i="7"/>
  <c r="H7063" i="7" a="1"/>
  <c r="H7063" i="7" s="1"/>
  <c r="E7063" i="7"/>
  <c r="D7063" i="7"/>
  <c r="H7062" i="7" a="1"/>
  <c r="H7062" i="7" s="1"/>
  <c r="E7062" i="7"/>
  <c r="D7062" i="7"/>
  <c r="H7061" i="7" a="1"/>
  <c r="H7061" i="7" s="1"/>
  <c r="E7061" i="7"/>
  <c r="D7061" i="7"/>
  <c r="H7060" i="7" a="1"/>
  <c r="H7060" i="7" s="1"/>
  <c r="E7060" i="7"/>
  <c r="D7060" i="7"/>
  <c r="H7059" i="7" a="1"/>
  <c r="H7059" i="7" s="1"/>
  <c r="E7059" i="7"/>
  <c r="D7059" i="7"/>
  <c r="H7058" i="7" a="1"/>
  <c r="H7058" i="7" s="1"/>
  <c r="E7058" i="7"/>
  <c r="D7058" i="7"/>
  <c r="H7057" i="7" a="1"/>
  <c r="H7057" i="7" s="1"/>
  <c r="E7057" i="7"/>
  <c r="D7057" i="7"/>
  <c r="H7056" i="7" a="1"/>
  <c r="H7056" i="7" s="1"/>
  <c r="E7056" i="7"/>
  <c r="D7056" i="7"/>
  <c r="H7055" i="7" a="1"/>
  <c r="H7055" i="7" s="1"/>
  <c r="E7055" i="7"/>
  <c r="D7055" i="7"/>
  <c r="H7054" i="7" a="1"/>
  <c r="H7054" i="7" s="1"/>
  <c r="E7054" i="7"/>
  <c r="D7054" i="7"/>
  <c r="H7053" i="7" a="1"/>
  <c r="H7053" i="7" s="1"/>
  <c r="E7053" i="7"/>
  <c r="D7053" i="7"/>
  <c r="H7052" i="7" a="1"/>
  <c r="H7052" i="7" s="1"/>
  <c r="E7052" i="7"/>
  <c r="D7052" i="7"/>
  <c r="H7051" i="7" a="1"/>
  <c r="H7051" i="7" s="1"/>
  <c r="E7051" i="7"/>
  <c r="D7051" i="7"/>
  <c r="H7050" i="7" a="1"/>
  <c r="H7050" i="7" s="1"/>
  <c r="E7050" i="7"/>
  <c r="D7050" i="7"/>
  <c r="H7049" i="7" a="1"/>
  <c r="H7049" i="7" s="1"/>
  <c r="E7049" i="7"/>
  <c r="D7049" i="7"/>
  <c r="H7048" i="7" a="1"/>
  <c r="H7048" i="7" s="1"/>
  <c r="E7048" i="7"/>
  <c r="D7048" i="7"/>
  <c r="H7047" i="7" a="1"/>
  <c r="H7047" i="7" s="1"/>
  <c r="E7047" i="7"/>
  <c r="D7047" i="7"/>
  <c r="H7046" i="7" a="1"/>
  <c r="H7046" i="7" s="1"/>
  <c r="E7046" i="7"/>
  <c r="D7046" i="7"/>
  <c r="H7042" i="7" l="1" a="1"/>
  <c r="H7042" i="7" s="1"/>
  <c r="E7042" i="7"/>
  <c r="D7042" i="7"/>
  <c r="H7041" i="7" a="1"/>
  <c r="H7041" i="7" s="1"/>
  <c r="E7041" i="7"/>
  <c r="D7041" i="7"/>
  <c r="E7040" i="7"/>
  <c r="D7040" i="7"/>
  <c r="E7039" i="7"/>
  <c r="D7039" i="7"/>
  <c r="H7021" i="7" a="1"/>
  <c r="H7021" i="7" s="1"/>
  <c r="E7021" i="7"/>
  <c r="D7021" i="7"/>
  <c r="H7020" i="7" a="1"/>
  <c r="H7020" i="7" s="1"/>
  <c r="E7020" i="7"/>
  <c r="D7020" i="7"/>
  <c r="H7019" i="7" a="1"/>
  <c r="H7019" i="7" s="1"/>
  <c r="E7019" i="7"/>
  <c r="D7019" i="7"/>
  <c r="H7038" i="7" a="1"/>
  <c r="H7038" i="7" s="1"/>
  <c r="E7038" i="7"/>
  <c r="D7038" i="7"/>
  <c r="H7037" i="7" a="1"/>
  <c r="H7037" i="7" s="1"/>
  <c r="E7037" i="7"/>
  <c r="D7037" i="7"/>
  <c r="H7036" i="7" a="1"/>
  <c r="H7036" i="7" s="1"/>
  <c r="E7036" i="7"/>
  <c r="D7036" i="7"/>
  <c r="H7035" i="7" a="1"/>
  <c r="H7035" i="7" s="1"/>
  <c r="E7035" i="7"/>
  <c r="D7035" i="7"/>
  <c r="H7034" i="7" a="1"/>
  <c r="H7034" i="7" s="1"/>
  <c r="E7034" i="7"/>
  <c r="D7034" i="7"/>
  <c r="H7033" i="7" a="1"/>
  <c r="H7033" i="7" s="1"/>
  <c r="E7033" i="7"/>
  <c r="D7033" i="7"/>
  <c r="H7032" i="7" a="1"/>
  <c r="H7032" i="7" s="1"/>
  <c r="E7032" i="7"/>
  <c r="D7032" i="7"/>
  <c r="H7031" i="7" l="1" a="1"/>
  <c r="H7031" i="7" s="1"/>
  <c r="E7031" i="7"/>
  <c r="D7031" i="7"/>
  <c r="H7030" i="7" a="1"/>
  <c r="H7030" i="7" s="1"/>
  <c r="E7030" i="7"/>
  <c r="D7030" i="7"/>
  <c r="H7018" i="7" l="1" a="1"/>
  <c r="H7018" i="7" s="1"/>
  <c r="E7018" i="7"/>
  <c r="D7018" i="7"/>
  <c r="H7017" i="7" a="1"/>
  <c r="H7017" i="7" s="1"/>
  <c r="E7017" i="7"/>
  <c r="D7017" i="7"/>
  <c r="E7016" i="7"/>
  <c r="D7016" i="7"/>
  <c r="E7015" i="7"/>
  <c r="D7015" i="7"/>
  <c r="H7014" i="7" a="1"/>
  <c r="H7014" i="7" s="1"/>
  <c r="E7014" i="7"/>
  <c r="D7014" i="7"/>
  <c r="H7029" i="7" l="1" a="1"/>
  <c r="H7029" i="7" s="1"/>
  <c r="E7029" i="7"/>
  <c r="D7029" i="7"/>
  <c r="H7028" i="7" a="1"/>
  <c r="H7028" i="7" s="1"/>
  <c r="E7028" i="7"/>
  <c r="D7028" i="7"/>
  <c r="H7027" i="7" a="1"/>
  <c r="H7027" i="7" s="1"/>
  <c r="E7027" i="7"/>
  <c r="D7027" i="7"/>
  <c r="H7026" i="7" a="1"/>
  <c r="H7026" i="7" s="1"/>
  <c r="E7026" i="7"/>
  <c r="D7026" i="7"/>
  <c r="H7025" i="7" a="1"/>
  <c r="H7025" i="7" s="1"/>
  <c r="E7025" i="7"/>
  <c r="D7025" i="7"/>
  <c r="H7024" i="7" a="1"/>
  <c r="H7024" i="7" s="1"/>
  <c r="E7024" i="7"/>
  <c r="D7024" i="7"/>
  <c r="H7023" i="7" a="1"/>
  <c r="H7023" i="7" s="1"/>
  <c r="E7023" i="7"/>
  <c r="D7023" i="7"/>
  <c r="H7022" i="7" a="1"/>
  <c r="H7022" i="7" s="1"/>
  <c r="E7022" i="7"/>
  <c r="D7022" i="7"/>
  <c r="H7013" i="7" l="1" a="1"/>
  <c r="H7013" i="7" s="1"/>
  <c r="E7013" i="7"/>
  <c r="D7013" i="7"/>
  <c r="H7012" i="7" a="1"/>
  <c r="H7012" i="7" s="1"/>
  <c r="E7012" i="7"/>
  <c r="D7012" i="7"/>
  <c r="H7011" i="7" a="1"/>
  <c r="H7011" i="7" s="1"/>
  <c r="E7011" i="7"/>
  <c r="D7011" i="7"/>
  <c r="H7010" i="7" a="1"/>
  <c r="H7010" i="7" s="1"/>
  <c r="E7010" i="7"/>
  <c r="D7010" i="7"/>
  <c r="H7009" i="7" a="1"/>
  <c r="H7009" i="7" s="1"/>
  <c r="E7009" i="7"/>
  <c r="D7009" i="7"/>
  <c r="H7008" i="7" a="1"/>
  <c r="H7008" i="7" s="1"/>
  <c r="E7008" i="7"/>
  <c r="D7008" i="7"/>
  <c r="H7007" i="7" a="1"/>
  <c r="H7007" i="7" s="1"/>
  <c r="E7007" i="7"/>
  <c r="D7007" i="7"/>
  <c r="H7006" i="7" a="1"/>
  <c r="H7006" i="7" s="1"/>
  <c r="E7006" i="7"/>
  <c r="D7006" i="7"/>
  <c r="H7005" i="7" a="1"/>
  <c r="H7005" i="7" s="1"/>
  <c r="E7005" i="7"/>
  <c r="D7005" i="7"/>
  <c r="H6998" i="7" a="1"/>
  <c r="H6998" i="7" s="1"/>
  <c r="E6998" i="7"/>
  <c r="D6998" i="7"/>
  <c r="H6997" i="7" a="1"/>
  <c r="H6997" i="7" s="1"/>
  <c r="E6997" i="7"/>
  <c r="D6997" i="7"/>
  <c r="H6996" i="7" a="1"/>
  <c r="H6996" i="7" s="1"/>
  <c r="E6996" i="7"/>
  <c r="D6996" i="7"/>
  <c r="H7004" i="7" l="1" a="1"/>
  <c r="H7004" i="7" s="1"/>
  <c r="E7004" i="7"/>
  <c r="D7004" i="7"/>
  <c r="H7003" i="7" a="1"/>
  <c r="H7003" i="7" s="1"/>
  <c r="E7003" i="7"/>
  <c r="D7003" i="7"/>
  <c r="E7002" i="7"/>
  <c r="D7002" i="7"/>
  <c r="E7001" i="7"/>
  <c r="D7001" i="7"/>
  <c r="H7000" i="7" l="1" a="1"/>
  <c r="H7000" i="7" s="1"/>
  <c r="E7000" i="7"/>
  <c r="D7000" i="7"/>
  <c r="H6999" i="7" a="1"/>
  <c r="H6999" i="7" s="1"/>
  <c r="E6999" i="7"/>
  <c r="D6999" i="7"/>
  <c r="H6995" i="7" a="1"/>
  <c r="H6995" i="7" s="1"/>
  <c r="E6995" i="7"/>
  <c r="D6995" i="7"/>
  <c r="H6994" i="7" a="1"/>
  <c r="H6994" i="7" s="1"/>
  <c r="E6994" i="7"/>
  <c r="D6994" i="7"/>
  <c r="H6993" i="7" a="1"/>
  <c r="H6993" i="7" s="1"/>
  <c r="E6993" i="7"/>
  <c r="D6993" i="7"/>
  <c r="H6992" i="7" a="1"/>
  <c r="H6992" i="7" s="1"/>
  <c r="E6992" i="7"/>
  <c r="D6992" i="7"/>
  <c r="H6991" i="7" a="1"/>
  <c r="H6991" i="7" s="1"/>
  <c r="E6991" i="7"/>
  <c r="D6991" i="7"/>
  <c r="H6990" i="7" a="1"/>
  <c r="H6990" i="7" s="1"/>
  <c r="E6990" i="7"/>
  <c r="D6990" i="7"/>
  <c r="H6989" i="7" a="1"/>
  <c r="H6989" i="7" s="1"/>
  <c r="E6989" i="7"/>
  <c r="D6989" i="7"/>
  <c r="H6988" i="7" a="1"/>
  <c r="H6988" i="7" s="1"/>
  <c r="E6988" i="7"/>
  <c r="D6988" i="7"/>
  <c r="H6987" i="7" a="1"/>
  <c r="H6987" i="7" s="1"/>
  <c r="E6987" i="7"/>
  <c r="D6987" i="7"/>
  <c r="H6986" i="7" a="1"/>
  <c r="H6986" i="7" s="1"/>
  <c r="E6986" i="7"/>
  <c r="D6986" i="7"/>
  <c r="H6985" i="7" a="1"/>
  <c r="H6985" i="7" s="1"/>
  <c r="E6985" i="7"/>
  <c r="D6985" i="7"/>
  <c r="E6984" i="7"/>
  <c r="D6984" i="7"/>
  <c r="E6983" i="7"/>
  <c r="D6983" i="7"/>
  <c r="H6982" i="7" a="1"/>
  <c r="H6982" i="7" s="1"/>
  <c r="E6982" i="7"/>
  <c r="D6982" i="7"/>
  <c r="H6981" i="7" a="1"/>
  <c r="H6981" i="7" s="1"/>
  <c r="E6981" i="7"/>
  <c r="D6981" i="7"/>
  <c r="H6980" i="7" a="1"/>
  <c r="H6980" i="7" s="1"/>
  <c r="E6980" i="7"/>
  <c r="D6980" i="7"/>
  <c r="H6977" i="7" l="1" a="1"/>
  <c r="H6977" i="7" s="1"/>
  <c r="E6977" i="7"/>
  <c r="D6977" i="7"/>
  <c r="H6976" i="7" a="1"/>
  <c r="H6976" i="7" s="1"/>
  <c r="E6976" i="7"/>
  <c r="D6976" i="7"/>
  <c r="E6975" i="7"/>
  <c r="D6975" i="7"/>
  <c r="E6974" i="7"/>
  <c r="D6974" i="7"/>
  <c r="H6973" i="7" l="1" a="1"/>
  <c r="H6973" i="7" s="1"/>
  <c r="E6973" i="7"/>
  <c r="D6973" i="7"/>
  <c r="H6972" i="7" a="1"/>
  <c r="H6972" i="7" s="1"/>
  <c r="E6972" i="7"/>
  <c r="D6972" i="7"/>
  <c r="H6979" i="7" a="1"/>
  <c r="H6979" i="7" s="1"/>
  <c r="E6979" i="7"/>
  <c r="D6979" i="7"/>
  <c r="H6978" i="7" a="1"/>
  <c r="H6978" i="7" s="1"/>
  <c r="E6978" i="7"/>
  <c r="D6978" i="7"/>
  <c r="H6971" i="7" a="1"/>
  <c r="H6971" i="7" s="1"/>
  <c r="E6971" i="7"/>
  <c r="D6971" i="7"/>
  <c r="H6970" i="7" a="1"/>
  <c r="H6970" i="7" s="1"/>
  <c r="E6970" i="7"/>
  <c r="D6970" i="7"/>
  <c r="H6961" i="7" a="1"/>
  <c r="H6961" i="7" s="1"/>
  <c r="E6961" i="7"/>
  <c r="D6961" i="7"/>
  <c r="H6960" i="7" a="1"/>
  <c r="H6960" i="7" s="1"/>
  <c r="E6960" i="7"/>
  <c r="D6960" i="7"/>
  <c r="H6933" i="7" a="1"/>
  <c r="H6933" i="7" s="1"/>
  <c r="E6933" i="7"/>
  <c r="D6933" i="7"/>
  <c r="H6932" i="7" a="1"/>
  <c r="H6932" i="7" s="1"/>
  <c r="E6932" i="7"/>
  <c r="D6932" i="7"/>
  <c r="E6931" i="7"/>
  <c r="D6931" i="7"/>
  <c r="E6930" i="7"/>
  <c r="D6930" i="7"/>
  <c r="H6969" i="7" a="1"/>
  <c r="H6969" i="7" s="1"/>
  <c r="E6969" i="7"/>
  <c r="D6969" i="7"/>
  <c r="H6968" i="7" a="1"/>
  <c r="H6968" i="7" s="1"/>
  <c r="E6968" i="7"/>
  <c r="D6968" i="7"/>
  <c r="H6967" i="7" a="1"/>
  <c r="H6967" i="7" s="1"/>
  <c r="E6967" i="7"/>
  <c r="D6967" i="7"/>
  <c r="H6966" i="7" a="1"/>
  <c r="H6966" i="7" s="1"/>
  <c r="E6966" i="7"/>
  <c r="D6966" i="7"/>
  <c r="H6965" i="7" a="1"/>
  <c r="H6965" i="7" s="1"/>
  <c r="E6965" i="7"/>
  <c r="D6965" i="7"/>
  <c r="H6964" i="7" a="1"/>
  <c r="H6964" i="7" s="1"/>
  <c r="E6964" i="7"/>
  <c r="D6964" i="7"/>
  <c r="H6963" i="7" a="1"/>
  <c r="H6963" i="7" s="1"/>
  <c r="E6963" i="7"/>
  <c r="D6963" i="7"/>
  <c r="H6962" i="7" a="1"/>
  <c r="H6962" i="7" s="1"/>
  <c r="E6962" i="7"/>
  <c r="D6962" i="7"/>
  <c r="H6959" i="7" a="1"/>
  <c r="H6959" i="7" s="1"/>
  <c r="E6959" i="7"/>
  <c r="D6959" i="7"/>
  <c r="H6958" i="7" a="1"/>
  <c r="H6958" i="7" s="1"/>
  <c r="E6958" i="7"/>
  <c r="D6958" i="7"/>
  <c r="H6957" i="7" a="1"/>
  <c r="H6957" i="7" s="1"/>
  <c r="E6957" i="7"/>
  <c r="D6957" i="7"/>
  <c r="H6956" i="7" a="1"/>
  <c r="H6956" i="7" s="1"/>
  <c r="E6956" i="7"/>
  <c r="D6956" i="7"/>
  <c r="H6955" i="7" a="1"/>
  <c r="H6955" i="7" s="1"/>
  <c r="E6955" i="7"/>
  <c r="D6955" i="7"/>
  <c r="H6954" i="7" a="1"/>
  <c r="H6954" i="7" s="1"/>
  <c r="E6954" i="7"/>
  <c r="D6954" i="7"/>
  <c r="H6953" i="7" a="1"/>
  <c r="H6953" i="7" s="1"/>
  <c r="E6953" i="7"/>
  <c r="D6953" i="7"/>
  <c r="H6952" i="7" a="1"/>
  <c r="H6952" i="7" s="1"/>
  <c r="E6952" i="7"/>
  <c r="D6952" i="7"/>
  <c r="H6951" i="7" a="1"/>
  <c r="H6951" i="7" s="1"/>
  <c r="E6951" i="7"/>
  <c r="D6951" i="7"/>
  <c r="H6950" i="7" a="1"/>
  <c r="H6950" i="7" s="1"/>
  <c r="E6950" i="7"/>
  <c r="D6950" i="7"/>
  <c r="H6949" i="7" a="1"/>
  <c r="H6949" i="7" s="1"/>
  <c r="E6949" i="7"/>
  <c r="D6949" i="7"/>
  <c r="H6948" i="7" a="1"/>
  <c r="H6948" i="7" s="1"/>
  <c r="E6948" i="7"/>
  <c r="D6948" i="7"/>
  <c r="H6947" i="7" a="1"/>
  <c r="H6947" i="7" s="1"/>
  <c r="E6947" i="7"/>
  <c r="D6947" i="7"/>
  <c r="H6946" i="7" a="1"/>
  <c r="H6946" i="7" s="1"/>
  <c r="E6946" i="7"/>
  <c r="D6946" i="7"/>
  <c r="E6867" i="7"/>
  <c r="D6867" i="7"/>
  <c r="H6945" i="7" l="1" a="1"/>
  <c r="H6945" i="7" s="1"/>
  <c r="E6945" i="7"/>
  <c r="D6945" i="7"/>
  <c r="H6944" i="7" a="1"/>
  <c r="H6944" i="7" s="1"/>
  <c r="E6944" i="7"/>
  <c r="D6944" i="7"/>
  <c r="H6943" i="7" a="1"/>
  <c r="H6943" i="7" s="1"/>
  <c r="E6943" i="7"/>
  <c r="D6943" i="7"/>
  <c r="H6942" i="7" l="1" a="1"/>
  <c r="H6942" i="7" s="1"/>
  <c r="E6942" i="7"/>
  <c r="D6942" i="7"/>
  <c r="H6941" i="7" a="1"/>
  <c r="H6941" i="7" s="1"/>
  <c r="E6941" i="7"/>
  <c r="D6941" i="7"/>
  <c r="E6940" i="7"/>
  <c r="D6940" i="7"/>
  <c r="E6939" i="7"/>
  <c r="D6939" i="7"/>
  <c r="H6938" i="7" a="1"/>
  <c r="H6938" i="7" s="1"/>
  <c r="E6938" i="7"/>
  <c r="D6938" i="7"/>
  <c r="H6842" i="7" a="1"/>
  <c r="H6842" i="7" s="1"/>
  <c r="E6842" i="7"/>
  <c r="D6842" i="7"/>
  <c r="H6841" i="7" a="1"/>
  <c r="H6841" i="7" s="1"/>
  <c r="E6841" i="7"/>
  <c r="D6841" i="7"/>
  <c r="H6844" i="7" a="1"/>
  <c r="H6844" i="7" s="1"/>
  <c r="E6844" i="7"/>
  <c r="D6844" i="7"/>
  <c r="H6843" i="7" a="1"/>
  <c r="H6843" i="7" s="1"/>
  <c r="E6843" i="7"/>
  <c r="D6843" i="7"/>
  <c r="H6923" i="7" l="1" a="1"/>
  <c r="H6923" i="7" s="1"/>
  <c r="E6923" i="7"/>
  <c r="D6923" i="7"/>
  <c r="H6922" i="7" a="1"/>
  <c r="H6922" i="7" s="1"/>
  <c r="E6922" i="7"/>
  <c r="D6922" i="7"/>
  <c r="H6921" i="7" a="1"/>
  <c r="H6921" i="7" s="1"/>
  <c r="E6921" i="7"/>
  <c r="D6921" i="7"/>
  <c r="H6937" i="7" l="1" a="1"/>
  <c r="H6937" i="7" s="1"/>
  <c r="E6937" i="7"/>
  <c r="D6937" i="7"/>
  <c r="H6936" i="7" a="1"/>
  <c r="H6936" i="7" s="1"/>
  <c r="E6936" i="7"/>
  <c r="D6936" i="7"/>
  <c r="E6935" i="7"/>
  <c r="D6935" i="7"/>
  <c r="E6934" i="7"/>
  <c r="D6934" i="7"/>
  <c r="H6929" i="7" a="1"/>
  <c r="H6929" i="7" s="1"/>
  <c r="E6929" i="7"/>
  <c r="D6929" i="7"/>
  <c r="H6928" i="7" a="1"/>
  <c r="H6928" i="7" s="1"/>
  <c r="E6928" i="7"/>
  <c r="D6928" i="7"/>
  <c r="H6927" i="7" a="1"/>
  <c r="H6927" i="7" s="1"/>
  <c r="E6927" i="7"/>
  <c r="D6927" i="7"/>
  <c r="H6926" i="7" a="1"/>
  <c r="H6926" i="7" s="1"/>
  <c r="E6926" i="7"/>
  <c r="D6926" i="7"/>
  <c r="H6925" i="7" a="1"/>
  <c r="H6925" i="7" s="1"/>
  <c r="E6925" i="7"/>
  <c r="D6925" i="7"/>
  <c r="H6924" i="7" a="1"/>
  <c r="H6924" i="7" s="1"/>
  <c r="E6924" i="7"/>
  <c r="D6924" i="7"/>
  <c r="H6920" i="7" a="1"/>
  <c r="H6920" i="7" s="1"/>
  <c r="E6920" i="7"/>
  <c r="D6920" i="7"/>
  <c r="H6919" i="7" a="1"/>
  <c r="H6919" i="7" s="1"/>
  <c r="E6919" i="7"/>
  <c r="D6919" i="7"/>
  <c r="H6918" i="7" a="1"/>
  <c r="H6918" i="7" s="1"/>
  <c r="E6918" i="7"/>
  <c r="D6918" i="7"/>
  <c r="H6917" i="7" a="1"/>
  <c r="H6917" i="7" s="1"/>
  <c r="E6917" i="7"/>
  <c r="D6917" i="7"/>
  <c r="H6916" i="7" a="1"/>
  <c r="H6916" i="7" s="1"/>
  <c r="E6916" i="7"/>
  <c r="D6916" i="7"/>
  <c r="H6915" i="7" a="1"/>
  <c r="H6915" i="7" s="1"/>
  <c r="E6915" i="7"/>
  <c r="D6915" i="7"/>
  <c r="L6880" i="7"/>
  <c r="H6880" i="7" a="1"/>
  <c r="H6880" i="7" s="1"/>
  <c r="E6880" i="7"/>
  <c r="D6880" i="7"/>
  <c r="H6879" i="7" a="1"/>
  <c r="H6879" i="7" s="1"/>
  <c r="E6879" i="7"/>
  <c r="D6879" i="7"/>
  <c r="H6878" i="7" a="1"/>
  <c r="H6878" i="7" s="1"/>
  <c r="E6878" i="7"/>
  <c r="D6878" i="7"/>
  <c r="H6906" i="7" l="1" a="1"/>
  <c r="H6906" i="7" s="1"/>
  <c r="E6906" i="7"/>
  <c r="D6906" i="7"/>
  <c r="H6905" i="7" a="1"/>
  <c r="H6905" i="7" s="1"/>
  <c r="E6905" i="7"/>
  <c r="D6905" i="7"/>
  <c r="H6904" i="7" a="1"/>
  <c r="H6904" i="7" s="1"/>
  <c r="E6904" i="7"/>
  <c r="D6904" i="7"/>
  <c r="H6914" i="7" a="1"/>
  <c r="H6914" i="7" s="1"/>
  <c r="E6914" i="7"/>
  <c r="D6914" i="7"/>
  <c r="H6913" i="7" a="1"/>
  <c r="H6913" i="7" s="1"/>
  <c r="E6913" i="7"/>
  <c r="D6913" i="7"/>
  <c r="H6912" i="7" a="1"/>
  <c r="H6912" i="7" s="1"/>
  <c r="E6912" i="7"/>
  <c r="D6912" i="7"/>
  <c r="H6911" i="7" a="1"/>
  <c r="H6911" i="7" s="1"/>
  <c r="E6911" i="7"/>
  <c r="D6911" i="7"/>
  <c r="H6910" i="7" a="1"/>
  <c r="H6910" i="7" s="1"/>
  <c r="E6910" i="7"/>
  <c r="D6910" i="7"/>
  <c r="H6909" i="7" a="1"/>
  <c r="H6909" i="7" s="1"/>
  <c r="E6909" i="7"/>
  <c r="D6909" i="7"/>
  <c r="H6908" i="7" a="1"/>
  <c r="H6908" i="7" s="1"/>
  <c r="E6908" i="7"/>
  <c r="D6908" i="7"/>
  <c r="H6907" i="7" a="1"/>
  <c r="H6907" i="7" s="1"/>
  <c r="E6907" i="7"/>
  <c r="D6907" i="7"/>
  <c r="H6903" i="7" l="1" a="1"/>
  <c r="H6903" i="7" s="1"/>
  <c r="E6903" i="7"/>
  <c r="D6903" i="7"/>
  <c r="H6902" i="7" a="1"/>
  <c r="H6902" i="7" s="1"/>
  <c r="E6902" i="7"/>
  <c r="D6902" i="7"/>
  <c r="H6901" i="7" l="1" a="1"/>
  <c r="H6901" i="7" s="1"/>
  <c r="E6901" i="7"/>
  <c r="D6901" i="7"/>
  <c r="H6900" i="7" a="1"/>
  <c r="H6900" i="7" s="1"/>
  <c r="E6900" i="7"/>
  <c r="D6900" i="7"/>
  <c r="H6899" i="7" a="1"/>
  <c r="H6899" i="7" s="1"/>
  <c r="E6899" i="7"/>
  <c r="D6899" i="7"/>
  <c r="H6898" i="7" a="1"/>
  <c r="H6898" i="7" s="1"/>
  <c r="E6898" i="7"/>
  <c r="D6898" i="7"/>
  <c r="H6897" i="7" a="1"/>
  <c r="H6897" i="7" s="1"/>
  <c r="E6897" i="7"/>
  <c r="D6897" i="7"/>
  <c r="H6896" i="7" a="1"/>
  <c r="H6896" i="7" s="1"/>
  <c r="E6896" i="7"/>
  <c r="D6896" i="7"/>
  <c r="H6895" i="7" a="1"/>
  <c r="H6895" i="7" s="1"/>
  <c r="E6895" i="7"/>
  <c r="D6895" i="7"/>
  <c r="H6894" i="7" a="1"/>
  <c r="H6894" i="7" s="1"/>
  <c r="E6894" i="7"/>
  <c r="D6894" i="7"/>
  <c r="H6865" i="7" a="1"/>
  <c r="H6865" i="7" s="1"/>
  <c r="H6866" i="7" a="1"/>
  <c r="H6866" i="7" s="1"/>
  <c r="H6868" i="7" a="1"/>
  <c r="H6868" i="7" s="1"/>
  <c r="H6869" i="7" a="1"/>
  <c r="H6869" i="7" s="1"/>
  <c r="H6870" i="7" a="1"/>
  <c r="H6870" i="7" s="1"/>
  <c r="E6868" i="7"/>
  <c r="D6868" i="7"/>
  <c r="E6866" i="7"/>
  <c r="D6866" i="7"/>
  <c r="E6865" i="7"/>
  <c r="D6865" i="7"/>
  <c r="H6864" i="7" a="1"/>
  <c r="H6864" i="7" s="1"/>
  <c r="E6864" i="7"/>
  <c r="D6864" i="7"/>
  <c r="H6863" i="7" a="1"/>
  <c r="H6863" i="7" s="1"/>
  <c r="E6863" i="7"/>
  <c r="D6863" i="7"/>
  <c r="H6862" i="7" a="1"/>
  <c r="H6862" i="7" s="1"/>
  <c r="E6862" i="7"/>
  <c r="D6862" i="7"/>
  <c r="H6893" i="7" l="1" a="1"/>
  <c r="H6893" i="7" s="1"/>
  <c r="E6893" i="7"/>
  <c r="D6893" i="7"/>
  <c r="H6892" i="7" a="1"/>
  <c r="H6892" i="7" s="1"/>
  <c r="E6892" i="7"/>
  <c r="D6892" i="7"/>
  <c r="E6870" i="7"/>
  <c r="D6870" i="7"/>
  <c r="E6869" i="7"/>
  <c r="D6869" i="7"/>
  <c r="H6891" i="7" a="1"/>
  <c r="H6891" i="7" s="1"/>
  <c r="E6891" i="7"/>
  <c r="D6891" i="7"/>
  <c r="H6890" i="7" a="1"/>
  <c r="H6890" i="7" s="1"/>
  <c r="E6890" i="7"/>
  <c r="D6890" i="7"/>
  <c r="H6889" i="7" a="1"/>
  <c r="H6889" i="7" s="1"/>
  <c r="E6889" i="7"/>
  <c r="D6889" i="7"/>
  <c r="H6888" i="7" a="1"/>
  <c r="H6888" i="7" s="1"/>
  <c r="E6888" i="7"/>
  <c r="D6888" i="7"/>
  <c r="H6887" i="7" a="1"/>
  <c r="H6887" i="7" s="1"/>
  <c r="E6887" i="7"/>
  <c r="D6887" i="7"/>
  <c r="H6886" i="7" a="1"/>
  <c r="H6886" i="7" s="1"/>
  <c r="E6886" i="7"/>
  <c r="D6886" i="7"/>
  <c r="H6877" i="7" a="1"/>
  <c r="H6877" i="7" s="1"/>
  <c r="E6877" i="7"/>
  <c r="D6877" i="7"/>
  <c r="H6876" i="7" a="1"/>
  <c r="H6876" i="7" s="1"/>
  <c r="E6876" i="7"/>
  <c r="D6876" i="7"/>
  <c r="H6875" i="7" a="1"/>
  <c r="H6875" i="7" s="1"/>
  <c r="E6875" i="7"/>
  <c r="D6875" i="7"/>
  <c r="H6861" i="7" a="1"/>
  <c r="H6861" i="7" s="1"/>
  <c r="E6861" i="7"/>
  <c r="D6861" i="7"/>
  <c r="H6860" i="7" a="1"/>
  <c r="H6860" i="7" s="1"/>
  <c r="E6860" i="7"/>
  <c r="D6860" i="7"/>
  <c r="H6859" i="7" a="1"/>
  <c r="H6859" i="7" s="1"/>
  <c r="E6859" i="7"/>
  <c r="D6859" i="7"/>
  <c r="H6858" i="7" a="1"/>
  <c r="H6858" i="7" s="1"/>
  <c r="E6858" i="7"/>
  <c r="D6858" i="7"/>
  <c r="H6857" i="7" a="1"/>
  <c r="H6857" i="7" s="1"/>
  <c r="E6857" i="7"/>
  <c r="D6857" i="7"/>
  <c r="H6856" i="7" a="1"/>
  <c r="H6856" i="7" s="1"/>
  <c r="E6856" i="7"/>
  <c r="D6856" i="7"/>
  <c r="H6855" i="7" a="1"/>
  <c r="H6855" i="7" s="1"/>
  <c r="E6855" i="7"/>
  <c r="D6855" i="7"/>
  <c r="H6854" i="7" a="1"/>
  <c r="H6854" i="7" s="1"/>
  <c r="E6854" i="7"/>
  <c r="D6854" i="7"/>
  <c r="H6853" i="7" a="1"/>
  <c r="H6853" i="7" s="1"/>
  <c r="E6853" i="7"/>
  <c r="D6853" i="7"/>
  <c r="H6852" i="7" a="1"/>
  <c r="H6852" i="7" s="1"/>
  <c r="E6852" i="7"/>
  <c r="D6852" i="7"/>
  <c r="H6851" i="7" a="1"/>
  <c r="H6851" i="7" s="1"/>
  <c r="E6851" i="7"/>
  <c r="D6851" i="7"/>
  <c r="H6850" i="7" l="1" a="1"/>
  <c r="H6850" i="7" s="1"/>
  <c r="E6850" i="7"/>
  <c r="D6850" i="7"/>
  <c r="H6849" i="7" a="1"/>
  <c r="H6849" i="7" s="1"/>
  <c r="E6849" i="7"/>
  <c r="D6849" i="7"/>
  <c r="H6848" i="7" a="1"/>
  <c r="H6848" i="7" s="1"/>
  <c r="E6848" i="7"/>
  <c r="D6848" i="7"/>
  <c r="H6847" i="7" a="1"/>
  <c r="H6847" i="7" s="1"/>
  <c r="E6847" i="7"/>
  <c r="D6847" i="7"/>
  <c r="H6846" i="7" a="1"/>
  <c r="H6846" i="7" s="1"/>
  <c r="E6846" i="7"/>
  <c r="D6846" i="7"/>
  <c r="H6845" i="7" a="1"/>
  <c r="H6845" i="7" s="1"/>
  <c r="E6845" i="7"/>
  <c r="D6845" i="7"/>
  <c r="H6885" i="7" a="1"/>
  <c r="H6885" i="7" s="1"/>
  <c r="E6885" i="7"/>
  <c r="D6885" i="7"/>
  <c r="H6884" i="7" a="1"/>
  <c r="H6884" i="7" s="1"/>
  <c r="E6884" i="7"/>
  <c r="D6884" i="7"/>
  <c r="E6883" i="7"/>
  <c r="D6883" i="7"/>
  <c r="E6882" i="7"/>
  <c r="D6882" i="7"/>
  <c r="H6881" i="7" a="1"/>
  <c r="H6881" i="7" s="1"/>
  <c r="E6881" i="7"/>
  <c r="D6881" i="7"/>
  <c r="H6874" i="7" a="1"/>
  <c r="H6874" i="7" s="1"/>
  <c r="E6874" i="7"/>
  <c r="D6874" i="7"/>
  <c r="H6873" i="7" a="1"/>
  <c r="H6873" i="7" s="1"/>
  <c r="E6873" i="7"/>
  <c r="D6873" i="7"/>
  <c r="E6872" i="7"/>
  <c r="D6872" i="7"/>
  <c r="E6871" i="7"/>
  <c r="D6871" i="7"/>
  <c r="E6533" i="7"/>
  <c r="D6533" i="7"/>
  <c r="H6813" i="7" a="1"/>
  <c r="H6813" i="7" s="1"/>
  <c r="E6813" i="7"/>
  <c r="D6813" i="7"/>
  <c r="H6812" i="7" a="1"/>
  <c r="H6812" i="7" s="1"/>
  <c r="E6812" i="7"/>
  <c r="D6812" i="7"/>
  <c r="H6811" i="7" a="1"/>
  <c r="H6811" i="7" s="1"/>
  <c r="E6811" i="7"/>
  <c r="D6811" i="7"/>
  <c r="H6840" i="7" a="1"/>
  <c r="H6840" i="7" s="1"/>
  <c r="E6840" i="7"/>
  <c r="D6840" i="7"/>
  <c r="H6839" i="7" a="1"/>
  <c r="H6839" i="7" s="1"/>
  <c r="E6839" i="7"/>
  <c r="D6839" i="7"/>
  <c r="H6838" i="7" a="1"/>
  <c r="H6838" i="7" s="1"/>
  <c r="E6838" i="7"/>
  <c r="D6838" i="7"/>
  <c r="H6837" i="7" a="1"/>
  <c r="H6837" i="7" s="1"/>
  <c r="E6837" i="7"/>
  <c r="D6837" i="7"/>
  <c r="H6680" i="7" a="1"/>
  <c r="H6680" i="7" s="1"/>
  <c r="E6680" i="7"/>
  <c r="D6680" i="7"/>
  <c r="H6679" i="7" a="1"/>
  <c r="H6679" i="7" s="1"/>
  <c r="E6679" i="7"/>
  <c r="D6679" i="7"/>
  <c r="H6678" i="7" a="1"/>
  <c r="H6678" i="7" s="1"/>
  <c r="E6678" i="7"/>
  <c r="D6678" i="7"/>
  <c r="H6834" i="7" a="1"/>
  <c r="H6834" i="7" s="1"/>
  <c r="E6834" i="7"/>
  <c r="D6834" i="7"/>
  <c r="H6833" i="7" a="1"/>
  <c r="H6833" i="7" s="1"/>
  <c r="E6833" i="7"/>
  <c r="D6833" i="7"/>
  <c r="H6832" i="7" a="1"/>
  <c r="H6832" i="7" s="1"/>
  <c r="E6832" i="7"/>
  <c r="D6832" i="7"/>
  <c r="H6831" i="7" a="1"/>
  <c r="H6831" i="7" s="1"/>
  <c r="E6831" i="7"/>
  <c r="D6831" i="7"/>
  <c r="H6830" i="7" a="1"/>
  <c r="H6830" i="7" s="1"/>
  <c r="E6830" i="7"/>
  <c r="D6830" i="7"/>
  <c r="H6829" i="7" a="1"/>
  <c r="H6829" i="7" s="1"/>
  <c r="E6829" i="7"/>
  <c r="D6829" i="7"/>
  <c r="H6828" i="7" a="1"/>
  <c r="H6828" i="7" s="1"/>
  <c r="E6828" i="7"/>
  <c r="D6828" i="7"/>
  <c r="H6827" i="7" a="1"/>
  <c r="H6827" i="7" s="1"/>
  <c r="E6827" i="7"/>
  <c r="D6827" i="7"/>
  <c r="H6779" i="7" l="1" a="1"/>
  <c r="H6779" i="7" s="1"/>
  <c r="E6779" i="7"/>
  <c r="D6779" i="7"/>
  <c r="H6778" i="7" a="1"/>
  <c r="H6778" i="7" s="1"/>
  <c r="E6778" i="7"/>
  <c r="D6778" i="7"/>
  <c r="H6836" i="7" l="1" a="1"/>
  <c r="H6836" i="7" s="1"/>
  <c r="E6836" i="7"/>
  <c r="D6836" i="7"/>
  <c r="H6835" i="7" a="1"/>
  <c r="H6835" i="7" s="1"/>
  <c r="E6835" i="7"/>
  <c r="D6835" i="7"/>
  <c r="H6826" i="7" a="1"/>
  <c r="H6826" i="7" s="1"/>
  <c r="E6826" i="7"/>
  <c r="D6826" i="7"/>
  <c r="H6825" i="7" a="1"/>
  <c r="H6825" i="7" s="1"/>
  <c r="E6825" i="7"/>
  <c r="D6825" i="7"/>
  <c r="H6790" i="7" a="1"/>
  <c r="H6790" i="7" s="1"/>
  <c r="E6790" i="7"/>
  <c r="D6790" i="7"/>
  <c r="H6789" i="7" a="1"/>
  <c r="H6789" i="7" s="1"/>
  <c r="E6789" i="7"/>
  <c r="D6789" i="7"/>
  <c r="H6788" i="7" a="1"/>
  <c r="H6788" i="7" s="1"/>
  <c r="E6788" i="7"/>
  <c r="D6788" i="7"/>
  <c r="E6796" i="7"/>
  <c r="D6796" i="7"/>
  <c r="H6816" i="7" a="1"/>
  <c r="H6816" i="7" s="1"/>
  <c r="E6816" i="7"/>
  <c r="D6816" i="7"/>
  <c r="H6815" i="7" a="1"/>
  <c r="H6815" i="7" s="1"/>
  <c r="E6815" i="7"/>
  <c r="D6815" i="7"/>
  <c r="H6814" i="7" a="1"/>
  <c r="H6814" i="7" s="1"/>
  <c r="E6814" i="7"/>
  <c r="D6814" i="7"/>
  <c r="H6821" i="7" a="1"/>
  <c r="H6821" i="7" s="1"/>
  <c r="E6821" i="7"/>
  <c r="D6821" i="7"/>
  <c r="H6820" i="7" a="1"/>
  <c r="H6820" i="7" s="1"/>
  <c r="E6820" i="7"/>
  <c r="D6820" i="7"/>
  <c r="H6819" i="7" a="1"/>
  <c r="H6819" i="7" s="1"/>
  <c r="E6819" i="7"/>
  <c r="D6819" i="7"/>
  <c r="H6818" i="7" a="1"/>
  <c r="H6818" i="7" s="1"/>
  <c r="E6818" i="7"/>
  <c r="D6818" i="7"/>
  <c r="H6817" i="7" a="1"/>
  <c r="H6817" i="7" s="1"/>
  <c r="E6817" i="7"/>
  <c r="D6817" i="7"/>
  <c r="H6824" i="7" a="1"/>
  <c r="H6824" i="7" s="1"/>
  <c r="E6824" i="7"/>
  <c r="D6824" i="7"/>
  <c r="H6823" i="7" a="1"/>
  <c r="H6823" i="7" s="1"/>
  <c r="E6823" i="7"/>
  <c r="D6823" i="7"/>
  <c r="H6822" i="7" a="1"/>
  <c r="H6822" i="7" s="1"/>
  <c r="E6822" i="7"/>
  <c r="D6822" i="7"/>
  <c r="H6803" i="7" a="1"/>
  <c r="H6803" i="7" s="1"/>
  <c r="E6803" i="7"/>
  <c r="D6803" i="7"/>
  <c r="H6802" i="7" a="1"/>
  <c r="H6802" i="7" s="1"/>
  <c r="E6802" i="7"/>
  <c r="D6802" i="7"/>
  <c r="H6801" i="7" a="1"/>
  <c r="H6801" i="7" s="1"/>
  <c r="E6801" i="7"/>
  <c r="D6801" i="7"/>
  <c r="H6800" i="7" a="1"/>
  <c r="H6800" i="7" s="1"/>
  <c r="E6800" i="7"/>
  <c r="D6800" i="7"/>
  <c r="H6799" i="7" a="1"/>
  <c r="H6799" i="7" s="1"/>
  <c r="E6799" i="7"/>
  <c r="D6799" i="7"/>
  <c r="H6798" i="7" a="1"/>
  <c r="H6798" i="7" s="1"/>
  <c r="E6798" i="7"/>
  <c r="D6798" i="7"/>
  <c r="H6810" i="7" a="1"/>
  <c r="H6810" i="7" s="1"/>
  <c r="E6810" i="7"/>
  <c r="D6810" i="7"/>
  <c r="H6809" i="7" a="1"/>
  <c r="H6809" i="7" s="1"/>
  <c r="E6809" i="7"/>
  <c r="D6809" i="7"/>
  <c r="H6797" i="7" a="1"/>
  <c r="H6797" i="7" s="1"/>
  <c r="E6797" i="7"/>
  <c r="D6797" i="7"/>
  <c r="H6795" i="7" a="1"/>
  <c r="H6795" i="7" s="1"/>
  <c r="E6795" i="7"/>
  <c r="D6795" i="7"/>
  <c r="H6808" i="7" a="1"/>
  <c r="H6808" i="7" s="1"/>
  <c r="E6808" i="7"/>
  <c r="D6808" i="7"/>
  <c r="H6807" i="7" a="1"/>
  <c r="H6807" i="7" s="1"/>
  <c r="E6807" i="7"/>
  <c r="D6807" i="7"/>
  <c r="E6806" i="7"/>
  <c r="D6806" i="7"/>
  <c r="E6805" i="7"/>
  <c r="D6805" i="7"/>
  <c r="H6804" i="7" a="1"/>
  <c r="H6804" i="7" s="1"/>
  <c r="E6804" i="7"/>
  <c r="D6804" i="7"/>
  <c r="H6794" i="7" a="1"/>
  <c r="H6794" i="7" s="1"/>
  <c r="E6794" i="7"/>
  <c r="D6794" i="7"/>
  <c r="H6793" i="7" a="1"/>
  <c r="H6793" i="7" s="1"/>
  <c r="E6793" i="7"/>
  <c r="D6793" i="7"/>
  <c r="E6792" i="7"/>
  <c r="D6792" i="7"/>
  <c r="E6791" i="7"/>
  <c r="D6791" i="7"/>
  <c r="H6787" i="7" l="1" a="1"/>
  <c r="H6787" i="7" s="1"/>
  <c r="E6787" i="7"/>
  <c r="D6787" i="7"/>
  <c r="H6786" i="7" a="1"/>
  <c r="H6786" i="7" s="1"/>
  <c r="E6786" i="7"/>
  <c r="D6786" i="7"/>
  <c r="H6785" i="7" a="1"/>
  <c r="H6785" i="7" s="1"/>
  <c r="E6785" i="7"/>
  <c r="D6785" i="7"/>
  <c r="H6784" i="7" a="1"/>
  <c r="H6784" i="7" s="1"/>
  <c r="E6784" i="7"/>
  <c r="D6784" i="7"/>
  <c r="H6783" i="7" a="1"/>
  <c r="H6783" i="7" s="1"/>
  <c r="E6783" i="7"/>
  <c r="D6783" i="7"/>
  <c r="H6782" i="7" a="1"/>
  <c r="H6782" i="7" s="1"/>
  <c r="E6782" i="7"/>
  <c r="D6782" i="7"/>
  <c r="H6781" i="7" a="1"/>
  <c r="H6781" i="7" s="1"/>
  <c r="E6781" i="7"/>
  <c r="D6781" i="7"/>
  <c r="H6780" i="7" a="1"/>
  <c r="H6780" i="7" s="1"/>
  <c r="E6780" i="7"/>
  <c r="D6780" i="7"/>
  <c r="H6765" i="7" a="1"/>
  <c r="H6765" i="7" s="1"/>
  <c r="E6765" i="7"/>
  <c r="D6765" i="7"/>
  <c r="H6764" i="7" a="1"/>
  <c r="H6764" i="7" s="1"/>
  <c r="E6764" i="7"/>
  <c r="D6764" i="7"/>
  <c r="H6763" i="7" a="1"/>
  <c r="H6763" i="7" s="1"/>
  <c r="E6763" i="7"/>
  <c r="D6763" i="7"/>
  <c r="H6760" i="7" a="1"/>
  <c r="H6760" i="7" s="1"/>
  <c r="E6760" i="7"/>
  <c r="D6760" i="7"/>
  <c r="H6759" i="7" a="1"/>
  <c r="H6759" i="7" s="1"/>
  <c r="E6759" i="7"/>
  <c r="D6759" i="7"/>
  <c r="H6758" i="7" a="1"/>
  <c r="H6758" i="7" s="1"/>
  <c r="E6758" i="7"/>
  <c r="D6758" i="7"/>
  <c r="H6753" i="7" a="1"/>
  <c r="H6753" i="7" s="1"/>
  <c r="E6753" i="7"/>
  <c r="D6753" i="7"/>
  <c r="H6752" i="7" a="1"/>
  <c r="H6752" i="7" s="1"/>
  <c r="E6752" i="7"/>
  <c r="D6752" i="7"/>
  <c r="H6751" i="7" a="1"/>
  <c r="H6751" i="7" s="1"/>
  <c r="E6751" i="7"/>
  <c r="D6751" i="7"/>
  <c r="H6777" i="7" a="1"/>
  <c r="H6777" i="7" s="1"/>
  <c r="E6777" i="7"/>
  <c r="D6777" i="7"/>
  <c r="H6776" i="7" a="1"/>
  <c r="H6776" i="7" s="1"/>
  <c r="E6776" i="7"/>
  <c r="D6776" i="7"/>
  <c r="H6775" i="7" a="1"/>
  <c r="H6775" i="7" s="1"/>
  <c r="E6775" i="7"/>
  <c r="D6775" i="7"/>
  <c r="H6774" i="7" a="1"/>
  <c r="H6774" i="7" s="1"/>
  <c r="E6774" i="7"/>
  <c r="D6774" i="7"/>
  <c r="H6773" i="7" a="1"/>
  <c r="H6773" i="7" s="1"/>
  <c r="E6773" i="7"/>
  <c r="D6773" i="7"/>
  <c r="H6767" i="7" l="1" a="1"/>
  <c r="H6767" i="7" s="1"/>
  <c r="E6767" i="7"/>
  <c r="D6767" i="7"/>
  <c r="H6766" i="7" a="1"/>
  <c r="H6766" i="7" s="1"/>
  <c r="E6766" i="7"/>
  <c r="D6766" i="7"/>
  <c r="H6762" i="7" a="1"/>
  <c r="H6762" i="7" s="1"/>
  <c r="E6762" i="7"/>
  <c r="D6762" i="7"/>
  <c r="H6761" i="7" a="1"/>
  <c r="H6761" i="7" s="1"/>
  <c r="E6761" i="7"/>
  <c r="D6761" i="7"/>
  <c r="H6757" i="7" a="1"/>
  <c r="H6757" i="7" s="1"/>
  <c r="E6757" i="7"/>
  <c r="D6757" i="7"/>
  <c r="H6756" i="7" a="1"/>
  <c r="H6756" i="7" s="1"/>
  <c r="E6756" i="7"/>
  <c r="D6756" i="7"/>
  <c r="H6755" i="7" a="1"/>
  <c r="H6755" i="7" s="1"/>
  <c r="E6755" i="7"/>
  <c r="D6755" i="7"/>
  <c r="H6754" i="7" a="1"/>
  <c r="H6754" i="7" s="1"/>
  <c r="E6754" i="7"/>
  <c r="D6754" i="7"/>
  <c r="H6772" i="7" l="1" a="1"/>
  <c r="H6772" i="7" s="1"/>
  <c r="E6772" i="7"/>
  <c r="D6772" i="7"/>
  <c r="H6771" i="7" a="1"/>
  <c r="H6771" i="7" s="1"/>
  <c r="E6771" i="7"/>
  <c r="D6771" i="7"/>
  <c r="E6770" i="7"/>
  <c r="D6770" i="7"/>
  <c r="E6769" i="7"/>
  <c r="D6769" i="7"/>
  <c r="H6768" i="7" a="1"/>
  <c r="H6768" i="7" s="1"/>
  <c r="E6768" i="7"/>
  <c r="D6768" i="7"/>
  <c r="H6750" i="7" a="1"/>
  <c r="H6750" i="7" s="1"/>
  <c r="E6750" i="7"/>
  <c r="D6750" i="7"/>
  <c r="H6749" i="7" a="1"/>
  <c r="H6749" i="7" s="1"/>
  <c r="E6749" i="7"/>
  <c r="D6749" i="7"/>
  <c r="H6748" i="7" a="1"/>
  <c r="H6748" i="7" s="1"/>
  <c r="E6748" i="7"/>
  <c r="D6748" i="7"/>
  <c r="H6747" i="7" a="1"/>
  <c r="H6747" i="7" s="1"/>
  <c r="E6747" i="7"/>
  <c r="D6747" i="7"/>
  <c r="H6746" i="7" a="1"/>
  <c r="H6746" i="7" s="1"/>
  <c r="E6746" i="7"/>
  <c r="D6746" i="7"/>
  <c r="H6745" i="7" a="1"/>
  <c r="H6745" i="7" s="1"/>
  <c r="E6745" i="7"/>
  <c r="D6745" i="7"/>
  <c r="H6744" i="7" a="1"/>
  <c r="H6744" i="7" s="1"/>
  <c r="E6744" i="7"/>
  <c r="D6744" i="7"/>
  <c r="H6743" i="7" a="1"/>
  <c r="H6743" i="7" s="1"/>
  <c r="E6743" i="7"/>
  <c r="D6743" i="7"/>
  <c r="H6729" i="7" a="1"/>
  <c r="H6729" i="7" s="1"/>
  <c r="E6729" i="7"/>
  <c r="D6729" i="7"/>
  <c r="H6728" i="7" a="1"/>
  <c r="H6728" i="7" s="1"/>
  <c r="E6728" i="7"/>
  <c r="D6728" i="7"/>
  <c r="H6727" i="7" a="1"/>
  <c r="H6727" i="7" s="1"/>
  <c r="E6727" i="7"/>
  <c r="D6727" i="7"/>
  <c r="H6726" i="7" a="1"/>
  <c r="H6726" i="7" s="1"/>
  <c r="E6726" i="7"/>
  <c r="D6726" i="7"/>
  <c r="H6725" i="7" a="1"/>
  <c r="H6725" i="7" s="1"/>
  <c r="E6725" i="7"/>
  <c r="D6725" i="7"/>
  <c r="H6742" i="7" a="1"/>
  <c r="H6742" i="7" s="1"/>
  <c r="E6742" i="7"/>
  <c r="D6742" i="7"/>
  <c r="H6741" i="7" a="1"/>
  <c r="H6741" i="7" s="1"/>
  <c r="E6741" i="7"/>
  <c r="D6741" i="7"/>
  <c r="H6740" i="7" a="1"/>
  <c r="H6740" i="7" s="1"/>
  <c r="E6740" i="7"/>
  <c r="D6740" i="7"/>
  <c r="H6739" i="7" a="1"/>
  <c r="H6739" i="7" s="1"/>
  <c r="E6739" i="7"/>
  <c r="D6739" i="7"/>
  <c r="H6738" i="7" a="1"/>
  <c r="H6738" i="7" s="1"/>
  <c r="E6738" i="7"/>
  <c r="D6738" i="7"/>
  <c r="H6737" i="7" a="1"/>
  <c r="H6737" i="7" s="1"/>
  <c r="E6737" i="7"/>
  <c r="D6737" i="7"/>
  <c r="H6736" i="7" a="1"/>
  <c r="H6736" i="7" s="1"/>
  <c r="E6736" i="7"/>
  <c r="D6736" i="7"/>
  <c r="H6735" i="7" a="1"/>
  <c r="H6735" i="7" s="1"/>
  <c r="E6735" i="7"/>
  <c r="D6735" i="7"/>
  <c r="H6734" i="7" a="1"/>
  <c r="H6734" i="7" s="1"/>
  <c r="E6734" i="7"/>
  <c r="D6734" i="7"/>
  <c r="H6724" i="7" a="1"/>
  <c r="H6724" i="7" s="1"/>
  <c r="E6724" i="7"/>
  <c r="D6724" i="7"/>
  <c r="H6723" i="7" a="1"/>
  <c r="H6723" i="7" s="1"/>
  <c r="E6723" i="7"/>
  <c r="D6723" i="7"/>
  <c r="H6722" i="7" a="1"/>
  <c r="H6722" i="7" s="1"/>
  <c r="E6722" i="7"/>
  <c r="D6722" i="7"/>
  <c r="H6716" i="7" a="1"/>
  <c r="H6716" i="7" s="1"/>
  <c r="E6716" i="7"/>
  <c r="D6716" i="7"/>
  <c r="H6715" i="7" a="1"/>
  <c r="H6715" i="7" s="1"/>
  <c r="E6715" i="7"/>
  <c r="D6715" i="7"/>
  <c r="H6714" i="7" a="1"/>
  <c r="H6714" i="7" s="1"/>
  <c r="E6714" i="7"/>
  <c r="D6714" i="7"/>
  <c r="H6713" i="7" a="1"/>
  <c r="H6713" i="7" s="1"/>
  <c r="E6713" i="7"/>
  <c r="D6713" i="7"/>
  <c r="H6712" i="7" a="1"/>
  <c r="H6712" i="7" s="1"/>
  <c r="E6712" i="7"/>
  <c r="D6712" i="7"/>
  <c r="H6711" i="7" a="1"/>
  <c r="H6711" i="7" s="1"/>
  <c r="E6711" i="7"/>
  <c r="D6711" i="7"/>
  <c r="H6710" i="7" a="1"/>
  <c r="H6710" i="7" s="1"/>
  <c r="E6710" i="7"/>
  <c r="D6710" i="7"/>
  <c r="H6709" i="7" a="1"/>
  <c r="H6709" i="7" s="1"/>
  <c r="E6709" i="7"/>
  <c r="D6709" i="7"/>
  <c r="H6708" i="7" a="1"/>
  <c r="H6708" i="7" s="1"/>
  <c r="E6708" i="7"/>
  <c r="D6708" i="7"/>
  <c r="H6733" i="7" a="1"/>
  <c r="H6733" i="7" s="1"/>
  <c r="E6733" i="7"/>
  <c r="D6733" i="7"/>
  <c r="H6732" i="7" a="1"/>
  <c r="H6732" i="7" s="1"/>
  <c r="E6732" i="7"/>
  <c r="D6732" i="7"/>
  <c r="E6731" i="7"/>
  <c r="D6731" i="7"/>
  <c r="E6730" i="7"/>
  <c r="D6730" i="7"/>
  <c r="H6721" i="7" a="1"/>
  <c r="H6721" i="7" s="1"/>
  <c r="E6721" i="7"/>
  <c r="D6721" i="7"/>
  <c r="H6720" i="7" a="1"/>
  <c r="H6720" i="7" s="1"/>
  <c r="E6720" i="7"/>
  <c r="D6720" i="7"/>
  <c r="E6719" i="7"/>
  <c r="D6719" i="7"/>
  <c r="E6718" i="7"/>
  <c r="D6718" i="7"/>
  <c r="H6717" i="7" a="1"/>
  <c r="H6717" i="7" s="1"/>
  <c r="E6717" i="7"/>
  <c r="D6717" i="7"/>
  <c r="H6707" i="7" a="1"/>
  <c r="H6707" i="7" s="1"/>
  <c r="E6707" i="7"/>
  <c r="D6707" i="7"/>
  <c r="H6706" i="7" a="1"/>
  <c r="H6706" i="7" s="1"/>
  <c r="E6706" i="7"/>
  <c r="D6706" i="7"/>
  <c r="H6705" i="7" a="1"/>
  <c r="H6705" i="7" s="1"/>
  <c r="E6705" i="7"/>
  <c r="D6705" i="7"/>
  <c r="H6704" i="7" a="1"/>
  <c r="H6704" i="7" s="1"/>
  <c r="E6704" i="7"/>
  <c r="D6704" i="7"/>
  <c r="H6703" i="7" a="1"/>
  <c r="H6703" i="7" s="1"/>
  <c r="E6703" i="7"/>
  <c r="D6703" i="7"/>
  <c r="H6702" i="7" a="1"/>
  <c r="H6702" i="7" s="1"/>
  <c r="E6702" i="7"/>
  <c r="D6702" i="7"/>
  <c r="H6701" i="7" a="1"/>
  <c r="H6701" i="7" s="1"/>
  <c r="E6701" i="7"/>
  <c r="D6701" i="7"/>
  <c r="H6700" i="7" a="1"/>
  <c r="H6700" i="7" s="1"/>
  <c r="E6700" i="7"/>
  <c r="D6700" i="7"/>
  <c r="H6683" i="7" a="1"/>
  <c r="H6683" i="7" s="1"/>
  <c r="E6683" i="7"/>
  <c r="D6683" i="7"/>
  <c r="H6682" i="7" a="1"/>
  <c r="H6682" i="7" s="1"/>
  <c r="E6682" i="7"/>
  <c r="D6682" i="7"/>
  <c r="H6681" i="7" a="1"/>
  <c r="H6681" i="7" s="1"/>
  <c r="E6681" i="7"/>
  <c r="D6681" i="7"/>
  <c r="H6697" i="7" l="1" a="1"/>
  <c r="H6697" i="7" s="1"/>
  <c r="E6697" i="7"/>
  <c r="D6697" i="7"/>
  <c r="H6696" i="7" a="1"/>
  <c r="H6696" i="7" s="1"/>
  <c r="E6696" i="7"/>
  <c r="D6696" i="7"/>
  <c r="H6695" i="7" a="1"/>
  <c r="H6695" i="7" s="1"/>
  <c r="E6695" i="7"/>
  <c r="D6695" i="7"/>
  <c r="H6694" i="7" a="1"/>
  <c r="H6694" i="7" s="1"/>
  <c r="E6694" i="7"/>
  <c r="D6694" i="7"/>
  <c r="H6693" i="7" a="1"/>
  <c r="H6693" i="7" s="1"/>
  <c r="E6693" i="7"/>
  <c r="D6693" i="7"/>
  <c r="H6692" i="7" a="1"/>
  <c r="H6692" i="7" s="1"/>
  <c r="E6692" i="7"/>
  <c r="D6692" i="7"/>
  <c r="H6691" i="7" a="1"/>
  <c r="H6691" i="7" s="1"/>
  <c r="E6691" i="7"/>
  <c r="D6691" i="7"/>
  <c r="H6690" i="7" a="1"/>
  <c r="H6690" i="7" s="1"/>
  <c r="E6690" i="7"/>
  <c r="D6690" i="7"/>
  <c r="H6689" i="7" a="1"/>
  <c r="H6689" i="7" s="1"/>
  <c r="E6689" i="7"/>
  <c r="D6689" i="7"/>
  <c r="H6688" i="7" a="1"/>
  <c r="H6688" i="7" s="1"/>
  <c r="E6688" i="7"/>
  <c r="D6688" i="7"/>
  <c r="H6687" i="7" a="1"/>
  <c r="H6687" i="7" s="1"/>
  <c r="E6687" i="7"/>
  <c r="D6687" i="7"/>
  <c r="H6699" i="7" a="1"/>
  <c r="H6699" i="7" s="1"/>
  <c r="E6699" i="7"/>
  <c r="D6699" i="7"/>
  <c r="H6698" i="7" a="1"/>
  <c r="H6698" i="7" s="1"/>
  <c r="E6698" i="7"/>
  <c r="D6698" i="7"/>
  <c r="H6686" i="7" l="1" a="1"/>
  <c r="H6686" i="7" s="1"/>
  <c r="E6686" i="7"/>
  <c r="D6686" i="7"/>
  <c r="H6685" i="7" a="1"/>
  <c r="H6685" i="7" s="1"/>
  <c r="E6685" i="7"/>
  <c r="D6685" i="7"/>
  <c r="H6684" i="7" a="1"/>
  <c r="H6684" i="7" s="1"/>
  <c r="E6684" i="7"/>
  <c r="D6684" i="7"/>
  <c r="H6640" i="7" a="1"/>
  <c r="H6640" i="7" s="1"/>
  <c r="E6640" i="7"/>
  <c r="D6640" i="7"/>
  <c r="H6639" i="7" a="1"/>
  <c r="H6639" i="7" s="1"/>
  <c r="E6639" i="7"/>
  <c r="D6639" i="7"/>
  <c r="H6638" i="7" a="1"/>
  <c r="H6638" i="7" s="1"/>
  <c r="E6638" i="7"/>
  <c r="D6638" i="7"/>
  <c r="H6677" i="7" a="1"/>
  <c r="H6677" i="7" s="1"/>
  <c r="E6677" i="7"/>
  <c r="D6677" i="7"/>
  <c r="H6676" i="7" a="1"/>
  <c r="H6676" i="7" s="1"/>
  <c r="E6676" i="7"/>
  <c r="D6676" i="7"/>
  <c r="H6675" i="7" a="1"/>
  <c r="H6675" i="7" s="1"/>
  <c r="E6675" i="7"/>
  <c r="D6675" i="7"/>
  <c r="H6674" i="7" a="1"/>
  <c r="H6674" i="7" s="1"/>
  <c r="E6674" i="7"/>
  <c r="D6674" i="7"/>
  <c r="H6673" i="7" a="1"/>
  <c r="H6673" i="7" s="1"/>
  <c r="E6673" i="7"/>
  <c r="D6673" i="7"/>
  <c r="H6672" i="7" a="1"/>
  <c r="H6672" i="7" s="1"/>
  <c r="E6672" i="7"/>
  <c r="D6672" i="7"/>
  <c r="H6671" i="7" a="1"/>
  <c r="H6671" i="7" s="1"/>
  <c r="E6671" i="7"/>
  <c r="D6671" i="7"/>
  <c r="H6670" i="7" a="1"/>
  <c r="H6670" i="7" s="1"/>
  <c r="E6670" i="7"/>
  <c r="D6670" i="7"/>
  <c r="H6669" i="7" a="1"/>
  <c r="H6669" i="7" s="1"/>
  <c r="E6669" i="7"/>
  <c r="D6669" i="7"/>
  <c r="H6668" i="7" a="1"/>
  <c r="H6668" i="7" s="1"/>
  <c r="E6668" i="7"/>
  <c r="D6668" i="7"/>
  <c r="L6664" i="7"/>
  <c r="L6661" i="7"/>
  <c r="L6658" i="7"/>
  <c r="L6655" i="7"/>
  <c r="L6652" i="7"/>
  <c r="L6649" i="7"/>
  <c r="H6667" i="7" a="1"/>
  <c r="H6667" i="7" s="1"/>
  <c r="E6667" i="7"/>
  <c r="D6667" i="7"/>
  <c r="H6666" i="7" a="1"/>
  <c r="H6666" i="7" s="1"/>
  <c r="E6666" i="7"/>
  <c r="D6666" i="7"/>
  <c r="H6665" i="7" a="1"/>
  <c r="H6665" i="7" s="1"/>
  <c r="E6665" i="7"/>
  <c r="D6665" i="7"/>
  <c r="H6664" i="7" a="1"/>
  <c r="H6664" i="7" s="1"/>
  <c r="E6664" i="7"/>
  <c r="D6664" i="7"/>
  <c r="H6663" i="7" a="1"/>
  <c r="H6663" i="7" s="1"/>
  <c r="E6663" i="7"/>
  <c r="D6663" i="7"/>
  <c r="H6662" i="7" a="1"/>
  <c r="H6662" i="7" s="1"/>
  <c r="E6662" i="7"/>
  <c r="D6662" i="7"/>
  <c r="H6661" i="7" a="1"/>
  <c r="H6661" i="7" s="1"/>
  <c r="E6661" i="7"/>
  <c r="D6661" i="7"/>
  <c r="H6660" i="7" a="1"/>
  <c r="H6660" i="7" s="1"/>
  <c r="E6660" i="7"/>
  <c r="D6660" i="7"/>
  <c r="H6659" i="7" a="1"/>
  <c r="H6659" i="7" s="1"/>
  <c r="E6659" i="7"/>
  <c r="D6659" i="7"/>
  <c r="H6658" i="7" a="1"/>
  <c r="H6658" i="7" s="1"/>
  <c r="E6658" i="7"/>
  <c r="D6658" i="7"/>
  <c r="H6657" i="7" a="1"/>
  <c r="H6657" i="7" s="1"/>
  <c r="E6657" i="7"/>
  <c r="D6657" i="7"/>
  <c r="H6656" i="7" a="1"/>
  <c r="H6656" i="7" s="1"/>
  <c r="E6656" i="7"/>
  <c r="D6656" i="7"/>
  <c r="H6655" i="7" a="1"/>
  <c r="H6655" i="7" s="1"/>
  <c r="E6655" i="7"/>
  <c r="D6655" i="7"/>
  <c r="H6654" i="7" a="1"/>
  <c r="H6654" i="7" s="1"/>
  <c r="E6654" i="7"/>
  <c r="D6654" i="7"/>
  <c r="H6653" i="7" a="1"/>
  <c r="H6653" i="7" s="1"/>
  <c r="E6653" i="7"/>
  <c r="D6653" i="7"/>
  <c r="H6652" i="7" a="1"/>
  <c r="H6652" i="7" s="1"/>
  <c r="E6652" i="7"/>
  <c r="D6652" i="7"/>
  <c r="H6651" i="7" a="1"/>
  <c r="H6651" i="7" s="1"/>
  <c r="E6651" i="7"/>
  <c r="D6651" i="7"/>
  <c r="H6650" i="7" a="1"/>
  <c r="H6650" i="7" s="1"/>
  <c r="E6650" i="7"/>
  <c r="D6650" i="7"/>
  <c r="H6649" i="7" a="1"/>
  <c r="H6649" i="7" s="1"/>
  <c r="E6649" i="7"/>
  <c r="D6649" i="7"/>
  <c r="H6648" i="7" a="1"/>
  <c r="H6648" i="7" s="1"/>
  <c r="E6648" i="7"/>
  <c r="D6648" i="7"/>
  <c r="H6647" i="7" a="1"/>
  <c r="H6647" i="7" s="1"/>
  <c r="E6647" i="7"/>
  <c r="D6647" i="7"/>
  <c r="H6646" i="7" a="1"/>
  <c r="H6646" i="7" s="1"/>
  <c r="E6646" i="7"/>
  <c r="D6646" i="7"/>
  <c r="H6645" i="7" a="1"/>
  <c r="H6645" i="7" s="1"/>
  <c r="E6645" i="7"/>
  <c r="D6645" i="7"/>
  <c r="H6644" i="7" a="1"/>
  <c r="H6644" i="7" s="1"/>
  <c r="E6644" i="7"/>
  <c r="D6644" i="7"/>
  <c r="H6643" i="7" a="1"/>
  <c r="H6643" i="7" s="1"/>
  <c r="E6643" i="7"/>
  <c r="D6643" i="7"/>
  <c r="H6642" i="7" a="1"/>
  <c r="H6642" i="7" s="1"/>
  <c r="E6642" i="7"/>
  <c r="D6642" i="7"/>
  <c r="H6641" i="7" a="1"/>
  <c r="H6641" i="7" s="1"/>
  <c r="E6641" i="7"/>
  <c r="D6641" i="7"/>
  <c r="H6377" i="7" l="1" a="1"/>
  <c r="H6377" i="7" s="1"/>
  <c r="H6378" i="7" a="1"/>
  <c r="H6378" i="7" s="1"/>
  <c r="H6379" i="7" a="1"/>
  <c r="H6379" i="7" s="1"/>
  <c r="H6380" i="7" a="1"/>
  <c r="H6380" i="7" s="1"/>
  <c r="H6381" i="7" a="1"/>
  <c r="H6381" i="7" s="1"/>
  <c r="E6381" i="7"/>
  <c r="D6381" i="7"/>
  <c r="E6380" i="7"/>
  <c r="D6380" i="7"/>
  <c r="E6379" i="7"/>
  <c r="D6379" i="7"/>
  <c r="E6378" i="7"/>
  <c r="D6378" i="7"/>
  <c r="E6377" i="7"/>
  <c r="D6377" i="7"/>
  <c r="H6411" i="7" a="1"/>
  <c r="H6411" i="7" s="1"/>
  <c r="H6412" i="7" a="1"/>
  <c r="H6412" i="7" s="1"/>
  <c r="E6412" i="7"/>
  <c r="D6412" i="7"/>
  <c r="E6411" i="7"/>
  <c r="D6411" i="7"/>
  <c r="H6637" i="7" l="1" a="1"/>
  <c r="H6637" i="7" s="1"/>
  <c r="E6637" i="7"/>
  <c r="D6637" i="7"/>
  <c r="H6636" i="7" a="1"/>
  <c r="H6636" i="7" s="1"/>
  <c r="E6636" i="7"/>
  <c r="D6636" i="7"/>
  <c r="H6635" i="7" a="1"/>
  <c r="H6635" i="7" s="1"/>
  <c r="E6635" i="7"/>
  <c r="D6635" i="7"/>
  <c r="H6634" i="7" a="1"/>
  <c r="H6634" i="7" s="1"/>
  <c r="E6634" i="7"/>
  <c r="D6634" i="7"/>
  <c r="H6633" i="7" a="1"/>
  <c r="H6633" i="7" s="1"/>
  <c r="E6633" i="7"/>
  <c r="D6633" i="7"/>
  <c r="H6632" i="7" a="1"/>
  <c r="H6632" i="7" s="1"/>
  <c r="E6632" i="7"/>
  <c r="D6632" i="7"/>
  <c r="H6631" i="7" a="1"/>
  <c r="H6631" i="7" s="1"/>
  <c r="E6631" i="7"/>
  <c r="D6631" i="7"/>
  <c r="H6630" i="7" a="1"/>
  <c r="H6630" i="7" s="1"/>
  <c r="E6630" i="7"/>
  <c r="D6630" i="7"/>
  <c r="H6629" i="7" a="1"/>
  <c r="H6629" i="7" s="1"/>
  <c r="E6629" i="7"/>
  <c r="D6629" i="7"/>
  <c r="H6628" i="7" a="1"/>
  <c r="H6628" i="7" s="1"/>
  <c r="E6628" i="7"/>
  <c r="D6628" i="7"/>
  <c r="H6627" i="7" a="1"/>
  <c r="H6627" i="7" s="1"/>
  <c r="E6627" i="7"/>
  <c r="D6627" i="7"/>
  <c r="E6626" i="7"/>
  <c r="D6626" i="7"/>
  <c r="H6625" i="7" a="1"/>
  <c r="H6625" i="7" s="1"/>
  <c r="E6625" i="7"/>
  <c r="D6625" i="7"/>
  <c r="H6624" i="7" l="1" a="1"/>
  <c r="H6624" i="7" s="1"/>
  <c r="E6624" i="7"/>
  <c r="D6624" i="7"/>
  <c r="H6623" i="7" a="1"/>
  <c r="H6623" i="7" s="1"/>
  <c r="E6623" i="7"/>
  <c r="D6623" i="7"/>
  <c r="H6622" i="7" a="1"/>
  <c r="H6622" i="7" s="1"/>
  <c r="E6622" i="7"/>
  <c r="D6622" i="7"/>
  <c r="H6621" i="7" a="1"/>
  <c r="H6621" i="7" s="1"/>
  <c r="E6621" i="7"/>
  <c r="D6621" i="7"/>
  <c r="H6620" i="7" l="1" a="1"/>
  <c r="H6620" i="7" s="1"/>
  <c r="E6620" i="7"/>
  <c r="D6620" i="7"/>
  <c r="H6619" i="7" a="1"/>
  <c r="H6619" i="7" s="1"/>
  <c r="E6619" i="7"/>
  <c r="D6619" i="7"/>
  <c r="H6618" i="7" a="1"/>
  <c r="H6618" i="7" s="1"/>
  <c r="E6618" i="7"/>
  <c r="D6618" i="7"/>
  <c r="H6525" i="7" a="1"/>
  <c r="H6525" i="7" s="1"/>
  <c r="E6525" i="7"/>
  <c r="D6525" i="7"/>
  <c r="H6524" i="7" a="1"/>
  <c r="H6524" i="7" s="1"/>
  <c r="E6524" i="7"/>
  <c r="D6524" i="7"/>
  <c r="H6617" i="7" a="1"/>
  <c r="H6617" i="7" s="1"/>
  <c r="E6617" i="7"/>
  <c r="D6617" i="7"/>
  <c r="H6616" i="7" a="1"/>
  <c r="H6616" i="7" s="1"/>
  <c r="E6616" i="7"/>
  <c r="D6616" i="7"/>
  <c r="H6615" i="7" a="1"/>
  <c r="H6615" i="7" s="1"/>
  <c r="E6615" i="7"/>
  <c r="D6615" i="7"/>
  <c r="H6614" i="7" l="1" a="1"/>
  <c r="H6614" i="7" s="1"/>
  <c r="E6614" i="7"/>
  <c r="D6614" i="7"/>
  <c r="H6613" i="7" a="1"/>
  <c r="H6613" i="7" s="1"/>
  <c r="E6613" i="7"/>
  <c r="D6613" i="7"/>
  <c r="H6612" i="7" a="1"/>
  <c r="H6612" i="7" s="1"/>
  <c r="E6612" i="7"/>
  <c r="D6612" i="7"/>
  <c r="H6611" i="7" a="1"/>
  <c r="H6611" i="7" s="1"/>
  <c r="E6611" i="7"/>
  <c r="D6611" i="7"/>
  <c r="H6610" i="7" a="1"/>
  <c r="H6610" i="7" s="1"/>
  <c r="E6610" i="7"/>
  <c r="D6610" i="7"/>
  <c r="H6609" i="7" a="1"/>
  <c r="H6609" i="7" s="1"/>
  <c r="E6609" i="7"/>
  <c r="D6609" i="7"/>
  <c r="H6601" i="7" a="1"/>
  <c r="H6601" i="7" s="1"/>
  <c r="E6601" i="7"/>
  <c r="D6601" i="7"/>
  <c r="H6600" i="7" a="1"/>
  <c r="H6600" i="7" s="1"/>
  <c r="E6600" i="7"/>
  <c r="D6600" i="7"/>
  <c r="H6608" i="7" a="1"/>
  <c r="H6608" i="7" s="1"/>
  <c r="E6608" i="7"/>
  <c r="D6608" i="7"/>
  <c r="H6607" i="7" a="1"/>
  <c r="H6607" i="7" s="1"/>
  <c r="E6607" i="7"/>
  <c r="D6607" i="7"/>
  <c r="H6587" i="7" a="1"/>
  <c r="H6587" i="7" s="1"/>
  <c r="E6587" i="7"/>
  <c r="D6587" i="7"/>
  <c r="H6586" i="7" a="1"/>
  <c r="H6586" i="7" s="1"/>
  <c r="E6586" i="7"/>
  <c r="D6586" i="7"/>
  <c r="H6585" i="7" a="1"/>
  <c r="H6585" i="7" s="1"/>
  <c r="E6585" i="7"/>
  <c r="D6585" i="7"/>
  <c r="H6584" i="7" a="1"/>
  <c r="H6584" i="7" s="1"/>
  <c r="E6584" i="7"/>
  <c r="D6584" i="7"/>
  <c r="H6583" i="7" a="1"/>
  <c r="H6583" i="7" s="1"/>
  <c r="E6583" i="7"/>
  <c r="D6583" i="7"/>
  <c r="H6582" i="7" a="1"/>
  <c r="H6582" i="7" s="1"/>
  <c r="E6582" i="7"/>
  <c r="D6582" i="7"/>
  <c r="H6599" i="7" a="1"/>
  <c r="H6599" i="7" s="1"/>
  <c r="E6599" i="7"/>
  <c r="D6599" i="7"/>
  <c r="H6598" i="7" a="1"/>
  <c r="H6598" i="7" s="1"/>
  <c r="E6598" i="7"/>
  <c r="D6598" i="7"/>
  <c r="H6597" i="7" a="1"/>
  <c r="H6597" i="7" s="1"/>
  <c r="E6597" i="7"/>
  <c r="D6597" i="7"/>
  <c r="H6596" i="7" a="1"/>
  <c r="H6596" i="7" s="1"/>
  <c r="E6596" i="7"/>
  <c r="D6596" i="7"/>
  <c r="H6595" i="7" a="1"/>
  <c r="H6595" i="7" s="1"/>
  <c r="E6595" i="7"/>
  <c r="D6595" i="7"/>
  <c r="H6594" i="7" a="1"/>
  <c r="H6594" i="7" s="1"/>
  <c r="E6594" i="7"/>
  <c r="D6594" i="7"/>
  <c r="H6593" i="7" l="1" a="1"/>
  <c r="H6593" i="7" s="1"/>
  <c r="E6593" i="7"/>
  <c r="D6593" i="7"/>
  <c r="H6592" i="7" a="1"/>
  <c r="H6592" i="7" s="1"/>
  <c r="E6592" i="7"/>
  <c r="D6592" i="7"/>
  <c r="H6591" i="7" a="1"/>
  <c r="H6591" i="7" s="1"/>
  <c r="E6591" i="7"/>
  <c r="D6591" i="7"/>
  <c r="H6590" i="7" a="1"/>
  <c r="H6590" i="7" s="1"/>
  <c r="E6590" i="7"/>
  <c r="D6590" i="7"/>
  <c r="H6589" i="7" a="1"/>
  <c r="H6589" i="7" s="1"/>
  <c r="E6589" i="7"/>
  <c r="D6589" i="7"/>
  <c r="H6588" i="7" a="1"/>
  <c r="H6588" i="7" s="1"/>
  <c r="E6588" i="7"/>
  <c r="D6588" i="7"/>
  <c r="H6581" i="7" a="1"/>
  <c r="H6581" i="7" s="1"/>
  <c r="E6581" i="7"/>
  <c r="D6581" i="7"/>
  <c r="H6580" i="7" a="1"/>
  <c r="H6580" i="7" s="1"/>
  <c r="E6580" i="7"/>
  <c r="D6580" i="7"/>
  <c r="H6579" i="7" a="1"/>
  <c r="H6579" i="7" s="1"/>
  <c r="E6579" i="7"/>
  <c r="D6579" i="7"/>
  <c r="H6606" i="7" a="1"/>
  <c r="H6606" i="7" s="1"/>
  <c r="E6606" i="7"/>
  <c r="D6606" i="7"/>
  <c r="H6605" i="7" a="1"/>
  <c r="H6605" i="7" s="1"/>
  <c r="E6605" i="7"/>
  <c r="D6605" i="7"/>
  <c r="E6604" i="7"/>
  <c r="D6604" i="7"/>
  <c r="E6603" i="7"/>
  <c r="D6603" i="7"/>
  <c r="H6602" i="7" a="1"/>
  <c r="H6602" i="7" s="1"/>
  <c r="E6602" i="7"/>
  <c r="D6602" i="7"/>
  <c r="H6578" i="7" l="1" a="1"/>
  <c r="H6578" i="7" s="1"/>
  <c r="E6578" i="7"/>
  <c r="D6578" i="7"/>
  <c r="H6577" i="7" a="1"/>
  <c r="H6577" i="7" s="1"/>
  <c r="E6577" i="7"/>
  <c r="D6577" i="7"/>
  <c r="H6576" i="7" a="1"/>
  <c r="H6576" i="7" s="1"/>
  <c r="E6576" i="7"/>
  <c r="D6576" i="7"/>
  <c r="H6575" i="7" a="1"/>
  <c r="H6575" i="7" s="1"/>
  <c r="E6575" i="7"/>
  <c r="D6575" i="7"/>
  <c r="H6574" i="7" a="1"/>
  <c r="H6574" i="7" s="1"/>
  <c r="E6574" i="7"/>
  <c r="D6574" i="7"/>
  <c r="H6573" i="7" a="1"/>
  <c r="H6573" i="7" s="1"/>
  <c r="E6573" i="7"/>
  <c r="D6573" i="7"/>
  <c r="H6572" i="7" a="1"/>
  <c r="H6572" i="7" s="1"/>
  <c r="E6572" i="7"/>
  <c r="D6572" i="7"/>
  <c r="H6571" i="7" a="1"/>
  <c r="H6571" i="7" s="1"/>
  <c r="E6571" i="7"/>
  <c r="D6571" i="7"/>
  <c r="K6539" i="7"/>
  <c r="H6521" i="7" l="1" a="1"/>
  <c r="H6521" i="7" s="1"/>
  <c r="E6521" i="7"/>
  <c r="D6521" i="7"/>
  <c r="H6520" i="7" a="1"/>
  <c r="H6520" i="7" s="1"/>
  <c r="E6520" i="7"/>
  <c r="D6520" i="7"/>
  <c r="H6519" i="7" a="1"/>
  <c r="H6519" i="7" s="1"/>
  <c r="E6519" i="7"/>
  <c r="D6519" i="7"/>
  <c r="H6565" i="7" a="1"/>
  <c r="H6565" i="7" s="1"/>
  <c r="E6565" i="7"/>
  <c r="D6565" i="7"/>
  <c r="H6564" i="7" a="1"/>
  <c r="H6564" i="7" s="1"/>
  <c r="E6564" i="7"/>
  <c r="D6564" i="7"/>
  <c r="H6563" i="7" a="1"/>
  <c r="H6563" i="7" s="1"/>
  <c r="E6563" i="7"/>
  <c r="D6563" i="7"/>
  <c r="H6562" i="7" l="1" a="1"/>
  <c r="H6562" i="7" s="1"/>
  <c r="E6562" i="7"/>
  <c r="D6562" i="7"/>
  <c r="H6561" i="7" a="1"/>
  <c r="H6561" i="7" s="1"/>
  <c r="E6561" i="7"/>
  <c r="D6561" i="7"/>
  <c r="H6560" i="7" a="1"/>
  <c r="H6560" i="7" s="1"/>
  <c r="E6560" i="7"/>
  <c r="D6560" i="7"/>
  <c r="H6559" i="7" a="1"/>
  <c r="H6559" i="7" s="1"/>
  <c r="E6559" i="7"/>
  <c r="D6559" i="7"/>
  <c r="H6570" i="7" a="1"/>
  <c r="H6570" i="7" s="1"/>
  <c r="E6570" i="7"/>
  <c r="D6570" i="7"/>
  <c r="H6569" i="7" a="1"/>
  <c r="H6569" i="7" s="1"/>
  <c r="E6569" i="7"/>
  <c r="D6569" i="7"/>
  <c r="E6568" i="7"/>
  <c r="D6568" i="7"/>
  <c r="E6567" i="7"/>
  <c r="D6567" i="7"/>
  <c r="H6566" i="7" a="1"/>
  <c r="H6566" i="7" s="1"/>
  <c r="E6566" i="7"/>
  <c r="D6566" i="7"/>
  <c r="H6492" i="7" a="1"/>
  <c r="H6492" i="7" s="1"/>
  <c r="E6492" i="7"/>
  <c r="D6492" i="7"/>
  <c r="H6491" i="7" a="1"/>
  <c r="H6491" i="7" s="1"/>
  <c r="E6491" i="7"/>
  <c r="D6491" i="7"/>
  <c r="H6490" i="7" l="1" a="1"/>
  <c r="H6490" i="7" s="1"/>
  <c r="E6490" i="7"/>
  <c r="D6490" i="7"/>
  <c r="H6489" i="7" a="1"/>
  <c r="H6489" i="7" s="1"/>
  <c r="E6489" i="7"/>
  <c r="D6489" i="7"/>
  <c r="H6558" i="7" a="1"/>
  <c r="H6558" i="7" s="1"/>
  <c r="E6558" i="7"/>
  <c r="D6558" i="7"/>
  <c r="H6557" i="7" a="1"/>
  <c r="H6557" i="7" s="1"/>
  <c r="E6557" i="7"/>
  <c r="D6557" i="7"/>
  <c r="H6556" i="7" a="1"/>
  <c r="H6556" i="7" s="1"/>
  <c r="E6556" i="7"/>
  <c r="D6556" i="7"/>
  <c r="H6555" i="7" a="1"/>
  <c r="H6555" i="7" s="1"/>
  <c r="E6555" i="7"/>
  <c r="D6555" i="7"/>
  <c r="H6554" i="7" a="1"/>
  <c r="H6554" i="7" s="1"/>
  <c r="E6554" i="7"/>
  <c r="D6554" i="7"/>
  <c r="H6553" i="7" a="1"/>
  <c r="H6553" i="7" s="1"/>
  <c r="E6553" i="7"/>
  <c r="D6553" i="7"/>
  <c r="H6552" i="7" a="1"/>
  <c r="H6552" i="7" s="1"/>
  <c r="E6552" i="7"/>
  <c r="D6552" i="7"/>
  <c r="H6551" i="7" a="1"/>
  <c r="H6551" i="7" s="1"/>
  <c r="E6551" i="7"/>
  <c r="D6551" i="7"/>
  <c r="H6550" i="7" a="1"/>
  <c r="H6550" i="7" s="1"/>
  <c r="E6550" i="7"/>
  <c r="D6550" i="7"/>
  <c r="H6549" i="7" l="1" a="1"/>
  <c r="H6549" i="7" s="1"/>
  <c r="E6549" i="7"/>
  <c r="D6549" i="7"/>
  <c r="H6548" i="7" a="1"/>
  <c r="H6548" i="7" s="1"/>
  <c r="E6548" i="7"/>
  <c r="D6548" i="7"/>
  <c r="E6547" i="7"/>
  <c r="D6547" i="7"/>
  <c r="E6546" i="7"/>
  <c r="D6546" i="7"/>
  <c r="H6545" i="7" a="1"/>
  <c r="H6545" i="7" s="1"/>
  <c r="E6545" i="7"/>
  <c r="D6545" i="7"/>
  <c r="H6544" i="7" l="1" a="1"/>
  <c r="H6544" i="7" s="1"/>
  <c r="E6544" i="7"/>
  <c r="D6544" i="7"/>
  <c r="H6543" i="7" a="1"/>
  <c r="H6543" i="7" s="1"/>
  <c r="E6543" i="7"/>
  <c r="D6543" i="7"/>
  <c r="H6542" i="7" a="1"/>
  <c r="H6542" i="7" s="1"/>
  <c r="E6542" i="7"/>
  <c r="D6542" i="7"/>
  <c r="H6541" i="7" a="1"/>
  <c r="H6541" i="7" s="1"/>
  <c r="E6541" i="7"/>
  <c r="D6541" i="7"/>
  <c r="E6540" i="7"/>
  <c r="D6540" i="7"/>
  <c r="E6539" i="7"/>
  <c r="D6539" i="7"/>
  <c r="H6538" i="7" a="1"/>
  <c r="H6538" i="7" s="1"/>
  <c r="E6538" i="7"/>
  <c r="D6538" i="7"/>
  <c r="H6537" i="7" a="1"/>
  <c r="H6537" i="7" s="1"/>
  <c r="E6537" i="7"/>
  <c r="D6537" i="7"/>
  <c r="H6536" i="7" a="1"/>
  <c r="H6536" i="7" s="1"/>
  <c r="E6536" i="7"/>
  <c r="D6536" i="7"/>
  <c r="H6535" i="7" a="1"/>
  <c r="H6535" i="7" s="1"/>
  <c r="E6535" i="7"/>
  <c r="D6535" i="7"/>
  <c r="H6534" i="7" a="1"/>
  <c r="H6534" i="7" s="1"/>
  <c r="E6534" i="7"/>
  <c r="D6534" i="7"/>
  <c r="H6532" i="7" a="1"/>
  <c r="H6532" i="7" s="1"/>
  <c r="E6532" i="7"/>
  <c r="D6532" i="7"/>
  <c r="H6531" i="7" a="1"/>
  <c r="H6531" i="7" s="1"/>
  <c r="E6531" i="7"/>
  <c r="D6531" i="7"/>
  <c r="H6530" i="7" a="1"/>
  <c r="H6530" i="7" s="1"/>
  <c r="E6530" i="7"/>
  <c r="D6530" i="7"/>
  <c r="H6529" i="7" a="1"/>
  <c r="H6529" i="7" s="1"/>
  <c r="E6529" i="7"/>
  <c r="D6529" i="7"/>
  <c r="H6528" i="7" a="1"/>
  <c r="H6528" i="7" s="1"/>
  <c r="E6528" i="7"/>
  <c r="D6528" i="7"/>
  <c r="H6527" i="7" a="1"/>
  <c r="H6527" i="7" s="1"/>
  <c r="E6527" i="7"/>
  <c r="D6527" i="7"/>
  <c r="H6526" i="7" a="1"/>
  <c r="H6526" i="7" s="1"/>
  <c r="E6526" i="7"/>
  <c r="D6526" i="7"/>
  <c r="H6523" i="7" l="1" a="1"/>
  <c r="H6523" i="7" s="1"/>
  <c r="E6523" i="7"/>
  <c r="D6523" i="7"/>
  <c r="H6522" i="7" a="1"/>
  <c r="H6522" i="7" s="1"/>
  <c r="E6522" i="7"/>
  <c r="D6522" i="7"/>
  <c r="H6518" i="7" a="1"/>
  <c r="H6518" i="7" s="1"/>
  <c r="E6518" i="7"/>
  <c r="D6518" i="7"/>
  <c r="H6517" i="7" a="1"/>
  <c r="H6517" i="7" s="1"/>
  <c r="E6517" i="7"/>
  <c r="D6517" i="7"/>
  <c r="H6516" i="7" a="1"/>
  <c r="H6516" i="7" s="1"/>
  <c r="E6516" i="7"/>
  <c r="D6516" i="7"/>
  <c r="H6515" i="7" a="1"/>
  <c r="H6515" i="7" s="1"/>
  <c r="E6515" i="7"/>
  <c r="D6515" i="7"/>
  <c r="H6514" i="7" a="1"/>
  <c r="H6514" i="7" s="1"/>
  <c r="E6514" i="7"/>
  <c r="D6514" i="7"/>
  <c r="H6513" i="7" a="1"/>
  <c r="H6513" i="7" s="1"/>
  <c r="E6513" i="7"/>
  <c r="D6513" i="7"/>
  <c r="H6512" i="7" l="1" a="1"/>
  <c r="H6512" i="7" s="1"/>
  <c r="E6512" i="7"/>
  <c r="D6512" i="7"/>
  <c r="H6511" i="7" a="1"/>
  <c r="H6511" i="7" s="1"/>
  <c r="E6511" i="7"/>
  <c r="D6511" i="7"/>
  <c r="H6510" i="7" a="1"/>
  <c r="H6510" i="7" s="1"/>
  <c r="E6510" i="7"/>
  <c r="D6510" i="7"/>
  <c r="H6509" i="7" a="1"/>
  <c r="H6509" i="7" s="1"/>
  <c r="E6509" i="7"/>
  <c r="D6509" i="7"/>
  <c r="H6508" i="7" a="1"/>
  <c r="H6508" i="7" s="1"/>
  <c r="E6508" i="7"/>
  <c r="D6508" i="7"/>
  <c r="H6507" i="7" a="1"/>
  <c r="H6507" i="7" s="1"/>
  <c r="E6507" i="7"/>
  <c r="D6507" i="7"/>
  <c r="H6506" i="7" a="1"/>
  <c r="H6506" i="7" s="1"/>
  <c r="E6506" i="7"/>
  <c r="D6506" i="7"/>
  <c r="H6505" i="7" a="1"/>
  <c r="H6505" i="7" s="1"/>
  <c r="E6505" i="7"/>
  <c r="D6505" i="7"/>
  <c r="H6504" i="7" a="1"/>
  <c r="H6504" i="7" s="1"/>
  <c r="E6504" i="7"/>
  <c r="D6504" i="7"/>
  <c r="H6503" i="7" a="1"/>
  <c r="H6503" i="7" s="1"/>
  <c r="E6503" i="7"/>
  <c r="D6503" i="7"/>
  <c r="H6502" i="7" a="1"/>
  <c r="H6502" i="7" s="1"/>
  <c r="E6502" i="7"/>
  <c r="D6502" i="7"/>
  <c r="D6409" i="7"/>
  <c r="E6409" i="7"/>
  <c r="H6410" i="7" a="1"/>
  <c r="H6410" i="7" s="1"/>
  <c r="E6410" i="7"/>
  <c r="D6410" i="7"/>
  <c r="H6408" i="7" a="1"/>
  <c r="H6408" i="7" s="1"/>
  <c r="E6408" i="7"/>
  <c r="D6408" i="7"/>
  <c r="H6494" i="7" a="1"/>
  <c r="H6494" i="7" s="1"/>
  <c r="E6494" i="7"/>
  <c r="D6494" i="7"/>
  <c r="H6493" i="7" a="1"/>
  <c r="H6493" i="7" s="1"/>
  <c r="E6493" i="7"/>
  <c r="D6493" i="7"/>
  <c r="H6488" i="7" a="1"/>
  <c r="H6488" i="7" s="1"/>
  <c r="E6488" i="7"/>
  <c r="D6488" i="7"/>
  <c r="H6487" i="7" a="1"/>
  <c r="H6487" i="7" s="1"/>
  <c r="E6487" i="7"/>
  <c r="D6487" i="7"/>
  <c r="H6501" i="7" a="1"/>
  <c r="H6501" i="7" s="1"/>
  <c r="E6501" i="7"/>
  <c r="D6501" i="7"/>
  <c r="H6500" i="7" a="1"/>
  <c r="H6500" i="7" s="1"/>
  <c r="E6500" i="7"/>
  <c r="D6500" i="7"/>
  <c r="H6481" i="7" l="1" a="1"/>
  <c r="H6481" i="7" s="1"/>
  <c r="E6481" i="7"/>
  <c r="D6481" i="7"/>
  <c r="H6480" i="7" a="1"/>
  <c r="H6480" i="7" s="1"/>
  <c r="E6480" i="7"/>
  <c r="D6480" i="7"/>
  <c r="H6479" i="7" a="1"/>
  <c r="H6479" i="7" s="1"/>
  <c r="E6479" i="7"/>
  <c r="D6479" i="7"/>
  <c r="H6478" i="7" a="1"/>
  <c r="H6478" i="7" s="1"/>
  <c r="E6478" i="7"/>
  <c r="D6478" i="7"/>
  <c r="H6477" i="7" a="1"/>
  <c r="H6477" i="7" s="1"/>
  <c r="E6477" i="7"/>
  <c r="D6477" i="7"/>
  <c r="H6476" i="7" a="1"/>
  <c r="H6476" i="7" s="1"/>
  <c r="E6476" i="7"/>
  <c r="D6476" i="7"/>
  <c r="H6475" i="7" a="1"/>
  <c r="H6475" i="7" s="1"/>
  <c r="E6475" i="7"/>
  <c r="D6475" i="7"/>
  <c r="H6474" i="7" a="1"/>
  <c r="H6474" i="7" s="1"/>
  <c r="E6474" i="7"/>
  <c r="D6474" i="7"/>
  <c r="H6473" i="7" a="1"/>
  <c r="H6473" i="7" s="1"/>
  <c r="E6473" i="7"/>
  <c r="D6473" i="7"/>
  <c r="H6472" i="7" a="1"/>
  <c r="H6472" i="7" s="1"/>
  <c r="E6472" i="7"/>
  <c r="D6472" i="7"/>
  <c r="H6471" i="7" a="1"/>
  <c r="H6471" i="7" s="1"/>
  <c r="E6471" i="7"/>
  <c r="D6471" i="7"/>
  <c r="H6470" i="7" a="1"/>
  <c r="H6470" i="7" s="1"/>
  <c r="E6470" i="7"/>
  <c r="D6470" i="7"/>
  <c r="H6452" i="7" a="1"/>
  <c r="H6452" i="7" s="1"/>
  <c r="E6452" i="7"/>
  <c r="D6452" i="7"/>
  <c r="H6451" i="7" a="1"/>
  <c r="H6451" i="7" s="1"/>
  <c r="E6451" i="7"/>
  <c r="D6451" i="7"/>
  <c r="H6450" i="7" a="1"/>
  <c r="H6450" i="7" s="1"/>
  <c r="E6450" i="7"/>
  <c r="D6450" i="7"/>
  <c r="H6449" i="7" a="1"/>
  <c r="H6449" i="7" s="1"/>
  <c r="E6449" i="7"/>
  <c r="D6449" i="7"/>
  <c r="H6459" i="7" a="1"/>
  <c r="H6459" i="7" s="1"/>
  <c r="E6459" i="7"/>
  <c r="D6459" i="7"/>
  <c r="H6458" i="7" a="1"/>
  <c r="H6458" i="7" s="1"/>
  <c r="E6458" i="7"/>
  <c r="D6458" i="7"/>
  <c r="H6457" i="7" a="1"/>
  <c r="H6457" i="7" s="1"/>
  <c r="E6457" i="7"/>
  <c r="D6457" i="7"/>
  <c r="H6499" i="7" l="1" a="1"/>
  <c r="H6499" i="7" s="1"/>
  <c r="E6499" i="7"/>
  <c r="D6499" i="7"/>
  <c r="H6498" i="7" a="1"/>
  <c r="H6498" i="7" s="1"/>
  <c r="E6498" i="7"/>
  <c r="D6498" i="7"/>
  <c r="E6497" i="7"/>
  <c r="D6497" i="7"/>
  <c r="E6496" i="7"/>
  <c r="D6496" i="7"/>
  <c r="H6495" i="7" a="1"/>
  <c r="H6495" i="7" s="1"/>
  <c r="E6495" i="7"/>
  <c r="D6495" i="7"/>
  <c r="H6486" i="7" l="1" a="1"/>
  <c r="H6486" i="7" s="1"/>
  <c r="E6486" i="7"/>
  <c r="D6486" i="7"/>
  <c r="H6485" i="7" a="1"/>
  <c r="H6485" i="7" s="1"/>
  <c r="E6485" i="7"/>
  <c r="D6485" i="7"/>
  <c r="E6484" i="7"/>
  <c r="D6484" i="7"/>
  <c r="E6483" i="7"/>
  <c r="D6483" i="7"/>
  <c r="H6482" i="7" a="1"/>
  <c r="H6482" i="7" s="1"/>
  <c r="E6482" i="7"/>
  <c r="D6482" i="7"/>
  <c r="H6469" i="7" l="1" a="1"/>
  <c r="H6469" i="7" s="1"/>
  <c r="E6469" i="7"/>
  <c r="D6469" i="7"/>
  <c r="H6468" i="7" a="1"/>
  <c r="H6468" i="7" s="1"/>
  <c r="E6468" i="7"/>
  <c r="D6468" i="7"/>
  <c r="H6467" i="7" a="1"/>
  <c r="H6467" i="7" s="1"/>
  <c r="E6467" i="7"/>
  <c r="D6467" i="7"/>
  <c r="H6466" i="7" a="1"/>
  <c r="H6466" i="7" s="1"/>
  <c r="E6466" i="7"/>
  <c r="D6466" i="7"/>
  <c r="H6465" i="7" a="1"/>
  <c r="H6465" i="7" s="1"/>
  <c r="E6465" i="7"/>
  <c r="D6465" i="7"/>
  <c r="H6464" i="7" a="1"/>
  <c r="H6464" i="7" s="1"/>
  <c r="E6464" i="7"/>
  <c r="D6464" i="7"/>
  <c r="H6463" i="7" a="1"/>
  <c r="H6463" i="7" s="1"/>
  <c r="E6463" i="7"/>
  <c r="D6463" i="7"/>
  <c r="E6462" i="7"/>
  <c r="D6462" i="7"/>
  <c r="E6461" i="7"/>
  <c r="D6461" i="7"/>
  <c r="H6460" i="7" a="1"/>
  <c r="H6460" i="7" s="1"/>
  <c r="E6460" i="7"/>
  <c r="D6460" i="7"/>
  <c r="H6456" i="7" l="1" a="1"/>
  <c r="H6456" i="7" s="1"/>
  <c r="E6456" i="7"/>
  <c r="D6456" i="7"/>
  <c r="E6455" i="7"/>
  <c r="D6455" i="7"/>
  <c r="E6454" i="7"/>
  <c r="D6454" i="7"/>
  <c r="H6453" i="7" a="1"/>
  <c r="H6453" i="7" s="1"/>
  <c r="E6453" i="7"/>
  <c r="D6453" i="7"/>
  <c r="H6448" i="7" a="1"/>
  <c r="H6448" i="7" s="1"/>
  <c r="E6448" i="7"/>
  <c r="D6448" i="7"/>
  <c r="H6447" i="7" a="1"/>
  <c r="H6447" i="7" s="1"/>
  <c r="E6447" i="7"/>
  <c r="D6447" i="7"/>
  <c r="H6446" i="7" a="1"/>
  <c r="H6446" i="7" s="1"/>
  <c r="E6446" i="7"/>
  <c r="D6446" i="7"/>
  <c r="H6445" i="7" a="1"/>
  <c r="H6445" i="7" s="1"/>
  <c r="E6445" i="7"/>
  <c r="D6445" i="7"/>
  <c r="H6444" i="7" a="1"/>
  <c r="H6444" i="7" s="1"/>
  <c r="E6444" i="7"/>
  <c r="D6444" i="7"/>
  <c r="H6443" i="7" a="1"/>
  <c r="H6443" i="7" s="1"/>
  <c r="E6443" i="7"/>
  <c r="D6443" i="7"/>
  <c r="H6442" i="7" a="1"/>
  <c r="H6442" i="7" s="1"/>
  <c r="E6442" i="7"/>
  <c r="D6442" i="7"/>
  <c r="H6441" i="7" a="1"/>
  <c r="H6441" i="7" s="1"/>
  <c r="E6441" i="7"/>
  <c r="D6441" i="7"/>
  <c r="H6440" i="7" a="1"/>
  <c r="H6440" i="7" s="1"/>
  <c r="E6440" i="7"/>
  <c r="D6440" i="7"/>
  <c r="H6439" i="7" a="1"/>
  <c r="H6439" i="7" s="1"/>
  <c r="E6439" i="7"/>
  <c r="D6439" i="7"/>
  <c r="H6438" i="7" a="1"/>
  <c r="H6438" i="7" s="1"/>
  <c r="E6438" i="7"/>
  <c r="D6438" i="7"/>
  <c r="H6437" i="7" a="1"/>
  <c r="H6437" i="7" s="1"/>
  <c r="E6437" i="7"/>
  <c r="D6437" i="7"/>
  <c r="H6436" i="7" a="1"/>
  <c r="H6436" i="7" s="1"/>
  <c r="E6436" i="7"/>
  <c r="D6436" i="7"/>
  <c r="H6435" i="7" a="1"/>
  <c r="H6435" i="7" s="1"/>
  <c r="E6435" i="7"/>
  <c r="D6435" i="7"/>
  <c r="H6434" i="7" a="1"/>
  <c r="H6434" i="7" s="1"/>
  <c r="E6434" i="7"/>
  <c r="D6434" i="7"/>
  <c r="H6433" i="7" a="1"/>
  <c r="H6433" i="7" s="1"/>
  <c r="E6433" i="7"/>
  <c r="D6433" i="7"/>
  <c r="H6432" i="7" a="1"/>
  <c r="H6432" i="7" s="1"/>
  <c r="E6432" i="7"/>
  <c r="D6432" i="7"/>
  <c r="H6407" i="7" l="1" a="1"/>
  <c r="H6407" i="7" s="1"/>
  <c r="E6407" i="7"/>
  <c r="D6407" i="7"/>
  <c r="H6406" i="7" a="1"/>
  <c r="H6406" i="7" s="1"/>
  <c r="E6406" i="7"/>
  <c r="D6406" i="7"/>
  <c r="H6405" i="7" a="1"/>
  <c r="H6405" i="7" s="1"/>
  <c r="E6405" i="7"/>
  <c r="D6405" i="7"/>
  <c r="H6419" i="7" l="1" a="1"/>
  <c r="H6419" i="7" s="1"/>
  <c r="E6419" i="7"/>
  <c r="D6419" i="7"/>
  <c r="H6418" i="7" a="1"/>
  <c r="H6418" i="7" s="1"/>
  <c r="E6418" i="7"/>
  <c r="D6418" i="7"/>
  <c r="H6398" i="7" a="1"/>
  <c r="H6398" i="7" s="1"/>
  <c r="E6398" i="7"/>
  <c r="D6398" i="7"/>
  <c r="H6397" i="7" a="1"/>
  <c r="H6397" i="7" s="1"/>
  <c r="E6397" i="7"/>
  <c r="D6397" i="7"/>
  <c r="H6431" i="7" a="1"/>
  <c r="H6431" i="7" s="1"/>
  <c r="E6431" i="7"/>
  <c r="D6431" i="7"/>
  <c r="H6430" i="7" a="1"/>
  <c r="H6430" i="7" s="1"/>
  <c r="E6430" i="7"/>
  <c r="D6430" i="7"/>
  <c r="H6429" i="7" a="1"/>
  <c r="H6429" i="7" s="1"/>
  <c r="E6429" i="7"/>
  <c r="D6429" i="7"/>
  <c r="H6428" i="7" a="1"/>
  <c r="H6428" i="7" s="1"/>
  <c r="E6428" i="7"/>
  <c r="D6428" i="7"/>
  <c r="H6427" i="7" a="1"/>
  <c r="H6427" i="7" s="1"/>
  <c r="E6427" i="7"/>
  <c r="D6427" i="7"/>
  <c r="H6426" i="7" a="1"/>
  <c r="H6426" i="7" s="1"/>
  <c r="E6426" i="7"/>
  <c r="D6426" i="7"/>
  <c r="H6425" i="7" a="1"/>
  <c r="H6425" i="7" s="1"/>
  <c r="E6425" i="7"/>
  <c r="D6425" i="7"/>
  <c r="H6424" i="7" a="1"/>
  <c r="H6424" i="7" s="1"/>
  <c r="E6424" i="7"/>
  <c r="D6424" i="7"/>
  <c r="H6423" i="7" a="1"/>
  <c r="H6423" i="7" s="1"/>
  <c r="E6423" i="7"/>
  <c r="D6423" i="7"/>
  <c r="H6422" i="7" a="1"/>
  <c r="H6422" i="7" s="1"/>
  <c r="E6422" i="7"/>
  <c r="D6422" i="7"/>
  <c r="H6421" i="7" a="1"/>
  <c r="H6421" i="7" s="1"/>
  <c r="E6421" i="7"/>
  <c r="D6421" i="7"/>
  <c r="H6420" i="7" a="1"/>
  <c r="H6420" i="7" s="1"/>
  <c r="E6420" i="7"/>
  <c r="D6420" i="7"/>
  <c r="H6417" i="7" a="1"/>
  <c r="H6417" i="7" s="1"/>
  <c r="E6417" i="7"/>
  <c r="D6417" i="7"/>
  <c r="H6416" i="7" a="1"/>
  <c r="H6416" i="7" s="1"/>
  <c r="E6416" i="7"/>
  <c r="D6416" i="7"/>
  <c r="H6415" i="7" a="1"/>
  <c r="H6415" i="7" s="1"/>
  <c r="E6415" i="7"/>
  <c r="D6415" i="7"/>
  <c r="H6414" i="7" a="1"/>
  <c r="H6414" i="7" s="1"/>
  <c r="E6414" i="7"/>
  <c r="D6414" i="7"/>
  <c r="H6413" i="7" a="1"/>
  <c r="H6413" i="7" s="1"/>
  <c r="E6413" i="7"/>
  <c r="D6413" i="7"/>
  <c r="H6404" i="7" a="1"/>
  <c r="H6404" i="7" s="1"/>
  <c r="E6404" i="7"/>
  <c r="D6404" i="7"/>
  <c r="H6403" i="7" a="1"/>
  <c r="H6403" i="7" s="1"/>
  <c r="E6403" i="7"/>
  <c r="D6403" i="7"/>
  <c r="H6402" i="7" a="1"/>
  <c r="H6402" i="7" s="1"/>
  <c r="E6402" i="7"/>
  <c r="D6402" i="7"/>
  <c r="H6401" i="7" l="1" a="1"/>
  <c r="H6401" i="7" s="1"/>
  <c r="E6401" i="7"/>
  <c r="D6401" i="7"/>
  <c r="H6400" i="7" a="1"/>
  <c r="H6400" i="7" s="1"/>
  <c r="E6400" i="7"/>
  <c r="D6400" i="7"/>
  <c r="H6399" i="7" a="1"/>
  <c r="H6399" i="7" s="1"/>
  <c r="E6399" i="7"/>
  <c r="D6399" i="7"/>
  <c r="H6396" i="7" a="1"/>
  <c r="H6396" i="7" s="1"/>
  <c r="E6396" i="7"/>
  <c r="D6396" i="7"/>
  <c r="H6395" i="7" a="1"/>
  <c r="H6395" i="7" s="1"/>
  <c r="E6395" i="7"/>
  <c r="D6395" i="7"/>
  <c r="H6394" i="7" a="1"/>
  <c r="H6394" i="7" s="1"/>
  <c r="E6394" i="7"/>
  <c r="D6394" i="7"/>
  <c r="H6393" i="7" a="1"/>
  <c r="H6393" i="7" s="1"/>
  <c r="E6393" i="7"/>
  <c r="D6393" i="7"/>
  <c r="H6392" i="7" a="1"/>
  <c r="H6392" i="7" s="1"/>
  <c r="E6392" i="7"/>
  <c r="D6392" i="7"/>
  <c r="H6391" i="7" a="1"/>
  <c r="H6391" i="7" s="1"/>
  <c r="E6391" i="7"/>
  <c r="D6391" i="7"/>
  <c r="H6390" i="7" a="1"/>
  <c r="H6390" i="7" s="1"/>
  <c r="E6390" i="7"/>
  <c r="D6390" i="7"/>
  <c r="H6389" i="7" a="1"/>
  <c r="H6389" i="7" s="1"/>
  <c r="E6389" i="7"/>
  <c r="D6389" i="7"/>
  <c r="H6388" i="7" a="1"/>
  <c r="H6388" i="7" s="1"/>
  <c r="E6388" i="7"/>
  <c r="D6388" i="7"/>
  <c r="H6387" i="7" a="1"/>
  <c r="H6387" i="7" s="1"/>
  <c r="E6387" i="7"/>
  <c r="D6387" i="7"/>
  <c r="H6386" i="7" a="1"/>
  <c r="H6386" i="7" s="1"/>
  <c r="E6386" i="7"/>
  <c r="D6386" i="7"/>
  <c r="H6385" i="7" a="1"/>
  <c r="H6385" i="7" s="1"/>
  <c r="E6385" i="7"/>
  <c r="D6385" i="7"/>
  <c r="H6384" i="7" a="1"/>
  <c r="H6384" i="7" s="1"/>
  <c r="E6384" i="7"/>
  <c r="D6384" i="7"/>
  <c r="H6383" i="7" l="1" a="1"/>
  <c r="H6383" i="7" s="1"/>
  <c r="E6383" i="7"/>
  <c r="D6383" i="7"/>
  <c r="H6382" i="7" a="1"/>
  <c r="H6382" i="7" s="1"/>
  <c r="E6382" i="7"/>
  <c r="D6382" i="7"/>
  <c r="H6376" i="7" l="1" a="1"/>
  <c r="H6376" i="7" s="1"/>
  <c r="E6376" i="7"/>
  <c r="D6376" i="7"/>
  <c r="H6375" i="7" a="1"/>
  <c r="H6375" i="7" s="1"/>
  <c r="E6375" i="7"/>
  <c r="D6375" i="7"/>
  <c r="H6374" i="7" a="1"/>
  <c r="H6374" i="7" s="1"/>
  <c r="E6374" i="7"/>
  <c r="D6374" i="7"/>
  <c r="H6373" i="7" a="1"/>
  <c r="H6373" i="7" s="1"/>
  <c r="E6373" i="7"/>
  <c r="D6373" i="7"/>
  <c r="H6372" i="7" a="1"/>
  <c r="H6372" i="7" s="1"/>
  <c r="E6372" i="7"/>
  <c r="D6372" i="7"/>
  <c r="H6371" i="7" a="1"/>
  <c r="H6371" i="7" s="1"/>
  <c r="E6371" i="7"/>
  <c r="D6371" i="7"/>
  <c r="H6370" i="7" a="1"/>
  <c r="H6370" i="7" s="1"/>
  <c r="E6370" i="7"/>
  <c r="D6370" i="7"/>
  <c r="H6369" i="7" a="1"/>
  <c r="H6369" i="7" s="1"/>
  <c r="E6369" i="7"/>
  <c r="D6369" i="7"/>
  <c r="H6346" i="7" a="1"/>
  <c r="H6346" i="7" s="1"/>
  <c r="E6346" i="7"/>
  <c r="D6346" i="7"/>
  <c r="H6345" i="7" a="1"/>
  <c r="H6345" i="7" s="1"/>
  <c r="E6345" i="7"/>
  <c r="D6345" i="7"/>
  <c r="H6344" i="7" a="1"/>
  <c r="H6344" i="7" s="1"/>
  <c r="E6344" i="7"/>
  <c r="D6344" i="7"/>
  <c r="H6337" i="7" a="1"/>
  <c r="H6337" i="7" s="1"/>
  <c r="E6337" i="7"/>
  <c r="D6337" i="7"/>
  <c r="H6336" i="7" a="1"/>
  <c r="H6336" i="7" s="1"/>
  <c r="E6336" i="7"/>
  <c r="D6336" i="7"/>
  <c r="H6335" i="7" a="1"/>
  <c r="H6335" i="7" s="1"/>
  <c r="E6335" i="7"/>
  <c r="D6335" i="7"/>
  <c r="H6368" i="7" a="1"/>
  <c r="H6368" i="7" s="1"/>
  <c r="E6368" i="7"/>
  <c r="D6368" i="7"/>
  <c r="H6367" i="7" a="1"/>
  <c r="H6367" i="7" s="1"/>
  <c r="E6367" i="7"/>
  <c r="D6367" i="7"/>
  <c r="H6363" i="7" a="1"/>
  <c r="H6363" i="7" s="1"/>
  <c r="E6363" i="7"/>
  <c r="D6363" i="7"/>
  <c r="H6362" i="7" a="1"/>
  <c r="H6362" i="7" s="1"/>
  <c r="E6362" i="7"/>
  <c r="D6362" i="7"/>
  <c r="H6361" i="7" a="1"/>
  <c r="H6361" i="7" s="1"/>
  <c r="E6361" i="7"/>
  <c r="D6361" i="7"/>
  <c r="H6360" i="7" a="1"/>
  <c r="H6360" i="7" s="1"/>
  <c r="E6360" i="7"/>
  <c r="D6360" i="7"/>
  <c r="H6366" i="7" a="1"/>
  <c r="H6366" i="7" s="1"/>
  <c r="E6366" i="7"/>
  <c r="D6366" i="7"/>
  <c r="H6365" i="7" a="1"/>
  <c r="H6365" i="7" s="1"/>
  <c r="E6365" i="7"/>
  <c r="D6365" i="7"/>
  <c r="H6364" i="7" a="1"/>
  <c r="H6364" i="7" s="1"/>
  <c r="E6364" i="7"/>
  <c r="D6364" i="7"/>
  <c r="H6359" i="7" a="1"/>
  <c r="H6359" i="7" s="1"/>
  <c r="E6359" i="7"/>
  <c r="D6359" i="7"/>
  <c r="H6358" i="7" a="1"/>
  <c r="H6358" i="7" s="1"/>
  <c r="E6358" i="7"/>
  <c r="D6358" i="7"/>
  <c r="H6357" i="7" a="1"/>
  <c r="H6357" i="7" s="1"/>
  <c r="E6357" i="7"/>
  <c r="D6357" i="7"/>
  <c r="H6343" i="7" a="1"/>
  <c r="H6343" i="7" s="1"/>
  <c r="E6343" i="7"/>
  <c r="D6343" i="7"/>
  <c r="H6342" i="7" a="1"/>
  <c r="H6342" i="7" s="1"/>
  <c r="E6342" i="7"/>
  <c r="D6342" i="7"/>
  <c r="H6341" i="7" a="1"/>
  <c r="H6341" i="7" s="1"/>
  <c r="E6341" i="7"/>
  <c r="D6341" i="7"/>
  <c r="H6340" i="7" a="1"/>
  <c r="H6340" i="7" s="1"/>
  <c r="E6340" i="7"/>
  <c r="D6340" i="7"/>
  <c r="H6339" i="7" a="1"/>
  <c r="H6339" i="7" s="1"/>
  <c r="E6339" i="7"/>
  <c r="D6339" i="7"/>
  <c r="H6338" i="7" a="1"/>
  <c r="H6338" i="7" s="1"/>
  <c r="E6338" i="7"/>
  <c r="D6338" i="7"/>
  <c r="H6356" i="7" l="1" a="1"/>
  <c r="H6356" i="7" s="1"/>
  <c r="E6356" i="7"/>
  <c r="D6356" i="7"/>
  <c r="H6355" i="7" a="1"/>
  <c r="H6355" i="7" s="1"/>
  <c r="E6355" i="7"/>
  <c r="D6355" i="7"/>
  <c r="E6354" i="7"/>
  <c r="D6354" i="7"/>
  <c r="E6353" i="7"/>
  <c r="D6353" i="7"/>
  <c r="H6352" i="7" a="1"/>
  <c r="H6352" i="7" s="1"/>
  <c r="E6352" i="7"/>
  <c r="D6352" i="7"/>
  <c r="H6351" i="7" a="1"/>
  <c r="H6351" i="7" s="1"/>
  <c r="E6351" i="7"/>
  <c r="D6351" i="7"/>
  <c r="H6350" i="7" a="1"/>
  <c r="H6350" i="7" s="1"/>
  <c r="E6350" i="7"/>
  <c r="D6350" i="7"/>
  <c r="E6349" i="7"/>
  <c r="D6349" i="7"/>
  <c r="E6348" i="7"/>
  <c r="D6348" i="7"/>
  <c r="H6347" i="7" a="1"/>
  <c r="H6347" i="7" s="1"/>
  <c r="E6347" i="7"/>
  <c r="D6347" i="7"/>
  <c r="H6334" i="7" l="1" a="1"/>
  <c r="H6334" i="7" s="1"/>
  <c r="E6334" i="7"/>
  <c r="D6334" i="7"/>
  <c r="H6333" i="7" a="1"/>
  <c r="H6333" i="7" s="1"/>
  <c r="E6333" i="7"/>
  <c r="D6333" i="7"/>
  <c r="H6332" i="7" a="1"/>
  <c r="H6332" i="7" s="1"/>
  <c r="E6332" i="7"/>
  <c r="D6332" i="7"/>
  <c r="H6331" i="7" a="1"/>
  <c r="H6331" i="7" s="1"/>
  <c r="E6331" i="7"/>
  <c r="D6331" i="7"/>
  <c r="H6330" i="7" a="1"/>
  <c r="H6330" i="7" s="1"/>
  <c r="E6330" i="7"/>
  <c r="D6330" i="7"/>
  <c r="H6329" i="7" a="1"/>
  <c r="H6329" i="7" s="1"/>
  <c r="E6329" i="7"/>
  <c r="D6329" i="7"/>
  <c r="H6328" i="7" a="1"/>
  <c r="H6328" i="7" s="1"/>
  <c r="E6328" i="7"/>
  <c r="D6328" i="7"/>
  <c r="H6327" i="7" a="1"/>
  <c r="H6327" i="7" s="1"/>
  <c r="E6327" i="7"/>
  <c r="D6327" i="7"/>
  <c r="H6326" i="7" a="1"/>
  <c r="H6326" i="7" s="1"/>
  <c r="E6326" i="7"/>
  <c r="D6326" i="7"/>
  <c r="H6325" i="7" a="1"/>
  <c r="H6325" i="7" s="1"/>
  <c r="E6325" i="7"/>
  <c r="D6325" i="7"/>
  <c r="H6324" i="7" a="1"/>
  <c r="H6324" i="7" s="1"/>
  <c r="E6324" i="7"/>
  <c r="D6324" i="7"/>
  <c r="H6316" i="7" l="1" a="1"/>
  <c r="H6316" i="7" s="1"/>
  <c r="E6316" i="7"/>
  <c r="D6316" i="7"/>
  <c r="H6315" i="7" a="1"/>
  <c r="H6315" i="7" s="1"/>
  <c r="E6315" i="7"/>
  <c r="D6315" i="7"/>
  <c r="H6314" i="7" a="1"/>
  <c r="H6314" i="7" s="1"/>
  <c r="E6314" i="7"/>
  <c r="D6314" i="7"/>
  <c r="H6313" i="7" a="1"/>
  <c r="H6313" i="7" s="1"/>
  <c r="E6313" i="7"/>
  <c r="D6313" i="7"/>
  <c r="H6312" i="7" a="1"/>
  <c r="H6312" i="7" s="1"/>
  <c r="E6312" i="7"/>
  <c r="D6312" i="7"/>
  <c r="H6311" i="7" a="1"/>
  <c r="H6311" i="7" s="1"/>
  <c r="E6311" i="7"/>
  <c r="D6311" i="7"/>
  <c r="H6323" i="7" l="1" a="1"/>
  <c r="H6323" i="7" s="1"/>
  <c r="E6323" i="7"/>
  <c r="D6323" i="7"/>
  <c r="H6322" i="7" a="1"/>
  <c r="H6322" i="7" s="1"/>
  <c r="E6322" i="7"/>
  <c r="D6322" i="7"/>
  <c r="H6321" i="7" a="1"/>
  <c r="H6321" i="7" s="1"/>
  <c r="E6321" i="7"/>
  <c r="D6321" i="7"/>
  <c r="H6320" i="7" a="1"/>
  <c r="H6320" i="7" s="1"/>
  <c r="E6320" i="7"/>
  <c r="D6320" i="7"/>
  <c r="H6310" i="7" a="1"/>
  <c r="H6310" i="7" s="1"/>
  <c r="E6310" i="7"/>
  <c r="D6310" i="7"/>
  <c r="H6309" i="7" a="1"/>
  <c r="H6309" i="7" s="1"/>
  <c r="E6309" i="7"/>
  <c r="D6309" i="7"/>
  <c r="H6308" i="7" a="1"/>
  <c r="H6308" i="7" s="1"/>
  <c r="E6308" i="7"/>
  <c r="D6308" i="7"/>
  <c r="H6307" i="7" a="1"/>
  <c r="H6307" i="7" s="1"/>
  <c r="E6307" i="7"/>
  <c r="D6307" i="7"/>
  <c r="H6301" i="7" a="1"/>
  <c r="H6301" i="7" s="1"/>
  <c r="E6301" i="7"/>
  <c r="D6301" i="7"/>
  <c r="H6300" i="7" a="1"/>
  <c r="H6300" i="7" s="1"/>
  <c r="E6300" i="7"/>
  <c r="D6300" i="7"/>
  <c r="H6319" i="7" a="1"/>
  <c r="H6319" i="7" s="1"/>
  <c r="E6319" i="7"/>
  <c r="D6319" i="7"/>
  <c r="H6318" i="7" a="1"/>
  <c r="H6318" i="7" s="1"/>
  <c r="E6318" i="7"/>
  <c r="D6318" i="7"/>
  <c r="H6317" i="7" a="1"/>
  <c r="H6317" i="7" s="1"/>
  <c r="E6317" i="7"/>
  <c r="D6317" i="7"/>
  <c r="H6306" i="7" a="1"/>
  <c r="H6306" i="7" s="1"/>
  <c r="E6306" i="7"/>
  <c r="D6306" i="7"/>
  <c r="H6305" i="7" a="1"/>
  <c r="H6305" i="7" s="1"/>
  <c r="E6305" i="7"/>
  <c r="D6305" i="7"/>
  <c r="E6304" i="7"/>
  <c r="D6304" i="7"/>
  <c r="E6303" i="7"/>
  <c r="D6303" i="7"/>
  <c r="H6302" i="7" a="1"/>
  <c r="H6302" i="7" s="1"/>
  <c r="E6302" i="7"/>
  <c r="D6302" i="7"/>
  <c r="H6299" i="7" l="1" a="1"/>
  <c r="H6299" i="7" s="1"/>
  <c r="E6299" i="7"/>
  <c r="D6299" i="7"/>
  <c r="H6298" i="7" a="1"/>
  <c r="H6298" i="7" s="1"/>
  <c r="E6298" i="7"/>
  <c r="D6298" i="7"/>
  <c r="H6297" i="7" a="1"/>
  <c r="H6297" i="7" s="1"/>
  <c r="E6297" i="7"/>
  <c r="D6297" i="7"/>
  <c r="H6296" i="7" a="1"/>
  <c r="H6296" i="7" s="1"/>
  <c r="E6296" i="7"/>
  <c r="D6296" i="7"/>
  <c r="H6295" i="7" a="1"/>
  <c r="H6295" i="7" s="1"/>
  <c r="E6295" i="7"/>
  <c r="D6295" i="7"/>
  <c r="H6294" i="7" a="1"/>
  <c r="H6294" i="7" s="1"/>
  <c r="E6294" i="7"/>
  <c r="D6294" i="7"/>
  <c r="H6293" i="7" a="1"/>
  <c r="H6293" i="7" s="1"/>
  <c r="E6293" i="7"/>
  <c r="D6293" i="7"/>
  <c r="H6292" i="7" a="1"/>
  <c r="H6292" i="7" s="1"/>
  <c r="E6292" i="7"/>
  <c r="D6292" i="7"/>
  <c r="H6291" i="7" l="1" a="1"/>
  <c r="H6291" i="7" s="1"/>
  <c r="E6291" i="7"/>
  <c r="D6291" i="7"/>
  <c r="H6290" i="7" a="1"/>
  <c r="H6290" i="7" s="1"/>
  <c r="E6290" i="7"/>
  <c r="D6290" i="7"/>
  <c r="H6289" i="7" a="1"/>
  <c r="H6289" i="7" s="1"/>
  <c r="E6289" i="7"/>
  <c r="D6289" i="7"/>
  <c r="H6288" i="7" a="1"/>
  <c r="H6288" i="7" s="1"/>
  <c r="E6288" i="7"/>
  <c r="D6288" i="7"/>
  <c r="H6287" i="7" a="1"/>
  <c r="H6287" i="7" s="1"/>
  <c r="E6287" i="7"/>
  <c r="D6287" i="7"/>
  <c r="H6286" i="7" a="1"/>
  <c r="H6286" i="7" s="1"/>
  <c r="E6286" i="7"/>
  <c r="D6286" i="7"/>
  <c r="H6285" i="7" a="1"/>
  <c r="H6285" i="7" s="1"/>
  <c r="E6285" i="7"/>
  <c r="D6285" i="7"/>
  <c r="H6284" i="7" a="1"/>
  <c r="H6284" i="7" s="1"/>
  <c r="E6284" i="7"/>
  <c r="D6284" i="7"/>
  <c r="H6283" i="7" a="1"/>
  <c r="H6283" i="7" s="1"/>
  <c r="E6283" i="7"/>
  <c r="D6283" i="7"/>
  <c r="H6282" i="7" a="1"/>
  <c r="H6282" i="7" s="1"/>
  <c r="E6282" i="7"/>
  <c r="D6282" i="7"/>
  <c r="H6281" i="7" a="1"/>
  <c r="H6281" i="7" s="1"/>
  <c r="E6281" i="7"/>
  <c r="D6281" i="7"/>
  <c r="H6280" i="7" a="1"/>
  <c r="H6280" i="7" s="1"/>
  <c r="E6280" i="7"/>
  <c r="D6280" i="7"/>
  <c r="H6279" i="7" a="1"/>
  <c r="H6279" i="7" s="1"/>
  <c r="E6279" i="7"/>
  <c r="D6279" i="7"/>
  <c r="H6275" i="7" a="1"/>
  <c r="H6275" i="7" s="1"/>
  <c r="E6275" i="7"/>
  <c r="D6275" i="7"/>
  <c r="H6274" i="7" a="1"/>
  <c r="H6274" i="7" s="1"/>
  <c r="E6274" i="7"/>
  <c r="D6274" i="7"/>
  <c r="H6273" i="7" a="1"/>
  <c r="H6273" i="7" s="1"/>
  <c r="E6273" i="7"/>
  <c r="D6273" i="7"/>
  <c r="H6272" i="7" a="1"/>
  <c r="H6272" i="7" s="1"/>
  <c r="E6272" i="7"/>
  <c r="D6272" i="7"/>
  <c r="H6271" i="7" a="1"/>
  <c r="H6271" i="7" s="1"/>
  <c r="E6271" i="7"/>
  <c r="D6271" i="7"/>
  <c r="H6278" i="7" a="1"/>
  <c r="H6278" i="7" s="1"/>
  <c r="E6278" i="7"/>
  <c r="D6278" i="7"/>
  <c r="H6277" i="7" a="1"/>
  <c r="H6277" i="7" s="1"/>
  <c r="E6277" i="7"/>
  <c r="D6277" i="7"/>
  <c r="H6276" i="7" a="1"/>
  <c r="H6276" i="7" s="1"/>
  <c r="E6276" i="7"/>
  <c r="D6276" i="7"/>
  <c r="H6270" i="7" a="1"/>
  <c r="H6270" i="7" s="1"/>
  <c r="E6270" i="7"/>
  <c r="D6270" i="7"/>
  <c r="H6269" i="7" a="1"/>
  <c r="H6269" i="7" s="1"/>
  <c r="E6269" i="7"/>
  <c r="D6269" i="7"/>
  <c r="H6268" i="7" a="1"/>
  <c r="H6268" i="7" s="1"/>
  <c r="E6268" i="7"/>
  <c r="D6268" i="7"/>
  <c r="H6267" i="7" a="1"/>
  <c r="H6267" i="7" s="1"/>
  <c r="E6267" i="7"/>
  <c r="D6267" i="7"/>
  <c r="H6266" i="7" a="1"/>
  <c r="H6266" i="7" s="1"/>
  <c r="E6266" i="7"/>
  <c r="D6266" i="7"/>
  <c r="H6265" i="7" a="1"/>
  <c r="H6265" i="7" s="1"/>
  <c r="E6265" i="7"/>
  <c r="D6265" i="7"/>
  <c r="H6264" i="7" a="1"/>
  <c r="H6264" i="7" s="1"/>
  <c r="E6264" i="7"/>
  <c r="D6264" i="7"/>
  <c r="H6263" i="7" a="1"/>
  <c r="H6263" i="7" s="1"/>
  <c r="E6263" i="7"/>
  <c r="D6263" i="7"/>
  <c r="H6262" i="7" a="1"/>
  <c r="H6262" i="7" s="1"/>
  <c r="E6262" i="7"/>
  <c r="D6262" i="7"/>
  <c r="H6261" i="7" l="1" a="1"/>
  <c r="H6261" i="7" s="1"/>
  <c r="E6261" i="7"/>
  <c r="D6261" i="7"/>
  <c r="H6260" i="7" a="1"/>
  <c r="H6260" i="7" s="1"/>
  <c r="E6260" i="7"/>
  <c r="D6260" i="7"/>
  <c r="H6259" i="7" a="1"/>
  <c r="H6259" i="7" s="1"/>
  <c r="E6259" i="7"/>
  <c r="D6259" i="7"/>
  <c r="H6253" i="7" a="1"/>
  <c r="H6253" i="7" s="1"/>
  <c r="E6253" i="7"/>
  <c r="D6253" i="7"/>
  <c r="H6252" i="7" a="1"/>
  <c r="H6252" i="7" s="1"/>
  <c r="E6252" i="7"/>
  <c r="D6252" i="7"/>
  <c r="H6248" i="7" a="1"/>
  <c r="H6248" i="7" s="1"/>
  <c r="E6248" i="7"/>
  <c r="D6248" i="7"/>
  <c r="H6247" i="7" a="1"/>
  <c r="H6247" i="7" s="1"/>
  <c r="E6247" i="7"/>
  <c r="D6247" i="7"/>
  <c r="H6246" i="7" l="1" a="1"/>
  <c r="H6246" i="7" s="1"/>
  <c r="E6246" i="7"/>
  <c r="D6246" i="7"/>
  <c r="H6245" i="7" a="1"/>
  <c r="H6245" i="7" s="1"/>
  <c r="E6245" i="7"/>
  <c r="D6245" i="7"/>
  <c r="H6244" i="7" a="1"/>
  <c r="H6244" i="7" s="1"/>
  <c r="E6244" i="7"/>
  <c r="D6244" i="7"/>
  <c r="E6256" i="7"/>
  <c r="D6256" i="7"/>
  <c r="E6255" i="7"/>
  <c r="D6255" i="7"/>
  <c r="H6258" i="7" a="1"/>
  <c r="H6258" i="7" s="1"/>
  <c r="E6258" i="7"/>
  <c r="D6258" i="7"/>
  <c r="H6257" i="7" a="1"/>
  <c r="H6257" i="7" s="1"/>
  <c r="E6257" i="7"/>
  <c r="D6257" i="7"/>
  <c r="H6254" i="7" a="1"/>
  <c r="H6254" i="7" s="1"/>
  <c r="E6254" i="7"/>
  <c r="D6254" i="7"/>
  <c r="H6251" i="7" a="1"/>
  <c r="H6251" i="7" s="1"/>
  <c r="E6251" i="7"/>
  <c r="D6251" i="7"/>
  <c r="H6250" i="7" a="1"/>
  <c r="H6250" i="7" s="1"/>
  <c r="E6250" i="7"/>
  <c r="D6250" i="7"/>
  <c r="H6249" i="7" a="1"/>
  <c r="H6249" i="7" s="1"/>
  <c r="E6249" i="7"/>
  <c r="D6249" i="7"/>
  <c r="H6243" i="7" l="1" a="1"/>
  <c r="H6243" i="7" s="1"/>
  <c r="E6243" i="7"/>
  <c r="D6243" i="7"/>
  <c r="H6242" i="7" a="1"/>
  <c r="H6242" i="7" s="1"/>
  <c r="E6242" i="7"/>
  <c r="D6242" i="7"/>
  <c r="H6241" i="7" a="1"/>
  <c r="H6241" i="7" s="1"/>
  <c r="E6241" i="7"/>
  <c r="D6241" i="7"/>
  <c r="H6240" i="7" a="1"/>
  <c r="H6240" i="7" s="1"/>
  <c r="E6240" i="7"/>
  <c r="D6240" i="7"/>
  <c r="H6239" i="7" a="1"/>
  <c r="H6239" i="7" s="1"/>
  <c r="E6239" i="7"/>
  <c r="D6239" i="7"/>
  <c r="H6238" i="7" a="1"/>
  <c r="H6238" i="7" s="1"/>
  <c r="E6238" i="7"/>
  <c r="D6238" i="7"/>
  <c r="H6237" i="7" a="1"/>
  <c r="H6237" i="7" s="1"/>
  <c r="E6237" i="7"/>
  <c r="D6237" i="7"/>
  <c r="H6236" i="7" a="1"/>
  <c r="H6236" i="7" s="1"/>
  <c r="E6236" i="7"/>
  <c r="D6236" i="7"/>
  <c r="H6229" i="7" a="1"/>
  <c r="H6229" i="7" s="1"/>
  <c r="E6229" i="7"/>
  <c r="D6229" i="7"/>
  <c r="H6228" i="7" a="1"/>
  <c r="H6228" i="7" s="1"/>
  <c r="E6228" i="7"/>
  <c r="D6228" i="7"/>
  <c r="H6227" i="7" a="1"/>
  <c r="H6227" i="7" s="1"/>
  <c r="E6227" i="7"/>
  <c r="D6227" i="7"/>
  <c r="H6223" i="7" a="1"/>
  <c r="H6223" i="7" s="1"/>
  <c r="E6223" i="7"/>
  <c r="D6223" i="7"/>
  <c r="H6222" i="7" a="1"/>
  <c r="H6222" i="7" s="1"/>
  <c r="E6222" i="7"/>
  <c r="D6222" i="7"/>
  <c r="H6226" i="7" l="1" a="1"/>
  <c r="H6226" i="7" s="1"/>
  <c r="E6226" i="7"/>
  <c r="D6226" i="7"/>
  <c r="H6225" i="7" a="1"/>
  <c r="H6225" i="7" s="1"/>
  <c r="E6225" i="7"/>
  <c r="D6225" i="7"/>
  <c r="H6224" i="7" a="1"/>
  <c r="H6224" i="7" s="1"/>
  <c r="E6224" i="7"/>
  <c r="D6224" i="7"/>
  <c r="H6221" i="7" a="1"/>
  <c r="H6221" i="7" s="1"/>
  <c r="E6221" i="7"/>
  <c r="D6221" i="7"/>
  <c r="H6220" i="7" a="1"/>
  <c r="H6220" i="7" s="1"/>
  <c r="E6220" i="7"/>
  <c r="D6220" i="7"/>
  <c r="H6214" i="7" a="1"/>
  <c r="H6214" i="7" s="1"/>
  <c r="E6214" i="7"/>
  <c r="D6214" i="7"/>
  <c r="H6213" i="7" a="1"/>
  <c r="H6213" i="7" s="1"/>
  <c r="E6213" i="7"/>
  <c r="D6213" i="7"/>
  <c r="H6212" i="7" a="1"/>
  <c r="H6212" i="7" s="1"/>
  <c r="E6212" i="7"/>
  <c r="D6212" i="7"/>
  <c r="H6219" i="7" a="1"/>
  <c r="H6219" i="7" s="1"/>
  <c r="E6219" i="7"/>
  <c r="D6219" i="7"/>
  <c r="H6218" i="7" a="1"/>
  <c r="H6218" i="7" s="1"/>
  <c r="E6218" i="7"/>
  <c r="D6218" i="7"/>
  <c r="H6217" i="7" l="1" a="1"/>
  <c r="H6217" i="7" s="1"/>
  <c r="E6217" i="7"/>
  <c r="D6217" i="7"/>
  <c r="H6216" i="7" a="1"/>
  <c r="H6216" i="7" s="1"/>
  <c r="E6216" i="7"/>
  <c r="D6216" i="7"/>
  <c r="H6215" i="7" a="1"/>
  <c r="H6215" i="7" s="1"/>
  <c r="E6215" i="7"/>
  <c r="D6215" i="7"/>
  <c r="H6235" i="7" l="1" a="1"/>
  <c r="H6235" i="7" s="1"/>
  <c r="E6235" i="7"/>
  <c r="D6235" i="7"/>
  <c r="H6234" i="7" a="1"/>
  <c r="H6234" i="7" s="1"/>
  <c r="E6234" i="7"/>
  <c r="D6234" i="7"/>
  <c r="H6233" i="7" a="1"/>
  <c r="H6233" i="7" s="1"/>
  <c r="E6233" i="7"/>
  <c r="D6233" i="7"/>
  <c r="H6203" i="7" a="1"/>
  <c r="H6203" i="7" s="1"/>
  <c r="E6203" i="7"/>
  <c r="D6203" i="7"/>
  <c r="H6202" i="7" a="1"/>
  <c r="H6202" i="7" s="1"/>
  <c r="E6202" i="7"/>
  <c r="D6202" i="7"/>
  <c r="H6232" i="7" a="1"/>
  <c r="H6232" i="7" s="1"/>
  <c r="E6232" i="7"/>
  <c r="D6232" i="7"/>
  <c r="H6231" i="7" a="1"/>
  <c r="H6231" i="7" s="1"/>
  <c r="E6231" i="7"/>
  <c r="D6231" i="7"/>
  <c r="H6230" i="7" a="1"/>
  <c r="H6230" i="7" s="1"/>
  <c r="E6230" i="7"/>
  <c r="D6230" i="7"/>
  <c r="H5875" i="7" a="1"/>
  <c r="H5875" i="7" s="1"/>
  <c r="E5875" i="7"/>
  <c r="D5875" i="7"/>
  <c r="H5874" i="7" a="1"/>
  <c r="H5874" i="7" s="1"/>
  <c r="E5874" i="7"/>
  <c r="D5874" i="7"/>
  <c r="H5873" i="7" a="1"/>
  <c r="H5873" i="7" s="1"/>
  <c r="E5873" i="7"/>
  <c r="D5873" i="7"/>
  <c r="H5495" i="7" l="1" a="1"/>
  <c r="H5495" i="7" s="1"/>
  <c r="E5495" i="7"/>
  <c r="D5495" i="7"/>
  <c r="H5494" i="7" a="1"/>
  <c r="H5494" i="7" s="1"/>
  <c r="E5494" i="7"/>
  <c r="D5494" i="7"/>
  <c r="H5493" i="7" a="1"/>
  <c r="H5493" i="7" s="1"/>
  <c r="E5493" i="7"/>
  <c r="D5493" i="7"/>
  <c r="H5485" i="7" a="1"/>
  <c r="H5485" i="7" s="1"/>
  <c r="E5485" i="7"/>
  <c r="D5485" i="7"/>
  <c r="H5484" i="7" a="1"/>
  <c r="H5484" i="7" s="1"/>
  <c r="E5484" i="7"/>
  <c r="D5484" i="7"/>
  <c r="H5483" i="7" a="1"/>
  <c r="H5483" i="7" s="1"/>
  <c r="E5483" i="7"/>
  <c r="D5483" i="7"/>
  <c r="H5482" i="7" a="1"/>
  <c r="H5482" i="7" s="1"/>
  <c r="E5482" i="7"/>
  <c r="D5482" i="7"/>
  <c r="H6211" i="7" a="1"/>
  <c r="H6211" i="7" s="1"/>
  <c r="E6211" i="7"/>
  <c r="D6211" i="7"/>
  <c r="H6210" i="7" a="1"/>
  <c r="H6210" i="7" s="1"/>
  <c r="E6210" i="7"/>
  <c r="D6210" i="7"/>
  <c r="H6209" i="7" a="1"/>
  <c r="H6209" i="7" s="1"/>
  <c r="E6209" i="7"/>
  <c r="D6209" i="7"/>
  <c r="H6208" i="7" a="1"/>
  <c r="H6208" i="7" s="1"/>
  <c r="E6208" i="7"/>
  <c r="D6208" i="7"/>
  <c r="H6207" i="7" a="1"/>
  <c r="H6207" i="7" s="1"/>
  <c r="E6207" i="7"/>
  <c r="D6207" i="7"/>
  <c r="H6206" i="7" a="1"/>
  <c r="H6206" i="7" s="1"/>
  <c r="E6206" i="7"/>
  <c r="D6206" i="7"/>
  <c r="H6205" i="7" a="1"/>
  <c r="H6205" i="7" s="1"/>
  <c r="E6205" i="7"/>
  <c r="D6205" i="7"/>
  <c r="H6204" i="7" a="1"/>
  <c r="H6204" i="7" s="1"/>
  <c r="E6204" i="7"/>
  <c r="D6204" i="7"/>
  <c r="H6201" i="7" a="1"/>
  <c r="H6201" i="7" s="1"/>
  <c r="E6201" i="7"/>
  <c r="D6201" i="7"/>
  <c r="H6200" i="7" a="1"/>
  <c r="H6200" i="7" s="1"/>
  <c r="E6200" i="7"/>
  <c r="D6200" i="7"/>
  <c r="H6199" i="7" a="1"/>
  <c r="H6199" i="7" s="1"/>
  <c r="E6199" i="7"/>
  <c r="D6199" i="7"/>
  <c r="H6198" i="7" a="1"/>
  <c r="H6198" i="7" s="1"/>
  <c r="E6198" i="7"/>
  <c r="D6198" i="7"/>
  <c r="H6197" i="7" a="1"/>
  <c r="H6197" i="7" s="1"/>
  <c r="E6197" i="7"/>
  <c r="D6197" i="7"/>
  <c r="H6194" i="7" l="1" a="1"/>
  <c r="H6194" i="7" s="1"/>
  <c r="E6194" i="7"/>
  <c r="D6194" i="7"/>
  <c r="H6193" i="7" a="1"/>
  <c r="H6193" i="7" s="1"/>
  <c r="E6193" i="7"/>
  <c r="D6193" i="7"/>
  <c r="H6192" i="7" a="1"/>
  <c r="H6192" i="7" s="1"/>
  <c r="E6192" i="7"/>
  <c r="D6192" i="7"/>
  <c r="H6196" i="7" l="1" a="1"/>
  <c r="H6196" i="7" s="1"/>
  <c r="E6196" i="7"/>
  <c r="D6196" i="7"/>
  <c r="H6195" i="7" a="1"/>
  <c r="H6195" i="7" s="1"/>
  <c r="E6195" i="7"/>
  <c r="D6195" i="7"/>
  <c r="H6183" i="7" l="1" a="1"/>
  <c r="H6183" i="7" s="1"/>
  <c r="E6183" i="7"/>
  <c r="D6183" i="7"/>
  <c r="H6182" i="7" a="1"/>
  <c r="H6182" i="7" s="1"/>
  <c r="E6182" i="7"/>
  <c r="D6182" i="7"/>
  <c r="H6181" i="7" a="1"/>
  <c r="H6181" i="7" s="1"/>
  <c r="E6181" i="7"/>
  <c r="D6181" i="7"/>
  <c r="H6180" i="7" a="1"/>
  <c r="H6180" i="7" s="1"/>
  <c r="E6180" i="7"/>
  <c r="D6180" i="7"/>
  <c r="H6179" i="7" a="1"/>
  <c r="H6179" i="7" s="1"/>
  <c r="E6179" i="7"/>
  <c r="D6179" i="7"/>
  <c r="H6178" i="7" a="1"/>
  <c r="H6178" i="7" s="1"/>
  <c r="E6178" i="7"/>
  <c r="D6178" i="7"/>
  <c r="H6177" i="7" l="1" a="1"/>
  <c r="H6177" i="7" s="1"/>
  <c r="E6177" i="7"/>
  <c r="D6177" i="7"/>
  <c r="H6176" i="7" a="1"/>
  <c r="H6176" i="7" s="1"/>
  <c r="E6176" i="7"/>
  <c r="D6176" i="7"/>
  <c r="H6175" i="7" a="1"/>
  <c r="H6175" i="7" s="1"/>
  <c r="E6175" i="7"/>
  <c r="D6175" i="7"/>
  <c r="H6191" i="7" a="1"/>
  <c r="H6191" i="7" s="1"/>
  <c r="E6191" i="7"/>
  <c r="D6191" i="7"/>
  <c r="H6190" i="7" a="1"/>
  <c r="H6190" i="7" s="1"/>
  <c r="E6190" i="7"/>
  <c r="D6190" i="7"/>
  <c r="H6189" i="7" a="1"/>
  <c r="H6189" i="7" s="1"/>
  <c r="E6189" i="7"/>
  <c r="D6189" i="7"/>
  <c r="H6188" i="7" a="1"/>
  <c r="H6188" i="7" s="1"/>
  <c r="E6188" i="7"/>
  <c r="D6188" i="7"/>
  <c r="H6187" i="7" a="1"/>
  <c r="H6187" i="7" s="1"/>
  <c r="E6187" i="7"/>
  <c r="D6187" i="7"/>
  <c r="H6186" i="7" a="1"/>
  <c r="H6186" i="7" s="1"/>
  <c r="E6186" i="7"/>
  <c r="D6186" i="7"/>
  <c r="H6185" i="7" a="1"/>
  <c r="H6185" i="7" s="1"/>
  <c r="E6185" i="7"/>
  <c r="D6185" i="7"/>
  <c r="H6184" i="7" a="1"/>
  <c r="H6184" i="7" s="1"/>
  <c r="E6184" i="7"/>
  <c r="D6184" i="7"/>
  <c r="H6174" i="7" a="1"/>
  <c r="H6174" i="7" s="1"/>
  <c r="E6174" i="7"/>
  <c r="D6174" i="7"/>
  <c r="H6173" i="7" a="1"/>
  <c r="H6173" i="7" s="1"/>
  <c r="E6173" i="7"/>
  <c r="D6173" i="7"/>
  <c r="H6172" i="7" a="1"/>
  <c r="H6172" i="7" s="1"/>
  <c r="E6172" i="7"/>
  <c r="D6172" i="7"/>
  <c r="H6171" i="7" a="1"/>
  <c r="H6171" i="7" s="1"/>
  <c r="E6171" i="7"/>
  <c r="D6171" i="7"/>
  <c r="H6170" i="7" a="1"/>
  <c r="H6170" i="7" s="1"/>
  <c r="E6170" i="7"/>
  <c r="D6170" i="7"/>
  <c r="H6169" i="7" a="1"/>
  <c r="H6169" i="7" s="1"/>
  <c r="E6169" i="7"/>
  <c r="D6169" i="7"/>
  <c r="H5507" i="7" l="1" a="1"/>
  <c r="H5507" i="7" s="1"/>
  <c r="E5507" i="7"/>
  <c r="D5507" i="7"/>
  <c r="H5506" i="7" a="1"/>
  <c r="H5506" i="7" s="1"/>
  <c r="E5506" i="7"/>
  <c r="D5506" i="7"/>
  <c r="H5505" i="7" a="1"/>
  <c r="H5505" i="7" s="1"/>
  <c r="E5505" i="7"/>
  <c r="D5505" i="7"/>
  <c r="H5504" i="7" a="1"/>
  <c r="H5504" i="7" s="1"/>
  <c r="E5504" i="7"/>
  <c r="D5504" i="7"/>
  <c r="H6168" i="7" l="1" a="1"/>
  <c r="H6168" i="7" s="1"/>
  <c r="E6168" i="7"/>
  <c r="D6168" i="7"/>
  <c r="H6167" i="7" a="1"/>
  <c r="H6167" i="7" s="1"/>
  <c r="E6167" i="7"/>
  <c r="D6167" i="7"/>
  <c r="H6166" i="7" a="1"/>
  <c r="H6166" i="7" s="1"/>
  <c r="E6166" i="7"/>
  <c r="D6166" i="7"/>
  <c r="H6165" i="7" a="1"/>
  <c r="H6165" i="7" s="1"/>
  <c r="E6165" i="7"/>
  <c r="D6165" i="7"/>
  <c r="H6164" i="7" a="1"/>
  <c r="H6164" i="7" s="1"/>
  <c r="E6164" i="7"/>
  <c r="D6164" i="7"/>
  <c r="H6163" i="7" a="1"/>
  <c r="H6163" i="7" s="1"/>
  <c r="E6163" i="7"/>
  <c r="D6163" i="7"/>
  <c r="H6162" i="7" a="1"/>
  <c r="H6162" i="7" s="1"/>
  <c r="E6162" i="7"/>
  <c r="D6162" i="7"/>
  <c r="H6161" i="7" a="1"/>
  <c r="H6161" i="7" s="1"/>
  <c r="E6161" i="7"/>
  <c r="D6161" i="7"/>
  <c r="H6160" i="7" a="1"/>
  <c r="H6160" i="7" s="1"/>
  <c r="E6160" i="7"/>
  <c r="D6160" i="7"/>
  <c r="H6159" i="7" a="1"/>
  <c r="H6159" i="7" s="1"/>
  <c r="E6159" i="7"/>
  <c r="D6159" i="7"/>
  <c r="H6158" i="7" a="1"/>
  <c r="H6158" i="7" s="1"/>
  <c r="E6158" i="7"/>
  <c r="D6158" i="7"/>
  <c r="H6157" i="7" a="1"/>
  <c r="H6157" i="7" s="1"/>
  <c r="E6157" i="7"/>
  <c r="D6157" i="7"/>
  <c r="H6156" i="7" a="1"/>
  <c r="H6156" i="7" s="1"/>
  <c r="E6156" i="7"/>
  <c r="D6156" i="7"/>
  <c r="H6155" i="7" a="1"/>
  <c r="H6155" i="7" s="1"/>
  <c r="E6155" i="7"/>
  <c r="D6155" i="7"/>
  <c r="H6154" i="7" a="1"/>
  <c r="H6154" i="7" s="1"/>
  <c r="E6154" i="7"/>
  <c r="D6154" i="7"/>
  <c r="H6153" i="7" a="1"/>
  <c r="H6153" i="7" s="1"/>
  <c r="E6153" i="7"/>
  <c r="D6153" i="7"/>
  <c r="H300" i="7" a="1"/>
  <c r="H300" i="7" s="1"/>
  <c r="H301" i="7" a="1"/>
  <c r="H301" i="7" s="1"/>
  <c r="H302" i="7" a="1"/>
  <c r="H302" i="7" s="1"/>
  <c r="H303" i="7" a="1"/>
  <c r="H303" i="7" s="1"/>
  <c r="H304" i="7" a="1"/>
  <c r="H304" i="7" s="1"/>
  <c r="H305" i="7" a="1"/>
  <c r="H305" i="7" s="1"/>
  <c r="H306" i="7" a="1"/>
  <c r="H306" i="7" s="1"/>
  <c r="H307" i="7" a="1"/>
  <c r="H307" i="7" s="1"/>
  <c r="H308" i="7" a="1"/>
  <c r="H308" i="7" s="1"/>
  <c r="H309" i="7" a="1"/>
  <c r="H309" i="7" s="1"/>
  <c r="H310" i="7" a="1"/>
  <c r="H310" i="7" s="1"/>
  <c r="H311" i="7" a="1"/>
  <c r="H311" i="7" s="1"/>
  <c r="H312" i="7" a="1"/>
  <c r="H312" i="7" s="1"/>
  <c r="H313" i="7" a="1"/>
  <c r="H313" i="7" s="1"/>
  <c r="H314" i="7" a="1"/>
  <c r="H314" i="7" s="1"/>
  <c r="H315" i="7" a="1"/>
  <c r="H315" i="7" s="1"/>
  <c r="H316" i="7" a="1"/>
  <c r="H316" i="7" s="1"/>
  <c r="H317" i="7" a="1"/>
  <c r="H317" i="7" s="1"/>
  <c r="H318" i="7" a="1"/>
  <c r="H318" i="7" s="1"/>
  <c r="H319" i="7" a="1"/>
  <c r="H319" i="7" s="1"/>
  <c r="H320" i="7" a="1"/>
  <c r="H320" i="7" s="1"/>
  <c r="H321" i="7" a="1"/>
  <c r="H321" i="7" s="1"/>
  <c r="H322" i="7" a="1"/>
  <c r="H322" i="7" s="1"/>
  <c r="H323" i="7" a="1"/>
  <c r="H323" i="7" s="1"/>
  <c r="H324" i="7" a="1"/>
  <c r="H324" i="7" s="1"/>
  <c r="H325" i="7" a="1"/>
  <c r="H325" i="7" s="1"/>
  <c r="H326" i="7" a="1"/>
  <c r="H326" i="7" s="1"/>
  <c r="H327" i="7" a="1"/>
  <c r="H327" i="7" s="1"/>
  <c r="H328" i="7" a="1"/>
  <c r="H328" i="7" s="1"/>
  <c r="H329" i="7" a="1"/>
  <c r="H329" i="7" s="1"/>
  <c r="H330" i="7" a="1"/>
  <c r="H330" i="7" s="1"/>
  <c r="H331" i="7" a="1"/>
  <c r="H331" i="7" s="1"/>
  <c r="H332" i="7" a="1"/>
  <c r="H332" i="7" s="1"/>
  <c r="H333" i="7" a="1"/>
  <c r="H333" i="7" s="1"/>
  <c r="H334" i="7" a="1"/>
  <c r="H334" i="7" s="1"/>
  <c r="H335" i="7" a="1"/>
  <c r="H335" i="7" s="1"/>
  <c r="H336" i="7" a="1"/>
  <c r="H336" i="7" s="1"/>
  <c r="H337" i="7" a="1"/>
  <c r="H337" i="7" s="1"/>
  <c r="H338" i="7" a="1"/>
  <c r="H338" i="7" s="1"/>
  <c r="H339" i="7" a="1"/>
  <c r="H339" i="7" s="1"/>
  <c r="H340" i="7" a="1"/>
  <c r="H340" i="7" s="1"/>
  <c r="H341" i="7" a="1"/>
  <c r="H341" i="7" s="1"/>
  <c r="H342" i="7" a="1"/>
  <c r="H342" i="7" s="1"/>
  <c r="H343" i="7" a="1"/>
  <c r="H343" i="7" s="1"/>
  <c r="H344" i="7" a="1"/>
  <c r="H344" i="7" s="1"/>
  <c r="H345" i="7" a="1"/>
  <c r="H345" i="7" s="1"/>
  <c r="H346" i="7" a="1"/>
  <c r="H346" i="7" s="1"/>
  <c r="H347" i="7" a="1"/>
  <c r="H347" i="7" s="1"/>
  <c r="H348" i="7" a="1"/>
  <c r="H348" i="7" s="1"/>
  <c r="H349" i="7" a="1"/>
  <c r="H349" i="7" s="1"/>
  <c r="H350" i="7" a="1"/>
  <c r="H350" i="7" s="1"/>
  <c r="H351" i="7" a="1"/>
  <c r="H351" i="7" s="1"/>
  <c r="H352" i="7" a="1"/>
  <c r="H352" i="7" s="1"/>
  <c r="H353" i="7" a="1"/>
  <c r="H353" i="7" s="1"/>
  <c r="H354" i="7" a="1"/>
  <c r="H354" i="7" s="1"/>
  <c r="H355" i="7" a="1"/>
  <c r="H355" i="7" s="1"/>
  <c r="H356" i="7" a="1"/>
  <c r="H356" i="7" s="1"/>
  <c r="H357" i="7" a="1"/>
  <c r="H357" i="7" s="1"/>
  <c r="H358" i="7" a="1"/>
  <c r="H358" i="7" s="1"/>
  <c r="H359" i="7" a="1"/>
  <c r="H359" i="7" s="1"/>
  <c r="H360" i="7" a="1"/>
  <c r="H360" i="7" s="1"/>
  <c r="H361" i="7" a="1"/>
  <c r="H361" i="7" s="1"/>
  <c r="H362" i="7" a="1"/>
  <c r="H362" i="7" s="1"/>
  <c r="H363" i="7" a="1"/>
  <c r="H363" i="7" s="1"/>
  <c r="H364" i="7" a="1"/>
  <c r="H364" i="7" s="1"/>
  <c r="H365" i="7" a="1"/>
  <c r="H365" i="7" s="1"/>
  <c r="H366" i="7" a="1"/>
  <c r="H366" i="7" s="1"/>
  <c r="H367" i="7" a="1"/>
  <c r="H367" i="7" s="1"/>
  <c r="H368" i="7" a="1"/>
  <c r="H368" i="7" s="1"/>
  <c r="H369" i="7" a="1"/>
  <c r="H369" i="7" s="1"/>
  <c r="H370" i="7" a="1"/>
  <c r="H370" i="7" s="1"/>
  <c r="H371" i="7" a="1"/>
  <c r="H371" i="7" s="1"/>
  <c r="H372" i="7" a="1"/>
  <c r="H372" i="7" s="1"/>
  <c r="H373" i="7" a="1"/>
  <c r="H373" i="7" s="1"/>
  <c r="H374" i="7" a="1"/>
  <c r="H374" i="7" s="1"/>
  <c r="H375" i="7" a="1"/>
  <c r="H375" i="7" s="1"/>
  <c r="H376" i="7" a="1"/>
  <c r="H376" i="7" s="1"/>
  <c r="H377" i="7" a="1"/>
  <c r="H377" i="7" s="1"/>
  <c r="H378" i="7" a="1"/>
  <c r="H378" i="7" s="1"/>
  <c r="H379" i="7" a="1"/>
  <c r="H379" i="7" s="1"/>
  <c r="H380" i="7" a="1"/>
  <c r="H380" i="7" s="1"/>
  <c r="H381" i="7" a="1"/>
  <c r="H381" i="7" s="1"/>
  <c r="H382" i="7" a="1"/>
  <c r="H382" i="7" s="1"/>
  <c r="H383" i="7" a="1"/>
  <c r="H383" i="7" s="1"/>
  <c r="H384" i="7" a="1"/>
  <c r="H384" i="7" s="1"/>
  <c r="H385" i="7" a="1"/>
  <c r="H385" i="7" s="1"/>
  <c r="H386" i="7" a="1"/>
  <c r="H386" i="7" s="1"/>
  <c r="H387" i="7" a="1"/>
  <c r="H387" i="7" s="1"/>
  <c r="H388" i="7" a="1"/>
  <c r="H388" i="7" s="1"/>
  <c r="H389" i="7" a="1"/>
  <c r="H389" i="7" s="1"/>
  <c r="H390" i="7" a="1"/>
  <c r="H390" i="7" s="1"/>
  <c r="H391" i="7" a="1"/>
  <c r="H391" i="7" s="1"/>
  <c r="H392" i="7" a="1"/>
  <c r="H392" i="7" s="1"/>
  <c r="H393" i="7" a="1"/>
  <c r="H393" i="7" s="1"/>
  <c r="H394" i="7" a="1"/>
  <c r="H394" i="7" s="1"/>
  <c r="H395" i="7" a="1"/>
  <c r="H395" i="7" s="1"/>
  <c r="H396" i="7" a="1"/>
  <c r="H396" i="7" s="1"/>
  <c r="H397" i="7" a="1"/>
  <c r="H397" i="7" s="1"/>
  <c r="H398" i="7" a="1"/>
  <c r="H398" i="7" s="1"/>
  <c r="H399" i="7" a="1"/>
  <c r="H399" i="7" s="1"/>
  <c r="H400" i="7" a="1"/>
  <c r="H400" i="7" s="1"/>
  <c r="H401" i="7" a="1"/>
  <c r="H401" i="7" s="1"/>
  <c r="H402" i="7" a="1"/>
  <c r="H402" i="7" s="1"/>
  <c r="H403" i="7" a="1"/>
  <c r="H403" i="7" s="1"/>
  <c r="H404" i="7" a="1"/>
  <c r="H404" i="7" s="1"/>
  <c r="H405" i="7" a="1"/>
  <c r="H405" i="7" s="1"/>
  <c r="H406" i="7" a="1"/>
  <c r="H406" i="7" s="1"/>
  <c r="H407" i="7" a="1"/>
  <c r="H407" i="7" s="1"/>
  <c r="H408" i="7" a="1"/>
  <c r="H408" i="7" s="1"/>
  <c r="H409" i="7" a="1"/>
  <c r="H409" i="7" s="1"/>
  <c r="H410" i="7" a="1"/>
  <c r="H410" i="7" s="1"/>
  <c r="H411" i="7" a="1"/>
  <c r="H411" i="7" s="1"/>
  <c r="H412" i="7" a="1"/>
  <c r="H412" i="7" s="1"/>
  <c r="H413" i="7" a="1"/>
  <c r="H413" i="7" s="1"/>
  <c r="H414" i="7" a="1"/>
  <c r="H414" i="7" s="1"/>
  <c r="H415" i="7" a="1"/>
  <c r="H415" i="7" s="1"/>
  <c r="H416" i="7" a="1"/>
  <c r="H416" i="7" s="1"/>
  <c r="H417" i="7" a="1"/>
  <c r="H417" i="7" s="1"/>
  <c r="H418" i="7" a="1"/>
  <c r="H418" i="7" s="1"/>
  <c r="H419" i="7" a="1"/>
  <c r="H419" i="7" s="1"/>
  <c r="H420" i="7" a="1"/>
  <c r="H420" i="7" s="1"/>
  <c r="H421" i="7" a="1"/>
  <c r="H421" i="7" s="1"/>
  <c r="H422" i="7" a="1"/>
  <c r="H422" i="7" s="1"/>
  <c r="H423" i="7" a="1"/>
  <c r="H423" i="7" s="1"/>
  <c r="H424" i="7" a="1"/>
  <c r="H424" i="7" s="1"/>
  <c r="H425" i="7" a="1"/>
  <c r="H425" i="7" s="1"/>
  <c r="H426" i="7" a="1"/>
  <c r="H426" i="7" s="1"/>
  <c r="H427" i="7" a="1"/>
  <c r="H427" i="7" s="1"/>
  <c r="H428" i="7" a="1"/>
  <c r="H428" i="7" s="1"/>
  <c r="H429" i="7" a="1"/>
  <c r="H429" i="7" s="1"/>
  <c r="H430" i="7" a="1"/>
  <c r="H430" i="7" s="1"/>
  <c r="H431" i="7" a="1"/>
  <c r="H431" i="7" s="1"/>
  <c r="H432" i="7" a="1"/>
  <c r="H432" i="7" s="1"/>
  <c r="H433" i="7" a="1"/>
  <c r="H433" i="7" s="1"/>
  <c r="H434" i="7" a="1"/>
  <c r="H434" i="7" s="1"/>
  <c r="H435" i="7" a="1"/>
  <c r="H435" i="7" s="1"/>
  <c r="H436" i="7" a="1"/>
  <c r="H436" i="7" s="1"/>
  <c r="H437" i="7" a="1"/>
  <c r="H437" i="7" s="1"/>
  <c r="H438" i="7" a="1"/>
  <c r="H438" i="7" s="1"/>
  <c r="H439" i="7" a="1"/>
  <c r="H439" i="7" s="1"/>
  <c r="H440" i="7" a="1"/>
  <c r="H440" i="7" s="1"/>
  <c r="H441" i="7" a="1"/>
  <c r="H441" i="7" s="1"/>
  <c r="H442" i="7" a="1"/>
  <c r="H442" i="7" s="1"/>
  <c r="H443" i="7" a="1"/>
  <c r="H443" i="7" s="1"/>
  <c r="H444" i="7" a="1"/>
  <c r="H444" i="7" s="1"/>
  <c r="H445" i="7" a="1"/>
  <c r="H445" i="7" s="1"/>
  <c r="H446" i="7" a="1"/>
  <c r="H446" i="7" s="1"/>
  <c r="H447" i="7" a="1"/>
  <c r="H447" i="7" s="1"/>
  <c r="H448" i="7" a="1"/>
  <c r="H448" i="7" s="1"/>
  <c r="H449" i="7" a="1"/>
  <c r="H449" i="7" s="1"/>
  <c r="H450" i="7" a="1"/>
  <c r="H450" i="7" s="1"/>
  <c r="H451" i="7" a="1"/>
  <c r="H451" i="7" s="1"/>
  <c r="H452" i="7" a="1"/>
  <c r="H452" i="7" s="1"/>
  <c r="H453" i="7" a="1"/>
  <c r="H453" i="7" s="1"/>
  <c r="H454" i="7" a="1"/>
  <c r="H454" i="7" s="1"/>
  <c r="H455" i="7" a="1"/>
  <c r="H455" i="7" s="1"/>
  <c r="H456" i="7" a="1"/>
  <c r="H456" i="7" s="1"/>
  <c r="H457" i="7" a="1"/>
  <c r="H457" i="7" s="1"/>
  <c r="H458" i="7" a="1"/>
  <c r="H458" i="7" s="1"/>
  <c r="H459" i="7" a="1"/>
  <c r="H459" i="7" s="1"/>
  <c r="H460" i="7" a="1"/>
  <c r="H460" i="7" s="1"/>
  <c r="H461" i="7" a="1"/>
  <c r="H461" i="7" s="1"/>
  <c r="H462" i="7" a="1"/>
  <c r="H462" i="7" s="1"/>
  <c r="H463" i="7" a="1"/>
  <c r="H463" i="7" s="1"/>
  <c r="H464" i="7" a="1"/>
  <c r="H464" i="7" s="1"/>
  <c r="H465" i="7" a="1"/>
  <c r="H465" i="7" s="1"/>
  <c r="H466" i="7" a="1"/>
  <c r="H466" i="7" s="1"/>
  <c r="H467" i="7" a="1"/>
  <c r="H467" i="7" s="1"/>
  <c r="H468" i="7" a="1"/>
  <c r="H468" i="7" s="1"/>
  <c r="H469" i="7" a="1"/>
  <c r="H469" i="7" s="1"/>
  <c r="H470" i="7" a="1"/>
  <c r="H470" i="7" s="1"/>
  <c r="H471" i="7" a="1"/>
  <c r="H471" i="7" s="1"/>
  <c r="H472" i="7" a="1"/>
  <c r="H472" i="7" s="1"/>
  <c r="H473" i="7" a="1"/>
  <c r="H473" i="7" s="1"/>
  <c r="H474" i="7" a="1"/>
  <c r="H474" i="7" s="1"/>
  <c r="H475" i="7" a="1"/>
  <c r="H475" i="7" s="1"/>
  <c r="H476" i="7" a="1"/>
  <c r="H476" i="7" s="1"/>
  <c r="H477" i="7" a="1"/>
  <c r="H477" i="7" s="1"/>
  <c r="H478" i="7" a="1"/>
  <c r="H478" i="7" s="1"/>
  <c r="H479" i="7" a="1"/>
  <c r="H479" i="7" s="1"/>
  <c r="H480" i="7" a="1"/>
  <c r="H480" i="7" s="1"/>
  <c r="H481" i="7" a="1"/>
  <c r="H481" i="7" s="1"/>
  <c r="H482" i="7" a="1"/>
  <c r="H482" i="7" s="1"/>
  <c r="H483" i="7" a="1"/>
  <c r="H483" i="7" s="1"/>
  <c r="H484" i="7" a="1"/>
  <c r="H484" i="7" s="1"/>
  <c r="H485" i="7" a="1"/>
  <c r="H485" i="7" s="1"/>
  <c r="H486" i="7" a="1"/>
  <c r="H486" i="7" s="1"/>
  <c r="H487" i="7" a="1"/>
  <c r="H487" i="7" s="1"/>
  <c r="H488" i="7" a="1"/>
  <c r="H488" i="7" s="1"/>
  <c r="H489" i="7" a="1"/>
  <c r="H489" i="7" s="1"/>
  <c r="H490" i="7" a="1"/>
  <c r="H490" i="7" s="1"/>
  <c r="H491" i="7" a="1"/>
  <c r="H491" i="7" s="1"/>
  <c r="H492" i="7" a="1"/>
  <c r="H492" i="7" s="1"/>
  <c r="H493" i="7" a="1"/>
  <c r="H493" i="7" s="1"/>
  <c r="H494" i="7" a="1"/>
  <c r="H494" i="7" s="1"/>
  <c r="H495" i="7" a="1"/>
  <c r="H495" i="7" s="1"/>
  <c r="H496" i="7" a="1"/>
  <c r="H496" i="7" s="1"/>
  <c r="H497" i="7" a="1"/>
  <c r="H497" i="7" s="1"/>
  <c r="H498" i="7" a="1"/>
  <c r="H498" i="7" s="1"/>
  <c r="H499" i="7" a="1"/>
  <c r="H499" i="7" s="1"/>
  <c r="H500" i="7" a="1"/>
  <c r="H500" i="7" s="1"/>
  <c r="H501" i="7" a="1"/>
  <c r="H501" i="7" s="1"/>
  <c r="H502" i="7" a="1"/>
  <c r="H502" i="7" s="1"/>
  <c r="H503" i="7" a="1"/>
  <c r="H503" i="7" s="1"/>
  <c r="H504" i="7" a="1"/>
  <c r="H504" i="7" s="1"/>
  <c r="H505" i="7" a="1"/>
  <c r="H505" i="7" s="1"/>
  <c r="H506" i="7" a="1"/>
  <c r="H506" i="7" s="1"/>
  <c r="H507" i="7" a="1"/>
  <c r="H507" i="7" s="1"/>
  <c r="H508" i="7" a="1"/>
  <c r="H508" i="7" s="1"/>
  <c r="H509" i="7" a="1"/>
  <c r="H509" i="7" s="1"/>
  <c r="H510" i="7" a="1"/>
  <c r="H510" i="7" s="1"/>
  <c r="H511" i="7" a="1"/>
  <c r="H511" i="7" s="1"/>
  <c r="H512" i="7" a="1"/>
  <c r="H512" i="7" s="1"/>
  <c r="H513" i="7" a="1"/>
  <c r="H513" i="7" s="1"/>
  <c r="H514" i="7" a="1"/>
  <c r="H514" i="7" s="1"/>
  <c r="H515" i="7" a="1"/>
  <c r="H515" i="7" s="1"/>
  <c r="H516" i="7" a="1"/>
  <c r="H516" i="7" s="1"/>
  <c r="H517" i="7" a="1"/>
  <c r="H517" i="7" s="1"/>
  <c r="H518" i="7" a="1"/>
  <c r="H518" i="7" s="1"/>
  <c r="H519" i="7" a="1"/>
  <c r="H519" i="7" s="1"/>
  <c r="H520" i="7" a="1"/>
  <c r="H520" i="7" s="1"/>
  <c r="H521" i="7" a="1"/>
  <c r="H521" i="7" s="1"/>
  <c r="H522" i="7" a="1"/>
  <c r="H522" i="7" s="1"/>
  <c r="H523" i="7" a="1"/>
  <c r="H523" i="7" s="1"/>
  <c r="H524" i="7" a="1"/>
  <c r="H524" i="7" s="1"/>
  <c r="H525" i="7" a="1"/>
  <c r="H525" i="7" s="1"/>
  <c r="H526" i="7" a="1"/>
  <c r="H526" i="7" s="1"/>
  <c r="H527" i="7" a="1"/>
  <c r="H527" i="7" s="1"/>
  <c r="H528" i="7" a="1"/>
  <c r="H528" i="7" s="1"/>
  <c r="H529" i="7" a="1"/>
  <c r="H529" i="7" s="1"/>
  <c r="H530" i="7" a="1"/>
  <c r="H530" i="7" s="1"/>
  <c r="H531" i="7" a="1"/>
  <c r="H531" i="7" s="1"/>
  <c r="H532" i="7" a="1"/>
  <c r="H532" i="7" s="1"/>
  <c r="H533" i="7" a="1"/>
  <c r="H533" i="7" s="1"/>
  <c r="H534" i="7" a="1"/>
  <c r="H534" i="7" s="1"/>
  <c r="H535" i="7" a="1"/>
  <c r="H535" i="7" s="1"/>
  <c r="H536" i="7" a="1"/>
  <c r="H536" i="7" s="1"/>
  <c r="H537" i="7" a="1"/>
  <c r="H537" i="7" s="1"/>
  <c r="H538" i="7" a="1"/>
  <c r="H538" i="7" s="1"/>
  <c r="H539" i="7" a="1"/>
  <c r="H539" i="7" s="1"/>
  <c r="H540" i="7" a="1"/>
  <c r="H540" i="7" s="1"/>
  <c r="H541" i="7" a="1"/>
  <c r="H541" i="7" s="1"/>
  <c r="H542" i="7" a="1"/>
  <c r="H542" i="7" s="1"/>
  <c r="H543" i="7" a="1"/>
  <c r="H543" i="7" s="1"/>
  <c r="H544" i="7" a="1"/>
  <c r="H544" i="7" s="1"/>
  <c r="H545" i="7" a="1"/>
  <c r="H545" i="7" s="1"/>
  <c r="H546" i="7" a="1"/>
  <c r="H546" i="7" s="1"/>
  <c r="H547" i="7" a="1"/>
  <c r="H547" i="7" s="1"/>
  <c r="H548" i="7" a="1"/>
  <c r="H548" i="7" s="1"/>
  <c r="H549" i="7" a="1"/>
  <c r="H549" i="7" s="1"/>
  <c r="H550" i="7" a="1"/>
  <c r="H550" i="7" s="1"/>
  <c r="H551" i="7" a="1"/>
  <c r="H551" i="7" s="1"/>
  <c r="H552" i="7" a="1"/>
  <c r="H552" i="7" s="1"/>
  <c r="H553" i="7" a="1"/>
  <c r="H553" i="7" s="1"/>
  <c r="H554" i="7" a="1"/>
  <c r="H554" i="7" s="1"/>
  <c r="H555" i="7" a="1"/>
  <c r="H555" i="7" s="1"/>
  <c r="H556" i="7" a="1"/>
  <c r="H556" i="7" s="1"/>
  <c r="H557" i="7" a="1"/>
  <c r="H557" i="7" s="1"/>
  <c r="H558" i="7" a="1"/>
  <c r="H558" i="7" s="1"/>
  <c r="H559" i="7" a="1"/>
  <c r="H559" i="7" s="1"/>
  <c r="H560" i="7" a="1"/>
  <c r="H560" i="7" s="1"/>
  <c r="H561" i="7" a="1"/>
  <c r="H561" i="7" s="1"/>
  <c r="H562" i="7" a="1"/>
  <c r="H562" i="7" s="1"/>
  <c r="H563" i="7" a="1"/>
  <c r="H563" i="7" s="1"/>
  <c r="H564" i="7" a="1"/>
  <c r="H564" i="7" s="1"/>
  <c r="H565" i="7" a="1"/>
  <c r="H565" i="7" s="1"/>
  <c r="H566" i="7" a="1"/>
  <c r="H566" i="7" s="1"/>
  <c r="H567" i="7" a="1"/>
  <c r="H567" i="7" s="1"/>
  <c r="H568" i="7" a="1"/>
  <c r="H568" i="7" s="1"/>
  <c r="H569" i="7" a="1"/>
  <c r="H569" i="7" s="1"/>
  <c r="H570" i="7" a="1"/>
  <c r="H570" i="7" s="1"/>
  <c r="H571" i="7" a="1"/>
  <c r="H571" i="7" s="1"/>
  <c r="H572" i="7" a="1"/>
  <c r="H572" i="7" s="1"/>
  <c r="H573" i="7" a="1"/>
  <c r="H573" i="7" s="1"/>
  <c r="H574" i="7" a="1"/>
  <c r="H574" i="7" s="1"/>
  <c r="H575" i="7" a="1"/>
  <c r="H575" i="7" s="1"/>
  <c r="H576" i="7" a="1"/>
  <c r="H576" i="7" s="1"/>
  <c r="H577" i="7" a="1"/>
  <c r="H577" i="7" s="1"/>
  <c r="H578" i="7" a="1"/>
  <c r="H578" i="7" s="1"/>
  <c r="H579" i="7" a="1"/>
  <c r="H579" i="7" s="1"/>
  <c r="H580" i="7" a="1"/>
  <c r="H580" i="7" s="1"/>
  <c r="H581" i="7" a="1"/>
  <c r="H581" i="7" s="1"/>
  <c r="H582" i="7" a="1"/>
  <c r="H582" i="7" s="1"/>
  <c r="H583" i="7" a="1"/>
  <c r="H583" i="7" s="1"/>
  <c r="H584" i="7" a="1"/>
  <c r="H584" i="7" s="1"/>
  <c r="H585" i="7" a="1"/>
  <c r="H585" i="7" s="1"/>
  <c r="H586" i="7" a="1"/>
  <c r="H586" i="7" s="1"/>
  <c r="H587" i="7" a="1"/>
  <c r="H587" i="7" s="1"/>
  <c r="H588" i="7" a="1"/>
  <c r="H588" i="7" s="1"/>
  <c r="H589" i="7" a="1"/>
  <c r="H589" i="7" s="1"/>
  <c r="H590" i="7" a="1"/>
  <c r="H590" i="7" s="1"/>
  <c r="H591" i="7" a="1"/>
  <c r="H591" i="7" s="1"/>
  <c r="H592" i="7" a="1"/>
  <c r="H592" i="7" s="1"/>
  <c r="H593" i="7" a="1"/>
  <c r="H593" i="7" s="1"/>
  <c r="H594" i="7" a="1"/>
  <c r="H594" i="7" s="1"/>
  <c r="H595" i="7" a="1"/>
  <c r="H595" i="7" s="1"/>
  <c r="H596" i="7" a="1"/>
  <c r="H596" i="7" s="1"/>
  <c r="H597" i="7" a="1"/>
  <c r="H597" i="7" s="1"/>
  <c r="H598" i="7" a="1"/>
  <c r="H598" i="7" s="1"/>
  <c r="H599" i="7" a="1"/>
  <c r="H599" i="7" s="1"/>
  <c r="H600" i="7" a="1"/>
  <c r="H600" i="7" s="1"/>
  <c r="H601" i="7" a="1"/>
  <c r="H601" i="7" s="1"/>
  <c r="H602" i="7" a="1"/>
  <c r="H602" i="7" s="1"/>
  <c r="H603" i="7" a="1"/>
  <c r="H603" i="7" s="1"/>
  <c r="H604" i="7" a="1"/>
  <c r="H604" i="7" s="1"/>
  <c r="H605" i="7" a="1"/>
  <c r="H605" i="7" s="1"/>
  <c r="H606" i="7" a="1"/>
  <c r="H606" i="7" s="1"/>
  <c r="H607" i="7" a="1"/>
  <c r="H607" i="7" s="1"/>
  <c r="H608" i="7" a="1"/>
  <c r="H608" i="7" s="1"/>
  <c r="H609" i="7" a="1"/>
  <c r="H609" i="7" s="1"/>
  <c r="H610" i="7" a="1"/>
  <c r="H610" i="7" s="1"/>
  <c r="H611" i="7" a="1"/>
  <c r="H611" i="7" s="1"/>
  <c r="H612" i="7" a="1"/>
  <c r="H612" i="7" s="1"/>
  <c r="H613" i="7" a="1"/>
  <c r="H613" i="7" s="1"/>
  <c r="H614" i="7" a="1"/>
  <c r="H614" i="7" s="1"/>
  <c r="H615" i="7" a="1"/>
  <c r="H615" i="7" s="1"/>
  <c r="H616" i="7" a="1"/>
  <c r="H616" i="7" s="1"/>
  <c r="H617" i="7" a="1"/>
  <c r="H617" i="7" s="1"/>
  <c r="H618" i="7" a="1"/>
  <c r="H618" i="7" s="1"/>
  <c r="H619" i="7" a="1"/>
  <c r="H619" i="7" s="1"/>
  <c r="H620" i="7" a="1"/>
  <c r="H620" i="7" s="1"/>
  <c r="H621" i="7" a="1"/>
  <c r="H621" i="7" s="1"/>
  <c r="H622" i="7" a="1"/>
  <c r="H622" i="7" s="1"/>
  <c r="H623" i="7" a="1"/>
  <c r="H623" i="7" s="1"/>
  <c r="H624" i="7" a="1"/>
  <c r="H624" i="7" s="1"/>
  <c r="H625" i="7" a="1"/>
  <c r="H625" i="7" s="1"/>
  <c r="H626" i="7" a="1"/>
  <c r="H626" i="7" s="1"/>
  <c r="H627" i="7" a="1"/>
  <c r="H627" i="7" s="1"/>
  <c r="H628" i="7" a="1"/>
  <c r="H628" i="7" s="1"/>
  <c r="H629" i="7" a="1"/>
  <c r="H629" i="7" s="1"/>
  <c r="H630" i="7" a="1"/>
  <c r="H630" i="7" s="1"/>
  <c r="H631" i="7" a="1"/>
  <c r="H631" i="7" s="1"/>
  <c r="H632" i="7" a="1"/>
  <c r="H632" i="7" s="1"/>
  <c r="H633" i="7" a="1"/>
  <c r="H633" i="7" s="1"/>
  <c r="H634" i="7" a="1"/>
  <c r="H634" i="7" s="1"/>
  <c r="H635" i="7" a="1"/>
  <c r="H635" i="7" s="1"/>
  <c r="H636" i="7" a="1"/>
  <c r="H636" i="7" s="1"/>
  <c r="H637" i="7" a="1"/>
  <c r="H637" i="7" s="1"/>
  <c r="H638" i="7" a="1"/>
  <c r="H638" i="7" s="1"/>
  <c r="H639" i="7" a="1"/>
  <c r="H639" i="7" s="1"/>
  <c r="H640" i="7" a="1"/>
  <c r="H640" i="7" s="1"/>
  <c r="H641" i="7" a="1"/>
  <c r="H641" i="7" s="1"/>
  <c r="H642" i="7" a="1"/>
  <c r="H642" i="7" s="1"/>
  <c r="H643" i="7" a="1"/>
  <c r="H643" i="7" s="1"/>
  <c r="H644" i="7" a="1"/>
  <c r="H644" i="7" s="1"/>
  <c r="H645" i="7" a="1"/>
  <c r="H645" i="7" s="1"/>
  <c r="H646" i="7" a="1"/>
  <c r="H646" i="7" s="1"/>
  <c r="H647" i="7" a="1"/>
  <c r="H647" i="7" s="1"/>
  <c r="H648" i="7" a="1"/>
  <c r="H648" i="7" s="1"/>
  <c r="H649" i="7" a="1"/>
  <c r="H649" i="7" s="1"/>
  <c r="H650" i="7" a="1"/>
  <c r="H650" i="7" s="1"/>
  <c r="H651" i="7" a="1"/>
  <c r="H651" i="7" s="1"/>
  <c r="H652" i="7" a="1"/>
  <c r="H652" i="7" s="1"/>
  <c r="H653" i="7" a="1"/>
  <c r="H653" i="7" s="1"/>
  <c r="H654" i="7" a="1"/>
  <c r="H654" i="7" s="1"/>
  <c r="H655" i="7" a="1"/>
  <c r="H655" i="7" s="1"/>
  <c r="H656" i="7" a="1"/>
  <c r="H656" i="7" s="1"/>
  <c r="H657" i="7" a="1"/>
  <c r="H657" i="7" s="1"/>
  <c r="H658" i="7" a="1"/>
  <c r="H658" i="7" s="1"/>
  <c r="H659" i="7" a="1"/>
  <c r="H659" i="7" s="1"/>
  <c r="H660" i="7" a="1"/>
  <c r="H660" i="7" s="1"/>
  <c r="H661" i="7" a="1"/>
  <c r="H661" i="7" s="1"/>
  <c r="H662" i="7" a="1"/>
  <c r="H662" i="7" s="1"/>
  <c r="H663" i="7" a="1"/>
  <c r="H663" i="7" s="1"/>
  <c r="H664" i="7" a="1"/>
  <c r="H664" i="7" s="1"/>
  <c r="H665" i="7" a="1"/>
  <c r="H665" i="7" s="1"/>
  <c r="H666" i="7" a="1"/>
  <c r="H666" i="7" s="1"/>
  <c r="H667" i="7" a="1"/>
  <c r="H667" i="7" s="1"/>
  <c r="H668" i="7" a="1"/>
  <c r="H668" i="7" s="1"/>
  <c r="H669" i="7" a="1"/>
  <c r="H669" i="7" s="1"/>
  <c r="H670" i="7" a="1"/>
  <c r="H670" i="7" s="1"/>
  <c r="H671" i="7" a="1"/>
  <c r="H671" i="7" s="1"/>
  <c r="H672" i="7" a="1"/>
  <c r="H672" i="7" s="1"/>
  <c r="H673" i="7" a="1"/>
  <c r="H673" i="7" s="1"/>
  <c r="H674" i="7" a="1"/>
  <c r="H674" i="7" s="1"/>
  <c r="H675" i="7" a="1"/>
  <c r="H675" i="7" s="1"/>
  <c r="H676" i="7" a="1"/>
  <c r="H676" i="7" s="1"/>
  <c r="H677" i="7" a="1"/>
  <c r="H677" i="7" s="1"/>
  <c r="H678" i="7" a="1"/>
  <c r="H678" i="7" s="1"/>
  <c r="H679" i="7" a="1"/>
  <c r="H679" i="7" s="1"/>
  <c r="H680" i="7" a="1"/>
  <c r="H680" i="7" s="1"/>
  <c r="H681" i="7" a="1"/>
  <c r="H681" i="7" s="1"/>
  <c r="H682" i="7" a="1"/>
  <c r="H682" i="7" s="1"/>
  <c r="H683" i="7" a="1"/>
  <c r="H683" i="7" s="1"/>
  <c r="H684" i="7" a="1"/>
  <c r="H684" i="7" s="1"/>
  <c r="H685" i="7" a="1"/>
  <c r="H685" i="7" s="1"/>
  <c r="H686" i="7" a="1"/>
  <c r="H686" i="7" s="1"/>
  <c r="H687" i="7" a="1"/>
  <c r="H687" i="7" s="1"/>
  <c r="H688" i="7" a="1"/>
  <c r="H688" i="7" s="1"/>
  <c r="H689" i="7" a="1"/>
  <c r="H689" i="7" s="1"/>
  <c r="H690" i="7" a="1"/>
  <c r="H690" i="7" s="1"/>
  <c r="H691" i="7" a="1"/>
  <c r="H691" i="7" s="1"/>
  <c r="H692" i="7" a="1"/>
  <c r="H692" i="7" s="1"/>
  <c r="H693" i="7" a="1"/>
  <c r="H693" i="7" s="1"/>
  <c r="H694" i="7" a="1"/>
  <c r="H694" i="7" s="1"/>
  <c r="H695" i="7" a="1"/>
  <c r="H695" i="7" s="1"/>
  <c r="H696" i="7" a="1"/>
  <c r="H696" i="7" s="1"/>
  <c r="H697" i="7" a="1"/>
  <c r="H697" i="7" s="1"/>
  <c r="H698" i="7" a="1"/>
  <c r="H698" i="7" s="1"/>
  <c r="H699" i="7" a="1"/>
  <c r="H699" i="7" s="1"/>
  <c r="H700" i="7" a="1"/>
  <c r="H700" i="7" s="1"/>
  <c r="H701" i="7" a="1"/>
  <c r="H701" i="7" s="1"/>
  <c r="H702" i="7" a="1"/>
  <c r="H702" i="7" s="1"/>
  <c r="H703" i="7" a="1"/>
  <c r="H703" i="7" s="1"/>
  <c r="H704" i="7" a="1"/>
  <c r="H704" i="7" s="1"/>
  <c r="H705" i="7" a="1"/>
  <c r="H705" i="7" s="1"/>
  <c r="H706" i="7" a="1"/>
  <c r="H706" i="7" s="1"/>
  <c r="H707" i="7" a="1"/>
  <c r="H707" i="7" s="1"/>
  <c r="H708" i="7" a="1"/>
  <c r="H708" i="7" s="1"/>
  <c r="H709" i="7" a="1"/>
  <c r="H709" i="7" s="1"/>
  <c r="H710" i="7" a="1"/>
  <c r="H710" i="7" s="1"/>
  <c r="H711" i="7" a="1"/>
  <c r="H711" i="7" s="1"/>
  <c r="H712" i="7" a="1"/>
  <c r="H712" i="7" s="1"/>
  <c r="H713" i="7" a="1"/>
  <c r="H713" i="7" s="1"/>
  <c r="H714" i="7" a="1"/>
  <c r="H714" i="7" s="1"/>
  <c r="H715" i="7" a="1"/>
  <c r="H715" i="7" s="1"/>
  <c r="H716" i="7" a="1"/>
  <c r="H716" i="7" s="1"/>
  <c r="H717" i="7" a="1"/>
  <c r="H717" i="7" s="1"/>
  <c r="H718" i="7" a="1"/>
  <c r="H718" i="7" s="1"/>
  <c r="H719" i="7" a="1"/>
  <c r="H719" i="7" s="1"/>
  <c r="H720" i="7" a="1"/>
  <c r="H720" i="7" s="1"/>
  <c r="H721" i="7" a="1"/>
  <c r="H721" i="7" s="1"/>
  <c r="H722" i="7" a="1"/>
  <c r="H722" i="7" s="1"/>
  <c r="H723" i="7" a="1"/>
  <c r="H723" i="7" s="1"/>
  <c r="H724" i="7" a="1"/>
  <c r="H724" i="7" s="1"/>
  <c r="H725" i="7" a="1"/>
  <c r="H725" i="7" s="1"/>
  <c r="H726" i="7" a="1"/>
  <c r="H726" i="7" s="1"/>
  <c r="H727" i="7" a="1"/>
  <c r="H727" i="7" s="1"/>
  <c r="H728" i="7" a="1"/>
  <c r="H728" i="7" s="1"/>
  <c r="H729" i="7" a="1"/>
  <c r="H729" i="7" s="1"/>
  <c r="H730" i="7" a="1"/>
  <c r="H730" i="7" s="1"/>
  <c r="H731" i="7" a="1"/>
  <c r="H731" i="7" s="1"/>
  <c r="H732" i="7" a="1"/>
  <c r="H732" i="7" s="1"/>
  <c r="H733" i="7" a="1"/>
  <c r="H733" i="7" s="1"/>
  <c r="H734" i="7" a="1"/>
  <c r="H734" i="7" s="1"/>
  <c r="H735" i="7" a="1"/>
  <c r="H735" i="7" s="1"/>
  <c r="H736" i="7" a="1"/>
  <c r="H736" i="7" s="1"/>
  <c r="H737" i="7" a="1"/>
  <c r="H737" i="7" s="1"/>
  <c r="H738" i="7" a="1"/>
  <c r="H738" i="7" s="1"/>
  <c r="H739" i="7" a="1"/>
  <c r="H739" i="7" s="1"/>
  <c r="H740" i="7" a="1"/>
  <c r="H740" i="7" s="1"/>
  <c r="H741" i="7" a="1"/>
  <c r="H741" i="7" s="1"/>
  <c r="H742" i="7" a="1"/>
  <c r="H742" i="7" s="1"/>
  <c r="H743" i="7" a="1"/>
  <c r="H743" i="7" s="1"/>
  <c r="H744" i="7" a="1"/>
  <c r="H744" i="7" s="1"/>
  <c r="H745" i="7" a="1"/>
  <c r="H745" i="7" s="1"/>
  <c r="H746" i="7" a="1"/>
  <c r="H746" i="7" s="1"/>
  <c r="H747" i="7" a="1"/>
  <c r="H747" i="7" s="1"/>
  <c r="H748" i="7" a="1"/>
  <c r="H748" i="7" s="1"/>
  <c r="H749" i="7" a="1"/>
  <c r="H749" i="7" s="1"/>
  <c r="H750" i="7" a="1"/>
  <c r="H750" i="7" s="1"/>
  <c r="H751" i="7" a="1"/>
  <c r="H751" i="7" s="1"/>
  <c r="H752" i="7" a="1"/>
  <c r="H752" i="7" s="1"/>
  <c r="H753" i="7" a="1"/>
  <c r="H753" i="7" s="1"/>
  <c r="H754" i="7" a="1"/>
  <c r="H754" i="7" s="1"/>
  <c r="H755" i="7" a="1"/>
  <c r="H755" i="7" s="1"/>
  <c r="H756" i="7" a="1"/>
  <c r="H756" i="7" s="1"/>
  <c r="H757" i="7" a="1"/>
  <c r="H757" i="7" s="1"/>
  <c r="H758" i="7" a="1"/>
  <c r="H758" i="7" s="1"/>
  <c r="H759" i="7" a="1"/>
  <c r="H759" i="7" s="1"/>
  <c r="H760" i="7" a="1"/>
  <c r="H760" i="7" s="1"/>
  <c r="H761" i="7" a="1"/>
  <c r="H761" i="7" s="1"/>
  <c r="H762" i="7" a="1"/>
  <c r="H762" i="7" s="1"/>
  <c r="H763" i="7" a="1"/>
  <c r="H763" i="7" s="1"/>
  <c r="H764" i="7" a="1"/>
  <c r="H764" i="7" s="1"/>
  <c r="H765" i="7" a="1"/>
  <c r="H765" i="7" s="1"/>
  <c r="H766" i="7" a="1"/>
  <c r="H766" i="7" s="1"/>
  <c r="H767" i="7" a="1"/>
  <c r="H767" i="7" s="1"/>
  <c r="H768" i="7" a="1"/>
  <c r="H768" i="7" s="1"/>
  <c r="H769" i="7" a="1"/>
  <c r="H769" i="7" s="1"/>
  <c r="H770" i="7" a="1"/>
  <c r="H770" i="7" s="1"/>
  <c r="H771" i="7" a="1"/>
  <c r="H771" i="7" s="1"/>
  <c r="H772" i="7" a="1"/>
  <c r="H772" i="7" s="1"/>
  <c r="H773" i="7" a="1"/>
  <c r="H773" i="7" s="1"/>
  <c r="H774" i="7" a="1"/>
  <c r="H774" i="7" s="1"/>
  <c r="H775" i="7" a="1"/>
  <c r="H775" i="7" s="1"/>
  <c r="H776" i="7" a="1"/>
  <c r="H776" i="7" s="1"/>
  <c r="H777" i="7" a="1"/>
  <c r="H777" i="7" s="1"/>
  <c r="H778" i="7" a="1"/>
  <c r="H778" i="7" s="1"/>
  <c r="H779" i="7" a="1"/>
  <c r="H779" i="7" s="1"/>
  <c r="H780" i="7" a="1"/>
  <c r="H780" i="7" s="1"/>
  <c r="H781" i="7" a="1"/>
  <c r="H781" i="7" s="1"/>
  <c r="H782" i="7" a="1"/>
  <c r="H782" i="7" s="1"/>
  <c r="H783" i="7" a="1"/>
  <c r="H783" i="7" s="1"/>
  <c r="H784" i="7" a="1"/>
  <c r="H784" i="7" s="1"/>
  <c r="H785" i="7" a="1"/>
  <c r="H785" i="7" s="1"/>
  <c r="H786" i="7" a="1"/>
  <c r="H786" i="7" s="1"/>
  <c r="H787" i="7" a="1"/>
  <c r="H787" i="7" s="1"/>
  <c r="H788" i="7" a="1"/>
  <c r="H788" i="7" s="1"/>
  <c r="H789" i="7" a="1"/>
  <c r="H789" i="7" s="1"/>
  <c r="H790" i="7" a="1"/>
  <c r="H790" i="7" s="1"/>
  <c r="H791" i="7" a="1"/>
  <c r="H791" i="7" s="1"/>
  <c r="H792" i="7" a="1"/>
  <c r="H792" i="7" s="1"/>
  <c r="H793" i="7" a="1"/>
  <c r="H793" i="7" s="1"/>
  <c r="H794" i="7" a="1"/>
  <c r="H794" i="7" s="1"/>
  <c r="H795" i="7" a="1"/>
  <c r="H795" i="7" s="1"/>
  <c r="H796" i="7" a="1"/>
  <c r="H796" i="7" s="1"/>
  <c r="H797" i="7" a="1"/>
  <c r="H797" i="7" s="1"/>
  <c r="H798" i="7" a="1"/>
  <c r="H798" i="7" s="1"/>
  <c r="H799" i="7" a="1"/>
  <c r="H799" i="7" s="1"/>
  <c r="H800" i="7" a="1"/>
  <c r="H800" i="7" s="1"/>
  <c r="H801" i="7" a="1"/>
  <c r="H801" i="7" s="1"/>
  <c r="H802" i="7" a="1"/>
  <c r="H802" i="7" s="1"/>
  <c r="H803" i="7" a="1"/>
  <c r="H803" i="7" s="1"/>
  <c r="H804" i="7" a="1"/>
  <c r="H804" i="7" s="1"/>
  <c r="H805" i="7" a="1"/>
  <c r="H805" i="7" s="1"/>
  <c r="H806" i="7" a="1"/>
  <c r="H806" i="7" s="1"/>
  <c r="H807" i="7" a="1"/>
  <c r="H807" i="7" s="1"/>
  <c r="H808" i="7" a="1"/>
  <c r="H808" i="7" s="1"/>
  <c r="H809" i="7" a="1"/>
  <c r="H809" i="7" s="1"/>
  <c r="H810" i="7" a="1"/>
  <c r="H810" i="7" s="1"/>
  <c r="H811" i="7" a="1"/>
  <c r="H811" i="7" s="1"/>
  <c r="H812" i="7" a="1"/>
  <c r="H812" i="7" s="1"/>
  <c r="H813" i="7" a="1"/>
  <c r="H813" i="7" s="1"/>
  <c r="H814" i="7" a="1"/>
  <c r="H814" i="7" s="1"/>
  <c r="H815" i="7" a="1"/>
  <c r="H815" i="7" s="1"/>
  <c r="H816" i="7" a="1"/>
  <c r="H816" i="7" s="1"/>
  <c r="H817" i="7" a="1"/>
  <c r="H817" i="7" s="1"/>
  <c r="H818" i="7" a="1"/>
  <c r="H818" i="7" s="1"/>
  <c r="H819" i="7" a="1"/>
  <c r="H819" i="7" s="1"/>
  <c r="H820" i="7" a="1"/>
  <c r="H820" i="7" s="1"/>
  <c r="H821" i="7" a="1"/>
  <c r="H821" i="7" s="1"/>
  <c r="H822" i="7" a="1"/>
  <c r="H822" i="7" s="1"/>
  <c r="H823" i="7" a="1"/>
  <c r="H823" i="7" s="1"/>
  <c r="H824" i="7" a="1"/>
  <c r="H824" i="7" s="1"/>
  <c r="H825" i="7" a="1"/>
  <c r="H825" i="7" s="1"/>
  <c r="H826" i="7" a="1"/>
  <c r="H826" i="7" s="1"/>
  <c r="H827" i="7" a="1"/>
  <c r="H827" i="7" s="1"/>
  <c r="H828" i="7" a="1"/>
  <c r="H828" i="7" s="1"/>
  <c r="H829" i="7" a="1"/>
  <c r="H829" i="7" s="1"/>
  <c r="H830" i="7" a="1"/>
  <c r="H830" i="7" s="1"/>
  <c r="H831" i="7" a="1"/>
  <c r="H831" i="7" s="1"/>
  <c r="H832" i="7" a="1"/>
  <c r="H832" i="7" s="1"/>
  <c r="H833" i="7" a="1"/>
  <c r="H833" i="7" s="1"/>
  <c r="H834" i="7" a="1"/>
  <c r="H834" i="7" s="1"/>
  <c r="H835" i="7" a="1"/>
  <c r="H835" i="7" s="1"/>
  <c r="H836" i="7" a="1"/>
  <c r="H836" i="7" s="1"/>
  <c r="H837" i="7" a="1"/>
  <c r="H837" i="7" s="1"/>
  <c r="H838" i="7" a="1"/>
  <c r="H838" i="7" s="1"/>
  <c r="H839" i="7" a="1"/>
  <c r="H839" i="7" s="1"/>
  <c r="H840" i="7" a="1"/>
  <c r="H840" i="7" s="1"/>
  <c r="H841" i="7" a="1"/>
  <c r="H841" i="7" s="1"/>
  <c r="H842" i="7" a="1"/>
  <c r="H842" i="7" s="1"/>
  <c r="H843" i="7" a="1"/>
  <c r="H843" i="7" s="1"/>
  <c r="H844" i="7" a="1"/>
  <c r="H844" i="7" s="1"/>
  <c r="H845" i="7" a="1"/>
  <c r="H845" i="7" s="1"/>
  <c r="H846" i="7" a="1"/>
  <c r="H846" i="7" s="1"/>
  <c r="H847" i="7" a="1"/>
  <c r="H847" i="7" s="1"/>
  <c r="H848" i="7" a="1"/>
  <c r="H848" i="7" s="1"/>
  <c r="H849" i="7" a="1"/>
  <c r="H849" i="7" s="1"/>
  <c r="H850" i="7" a="1"/>
  <c r="H850" i="7" s="1"/>
  <c r="H851" i="7" a="1"/>
  <c r="H851" i="7" s="1"/>
  <c r="H852" i="7" a="1"/>
  <c r="H852" i="7" s="1"/>
  <c r="H853" i="7" a="1"/>
  <c r="H853" i="7" s="1"/>
  <c r="H854" i="7" a="1"/>
  <c r="H854" i="7" s="1"/>
  <c r="H855" i="7" a="1"/>
  <c r="H855" i="7" s="1"/>
  <c r="H856" i="7" a="1"/>
  <c r="H856" i="7" s="1"/>
  <c r="H857" i="7" a="1"/>
  <c r="H857" i="7" s="1"/>
  <c r="H858" i="7" a="1"/>
  <c r="H858" i="7" s="1"/>
  <c r="H859" i="7" a="1"/>
  <c r="H859" i="7" s="1"/>
  <c r="H860" i="7" a="1"/>
  <c r="H860" i="7" s="1"/>
  <c r="H861" i="7" a="1"/>
  <c r="H861" i="7" s="1"/>
  <c r="H862" i="7" a="1"/>
  <c r="H862" i="7" s="1"/>
  <c r="H863" i="7" a="1"/>
  <c r="H863" i="7" s="1"/>
  <c r="H864" i="7" a="1"/>
  <c r="H864" i="7" s="1"/>
  <c r="H865" i="7" a="1"/>
  <c r="H865" i="7" s="1"/>
  <c r="H866" i="7" a="1"/>
  <c r="H866" i="7" s="1"/>
  <c r="H867" i="7" a="1"/>
  <c r="H867" i="7" s="1"/>
  <c r="H868" i="7" a="1"/>
  <c r="H868" i="7" s="1"/>
  <c r="H869" i="7" a="1"/>
  <c r="H869" i="7" s="1"/>
  <c r="H870" i="7" a="1"/>
  <c r="H870" i="7" s="1"/>
  <c r="H871" i="7" a="1"/>
  <c r="H871" i="7" s="1"/>
  <c r="H872" i="7" a="1"/>
  <c r="H872" i="7" s="1"/>
  <c r="H873" i="7" a="1"/>
  <c r="H873" i="7" s="1"/>
  <c r="H874" i="7" a="1"/>
  <c r="H874" i="7" s="1"/>
  <c r="H875" i="7" a="1"/>
  <c r="H875" i="7" s="1"/>
  <c r="H876" i="7" a="1"/>
  <c r="H876" i="7" s="1"/>
  <c r="H877" i="7" a="1"/>
  <c r="H877" i="7" s="1"/>
  <c r="H878" i="7" a="1"/>
  <c r="H878" i="7" s="1"/>
  <c r="H879" i="7" a="1"/>
  <c r="H879" i="7" s="1"/>
  <c r="H880" i="7" a="1"/>
  <c r="H880" i="7" s="1"/>
  <c r="H881" i="7" a="1"/>
  <c r="H881" i="7" s="1"/>
  <c r="H882" i="7" a="1"/>
  <c r="H882" i="7" s="1"/>
  <c r="H883" i="7" a="1"/>
  <c r="H883" i="7" s="1"/>
  <c r="H884" i="7" a="1"/>
  <c r="H884" i="7" s="1"/>
  <c r="H885" i="7" a="1"/>
  <c r="H885" i="7" s="1"/>
  <c r="H886" i="7" a="1"/>
  <c r="H886" i="7" s="1"/>
  <c r="H887" i="7" a="1"/>
  <c r="H887" i="7" s="1"/>
  <c r="H888" i="7" a="1"/>
  <c r="H888" i="7" s="1"/>
  <c r="H889" i="7" a="1"/>
  <c r="H889" i="7" s="1"/>
  <c r="H890" i="7" a="1"/>
  <c r="H890" i="7" s="1"/>
  <c r="H891" i="7" a="1"/>
  <c r="H891" i="7" s="1"/>
  <c r="H892" i="7" a="1"/>
  <c r="H892" i="7" s="1"/>
  <c r="H893" i="7" a="1"/>
  <c r="H893" i="7" s="1"/>
  <c r="H894" i="7" a="1"/>
  <c r="H894" i="7" s="1"/>
  <c r="H895" i="7" a="1"/>
  <c r="H895" i="7" s="1"/>
  <c r="H896" i="7" a="1"/>
  <c r="H896" i="7" s="1"/>
  <c r="H897" i="7" a="1"/>
  <c r="H897" i="7" s="1"/>
  <c r="H898" i="7" a="1"/>
  <c r="H898" i="7" s="1"/>
  <c r="H899" i="7" a="1"/>
  <c r="H899" i="7" s="1"/>
  <c r="H900" i="7" a="1"/>
  <c r="H900" i="7" s="1"/>
  <c r="H901" i="7" a="1"/>
  <c r="H901" i="7" s="1"/>
  <c r="H902" i="7" a="1"/>
  <c r="H902" i="7" s="1"/>
  <c r="H903" i="7" a="1"/>
  <c r="H903" i="7" s="1"/>
  <c r="H904" i="7" a="1"/>
  <c r="H904" i="7" s="1"/>
  <c r="H905" i="7" a="1"/>
  <c r="H905" i="7" s="1"/>
  <c r="H906" i="7" a="1"/>
  <c r="H906" i="7" s="1"/>
  <c r="H907" i="7" a="1"/>
  <c r="H907" i="7" s="1"/>
  <c r="H908" i="7" a="1"/>
  <c r="H908" i="7" s="1"/>
  <c r="H909" i="7" a="1"/>
  <c r="H909" i="7" s="1"/>
  <c r="H910" i="7" a="1"/>
  <c r="H910" i="7" s="1"/>
  <c r="H911" i="7" a="1"/>
  <c r="H911" i="7" s="1"/>
  <c r="H912" i="7" a="1"/>
  <c r="H912" i="7" s="1"/>
  <c r="H913" i="7" a="1"/>
  <c r="H913" i="7" s="1"/>
  <c r="H914" i="7" a="1"/>
  <c r="H914" i="7" s="1"/>
  <c r="H915" i="7" a="1"/>
  <c r="H915" i="7" s="1"/>
  <c r="H916" i="7" a="1"/>
  <c r="H916" i="7" s="1"/>
  <c r="H917" i="7" a="1"/>
  <c r="H917" i="7" s="1"/>
  <c r="H918" i="7" a="1"/>
  <c r="H918" i="7" s="1"/>
  <c r="H919" i="7" a="1"/>
  <c r="H919" i="7" s="1"/>
  <c r="H920" i="7" a="1"/>
  <c r="H920" i="7" s="1"/>
  <c r="H921" i="7" a="1"/>
  <c r="H921" i="7" s="1"/>
  <c r="H922" i="7" a="1"/>
  <c r="H922" i="7" s="1"/>
  <c r="H923" i="7" a="1"/>
  <c r="H923" i="7" s="1"/>
  <c r="H924" i="7" a="1"/>
  <c r="H924" i="7" s="1"/>
  <c r="H925" i="7" a="1"/>
  <c r="H925" i="7" s="1"/>
  <c r="H926" i="7" a="1"/>
  <c r="H926" i="7" s="1"/>
  <c r="H927" i="7" a="1"/>
  <c r="H927" i="7" s="1"/>
  <c r="H928" i="7" a="1"/>
  <c r="H928" i="7" s="1"/>
  <c r="H929" i="7" a="1"/>
  <c r="H929" i="7" s="1"/>
  <c r="H930" i="7" a="1"/>
  <c r="H930" i="7" s="1"/>
  <c r="H931" i="7" a="1"/>
  <c r="H931" i="7" s="1"/>
  <c r="H932" i="7" a="1"/>
  <c r="H932" i="7" s="1"/>
  <c r="H933" i="7" a="1"/>
  <c r="H933" i="7" s="1"/>
  <c r="H934" i="7" a="1"/>
  <c r="H934" i="7" s="1"/>
  <c r="H935" i="7" a="1"/>
  <c r="H935" i="7" s="1"/>
  <c r="H936" i="7" a="1"/>
  <c r="H936" i="7" s="1"/>
  <c r="H937" i="7" a="1"/>
  <c r="H937" i="7" s="1"/>
  <c r="H938" i="7" a="1"/>
  <c r="H938" i="7" s="1"/>
  <c r="H939" i="7" a="1"/>
  <c r="H939" i="7" s="1"/>
  <c r="H940" i="7" a="1"/>
  <c r="H940" i="7" s="1"/>
  <c r="H941" i="7" a="1"/>
  <c r="H941" i="7" s="1"/>
  <c r="H942" i="7" a="1"/>
  <c r="H942" i="7" s="1"/>
  <c r="H943" i="7" a="1"/>
  <c r="H943" i="7" s="1"/>
  <c r="H944" i="7" a="1"/>
  <c r="H944" i="7" s="1"/>
  <c r="H945" i="7" a="1"/>
  <c r="H945" i="7" s="1"/>
  <c r="H946" i="7" a="1"/>
  <c r="H946" i="7" s="1"/>
  <c r="H947" i="7" a="1"/>
  <c r="H947" i="7" s="1"/>
  <c r="H948" i="7" a="1"/>
  <c r="H948" i="7" s="1"/>
  <c r="H949" i="7" a="1"/>
  <c r="H949" i="7" s="1"/>
  <c r="H950" i="7" a="1"/>
  <c r="H950" i="7" s="1"/>
  <c r="H951" i="7" a="1"/>
  <c r="H951" i="7" s="1"/>
  <c r="H952" i="7" a="1"/>
  <c r="H952" i="7" s="1"/>
  <c r="H953" i="7" a="1"/>
  <c r="H953" i="7" s="1"/>
  <c r="H954" i="7" a="1"/>
  <c r="H954" i="7" s="1"/>
  <c r="H955" i="7" a="1"/>
  <c r="H955" i="7" s="1"/>
  <c r="H956" i="7" a="1"/>
  <c r="H956" i="7" s="1"/>
  <c r="H957" i="7" a="1"/>
  <c r="H957" i="7" s="1"/>
  <c r="H958" i="7" a="1"/>
  <c r="H958" i="7" s="1"/>
  <c r="H959" i="7" a="1"/>
  <c r="H959" i="7" s="1"/>
  <c r="H960" i="7" a="1"/>
  <c r="H960" i="7" s="1"/>
  <c r="H961" i="7" a="1"/>
  <c r="H961" i="7" s="1"/>
  <c r="H962" i="7" a="1"/>
  <c r="H962" i="7" s="1"/>
  <c r="H963" i="7" a="1"/>
  <c r="H963" i="7" s="1"/>
  <c r="H964" i="7" a="1"/>
  <c r="H964" i="7" s="1"/>
  <c r="H965" i="7" a="1"/>
  <c r="H965" i="7" s="1"/>
  <c r="H966" i="7" a="1"/>
  <c r="H966" i="7" s="1"/>
  <c r="H967" i="7" a="1"/>
  <c r="H967" i="7" s="1"/>
  <c r="H968" i="7" a="1"/>
  <c r="H968" i="7" s="1"/>
  <c r="H969" i="7" a="1"/>
  <c r="H969" i="7" s="1"/>
  <c r="H970" i="7" a="1"/>
  <c r="H970" i="7" s="1"/>
  <c r="H971" i="7" a="1"/>
  <c r="H971" i="7" s="1"/>
  <c r="H972" i="7" a="1"/>
  <c r="H972" i="7" s="1"/>
  <c r="H973" i="7" a="1"/>
  <c r="H973" i="7" s="1"/>
  <c r="H974" i="7" a="1"/>
  <c r="H974" i="7" s="1"/>
  <c r="H975" i="7" a="1"/>
  <c r="H975" i="7" s="1"/>
  <c r="H976" i="7" a="1"/>
  <c r="H976" i="7" s="1"/>
  <c r="H977" i="7" a="1"/>
  <c r="H977" i="7" s="1"/>
  <c r="H978" i="7" a="1"/>
  <c r="H978" i="7" s="1"/>
  <c r="H979" i="7" a="1"/>
  <c r="H979" i="7" s="1"/>
  <c r="H980" i="7" a="1"/>
  <c r="H980" i="7" s="1"/>
  <c r="H981" i="7" a="1"/>
  <c r="H981" i="7" s="1"/>
  <c r="H982" i="7" a="1"/>
  <c r="H982" i="7" s="1"/>
  <c r="H983" i="7" a="1"/>
  <c r="H983" i="7" s="1"/>
  <c r="H984" i="7" a="1"/>
  <c r="H984" i="7" s="1"/>
  <c r="H985" i="7" a="1"/>
  <c r="H985" i="7" s="1"/>
  <c r="H986" i="7" a="1"/>
  <c r="H986" i="7" s="1"/>
  <c r="H987" i="7" a="1"/>
  <c r="H987" i="7" s="1"/>
  <c r="H988" i="7" a="1"/>
  <c r="H988" i="7" s="1"/>
  <c r="H989" i="7" a="1"/>
  <c r="H989" i="7" s="1"/>
  <c r="H990" i="7" a="1"/>
  <c r="H990" i="7" s="1"/>
  <c r="H991" i="7" a="1"/>
  <c r="H991" i="7" s="1"/>
  <c r="H992" i="7" a="1"/>
  <c r="H992" i="7" s="1"/>
  <c r="H993" i="7" a="1"/>
  <c r="H993" i="7" s="1"/>
  <c r="H994" i="7" a="1"/>
  <c r="H994" i="7" s="1"/>
  <c r="H995" i="7" a="1"/>
  <c r="H995" i="7" s="1"/>
  <c r="H996" i="7" a="1"/>
  <c r="H996" i="7" s="1"/>
  <c r="H997" i="7" a="1"/>
  <c r="H997" i="7" s="1"/>
  <c r="H998" i="7" a="1"/>
  <c r="H998" i="7" s="1"/>
  <c r="H999" i="7" a="1"/>
  <c r="H999" i="7" s="1"/>
  <c r="H1000" i="7" a="1"/>
  <c r="H1000" i="7" s="1"/>
  <c r="H1001" i="7" a="1"/>
  <c r="H1001" i="7" s="1"/>
  <c r="H1002" i="7" a="1"/>
  <c r="H1002" i="7" s="1"/>
  <c r="H1003" i="7" a="1"/>
  <c r="H1003" i="7" s="1"/>
  <c r="H1004" i="7" a="1"/>
  <c r="H1004" i="7" s="1"/>
  <c r="H1005" i="7" a="1"/>
  <c r="H1005" i="7" s="1"/>
  <c r="H1006" i="7" a="1"/>
  <c r="H1006" i="7" s="1"/>
  <c r="H1007" i="7" a="1"/>
  <c r="H1007" i="7" s="1"/>
  <c r="H1008" i="7" a="1"/>
  <c r="H1008" i="7" s="1"/>
  <c r="H1009" i="7" a="1"/>
  <c r="H1009" i="7" s="1"/>
  <c r="H1010" i="7" a="1"/>
  <c r="H1010" i="7" s="1"/>
  <c r="H1011" i="7" a="1"/>
  <c r="H1011" i="7" s="1"/>
  <c r="H1012" i="7" a="1"/>
  <c r="H1012" i="7" s="1"/>
  <c r="H1013" i="7" a="1"/>
  <c r="H1013" i="7" s="1"/>
  <c r="H1014" i="7" a="1"/>
  <c r="H1014" i="7" s="1"/>
  <c r="H1015" i="7" a="1"/>
  <c r="H1015" i="7" s="1"/>
  <c r="H1016" i="7" a="1"/>
  <c r="H1016" i="7" s="1"/>
  <c r="H1017" i="7" a="1"/>
  <c r="H1017" i="7" s="1"/>
  <c r="H1018" i="7" a="1"/>
  <c r="H1018" i="7" s="1"/>
  <c r="H1019" i="7" a="1"/>
  <c r="H1019" i="7" s="1"/>
  <c r="H1020" i="7" a="1"/>
  <c r="H1020" i="7" s="1"/>
  <c r="H1021" i="7" a="1"/>
  <c r="H1021" i="7" s="1"/>
  <c r="H1022" i="7" a="1"/>
  <c r="H1022" i="7" s="1"/>
  <c r="H1023" i="7" a="1"/>
  <c r="H1023" i="7" s="1"/>
  <c r="H1024" i="7" a="1"/>
  <c r="H1024" i="7" s="1"/>
  <c r="H1025" i="7" a="1"/>
  <c r="H1025" i="7" s="1"/>
  <c r="H1026" i="7" a="1"/>
  <c r="H1026" i="7" s="1"/>
  <c r="H1027" i="7" a="1"/>
  <c r="H1027" i="7" s="1"/>
  <c r="H1028" i="7" a="1"/>
  <c r="H1028" i="7" s="1"/>
  <c r="H1029" i="7" a="1"/>
  <c r="H1029" i="7" s="1"/>
  <c r="H1030" i="7" a="1"/>
  <c r="H1030" i="7" s="1"/>
  <c r="H1031" i="7" a="1"/>
  <c r="H1031" i="7" s="1"/>
  <c r="H1032" i="7" a="1"/>
  <c r="H1032" i="7" s="1"/>
  <c r="H1033" i="7" a="1"/>
  <c r="H1033" i="7" s="1"/>
  <c r="H1034" i="7" a="1"/>
  <c r="H1034" i="7" s="1"/>
  <c r="H1035" i="7" a="1"/>
  <c r="H1035" i="7" s="1"/>
  <c r="H1036" i="7" a="1"/>
  <c r="H1036" i="7" s="1"/>
  <c r="H1037" i="7" a="1"/>
  <c r="H1037" i="7" s="1"/>
  <c r="H1038" i="7" a="1"/>
  <c r="H1038" i="7" s="1"/>
  <c r="H1039" i="7" a="1"/>
  <c r="H1039" i="7" s="1"/>
  <c r="H1040" i="7" a="1"/>
  <c r="H1040" i="7" s="1"/>
  <c r="H1041" i="7" a="1"/>
  <c r="H1041" i="7" s="1"/>
  <c r="H1042" i="7" a="1"/>
  <c r="H1042" i="7" s="1"/>
  <c r="H1043" i="7" a="1"/>
  <c r="H1043" i="7" s="1"/>
  <c r="H1044" i="7" a="1"/>
  <c r="H1044" i="7" s="1"/>
  <c r="H1045" i="7" a="1"/>
  <c r="H1045" i="7" s="1"/>
  <c r="H1046" i="7" a="1"/>
  <c r="H1046" i="7" s="1"/>
  <c r="H1047" i="7" a="1"/>
  <c r="H1047" i="7" s="1"/>
  <c r="H1048" i="7" a="1"/>
  <c r="H1048" i="7" s="1"/>
  <c r="H1049" i="7" a="1"/>
  <c r="H1049" i="7" s="1"/>
  <c r="H1050" i="7" a="1"/>
  <c r="H1050" i="7" s="1"/>
  <c r="H1051" i="7" a="1"/>
  <c r="H1051" i="7" s="1"/>
  <c r="H1052" i="7" a="1"/>
  <c r="H1052" i="7" s="1"/>
  <c r="H1053" i="7" a="1"/>
  <c r="H1053" i="7" s="1"/>
  <c r="H1054" i="7" a="1"/>
  <c r="H1054" i="7" s="1"/>
  <c r="H1055" i="7" a="1"/>
  <c r="H1055" i="7" s="1"/>
  <c r="H1056" i="7" a="1"/>
  <c r="H1056" i="7" s="1"/>
  <c r="H1057" i="7" a="1"/>
  <c r="H1057" i="7" s="1"/>
  <c r="H1058" i="7" a="1"/>
  <c r="H1058" i="7" s="1"/>
  <c r="H1059" i="7" a="1"/>
  <c r="H1059" i="7" s="1"/>
  <c r="H1060" i="7" a="1"/>
  <c r="H1060" i="7" s="1"/>
  <c r="H1061" i="7" a="1"/>
  <c r="H1061" i="7" s="1"/>
  <c r="H1062" i="7" a="1"/>
  <c r="H1062" i="7" s="1"/>
  <c r="H1063" i="7" a="1"/>
  <c r="H1063" i="7" s="1"/>
  <c r="H1064" i="7" a="1"/>
  <c r="H1064" i="7" s="1"/>
  <c r="H1065" i="7" a="1"/>
  <c r="H1065" i="7" s="1"/>
  <c r="H1066" i="7" a="1"/>
  <c r="H1066" i="7" s="1"/>
  <c r="H1067" i="7" a="1"/>
  <c r="H1067" i="7" s="1"/>
  <c r="H1068" i="7" a="1"/>
  <c r="H1068" i="7" s="1"/>
  <c r="H1069" i="7" a="1"/>
  <c r="H1069" i="7" s="1"/>
  <c r="H1070" i="7" a="1"/>
  <c r="H1070" i="7" s="1"/>
  <c r="H1071" i="7" a="1"/>
  <c r="H1071" i="7" s="1"/>
  <c r="H1072" i="7" a="1"/>
  <c r="H1072" i="7" s="1"/>
  <c r="H1073" i="7" a="1"/>
  <c r="H1073" i="7" s="1"/>
  <c r="H1074" i="7" a="1"/>
  <c r="H1074" i="7" s="1"/>
  <c r="H1075" i="7" a="1"/>
  <c r="H1075" i="7" s="1"/>
  <c r="H1076" i="7" a="1"/>
  <c r="H1076" i="7" s="1"/>
  <c r="H1077" i="7" a="1"/>
  <c r="H1077" i="7" s="1"/>
  <c r="H1078" i="7" a="1"/>
  <c r="H1078" i="7" s="1"/>
  <c r="H1079" i="7" a="1"/>
  <c r="H1079" i="7" s="1"/>
  <c r="H1080" i="7" a="1"/>
  <c r="H1080" i="7" s="1"/>
  <c r="H1081" i="7" a="1"/>
  <c r="H1081" i="7" s="1"/>
  <c r="H1082" i="7" a="1"/>
  <c r="H1082" i="7" s="1"/>
  <c r="H1083" i="7" a="1"/>
  <c r="H1083" i="7" s="1"/>
  <c r="H1084" i="7" a="1"/>
  <c r="H1084" i="7" s="1"/>
  <c r="H1085" i="7" a="1"/>
  <c r="H1085" i="7" s="1"/>
  <c r="H1086" i="7" a="1"/>
  <c r="H1086" i="7" s="1"/>
  <c r="H1087" i="7" a="1"/>
  <c r="H1087" i="7" s="1"/>
  <c r="H1088" i="7" a="1"/>
  <c r="H1088" i="7" s="1"/>
  <c r="H1089" i="7" a="1"/>
  <c r="H1089" i="7" s="1"/>
  <c r="H1090" i="7" a="1"/>
  <c r="H1090" i="7" s="1"/>
  <c r="H1091" i="7" a="1"/>
  <c r="H1091" i="7" s="1"/>
  <c r="H1092" i="7" a="1"/>
  <c r="H1092" i="7" s="1"/>
  <c r="H1093" i="7" a="1"/>
  <c r="H1093" i="7" s="1"/>
  <c r="H1094" i="7" a="1"/>
  <c r="H1094" i="7" s="1"/>
  <c r="H1095" i="7" a="1"/>
  <c r="H1095" i="7" s="1"/>
  <c r="H1096" i="7" a="1"/>
  <c r="H1096" i="7" s="1"/>
  <c r="H1097" i="7" a="1"/>
  <c r="H1097" i="7" s="1"/>
  <c r="H1098" i="7" a="1"/>
  <c r="H1098" i="7" s="1"/>
  <c r="H1099" i="7" a="1"/>
  <c r="H1099" i="7" s="1"/>
  <c r="H1100" i="7" a="1"/>
  <c r="H1100" i="7" s="1"/>
  <c r="H1101" i="7" a="1"/>
  <c r="H1101" i="7" s="1"/>
  <c r="H1102" i="7" a="1"/>
  <c r="H1102" i="7" s="1"/>
  <c r="H1103" i="7" a="1"/>
  <c r="H1103" i="7" s="1"/>
  <c r="H1104" i="7" a="1"/>
  <c r="H1104" i="7" s="1"/>
  <c r="H1105" i="7" a="1"/>
  <c r="H1105" i="7" s="1"/>
  <c r="H1106" i="7" a="1"/>
  <c r="H1106" i="7" s="1"/>
  <c r="H1107" i="7" a="1"/>
  <c r="H1107" i="7" s="1"/>
  <c r="H1108" i="7" a="1"/>
  <c r="H1108" i="7" s="1"/>
  <c r="H1109" i="7" a="1"/>
  <c r="H1109" i="7" s="1"/>
  <c r="H1110" i="7" a="1"/>
  <c r="H1110" i="7" s="1"/>
  <c r="H1111" i="7" a="1"/>
  <c r="H1111" i="7" s="1"/>
  <c r="H1112" i="7" a="1"/>
  <c r="H1112" i="7" s="1"/>
  <c r="H1113" i="7" a="1"/>
  <c r="H1113" i="7" s="1"/>
  <c r="H1114" i="7" a="1"/>
  <c r="H1114" i="7" s="1"/>
  <c r="H1115" i="7" a="1"/>
  <c r="H1115" i="7" s="1"/>
  <c r="H1116" i="7" a="1"/>
  <c r="H1116" i="7" s="1"/>
  <c r="H1117" i="7" a="1"/>
  <c r="H1117" i="7" s="1"/>
  <c r="H1118" i="7" a="1"/>
  <c r="H1118" i="7" s="1"/>
  <c r="H1119" i="7" a="1"/>
  <c r="H1119" i="7" s="1"/>
  <c r="H1120" i="7" a="1"/>
  <c r="H1120" i="7" s="1"/>
  <c r="H1121" i="7" a="1"/>
  <c r="H1121" i="7" s="1"/>
  <c r="H1122" i="7" a="1"/>
  <c r="H1122" i="7" s="1"/>
  <c r="H1123" i="7" a="1"/>
  <c r="H1123" i="7" s="1"/>
  <c r="H1124" i="7" a="1"/>
  <c r="H1124" i="7" s="1"/>
  <c r="H1125" i="7" a="1"/>
  <c r="H1125" i="7" s="1"/>
  <c r="H1126" i="7" a="1"/>
  <c r="H1126" i="7" s="1"/>
  <c r="H1127" i="7" a="1"/>
  <c r="H1127" i="7" s="1"/>
  <c r="H1128" i="7" a="1"/>
  <c r="H1128" i="7" s="1"/>
  <c r="H1129" i="7" a="1"/>
  <c r="H1129" i="7" s="1"/>
  <c r="H1130" i="7" a="1"/>
  <c r="H1130" i="7" s="1"/>
  <c r="H1131" i="7" a="1"/>
  <c r="H1131" i="7" s="1"/>
  <c r="H1132" i="7" a="1"/>
  <c r="H1132" i="7" s="1"/>
  <c r="H1133" i="7" a="1"/>
  <c r="H1133" i="7" s="1"/>
  <c r="H1134" i="7" a="1"/>
  <c r="H1134" i="7" s="1"/>
  <c r="H1135" i="7" a="1"/>
  <c r="H1135" i="7" s="1"/>
  <c r="H1136" i="7" a="1"/>
  <c r="H1136" i="7" s="1"/>
  <c r="H1137" i="7" a="1"/>
  <c r="H1137" i="7" s="1"/>
  <c r="H1138" i="7" a="1"/>
  <c r="H1138" i="7" s="1"/>
  <c r="H1139" i="7" a="1"/>
  <c r="H1139" i="7" s="1"/>
  <c r="H1140" i="7" a="1"/>
  <c r="H1140" i="7" s="1"/>
  <c r="H1141" i="7" a="1"/>
  <c r="H1141" i="7" s="1"/>
  <c r="H1142" i="7" a="1"/>
  <c r="H1142" i="7" s="1"/>
  <c r="H1143" i="7" a="1"/>
  <c r="H1143" i="7" s="1"/>
  <c r="H1144" i="7" a="1"/>
  <c r="H1144" i="7" s="1"/>
  <c r="H1145" i="7" a="1"/>
  <c r="H1145" i="7" s="1"/>
  <c r="H1146" i="7" a="1"/>
  <c r="H1146" i="7" s="1"/>
  <c r="H1147" i="7" a="1"/>
  <c r="H1147" i="7" s="1"/>
  <c r="H1148" i="7" a="1"/>
  <c r="H1148" i="7" s="1"/>
  <c r="H1149" i="7" a="1"/>
  <c r="H1149" i="7" s="1"/>
  <c r="H1150" i="7" a="1"/>
  <c r="H1150" i="7" s="1"/>
  <c r="H1151" i="7" a="1"/>
  <c r="H1151" i="7" s="1"/>
  <c r="H1152" i="7" a="1"/>
  <c r="H1152" i="7" s="1"/>
  <c r="H1153" i="7" a="1"/>
  <c r="H1153" i="7" s="1"/>
  <c r="H1154" i="7" a="1"/>
  <c r="H1154" i="7" s="1"/>
  <c r="H1155" i="7" a="1"/>
  <c r="H1155" i="7" s="1"/>
  <c r="H1156" i="7" a="1"/>
  <c r="H1156" i="7" s="1"/>
  <c r="H1157" i="7" a="1"/>
  <c r="H1157" i="7" s="1"/>
  <c r="H1158" i="7" a="1"/>
  <c r="H1158" i="7" s="1"/>
  <c r="H1159" i="7" a="1"/>
  <c r="H1159" i="7" s="1"/>
  <c r="H1160" i="7" a="1"/>
  <c r="H1160" i="7" s="1"/>
  <c r="H1161" i="7" a="1"/>
  <c r="H1161" i="7" s="1"/>
  <c r="H1162" i="7" a="1"/>
  <c r="H1162" i="7" s="1"/>
  <c r="H1163" i="7" a="1"/>
  <c r="H1163" i="7" s="1"/>
  <c r="H1164" i="7" a="1"/>
  <c r="H1164" i="7" s="1"/>
  <c r="H1165" i="7" a="1"/>
  <c r="H1165" i="7" s="1"/>
  <c r="H1166" i="7" a="1"/>
  <c r="H1166" i="7" s="1"/>
  <c r="H1167" i="7" a="1"/>
  <c r="H1167" i="7" s="1"/>
  <c r="H1168" i="7" a="1"/>
  <c r="H1168" i="7" s="1"/>
  <c r="H1169" i="7" a="1"/>
  <c r="H1169" i="7" s="1"/>
  <c r="H1170" i="7" a="1"/>
  <c r="H1170" i="7" s="1"/>
  <c r="H1171" i="7" a="1"/>
  <c r="H1171" i="7" s="1"/>
  <c r="H1172" i="7" a="1"/>
  <c r="H1172" i="7" s="1"/>
  <c r="H1173" i="7" a="1"/>
  <c r="H1173" i="7" s="1"/>
  <c r="H1174" i="7" a="1"/>
  <c r="H1174" i="7" s="1"/>
  <c r="H1175" i="7" a="1"/>
  <c r="H1175" i="7" s="1"/>
  <c r="H1176" i="7" a="1"/>
  <c r="H1176" i="7" s="1"/>
  <c r="H1177" i="7" a="1"/>
  <c r="H1177" i="7" s="1"/>
  <c r="H1178" i="7" a="1"/>
  <c r="H1178" i="7" s="1"/>
  <c r="H1179" i="7" a="1"/>
  <c r="H1179" i="7" s="1"/>
  <c r="H1180" i="7" a="1"/>
  <c r="H1180" i="7" s="1"/>
  <c r="H1181" i="7" a="1"/>
  <c r="H1181" i="7" s="1"/>
  <c r="H1182" i="7" a="1"/>
  <c r="H1182" i="7" s="1"/>
  <c r="H1183" i="7" a="1"/>
  <c r="H1183" i="7" s="1"/>
  <c r="H1184" i="7" a="1"/>
  <c r="H1184" i="7" s="1"/>
  <c r="H1185" i="7" a="1"/>
  <c r="H1185" i="7" s="1"/>
  <c r="H1186" i="7" a="1"/>
  <c r="H1186" i="7" s="1"/>
  <c r="H1187" i="7" a="1"/>
  <c r="H1187" i="7" s="1"/>
  <c r="H1188" i="7" a="1"/>
  <c r="H1188" i="7" s="1"/>
  <c r="H1189" i="7" a="1"/>
  <c r="H1189" i="7" s="1"/>
  <c r="H1190" i="7" a="1"/>
  <c r="H1190" i="7" s="1"/>
  <c r="H1191" i="7" a="1"/>
  <c r="H1191" i="7" s="1"/>
  <c r="H1192" i="7" a="1"/>
  <c r="H1192" i="7" s="1"/>
  <c r="H1193" i="7" a="1"/>
  <c r="H1193" i="7" s="1"/>
  <c r="H1194" i="7" a="1"/>
  <c r="H1194" i="7" s="1"/>
  <c r="H1195" i="7" a="1"/>
  <c r="H1195" i="7" s="1"/>
  <c r="H1196" i="7" a="1"/>
  <c r="H1196" i="7" s="1"/>
  <c r="H1197" i="7" a="1"/>
  <c r="H1197" i="7" s="1"/>
  <c r="H1198" i="7" a="1"/>
  <c r="H1198" i="7" s="1"/>
  <c r="H1199" i="7" a="1"/>
  <c r="H1199" i="7" s="1"/>
  <c r="H1200" i="7" a="1"/>
  <c r="H1200" i="7" s="1"/>
  <c r="H1201" i="7" a="1"/>
  <c r="H1201" i="7" s="1"/>
  <c r="H1202" i="7" a="1"/>
  <c r="H1202" i="7" s="1"/>
  <c r="H1203" i="7" a="1"/>
  <c r="H1203" i="7" s="1"/>
  <c r="H1204" i="7" a="1"/>
  <c r="H1204" i="7" s="1"/>
  <c r="H1205" i="7" a="1"/>
  <c r="H1205" i="7" s="1"/>
  <c r="H1206" i="7" a="1"/>
  <c r="H1206" i="7" s="1"/>
  <c r="H1207" i="7" a="1"/>
  <c r="H1207" i="7" s="1"/>
  <c r="H1208" i="7" a="1"/>
  <c r="H1208" i="7" s="1"/>
  <c r="H1209" i="7" a="1"/>
  <c r="H1209" i="7" s="1"/>
  <c r="H1210" i="7" a="1"/>
  <c r="H1210" i="7" s="1"/>
  <c r="H1211" i="7" a="1"/>
  <c r="H1211" i="7" s="1"/>
  <c r="H1212" i="7" a="1"/>
  <c r="H1212" i="7" s="1"/>
  <c r="H1213" i="7" a="1"/>
  <c r="H1213" i="7" s="1"/>
  <c r="H1214" i="7" a="1"/>
  <c r="H1214" i="7" s="1"/>
  <c r="H1215" i="7" a="1"/>
  <c r="H1215" i="7" s="1"/>
  <c r="H1216" i="7" a="1"/>
  <c r="H1216" i="7" s="1"/>
  <c r="H1217" i="7" a="1"/>
  <c r="H1217" i="7" s="1"/>
  <c r="H1218" i="7" a="1"/>
  <c r="H1218" i="7" s="1"/>
  <c r="H1219" i="7" a="1"/>
  <c r="H1219" i="7" s="1"/>
  <c r="H1220" i="7" a="1"/>
  <c r="H1220" i="7" s="1"/>
  <c r="H1221" i="7" a="1"/>
  <c r="H1221" i="7" s="1"/>
  <c r="H1222" i="7" a="1"/>
  <c r="H1222" i="7" s="1"/>
  <c r="H1223" i="7" a="1"/>
  <c r="H1223" i="7" s="1"/>
  <c r="H1224" i="7" a="1"/>
  <c r="H1224" i="7" s="1"/>
  <c r="H1225" i="7" a="1"/>
  <c r="H1225" i="7" s="1"/>
  <c r="H1226" i="7" a="1"/>
  <c r="H1226" i="7" s="1"/>
  <c r="H1227" i="7" a="1"/>
  <c r="H1227" i="7" s="1"/>
  <c r="H1228" i="7" a="1"/>
  <c r="H1228" i="7" s="1"/>
  <c r="H1229" i="7" a="1"/>
  <c r="H1229" i="7" s="1"/>
  <c r="H1230" i="7" a="1"/>
  <c r="H1230" i="7" s="1"/>
  <c r="H1231" i="7" a="1"/>
  <c r="H1231" i="7" s="1"/>
  <c r="H1232" i="7" a="1"/>
  <c r="H1232" i="7" s="1"/>
  <c r="H1233" i="7" a="1"/>
  <c r="H1233" i="7" s="1"/>
  <c r="H1234" i="7" a="1"/>
  <c r="H1234" i="7" s="1"/>
  <c r="H1235" i="7" a="1"/>
  <c r="H1235" i="7" s="1"/>
  <c r="H1236" i="7" a="1"/>
  <c r="H1236" i="7" s="1"/>
  <c r="H1237" i="7" a="1"/>
  <c r="H1237" i="7" s="1"/>
  <c r="H1238" i="7" a="1"/>
  <c r="H1238" i="7" s="1"/>
  <c r="H1239" i="7" a="1"/>
  <c r="H1239" i="7" s="1"/>
  <c r="H1240" i="7" a="1"/>
  <c r="H1240" i="7" s="1"/>
  <c r="H1241" i="7" a="1"/>
  <c r="H1241" i="7" s="1"/>
  <c r="H1242" i="7" a="1"/>
  <c r="H1242" i="7" s="1"/>
  <c r="H1243" i="7" a="1"/>
  <c r="H1243" i="7" s="1"/>
  <c r="H1244" i="7" a="1"/>
  <c r="H1244" i="7" s="1"/>
  <c r="H1245" i="7" a="1"/>
  <c r="H1245" i="7" s="1"/>
  <c r="H1246" i="7" a="1"/>
  <c r="H1246" i="7" s="1"/>
  <c r="H1247" i="7" a="1"/>
  <c r="H1247" i="7" s="1"/>
  <c r="H1248" i="7" a="1"/>
  <c r="H1248" i="7" s="1"/>
  <c r="H1249" i="7" a="1"/>
  <c r="H1249" i="7" s="1"/>
  <c r="H1250" i="7" a="1"/>
  <c r="H1250" i="7" s="1"/>
  <c r="H1251" i="7" a="1"/>
  <c r="H1251" i="7" s="1"/>
  <c r="H1252" i="7" a="1"/>
  <c r="H1252" i="7" s="1"/>
  <c r="H1253" i="7" a="1"/>
  <c r="H1253" i="7" s="1"/>
  <c r="H1254" i="7" a="1"/>
  <c r="H1254" i="7" s="1"/>
  <c r="H1255" i="7" a="1"/>
  <c r="H1255" i="7" s="1"/>
  <c r="H1256" i="7" a="1"/>
  <c r="H1256" i="7" s="1"/>
  <c r="H1257" i="7" a="1"/>
  <c r="H1257" i="7" s="1"/>
  <c r="H1258" i="7" a="1"/>
  <c r="H1258" i="7" s="1"/>
  <c r="H1259" i="7" a="1"/>
  <c r="H1259" i="7" s="1"/>
  <c r="H1260" i="7" a="1"/>
  <c r="H1260" i="7" s="1"/>
  <c r="H1261" i="7" a="1"/>
  <c r="H1261" i="7" s="1"/>
  <c r="H1262" i="7" a="1"/>
  <c r="H1262" i="7" s="1"/>
  <c r="H1263" i="7" a="1"/>
  <c r="H1263" i="7" s="1"/>
  <c r="H1264" i="7" a="1"/>
  <c r="H1264" i="7" s="1"/>
  <c r="H1265" i="7" a="1"/>
  <c r="H1265" i="7" s="1"/>
  <c r="H1266" i="7" a="1"/>
  <c r="H1266" i="7" s="1"/>
  <c r="H1267" i="7" a="1"/>
  <c r="H1267" i="7" s="1"/>
  <c r="H1268" i="7" a="1"/>
  <c r="H1268" i="7" s="1"/>
  <c r="H1269" i="7" a="1"/>
  <c r="H1269" i="7" s="1"/>
  <c r="H1270" i="7" a="1"/>
  <c r="H1270" i="7" s="1"/>
  <c r="H1271" i="7" a="1"/>
  <c r="H1271" i="7" s="1"/>
  <c r="H1272" i="7" a="1"/>
  <c r="H1272" i="7" s="1"/>
  <c r="H1273" i="7" a="1"/>
  <c r="H1273" i="7" s="1"/>
  <c r="H1274" i="7" a="1"/>
  <c r="H1274" i="7" s="1"/>
  <c r="H1275" i="7" a="1"/>
  <c r="H1275" i="7" s="1"/>
  <c r="H1276" i="7" a="1"/>
  <c r="H1276" i="7" s="1"/>
  <c r="H1277" i="7" a="1"/>
  <c r="H1277" i="7" s="1"/>
  <c r="H1278" i="7" a="1"/>
  <c r="H1278" i="7" s="1"/>
  <c r="H1279" i="7" a="1"/>
  <c r="H1279" i="7" s="1"/>
  <c r="H1280" i="7" a="1"/>
  <c r="H1280" i="7" s="1"/>
  <c r="H1281" i="7" a="1"/>
  <c r="H1281" i="7" s="1"/>
  <c r="H1282" i="7" a="1"/>
  <c r="H1282" i="7" s="1"/>
  <c r="H1283" i="7" a="1"/>
  <c r="H1283" i="7" s="1"/>
  <c r="H1284" i="7" a="1"/>
  <c r="H1284" i="7" s="1"/>
  <c r="H1285" i="7" a="1"/>
  <c r="H1285" i="7" s="1"/>
  <c r="H1286" i="7" a="1"/>
  <c r="H1286" i="7" s="1"/>
  <c r="H1287" i="7" a="1"/>
  <c r="H1287" i="7" s="1"/>
  <c r="H1288" i="7" a="1"/>
  <c r="H1288" i="7" s="1"/>
  <c r="H1289" i="7" a="1"/>
  <c r="H1289" i="7" s="1"/>
  <c r="H1290" i="7" a="1"/>
  <c r="H1290" i="7" s="1"/>
  <c r="H1291" i="7" a="1"/>
  <c r="H1291" i="7" s="1"/>
  <c r="H1292" i="7" a="1"/>
  <c r="H1292" i="7" s="1"/>
  <c r="H1293" i="7" a="1"/>
  <c r="H1293" i="7" s="1"/>
  <c r="H1294" i="7" a="1"/>
  <c r="H1294" i="7" s="1"/>
  <c r="H1295" i="7" a="1"/>
  <c r="H1295" i="7" s="1"/>
  <c r="H1296" i="7" a="1"/>
  <c r="H1296" i="7" s="1"/>
  <c r="H1297" i="7" a="1"/>
  <c r="H1297" i="7" s="1"/>
  <c r="H1298" i="7" a="1"/>
  <c r="H1298" i="7" s="1"/>
  <c r="H1299" i="7" a="1"/>
  <c r="H1299" i="7" s="1"/>
  <c r="H1300" i="7" a="1"/>
  <c r="H1300" i="7" s="1"/>
  <c r="H1301" i="7" a="1"/>
  <c r="H1301" i="7" s="1"/>
  <c r="H1302" i="7" a="1"/>
  <c r="H1302" i="7" s="1"/>
  <c r="H1303" i="7" a="1"/>
  <c r="H1303" i="7" s="1"/>
  <c r="H1304" i="7" a="1"/>
  <c r="H1304" i="7" s="1"/>
  <c r="H1305" i="7" a="1"/>
  <c r="H1305" i="7" s="1"/>
  <c r="H1306" i="7" a="1"/>
  <c r="H1306" i="7" s="1"/>
  <c r="H1307" i="7" a="1"/>
  <c r="H1307" i="7" s="1"/>
  <c r="H1308" i="7" a="1"/>
  <c r="H1308" i="7" s="1"/>
  <c r="H1309" i="7" a="1"/>
  <c r="H1309" i="7" s="1"/>
  <c r="H1310" i="7" a="1"/>
  <c r="H1310" i="7" s="1"/>
  <c r="H1311" i="7" a="1"/>
  <c r="H1311" i="7" s="1"/>
  <c r="H1312" i="7" a="1"/>
  <c r="H1312" i="7" s="1"/>
  <c r="H1313" i="7" a="1"/>
  <c r="H1313" i="7" s="1"/>
  <c r="H1314" i="7" a="1"/>
  <c r="H1314" i="7" s="1"/>
  <c r="H1315" i="7" a="1"/>
  <c r="H1315" i="7" s="1"/>
  <c r="H1316" i="7" a="1"/>
  <c r="H1316" i="7" s="1"/>
  <c r="H1317" i="7" a="1"/>
  <c r="H1317" i="7" s="1"/>
  <c r="H1318" i="7" a="1"/>
  <c r="H1318" i="7" s="1"/>
  <c r="H1319" i="7" a="1"/>
  <c r="H1319" i="7" s="1"/>
  <c r="H1320" i="7" a="1"/>
  <c r="H1320" i="7" s="1"/>
  <c r="H1321" i="7" a="1"/>
  <c r="H1321" i="7" s="1"/>
  <c r="H1322" i="7" a="1"/>
  <c r="H1322" i="7" s="1"/>
  <c r="H1323" i="7" a="1"/>
  <c r="H1323" i="7" s="1"/>
  <c r="H1324" i="7" a="1"/>
  <c r="H1324" i="7" s="1"/>
  <c r="H1325" i="7" a="1"/>
  <c r="H1325" i="7" s="1"/>
  <c r="H1326" i="7" a="1"/>
  <c r="H1326" i="7" s="1"/>
  <c r="H1327" i="7" a="1"/>
  <c r="H1327" i="7" s="1"/>
  <c r="H1328" i="7" a="1"/>
  <c r="H1328" i="7" s="1"/>
  <c r="H1329" i="7" a="1"/>
  <c r="H1329" i="7" s="1"/>
  <c r="H1330" i="7" a="1"/>
  <c r="H1330" i="7" s="1"/>
  <c r="H1331" i="7" a="1"/>
  <c r="H1331" i="7" s="1"/>
  <c r="H1332" i="7" a="1"/>
  <c r="H1332" i="7" s="1"/>
  <c r="H1333" i="7" a="1"/>
  <c r="H1333" i="7" s="1"/>
  <c r="H1334" i="7" a="1"/>
  <c r="H1334" i="7" s="1"/>
  <c r="H1335" i="7" a="1"/>
  <c r="H1335" i="7" s="1"/>
  <c r="H1336" i="7" a="1"/>
  <c r="H1336" i="7" s="1"/>
  <c r="H1337" i="7" a="1"/>
  <c r="H1337" i="7" s="1"/>
  <c r="H1338" i="7" a="1"/>
  <c r="H1338" i="7" s="1"/>
  <c r="H1339" i="7" a="1"/>
  <c r="H1339" i="7" s="1"/>
  <c r="H1340" i="7" a="1"/>
  <c r="H1340" i="7" s="1"/>
  <c r="H1341" i="7" a="1"/>
  <c r="H1341" i="7" s="1"/>
  <c r="H1342" i="7" a="1"/>
  <c r="H1342" i="7" s="1"/>
  <c r="H1343" i="7" a="1"/>
  <c r="H1343" i="7" s="1"/>
  <c r="H1344" i="7" a="1"/>
  <c r="H1344" i="7" s="1"/>
  <c r="H1345" i="7" a="1"/>
  <c r="H1345" i="7" s="1"/>
  <c r="H1346" i="7" a="1"/>
  <c r="H1346" i="7" s="1"/>
  <c r="H1347" i="7" a="1"/>
  <c r="H1347" i="7" s="1"/>
  <c r="H1348" i="7" a="1"/>
  <c r="H1348" i="7" s="1"/>
  <c r="H1349" i="7" a="1"/>
  <c r="H1349" i="7" s="1"/>
  <c r="H1350" i="7" a="1"/>
  <c r="H1350" i="7" s="1"/>
  <c r="H1351" i="7" a="1"/>
  <c r="H1351" i="7" s="1"/>
  <c r="H1352" i="7" a="1"/>
  <c r="H1352" i="7" s="1"/>
  <c r="H1353" i="7" a="1"/>
  <c r="H1353" i="7" s="1"/>
  <c r="H1354" i="7" a="1"/>
  <c r="H1354" i="7" s="1"/>
  <c r="H1355" i="7" a="1"/>
  <c r="H1355" i="7" s="1"/>
  <c r="H1356" i="7" a="1"/>
  <c r="H1356" i="7" s="1"/>
  <c r="H1357" i="7" a="1"/>
  <c r="H1357" i="7" s="1"/>
  <c r="H1358" i="7" a="1"/>
  <c r="H1358" i="7" s="1"/>
  <c r="H1359" i="7" a="1"/>
  <c r="H1359" i="7" s="1"/>
  <c r="H1360" i="7" a="1"/>
  <c r="H1360" i="7" s="1"/>
  <c r="H1361" i="7" a="1"/>
  <c r="H1361" i="7" s="1"/>
  <c r="H1362" i="7" a="1"/>
  <c r="H1362" i="7" s="1"/>
  <c r="H1363" i="7" a="1"/>
  <c r="H1363" i="7" s="1"/>
  <c r="H1364" i="7" a="1"/>
  <c r="H1364" i="7" s="1"/>
  <c r="H1365" i="7" a="1"/>
  <c r="H1365" i="7" s="1"/>
  <c r="H1366" i="7" a="1"/>
  <c r="H1366" i="7" s="1"/>
  <c r="H1367" i="7" a="1"/>
  <c r="H1367" i="7" s="1"/>
  <c r="H1368" i="7" a="1"/>
  <c r="H1368" i="7" s="1"/>
  <c r="H1369" i="7" a="1"/>
  <c r="H1369" i="7" s="1"/>
  <c r="H1370" i="7" a="1"/>
  <c r="H1370" i="7" s="1"/>
  <c r="H1371" i="7" a="1"/>
  <c r="H1371" i="7" s="1"/>
  <c r="H1372" i="7" a="1"/>
  <c r="H1372" i="7" s="1"/>
  <c r="H1373" i="7" a="1"/>
  <c r="H1373" i="7" s="1"/>
  <c r="H1374" i="7" a="1"/>
  <c r="H1374" i="7" s="1"/>
  <c r="H1375" i="7" a="1"/>
  <c r="H1375" i="7" s="1"/>
  <c r="H1376" i="7" a="1"/>
  <c r="H1376" i="7" s="1"/>
  <c r="H1377" i="7" a="1"/>
  <c r="H1377" i="7" s="1"/>
  <c r="H1378" i="7" a="1"/>
  <c r="H1378" i="7" s="1"/>
  <c r="H1379" i="7" a="1"/>
  <c r="H1379" i="7" s="1"/>
  <c r="H1380" i="7" a="1"/>
  <c r="H1380" i="7" s="1"/>
  <c r="H1381" i="7" a="1"/>
  <c r="H1381" i="7" s="1"/>
  <c r="H1382" i="7" a="1"/>
  <c r="H1382" i="7" s="1"/>
  <c r="H1383" i="7" a="1"/>
  <c r="H1383" i="7" s="1"/>
  <c r="H1384" i="7" a="1"/>
  <c r="H1384" i="7" s="1"/>
  <c r="H1385" i="7" a="1"/>
  <c r="H1385" i="7" s="1"/>
  <c r="H1386" i="7" a="1"/>
  <c r="H1386" i="7" s="1"/>
  <c r="H1387" i="7" a="1"/>
  <c r="H1387" i="7" s="1"/>
  <c r="H1388" i="7" a="1"/>
  <c r="H1388" i="7" s="1"/>
  <c r="H1389" i="7" a="1"/>
  <c r="H1389" i="7" s="1"/>
  <c r="H1390" i="7" a="1"/>
  <c r="H1390" i="7" s="1"/>
  <c r="H1391" i="7" a="1"/>
  <c r="H1391" i="7" s="1"/>
  <c r="H1392" i="7" a="1"/>
  <c r="H1392" i="7" s="1"/>
  <c r="H1393" i="7" a="1"/>
  <c r="H1393" i="7" s="1"/>
  <c r="H1394" i="7" a="1"/>
  <c r="H1394" i="7" s="1"/>
  <c r="H1395" i="7" a="1"/>
  <c r="H1395" i="7" s="1"/>
  <c r="H1396" i="7" a="1"/>
  <c r="H1396" i="7" s="1"/>
  <c r="H1397" i="7" a="1"/>
  <c r="H1397" i="7" s="1"/>
  <c r="H1398" i="7" a="1"/>
  <c r="H1398" i="7" s="1"/>
  <c r="H1399" i="7" a="1"/>
  <c r="H1399" i="7" s="1"/>
  <c r="H1400" i="7" a="1"/>
  <c r="H1400" i="7" s="1"/>
  <c r="H1401" i="7" a="1"/>
  <c r="H1401" i="7" s="1"/>
  <c r="H1402" i="7" a="1"/>
  <c r="H1402" i="7" s="1"/>
  <c r="H1403" i="7" a="1"/>
  <c r="H1403" i="7" s="1"/>
  <c r="H1404" i="7" a="1"/>
  <c r="H1404" i="7" s="1"/>
  <c r="H1405" i="7" a="1"/>
  <c r="H1405" i="7" s="1"/>
  <c r="H1406" i="7" a="1"/>
  <c r="H1406" i="7" s="1"/>
  <c r="H1407" i="7" a="1"/>
  <c r="H1407" i="7" s="1"/>
  <c r="H1408" i="7" a="1"/>
  <c r="H1408" i="7" s="1"/>
  <c r="H1409" i="7" a="1"/>
  <c r="H1409" i="7" s="1"/>
  <c r="H1410" i="7" a="1"/>
  <c r="H1410" i="7" s="1"/>
  <c r="H1411" i="7" a="1"/>
  <c r="H1411" i="7" s="1"/>
  <c r="H1412" i="7" a="1"/>
  <c r="H1412" i="7" s="1"/>
  <c r="H1413" i="7" a="1"/>
  <c r="H1413" i="7" s="1"/>
  <c r="H1414" i="7" a="1"/>
  <c r="H1414" i="7" s="1"/>
  <c r="H1415" i="7" a="1"/>
  <c r="H1415" i="7" s="1"/>
  <c r="H1416" i="7" a="1"/>
  <c r="H1416" i="7" s="1"/>
  <c r="H1417" i="7" a="1"/>
  <c r="H1417" i="7" s="1"/>
  <c r="H1418" i="7" a="1"/>
  <c r="H1418" i="7" s="1"/>
  <c r="H1419" i="7" a="1"/>
  <c r="H1419" i="7" s="1"/>
  <c r="H1420" i="7" a="1"/>
  <c r="H1420" i="7" s="1"/>
  <c r="H1421" i="7" a="1"/>
  <c r="H1421" i="7" s="1"/>
  <c r="H1422" i="7" a="1"/>
  <c r="H1422" i="7" s="1"/>
  <c r="H1423" i="7" a="1"/>
  <c r="H1423" i="7" s="1"/>
  <c r="H1424" i="7" a="1"/>
  <c r="H1424" i="7" s="1"/>
  <c r="H1425" i="7" a="1"/>
  <c r="H1425" i="7" s="1"/>
  <c r="H1426" i="7" a="1"/>
  <c r="H1426" i="7" s="1"/>
  <c r="H1427" i="7" a="1"/>
  <c r="H1427" i="7" s="1"/>
  <c r="H1428" i="7" a="1"/>
  <c r="H1428" i="7" s="1"/>
  <c r="H1429" i="7" a="1"/>
  <c r="H1429" i="7" s="1"/>
  <c r="H1430" i="7" a="1"/>
  <c r="H1430" i="7" s="1"/>
  <c r="H1431" i="7" a="1"/>
  <c r="H1431" i="7" s="1"/>
  <c r="H1432" i="7" a="1"/>
  <c r="H1432" i="7" s="1"/>
  <c r="H1433" i="7" a="1"/>
  <c r="H1433" i="7" s="1"/>
  <c r="H1434" i="7" a="1"/>
  <c r="H1434" i="7" s="1"/>
  <c r="H1435" i="7" a="1"/>
  <c r="H1435" i="7" s="1"/>
  <c r="H1436" i="7" a="1"/>
  <c r="H1436" i="7" s="1"/>
  <c r="H1437" i="7" a="1"/>
  <c r="H1437" i="7" s="1"/>
  <c r="H1438" i="7" a="1"/>
  <c r="H1438" i="7" s="1"/>
  <c r="H1439" i="7" a="1"/>
  <c r="H1439" i="7" s="1"/>
  <c r="H1440" i="7" a="1"/>
  <c r="H1440" i="7" s="1"/>
  <c r="H1441" i="7" a="1"/>
  <c r="H1441" i="7" s="1"/>
  <c r="H1442" i="7" a="1"/>
  <c r="H1442" i="7" s="1"/>
  <c r="H1443" i="7" a="1"/>
  <c r="H1443" i="7" s="1"/>
  <c r="H1444" i="7" a="1"/>
  <c r="H1444" i="7" s="1"/>
  <c r="H1445" i="7" a="1"/>
  <c r="H1445" i="7" s="1"/>
  <c r="H1446" i="7" a="1"/>
  <c r="H1446" i="7" s="1"/>
  <c r="H1447" i="7" a="1"/>
  <c r="H1447" i="7" s="1"/>
  <c r="H1448" i="7" a="1"/>
  <c r="H1448" i="7" s="1"/>
  <c r="H1449" i="7" a="1"/>
  <c r="H1449" i="7" s="1"/>
  <c r="H1450" i="7" a="1"/>
  <c r="H1450" i="7" s="1"/>
  <c r="H1451" i="7" a="1"/>
  <c r="H1451" i="7" s="1"/>
  <c r="H1452" i="7" a="1"/>
  <c r="H1452" i="7" s="1"/>
  <c r="H1453" i="7" a="1"/>
  <c r="H1453" i="7" s="1"/>
  <c r="H1454" i="7" a="1"/>
  <c r="H1454" i="7" s="1"/>
  <c r="H1455" i="7" a="1"/>
  <c r="H1455" i="7" s="1"/>
  <c r="H1456" i="7" a="1"/>
  <c r="H1456" i="7" s="1"/>
  <c r="H1457" i="7" a="1"/>
  <c r="H1457" i="7" s="1"/>
  <c r="H1458" i="7" a="1"/>
  <c r="H1458" i="7" s="1"/>
  <c r="H1459" i="7" a="1"/>
  <c r="H1459" i="7" s="1"/>
  <c r="H1460" i="7" a="1"/>
  <c r="H1460" i="7" s="1"/>
  <c r="H1461" i="7" a="1"/>
  <c r="H1461" i="7" s="1"/>
  <c r="H1462" i="7" a="1"/>
  <c r="H1462" i="7" s="1"/>
  <c r="H1463" i="7" a="1"/>
  <c r="H1463" i="7" s="1"/>
  <c r="H1464" i="7" a="1"/>
  <c r="H1464" i="7" s="1"/>
  <c r="H1465" i="7" a="1"/>
  <c r="H1465" i="7" s="1"/>
  <c r="H1466" i="7" a="1"/>
  <c r="H1466" i="7" s="1"/>
  <c r="H1467" i="7" a="1"/>
  <c r="H1467" i="7" s="1"/>
  <c r="H1468" i="7" a="1"/>
  <c r="H1468" i="7" s="1"/>
  <c r="H1469" i="7" a="1"/>
  <c r="H1469" i="7" s="1"/>
  <c r="H1470" i="7" a="1"/>
  <c r="H1470" i="7" s="1"/>
  <c r="H1471" i="7" a="1"/>
  <c r="H1471" i="7" s="1"/>
  <c r="H1472" i="7" a="1"/>
  <c r="H1472" i="7" s="1"/>
  <c r="H1473" i="7" a="1"/>
  <c r="H1473" i="7" s="1"/>
  <c r="H1474" i="7" a="1"/>
  <c r="H1474" i="7" s="1"/>
  <c r="H1475" i="7" a="1"/>
  <c r="H1475" i="7" s="1"/>
  <c r="H1476" i="7" a="1"/>
  <c r="H1476" i="7" s="1"/>
  <c r="H1477" i="7" a="1"/>
  <c r="H1477" i="7" s="1"/>
  <c r="H1478" i="7" a="1"/>
  <c r="H1478" i="7" s="1"/>
  <c r="H1479" i="7" a="1"/>
  <c r="H1479" i="7" s="1"/>
  <c r="H1480" i="7" a="1"/>
  <c r="H1480" i="7" s="1"/>
  <c r="H1481" i="7" a="1"/>
  <c r="H1481" i="7" s="1"/>
  <c r="H1482" i="7" a="1"/>
  <c r="H1482" i="7" s="1"/>
  <c r="H1483" i="7" a="1"/>
  <c r="H1483" i="7" s="1"/>
  <c r="H1484" i="7" a="1"/>
  <c r="H1484" i="7" s="1"/>
  <c r="H1485" i="7" a="1"/>
  <c r="H1485" i="7" s="1"/>
  <c r="H1486" i="7" a="1"/>
  <c r="H1486" i="7" s="1"/>
  <c r="H1487" i="7" a="1"/>
  <c r="H1487" i="7" s="1"/>
  <c r="H1488" i="7" a="1"/>
  <c r="H1488" i="7" s="1"/>
  <c r="H1489" i="7" a="1"/>
  <c r="H1489" i="7" s="1"/>
  <c r="H1490" i="7" a="1"/>
  <c r="H1490" i="7" s="1"/>
  <c r="H1491" i="7" a="1"/>
  <c r="H1491" i="7" s="1"/>
  <c r="H1492" i="7" a="1"/>
  <c r="H1492" i="7" s="1"/>
  <c r="H1493" i="7" a="1"/>
  <c r="H1493" i="7" s="1"/>
  <c r="H1494" i="7" a="1"/>
  <c r="H1494" i="7" s="1"/>
  <c r="H1495" i="7" a="1"/>
  <c r="H1495" i="7" s="1"/>
  <c r="H1496" i="7" a="1"/>
  <c r="H1496" i="7" s="1"/>
  <c r="H1497" i="7" a="1"/>
  <c r="H1497" i="7" s="1"/>
  <c r="H1498" i="7" a="1"/>
  <c r="H1498" i="7" s="1"/>
  <c r="H1499" i="7" a="1"/>
  <c r="H1499" i="7" s="1"/>
  <c r="H1500" i="7" a="1"/>
  <c r="H1500" i="7" s="1"/>
  <c r="H1501" i="7" a="1"/>
  <c r="H1501" i="7" s="1"/>
  <c r="H1502" i="7" a="1"/>
  <c r="H1502" i="7" s="1"/>
  <c r="H1503" i="7" a="1"/>
  <c r="H1503" i="7" s="1"/>
  <c r="H1504" i="7" a="1"/>
  <c r="H1504" i="7" s="1"/>
  <c r="H1505" i="7" a="1"/>
  <c r="H1505" i="7" s="1"/>
  <c r="H1506" i="7" a="1"/>
  <c r="H1506" i="7" s="1"/>
  <c r="H1507" i="7" a="1"/>
  <c r="H1507" i="7" s="1"/>
  <c r="H1508" i="7" a="1"/>
  <c r="H1508" i="7" s="1"/>
  <c r="H1509" i="7" a="1"/>
  <c r="H1509" i="7" s="1"/>
  <c r="H1510" i="7" a="1"/>
  <c r="H1510" i="7" s="1"/>
  <c r="H1511" i="7" a="1"/>
  <c r="H1511" i="7" s="1"/>
  <c r="H1512" i="7" a="1"/>
  <c r="H1512" i="7" s="1"/>
  <c r="H1513" i="7" a="1"/>
  <c r="H1513" i="7" s="1"/>
  <c r="H1514" i="7" a="1"/>
  <c r="H1514" i="7" s="1"/>
  <c r="H1515" i="7" a="1"/>
  <c r="H1515" i="7" s="1"/>
  <c r="H1516" i="7" a="1"/>
  <c r="H1516" i="7" s="1"/>
  <c r="H1517" i="7" a="1"/>
  <c r="H1517" i="7" s="1"/>
  <c r="H1518" i="7" a="1"/>
  <c r="H1518" i="7" s="1"/>
  <c r="H1519" i="7" a="1"/>
  <c r="H1519" i="7" s="1"/>
  <c r="H1520" i="7" a="1"/>
  <c r="H1520" i="7" s="1"/>
  <c r="H1521" i="7" a="1"/>
  <c r="H1521" i="7" s="1"/>
  <c r="H1522" i="7" a="1"/>
  <c r="H1522" i="7" s="1"/>
  <c r="H1523" i="7" a="1"/>
  <c r="H1523" i="7" s="1"/>
  <c r="H1524" i="7" a="1"/>
  <c r="H1524" i="7" s="1"/>
  <c r="H1525" i="7" a="1"/>
  <c r="H1525" i="7" s="1"/>
  <c r="H1526" i="7" a="1"/>
  <c r="H1526" i="7" s="1"/>
  <c r="H1527" i="7" a="1"/>
  <c r="H1527" i="7" s="1"/>
  <c r="H1528" i="7" a="1"/>
  <c r="H1528" i="7" s="1"/>
  <c r="H1529" i="7" a="1"/>
  <c r="H1529" i="7" s="1"/>
  <c r="H1530" i="7" a="1"/>
  <c r="H1530" i="7" s="1"/>
  <c r="H1531" i="7" a="1"/>
  <c r="H1531" i="7" s="1"/>
  <c r="H1532" i="7" a="1"/>
  <c r="H1532" i="7" s="1"/>
  <c r="H1533" i="7" a="1"/>
  <c r="H1533" i="7" s="1"/>
  <c r="H1534" i="7" a="1"/>
  <c r="H1534" i="7" s="1"/>
  <c r="H1535" i="7" a="1"/>
  <c r="H1535" i="7" s="1"/>
  <c r="H1536" i="7" a="1"/>
  <c r="H1536" i="7" s="1"/>
  <c r="H1537" i="7" a="1"/>
  <c r="H1537" i="7" s="1"/>
  <c r="H1538" i="7" a="1"/>
  <c r="H1538" i="7" s="1"/>
  <c r="H1539" i="7" a="1"/>
  <c r="H1539" i="7" s="1"/>
  <c r="H1540" i="7" a="1"/>
  <c r="H1540" i="7" s="1"/>
  <c r="H1541" i="7" a="1"/>
  <c r="H1541" i="7" s="1"/>
  <c r="H1542" i="7" a="1"/>
  <c r="H1542" i="7" s="1"/>
  <c r="H1543" i="7" a="1"/>
  <c r="H1543" i="7" s="1"/>
  <c r="H1544" i="7" a="1"/>
  <c r="H1544" i="7" s="1"/>
  <c r="H1545" i="7" a="1"/>
  <c r="H1545" i="7" s="1"/>
  <c r="H1546" i="7" a="1"/>
  <c r="H1546" i="7" s="1"/>
  <c r="H1547" i="7" a="1"/>
  <c r="H1547" i="7" s="1"/>
  <c r="H1548" i="7" a="1"/>
  <c r="H1548" i="7" s="1"/>
  <c r="H1549" i="7" a="1"/>
  <c r="H1549" i="7" s="1"/>
  <c r="H1550" i="7" a="1"/>
  <c r="H1550" i="7" s="1"/>
  <c r="H1551" i="7" a="1"/>
  <c r="H1551" i="7" s="1"/>
  <c r="H1552" i="7" a="1"/>
  <c r="H1552" i="7" s="1"/>
  <c r="H1553" i="7" a="1"/>
  <c r="H1553" i="7" s="1"/>
  <c r="H1554" i="7" a="1"/>
  <c r="H1554" i="7" s="1"/>
  <c r="H1555" i="7" a="1"/>
  <c r="H1555" i="7" s="1"/>
  <c r="H1556" i="7" a="1"/>
  <c r="H1556" i="7" s="1"/>
  <c r="H1557" i="7" a="1"/>
  <c r="H1557" i="7" s="1"/>
  <c r="H1558" i="7" a="1"/>
  <c r="H1558" i="7" s="1"/>
  <c r="H1559" i="7" a="1"/>
  <c r="H1559" i="7" s="1"/>
  <c r="H1560" i="7" a="1"/>
  <c r="H1560" i="7" s="1"/>
  <c r="H1561" i="7" a="1"/>
  <c r="H1561" i="7" s="1"/>
  <c r="H1562" i="7" a="1"/>
  <c r="H1562" i="7" s="1"/>
  <c r="H1563" i="7" a="1"/>
  <c r="H1563" i="7" s="1"/>
  <c r="H1564" i="7" a="1"/>
  <c r="H1564" i="7" s="1"/>
  <c r="H1565" i="7" a="1"/>
  <c r="H1565" i="7" s="1"/>
  <c r="H1566" i="7" a="1"/>
  <c r="H1566" i="7" s="1"/>
  <c r="H1567" i="7" a="1"/>
  <c r="H1567" i="7" s="1"/>
  <c r="H1568" i="7" a="1"/>
  <c r="H1568" i="7" s="1"/>
  <c r="H1569" i="7" a="1"/>
  <c r="H1569" i="7" s="1"/>
  <c r="H1570" i="7" a="1"/>
  <c r="H1570" i="7" s="1"/>
  <c r="H1571" i="7" a="1"/>
  <c r="H1571" i="7" s="1"/>
  <c r="H1572" i="7" a="1"/>
  <c r="H1572" i="7" s="1"/>
  <c r="H1573" i="7" a="1"/>
  <c r="H1573" i="7" s="1"/>
  <c r="H1574" i="7" a="1"/>
  <c r="H1574" i="7" s="1"/>
  <c r="H1575" i="7" a="1"/>
  <c r="H1575" i="7" s="1"/>
  <c r="H1576" i="7" a="1"/>
  <c r="H1576" i="7" s="1"/>
  <c r="H1577" i="7" a="1"/>
  <c r="H1577" i="7" s="1"/>
  <c r="H1578" i="7" a="1"/>
  <c r="H1578" i="7" s="1"/>
  <c r="H1579" i="7" a="1"/>
  <c r="H1579" i="7" s="1"/>
  <c r="H1580" i="7" a="1"/>
  <c r="H1580" i="7" s="1"/>
  <c r="H1581" i="7" a="1"/>
  <c r="H1581" i="7" s="1"/>
  <c r="H1582" i="7" a="1"/>
  <c r="H1582" i="7" s="1"/>
  <c r="H1583" i="7" a="1"/>
  <c r="H1583" i="7" s="1"/>
  <c r="H1584" i="7" a="1"/>
  <c r="H1584" i="7" s="1"/>
  <c r="H1585" i="7" a="1"/>
  <c r="H1585" i="7" s="1"/>
  <c r="H1586" i="7" a="1"/>
  <c r="H1586" i="7" s="1"/>
  <c r="H1587" i="7" a="1"/>
  <c r="H1587" i="7" s="1"/>
  <c r="H1588" i="7" a="1"/>
  <c r="H1588" i="7" s="1"/>
  <c r="H1589" i="7" a="1"/>
  <c r="H1589" i="7" s="1"/>
  <c r="H1590" i="7" a="1"/>
  <c r="H1590" i="7" s="1"/>
  <c r="H1591" i="7" a="1"/>
  <c r="H1591" i="7" s="1"/>
  <c r="H1592" i="7" a="1"/>
  <c r="H1592" i="7" s="1"/>
  <c r="H1593" i="7" a="1"/>
  <c r="H1593" i="7" s="1"/>
  <c r="H1594" i="7" a="1"/>
  <c r="H1594" i="7" s="1"/>
  <c r="H1595" i="7" a="1"/>
  <c r="H1595" i="7" s="1"/>
  <c r="H1596" i="7" a="1"/>
  <c r="H1596" i="7" s="1"/>
  <c r="H1597" i="7" a="1"/>
  <c r="H1597" i="7" s="1"/>
  <c r="H1598" i="7" a="1"/>
  <c r="H1598" i="7" s="1"/>
  <c r="H1599" i="7" a="1"/>
  <c r="H1599" i="7" s="1"/>
  <c r="H1600" i="7" a="1"/>
  <c r="H1600" i="7" s="1"/>
  <c r="H1601" i="7" a="1"/>
  <c r="H1601" i="7" s="1"/>
  <c r="H1602" i="7" a="1"/>
  <c r="H1602" i="7" s="1"/>
  <c r="H1603" i="7" a="1"/>
  <c r="H1603" i="7" s="1"/>
  <c r="H1604" i="7" a="1"/>
  <c r="H1604" i="7" s="1"/>
  <c r="H1605" i="7" a="1"/>
  <c r="H1605" i="7" s="1"/>
  <c r="H1606" i="7" a="1"/>
  <c r="H1606" i="7" s="1"/>
  <c r="H1607" i="7" a="1"/>
  <c r="H1607" i="7" s="1"/>
  <c r="H1608" i="7" a="1"/>
  <c r="H1608" i="7" s="1"/>
  <c r="H1609" i="7" a="1"/>
  <c r="H1609" i="7" s="1"/>
  <c r="H1610" i="7" a="1"/>
  <c r="H1610" i="7" s="1"/>
  <c r="H1611" i="7" a="1"/>
  <c r="H1611" i="7" s="1"/>
  <c r="H1612" i="7" a="1"/>
  <c r="H1612" i="7" s="1"/>
  <c r="H1613" i="7" a="1"/>
  <c r="H1613" i="7" s="1"/>
  <c r="H1614" i="7" a="1"/>
  <c r="H1614" i="7" s="1"/>
  <c r="H1615" i="7" a="1"/>
  <c r="H1615" i="7" s="1"/>
  <c r="H1616" i="7" a="1"/>
  <c r="H1616" i="7" s="1"/>
  <c r="H1617" i="7" a="1"/>
  <c r="H1617" i="7" s="1"/>
  <c r="H1618" i="7" a="1"/>
  <c r="H1618" i="7" s="1"/>
  <c r="H1619" i="7" a="1"/>
  <c r="H1619" i="7" s="1"/>
  <c r="H1620" i="7" a="1"/>
  <c r="H1620" i="7" s="1"/>
  <c r="H1621" i="7" a="1"/>
  <c r="H1621" i="7" s="1"/>
  <c r="H1622" i="7" a="1"/>
  <c r="H1622" i="7" s="1"/>
  <c r="H1623" i="7" a="1"/>
  <c r="H1623" i="7" s="1"/>
  <c r="H1624" i="7" a="1"/>
  <c r="H1624" i="7" s="1"/>
  <c r="H1625" i="7" a="1"/>
  <c r="H1625" i="7" s="1"/>
  <c r="H1626" i="7" a="1"/>
  <c r="H1626" i="7" s="1"/>
  <c r="H1627" i="7" a="1"/>
  <c r="H1627" i="7" s="1"/>
  <c r="H1628" i="7" a="1"/>
  <c r="H1628" i="7" s="1"/>
  <c r="H1629" i="7" a="1"/>
  <c r="H1629" i="7" s="1"/>
  <c r="H1630" i="7" a="1"/>
  <c r="H1630" i="7" s="1"/>
  <c r="H1631" i="7" a="1"/>
  <c r="H1631" i="7" s="1"/>
  <c r="H1632" i="7" a="1"/>
  <c r="H1632" i="7" s="1"/>
  <c r="H1633" i="7" a="1"/>
  <c r="H1633" i="7" s="1"/>
  <c r="H1634" i="7" a="1"/>
  <c r="H1634" i="7" s="1"/>
  <c r="H1635" i="7" a="1"/>
  <c r="H1635" i="7" s="1"/>
  <c r="H1636" i="7" a="1"/>
  <c r="H1636" i="7" s="1"/>
  <c r="H1637" i="7" a="1"/>
  <c r="H1637" i="7" s="1"/>
  <c r="H1638" i="7" a="1"/>
  <c r="H1638" i="7" s="1"/>
  <c r="H1639" i="7" a="1"/>
  <c r="H1639" i="7" s="1"/>
  <c r="H1640" i="7" a="1"/>
  <c r="H1640" i="7" s="1"/>
  <c r="H1641" i="7" a="1"/>
  <c r="H1641" i="7" s="1"/>
  <c r="H1642" i="7" a="1"/>
  <c r="H1642" i="7" s="1"/>
  <c r="H1643" i="7" a="1"/>
  <c r="H1643" i="7" s="1"/>
  <c r="H1644" i="7" a="1"/>
  <c r="H1644" i="7" s="1"/>
  <c r="H1645" i="7" a="1"/>
  <c r="H1645" i="7" s="1"/>
  <c r="H1646" i="7" a="1"/>
  <c r="H1646" i="7" s="1"/>
  <c r="H1647" i="7" a="1"/>
  <c r="H1647" i="7" s="1"/>
  <c r="H1648" i="7" a="1"/>
  <c r="H1648" i="7" s="1"/>
  <c r="H1649" i="7" a="1"/>
  <c r="H1649" i="7" s="1"/>
  <c r="H1650" i="7" a="1"/>
  <c r="H1650" i="7" s="1"/>
  <c r="H1651" i="7" a="1"/>
  <c r="H1651" i="7" s="1"/>
  <c r="H1652" i="7" a="1"/>
  <c r="H1652" i="7" s="1"/>
  <c r="H1653" i="7" a="1"/>
  <c r="H1653" i="7" s="1"/>
  <c r="H1654" i="7" a="1"/>
  <c r="H1654" i="7" s="1"/>
  <c r="H1655" i="7" a="1"/>
  <c r="H1655" i="7" s="1"/>
  <c r="H1656" i="7" a="1"/>
  <c r="H1656" i="7" s="1"/>
  <c r="H1657" i="7" a="1"/>
  <c r="H1657" i="7" s="1"/>
  <c r="H1658" i="7" a="1"/>
  <c r="H1658" i="7" s="1"/>
  <c r="H1659" i="7" a="1"/>
  <c r="H1659" i="7" s="1"/>
  <c r="H1660" i="7" a="1"/>
  <c r="H1660" i="7" s="1"/>
  <c r="H1661" i="7" a="1"/>
  <c r="H1661" i="7" s="1"/>
  <c r="H1662" i="7" a="1"/>
  <c r="H1662" i="7" s="1"/>
  <c r="H1663" i="7" a="1"/>
  <c r="H1663" i="7" s="1"/>
  <c r="H1664" i="7" a="1"/>
  <c r="H1664" i="7" s="1"/>
  <c r="H1665" i="7" a="1"/>
  <c r="H1665" i="7" s="1"/>
  <c r="H1666" i="7" a="1"/>
  <c r="H1666" i="7" s="1"/>
  <c r="H1667" i="7" a="1"/>
  <c r="H1667" i="7" s="1"/>
  <c r="H1668" i="7" a="1"/>
  <c r="H1668" i="7" s="1"/>
  <c r="H1669" i="7" a="1"/>
  <c r="H1669" i="7" s="1"/>
  <c r="H1670" i="7" a="1"/>
  <c r="H1670" i="7" s="1"/>
  <c r="H1671" i="7" a="1"/>
  <c r="H1671" i="7" s="1"/>
  <c r="H1672" i="7" a="1"/>
  <c r="H1672" i="7" s="1"/>
  <c r="H1673" i="7" a="1"/>
  <c r="H1673" i="7" s="1"/>
  <c r="H1674" i="7" a="1"/>
  <c r="H1674" i="7" s="1"/>
  <c r="H1675" i="7" a="1"/>
  <c r="H1675" i="7" s="1"/>
  <c r="H1676" i="7" a="1"/>
  <c r="H1676" i="7" s="1"/>
  <c r="H1677" i="7" a="1"/>
  <c r="H1677" i="7" s="1"/>
  <c r="H1678" i="7" a="1"/>
  <c r="H1678" i="7" s="1"/>
  <c r="H1679" i="7" a="1"/>
  <c r="H1679" i="7" s="1"/>
  <c r="H1680" i="7" a="1"/>
  <c r="H1680" i="7" s="1"/>
  <c r="H1681" i="7" a="1"/>
  <c r="H1681" i="7" s="1"/>
  <c r="H1682" i="7" a="1"/>
  <c r="H1682" i="7" s="1"/>
  <c r="H1683" i="7" a="1"/>
  <c r="H1683" i="7" s="1"/>
  <c r="H1684" i="7" a="1"/>
  <c r="H1684" i="7" s="1"/>
  <c r="H1685" i="7" a="1"/>
  <c r="H1685" i="7" s="1"/>
  <c r="H1686" i="7" a="1"/>
  <c r="H1686" i="7" s="1"/>
  <c r="H1687" i="7" a="1"/>
  <c r="H1687" i="7" s="1"/>
  <c r="H1688" i="7" a="1"/>
  <c r="H1688" i="7" s="1"/>
  <c r="H1689" i="7" a="1"/>
  <c r="H1689" i="7" s="1"/>
  <c r="H1690" i="7" a="1"/>
  <c r="H1690" i="7" s="1"/>
  <c r="H1691" i="7" a="1"/>
  <c r="H1691" i="7" s="1"/>
  <c r="H1692" i="7" a="1"/>
  <c r="H1692" i="7" s="1"/>
  <c r="H1693" i="7" a="1"/>
  <c r="H1693" i="7" s="1"/>
  <c r="H1694" i="7" a="1"/>
  <c r="H1694" i="7" s="1"/>
  <c r="H1695" i="7" a="1"/>
  <c r="H1695" i="7" s="1"/>
  <c r="H1696" i="7" a="1"/>
  <c r="H1696" i="7" s="1"/>
  <c r="H1697" i="7" a="1"/>
  <c r="H1697" i="7" s="1"/>
  <c r="H1698" i="7" a="1"/>
  <c r="H1698" i="7" s="1"/>
  <c r="H1699" i="7" a="1"/>
  <c r="H1699" i="7" s="1"/>
  <c r="H1700" i="7" a="1"/>
  <c r="H1700" i="7" s="1"/>
  <c r="H1701" i="7" a="1"/>
  <c r="H1701" i="7" s="1"/>
  <c r="H1702" i="7" a="1"/>
  <c r="H1702" i="7" s="1"/>
  <c r="H1703" i="7" a="1"/>
  <c r="H1703" i="7" s="1"/>
  <c r="H1704" i="7" a="1"/>
  <c r="H1704" i="7" s="1"/>
  <c r="H1705" i="7" a="1"/>
  <c r="H1705" i="7" s="1"/>
  <c r="H1706" i="7" a="1"/>
  <c r="H1706" i="7" s="1"/>
  <c r="H1707" i="7" a="1"/>
  <c r="H1707" i="7" s="1"/>
  <c r="H1708" i="7" a="1"/>
  <c r="H1708" i="7" s="1"/>
  <c r="H1709" i="7" a="1"/>
  <c r="H1709" i="7" s="1"/>
  <c r="H1710" i="7" a="1"/>
  <c r="H1710" i="7" s="1"/>
  <c r="H1711" i="7" a="1"/>
  <c r="H1711" i="7" s="1"/>
  <c r="H1712" i="7" a="1"/>
  <c r="H1712" i="7" s="1"/>
  <c r="H1713" i="7" a="1"/>
  <c r="H1713" i="7" s="1"/>
  <c r="H1714" i="7" a="1"/>
  <c r="H1714" i="7" s="1"/>
  <c r="H1715" i="7" a="1"/>
  <c r="H1715" i="7" s="1"/>
  <c r="H1716" i="7" a="1"/>
  <c r="H1716" i="7" s="1"/>
  <c r="H1717" i="7" a="1"/>
  <c r="H1717" i="7" s="1"/>
  <c r="H1718" i="7" a="1"/>
  <c r="H1718" i="7" s="1"/>
  <c r="H1719" i="7" a="1"/>
  <c r="H1719" i="7" s="1"/>
  <c r="H1720" i="7" a="1"/>
  <c r="H1720" i="7" s="1"/>
  <c r="H1721" i="7" a="1"/>
  <c r="H1721" i="7" s="1"/>
  <c r="H1722" i="7" a="1"/>
  <c r="H1722" i="7" s="1"/>
  <c r="H1723" i="7" a="1"/>
  <c r="H1723" i="7" s="1"/>
  <c r="H1724" i="7" a="1"/>
  <c r="H1724" i="7" s="1"/>
  <c r="H1725" i="7" a="1"/>
  <c r="H1725" i="7" s="1"/>
  <c r="H1726" i="7" a="1"/>
  <c r="H1726" i="7" s="1"/>
  <c r="H1727" i="7" a="1"/>
  <c r="H1727" i="7" s="1"/>
  <c r="H1728" i="7" a="1"/>
  <c r="H1728" i="7" s="1"/>
  <c r="H1729" i="7" a="1"/>
  <c r="H1729" i="7" s="1"/>
  <c r="H1730" i="7" a="1"/>
  <c r="H1730" i="7" s="1"/>
  <c r="H1731" i="7" a="1"/>
  <c r="H1731" i="7" s="1"/>
  <c r="H1732" i="7" a="1"/>
  <c r="H1732" i="7" s="1"/>
  <c r="H1733" i="7" a="1"/>
  <c r="H1733" i="7" s="1"/>
  <c r="H1734" i="7" a="1"/>
  <c r="H1734" i="7" s="1"/>
  <c r="H1735" i="7" a="1"/>
  <c r="H1735" i="7" s="1"/>
  <c r="H1736" i="7" a="1"/>
  <c r="H1736" i="7" s="1"/>
  <c r="H1737" i="7" a="1"/>
  <c r="H1737" i="7" s="1"/>
  <c r="H1738" i="7" a="1"/>
  <c r="H1738" i="7" s="1"/>
  <c r="H1739" i="7" a="1"/>
  <c r="H1739" i="7" s="1"/>
  <c r="H1740" i="7" a="1"/>
  <c r="H1740" i="7" s="1"/>
  <c r="H1741" i="7" a="1"/>
  <c r="H1741" i="7" s="1"/>
  <c r="H1742" i="7" a="1"/>
  <c r="H1742" i="7" s="1"/>
  <c r="H1743" i="7" a="1"/>
  <c r="H1743" i="7" s="1"/>
  <c r="H1744" i="7" a="1"/>
  <c r="H1744" i="7" s="1"/>
  <c r="H1745" i="7" a="1"/>
  <c r="H1745" i="7" s="1"/>
  <c r="H1746" i="7" a="1"/>
  <c r="H1746" i="7" s="1"/>
  <c r="H1747" i="7" a="1"/>
  <c r="H1747" i="7" s="1"/>
  <c r="H1748" i="7" a="1"/>
  <c r="H1748" i="7" s="1"/>
  <c r="H1749" i="7" a="1"/>
  <c r="H1749" i="7" s="1"/>
  <c r="H1750" i="7" a="1"/>
  <c r="H1750" i="7" s="1"/>
  <c r="H1751" i="7" a="1"/>
  <c r="H1751" i="7" s="1"/>
  <c r="H1752" i="7" a="1"/>
  <c r="H1752" i="7" s="1"/>
  <c r="H1753" i="7" a="1"/>
  <c r="H1753" i="7" s="1"/>
  <c r="H1754" i="7" a="1"/>
  <c r="H1754" i="7" s="1"/>
  <c r="H1755" i="7" a="1"/>
  <c r="H1755" i="7" s="1"/>
  <c r="H1756" i="7" a="1"/>
  <c r="H1756" i="7" s="1"/>
  <c r="H1757" i="7" a="1"/>
  <c r="H1757" i="7" s="1"/>
  <c r="H1758" i="7" a="1"/>
  <c r="H1758" i="7" s="1"/>
  <c r="H1759" i="7" a="1"/>
  <c r="H1759" i="7" s="1"/>
  <c r="H1760" i="7" a="1"/>
  <c r="H1760" i="7" s="1"/>
  <c r="H1761" i="7" a="1"/>
  <c r="H1761" i="7" s="1"/>
  <c r="H1762" i="7" a="1"/>
  <c r="H1762" i="7" s="1"/>
  <c r="H1763" i="7" a="1"/>
  <c r="H1763" i="7" s="1"/>
  <c r="H1764" i="7" a="1"/>
  <c r="H1764" i="7" s="1"/>
  <c r="H1765" i="7" a="1"/>
  <c r="H1765" i="7" s="1"/>
  <c r="H1766" i="7" a="1"/>
  <c r="H1766" i="7" s="1"/>
  <c r="H1767" i="7" a="1"/>
  <c r="H1767" i="7" s="1"/>
  <c r="H1768" i="7" a="1"/>
  <c r="H1768" i="7" s="1"/>
  <c r="H1769" i="7" a="1"/>
  <c r="H1769" i="7" s="1"/>
  <c r="H1770" i="7" a="1"/>
  <c r="H1770" i="7" s="1"/>
  <c r="H1771" i="7" a="1"/>
  <c r="H1771" i="7" s="1"/>
  <c r="H1772" i="7" a="1"/>
  <c r="H1772" i="7" s="1"/>
  <c r="H1773" i="7" a="1"/>
  <c r="H1773" i="7" s="1"/>
  <c r="H1774" i="7" a="1"/>
  <c r="H1774" i="7" s="1"/>
  <c r="H1775" i="7" a="1"/>
  <c r="H1775" i="7" s="1"/>
  <c r="H1776" i="7" a="1"/>
  <c r="H1776" i="7" s="1"/>
  <c r="H1777" i="7" a="1"/>
  <c r="H1777" i="7" s="1"/>
  <c r="H1778" i="7" a="1"/>
  <c r="H1778" i="7" s="1"/>
  <c r="H1779" i="7" a="1"/>
  <c r="H1779" i="7" s="1"/>
  <c r="H1780" i="7" a="1"/>
  <c r="H1780" i="7" s="1"/>
  <c r="H1781" i="7" a="1"/>
  <c r="H1781" i="7" s="1"/>
  <c r="H1782" i="7" a="1"/>
  <c r="H1782" i="7" s="1"/>
  <c r="H1783" i="7" a="1"/>
  <c r="H1783" i="7" s="1"/>
  <c r="H1784" i="7" a="1"/>
  <c r="H1784" i="7" s="1"/>
  <c r="H1785" i="7" a="1"/>
  <c r="H1785" i="7" s="1"/>
  <c r="H1786" i="7" a="1"/>
  <c r="H1786" i="7" s="1"/>
  <c r="H1787" i="7" a="1"/>
  <c r="H1787" i="7" s="1"/>
  <c r="H1788" i="7" a="1"/>
  <c r="H1788" i="7" s="1"/>
  <c r="H1789" i="7" a="1"/>
  <c r="H1789" i="7" s="1"/>
  <c r="H1790" i="7" a="1"/>
  <c r="H1790" i="7" s="1"/>
  <c r="H1791" i="7" a="1"/>
  <c r="H1791" i="7" s="1"/>
  <c r="H1792" i="7" a="1"/>
  <c r="H1792" i="7" s="1"/>
  <c r="H1793" i="7" a="1"/>
  <c r="H1793" i="7" s="1"/>
  <c r="H1794" i="7" a="1"/>
  <c r="H1794" i="7" s="1"/>
  <c r="H1795" i="7" a="1"/>
  <c r="H1795" i="7" s="1"/>
  <c r="H1796" i="7" a="1"/>
  <c r="H1796" i="7" s="1"/>
  <c r="H1797" i="7" a="1"/>
  <c r="H1797" i="7" s="1"/>
  <c r="H1798" i="7" a="1"/>
  <c r="H1798" i="7" s="1"/>
  <c r="H1799" i="7" a="1"/>
  <c r="H1799" i="7" s="1"/>
  <c r="H1800" i="7" a="1"/>
  <c r="H1800" i="7" s="1"/>
  <c r="H1801" i="7" a="1"/>
  <c r="H1801" i="7" s="1"/>
  <c r="H1802" i="7" a="1"/>
  <c r="H1802" i="7" s="1"/>
  <c r="H1803" i="7" a="1"/>
  <c r="H1803" i="7" s="1"/>
  <c r="H1804" i="7" a="1"/>
  <c r="H1804" i="7" s="1"/>
  <c r="H1805" i="7" a="1"/>
  <c r="H1805" i="7" s="1"/>
  <c r="H1806" i="7" a="1"/>
  <c r="H1806" i="7" s="1"/>
  <c r="H1807" i="7" a="1"/>
  <c r="H1807" i="7" s="1"/>
  <c r="H1808" i="7" a="1"/>
  <c r="H1808" i="7" s="1"/>
  <c r="H1809" i="7" a="1"/>
  <c r="H1809" i="7" s="1"/>
  <c r="H1810" i="7" a="1"/>
  <c r="H1810" i="7" s="1"/>
  <c r="H1811" i="7" a="1"/>
  <c r="H1811" i="7" s="1"/>
  <c r="H1812" i="7" a="1"/>
  <c r="H1812" i="7" s="1"/>
  <c r="H1813" i="7" a="1"/>
  <c r="H1813" i="7" s="1"/>
  <c r="H1814" i="7" a="1"/>
  <c r="H1814" i="7" s="1"/>
  <c r="H1815" i="7" a="1"/>
  <c r="H1815" i="7" s="1"/>
  <c r="H1816" i="7" a="1"/>
  <c r="H1816" i="7" s="1"/>
  <c r="H1817" i="7" a="1"/>
  <c r="H1817" i="7" s="1"/>
  <c r="H1818" i="7" a="1"/>
  <c r="H1818" i="7" s="1"/>
  <c r="H1819" i="7" a="1"/>
  <c r="H1819" i="7" s="1"/>
  <c r="H1820" i="7" a="1"/>
  <c r="H1820" i="7" s="1"/>
  <c r="H1821" i="7" a="1"/>
  <c r="H1821" i="7" s="1"/>
  <c r="H1822" i="7" a="1"/>
  <c r="H1822" i="7" s="1"/>
  <c r="H1823" i="7" a="1"/>
  <c r="H1823" i="7" s="1"/>
  <c r="H1824" i="7" a="1"/>
  <c r="H1824" i="7" s="1"/>
  <c r="H1825" i="7" a="1"/>
  <c r="H1825" i="7" s="1"/>
  <c r="H1826" i="7" a="1"/>
  <c r="H1826" i="7" s="1"/>
  <c r="H1827" i="7" a="1"/>
  <c r="H1827" i="7" s="1"/>
  <c r="H1828" i="7" a="1"/>
  <c r="H1828" i="7" s="1"/>
  <c r="H1829" i="7" a="1"/>
  <c r="H1829" i="7" s="1"/>
  <c r="H1830" i="7" a="1"/>
  <c r="H1830" i="7" s="1"/>
  <c r="H1831" i="7" a="1"/>
  <c r="H1831" i="7" s="1"/>
  <c r="H1832" i="7" a="1"/>
  <c r="H1832" i="7" s="1"/>
  <c r="H1833" i="7" a="1"/>
  <c r="H1833" i="7" s="1"/>
  <c r="H1834" i="7" a="1"/>
  <c r="H1834" i="7" s="1"/>
  <c r="H1835" i="7" a="1"/>
  <c r="H1835" i="7" s="1"/>
  <c r="H1836" i="7" a="1"/>
  <c r="H1836" i="7" s="1"/>
  <c r="H1837" i="7" a="1"/>
  <c r="H1837" i="7" s="1"/>
  <c r="H1838" i="7" a="1"/>
  <c r="H1838" i="7" s="1"/>
  <c r="H1839" i="7" a="1"/>
  <c r="H1839" i="7" s="1"/>
  <c r="H1840" i="7" a="1"/>
  <c r="H1840" i="7" s="1"/>
  <c r="H1841" i="7" a="1"/>
  <c r="H1841" i="7" s="1"/>
  <c r="H1842" i="7" a="1"/>
  <c r="H1842" i="7" s="1"/>
  <c r="H1843" i="7" a="1"/>
  <c r="H1843" i="7" s="1"/>
  <c r="H1844" i="7" a="1"/>
  <c r="H1844" i="7" s="1"/>
  <c r="H1845" i="7" a="1"/>
  <c r="H1845" i="7" s="1"/>
  <c r="H1846" i="7" a="1"/>
  <c r="H1846" i="7" s="1"/>
  <c r="H1847" i="7" a="1"/>
  <c r="H1847" i="7" s="1"/>
  <c r="H1848" i="7" a="1"/>
  <c r="H1848" i="7" s="1"/>
  <c r="H1849" i="7" a="1"/>
  <c r="H1849" i="7" s="1"/>
  <c r="H1850" i="7" a="1"/>
  <c r="H1850" i="7" s="1"/>
  <c r="H1851" i="7" a="1"/>
  <c r="H1851" i="7" s="1"/>
  <c r="H1852" i="7" a="1"/>
  <c r="H1852" i="7" s="1"/>
  <c r="H1853" i="7" a="1"/>
  <c r="H1853" i="7" s="1"/>
  <c r="H1854" i="7" a="1"/>
  <c r="H1854" i="7" s="1"/>
  <c r="H1855" i="7" a="1"/>
  <c r="H1855" i="7" s="1"/>
  <c r="H1856" i="7" a="1"/>
  <c r="H1856" i="7" s="1"/>
  <c r="H1857" i="7" a="1"/>
  <c r="H1857" i="7" s="1"/>
  <c r="H1858" i="7" a="1"/>
  <c r="H1858" i="7" s="1"/>
  <c r="H1859" i="7" a="1"/>
  <c r="H1859" i="7" s="1"/>
  <c r="H1860" i="7" a="1"/>
  <c r="H1860" i="7" s="1"/>
  <c r="H1861" i="7" a="1"/>
  <c r="H1861" i="7" s="1"/>
  <c r="H1862" i="7" a="1"/>
  <c r="H1862" i="7" s="1"/>
  <c r="H1863" i="7" a="1"/>
  <c r="H1863" i="7" s="1"/>
  <c r="H1864" i="7" a="1"/>
  <c r="H1864" i="7" s="1"/>
  <c r="H1865" i="7" a="1"/>
  <c r="H1865" i="7" s="1"/>
  <c r="H1866" i="7" a="1"/>
  <c r="H1866" i="7" s="1"/>
  <c r="H1867" i="7" a="1"/>
  <c r="H1867" i="7" s="1"/>
  <c r="H1868" i="7" a="1"/>
  <c r="H1868" i="7" s="1"/>
  <c r="H1869" i="7" a="1"/>
  <c r="H1869" i="7" s="1"/>
  <c r="H1870" i="7" a="1"/>
  <c r="H1870" i="7" s="1"/>
  <c r="H1871" i="7" a="1"/>
  <c r="H1871" i="7" s="1"/>
  <c r="H1872" i="7" a="1"/>
  <c r="H1872" i="7" s="1"/>
  <c r="H1873" i="7" a="1"/>
  <c r="H1873" i="7" s="1"/>
  <c r="H1874" i="7" a="1"/>
  <c r="H1874" i="7" s="1"/>
  <c r="H1875" i="7" a="1"/>
  <c r="H1875" i="7" s="1"/>
  <c r="H1876" i="7" a="1"/>
  <c r="H1876" i="7" s="1"/>
  <c r="H1877" i="7" a="1"/>
  <c r="H1877" i="7" s="1"/>
  <c r="H1878" i="7" a="1"/>
  <c r="H1878" i="7" s="1"/>
  <c r="H1879" i="7" a="1"/>
  <c r="H1879" i="7" s="1"/>
  <c r="H1880" i="7" a="1"/>
  <c r="H1880" i="7" s="1"/>
  <c r="H1881" i="7" a="1"/>
  <c r="H1881" i="7" s="1"/>
  <c r="H1882" i="7" a="1"/>
  <c r="H1882" i="7" s="1"/>
  <c r="H1883" i="7" a="1"/>
  <c r="H1883" i="7" s="1"/>
  <c r="H1884" i="7" a="1"/>
  <c r="H1884" i="7" s="1"/>
  <c r="H1885" i="7" a="1"/>
  <c r="H1885" i="7" s="1"/>
  <c r="H1886" i="7" a="1"/>
  <c r="H1886" i="7" s="1"/>
  <c r="H1887" i="7" a="1"/>
  <c r="H1887" i="7" s="1"/>
  <c r="H1888" i="7" a="1"/>
  <c r="H1888" i="7" s="1"/>
  <c r="H1889" i="7" a="1"/>
  <c r="H1889" i="7" s="1"/>
  <c r="H1890" i="7" a="1"/>
  <c r="H1890" i="7" s="1"/>
  <c r="H1891" i="7" a="1"/>
  <c r="H1891" i="7" s="1"/>
  <c r="H1892" i="7" a="1"/>
  <c r="H1892" i="7" s="1"/>
  <c r="H1893" i="7" a="1"/>
  <c r="H1893" i="7" s="1"/>
  <c r="H1894" i="7" a="1"/>
  <c r="H1894" i="7" s="1"/>
  <c r="H1895" i="7" a="1"/>
  <c r="H1895" i="7" s="1"/>
  <c r="H1896" i="7" a="1"/>
  <c r="H1896" i="7" s="1"/>
  <c r="H1897" i="7" a="1"/>
  <c r="H1897" i="7" s="1"/>
  <c r="H1898" i="7" a="1"/>
  <c r="H1898" i="7" s="1"/>
  <c r="H1899" i="7" a="1"/>
  <c r="H1899" i="7" s="1"/>
  <c r="H1900" i="7" a="1"/>
  <c r="H1900" i="7" s="1"/>
  <c r="H1901" i="7" a="1"/>
  <c r="H1901" i="7" s="1"/>
  <c r="H1902" i="7" a="1"/>
  <c r="H1902" i="7" s="1"/>
  <c r="H1903" i="7" a="1"/>
  <c r="H1903" i="7" s="1"/>
  <c r="H1904" i="7" a="1"/>
  <c r="H1904" i="7" s="1"/>
  <c r="H1905" i="7" a="1"/>
  <c r="H1905" i="7" s="1"/>
  <c r="H1906" i="7" a="1"/>
  <c r="H1906" i="7" s="1"/>
  <c r="H1907" i="7" a="1"/>
  <c r="H1907" i="7" s="1"/>
  <c r="H1908" i="7" a="1"/>
  <c r="H1908" i="7" s="1"/>
  <c r="H1909" i="7" a="1"/>
  <c r="H1909" i="7" s="1"/>
  <c r="H1910" i="7" a="1"/>
  <c r="H1910" i="7" s="1"/>
  <c r="H1911" i="7" a="1"/>
  <c r="H1911" i="7" s="1"/>
  <c r="H1912" i="7" a="1"/>
  <c r="H1912" i="7" s="1"/>
  <c r="H1913" i="7" a="1"/>
  <c r="H1913" i="7" s="1"/>
  <c r="H1914" i="7" a="1"/>
  <c r="H1914" i="7" s="1"/>
  <c r="H1915" i="7" a="1"/>
  <c r="H1915" i="7" s="1"/>
  <c r="H1916" i="7" a="1"/>
  <c r="H1916" i="7" s="1"/>
  <c r="H1917" i="7" a="1"/>
  <c r="H1917" i="7" s="1"/>
  <c r="H1918" i="7" a="1"/>
  <c r="H1918" i="7" s="1"/>
  <c r="H1919" i="7" a="1"/>
  <c r="H1919" i="7" s="1"/>
  <c r="H1920" i="7" a="1"/>
  <c r="H1920" i="7" s="1"/>
  <c r="H1921" i="7" a="1"/>
  <c r="H1921" i="7" s="1"/>
  <c r="H1922" i="7" a="1"/>
  <c r="H1922" i="7" s="1"/>
  <c r="H1923" i="7" a="1"/>
  <c r="H1923" i="7" s="1"/>
  <c r="H1924" i="7" a="1"/>
  <c r="H1924" i="7" s="1"/>
  <c r="H1925" i="7" a="1"/>
  <c r="H1925" i="7" s="1"/>
  <c r="H1926" i="7" a="1"/>
  <c r="H1926" i="7" s="1"/>
  <c r="H1927" i="7" a="1"/>
  <c r="H1927" i="7" s="1"/>
  <c r="H1928" i="7" a="1"/>
  <c r="H1928" i="7" s="1"/>
  <c r="H1929" i="7" a="1"/>
  <c r="H1929" i="7" s="1"/>
  <c r="H1930" i="7" a="1"/>
  <c r="H1930" i="7" s="1"/>
  <c r="H1931" i="7" a="1"/>
  <c r="H1931" i="7" s="1"/>
  <c r="H1932" i="7" a="1"/>
  <c r="H1932" i="7" s="1"/>
  <c r="H1933" i="7" a="1"/>
  <c r="H1933" i="7" s="1"/>
  <c r="H1934" i="7" a="1"/>
  <c r="H1934" i="7" s="1"/>
  <c r="H1935" i="7" a="1"/>
  <c r="H1935" i="7" s="1"/>
  <c r="H1936" i="7" a="1"/>
  <c r="H1936" i="7" s="1"/>
  <c r="H1937" i="7" a="1"/>
  <c r="H1937" i="7" s="1"/>
  <c r="H1938" i="7" a="1"/>
  <c r="H1938" i="7" s="1"/>
  <c r="H1939" i="7" a="1"/>
  <c r="H1939" i="7" s="1"/>
  <c r="H1940" i="7" a="1"/>
  <c r="H1940" i="7" s="1"/>
  <c r="H1941" i="7" a="1"/>
  <c r="H1941" i="7" s="1"/>
  <c r="H1942" i="7" a="1"/>
  <c r="H1942" i="7" s="1"/>
  <c r="H1943" i="7" a="1"/>
  <c r="H1943" i="7" s="1"/>
  <c r="H1944" i="7" a="1"/>
  <c r="H1944" i="7" s="1"/>
  <c r="H1945" i="7" a="1"/>
  <c r="H1945" i="7" s="1"/>
  <c r="H1946" i="7" a="1"/>
  <c r="H1946" i="7" s="1"/>
  <c r="H1947" i="7" a="1"/>
  <c r="H1947" i="7" s="1"/>
  <c r="H1948" i="7" a="1"/>
  <c r="H1948" i="7" s="1"/>
  <c r="H1949" i="7" a="1"/>
  <c r="H1949" i="7" s="1"/>
  <c r="H1950" i="7" a="1"/>
  <c r="H1950" i="7" s="1"/>
  <c r="H1951" i="7" a="1"/>
  <c r="H1951" i="7" s="1"/>
  <c r="H1952" i="7" a="1"/>
  <c r="H1952" i="7" s="1"/>
  <c r="H1953" i="7" a="1"/>
  <c r="H1953" i="7" s="1"/>
  <c r="H1954" i="7" a="1"/>
  <c r="H1954" i="7" s="1"/>
  <c r="H1955" i="7" a="1"/>
  <c r="H1955" i="7" s="1"/>
  <c r="H1956" i="7" a="1"/>
  <c r="H1956" i="7" s="1"/>
  <c r="H1957" i="7" a="1"/>
  <c r="H1957" i="7" s="1"/>
  <c r="H1958" i="7" a="1"/>
  <c r="H1958" i="7" s="1"/>
  <c r="H1959" i="7" a="1"/>
  <c r="H1959" i="7" s="1"/>
  <c r="H1960" i="7" a="1"/>
  <c r="H1960" i="7" s="1"/>
  <c r="H1961" i="7" a="1"/>
  <c r="H1961" i="7" s="1"/>
  <c r="H1962" i="7" a="1"/>
  <c r="H1962" i="7" s="1"/>
  <c r="H1963" i="7" a="1"/>
  <c r="H1963" i="7" s="1"/>
  <c r="H1964" i="7" a="1"/>
  <c r="H1964" i="7" s="1"/>
  <c r="H1965" i="7" a="1"/>
  <c r="H1965" i="7" s="1"/>
  <c r="H1966" i="7" a="1"/>
  <c r="H1966" i="7" s="1"/>
  <c r="H1967" i="7" a="1"/>
  <c r="H1967" i="7" s="1"/>
  <c r="H1968" i="7" a="1"/>
  <c r="H1968" i="7" s="1"/>
  <c r="H1969" i="7" a="1"/>
  <c r="H1969" i="7" s="1"/>
  <c r="H1970" i="7" a="1"/>
  <c r="H1970" i="7" s="1"/>
  <c r="H1971" i="7" a="1"/>
  <c r="H1971" i="7" s="1"/>
  <c r="H1972" i="7" a="1"/>
  <c r="H1972" i="7" s="1"/>
  <c r="H1973" i="7" a="1"/>
  <c r="H1973" i="7" s="1"/>
  <c r="H1974" i="7" a="1"/>
  <c r="H1974" i="7" s="1"/>
  <c r="H1975" i="7" a="1"/>
  <c r="H1975" i="7" s="1"/>
  <c r="H1976" i="7" a="1"/>
  <c r="H1976" i="7" s="1"/>
  <c r="H1977" i="7" a="1"/>
  <c r="H1977" i="7" s="1"/>
  <c r="H1978" i="7" a="1"/>
  <c r="H1978" i="7" s="1"/>
  <c r="H1979" i="7" a="1"/>
  <c r="H1979" i="7" s="1"/>
  <c r="H1980" i="7" a="1"/>
  <c r="H1980" i="7" s="1"/>
  <c r="H1981" i="7" a="1"/>
  <c r="H1981" i="7" s="1"/>
  <c r="H1982" i="7" a="1"/>
  <c r="H1982" i="7" s="1"/>
  <c r="H1983" i="7" a="1"/>
  <c r="H1983" i="7" s="1"/>
  <c r="H1984" i="7" a="1"/>
  <c r="H1984" i="7" s="1"/>
  <c r="H1985" i="7" a="1"/>
  <c r="H1985" i="7" s="1"/>
  <c r="H1986" i="7" a="1"/>
  <c r="H1986" i="7" s="1"/>
  <c r="H1987" i="7" a="1"/>
  <c r="H1987" i="7" s="1"/>
  <c r="H1988" i="7" a="1"/>
  <c r="H1988" i="7" s="1"/>
  <c r="H1989" i="7" a="1"/>
  <c r="H1989" i="7" s="1"/>
  <c r="H1990" i="7" a="1"/>
  <c r="H1990" i="7" s="1"/>
  <c r="H1991" i="7" a="1"/>
  <c r="H1991" i="7" s="1"/>
  <c r="H1992" i="7" a="1"/>
  <c r="H1992" i="7" s="1"/>
  <c r="H1993" i="7" a="1"/>
  <c r="H1993" i="7" s="1"/>
  <c r="H1994" i="7" a="1"/>
  <c r="H1994" i="7" s="1"/>
  <c r="H1995" i="7" a="1"/>
  <c r="H1995" i="7" s="1"/>
  <c r="H1996" i="7" a="1"/>
  <c r="H1996" i="7" s="1"/>
  <c r="H1997" i="7" a="1"/>
  <c r="H1997" i="7" s="1"/>
  <c r="H1998" i="7" a="1"/>
  <c r="H1998" i="7" s="1"/>
  <c r="H1999" i="7" a="1"/>
  <c r="H1999" i="7" s="1"/>
  <c r="H2000" i="7" a="1"/>
  <c r="H2000" i="7" s="1"/>
  <c r="H2001" i="7" a="1"/>
  <c r="H2001" i="7" s="1"/>
  <c r="H2002" i="7" a="1"/>
  <c r="H2002" i="7" s="1"/>
  <c r="H2003" i="7" a="1"/>
  <c r="H2003" i="7" s="1"/>
  <c r="H2004" i="7" a="1"/>
  <c r="H2004" i="7" s="1"/>
  <c r="H2005" i="7" a="1"/>
  <c r="H2005" i="7" s="1"/>
  <c r="H2006" i="7" a="1"/>
  <c r="H2006" i="7" s="1"/>
  <c r="H2007" i="7" a="1"/>
  <c r="H2007" i="7" s="1"/>
  <c r="H2008" i="7" a="1"/>
  <c r="H2008" i="7" s="1"/>
  <c r="H2009" i="7" a="1"/>
  <c r="H2009" i="7" s="1"/>
  <c r="H2010" i="7" a="1"/>
  <c r="H2010" i="7" s="1"/>
  <c r="H2011" i="7" a="1"/>
  <c r="H2011" i="7" s="1"/>
  <c r="H2012" i="7" a="1"/>
  <c r="H2012" i="7" s="1"/>
  <c r="H2013" i="7" a="1"/>
  <c r="H2013" i="7" s="1"/>
  <c r="H2014" i="7" a="1"/>
  <c r="H2014" i="7" s="1"/>
  <c r="H2015" i="7" a="1"/>
  <c r="H2015" i="7" s="1"/>
  <c r="H2016" i="7" a="1"/>
  <c r="H2016" i="7" s="1"/>
  <c r="H2017" i="7" a="1"/>
  <c r="H2017" i="7" s="1"/>
  <c r="H2018" i="7" a="1"/>
  <c r="H2018" i="7" s="1"/>
  <c r="H2019" i="7" a="1"/>
  <c r="H2019" i="7" s="1"/>
  <c r="H2020" i="7" a="1"/>
  <c r="H2020" i="7" s="1"/>
  <c r="H2021" i="7" a="1"/>
  <c r="H2021" i="7" s="1"/>
  <c r="H2022" i="7" a="1"/>
  <c r="H2022" i="7" s="1"/>
  <c r="H2023" i="7" a="1"/>
  <c r="H2023" i="7" s="1"/>
  <c r="H2024" i="7" a="1"/>
  <c r="H2024" i="7" s="1"/>
  <c r="H2025" i="7" a="1"/>
  <c r="H2025" i="7" s="1"/>
  <c r="H2026" i="7" a="1"/>
  <c r="H2026" i="7" s="1"/>
  <c r="H2027" i="7" a="1"/>
  <c r="H2027" i="7" s="1"/>
  <c r="H2028" i="7" a="1"/>
  <c r="H2028" i="7" s="1"/>
  <c r="H2029" i="7" a="1"/>
  <c r="H2029" i="7" s="1"/>
  <c r="H2030" i="7" a="1"/>
  <c r="H2030" i="7" s="1"/>
  <c r="H2031" i="7" a="1"/>
  <c r="H2031" i="7" s="1"/>
  <c r="H2032" i="7" a="1"/>
  <c r="H2032" i="7" s="1"/>
  <c r="H2033" i="7" a="1"/>
  <c r="H2033" i="7" s="1"/>
  <c r="H2034" i="7" a="1"/>
  <c r="H2034" i="7" s="1"/>
  <c r="H2035" i="7" a="1"/>
  <c r="H2035" i="7" s="1"/>
  <c r="H2036" i="7" a="1"/>
  <c r="H2036" i="7" s="1"/>
  <c r="H2037" i="7" a="1"/>
  <c r="H2037" i="7" s="1"/>
  <c r="H2038" i="7" a="1"/>
  <c r="H2038" i="7" s="1"/>
  <c r="H2039" i="7" a="1"/>
  <c r="H2039" i="7" s="1"/>
  <c r="H2040" i="7" a="1"/>
  <c r="H2040" i="7" s="1"/>
  <c r="H2041" i="7" a="1"/>
  <c r="H2041" i="7" s="1"/>
  <c r="H2042" i="7" a="1"/>
  <c r="H2042" i="7" s="1"/>
  <c r="H2043" i="7" a="1"/>
  <c r="H2043" i="7" s="1"/>
  <c r="H2044" i="7" a="1"/>
  <c r="H2044" i="7" s="1"/>
  <c r="H2045" i="7" a="1"/>
  <c r="H2045" i="7" s="1"/>
  <c r="H2046" i="7" a="1"/>
  <c r="H2046" i="7" s="1"/>
  <c r="H2047" i="7" a="1"/>
  <c r="H2047" i="7" s="1"/>
  <c r="H2048" i="7" a="1"/>
  <c r="H2048" i="7" s="1"/>
  <c r="H2049" i="7" a="1"/>
  <c r="H2049" i="7" s="1"/>
  <c r="H2050" i="7" a="1"/>
  <c r="H2050" i="7" s="1"/>
  <c r="H2051" i="7" a="1"/>
  <c r="H2051" i="7" s="1"/>
  <c r="H2052" i="7" a="1"/>
  <c r="H2052" i="7" s="1"/>
  <c r="H2053" i="7" a="1"/>
  <c r="H2053" i="7" s="1"/>
  <c r="H2054" i="7" a="1"/>
  <c r="H2054" i="7" s="1"/>
  <c r="H2055" i="7" a="1"/>
  <c r="H2055" i="7" s="1"/>
  <c r="H2056" i="7" a="1"/>
  <c r="H2056" i="7" s="1"/>
  <c r="H2057" i="7" a="1"/>
  <c r="H2057" i="7" s="1"/>
  <c r="H2058" i="7" a="1"/>
  <c r="H2058" i="7" s="1"/>
  <c r="H2059" i="7" a="1"/>
  <c r="H2059" i="7" s="1"/>
  <c r="H2060" i="7" a="1"/>
  <c r="H2060" i="7" s="1"/>
  <c r="H2061" i="7" a="1"/>
  <c r="H2061" i="7" s="1"/>
  <c r="H2062" i="7" a="1"/>
  <c r="H2062" i="7" s="1"/>
  <c r="H2063" i="7" a="1"/>
  <c r="H2063" i="7" s="1"/>
  <c r="H2064" i="7" a="1"/>
  <c r="H2064" i="7" s="1"/>
  <c r="H2065" i="7" a="1"/>
  <c r="H2065" i="7" s="1"/>
  <c r="H2066" i="7" a="1"/>
  <c r="H2066" i="7" s="1"/>
  <c r="H2067" i="7" a="1"/>
  <c r="H2067" i="7" s="1"/>
  <c r="H2068" i="7" a="1"/>
  <c r="H2068" i="7" s="1"/>
  <c r="H2069" i="7" a="1"/>
  <c r="H2069" i="7" s="1"/>
  <c r="H2070" i="7" a="1"/>
  <c r="H2070" i="7" s="1"/>
  <c r="H2071" i="7" a="1"/>
  <c r="H2071" i="7" s="1"/>
  <c r="H2072" i="7" a="1"/>
  <c r="H2072" i="7" s="1"/>
  <c r="H2073" i="7" a="1"/>
  <c r="H2073" i="7" s="1"/>
  <c r="H2074" i="7" a="1"/>
  <c r="H2074" i="7" s="1"/>
  <c r="H2075" i="7" a="1"/>
  <c r="H2075" i="7" s="1"/>
  <c r="H2076" i="7" a="1"/>
  <c r="H2076" i="7" s="1"/>
  <c r="H2077" i="7" a="1"/>
  <c r="H2077" i="7" s="1"/>
  <c r="H2078" i="7" a="1"/>
  <c r="H2078" i="7" s="1"/>
  <c r="H2079" i="7" a="1"/>
  <c r="H2079" i="7" s="1"/>
  <c r="H2080" i="7" a="1"/>
  <c r="H2080" i="7" s="1"/>
  <c r="H2081" i="7" a="1"/>
  <c r="H2081" i="7" s="1"/>
  <c r="H2082" i="7" a="1"/>
  <c r="H2082" i="7" s="1"/>
  <c r="H2083" i="7" a="1"/>
  <c r="H2083" i="7" s="1"/>
  <c r="H2084" i="7" a="1"/>
  <c r="H2084" i="7" s="1"/>
  <c r="H2085" i="7" a="1"/>
  <c r="H2085" i="7" s="1"/>
  <c r="H2086" i="7" a="1"/>
  <c r="H2086" i="7" s="1"/>
  <c r="H2087" i="7" a="1"/>
  <c r="H2087" i="7" s="1"/>
  <c r="H2088" i="7" a="1"/>
  <c r="H2088" i="7" s="1"/>
  <c r="H2089" i="7" a="1"/>
  <c r="H2089" i="7" s="1"/>
  <c r="H2090" i="7" a="1"/>
  <c r="H2090" i="7" s="1"/>
  <c r="H2091" i="7" a="1"/>
  <c r="H2091" i="7" s="1"/>
  <c r="H2092" i="7" a="1"/>
  <c r="H2092" i="7" s="1"/>
  <c r="H2093" i="7" a="1"/>
  <c r="H2093" i="7" s="1"/>
  <c r="H2094" i="7" a="1"/>
  <c r="H2094" i="7" s="1"/>
  <c r="H2095" i="7" a="1"/>
  <c r="H2095" i="7" s="1"/>
  <c r="H2096" i="7" a="1"/>
  <c r="H2096" i="7" s="1"/>
  <c r="H2097" i="7" a="1"/>
  <c r="H2097" i="7" s="1"/>
  <c r="H2098" i="7" a="1"/>
  <c r="H2098" i="7" s="1"/>
  <c r="H2099" i="7" a="1"/>
  <c r="H2099" i="7" s="1"/>
  <c r="H2100" i="7" a="1"/>
  <c r="H2100" i="7" s="1"/>
  <c r="H2101" i="7" a="1"/>
  <c r="H2101" i="7" s="1"/>
  <c r="H2102" i="7" a="1"/>
  <c r="H2102" i="7" s="1"/>
  <c r="H2103" i="7" a="1"/>
  <c r="H2103" i="7" s="1"/>
  <c r="H2104" i="7" a="1"/>
  <c r="H2104" i="7" s="1"/>
  <c r="H2105" i="7" a="1"/>
  <c r="H2105" i="7" s="1"/>
  <c r="H2106" i="7" a="1"/>
  <c r="H2106" i="7" s="1"/>
  <c r="H2107" i="7" a="1"/>
  <c r="H2107" i="7" s="1"/>
  <c r="H2108" i="7" a="1"/>
  <c r="H2108" i="7" s="1"/>
  <c r="H2109" i="7" a="1"/>
  <c r="H2109" i="7" s="1"/>
  <c r="H2110" i="7" a="1"/>
  <c r="H2110" i="7" s="1"/>
  <c r="H2111" i="7" a="1"/>
  <c r="H2111" i="7" s="1"/>
  <c r="H2112" i="7" a="1"/>
  <c r="H2112" i="7" s="1"/>
  <c r="H2113" i="7" a="1"/>
  <c r="H2113" i="7" s="1"/>
  <c r="H2114" i="7" a="1"/>
  <c r="H2114" i="7" s="1"/>
  <c r="H2115" i="7" a="1"/>
  <c r="H2115" i="7" s="1"/>
  <c r="H2116" i="7" a="1"/>
  <c r="H2116" i="7" s="1"/>
  <c r="H2117" i="7" a="1"/>
  <c r="H2117" i="7" s="1"/>
  <c r="H2118" i="7" a="1"/>
  <c r="H2118" i="7" s="1"/>
  <c r="H2119" i="7" a="1"/>
  <c r="H2119" i="7" s="1"/>
  <c r="H2120" i="7" a="1"/>
  <c r="H2120" i="7" s="1"/>
  <c r="H2121" i="7" a="1"/>
  <c r="H2121" i="7" s="1"/>
  <c r="H2122" i="7" a="1"/>
  <c r="H2122" i="7" s="1"/>
  <c r="H2123" i="7" a="1"/>
  <c r="H2123" i="7" s="1"/>
  <c r="H2124" i="7" a="1"/>
  <c r="H2124" i="7" s="1"/>
  <c r="H2125" i="7" a="1"/>
  <c r="H2125" i="7" s="1"/>
  <c r="H2126" i="7" a="1"/>
  <c r="H2126" i="7" s="1"/>
  <c r="H2127" i="7" a="1"/>
  <c r="H2127" i="7" s="1"/>
  <c r="H2128" i="7" a="1"/>
  <c r="H2128" i="7" s="1"/>
  <c r="H2129" i="7" a="1"/>
  <c r="H2129" i="7" s="1"/>
  <c r="H2130" i="7" a="1"/>
  <c r="H2130" i="7" s="1"/>
  <c r="H2131" i="7" a="1"/>
  <c r="H2131" i="7" s="1"/>
  <c r="H2132" i="7" a="1"/>
  <c r="H2132" i="7" s="1"/>
  <c r="H2133" i="7" a="1"/>
  <c r="H2133" i="7" s="1"/>
  <c r="H2134" i="7" a="1"/>
  <c r="H2134" i="7" s="1"/>
  <c r="H2135" i="7" a="1"/>
  <c r="H2135" i="7" s="1"/>
  <c r="H2136" i="7" a="1"/>
  <c r="H2136" i="7" s="1"/>
  <c r="H2137" i="7" a="1"/>
  <c r="H2137" i="7" s="1"/>
  <c r="H2138" i="7" a="1"/>
  <c r="H2138" i="7" s="1"/>
  <c r="H2139" i="7" a="1"/>
  <c r="H2139" i="7" s="1"/>
  <c r="H2140" i="7" a="1"/>
  <c r="H2140" i="7" s="1"/>
  <c r="H2141" i="7" a="1"/>
  <c r="H2141" i="7" s="1"/>
  <c r="H2142" i="7" a="1"/>
  <c r="H2142" i="7" s="1"/>
  <c r="H2143" i="7" a="1"/>
  <c r="H2143" i="7" s="1"/>
  <c r="H2144" i="7" a="1"/>
  <c r="H2144" i="7" s="1"/>
  <c r="H2145" i="7" a="1"/>
  <c r="H2145" i="7" s="1"/>
  <c r="H2146" i="7" a="1"/>
  <c r="H2146" i="7" s="1"/>
  <c r="H2147" i="7" a="1"/>
  <c r="H2147" i="7" s="1"/>
  <c r="H2148" i="7" a="1"/>
  <c r="H2148" i="7" s="1"/>
  <c r="H2149" i="7" a="1"/>
  <c r="H2149" i="7" s="1"/>
  <c r="H2150" i="7" a="1"/>
  <c r="H2150" i="7" s="1"/>
  <c r="H2151" i="7" a="1"/>
  <c r="H2151" i="7" s="1"/>
  <c r="H2152" i="7" a="1"/>
  <c r="H2152" i="7" s="1"/>
  <c r="H2153" i="7" a="1"/>
  <c r="H2153" i="7" s="1"/>
  <c r="H2154" i="7" a="1"/>
  <c r="H2154" i="7" s="1"/>
  <c r="H2155" i="7" a="1"/>
  <c r="H2155" i="7" s="1"/>
  <c r="H2156" i="7" a="1"/>
  <c r="H2156" i="7" s="1"/>
  <c r="H2157" i="7" a="1"/>
  <c r="H2157" i="7" s="1"/>
  <c r="H2158" i="7" a="1"/>
  <c r="H2158" i="7" s="1"/>
  <c r="H2159" i="7" a="1"/>
  <c r="H2159" i="7" s="1"/>
  <c r="H2160" i="7" a="1"/>
  <c r="H2160" i="7" s="1"/>
  <c r="H2161" i="7" a="1"/>
  <c r="H2161" i="7" s="1"/>
  <c r="H2162" i="7" a="1"/>
  <c r="H2162" i="7" s="1"/>
  <c r="H2163" i="7" a="1"/>
  <c r="H2163" i="7" s="1"/>
  <c r="H2164" i="7" a="1"/>
  <c r="H2164" i="7" s="1"/>
  <c r="H2165" i="7" a="1"/>
  <c r="H2165" i="7" s="1"/>
  <c r="H2166" i="7" a="1"/>
  <c r="H2166" i="7" s="1"/>
  <c r="H2167" i="7" a="1"/>
  <c r="H2167" i="7" s="1"/>
  <c r="H2168" i="7" a="1"/>
  <c r="H2168" i="7" s="1"/>
  <c r="H2169" i="7" a="1"/>
  <c r="H2169" i="7" s="1"/>
  <c r="H2170" i="7" a="1"/>
  <c r="H2170" i="7" s="1"/>
  <c r="H2171" i="7" a="1"/>
  <c r="H2171" i="7" s="1"/>
  <c r="H2172" i="7" a="1"/>
  <c r="H2172" i="7" s="1"/>
  <c r="H2173" i="7" a="1"/>
  <c r="H2173" i="7" s="1"/>
  <c r="H2174" i="7" a="1"/>
  <c r="H2174" i="7" s="1"/>
  <c r="H2175" i="7" a="1"/>
  <c r="H2175" i="7" s="1"/>
  <c r="H2176" i="7" a="1"/>
  <c r="H2176" i="7" s="1"/>
  <c r="H2177" i="7" a="1"/>
  <c r="H2177" i="7" s="1"/>
  <c r="H2178" i="7" a="1"/>
  <c r="H2178" i="7" s="1"/>
  <c r="H2179" i="7" a="1"/>
  <c r="H2179" i="7" s="1"/>
  <c r="H2180" i="7" a="1"/>
  <c r="H2180" i="7" s="1"/>
  <c r="H2181" i="7" a="1"/>
  <c r="H2181" i="7" s="1"/>
  <c r="H2182" i="7" a="1"/>
  <c r="H2182" i="7" s="1"/>
  <c r="H2183" i="7" a="1"/>
  <c r="H2183" i="7" s="1"/>
  <c r="H2184" i="7" a="1"/>
  <c r="H2184" i="7" s="1"/>
  <c r="H2185" i="7" a="1"/>
  <c r="H2185" i="7" s="1"/>
  <c r="H2186" i="7" a="1"/>
  <c r="H2186" i="7" s="1"/>
  <c r="H2187" i="7" a="1"/>
  <c r="H2187" i="7" s="1"/>
  <c r="H2188" i="7" a="1"/>
  <c r="H2188" i="7" s="1"/>
  <c r="H2189" i="7" a="1"/>
  <c r="H2189" i="7" s="1"/>
  <c r="H2190" i="7" a="1"/>
  <c r="H2190" i="7" s="1"/>
  <c r="H2191" i="7" a="1"/>
  <c r="H2191" i="7" s="1"/>
  <c r="H2192" i="7" a="1"/>
  <c r="H2192" i="7" s="1"/>
  <c r="H2193" i="7" a="1"/>
  <c r="H2193" i="7" s="1"/>
  <c r="H2194" i="7" a="1"/>
  <c r="H2194" i="7" s="1"/>
  <c r="H2195" i="7" a="1"/>
  <c r="H2195" i="7" s="1"/>
  <c r="H2196" i="7" a="1"/>
  <c r="H2196" i="7" s="1"/>
  <c r="H2197" i="7" a="1"/>
  <c r="H2197" i="7" s="1"/>
  <c r="H2198" i="7" a="1"/>
  <c r="H2198" i="7" s="1"/>
  <c r="H2199" i="7" a="1"/>
  <c r="H2199" i="7" s="1"/>
  <c r="H2200" i="7" a="1"/>
  <c r="H2200" i="7" s="1"/>
  <c r="H2201" i="7" a="1"/>
  <c r="H2201" i="7" s="1"/>
  <c r="H2202" i="7" a="1"/>
  <c r="H2202" i="7" s="1"/>
  <c r="H2203" i="7" a="1"/>
  <c r="H2203" i="7" s="1"/>
  <c r="H2204" i="7" a="1"/>
  <c r="H2204" i="7" s="1"/>
  <c r="H2205" i="7" a="1"/>
  <c r="H2205" i="7" s="1"/>
  <c r="H2206" i="7" a="1"/>
  <c r="H2206" i="7" s="1"/>
  <c r="H2207" i="7" a="1"/>
  <c r="H2207" i="7" s="1"/>
  <c r="H2208" i="7" a="1"/>
  <c r="H2208" i="7" s="1"/>
  <c r="H2209" i="7" a="1"/>
  <c r="H2209" i="7" s="1"/>
  <c r="H2210" i="7" a="1"/>
  <c r="H2210" i="7" s="1"/>
  <c r="H2211" i="7" a="1"/>
  <c r="H2211" i="7" s="1"/>
  <c r="H2212" i="7" a="1"/>
  <c r="H2212" i="7" s="1"/>
  <c r="H2213" i="7" a="1"/>
  <c r="H2213" i="7" s="1"/>
  <c r="H2214" i="7" a="1"/>
  <c r="H2214" i="7" s="1"/>
  <c r="H2215" i="7" a="1"/>
  <c r="H2215" i="7" s="1"/>
  <c r="H2216" i="7" a="1"/>
  <c r="H2216" i="7" s="1"/>
  <c r="H2217" i="7" a="1"/>
  <c r="H2217" i="7" s="1"/>
  <c r="H2218" i="7" a="1"/>
  <c r="H2218" i="7" s="1"/>
  <c r="H2219" i="7" a="1"/>
  <c r="H2219" i="7" s="1"/>
  <c r="H2220" i="7" a="1"/>
  <c r="H2220" i="7" s="1"/>
  <c r="H2221" i="7" a="1"/>
  <c r="H2221" i="7" s="1"/>
  <c r="H2222" i="7" a="1"/>
  <c r="H2222" i="7" s="1"/>
  <c r="H2223" i="7" a="1"/>
  <c r="H2223" i="7" s="1"/>
  <c r="H2224" i="7" a="1"/>
  <c r="H2224" i="7" s="1"/>
  <c r="H2225" i="7" a="1"/>
  <c r="H2225" i="7" s="1"/>
  <c r="H2226" i="7" a="1"/>
  <c r="H2226" i="7" s="1"/>
  <c r="H2227" i="7" a="1"/>
  <c r="H2227" i="7" s="1"/>
  <c r="H2228" i="7" a="1"/>
  <c r="H2228" i="7" s="1"/>
  <c r="H2229" i="7" a="1"/>
  <c r="H2229" i="7" s="1"/>
  <c r="H2230" i="7" a="1"/>
  <c r="H2230" i="7" s="1"/>
  <c r="H2231" i="7" a="1"/>
  <c r="H2231" i="7" s="1"/>
  <c r="H2232" i="7" a="1"/>
  <c r="H2232" i="7" s="1"/>
  <c r="H2233" i="7" a="1"/>
  <c r="H2233" i="7" s="1"/>
  <c r="H2234" i="7" a="1"/>
  <c r="H2234" i="7" s="1"/>
  <c r="H2235" i="7" a="1"/>
  <c r="H2235" i="7" s="1"/>
  <c r="H2236" i="7" a="1"/>
  <c r="H2236" i="7" s="1"/>
  <c r="H2237" i="7" a="1"/>
  <c r="H2237" i="7" s="1"/>
  <c r="H2238" i="7" a="1"/>
  <c r="H2238" i="7" s="1"/>
  <c r="H2239" i="7" a="1"/>
  <c r="H2239" i="7" s="1"/>
  <c r="H2240" i="7" a="1"/>
  <c r="H2240" i="7" s="1"/>
  <c r="H2241" i="7" a="1"/>
  <c r="H2241" i="7" s="1"/>
  <c r="H2242" i="7" a="1"/>
  <c r="H2242" i="7" s="1"/>
  <c r="H2243" i="7" a="1"/>
  <c r="H2243" i="7" s="1"/>
  <c r="H2244" i="7" a="1"/>
  <c r="H2244" i="7" s="1"/>
  <c r="H2245" i="7" a="1"/>
  <c r="H2245" i="7" s="1"/>
  <c r="H2246" i="7" a="1"/>
  <c r="H2246" i="7" s="1"/>
  <c r="H2247" i="7" a="1"/>
  <c r="H2247" i="7" s="1"/>
  <c r="H2248" i="7" a="1"/>
  <c r="H2248" i="7" s="1"/>
  <c r="H2249" i="7" a="1"/>
  <c r="H2249" i="7" s="1"/>
  <c r="H2250" i="7" a="1"/>
  <c r="H2250" i="7" s="1"/>
  <c r="H2251" i="7" a="1"/>
  <c r="H2251" i="7" s="1"/>
  <c r="H2252" i="7" a="1"/>
  <c r="H2252" i="7" s="1"/>
  <c r="H2253" i="7" a="1"/>
  <c r="H2253" i="7" s="1"/>
  <c r="H2254" i="7" a="1"/>
  <c r="H2254" i="7" s="1"/>
  <c r="H2255" i="7" a="1"/>
  <c r="H2255" i="7" s="1"/>
  <c r="H2256" i="7" a="1"/>
  <c r="H2256" i="7" s="1"/>
  <c r="H2257" i="7" a="1"/>
  <c r="H2257" i="7" s="1"/>
  <c r="H2258" i="7" a="1"/>
  <c r="H2258" i="7" s="1"/>
  <c r="H2259" i="7" a="1"/>
  <c r="H2259" i="7" s="1"/>
  <c r="H2260" i="7" a="1"/>
  <c r="H2260" i="7" s="1"/>
  <c r="H2261" i="7" a="1"/>
  <c r="H2261" i="7" s="1"/>
  <c r="H2262" i="7" a="1"/>
  <c r="H2262" i="7" s="1"/>
  <c r="H2263" i="7" a="1"/>
  <c r="H2263" i="7" s="1"/>
  <c r="H2264" i="7" a="1"/>
  <c r="H2264" i="7" s="1"/>
  <c r="H2265" i="7" a="1"/>
  <c r="H2265" i="7" s="1"/>
  <c r="H2266" i="7" a="1"/>
  <c r="H2266" i="7" s="1"/>
  <c r="H2267" i="7" a="1"/>
  <c r="H2267" i="7" s="1"/>
  <c r="H2268" i="7" a="1"/>
  <c r="H2268" i="7" s="1"/>
  <c r="H2269" i="7" a="1"/>
  <c r="H2269" i="7" s="1"/>
  <c r="H2270" i="7" a="1"/>
  <c r="H2270" i="7" s="1"/>
  <c r="H2271" i="7" a="1"/>
  <c r="H2271" i="7" s="1"/>
  <c r="H2272" i="7" a="1"/>
  <c r="H2272" i="7" s="1"/>
  <c r="H2273" i="7" a="1"/>
  <c r="H2273" i="7" s="1"/>
  <c r="H2274" i="7" a="1"/>
  <c r="H2274" i="7" s="1"/>
  <c r="H2275" i="7" a="1"/>
  <c r="H2275" i="7" s="1"/>
  <c r="H2276" i="7" a="1"/>
  <c r="H2276" i="7" s="1"/>
  <c r="H2277" i="7" a="1"/>
  <c r="H2277" i="7" s="1"/>
  <c r="H2278" i="7" a="1"/>
  <c r="H2278" i="7" s="1"/>
  <c r="H2279" i="7" a="1"/>
  <c r="H2279" i="7" s="1"/>
  <c r="H2280" i="7" a="1"/>
  <c r="H2280" i="7" s="1"/>
  <c r="H2281" i="7" a="1"/>
  <c r="H2281" i="7" s="1"/>
  <c r="H2282" i="7" a="1"/>
  <c r="H2282" i="7" s="1"/>
  <c r="H2283" i="7" a="1"/>
  <c r="H2283" i="7" s="1"/>
  <c r="H2284" i="7" a="1"/>
  <c r="H2284" i="7" s="1"/>
  <c r="H2285" i="7" a="1"/>
  <c r="H2285" i="7" s="1"/>
  <c r="H2286" i="7" a="1"/>
  <c r="H2286" i="7" s="1"/>
  <c r="H2287" i="7" a="1"/>
  <c r="H2287" i="7" s="1"/>
  <c r="H2288" i="7" a="1"/>
  <c r="H2288" i="7" s="1"/>
  <c r="H2289" i="7" a="1"/>
  <c r="H2289" i="7" s="1"/>
  <c r="H2290" i="7" a="1"/>
  <c r="H2290" i="7" s="1"/>
  <c r="H2291" i="7" a="1"/>
  <c r="H2291" i="7" s="1"/>
  <c r="H2292" i="7" a="1"/>
  <c r="H2292" i="7" s="1"/>
  <c r="H2293" i="7" a="1"/>
  <c r="H2293" i="7" s="1"/>
  <c r="H2294" i="7" a="1"/>
  <c r="H2294" i="7" s="1"/>
  <c r="H2295" i="7" a="1"/>
  <c r="H2295" i="7" s="1"/>
  <c r="H2296" i="7" a="1"/>
  <c r="H2296" i="7" s="1"/>
  <c r="H2297" i="7" a="1"/>
  <c r="H2297" i="7" s="1"/>
  <c r="H2298" i="7" a="1"/>
  <c r="H2298" i="7" s="1"/>
  <c r="H2299" i="7" a="1"/>
  <c r="H2299" i="7" s="1"/>
  <c r="H2300" i="7" a="1"/>
  <c r="H2300" i="7" s="1"/>
  <c r="H2301" i="7" a="1"/>
  <c r="H2301" i="7" s="1"/>
  <c r="H2302" i="7" a="1"/>
  <c r="H2302" i="7" s="1"/>
  <c r="H2303" i="7" a="1"/>
  <c r="H2303" i="7" s="1"/>
  <c r="H2304" i="7" a="1"/>
  <c r="H2304" i="7" s="1"/>
  <c r="H2305" i="7" a="1"/>
  <c r="H2305" i="7" s="1"/>
  <c r="H2306" i="7" a="1"/>
  <c r="H2306" i="7" s="1"/>
  <c r="H2307" i="7" a="1"/>
  <c r="H2307" i="7" s="1"/>
  <c r="H2308" i="7" a="1"/>
  <c r="H2308" i="7" s="1"/>
  <c r="H2309" i="7" a="1"/>
  <c r="H2309" i="7" s="1"/>
  <c r="H2310" i="7" a="1"/>
  <c r="H2310" i="7" s="1"/>
  <c r="H2311" i="7" a="1"/>
  <c r="H2311" i="7" s="1"/>
  <c r="H2312" i="7" a="1"/>
  <c r="H2312" i="7" s="1"/>
  <c r="H2313" i="7" a="1"/>
  <c r="H2313" i="7" s="1"/>
  <c r="H2314" i="7" a="1"/>
  <c r="H2314" i="7" s="1"/>
  <c r="H2315" i="7" a="1"/>
  <c r="H2315" i="7" s="1"/>
  <c r="H2316" i="7" a="1"/>
  <c r="H2316" i="7" s="1"/>
  <c r="H2317" i="7" a="1"/>
  <c r="H2317" i="7" s="1"/>
  <c r="H2318" i="7" a="1"/>
  <c r="H2318" i="7" s="1"/>
  <c r="H2319" i="7" a="1"/>
  <c r="H2319" i="7" s="1"/>
  <c r="H2320" i="7" a="1"/>
  <c r="H2320" i="7" s="1"/>
  <c r="H2321" i="7" a="1"/>
  <c r="H2321" i="7" s="1"/>
  <c r="H2322" i="7" a="1"/>
  <c r="H2322" i="7" s="1"/>
  <c r="H2323" i="7" a="1"/>
  <c r="H2323" i="7" s="1"/>
  <c r="H2324" i="7" a="1"/>
  <c r="H2324" i="7" s="1"/>
  <c r="H2325" i="7" a="1"/>
  <c r="H2325" i="7" s="1"/>
  <c r="H2326" i="7" a="1"/>
  <c r="H2326" i="7" s="1"/>
  <c r="H2327" i="7" a="1"/>
  <c r="H2327" i="7" s="1"/>
  <c r="H2328" i="7" a="1"/>
  <c r="H2328" i="7" s="1"/>
  <c r="H2329" i="7" a="1"/>
  <c r="H2329" i="7" s="1"/>
  <c r="H2330" i="7" a="1"/>
  <c r="H2330" i="7" s="1"/>
  <c r="H2331" i="7" a="1"/>
  <c r="H2331" i="7" s="1"/>
  <c r="H2332" i="7" a="1"/>
  <c r="H2332" i="7" s="1"/>
  <c r="H2333" i="7" a="1"/>
  <c r="H2333" i="7" s="1"/>
  <c r="H2334" i="7" a="1"/>
  <c r="H2334" i="7" s="1"/>
  <c r="H2335" i="7" a="1"/>
  <c r="H2335" i="7" s="1"/>
  <c r="H2336" i="7" a="1"/>
  <c r="H2336" i="7" s="1"/>
  <c r="H2337" i="7" a="1"/>
  <c r="H2337" i="7" s="1"/>
  <c r="H2338" i="7" a="1"/>
  <c r="H2338" i="7" s="1"/>
  <c r="H2339" i="7" a="1"/>
  <c r="H2339" i="7" s="1"/>
  <c r="H2340" i="7" a="1"/>
  <c r="H2340" i="7" s="1"/>
  <c r="H2341" i="7" a="1"/>
  <c r="H2341" i="7" s="1"/>
  <c r="H2342" i="7" a="1"/>
  <c r="H2342" i="7" s="1"/>
  <c r="H2343" i="7" a="1"/>
  <c r="H2343" i="7" s="1"/>
  <c r="H2344" i="7" a="1"/>
  <c r="H2344" i="7" s="1"/>
  <c r="H2345" i="7" a="1"/>
  <c r="H2345" i="7" s="1"/>
  <c r="H2346" i="7" a="1"/>
  <c r="H2346" i="7" s="1"/>
  <c r="H2347" i="7" a="1"/>
  <c r="H2347" i="7" s="1"/>
  <c r="H2348" i="7" a="1"/>
  <c r="H2348" i="7" s="1"/>
  <c r="H2349" i="7" a="1"/>
  <c r="H2349" i="7" s="1"/>
  <c r="H2350" i="7" a="1"/>
  <c r="H2350" i="7" s="1"/>
  <c r="H2351" i="7" a="1"/>
  <c r="H2351" i="7" s="1"/>
  <c r="H2352" i="7" a="1"/>
  <c r="H2352" i="7" s="1"/>
  <c r="H2353" i="7" a="1"/>
  <c r="H2353" i="7" s="1"/>
  <c r="H2354" i="7" a="1"/>
  <c r="H2354" i="7" s="1"/>
  <c r="H2355" i="7" a="1"/>
  <c r="H2355" i="7" s="1"/>
  <c r="H2356" i="7" a="1"/>
  <c r="H2356" i="7" s="1"/>
  <c r="H2357" i="7" a="1"/>
  <c r="H2357" i="7" s="1"/>
  <c r="H2358" i="7" a="1"/>
  <c r="H2358" i="7" s="1"/>
  <c r="H2359" i="7" a="1"/>
  <c r="H2359" i="7" s="1"/>
  <c r="H2360" i="7" a="1"/>
  <c r="H2360" i="7" s="1"/>
  <c r="H2361" i="7" a="1"/>
  <c r="H2361" i="7" s="1"/>
  <c r="H2362" i="7" a="1"/>
  <c r="H2362" i="7" s="1"/>
  <c r="H2363" i="7" a="1"/>
  <c r="H2363" i="7" s="1"/>
  <c r="H2364" i="7" a="1"/>
  <c r="H2364" i="7" s="1"/>
  <c r="H2365" i="7" a="1"/>
  <c r="H2365" i="7" s="1"/>
  <c r="H2366" i="7" a="1"/>
  <c r="H2366" i="7" s="1"/>
  <c r="H2367" i="7" a="1"/>
  <c r="H2367" i="7" s="1"/>
  <c r="H2368" i="7" a="1"/>
  <c r="H2368" i="7" s="1"/>
  <c r="H2369" i="7" a="1"/>
  <c r="H2369" i="7" s="1"/>
  <c r="H2370" i="7" a="1"/>
  <c r="H2370" i="7" s="1"/>
  <c r="H2371" i="7" a="1"/>
  <c r="H2371" i="7" s="1"/>
  <c r="H2372" i="7" a="1"/>
  <c r="H2372" i="7" s="1"/>
  <c r="H2373" i="7" a="1"/>
  <c r="H2373" i="7" s="1"/>
  <c r="H2374" i="7" a="1"/>
  <c r="H2374" i="7" s="1"/>
  <c r="H2375" i="7" a="1"/>
  <c r="H2375" i="7" s="1"/>
  <c r="H2376" i="7" a="1"/>
  <c r="H2376" i="7" s="1"/>
  <c r="H2377" i="7" a="1"/>
  <c r="H2377" i="7" s="1"/>
  <c r="H2378" i="7" a="1"/>
  <c r="H2378" i="7" s="1"/>
  <c r="H2379" i="7" a="1"/>
  <c r="H2379" i="7" s="1"/>
  <c r="H2380" i="7" a="1"/>
  <c r="H2380" i="7" s="1"/>
  <c r="H2381" i="7" a="1"/>
  <c r="H2381" i="7" s="1"/>
  <c r="H2382" i="7" a="1"/>
  <c r="H2382" i="7" s="1"/>
  <c r="H2383" i="7" a="1"/>
  <c r="H2383" i="7" s="1"/>
  <c r="H2384" i="7" a="1"/>
  <c r="H2384" i="7" s="1"/>
  <c r="H2385" i="7" a="1"/>
  <c r="H2385" i="7" s="1"/>
  <c r="H2386" i="7" a="1"/>
  <c r="H2386" i="7" s="1"/>
  <c r="H2387" i="7" a="1"/>
  <c r="H2387" i="7" s="1"/>
  <c r="H2388" i="7" a="1"/>
  <c r="H2388" i="7" s="1"/>
  <c r="H2389" i="7" a="1"/>
  <c r="H2389" i="7" s="1"/>
  <c r="H2390" i="7" a="1"/>
  <c r="H2390" i="7" s="1"/>
  <c r="H2391" i="7" a="1"/>
  <c r="H2391" i="7" s="1"/>
  <c r="H2392" i="7" a="1"/>
  <c r="H2392" i="7" s="1"/>
  <c r="H2393" i="7" a="1"/>
  <c r="H2393" i="7" s="1"/>
  <c r="H2394" i="7" a="1"/>
  <c r="H2394" i="7" s="1"/>
  <c r="H2395" i="7" a="1"/>
  <c r="H2395" i="7" s="1"/>
  <c r="H2396" i="7" a="1"/>
  <c r="H2396" i="7" s="1"/>
  <c r="H2397" i="7" a="1"/>
  <c r="H2397" i="7" s="1"/>
  <c r="H2398" i="7" a="1"/>
  <c r="H2398" i="7" s="1"/>
  <c r="H2399" i="7" a="1"/>
  <c r="H2399" i="7" s="1"/>
  <c r="H2400" i="7" a="1"/>
  <c r="H2400" i="7" s="1"/>
  <c r="H2401" i="7" a="1"/>
  <c r="H2401" i="7" s="1"/>
  <c r="H2402" i="7" a="1"/>
  <c r="H2402" i="7" s="1"/>
  <c r="H2403" i="7" a="1"/>
  <c r="H2403" i="7" s="1"/>
  <c r="H2404" i="7" a="1"/>
  <c r="H2404" i="7" s="1"/>
  <c r="H2405" i="7" a="1"/>
  <c r="H2405" i="7" s="1"/>
  <c r="H2406" i="7" a="1"/>
  <c r="H2406" i="7" s="1"/>
  <c r="H2407" i="7" a="1"/>
  <c r="H2407" i="7" s="1"/>
  <c r="H2408" i="7" a="1"/>
  <c r="H2408" i="7" s="1"/>
  <c r="H2409" i="7" a="1"/>
  <c r="H2409" i="7" s="1"/>
  <c r="H2410" i="7" a="1"/>
  <c r="H2410" i="7" s="1"/>
  <c r="H2411" i="7" a="1"/>
  <c r="H2411" i="7" s="1"/>
  <c r="H2412" i="7" a="1"/>
  <c r="H2412" i="7" s="1"/>
  <c r="H2413" i="7" a="1"/>
  <c r="H2413" i="7" s="1"/>
  <c r="H2414" i="7" a="1"/>
  <c r="H2414" i="7" s="1"/>
  <c r="H2415" i="7" a="1"/>
  <c r="H2415" i="7" s="1"/>
  <c r="H2416" i="7" a="1"/>
  <c r="H2416" i="7" s="1"/>
  <c r="H2417" i="7" a="1"/>
  <c r="H2417" i="7" s="1"/>
  <c r="H2418" i="7" a="1"/>
  <c r="H2418" i="7" s="1"/>
  <c r="H2419" i="7" a="1"/>
  <c r="H2419" i="7" s="1"/>
  <c r="H2420" i="7" a="1"/>
  <c r="H2420" i="7" s="1"/>
  <c r="H2421" i="7" a="1"/>
  <c r="H2421" i="7" s="1"/>
  <c r="H2422" i="7" a="1"/>
  <c r="H2422" i="7" s="1"/>
  <c r="H2423" i="7" a="1"/>
  <c r="H2423" i="7" s="1"/>
  <c r="H2424" i="7" a="1"/>
  <c r="H2424" i="7" s="1"/>
  <c r="H2425" i="7" a="1"/>
  <c r="H2425" i="7" s="1"/>
  <c r="H2426" i="7" a="1"/>
  <c r="H2426" i="7" s="1"/>
  <c r="H2427" i="7" a="1"/>
  <c r="H2427" i="7" s="1"/>
  <c r="H2428" i="7" a="1"/>
  <c r="H2428" i="7" s="1"/>
  <c r="H2429" i="7" a="1"/>
  <c r="H2429" i="7" s="1"/>
  <c r="H2430" i="7" a="1"/>
  <c r="H2430" i="7" s="1"/>
  <c r="H2431" i="7" a="1"/>
  <c r="H2431" i="7" s="1"/>
  <c r="H2432" i="7" a="1"/>
  <c r="H2432" i="7" s="1"/>
  <c r="H2433" i="7" a="1"/>
  <c r="H2433" i="7" s="1"/>
  <c r="H2434" i="7" a="1"/>
  <c r="H2434" i="7" s="1"/>
  <c r="H2435" i="7" a="1"/>
  <c r="H2435" i="7" s="1"/>
  <c r="H2436" i="7" a="1"/>
  <c r="H2436" i="7" s="1"/>
  <c r="H2437" i="7" a="1"/>
  <c r="H2437" i="7" s="1"/>
  <c r="H2438" i="7" a="1"/>
  <c r="H2438" i="7" s="1"/>
  <c r="H2439" i="7" a="1"/>
  <c r="H2439" i="7" s="1"/>
  <c r="H2440" i="7" a="1"/>
  <c r="H2440" i="7" s="1"/>
  <c r="H2441" i="7" a="1"/>
  <c r="H2441" i="7" s="1"/>
  <c r="H2442" i="7" a="1"/>
  <c r="H2442" i="7" s="1"/>
  <c r="H2443" i="7" a="1"/>
  <c r="H2443" i="7" s="1"/>
  <c r="H2444" i="7" a="1"/>
  <c r="H2444" i="7" s="1"/>
  <c r="H2445" i="7" a="1"/>
  <c r="H2445" i="7" s="1"/>
  <c r="H2446" i="7" a="1"/>
  <c r="H2446" i="7" s="1"/>
  <c r="H2447" i="7" a="1"/>
  <c r="H2447" i="7" s="1"/>
  <c r="H2448" i="7" a="1"/>
  <c r="H2448" i="7" s="1"/>
  <c r="H2449" i="7" a="1"/>
  <c r="H2449" i="7" s="1"/>
  <c r="H2450" i="7" a="1"/>
  <c r="H2450" i="7" s="1"/>
  <c r="H2451" i="7" a="1"/>
  <c r="H2451" i="7" s="1"/>
  <c r="H2452" i="7" a="1"/>
  <c r="H2452" i="7" s="1"/>
  <c r="H2453" i="7" a="1"/>
  <c r="H2453" i="7" s="1"/>
  <c r="H2454" i="7" a="1"/>
  <c r="H2454" i="7" s="1"/>
  <c r="H2455" i="7" a="1"/>
  <c r="H2455" i="7" s="1"/>
  <c r="H2456" i="7" a="1"/>
  <c r="H2456" i="7" s="1"/>
  <c r="H2457" i="7" a="1"/>
  <c r="H2457" i="7" s="1"/>
  <c r="H2458" i="7" a="1"/>
  <c r="H2458" i="7" s="1"/>
  <c r="H2459" i="7" a="1"/>
  <c r="H2459" i="7" s="1"/>
  <c r="H2460" i="7" a="1"/>
  <c r="H2460" i="7" s="1"/>
  <c r="H2461" i="7" a="1"/>
  <c r="H2461" i="7" s="1"/>
  <c r="H2462" i="7" a="1"/>
  <c r="H2462" i="7" s="1"/>
  <c r="H2463" i="7" a="1"/>
  <c r="H2463" i="7" s="1"/>
  <c r="H2464" i="7" a="1"/>
  <c r="H2464" i="7" s="1"/>
  <c r="H2465" i="7" a="1"/>
  <c r="H2465" i="7" s="1"/>
  <c r="H2466" i="7" a="1"/>
  <c r="H2466" i="7" s="1"/>
  <c r="H2467" i="7" a="1"/>
  <c r="H2467" i="7" s="1"/>
  <c r="H2468" i="7" a="1"/>
  <c r="H2468" i="7" s="1"/>
  <c r="H2469" i="7" a="1"/>
  <c r="H2469" i="7" s="1"/>
  <c r="H2470" i="7" a="1"/>
  <c r="H2470" i="7" s="1"/>
  <c r="H2471" i="7" a="1"/>
  <c r="H2471" i="7" s="1"/>
  <c r="H2472" i="7" a="1"/>
  <c r="H2472" i="7" s="1"/>
  <c r="H2473" i="7" a="1"/>
  <c r="H2473" i="7" s="1"/>
  <c r="H2474" i="7" a="1"/>
  <c r="H2474" i="7" s="1"/>
  <c r="H2475" i="7" a="1"/>
  <c r="H2475" i="7" s="1"/>
  <c r="H2476" i="7" a="1"/>
  <c r="H2476" i="7" s="1"/>
  <c r="H2477" i="7" a="1"/>
  <c r="H2477" i="7" s="1"/>
  <c r="H2478" i="7" a="1"/>
  <c r="H2478" i="7" s="1"/>
  <c r="H2479" i="7" a="1"/>
  <c r="H2479" i="7" s="1"/>
  <c r="H2480" i="7" a="1"/>
  <c r="H2480" i="7" s="1"/>
  <c r="H2481" i="7" a="1"/>
  <c r="H2481" i="7" s="1"/>
  <c r="H2482" i="7" a="1"/>
  <c r="H2482" i="7" s="1"/>
  <c r="H2483" i="7" a="1"/>
  <c r="H2483" i="7" s="1"/>
  <c r="H2484" i="7" a="1"/>
  <c r="H2484" i="7" s="1"/>
  <c r="H2485" i="7" a="1"/>
  <c r="H2485" i="7" s="1"/>
  <c r="H2486" i="7" a="1"/>
  <c r="H2486" i="7" s="1"/>
  <c r="H2487" i="7" a="1"/>
  <c r="H2487" i="7" s="1"/>
  <c r="H2488" i="7" a="1"/>
  <c r="H2488" i="7" s="1"/>
  <c r="H2489" i="7" a="1"/>
  <c r="H2489" i="7" s="1"/>
  <c r="H2490" i="7" a="1"/>
  <c r="H2490" i="7" s="1"/>
  <c r="H2491" i="7" a="1"/>
  <c r="H2491" i="7" s="1"/>
  <c r="H2492" i="7" a="1"/>
  <c r="H2492" i="7" s="1"/>
  <c r="H2493" i="7" a="1"/>
  <c r="H2493" i="7" s="1"/>
  <c r="H2494" i="7" a="1"/>
  <c r="H2494" i="7" s="1"/>
  <c r="H2495" i="7" a="1"/>
  <c r="H2495" i="7" s="1"/>
  <c r="H2496" i="7" a="1"/>
  <c r="H2496" i="7" s="1"/>
  <c r="H2497" i="7" a="1"/>
  <c r="H2497" i="7" s="1"/>
  <c r="H2498" i="7" a="1"/>
  <c r="H2498" i="7" s="1"/>
  <c r="H2499" i="7" a="1"/>
  <c r="H2499" i="7" s="1"/>
  <c r="H2500" i="7" a="1"/>
  <c r="H2500" i="7" s="1"/>
  <c r="H2501" i="7" a="1"/>
  <c r="H2501" i="7" s="1"/>
  <c r="H2502" i="7" a="1"/>
  <c r="H2502" i="7" s="1"/>
  <c r="H2503" i="7" a="1"/>
  <c r="H2503" i="7" s="1"/>
  <c r="H2504" i="7" a="1"/>
  <c r="H2504" i="7" s="1"/>
  <c r="H2505" i="7" a="1"/>
  <c r="H2505" i="7" s="1"/>
  <c r="H2506" i="7" a="1"/>
  <c r="H2506" i="7" s="1"/>
  <c r="H2507" i="7" a="1"/>
  <c r="H2507" i="7" s="1"/>
  <c r="H2508" i="7" a="1"/>
  <c r="H2508" i="7" s="1"/>
  <c r="H2509" i="7" a="1"/>
  <c r="H2509" i="7" s="1"/>
  <c r="H2510" i="7" a="1"/>
  <c r="H2510" i="7" s="1"/>
  <c r="H2511" i="7" a="1"/>
  <c r="H2511" i="7" s="1"/>
  <c r="H2512" i="7" a="1"/>
  <c r="H2512" i="7" s="1"/>
  <c r="H2513" i="7" a="1"/>
  <c r="H2513" i="7" s="1"/>
  <c r="H2514" i="7" a="1"/>
  <c r="H2514" i="7" s="1"/>
  <c r="H2515" i="7" a="1"/>
  <c r="H2515" i="7" s="1"/>
  <c r="H2516" i="7" a="1"/>
  <c r="H2516" i="7" s="1"/>
  <c r="H2517" i="7" a="1"/>
  <c r="H2517" i="7" s="1"/>
  <c r="H2518" i="7" a="1"/>
  <c r="H2518" i="7" s="1"/>
  <c r="H2519" i="7" a="1"/>
  <c r="H2519" i="7" s="1"/>
  <c r="H2520" i="7" a="1"/>
  <c r="H2520" i="7" s="1"/>
  <c r="H2521" i="7" a="1"/>
  <c r="H2521" i="7" s="1"/>
  <c r="H2522" i="7" a="1"/>
  <c r="H2522" i="7" s="1"/>
  <c r="H2523" i="7" a="1"/>
  <c r="H2523" i="7" s="1"/>
  <c r="H2524" i="7" a="1"/>
  <c r="H2524" i="7" s="1"/>
  <c r="H2525" i="7" a="1"/>
  <c r="H2525" i="7" s="1"/>
  <c r="H2526" i="7" a="1"/>
  <c r="H2526" i="7" s="1"/>
  <c r="H2527" i="7" a="1"/>
  <c r="H2527" i="7" s="1"/>
  <c r="H2528" i="7" a="1"/>
  <c r="H2528" i="7" s="1"/>
  <c r="H2529" i="7" a="1"/>
  <c r="H2529" i="7" s="1"/>
  <c r="H2530" i="7" a="1"/>
  <c r="H2530" i="7" s="1"/>
  <c r="H2531" i="7" a="1"/>
  <c r="H2531" i="7" s="1"/>
  <c r="H2532" i="7" a="1"/>
  <c r="H2532" i="7" s="1"/>
  <c r="H2533" i="7" a="1"/>
  <c r="H2533" i="7" s="1"/>
  <c r="H2534" i="7" a="1"/>
  <c r="H2534" i="7" s="1"/>
  <c r="H2535" i="7" a="1"/>
  <c r="H2535" i="7" s="1"/>
  <c r="H2536" i="7" a="1"/>
  <c r="H2536" i="7" s="1"/>
  <c r="H2537" i="7" a="1"/>
  <c r="H2537" i="7" s="1"/>
  <c r="H2538" i="7" a="1"/>
  <c r="H2538" i="7" s="1"/>
  <c r="H2539" i="7" a="1"/>
  <c r="H2539" i="7" s="1"/>
  <c r="H2540" i="7" a="1"/>
  <c r="H2540" i="7" s="1"/>
  <c r="H2541" i="7" a="1"/>
  <c r="H2541" i="7" s="1"/>
  <c r="H2542" i="7" a="1"/>
  <c r="H2542" i="7" s="1"/>
  <c r="H2543" i="7" a="1"/>
  <c r="H2543" i="7" s="1"/>
  <c r="H2544" i="7" a="1"/>
  <c r="H2544" i="7" s="1"/>
  <c r="H2545" i="7" a="1"/>
  <c r="H2545" i="7" s="1"/>
  <c r="H2546" i="7" a="1"/>
  <c r="H2546" i="7" s="1"/>
  <c r="H2547" i="7" a="1"/>
  <c r="H2547" i="7" s="1"/>
  <c r="H2548" i="7" a="1"/>
  <c r="H2548" i="7" s="1"/>
  <c r="H2549" i="7" a="1"/>
  <c r="H2549" i="7" s="1"/>
  <c r="H2550" i="7" a="1"/>
  <c r="H2550" i="7" s="1"/>
  <c r="H2551" i="7" a="1"/>
  <c r="H2551" i="7" s="1"/>
  <c r="H2552" i="7" a="1"/>
  <c r="H2552" i="7" s="1"/>
  <c r="H2553" i="7" a="1"/>
  <c r="H2553" i="7" s="1"/>
  <c r="H2554" i="7" a="1"/>
  <c r="H2554" i="7" s="1"/>
  <c r="H2555" i="7" a="1"/>
  <c r="H2555" i="7" s="1"/>
  <c r="H2556" i="7" a="1"/>
  <c r="H2556" i="7" s="1"/>
  <c r="H2557" i="7" a="1"/>
  <c r="H2557" i="7" s="1"/>
  <c r="H2558" i="7" a="1"/>
  <c r="H2558" i="7" s="1"/>
  <c r="H2559" i="7" a="1"/>
  <c r="H2559" i="7" s="1"/>
  <c r="H2560" i="7" a="1"/>
  <c r="H2560" i="7" s="1"/>
  <c r="H2561" i="7" a="1"/>
  <c r="H2561" i="7" s="1"/>
  <c r="H2562" i="7" a="1"/>
  <c r="H2562" i="7" s="1"/>
  <c r="H2563" i="7" a="1"/>
  <c r="H2563" i="7" s="1"/>
  <c r="H2564" i="7" a="1"/>
  <c r="H2564" i="7" s="1"/>
  <c r="H2565" i="7" a="1"/>
  <c r="H2565" i="7" s="1"/>
  <c r="H2566" i="7" a="1"/>
  <c r="H2566" i="7" s="1"/>
  <c r="H2567" i="7" a="1"/>
  <c r="H2567" i="7" s="1"/>
  <c r="H2568" i="7" a="1"/>
  <c r="H2568" i="7" s="1"/>
  <c r="H2569" i="7" a="1"/>
  <c r="H2569" i="7" s="1"/>
  <c r="H2570" i="7" a="1"/>
  <c r="H2570" i="7" s="1"/>
  <c r="H2571" i="7" a="1"/>
  <c r="H2571" i="7" s="1"/>
  <c r="H2572" i="7" a="1"/>
  <c r="H2572" i="7" s="1"/>
  <c r="H2573" i="7" a="1"/>
  <c r="H2573" i="7" s="1"/>
  <c r="H2574" i="7" a="1"/>
  <c r="H2574" i="7" s="1"/>
  <c r="H2575" i="7" a="1"/>
  <c r="H2575" i="7" s="1"/>
  <c r="H2576" i="7" a="1"/>
  <c r="H2576" i="7" s="1"/>
  <c r="H2577" i="7" a="1"/>
  <c r="H2577" i="7" s="1"/>
  <c r="H2578" i="7" a="1"/>
  <c r="H2578" i="7" s="1"/>
  <c r="H2579" i="7" a="1"/>
  <c r="H2579" i="7" s="1"/>
  <c r="H2580" i="7" a="1"/>
  <c r="H2580" i="7" s="1"/>
  <c r="H2581" i="7" a="1"/>
  <c r="H2581" i="7" s="1"/>
  <c r="H2582" i="7" a="1"/>
  <c r="H2582" i="7" s="1"/>
  <c r="H2583" i="7" a="1"/>
  <c r="H2583" i="7" s="1"/>
  <c r="H2584" i="7" a="1"/>
  <c r="H2584" i="7" s="1"/>
  <c r="H2585" i="7" a="1"/>
  <c r="H2585" i="7" s="1"/>
  <c r="H2586" i="7" a="1"/>
  <c r="H2586" i="7" s="1"/>
  <c r="H2587" i="7" a="1"/>
  <c r="H2587" i="7" s="1"/>
  <c r="H2588" i="7" a="1"/>
  <c r="H2588" i="7" s="1"/>
  <c r="H2589" i="7" a="1"/>
  <c r="H2589" i="7" s="1"/>
  <c r="H2590" i="7" a="1"/>
  <c r="H2590" i="7" s="1"/>
  <c r="H2591" i="7" a="1"/>
  <c r="H2591" i="7" s="1"/>
  <c r="H2592" i="7" a="1"/>
  <c r="H2592" i="7" s="1"/>
  <c r="H2593" i="7" a="1"/>
  <c r="H2593" i="7" s="1"/>
  <c r="H2594" i="7" a="1"/>
  <c r="H2594" i="7" s="1"/>
  <c r="H2595" i="7" a="1"/>
  <c r="H2595" i="7" s="1"/>
  <c r="H2596" i="7" a="1"/>
  <c r="H2596" i="7" s="1"/>
  <c r="H2597" i="7" a="1"/>
  <c r="H2597" i="7" s="1"/>
  <c r="H2598" i="7" a="1"/>
  <c r="H2598" i="7" s="1"/>
  <c r="H2599" i="7" a="1"/>
  <c r="H2599" i="7" s="1"/>
  <c r="H2600" i="7" a="1"/>
  <c r="H2600" i="7" s="1"/>
  <c r="H2601" i="7" a="1"/>
  <c r="H2601" i="7" s="1"/>
  <c r="H2602" i="7" a="1"/>
  <c r="H2602" i="7" s="1"/>
  <c r="H2603" i="7" a="1"/>
  <c r="H2603" i="7" s="1"/>
  <c r="H2604" i="7" a="1"/>
  <c r="H2604" i="7" s="1"/>
  <c r="H2605" i="7" a="1"/>
  <c r="H2605" i="7" s="1"/>
  <c r="H2606" i="7" a="1"/>
  <c r="H2606" i="7" s="1"/>
  <c r="H2607" i="7" a="1"/>
  <c r="H2607" i="7" s="1"/>
  <c r="H2608" i="7" a="1"/>
  <c r="H2608" i="7" s="1"/>
  <c r="H2609" i="7" a="1"/>
  <c r="H2609" i="7" s="1"/>
  <c r="H2610" i="7" a="1"/>
  <c r="H2610" i="7" s="1"/>
  <c r="H2611" i="7" a="1"/>
  <c r="H2611" i="7" s="1"/>
  <c r="H2612" i="7" a="1"/>
  <c r="H2612" i="7" s="1"/>
  <c r="H2613" i="7" a="1"/>
  <c r="H2613" i="7" s="1"/>
  <c r="H2614" i="7" a="1"/>
  <c r="H2614" i="7" s="1"/>
  <c r="H2615" i="7" a="1"/>
  <c r="H2615" i="7" s="1"/>
  <c r="H2616" i="7" a="1"/>
  <c r="H2616" i="7" s="1"/>
  <c r="H2617" i="7" a="1"/>
  <c r="H2617" i="7" s="1"/>
  <c r="H2618" i="7" a="1"/>
  <c r="H2618" i="7" s="1"/>
  <c r="H2619" i="7" a="1"/>
  <c r="H2619" i="7" s="1"/>
  <c r="H2620" i="7" a="1"/>
  <c r="H2620" i="7" s="1"/>
  <c r="H2621" i="7" a="1"/>
  <c r="H2621" i="7" s="1"/>
  <c r="H2622" i="7" a="1"/>
  <c r="H2622" i="7" s="1"/>
  <c r="H2623" i="7" a="1"/>
  <c r="H2623" i="7" s="1"/>
  <c r="H2624" i="7" a="1"/>
  <c r="H2624" i="7" s="1"/>
  <c r="H2625" i="7" a="1"/>
  <c r="H2625" i="7" s="1"/>
  <c r="H2626" i="7" a="1"/>
  <c r="H2626" i="7" s="1"/>
  <c r="H2627" i="7" a="1"/>
  <c r="H2627" i="7" s="1"/>
  <c r="H2628" i="7" a="1"/>
  <c r="H2628" i="7" s="1"/>
  <c r="H2629" i="7" a="1"/>
  <c r="H2629" i="7" s="1"/>
  <c r="H2630" i="7" a="1"/>
  <c r="H2630" i="7" s="1"/>
  <c r="H2631" i="7" a="1"/>
  <c r="H2631" i="7" s="1"/>
  <c r="H2632" i="7" a="1"/>
  <c r="H2632" i="7" s="1"/>
  <c r="H2633" i="7" a="1"/>
  <c r="H2633" i="7" s="1"/>
  <c r="H2634" i="7" a="1"/>
  <c r="H2634" i="7" s="1"/>
  <c r="H2635" i="7" a="1"/>
  <c r="H2635" i="7" s="1"/>
  <c r="H2636" i="7" a="1"/>
  <c r="H2636" i="7" s="1"/>
  <c r="H2637" i="7" a="1"/>
  <c r="H2637" i="7" s="1"/>
  <c r="H2638" i="7" a="1"/>
  <c r="H2638" i="7" s="1"/>
  <c r="H2639" i="7" a="1"/>
  <c r="H2639" i="7" s="1"/>
  <c r="H2640" i="7" a="1"/>
  <c r="H2640" i="7" s="1"/>
  <c r="H2641" i="7" a="1"/>
  <c r="H2641" i="7" s="1"/>
  <c r="H2642" i="7" a="1"/>
  <c r="H2642" i="7" s="1"/>
  <c r="H2643" i="7" a="1"/>
  <c r="H2643" i="7" s="1"/>
  <c r="H2644" i="7" a="1"/>
  <c r="H2644" i="7" s="1"/>
  <c r="H2645" i="7" a="1"/>
  <c r="H2645" i="7" s="1"/>
  <c r="H2646" i="7" a="1"/>
  <c r="H2646" i="7" s="1"/>
  <c r="H2647" i="7" a="1"/>
  <c r="H2647" i="7" s="1"/>
  <c r="H2648" i="7" a="1"/>
  <c r="H2648" i="7" s="1"/>
  <c r="H2649" i="7" a="1"/>
  <c r="H2649" i="7" s="1"/>
  <c r="H2650" i="7" a="1"/>
  <c r="H2650" i="7" s="1"/>
  <c r="H2651" i="7" a="1"/>
  <c r="H2651" i="7" s="1"/>
  <c r="H2652" i="7" a="1"/>
  <c r="H2652" i="7" s="1"/>
  <c r="H2653" i="7" a="1"/>
  <c r="H2653" i="7" s="1"/>
  <c r="H2654" i="7" a="1"/>
  <c r="H2654" i="7" s="1"/>
  <c r="H2655" i="7" a="1"/>
  <c r="H2655" i="7" s="1"/>
  <c r="H2656" i="7" a="1"/>
  <c r="H2656" i="7" s="1"/>
  <c r="H2657" i="7" a="1"/>
  <c r="H2657" i="7" s="1"/>
  <c r="H2658" i="7" a="1"/>
  <c r="H2658" i="7" s="1"/>
  <c r="H2659" i="7" a="1"/>
  <c r="H2659" i="7" s="1"/>
  <c r="H2660" i="7" a="1"/>
  <c r="H2660" i="7" s="1"/>
  <c r="H2661" i="7" a="1"/>
  <c r="H2661" i="7" s="1"/>
  <c r="H2662" i="7" a="1"/>
  <c r="H2662" i="7" s="1"/>
  <c r="H2663" i="7" a="1"/>
  <c r="H2663" i="7" s="1"/>
  <c r="H2664" i="7" a="1"/>
  <c r="H2664" i="7" s="1"/>
  <c r="H2665" i="7" a="1"/>
  <c r="H2665" i="7" s="1"/>
  <c r="H2666" i="7" a="1"/>
  <c r="H2666" i="7" s="1"/>
  <c r="H2667" i="7" a="1"/>
  <c r="H2667" i="7" s="1"/>
  <c r="H2668" i="7" a="1"/>
  <c r="H2668" i="7" s="1"/>
  <c r="H2669" i="7" a="1"/>
  <c r="H2669" i="7" s="1"/>
  <c r="H2670" i="7" a="1"/>
  <c r="H2670" i="7" s="1"/>
  <c r="H2671" i="7" a="1"/>
  <c r="H2671" i="7" s="1"/>
  <c r="H2672" i="7" a="1"/>
  <c r="H2672" i="7" s="1"/>
  <c r="H2673" i="7" a="1"/>
  <c r="H2673" i="7" s="1"/>
  <c r="H2674" i="7" a="1"/>
  <c r="H2674" i="7" s="1"/>
  <c r="H2675" i="7" a="1"/>
  <c r="H2675" i="7" s="1"/>
  <c r="H2676" i="7" a="1"/>
  <c r="H2676" i="7" s="1"/>
  <c r="H2677" i="7" a="1"/>
  <c r="H2677" i="7" s="1"/>
  <c r="H2678" i="7" a="1"/>
  <c r="H2678" i="7" s="1"/>
  <c r="H2679" i="7" a="1"/>
  <c r="H2679" i="7" s="1"/>
  <c r="H2680" i="7" a="1"/>
  <c r="H2680" i="7" s="1"/>
  <c r="H2681" i="7" a="1"/>
  <c r="H2681" i="7" s="1"/>
  <c r="H2682" i="7" a="1"/>
  <c r="H2682" i="7" s="1"/>
  <c r="H2683" i="7" a="1"/>
  <c r="H2683" i="7" s="1"/>
  <c r="H2684" i="7" a="1"/>
  <c r="H2684" i="7" s="1"/>
  <c r="H2685" i="7" a="1"/>
  <c r="H2685" i="7" s="1"/>
  <c r="H2686" i="7" a="1"/>
  <c r="H2686" i="7" s="1"/>
  <c r="H2687" i="7" a="1"/>
  <c r="H2687" i="7" s="1"/>
  <c r="H2688" i="7" a="1"/>
  <c r="H2688" i="7" s="1"/>
  <c r="H2689" i="7" a="1"/>
  <c r="H2689" i="7" s="1"/>
  <c r="H2690" i="7" a="1"/>
  <c r="H2690" i="7" s="1"/>
  <c r="H2691" i="7" a="1"/>
  <c r="H2691" i="7" s="1"/>
  <c r="H2692" i="7" a="1"/>
  <c r="H2692" i="7" s="1"/>
  <c r="H2693" i="7" a="1"/>
  <c r="H2693" i="7" s="1"/>
  <c r="H2694" i="7" a="1"/>
  <c r="H2694" i="7" s="1"/>
  <c r="H2695" i="7" a="1"/>
  <c r="H2695" i="7" s="1"/>
  <c r="H2696" i="7" a="1"/>
  <c r="H2696" i="7" s="1"/>
  <c r="H2697" i="7" a="1"/>
  <c r="H2697" i="7" s="1"/>
  <c r="H2698" i="7" a="1"/>
  <c r="H2698" i="7" s="1"/>
  <c r="H2699" i="7" a="1"/>
  <c r="H2699" i="7" s="1"/>
  <c r="H2700" i="7" a="1"/>
  <c r="H2700" i="7" s="1"/>
  <c r="H2701" i="7" a="1"/>
  <c r="H2701" i="7" s="1"/>
  <c r="H2702" i="7" a="1"/>
  <c r="H2702" i="7" s="1"/>
  <c r="H2703" i="7" a="1"/>
  <c r="H2703" i="7" s="1"/>
  <c r="H2704" i="7" a="1"/>
  <c r="H2704" i="7" s="1"/>
  <c r="H2705" i="7" a="1"/>
  <c r="H2705" i="7" s="1"/>
  <c r="H2706" i="7" a="1"/>
  <c r="H2706" i="7" s="1"/>
  <c r="H2707" i="7" a="1"/>
  <c r="H2707" i="7" s="1"/>
  <c r="H2708" i="7" a="1"/>
  <c r="H2708" i="7" s="1"/>
  <c r="H2709" i="7" a="1"/>
  <c r="H2709" i="7" s="1"/>
  <c r="H2710" i="7" a="1"/>
  <c r="H2710" i="7" s="1"/>
  <c r="H2711" i="7" a="1"/>
  <c r="H2711" i="7" s="1"/>
  <c r="H2712" i="7" a="1"/>
  <c r="H2712" i="7" s="1"/>
  <c r="H2713" i="7" a="1"/>
  <c r="H2713" i="7" s="1"/>
  <c r="H2714" i="7" a="1"/>
  <c r="H2714" i="7" s="1"/>
  <c r="H2715" i="7" a="1"/>
  <c r="H2715" i="7" s="1"/>
  <c r="H2716" i="7" a="1"/>
  <c r="H2716" i="7" s="1"/>
  <c r="H2717" i="7" a="1"/>
  <c r="H2717" i="7" s="1"/>
  <c r="H2718" i="7" a="1"/>
  <c r="H2718" i="7" s="1"/>
  <c r="H2719" i="7" a="1"/>
  <c r="H2719" i="7" s="1"/>
  <c r="H2720" i="7" a="1"/>
  <c r="H2720" i="7" s="1"/>
  <c r="H2721" i="7" a="1"/>
  <c r="H2721" i="7" s="1"/>
  <c r="H2722" i="7" a="1"/>
  <c r="H2722" i="7" s="1"/>
  <c r="H2723" i="7" a="1"/>
  <c r="H2723" i="7" s="1"/>
  <c r="H2724" i="7" a="1"/>
  <c r="H2724" i="7" s="1"/>
  <c r="H2725" i="7" a="1"/>
  <c r="H2725" i="7" s="1"/>
  <c r="H2726" i="7" a="1"/>
  <c r="H2726" i="7" s="1"/>
  <c r="H2727" i="7" a="1"/>
  <c r="H2727" i="7" s="1"/>
  <c r="H2728" i="7" a="1"/>
  <c r="H2728" i="7" s="1"/>
  <c r="H2729" i="7" a="1"/>
  <c r="H2729" i="7" s="1"/>
  <c r="H2730" i="7" a="1"/>
  <c r="H2730" i="7" s="1"/>
  <c r="H2731" i="7" a="1"/>
  <c r="H2731" i="7" s="1"/>
  <c r="H2732" i="7" a="1"/>
  <c r="H2732" i="7" s="1"/>
  <c r="H2733" i="7" a="1"/>
  <c r="H2733" i="7" s="1"/>
  <c r="H2734" i="7" a="1"/>
  <c r="H2734" i="7" s="1"/>
  <c r="H2735" i="7" a="1"/>
  <c r="H2735" i="7" s="1"/>
  <c r="H2736" i="7" a="1"/>
  <c r="H2736" i="7" s="1"/>
  <c r="H2737" i="7" a="1"/>
  <c r="H2737" i="7" s="1"/>
  <c r="H2738" i="7" a="1"/>
  <c r="H2738" i="7" s="1"/>
  <c r="H2739" i="7" a="1"/>
  <c r="H2739" i="7" s="1"/>
  <c r="H2740" i="7" a="1"/>
  <c r="H2740" i="7" s="1"/>
  <c r="H2741" i="7" a="1"/>
  <c r="H2741" i="7" s="1"/>
  <c r="H2742" i="7" a="1"/>
  <c r="H2742" i="7" s="1"/>
  <c r="H2743" i="7" a="1"/>
  <c r="H2743" i="7" s="1"/>
  <c r="H2744" i="7" a="1"/>
  <c r="H2744" i="7" s="1"/>
  <c r="H2745" i="7" a="1"/>
  <c r="H2745" i="7" s="1"/>
  <c r="H2746" i="7" a="1"/>
  <c r="H2746" i="7" s="1"/>
  <c r="H2747" i="7" a="1"/>
  <c r="H2747" i="7" s="1"/>
  <c r="H2748" i="7" a="1"/>
  <c r="H2748" i="7" s="1"/>
  <c r="H2749" i="7" a="1"/>
  <c r="H2749" i="7" s="1"/>
  <c r="H2750" i="7" a="1"/>
  <c r="H2750" i="7" s="1"/>
  <c r="H2751" i="7" a="1"/>
  <c r="H2751" i="7" s="1"/>
  <c r="H2752" i="7" a="1"/>
  <c r="H2752" i="7" s="1"/>
  <c r="H2753" i="7" a="1"/>
  <c r="H2753" i="7" s="1"/>
  <c r="H2754" i="7" a="1"/>
  <c r="H2754" i="7" s="1"/>
  <c r="H2755" i="7" a="1"/>
  <c r="H2755" i="7" s="1"/>
  <c r="H2756" i="7" a="1"/>
  <c r="H2756" i="7" s="1"/>
  <c r="H2757" i="7" a="1"/>
  <c r="H2757" i="7" s="1"/>
  <c r="H2758" i="7" a="1"/>
  <c r="H2758" i="7" s="1"/>
  <c r="H2759" i="7" a="1"/>
  <c r="H2759" i="7" s="1"/>
  <c r="H2760" i="7" a="1"/>
  <c r="H2760" i="7" s="1"/>
  <c r="H2761" i="7" a="1"/>
  <c r="H2761" i="7" s="1"/>
  <c r="H2762" i="7" a="1"/>
  <c r="H2762" i="7" s="1"/>
  <c r="H2763" i="7" a="1"/>
  <c r="H2763" i="7" s="1"/>
  <c r="H2764" i="7" a="1"/>
  <c r="H2764" i="7" s="1"/>
  <c r="H2765" i="7" a="1"/>
  <c r="H2765" i="7" s="1"/>
  <c r="H2766" i="7" a="1"/>
  <c r="H2766" i="7" s="1"/>
  <c r="H2767" i="7" a="1"/>
  <c r="H2767" i="7" s="1"/>
  <c r="H2768" i="7" a="1"/>
  <c r="H2768" i="7" s="1"/>
  <c r="H2769" i="7" a="1"/>
  <c r="H2769" i="7" s="1"/>
  <c r="H2770" i="7" a="1"/>
  <c r="H2770" i="7" s="1"/>
  <c r="H2771" i="7" a="1"/>
  <c r="H2771" i="7" s="1"/>
  <c r="H2772" i="7" a="1"/>
  <c r="H2772" i="7" s="1"/>
  <c r="H2773" i="7" a="1"/>
  <c r="H2773" i="7" s="1"/>
  <c r="H2774" i="7" a="1"/>
  <c r="H2774" i="7" s="1"/>
  <c r="H2775" i="7" a="1"/>
  <c r="H2775" i="7" s="1"/>
  <c r="H2776" i="7" a="1"/>
  <c r="H2776" i="7" s="1"/>
  <c r="H2777" i="7" a="1"/>
  <c r="H2777" i="7" s="1"/>
  <c r="H2778" i="7" a="1"/>
  <c r="H2778" i="7" s="1"/>
  <c r="H2779" i="7" a="1"/>
  <c r="H2779" i="7" s="1"/>
  <c r="H2780" i="7" a="1"/>
  <c r="H2780" i="7" s="1"/>
  <c r="H2781" i="7" a="1"/>
  <c r="H2781" i="7" s="1"/>
  <c r="H2782" i="7" a="1"/>
  <c r="H2782" i="7" s="1"/>
  <c r="H2783" i="7" a="1"/>
  <c r="H2783" i="7" s="1"/>
  <c r="H2784" i="7" a="1"/>
  <c r="H2784" i="7" s="1"/>
  <c r="H2785" i="7" a="1"/>
  <c r="H2785" i="7" s="1"/>
  <c r="H2786" i="7" a="1"/>
  <c r="H2786" i="7" s="1"/>
  <c r="H2787" i="7" a="1"/>
  <c r="H2787" i="7" s="1"/>
  <c r="H2788" i="7" a="1"/>
  <c r="H2788" i="7" s="1"/>
  <c r="H2789" i="7" a="1"/>
  <c r="H2789" i="7" s="1"/>
  <c r="H2790" i="7" a="1"/>
  <c r="H2790" i="7" s="1"/>
  <c r="H2791" i="7" a="1"/>
  <c r="H2791" i="7" s="1"/>
  <c r="H2792" i="7" a="1"/>
  <c r="H2792" i="7" s="1"/>
  <c r="H2793" i="7" a="1"/>
  <c r="H2793" i="7" s="1"/>
  <c r="H2794" i="7" a="1"/>
  <c r="H2794" i="7" s="1"/>
  <c r="H2795" i="7" a="1"/>
  <c r="H2795" i="7" s="1"/>
  <c r="H2796" i="7" a="1"/>
  <c r="H2796" i="7" s="1"/>
  <c r="H2797" i="7" a="1"/>
  <c r="H2797" i="7" s="1"/>
  <c r="H2798" i="7" a="1"/>
  <c r="H2798" i="7" s="1"/>
  <c r="H2799" i="7" a="1"/>
  <c r="H2799" i="7" s="1"/>
  <c r="H2800" i="7" a="1"/>
  <c r="H2800" i="7" s="1"/>
  <c r="H2801" i="7" a="1"/>
  <c r="H2801" i="7" s="1"/>
  <c r="H2802" i="7" a="1"/>
  <c r="H2802" i="7" s="1"/>
  <c r="H2803" i="7" a="1"/>
  <c r="H2803" i="7" s="1"/>
  <c r="H2804" i="7" a="1"/>
  <c r="H2804" i="7" s="1"/>
  <c r="H2805" i="7" a="1"/>
  <c r="H2805" i="7" s="1"/>
  <c r="H2806" i="7" a="1"/>
  <c r="H2806" i="7" s="1"/>
  <c r="H2807" i="7" a="1"/>
  <c r="H2807" i="7" s="1"/>
  <c r="H2808" i="7" a="1"/>
  <c r="H2808" i="7" s="1"/>
  <c r="H2809" i="7" a="1"/>
  <c r="H2809" i="7" s="1"/>
  <c r="H2810" i="7" a="1"/>
  <c r="H2810" i="7" s="1"/>
  <c r="H2811" i="7" a="1"/>
  <c r="H2811" i="7" s="1"/>
  <c r="H2812" i="7" a="1"/>
  <c r="H2812" i="7" s="1"/>
  <c r="H2813" i="7" a="1"/>
  <c r="H2813" i="7" s="1"/>
  <c r="H2814" i="7" a="1"/>
  <c r="H2814" i="7" s="1"/>
  <c r="H2815" i="7" a="1"/>
  <c r="H2815" i="7" s="1"/>
  <c r="H2816" i="7" a="1"/>
  <c r="H2816" i="7" s="1"/>
  <c r="H2817" i="7" a="1"/>
  <c r="H2817" i="7" s="1"/>
  <c r="H2818" i="7" a="1"/>
  <c r="H2818" i="7" s="1"/>
  <c r="H2819" i="7" a="1"/>
  <c r="H2819" i="7" s="1"/>
  <c r="H2820" i="7" a="1"/>
  <c r="H2820" i="7" s="1"/>
  <c r="H2821" i="7" a="1"/>
  <c r="H2821" i="7" s="1"/>
  <c r="H2822" i="7" a="1"/>
  <c r="H2822" i="7" s="1"/>
  <c r="H2823" i="7" a="1"/>
  <c r="H2823" i="7" s="1"/>
  <c r="H2824" i="7" a="1"/>
  <c r="H2824" i="7" s="1"/>
  <c r="H2825" i="7" a="1"/>
  <c r="H2825" i="7" s="1"/>
  <c r="H2826" i="7" a="1"/>
  <c r="H2826" i="7" s="1"/>
  <c r="H2827" i="7" a="1"/>
  <c r="H2827" i="7" s="1"/>
  <c r="H2828" i="7" a="1"/>
  <c r="H2828" i="7" s="1"/>
  <c r="H2829" i="7" a="1"/>
  <c r="H2829" i="7" s="1"/>
  <c r="H2830" i="7" a="1"/>
  <c r="H2830" i="7" s="1"/>
  <c r="H2831" i="7" a="1"/>
  <c r="H2831" i="7" s="1"/>
  <c r="H2832" i="7" a="1"/>
  <c r="H2832" i="7" s="1"/>
  <c r="H2833" i="7" a="1"/>
  <c r="H2833" i="7" s="1"/>
  <c r="H2834" i="7" a="1"/>
  <c r="H2834" i="7" s="1"/>
  <c r="H2835" i="7" a="1"/>
  <c r="H2835" i="7" s="1"/>
  <c r="H2836" i="7" a="1"/>
  <c r="H2836" i="7" s="1"/>
  <c r="H2837" i="7" a="1"/>
  <c r="H2837" i="7" s="1"/>
  <c r="H2838" i="7" a="1"/>
  <c r="H2838" i="7" s="1"/>
  <c r="H2839" i="7" a="1"/>
  <c r="H2839" i="7" s="1"/>
  <c r="H2840" i="7" a="1"/>
  <c r="H2840" i="7" s="1"/>
  <c r="H2841" i="7" a="1"/>
  <c r="H2841" i="7" s="1"/>
  <c r="H2842" i="7" a="1"/>
  <c r="H2842" i="7" s="1"/>
  <c r="H2843" i="7" a="1"/>
  <c r="H2843" i="7" s="1"/>
  <c r="H2844" i="7" a="1"/>
  <c r="H2844" i="7" s="1"/>
  <c r="H2845" i="7" a="1"/>
  <c r="H2845" i="7" s="1"/>
  <c r="H2846" i="7" a="1"/>
  <c r="H2846" i="7" s="1"/>
  <c r="H2847" i="7" a="1"/>
  <c r="H2847" i="7" s="1"/>
  <c r="H2848" i="7" a="1"/>
  <c r="H2848" i="7" s="1"/>
  <c r="H2849" i="7" a="1"/>
  <c r="H2849" i="7" s="1"/>
  <c r="H2850" i="7" a="1"/>
  <c r="H2850" i="7" s="1"/>
  <c r="H2851" i="7" a="1"/>
  <c r="H2851" i="7" s="1"/>
  <c r="H2852" i="7" a="1"/>
  <c r="H2852" i="7" s="1"/>
  <c r="H2853" i="7" a="1"/>
  <c r="H2853" i="7" s="1"/>
  <c r="H2854" i="7" a="1"/>
  <c r="H2854" i="7" s="1"/>
  <c r="H2855" i="7" a="1"/>
  <c r="H2855" i="7" s="1"/>
  <c r="H2856" i="7" a="1"/>
  <c r="H2856" i="7" s="1"/>
  <c r="H2857" i="7" a="1"/>
  <c r="H2857" i="7" s="1"/>
  <c r="H2858" i="7" a="1"/>
  <c r="H2858" i="7" s="1"/>
  <c r="H2859" i="7" a="1"/>
  <c r="H2859" i="7" s="1"/>
  <c r="H2860" i="7" a="1"/>
  <c r="H2860" i="7" s="1"/>
  <c r="H2861" i="7" a="1"/>
  <c r="H2861" i="7" s="1"/>
  <c r="H2862" i="7" a="1"/>
  <c r="H2862" i="7" s="1"/>
  <c r="H2863" i="7" a="1"/>
  <c r="H2863" i="7" s="1"/>
  <c r="H2864" i="7" a="1"/>
  <c r="H2864" i="7" s="1"/>
  <c r="H2865" i="7" a="1"/>
  <c r="H2865" i="7" s="1"/>
  <c r="H2866" i="7" a="1"/>
  <c r="H2866" i="7" s="1"/>
  <c r="H2867" i="7" a="1"/>
  <c r="H2867" i="7" s="1"/>
  <c r="H2868" i="7" a="1"/>
  <c r="H2868" i="7" s="1"/>
  <c r="H2869" i="7" a="1"/>
  <c r="H2869" i="7" s="1"/>
  <c r="H2870" i="7" a="1"/>
  <c r="H2870" i="7" s="1"/>
  <c r="H2871" i="7" a="1"/>
  <c r="H2871" i="7" s="1"/>
  <c r="H2872" i="7" a="1"/>
  <c r="H2872" i="7" s="1"/>
  <c r="H2873" i="7" a="1"/>
  <c r="H2873" i="7" s="1"/>
  <c r="H2874" i="7" a="1"/>
  <c r="H2874" i="7" s="1"/>
  <c r="H2875" i="7" a="1"/>
  <c r="H2875" i="7" s="1"/>
  <c r="H2876" i="7" a="1"/>
  <c r="H2876" i="7" s="1"/>
  <c r="H2877" i="7" a="1"/>
  <c r="H2877" i="7" s="1"/>
  <c r="H2878" i="7" a="1"/>
  <c r="H2878" i="7" s="1"/>
  <c r="H2879" i="7" a="1"/>
  <c r="H2879" i="7" s="1"/>
  <c r="H2880" i="7" a="1"/>
  <c r="H2880" i="7" s="1"/>
  <c r="H2881" i="7" a="1"/>
  <c r="H2881" i="7" s="1"/>
  <c r="H2882" i="7" a="1"/>
  <c r="H2882" i="7" s="1"/>
  <c r="H2883" i="7" a="1"/>
  <c r="H2883" i="7" s="1"/>
  <c r="H2884" i="7" a="1"/>
  <c r="H2884" i="7" s="1"/>
  <c r="H2885" i="7" a="1"/>
  <c r="H2885" i="7" s="1"/>
  <c r="H2886" i="7" a="1"/>
  <c r="H2886" i="7" s="1"/>
  <c r="H2887" i="7" a="1"/>
  <c r="H2887" i="7" s="1"/>
  <c r="H2888" i="7" a="1"/>
  <c r="H2888" i="7" s="1"/>
  <c r="H2889" i="7" a="1"/>
  <c r="H2889" i="7" s="1"/>
  <c r="H2890" i="7" a="1"/>
  <c r="H2890" i="7" s="1"/>
  <c r="H2891" i="7" a="1"/>
  <c r="H2891" i="7" s="1"/>
  <c r="H2892" i="7" a="1"/>
  <c r="H2892" i="7" s="1"/>
  <c r="H2893" i="7" a="1"/>
  <c r="H2893" i="7" s="1"/>
  <c r="H2894" i="7" a="1"/>
  <c r="H2894" i="7" s="1"/>
  <c r="H2895" i="7" a="1"/>
  <c r="H2895" i="7" s="1"/>
  <c r="H2896" i="7" a="1"/>
  <c r="H2896" i="7" s="1"/>
  <c r="H2897" i="7" a="1"/>
  <c r="H2897" i="7" s="1"/>
  <c r="H2898" i="7" a="1"/>
  <c r="H2898" i="7" s="1"/>
  <c r="H2899" i="7" a="1"/>
  <c r="H2899" i="7" s="1"/>
  <c r="H2900" i="7" a="1"/>
  <c r="H2900" i="7" s="1"/>
  <c r="H2901" i="7" a="1"/>
  <c r="H2901" i="7" s="1"/>
  <c r="H2902" i="7" a="1"/>
  <c r="H2902" i="7" s="1"/>
  <c r="H2903" i="7" a="1"/>
  <c r="H2903" i="7" s="1"/>
  <c r="H2904" i="7" a="1"/>
  <c r="H2904" i="7" s="1"/>
  <c r="H2905" i="7" a="1"/>
  <c r="H2905" i="7" s="1"/>
  <c r="H2906" i="7" a="1"/>
  <c r="H2906" i="7" s="1"/>
  <c r="H2907" i="7" a="1"/>
  <c r="H2907" i="7" s="1"/>
  <c r="H2908" i="7" a="1"/>
  <c r="H2908" i="7" s="1"/>
  <c r="H2909" i="7" a="1"/>
  <c r="H2909" i="7" s="1"/>
  <c r="H2910" i="7" a="1"/>
  <c r="H2910" i="7" s="1"/>
  <c r="H2911" i="7" a="1"/>
  <c r="H2911" i="7" s="1"/>
  <c r="H2912" i="7" a="1"/>
  <c r="H2912" i="7" s="1"/>
  <c r="H2913" i="7" a="1"/>
  <c r="H2913" i="7" s="1"/>
  <c r="H2914" i="7" a="1"/>
  <c r="H2914" i="7" s="1"/>
  <c r="H2915" i="7" a="1"/>
  <c r="H2915" i="7" s="1"/>
  <c r="H2916" i="7" a="1"/>
  <c r="H2916" i="7" s="1"/>
  <c r="H2917" i="7" a="1"/>
  <c r="H2917" i="7" s="1"/>
  <c r="H2918" i="7" a="1"/>
  <c r="H2918" i="7" s="1"/>
  <c r="H2919" i="7" a="1"/>
  <c r="H2919" i="7" s="1"/>
  <c r="H2920" i="7" a="1"/>
  <c r="H2920" i="7" s="1"/>
  <c r="H2921" i="7" a="1"/>
  <c r="H2921" i="7" s="1"/>
  <c r="H2922" i="7" a="1"/>
  <c r="H2922" i="7" s="1"/>
  <c r="H2923" i="7" a="1"/>
  <c r="H2923" i="7" s="1"/>
  <c r="H2924" i="7" a="1"/>
  <c r="H2924" i="7" s="1"/>
  <c r="H2925" i="7" a="1"/>
  <c r="H2925" i="7" s="1"/>
  <c r="H2926" i="7" a="1"/>
  <c r="H2926" i="7" s="1"/>
  <c r="H2927" i="7" a="1"/>
  <c r="H2927" i="7" s="1"/>
  <c r="H2928" i="7" a="1"/>
  <c r="H2928" i="7" s="1"/>
  <c r="H2929" i="7" a="1"/>
  <c r="H2929" i="7" s="1"/>
  <c r="H2930" i="7" a="1"/>
  <c r="H2930" i="7" s="1"/>
  <c r="H2931" i="7" a="1"/>
  <c r="H2931" i="7" s="1"/>
  <c r="H2932" i="7" a="1"/>
  <c r="H2932" i="7" s="1"/>
  <c r="H2933" i="7" a="1"/>
  <c r="H2933" i="7" s="1"/>
  <c r="H2934" i="7" a="1"/>
  <c r="H2934" i="7" s="1"/>
  <c r="H2935" i="7" a="1"/>
  <c r="H2935" i="7" s="1"/>
  <c r="H2936" i="7" a="1"/>
  <c r="H2936" i="7" s="1"/>
  <c r="H2937" i="7" a="1"/>
  <c r="H2937" i="7" s="1"/>
  <c r="H2938" i="7" a="1"/>
  <c r="H2938" i="7" s="1"/>
  <c r="H2939" i="7" a="1"/>
  <c r="H2939" i="7" s="1"/>
  <c r="H2940" i="7" a="1"/>
  <c r="H2940" i="7" s="1"/>
  <c r="H2941" i="7" a="1"/>
  <c r="H2941" i="7" s="1"/>
  <c r="H2942" i="7" a="1"/>
  <c r="H2942" i="7" s="1"/>
  <c r="H2943" i="7" a="1"/>
  <c r="H2943" i="7" s="1"/>
  <c r="H2944" i="7" a="1"/>
  <c r="H2944" i="7" s="1"/>
  <c r="H2945" i="7" a="1"/>
  <c r="H2945" i="7" s="1"/>
  <c r="H2946" i="7" a="1"/>
  <c r="H2946" i="7" s="1"/>
  <c r="H2947" i="7" a="1"/>
  <c r="H2947" i="7" s="1"/>
  <c r="H2948" i="7" a="1"/>
  <c r="H2948" i="7" s="1"/>
  <c r="H2949" i="7" a="1"/>
  <c r="H2949" i="7" s="1"/>
  <c r="H2950" i="7" a="1"/>
  <c r="H2950" i="7" s="1"/>
  <c r="H2951" i="7" a="1"/>
  <c r="H2951" i="7" s="1"/>
  <c r="H2952" i="7" a="1"/>
  <c r="H2952" i="7" s="1"/>
  <c r="H2953" i="7" a="1"/>
  <c r="H2953" i="7" s="1"/>
  <c r="H2954" i="7" a="1"/>
  <c r="H2954" i="7" s="1"/>
  <c r="H2955" i="7" a="1"/>
  <c r="H2955" i="7" s="1"/>
  <c r="H2956" i="7" a="1"/>
  <c r="H2956" i="7" s="1"/>
  <c r="H2957" i="7" a="1"/>
  <c r="H2957" i="7" s="1"/>
  <c r="H2958" i="7" a="1"/>
  <c r="H2958" i="7" s="1"/>
  <c r="H2959" i="7" a="1"/>
  <c r="H2959" i="7" s="1"/>
  <c r="H2960" i="7" a="1"/>
  <c r="H2960" i="7" s="1"/>
  <c r="H2961" i="7" a="1"/>
  <c r="H2961" i="7" s="1"/>
  <c r="H2962" i="7" a="1"/>
  <c r="H2962" i="7" s="1"/>
  <c r="H2963" i="7" a="1"/>
  <c r="H2963" i="7" s="1"/>
  <c r="H2964" i="7" a="1"/>
  <c r="H2964" i="7" s="1"/>
  <c r="H2965" i="7" a="1"/>
  <c r="H2965" i="7" s="1"/>
  <c r="H2966" i="7" a="1"/>
  <c r="H2966" i="7" s="1"/>
  <c r="H2967" i="7" a="1"/>
  <c r="H2967" i="7" s="1"/>
  <c r="H2968" i="7" a="1"/>
  <c r="H2968" i="7" s="1"/>
  <c r="H2969" i="7" a="1"/>
  <c r="H2969" i="7" s="1"/>
  <c r="H2970" i="7" a="1"/>
  <c r="H2970" i="7" s="1"/>
  <c r="H2971" i="7" a="1"/>
  <c r="H2971" i="7" s="1"/>
  <c r="H2972" i="7" a="1"/>
  <c r="H2972" i="7" s="1"/>
  <c r="H2973" i="7" a="1"/>
  <c r="H2973" i="7" s="1"/>
  <c r="H2974" i="7" a="1"/>
  <c r="H2974" i="7" s="1"/>
  <c r="H2975" i="7" a="1"/>
  <c r="H2975" i="7" s="1"/>
  <c r="H2976" i="7" a="1"/>
  <c r="H2976" i="7" s="1"/>
  <c r="H2977" i="7" a="1"/>
  <c r="H2977" i="7" s="1"/>
  <c r="H2978" i="7" a="1"/>
  <c r="H2978" i="7" s="1"/>
  <c r="H2979" i="7" a="1"/>
  <c r="H2979" i="7" s="1"/>
  <c r="H2980" i="7" a="1"/>
  <c r="H2980" i="7" s="1"/>
  <c r="H2981" i="7" a="1"/>
  <c r="H2981" i="7" s="1"/>
  <c r="H2982" i="7" a="1"/>
  <c r="H2982" i="7" s="1"/>
  <c r="H2983" i="7" a="1"/>
  <c r="H2983" i="7" s="1"/>
  <c r="H2984" i="7" a="1"/>
  <c r="H2984" i="7" s="1"/>
  <c r="H2985" i="7" a="1"/>
  <c r="H2985" i="7" s="1"/>
  <c r="H2986" i="7" a="1"/>
  <c r="H2986" i="7" s="1"/>
  <c r="H2987" i="7" a="1"/>
  <c r="H2987" i="7" s="1"/>
  <c r="H2988" i="7" a="1"/>
  <c r="H2988" i="7" s="1"/>
  <c r="H2989" i="7" a="1"/>
  <c r="H2989" i="7" s="1"/>
  <c r="H2990" i="7" a="1"/>
  <c r="H2990" i="7" s="1"/>
  <c r="H2991" i="7" a="1"/>
  <c r="H2991" i="7" s="1"/>
  <c r="H2992" i="7" a="1"/>
  <c r="H2992" i="7" s="1"/>
  <c r="H2993" i="7" a="1"/>
  <c r="H2993" i="7" s="1"/>
  <c r="H2994" i="7" a="1"/>
  <c r="H2994" i="7" s="1"/>
  <c r="H2995" i="7" a="1"/>
  <c r="H2995" i="7" s="1"/>
  <c r="H2996" i="7" a="1"/>
  <c r="H2996" i="7" s="1"/>
  <c r="H2997" i="7" a="1"/>
  <c r="H2997" i="7" s="1"/>
  <c r="H2998" i="7" a="1"/>
  <c r="H2998" i="7" s="1"/>
  <c r="H2999" i="7" a="1"/>
  <c r="H2999" i="7" s="1"/>
  <c r="H3000" i="7" a="1"/>
  <c r="H3000" i="7" s="1"/>
  <c r="H3001" i="7" a="1"/>
  <c r="H3001" i="7" s="1"/>
  <c r="H3002" i="7" a="1"/>
  <c r="H3002" i="7" s="1"/>
  <c r="H3003" i="7" a="1"/>
  <c r="H3003" i="7" s="1"/>
  <c r="H3004" i="7" a="1"/>
  <c r="H3004" i="7" s="1"/>
  <c r="H3005" i="7" a="1"/>
  <c r="H3005" i="7" s="1"/>
  <c r="H3006" i="7" a="1"/>
  <c r="H3006" i="7" s="1"/>
  <c r="H3007" i="7" a="1"/>
  <c r="H3007" i="7" s="1"/>
  <c r="H3008" i="7" a="1"/>
  <c r="H3008" i="7" s="1"/>
  <c r="H3009" i="7" a="1"/>
  <c r="H3009" i="7" s="1"/>
  <c r="H3010" i="7" a="1"/>
  <c r="H3010" i="7" s="1"/>
  <c r="H3011" i="7" a="1"/>
  <c r="H3011" i="7" s="1"/>
  <c r="H3012" i="7" a="1"/>
  <c r="H3012" i="7" s="1"/>
  <c r="H3013" i="7" a="1"/>
  <c r="H3013" i="7" s="1"/>
  <c r="H3014" i="7" a="1"/>
  <c r="H3014" i="7" s="1"/>
  <c r="H3015" i="7" a="1"/>
  <c r="H3015" i="7" s="1"/>
  <c r="H3016" i="7" a="1"/>
  <c r="H3016" i="7" s="1"/>
  <c r="H3017" i="7" a="1"/>
  <c r="H3017" i="7" s="1"/>
  <c r="H3018" i="7" a="1"/>
  <c r="H3018" i="7" s="1"/>
  <c r="H3019" i="7" a="1"/>
  <c r="H3019" i="7" s="1"/>
  <c r="H3020" i="7" a="1"/>
  <c r="H3020" i="7" s="1"/>
  <c r="H3021" i="7" a="1"/>
  <c r="H3021" i="7" s="1"/>
  <c r="H3022" i="7" a="1"/>
  <c r="H3022" i="7" s="1"/>
  <c r="H3023" i="7" a="1"/>
  <c r="H3023" i="7" s="1"/>
  <c r="H3024" i="7" a="1"/>
  <c r="H3024" i="7" s="1"/>
  <c r="H3025" i="7" a="1"/>
  <c r="H3025" i="7" s="1"/>
  <c r="H3026" i="7" a="1"/>
  <c r="H3026" i="7" s="1"/>
  <c r="H3027" i="7" a="1"/>
  <c r="H3027" i="7" s="1"/>
  <c r="H3028" i="7" a="1"/>
  <c r="H3028" i="7" s="1"/>
  <c r="H3029" i="7" a="1"/>
  <c r="H3029" i="7" s="1"/>
  <c r="H3030" i="7" a="1"/>
  <c r="H3030" i="7" s="1"/>
  <c r="H3031" i="7" a="1"/>
  <c r="H3031" i="7" s="1"/>
  <c r="H3032" i="7" a="1"/>
  <c r="H3032" i="7" s="1"/>
  <c r="H3033" i="7" a="1"/>
  <c r="H3033" i="7" s="1"/>
  <c r="H3034" i="7" a="1"/>
  <c r="H3034" i="7" s="1"/>
  <c r="H3035" i="7" a="1"/>
  <c r="H3035" i="7" s="1"/>
  <c r="H3036" i="7" a="1"/>
  <c r="H3036" i="7" s="1"/>
  <c r="H3037" i="7" a="1"/>
  <c r="H3037" i="7" s="1"/>
  <c r="H3038" i="7" a="1"/>
  <c r="H3038" i="7" s="1"/>
  <c r="H3039" i="7" a="1"/>
  <c r="H3039" i="7" s="1"/>
  <c r="H3040" i="7" a="1"/>
  <c r="H3040" i="7" s="1"/>
  <c r="H3041" i="7" a="1"/>
  <c r="H3041" i="7" s="1"/>
  <c r="H3042" i="7" a="1"/>
  <c r="H3042" i="7" s="1"/>
  <c r="H3043" i="7" a="1"/>
  <c r="H3043" i="7" s="1"/>
  <c r="H3044" i="7" a="1"/>
  <c r="H3044" i="7" s="1"/>
  <c r="H3045" i="7" a="1"/>
  <c r="H3045" i="7" s="1"/>
  <c r="H3046" i="7" a="1"/>
  <c r="H3046" i="7" s="1"/>
  <c r="H3047" i="7" a="1"/>
  <c r="H3047" i="7" s="1"/>
  <c r="H3048" i="7" a="1"/>
  <c r="H3048" i="7" s="1"/>
  <c r="H3049" i="7" a="1"/>
  <c r="H3049" i="7" s="1"/>
  <c r="H3050" i="7" a="1"/>
  <c r="H3050" i="7" s="1"/>
  <c r="H3051" i="7" a="1"/>
  <c r="H3051" i="7" s="1"/>
  <c r="H3052" i="7" a="1"/>
  <c r="H3052" i="7" s="1"/>
  <c r="H3053" i="7" a="1"/>
  <c r="H3053" i="7" s="1"/>
  <c r="H3054" i="7" a="1"/>
  <c r="H3054" i="7" s="1"/>
  <c r="H3055" i="7" a="1"/>
  <c r="H3055" i="7" s="1"/>
  <c r="H3056" i="7" a="1"/>
  <c r="H3056" i="7" s="1"/>
  <c r="H3057" i="7" a="1"/>
  <c r="H3057" i="7" s="1"/>
  <c r="H3058" i="7" a="1"/>
  <c r="H3058" i="7" s="1"/>
  <c r="H3059" i="7" a="1"/>
  <c r="H3059" i="7" s="1"/>
  <c r="H3060" i="7" a="1"/>
  <c r="H3060" i="7" s="1"/>
  <c r="H3061" i="7" a="1"/>
  <c r="H3061" i="7" s="1"/>
  <c r="H3062" i="7" a="1"/>
  <c r="H3062" i="7" s="1"/>
  <c r="H3063" i="7" a="1"/>
  <c r="H3063" i="7" s="1"/>
  <c r="H3064" i="7" a="1"/>
  <c r="H3064" i="7" s="1"/>
  <c r="H3065" i="7" a="1"/>
  <c r="H3065" i="7" s="1"/>
  <c r="H3066" i="7" a="1"/>
  <c r="H3066" i="7" s="1"/>
  <c r="H3067" i="7" a="1"/>
  <c r="H3067" i="7" s="1"/>
  <c r="H3068" i="7" a="1"/>
  <c r="H3068" i="7" s="1"/>
  <c r="H3069" i="7" a="1"/>
  <c r="H3069" i="7" s="1"/>
  <c r="H3070" i="7" a="1"/>
  <c r="H3070" i="7" s="1"/>
  <c r="H3071" i="7" a="1"/>
  <c r="H3071" i="7" s="1"/>
  <c r="H3072" i="7" a="1"/>
  <c r="H3072" i="7" s="1"/>
  <c r="H3073" i="7" a="1"/>
  <c r="H3073" i="7" s="1"/>
  <c r="H3074" i="7" a="1"/>
  <c r="H3074" i="7" s="1"/>
  <c r="H3075" i="7" a="1"/>
  <c r="H3075" i="7" s="1"/>
  <c r="H3076" i="7" a="1"/>
  <c r="H3076" i="7" s="1"/>
  <c r="H3077" i="7" a="1"/>
  <c r="H3077" i="7" s="1"/>
  <c r="H3078" i="7" a="1"/>
  <c r="H3078" i="7" s="1"/>
  <c r="H3079" i="7" a="1"/>
  <c r="H3079" i="7" s="1"/>
  <c r="H3080" i="7" a="1"/>
  <c r="H3080" i="7" s="1"/>
  <c r="H3081" i="7" a="1"/>
  <c r="H3081" i="7" s="1"/>
  <c r="H3082" i="7" a="1"/>
  <c r="H3082" i="7" s="1"/>
  <c r="H3083" i="7" a="1"/>
  <c r="H3083" i="7" s="1"/>
  <c r="H3084" i="7" a="1"/>
  <c r="H3084" i="7" s="1"/>
  <c r="H3085" i="7" a="1"/>
  <c r="H3085" i="7" s="1"/>
  <c r="H3086" i="7" a="1"/>
  <c r="H3086" i="7" s="1"/>
  <c r="H3087" i="7" a="1"/>
  <c r="H3087" i="7" s="1"/>
  <c r="H3088" i="7" a="1"/>
  <c r="H3088" i="7" s="1"/>
  <c r="H3089" i="7" a="1"/>
  <c r="H3089" i="7" s="1"/>
  <c r="H3090" i="7" a="1"/>
  <c r="H3090" i="7" s="1"/>
  <c r="H3091" i="7" a="1"/>
  <c r="H3091" i="7" s="1"/>
  <c r="H3092" i="7" a="1"/>
  <c r="H3092" i="7" s="1"/>
  <c r="H3093" i="7" a="1"/>
  <c r="H3093" i="7" s="1"/>
  <c r="H3094" i="7" a="1"/>
  <c r="H3094" i="7" s="1"/>
  <c r="H3095" i="7" a="1"/>
  <c r="H3095" i="7" s="1"/>
  <c r="H3096" i="7" a="1"/>
  <c r="H3096" i="7" s="1"/>
  <c r="H3097" i="7" a="1"/>
  <c r="H3097" i="7" s="1"/>
  <c r="H3098" i="7" a="1"/>
  <c r="H3098" i="7" s="1"/>
  <c r="H3099" i="7" a="1"/>
  <c r="H3099" i="7" s="1"/>
  <c r="H3100" i="7" a="1"/>
  <c r="H3100" i="7" s="1"/>
  <c r="H3101" i="7" a="1"/>
  <c r="H3101" i="7" s="1"/>
  <c r="H3102" i="7" a="1"/>
  <c r="H3102" i="7" s="1"/>
  <c r="H3103" i="7" a="1"/>
  <c r="H3103" i="7" s="1"/>
  <c r="H3104" i="7" a="1"/>
  <c r="H3104" i="7" s="1"/>
  <c r="H3105" i="7" a="1"/>
  <c r="H3105" i="7" s="1"/>
  <c r="H3106" i="7" a="1"/>
  <c r="H3106" i="7" s="1"/>
  <c r="H3107" i="7" a="1"/>
  <c r="H3107" i="7" s="1"/>
  <c r="H3108" i="7" a="1"/>
  <c r="H3108" i="7" s="1"/>
  <c r="H3109" i="7" a="1"/>
  <c r="H3109" i="7" s="1"/>
  <c r="H3110" i="7" a="1"/>
  <c r="H3110" i="7" s="1"/>
  <c r="H3111" i="7" a="1"/>
  <c r="H3111" i="7" s="1"/>
  <c r="H3112" i="7" a="1"/>
  <c r="H3112" i="7" s="1"/>
  <c r="H3113" i="7" a="1"/>
  <c r="H3113" i="7" s="1"/>
  <c r="H3114" i="7" a="1"/>
  <c r="H3114" i="7" s="1"/>
  <c r="H3115" i="7" a="1"/>
  <c r="H3115" i="7" s="1"/>
  <c r="H3116" i="7" a="1"/>
  <c r="H3116" i="7" s="1"/>
  <c r="H3117" i="7" a="1"/>
  <c r="H3117" i="7" s="1"/>
  <c r="H3118" i="7" a="1"/>
  <c r="H3118" i="7" s="1"/>
  <c r="H3119" i="7" a="1"/>
  <c r="H3119" i="7" s="1"/>
  <c r="H3120" i="7" a="1"/>
  <c r="H3120" i="7" s="1"/>
  <c r="H3121" i="7" a="1"/>
  <c r="H3121" i="7" s="1"/>
  <c r="H3122" i="7" a="1"/>
  <c r="H3122" i="7" s="1"/>
  <c r="H3123" i="7" a="1"/>
  <c r="H3123" i="7" s="1"/>
  <c r="H3124" i="7" a="1"/>
  <c r="H3124" i="7" s="1"/>
  <c r="H3125" i="7" a="1"/>
  <c r="H3125" i="7" s="1"/>
  <c r="H3126" i="7" a="1"/>
  <c r="H3126" i="7" s="1"/>
  <c r="H3127" i="7" a="1"/>
  <c r="H3127" i="7" s="1"/>
  <c r="H3128" i="7" a="1"/>
  <c r="H3128" i="7" s="1"/>
  <c r="H3129" i="7" a="1"/>
  <c r="H3129" i="7" s="1"/>
  <c r="H3130" i="7" a="1"/>
  <c r="H3130" i="7" s="1"/>
  <c r="H3131" i="7" a="1"/>
  <c r="H3131" i="7" s="1"/>
  <c r="H3132" i="7" a="1"/>
  <c r="H3132" i="7" s="1"/>
  <c r="H3133" i="7" a="1"/>
  <c r="H3133" i="7" s="1"/>
  <c r="H3134" i="7" a="1"/>
  <c r="H3134" i="7" s="1"/>
  <c r="H3135" i="7" a="1"/>
  <c r="H3135" i="7" s="1"/>
  <c r="H3136" i="7" a="1"/>
  <c r="H3136" i="7" s="1"/>
  <c r="H3137" i="7" a="1"/>
  <c r="H3137" i="7" s="1"/>
  <c r="H3138" i="7" a="1"/>
  <c r="H3138" i="7" s="1"/>
  <c r="H3139" i="7" a="1"/>
  <c r="H3139" i="7" s="1"/>
  <c r="H3140" i="7" a="1"/>
  <c r="H3140" i="7" s="1"/>
  <c r="H3141" i="7" a="1"/>
  <c r="H3141" i="7" s="1"/>
  <c r="H3142" i="7" a="1"/>
  <c r="H3142" i="7" s="1"/>
  <c r="H3143" i="7" a="1"/>
  <c r="H3143" i="7" s="1"/>
  <c r="H3144" i="7" a="1"/>
  <c r="H3144" i="7" s="1"/>
  <c r="H3145" i="7" a="1"/>
  <c r="H3145" i="7" s="1"/>
  <c r="H3146" i="7" a="1"/>
  <c r="H3146" i="7" s="1"/>
  <c r="H3147" i="7" a="1"/>
  <c r="H3147" i="7" s="1"/>
  <c r="H3148" i="7" a="1"/>
  <c r="H3148" i="7" s="1"/>
  <c r="H3149" i="7" a="1"/>
  <c r="H3149" i="7" s="1"/>
  <c r="H3150" i="7" a="1"/>
  <c r="H3150" i="7" s="1"/>
  <c r="H3151" i="7" a="1"/>
  <c r="H3151" i="7" s="1"/>
  <c r="H3152" i="7" a="1"/>
  <c r="H3152" i="7" s="1"/>
  <c r="H3153" i="7" a="1"/>
  <c r="H3153" i="7" s="1"/>
  <c r="H3154" i="7" a="1"/>
  <c r="H3154" i="7" s="1"/>
  <c r="H3155" i="7" a="1"/>
  <c r="H3155" i="7" s="1"/>
  <c r="H3156" i="7" a="1"/>
  <c r="H3156" i="7" s="1"/>
  <c r="H3157" i="7" a="1"/>
  <c r="H3157" i="7" s="1"/>
  <c r="H3158" i="7" a="1"/>
  <c r="H3158" i="7" s="1"/>
  <c r="H3159" i="7" a="1"/>
  <c r="H3159" i="7" s="1"/>
  <c r="H3160" i="7" a="1"/>
  <c r="H3160" i="7" s="1"/>
  <c r="H3161" i="7" a="1"/>
  <c r="H3161" i="7" s="1"/>
  <c r="H3162" i="7" a="1"/>
  <c r="H3162" i="7" s="1"/>
  <c r="H3163" i="7" a="1"/>
  <c r="H3163" i="7" s="1"/>
  <c r="H3164" i="7" a="1"/>
  <c r="H3164" i="7" s="1"/>
  <c r="H3165" i="7" a="1"/>
  <c r="H3165" i="7" s="1"/>
  <c r="H3166" i="7" a="1"/>
  <c r="H3166" i="7" s="1"/>
  <c r="H3167" i="7" a="1"/>
  <c r="H3167" i="7" s="1"/>
  <c r="H3168" i="7" a="1"/>
  <c r="H3168" i="7" s="1"/>
  <c r="H3169" i="7" a="1"/>
  <c r="H3169" i="7" s="1"/>
  <c r="H3170" i="7" a="1"/>
  <c r="H3170" i="7" s="1"/>
  <c r="H3171" i="7" a="1"/>
  <c r="H3171" i="7" s="1"/>
  <c r="H3172" i="7" a="1"/>
  <c r="H3172" i="7" s="1"/>
  <c r="H3173" i="7" a="1"/>
  <c r="H3173" i="7" s="1"/>
  <c r="H3174" i="7" a="1"/>
  <c r="H3174" i="7" s="1"/>
  <c r="H3175" i="7" a="1"/>
  <c r="H3175" i="7" s="1"/>
  <c r="H3176" i="7" a="1"/>
  <c r="H3176" i="7" s="1"/>
  <c r="H3177" i="7" a="1"/>
  <c r="H3177" i="7" s="1"/>
  <c r="H3178" i="7" a="1"/>
  <c r="H3178" i="7" s="1"/>
  <c r="H3179" i="7" a="1"/>
  <c r="H3179" i="7" s="1"/>
  <c r="H3180" i="7" a="1"/>
  <c r="H3180" i="7" s="1"/>
  <c r="H3181" i="7" a="1"/>
  <c r="H3181" i="7" s="1"/>
  <c r="H3182" i="7" a="1"/>
  <c r="H3182" i="7" s="1"/>
  <c r="H3183" i="7" a="1"/>
  <c r="H3183" i="7" s="1"/>
  <c r="H3184" i="7" a="1"/>
  <c r="H3184" i="7" s="1"/>
  <c r="H3185" i="7" a="1"/>
  <c r="H3185" i="7" s="1"/>
  <c r="H3186" i="7" a="1"/>
  <c r="H3186" i="7" s="1"/>
  <c r="H3187" i="7" a="1"/>
  <c r="H3187" i="7" s="1"/>
  <c r="H3188" i="7" a="1"/>
  <c r="H3188" i="7" s="1"/>
  <c r="H3189" i="7" a="1"/>
  <c r="H3189" i="7" s="1"/>
  <c r="H3190" i="7" a="1"/>
  <c r="H3190" i="7" s="1"/>
  <c r="H3191" i="7" a="1"/>
  <c r="H3191" i="7" s="1"/>
  <c r="H3192" i="7" a="1"/>
  <c r="H3192" i="7" s="1"/>
  <c r="H3193" i="7" a="1"/>
  <c r="H3193" i="7" s="1"/>
  <c r="H3194" i="7" a="1"/>
  <c r="H3194" i="7" s="1"/>
  <c r="H3195" i="7" a="1"/>
  <c r="H3195" i="7" s="1"/>
  <c r="H3196" i="7" a="1"/>
  <c r="H3196" i="7" s="1"/>
  <c r="H3197" i="7" a="1"/>
  <c r="H3197" i="7" s="1"/>
  <c r="H3198" i="7" a="1"/>
  <c r="H3198" i="7" s="1"/>
  <c r="H3199" i="7" a="1"/>
  <c r="H3199" i="7" s="1"/>
  <c r="H3200" i="7" a="1"/>
  <c r="H3200" i="7" s="1"/>
  <c r="H3201" i="7" a="1"/>
  <c r="H3201" i="7" s="1"/>
  <c r="H3202" i="7" a="1"/>
  <c r="H3202" i="7" s="1"/>
  <c r="H3203" i="7" a="1"/>
  <c r="H3203" i="7" s="1"/>
  <c r="H3204" i="7" a="1"/>
  <c r="H3204" i="7" s="1"/>
  <c r="H3205" i="7" a="1"/>
  <c r="H3205" i="7" s="1"/>
  <c r="H3206" i="7" a="1"/>
  <c r="H3206" i="7" s="1"/>
  <c r="H3207" i="7" a="1"/>
  <c r="H3207" i="7" s="1"/>
  <c r="H3208" i="7" a="1"/>
  <c r="H3208" i="7" s="1"/>
  <c r="H3209" i="7" a="1"/>
  <c r="H3209" i="7" s="1"/>
  <c r="H3210" i="7" a="1"/>
  <c r="H3210" i="7" s="1"/>
  <c r="H3211" i="7" a="1"/>
  <c r="H3211" i="7" s="1"/>
  <c r="H3212" i="7" a="1"/>
  <c r="H3212" i="7" s="1"/>
  <c r="H3213" i="7" a="1"/>
  <c r="H3213" i="7" s="1"/>
  <c r="H3214" i="7" a="1"/>
  <c r="H3214" i="7" s="1"/>
  <c r="H3215" i="7" a="1"/>
  <c r="H3215" i="7" s="1"/>
  <c r="H3216" i="7" a="1"/>
  <c r="H3216" i="7" s="1"/>
  <c r="H3217" i="7" a="1"/>
  <c r="H3217" i="7" s="1"/>
  <c r="H3218" i="7" a="1"/>
  <c r="H3218" i="7" s="1"/>
  <c r="H3219" i="7" a="1"/>
  <c r="H3219" i="7" s="1"/>
  <c r="H3220" i="7" a="1"/>
  <c r="H3220" i="7" s="1"/>
  <c r="H3221" i="7" a="1"/>
  <c r="H3221" i="7" s="1"/>
  <c r="H3222" i="7" a="1"/>
  <c r="H3222" i="7" s="1"/>
  <c r="H3223" i="7" a="1"/>
  <c r="H3223" i="7" s="1"/>
  <c r="H3224" i="7" a="1"/>
  <c r="H3224" i="7" s="1"/>
  <c r="H3225" i="7" a="1"/>
  <c r="H3225" i="7" s="1"/>
  <c r="H3226" i="7" a="1"/>
  <c r="H3226" i="7" s="1"/>
  <c r="H3227" i="7" a="1"/>
  <c r="H3227" i="7" s="1"/>
  <c r="H3228" i="7" a="1"/>
  <c r="H3228" i="7" s="1"/>
  <c r="H3229" i="7" a="1"/>
  <c r="H3229" i="7" s="1"/>
  <c r="H3230" i="7" a="1"/>
  <c r="H3230" i="7" s="1"/>
  <c r="H3231" i="7" a="1"/>
  <c r="H3231" i="7" s="1"/>
  <c r="H3232" i="7" a="1"/>
  <c r="H3232" i="7" s="1"/>
  <c r="H3233" i="7" a="1"/>
  <c r="H3233" i="7" s="1"/>
  <c r="H3234" i="7" a="1"/>
  <c r="H3234" i="7" s="1"/>
  <c r="H3235" i="7" a="1"/>
  <c r="H3235" i="7" s="1"/>
  <c r="H3236" i="7" a="1"/>
  <c r="H3236" i="7" s="1"/>
  <c r="H3237" i="7" a="1"/>
  <c r="H3237" i="7" s="1"/>
  <c r="H3238" i="7" a="1"/>
  <c r="H3238" i="7" s="1"/>
  <c r="H3239" i="7" a="1"/>
  <c r="H3239" i="7" s="1"/>
  <c r="H3240" i="7" a="1"/>
  <c r="H3240" i="7" s="1"/>
  <c r="H3241" i="7" a="1"/>
  <c r="H3241" i="7" s="1"/>
  <c r="H3242" i="7" a="1"/>
  <c r="H3242" i="7" s="1"/>
  <c r="H3243" i="7" a="1"/>
  <c r="H3243" i="7" s="1"/>
  <c r="H3244" i="7" a="1"/>
  <c r="H3244" i="7" s="1"/>
  <c r="H3245" i="7" a="1"/>
  <c r="H3245" i="7" s="1"/>
  <c r="H3246" i="7" a="1"/>
  <c r="H3246" i="7" s="1"/>
  <c r="H3247" i="7" a="1"/>
  <c r="H3247" i="7" s="1"/>
  <c r="H3248" i="7" a="1"/>
  <c r="H3248" i="7" s="1"/>
  <c r="H3249" i="7" a="1"/>
  <c r="H3249" i="7" s="1"/>
  <c r="H3250" i="7" a="1"/>
  <c r="H3250" i="7" s="1"/>
  <c r="H3251" i="7" a="1"/>
  <c r="H3251" i="7" s="1"/>
  <c r="H3252" i="7" a="1"/>
  <c r="H3252" i="7" s="1"/>
  <c r="H3253" i="7" a="1"/>
  <c r="H3253" i="7" s="1"/>
  <c r="H3254" i="7" a="1"/>
  <c r="H3254" i="7" s="1"/>
  <c r="H3255" i="7" a="1"/>
  <c r="H3255" i="7" s="1"/>
  <c r="H3256" i="7" a="1"/>
  <c r="H3256" i="7" s="1"/>
  <c r="H3257" i="7" a="1"/>
  <c r="H3257" i="7" s="1"/>
  <c r="H3258" i="7" a="1"/>
  <c r="H3258" i="7" s="1"/>
  <c r="H3259" i="7" a="1"/>
  <c r="H3259" i="7" s="1"/>
  <c r="H3260" i="7" a="1"/>
  <c r="H3260" i="7" s="1"/>
  <c r="H3261" i="7" a="1"/>
  <c r="H3261" i="7" s="1"/>
  <c r="H3262" i="7" a="1"/>
  <c r="H3262" i="7" s="1"/>
  <c r="H3263" i="7" a="1"/>
  <c r="H3263" i="7" s="1"/>
  <c r="H3264" i="7" a="1"/>
  <c r="H3264" i="7" s="1"/>
  <c r="H3265" i="7" a="1"/>
  <c r="H3265" i="7" s="1"/>
  <c r="H3266" i="7" a="1"/>
  <c r="H3266" i="7" s="1"/>
  <c r="H3267" i="7" a="1"/>
  <c r="H3267" i="7" s="1"/>
  <c r="H3268" i="7" a="1"/>
  <c r="H3268" i="7" s="1"/>
  <c r="H3269" i="7" a="1"/>
  <c r="H3269" i="7" s="1"/>
  <c r="H3270" i="7" a="1"/>
  <c r="H3270" i="7" s="1"/>
  <c r="H3271" i="7" a="1"/>
  <c r="H3271" i="7" s="1"/>
  <c r="H3272" i="7" a="1"/>
  <c r="H3272" i="7" s="1"/>
  <c r="H3273" i="7" a="1"/>
  <c r="H3273" i="7" s="1"/>
  <c r="H3274" i="7" a="1"/>
  <c r="H3274" i="7" s="1"/>
  <c r="H3275" i="7" a="1"/>
  <c r="H3275" i="7" s="1"/>
  <c r="H3276" i="7" a="1"/>
  <c r="H3276" i="7" s="1"/>
  <c r="H3277" i="7" a="1"/>
  <c r="H3277" i="7" s="1"/>
  <c r="H3278" i="7" a="1"/>
  <c r="H3278" i="7" s="1"/>
  <c r="H3279" i="7" a="1"/>
  <c r="H3279" i="7" s="1"/>
  <c r="H3280" i="7" a="1"/>
  <c r="H3280" i="7" s="1"/>
  <c r="H3281" i="7" a="1"/>
  <c r="H3281" i="7" s="1"/>
  <c r="H3282" i="7" a="1"/>
  <c r="H3282" i="7" s="1"/>
  <c r="H3283" i="7" a="1"/>
  <c r="H3283" i="7" s="1"/>
  <c r="H3284" i="7" a="1"/>
  <c r="H3284" i="7" s="1"/>
  <c r="H3285" i="7" a="1"/>
  <c r="H3285" i="7" s="1"/>
  <c r="H3286" i="7" a="1"/>
  <c r="H3286" i="7" s="1"/>
  <c r="H3287" i="7" a="1"/>
  <c r="H3287" i="7" s="1"/>
  <c r="H3288" i="7" a="1"/>
  <c r="H3288" i="7" s="1"/>
  <c r="H3289" i="7" a="1"/>
  <c r="H3289" i="7" s="1"/>
  <c r="H3290" i="7" a="1"/>
  <c r="H3290" i="7" s="1"/>
  <c r="H3291" i="7" a="1"/>
  <c r="H3291" i="7" s="1"/>
  <c r="H3292" i="7" a="1"/>
  <c r="H3292" i="7" s="1"/>
  <c r="H3293" i="7" a="1"/>
  <c r="H3293" i="7" s="1"/>
  <c r="H3294" i="7" a="1"/>
  <c r="H3294" i="7" s="1"/>
  <c r="H3295" i="7" a="1"/>
  <c r="H3295" i="7" s="1"/>
  <c r="H3296" i="7" a="1"/>
  <c r="H3296" i="7" s="1"/>
  <c r="H3297" i="7" a="1"/>
  <c r="H3297" i="7" s="1"/>
  <c r="H3298" i="7" a="1"/>
  <c r="H3298" i="7" s="1"/>
  <c r="H3299" i="7" a="1"/>
  <c r="H3299" i="7" s="1"/>
  <c r="H3300" i="7" a="1"/>
  <c r="H3300" i="7" s="1"/>
  <c r="H3301" i="7" a="1"/>
  <c r="H3301" i="7" s="1"/>
  <c r="H3302" i="7" a="1"/>
  <c r="H3302" i="7" s="1"/>
  <c r="H3303" i="7" a="1"/>
  <c r="H3303" i="7" s="1"/>
  <c r="H3304" i="7" a="1"/>
  <c r="H3304" i="7" s="1"/>
  <c r="H3305" i="7" a="1"/>
  <c r="H3305" i="7" s="1"/>
  <c r="H3306" i="7" a="1"/>
  <c r="H3306" i="7" s="1"/>
  <c r="H3307" i="7" a="1"/>
  <c r="H3307" i="7" s="1"/>
  <c r="H3308" i="7" a="1"/>
  <c r="H3308" i="7" s="1"/>
  <c r="H3309" i="7" a="1"/>
  <c r="H3309" i="7" s="1"/>
  <c r="H3310" i="7" a="1"/>
  <c r="H3310" i="7" s="1"/>
  <c r="H3311" i="7" a="1"/>
  <c r="H3311" i="7" s="1"/>
  <c r="H3312" i="7" a="1"/>
  <c r="H3312" i="7" s="1"/>
  <c r="H3313" i="7" a="1"/>
  <c r="H3313" i="7" s="1"/>
  <c r="H3314" i="7" a="1"/>
  <c r="H3314" i="7" s="1"/>
  <c r="H3315" i="7" a="1"/>
  <c r="H3315" i="7" s="1"/>
  <c r="H3316" i="7" a="1"/>
  <c r="H3316" i="7" s="1"/>
  <c r="H3317" i="7" a="1"/>
  <c r="H3317" i="7" s="1"/>
  <c r="H3318" i="7" a="1"/>
  <c r="H3318" i="7" s="1"/>
  <c r="H3319" i="7" a="1"/>
  <c r="H3319" i="7" s="1"/>
  <c r="H3320" i="7" a="1"/>
  <c r="H3320" i="7" s="1"/>
  <c r="H3321" i="7" a="1"/>
  <c r="H3321" i="7" s="1"/>
  <c r="H3322" i="7" a="1"/>
  <c r="H3322" i="7" s="1"/>
  <c r="H3323" i="7" a="1"/>
  <c r="H3323" i="7" s="1"/>
  <c r="H3324" i="7" a="1"/>
  <c r="H3324" i="7" s="1"/>
  <c r="H3325" i="7" a="1"/>
  <c r="H3325" i="7" s="1"/>
  <c r="H3326" i="7" a="1"/>
  <c r="H3326" i="7" s="1"/>
  <c r="H3327" i="7" a="1"/>
  <c r="H3327" i="7" s="1"/>
  <c r="H3328" i="7" a="1"/>
  <c r="H3328" i="7" s="1"/>
  <c r="H3329" i="7" a="1"/>
  <c r="H3329" i="7" s="1"/>
  <c r="H3330" i="7" a="1"/>
  <c r="H3330" i="7" s="1"/>
  <c r="H3331" i="7" a="1"/>
  <c r="H3331" i="7" s="1"/>
  <c r="H3332" i="7" a="1"/>
  <c r="H3332" i="7" s="1"/>
  <c r="H3333" i="7" a="1"/>
  <c r="H3333" i="7" s="1"/>
  <c r="H3334" i="7" a="1"/>
  <c r="H3334" i="7" s="1"/>
  <c r="H3335" i="7" a="1"/>
  <c r="H3335" i="7" s="1"/>
  <c r="H3336" i="7" a="1"/>
  <c r="H3336" i="7" s="1"/>
  <c r="H3337" i="7" a="1"/>
  <c r="H3337" i="7" s="1"/>
  <c r="H3338" i="7" a="1"/>
  <c r="H3338" i="7" s="1"/>
  <c r="H3339" i="7" a="1"/>
  <c r="H3339" i="7" s="1"/>
  <c r="H3340" i="7" a="1"/>
  <c r="H3340" i="7" s="1"/>
  <c r="H3341" i="7" a="1"/>
  <c r="H3341" i="7" s="1"/>
  <c r="H3342" i="7" a="1"/>
  <c r="H3342" i="7" s="1"/>
  <c r="H3343" i="7" a="1"/>
  <c r="H3343" i="7" s="1"/>
  <c r="H3344" i="7" a="1"/>
  <c r="H3344" i="7" s="1"/>
  <c r="H3345" i="7" a="1"/>
  <c r="H3345" i="7" s="1"/>
  <c r="H3346" i="7" a="1"/>
  <c r="H3346" i="7" s="1"/>
  <c r="H3347" i="7" a="1"/>
  <c r="H3347" i="7" s="1"/>
  <c r="H3348" i="7" a="1"/>
  <c r="H3348" i="7" s="1"/>
  <c r="H3349" i="7" a="1"/>
  <c r="H3349" i="7" s="1"/>
  <c r="H3350" i="7" a="1"/>
  <c r="H3350" i="7" s="1"/>
  <c r="H3351" i="7" a="1"/>
  <c r="H3351" i="7" s="1"/>
  <c r="H3352" i="7" a="1"/>
  <c r="H3352" i="7" s="1"/>
  <c r="H3353" i="7" a="1"/>
  <c r="H3353" i="7" s="1"/>
  <c r="H3354" i="7" a="1"/>
  <c r="H3354" i="7" s="1"/>
  <c r="H3355" i="7" a="1"/>
  <c r="H3355" i="7" s="1"/>
  <c r="H3356" i="7" a="1"/>
  <c r="H3356" i="7" s="1"/>
  <c r="H3357" i="7" a="1"/>
  <c r="H3357" i="7" s="1"/>
  <c r="H3358" i="7" a="1"/>
  <c r="H3358" i="7" s="1"/>
  <c r="H3359" i="7" a="1"/>
  <c r="H3359" i="7" s="1"/>
  <c r="H3360" i="7" a="1"/>
  <c r="H3360" i="7" s="1"/>
  <c r="H3361" i="7" a="1"/>
  <c r="H3361" i="7" s="1"/>
  <c r="H3362" i="7" a="1"/>
  <c r="H3362" i="7" s="1"/>
  <c r="H3363" i="7" a="1"/>
  <c r="H3363" i="7" s="1"/>
  <c r="H3364" i="7" a="1"/>
  <c r="H3364" i="7" s="1"/>
  <c r="H3365" i="7" a="1"/>
  <c r="H3365" i="7" s="1"/>
  <c r="H3366" i="7" a="1"/>
  <c r="H3366" i="7" s="1"/>
  <c r="H3367" i="7" a="1"/>
  <c r="H3367" i="7" s="1"/>
  <c r="H3368" i="7" a="1"/>
  <c r="H3368" i="7" s="1"/>
  <c r="H3369" i="7" a="1"/>
  <c r="H3369" i="7" s="1"/>
  <c r="H3370" i="7" a="1"/>
  <c r="H3370" i="7" s="1"/>
  <c r="H3371" i="7" a="1"/>
  <c r="H3371" i="7" s="1"/>
  <c r="H3372" i="7" a="1"/>
  <c r="H3372" i="7" s="1"/>
  <c r="H3373" i="7" a="1"/>
  <c r="H3373" i="7" s="1"/>
  <c r="H3374" i="7" a="1"/>
  <c r="H3374" i="7" s="1"/>
  <c r="H3375" i="7" a="1"/>
  <c r="H3375" i="7" s="1"/>
  <c r="H3376" i="7" a="1"/>
  <c r="H3376" i="7" s="1"/>
  <c r="H3377" i="7" a="1"/>
  <c r="H3377" i="7" s="1"/>
  <c r="H3378" i="7" a="1"/>
  <c r="H3378" i="7" s="1"/>
  <c r="H3379" i="7" a="1"/>
  <c r="H3379" i="7" s="1"/>
  <c r="H3380" i="7" a="1"/>
  <c r="H3380" i="7" s="1"/>
  <c r="H3381" i="7" a="1"/>
  <c r="H3381" i="7" s="1"/>
  <c r="H3382" i="7" a="1"/>
  <c r="H3382" i="7" s="1"/>
  <c r="H3383" i="7" a="1"/>
  <c r="H3383" i="7" s="1"/>
  <c r="H3384" i="7" a="1"/>
  <c r="H3384" i="7" s="1"/>
  <c r="H3385" i="7" a="1"/>
  <c r="H3385" i="7" s="1"/>
  <c r="H3386" i="7" a="1"/>
  <c r="H3386" i="7" s="1"/>
  <c r="H3387" i="7" a="1"/>
  <c r="H3387" i="7" s="1"/>
  <c r="H3388" i="7" a="1"/>
  <c r="H3388" i="7" s="1"/>
  <c r="H3389" i="7" a="1"/>
  <c r="H3389" i="7" s="1"/>
  <c r="H3390" i="7" a="1"/>
  <c r="H3390" i="7" s="1"/>
  <c r="H3391" i="7" a="1"/>
  <c r="H3391" i="7" s="1"/>
  <c r="H3392" i="7" a="1"/>
  <c r="H3392" i="7" s="1"/>
  <c r="H3393" i="7" a="1"/>
  <c r="H3393" i="7" s="1"/>
  <c r="H3394" i="7" a="1"/>
  <c r="H3394" i="7" s="1"/>
  <c r="H3395" i="7" a="1"/>
  <c r="H3395" i="7" s="1"/>
  <c r="H3396" i="7" a="1"/>
  <c r="H3396" i="7" s="1"/>
  <c r="H3397" i="7" a="1"/>
  <c r="H3397" i="7" s="1"/>
  <c r="H3398" i="7" a="1"/>
  <c r="H3398" i="7" s="1"/>
  <c r="H3399" i="7" a="1"/>
  <c r="H3399" i="7" s="1"/>
  <c r="H3400" i="7" a="1"/>
  <c r="H3400" i="7" s="1"/>
  <c r="H3401" i="7" a="1"/>
  <c r="H3401" i="7" s="1"/>
  <c r="H3402" i="7" a="1"/>
  <c r="H3402" i="7" s="1"/>
  <c r="H3403" i="7" a="1"/>
  <c r="H3403" i="7" s="1"/>
  <c r="H3404" i="7" a="1"/>
  <c r="H3404" i="7" s="1"/>
  <c r="H3405" i="7" a="1"/>
  <c r="H3405" i="7" s="1"/>
  <c r="H3406" i="7" a="1"/>
  <c r="H3406" i="7" s="1"/>
  <c r="H3407" i="7" a="1"/>
  <c r="H3407" i="7" s="1"/>
  <c r="H3408" i="7" a="1"/>
  <c r="H3408" i="7" s="1"/>
  <c r="H3409" i="7" a="1"/>
  <c r="H3409" i="7" s="1"/>
  <c r="H3410" i="7" a="1"/>
  <c r="H3410" i="7" s="1"/>
  <c r="H3411" i="7" a="1"/>
  <c r="H3411" i="7" s="1"/>
  <c r="H3412" i="7" a="1"/>
  <c r="H3412" i="7" s="1"/>
  <c r="H3413" i="7" a="1"/>
  <c r="H3413" i="7" s="1"/>
  <c r="H3414" i="7" a="1"/>
  <c r="H3414" i="7" s="1"/>
  <c r="H3415" i="7" a="1"/>
  <c r="H3415" i="7" s="1"/>
  <c r="H3416" i="7" a="1"/>
  <c r="H3416" i="7" s="1"/>
  <c r="H3417" i="7" a="1"/>
  <c r="H3417" i="7" s="1"/>
  <c r="H3418" i="7" a="1"/>
  <c r="H3418" i="7" s="1"/>
  <c r="H3419" i="7" a="1"/>
  <c r="H3419" i="7" s="1"/>
  <c r="H3420" i="7" a="1"/>
  <c r="H3420" i="7" s="1"/>
  <c r="H3421" i="7" a="1"/>
  <c r="H3421" i="7" s="1"/>
  <c r="H3422" i="7" a="1"/>
  <c r="H3422" i="7" s="1"/>
  <c r="H3423" i="7" a="1"/>
  <c r="H3423" i="7" s="1"/>
  <c r="H3424" i="7" a="1"/>
  <c r="H3424" i="7" s="1"/>
  <c r="H3425" i="7" a="1"/>
  <c r="H3425" i="7" s="1"/>
  <c r="H3426" i="7" a="1"/>
  <c r="H3426" i="7" s="1"/>
  <c r="H3427" i="7" a="1"/>
  <c r="H3427" i="7" s="1"/>
  <c r="H3428" i="7" a="1"/>
  <c r="H3428" i="7" s="1"/>
  <c r="H3429" i="7" a="1"/>
  <c r="H3429" i="7" s="1"/>
  <c r="H3430" i="7" a="1"/>
  <c r="H3430" i="7" s="1"/>
  <c r="H3431" i="7" a="1"/>
  <c r="H3431" i="7" s="1"/>
  <c r="H3432" i="7" a="1"/>
  <c r="H3432" i="7" s="1"/>
  <c r="H3433" i="7" a="1"/>
  <c r="H3433" i="7" s="1"/>
  <c r="H3434" i="7" a="1"/>
  <c r="H3434" i="7" s="1"/>
  <c r="H3435" i="7" a="1"/>
  <c r="H3435" i="7" s="1"/>
  <c r="H3436" i="7" a="1"/>
  <c r="H3436" i="7" s="1"/>
  <c r="H3437" i="7" a="1"/>
  <c r="H3437" i="7" s="1"/>
  <c r="H3438" i="7" a="1"/>
  <c r="H3438" i="7" s="1"/>
  <c r="H3439" i="7" a="1"/>
  <c r="H3439" i="7" s="1"/>
  <c r="H3440" i="7" a="1"/>
  <c r="H3440" i="7" s="1"/>
  <c r="H3441" i="7" a="1"/>
  <c r="H3441" i="7" s="1"/>
  <c r="H3442" i="7" a="1"/>
  <c r="H3442" i="7" s="1"/>
  <c r="H3443" i="7" a="1"/>
  <c r="H3443" i="7" s="1"/>
  <c r="H3444" i="7" a="1"/>
  <c r="H3444" i="7" s="1"/>
  <c r="H3445" i="7" a="1"/>
  <c r="H3445" i="7" s="1"/>
  <c r="H3446" i="7" a="1"/>
  <c r="H3446" i="7" s="1"/>
  <c r="H3447" i="7" a="1"/>
  <c r="H3447" i="7" s="1"/>
  <c r="H3448" i="7" a="1"/>
  <c r="H3448" i="7" s="1"/>
  <c r="H3449" i="7" a="1"/>
  <c r="H3449" i="7" s="1"/>
  <c r="H3450" i="7" a="1"/>
  <c r="H3450" i="7" s="1"/>
  <c r="H3451" i="7" a="1"/>
  <c r="H3451" i="7" s="1"/>
  <c r="H3452" i="7" a="1"/>
  <c r="H3452" i="7" s="1"/>
  <c r="H3453" i="7" a="1"/>
  <c r="H3453" i="7" s="1"/>
  <c r="H3454" i="7" a="1"/>
  <c r="H3454" i="7" s="1"/>
  <c r="H3455" i="7" a="1"/>
  <c r="H3455" i="7" s="1"/>
  <c r="H3456" i="7" a="1"/>
  <c r="H3456" i="7" s="1"/>
  <c r="H3457" i="7" a="1"/>
  <c r="H3457" i="7" s="1"/>
  <c r="H3458" i="7" a="1"/>
  <c r="H3458" i="7" s="1"/>
  <c r="H3459" i="7" a="1"/>
  <c r="H3459" i="7" s="1"/>
  <c r="H3460" i="7" a="1"/>
  <c r="H3460" i="7" s="1"/>
  <c r="H3461" i="7" a="1"/>
  <c r="H3461" i="7" s="1"/>
  <c r="H3462" i="7" a="1"/>
  <c r="H3462" i="7" s="1"/>
  <c r="H3463" i="7" a="1"/>
  <c r="H3463" i="7" s="1"/>
  <c r="H3464" i="7" a="1"/>
  <c r="H3464" i="7" s="1"/>
  <c r="H3465" i="7" a="1"/>
  <c r="H3465" i="7" s="1"/>
  <c r="H3466" i="7" a="1"/>
  <c r="H3466" i="7" s="1"/>
  <c r="H3467" i="7" a="1"/>
  <c r="H3467" i="7" s="1"/>
  <c r="H3468" i="7" a="1"/>
  <c r="H3468" i="7" s="1"/>
  <c r="H3469" i="7" a="1"/>
  <c r="H3469" i="7" s="1"/>
  <c r="H3470" i="7" a="1"/>
  <c r="H3470" i="7" s="1"/>
  <c r="H3471" i="7" a="1"/>
  <c r="H3471" i="7" s="1"/>
  <c r="H3472" i="7" a="1"/>
  <c r="H3472" i="7" s="1"/>
  <c r="H3473" i="7" a="1"/>
  <c r="H3473" i="7" s="1"/>
  <c r="H3474" i="7" a="1"/>
  <c r="H3474" i="7" s="1"/>
  <c r="H3475" i="7" a="1"/>
  <c r="H3475" i="7" s="1"/>
  <c r="H3476" i="7" a="1"/>
  <c r="H3476" i="7" s="1"/>
  <c r="H3477" i="7" a="1"/>
  <c r="H3477" i="7" s="1"/>
  <c r="H3478" i="7" a="1"/>
  <c r="H3478" i="7" s="1"/>
  <c r="H3479" i="7" a="1"/>
  <c r="H3479" i="7" s="1"/>
  <c r="H3480" i="7" a="1"/>
  <c r="H3480" i="7" s="1"/>
  <c r="H3481" i="7" a="1"/>
  <c r="H3481" i="7" s="1"/>
  <c r="H3482" i="7" a="1"/>
  <c r="H3482" i="7" s="1"/>
  <c r="H3483" i="7" a="1"/>
  <c r="H3483" i="7" s="1"/>
  <c r="H3484" i="7" a="1"/>
  <c r="H3484" i="7" s="1"/>
  <c r="H3485" i="7" a="1"/>
  <c r="H3485" i="7" s="1"/>
  <c r="H3486" i="7" a="1"/>
  <c r="H3486" i="7" s="1"/>
  <c r="H3487" i="7" a="1"/>
  <c r="H3487" i="7" s="1"/>
  <c r="H3488" i="7" a="1"/>
  <c r="H3488" i="7" s="1"/>
  <c r="H3489" i="7" a="1"/>
  <c r="H3489" i="7" s="1"/>
  <c r="H3490" i="7" a="1"/>
  <c r="H3490" i="7" s="1"/>
  <c r="H3491" i="7" a="1"/>
  <c r="H3491" i="7" s="1"/>
  <c r="H3492" i="7" a="1"/>
  <c r="H3492" i="7" s="1"/>
  <c r="H3493" i="7" a="1"/>
  <c r="H3493" i="7" s="1"/>
  <c r="H3494" i="7" a="1"/>
  <c r="H3494" i="7" s="1"/>
  <c r="H3495" i="7" a="1"/>
  <c r="H3495" i="7" s="1"/>
  <c r="H3496" i="7" a="1"/>
  <c r="H3496" i="7" s="1"/>
  <c r="H3497" i="7" a="1"/>
  <c r="H3497" i="7" s="1"/>
  <c r="H3498" i="7" a="1"/>
  <c r="H3498" i="7" s="1"/>
  <c r="H3499" i="7" a="1"/>
  <c r="H3499" i="7" s="1"/>
  <c r="H3500" i="7" a="1"/>
  <c r="H3500" i="7" s="1"/>
  <c r="H3501" i="7" a="1"/>
  <c r="H3501" i="7" s="1"/>
  <c r="H3502" i="7" a="1"/>
  <c r="H3502" i="7" s="1"/>
  <c r="H3503" i="7" a="1"/>
  <c r="H3503" i="7" s="1"/>
  <c r="H3504" i="7" a="1"/>
  <c r="H3504" i="7" s="1"/>
  <c r="H3505" i="7" a="1"/>
  <c r="H3505" i="7" s="1"/>
  <c r="H3506" i="7" a="1"/>
  <c r="H3506" i="7" s="1"/>
  <c r="H3507" i="7" a="1"/>
  <c r="H3507" i="7" s="1"/>
  <c r="H3508" i="7" a="1"/>
  <c r="H3508" i="7" s="1"/>
  <c r="H3509" i="7" a="1"/>
  <c r="H3509" i="7" s="1"/>
  <c r="H3510" i="7" a="1"/>
  <c r="H3510" i="7" s="1"/>
  <c r="H3511" i="7" a="1"/>
  <c r="H3511" i="7" s="1"/>
  <c r="H3512" i="7" a="1"/>
  <c r="H3512" i="7" s="1"/>
  <c r="H3513" i="7" a="1"/>
  <c r="H3513" i="7" s="1"/>
  <c r="H3514" i="7" a="1"/>
  <c r="H3514" i="7" s="1"/>
  <c r="H3515" i="7" a="1"/>
  <c r="H3515" i="7" s="1"/>
  <c r="H3516" i="7" a="1"/>
  <c r="H3516" i="7" s="1"/>
  <c r="H3517" i="7" a="1"/>
  <c r="H3517" i="7" s="1"/>
  <c r="H3518" i="7" a="1"/>
  <c r="H3518" i="7" s="1"/>
  <c r="H3519" i="7" a="1"/>
  <c r="H3519" i="7" s="1"/>
  <c r="H3520" i="7" a="1"/>
  <c r="H3520" i="7" s="1"/>
  <c r="H3521" i="7" a="1"/>
  <c r="H3521" i="7" s="1"/>
  <c r="H3522" i="7" a="1"/>
  <c r="H3522" i="7" s="1"/>
  <c r="H3523" i="7" a="1"/>
  <c r="H3523" i="7" s="1"/>
  <c r="H3524" i="7" a="1"/>
  <c r="H3524" i="7" s="1"/>
  <c r="H3525" i="7" a="1"/>
  <c r="H3525" i="7" s="1"/>
  <c r="H3526" i="7" a="1"/>
  <c r="H3526" i="7" s="1"/>
  <c r="H3527" i="7" a="1"/>
  <c r="H3527" i="7" s="1"/>
  <c r="H3528" i="7" a="1"/>
  <c r="H3528" i="7" s="1"/>
  <c r="H3529" i="7" a="1"/>
  <c r="H3529" i="7" s="1"/>
  <c r="H3530" i="7" a="1"/>
  <c r="H3530" i="7" s="1"/>
  <c r="H3531" i="7" a="1"/>
  <c r="H3531" i="7" s="1"/>
  <c r="H3532" i="7" a="1"/>
  <c r="H3532" i="7" s="1"/>
  <c r="H3533" i="7" a="1"/>
  <c r="H3533" i="7" s="1"/>
  <c r="H3534" i="7" a="1"/>
  <c r="H3534" i="7" s="1"/>
  <c r="H3535" i="7" a="1"/>
  <c r="H3535" i="7" s="1"/>
  <c r="H3536" i="7" a="1"/>
  <c r="H3536" i="7" s="1"/>
  <c r="H3537" i="7" a="1"/>
  <c r="H3537" i="7" s="1"/>
  <c r="H3538" i="7" a="1"/>
  <c r="H3538" i="7" s="1"/>
  <c r="H3539" i="7" a="1"/>
  <c r="H3539" i="7" s="1"/>
  <c r="H3540" i="7" a="1"/>
  <c r="H3540" i="7" s="1"/>
  <c r="H3541" i="7" a="1"/>
  <c r="H3541" i="7" s="1"/>
  <c r="H3542" i="7" a="1"/>
  <c r="H3542" i="7" s="1"/>
  <c r="H3543" i="7" a="1"/>
  <c r="H3543" i="7" s="1"/>
  <c r="H3544" i="7" a="1"/>
  <c r="H3544" i="7" s="1"/>
  <c r="H3545" i="7" a="1"/>
  <c r="H3545" i="7" s="1"/>
  <c r="H3546" i="7" a="1"/>
  <c r="H3546" i="7" s="1"/>
  <c r="H3547" i="7" a="1"/>
  <c r="H3547" i="7" s="1"/>
  <c r="H3548" i="7" a="1"/>
  <c r="H3548" i="7" s="1"/>
  <c r="H3549" i="7" a="1"/>
  <c r="H3549" i="7" s="1"/>
  <c r="H3550" i="7" a="1"/>
  <c r="H3550" i="7" s="1"/>
  <c r="H3551" i="7" a="1"/>
  <c r="H3551" i="7" s="1"/>
  <c r="H3552" i="7" a="1"/>
  <c r="H3552" i="7" s="1"/>
  <c r="H3553" i="7" a="1"/>
  <c r="H3553" i="7" s="1"/>
  <c r="H3554" i="7" a="1"/>
  <c r="H3554" i="7" s="1"/>
  <c r="H3555" i="7" a="1"/>
  <c r="H3555" i="7" s="1"/>
  <c r="H3556" i="7" a="1"/>
  <c r="H3556" i="7" s="1"/>
  <c r="H3557" i="7" a="1"/>
  <c r="H3557" i="7" s="1"/>
  <c r="H3558" i="7" a="1"/>
  <c r="H3558" i="7" s="1"/>
  <c r="H3559" i="7" a="1"/>
  <c r="H3559" i="7" s="1"/>
  <c r="H3560" i="7" a="1"/>
  <c r="H3560" i="7" s="1"/>
  <c r="H3561" i="7" a="1"/>
  <c r="H3561" i="7" s="1"/>
  <c r="H3562" i="7" a="1"/>
  <c r="H3562" i="7" s="1"/>
  <c r="H3563" i="7" a="1"/>
  <c r="H3563" i="7" s="1"/>
  <c r="H3564" i="7" a="1"/>
  <c r="H3564" i="7" s="1"/>
  <c r="H3565" i="7" a="1"/>
  <c r="H3565" i="7" s="1"/>
  <c r="H3566" i="7" a="1"/>
  <c r="H3566" i="7" s="1"/>
  <c r="H3567" i="7" a="1"/>
  <c r="H3567" i="7" s="1"/>
  <c r="H3568" i="7" a="1"/>
  <c r="H3568" i="7" s="1"/>
  <c r="H3569" i="7" a="1"/>
  <c r="H3569" i="7" s="1"/>
  <c r="H3570" i="7" a="1"/>
  <c r="H3570" i="7" s="1"/>
  <c r="H3571" i="7" a="1"/>
  <c r="H3571" i="7" s="1"/>
  <c r="H3572" i="7" a="1"/>
  <c r="H3572" i="7" s="1"/>
  <c r="H3573" i="7" a="1"/>
  <c r="H3573" i="7" s="1"/>
  <c r="H3574" i="7" a="1"/>
  <c r="H3574" i="7" s="1"/>
  <c r="H3575" i="7" a="1"/>
  <c r="H3575" i="7" s="1"/>
  <c r="H3576" i="7" a="1"/>
  <c r="H3576" i="7" s="1"/>
  <c r="H3577" i="7" a="1"/>
  <c r="H3577" i="7" s="1"/>
  <c r="H3578" i="7" a="1"/>
  <c r="H3578" i="7" s="1"/>
  <c r="H3579" i="7" a="1"/>
  <c r="H3579" i="7" s="1"/>
  <c r="H3580" i="7" a="1"/>
  <c r="H3580" i="7" s="1"/>
  <c r="H3581" i="7" a="1"/>
  <c r="H3581" i="7" s="1"/>
  <c r="H3582" i="7" a="1"/>
  <c r="H3582" i="7" s="1"/>
  <c r="H3583" i="7" a="1"/>
  <c r="H3583" i="7" s="1"/>
  <c r="H3584" i="7" a="1"/>
  <c r="H3584" i="7" s="1"/>
  <c r="H3585" i="7" a="1"/>
  <c r="H3585" i="7" s="1"/>
  <c r="H3586" i="7" a="1"/>
  <c r="H3586" i="7" s="1"/>
  <c r="H3587" i="7" a="1"/>
  <c r="H3587" i="7" s="1"/>
  <c r="H3588" i="7" a="1"/>
  <c r="H3588" i="7" s="1"/>
  <c r="H3589" i="7" a="1"/>
  <c r="H3589" i="7" s="1"/>
  <c r="H3590" i="7" a="1"/>
  <c r="H3590" i="7" s="1"/>
  <c r="H3591" i="7" a="1"/>
  <c r="H3591" i="7" s="1"/>
  <c r="H3592" i="7" a="1"/>
  <c r="H3592" i="7" s="1"/>
  <c r="H3593" i="7" a="1"/>
  <c r="H3593" i="7" s="1"/>
  <c r="H3594" i="7" a="1"/>
  <c r="H3594" i="7" s="1"/>
  <c r="H3595" i="7" a="1"/>
  <c r="H3595" i="7" s="1"/>
  <c r="H3596" i="7" a="1"/>
  <c r="H3596" i="7" s="1"/>
  <c r="H3597" i="7" a="1"/>
  <c r="H3597" i="7" s="1"/>
  <c r="H3598" i="7" a="1"/>
  <c r="H3598" i="7" s="1"/>
  <c r="H3599" i="7" a="1"/>
  <c r="H3599" i="7" s="1"/>
  <c r="H3600" i="7" a="1"/>
  <c r="H3600" i="7" s="1"/>
  <c r="H3601" i="7" a="1"/>
  <c r="H3601" i="7" s="1"/>
  <c r="H3602" i="7" a="1"/>
  <c r="H3602" i="7" s="1"/>
  <c r="H3603" i="7" a="1"/>
  <c r="H3603" i="7" s="1"/>
  <c r="H3604" i="7" a="1"/>
  <c r="H3604" i="7" s="1"/>
  <c r="H3605" i="7" a="1"/>
  <c r="H3605" i="7" s="1"/>
  <c r="H3606" i="7" a="1"/>
  <c r="H3606" i="7" s="1"/>
  <c r="H3607" i="7" a="1"/>
  <c r="H3607" i="7" s="1"/>
  <c r="H3608" i="7" a="1"/>
  <c r="H3608" i="7" s="1"/>
  <c r="H3609" i="7" a="1"/>
  <c r="H3609" i="7" s="1"/>
  <c r="H3610" i="7" a="1"/>
  <c r="H3610" i="7" s="1"/>
  <c r="H3611" i="7" a="1"/>
  <c r="H3611" i="7" s="1"/>
  <c r="H3612" i="7" a="1"/>
  <c r="H3612" i="7" s="1"/>
  <c r="H3613" i="7" a="1"/>
  <c r="H3613" i="7" s="1"/>
  <c r="H3614" i="7" a="1"/>
  <c r="H3614" i="7" s="1"/>
  <c r="H3615" i="7" a="1"/>
  <c r="H3615" i="7" s="1"/>
  <c r="H3616" i="7" a="1"/>
  <c r="H3616" i="7" s="1"/>
  <c r="H3617" i="7" a="1"/>
  <c r="H3617" i="7" s="1"/>
  <c r="H3618" i="7" a="1"/>
  <c r="H3618" i="7" s="1"/>
  <c r="H3619" i="7" a="1"/>
  <c r="H3619" i="7" s="1"/>
  <c r="H3620" i="7" a="1"/>
  <c r="H3620" i="7" s="1"/>
  <c r="H3621" i="7" a="1"/>
  <c r="H3621" i="7" s="1"/>
  <c r="H3622" i="7" a="1"/>
  <c r="H3622" i="7" s="1"/>
  <c r="H3623" i="7" a="1"/>
  <c r="H3623" i="7" s="1"/>
  <c r="H3624" i="7" a="1"/>
  <c r="H3624" i="7" s="1"/>
  <c r="H3625" i="7" a="1"/>
  <c r="H3625" i="7" s="1"/>
  <c r="H3626" i="7" a="1"/>
  <c r="H3626" i="7" s="1"/>
  <c r="H3627" i="7" a="1"/>
  <c r="H3627" i="7" s="1"/>
  <c r="H3628" i="7" a="1"/>
  <c r="H3628" i="7" s="1"/>
  <c r="H3629" i="7" a="1"/>
  <c r="H3629" i="7" s="1"/>
  <c r="H3630" i="7" a="1"/>
  <c r="H3630" i="7" s="1"/>
  <c r="H3631" i="7" a="1"/>
  <c r="H3631" i="7" s="1"/>
  <c r="H3632" i="7" a="1"/>
  <c r="H3632" i="7" s="1"/>
  <c r="H3633" i="7" a="1"/>
  <c r="H3633" i="7" s="1"/>
  <c r="H3634" i="7" a="1"/>
  <c r="H3634" i="7" s="1"/>
  <c r="H3635" i="7" a="1"/>
  <c r="H3635" i="7" s="1"/>
  <c r="H3636" i="7" a="1"/>
  <c r="H3636" i="7" s="1"/>
  <c r="H3637" i="7" a="1"/>
  <c r="H3637" i="7" s="1"/>
  <c r="H3638" i="7" a="1"/>
  <c r="H3638" i="7" s="1"/>
  <c r="H3639" i="7" a="1"/>
  <c r="H3639" i="7" s="1"/>
  <c r="H3640" i="7" a="1"/>
  <c r="H3640" i="7" s="1"/>
  <c r="H3641" i="7" a="1"/>
  <c r="H3641" i="7" s="1"/>
  <c r="H3642" i="7" a="1"/>
  <c r="H3642" i="7" s="1"/>
  <c r="H3643" i="7" a="1"/>
  <c r="H3643" i="7" s="1"/>
  <c r="H3644" i="7" a="1"/>
  <c r="H3644" i="7" s="1"/>
  <c r="H3645" i="7" a="1"/>
  <c r="H3645" i="7" s="1"/>
  <c r="H3646" i="7" a="1"/>
  <c r="H3646" i="7" s="1"/>
  <c r="H3647" i="7" a="1"/>
  <c r="H3647" i="7" s="1"/>
  <c r="H3648" i="7" a="1"/>
  <c r="H3648" i="7" s="1"/>
  <c r="H3649" i="7" a="1"/>
  <c r="H3649" i="7" s="1"/>
  <c r="H3650" i="7" a="1"/>
  <c r="H3650" i="7" s="1"/>
  <c r="H3651" i="7" a="1"/>
  <c r="H3651" i="7" s="1"/>
  <c r="H3652" i="7" a="1"/>
  <c r="H3652" i="7" s="1"/>
  <c r="H3653" i="7" a="1"/>
  <c r="H3653" i="7" s="1"/>
  <c r="H3654" i="7" a="1"/>
  <c r="H3654" i="7" s="1"/>
  <c r="H3655" i="7" a="1"/>
  <c r="H3655" i="7" s="1"/>
  <c r="H3656" i="7" a="1"/>
  <c r="H3656" i="7" s="1"/>
  <c r="H3657" i="7" a="1"/>
  <c r="H3657" i="7" s="1"/>
  <c r="H3658" i="7" a="1"/>
  <c r="H3658" i="7" s="1"/>
  <c r="H3659" i="7" a="1"/>
  <c r="H3659" i="7" s="1"/>
  <c r="H3660" i="7" a="1"/>
  <c r="H3660" i="7" s="1"/>
  <c r="H3661" i="7" a="1"/>
  <c r="H3661" i="7" s="1"/>
  <c r="H3662" i="7" a="1"/>
  <c r="H3662" i="7" s="1"/>
  <c r="H3663" i="7" a="1"/>
  <c r="H3663" i="7" s="1"/>
  <c r="H3664" i="7" a="1"/>
  <c r="H3664" i="7" s="1"/>
  <c r="H3665" i="7" a="1"/>
  <c r="H3665" i="7" s="1"/>
  <c r="H3666" i="7" a="1"/>
  <c r="H3666" i="7" s="1"/>
  <c r="H3667" i="7" a="1"/>
  <c r="H3667" i="7" s="1"/>
  <c r="H3668" i="7" a="1"/>
  <c r="H3668" i="7" s="1"/>
  <c r="H3669" i="7" a="1"/>
  <c r="H3669" i="7" s="1"/>
  <c r="H3670" i="7" a="1"/>
  <c r="H3670" i="7" s="1"/>
  <c r="H3671" i="7" a="1"/>
  <c r="H3671" i="7" s="1"/>
  <c r="H3672" i="7" a="1"/>
  <c r="H3672" i="7" s="1"/>
  <c r="H3673" i="7" a="1"/>
  <c r="H3673" i="7" s="1"/>
  <c r="H3674" i="7" a="1"/>
  <c r="H3674" i="7" s="1"/>
  <c r="H3675" i="7" a="1"/>
  <c r="H3675" i="7" s="1"/>
  <c r="H3676" i="7" a="1"/>
  <c r="H3676" i="7" s="1"/>
  <c r="H3677" i="7" a="1"/>
  <c r="H3677" i="7" s="1"/>
  <c r="H3678" i="7" a="1"/>
  <c r="H3678" i="7" s="1"/>
  <c r="H3679" i="7" a="1"/>
  <c r="H3679" i="7" s="1"/>
  <c r="H3680" i="7" a="1"/>
  <c r="H3680" i="7" s="1"/>
  <c r="H3681" i="7" a="1"/>
  <c r="H3681" i="7" s="1"/>
  <c r="H3682" i="7" a="1"/>
  <c r="H3682" i="7" s="1"/>
  <c r="H3683" i="7" a="1"/>
  <c r="H3683" i="7" s="1"/>
  <c r="H3684" i="7" a="1"/>
  <c r="H3684" i="7" s="1"/>
  <c r="H3685" i="7" a="1"/>
  <c r="H3685" i="7" s="1"/>
  <c r="H3686" i="7" a="1"/>
  <c r="H3686" i="7" s="1"/>
  <c r="H3687" i="7" a="1"/>
  <c r="H3687" i="7" s="1"/>
  <c r="H3688" i="7" a="1"/>
  <c r="H3688" i="7" s="1"/>
  <c r="H3689" i="7" a="1"/>
  <c r="H3689" i="7" s="1"/>
  <c r="H3690" i="7" a="1"/>
  <c r="H3690" i="7" s="1"/>
  <c r="H3691" i="7" a="1"/>
  <c r="H3691" i="7" s="1"/>
  <c r="H3692" i="7" a="1"/>
  <c r="H3692" i="7" s="1"/>
  <c r="H3693" i="7" a="1"/>
  <c r="H3693" i="7" s="1"/>
  <c r="H3694" i="7" a="1"/>
  <c r="H3694" i="7" s="1"/>
  <c r="H3695" i="7" a="1"/>
  <c r="H3695" i="7" s="1"/>
  <c r="H3696" i="7" a="1"/>
  <c r="H3696" i="7" s="1"/>
  <c r="H3697" i="7" a="1"/>
  <c r="H3697" i="7" s="1"/>
  <c r="H3698" i="7" a="1"/>
  <c r="H3698" i="7" s="1"/>
  <c r="H3699" i="7" a="1"/>
  <c r="H3699" i="7" s="1"/>
  <c r="H3700" i="7" a="1"/>
  <c r="H3700" i="7" s="1"/>
  <c r="H3701" i="7" a="1"/>
  <c r="H3701" i="7" s="1"/>
  <c r="H3702" i="7" a="1"/>
  <c r="H3702" i="7" s="1"/>
  <c r="H3703" i="7" a="1"/>
  <c r="H3703" i="7" s="1"/>
  <c r="H3704" i="7" a="1"/>
  <c r="H3704" i="7" s="1"/>
  <c r="H3705" i="7" a="1"/>
  <c r="H3705" i="7" s="1"/>
  <c r="H3706" i="7" a="1"/>
  <c r="H3706" i="7" s="1"/>
  <c r="H3707" i="7" a="1"/>
  <c r="H3707" i="7" s="1"/>
  <c r="H3708" i="7" a="1"/>
  <c r="H3708" i="7" s="1"/>
  <c r="H3709" i="7" a="1"/>
  <c r="H3709" i="7" s="1"/>
  <c r="H3710" i="7" a="1"/>
  <c r="H3710" i="7" s="1"/>
  <c r="H3711" i="7" a="1"/>
  <c r="H3711" i="7" s="1"/>
  <c r="H3712" i="7" a="1"/>
  <c r="H3712" i="7" s="1"/>
  <c r="H3713" i="7" a="1"/>
  <c r="H3713" i="7" s="1"/>
  <c r="H3714" i="7" a="1"/>
  <c r="H3714" i="7" s="1"/>
  <c r="H3715" i="7" a="1"/>
  <c r="H3715" i="7" s="1"/>
  <c r="H3716" i="7" a="1"/>
  <c r="H3716" i="7" s="1"/>
  <c r="H3717" i="7" a="1"/>
  <c r="H3717" i="7" s="1"/>
  <c r="H3718" i="7" a="1"/>
  <c r="H3718" i="7" s="1"/>
  <c r="H3719" i="7" a="1"/>
  <c r="H3719" i="7" s="1"/>
  <c r="H3720" i="7" a="1"/>
  <c r="H3720" i="7" s="1"/>
  <c r="H3721" i="7" a="1"/>
  <c r="H3721" i="7" s="1"/>
  <c r="H3722" i="7" a="1"/>
  <c r="H3722" i="7" s="1"/>
  <c r="H3723" i="7" a="1"/>
  <c r="H3723" i="7" s="1"/>
  <c r="H3724" i="7" a="1"/>
  <c r="H3724" i="7" s="1"/>
  <c r="H3725" i="7" a="1"/>
  <c r="H3725" i="7" s="1"/>
  <c r="H3726" i="7" a="1"/>
  <c r="H3726" i="7" s="1"/>
  <c r="H3727" i="7" a="1"/>
  <c r="H3727" i="7" s="1"/>
  <c r="H3728" i="7" a="1"/>
  <c r="H3728" i="7" s="1"/>
  <c r="H3729" i="7" a="1"/>
  <c r="H3729" i="7" s="1"/>
  <c r="H3730" i="7" a="1"/>
  <c r="H3730" i="7" s="1"/>
  <c r="H3731" i="7" a="1"/>
  <c r="H3731" i="7" s="1"/>
  <c r="H3732" i="7" a="1"/>
  <c r="H3732" i="7" s="1"/>
  <c r="H3733" i="7" a="1"/>
  <c r="H3733" i="7" s="1"/>
  <c r="H3734" i="7" a="1"/>
  <c r="H3734" i="7" s="1"/>
  <c r="H3735" i="7" a="1"/>
  <c r="H3735" i="7" s="1"/>
  <c r="H3736" i="7" a="1"/>
  <c r="H3736" i="7" s="1"/>
  <c r="H3737" i="7" a="1"/>
  <c r="H3737" i="7" s="1"/>
  <c r="H3738" i="7" a="1"/>
  <c r="H3738" i="7" s="1"/>
  <c r="H3739" i="7" a="1"/>
  <c r="H3739" i="7" s="1"/>
  <c r="H3740" i="7" a="1"/>
  <c r="H3740" i="7" s="1"/>
  <c r="H3741" i="7" a="1"/>
  <c r="H3741" i="7" s="1"/>
  <c r="H3742" i="7" a="1"/>
  <c r="H3742" i="7" s="1"/>
  <c r="H3743" i="7" a="1"/>
  <c r="H3743" i="7" s="1"/>
  <c r="H3744" i="7" a="1"/>
  <c r="H3744" i="7" s="1"/>
  <c r="H3745" i="7" a="1"/>
  <c r="H3745" i="7" s="1"/>
  <c r="H3746" i="7" a="1"/>
  <c r="H3746" i="7" s="1"/>
  <c r="H3747" i="7" a="1"/>
  <c r="H3747" i="7" s="1"/>
  <c r="H3748" i="7" a="1"/>
  <c r="H3748" i="7" s="1"/>
  <c r="H3749" i="7" a="1"/>
  <c r="H3749" i="7" s="1"/>
  <c r="H3750" i="7" a="1"/>
  <c r="H3750" i="7" s="1"/>
  <c r="H3751" i="7" a="1"/>
  <c r="H3751" i="7" s="1"/>
  <c r="H3752" i="7" a="1"/>
  <c r="H3752" i="7" s="1"/>
  <c r="H3753" i="7" a="1"/>
  <c r="H3753" i="7" s="1"/>
  <c r="H3754" i="7" a="1"/>
  <c r="H3754" i="7" s="1"/>
  <c r="H3755" i="7" a="1"/>
  <c r="H3755" i="7" s="1"/>
  <c r="H3756" i="7" a="1"/>
  <c r="H3756" i="7" s="1"/>
  <c r="H3757" i="7" a="1"/>
  <c r="H3757" i="7" s="1"/>
  <c r="H3758" i="7" a="1"/>
  <c r="H3758" i="7" s="1"/>
  <c r="H3759" i="7" a="1"/>
  <c r="H3759" i="7" s="1"/>
  <c r="H3760" i="7" a="1"/>
  <c r="H3760" i="7" s="1"/>
  <c r="H3761" i="7" a="1"/>
  <c r="H3761" i="7" s="1"/>
  <c r="H3762" i="7" a="1"/>
  <c r="H3762" i="7" s="1"/>
  <c r="H3763" i="7" a="1"/>
  <c r="H3763" i="7" s="1"/>
  <c r="H3764" i="7" a="1"/>
  <c r="H3764" i="7" s="1"/>
  <c r="H3765" i="7" a="1"/>
  <c r="H3765" i="7" s="1"/>
  <c r="H3766" i="7" a="1"/>
  <c r="H3766" i="7" s="1"/>
  <c r="H3767" i="7" a="1"/>
  <c r="H3767" i="7" s="1"/>
  <c r="H3768" i="7" a="1"/>
  <c r="H3768" i="7" s="1"/>
  <c r="H3769" i="7" a="1"/>
  <c r="H3769" i="7" s="1"/>
  <c r="H3770" i="7" a="1"/>
  <c r="H3770" i="7" s="1"/>
  <c r="H3771" i="7" a="1"/>
  <c r="H3771" i="7" s="1"/>
  <c r="H3772" i="7" a="1"/>
  <c r="H3772" i="7" s="1"/>
  <c r="H3773" i="7" a="1"/>
  <c r="H3773" i="7" s="1"/>
  <c r="H3774" i="7" a="1"/>
  <c r="H3774" i="7" s="1"/>
  <c r="H3775" i="7" a="1"/>
  <c r="H3775" i="7" s="1"/>
  <c r="H3776" i="7" a="1"/>
  <c r="H3776" i="7" s="1"/>
  <c r="H3777" i="7" a="1"/>
  <c r="H3777" i="7" s="1"/>
  <c r="H3778" i="7" a="1"/>
  <c r="H3778" i="7" s="1"/>
  <c r="H3779" i="7" a="1"/>
  <c r="H3779" i="7" s="1"/>
  <c r="H3780" i="7" a="1"/>
  <c r="H3780" i="7" s="1"/>
  <c r="H3781" i="7" a="1"/>
  <c r="H3781" i="7" s="1"/>
  <c r="H3782" i="7" a="1"/>
  <c r="H3782" i="7" s="1"/>
  <c r="H3783" i="7" a="1"/>
  <c r="H3783" i="7" s="1"/>
  <c r="H3784" i="7" a="1"/>
  <c r="H3784" i="7" s="1"/>
  <c r="H3785" i="7" a="1"/>
  <c r="H3785" i="7" s="1"/>
  <c r="H3786" i="7" a="1"/>
  <c r="H3786" i="7" s="1"/>
  <c r="H3787" i="7" a="1"/>
  <c r="H3787" i="7" s="1"/>
  <c r="H3788" i="7" a="1"/>
  <c r="H3788" i="7" s="1"/>
  <c r="H3789" i="7" a="1"/>
  <c r="H3789" i="7" s="1"/>
  <c r="H3790" i="7" a="1"/>
  <c r="H3790" i="7" s="1"/>
  <c r="H3791" i="7" a="1"/>
  <c r="H3791" i="7" s="1"/>
  <c r="H3792" i="7" a="1"/>
  <c r="H3792" i="7" s="1"/>
  <c r="H3793" i="7" a="1"/>
  <c r="H3793" i="7" s="1"/>
  <c r="H3794" i="7" a="1"/>
  <c r="H3794" i="7" s="1"/>
  <c r="H3795" i="7" a="1"/>
  <c r="H3795" i="7" s="1"/>
  <c r="H3796" i="7" a="1"/>
  <c r="H3796" i="7" s="1"/>
  <c r="H3797" i="7" a="1"/>
  <c r="H3797" i="7" s="1"/>
  <c r="H3798" i="7" a="1"/>
  <c r="H3798" i="7" s="1"/>
  <c r="H3799" i="7" a="1"/>
  <c r="H3799" i="7" s="1"/>
  <c r="H3800" i="7" a="1"/>
  <c r="H3800" i="7" s="1"/>
  <c r="H3801" i="7" a="1"/>
  <c r="H3801" i="7" s="1"/>
  <c r="H3802" i="7" a="1"/>
  <c r="H3802" i="7" s="1"/>
  <c r="H3803" i="7" a="1"/>
  <c r="H3803" i="7" s="1"/>
  <c r="H3804" i="7" a="1"/>
  <c r="H3804" i="7" s="1"/>
  <c r="H3805" i="7" a="1"/>
  <c r="H3805" i="7" s="1"/>
  <c r="H3806" i="7" a="1"/>
  <c r="H3806" i="7" s="1"/>
  <c r="H3807" i="7" a="1"/>
  <c r="H3807" i="7" s="1"/>
  <c r="H3808" i="7" a="1"/>
  <c r="H3808" i="7" s="1"/>
  <c r="H3809" i="7" a="1"/>
  <c r="H3809" i="7" s="1"/>
  <c r="H3810" i="7" a="1"/>
  <c r="H3810" i="7" s="1"/>
  <c r="H3811" i="7" a="1"/>
  <c r="H3811" i="7" s="1"/>
  <c r="H3812" i="7" a="1"/>
  <c r="H3812" i="7" s="1"/>
  <c r="H3813" i="7" a="1"/>
  <c r="H3813" i="7" s="1"/>
  <c r="H3814" i="7" a="1"/>
  <c r="H3814" i="7" s="1"/>
  <c r="H3815" i="7" a="1"/>
  <c r="H3815" i="7" s="1"/>
  <c r="H3816" i="7" a="1"/>
  <c r="H3816" i="7" s="1"/>
  <c r="H3817" i="7" a="1"/>
  <c r="H3817" i="7" s="1"/>
  <c r="H3818" i="7" a="1"/>
  <c r="H3818" i="7" s="1"/>
  <c r="H3819" i="7" a="1"/>
  <c r="H3819" i="7" s="1"/>
  <c r="H3820" i="7" a="1"/>
  <c r="H3820" i="7" s="1"/>
  <c r="H3821" i="7" a="1"/>
  <c r="H3821" i="7" s="1"/>
  <c r="H3822" i="7" a="1"/>
  <c r="H3822" i="7" s="1"/>
  <c r="H3823" i="7" a="1"/>
  <c r="H3823" i="7" s="1"/>
  <c r="H3824" i="7" a="1"/>
  <c r="H3824" i="7" s="1"/>
  <c r="H3825" i="7" a="1"/>
  <c r="H3825" i="7" s="1"/>
  <c r="H3826" i="7" a="1"/>
  <c r="H3826" i="7" s="1"/>
  <c r="H3827" i="7" a="1"/>
  <c r="H3827" i="7" s="1"/>
  <c r="H3828" i="7" a="1"/>
  <c r="H3828" i="7" s="1"/>
  <c r="H3829" i="7" a="1"/>
  <c r="H3829" i="7" s="1"/>
  <c r="H3830" i="7" a="1"/>
  <c r="H3830" i="7" s="1"/>
  <c r="H3831" i="7" a="1"/>
  <c r="H3831" i="7" s="1"/>
  <c r="H3832" i="7" a="1"/>
  <c r="H3832" i="7" s="1"/>
  <c r="H3833" i="7" a="1"/>
  <c r="H3833" i="7" s="1"/>
  <c r="H3834" i="7" a="1"/>
  <c r="H3834" i="7" s="1"/>
  <c r="H3835" i="7" a="1"/>
  <c r="H3835" i="7" s="1"/>
  <c r="H3836" i="7" a="1"/>
  <c r="H3836" i="7" s="1"/>
  <c r="H3837" i="7" a="1"/>
  <c r="H3837" i="7" s="1"/>
  <c r="H3838" i="7" a="1"/>
  <c r="H3838" i="7" s="1"/>
  <c r="H3839" i="7" a="1"/>
  <c r="H3839" i="7" s="1"/>
  <c r="H3840" i="7" a="1"/>
  <c r="H3840" i="7" s="1"/>
  <c r="H3841" i="7" a="1"/>
  <c r="H3841" i="7" s="1"/>
  <c r="H3842" i="7" a="1"/>
  <c r="H3842" i="7" s="1"/>
  <c r="H3843" i="7" a="1"/>
  <c r="H3843" i="7" s="1"/>
  <c r="H3844" i="7" a="1"/>
  <c r="H3844" i="7" s="1"/>
  <c r="H3845" i="7" a="1"/>
  <c r="H3845" i="7" s="1"/>
  <c r="H3846" i="7" a="1"/>
  <c r="H3846" i="7" s="1"/>
  <c r="H3847" i="7" a="1"/>
  <c r="H3847" i="7" s="1"/>
  <c r="H3848" i="7" a="1"/>
  <c r="H3848" i="7" s="1"/>
  <c r="H3849" i="7" a="1"/>
  <c r="H3849" i="7" s="1"/>
  <c r="H3850" i="7" a="1"/>
  <c r="H3850" i="7" s="1"/>
  <c r="H3851" i="7" a="1"/>
  <c r="H3851" i="7" s="1"/>
  <c r="H3852" i="7" a="1"/>
  <c r="H3852" i="7" s="1"/>
  <c r="H3853" i="7" a="1"/>
  <c r="H3853" i="7" s="1"/>
  <c r="H3854" i="7" a="1"/>
  <c r="H3854" i="7" s="1"/>
  <c r="H3855" i="7" a="1"/>
  <c r="H3855" i="7" s="1"/>
  <c r="H3856" i="7" a="1"/>
  <c r="H3856" i="7" s="1"/>
  <c r="H3857" i="7" a="1"/>
  <c r="H3857" i="7" s="1"/>
  <c r="H3858" i="7" a="1"/>
  <c r="H3858" i="7" s="1"/>
  <c r="H3859" i="7" a="1"/>
  <c r="H3859" i="7" s="1"/>
  <c r="H3860" i="7" a="1"/>
  <c r="H3860" i="7" s="1"/>
  <c r="H3861" i="7" a="1"/>
  <c r="H3861" i="7" s="1"/>
  <c r="H3862" i="7" a="1"/>
  <c r="H3862" i="7" s="1"/>
  <c r="H3863" i="7" a="1"/>
  <c r="H3863" i="7" s="1"/>
  <c r="H3864" i="7" a="1"/>
  <c r="H3864" i="7" s="1"/>
  <c r="H3865" i="7" a="1"/>
  <c r="H3865" i="7" s="1"/>
  <c r="H3866" i="7" a="1"/>
  <c r="H3866" i="7" s="1"/>
  <c r="H3867" i="7" a="1"/>
  <c r="H3867" i="7" s="1"/>
  <c r="H3868" i="7" a="1"/>
  <c r="H3868" i="7" s="1"/>
  <c r="H3869" i="7" a="1"/>
  <c r="H3869" i="7" s="1"/>
  <c r="H3870" i="7" a="1"/>
  <c r="H3870" i="7" s="1"/>
  <c r="H3871" i="7" a="1"/>
  <c r="H3871" i="7" s="1"/>
  <c r="H3872" i="7" a="1"/>
  <c r="H3872" i="7" s="1"/>
  <c r="H3873" i="7" a="1"/>
  <c r="H3873" i="7" s="1"/>
  <c r="H3874" i="7" a="1"/>
  <c r="H3874" i="7" s="1"/>
  <c r="H3875" i="7" a="1"/>
  <c r="H3875" i="7" s="1"/>
  <c r="H3876" i="7" a="1"/>
  <c r="H3876" i="7" s="1"/>
  <c r="H3877" i="7" a="1"/>
  <c r="H3877" i="7" s="1"/>
  <c r="H3878" i="7" a="1"/>
  <c r="H3878" i="7" s="1"/>
  <c r="H3879" i="7" a="1"/>
  <c r="H3879" i="7" s="1"/>
  <c r="H3880" i="7" a="1"/>
  <c r="H3880" i="7" s="1"/>
  <c r="H3881" i="7" a="1"/>
  <c r="H3881" i="7" s="1"/>
  <c r="H3882" i="7" a="1"/>
  <c r="H3882" i="7" s="1"/>
  <c r="H3883" i="7" a="1"/>
  <c r="H3883" i="7" s="1"/>
  <c r="H3884" i="7" a="1"/>
  <c r="H3884" i="7" s="1"/>
  <c r="H3885" i="7" a="1"/>
  <c r="H3885" i="7" s="1"/>
  <c r="H3886" i="7" a="1"/>
  <c r="H3886" i="7" s="1"/>
  <c r="H3887" i="7" a="1"/>
  <c r="H3887" i="7" s="1"/>
  <c r="H3888" i="7" a="1"/>
  <c r="H3888" i="7" s="1"/>
  <c r="H3889" i="7" a="1"/>
  <c r="H3889" i="7" s="1"/>
  <c r="H3890" i="7" a="1"/>
  <c r="H3890" i="7" s="1"/>
  <c r="H3891" i="7" a="1"/>
  <c r="H3891" i="7" s="1"/>
  <c r="H3892" i="7" a="1"/>
  <c r="H3892" i="7" s="1"/>
  <c r="H3893" i="7" a="1"/>
  <c r="H3893" i="7" s="1"/>
  <c r="H3894" i="7" a="1"/>
  <c r="H3894" i="7" s="1"/>
  <c r="H3895" i="7" a="1"/>
  <c r="H3895" i="7" s="1"/>
  <c r="H3896" i="7" a="1"/>
  <c r="H3896" i="7" s="1"/>
  <c r="H3897" i="7" a="1"/>
  <c r="H3897" i="7" s="1"/>
  <c r="H3898" i="7" a="1"/>
  <c r="H3898" i="7" s="1"/>
  <c r="H3899" i="7" a="1"/>
  <c r="H3899" i="7" s="1"/>
  <c r="H3900" i="7" a="1"/>
  <c r="H3900" i="7" s="1"/>
  <c r="H3901" i="7" a="1"/>
  <c r="H3901" i="7" s="1"/>
  <c r="H3902" i="7" a="1"/>
  <c r="H3902" i="7" s="1"/>
  <c r="H3903" i="7" a="1"/>
  <c r="H3903" i="7" s="1"/>
  <c r="H3904" i="7" a="1"/>
  <c r="H3904" i="7" s="1"/>
  <c r="H3905" i="7" a="1"/>
  <c r="H3905" i="7" s="1"/>
  <c r="H3906" i="7" a="1"/>
  <c r="H3906" i="7" s="1"/>
  <c r="H3907" i="7" a="1"/>
  <c r="H3907" i="7" s="1"/>
  <c r="H3908" i="7" a="1"/>
  <c r="H3908" i="7" s="1"/>
  <c r="H3909" i="7" a="1"/>
  <c r="H3909" i="7" s="1"/>
  <c r="H3910" i="7" a="1"/>
  <c r="H3910" i="7" s="1"/>
  <c r="H3911" i="7" a="1"/>
  <c r="H3911" i="7" s="1"/>
  <c r="H3912" i="7" a="1"/>
  <c r="H3912" i="7" s="1"/>
  <c r="H3913" i="7" a="1"/>
  <c r="H3913" i="7" s="1"/>
  <c r="H3914" i="7" a="1"/>
  <c r="H3914" i="7" s="1"/>
  <c r="H3915" i="7" a="1"/>
  <c r="H3915" i="7" s="1"/>
  <c r="H3916" i="7" a="1"/>
  <c r="H3916" i="7" s="1"/>
  <c r="H3917" i="7" a="1"/>
  <c r="H3917" i="7" s="1"/>
  <c r="H3918" i="7" a="1"/>
  <c r="H3918" i="7" s="1"/>
  <c r="H3919" i="7" a="1"/>
  <c r="H3919" i="7" s="1"/>
  <c r="H3920" i="7" a="1"/>
  <c r="H3920" i="7" s="1"/>
  <c r="H3921" i="7" a="1"/>
  <c r="H3921" i="7" s="1"/>
  <c r="H3922" i="7" a="1"/>
  <c r="H3922" i="7" s="1"/>
  <c r="H3923" i="7" a="1"/>
  <c r="H3923" i="7" s="1"/>
  <c r="H3924" i="7" a="1"/>
  <c r="H3924" i="7" s="1"/>
  <c r="H3925" i="7" a="1"/>
  <c r="H3925" i="7" s="1"/>
  <c r="H3926" i="7" a="1"/>
  <c r="H3926" i="7" s="1"/>
  <c r="H3927" i="7" a="1"/>
  <c r="H3927" i="7" s="1"/>
  <c r="H3928" i="7" a="1"/>
  <c r="H3928" i="7" s="1"/>
  <c r="H3929" i="7" a="1"/>
  <c r="H3929" i="7" s="1"/>
  <c r="H3930" i="7" a="1"/>
  <c r="H3930" i="7" s="1"/>
  <c r="H3931" i="7" a="1"/>
  <c r="H3931" i="7" s="1"/>
  <c r="H3932" i="7" a="1"/>
  <c r="H3932" i="7" s="1"/>
  <c r="H3933" i="7" a="1"/>
  <c r="H3933" i="7" s="1"/>
  <c r="H3934" i="7" a="1"/>
  <c r="H3934" i="7" s="1"/>
  <c r="H3935" i="7" a="1"/>
  <c r="H3935" i="7" s="1"/>
  <c r="H3936" i="7" a="1"/>
  <c r="H3936" i="7" s="1"/>
  <c r="H3937" i="7" a="1"/>
  <c r="H3937" i="7" s="1"/>
  <c r="H3938" i="7" a="1"/>
  <c r="H3938" i="7" s="1"/>
  <c r="H3939" i="7" a="1"/>
  <c r="H3939" i="7" s="1"/>
  <c r="H3940" i="7" a="1"/>
  <c r="H3940" i="7" s="1"/>
  <c r="H3941" i="7" a="1"/>
  <c r="H3941" i="7" s="1"/>
  <c r="H3942" i="7" a="1"/>
  <c r="H3942" i="7" s="1"/>
  <c r="H3943" i="7" a="1"/>
  <c r="H3943" i="7" s="1"/>
  <c r="H3944" i="7" a="1"/>
  <c r="H3944" i="7" s="1"/>
  <c r="H3945" i="7" a="1"/>
  <c r="H3945" i="7" s="1"/>
  <c r="H3946" i="7" a="1"/>
  <c r="H3946" i="7" s="1"/>
  <c r="H3947" i="7" a="1"/>
  <c r="H3947" i="7" s="1"/>
  <c r="H3948" i="7" a="1"/>
  <c r="H3948" i="7" s="1"/>
  <c r="H3949" i="7" a="1"/>
  <c r="H3949" i="7" s="1"/>
  <c r="H3950" i="7" a="1"/>
  <c r="H3950" i="7" s="1"/>
  <c r="H3951" i="7" a="1"/>
  <c r="H3951" i="7" s="1"/>
  <c r="H3952" i="7" a="1"/>
  <c r="H3952" i="7" s="1"/>
  <c r="H3953" i="7" a="1"/>
  <c r="H3953" i="7" s="1"/>
  <c r="H3954" i="7" a="1"/>
  <c r="H3954" i="7" s="1"/>
  <c r="H3955" i="7" a="1"/>
  <c r="H3955" i="7" s="1"/>
  <c r="H3956" i="7" a="1"/>
  <c r="H3956" i="7" s="1"/>
  <c r="H3957" i="7" a="1"/>
  <c r="H3957" i="7" s="1"/>
  <c r="H3958" i="7" a="1"/>
  <c r="H3958" i="7" s="1"/>
  <c r="H3959" i="7" a="1"/>
  <c r="H3959" i="7" s="1"/>
  <c r="H3960" i="7" a="1"/>
  <c r="H3960" i="7" s="1"/>
  <c r="H3961" i="7" a="1"/>
  <c r="H3961" i="7" s="1"/>
  <c r="H3962" i="7" a="1"/>
  <c r="H3962" i="7" s="1"/>
  <c r="H3963" i="7" a="1"/>
  <c r="H3963" i="7" s="1"/>
  <c r="H3964" i="7" a="1"/>
  <c r="H3964" i="7" s="1"/>
  <c r="H3965" i="7" a="1"/>
  <c r="H3965" i="7" s="1"/>
  <c r="H3966" i="7" a="1"/>
  <c r="H3966" i="7" s="1"/>
  <c r="H3967" i="7" a="1"/>
  <c r="H3967" i="7" s="1"/>
  <c r="H3968" i="7" a="1"/>
  <c r="H3968" i="7" s="1"/>
  <c r="H3969" i="7" a="1"/>
  <c r="H3969" i="7" s="1"/>
  <c r="H3970" i="7" a="1"/>
  <c r="H3970" i="7" s="1"/>
  <c r="H3971" i="7" a="1"/>
  <c r="H3971" i="7" s="1"/>
  <c r="H3972" i="7" a="1"/>
  <c r="H3972" i="7" s="1"/>
  <c r="H3973" i="7" a="1"/>
  <c r="H3973" i="7" s="1"/>
  <c r="H3974" i="7" a="1"/>
  <c r="H3974" i="7" s="1"/>
  <c r="H3975" i="7" a="1"/>
  <c r="H3975" i="7" s="1"/>
  <c r="H3976" i="7" a="1"/>
  <c r="H3976" i="7" s="1"/>
  <c r="H3977" i="7" a="1"/>
  <c r="H3977" i="7" s="1"/>
  <c r="H3978" i="7" a="1"/>
  <c r="H3978" i="7" s="1"/>
  <c r="H3979" i="7" a="1"/>
  <c r="H3979" i="7" s="1"/>
  <c r="H3980" i="7" a="1"/>
  <c r="H3980" i="7" s="1"/>
  <c r="H3981" i="7" a="1"/>
  <c r="H3981" i="7" s="1"/>
  <c r="H3982" i="7" a="1"/>
  <c r="H3982" i="7" s="1"/>
  <c r="H3983" i="7" a="1"/>
  <c r="H3983" i="7" s="1"/>
  <c r="H3984" i="7" a="1"/>
  <c r="H3984" i="7" s="1"/>
  <c r="H3985" i="7" a="1"/>
  <c r="H3985" i="7" s="1"/>
  <c r="H3986" i="7" a="1"/>
  <c r="H3986" i="7" s="1"/>
  <c r="H3987" i="7" a="1"/>
  <c r="H3987" i="7" s="1"/>
  <c r="H3988" i="7" a="1"/>
  <c r="H3988" i="7" s="1"/>
  <c r="H3989" i="7" a="1"/>
  <c r="H3989" i="7" s="1"/>
  <c r="H3990" i="7" a="1"/>
  <c r="H3990" i="7" s="1"/>
  <c r="H3991" i="7" a="1"/>
  <c r="H3991" i="7" s="1"/>
  <c r="H3992" i="7" a="1"/>
  <c r="H3992" i="7" s="1"/>
  <c r="H3993" i="7" a="1"/>
  <c r="H3993" i="7" s="1"/>
  <c r="H3994" i="7" a="1"/>
  <c r="H3994" i="7" s="1"/>
  <c r="H3995" i="7" a="1"/>
  <c r="H3995" i="7" s="1"/>
  <c r="H3996" i="7" a="1"/>
  <c r="H3996" i="7" s="1"/>
  <c r="H3997" i="7" a="1"/>
  <c r="H3997" i="7" s="1"/>
  <c r="H3998" i="7" a="1"/>
  <c r="H3998" i="7" s="1"/>
  <c r="H3999" i="7" a="1"/>
  <c r="H3999" i="7" s="1"/>
  <c r="H4000" i="7" a="1"/>
  <c r="H4000" i="7" s="1"/>
  <c r="H4001" i="7" a="1"/>
  <c r="H4001" i="7" s="1"/>
  <c r="H4002" i="7" a="1"/>
  <c r="H4002" i="7" s="1"/>
  <c r="H4003" i="7" a="1"/>
  <c r="H4003" i="7" s="1"/>
  <c r="H4004" i="7" a="1"/>
  <c r="H4004" i="7" s="1"/>
  <c r="H4005" i="7" a="1"/>
  <c r="H4005" i="7" s="1"/>
  <c r="H4006" i="7" a="1"/>
  <c r="H4006" i="7" s="1"/>
  <c r="H4007" i="7" a="1"/>
  <c r="H4007" i="7" s="1"/>
  <c r="H4008" i="7" a="1"/>
  <c r="H4008" i="7" s="1"/>
  <c r="H4009" i="7" a="1"/>
  <c r="H4009" i="7" s="1"/>
  <c r="H4010" i="7" a="1"/>
  <c r="H4010" i="7" s="1"/>
  <c r="H4011" i="7" a="1"/>
  <c r="H4011" i="7" s="1"/>
  <c r="H4012" i="7" a="1"/>
  <c r="H4012" i="7" s="1"/>
  <c r="H4013" i="7" a="1"/>
  <c r="H4013" i="7" s="1"/>
  <c r="H4014" i="7" a="1"/>
  <c r="H4014" i="7" s="1"/>
  <c r="H4015" i="7" a="1"/>
  <c r="H4015" i="7" s="1"/>
  <c r="H4016" i="7" a="1"/>
  <c r="H4016" i="7" s="1"/>
  <c r="H4017" i="7" a="1"/>
  <c r="H4017" i="7" s="1"/>
  <c r="H4018" i="7" a="1"/>
  <c r="H4018" i="7" s="1"/>
  <c r="H4019" i="7" a="1"/>
  <c r="H4019" i="7" s="1"/>
  <c r="H4020" i="7" a="1"/>
  <c r="H4020" i="7" s="1"/>
  <c r="H4021" i="7" a="1"/>
  <c r="H4021" i="7" s="1"/>
  <c r="H4022" i="7" a="1"/>
  <c r="H4022" i="7" s="1"/>
  <c r="H4023" i="7" a="1"/>
  <c r="H4023" i="7" s="1"/>
  <c r="H4024" i="7" a="1"/>
  <c r="H4024" i="7" s="1"/>
  <c r="H4025" i="7" a="1"/>
  <c r="H4025" i="7" s="1"/>
  <c r="H4026" i="7" a="1"/>
  <c r="H4026" i="7" s="1"/>
  <c r="H4027" i="7" a="1"/>
  <c r="H4027" i="7" s="1"/>
  <c r="H4028" i="7" a="1"/>
  <c r="H4028" i="7" s="1"/>
  <c r="H4029" i="7" a="1"/>
  <c r="H4029" i="7" s="1"/>
  <c r="H4030" i="7" a="1"/>
  <c r="H4030" i="7" s="1"/>
  <c r="H4031" i="7" a="1"/>
  <c r="H4031" i="7" s="1"/>
  <c r="H4032" i="7" a="1"/>
  <c r="H4032" i="7" s="1"/>
  <c r="H4033" i="7" a="1"/>
  <c r="H4033" i="7" s="1"/>
  <c r="H4034" i="7" a="1"/>
  <c r="H4034" i="7" s="1"/>
  <c r="H4035" i="7" a="1"/>
  <c r="H4035" i="7" s="1"/>
  <c r="H4036" i="7" a="1"/>
  <c r="H4036" i="7" s="1"/>
  <c r="H4037" i="7" a="1"/>
  <c r="H4037" i="7" s="1"/>
  <c r="H4038" i="7" a="1"/>
  <c r="H4038" i="7" s="1"/>
  <c r="H4039" i="7" a="1"/>
  <c r="H4039" i="7" s="1"/>
  <c r="H4040" i="7" a="1"/>
  <c r="H4040" i="7" s="1"/>
  <c r="H4041" i="7" a="1"/>
  <c r="H4041" i="7" s="1"/>
  <c r="H4042" i="7" a="1"/>
  <c r="H4042" i="7" s="1"/>
  <c r="H4043" i="7" a="1"/>
  <c r="H4043" i="7" s="1"/>
  <c r="H4044" i="7" a="1"/>
  <c r="H4044" i="7" s="1"/>
  <c r="H4045" i="7" a="1"/>
  <c r="H4045" i="7" s="1"/>
  <c r="H4046" i="7" a="1"/>
  <c r="H4046" i="7" s="1"/>
  <c r="H4047" i="7" a="1"/>
  <c r="H4047" i="7" s="1"/>
  <c r="H4048" i="7" a="1"/>
  <c r="H4048" i="7" s="1"/>
  <c r="H4049" i="7" a="1"/>
  <c r="H4049" i="7" s="1"/>
  <c r="H4050" i="7" a="1"/>
  <c r="H4050" i="7" s="1"/>
  <c r="H4051" i="7" a="1"/>
  <c r="H4051" i="7" s="1"/>
  <c r="H4052" i="7" a="1"/>
  <c r="H4052" i="7" s="1"/>
  <c r="H4053" i="7" a="1"/>
  <c r="H4053" i="7" s="1"/>
  <c r="H4054" i="7" a="1"/>
  <c r="H4054" i="7" s="1"/>
  <c r="H4055" i="7" a="1"/>
  <c r="H4055" i="7" s="1"/>
  <c r="H4056" i="7" a="1"/>
  <c r="H4056" i="7" s="1"/>
  <c r="H4057" i="7" a="1"/>
  <c r="H4057" i="7" s="1"/>
  <c r="H4058" i="7" a="1"/>
  <c r="H4058" i="7" s="1"/>
  <c r="H4059" i="7" a="1"/>
  <c r="H4059" i="7" s="1"/>
  <c r="H4060" i="7" a="1"/>
  <c r="H4060" i="7" s="1"/>
  <c r="H4061" i="7" a="1"/>
  <c r="H4061" i="7" s="1"/>
  <c r="H4062" i="7" a="1"/>
  <c r="H4062" i="7" s="1"/>
  <c r="H4063" i="7" a="1"/>
  <c r="H4063" i="7" s="1"/>
  <c r="H4064" i="7" a="1"/>
  <c r="H4064" i="7" s="1"/>
  <c r="H4065" i="7" a="1"/>
  <c r="H4065" i="7" s="1"/>
  <c r="H4066" i="7" a="1"/>
  <c r="H4066" i="7" s="1"/>
  <c r="H4067" i="7" a="1"/>
  <c r="H4067" i="7" s="1"/>
  <c r="H4068" i="7" a="1"/>
  <c r="H4068" i="7" s="1"/>
  <c r="H4069" i="7" a="1"/>
  <c r="H4069" i="7" s="1"/>
  <c r="H4070" i="7" a="1"/>
  <c r="H4070" i="7" s="1"/>
  <c r="H4071" i="7" a="1"/>
  <c r="H4071" i="7" s="1"/>
  <c r="H4072" i="7" a="1"/>
  <c r="H4072" i="7" s="1"/>
  <c r="H4073" i="7" a="1"/>
  <c r="H4073" i="7" s="1"/>
  <c r="H4074" i="7" a="1"/>
  <c r="H4074" i="7" s="1"/>
  <c r="H4075" i="7" a="1"/>
  <c r="H4075" i="7" s="1"/>
  <c r="H4076" i="7" a="1"/>
  <c r="H4076" i="7" s="1"/>
  <c r="H4077" i="7" a="1"/>
  <c r="H4077" i="7" s="1"/>
  <c r="H4078" i="7" a="1"/>
  <c r="H4078" i="7" s="1"/>
  <c r="H4079" i="7" a="1"/>
  <c r="H4079" i="7" s="1"/>
  <c r="H4080" i="7" a="1"/>
  <c r="H4080" i="7" s="1"/>
  <c r="H4081" i="7" a="1"/>
  <c r="H4081" i="7" s="1"/>
  <c r="H4082" i="7" a="1"/>
  <c r="H4082" i="7" s="1"/>
  <c r="H4083" i="7" a="1"/>
  <c r="H4083" i="7" s="1"/>
  <c r="H4084" i="7" a="1"/>
  <c r="H4084" i="7" s="1"/>
  <c r="H4085" i="7" a="1"/>
  <c r="H4085" i="7" s="1"/>
  <c r="H4086" i="7" a="1"/>
  <c r="H4086" i="7" s="1"/>
  <c r="H4087" i="7" a="1"/>
  <c r="H4087" i="7" s="1"/>
  <c r="H4088" i="7" a="1"/>
  <c r="H4088" i="7" s="1"/>
  <c r="H4089" i="7" a="1"/>
  <c r="H4089" i="7" s="1"/>
  <c r="H4090" i="7" a="1"/>
  <c r="H4090" i="7" s="1"/>
  <c r="H4091" i="7" a="1"/>
  <c r="H4091" i="7" s="1"/>
  <c r="H4092" i="7" a="1"/>
  <c r="H4092" i="7" s="1"/>
  <c r="H4093" i="7" a="1"/>
  <c r="H4093" i="7" s="1"/>
  <c r="H4094" i="7" a="1"/>
  <c r="H4094" i="7" s="1"/>
  <c r="H4095" i="7" a="1"/>
  <c r="H4095" i="7" s="1"/>
  <c r="H4096" i="7" a="1"/>
  <c r="H4096" i="7" s="1"/>
  <c r="H4097" i="7" a="1"/>
  <c r="H4097" i="7" s="1"/>
  <c r="H4098" i="7" a="1"/>
  <c r="H4098" i="7" s="1"/>
  <c r="H4099" i="7" a="1"/>
  <c r="H4099" i="7" s="1"/>
  <c r="H4100" i="7" a="1"/>
  <c r="H4100" i="7" s="1"/>
  <c r="H4101" i="7" a="1"/>
  <c r="H4101" i="7" s="1"/>
  <c r="H4102" i="7" a="1"/>
  <c r="H4102" i="7" s="1"/>
  <c r="H4103" i="7" a="1"/>
  <c r="H4103" i="7" s="1"/>
  <c r="H4104" i="7" a="1"/>
  <c r="H4104" i="7" s="1"/>
  <c r="H4105" i="7" a="1"/>
  <c r="H4105" i="7" s="1"/>
  <c r="H4106" i="7" a="1"/>
  <c r="H4106" i="7" s="1"/>
  <c r="H4107" i="7" a="1"/>
  <c r="H4107" i="7" s="1"/>
  <c r="H4108" i="7" a="1"/>
  <c r="H4108" i="7" s="1"/>
  <c r="H4109" i="7" a="1"/>
  <c r="H4109" i="7" s="1"/>
  <c r="H4110" i="7" a="1"/>
  <c r="H4110" i="7" s="1"/>
  <c r="H4111" i="7" a="1"/>
  <c r="H4111" i="7" s="1"/>
  <c r="H4112" i="7" a="1"/>
  <c r="H4112" i="7" s="1"/>
  <c r="H4113" i="7" a="1"/>
  <c r="H4113" i="7" s="1"/>
  <c r="H4114" i="7" a="1"/>
  <c r="H4114" i="7" s="1"/>
  <c r="H4115" i="7" a="1"/>
  <c r="H4115" i="7" s="1"/>
  <c r="H4116" i="7" a="1"/>
  <c r="H4116" i="7" s="1"/>
  <c r="H4117" i="7" a="1"/>
  <c r="H4117" i="7" s="1"/>
  <c r="H4118" i="7" a="1"/>
  <c r="H4118" i="7" s="1"/>
  <c r="H4119" i="7" a="1"/>
  <c r="H4119" i="7" s="1"/>
  <c r="H4120" i="7" a="1"/>
  <c r="H4120" i="7" s="1"/>
  <c r="H4121" i="7" a="1"/>
  <c r="H4121" i="7" s="1"/>
  <c r="H4122" i="7" a="1"/>
  <c r="H4122" i="7" s="1"/>
  <c r="H4123" i="7" a="1"/>
  <c r="H4123" i="7" s="1"/>
  <c r="H4124" i="7" a="1"/>
  <c r="H4124" i="7" s="1"/>
  <c r="H4125" i="7" a="1"/>
  <c r="H4125" i="7" s="1"/>
  <c r="H4126" i="7" a="1"/>
  <c r="H4126" i="7" s="1"/>
  <c r="H4127" i="7" a="1"/>
  <c r="H4127" i="7" s="1"/>
  <c r="H4128" i="7" a="1"/>
  <c r="H4128" i="7" s="1"/>
  <c r="H4129" i="7" a="1"/>
  <c r="H4129" i="7" s="1"/>
  <c r="H4130" i="7" a="1"/>
  <c r="H4130" i="7" s="1"/>
  <c r="H4131" i="7" a="1"/>
  <c r="H4131" i="7" s="1"/>
  <c r="H4132" i="7" a="1"/>
  <c r="H4132" i="7" s="1"/>
  <c r="H4133" i="7" a="1"/>
  <c r="H4133" i="7" s="1"/>
  <c r="H4134" i="7" a="1"/>
  <c r="H4134" i="7" s="1"/>
  <c r="H4135" i="7" a="1"/>
  <c r="H4135" i="7" s="1"/>
  <c r="H4136" i="7" a="1"/>
  <c r="H4136" i="7" s="1"/>
  <c r="H4137" i="7" a="1"/>
  <c r="H4137" i="7" s="1"/>
  <c r="H4138" i="7" a="1"/>
  <c r="H4138" i="7" s="1"/>
  <c r="H4139" i="7" a="1"/>
  <c r="H4139" i="7" s="1"/>
  <c r="H4140" i="7" a="1"/>
  <c r="H4140" i="7" s="1"/>
  <c r="H4141" i="7" a="1"/>
  <c r="H4141" i="7" s="1"/>
  <c r="H4142" i="7" a="1"/>
  <c r="H4142" i="7" s="1"/>
  <c r="H4143" i="7" a="1"/>
  <c r="H4143" i="7" s="1"/>
  <c r="H4144" i="7" a="1"/>
  <c r="H4144" i="7" s="1"/>
  <c r="H4145" i="7" a="1"/>
  <c r="H4145" i="7" s="1"/>
  <c r="H4146" i="7" a="1"/>
  <c r="H4146" i="7" s="1"/>
  <c r="H4147" i="7" a="1"/>
  <c r="H4147" i="7" s="1"/>
  <c r="H4148" i="7" a="1"/>
  <c r="H4148" i="7" s="1"/>
  <c r="H4149" i="7" a="1"/>
  <c r="H4149" i="7" s="1"/>
  <c r="H4150" i="7" a="1"/>
  <c r="H4150" i="7" s="1"/>
  <c r="H4151" i="7" a="1"/>
  <c r="H4151" i="7" s="1"/>
  <c r="H4152" i="7" a="1"/>
  <c r="H4152" i="7" s="1"/>
  <c r="H4153" i="7" a="1"/>
  <c r="H4153" i="7" s="1"/>
  <c r="H4154" i="7" a="1"/>
  <c r="H4154" i="7" s="1"/>
  <c r="H4155" i="7" a="1"/>
  <c r="H4155" i="7" s="1"/>
  <c r="H4156" i="7" a="1"/>
  <c r="H4156" i="7" s="1"/>
  <c r="H4157" i="7" a="1"/>
  <c r="H4157" i="7" s="1"/>
  <c r="H4158" i="7" a="1"/>
  <c r="H4158" i="7" s="1"/>
  <c r="H4159" i="7" a="1"/>
  <c r="H4159" i="7" s="1"/>
  <c r="H4160" i="7" a="1"/>
  <c r="H4160" i="7" s="1"/>
  <c r="H4161" i="7" a="1"/>
  <c r="H4161" i="7" s="1"/>
  <c r="H4162" i="7" a="1"/>
  <c r="H4162" i="7" s="1"/>
  <c r="H4163" i="7" a="1"/>
  <c r="H4163" i="7" s="1"/>
  <c r="H4164" i="7" a="1"/>
  <c r="H4164" i="7" s="1"/>
  <c r="H4165" i="7" a="1"/>
  <c r="H4165" i="7" s="1"/>
  <c r="H4166" i="7" a="1"/>
  <c r="H4166" i="7" s="1"/>
  <c r="H4167" i="7" a="1"/>
  <c r="H4167" i="7" s="1"/>
  <c r="H4168" i="7" a="1"/>
  <c r="H4168" i="7" s="1"/>
  <c r="H4169" i="7" a="1"/>
  <c r="H4169" i="7" s="1"/>
  <c r="H4170" i="7" a="1"/>
  <c r="H4170" i="7" s="1"/>
  <c r="H4171" i="7" a="1"/>
  <c r="H4171" i="7" s="1"/>
  <c r="H4172" i="7" a="1"/>
  <c r="H4172" i="7" s="1"/>
  <c r="H4173" i="7" a="1"/>
  <c r="H4173" i="7" s="1"/>
  <c r="H4174" i="7" a="1"/>
  <c r="H4174" i="7" s="1"/>
  <c r="H4175" i="7" a="1"/>
  <c r="H4175" i="7" s="1"/>
  <c r="H4176" i="7" a="1"/>
  <c r="H4176" i="7" s="1"/>
  <c r="H4177" i="7" a="1"/>
  <c r="H4177" i="7" s="1"/>
  <c r="H4178" i="7" a="1"/>
  <c r="H4178" i="7" s="1"/>
  <c r="H4179" i="7" a="1"/>
  <c r="H4179" i="7" s="1"/>
  <c r="H4180" i="7" a="1"/>
  <c r="H4180" i="7" s="1"/>
  <c r="H4181" i="7" a="1"/>
  <c r="H4181" i="7" s="1"/>
  <c r="H4182" i="7" a="1"/>
  <c r="H4182" i="7" s="1"/>
  <c r="H4183" i="7" a="1"/>
  <c r="H4183" i="7" s="1"/>
  <c r="H4184" i="7" a="1"/>
  <c r="H4184" i="7" s="1"/>
  <c r="H4185" i="7" a="1"/>
  <c r="H4185" i="7" s="1"/>
  <c r="H4186" i="7" a="1"/>
  <c r="H4186" i="7" s="1"/>
  <c r="H4187" i="7" a="1"/>
  <c r="H4187" i="7" s="1"/>
  <c r="H4188" i="7" a="1"/>
  <c r="H4188" i="7" s="1"/>
  <c r="H4189" i="7" a="1"/>
  <c r="H4189" i="7" s="1"/>
  <c r="H4190" i="7" a="1"/>
  <c r="H4190" i="7" s="1"/>
  <c r="H4191" i="7" a="1"/>
  <c r="H4191" i="7" s="1"/>
  <c r="H4192" i="7" a="1"/>
  <c r="H4192" i="7" s="1"/>
  <c r="H4193" i="7" a="1"/>
  <c r="H4193" i="7" s="1"/>
  <c r="H4194" i="7" a="1"/>
  <c r="H4194" i="7" s="1"/>
  <c r="H4195" i="7" a="1"/>
  <c r="H4195" i="7" s="1"/>
  <c r="H4196" i="7" a="1"/>
  <c r="H4196" i="7" s="1"/>
  <c r="H4197" i="7" a="1"/>
  <c r="H4197" i="7" s="1"/>
  <c r="H4198" i="7" a="1"/>
  <c r="H4198" i="7" s="1"/>
  <c r="H4199" i="7" a="1"/>
  <c r="H4199" i="7" s="1"/>
  <c r="H4200" i="7" a="1"/>
  <c r="H4200" i="7" s="1"/>
  <c r="H4201" i="7" a="1"/>
  <c r="H4201" i="7" s="1"/>
  <c r="H4202" i="7" a="1"/>
  <c r="H4202" i="7" s="1"/>
  <c r="H4203" i="7" a="1"/>
  <c r="H4203" i="7" s="1"/>
  <c r="H4204" i="7" a="1"/>
  <c r="H4204" i="7" s="1"/>
  <c r="H4205" i="7" a="1"/>
  <c r="H4205" i="7" s="1"/>
  <c r="H4206" i="7" a="1"/>
  <c r="H4206" i="7" s="1"/>
  <c r="H4207" i="7" a="1"/>
  <c r="H4207" i="7" s="1"/>
  <c r="H4208" i="7" a="1"/>
  <c r="H4208" i="7" s="1"/>
  <c r="H4209" i="7" a="1"/>
  <c r="H4209" i="7" s="1"/>
  <c r="H4210" i="7" a="1"/>
  <c r="H4210" i="7" s="1"/>
  <c r="H4211" i="7" a="1"/>
  <c r="H4211" i="7" s="1"/>
  <c r="H4212" i="7" a="1"/>
  <c r="H4212" i="7" s="1"/>
  <c r="H4213" i="7" a="1"/>
  <c r="H4213" i="7" s="1"/>
  <c r="H4214" i="7" a="1"/>
  <c r="H4214" i="7" s="1"/>
  <c r="H4215" i="7" a="1"/>
  <c r="H4215" i="7" s="1"/>
  <c r="H4216" i="7" a="1"/>
  <c r="H4216" i="7" s="1"/>
  <c r="H4217" i="7" a="1"/>
  <c r="H4217" i="7" s="1"/>
  <c r="H4218" i="7" a="1"/>
  <c r="H4218" i="7" s="1"/>
  <c r="H4219" i="7" a="1"/>
  <c r="H4219" i="7" s="1"/>
  <c r="H4220" i="7" a="1"/>
  <c r="H4220" i="7" s="1"/>
  <c r="H4221" i="7" a="1"/>
  <c r="H4221" i="7" s="1"/>
  <c r="H4222" i="7" a="1"/>
  <c r="H4222" i="7" s="1"/>
  <c r="H4223" i="7" a="1"/>
  <c r="H4223" i="7" s="1"/>
  <c r="H4224" i="7" a="1"/>
  <c r="H4224" i="7" s="1"/>
  <c r="H4225" i="7" a="1"/>
  <c r="H4225" i="7" s="1"/>
  <c r="H4226" i="7" a="1"/>
  <c r="H4226" i="7" s="1"/>
  <c r="H4227" i="7" a="1"/>
  <c r="H4227" i="7" s="1"/>
  <c r="H4228" i="7" a="1"/>
  <c r="H4228" i="7" s="1"/>
  <c r="H4229" i="7" a="1"/>
  <c r="H4229" i="7" s="1"/>
  <c r="H4230" i="7" a="1"/>
  <c r="H4230" i="7" s="1"/>
  <c r="H4231" i="7" a="1"/>
  <c r="H4231" i="7" s="1"/>
  <c r="H4232" i="7" a="1"/>
  <c r="H4232" i="7" s="1"/>
  <c r="H4233" i="7" a="1"/>
  <c r="H4233" i="7" s="1"/>
  <c r="H4234" i="7" a="1"/>
  <c r="H4234" i="7" s="1"/>
  <c r="H4235" i="7" a="1"/>
  <c r="H4235" i="7" s="1"/>
  <c r="H4236" i="7" a="1"/>
  <c r="H4236" i="7" s="1"/>
  <c r="H4237" i="7" a="1"/>
  <c r="H4237" i="7" s="1"/>
  <c r="H4238" i="7" a="1"/>
  <c r="H4238" i="7" s="1"/>
  <c r="H4239" i="7" a="1"/>
  <c r="H4239" i="7" s="1"/>
  <c r="H4240" i="7" a="1"/>
  <c r="H4240" i="7" s="1"/>
  <c r="H4241" i="7" a="1"/>
  <c r="H4241" i="7" s="1"/>
  <c r="H4242" i="7" a="1"/>
  <c r="H4242" i="7" s="1"/>
  <c r="H4243" i="7" a="1"/>
  <c r="H4243" i="7" s="1"/>
  <c r="H4244" i="7" a="1"/>
  <c r="H4244" i="7" s="1"/>
  <c r="H4245" i="7" a="1"/>
  <c r="H4245" i="7" s="1"/>
  <c r="H4246" i="7" a="1"/>
  <c r="H4246" i="7" s="1"/>
  <c r="H4247" i="7" a="1"/>
  <c r="H4247" i="7" s="1"/>
  <c r="H4248" i="7" a="1"/>
  <c r="H4248" i="7" s="1"/>
  <c r="H4249" i="7" a="1"/>
  <c r="H4249" i="7" s="1"/>
  <c r="H4250" i="7" a="1"/>
  <c r="H4250" i="7" s="1"/>
  <c r="H4251" i="7" a="1"/>
  <c r="H4251" i="7" s="1"/>
  <c r="H4252" i="7" a="1"/>
  <c r="H4252" i="7" s="1"/>
  <c r="H4253" i="7" a="1"/>
  <c r="H4253" i="7" s="1"/>
  <c r="H4254" i="7" a="1"/>
  <c r="H4254" i="7" s="1"/>
  <c r="H4255" i="7" a="1"/>
  <c r="H4255" i="7" s="1"/>
  <c r="H4256" i="7" a="1"/>
  <c r="H4256" i="7" s="1"/>
  <c r="H4257" i="7" a="1"/>
  <c r="H4257" i="7" s="1"/>
  <c r="H4258" i="7" a="1"/>
  <c r="H4258" i="7" s="1"/>
  <c r="H4259" i="7" a="1"/>
  <c r="H4259" i="7" s="1"/>
  <c r="H4260" i="7" a="1"/>
  <c r="H4260" i="7" s="1"/>
  <c r="H4261" i="7" a="1"/>
  <c r="H4261" i="7" s="1"/>
  <c r="H4262" i="7" a="1"/>
  <c r="H4262" i="7" s="1"/>
  <c r="H4263" i="7" a="1"/>
  <c r="H4263" i="7" s="1"/>
  <c r="H4264" i="7" a="1"/>
  <c r="H4264" i="7" s="1"/>
  <c r="H4265" i="7" a="1"/>
  <c r="H4265" i="7" s="1"/>
  <c r="H4266" i="7" a="1"/>
  <c r="H4266" i="7" s="1"/>
  <c r="H4267" i="7" a="1"/>
  <c r="H4267" i="7" s="1"/>
  <c r="H4268" i="7" a="1"/>
  <c r="H4268" i="7" s="1"/>
  <c r="H4269" i="7" a="1"/>
  <c r="H4269" i="7" s="1"/>
  <c r="H4270" i="7" a="1"/>
  <c r="H4270" i="7" s="1"/>
  <c r="H4271" i="7" a="1"/>
  <c r="H4271" i="7" s="1"/>
  <c r="H4272" i="7" a="1"/>
  <c r="H4272" i="7" s="1"/>
  <c r="H4273" i="7" a="1"/>
  <c r="H4273" i="7" s="1"/>
  <c r="H4274" i="7" a="1"/>
  <c r="H4274" i="7" s="1"/>
  <c r="H4275" i="7" a="1"/>
  <c r="H4275" i="7" s="1"/>
  <c r="H4276" i="7" a="1"/>
  <c r="H4276" i="7" s="1"/>
  <c r="H4277" i="7" a="1"/>
  <c r="H4277" i="7" s="1"/>
  <c r="H4278" i="7" a="1"/>
  <c r="H4278" i="7" s="1"/>
  <c r="H4279" i="7" a="1"/>
  <c r="H4279" i="7" s="1"/>
  <c r="H4280" i="7" a="1"/>
  <c r="H4280" i="7" s="1"/>
  <c r="H4281" i="7" a="1"/>
  <c r="H4281" i="7" s="1"/>
  <c r="H4282" i="7" a="1"/>
  <c r="H4282" i="7" s="1"/>
  <c r="H4283" i="7" a="1"/>
  <c r="H4283" i="7" s="1"/>
  <c r="H4284" i="7" a="1"/>
  <c r="H4284" i="7" s="1"/>
  <c r="H4285" i="7" a="1"/>
  <c r="H4285" i="7" s="1"/>
  <c r="H4286" i="7" a="1"/>
  <c r="H4286" i="7" s="1"/>
  <c r="H4287" i="7" a="1"/>
  <c r="H4287" i="7" s="1"/>
  <c r="H4288" i="7" a="1"/>
  <c r="H4288" i="7" s="1"/>
  <c r="H4289" i="7" a="1"/>
  <c r="H4289" i="7" s="1"/>
  <c r="H4290" i="7" a="1"/>
  <c r="H4290" i="7" s="1"/>
  <c r="H4291" i="7" a="1"/>
  <c r="H4291" i="7" s="1"/>
  <c r="H4292" i="7" a="1"/>
  <c r="H4292" i="7" s="1"/>
  <c r="H4293" i="7" a="1"/>
  <c r="H4293" i="7" s="1"/>
  <c r="H4294" i="7" a="1"/>
  <c r="H4294" i="7" s="1"/>
  <c r="H4295" i="7" a="1"/>
  <c r="H4295" i="7" s="1"/>
  <c r="H4296" i="7" a="1"/>
  <c r="H4296" i="7" s="1"/>
  <c r="H4297" i="7" a="1"/>
  <c r="H4297" i="7" s="1"/>
  <c r="H4298" i="7" a="1"/>
  <c r="H4298" i="7" s="1"/>
  <c r="H4299" i="7" a="1"/>
  <c r="H4299" i="7" s="1"/>
  <c r="H4300" i="7" a="1"/>
  <c r="H4300" i="7" s="1"/>
  <c r="H4301" i="7" a="1"/>
  <c r="H4301" i="7" s="1"/>
  <c r="H4302" i="7" a="1"/>
  <c r="H4302" i="7" s="1"/>
  <c r="H4303" i="7" a="1"/>
  <c r="H4303" i="7" s="1"/>
  <c r="H4304" i="7" a="1"/>
  <c r="H4304" i="7" s="1"/>
  <c r="H4305" i="7" a="1"/>
  <c r="H4305" i="7" s="1"/>
  <c r="H4306" i="7" a="1"/>
  <c r="H4306" i="7" s="1"/>
  <c r="H4307" i="7" a="1"/>
  <c r="H4307" i="7" s="1"/>
  <c r="H4308" i="7" a="1"/>
  <c r="H4308" i="7" s="1"/>
  <c r="H4309" i="7" a="1"/>
  <c r="H4309" i="7" s="1"/>
  <c r="H4310" i="7" a="1"/>
  <c r="H4310" i="7" s="1"/>
  <c r="H4311" i="7" a="1"/>
  <c r="H4311" i="7" s="1"/>
  <c r="H4312" i="7" a="1"/>
  <c r="H4312" i="7" s="1"/>
  <c r="H4313" i="7" a="1"/>
  <c r="H4313" i="7" s="1"/>
  <c r="H4314" i="7" a="1"/>
  <c r="H4314" i="7" s="1"/>
  <c r="H4315" i="7" a="1"/>
  <c r="H4315" i="7" s="1"/>
  <c r="H4316" i="7" a="1"/>
  <c r="H4316" i="7" s="1"/>
  <c r="H4317" i="7" a="1"/>
  <c r="H4317" i="7" s="1"/>
  <c r="H4318" i="7" a="1"/>
  <c r="H4318" i="7" s="1"/>
  <c r="H4319" i="7" a="1"/>
  <c r="H4319" i="7" s="1"/>
  <c r="H4320" i="7" a="1"/>
  <c r="H4320" i="7" s="1"/>
  <c r="H4321" i="7" a="1"/>
  <c r="H4321" i="7" s="1"/>
  <c r="H4322" i="7" a="1"/>
  <c r="H4322" i="7" s="1"/>
  <c r="H4323" i="7" a="1"/>
  <c r="H4323" i="7" s="1"/>
  <c r="H4324" i="7" a="1"/>
  <c r="H4324" i="7" s="1"/>
  <c r="H4325" i="7" a="1"/>
  <c r="H4325" i="7" s="1"/>
  <c r="H4326" i="7" a="1"/>
  <c r="H4326" i="7" s="1"/>
  <c r="H4327" i="7" a="1"/>
  <c r="H4327" i="7" s="1"/>
  <c r="H4328" i="7" a="1"/>
  <c r="H4328" i="7" s="1"/>
  <c r="H4329" i="7" a="1"/>
  <c r="H4329" i="7" s="1"/>
  <c r="H4330" i="7" a="1"/>
  <c r="H4330" i="7" s="1"/>
  <c r="H4331" i="7" a="1"/>
  <c r="H4331" i="7" s="1"/>
  <c r="H4332" i="7" a="1"/>
  <c r="H4332" i="7" s="1"/>
  <c r="H4333" i="7" a="1"/>
  <c r="H4333" i="7" s="1"/>
  <c r="H4334" i="7" a="1"/>
  <c r="H4334" i="7" s="1"/>
  <c r="H4335" i="7" a="1"/>
  <c r="H4335" i="7" s="1"/>
  <c r="H4336" i="7" a="1"/>
  <c r="H4336" i="7" s="1"/>
  <c r="H4337" i="7" a="1"/>
  <c r="H4337" i="7" s="1"/>
  <c r="H4338" i="7" a="1"/>
  <c r="H4338" i="7" s="1"/>
  <c r="H4339" i="7" a="1"/>
  <c r="H4339" i="7" s="1"/>
  <c r="H4340" i="7" a="1"/>
  <c r="H4340" i="7" s="1"/>
  <c r="H4341" i="7" a="1"/>
  <c r="H4341" i="7" s="1"/>
  <c r="H4342" i="7" a="1"/>
  <c r="H4342" i="7" s="1"/>
  <c r="H4343" i="7" a="1"/>
  <c r="H4343" i="7" s="1"/>
  <c r="H4344" i="7" a="1"/>
  <c r="H4344" i="7" s="1"/>
  <c r="H4345" i="7" a="1"/>
  <c r="H4345" i="7" s="1"/>
  <c r="H4346" i="7" a="1"/>
  <c r="H4346" i="7" s="1"/>
  <c r="H4347" i="7" a="1"/>
  <c r="H4347" i="7" s="1"/>
  <c r="H4348" i="7" a="1"/>
  <c r="H4348" i="7" s="1"/>
  <c r="H4349" i="7" a="1"/>
  <c r="H4349" i="7" s="1"/>
  <c r="H4350" i="7" a="1"/>
  <c r="H4350" i="7" s="1"/>
  <c r="H4351" i="7" a="1"/>
  <c r="H4351" i="7" s="1"/>
  <c r="H4352" i="7" a="1"/>
  <c r="H4352" i="7" s="1"/>
  <c r="H4353" i="7" a="1"/>
  <c r="H4353" i="7" s="1"/>
  <c r="H4354" i="7" a="1"/>
  <c r="H4354" i="7" s="1"/>
  <c r="H4355" i="7" a="1"/>
  <c r="H4355" i="7" s="1"/>
  <c r="H4356" i="7" a="1"/>
  <c r="H4356" i="7" s="1"/>
  <c r="H4357" i="7" a="1"/>
  <c r="H4357" i="7" s="1"/>
  <c r="H4358" i="7" a="1"/>
  <c r="H4358" i="7" s="1"/>
  <c r="H4359" i="7" a="1"/>
  <c r="H4359" i="7" s="1"/>
  <c r="H4360" i="7" a="1"/>
  <c r="H4360" i="7" s="1"/>
  <c r="H4361" i="7" a="1"/>
  <c r="H4361" i="7" s="1"/>
  <c r="H4362" i="7" a="1"/>
  <c r="H4362" i="7" s="1"/>
  <c r="H4363" i="7" a="1"/>
  <c r="H4363" i="7" s="1"/>
  <c r="H4364" i="7" a="1"/>
  <c r="H4364" i="7" s="1"/>
  <c r="H4365" i="7" a="1"/>
  <c r="H4365" i="7" s="1"/>
  <c r="H4366" i="7" a="1"/>
  <c r="H4366" i="7" s="1"/>
  <c r="H4367" i="7" a="1"/>
  <c r="H4367" i="7" s="1"/>
  <c r="H4368" i="7" a="1"/>
  <c r="H4368" i="7" s="1"/>
  <c r="H4369" i="7" a="1"/>
  <c r="H4369" i="7" s="1"/>
  <c r="H4370" i="7" a="1"/>
  <c r="H4370" i="7" s="1"/>
  <c r="H4371" i="7" a="1"/>
  <c r="H4371" i="7" s="1"/>
  <c r="H4372" i="7" a="1"/>
  <c r="H4372" i="7" s="1"/>
  <c r="H4373" i="7" a="1"/>
  <c r="H4373" i="7" s="1"/>
  <c r="H4374" i="7" a="1"/>
  <c r="H4374" i="7" s="1"/>
  <c r="H4375" i="7" a="1"/>
  <c r="H4375" i="7" s="1"/>
  <c r="H4376" i="7" a="1"/>
  <c r="H4376" i="7" s="1"/>
  <c r="H4377" i="7" a="1"/>
  <c r="H4377" i="7" s="1"/>
  <c r="H4378" i="7" a="1"/>
  <c r="H4378" i="7" s="1"/>
  <c r="H4379" i="7" a="1"/>
  <c r="H4379" i="7" s="1"/>
  <c r="H4380" i="7" a="1"/>
  <c r="H4380" i="7" s="1"/>
  <c r="H4381" i="7" a="1"/>
  <c r="H4381" i="7" s="1"/>
  <c r="H4382" i="7" a="1"/>
  <c r="H4382" i="7" s="1"/>
  <c r="H4383" i="7" a="1"/>
  <c r="H4383" i="7" s="1"/>
  <c r="H4384" i="7" a="1"/>
  <c r="H4384" i="7" s="1"/>
  <c r="H4385" i="7" a="1"/>
  <c r="H4385" i="7" s="1"/>
  <c r="H4386" i="7" a="1"/>
  <c r="H4386" i="7" s="1"/>
  <c r="H4387" i="7" a="1"/>
  <c r="H4387" i="7" s="1"/>
  <c r="H4388" i="7" a="1"/>
  <c r="H4388" i="7" s="1"/>
  <c r="H4389" i="7" a="1"/>
  <c r="H4389" i="7" s="1"/>
  <c r="H4390" i="7" a="1"/>
  <c r="H4390" i="7" s="1"/>
  <c r="H4391" i="7" a="1"/>
  <c r="H4391" i="7" s="1"/>
  <c r="H4392" i="7" a="1"/>
  <c r="H4392" i="7" s="1"/>
  <c r="H4393" i="7" a="1"/>
  <c r="H4393" i="7" s="1"/>
  <c r="H4394" i="7" a="1"/>
  <c r="H4394" i="7" s="1"/>
  <c r="H4395" i="7" a="1"/>
  <c r="H4395" i="7" s="1"/>
  <c r="H4396" i="7" a="1"/>
  <c r="H4396" i="7" s="1"/>
  <c r="H4397" i="7" a="1"/>
  <c r="H4397" i="7" s="1"/>
  <c r="H4398" i="7" a="1"/>
  <c r="H4398" i="7" s="1"/>
  <c r="H4399" i="7" a="1"/>
  <c r="H4399" i="7" s="1"/>
  <c r="H4400" i="7" a="1"/>
  <c r="H4400" i="7" s="1"/>
  <c r="H4401" i="7" a="1"/>
  <c r="H4401" i="7" s="1"/>
  <c r="H4402" i="7" a="1"/>
  <c r="H4402" i="7" s="1"/>
  <c r="H4403" i="7" a="1"/>
  <c r="H4403" i="7" s="1"/>
  <c r="H4404" i="7" a="1"/>
  <c r="H4404" i="7" s="1"/>
  <c r="H4405" i="7" a="1"/>
  <c r="H4405" i="7" s="1"/>
  <c r="H4406" i="7" a="1"/>
  <c r="H4406" i="7" s="1"/>
  <c r="H4407" i="7" a="1"/>
  <c r="H4407" i="7" s="1"/>
  <c r="H4408" i="7" a="1"/>
  <c r="H4408" i="7" s="1"/>
  <c r="H4409" i="7" a="1"/>
  <c r="H4409" i="7" s="1"/>
  <c r="H4410" i="7" a="1"/>
  <c r="H4410" i="7" s="1"/>
  <c r="H4411" i="7" a="1"/>
  <c r="H4411" i="7" s="1"/>
  <c r="H4412" i="7" a="1"/>
  <c r="H4412" i="7" s="1"/>
  <c r="H4413" i="7" a="1"/>
  <c r="H4413" i="7" s="1"/>
  <c r="H4414" i="7" a="1"/>
  <c r="H4414" i="7" s="1"/>
  <c r="H4415" i="7" a="1"/>
  <c r="H4415" i="7" s="1"/>
  <c r="H4416" i="7" a="1"/>
  <c r="H4416" i="7" s="1"/>
  <c r="H4417" i="7" a="1"/>
  <c r="H4417" i="7" s="1"/>
  <c r="H4418" i="7" a="1"/>
  <c r="H4418" i="7" s="1"/>
  <c r="H4419" i="7" a="1"/>
  <c r="H4419" i="7" s="1"/>
  <c r="H4420" i="7" a="1"/>
  <c r="H4420" i="7" s="1"/>
  <c r="H4421" i="7" a="1"/>
  <c r="H4421" i="7" s="1"/>
  <c r="H4422" i="7" a="1"/>
  <c r="H4422" i="7" s="1"/>
  <c r="H4423" i="7" a="1"/>
  <c r="H4423" i="7" s="1"/>
  <c r="H4424" i="7" a="1"/>
  <c r="H4424" i="7" s="1"/>
  <c r="H4425" i="7" a="1"/>
  <c r="H4425" i="7" s="1"/>
  <c r="H4426" i="7" a="1"/>
  <c r="H4426" i="7" s="1"/>
  <c r="H4427" i="7" a="1"/>
  <c r="H4427" i="7" s="1"/>
  <c r="H4428" i="7" a="1"/>
  <c r="H4428" i="7" s="1"/>
  <c r="H4429" i="7" a="1"/>
  <c r="H4429" i="7" s="1"/>
  <c r="H4430" i="7" a="1"/>
  <c r="H4430" i="7" s="1"/>
  <c r="H4431" i="7" a="1"/>
  <c r="H4431" i="7" s="1"/>
  <c r="H4432" i="7" a="1"/>
  <c r="H4432" i="7" s="1"/>
  <c r="H4433" i="7" a="1"/>
  <c r="H4433" i="7" s="1"/>
  <c r="H4434" i="7" a="1"/>
  <c r="H4434" i="7" s="1"/>
  <c r="H4435" i="7" a="1"/>
  <c r="H4435" i="7" s="1"/>
  <c r="H4436" i="7" a="1"/>
  <c r="H4436" i="7" s="1"/>
  <c r="H4437" i="7" a="1"/>
  <c r="H4437" i="7" s="1"/>
  <c r="H4438" i="7" a="1"/>
  <c r="H4438" i="7" s="1"/>
  <c r="H4439" i="7" a="1"/>
  <c r="H4439" i="7" s="1"/>
  <c r="H4440" i="7" a="1"/>
  <c r="H4440" i="7" s="1"/>
  <c r="H4441" i="7" a="1"/>
  <c r="H4441" i="7" s="1"/>
  <c r="H4442" i="7" a="1"/>
  <c r="H4442" i="7" s="1"/>
  <c r="H4443" i="7" a="1"/>
  <c r="H4443" i="7" s="1"/>
  <c r="H4444" i="7" a="1"/>
  <c r="H4444" i="7" s="1"/>
  <c r="H4445" i="7" a="1"/>
  <c r="H4445" i="7" s="1"/>
  <c r="H4446" i="7" a="1"/>
  <c r="H4446" i="7" s="1"/>
  <c r="H4447" i="7" a="1"/>
  <c r="H4447" i="7" s="1"/>
  <c r="H4448" i="7" a="1"/>
  <c r="H4448" i="7" s="1"/>
  <c r="H4449" i="7" a="1"/>
  <c r="H4449" i="7" s="1"/>
  <c r="H4450" i="7" a="1"/>
  <c r="H4450" i="7" s="1"/>
  <c r="H4451" i="7" a="1"/>
  <c r="H4451" i="7" s="1"/>
  <c r="H4452" i="7" a="1"/>
  <c r="H4452" i="7" s="1"/>
  <c r="H4453" i="7" a="1"/>
  <c r="H4453" i="7" s="1"/>
  <c r="H4454" i="7" a="1"/>
  <c r="H4454" i="7" s="1"/>
  <c r="H4455" i="7" a="1"/>
  <c r="H4455" i="7" s="1"/>
  <c r="H4456" i="7" a="1"/>
  <c r="H4456" i="7" s="1"/>
  <c r="H4457" i="7" a="1"/>
  <c r="H4457" i="7" s="1"/>
  <c r="H4458" i="7" a="1"/>
  <c r="H4458" i="7" s="1"/>
  <c r="H4459" i="7" a="1"/>
  <c r="H4459" i="7" s="1"/>
  <c r="H4460" i="7" a="1"/>
  <c r="H4460" i="7" s="1"/>
  <c r="H4461" i="7" a="1"/>
  <c r="H4461" i="7" s="1"/>
  <c r="H4462" i="7" a="1"/>
  <c r="H4462" i="7" s="1"/>
  <c r="H4463" i="7" a="1"/>
  <c r="H4463" i="7" s="1"/>
  <c r="H4464" i="7" a="1"/>
  <c r="H4464" i="7" s="1"/>
  <c r="H4465" i="7" a="1"/>
  <c r="H4465" i="7" s="1"/>
  <c r="H4466" i="7" a="1"/>
  <c r="H4466" i="7" s="1"/>
  <c r="H4467" i="7" a="1"/>
  <c r="H4467" i="7" s="1"/>
  <c r="H4468" i="7" a="1"/>
  <c r="H4468" i="7" s="1"/>
  <c r="H4469" i="7" a="1"/>
  <c r="H4469" i="7" s="1"/>
  <c r="H4470" i="7" a="1"/>
  <c r="H4470" i="7" s="1"/>
  <c r="H4471" i="7" a="1"/>
  <c r="H4471" i="7" s="1"/>
  <c r="H4472" i="7" a="1"/>
  <c r="H4472" i="7" s="1"/>
  <c r="H4473" i="7" a="1"/>
  <c r="H4473" i="7" s="1"/>
  <c r="H4474" i="7" a="1"/>
  <c r="H4474" i="7" s="1"/>
  <c r="H4475" i="7" a="1"/>
  <c r="H4475" i="7" s="1"/>
  <c r="H4476" i="7" a="1"/>
  <c r="H4476" i="7" s="1"/>
  <c r="H4477" i="7" a="1"/>
  <c r="H4477" i="7" s="1"/>
  <c r="H4478" i="7" a="1"/>
  <c r="H4478" i="7" s="1"/>
  <c r="H4479" i="7" a="1"/>
  <c r="H4479" i="7" s="1"/>
  <c r="H4480" i="7" a="1"/>
  <c r="H4480" i="7" s="1"/>
  <c r="H4481" i="7" a="1"/>
  <c r="H4481" i="7" s="1"/>
  <c r="H4482" i="7" a="1"/>
  <c r="H4482" i="7" s="1"/>
  <c r="H4483" i="7" a="1"/>
  <c r="H4483" i="7" s="1"/>
  <c r="H4484" i="7" a="1"/>
  <c r="H4484" i="7" s="1"/>
  <c r="H4485" i="7" a="1"/>
  <c r="H4485" i="7" s="1"/>
  <c r="H4486" i="7" a="1"/>
  <c r="H4486" i="7" s="1"/>
  <c r="H4487" i="7" a="1"/>
  <c r="H4487" i="7" s="1"/>
  <c r="H4488" i="7" a="1"/>
  <c r="H4488" i="7" s="1"/>
  <c r="H4489" i="7" a="1"/>
  <c r="H4489" i="7" s="1"/>
  <c r="H4490" i="7" a="1"/>
  <c r="H4490" i="7" s="1"/>
  <c r="H4491" i="7" a="1"/>
  <c r="H4491" i="7" s="1"/>
  <c r="H4492" i="7" a="1"/>
  <c r="H4492" i="7" s="1"/>
  <c r="H4493" i="7" a="1"/>
  <c r="H4493" i="7" s="1"/>
  <c r="H4494" i="7" a="1"/>
  <c r="H4494" i="7" s="1"/>
  <c r="H4495" i="7" a="1"/>
  <c r="H4495" i="7" s="1"/>
  <c r="H4496" i="7" a="1"/>
  <c r="H4496" i="7" s="1"/>
  <c r="H4497" i="7" a="1"/>
  <c r="H4497" i="7" s="1"/>
  <c r="H4498" i="7" a="1"/>
  <c r="H4498" i="7" s="1"/>
  <c r="H4499" i="7" a="1"/>
  <c r="H4499" i="7" s="1"/>
  <c r="H4500" i="7" a="1"/>
  <c r="H4500" i="7" s="1"/>
  <c r="H4501" i="7" a="1"/>
  <c r="H4501" i="7" s="1"/>
  <c r="H4502" i="7" a="1"/>
  <c r="H4502" i="7" s="1"/>
  <c r="H4503" i="7" a="1"/>
  <c r="H4503" i="7" s="1"/>
  <c r="H4504" i="7" a="1"/>
  <c r="H4504" i="7" s="1"/>
  <c r="H4505" i="7" a="1"/>
  <c r="H4505" i="7" s="1"/>
  <c r="H4506" i="7" a="1"/>
  <c r="H4506" i="7" s="1"/>
  <c r="H4507" i="7" a="1"/>
  <c r="H4507" i="7" s="1"/>
  <c r="H4508" i="7" a="1"/>
  <c r="H4508" i="7" s="1"/>
  <c r="H4509" i="7" a="1"/>
  <c r="H4509" i="7" s="1"/>
  <c r="H4510" i="7" a="1"/>
  <c r="H4510" i="7" s="1"/>
  <c r="H4511" i="7" a="1"/>
  <c r="H4511" i="7" s="1"/>
  <c r="H4512" i="7" a="1"/>
  <c r="H4512" i="7" s="1"/>
  <c r="H4513" i="7" a="1"/>
  <c r="H4513" i="7" s="1"/>
  <c r="H4514" i="7" a="1"/>
  <c r="H4514" i="7" s="1"/>
  <c r="H4515" i="7" a="1"/>
  <c r="H4515" i="7" s="1"/>
  <c r="H4516" i="7" a="1"/>
  <c r="H4516" i="7" s="1"/>
  <c r="H4517" i="7" a="1"/>
  <c r="H4517" i="7" s="1"/>
  <c r="H4518" i="7" a="1"/>
  <c r="H4518" i="7" s="1"/>
  <c r="H4519" i="7" a="1"/>
  <c r="H4519" i="7" s="1"/>
  <c r="H4520" i="7" a="1"/>
  <c r="H4520" i="7" s="1"/>
  <c r="H4521" i="7" a="1"/>
  <c r="H4521" i="7" s="1"/>
  <c r="H4522" i="7" a="1"/>
  <c r="H4522" i="7" s="1"/>
  <c r="H4523" i="7" a="1"/>
  <c r="H4523" i="7" s="1"/>
  <c r="H4524" i="7" a="1"/>
  <c r="H4524" i="7" s="1"/>
  <c r="H4525" i="7" a="1"/>
  <c r="H4525" i="7" s="1"/>
  <c r="H4526" i="7" a="1"/>
  <c r="H4526" i="7" s="1"/>
  <c r="H4527" i="7" a="1"/>
  <c r="H4527" i="7" s="1"/>
  <c r="H4528" i="7" a="1"/>
  <c r="H4528" i="7" s="1"/>
  <c r="H4529" i="7" a="1"/>
  <c r="H4529" i="7" s="1"/>
  <c r="H4530" i="7" a="1"/>
  <c r="H4530" i="7" s="1"/>
  <c r="H4531" i="7" a="1"/>
  <c r="H4531" i="7" s="1"/>
  <c r="H4532" i="7" a="1"/>
  <c r="H4532" i="7" s="1"/>
  <c r="H4533" i="7" a="1"/>
  <c r="H4533" i="7" s="1"/>
  <c r="H4534" i="7" a="1"/>
  <c r="H4534" i="7" s="1"/>
  <c r="H4535" i="7" a="1"/>
  <c r="H4535" i="7" s="1"/>
  <c r="H4536" i="7" a="1"/>
  <c r="H4536" i="7" s="1"/>
  <c r="H4537" i="7" a="1"/>
  <c r="H4537" i="7" s="1"/>
  <c r="H4538" i="7" a="1"/>
  <c r="H4538" i="7" s="1"/>
  <c r="H4539" i="7" a="1"/>
  <c r="H4539" i="7" s="1"/>
  <c r="H4540" i="7" a="1"/>
  <c r="H4540" i="7" s="1"/>
  <c r="H4541" i="7" a="1"/>
  <c r="H4541" i="7" s="1"/>
  <c r="H4542" i="7" a="1"/>
  <c r="H4542" i="7" s="1"/>
  <c r="H4543" i="7" a="1"/>
  <c r="H4543" i="7" s="1"/>
  <c r="H4544" i="7" a="1"/>
  <c r="H4544" i="7" s="1"/>
  <c r="H4545" i="7" a="1"/>
  <c r="H4545" i="7" s="1"/>
  <c r="H4546" i="7" a="1"/>
  <c r="H4546" i="7" s="1"/>
  <c r="H4547" i="7" a="1"/>
  <c r="H4547" i="7" s="1"/>
  <c r="H4548" i="7" a="1"/>
  <c r="H4548" i="7" s="1"/>
  <c r="H4549" i="7" a="1"/>
  <c r="H4549" i="7" s="1"/>
  <c r="H4550" i="7" a="1"/>
  <c r="H4550" i="7" s="1"/>
  <c r="H4551" i="7" a="1"/>
  <c r="H4551" i="7" s="1"/>
  <c r="H4552" i="7" a="1"/>
  <c r="H4552" i="7" s="1"/>
  <c r="H4553" i="7" a="1"/>
  <c r="H4553" i="7" s="1"/>
  <c r="H4554" i="7" a="1"/>
  <c r="H4554" i="7" s="1"/>
  <c r="H4555" i="7" a="1"/>
  <c r="H4555" i="7" s="1"/>
  <c r="H4556" i="7" a="1"/>
  <c r="H4556" i="7" s="1"/>
  <c r="H4557" i="7" a="1"/>
  <c r="H4557" i="7" s="1"/>
  <c r="H4558" i="7" a="1"/>
  <c r="H4558" i="7" s="1"/>
  <c r="H4559" i="7" a="1"/>
  <c r="H4559" i="7" s="1"/>
  <c r="H4560" i="7" a="1"/>
  <c r="H4560" i="7" s="1"/>
  <c r="H4561" i="7" a="1"/>
  <c r="H4561" i="7" s="1"/>
  <c r="H4562" i="7" a="1"/>
  <c r="H4562" i="7" s="1"/>
  <c r="H4563" i="7" a="1"/>
  <c r="H4563" i="7" s="1"/>
  <c r="H4564" i="7" a="1"/>
  <c r="H4564" i="7" s="1"/>
  <c r="H4565" i="7" a="1"/>
  <c r="H4565" i="7" s="1"/>
  <c r="H4566" i="7" a="1"/>
  <c r="H4566" i="7" s="1"/>
  <c r="H4567" i="7" a="1"/>
  <c r="H4567" i="7" s="1"/>
  <c r="H4568" i="7" a="1"/>
  <c r="H4568" i="7" s="1"/>
  <c r="H4569" i="7" a="1"/>
  <c r="H4569" i="7" s="1"/>
  <c r="H4570" i="7" a="1"/>
  <c r="H4570" i="7" s="1"/>
  <c r="H4571" i="7" a="1"/>
  <c r="H4571" i="7" s="1"/>
  <c r="H4572" i="7" a="1"/>
  <c r="H4572" i="7" s="1"/>
  <c r="H4573" i="7" a="1"/>
  <c r="H4573" i="7" s="1"/>
  <c r="H4574" i="7" a="1"/>
  <c r="H4574" i="7" s="1"/>
  <c r="H4575" i="7" a="1"/>
  <c r="H4575" i="7" s="1"/>
  <c r="H4576" i="7" a="1"/>
  <c r="H4576" i="7" s="1"/>
  <c r="H4577" i="7" a="1"/>
  <c r="H4577" i="7" s="1"/>
  <c r="H4578" i="7" a="1"/>
  <c r="H4578" i="7" s="1"/>
  <c r="H4579" i="7" a="1"/>
  <c r="H4579" i="7" s="1"/>
  <c r="H4580" i="7" a="1"/>
  <c r="H4580" i="7" s="1"/>
  <c r="H4581" i="7" a="1"/>
  <c r="H4581" i="7" s="1"/>
  <c r="H4582" i="7" a="1"/>
  <c r="H4582" i="7" s="1"/>
  <c r="H4583" i="7" a="1"/>
  <c r="H4583" i="7" s="1"/>
  <c r="H4584" i="7" a="1"/>
  <c r="H4584" i="7" s="1"/>
  <c r="H4585" i="7" a="1"/>
  <c r="H4585" i="7" s="1"/>
  <c r="H4586" i="7" a="1"/>
  <c r="H4586" i="7" s="1"/>
  <c r="H4587" i="7" a="1"/>
  <c r="H4587" i="7" s="1"/>
  <c r="H4588" i="7" a="1"/>
  <c r="H4588" i="7" s="1"/>
  <c r="H4589" i="7" a="1"/>
  <c r="H4589" i="7" s="1"/>
  <c r="H4590" i="7" a="1"/>
  <c r="H4590" i="7" s="1"/>
  <c r="H4591" i="7" a="1"/>
  <c r="H4591" i="7" s="1"/>
  <c r="H4592" i="7" a="1"/>
  <c r="H4592" i="7" s="1"/>
  <c r="H4593" i="7" a="1"/>
  <c r="H4593" i="7" s="1"/>
  <c r="H4594" i="7" a="1"/>
  <c r="H4594" i="7" s="1"/>
  <c r="H4595" i="7" a="1"/>
  <c r="H4595" i="7" s="1"/>
  <c r="H4596" i="7" a="1"/>
  <c r="H4596" i="7" s="1"/>
  <c r="H4597" i="7" a="1"/>
  <c r="H4597" i="7" s="1"/>
  <c r="H4598" i="7" a="1"/>
  <c r="H4598" i="7" s="1"/>
  <c r="H4599" i="7" a="1"/>
  <c r="H4599" i="7" s="1"/>
  <c r="H4600" i="7" a="1"/>
  <c r="H4600" i="7" s="1"/>
  <c r="H4601" i="7" a="1"/>
  <c r="H4601" i="7" s="1"/>
  <c r="H4602" i="7" a="1"/>
  <c r="H4602" i="7" s="1"/>
  <c r="H4603" i="7" a="1"/>
  <c r="H4603" i="7" s="1"/>
  <c r="H4604" i="7" a="1"/>
  <c r="H4604" i="7" s="1"/>
  <c r="H4605" i="7" a="1"/>
  <c r="H4605" i="7" s="1"/>
  <c r="H4606" i="7" a="1"/>
  <c r="H4606" i="7" s="1"/>
  <c r="H4607" i="7" a="1"/>
  <c r="H4607" i="7" s="1"/>
  <c r="H4608" i="7" a="1"/>
  <c r="H4608" i="7" s="1"/>
  <c r="H4609" i="7" a="1"/>
  <c r="H4609" i="7" s="1"/>
  <c r="H4610" i="7" a="1"/>
  <c r="H4610" i="7" s="1"/>
  <c r="H4611" i="7" a="1"/>
  <c r="H4611" i="7" s="1"/>
  <c r="H4612" i="7" a="1"/>
  <c r="H4612" i="7" s="1"/>
  <c r="H4613" i="7" a="1"/>
  <c r="H4613" i="7" s="1"/>
  <c r="H4614" i="7" a="1"/>
  <c r="H4614" i="7" s="1"/>
  <c r="H4615" i="7" a="1"/>
  <c r="H4615" i="7" s="1"/>
  <c r="H4616" i="7" a="1"/>
  <c r="H4616" i="7" s="1"/>
  <c r="H4617" i="7" a="1"/>
  <c r="H4617" i="7" s="1"/>
  <c r="H4618" i="7" a="1"/>
  <c r="H4618" i="7" s="1"/>
  <c r="H4619" i="7" a="1"/>
  <c r="H4619" i="7" s="1"/>
  <c r="H4620" i="7" a="1"/>
  <c r="H4620" i="7" s="1"/>
  <c r="H4621" i="7" a="1"/>
  <c r="H4621" i="7" s="1"/>
  <c r="H4622" i="7" a="1"/>
  <c r="H4622" i="7" s="1"/>
  <c r="H4623" i="7" a="1"/>
  <c r="H4623" i="7" s="1"/>
  <c r="H4624" i="7" a="1"/>
  <c r="H4624" i="7" s="1"/>
  <c r="H4625" i="7" a="1"/>
  <c r="H4625" i="7" s="1"/>
  <c r="H4626" i="7" a="1"/>
  <c r="H4626" i="7" s="1"/>
  <c r="H4627" i="7" a="1"/>
  <c r="H4627" i="7" s="1"/>
  <c r="H4628" i="7" a="1"/>
  <c r="H4628" i="7" s="1"/>
  <c r="H4629" i="7" a="1"/>
  <c r="H4629" i="7" s="1"/>
  <c r="H4630" i="7" a="1"/>
  <c r="H4630" i="7" s="1"/>
  <c r="H4631" i="7" a="1"/>
  <c r="H4631" i="7" s="1"/>
  <c r="H4632" i="7" a="1"/>
  <c r="H4632" i="7" s="1"/>
  <c r="H4633" i="7" a="1"/>
  <c r="H4633" i="7" s="1"/>
  <c r="H4634" i="7" a="1"/>
  <c r="H4634" i="7" s="1"/>
  <c r="H4635" i="7" a="1"/>
  <c r="H4635" i="7" s="1"/>
  <c r="H4636" i="7" a="1"/>
  <c r="H4636" i="7" s="1"/>
  <c r="H4637" i="7" a="1"/>
  <c r="H4637" i="7" s="1"/>
  <c r="H4638" i="7" a="1"/>
  <c r="H4638" i="7" s="1"/>
  <c r="H4639" i="7" a="1"/>
  <c r="H4639" i="7" s="1"/>
  <c r="H4640" i="7" a="1"/>
  <c r="H4640" i="7" s="1"/>
  <c r="H4641" i="7" a="1"/>
  <c r="H4641" i="7" s="1"/>
  <c r="H4642" i="7" a="1"/>
  <c r="H4642" i="7" s="1"/>
  <c r="H4643" i="7" a="1"/>
  <c r="H4643" i="7" s="1"/>
  <c r="H4644" i="7" a="1"/>
  <c r="H4644" i="7" s="1"/>
  <c r="H4645" i="7" a="1"/>
  <c r="H4645" i="7" s="1"/>
  <c r="H4646" i="7" a="1"/>
  <c r="H4646" i="7" s="1"/>
  <c r="H4647" i="7" a="1"/>
  <c r="H4647" i="7" s="1"/>
  <c r="H4648" i="7" a="1"/>
  <c r="H4648" i="7" s="1"/>
  <c r="H4649" i="7" a="1"/>
  <c r="H4649" i="7" s="1"/>
  <c r="H4650" i="7" a="1"/>
  <c r="H4650" i="7" s="1"/>
  <c r="H4651" i="7" a="1"/>
  <c r="H4651" i="7" s="1"/>
  <c r="H4652" i="7" a="1"/>
  <c r="H4652" i="7" s="1"/>
  <c r="H4653" i="7" a="1"/>
  <c r="H4653" i="7" s="1"/>
  <c r="H4654" i="7" a="1"/>
  <c r="H4654" i="7" s="1"/>
  <c r="H4655" i="7" a="1"/>
  <c r="H4655" i="7" s="1"/>
  <c r="H4656" i="7" a="1"/>
  <c r="H4656" i="7" s="1"/>
  <c r="H4657" i="7" a="1"/>
  <c r="H4657" i="7" s="1"/>
  <c r="H4658" i="7" a="1"/>
  <c r="H4658" i="7" s="1"/>
  <c r="H4659" i="7" a="1"/>
  <c r="H4659" i="7" s="1"/>
  <c r="H4660" i="7" a="1"/>
  <c r="H4660" i="7" s="1"/>
  <c r="H4661" i="7" a="1"/>
  <c r="H4661" i="7" s="1"/>
  <c r="H4662" i="7" a="1"/>
  <c r="H4662" i="7" s="1"/>
  <c r="H4663" i="7" a="1"/>
  <c r="H4663" i="7" s="1"/>
  <c r="H4664" i="7" a="1"/>
  <c r="H4664" i="7" s="1"/>
  <c r="H4665" i="7" a="1"/>
  <c r="H4665" i="7" s="1"/>
  <c r="H4666" i="7" a="1"/>
  <c r="H4666" i="7" s="1"/>
  <c r="H4667" i="7" a="1"/>
  <c r="H4667" i="7" s="1"/>
  <c r="H4668" i="7" a="1"/>
  <c r="H4668" i="7" s="1"/>
  <c r="H4669" i="7" a="1"/>
  <c r="H4669" i="7" s="1"/>
  <c r="H4670" i="7" a="1"/>
  <c r="H4670" i="7" s="1"/>
  <c r="H4671" i="7" a="1"/>
  <c r="H4671" i="7" s="1"/>
  <c r="H4672" i="7" a="1"/>
  <c r="H4672" i="7" s="1"/>
  <c r="H4673" i="7" a="1"/>
  <c r="H4673" i="7" s="1"/>
  <c r="H4674" i="7" a="1"/>
  <c r="H4674" i="7" s="1"/>
  <c r="H4675" i="7" a="1"/>
  <c r="H4675" i="7" s="1"/>
  <c r="H4676" i="7" a="1"/>
  <c r="H4676" i="7" s="1"/>
  <c r="H4677" i="7" a="1"/>
  <c r="H4677" i="7" s="1"/>
  <c r="H4678" i="7" a="1"/>
  <c r="H4678" i="7" s="1"/>
  <c r="H4679" i="7" a="1"/>
  <c r="H4679" i="7" s="1"/>
  <c r="H4680" i="7" a="1"/>
  <c r="H4680" i="7" s="1"/>
  <c r="H4681" i="7" a="1"/>
  <c r="H4681" i="7" s="1"/>
  <c r="H4682" i="7" a="1"/>
  <c r="H4682" i="7" s="1"/>
  <c r="H4683" i="7" a="1"/>
  <c r="H4683" i="7" s="1"/>
  <c r="H4684" i="7" a="1"/>
  <c r="H4684" i="7" s="1"/>
  <c r="H4685" i="7" a="1"/>
  <c r="H4685" i="7" s="1"/>
  <c r="H4686" i="7" a="1"/>
  <c r="H4686" i="7" s="1"/>
  <c r="H4687" i="7" a="1"/>
  <c r="H4687" i="7" s="1"/>
  <c r="H4688" i="7" a="1"/>
  <c r="H4688" i="7" s="1"/>
  <c r="H4689" i="7" a="1"/>
  <c r="H4689" i="7" s="1"/>
  <c r="H4690" i="7" a="1"/>
  <c r="H4690" i="7" s="1"/>
  <c r="H4691" i="7" a="1"/>
  <c r="H4691" i="7" s="1"/>
  <c r="H4692" i="7" a="1"/>
  <c r="H4692" i="7" s="1"/>
  <c r="H4693" i="7" a="1"/>
  <c r="H4693" i="7" s="1"/>
  <c r="H4694" i="7" a="1"/>
  <c r="H4694" i="7" s="1"/>
  <c r="H4695" i="7" a="1"/>
  <c r="H4695" i="7" s="1"/>
  <c r="H4696" i="7" a="1"/>
  <c r="H4696" i="7" s="1"/>
  <c r="H4697" i="7" a="1"/>
  <c r="H4697" i="7" s="1"/>
  <c r="H4698" i="7" a="1"/>
  <c r="H4698" i="7" s="1"/>
  <c r="H4699" i="7" a="1"/>
  <c r="H4699" i="7" s="1"/>
  <c r="H4700" i="7" a="1"/>
  <c r="H4700" i="7" s="1"/>
  <c r="H4701" i="7" a="1"/>
  <c r="H4701" i="7" s="1"/>
  <c r="H4702" i="7" a="1"/>
  <c r="H4702" i="7" s="1"/>
  <c r="H4703" i="7" a="1"/>
  <c r="H4703" i="7" s="1"/>
  <c r="H4704" i="7" a="1"/>
  <c r="H4704" i="7" s="1"/>
  <c r="H4705" i="7" a="1"/>
  <c r="H4705" i="7" s="1"/>
  <c r="H4706" i="7" a="1"/>
  <c r="H4706" i="7" s="1"/>
  <c r="H4707" i="7" a="1"/>
  <c r="H4707" i="7" s="1"/>
  <c r="H4708" i="7" a="1"/>
  <c r="H4708" i="7" s="1"/>
  <c r="H4709" i="7" a="1"/>
  <c r="H4709" i="7" s="1"/>
  <c r="H4710" i="7" a="1"/>
  <c r="H4710" i="7" s="1"/>
  <c r="H4711" i="7" a="1"/>
  <c r="H4711" i="7" s="1"/>
  <c r="H4712" i="7" a="1"/>
  <c r="H4712" i="7" s="1"/>
  <c r="H4713" i="7" a="1"/>
  <c r="H4713" i="7" s="1"/>
  <c r="H4714" i="7" a="1"/>
  <c r="H4714" i="7" s="1"/>
  <c r="H4715" i="7" a="1"/>
  <c r="H4715" i="7" s="1"/>
  <c r="H4716" i="7" a="1"/>
  <c r="H4716" i="7" s="1"/>
  <c r="H4717" i="7" a="1"/>
  <c r="H4717" i="7" s="1"/>
  <c r="H4718" i="7" a="1"/>
  <c r="H4718" i="7" s="1"/>
  <c r="H4719" i="7" a="1"/>
  <c r="H4719" i="7" s="1"/>
  <c r="H4720" i="7" a="1"/>
  <c r="H4720" i="7" s="1"/>
  <c r="H4721" i="7" a="1"/>
  <c r="H4721" i="7" s="1"/>
  <c r="H4722" i="7" a="1"/>
  <c r="H4722" i="7" s="1"/>
  <c r="H4723" i="7" a="1"/>
  <c r="H4723" i="7" s="1"/>
  <c r="H4724" i="7" a="1"/>
  <c r="H4724" i="7" s="1"/>
  <c r="H4725" i="7" a="1"/>
  <c r="H4725" i="7" s="1"/>
  <c r="H4726" i="7" a="1"/>
  <c r="H4726" i="7" s="1"/>
  <c r="H4727" i="7" a="1"/>
  <c r="H4727" i="7" s="1"/>
  <c r="H4728" i="7" a="1"/>
  <c r="H4728" i="7" s="1"/>
  <c r="H4729" i="7" a="1"/>
  <c r="H4729" i="7" s="1"/>
  <c r="H4730" i="7" a="1"/>
  <c r="H4730" i="7" s="1"/>
  <c r="H4731" i="7" a="1"/>
  <c r="H4731" i="7" s="1"/>
  <c r="H4732" i="7" a="1"/>
  <c r="H4732" i="7" s="1"/>
  <c r="H4733" i="7" a="1"/>
  <c r="H4733" i="7" s="1"/>
  <c r="H4734" i="7" a="1"/>
  <c r="H4734" i="7" s="1"/>
  <c r="H4735" i="7" a="1"/>
  <c r="H4735" i="7" s="1"/>
  <c r="H4736" i="7" a="1"/>
  <c r="H4736" i="7" s="1"/>
  <c r="H4737" i="7" a="1"/>
  <c r="H4737" i="7" s="1"/>
  <c r="H4738" i="7" a="1"/>
  <c r="H4738" i="7" s="1"/>
  <c r="H4739" i="7" a="1"/>
  <c r="H4739" i="7" s="1"/>
  <c r="H4740" i="7" a="1"/>
  <c r="H4740" i="7" s="1"/>
  <c r="H4741" i="7" a="1"/>
  <c r="H4741" i="7" s="1"/>
  <c r="H4742" i="7" a="1"/>
  <c r="H4742" i="7" s="1"/>
  <c r="H4743" i="7" a="1"/>
  <c r="H4743" i="7" s="1"/>
  <c r="H4744" i="7" a="1"/>
  <c r="H4744" i="7" s="1"/>
  <c r="H4745" i="7" a="1"/>
  <c r="H4745" i="7" s="1"/>
  <c r="H4746" i="7" a="1"/>
  <c r="H4746" i="7" s="1"/>
  <c r="H4747" i="7" a="1"/>
  <c r="H4747" i="7" s="1"/>
  <c r="H4748" i="7" a="1"/>
  <c r="H4748" i="7" s="1"/>
  <c r="H4749" i="7" a="1"/>
  <c r="H4749" i="7" s="1"/>
  <c r="H4750" i="7" a="1"/>
  <c r="H4750" i="7" s="1"/>
  <c r="H4751" i="7" a="1"/>
  <c r="H4751" i="7" s="1"/>
  <c r="H4752" i="7" a="1"/>
  <c r="H4752" i="7" s="1"/>
  <c r="H4753" i="7" a="1"/>
  <c r="H4753" i="7" s="1"/>
  <c r="H4754" i="7" a="1"/>
  <c r="H4754" i="7" s="1"/>
  <c r="H4755" i="7" a="1"/>
  <c r="H4755" i="7" s="1"/>
  <c r="H4756" i="7" a="1"/>
  <c r="H4756" i="7" s="1"/>
  <c r="H4757" i="7" a="1"/>
  <c r="H4757" i="7" s="1"/>
  <c r="H4758" i="7" a="1"/>
  <c r="H4758" i="7" s="1"/>
  <c r="H4759" i="7" a="1"/>
  <c r="H4759" i="7" s="1"/>
  <c r="H4760" i="7" a="1"/>
  <c r="H4760" i="7" s="1"/>
  <c r="H4761" i="7" a="1"/>
  <c r="H4761" i="7" s="1"/>
  <c r="H4762" i="7" a="1"/>
  <c r="H4762" i="7" s="1"/>
  <c r="H4763" i="7" a="1"/>
  <c r="H4763" i="7" s="1"/>
  <c r="H4764" i="7" a="1"/>
  <c r="H4764" i="7" s="1"/>
  <c r="H4765" i="7" a="1"/>
  <c r="H4765" i="7" s="1"/>
  <c r="H4766" i="7" a="1"/>
  <c r="H4766" i="7" s="1"/>
  <c r="H4767" i="7" a="1"/>
  <c r="H4767" i="7" s="1"/>
  <c r="H4768" i="7" a="1"/>
  <c r="H4768" i="7" s="1"/>
  <c r="H4769" i="7" a="1"/>
  <c r="H4769" i="7" s="1"/>
  <c r="H4770" i="7" a="1"/>
  <c r="H4770" i="7" s="1"/>
  <c r="H4771" i="7" a="1"/>
  <c r="H4771" i="7" s="1"/>
  <c r="H4772" i="7" a="1"/>
  <c r="H4772" i="7" s="1"/>
  <c r="H4773" i="7" a="1"/>
  <c r="H4773" i="7" s="1"/>
  <c r="H4774" i="7" a="1"/>
  <c r="H4774" i="7" s="1"/>
  <c r="H4775" i="7" a="1"/>
  <c r="H4775" i="7" s="1"/>
  <c r="H4776" i="7" a="1"/>
  <c r="H4776" i="7" s="1"/>
  <c r="H4777" i="7" a="1"/>
  <c r="H4777" i="7" s="1"/>
  <c r="H4778" i="7" a="1"/>
  <c r="H4778" i="7" s="1"/>
  <c r="H4779" i="7" a="1"/>
  <c r="H4779" i="7" s="1"/>
  <c r="H4780" i="7" a="1"/>
  <c r="H4780" i="7" s="1"/>
  <c r="H4781" i="7" a="1"/>
  <c r="H4781" i="7" s="1"/>
  <c r="H4782" i="7" a="1"/>
  <c r="H4782" i="7" s="1"/>
  <c r="H4783" i="7" a="1"/>
  <c r="H4783" i="7" s="1"/>
  <c r="H4784" i="7" a="1"/>
  <c r="H4784" i="7" s="1"/>
  <c r="H4785" i="7" a="1"/>
  <c r="H4785" i="7" s="1"/>
  <c r="H4786" i="7" a="1"/>
  <c r="H4786" i="7" s="1"/>
  <c r="H4787" i="7" a="1"/>
  <c r="H4787" i="7" s="1"/>
  <c r="H4788" i="7" a="1"/>
  <c r="H4788" i="7" s="1"/>
  <c r="H4789" i="7" a="1"/>
  <c r="H4789" i="7" s="1"/>
  <c r="H4790" i="7" a="1"/>
  <c r="H4790" i="7" s="1"/>
  <c r="H4791" i="7" a="1"/>
  <c r="H4791" i="7" s="1"/>
  <c r="H4792" i="7" a="1"/>
  <c r="H4792" i="7" s="1"/>
  <c r="H4793" i="7" a="1"/>
  <c r="H4793" i="7" s="1"/>
  <c r="H4794" i="7" a="1"/>
  <c r="H4794" i="7" s="1"/>
  <c r="H4795" i="7" a="1"/>
  <c r="H4795" i="7" s="1"/>
  <c r="H4796" i="7" a="1"/>
  <c r="H4796" i="7" s="1"/>
  <c r="H4797" i="7" a="1"/>
  <c r="H4797" i="7" s="1"/>
  <c r="H4798" i="7" a="1"/>
  <c r="H4798" i="7" s="1"/>
  <c r="H4799" i="7" a="1"/>
  <c r="H4799" i="7" s="1"/>
  <c r="H4800" i="7" a="1"/>
  <c r="H4800" i="7" s="1"/>
  <c r="H4801" i="7" a="1"/>
  <c r="H4801" i="7" s="1"/>
  <c r="H4802" i="7" a="1"/>
  <c r="H4802" i="7" s="1"/>
  <c r="H4803" i="7" a="1"/>
  <c r="H4803" i="7" s="1"/>
  <c r="H4804" i="7" a="1"/>
  <c r="H4804" i="7" s="1"/>
  <c r="H4805" i="7" a="1"/>
  <c r="H4805" i="7" s="1"/>
  <c r="H4806" i="7" a="1"/>
  <c r="H4806" i="7" s="1"/>
  <c r="H4807" i="7" a="1"/>
  <c r="H4807" i="7" s="1"/>
  <c r="H4808" i="7" a="1"/>
  <c r="H4808" i="7" s="1"/>
  <c r="H4809" i="7" a="1"/>
  <c r="H4809" i="7" s="1"/>
  <c r="H4810" i="7" a="1"/>
  <c r="H4810" i="7" s="1"/>
  <c r="H4811" i="7" a="1"/>
  <c r="H4811" i="7" s="1"/>
  <c r="H4812" i="7" a="1"/>
  <c r="H4812" i="7" s="1"/>
  <c r="H4813" i="7" a="1"/>
  <c r="H4813" i="7" s="1"/>
  <c r="H4814" i="7" a="1"/>
  <c r="H4814" i="7" s="1"/>
  <c r="H4815" i="7" a="1"/>
  <c r="H4815" i="7" s="1"/>
  <c r="H4816" i="7" a="1"/>
  <c r="H4816" i="7" s="1"/>
  <c r="H4817" i="7" a="1"/>
  <c r="H4817" i="7" s="1"/>
  <c r="H4818" i="7" a="1"/>
  <c r="H4818" i="7" s="1"/>
  <c r="H4819" i="7" a="1"/>
  <c r="H4819" i="7" s="1"/>
  <c r="H4820" i="7" a="1"/>
  <c r="H4820" i="7" s="1"/>
  <c r="H4821" i="7" a="1"/>
  <c r="H4821" i="7" s="1"/>
  <c r="H4822" i="7" a="1"/>
  <c r="H4822" i="7" s="1"/>
  <c r="H4823" i="7" a="1"/>
  <c r="H4823" i="7" s="1"/>
  <c r="H4824" i="7" a="1"/>
  <c r="H4824" i="7" s="1"/>
  <c r="H4825" i="7" a="1"/>
  <c r="H4825" i="7" s="1"/>
  <c r="H4826" i="7" a="1"/>
  <c r="H4826" i="7" s="1"/>
  <c r="H4827" i="7" a="1"/>
  <c r="H4827" i="7" s="1"/>
  <c r="H4828" i="7" a="1"/>
  <c r="H4828" i="7" s="1"/>
  <c r="H4829" i="7" a="1"/>
  <c r="H4829" i="7" s="1"/>
  <c r="H4830" i="7" a="1"/>
  <c r="H4830" i="7" s="1"/>
  <c r="H4831" i="7" a="1"/>
  <c r="H4831" i="7" s="1"/>
  <c r="H4832" i="7" a="1"/>
  <c r="H4832" i="7" s="1"/>
  <c r="H4833" i="7" a="1"/>
  <c r="H4833" i="7" s="1"/>
  <c r="H4834" i="7" a="1"/>
  <c r="H4834" i="7" s="1"/>
  <c r="H4835" i="7" a="1"/>
  <c r="H4835" i="7" s="1"/>
  <c r="H4836" i="7" a="1"/>
  <c r="H4836" i="7" s="1"/>
  <c r="H4837" i="7" a="1"/>
  <c r="H4837" i="7" s="1"/>
  <c r="H4838" i="7" a="1"/>
  <c r="H4838" i="7" s="1"/>
  <c r="H4839" i="7" a="1"/>
  <c r="H4839" i="7" s="1"/>
  <c r="H4840" i="7" a="1"/>
  <c r="H4840" i="7" s="1"/>
  <c r="H4841" i="7" a="1"/>
  <c r="H4841" i="7" s="1"/>
  <c r="H4842" i="7" a="1"/>
  <c r="H4842" i="7" s="1"/>
  <c r="H4843" i="7" a="1"/>
  <c r="H4843" i="7" s="1"/>
  <c r="H4844" i="7" a="1"/>
  <c r="H4844" i="7" s="1"/>
  <c r="H4845" i="7" a="1"/>
  <c r="H4845" i="7" s="1"/>
  <c r="H4846" i="7" a="1"/>
  <c r="H4846" i="7" s="1"/>
  <c r="H4847" i="7" a="1"/>
  <c r="H4847" i="7" s="1"/>
  <c r="H4848" i="7" a="1"/>
  <c r="H4848" i="7" s="1"/>
  <c r="H4849" i="7" a="1"/>
  <c r="H4849" i="7" s="1"/>
  <c r="H4850" i="7" a="1"/>
  <c r="H4850" i="7" s="1"/>
  <c r="H4851" i="7" a="1"/>
  <c r="H4851" i="7" s="1"/>
  <c r="H4852" i="7" a="1"/>
  <c r="H4852" i="7" s="1"/>
  <c r="H4853" i="7" a="1"/>
  <c r="H4853" i="7" s="1"/>
  <c r="H4854" i="7" a="1"/>
  <c r="H4854" i="7" s="1"/>
  <c r="H4855" i="7" a="1"/>
  <c r="H4855" i="7" s="1"/>
  <c r="H4856" i="7" a="1"/>
  <c r="H4856" i="7" s="1"/>
  <c r="H4857" i="7" a="1"/>
  <c r="H4857" i="7" s="1"/>
  <c r="H4858" i="7" a="1"/>
  <c r="H4858" i="7" s="1"/>
  <c r="H4859" i="7" a="1"/>
  <c r="H4859" i="7" s="1"/>
  <c r="H4860" i="7" a="1"/>
  <c r="H4860" i="7" s="1"/>
  <c r="H4861" i="7" a="1"/>
  <c r="H4861" i="7" s="1"/>
  <c r="H4862" i="7" a="1"/>
  <c r="H4862" i="7" s="1"/>
  <c r="H4863" i="7" a="1"/>
  <c r="H4863" i="7" s="1"/>
  <c r="H4864" i="7" a="1"/>
  <c r="H4864" i="7" s="1"/>
  <c r="H4865" i="7" a="1"/>
  <c r="H4865" i="7" s="1"/>
  <c r="H4866" i="7" a="1"/>
  <c r="H4866" i="7" s="1"/>
  <c r="H4867" i="7" a="1"/>
  <c r="H4867" i="7" s="1"/>
  <c r="H4868" i="7" a="1"/>
  <c r="H4868" i="7" s="1"/>
  <c r="H4869" i="7" a="1"/>
  <c r="H4869" i="7" s="1"/>
  <c r="H4870" i="7" a="1"/>
  <c r="H4870" i="7" s="1"/>
  <c r="H4871" i="7" a="1"/>
  <c r="H4871" i="7" s="1"/>
  <c r="H4872" i="7" a="1"/>
  <c r="H4872" i="7" s="1"/>
  <c r="H4873" i="7" a="1"/>
  <c r="H4873" i="7" s="1"/>
  <c r="H4874" i="7" a="1"/>
  <c r="H4874" i="7" s="1"/>
  <c r="H4875" i="7" a="1"/>
  <c r="H4875" i="7" s="1"/>
  <c r="H4876" i="7" a="1"/>
  <c r="H4876" i="7" s="1"/>
  <c r="H4877" i="7" a="1"/>
  <c r="H4877" i="7" s="1"/>
  <c r="H4878" i="7" a="1"/>
  <c r="H4878" i="7" s="1"/>
  <c r="H4879" i="7" a="1"/>
  <c r="H4879" i="7" s="1"/>
  <c r="H4880" i="7" a="1"/>
  <c r="H4880" i="7" s="1"/>
  <c r="H4881" i="7" a="1"/>
  <c r="H4881" i="7" s="1"/>
  <c r="H4882" i="7" a="1"/>
  <c r="H4882" i="7" s="1"/>
  <c r="H4883" i="7" a="1"/>
  <c r="H4883" i="7" s="1"/>
  <c r="H4884" i="7" a="1"/>
  <c r="H4884" i="7" s="1"/>
  <c r="H4885" i="7" a="1"/>
  <c r="H4885" i="7" s="1"/>
  <c r="H4886" i="7" a="1"/>
  <c r="H4886" i="7" s="1"/>
  <c r="H4887" i="7" a="1"/>
  <c r="H4887" i="7" s="1"/>
  <c r="H4888" i="7" a="1"/>
  <c r="H4888" i="7" s="1"/>
  <c r="H4889" i="7" a="1"/>
  <c r="H4889" i="7" s="1"/>
  <c r="H4890" i="7" a="1"/>
  <c r="H4890" i="7" s="1"/>
  <c r="H4891" i="7" a="1"/>
  <c r="H4891" i="7" s="1"/>
  <c r="H4892" i="7" a="1"/>
  <c r="H4892" i="7" s="1"/>
  <c r="H4893" i="7" a="1"/>
  <c r="H4893" i="7" s="1"/>
  <c r="H4894" i="7" a="1"/>
  <c r="H4894" i="7" s="1"/>
  <c r="H4895" i="7" a="1"/>
  <c r="H4895" i="7" s="1"/>
  <c r="H4896" i="7" a="1"/>
  <c r="H4896" i="7" s="1"/>
  <c r="H4897" i="7" a="1"/>
  <c r="H4897" i="7" s="1"/>
  <c r="H4898" i="7" a="1"/>
  <c r="H4898" i="7" s="1"/>
  <c r="H4899" i="7" a="1"/>
  <c r="H4899" i="7" s="1"/>
  <c r="H4900" i="7" a="1"/>
  <c r="H4900" i="7" s="1"/>
  <c r="H4901" i="7" a="1"/>
  <c r="H4901" i="7" s="1"/>
  <c r="H4902" i="7" a="1"/>
  <c r="H4902" i="7" s="1"/>
  <c r="H4903" i="7" a="1"/>
  <c r="H4903" i="7" s="1"/>
  <c r="H4904" i="7" a="1"/>
  <c r="H4904" i="7" s="1"/>
  <c r="H4905" i="7" a="1"/>
  <c r="H4905" i="7" s="1"/>
  <c r="H4906" i="7" a="1"/>
  <c r="H4906" i="7" s="1"/>
  <c r="H4907" i="7" a="1"/>
  <c r="H4907" i="7" s="1"/>
  <c r="H4908" i="7" a="1"/>
  <c r="H4908" i="7" s="1"/>
  <c r="H4909" i="7" a="1"/>
  <c r="H4909" i="7" s="1"/>
  <c r="H4910" i="7" a="1"/>
  <c r="H4910" i="7" s="1"/>
  <c r="H4911" i="7" a="1"/>
  <c r="H4911" i="7" s="1"/>
  <c r="H4912" i="7" a="1"/>
  <c r="H4912" i="7" s="1"/>
  <c r="H4913" i="7" a="1"/>
  <c r="H4913" i="7" s="1"/>
  <c r="H4914" i="7" a="1"/>
  <c r="H4914" i="7" s="1"/>
  <c r="H4915" i="7" a="1"/>
  <c r="H4915" i="7" s="1"/>
  <c r="H4916" i="7" a="1"/>
  <c r="H4916" i="7" s="1"/>
  <c r="H4917" i="7" a="1"/>
  <c r="H4917" i="7" s="1"/>
  <c r="H4918" i="7" a="1"/>
  <c r="H4918" i="7" s="1"/>
  <c r="H4919" i="7" a="1"/>
  <c r="H4919" i="7" s="1"/>
  <c r="H4920" i="7" a="1"/>
  <c r="H4920" i="7" s="1"/>
  <c r="H4921" i="7" a="1"/>
  <c r="H4921" i="7" s="1"/>
  <c r="H4922" i="7" a="1"/>
  <c r="H4922" i="7" s="1"/>
  <c r="H4923" i="7" a="1"/>
  <c r="H4923" i="7" s="1"/>
  <c r="H4924" i="7" a="1"/>
  <c r="H4924" i="7" s="1"/>
  <c r="H4925" i="7" a="1"/>
  <c r="H4925" i="7" s="1"/>
  <c r="H4926" i="7" a="1"/>
  <c r="H4926" i="7" s="1"/>
  <c r="H4927" i="7" a="1"/>
  <c r="H4927" i="7" s="1"/>
  <c r="H4928" i="7" a="1"/>
  <c r="H4928" i="7" s="1"/>
  <c r="H4929" i="7" a="1"/>
  <c r="H4929" i="7" s="1"/>
  <c r="H4930" i="7" a="1"/>
  <c r="H4930" i="7" s="1"/>
  <c r="H4931" i="7" a="1"/>
  <c r="H4931" i="7" s="1"/>
  <c r="H4932" i="7" a="1"/>
  <c r="H4932" i="7" s="1"/>
  <c r="H4933" i="7" a="1"/>
  <c r="H4933" i="7" s="1"/>
  <c r="H4934" i="7" a="1"/>
  <c r="H4934" i="7" s="1"/>
  <c r="H4935" i="7" a="1"/>
  <c r="H4935" i="7" s="1"/>
  <c r="H4936" i="7" a="1"/>
  <c r="H4936" i="7" s="1"/>
  <c r="H4937" i="7" a="1"/>
  <c r="H4937" i="7" s="1"/>
  <c r="H4938" i="7" a="1"/>
  <c r="H4938" i="7" s="1"/>
  <c r="H4939" i="7" a="1"/>
  <c r="H4939" i="7" s="1"/>
  <c r="H4940" i="7" a="1"/>
  <c r="H4940" i="7" s="1"/>
  <c r="H4941" i="7" a="1"/>
  <c r="H4941" i="7" s="1"/>
  <c r="H4942" i="7" a="1"/>
  <c r="H4942" i="7" s="1"/>
  <c r="H4943" i="7" a="1"/>
  <c r="H4943" i="7" s="1"/>
  <c r="H4944" i="7" a="1"/>
  <c r="H4944" i="7" s="1"/>
  <c r="H4945" i="7" a="1"/>
  <c r="H4945" i="7" s="1"/>
  <c r="H4946" i="7" a="1"/>
  <c r="H4946" i="7" s="1"/>
  <c r="H4947" i="7" a="1"/>
  <c r="H4947" i="7" s="1"/>
  <c r="H4948" i="7" a="1"/>
  <c r="H4948" i="7" s="1"/>
  <c r="H4949" i="7" a="1"/>
  <c r="H4949" i="7" s="1"/>
  <c r="H4950" i="7" a="1"/>
  <c r="H4950" i="7" s="1"/>
  <c r="H4951" i="7" a="1"/>
  <c r="H4951" i="7" s="1"/>
  <c r="H4952" i="7" a="1"/>
  <c r="H4952" i="7" s="1"/>
  <c r="H4953" i="7" a="1"/>
  <c r="H4953" i="7" s="1"/>
  <c r="H4954" i="7" a="1"/>
  <c r="H4954" i="7" s="1"/>
  <c r="H4955" i="7" a="1"/>
  <c r="H4955" i="7" s="1"/>
  <c r="H4956" i="7" a="1"/>
  <c r="H4956" i="7" s="1"/>
  <c r="H4957" i="7" a="1"/>
  <c r="H4957" i="7" s="1"/>
  <c r="H4958" i="7" a="1"/>
  <c r="H4958" i="7" s="1"/>
  <c r="H4959" i="7" a="1"/>
  <c r="H4959" i="7" s="1"/>
  <c r="H4960" i="7" a="1"/>
  <c r="H4960" i="7" s="1"/>
  <c r="H4961" i="7" a="1"/>
  <c r="H4961" i="7" s="1"/>
  <c r="H4962" i="7" a="1"/>
  <c r="H4962" i="7" s="1"/>
  <c r="H4963" i="7" a="1"/>
  <c r="H4963" i="7" s="1"/>
  <c r="H4964" i="7" a="1"/>
  <c r="H4964" i="7" s="1"/>
  <c r="H4965" i="7" a="1"/>
  <c r="H4965" i="7" s="1"/>
  <c r="H4966" i="7" a="1"/>
  <c r="H4966" i="7" s="1"/>
  <c r="H4967" i="7" a="1"/>
  <c r="H4967" i="7" s="1"/>
  <c r="H4968" i="7" a="1"/>
  <c r="H4968" i="7" s="1"/>
  <c r="H4969" i="7" a="1"/>
  <c r="H4969" i="7" s="1"/>
  <c r="H4970" i="7" a="1"/>
  <c r="H4970" i="7" s="1"/>
  <c r="H4971" i="7" a="1"/>
  <c r="H4971" i="7" s="1"/>
  <c r="H4972" i="7" a="1"/>
  <c r="H4972" i="7" s="1"/>
  <c r="H4973" i="7" a="1"/>
  <c r="H4973" i="7" s="1"/>
  <c r="H4974" i="7" a="1"/>
  <c r="H4974" i="7" s="1"/>
  <c r="H4975" i="7" a="1"/>
  <c r="H4975" i="7" s="1"/>
  <c r="H4976" i="7" a="1"/>
  <c r="H4976" i="7" s="1"/>
  <c r="H4977" i="7" a="1"/>
  <c r="H4977" i="7" s="1"/>
  <c r="H4978" i="7" a="1"/>
  <c r="H4978" i="7" s="1"/>
  <c r="H4979" i="7" a="1"/>
  <c r="H4979" i="7" s="1"/>
  <c r="H4980" i="7" a="1"/>
  <c r="H4980" i="7" s="1"/>
  <c r="H4981" i="7" a="1"/>
  <c r="H4981" i="7" s="1"/>
  <c r="H4982" i="7" a="1"/>
  <c r="H4982" i="7" s="1"/>
  <c r="H4983" i="7" a="1"/>
  <c r="H4983" i="7" s="1"/>
  <c r="H4984" i="7" a="1"/>
  <c r="H4984" i="7" s="1"/>
  <c r="H4985" i="7" a="1"/>
  <c r="H4985" i="7" s="1"/>
  <c r="H4986" i="7" a="1"/>
  <c r="H4986" i="7" s="1"/>
  <c r="H4987" i="7" a="1"/>
  <c r="H4987" i="7" s="1"/>
  <c r="H4988" i="7" a="1"/>
  <c r="H4988" i="7" s="1"/>
  <c r="H4989" i="7" a="1"/>
  <c r="H4989" i="7" s="1"/>
  <c r="H4990" i="7" a="1"/>
  <c r="H4990" i="7" s="1"/>
  <c r="H4991" i="7" a="1"/>
  <c r="H4991" i="7" s="1"/>
  <c r="H4992" i="7" a="1"/>
  <c r="H4992" i="7" s="1"/>
  <c r="H4993" i="7" a="1"/>
  <c r="H4993" i="7" s="1"/>
  <c r="H4994" i="7" a="1"/>
  <c r="H4994" i="7" s="1"/>
  <c r="H4995" i="7" a="1"/>
  <c r="H4995" i="7" s="1"/>
  <c r="H4996" i="7" a="1"/>
  <c r="H4996" i="7" s="1"/>
  <c r="H4997" i="7" a="1"/>
  <c r="H4997" i="7" s="1"/>
  <c r="H4998" i="7" a="1"/>
  <c r="H4998" i="7" s="1"/>
  <c r="H4999" i="7" a="1"/>
  <c r="H4999" i="7" s="1"/>
  <c r="H5000" i="7" a="1"/>
  <c r="H5000" i="7" s="1"/>
  <c r="H5001" i="7" a="1"/>
  <c r="H5001" i="7" s="1"/>
  <c r="H5002" i="7" a="1"/>
  <c r="H5002" i="7" s="1"/>
  <c r="H5003" i="7" a="1"/>
  <c r="H5003" i="7" s="1"/>
  <c r="H5004" i="7" a="1"/>
  <c r="H5004" i="7" s="1"/>
  <c r="H5005" i="7" a="1"/>
  <c r="H5005" i="7" s="1"/>
  <c r="H5006" i="7" a="1"/>
  <c r="H5006" i="7" s="1"/>
  <c r="H5007" i="7" a="1"/>
  <c r="H5007" i="7" s="1"/>
  <c r="H5008" i="7" a="1"/>
  <c r="H5008" i="7" s="1"/>
  <c r="H5009" i="7" a="1"/>
  <c r="H5009" i="7" s="1"/>
  <c r="H5010" i="7" a="1"/>
  <c r="H5010" i="7" s="1"/>
  <c r="H5011" i="7" a="1"/>
  <c r="H5011" i="7" s="1"/>
  <c r="H5012" i="7" a="1"/>
  <c r="H5012" i="7" s="1"/>
  <c r="H5013" i="7" a="1"/>
  <c r="H5013" i="7" s="1"/>
  <c r="H5014" i="7" a="1"/>
  <c r="H5014" i="7" s="1"/>
  <c r="H5015" i="7" a="1"/>
  <c r="H5015" i="7" s="1"/>
  <c r="H5016" i="7" a="1"/>
  <c r="H5016" i="7" s="1"/>
  <c r="H5017" i="7" a="1"/>
  <c r="H5017" i="7" s="1"/>
  <c r="H5018" i="7" a="1"/>
  <c r="H5018" i="7" s="1"/>
  <c r="H5019" i="7" a="1"/>
  <c r="H5019" i="7" s="1"/>
  <c r="H5020" i="7" a="1"/>
  <c r="H5020" i="7" s="1"/>
  <c r="H5021" i="7" a="1"/>
  <c r="H5021" i="7" s="1"/>
  <c r="H5022" i="7" a="1"/>
  <c r="H5022" i="7" s="1"/>
  <c r="H5023" i="7" a="1"/>
  <c r="H5023" i="7" s="1"/>
  <c r="H5024" i="7" a="1"/>
  <c r="H5024" i="7" s="1"/>
  <c r="H5025" i="7" a="1"/>
  <c r="H5025" i="7" s="1"/>
  <c r="H5026" i="7" a="1"/>
  <c r="H5026" i="7" s="1"/>
  <c r="H5027" i="7" a="1"/>
  <c r="H5027" i="7" s="1"/>
  <c r="H5028" i="7" a="1"/>
  <c r="H5028" i="7" s="1"/>
  <c r="H5029" i="7" a="1"/>
  <c r="H5029" i="7" s="1"/>
  <c r="H5030" i="7" a="1"/>
  <c r="H5030" i="7" s="1"/>
  <c r="H5031" i="7" a="1"/>
  <c r="H5031" i="7" s="1"/>
  <c r="H5032" i="7" a="1"/>
  <c r="H5032" i="7" s="1"/>
  <c r="H5033" i="7" a="1"/>
  <c r="H5033" i="7" s="1"/>
  <c r="H5034" i="7" a="1"/>
  <c r="H5034" i="7" s="1"/>
  <c r="H5035" i="7" a="1"/>
  <c r="H5035" i="7" s="1"/>
  <c r="H5036" i="7" a="1"/>
  <c r="H5036" i="7" s="1"/>
  <c r="H5037" i="7" a="1"/>
  <c r="H5037" i="7" s="1"/>
  <c r="H5038" i="7" a="1"/>
  <c r="H5038" i="7" s="1"/>
  <c r="H5039" i="7" a="1"/>
  <c r="H5039" i="7" s="1"/>
  <c r="H5040" i="7" a="1"/>
  <c r="H5040" i="7" s="1"/>
  <c r="H5041" i="7" a="1"/>
  <c r="H5041" i="7" s="1"/>
  <c r="H5042" i="7" a="1"/>
  <c r="H5042" i="7" s="1"/>
  <c r="H5043" i="7" a="1"/>
  <c r="H5043" i="7" s="1"/>
  <c r="H5044" i="7" a="1"/>
  <c r="H5044" i="7" s="1"/>
  <c r="H5045" i="7" a="1"/>
  <c r="H5045" i="7" s="1"/>
  <c r="H5046" i="7" a="1"/>
  <c r="H5046" i="7" s="1"/>
  <c r="H5047" i="7" a="1"/>
  <c r="H5047" i="7" s="1"/>
  <c r="H5048" i="7" a="1"/>
  <c r="H5048" i="7" s="1"/>
  <c r="H5049" i="7" a="1"/>
  <c r="H5049" i="7" s="1"/>
  <c r="H5050" i="7" a="1"/>
  <c r="H5050" i="7" s="1"/>
  <c r="H5051" i="7" a="1"/>
  <c r="H5051" i="7" s="1"/>
  <c r="H5052" i="7" a="1"/>
  <c r="H5052" i="7" s="1"/>
  <c r="H5053" i="7" a="1"/>
  <c r="H5053" i="7" s="1"/>
  <c r="H5054" i="7" a="1"/>
  <c r="H5054" i="7" s="1"/>
  <c r="H5055" i="7" a="1"/>
  <c r="H5055" i="7" s="1"/>
  <c r="H5056" i="7" a="1"/>
  <c r="H5056" i="7" s="1"/>
  <c r="H5057" i="7" a="1"/>
  <c r="H5057" i="7" s="1"/>
  <c r="H5058" i="7" a="1"/>
  <c r="H5058" i="7" s="1"/>
  <c r="H5059" i="7" a="1"/>
  <c r="H5059" i="7" s="1"/>
  <c r="H5060" i="7" a="1"/>
  <c r="H5060" i="7" s="1"/>
  <c r="H5061" i="7" a="1"/>
  <c r="H5061" i="7" s="1"/>
  <c r="H5062" i="7" a="1"/>
  <c r="H5062" i="7" s="1"/>
  <c r="H5063" i="7" a="1"/>
  <c r="H5063" i="7" s="1"/>
  <c r="H5064" i="7" a="1"/>
  <c r="H5064" i="7" s="1"/>
  <c r="H5065" i="7" a="1"/>
  <c r="H5065" i="7" s="1"/>
  <c r="H5066" i="7" a="1"/>
  <c r="H5066" i="7" s="1"/>
  <c r="H5067" i="7" a="1"/>
  <c r="H5067" i="7" s="1"/>
  <c r="H5068" i="7" a="1"/>
  <c r="H5068" i="7" s="1"/>
  <c r="H5069" i="7" a="1"/>
  <c r="H5069" i="7" s="1"/>
  <c r="H5070" i="7" a="1"/>
  <c r="H5070" i="7" s="1"/>
  <c r="H5071" i="7" a="1"/>
  <c r="H5071" i="7" s="1"/>
  <c r="H5072" i="7" a="1"/>
  <c r="H5072" i="7" s="1"/>
  <c r="H5073" i="7" a="1"/>
  <c r="H5073" i="7" s="1"/>
  <c r="H5074" i="7" a="1"/>
  <c r="H5074" i="7" s="1"/>
  <c r="H5075" i="7" a="1"/>
  <c r="H5075" i="7" s="1"/>
  <c r="H5076" i="7" a="1"/>
  <c r="H5076" i="7" s="1"/>
  <c r="H5077" i="7" a="1"/>
  <c r="H5077" i="7" s="1"/>
  <c r="H5078" i="7" a="1"/>
  <c r="H5078" i="7" s="1"/>
  <c r="H5079" i="7" a="1"/>
  <c r="H5079" i="7" s="1"/>
  <c r="H5080" i="7" a="1"/>
  <c r="H5080" i="7" s="1"/>
  <c r="H5081" i="7" a="1"/>
  <c r="H5081" i="7" s="1"/>
  <c r="H5082" i="7" a="1"/>
  <c r="H5082" i="7" s="1"/>
  <c r="H5083" i="7" a="1"/>
  <c r="H5083" i="7" s="1"/>
  <c r="H5084" i="7" a="1"/>
  <c r="H5084" i="7" s="1"/>
  <c r="H5085" i="7" a="1"/>
  <c r="H5085" i="7" s="1"/>
  <c r="H5086" i="7" a="1"/>
  <c r="H5086" i="7" s="1"/>
  <c r="H5087" i="7" a="1"/>
  <c r="H5087" i="7" s="1"/>
  <c r="H5088" i="7" a="1"/>
  <c r="H5088" i="7" s="1"/>
  <c r="H5089" i="7" a="1"/>
  <c r="H5089" i="7" s="1"/>
  <c r="H5090" i="7" a="1"/>
  <c r="H5090" i="7" s="1"/>
  <c r="H5091" i="7" a="1"/>
  <c r="H5091" i="7" s="1"/>
  <c r="H5092" i="7" a="1"/>
  <c r="H5092" i="7" s="1"/>
  <c r="H5093" i="7" a="1"/>
  <c r="H5093" i="7" s="1"/>
  <c r="H5094" i="7" a="1"/>
  <c r="H5094" i="7" s="1"/>
  <c r="H5095" i="7" a="1"/>
  <c r="H5095" i="7" s="1"/>
  <c r="H5096" i="7" a="1"/>
  <c r="H5096" i="7" s="1"/>
  <c r="H5097" i="7" a="1"/>
  <c r="H5097" i="7" s="1"/>
  <c r="H5098" i="7" a="1"/>
  <c r="H5098" i="7" s="1"/>
  <c r="H5099" i="7" a="1"/>
  <c r="H5099" i="7" s="1"/>
  <c r="H5100" i="7" a="1"/>
  <c r="H5100" i="7" s="1"/>
  <c r="H5101" i="7" a="1"/>
  <c r="H5101" i="7" s="1"/>
  <c r="H5102" i="7" a="1"/>
  <c r="H5102" i="7" s="1"/>
  <c r="H5103" i="7" a="1"/>
  <c r="H5103" i="7" s="1"/>
  <c r="H5104" i="7" a="1"/>
  <c r="H5104" i="7" s="1"/>
  <c r="H5105" i="7" a="1"/>
  <c r="H5105" i="7" s="1"/>
  <c r="H5106" i="7" a="1"/>
  <c r="H5106" i="7" s="1"/>
  <c r="H5107" i="7" a="1"/>
  <c r="H5107" i="7" s="1"/>
  <c r="H5108" i="7" a="1"/>
  <c r="H5108" i="7" s="1"/>
  <c r="H5109" i="7" a="1"/>
  <c r="H5109" i="7" s="1"/>
  <c r="H5110" i="7" a="1"/>
  <c r="H5110" i="7" s="1"/>
  <c r="H5111" i="7" a="1"/>
  <c r="H5111" i="7" s="1"/>
  <c r="H5112" i="7" a="1"/>
  <c r="H5112" i="7" s="1"/>
  <c r="H5113" i="7" a="1"/>
  <c r="H5113" i="7" s="1"/>
  <c r="H5114" i="7" a="1"/>
  <c r="H5114" i="7" s="1"/>
  <c r="H5115" i="7" a="1"/>
  <c r="H5115" i="7" s="1"/>
  <c r="H5116" i="7" a="1"/>
  <c r="H5116" i="7" s="1"/>
  <c r="H5117" i="7" a="1"/>
  <c r="H5117" i="7" s="1"/>
  <c r="H5118" i="7" a="1"/>
  <c r="H5118" i="7" s="1"/>
  <c r="H5119" i="7" a="1"/>
  <c r="H5119" i="7" s="1"/>
  <c r="H5120" i="7" a="1"/>
  <c r="H5120" i="7" s="1"/>
  <c r="H5121" i="7" a="1"/>
  <c r="H5121" i="7" s="1"/>
  <c r="H5122" i="7" a="1"/>
  <c r="H5122" i="7" s="1"/>
  <c r="H5123" i="7" a="1"/>
  <c r="H5123" i="7" s="1"/>
  <c r="H5124" i="7" a="1"/>
  <c r="H5124" i="7" s="1"/>
  <c r="H5125" i="7" a="1"/>
  <c r="H5125" i="7" s="1"/>
  <c r="H5126" i="7" a="1"/>
  <c r="H5126" i="7" s="1"/>
  <c r="H5127" i="7" a="1"/>
  <c r="H5127" i="7" s="1"/>
  <c r="H5128" i="7" a="1"/>
  <c r="H5128" i="7" s="1"/>
  <c r="H5129" i="7" a="1"/>
  <c r="H5129" i="7" s="1"/>
  <c r="H5130" i="7" a="1"/>
  <c r="H5130" i="7" s="1"/>
  <c r="H5131" i="7" a="1"/>
  <c r="H5131" i="7" s="1"/>
  <c r="H5132" i="7" a="1"/>
  <c r="H5132" i="7" s="1"/>
  <c r="H5133" i="7" a="1"/>
  <c r="H5133" i="7" s="1"/>
  <c r="H5134" i="7" a="1"/>
  <c r="H5134" i="7" s="1"/>
  <c r="H5135" i="7" a="1"/>
  <c r="H5135" i="7" s="1"/>
  <c r="H5136" i="7" a="1"/>
  <c r="H5136" i="7" s="1"/>
  <c r="H5137" i="7" a="1"/>
  <c r="H5137" i="7" s="1"/>
  <c r="H5138" i="7" a="1"/>
  <c r="H5138" i="7" s="1"/>
  <c r="H5139" i="7" a="1"/>
  <c r="H5139" i="7" s="1"/>
  <c r="H5140" i="7" a="1"/>
  <c r="H5140" i="7" s="1"/>
  <c r="H5141" i="7" a="1"/>
  <c r="H5141" i="7" s="1"/>
  <c r="H5142" i="7" a="1"/>
  <c r="H5142" i="7" s="1"/>
  <c r="H5143" i="7" a="1"/>
  <c r="H5143" i="7" s="1"/>
  <c r="H5144" i="7" a="1"/>
  <c r="H5144" i="7" s="1"/>
  <c r="H5145" i="7" a="1"/>
  <c r="H5145" i="7" s="1"/>
  <c r="H5146" i="7" a="1"/>
  <c r="H5146" i="7" s="1"/>
  <c r="H5147" i="7" a="1"/>
  <c r="H5147" i="7" s="1"/>
  <c r="H5148" i="7" a="1"/>
  <c r="H5148" i="7" s="1"/>
  <c r="H5149" i="7" a="1"/>
  <c r="H5149" i="7" s="1"/>
  <c r="H5150" i="7" a="1"/>
  <c r="H5150" i="7" s="1"/>
  <c r="H5151" i="7" a="1"/>
  <c r="H5151" i="7" s="1"/>
  <c r="H5152" i="7" a="1"/>
  <c r="H5152" i="7" s="1"/>
  <c r="H5153" i="7" a="1"/>
  <c r="H5153" i="7" s="1"/>
  <c r="H5154" i="7" a="1"/>
  <c r="H5154" i="7" s="1"/>
  <c r="H5155" i="7" a="1"/>
  <c r="H5155" i="7" s="1"/>
  <c r="H5156" i="7" a="1"/>
  <c r="H5156" i="7" s="1"/>
  <c r="H5157" i="7" a="1"/>
  <c r="H5157" i="7" s="1"/>
  <c r="H5158" i="7" a="1"/>
  <c r="H5158" i="7" s="1"/>
  <c r="H5159" i="7" a="1"/>
  <c r="H5159" i="7" s="1"/>
  <c r="H5160" i="7" a="1"/>
  <c r="H5160" i="7" s="1"/>
  <c r="H5161" i="7" a="1"/>
  <c r="H5161" i="7" s="1"/>
  <c r="H5162" i="7" a="1"/>
  <c r="H5162" i="7" s="1"/>
  <c r="H5163" i="7" a="1"/>
  <c r="H5163" i="7" s="1"/>
  <c r="H5164" i="7" a="1"/>
  <c r="H5164" i="7" s="1"/>
  <c r="H5165" i="7" a="1"/>
  <c r="H5165" i="7" s="1"/>
  <c r="H5166" i="7" a="1"/>
  <c r="H5166" i="7" s="1"/>
  <c r="H5167" i="7" a="1"/>
  <c r="H5167" i="7" s="1"/>
  <c r="H5168" i="7" a="1"/>
  <c r="H5168" i="7" s="1"/>
  <c r="H5169" i="7" a="1"/>
  <c r="H5169" i="7" s="1"/>
  <c r="H5170" i="7" a="1"/>
  <c r="H5170" i="7" s="1"/>
  <c r="H5171" i="7" a="1"/>
  <c r="H5171" i="7" s="1"/>
  <c r="H5172" i="7" a="1"/>
  <c r="H5172" i="7" s="1"/>
  <c r="H5173" i="7" a="1"/>
  <c r="H5173" i="7" s="1"/>
  <c r="H5174" i="7" a="1"/>
  <c r="H5174" i="7" s="1"/>
  <c r="H5175" i="7" a="1"/>
  <c r="H5175" i="7" s="1"/>
  <c r="H5176" i="7" a="1"/>
  <c r="H5176" i="7" s="1"/>
  <c r="H5177" i="7" a="1"/>
  <c r="H5177" i="7" s="1"/>
  <c r="H5178" i="7" a="1"/>
  <c r="H5178" i="7" s="1"/>
  <c r="H5179" i="7" a="1"/>
  <c r="H5179" i="7" s="1"/>
  <c r="H5180" i="7" a="1"/>
  <c r="H5180" i="7" s="1"/>
  <c r="H5181" i="7" a="1"/>
  <c r="H5181" i="7" s="1"/>
  <c r="H5182" i="7" a="1"/>
  <c r="H5182" i="7" s="1"/>
  <c r="H5183" i="7" a="1"/>
  <c r="H5183" i="7" s="1"/>
  <c r="H5184" i="7" a="1"/>
  <c r="H5184" i="7" s="1"/>
  <c r="H5185" i="7" a="1"/>
  <c r="H5185" i="7" s="1"/>
  <c r="H5186" i="7" a="1"/>
  <c r="H5186" i="7" s="1"/>
  <c r="H5187" i="7" a="1"/>
  <c r="H5187" i="7" s="1"/>
  <c r="H5188" i="7" a="1"/>
  <c r="H5188" i="7" s="1"/>
  <c r="H5189" i="7" a="1"/>
  <c r="H5189" i="7" s="1"/>
  <c r="H5190" i="7" a="1"/>
  <c r="H5190" i="7" s="1"/>
  <c r="H5191" i="7" a="1"/>
  <c r="H5191" i="7" s="1"/>
  <c r="H5192" i="7" a="1"/>
  <c r="H5192" i="7" s="1"/>
  <c r="H5193" i="7" a="1"/>
  <c r="H5193" i="7" s="1"/>
  <c r="H5194" i="7" a="1"/>
  <c r="H5194" i="7" s="1"/>
  <c r="H5195" i="7" a="1"/>
  <c r="H5195" i="7" s="1"/>
  <c r="H5196" i="7" a="1"/>
  <c r="H5196" i="7" s="1"/>
  <c r="H5197" i="7" a="1"/>
  <c r="H5197" i="7" s="1"/>
  <c r="H5198" i="7" a="1"/>
  <c r="H5198" i="7" s="1"/>
  <c r="H5199" i="7" a="1"/>
  <c r="H5199" i="7" s="1"/>
  <c r="H5200" i="7" a="1"/>
  <c r="H5200" i="7" s="1"/>
  <c r="H5201" i="7" a="1"/>
  <c r="H5201" i="7" s="1"/>
  <c r="H5202" i="7" a="1"/>
  <c r="H5202" i="7" s="1"/>
  <c r="H5203" i="7" a="1"/>
  <c r="H5203" i="7" s="1"/>
  <c r="H5204" i="7" a="1"/>
  <c r="H5204" i="7" s="1"/>
  <c r="H5205" i="7" a="1"/>
  <c r="H5205" i="7" s="1"/>
  <c r="H5206" i="7" a="1"/>
  <c r="H5206" i="7" s="1"/>
  <c r="H5207" i="7" a="1"/>
  <c r="H5207" i="7" s="1"/>
  <c r="H5208" i="7" a="1"/>
  <c r="H5208" i="7" s="1"/>
  <c r="H5209" i="7" a="1"/>
  <c r="H5209" i="7" s="1"/>
  <c r="H5210" i="7" a="1"/>
  <c r="H5210" i="7" s="1"/>
  <c r="H5211" i="7" a="1"/>
  <c r="H5211" i="7" s="1"/>
  <c r="H5212" i="7" a="1"/>
  <c r="H5212" i="7" s="1"/>
  <c r="H5213" i="7" a="1"/>
  <c r="H5213" i="7" s="1"/>
  <c r="H5214" i="7" a="1"/>
  <c r="H5214" i="7" s="1"/>
  <c r="H5215" i="7" a="1"/>
  <c r="H5215" i="7" s="1"/>
  <c r="H5216" i="7" a="1"/>
  <c r="H5216" i="7" s="1"/>
  <c r="H5217" i="7" a="1"/>
  <c r="H5217" i="7" s="1"/>
  <c r="H5218" i="7" a="1"/>
  <c r="H5218" i="7" s="1"/>
  <c r="H5219" i="7" a="1"/>
  <c r="H5219" i="7" s="1"/>
  <c r="H5220" i="7" a="1"/>
  <c r="H5220" i="7" s="1"/>
  <c r="H5221" i="7" a="1"/>
  <c r="H5221" i="7" s="1"/>
  <c r="H5222" i="7" a="1"/>
  <c r="H5222" i="7" s="1"/>
  <c r="H5223" i="7" a="1"/>
  <c r="H5223" i="7" s="1"/>
  <c r="H5224" i="7" a="1"/>
  <c r="H5224" i="7" s="1"/>
  <c r="H5225" i="7" a="1"/>
  <c r="H5225" i="7" s="1"/>
  <c r="H5226" i="7" a="1"/>
  <c r="H5226" i="7" s="1"/>
  <c r="H5227" i="7" a="1"/>
  <c r="H5227" i="7" s="1"/>
  <c r="H5228" i="7" a="1"/>
  <c r="H5228" i="7" s="1"/>
  <c r="H5229" i="7" a="1"/>
  <c r="H5229" i="7" s="1"/>
  <c r="H5230" i="7" a="1"/>
  <c r="H5230" i="7" s="1"/>
  <c r="H5231" i="7" a="1"/>
  <c r="H5231" i="7" s="1"/>
  <c r="H5232" i="7" a="1"/>
  <c r="H5232" i="7" s="1"/>
  <c r="H5233" i="7" a="1"/>
  <c r="H5233" i="7" s="1"/>
  <c r="H5234" i="7" a="1"/>
  <c r="H5234" i="7" s="1"/>
  <c r="H5235" i="7" a="1"/>
  <c r="H5235" i="7" s="1"/>
  <c r="H5236" i="7" a="1"/>
  <c r="H5236" i="7" s="1"/>
  <c r="H5237" i="7" a="1"/>
  <c r="H5237" i="7" s="1"/>
  <c r="H5238" i="7" a="1"/>
  <c r="H5238" i="7" s="1"/>
  <c r="H5239" i="7" a="1"/>
  <c r="H5239" i="7" s="1"/>
  <c r="H5240" i="7" a="1"/>
  <c r="H5240" i="7" s="1"/>
  <c r="H5241" i="7" a="1"/>
  <c r="H5241" i="7" s="1"/>
  <c r="H5242" i="7" a="1"/>
  <c r="H5242" i="7" s="1"/>
  <c r="H5243" i="7" a="1"/>
  <c r="H5243" i="7" s="1"/>
  <c r="H5244" i="7" a="1"/>
  <c r="H5244" i="7" s="1"/>
  <c r="H5245" i="7" a="1"/>
  <c r="H5245" i="7" s="1"/>
  <c r="H5246" i="7" a="1"/>
  <c r="H5246" i="7" s="1"/>
  <c r="H5247" i="7" a="1"/>
  <c r="H5247" i="7" s="1"/>
  <c r="H5248" i="7" a="1"/>
  <c r="H5248" i="7" s="1"/>
  <c r="H5249" i="7" a="1"/>
  <c r="H5249" i="7" s="1"/>
  <c r="H5250" i="7" a="1"/>
  <c r="H5250" i="7" s="1"/>
  <c r="H5251" i="7" a="1"/>
  <c r="H5251" i="7" s="1"/>
  <c r="H5252" i="7" a="1"/>
  <c r="H5252" i="7" s="1"/>
  <c r="H5253" i="7" a="1"/>
  <c r="H5253" i="7" s="1"/>
  <c r="H5254" i="7" a="1"/>
  <c r="H5254" i="7" s="1"/>
  <c r="H5255" i="7" a="1"/>
  <c r="H5255" i="7" s="1"/>
  <c r="H5256" i="7" a="1"/>
  <c r="H5256" i="7" s="1"/>
  <c r="H5257" i="7" a="1"/>
  <c r="H5257" i="7" s="1"/>
  <c r="H5258" i="7" a="1"/>
  <c r="H5258" i="7" s="1"/>
  <c r="H5259" i="7" a="1"/>
  <c r="H5259" i="7" s="1"/>
  <c r="H5260" i="7" a="1"/>
  <c r="H5260" i="7" s="1"/>
  <c r="H5261" i="7" a="1"/>
  <c r="H5261" i="7" s="1"/>
  <c r="H5262" i="7" a="1"/>
  <c r="H5262" i="7" s="1"/>
  <c r="H5263" i="7" a="1"/>
  <c r="H5263" i="7" s="1"/>
  <c r="H5264" i="7" a="1"/>
  <c r="H5264" i="7" s="1"/>
  <c r="H5265" i="7" a="1"/>
  <c r="H5265" i="7" s="1"/>
  <c r="H5266" i="7" a="1"/>
  <c r="H5266" i="7" s="1"/>
  <c r="H5267" i="7" a="1"/>
  <c r="H5267" i="7" s="1"/>
  <c r="H5268" i="7" a="1"/>
  <c r="H5268" i="7" s="1"/>
  <c r="H5269" i="7" a="1"/>
  <c r="H5269" i="7" s="1"/>
  <c r="H5270" i="7" a="1"/>
  <c r="H5270" i="7" s="1"/>
  <c r="H5271" i="7" a="1"/>
  <c r="H5271" i="7" s="1"/>
  <c r="H5272" i="7" a="1"/>
  <c r="H5272" i="7" s="1"/>
  <c r="H5273" i="7" a="1"/>
  <c r="H5273" i="7" s="1"/>
  <c r="H5274" i="7" a="1"/>
  <c r="H5274" i="7" s="1"/>
  <c r="H5275" i="7" a="1"/>
  <c r="H5275" i="7" s="1"/>
  <c r="H5276" i="7" a="1"/>
  <c r="H5276" i="7" s="1"/>
  <c r="H5277" i="7" a="1"/>
  <c r="H5277" i="7" s="1"/>
  <c r="H5278" i="7" a="1"/>
  <c r="H5278" i="7" s="1"/>
  <c r="H5279" i="7" a="1"/>
  <c r="H5279" i="7" s="1"/>
  <c r="H5280" i="7" a="1"/>
  <c r="H5280" i="7" s="1"/>
  <c r="H5281" i="7" a="1"/>
  <c r="H5281" i="7" s="1"/>
  <c r="H5282" i="7" a="1"/>
  <c r="H5282" i="7" s="1"/>
  <c r="H5283" i="7" a="1"/>
  <c r="H5283" i="7" s="1"/>
  <c r="H5284" i="7" a="1"/>
  <c r="H5284" i="7" s="1"/>
  <c r="H5285" i="7" a="1"/>
  <c r="H5285" i="7" s="1"/>
  <c r="H5286" i="7" a="1"/>
  <c r="H5286" i="7" s="1"/>
  <c r="H5287" i="7" a="1"/>
  <c r="H5287" i="7" s="1"/>
  <c r="H5288" i="7" a="1"/>
  <c r="H5288" i="7" s="1"/>
  <c r="H5289" i="7" a="1"/>
  <c r="H5289" i="7" s="1"/>
  <c r="H5290" i="7" a="1"/>
  <c r="H5290" i="7" s="1"/>
  <c r="H5291" i="7" a="1"/>
  <c r="H5291" i="7" s="1"/>
  <c r="H5292" i="7" a="1"/>
  <c r="H5292" i="7" s="1"/>
  <c r="H5293" i="7" a="1"/>
  <c r="H5293" i="7" s="1"/>
  <c r="H5294" i="7" a="1"/>
  <c r="H5294" i="7" s="1"/>
  <c r="H5295" i="7" a="1"/>
  <c r="H5295" i="7" s="1"/>
  <c r="H5296" i="7" a="1"/>
  <c r="H5296" i="7" s="1"/>
  <c r="H5297" i="7" a="1"/>
  <c r="H5297" i="7" s="1"/>
  <c r="H5298" i="7" a="1"/>
  <c r="H5298" i="7" s="1"/>
  <c r="H5299" i="7" a="1"/>
  <c r="H5299" i="7" s="1"/>
  <c r="H5300" i="7" a="1"/>
  <c r="H5300" i="7" s="1"/>
  <c r="H5301" i="7" a="1"/>
  <c r="H5301" i="7" s="1"/>
  <c r="H5302" i="7" a="1"/>
  <c r="H5302" i="7" s="1"/>
  <c r="H5303" i="7" a="1"/>
  <c r="H5303" i="7" s="1"/>
  <c r="H5304" i="7" a="1"/>
  <c r="H5304" i="7" s="1"/>
  <c r="H5305" i="7" a="1"/>
  <c r="H5305" i="7" s="1"/>
  <c r="H5306" i="7" a="1"/>
  <c r="H5306" i="7" s="1"/>
  <c r="H5307" i="7" a="1"/>
  <c r="H5307" i="7" s="1"/>
  <c r="H5308" i="7" a="1"/>
  <c r="H5308" i="7" s="1"/>
  <c r="H5309" i="7" a="1"/>
  <c r="H5309" i="7" s="1"/>
  <c r="H5310" i="7" a="1"/>
  <c r="H5310" i="7" s="1"/>
  <c r="H5311" i="7" a="1"/>
  <c r="H5311" i="7" s="1"/>
  <c r="H5312" i="7" a="1"/>
  <c r="H5312" i="7" s="1"/>
  <c r="H5313" i="7" a="1"/>
  <c r="H5313" i="7" s="1"/>
  <c r="H5314" i="7" a="1"/>
  <c r="H5314" i="7" s="1"/>
  <c r="H5315" i="7" a="1"/>
  <c r="H5315" i="7" s="1"/>
  <c r="H5316" i="7" a="1"/>
  <c r="H5316" i="7" s="1"/>
  <c r="H5317" i="7" a="1"/>
  <c r="H5317" i="7" s="1"/>
  <c r="H5318" i="7" a="1"/>
  <c r="H5318" i="7" s="1"/>
  <c r="H5319" i="7" a="1"/>
  <c r="H5319" i="7" s="1"/>
  <c r="H5320" i="7" a="1"/>
  <c r="H5320" i="7" s="1"/>
  <c r="H5321" i="7" a="1"/>
  <c r="H5321" i="7" s="1"/>
  <c r="H5322" i="7" a="1"/>
  <c r="H5322" i="7" s="1"/>
  <c r="H5323" i="7" a="1"/>
  <c r="H5323" i="7" s="1"/>
  <c r="H5324" i="7" a="1"/>
  <c r="H5324" i="7" s="1"/>
  <c r="H5325" i="7" a="1"/>
  <c r="H5325" i="7" s="1"/>
  <c r="H5326" i="7" a="1"/>
  <c r="H5326" i="7" s="1"/>
  <c r="H5327" i="7" a="1"/>
  <c r="H5327" i="7" s="1"/>
  <c r="H5328" i="7" a="1"/>
  <c r="H5328" i="7" s="1"/>
  <c r="H5329" i="7" a="1"/>
  <c r="H5329" i="7" s="1"/>
  <c r="H5330" i="7" a="1"/>
  <c r="H5330" i="7" s="1"/>
  <c r="H5331" i="7" a="1"/>
  <c r="H5331" i="7" s="1"/>
  <c r="H5332" i="7" a="1"/>
  <c r="H5332" i="7" s="1"/>
  <c r="H5333" i="7" a="1"/>
  <c r="H5333" i="7" s="1"/>
  <c r="H5334" i="7" a="1"/>
  <c r="H5334" i="7" s="1"/>
  <c r="H5335" i="7" a="1"/>
  <c r="H5335" i="7" s="1"/>
  <c r="H5336" i="7" a="1"/>
  <c r="H5336" i="7" s="1"/>
  <c r="H5337" i="7" a="1"/>
  <c r="H5337" i="7" s="1"/>
  <c r="H5338" i="7" a="1"/>
  <c r="H5338" i="7" s="1"/>
  <c r="H5339" i="7" a="1"/>
  <c r="H5339" i="7" s="1"/>
  <c r="H5340" i="7" a="1"/>
  <c r="H5340" i="7" s="1"/>
  <c r="H5341" i="7" a="1"/>
  <c r="H5341" i="7" s="1"/>
  <c r="H5342" i="7" a="1"/>
  <c r="H5342" i="7" s="1"/>
  <c r="H5343" i="7" a="1"/>
  <c r="H5343" i="7" s="1"/>
  <c r="H5344" i="7" a="1"/>
  <c r="H5344" i="7" s="1"/>
  <c r="H5345" i="7" a="1"/>
  <c r="H5345" i="7" s="1"/>
  <c r="H5346" i="7" a="1"/>
  <c r="H5346" i="7" s="1"/>
  <c r="H5347" i="7" a="1"/>
  <c r="H5347" i="7" s="1"/>
  <c r="H5348" i="7" a="1"/>
  <c r="H5348" i="7" s="1"/>
  <c r="H5349" i="7" a="1"/>
  <c r="H5349" i="7" s="1"/>
  <c r="H5350" i="7" a="1"/>
  <c r="H5350" i="7" s="1"/>
  <c r="H5351" i="7" a="1"/>
  <c r="H5351" i="7" s="1"/>
  <c r="H5352" i="7" a="1"/>
  <c r="H5352" i="7" s="1"/>
  <c r="H5353" i="7" a="1"/>
  <c r="H5353" i="7" s="1"/>
  <c r="H5354" i="7" a="1"/>
  <c r="H5354" i="7" s="1"/>
  <c r="H5355" i="7" a="1"/>
  <c r="H5355" i="7" s="1"/>
  <c r="H5356" i="7" a="1"/>
  <c r="H5356" i="7" s="1"/>
  <c r="H5357" i="7" a="1"/>
  <c r="H5357" i="7" s="1"/>
  <c r="H5358" i="7" a="1"/>
  <c r="H5358" i="7" s="1"/>
  <c r="H5359" i="7" a="1"/>
  <c r="H5359" i="7" s="1"/>
  <c r="H5360" i="7" a="1"/>
  <c r="H5360" i="7" s="1"/>
  <c r="H5361" i="7" a="1"/>
  <c r="H5361" i="7" s="1"/>
  <c r="H5362" i="7" a="1"/>
  <c r="H5362" i="7" s="1"/>
  <c r="H5363" i="7" a="1"/>
  <c r="H5363" i="7" s="1"/>
  <c r="H5364" i="7" a="1"/>
  <c r="H5364" i="7" s="1"/>
  <c r="H5365" i="7" a="1"/>
  <c r="H5365" i="7" s="1"/>
  <c r="H5366" i="7" a="1"/>
  <c r="H5366" i="7" s="1"/>
  <c r="H5367" i="7" a="1"/>
  <c r="H5367" i="7" s="1"/>
  <c r="H5368" i="7" a="1"/>
  <c r="H5368" i="7" s="1"/>
  <c r="H5369" i="7" a="1"/>
  <c r="H5369" i="7" s="1"/>
  <c r="H5370" i="7" a="1"/>
  <c r="H5370" i="7" s="1"/>
  <c r="H5371" i="7" a="1"/>
  <c r="H5371" i="7" s="1"/>
  <c r="H5372" i="7" a="1"/>
  <c r="H5372" i="7" s="1"/>
  <c r="H5373" i="7" a="1"/>
  <c r="H5373" i="7" s="1"/>
  <c r="H5374" i="7" a="1"/>
  <c r="H5374" i="7" s="1"/>
  <c r="H5375" i="7" a="1"/>
  <c r="H5375" i="7" s="1"/>
  <c r="H5376" i="7" a="1"/>
  <c r="H5376" i="7" s="1"/>
  <c r="H5377" i="7" a="1"/>
  <c r="H5377" i="7" s="1"/>
  <c r="H5378" i="7" a="1"/>
  <c r="H5378" i="7" s="1"/>
  <c r="H5379" i="7" a="1"/>
  <c r="H5379" i="7" s="1"/>
  <c r="H5380" i="7" a="1"/>
  <c r="H5380" i="7" s="1"/>
  <c r="H5381" i="7" a="1"/>
  <c r="H5381" i="7" s="1"/>
  <c r="H5382" i="7" a="1"/>
  <c r="H5382" i="7" s="1"/>
  <c r="H5383" i="7" a="1"/>
  <c r="H5383" i="7" s="1"/>
  <c r="H5384" i="7" a="1"/>
  <c r="H5384" i="7" s="1"/>
  <c r="H5385" i="7" a="1"/>
  <c r="H5385" i="7" s="1"/>
  <c r="H5386" i="7" a="1"/>
  <c r="H5386" i="7" s="1"/>
  <c r="H5387" i="7" a="1"/>
  <c r="H5387" i="7" s="1"/>
  <c r="H5388" i="7" a="1"/>
  <c r="H5388" i="7" s="1"/>
  <c r="H5389" i="7" a="1"/>
  <c r="H5389" i="7" s="1"/>
  <c r="H5390" i="7" a="1"/>
  <c r="H5390" i="7" s="1"/>
  <c r="H5391" i="7" a="1"/>
  <c r="H5391" i="7" s="1"/>
  <c r="H5392" i="7" a="1"/>
  <c r="H5392" i="7" s="1"/>
  <c r="H5393" i="7" a="1"/>
  <c r="H5393" i="7" s="1"/>
  <c r="H5394" i="7" a="1"/>
  <c r="H5394" i="7" s="1"/>
  <c r="H5395" i="7" a="1"/>
  <c r="H5395" i="7" s="1"/>
  <c r="H5396" i="7" a="1"/>
  <c r="H5396" i="7" s="1"/>
  <c r="H5397" i="7" a="1"/>
  <c r="H5397" i="7" s="1"/>
  <c r="H5398" i="7" a="1"/>
  <c r="H5398" i="7" s="1"/>
  <c r="H5399" i="7" a="1"/>
  <c r="H5399" i="7" s="1"/>
  <c r="H5400" i="7" a="1"/>
  <c r="H5400" i="7" s="1"/>
  <c r="H5401" i="7" a="1"/>
  <c r="H5401" i="7" s="1"/>
  <c r="H5402" i="7" a="1"/>
  <c r="H5402" i="7" s="1"/>
  <c r="H5403" i="7" a="1"/>
  <c r="H5403" i="7" s="1"/>
  <c r="H5404" i="7" a="1"/>
  <c r="H5404" i="7" s="1"/>
  <c r="H5405" i="7" a="1"/>
  <c r="H5405" i="7" s="1"/>
  <c r="H5406" i="7" a="1"/>
  <c r="H5406" i="7" s="1"/>
  <c r="H5407" i="7" a="1"/>
  <c r="H5407" i="7" s="1"/>
  <c r="H5408" i="7" a="1"/>
  <c r="H5408" i="7" s="1"/>
  <c r="H5409" i="7" a="1"/>
  <c r="H5409" i="7" s="1"/>
  <c r="H5410" i="7" a="1"/>
  <c r="H5410" i="7" s="1"/>
  <c r="H5411" i="7" a="1"/>
  <c r="H5411" i="7" s="1"/>
  <c r="H5412" i="7" a="1"/>
  <c r="H5412" i="7" s="1"/>
  <c r="H5413" i="7" a="1"/>
  <c r="H5413" i="7" s="1"/>
  <c r="H5414" i="7" a="1"/>
  <c r="H5414" i="7" s="1"/>
  <c r="H5415" i="7" a="1"/>
  <c r="H5415" i="7" s="1"/>
  <c r="H5416" i="7" a="1"/>
  <c r="H5416" i="7" s="1"/>
  <c r="H5417" i="7" a="1"/>
  <c r="H5417" i="7" s="1"/>
  <c r="H5418" i="7" a="1"/>
  <c r="H5418" i="7" s="1"/>
  <c r="H5419" i="7" a="1"/>
  <c r="H5419" i="7" s="1"/>
  <c r="H5420" i="7" a="1"/>
  <c r="H5420" i="7" s="1"/>
  <c r="H5421" i="7" a="1"/>
  <c r="H5421" i="7" s="1"/>
  <c r="H5422" i="7" a="1"/>
  <c r="H5422" i="7" s="1"/>
  <c r="H5423" i="7" a="1"/>
  <c r="H5423" i="7" s="1"/>
  <c r="H5424" i="7" a="1"/>
  <c r="H5424" i="7" s="1"/>
  <c r="H5425" i="7" a="1"/>
  <c r="H5425" i="7" s="1"/>
  <c r="H5426" i="7" a="1"/>
  <c r="H5426" i="7" s="1"/>
  <c r="H5427" i="7" a="1"/>
  <c r="H5427" i="7" s="1"/>
  <c r="H5428" i="7" a="1"/>
  <c r="H5428" i="7" s="1"/>
  <c r="H5429" i="7" a="1"/>
  <c r="H5429" i="7" s="1"/>
  <c r="H5430" i="7" a="1"/>
  <c r="H5430" i="7" s="1"/>
  <c r="H5431" i="7" a="1"/>
  <c r="H5431" i="7" s="1"/>
  <c r="H5432" i="7" a="1"/>
  <c r="H5432" i="7" s="1"/>
  <c r="H5433" i="7" a="1"/>
  <c r="H5433" i="7" s="1"/>
  <c r="H5434" i="7" a="1"/>
  <c r="H5434" i="7" s="1"/>
  <c r="H5435" i="7" a="1"/>
  <c r="H5435" i="7" s="1"/>
  <c r="H5436" i="7" a="1"/>
  <c r="H5436" i="7" s="1"/>
  <c r="H5437" i="7" a="1"/>
  <c r="H5437" i="7" s="1"/>
  <c r="H5438" i="7" a="1"/>
  <c r="H5438" i="7" s="1"/>
  <c r="H5439" i="7" a="1"/>
  <c r="H5439" i="7" s="1"/>
  <c r="H5440" i="7" a="1"/>
  <c r="H5440" i="7" s="1"/>
  <c r="H5441" i="7" a="1"/>
  <c r="H5441" i="7" s="1"/>
  <c r="H5442" i="7" a="1"/>
  <c r="H5442" i="7" s="1"/>
  <c r="H5443" i="7" a="1"/>
  <c r="H5443" i="7" s="1"/>
  <c r="H5444" i="7" a="1"/>
  <c r="H5444" i="7" s="1"/>
  <c r="H5445" i="7" a="1"/>
  <c r="H5445" i="7" s="1"/>
  <c r="H5446" i="7" a="1"/>
  <c r="H5446" i="7" s="1"/>
  <c r="H5447" i="7" a="1"/>
  <c r="H5447" i="7" s="1"/>
  <c r="H5448" i="7" a="1"/>
  <c r="H5448" i="7" s="1"/>
  <c r="H5449" i="7" a="1"/>
  <c r="H5449" i="7" s="1"/>
  <c r="H5450" i="7" a="1"/>
  <c r="H5450" i="7" s="1"/>
  <c r="H5451" i="7" a="1"/>
  <c r="H5451" i="7" s="1"/>
  <c r="H5452" i="7" a="1"/>
  <c r="H5452" i="7" s="1"/>
  <c r="H5453" i="7" a="1"/>
  <c r="H5453" i="7" s="1"/>
  <c r="H5454" i="7" a="1"/>
  <c r="H5454" i="7" s="1"/>
  <c r="H5455" i="7" a="1"/>
  <c r="H5455" i="7" s="1"/>
  <c r="H5456" i="7" a="1"/>
  <c r="H5456" i="7" s="1"/>
  <c r="H5457" i="7" a="1"/>
  <c r="H5457" i="7" s="1"/>
  <c r="H5458" i="7" a="1"/>
  <c r="H5458" i="7" s="1"/>
  <c r="H5459" i="7" a="1"/>
  <c r="H5459" i="7" s="1"/>
  <c r="H5460" i="7" a="1"/>
  <c r="H5460" i="7" s="1"/>
  <c r="H5461" i="7" a="1"/>
  <c r="H5461" i="7" s="1"/>
  <c r="H5462" i="7" a="1"/>
  <c r="H5462" i="7" s="1"/>
  <c r="H5463" i="7" a="1"/>
  <c r="H5463" i="7" s="1"/>
  <c r="H5464" i="7" a="1"/>
  <c r="H5464" i="7" s="1"/>
  <c r="H5465" i="7" a="1"/>
  <c r="H5465" i="7" s="1"/>
  <c r="H5466" i="7" a="1"/>
  <c r="H5466" i="7" s="1"/>
  <c r="H5467" i="7" a="1"/>
  <c r="H5467" i="7" s="1"/>
  <c r="H5468" i="7" a="1"/>
  <c r="H5468" i="7" s="1"/>
  <c r="H5469" i="7" a="1"/>
  <c r="H5469" i="7" s="1"/>
  <c r="H5470" i="7" a="1"/>
  <c r="H5470" i="7" s="1"/>
  <c r="H5471" i="7" a="1"/>
  <c r="H5471" i="7" s="1"/>
  <c r="H5472" i="7" a="1"/>
  <c r="H5472" i="7" s="1"/>
  <c r="H5473" i="7" a="1"/>
  <c r="H5473" i="7" s="1"/>
  <c r="H5474" i="7" a="1"/>
  <c r="H5474" i="7" s="1"/>
  <c r="H5475" i="7" a="1"/>
  <c r="H5475" i="7" s="1"/>
  <c r="H5476" i="7" a="1"/>
  <c r="H5476" i="7" s="1"/>
  <c r="H5477" i="7" a="1"/>
  <c r="H5477" i="7" s="1"/>
  <c r="H5478" i="7" a="1"/>
  <c r="H5478" i="7" s="1"/>
  <c r="H5479" i="7" a="1"/>
  <c r="H5479" i="7" s="1"/>
  <c r="H5480" i="7" a="1"/>
  <c r="H5480" i="7" s="1"/>
  <c r="H5481" i="7" a="1"/>
  <c r="H5481" i="7" s="1"/>
  <c r="H5486" i="7" a="1"/>
  <c r="H5486" i="7" s="1"/>
  <c r="H5487" i="7" a="1"/>
  <c r="H5487" i="7" s="1"/>
  <c r="H5488" i="7" a="1"/>
  <c r="H5488" i="7" s="1"/>
  <c r="H5489" i="7" a="1"/>
  <c r="H5489" i="7" s="1"/>
  <c r="H5490" i="7" a="1"/>
  <c r="H5490" i="7" s="1"/>
  <c r="H5491" i="7" a="1"/>
  <c r="H5491" i="7" s="1"/>
  <c r="H5492" i="7" a="1"/>
  <c r="H5492" i="7" s="1"/>
  <c r="H5496" i="7" a="1"/>
  <c r="H5496" i="7" s="1"/>
  <c r="H5497" i="7" a="1"/>
  <c r="H5497" i="7" s="1"/>
  <c r="H5498" i="7" a="1"/>
  <c r="H5498" i="7" s="1"/>
  <c r="H5499" i="7" a="1"/>
  <c r="H5499" i="7" s="1"/>
  <c r="H5500" i="7" a="1"/>
  <c r="H5500" i="7" s="1"/>
  <c r="H5501" i="7" a="1"/>
  <c r="H5501" i="7" s="1"/>
  <c r="H5502" i="7" a="1"/>
  <c r="H5502" i="7" s="1"/>
  <c r="H5503" i="7" a="1"/>
  <c r="H5503" i="7" s="1"/>
  <c r="H5508" i="7" a="1"/>
  <c r="H5508" i="7" s="1"/>
  <c r="H5509" i="7" a="1"/>
  <c r="H5509" i="7" s="1"/>
  <c r="H5510" i="7" a="1"/>
  <c r="H5510" i="7" s="1"/>
  <c r="H5511" i="7" a="1"/>
  <c r="H5511" i="7" s="1"/>
  <c r="H5512" i="7" a="1"/>
  <c r="H5512" i="7" s="1"/>
  <c r="H5513" i="7" a="1"/>
  <c r="H5513" i="7" s="1"/>
  <c r="H5514" i="7" a="1"/>
  <c r="H5514" i="7" s="1"/>
  <c r="H5515" i="7" a="1"/>
  <c r="H5515" i="7" s="1"/>
  <c r="H5516" i="7" a="1"/>
  <c r="H5516" i="7" s="1"/>
  <c r="H5517" i="7" a="1"/>
  <c r="H5517" i="7" s="1"/>
  <c r="H5518" i="7" a="1"/>
  <c r="H5518" i="7" s="1"/>
  <c r="H5519" i="7" a="1"/>
  <c r="H5519" i="7" s="1"/>
  <c r="H5520" i="7" a="1"/>
  <c r="H5520" i="7" s="1"/>
  <c r="H5521" i="7" a="1"/>
  <c r="H5521" i="7" s="1"/>
  <c r="H5522" i="7" a="1"/>
  <c r="H5522" i="7" s="1"/>
  <c r="H5523" i="7" a="1"/>
  <c r="H5523" i="7" s="1"/>
  <c r="H5524" i="7" a="1"/>
  <c r="H5524" i="7" s="1"/>
  <c r="H5525" i="7" a="1"/>
  <c r="H5525" i="7" s="1"/>
  <c r="H5526" i="7" a="1"/>
  <c r="H5526" i="7" s="1"/>
  <c r="H5527" i="7" a="1"/>
  <c r="H5527" i="7" s="1"/>
  <c r="H5528" i="7" a="1"/>
  <c r="H5528" i="7" s="1"/>
  <c r="H5529" i="7" a="1"/>
  <c r="H5529" i="7" s="1"/>
  <c r="H5530" i="7" a="1"/>
  <c r="H5530" i="7" s="1"/>
  <c r="H5531" i="7" a="1"/>
  <c r="H5531" i="7" s="1"/>
  <c r="H5532" i="7" a="1"/>
  <c r="H5532" i="7" s="1"/>
  <c r="H5533" i="7" a="1"/>
  <c r="H5533" i="7" s="1"/>
  <c r="H5534" i="7" a="1"/>
  <c r="H5534" i="7" s="1"/>
  <c r="H5535" i="7" a="1"/>
  <c r="H5535" i="7" s="1"/>
  <c r="H5536" i="7" a="1"/>
  <c r="H5536" i="7" s="1"/>
  <c r="H5537" i="7" a="1"/>
  <c r="H5537" i="7" s="1"/>
  <c r="H5538" i="7" a="1"/>
  <c r="H5538" i="7" s="1"/>
  <c r="H5539" i="7" a="1"/>
  <c r="H5539" i="7" s="1"/>
  <c r="H5540" i="7" a="1"/>
  <c r="H5540" i="7" s="1"/>
  <c r="H5541" i="7" a="1"/>
  <c r="H5541" i="7" s="1"/>
  <c r="H5542" i="7" a="1"/>
  <c r="H5542" i="7" s="1"/>
  <c r="H5543" i="7" a="1"/>
  <c r="H5543" i="7" s="1"/>
  <c r="H5544" i="7" a="1"/>
  <c r="H5544" i="7" s="1"/>
  <c r="H5545" i="7" a="1"/>
  <c r="H5545" i="7" s="1"/>
  <c r="H5546" i="7" a="1"/>
  <c r="H5546" i="7" s="1"/>
  <c r="H5547" i="7" a="1"/>
  <c r="H5547" i="7" s="1"/>
  <c r="H5548" i="7" a="1"/>
  <c r="H5548" i="7" s="1"/>
  <c r="H5549" i="7" a="1"/>
  <c r="H5549" i="7" s="1"/>
  <c r="H5550" i="7" a="1"/>
  <c r="H5550" i="7" s="1"/>
  <c r="H5551" i="7" a="1"/>
  <c r="H5551" i="7" s="1"/>
  <c r="H5552" i="7" a="1"/>
  <c r="H5552" i="7" s="1"/>
  <c r="H5553" i="7" a="1"/>
  <c r="H5553" i="7" s="1"/>
  <c r="H5554" i="7" a="1"/>
  <c r="H5554" i="7" s="1"/>
  <c r="H5555" i="7" a="1"/>
  <c r="H5555" i="7" s="1"/>
  <c r="H5556" i="7" a="1"/>
  <c r="H5556" i="7" s="1"/>
  <c r="H5557" i="7" a="1"/>
  <c r="H5557" i="7" s="1"/>
  <c r="H5558" i="7" a="1"/>
  <c r="H5558" i="7" s="1"/>
  <c r="H5559" i="7" a="1"/>
  <c r="H5559" i="7" s="1"/>
  <c r="H5560" i="7" a="1"/>
  <c r="H5560" i="7" s="1"/>
  <c r="H5561" i="7" a="1"/>
  <c r="H5561" i="7" s="1"/>
  <c r="H5562" i="7" a="1"/>
  <c r="H5562" i="7" s="1"/>
  <c r="H5563" i="7" a="1"/>
  <c r="H5563" i="7" s="1"/>
  <c r="H5564" i="7" a="1"/>
  <c r="H5564" i="7" s="1"/>
  <c r="H5565" i="7" a="1"/>
  <c r="H5565" i="7" s="1"/>
  <c r="H5566" i="7" a="1"/>
  <c r="H5566" i="7" s="1"/>
  <c r="H5567" i="7" a="1"/>
  <c r="H5567" i="7" s="1"/>
  <c r="H5568" i="7" a="1"/>
  <c r="H5568" i="7" s="1"/>
  <c r="H5569" i="7" a="1"/>
  <c r="H5569" i="7" s="1"/>
  <c r="H5570" i="7" a="1"/>
  <c r="H5570" i="7" s="1"/>
  <c r="H5571" i="7" a="1"/>
  <c r="H5571" i="7" s="1"/>
  <c r="H5572" i="7" a="1"/>
  <c r="H5572" i="7" s="1"/>
  <c r="H5573" i="7" a="1"/>
  <c r="H5573" i="7" s="1"/>
  <c r="H5574" i="7" a="1"/>
  <c r="H5574" i="7" s="1"/>
  <c r="H5575" i="7" a="1"/>
  <c r="H5575" i="7" s="1"/>
  <c r="H5576" i="7" a="1"/>
  <c r="H5576" i="7" s="1"/>
  <c r="H5577" i="7" a="1"/>
  <c r="H5577" i="7" s="1"/>
  <c r="H5578" i="7" a="1"/>
  <c r="H5578" i="7" s="1"/>
  <c r="H5579" i="7" a="1"/>
  <c r="H5579" i="7" s="1"/>
  <c r="H5580" i="7" a="1"/>
  <c r="H5580" i="7" s="1"/>
  <c r="H5581" i="7" a="1"/>
  <c r="H5581" i="7" s="1"/>
  <c r="H5582" i="7" a="1"/>
  <c r="H5582" i="7" s="1"/>
  <c r="H5583" i="7" a="1"/>
  <c r="H5583" i="7" s="1"/>
  <c r="H5584" i="7" a="1"/>
  <c r="H5584" i="7" s="1"/>
  <c r="H5585" i="7" a="1"/>
  <c r="H5585" i="7" s="1"/>
  <c r="H5586" i="7" a="1"/>
  <c r="H5586" i="7" s="1"/>
  <c r="H5587" i="7" a="1"/>
  <c r="H5587" i="7" s="1"/>
  <c r="H5588" i="7" a="1"/>
  <c r="H5588" i="7" s="1"/>
  <c r="H5589" i="7" a="1"/>
  <c r="H5589" i="7" s="1"/>
  <c r="H5590" i="7" a="1"/>
  <c r="H5590" i="7" s="1"/>
  <c r="H5591" i="7" a="1"/>
  <c r="H5591" i="7" s="1"/>
  <c r="H5592" i="7" a="1"/>
  <c r="H5592" i="7" s="1"/>
  <c r="H5593" i="7" a="1"/>
  <c r="H5593" i="7" s="1"/>
  <c r="H5594" i="7" a="1"/>
  <c r="H5594" i="7" s="1"/>
  <c r="H5595" i="7" a="1"/>
  <c r="H5595" i="7" s="1"/>
  <c r="H5596" i="7" a="1"/>
  <c r="H5596" i="7" s="1"/>
  <c r="H5597" i="7" a="1"/>
  <c r="H5597" i="7" s="1"/>
  <c r="H5598" i="7" a="1"/>
  <c r="H5598" i="7" s="1"/>
  <c r="H5599" i="7" a="1"/>
  <c r="H5599" i="7" s="1"/>
  <c r="H5600" i="7" a="1"/>
  <c r="H5600" i="7" s="1"/>
  <c r="H5601" i="7" a="1"/>
  <c r="H5601" i="7" s="1"/>
  <c r="H5602" i="7" a="1"/>
  <c r="H5602" i="7" s="1"/>
  <c r="H5603" i="7" a="1"/>
  <c r="H5603" i="7" s="1"/>
  <c r="H5604" i="7" a="1"/>
  <c r="H5604" i="7" s="1"/>
  <c r="H5605" i="7" a="1"/>
  <c r="H5605" i="7" s="1"/>
  <c r="H5606" i="7" a="1"/>
  <c r="H5606" i="7" s="1"/>
  <c r="H5607" i="7" a="1"/>
  <c r="H5607" i="7" s="1"/>
  <c r="H5608" i="7" a="1"/>
  <c r="H5608" i="7" s="1"/>
  <c r="H5609" i="7" a="1"/>
  <c r="H5609" i="7" s="1"/>
  <c r="H5610" i="7" a="1"/>
  <c r="H5610" i="7" s="1"/>
  <c r="H5611" i="7" a="1"/>
  <c r="H5611" i="7" s="1"/>
  <c r="H5612" i="7" a="1"/>
  <c r="H5612" i="7" s="1"/>
  <c r="H5613" i="7" a="1"/>
  <c r="H5613" i="7" s="1"/>
  <c r="H5614" i="7" a="1"/>
  <c r="H5614" i="7" s="1"/>
  <c r="H5615" i="7" a="1"/>
  <c r="H5615" i="7" s="1"/>
  <c r="H5616" i="7" a="1"/>
  <c r="H5616" i="7" s="1"/>
  <c r="H5617" i="7" a="1"/>
  <c r="H5617" i="7" s="1"/>
  <c r="H5618" i="7" a="1"/>
  <c r="H5618" i="7" s="1"/>
  <c r="H5619" i="7" a="1"/>
  <c r="H5619" i="7" s="1"/>
  <c r="H5620" i="7" a="1"/>
  <c r="H5620" i="7" s="1"/>
  <c r="H5621" i="7" a="1"/>
  <c r="H5621" i="7" s="1"/>
  <c r="H5622" i="7" a="1"/>
  <c r="H5622" i="7" s="1"/>
  <c r="H5623" i="7" a="1"/>
  <c r="H5623" i="7" s="1"/>
  <c r="H5624" i="7" a="1"/>
  <c r="H5624" i="7" s="1"/>
  <c r="H5625" i="7" a="1"/>
  <c r="H5625" i="7" s="1"/>
  <c r="H5626" i="7" a="1"/>
  <c r="H5626" i="7" s="1"/>
  <c r="H5627" i="7" a="1"/>
  <c r="H5627" i="7" s="1"/>
  <c r="H5628" i="7" a="1"/>
  <c r="H5628" i="7" s="1"/>
  <c r="H5629" i="7" a="1"/>
  <c r="H5629" i="7" s="1"/>
  <c r="H5630" i="7" a="1"/>
  <c r="H5630" i="7" s="1"/>
  <c r="H5631" i="7" a="1"/>
  <c r="H5631" i="7" s="1"/>
  <c r="H5632" i="7" a="1"/>
  <c r="H5632" i="7" s="1"/>
  <c r="H5633" i="7" a="1"/>
  <c r="H5633" i="7" s="1"/>
  <c r="H5634" i="7" a="1"/>
  <c r="H5634" i="7" s="1"/>
  <c r="H5635" i="7" a="1"/>
  <c r="H5635" i="7" s="1"/>
  <c r="H5636" i="7" a="1"/>
  <c r="H5636" i="7" s="1"/>
  <c r="H5637" i="7" a="1"/>
  <c r="H5637" i="7" s="1"/>
  <c r="H5638" i="7" a="1"/>
  <c r="H5638" i="7" s="1"/>
  <c r="H5639" i="7" a="1"/>
  <c r="H5639" i="7" s="1"/>
  <c r="H5640" i="7" a="1"/>
  <c r="H5640" i="7" s="1"/>
  <c r="H5641" i="7" a="1"/>
  <c r="H5641" i="7" s="1"/>
  <c r="H5642" i="7" a="1"/>
  <c r="H5642" i="7" s="1"/>
  <c r="H5643" i="7" a="1"/>
  <c r="H5643" i="7" s="1"/>
  <c r="H5644" i="7" a="1"/>
  <c r="H5644" i="7" s="1"/>
  <c r="H5645" i="7" a="1"/>
  <c r="H5645" i="7" s="1"/>
  <c r="H5646" i="7" a="1"/>
  <c r="H5646" i="7" s="1"/>
  <c r="H5647" i="7" a="1"/>
  <c r="H5647" i="7" s="1"/>
  <c r="H5648" i="7" a="1"/>
  <c r="H5648" i="7" s="1"/>
  <c r="H5649" i="7" a="1"/>
  <c r="H5649" i="7" s="1"/>
  <c r="H5650" i="7" a="1"/>
  <c r="H5650" i="7" s="1"/>
  <c r="H5651" i="7" a="1"/>
  <c r="H5651" i="7" s="1"/>
  <c r="H5652" i="7" a="1"/>
  <c r="H5652" i="7" s="1"/>
  <c r="H5653" i="7" a="1"/>
  <c r="H5653" i="7" s="1"/>
  <c r="H5654" i="7" a="1"/>
  <c r="H5654" i="7" s="1"/>
  <c r="H5655" i="7" a="1"/>
  <c r="H5655" i="7" s="1"/>
  <c r="H5656" i="7" a="1"/>
  <c r="H5656" i="7" s="1"/>
  <c r="H5657" i="7" a="1"/>
  <c r="H5657" i="7" s="1"/>
  <c r="H5658" i="7" a="1"/>
  <c r="H5658" i="7" s="1"/>
  <c r="H5659" i="7" a="1"/>
  <c r="H5659" i="7" s="1"/>
  <c r="H5660" i="7" a="1"/>
  <c r="H5660" i="7" s="1"/>
  <c r="H5661" i="7" a="1"/>
  <c r="H5661" i="7" s="1"/>
  <c r="H5662" i="7" a="1"/>
  <c r="H5662" i="7" s="1"/>
  <c r="H5663" i="7" a="1"/>
  <c r="H5663" i="7" s="1"/>
  <c r="H5664" i="7" a="1"/>
  <c r="H5664" i="7" s="1"/>
  <c r="H5665" i="7" a="1"/>
  <c r="H5665" i="7" s="1"/>
  <c r="H5666" i="7" a="1"/>
  <c r="H5666" i="7" s="1"/>
  <c r="H5667" i="7" a="1"/>
  <c r="H5667" i="7" s="1"/>
  <c r="H5668" i="7" a="1"/>
  <c r="H5668" i="7" s="1"/>
  <c r="H5669" i="7" a="1"/>
  <c r="H5669" i="7" s="1"/>
  <c r="H5670" i="7" a="1"/>
  <c r="H5670" i="7" s="1"/>
  <c r="H5671" i="7" a="1"/>
  <c r="H5671" i="7" s="1"/>
  <c r="H5672" i="7" a="1"/>
  <c r="H5672" i="7" s="1"/>
  <c r="H5673" i="7" a="1"/>
  <c r="H5673" i="7" s="1"/>
  <c r="H5674" i="7" a="1"/>
  <c r="H5674" i="7" s="1"/>
  <c r="H5675" i="7" a="1"/>
  <c r="H5675" i="7" s="1"/>
  <c r="H5676" i="7" a="1"/>
  <c r="H5676" i="7" s="1"/>
  <c r="H5677" i="7" a="1"/>
  <c r="H5677" i="7" s="1"/>
  <c r="H5678" i="7" a="1"/>
  <c r="H5678" i="7" s="1"/>
  <c r="H5679" i="7" a="1"/>
  <c r="H5679" i="7" s="1"/>
  <c r="H5680" i="7" a="1"/>
  <c r="H5680" i="7" s="1"/>
  <c r="H5681" i="7" a="1"/>
  <c r="H5681" i="7" s="1"/>
  <c r="H5682" i="7" a="1"/>
  <c r="H5682" i="7" s="1"/>
  <c r="H5683" i="7" a="1"/>
  <c r="H5683" i="7" s="1"/>
  <c r="H5684" i="7" a="1"/>
  <c r="H5684" i="7" s="1"/>
  <c r="H5685" i="7" a="1"/>
  <c r="H5685" i="7" s="1"/>
  <c r="H5686" i="7" a="1"/>
  <c r="H5686" i="7" s="1"/>
  <c r="H5687" i="7" a="1"/>
  <c r="H5687" i="7" s="1"/>
  <c r="H5688" i="7" a="1"/>
  <c r="H5688" i="7" s="1"/>
  <c r="H5689" i="7" a="1"/>
  <c r="H5689" i="7" s="1"/>
  <c r="H5690" i="7" a="1"/>
  <c r="H5690" i="7" s="1"/>
  <c r="H5691" i="7" a="1"/>
  <c r="H5691" i="7" s="1"/>
  <c r="H5692" i="7" a="1"/>
  <c r="H5692" i="7" s="1"/>
  <c r="H5693" i="7" a="1"/>
  <c r="H5693" i="7" s="1"/>
  <c r="H5694" i="7" a="1"/>
  <c r="H5694" i="7" s="1"/>
  <c r="H5695" i="7" a="1"/>
  <c r="H5695" i="7" s="1"/>
  <c r="H5696" i="7" a="1"/>
  <c r="H5696" i="7" s="1"/>
  <c r="H5697" i="7" a="1"/>
  <c r="H5697" i="7" s="1"/>
  <c r="H5698" i="7" a="1"/>
  <c r="H5698" i="7" s="1"/>
  <c r="H5699" i="7" a="1"/>
  <c r="H5699" i="7" s="1"/>
  <c r="H5700" i="7" a="1"/>
  <c r="H5700" i="7" s="1"/>
  <c r="H5701" i="7" a="1"/>
  <c r="H5701" i="7" s="1"/>
  <c r="H5702" i="7" a="1"/>
  <c r="H5702" i="7" s="1"/>
  <c r="H5703" i="7" a="1"/>
  <c r="H5703" i="7" s="1"/>
  <c r="H5704" i="7" a="1"/>
  <c r="H5704" i="7" s="1"/>
  <c r="H5705" i="7" a="1"/>
  <c r="H5705" i="7" s="1"/>
  <c r="H5706" i="7" a="1"/>
  <c r="H5706" i="7" s="1"/>
  <c r="H5707" i="7" a="1"/>
  <c r="H5707" i="7" s="1"/>
  <c r="H5708" i="7" a="1"/>
  <c r="H5708" i="7" s="1"/>
  <c r="H5709" i="7" a="1"/>
  <c r="H5709" i="7" s="1"/>
  <c r="H5710" i="7" a="1"/>
  <c r="H5710" i="7" s="1"/>
  <c r="H5711" i="7" a="1"/>
  <c r="H5711" i="7" s="1"/>
  <c r="H5712" i="7" a="1"/>
  <c r="H5712" i="7" s="1"/>
  <c r="H5713" i="7" a="1"/>
  <c r="H5713" i="7" s="1"/>
  <c r="H5714" i="7" a="1"/>
  <c r="H5714" i="7" s="1"/>
  <c r="H5715" i="7" a="1"/>
  <c r="H5715" i="7" s="1"/>
  <c r="H5716" i="7" a="1"/>
  <c r="H5716" i="7" s="1"/>
  <c r="H5717" i="7" a="1"/>
  <c r="H5717" i="7" s="1"/>
  <c r="H5718" i="7" a="1"/>
  <c r="H5718" i="7" s="1"/>
  <c r="H5719" i="7" a="1"/>
  <c r="H5719" i="7" s="1"/>
  <c r="H5720" i="7" a="1"/>
  <c r="H5720" i="7" s="1"/>
  <c r="H5721" i="7" a="1"/>
  <c r="H5721" i="7" s="1"/>
  <c r="H5722" i="7" a="1"/>
  <c r="H5722" i="7" s="1"/>
  <c r="H5723" i="7" a="1"/>
  <c r="H5723" i="7" s="1"/>
  <c r="H5724" i="7" a="1"/>
  <c r="H5724" i="7" s="1"/>
  <c r="H5725" i="7" a="1"/>
  <c r="H5725" i="7" s="1"/>
  <c r="H5726" i="7" a="1"/>
  <c r="H5726" i="7" s="1"/>
  <c r="H5727" i="7" a="1"/>
  <c r="H5727" i="7" s="1"/>
  <c r="H5728" i="7" a="1"/>
  <c r="H5728" i="7" s="1"/>
  <c r="H5729" i="7" a="1"/>
  <c r="H5729" i="7" s="1"/>
  <c r="H5730" i="7" a="1"/>
  <c r="H5730" i="7" s="1"/>
  <c r="H5731" i="7" a="1"/>
  <c r="H5731" i="7" s="1"/>
  <c r="H5732" i="7" a="1"/>
  <c r="H5732" i="7" s="1"/>
  <c r="H5733" i="7" a="1"/>
  <c r="H5733" i="7" s="1"/>
  <c r="H5734" i="7" a="1"/>
  <c r="H5734" i="7" s="1"/>
  <c r="H5735" i="7" a="1"/>
  <c r="H5735" i="7" s="1"/>
  <c r="H5736" i="7" a="1"/>
  <c r="H5736" i="7" s="1"/>
  <c r="H5737" i="7" a="1"/>
  <c r="H5737" i="7" s="1"/>
  <c r="H5738" i="7" a="1"/>
  <c r="H5738" i="7" s="1"/>
  <c r="H5739" i="7" a="1"/>
  <c r="H5739" i="7" s="1"/>
  <c r="H5740" i="7" a="1"/>
  <c r="H5740" i="7" s="1"/>
  <c r="H5741" i="7" a="1"/>
  <c r="H5741" i="7" s="1"/>
  <c r="H5742" i="7" a="1"/>
  <c r="H5742" i="7" s="1"/>
  <c r="H5743" i="7" a="1"/>
  <c r="H5743" i="7" s="1"/>
  <c r="H5744" i="7" a="1"/>
  <c r="H5744" i="7" s="1"/>
  <c r="H5745" i="7" a="1"/>
  <c r="H5745" i="7" s="1"/>
  <c r="H5746" i="7" a="1"/>
  <c r="H5746" i="7" s="1"/>
  <c r="H5747" i="7" a="1"/>
  <c r="H5747" i="7" s="1"/>
  <c r="H5748" i="7" a="1"/>
  <c r="H5748" i="7" s="1"/>
  <c r="H5749" i="7" a="1"/>
  <c r="H5749" i="7" s="1"/>
  <c r="H5750" i="7" a="1"/>
  <c r="H5750" i="7" s="1"/>
  <c r="H5751" i="7" a="1"/>
  <c r="H5751" i="7" s="1"/>
  <c r="H5752" i="7" a="1"/>
  <c r="H5752" i="7" s="1"/>
  <c r="H5753" i="7" a="1"/>
  <c r="H5753" i="7" s="1"/>
  <c r="H5754" i="7" a="1"/>
  <c r="H5754" i="7" s="1"/>
  <c r="H5755" i="7" a="1"/>
  <c r="H5755" i="7" s="1"/>
  <c r="H5756" i="7" a="1"/>
  <c r="H5756" i="7" s="1"/>
  <c r="H5757" i="7" a="1"/>
  <c r="H5757" i="7" s="1"/>
  <c r="H5758" i="7" a="1"/>
  <c r="H5758" i="7" s="1"/>
  <c r="H5759" i="7" a="1"/>
  <c r="H5759" i="7" s="1"/>
  <c r="H5760" i="7" a="1"/>
  <c r="H5760" i="7" s="1"/>
  <c r="H5761" i="7" a="1"/>
  <c r="H5761" i="7" s="1"/>
  <c r="H5762" i="7" a="1"/>
  <c r="H5762" i="7" s="1"/>
  <c r="H5763" i="7" a="1"/>
  <c r="H5763" i="7" s="1"/>
  <c r="H5764" i="7" a="1"/>
  <c r="H5764" i="7" s="1"/>
  <c r="H5765" i="7" a="1"/>
  <c r="H5765" i="7" s="1"/>
  <c r="H5766" i="7" a="1"/>
  <c r="H5766" i="7" s="1"/>
  <c r="H5767" i="7" a="1"/>
  <c r="H5767" i="7" s="1"/>
  <c r="H5768" i="7" a="1"/>
  <c r="H5768" i="7" s="1"/>
  <c r="H5769" i="7" a="1"/>
  <c r="H5769" i="7" s="1"/>
  <c r="H5770" i="7" a="1"/>
  <c r="H5770" i="7" s="1"/>
  <c r="H5771" i="7" a="1"/>
  <c r="H5771" i="7" s="1"/>
  <c r="H5772" i="7" a="1"/>
  <c r="H5772" i="7" s="1"/>
  <c r="H5773" i="7" a="1"/>
  <c r="H5773" i="7" s="1"/>
  <c r="H5774" i="7" a="1"/>
  <c r="H5774" i="7" s="1"/>
  <c r="H5775" i="7" a="1"/>
  <c r="H5775" i="7" s="1"/>
  <c r="H5776" i="7" a="1"/>
  <c r="H5776" i="7" s="1"/>
  <c r="H5777" i="7" a="1"/>
  <c r="H5777" i="7" s="1"/>
  <c r="H5778" i="7" a="1"/>
  <c r="H5778" i="7" s="1"/>
  <c r="H5779" i="7" a="1"/>
  <c r="H5779" i="7" s="1"/>
  <c r="H5780" i="7" a="1"/>
  <c r="H5780" i="7" s="1"/>
  <c r="H5781" i="7" a="1"/>
  <c r="H5781" i="7" s="1"/>
  <c r="H5782" i="7" a="1"/>
  <c r="H5782" i="7" s="1"/>
  <c r="H5783" i="7" a="1"/>
  <c r="H5783" i="7" s="1"/>
  <c r="H5784" i="7" a="1"/>
  <c r="H5784" i="7" s="1"/>
  <c r="H5785" i="7" a="1"/>
  <c r="H5785" i="7" s="1"/>
  <c r="H5786" i="7" a="1"/>
  <c r="H5786" i="7" s="1"/>
  <c r="H5787" i="7" a="1"/>
  <c r="H5787" i="7" s="1"/>
  <c r="H5788" i="7" a="1"/>
  <c r="H5788" i="7" s="1"/>
  <c r="H5789" i="7" a="1"/>
  <c r="H5789" i="7" s="1"/>
  <c r="H5790" i="7" a="1"/>
  <c r="H5790" i="7" s="1"/>
  <c r="H5791" i="7" a="1"/>
  <c r="H5791" i="7" s="1"/>
  <c r="H5792" i="7" a="1"/>
  <c r="H5792" i="7" s="1"/>
  <c r="H5793" i="7" a="1"/>
  <c r="H5793" i="7" s="1"/>
  <c r="H5794" i="7" a="1"/>
  <c r="H5794" i="7" s="1"/>
  <c r="H5795" i="7" a="1"/>
  <c r="H5795" i="7" s="1"/>
  <c r="H5796" i="7" a="1"/>
  <c r="H5796" i="7" s="1"/>
  <c r="H5797" i="7" a="1"/>
  <c r="H5797" i="7" s="1"/>
  <c r="H5798" i="7" a="1"/>
  <c r="H5798" i="7" s="1"/>
  <c r="H5799" i="7" a="1"/>
  <c r="H5799" i="7" s="1"/>
  <c r="H5800" i="7" a="1"/>
  <c r="H5800" i="7" s="1"/>
  <c r="H5801" i="7" a="1"/>
  <c r="H5801" i="7" s="1"/>
  <c r="H5802" i="7" a="1"/>
  <c r="H5802" i="7" s="1"/>
  <c r="H5803" i="7" a="1"/>
  <c r="H5803" i="7" s="1"/>
  <c r="H5804" i="7" a="1"/>
  <c r="H5804" i="7" s="1"/>
  <c r="H5805" i="7" a="1"/>
  <c r="H5805" i="7" s="1"/>
  <c r="H5806" i="7" a="1"/>
  <c r="H5806" i="7" s="1"/>
  <c r="H5807" i="7" a="1"/>
  <c r="H5807" i="7" s="1"/>
  <c r="H5808" i="7" a="1"/>
  <c r="H5808" i="7" s="1"/>
  <c r="H5809" i="7" a="1"/>
  <c r="H5809" i="7" s="1"/>
  <c r="H5810" i="7" a="1"/>
  <c r="H5810" i="7" s="1"/>
  <c r="H5811" i="7" a="1"/>
  <c r="H5811" i="7" s="1"/>
  <c r="H5812" i="7" a="1"/>
  <c r="H5812" i="7" s="1"/>
  <c r="H5813" i="7" a="1"/>
  <c r="H5813" i="7" s="1"/>
  <c r="H5814" i="7" a="1"/>
  <c r="H5814" i="7" s="1"/>
  <c r="H5815" i="7" a="1"/>
  <c r="H5815" i="7" s="1"/>
  <c r="H5816" i="7" a="1"/>
  <c r="H5816" i="7" s="1"/>
  <c r="H5817" i="7" a="1"/>
  <c r="H5817" i="7" s="1"/>
  <c r="H5818" i="7" a="1"/>
  <c r="H5818" i="7" s="1"/>
  <c r="H5819" i="7" a="1"/>
  <c r="H5819" i="7" s="1"/>
  <c r="H5820" i="7" a="1"/>
  <c r="H5820" i="7" s="1"/>
  <c r="H5821" i="7" a="1"/>
  <c r="H5821" i="7" s="1"/>
  <c r="H5822" i="7" a="1"/>
  <c r="H5822" i="7" s="1"/>
  <c r="H5823" i="7" a="1"/>
  <c r="H5823" i="7" s="1"/>
  <c r="H5824" i="7" a="1"/>
  <c r="H5824" i="7" s="1"/>
  <c r="H5825" i="7" a="1"/>
  <c r="H5825" i="7" s="1"/>
  <c r="H5826" i="7" a="1"/>
  <c r="H5826" i="7" s="1"/>
  <c r="H5827" i="7" a="1"/>
  <c r="H5827" i="7" s="1"/>
  <c r="H5828" i="7" a="1"/>
  <c r="H5828" i="7" s="1"/>
  <c r="H5829" i="7" a="1"/>
  <c r="H5829" i="7" s="1"/>
  <c r="H5830" i="7" a="1"/>
  <c r="H5830" i="7" s="1"/>
  <c r="H5831" i="7" a="1"/>
  <c r="H5831" i="7" s="1"/>
  <c r="H5832" i="7" a="1"/>
  <c r="H5832" i="7" s="1"/>
  <c r="H5833" i="7" a="1"/>
  <c r="H5833" i="7" s="1"/>
  <c r="H5834" i="7" a="1"/>
  <c r="H5834" i="7" s="1"/>
  <c r="H5835" i="7" a="1"/>
  <c r="H5835" i="7" s="1"/>
  <c r="H5836" i="7" a="1"/>
  <c r="H5836" i="7" s="1"/>
  <c r="H5837" i="7" a="1"/>
  <c r="H5837" i="7" s="1"/>
  <c r="H5838" i="7" a="1"/>
  <c r="H5838" i="7" s="1"/>
  <c r="H5839" i="7" a="1"/>
  <c r="H5839" i="7" s="1"/>
  <c r="H5840" i="7" a="1"/>
  <c r="H5840" i="7" s="1"/>
  <c r="H5841" i="7" a="1"/>
  <c r="H5841" i="7" s="1"/>
  <c r="H5842" i="7" a="1"/>
  <c r="H5842" i="7" s="1"/>
  <c r="H5843" i="7" a="1"/>
  <c r="H5843" i="7" s="1"/>
  <c r="H5844" i="7" a="1"/>
  <c r="H5844" i="7" s="1"/>
  <c r="H5845" i="7" a="1"/>
  <c r="H5845" i="7" s="1"/>
  <c r="H5846" i="7" a="1"/>
  <c r="H5846" i="7" s="1"/>
  <c r="H5847" i="7" a="1"/>
  <c r="H5847" i="7" s="1"/>
  <c r="H5848" i="7" a="1"/>
  <c r="H5848" i="7" s="1"/>
  <c r="H5849" i="7" a="1"/>
  <c r="H5849" i="7" s="1"/>
  <c r="H5850" i="7" a="1"/>
  <c r="H5850" i="7" s="1"/>
  <c r="H5851" i="7" a="1"/>
  <c r="H5851" i="7" s="1"/>
  <c r="H5852" i="7" a="1"/>
  <c r="H5852" i="7" s="1"/>
  <c r="H5853" i="7" a="1"/>
  <c r="H5853" i="7" s="1"/>
  <c r="H5854" i="7" a="1"/>
  <c r="H5854" i="7" s="1"/>
  <c r="H5855" i="7" a="1"/>
  <c r="H5855" i="7" s="1"/>
  <c r="H5856" i="7" a="1"/>
  <c r="H5856" i="7" s="1"/>
  <c r="H5857" i="7" a="1"/>
  <c r="H5857" i="7" s="1"/>
  <c r="H5858" i="7" a="1"/>
  <c r="H5858" i="7" s="1"/>
  <c r="H5859" i="7" a="1"/>
  <c r="H5859" i="7" s="1"/>
  <c r="H5860" i="7" a="1"/>
  <c r="H5860" i="7" s="1"/>
  <c r="H5861" i="7" a="1"/>
  <c r="H5861" i="7" s="1"/>
  <c r="H5862" i="7" a="1"/>
  <c r="H5862" i="7" s="1"/>
  <c r="H5863" i="7" a="1"/>
  <c r="H5863" i="7" s="1"/>
  <c r="H5864" i="7" a="1"/>
  <c r="H5864" i="7" s="1"/>
  <c r="H5865" i="7" a="1"/>
  <c r="H5865" i="7" s="1"/>
  <c r="H5866" i="7" a="1"/>
  <c r="H5866" i="7" s="1"/>
  <c r="H5867" i="7" a="1"/>
  <c r="H5867" i="7" s="1"/>
  <c r="H5868" i="7" a="1"/>
  <c r="H5868" i="7" s="1"/>
  <c r="H5869" i="7" a="1"/>
  <c r="H5869" i="7" s="1"/>
  <c r="H5870" i="7" a="1"/>
  <c r="H5870" i="7" s="1"/>
  <c r="H5871" i="7" a="1"/>
  <c r="H5871" i="7" s="1"/>
  <c r="H5872" i="7" a="1"/>
  <c r="H5872" i="7" s="1"/>
  <c r="H5876" i="7" a="1"/>
  <c r="H5876" i="7" s="1"/>
  <c r="H5877" i="7" a="1"/>
  <c r="H5877" i="7" s="1"/>
  <c r="H5878" i="7" a="1"/>
  <c r="H5878" i="7" s="1"/>
  <c r="H5879" i="7" a="1"/>
  <c r="H5879" i="7" s="1"/>
  <c r="H5880" i="7" a="1"/>
  <c r="H5880" i="7" s="1"/>
  <c r="H5881" i="7" a="1"/>
  <c r="H5881" i="7" s="1"/>
  <c r="H5882" i="7" a="1"/>
  <c r="H5882" i="7" s="1"/>
  <c r="H5883" i="7" a="1"/>
  <c r="H5883" i="7" s="1"/>
  <c r="H5884" i="7" a="1"/>
  <c r="H5884" i="7" s="1"/>
  <c r="H5885" i="7" a="1"/>
  <c r="H5885" i="7" s="1"/>
  <c r="H5886" i="7" a="1"/>
  <c r="H5886" i="7" s="1"/>
  <c r="H5887" i="7" a="1"/>
  <c r="H5887" i="7" s="1"/>
  <c r="H5888" i="7" a="1"/>
  <c r="H5888" i="7" s="1"/>
  <c r="H5889" i="7" a="1"/>
  <c r="H5889" i="7" s="1"/>
  <c r="H5890" i="7" a="1"/>
  <c r="H5890" i="7" s="1"/>
  <c r="H5891" i="7" a="1"/>
  <c r="H5891" i="7" s="1"/>
  <c r="H5892" i="7" a="1"/>
  <c r="H5892" i="7" s="1"/>
  <c r="H5893" i="7" a="1"/>
  <c r="H5893" i="7" s="1"/>
  <c r="H5894" i="7" a="1"/>
  <c r="H5894" i="7" s="1"/>
  <c r="H5895" i="7" a="1"/>
  <c r="H5895" i="7" s="1"/>
  <c r="H5896" i="7" a="1"/>
  <c r="H5896" i="7" s="1"/>
  <c r="H5897" i="7" a="1"/>
  <c r="H5897" i="7" s="1"/>
  <c r="H5898" i="7" a="1"/>
  <c r="H5898" i="7" s="1"/>
  <c r="H5899" i="7" a="1"/>
  <c r="H5899" i="7" s="1"/>
  <c r="H5900" i="7" a="1"/>
  <c r="H5900" i="7" s="1"/>
  <c r="H5901" i="7" a="1"/>
  <c r="H5901" i="7" s="1"/>
  <c r="H5902" i="7" a="1"/>
  <c r="H5902" i="7" s="1"/>
  <c r="H5903" i="7" a="1"/>
  <c r="H5903" i="7" s="1"/>
  <c r="H5904" i="7" a="1"/>
  <c r="H5904" i="7" s="1"/>
  <c r="H5905" i="7" a="1"/>
  <c r="H5905" i="7" s="1"/>
  <c r="H5906" i="7" a="1"/>
  <c r="H5906" i="7" s="1"/>
  <c r="H5907" i="7" a="1"/>
  <c r="H5907" i="7" s="1"/>
  <c r="H5908" i="7" a="1"/>
  <c r="H5908" i="7" s="1"/>
  <c r="H5909" i="7" a="1"/>
  <c r="H5909" i="7" s="1"/>
  <c r="H5910" i="7" a="1"/>
  <c r="H5910" i="7" s="1"/>
  <c r="H5911" i="7" a="1"/>
  <c r="H5911" i="7" s="1"/>
  <c r="H5912" i="7" a="1"/>
  <c r="H5912" i="7" s="1"/>
  <c r="H5913" i="7" a="1"/>
  <c r="H5913" i="7" s="1"/>
  <c r="H5914" i="7" a="1"/>
  <c r="H5914" i="7" s="1"/>
  <c r="H5915" i="7" a="1"/>
  <c r="H5915" i="7" s="1"/>
  <c r="H5916" i="7" a="1"/>
  <c r="H5916" i="7" s="1"/>
  <c r="H5917" i="7" a="1"/>
  <c r="H5917" i="7" s="1"/>
  <c r="H5918" i="7" a="1"/>
  <c r="H5918" i="7" s="1"/>
  <c r="H5919" i="7" a="1"/>
  <c r="H5919" i="7" s="1"/>
  <c r="H5920" i="7" a="1"/>
  <c r="H5920" i="7" s="1"/>
  <c r="H5921" i="7" a="1"/>
  <c r="H5921" i="7" s="1"/>
  <c r="H5922" i="7" a="1"/>
  <c r="H5922" i="7" s="1"/>
  <c r="H5923" i="7" a="1"/>
  <c r="H5923" i="7" s="1"/>
  <c r="H5924" i="7" a="1"/>
  <c r="H5924" i="7" s="1"/>
  <c r="H5925" i="7" a="1"/>
  <c r="H5925" i="7" s="1"/>
  <c r="H5926" i="7" a="1"/>
  <c r="H5926" i="7" s="1"/>
  <c r="H5927" i="7" a="1"/>
  <c r="H5927" i="7" s="1"/>
  <c r="H5928" i="7" a="1"/>
  <c r="H5928" i="7" s="1"/>
  <c r="H5929" i="7" a="1"/>
  <c r="H5929" i="7" s="1"/>
  <c r="H5930" i="7" a="1"/>
  <c r="H5930" i="7" s="1"/>
  <c r="H5931" i="7" a="1"/>
  <c r="H5931" i="7" s="1"/>
  <c r="H5932" i="7" a="1"/>
  <c r="H5932" i="7" s="1"/>
  <c r="H5933" i="7" a="1"/>
  <c r="H5933" i="7" s="1"/>
  <c r="H5934" i="7" a="1"/>
  <c r="H5934" i="7" s="1"/>
  <c r="H5935" i="7" a="1"/>
  <c r="H5935" i="7" s="1"/>
  <c r="H5936" i="7" a="1"/>
  <c r="H5936" i="7" s="1"/>
  <c r="H5937" i="7" a="1"/>
  <c r="H5937" i="7" s="1"/>
  <c r="H5938" i="7" a="1"/>
  <c r="H5938" i="7" s="1"/>
  <c r="H5939" i="7" a="1"/>
  <c r="H5939" i="7" s="1"/>
  <c r="H5940" i="7" a="1"/>
  <c r="H5940" i="7" s="1"/>
  <c r="H5941" i="7" a="1"/>
  <c r="H5941" i="7" s="1"/>
  <c r="H5942" i="7" a="1"/>
  <c r="H5942" i="7" s="1"/>
  <c r="H5943" i="7" a="1"/>
  <c r="H5943" i="7" s="1"/>
  <c r="H5944" i="7" a="1"/>
  <c r="H5944" i="7" s="1"/>
  <c r="H5945" i="7" a="1"/>
  <c r="H5945" i="7" s="1"/>
  <c r="H5946" i="7" a="1"/>
  <c r="H5946" i="7" s="1"/>
  <c r="H5947" i="7" a="1"/>
  <c r="H5947" i="7" s="1"/>
  <c r="H5948" i="7" a="1"/>
  <c r="H5948" i="7" s="1"/>
  <c r="H5949" i="7" a="1"/>
  <c r="H5949" i="7" s="1"/>
  <c r="H5950" i="7" a="1"/>
  <c r="H5950" i="7" s="1"/>
  <c r="H5951" i="7" a="1"/>
  <c r="H5951" i="7" s="1"/>
  <c r="H5952" i="7" a="1"/>
  <c r="H5952" i="7" s="1"/>
  <c r="H5953" i="7" a="1"/>
  <c r="H5953" i="7" s="1"/>
  <c r="H5954" i="7" a="1"/>
  <c r="H5954" i="7" s="1"/>
  <c r="H5955" i="7" a="1"/>
  <c r="H5955" i="7" s="1"/>
  <c r="H5956" i="7" a="1"/>
  <c r="H5956" i="7" s="1"/>
  <c r="H5957" i="7" a="1"/>
  <c r="H5957" i="7" s="1"/>
  <c r="H5958" i="7" a="1"/>
  <c r="H5958" i="7" s="1"/>
  <c r="H5959" i="7" a="1"/>
  <c r="H5959" i="7" s="1"/>
  <c r="H5960" i="7" a="1"/>
  <c r="H5960" i="7" s="1"/>
  <c r="H5961" i="7" a="1"/>
  <c r="H5961" i="7" s="1"/>
  <c r="H5962" i="7" a="1"/>
  <c r="H5962" i="7" s="1"/>
  <c r="H5963" i="7" a="1"/>
  <c r="H5963" i="7" s="1"/>
  <c r="H5964" i="7" a="1"/>
  <c r="H5964" i="7" s="1"/>
  <c r="H5965" i="7" a="1"/>
  <c r="H5965" i="7" s="1"/>
  <c r="H5966" i="7" a="1"/>
  <c r="H5966" i="7" s="1"/>
  <c r="H5967" i="7" a="1"/>
  <c r="H5967" i="7" s="1"/>
  <c r="H5968" i="7" a="1"/>
  <c r="H5968" i="7" s="1"/>
  <c r="H5969" i="7" a="1"/>
  <c r="H5969" i="7" s="1"/>
  <c r="H5970" i="7" a="1"/>
  <c r="H5970" i="7" s="1"/>
  <c r="H5971" i="7" a="1"/>
  <c r="H5971" i="7" s="1"/>
  <c r="H5972" i="7" a="1"/>
  <c r="H5972" i="7" s="1"/>
  <c r="H5973" i="7" a="1"/>
  <c r="H5973" i="7" s="1"/>
  <c r="H5974" i="7" a="1"/>
  <c r="H5974" i="7" s="1"/>
  <c r="H5975" i="7" a="1"/>
  <c r="H5975" i="7" s="1"/>
  <c r="H5976" i="7" a="1"/>
  <c r="H5976" i="7" s="1"/>
  <c r="H5977" i="7" a="1"/>
  <c r="H5977" i="7" s="1"/>
  <c r="H5978" i="7" a="1"/>
  <c r="H5978" i="7" s="1"/>
  <c r="H5979" i="7" a="1"/>
  <c r="H5979" i="7" s="1"/>
  <c r="H5980" i="7" a="1"/>
  <c r="H5980" i="7" s="1"/>
  <c r="H5981" i="7" a="1"/>
  <c r="H5981" i="7" s="1"/>
  <c r="H5982" i="7" a="1"/>
  <c r="H5982" i="7" s="1"/>
  <c r="H5983" i="7" a="1"/>
  <c r="H5983" i="7" s="1"/>
  <c r="H5984" i="7" a="1"/>
  <c r="H5984" i="7" s="1"/>
  <c r="H5985" i="7" a="1"/>
  <c r="H5985" i="7" s="1"/>
  <c r="H5986" i="7" a="1"/>
  <c r="H5986" i="7" s="1"/>
  <c r="H5987" i="7" a="1"/>
  <c r="H5987" i="7" s="1"/>
  <c r="H5988" i="7" a="1"/>
  <c r="H5988" i="7" s="1"/>
  <c r="H5989" i="7" a="1"/>
  <c r="H5989" i="7" s="1"/>
  <c r="H5990" i="7" a="1"/>
  <c r="H5990" i="7" s="1"/>
  <c r="H5991" i="7" a="1"/>
  <c r="H5991" i="7" s="1"/>
  <c r="H5992" i="7" a="1"/>
  <c r="H5992" i="7" s="1"/>
  <c r="H5993" i="7" a="1"/>
  <c r="H5993" i="7" s="1"/>
  <c r="H5994" i="7" a="1"/>
  <c r="H5994" i="7" s="1"/>
  <c r="H5995" i="7" a="1"/>
  <c r="H5995" i="7" s="1"/>
  <c r="H5996" i="7" a="1"/>
  <c r="H5996" i="7" s="1"/>
  <c r="H5997" i="7" a="1"/>
  <c r="H5997" i="7" s="1"/>
  <c r="H5998" i="7" a="1"/>
  <c r="H5998" i="7" s="1"/>
  <c r="H5999" i="7" a="1"/>
  <c r="H5999" i="7" s="1"/>
  <c r="H6000" i="7" a="1"/>
  <c r="H6000" i="7" s="1"/>
  <c r="H6001" i="7" a="1"/>
  <c r="H6001" i="7" s="1"/>
  <c r="H6002" i="7" a="1"/>
  <c r="H6002" i="7" s="1"/>
  <c r="H6003" i="7" a="1"/>
  <c r="H6003" i="7" s="1"/>
  <c r="H6004" i="7" a="1"/>
  <c r="H6004" i="7" s="1"/>
  <c r="H6005" i="7" a="1"/>
  <c r="H6005" i="7" s="1"/>
  <c r="H6006" i="7" a="1"/>
  <c r="H6006" i="7" s="1"/>
  <c r="H6007" i="7" a="1"/>
  <c r="H6007" i="7" s="1"/>
  <c r="H6008" i="7" a="1"/>
  <c r="H6008" i="7" s="1"/>
  <c r="H6009" i="7" a="1"/>
  <c r="H6009" i="7" s="1"/>
  <c r="H6010" i="7" a="1"/>
  <c r="H6010" i="7" s="1"/>
  <c r="H6011" i="7" a="1"/>
  <c r="H6011" i="7" s="1"/>
  <c r="H6012" i="7" a="1"/>
  <c r="H6012" i="7" s="1"/>
  <c r="H6013" i="7" a="1"/>
  <c r="H6013" i="7" s="1"/>
  <c r="H6014" i="7" a="1"/>
  <c r="H6014" i="7" s="1"/>
  <c r="H6015" i="7" a="1"/>
  <c r="H6015" i="7" s="1"/>
  <c r="H6016" i="7" a="1"/>
  <c r="H6016" i="7" s="1"/>
  <c r="H6017" i="7" a="1"/>
  <c r="H6017" i="7" s="1"/>
  <c r="H6018" i="7" a="1"/>
  <c r="H6018" i="7" s="1"/>
  <c r="H6019" i="7" a="1"/>
  <c r="H6019" i="7" s="1"/>
  <c r="H6020" i="7" a="1"/>
  <c r="H6020" i="7" s="1"/>
  <c r="H6021" i="7" a="1"/>
  <c r="H6021" i="7" s="1"/>
  <c r="H6022" i="7" a="1"/>
  <c r="H6022" i="7" s="1"/>
  <c r="H6023" i="7" a="1"/>
  <c r="H6023" i="7" s="1"/>
  <c r="H6024" i="7" a="1"/>
  <c r="H6024" i="7" s="1"/>
  <c r="H6025" i="7" a="1"/>
  <c r="H6025" i="7" s="1"/>
  <c r="H6026" i="7" a="1"/>
  <c r="H6026" i="7" s="1"/>
  <c r="H6027" i="7" a="1"/>
  <c r="H6027" i="7" s="1"/>
  <c r="H6028" i="7" a="1"/>
  <c r="H6028" i="7" s="1"/>
  <c r="H6029" i="7" a="1"/>
  <c r="H6029" i="7" s="1"/>
  <c r="H6030" i="7" a="1"/>
  <c r="H6030" i="7" s="1"/>
  <c r="H6031" i="7" a="1"/>
  <c r="H6031" i="7" s="1"/>
  <c r="H6032" i="7" a="1"/>
  <c r="H6032" i="7" s="1"/>
  <c r="H6033" i="7" a="1"/>
  <c r="H6033" i="7" s="1"/>
  <c r="H6034" i="7" a="1"/>
  <c r="H6034" i="7" s="1"/>
  <c r="H6035" i="7" a="1"/>
  <c r="H6035" i="7" s="1"/>
  <c r="H6036" i="7" a="1"/>
  <c r="H6036" i="7" s="1"/>
  <c r="H6037" i="7" a="1"/>
  <c r="H6037" i="7" s="1"/>
  <c r="H6038" i="7" a="1"/>
  <c r="H6038" i="7" s="1"/>
  <c r="H6039" i="7" a="1"/>
  <c r="H6039" i="7" s="1"/>
  <c r="H6040" i="7" a="1"/>
  <c r="H6040" i="7" s="1"/>
  <c r="H6041" i="7" a="1"/>
  <c r="H6041" i="7" s="1"/>
  <c r="H6042" i="7" a="1"/>
  <c r="H6042" i="7" s="1"/>
  <c r="H6043" i="7" a="1"/>
  <c r="H6043" i="7" s="1"/>
  <c r="H6044" i="7" a="1"/>
  <c r="H6044" i="7" s="1"/>
  <c r="H6045" i="7" a="1"/>
  <c r="H6045" i="7" s="1"/>
  <c r="H6046" i="7" a="1"/>
  <c r="H6046" i="7" s="1"/>
  <c r="H6047" i="7" a="1"/>
  <c r="H6047" i="7" s="1"/>
  <c r="H6048" i="7" a="1"/>
  <c r="H6048" i="7" s="1"/>
  <c r="H6049" i="7" a="1"/>
  <c r="H6049" i="7" s="1"/>
  <c r="H6050" i="7" a="1"/>
  <c r="H6050" i="7" s="1"/>
  <c r="H6051" i="7" a="1"/>
  <c r="H6051" i="7" s="1"/>
  <c r="H6052" i="7" a="1"/>
  <c r="H6052" i="7" s="1"/>
  <c r="H6053" i="7" a="1"/>
  <c r="H6053" i="7" s="1"/>
  <c r="H6054" i="7" a="1"/>
  <c r="H6054" i="7" s="1"/>
  <c r="H6055" i="7" a="1"/>
  <c r="H6055" i="7" s="1"/>
  <c r="H6056" i="7" a="1"/>
  <c r="H6056" i="7" s="1"/>
  <c r="H6057" i="7" a="1"/>
  <c r="H6057" i="7" s="1"/>
  <c r="H6058" i="7" a="1"/>
  <c r="H6058" i="7" s="1"/>
  <c r="H6059" i="7" a="1"/>
  <c r="H6059" i="7" s="1"/>
  <c r="H6060" i="7" a="1"/>
  <c r="H6060" i="7" s="1"/>
  <c r="H6061" i="7" a="1"/>
  <c r="H6061" i="7" s="1"/>
  <c r="H6062" i="7" a="1"/>
  <c r="H6062" i="7" s="1"/>
  <c r="H6063" i="7" a="1"/>
  <c r="H6063" i="7" s="1"/>
  <c r="H6064" i="7" a="1"/>
  <c r="H6064" i="7" s="1"/>
  <c r="H6065" i="7" a="1"/>
  <c r="H6065" i="7" s="1"/>
  <c r="H6066" i="7" a="1"/>
  <c r="H6066" i="7" s="1"/>
  <c r="H6067" i="7" a="1"/>
  <c r="H6067" i="7" s="1"/>
  <c r="H6068" i="7" a="1"/>
  <c r="H6068" i="7" s="1"/>
  <c r="H6069" i="7" a="1"/>
  <c r="H6069" i="7" s="1"/>
  <c r="H6070" i="7" a="1"/>
  <c r="H6070" i="7" s="1"/>
  <c r="H6071" i="7" a="1"/>
  <c r="H6071" i="7" s="1"/>
  <c r="H6072" i="7" a="1"/>
  <c r="H6072" i="7" s="1"/>
  <c r="H6073" i="7" a="1"/>
  <c r="H6073" i="7" s="1"/>
  <c r="H6074" i="7" a="1"/>
  <c r="H6074" i="7" s="1"/>
  <c r="H6075" i="7" a="1"/>
  <c r="H6075" i="7" s="1"/>
  <c r="H6076" i="7" a="1"/>
  <c r="H6076" i="7" s="1"/>
  <c r="H6077" i="7" a="1"/>
  <c r="H6077" i="7" s="1"/>
  <c r="H6078" i="7" a="1"/>
  <c r="H6078" i="7" s="1"/>
  <c r="H6079" i="7" a="1"/>
  <c r="H6079" i="7" s="1"/>
  <c r="H6080" i="7" a="1"/>
  <c r="H6080" i="7" s="1"/>
  <c r="H6081" i="7" a="1"/>
  <c r="H6081" i="7" s="1"/>
  <c r="H6082" i="7" a="1"/>
  <c r="H6082" i="7" s="1"/>
  <c r="H6083" i="7" a="1"/>
  <c r="H6083" i="7" s="1"/>
  <c r="H6084" i="7" a="1"/>
  <c r="H6084" i="7" s="1"/>
  <c r="H6085" i="7" a="1"/>
  <c r="H6085" i="7" s="1"/>
  <c r="H6086" i="7" a="1"/>
  <c r="H6086" i="7" s="1"/>
  <c r="H6087" i="7" a="1"/>
  <c r="H6087" i="7" s="1"/>
  <c r="H6088" i="7" a="1"/>
  <c r="H6088" i="7" s="1"/>
  <c r="H6089" i="7" a="1"/>
  <c r="H6089" i="7" s="1"/>
  <c r="H6090" i="7" a="1"/>
  <c r="H6090" i="7" s="1"/>
  <c r="H6091" i="7" a="1"/>
  <c r="H6091" i="7" s="1"/>
  <c r="H6092" i="7" a="1"/>
  <c r="H6092" i="7" s="1"/>
  <c r="H6093" i="7" a="1"/>
  <c r="H6093" i="7" s="1"/>
  <c r="H6094" i="7" a="1"/>
  <c r="H6094" i="7" s="1"/>
  <c r="H6095" i="7" a="1"/>
  <c r="H6095" i="7" s="1"/>
  <c r="H6096" i="7" a="1"/>
  <c r="H6096" i="7" s="1"/>
  <c r="H6097" i="7" a="1"/>
  <c r="H6097" i="7" s="1"/>
  <c r="H6098" i="7" a="1"/>
  <c r="H6098" i="7" s="1"/>
  <c r="H6099" i="7" a="1"/>
  <c r="H6099" i="7" s="1"/>
  <c r="H6100" i="7" a="1"/>
  <c r="H6100" i="7" s="1"/>
  <c r="H6101" i="7" a="1"/>
  <c r="H6101" i="7" s="1"/>
  <c r="H6102" i="7" a="1"/>
  <c r="H6102" i="7" s="1"/>
  <c r="H6103" i="7" a="1"/>
  <c r="H6103" i="7" s="1"/>
  <c r="H6104" i="7" a="1"/>
  <c r="H6104" i="7" s="1"/>
  <c r="H6105" i="7" a="1"/>
  <c r="H6105" i="7" s="1"/>
  <c r="H6106" i="7" a="1"/>
  <c r="H6106" i="7" s="1"/>
  <c r="H6107" i="7" a="1"/>
  <c r="H6107" i="7" s="1"/>
  <c r="H6108" i="7" a="1"/>
  <c r="H6108" i="7" s="1"/>
  <c r="H6109" i="7" a="1"/>
  <c r="H6109" i="7" s="1"/>
  <c r="H6110" i="7" a="1"/>
  <c r="H6110" i="7" s="1"/>
  <c r="H6111" i="7" a="1"/>
  <c r="H6111" i="7" s="1"/>
  <c r="H6112" i="7" a="1"/>
  <c r="H6112" i="7" s="1"/>
  <c r="H6113" i="7" a="1"/>
  <c r="H6113" i="7" s="1"/>
  <c r="H6114" i="7" a="1"/>
  <c r="H6114" i="7" s="1"/>
  <c r="H6115" i="7" a="1"/>
  <c r="H6115" i="7" s="1"/>
  <c r="H6116" i="7" a="1"/>
  <c r="H6116" i="7" s="1"/>
  <c r="H6117" i="7" a="1"/>
  <c r="H6117" i="7" s="1"/>
  <c r="H6118" i="7" a="1"/>
  <c r="H6118" i="7" s="1"/>
  <c r="H6121" i="7" a="1"/>
  <c r="H6121" i="7" s="1"/>
  <c r="H6122" i="7" a="1"/>
  <c r="H6122" i="7" s="1"/>
  <c r="H6123" i="7" a="1"/>
  <c r="H6123" i="7" s="1"/>
  <c r="H6124" i="7" a="1"/>
  <c r="H6124" i="7" s="1"/>
  <c r="H6125" i="7" a="1"/>
  <c r="H6125" i="7" s="1"/>
  <c r="H6126" i="7" a="1"/>
  <c r="H6126" i="7" s="1"/>
  <c r="H6127" i="7" a="1"/>
  <c r="H6127" i="7" s="1"/>
  <c r="H6128" i="7" a="1"/>
  <c r="H6128" i="7" s="1"/>
  <c r="H6129" i="7" a="1"/>
  <c r="H6129" i="7" s="1"/>
  <c r="H6130" i="7" a="1"/>
  <c r="H6130" i="7" s="1"/>
  <c r="H6131" i="7" a="1"/>
  <c r="H6131" i="7" s="1"/>
  <c r="H6132" i="7" a="1"/>
  <c r="H6132" i="7" s="1"/>
  <c r="H6133" i="7" a="1"/>
  <c r="H6133" i="7" s="1"/>
  <c r="H6134" i="7" a="1"/>
  <c r="H6134" i="7" s="1"/>
  <c r="H6135" i="7" a="1"/>
  <c r="H6135" i="7" s="1"/>
  <c r="H6136" i="7" a="1"/>
  <c r="H6136" i="7" s="1"/>
  <c r="H6137" i="7" a="1"/>
  <c r="H6137" i="7" s="1"/>
  <c r="H6138" i="7" a="1"/>
  <c r="H6138" i="7" s="1"/>
  <c r="H6139" i="7" a="1"/>
  <c r="H6139" i="7" s="1"/>
  <c r="H6140" i="7" a="1"/>
  <c r="H6140" i="7" s="1"/>
  <c r="H6141" i="7" a="1"/>
  <c r="H6141" i="7" s="1"/>
  <c r="H6142" i="7" a="1"/>
  <c r="H6142" i="7" s="1"/>
  <c r="H6143" i="7" a="1"/>
  <c r="H6143" i="7" s="1"/>
  <c r="H6144" i="7" a="1"/>
  <c r="H6144" i="7" s="1"/>
  <c r="H6145" i="7" a="1"/>
  <c r="H6145" i="7" s="1"/>
  <c r="H6146" i="7" a="1"/>
  <c r="H6146" i="7" s="1"/>
  <c r="H6147" i="7" a="1"/>
  <c r="H6147" i="7" s="1"/>
  <c r="H6148" i="7" a="1"/>
  <c r="H6148" i="7" s="1"/>
  <c r="H6149" i="7" a="1"/>
  <c r="H6149" i="7" s="1"/>
  <c r="H6150" i="7" a="1"/>
  <c r="H6150" i="7" s="1"/>
  <c r="H6151" i="7" a="1"/>
  <c r="H6151" i="7" s="1"/>
  <c r="H6152" i="7" a="1"/>
  <c r="H6152" i="7" s="1"/>
  <c r="H298" i="7" a="1"/>
  <c r="H298" i="7" s="1"/>
  <c r="H299" i="7" a="1"/>
  <c r="H299" i="7" s="1"/>
  <c r="H217" i="7" a="1"/>
  <c r="H217" i="7" s="1"/>
  <c r="H218" i="7" a="1"/>
  <c r="H218" i="7" s="1"/>
  <c r="H219" i="7" a="1"/>
  <c r="H219" i="7" s="1"/>
  <c r="H220" i="7" a="1"/>
  <c r="H220" i="7" s="1"/>
  <c r="H221" i="7" a="1"/>
  <c r="H221" i="7" s="1"/>
  <c r="H222" i="7" a="1"/>
  <c r="H222" i="7" s="1"/>
  <c r="H223" i="7" a="1"/>
  <c r="H223" i="7" s="1"/>
  <c r="H224" i="7" a="1"/>
  <c r="H224" i="7" s="1"/>
  <c r="H225" i="7" a="1"/>
  <c r="H225" i="7" s="1"/>
  <c r="H226" i="7" a="1"/>
  <c r="H226" i="7" s="1"/>
  <c r="H227" i="7" a="1"/>
  <c r="H227" i="7" s="1"/>
  <c r="H228" i="7" a="1"/>
  <c r="H228" i="7" s="1"/>
  <c r="H229" i="7" a="1"/>
  <c r="H229" i="7" s="1"/>
  <c r="H230" i="7" a="1"/>
  <c r="H230" i="7" s="1"/>
  <c r="H231" i="7" a="1"/>
  <c r="H231" i="7" s="1"/>
  <c r="H232" i="7" a="1"/>
  <c r="H232" i="7" s="1"/>
  <c r="H233" i="7" a="1"/>
  <c r="H233" i="7" s="1"/>
  <c r="H234" i="7" a="1"/>
  <c r="H234" i="7" s="1"/>
  <c r="H235" i="7" a="1"/>
  <c r="H235" i="7" s="1"/>
  <c r="H236" i="7" a="1"/>
  <c r="H236" i="7" s="1"/>
  <c r="H237" i="7" a="1"/>
  <c r="H237" i="7" s="1"/>
  <c r="H238" i="7" a="1"/>
  <c r="H238" i="7" s="1"/>
  <c r="H239" i="7" a="1"/>
  <c r="H239" i="7" s="1"/>
  <c r="H240" i="7" a="1"/>
  <c r="H240" i="7" s="1"/>
  <c r="H241" i="7" a="1"/>
  <c r="H241" i="7" s="1"/>
  <c r="H242" i="7" a="1"/>
  <c r="H242" i="7" s="1"/>
  <c r="H243" i="7" a="1"/>
  <c r="H243" i="7" s="1"/>
  <c r="H244" i="7" a="1"/>
  <c r="H244" i="7" s="1"/>
  <c r="H245" i="7" a="1"/>
  <c r="H245" i="7" s="1"/>
  <c r="H246" i="7" a="1"/>
  <c r="H246" i="7" s="1"/>
  <c r="H247" i="7" a="1"/>
  <c r="H247" i="7" s="1"/>
  <c r="H248" i="7" a="1"/>
  <c r="H248" i="7" s="1"/>
  <c r="H249" i="7" a="1"/>
  <c r="H249" i="7" s="1"/>
  <c r="H250" i="7" a="1"/>
  <c r="H250" i="7" s="1"/>
  <c r="H251" i="7" a="1"/>
  <c r="H251" i="7" s="1"/>
  <c r="H252" i="7" a="1"/>
  <c r="H252" i="7" s="1"/>
  <c r="H253" i="7" a="1"/>
  <c r="H253" i="7" s="1"/>
  <c r="H254" i="7" a="1"/>
  <c r="H254" i="7" s="1"/>
  <c r="H255" i="7" a="1"/>
  <c r="H255" i="7" s="1"/>
  <c r="H256" i="7" a="1"/>
  <c r="H256" i="7" s="1"/>
  <c r="H257" i="7" a="1"/>
  <c r="H257" i="7" s="1"/>
  <c r="H258" i="7" a="1"/>
  <c r="H258" i="7" s="1"/>
  <c r="H259" i="7" a="1"/>
  <c r="H259" i="7" s="1"/>
  <c r="H260" i="7" a="1"/>
  <c r="H260" i="7" s="1"/>
  <c r="H261" i="7" a="1"/>
  <c r="H261" i="7" s="1"/>
  <c r="H262" i="7" a="1"/>
  <c r="H262" i="7" s="1"/>
  <c r="H263" i="7" a="1"/>
  <c r="H263" i="7" s="1"/>
  <c r="H264" i="7" a="1"/>
  <c r="H264" i="7" s="1"/>
  <c r="H265" i="7" a="1"/>
  <c r="H265" i="7" s="1"/>
  <c r="H266" i="7" a="1"/>
  <c r="H266" i="7" s="1"/>
  <c r="H267" i="7" a="1"/>
  <c r="H267" i="7" s="1"/>
  <c r="H268" i="7" a="1"/>
  <c r="H268" i="7" s="1"/>
  <c r="H269" i="7" a="1"/>
  <c r="H269" i="7" s="1"/>
  <c r="H270" i="7" a="1"/>
  <c r="H270" i="7" s="1"/>
  <c r="H271" i="7" a="1"/>
  <c r="H271" i="7" s="1"/>
  <c r="H272" i="7" a="1"/>
  <c r="H272" i="7" s="1"/>
  <c r="H273" i="7" a="1"/>
  <c r="H273" i="7" s="1"/>
  <c r="H274" i="7" a="1"/>
  <c r="H274" i="7" s="1"/>
  <c r="H275" i="7" a="1"/>
  <c r="H275" i="7" s="1"/>
  <c r="H276" i="7" a="1"/>
  <c r="H276" i="7" s="1"/>
  <c r="H277" i="7" a="1"/>
  <c r="H277" i="7" s="1"/>
  <c r="H278" i="7" a="1"/>
  <c r="H278" i="7" s="1"/>
  <c r="H279" i="7" a="1"/>
  <c r="H279" i="7" s="1"/>
  <c r="H280" i="7" a="1"/>
  <c r="H280" i="7" s="1"/>
  <c r="H281" i="7" a="1"/>
  <c r="H281" i="7" s="1"/>
  <c r="H282" i="7" a="1"/>
  <c r="H282" i="7" s="1"/>
  <c r="H283" i="7" a="1"/>
  <c r="H283" i="7" s="1"/>
  <c r="H284" i="7" a="1"/>
  <c r="H284" i="7" s="1"/>
  <c r="H285" i="7" a="1"/>
  <c r="H285" i="7" s="1"/>
  <c r="H286" i="7" a="1"/>
  <c r="H286" i="7" s="1"/>
  <c r="H287" i="7" a="1"/>
  <c r="H287" i="7" s="1"/>
  <c r="H288" i="7" a="1"/>
  <c r="H288" i="7" s="1"/>
  <c r="H289" i="7" a="1"/>
  <c r="H289" i="7" s="1"/>
  <c r="H290" i="7" a="1"/>
  <c r="H290" i="7" s="1"/>
  <c r="H291" i="7" a="1"/>
  <c r="H291" i="7" s="1"/>
  <c r="H292" i="7" a="1"/>
  <c r="H292" i="7" s="1"/>
  <c r="H293" i="7" a="1"/>
  <c r="H293" i="7" s="1"/>
  <c r="H294" i="7" a="1"/>
  <c r="H294" i="7" s="1"/>
  <c r="H295" i="7" a="1"/>
  <c r="H295" i="7" s="1"/>
  <c r="H296" i="7" a="1"/>
  <c r="H296" i="7" s="1"/>
  <c r="H297" i="7" a="1"/>
  <c r="H297" i="7" s="1"/>
  <c r="H215" i="7" a="1"/>
  <c r="H215" i="7" s="1"/>
  <c r="H216" i="7" a="1"/>
  <c r="H216" i="7" s="1"/>
  <c r="H10" i="7" a="1"/>
  <c r="H10" i="7" s="1"/>
  <c r="H11" i="7" a="1"/>
  <c r="H11" i="7" s="1"/>
  <c r="H12" i="7" a="1"/>
  <c r="H12" i="7" s="1"/>
  <c r="H13" i="7" a="1"/>
  <c r="H13" i="7" s="1"/>
  <c r="H14" i="7" a="1"/>
  <c r="H14" i="7" s="1"/>
  <c r="H15" i="7" a="1"/>
  <c r="H15" i="7" s="1"/>
  <c r="H16" i="7" a="1"/>
  <c r="H16" i="7" s="1"/>
  <c r="H17" i="7" a="1"/>
  <c r="H17" i="7" s="1"/>
  <c r="H18" i="7" a="1"/>
  <c r="H18" i="7" s="1"/>
  <c r="H19" i="7" a="1"/>
  <c r="H19" i="7" s="1"/>
  <c r="H20" i="7" a="1"/>
  <c r="H20" i="7" s="1"/>
  <c r="H21" i="7" a="1"/>
  <c r="H21" i="7" s="1"/>
  <c r="H22" i="7" a="1"/>
  <c r="H22" i="7" s="1"/>
  <c r="H23" i="7" a="1"/>
  <c r="H23" i="7" s="1"/>
  <c r="H24" i="7" a="1"/>
  <c r="H24" i="7" s="1"/>
  <c r="H25" i="7" a="1"/>
  <c r="H25" i="7" s="1"/>
  <c r="H26" i="7" a="1"/>
  <c r="H26" i="7" s="1"/>
  <c r="H27" i="7" a="1"/>
  <c r="H27" i="7" s="1"/>
  <c r="H28" i="7" a="1"/>
  <c r="H28" i="7" s="1"/>
  <c r="H29" i="7" a="1"/>
  <c r="H29" i="7" s="1"/>
  <c r="H30" i="7" a="1"/>
  <c r="H30" i="7" s="1"/>
  <c r="H31" i="7" a="1"/>
  <c r="H31" i="7" s="1"/>
  <c r="H32" i="7" a="1"/>
  <c r="H32" i="7" s="1"/>
  <c r="H33" i="7" a="1"/>
  <c r="H33" i="7" s="1"/>
  <c r="H34" i="7" a="1"/>
  <c r="H34" i="7" s="1"/>
  <c r="H35" i="7" a="1"/>
  <c r="H35" i="7" s="1"/>
  <c r="H36" i="7" a="1"/>
  <c r="H36" i="7" s="1"/>
  <c r="H37" i="7" a="1"/>
  <c r="H37" i="7" s="1"/>
  <c r="H38" i="7" a="1"/>
  <c r="H38" i="7" s="1"/>
  <c r="H39" i="7" a="1"/>
  <c r="H39" i="7" s="1"/>
  <c r="H40" i="7" a="1"/>
  <c r="H40" i="7" s="1"/>
  <c r="H41" i="7" a="1"/>
  <c r="H41" i="7" s="1"/>
  <c r="H42" i="7" a="1"/>
  <c r="H42" i="7" s="1"/>
  <c r="H43" i="7" a="1"/>
  <c r="H43" i="7" s="1"/>
  <c r="H44" i="7" a="1"/>
  <c r="H44" i="7" s="1"/>
  <c r="H45" i="7" a="1"/>
  <c r="H45" i="7" s="1"/>
  <c r="H46" i="7" a="1"/>
  <c r="H46" i="7" s="1"/>
  <c r="H47" i="7" a="1"/>
  <c r="H47" i="7" s="1"/>
  <c r="H48" i="7" a="1"/>
  <c r="H48" i="7" s="1"/>
  <c r="H49" i="7" a="1"/>
  <c r="H49" i="7" s="1"/>
  <c r="H50" i="7" a="1"/>
  <c r="H50" i="7" s="1"/>
  <c r="H51" i="7" a="1"/>
  <c r="H51" i="7" s="1"/>
  <c r="H52" i="7" a="1"/>
  <c r="H52" i="7" s="1"/>
  <c r="H53" i="7" a="1"/>
  <c r="H53" i="7" s="1"/>
  <c r="H54" i="7" a="1"/>
  <c r="H54" i="7" s="1"/>
  <c r="H55" i="7" a="1"/>
  <c r="H55" i="7" s="1"/>
  <c r="H56" i="7" a="1"/>
  <c r="H56" i="7" s="1"/>
  <c r="H57" i="7" a="1"/>
  <c r="H57" i="7" s="1"/>
  <c r="H58" i="7" a="1"/>
  <c r="H58" i="7" s="1"/>
  <c r="H59" i="7" a="1"/>
  <c r="H59" i="7" s="1"/>
  <c r="H60" i="7" a="1"/>
  <c r="H60" i="7" s="1"/>
  <c r="H61" i="7" a="1"/>
  <c r="H61" i="7" s="1"/>
  <c r="H62" i="7" a="1"/>
  <c r="H62" i="7" s="1"/>
  <c r="H63" i="7" a="1"/>
  <c r="H63" i="7" s="1"/>
  <c r="H64" i="7" a="1"/>
  <c r="H64" i="7" s="1"/>
  <c r="H65" i="7" a="1"/>
  <c r="H65" i="7" s="1"/>
  <c r="H66" i="7" a="1"/>
  <c r="H66" i="7" s="1"/>
  <c r="H67" i="7" a="1"/>
  <c r="H67" i="7" s="1"/>
  <c r="H68" i="7" a="1"/>
  <c r="H68" i="7" s="1"/>
  <c r="H69" i="7" a="1"/>
  <c r="H69" i="7" s="1"/>
  <c r="H70" i="7" a="1"/>
  <c r="H70" i="7" s="1"/>
  <c r="H71" i="7" a="1"/>
  <c r="H71" i="7" s="1"/>
  <c r="H72" i="7" a="1"/>
  <c r="H72" i="7" s="1"/>
  <c r="H73" i="7" a="1"/>
  <c r="H73" i="7" s="1"/>
  <c r="H74" i="7" a="1"/>
  <c r="H74" i="7" s="1"/>
  <c r="H75" i="7" a="1"/>
  <c r="H75" i="7" s="1"/>
  <c r="H76" i="7" a="1"/>
  <c r="H76" i="7" s="1"/>
  <c r="H77" i="7" a="1"/>
  <c r="H77" i="7" s="1"/>
  <c r="H78" i="7" a="1"/>
  <c r="H78" i="7" s="1"/>
  <c r="H79" i="7" a="1"/>
  <c r="H79" i="7" s="1"/>
  <c r="H80" i="7" a="1"/>
  <c r="H80" i="7" s="1"/>
  <c r="H81" i="7" a="1"/>
  <c r="H81" i="7" s="1"/>
  <c r="H82" i="7" a="1"/>
  <c r="H82" i="7" s="1"/>
  <c r="H83" i="7" a="1"/>
  <c r="H83" i="7" s="1"/>
  <c r="H84" i="7" a="1"/>
  <c r="H84" i="7" s="1"/>
  <c r="H85" i="7" a="1"/>
  <c r="H85" i="7" s="1"/>
  <c r="H86" i="7" a="1"/>
  <c r="H86" i="7" s="1"/>
  <c r="H87" i="7" a="1"/>
  <c r="H87" i="7" s="1"/>
  <c r="H88" i="7" a="1"/>
  <c r="H88" i="7" s="1"/>
  <c r="H89" i="7" a="1"/>
  <c r="H89" i="7" s="1"/>
  <c r="H90" i="7" a="1"/>
  <c r="H90" i="7" s="1"/>
  <c r="H91" i="7" a="1"/>
  <c r="H91" i="7" s="1"/>
  <c r="H92" i="7" a="1"/>
  <c r="H92" i="7" s="1"/>
  <c r="H93" i="7" a="1"/>
  <c r="H93" i="7" s="1"/>
  <c r="H94" i="7" a="1"/>
  <c r="H94" i="7" s="1"/>
  <c r="H95" i="7" a="1"/>
  <c r="H95" i="7" s="1"/>
  <c r="H96" i="7" a="1"/>
  <c r="H96" i="7" s="1"/>
  <c r="H97" i="7" a="1"/>
  <c r="H97" i="7" s="1"/>
  <c r="H98" i="7" a="1"/>
  <c r="H98" i="7" s="1"/>
  <c r="H99" i="7" a="1"/>
  <c r="H99" i="7" s="1"/>
  <c r="H100" i="7" a="1"/>
  <c r="H100" i="7" s="1"/>
  <c r="H101" i="7" a="1"/>
  <c r="H101" i="7" s="1"/>
  <c r="H102" i="7" a="1"/>
  <c r="H102" i="7" s="1"/>
  <c r="H103" i="7" a="1"/>
  <c r="H103" i="7" s="1"/>
  <c r="H104" i="7" a="1"/>
  <c r="H104" i="7" s="1"/>
  <c r="H105" i="7" a="1"/>
  <c r="H105" i="7" s="1"/>
  <c r="H106" i="7" a="1"/>
  <c r="H106" i="7" s="1"/>
  <c r="H107" i="7" a="1"/>
  <c r="H107" i="7" s="1"/>
  <c r="H108" i="7" a="1"/>
  <c r="H108" i="7" s="1"/>
  <c r="H109" i="7" a="1"/>
  <c r="H109" i="7" s="1"/>
  <c r="H110" i="7" a="1"/>
  <c r="H110" i="7" s="1"/>
  <c r="H111" i="7" a="1"/>
  <c r="H111" i="7" s="1"/>
  <c r="H112" i="7" a="1"/>
  <c r="H112" i="7" s="1"/>
  <c r="H113" i="7" a="1"/>
  <c r="H113" i="7" s="1"/>
  <c r="H114" i="7" a="1"/>
  <c r="H114" i="7" s="1"/>
  <c r="H115" i="7" a="1"/>
  <c r="H115" i="7" s="1"/>
  <c r="H116" i="7" a="1"/>
  <c r="H116" i="7" s="1"/>
  <c r="H117" i="7" a="1"/>
  <c r="H117" i="7" s="1"/>
  <c r="H118" i="7" a="1"/>
  <c r="H118" i="7" s="1"/>
  <c r="H119" i="7" a="1"/>
  <c r="H119" i="7" s="1"/>
  <c r="H120" i="7" a="1"/>
  <c r="H120" i="7" s="1"/>
  <c r="H121" i="7" a="1"/>
  <c r="H121" i="7" s="1"/>
  <c r="H122" i="7" a="1"/>
  <c r="H122" i="7" s="1"/>
  <c r="H123" i="7" a="1"/>
  <c r="H123" i="7" s="1"/>
  <c r="H124" i="7" a="1"/>
  <c r="H124" i="7" s="1"/>
  <c r="H125" i="7" a="1"/>
  <c r="H125" i="7" s="1"/>
  <c r="H126" i="7" a="1"/>
  <c r="H126" i="7" s="1"/>
  <c r="H127" i="7" a="1"/>
  <c r="H127" i="7" s="1"/>
  <c r="H128" i="7" a="1"/>
  <c r="H128" i="7" s="1"/>
  <c r="H129" i="7" a="1"/>
  <c r="H129" i="7" s="1"/>
  <c r="H130" i="7" a="1"/>
  <c r="H130" i="7" s="1"/>
  <c r="H131" i="7" a="1"/>
  <c r="H131" i="7" s="1"/>
  <c r="H132" i="7" a="1"/>
  <c r="H132" i="7" s="1"/>
  <c r="H133" i="7" a="1"/>
  <c r="H133" i="7" s="1"/>
  <c r="H134" i="7" a="1"/>
  <c r="H134" i="7" s="1"/>
  <c r="H135" i="7" a="1"/>
  <c r="H135" i="7" s="1"/>
  <c r="H136" i="7" a="1"/>
  <c r="H136" i="7" s="1"/>
  <c r="H137" i="7" a="1"/>
  <c r="H137" i="7" s="1"/>
  <c r="H138" i="7" a="1"/>
  <c r="H138" i="7" s="1"/>
  <c r="H139" i="7" a="1"/>
  <c r="H139" i="7" s="1"/>
  <c r="H140" i="7" a="1"/>
  <c r="H140" i="7" s="1"/>
  <c r="H141" i="7" a="1"/>
  <c r="H141" i="7" s="1"/>
  <c r="H142" i="7" a="1"/>
  <c r="H142" i="7" s="1"/>
  <c r="H143" i="7" a="1"/>
  <c r="H143" i="7" s="1"/>
  <c r="H144" i="7" a="1"/>
  <c r="H144" i="7" s="1"/>
  <c r="H145" i="7" a="1"/>
  <c r="H145" i="7" s="1"/>
  <c r="H146" i="7" a="1"/>
  <c r="H146" i="7" s="1"/>
  <c r="H147" i="7" a="1"/>
  <c r="H147" i="7" s="1"/>
  <c r="H148" i="7" a="1"/>
  <c r="H148" i="7" s="1"/>
  <c r="H149" i="7" a="1"/>
  <c r="H149" i="7" s="1"/>
  <c r="H150" i="7" a="1"/>
  <c r="H150" i="7" s="1"/>
  <c r="H151" i="7" a="1"/>
  <c r="H151" i="7" s="1"/>
  <c r="H152" i="7" a="1"/>
  <c r="H152" i="7" s="1"/>
  <c r="H153" i="7" a="1"/>
  <c r="H153" i="7" s="1"/>
  <c r="H154" i="7" a="1"/>
  <c r="H154" i="7" s="1"/>
  <c r="H155" i="7" a="1"/>
  <c r="H155" i="7" s="1"/>
  <c r="H156" i="7" a="1"/>
  <c r="H156" i="7" s="1"/>
  <c r="H157" i="7" a="1"/>
  <c r="H157" i="7" s="1"/>
  <c r="H158" i="7" a="1"/>
  <c r="H158" i="7" s="1"/>
  <c r="H159" i="7" a="1"/>
  <c r="H159" i="7" s="1"/>
  <c r="H160" i="7" a="1"/>
  <c r="H160" i="7" s="1"/>
  <c r="H161" i="7" a="1"/>
  <c r="H161" i="7" s="1"/>
  <c r="H162" i="7" a="1"/>
  <c r="H162" i="7" s="1"/>
  <c r="H163" i="7" a="1"/>
  <c r="H163" i="7" s="1"/>
  <c r="H164" i="7" a="1"/>
  <c r="H164" i="7" s="1"/>
  <c r="H165" i="7" a="1"/>
  <c r="H165" i="7" s="1"/>
  <c r="H166" i="7" a="1"/>
  <c r="H166" i="7" s="1"/>
  <c r="H167" i="7" a="1"/>
  <c r="H167" i="7" s="1"/>
  <c r="H168" i="7" a="1"/>
  <c r="H168" i="7" s="1"/>
  <c r="H169" i="7" a="1"/>
  <c r="H169" i="7" s="1"/>
  <c r="H170" i="7" a="1"/>
  <c r="H170" i="7" s="1"/>
  <c r="H171" i="7" a="1"/>
  <c r="H171" i="7" s="1"/>
  <c r="H172" i="7" a="1"/>
  <c r="H172" i="7" s="1"/>
  <c r="H173" i="7" a="1"/>
  <c r="H173" i="7" s="1"/>
  <c r="H174" i="7" a="1"/>
  <c r="H174" i="7" s="1"/>
  <c r="H175" i="7" a="1"/>
  <c r="H175" i="7" s="1"/>
  <c r="H176" i="7" a="1"/>
  <c r="H176" i="7" s="1"/>
  <c r="H177" i="7" a="1"/>
  <c r="H177" i="7" s="1"/>
  <c r="H178" i="7" a="1"/>
  <c r="H178" i="7" s="1"/>
  <c r="H179" i="7" a="1"/>
  <c r="H179" i="7" s="1"/>
  <c r="H180" i="7" a="1"/>
  <c r="H180" i="7" s="1"/>
  <c r="H181" i="7" a="1"/>
  <c r="H181" i="7" s="1"/>
  <c r="H182" i="7" a="1"/>
  <c r="H182" i="7" s="1"/>
  <c r="H183" i="7" a="1"/>
  <c r="H183" i="7" s="1"/>
  <c r="H184" i="7" a="1"/>
  <c r="H184" i="7" s="1"/>
  <c r="H185" i="7" a="1"/>
  <c r="H185" i="7" s="1"/>
  <c r="H186" i="7" a="1"/>
  <c r="H186" i="7" s="1"/>
  <c r="H187" i="7" a="1"/>
  <c r="H187" i="7" s="1"/>
  <c r="H188" i="7" a="1"/>
  <c r="H188" i="7" s="1"/>
  <c r="H189" i="7" a="1"/>
  <c r="H189" i="7" s="1"/>
  <c r="H190" i="7" a="1"/>
  <c r="H190" i="7" s="1"/>
  <c r="H191" i="7" a="1"/>
  <c r="H191" i="7" s="1"/>
  <c r="H192" i="7" a="1"/>
  <c r="H192" i="7" s="1"/>
  <c r="H193" i="7" a="1"/>
  <c r="H193" i="7" s="1"/>
  <c r="H194" i="7" a="1"/>
  <c r="H194" i="7" s="1"/>
  <c r="H195" i="7" a="1"/>
  <c r="H195" i="7" s="1"/>
  <c r="H196" i="7" a="1"/>
  <c r="H196" i="7" s="1"/>
  <c r="H197" i="7" a="1"/>
  <c r="H197" i="7" s="1"/>
  <c r="H198" i="7" a="1"/>
  <c r="H198" i="7" s="1"/>
  <c r="H199" i="7" a="1"/>
  <c r="H199" i="7" s="1"/>
  <c r="H200" i="7" a="1"/>
  <c r="H200" i="7" s="1"/>
  <c r="H201" i="7" a="1"/>
  <c r="H201" i="7" s="1"/>
  <c r="H202" i="7" a="1"/>
  <c r="H202" i="7" s="1"/>
  <c r="H203" i="7" a="1"/>
  <c r="H203" i="7" s="1"/>
  <c r="H204" i="7" a="1"/>
  <c r="H204" i="7" s="1"/>
  <c r="H205" i="7" a="1"/>
  <c r="H205" i="7" s="1"/>
  <c r="H206" i="7" a="1"/>
  <c r="H206" i="7" s="1"/>
  <c r="H207" i="7" a="1"/>
  <c r="H207" i="7" s="1"/>
  <c r="H208" i="7" a="1"/>
  <c r="H208" i="7" s="1"/>
  <c r="H209" i="7" a="1"/>
  <c r="H209" i="7" s="1"/>
  <c r="H210" i="7" a="1"/>
  <c r="H210" i="7" s="1"/>
  <c r="H211" i="7" a="1"/>
  <c r="H211" i="7" s="1"/>
  <c r="H212" i="7" a="1"/>
  <c r="H212" i="7" s="1"/>
  <c r="H213" i="7" a="1"/>
  <c r="H213" i="7" s="1"/>
  <c r="H214" i="7" a="1"/>
  <c r="H214" i="7" s="1"/>
  <c r="H9" i="7" a="1"/>
  <c r="H9" i="7" s="1"/>
  <c r="E6152" i="7"/>
  <c r="D6152" i="7"/>
  <c r="E6151" i="7"/>
  <c r="D6151" i="7"/>
  <c r="E6150" i="7"/>
  <c r="D6150" i="7"/>
  <c r="E6149" i="7"/>
  <c r="D6149" i="7"/>
  <c r="E6148" i="7"/>
  <c r="D6148" i="7"/>
  <c r="E6147" i="7"/>
  <c r="D6147" i="7"/>
  <c r="E6146" i="7"/>
  <c r="D6146" i="7"/>
  <c r="E6145" i="7"/>
  <c r="D6145" i="7"/>
  <c r="E6144" i="7"/>
  <c r="D6144" i="7"/>
  <c r="E6143" i="7"/>
  <c r="D6143" i="7"/>
  <c r="E6142" i="7"/>
  <c r="D6142" i="7"/>
  <c r="E6141" i="7"/>
  <c r="D6141" i="7"/>
  <c r="E6140" i="7"/>
  <c r="D6140" i="7"/>
  <c r="E6139" i="7"/>
  <c r="D6139" i="7"/>
  <c r="E6138" i="7"/>
  <c r="D6138" i="7"/>
  <c r="E6137" i="7"/>
  <c r="D6137" i="7"/>
  <c r="E6136" i="7"/>
  <c r="D6136" i="7"/>
  <c r="E6135" i="7"/>
  <c r="D6135" i="7"/>
  <c r="E6134" i="7"/>
  <c r="D6134" i="7"/>
  <c r="E6125" i="7"/>
  <c r="D6125" i="7"/>
  <c r="E6124" i="7"/>
  <c r="D6124" i="7"/>
  <c r="E6130" i="7"/>
  <c r="D6130" i="7"/>
  <c r="E6129" i="7"/>
  <c r="D6129" i="7"/>
  <c r="E6133" i="7" l="1"/>
  <c r="D6133" i="7"/>
  <c r="E6132" i="7"/>
  <c r="D6132" i="7"/>
  <c r="E6131" i="7"/>
  <c r="D6131" i="7"/>
  <c r="E6128" i="7"/>
  <c r="D6128" i="7"/>
  <c r="E6127" i="7"/>
  <c r="D6127" i="7"/>
  <c r="E6126" i="7"/>
  <c r="D6126" i="7"/>
  <c r="E6123" i="7"/>
  <c r="D6123" i="7"/>
  <c r="E6122" i="7"/>
  <c r="D6122" i="7"/>
  <c r="E6121" i="7"/>
  <c r="D6121" i="7"/>
  <c r="D6053" i="7" l="1"/>
  <c r="E6053" i="7"/>
  <c r="D6054" i="7"/>
  <c r="E6054" i="7"/>
  <c r="D6055" i="7"/>
  <c r="E6055" i="7"/>
  <c r="E6118" i="7" l="1"/>
  <c r="D6118" i="7"/>
  <c r="E6117" i="7"/>
  <c r="D6117" i="7"/>
  <c r="E6116" i="7"/>
  <c r="D6116" i="7"/>
  <c r="E6115" i="7"/>
  <c r="D6115" i="7"/>
  <c r="E6114" i="7"/>
  <c r="D6114" i="7"/>
  <c r="E6113" i="7"/>
  <c r="D6113" i="7"/>
  <c r="E6112" i="7"/>
  <c r="D6112" i="7"/>
  <c r="E6105" i="7"/>
  <c r="D6105" i="7"/>
  <c r="E6104" i="7"/>
  <c r="D6104" i="7"/>
  <c r="E6103" i="7"/>
  <c r="D6103" i="7"/>
  <c r="E6076" i="7"/>
  <c r="D6076" i="7"/>
  <c r="E6075" i="7"/>
  <c r="D6075" i="7"/>
  <c r="E6074" i="7"/>
  <c r="D6074" i="7"/>
  <c r="E6102" i="7"/>
  <c r="D6102" i="7"/>
  <c r="E6101" i="7"/>
  <c r="D6101" i="7"/>
  <c r="E6100" i="7"/>
  <c r="D6100" i="7"/>
  <c r="E6099" i="7"/>
  <c r="D6099" i="7"/>
  <c r="E6098" i="7"/>
  <c r="D6098" i="7"/>
  <c r="E6097" i="7"/>
  <c r="D6097" i="7"/>
  <c r="E6096" i="7"/>
  <c r="D6096" i="7"/>
  <c r="E6095" i="7"/>
  <c r="D6095" i="7"/>
  <c r="E6094" i="7"/>
  <c r="D6094" i="7"/>
  <c r="E6093" i="7"/>
  <c r="D6093" i="7"/>
  <c r="E6092" i="7"/>
  <c r="D6092" i="7"/>
  <c r="E6111" i="7"/>
  <c r="D6111" i="7"/>
  <c r="E6110" i="7"/>
  <c r="D6110" i="7"/>
  <c r="E6091" i="7"/>
  <c r="D6091" i="7"/>
  <c r="E6090" i="7"/>
  <c r="D6090" i="7"/>
  <c r="E6089" i="7"/>
  <c r="D6089" i="7"/>
  <c r="E6109" i="7" l="1"/>
  <c r="D6109" i="7"/>
  <c r="E6108" i="7"/>
  <c r="D6108" i="7"/>
  <c r="E6088" i="7"/>
  <c r="D6088" i="7"/>
  <c r="E6087" i="7"/>
  <c r="D6087" i="7"/>
  <c r="E6086" i="7"/>
  <c r="D6086" i="7"/>
  <c r="E6082" i="7"/>
  <c r="D6082" i="7"/>
  <c r="E6081" i="7"/>
  <c r="D6081" i="7"/>
  <c r="E6080" i="7"/>
  <c r="D6080" i="7"/>
  <c r="E6085" i="7"/>
  <c r="D6085" i="7"/>
  <c r="E6084" i="7"/>
  <c r="D6084" i="7"/>
  <c r="E6083" i="7"/>
  <c r="D6083" i="7"/>
  <c r="E6107" i="7"/>
  <c r="D6107" i="7"/>
  <c r="E6106" i="7"/>
  <c r="D6106" i="7"/>
  <c r="E6079" i="7" l="1"/>
  <c r="D6079" i="7"/>
  <c r="E6078" i="7"/>
  <c r="D6078" i="7"/>
  <c r="E6077" i="7"/>
  <c r="D6077" i="7"/>
  <c r="E5471" i="7"/>
  <c r="D5471" i="7"/>
  <c r="E5470" i="7"/>
  <c r="D5470" i="7"/>
  <c r="E5469" i="7"/>
  <c r="D5469" i="7"/>
  <c r="E5468" i="7"/>
  <c r="D5468" i="7"/>
  <c r="E5474" i="7"/>
  <c r="D5474" i="7"/>
  <c r="E5473" i="7"/>
  <c r="D5473" i="7"/>
  <c r="E5472" i="7"/>
  <c r="D5472" i="7"/>
  <c r="E5438" i="7"/>
  <c r="D5438" i="7"/>
  <c r="E5437" i="7"/>
  <c r="D5437" i="7"/>
  <c r="E5436" i="7"/>
  <c r="D5436" i="7"/>
  <c r="E5435" i="7"/>
  <c r="D5435" i="7"/>
  <c r="E5434" i="7"/>
  <c r="D5434" i="7"/>
  <c r="E5433" i="7"/>
  <c r="D5433" i="7"/>
  <c r="E5537" i="7"/>
  <c r="D5537" i="7"/>
  <c r="E5536" i="7"/>
  <c r="D5536" i="7"/>
  <c r="E5535" i="7"/>
  <c r="D5535" i="7"/>
  <c r="E5534" i="7"/>
  <c r="D5534" i="7"/>
  <c r="E5533" i="7"/>
  <c r="D5533" i="7"/>
  <c r="E5532" i="7"/>
  <c r="D5532" i="7"/>
  <c r="E6073" i="7" l="1"/>
  <c r="D6073" i="7"/>
  <c r="E6072" i="7"/>
  <c r="D6072" i="7"/>
  <c r="E6071" i="7"/>
  <c r="D6071" i="7"/>
  <c r="E6070" i="7"/>
  <c r="D6070" i="7"/>
  <c r="E6069" i="7"/>
  <c r="D6069" i="7"/>
  <c r="E6068" i="7"/>
  <c r="D6068" i="7"/>
  <c r="E6067" i="7"/>
  <c r="D6067" i="7"/>
  <c r="E6066" i="7"/>
  <c r="D6066" i="7"/>
  <c r="E6065" i="7" l="1"/>
  <c r="D6065" i="7"/>
  <c r="E6064" i="7"/>
  <c r="D6064" i="7"/>
  <c r="E6063" i="7" l="1"/>
  <c r="D6063" i="7"/>
  <c r="E6062" i="7"/>
  <c r="D6062" i="7"/>
  <c r="E6061" i="7"/>
  <c r="D6061" i="7"/>
  <c r="E6035" i="7"/>
  <c r="D6035" i="7"/>
  <c r="E6034" i="7"/>
  <c r="D6034" i="7"/>
  <c r="E6005" i="7"/>
  <c r="D6005" i="7"/>
  <c r="E6004" i="7"/>
  <c r="D6004" i="7"/>
  <c r="E6060" i="7"/>
  <c r="D6060" i="7"/>
  <c r="E6059" i="7"/>
  <c r="D6059" i="7"/>
  <c r="E6058" i="7"/>
  <c r="D6058" i="7"/>
  <c r="E6057" i="7"/>
  <c r="D6057" i="7"/>
  <c r="E6056" i="7"/>
  <c r="D6056" i="7"/>
  <c r="E6052" i="7"/>
  <c r="D6052" i="7"/>
  <c r="E6051" i="7"/>
  <c r="D6051" i="7"/>
  <c r="E6050" i="7"/>
  <c r="D6050" i="7"/>
  <c r="E6049" i="7"/>
  <c r="D6049" i="7"/>
  <c r="E6038" i="7"/>
  <c r="D6038" i="7"/>
  <c r="E6037" i="7"/>
  <c r="D6037" i="7"/>
  <c r="E6036" i="7"/>
  <c r="D6036" i="7"/>
  <c r="E6026" i="7"/>
  <c r="D6026" i="7"/>
  <c r="E6025" i="7"/>
  <c r="D6025" i="7"/>
  <c r="E6024" i="7"/>
  <c r="D6024" i="7"/>
  <c r="E6028" i="7" l="1"/>
  <c r="D6028" i="7"/>
  <c r="E6027" i="7"/>
  <c r="D6027" i="7"/>
  <c r="E6018" i="7"/>
  <c r="D6018" i="7"/>
  <c r="E6017" i="7"/>
  <c r="D6017" i="7"/>
  <c r="E6016" i="7"/>
  <c r="D6016" i="7"/>
  <c r="E6015" i="7"/>
  <c r="D6015" i="7"/>
  <c r="E6014" i="7"/>
  <c r="D6014" i="7"/>
  <c r="E5926" i="7"/>
  <c r="D5926" i="7"/>
  <c r="E5925" i="7"/>
  <c r="D5925" i="7"/>
  <c r="E6048" i="7"/>
  <c r="D6048" i="7"/>
  <c r="E6047" i="7"/>
  <c r="D6047" i="7"/>
  <c r="E6046" i="7"/>
  <c r="D6046" i="7"/>
  <c r="E6045" i="7"/>
  <c r="D6045" i="7"/>
  <c r="E6044" i="7"/>
  <c r="D6044" i="7"/>
  <c r="E6043" i="7"/>
  <c r="D6043" i="7"/>
  <c r="E6042" i="7"/>
  <c r="D6042" i="7"/>
  <c r="E6041" i="7"/>
  <c r="D6041" i="7"/>
  <c r="E6040" i="7"/>
  <c r="D6040" i="7"/>
  <c r="E6039" i="7"/>
  <c r="D6039" i="7"/>
  <c r="E6033" i="7" l="1"/>
  <c r="D6033" i="7"/>
  <c r="E6032" i="7"/>
  <c r="D6032" i="7"/>
  <c r="E6031" i="7"/>
  <c r="D6031" i="7"/>
  <c r="E6030" i="7"/>
  <c r="D6030" i="7"/>
  <c r="E6029" i="7"/>
  <c r="D6029" i="7"/>
  <c r="E6023" i="7" l="1"/>
  <c r="D6023" i="7"/>
  <c r="E6022" i="7"/>
  <c r="D6022" i="7"/>
  <c r="E6021" i="7"/>
  <c r="D6021" i="7"/>
  <c r="E6020" i="7"/>
  <c r="D6020" i="7"/>
  <c r="E6019" i="7"/>
  <c r="D6019" i="7"/>
  <c r="E5895" i="7"/>
  <c r="D5895" i="7"/>
  <c r="E5894" i="7"/>
  <c r="D5894" i="7"/>
  <c r="E6013" i="7"/>
  <c r="D6013" i="7"/>
  <c r="E6012" i="7"/>
  <c r="D6012" i="7"/>
  <c r="E6011" i="7"/>
  <c r="D6011" i="7"/>
  <c r="E6010" i="7"/>
  <c r="D6010" i="7"/>
  <c r="E6009" i="7"/>
  <c r="D6009" i="7"/>
  <c r="E6008" i="7"/>
  <c r="D6008" i="7"/>
  <c r="E6007" i="7"/>
  <c r="D6007" i="7"/>
  <c r="E6006" i="7"/>
  <c r="D6006" i="7"/>
  <c r="E6001" i="7" l="1"/>
  <c r="D6001" i="7"/>
  <c r="E6000" i="7"/>
  <c r="D6000" i="7"/>
  <c r="E5999" i="7"/>
  <c r="D5999" i="7"/>
  <c r="E6003" i="7" l="1"/>
  <c r="D6003" i="7"/>
  <c r="E6002" i="7"/>
  <c r="D6002" i="7"/>
  <c r="E5998" i="7"/>
  <c r="D5998" i="7"/>
  <c r="E5997" i="7"/>
  <c r="D5997" i="7"/>
  <c r="E5996" i="7"/>
  <c r="D5996" i="7"/>
  <c r="E5995" i="7"/>
  <c r="D5995" i="7"/>
  <c r="E5994" i="7"/>
  <c r="D5994" i="7"/>
  <c r="E5993" i="7"/>
  <c r="D5993" i="7"/>
  <c r="E5987" i="7"/>
  <c r="D5987" i="7"/>
  <c r="E5986" i="7"/>
  <c r="D5986" i="7"/>
  <c r="E5992" i="7" l="1"/>
  <c r="D5992" i="7"/>
  <c r="E5991" i="7"/>
  <c r="D5991" i="7"/>
  <c r="E5990" i="7"/>
  <c r="D5990" i="7"/>
  <c r="E5989" i="7"/>
  <c r="D5989" i="7"/>
  <c r="E5988" i="7"/>
  <c r="D5988" i="7"/>
  <c r="E5972" i="7"/>
  <c r="D5972" i="7"/>
  <c r="E5971" i="7"/>
  <c r="D5971" i="7"/>
  <c r="E5978" i="7"/>
  <c r="D5978" i="7"/>
  <c r="E5977" i="7"/>
  <c r="D5977" i="7"/>
  <c r="E5976" i="7"/>
  <c r="D5976" i="7"/>
  <c r="E5985" i="7"/>
  <c r="D5985" i="7"/>
  <c r="E5984" i="7"/>
  <c r="D5984" i="7"/>
  <c r="E5983" i="7"/>
  <c r="D5983" i="7"/>
  <c r="E5982" i="7" l="1"/>
  <c r="D5982" i="7"/>
  <c r="E5981" i="7"/>
  <c r="D5981" i="7"/>
  <c r="E5968" i="7"/>
  <c r="D5968" i="7"/>
  <c r="E5967" i="7"/>
  <c r="D5967" i="7"/>
  <c r="E5966" i="7"/>
  <c r="D5966" i="7"/>
  <c r="E5970" i="7" l="1"/>
  <c r="D5970" i="7"/>
  <c r="E5969" i="7"/>
  <c r="D5969" i="7"/>
  <c r="E5980" i="7"/>
  <c r="D5980" i="7"/>
  <c r="E5979" i="7"/>
  <c r="D5979" i="7"/>
  <c r="E5446" i="7" l="1"/>
  <c r="D5446" i="7"/>
  <c r="E5445" i="7"/>
  <c r="D5445" i="7"/>
  <c r="E5444" i="7"/>
  <c r="D5444" i="7"/>
  <c r="E5443" i="7"/>
  <c r="D5443" i="7"/>
  <c r="E5313" i="7"/>
  <c r="D5313" i="7"/>
  <c r="E5312" i="7"/>
  <c r="D5312" i="7"/>
  <c r="E5311" i="7"/>
  <c r="D5311" i="7"/>
  <c r="E5310" i="7"/>
  <c r="D5310" i="7"/>
  <c r="E5975" i="7"/>
  <c r="D5975" i="7"/>
  <c r="E5974" i="7"/>
  <c r="D5974" i="7"/>
  <c r="E5973" i="7"/>
  <c r="D5973" i="7"/>
  <c r="E5944" i="7"/>
  <c r="D5944" i="7"/>
  <c r="E5943" i="7"/>
  <c r="D5943" i="7"/>
  <c r="E5962" i="7"/>
  <c r="D5962" i="7"/>
  <c r="E5961" i="7"/>
  <c r="D5961" i="7"/>
  <c r="E5960" i="7"/>
  <c r="D5960" i="7"/>
  <c r="E5959" i="7"/>
  <c r="D5959" i="7"/>
  <c r="E5958" i="7"/>
  <c r="D5958" i="7"/>
  <c r="E5957" i="7"/>
  <c r="D5957" i="7"/>
  <c r="E5956" i="7"/>
  <c r="D5956" i="7"/>
  <c r="E5955" i="7"/>
  <c r="D5955" i="7"/>
  <c r="E5965" i="7" l="1"/>
  <c r="D5965" i="7"/>
  <c r="E5964" i="7"/>
  <c r="D5964" i="7"/>
  <c r="E5963" i="7"/>
  <c r="D5963" i="7"/>
  <c r="E5954" i="7"/>
  <c r="D5954" i="7"/>
  <c r="E5953" i="7"/>
  <c r="D5953" i="7"/>
  <c r="E5952" i="7" l="1"/>
  <c r="D5952" i="7"/>
  <c r="E5951" i="7"/>
  <c r="D5951" i="7"/>
  <c r="E5950" i="7"/>
  <c r="D5950" i="7"/>
  <c r="E5949" i="7"/>
  <c r="D5949" i="7"/>
  <c r="E5948" i="7"/>
  <c r="D5948" i="7"/>
  <c r="E5936" i="7"/>
  <c r="D5936" i="7"/>
  <c r="E5935" i="7"/>
  <c r="D5935" i="7"/>
  <c r="E5947" i="7"/>
  <c r="D5947" i="7"/>
  <c r="E5946" i="7"/>
  <c r="D5946" i="7"/>
  <c r="E5945" i="7"/>
  <c r="D5945" i="7"/>
  <c r="E5942" i="7" l="1"/>
  <c r="D5942" i="7"/>
  <c r="E5941" i="7"/>
  <c r="D5941" i="7"/>
  <c r="E5940" i="7"/>
  <c r="D5940" i="7"/>
  <c r="E5939" i="7"/>
  <c r="D5939" i="7"/>
  <c r="E5938" i="7"/>
  <c r="D5938" i="7"/>
  <c r="E5937" i="7"/>
  <c r="D5937" i="7"/>
  <c r="E5934" i="7" l="1"/>
  <c r="D5934" i="7"/>
  <c r="E5933" i="7"/>
  <c r="D5933" i="7"/>
  <c r="E5932" i="7"/>
  <c r="D5932" i="7"/>
  <c r="E5931" i="7"/>
  <c r="D5931" i="7"/>
  <c r="E5930" i="7"/>
  <c r="D5930" i="7"/>
  <c r="E5929" i="7"/>
  <c r="D5929" i="7"/>
  <c r="E5928" i="7"/>
  <c r="D5928" i="7"/>
  <c r="E5927" i="7"/>
  <c r="D5927" i="7"/>
  <c r="E5924" i="7"/>
  <c r="D5924" i="7"/>
  <c r="E5923" i="7"/>
  <c r="D5923" i="7"/>
  <c r="E5922" i="7"/>
  <c r="D5922" i="7"/>
  <c r="E5921" i="7"/>
  <c r="D5921" i="7"/>
  <c r="E5920" i="7"/>
  <c r="D5920" i="7"/>
  <c r="E5919" i="7"/>
  <c r="D5919" i="7"/>
  <c r="E5918" i="7"/>
  <c r="D5918" i="7"/>
  <c r="E5917" i="7"/>
  <c r="D5917" i="7"/>
  <c r="E5916" i="7"/>
  <c r="D5916" i="7"/>
  <c r="E5915" i="7"/>
  <c r="D5915" i="7"/>
  <c r="E5914" i="7"/>
  <c r="D5914" i="7"/>
  <c r="E5913" i="7"/>
  <c r="D5913" i="7"/>
  <c r="E5912" i="7" l="1"/>
  <c r="D5912" i="7"/>
  <c r="E5911" i="7"/>
  <c r="D5911" i="7"/>
  <c r="E5910" i="7"/>
  <c r="D5910" i="7"/>
  <c r="E5909" i="7" l="1"/>
  <c r="D5909" i="7"/>
  <c r="E5908" i="7"/>
  <c r="D5908" i="7"/>
  <c r="E5907" i="7"/>
  <c r="D5907" i="7"/>
  <c r="E5906" i="7"/>
  <c r="D5906" i="7"/>
  <c r="E5905" i="7"/>
  <c r="D5905" i="7"/>
  <c r="E5904" i="7"/>
  <c r="D5904" i="7"/>
  <c r="E5903" i="7"/>
  <c r="D5903" i="7"/>
  <c r="E5902" i="7"/>
  <c r="D5902" i="7"/>
  <c r="E5901" i="7"/>
  <c r="D5901" i="7"/>
  <c r="E5900" i="7"/>
  <c r="D5900" i="7"/>
  <c r="E5899" i="7"/>
  <c r="D5899" i="7"/>
  <c r="E5898" i="7"/>
  <c r="D5898" i="7"/>
  <c r="E5893" i="7"/>
  <c r="D5893" i="7"/>
  <c r="E5892" i="7"/>
  <c r="D5892" i="7"/>
  <c r="E5891" i="7"/>
  <c r="D5891" i="7"/>
  <c r="E5890" i="7"/>
  <c r="D5890" i="7"/>
  <c r="E5889" i="7"/>
  <c r="D5889" i="7"/>
  <c r="E5880" i="7"/>
  <c r="D5880" i="7"/>
  <c r="E5879" i="7"/>
  <c r="D5879" i="7"/>
  <c r="E5878" i="7"/>
  <c r="D5878" i="7"/>
  <c r="E5877" i="7"/>
  <c r="D5877" i="7"/>
  <c r="E5876" i="7"/>
  <c r="D5876" i="7"/>
  <c r="E5847" i="7" l="1"/>
  <c r="D5847" i="7"/>
  <c r="E5846" i="7"/>
  <c r="D5846" i="7"/>
  <c r="E5845" i="7"/>
  <c r="D5845" i="7"/>
  <c r="E5872" i="7" l="1"/>
  <c r="D5872" i="7"/>
  <c r="E5871" i="7"/>
  <c r="D5871" i="7"/>
  <c r="E5870" i="7"/>
  <c r="D5870" i="7"/>
  <c r="E5869" i="7"/>
  <c r="D5869" i="7"/>
  <c r="E5868" i="7"/>
  <c r="D5868" i="7"/>
  <c r="E5867" i="7"/>
  <c r="D5867" i="7"/>
  <c r="E5866" i="7"/>
  <c r="D5866" i="7"/>
  <c r="E5865" i="7"/>
  <c r="D5865" i="7"/>
  <c r="E5864" i="7"/>
  <c r="D5864" i="7"/>
  <c r="E5897" i="7"/>
  <c r="D5897" i="7"/>
  <c r="E5896" i="7"/>
  <c r="D5896" i="7"/>
  <c r="E5882" i="7"/>
  <c r="D5882" i="7"/>
  <c r="E5881" i="7"/>
  <c r="D5881" i="7"/>
  <c r="E5888" i="7"/>
  <c r="D5888" i="7"/>
  <c r="E5887" i="7"/>
  <c r="D5887" i="7"/>
  <c r="D5883" i="7"/>
  <c r="E5883" i="7"/>
  <c r="D5884" i="7"/>
  <c r="E5884" i="7"/>
  <c r="D5885" i="7"/>
  <c r="E5885" i="7"/>
  <c r="D5886" i="7"/>
  <c r="E5886" i="7"/>
  <c r="E5863" i="7"/>
  <c r="D5863" i="7"/>
  <c r="E5862" i="7"/>
  <c r="D5862" i="7"/>
  <c r="E5861" i="7"/>
  <c r="D5861" i="7"/>
  <c r="E5860" i="7"/>
  <c r="D5860" i="7"/>
  <c r="E5859" i="7"/>
  <c r="D5859" i="7"/>
  <c r="E5858" i="7"/>
  <c r="D5858" i="7"/>
  <c r="E5857" i="7"/>
  <c r="D5857" i="7"/>
  <c r="E5856" i="7"/>
  <c r="D5856" i="7"/>
  <c r="E5855" i="7"/>
  <c r="D5855" i="7"/>
  <c r="E5854" i="7"/>
  <c r="D5854" i="7"/>
  <c r="E5853" i="7"/>
  <c r="D5853" i="7"/>
  <c r="E5531" i="7" l="1"/>
  <c r="D5531" i="7"/>
  <c r="E5530" i="7"/>
  <c r="D5530" i="7"/>
  <c r="E5529" i="7"/>
  <c r="D5529" i="7"/>
  <c r="E5528" i="7"/>
  <c r="D5528" i="7"/>
  <c r="E5527" i="7"/>
  <c r="D5527" i="7"/>
  <c r="E5526" i="7"/>
  <c r="D5526" i="7"/>
  <c r="E5525" i="7"/>
  <c r="D5525" i="7"/>
  <c r="E5524" i="7"/>
  <c r="D5524" i="7"/>
  <c r="E5523" i="7"/>
  <c r="D5523" i="7"/>
  <c r="E5522" i="7"/>
  <c r="D5522" i="7"/>
  <c r="E5521" i="7"/>
  <c r="D5521" i="7"/>
  <c r="E5520" i="7"/>
  <c r="D5520" i="7"/>
  <c r="E5519" i="7"/>
  <c r="D5519" i="7"/>
  <c r="E5518" i="7"/>
  <c r="D5518" i="7"/>
  <c r="E5517" i="7"/>
  <c r="D5517" i="7"/>
  <c r="E5516" i="7"/>
  <c r="D5516" i="7"/>
  <c r="E5515" i="7"/>
  <c r="D5515" i="7"/>
  <c r="E5514" i="7"/>
  <c r="D5514" i="7"/>
  <c r="E5513" i="7"/>
  <c r="D5513" i="7"/>
  <c r="E5512" i="7"/>
  <c r="D5512" i="7"/>
  <c r="E5511" i="7"/>
  <c r="D5511" i="7"/>
  <c r="E5510" i="7"/>
  <c r="D5510" i="7"/>
  <c r="E5509" i="7"/>
  <c r="D5509" i="7"/>
  <c r="E5508" i="7"/>
  <c r="D5508" i="7"/>
  <c r="E5503" i="7"/>
  <c r="D5503" i="7"/>
  <c r="E5502" i="7"/>
  <c r="D5502" i="7"/>
  <c r="E5501" i="7"/>
  <c r="D5501" i="7"/>
  <c r="E5500" i="7"/>
  <c r="D5500" i="7"/>
  <c r="E5499" i="7"/>
  <c r="D5499" i="7"/>
  <c r="E5498" i="7"/>
  <c r="D5498" i="7"/>
  <c r="E5497" i="7"/>
  <c r="D5497" i="7"/>
  <c r="E5496" i="7"/>
  <c r="D5496" i="7"/>
  <c r="E5492" i="7"/>
  <c r="D5492" i="7"/>
  <c r="E5491" i="7"/>
  <c r="D5491" i="7"/>
  <c r="E5490" i="7"/>
  <c r="D5490" i="7"/>
  <c r="E5489" i="7"/>
  <c r="D5489" i="7"/>
  <c r="E5488" i="7"/>
  <c r="D5488" i="7"/>
  <c r="E5487" i="7"/>
  <c r="D5487" i="7"/>
  <c r="E5486" i="7"/>
  <c r="D5486" i="7"/>
  <c r="E5481" i="7"/>
  <c r="D5481" i="7"/>
  <c r="E5480" i="7"/>
  <c r="D5480" i="7"/>
  <c r="E5479" i="7"/>
  <c r="D5479" i="7"/>
  <c r="E5478" i="7"/>
  <c r="D5478" i="7"/>
  <c r="E5477" i="7"/>
  <c r="D5477" i="7"/>
  <c r="E5476" i="7"/>
  <c r="D5476" i="7"/>
  <c r="E5475" i="7"/>
  <c r="D5475" i="7"/>
  <c r="E5467" i="7"/>
  <c r="D5467" i="7"/>
  <c r="E5466" i="7"/>
  <c r="D5466" i="7"/>
  <c r="E5465" i="7"/>
  <c r="D5465" i="7"/>
  <c r="E5464" i="7"/>
  <c r="D5464" i="7"/>
  <c r="E5463" i="7"/>
  <c r="D5463" i="7"/>
  <c r="E5462" i="7"/>
  <c r="D5462" i="7"/>
  <c r="E5461" i="7"/>
  <c r="D5461" i="7"/>
  <c r="E5460" i="7"/>
  <c r="D5460" i="7"/>
  <c r="E5459" i="7"/>
  <c r="D5459" i="7"/>
  <c r="E5458" i="7"/>
  <c r="D5458" i="7"/>
  <c r="E5457" i="7"/>
  <c r="D5457" i="7"/>
  <c r="E5456" i="7"/>
  <c r="D5456" i="7"/>
  <c r="E5455" i="7"/>
  <c r="D5455" i="7"/>
  <c r="E5454" i="7"/>
  <c r="D5454" i="7"/>
  <c r="E5453" i="7"/>
  <c r="D5453" i="7"/>
  <c r="E5452" i="7"/>
  <c r="D5452" i="7"/>
  <c r="E5451" i="7"/>
  <c r="D5451" i="7"/>
  <c r="E5450" i="7"/>
  <c r="D5450" i="7"/>
  <c r="E5449" i="7"/>
  <c r="D5449" i="7"/>
  <c r="E5448" i="7"/>
  <c r="D5448" i="7"/>
  <c r="E5447" i="7"/>
  <c r="D5447" i="7"/>
  <c r="E5442" i="7"/>
  <c r="D5442" i="7"/>
  <c r="E5441" i="7"/>
  <c r="D5441" i="7"/>
  <c r="E5440" i="7"/>
  <c r="D5440" i="7"/>
  <c r="E5439" i="7"/>
  <c r="D5439" i="7"/>
  <c r="E5432" i="7"/>
  <c r="D5432" i="7"/>
  <c r="E5431" i="7"/>
  <c r="D5431" i="7"/>
  <c r="E5430" i="7"/>
  <c r="D5430" i="7"/>
  <c r="E5429" i="7"/>
  <c r="D5429" i="7"/>
  <c r="E5428" i="7"/>
  <c r="D5428" i="7"/>
  <c r="E5427" i="7"/>
  <c r="D5427" i="7"/>
  <c r="E5426" i="7"/>
  <c r="D5426" i="7"/>
  <c r="E5425" i="7"/>
  <c r="D5425" i="7"/>
  <c r="E5424" i="7"/>
  <c r="D5424" i="7"/>
  <c r="E5423" i="7"/>
  <c r="D5423" i="7"/>
  <c r="E5422" i="7"/>
  <c r="D5422" i="7"/>
  <c r="E5421" i="7"/>
  <c r="D5421" i="7"/>
  <c r="E5420" i="7"/>
  <c r="D5420" i="7"/>
  <c r="E5419" i="7"/>
  <c r="D5419" i="7"/>
  <c r="E5418" i="7"/>
  <c r="D5418" i="7"/>
  <c r="E5417" i="7"/>
  <c r="D5417" i="7"/>
  <c r="E5416" i="7"/>
  <c r="D5416" i="7"/>
  <c r="E5415" i="7"/>
  <c r="D5415" i="7"/>
  <c r="E5414" i="7"/>
  <c r="D5414" i="7"/>
  <c r="E5413" i="7"/>
  <c r="D5413" i="7"/>
  <c r="E5412" i="7"/>
  <c r="D5412" i="7"/>
  <c r="E5411" i="7"/>
  <c r="D5411" i="7"/>
  <c r="E5410" i="7"/>
  <c r="D5410" i="7"/>
  <c r="E5409" i="7"/>
  <c r="D5409" i="7"/>
  <c r="E5408" i="7"/>
  <c r="D5408" i="7"/>
  <c r="E5407" i="7"/>
  <c r="D5407" i="7"/>
  <c r="E5406" i="7"/>
  <c r="D5406" i="7"/>
  <c r="E5405" i="7"/>
  <c r="D5405" i="7"/>
  <c r="E5404" i="7"/>
  <c r="D5404" i="7"/>
  <c r="E5403" i="7"/>
  <c r="D5403" i="7"/>
  <c r="E5402" i="7"/>
  <c r="D5402" i="7"/>
  <c r="E5401" i="7"/>
  <c r="D5401" i="7"/>
  <c r="E5400" i="7"/>
  <c r="D5400" i="7"/>
  <c r="E5399" i="7"/>
  <c r="D5399" i="7"/>
  <c r="E5398" i="7"/>
  <c r="D5398" i="7"/>
  <c r="E5397" i="7"/>
  <c r="D5397" i="7"/>
  <c r="E5396" i="7"/>
  <c r="D5396" i="7"/>
  <c r="E5395" i="7"/>
  <c r="D5395" i="7"/>
  <c r="E5394" i="7"/>
  <c r="D5394" i="7"/>
  <c r="E5393" i="7"/>
  <c r="D5393" i="7"/>
  <c r="E5392" i="7"/>
  <c r="D5392" i="7"/>
  <c r="E5391" i="7"/>
  <c r="D5391" i="7"/>
  <c r="E5390" i="7"/>
  <c r="D5390" i="7"/>
  <c r="E5389" i="7"/>
  <c r="D5389" i="7"/>
  <c r="E5388" i="7"/>
  <c r="D5388" i="7"/>
  <c r="E5387" i="7"/>
  <c r="D5387" i="7"/>
  <c r="E5386" i="7"/>
  <c r="D5386" i="7"/>
  <c r="E5385" i="7"/>
  <c r="D5385" i="7"/>
  <c r="E5384" i="7"/>
  <c r="D5384" i="7"/>
  <c r="E5383" i="7"/>
  <c r="D5383" i="7"/>
  <c r="E5382" i="7"/>
  <c r="D5382" i="7"/>
  <c r="E5381" i="7"/>
  <c r="D5381" i="7"/>
  <c r="E5380" i="7"/>
  <c r="D5380" i="7"/>
  <c r="E5379" i="7"/>
  <c r="D5379" i="7"/>
  <c r="E5378" i="7"/>
  <c r="D5378" i="7"/>
  <c r="E5377" i="7"/>
  <c r="D5377" i="7"/>
  <c r="E5376" i="7"/>
  <c r="D5376" i="7"/>
  <c r="E5375" i="7"/>
  <c r="D5375" i="7"/>
  <c r="E5374" i="7"/>
  <c r="D5374" i="7"/>
  <c r="E5373" i="7"/>
  <c r="D5373" i="7"/>
  <c r="E5372" i="7"/>
  <c r="D5372" i="7"/>
  <c r="E5371" i="7"/>
  <c r="D5371" i="7"/>
  <c r="E5370" i="7"/>
  <c r="D5370" i="7"/>
  <c r="E5369" i="7"/>
  <c r="D5369" i="7"/>
  <c r="E5368" i="7"/>
  <c r="D5368" i="7"/>
  <c r="E5367" i="7"/>
  <c r="D5367" i="7"/>
  <c r="E5366" i="7"/>
  <c r="D5366" i="7"/>
  <c r="E5365" i="7"/>
  <c r="D5365" i="7"/>
  <c r="E5364" i="7"/>
  <c r="D5364" i="7"/>
  <c r="E5363" i="7"/>
  <c r="D5363" i="7"/>
  <c r="E5362" i="7"/>
  <c r="D5362" i="7"/>
  <c r="E5361" i="7"/>
  <c r="D5361" i="7"/>
  <c r="E5360" i="7"/>
  <c r="D5360" i="7"/>
  <c r="E5359" i="7"/>
  <c r="D5359" i="7"/>
  <c r="E5358" i="7"/>
  <c r="D5358" i="7"/>
  <c r="E5357" i="7"/>
  <c r="D5357" i="7"/>
  <c r="E5356" i="7"/>
  <c r="D5356" i="7"/>
  <c r="E5355" i="7"/>
  <c r="D5355" i="7"/>
  <c r="E5354" i="7"/>
  <c r="D5354" i="7"/>
  <c r="E5353" i="7"/>
  <c r="D5353" i="7"/>
  <c r="E5352" i="7"/>
  <c r="D5352" i="7"/>
  <c r="E5351" i="7"/>
  <c r="D5351" i="7"/>
  <c r="E5350" i="7"/>
  <c r="D5350" i="7"/>
  <c r="E5349" i="7"/>
  <c r="D5349" i="7"/>
  <c r="E5348" i="7"/>
  <c r="D5348" i="7"/>
  <c r="E5347" i="7"/>
  <c r="D5347" i="7"/>
  <c r="E5346" i="7"/>
  <c r="D5346" i="7"/>
  <c r="E5345" i="7"/>
  <c r="D5345" i="7"/>
  <c r="E5344" i="7"/>
  <c r="D5344" i="7"/>
  <c r="E5343" i="7"/>
  <c r="D5343" i="7"/>
  <c r="E5342" i="7"/>
  <c r="D5342" i="7"/>
  <c r="E5341" i="7"/>
  <c r="D5341" i="7"/>
  <c r="E5340" i="7"/>
  <c r="D5340" i="7"/>
  <c r="E5339" i="7"/>
  <c r="D5339" i="7"/>
  <c r="E5338" i="7"/>
  <c r="D5338" i="7"/>
  <c r="E5337" i="7"/>
  <c r="D5337" i="7"/>
  <c r="E5336" i="7"/>
  <c r="D5336" i="7"/>
  <c r="E5335" i="7"/>
  <c r="D5335" i="7"/>
  <c r="E5334" i="7"/>
  <c r="D5334" i="7"/>
  <c r="E5333" i="7"/>
  <c r="D5333" i="7"/>
  <c r="E5332" i="7"/>
  <c r="D5332" i="7"/>
  <c r="E5331" i="7"/>
  <c r="D5331" i="7"/>
  <c r="E5330" i="7"/>
  <c r="D5330" i="7"/>
  <c r="E5329" i="7"/>
  <c r="D5329" i="7"/>
  <c r="E5328" i="7"/>
  <c r="D5328" i="7"/>
  <c r="E5327" i="7"/>
  <c r="D5327" i="7"/>
  <c r="E5326" i="7"/>
  <c r="D5326" i="7"/>
  <c r="E5325" i="7"/>
  <c r="D5325" i="7"/>
  <c r="E5324" i="7"/>
  <c r="D5324" i="7"/>
  <c r="E5323" i="7"/>
  <c r="D5323" i="7"/>
  <c r="E5322" i="7"/>
  <c r="D5322" i="7"/>
  <c r="E5321" i="7"/>
  <c r="D5321" i="7"/>
  <c r="E5320" i="7"/>
  <c r="D5320" i="7"/>
  <c r="E5319" i="7"/>
  <c r="D5319" i="7"/>
  <c r="E5318" i="7"/>
  <c r="D5318" i="7"/>
  <c r="E5317" i="7"/>
  <c r="D5317" i="7"/>
  <c r="E5316" i="7"/>
  <c r="D5316" i="7"/>
  <c r="E5315" i="7"/>
  <c r="D5315" i="7"/>
  <c r="E5314" i="7"/>
  <c r="D5314" i="7"/>
  <c r="E5309" i="7"/>
  <c r="D5309" i="7"/>
  <c r="E5308" i="7"/>
  <c r="D5308" i="7"/>
  <c r="E5307" i="7"/>
  <c r="D5307" i="7"/>
  <c r="E5306" i="7"/>
  <c r="D5306" i="7"/>
  <c r="E5305" i="7"/>
  <c r="D5305" i="7"/>
  <c r="E5304" i="7"/>
  <c r="D5304" i="7"/>
  <c r="E5303" i="7"/>
  <c r="D5303" i="7"/>
  <c r="E5302" i="7"/>
  <c r="D5302" i="7"/>
  <c r="E5301" i="7"/>
  <c r="D5301" i="7"/>
  <c r="E5300" i="7"/>
  <c r="D5300" i="7"/>
  <c r="E5299" i="7"/>
  <c r="D5299" i="7"/>
  <c r="E5298" i="7"/>
  <c r="D5298" i="7"/>
  <c r="E5297" i="7"/>
  <c r="D5297" i="7"/>
  <c r="E5296" i="7"/>
  <c r="D5296" i="7"/>
  <c r="E5295" i="7"/>
  <c r="D5295" i="7"/>
  <c r="E5294" i="7"/>
  <c r="D5294" i="7"/>
  <c r="E5293" i="7"/>
  <c r="D5293" i="7"/>
  <c r="E5292" i="7"/>
  <c r="D5292" i="7"/>
  <c r="E5291" i="7"/>
  <c r="D5291" i="7"/>
  <c r="E5290" i="7"/>
  <c r="D5290" i="7"/>
  <c r="E5289" i="7"/>
  <c r="D5289" i="7"/>
  <c r="E5288" i="7"/>
  <c r="D5288" i="7"/>
  <c r="E5287" i="7"/>
  <c r="D5287" i="7"/>
  <c r="E5286" i="7"/>
  <c r="D5286" i="7"/>
  <c r="E5285" i="7"/>
  <c r="D5285" i="7"/>
  <c r="E5284" i="7"/>
  <c r="D5284" i="7"/>
  <c r="E5283" i="7"/>
  <c r="D5283" i="7"/>
  <c r="E5282" i="7"/>
  <c r="D5282" i="7"/>
  <c r="E5281" i="7"/>
  <c r="D5281" i="7"/>
  <c r="E5280" i="7"/>
  <c r="D5280" i="7"/>
  <c r="E5279" i="7"/>
  <c r="D5279" i="7"/>
  <c r="E5278" i="7"/>
  <c r="D5278" i="7"/>
  <c r="E5277" i="7"/>
  <c r="D5277" i="7"/>
  <c r="E5276" i="7"/>
  <c r="D5276" i="7"/>
  <c r="E5275" i="7"/>
  <c r="D5275" i="7"/>
  <c r="E5274" i="7"/>
  <c r="D5274" i="7"/>
  <c r="E5273" i="7"/>
  <c r="D5273" i="7"/>
  <c r="E5272" i="7"/>
  <c r="D5272" i="7"/>
  <c r="E5271" i="7"/>
  <c r="D5271" i="7"/>
  <c r="E5270" i="7"/>
  <c r="D5270" i="7"/>
  <c r="E5269" i="7"/>
  <c r="D5269" i="7"/>
  <c r="E5268" i="7"/>
  <c r="D5268" i="7"/>
  <c r="E5267" i="7"/>
  <c r="D5267" i="7"/>
  <c r="E5266" i="7"/>
  <c r="D5266" i="7"/>
  <c r="E5265" i="7"/>
  <c r="D5265" i="7"/>
  <c r="E5264" i="7"/>
  <c r="D5264" i="7"/>
  <c r="E5263" i="7"/>
  <c r="D5263" i="7"/>
  <c r="E5262" i="7"/>
  <c r="D5262" i="7"/>
  <c r="E5261" i="7"/>
  <c r="D5261" i="7"/>
  <c r="E5260" i="7"/>
  <c r="D5260" i="7"/>
  <c r="E5259" i="7"/>
  <c r="D5259" i="7"/>
  <c r="E5258" i="7"/>
  <c r="D5258" i="7"/>
  <c r="E5257" i="7"/>
  <c r="D5257" i="7"/>
  <c r="E5256" i="7"/>
  <c r="D5256" i="7"/>
  <c r="E5255" i="7"/>
  <c r="D5255" i="7"/>
  <c r="E5254" i="7"/>
  <c r="D5254" i="7"/>
  <c r="E5253" i="7"/>
  <c r="D5253" i="7"/>
  <c r="E5252" i="7"/>
  <c r="D5252" i="7"/>
  <c r="E5251" i="7"/>
  <c r="D5251" i="7"/>
  <c r="E5250" i="7"/>
  <c r="D5250" i="7"/>
  <c r="E5249" i="7"/>
  <c r="D5249" i="7"/>
  <c r="E5248" i="7"/>
  <c r="D5248" i="7"/>
  <c r="E5247" i="7"/>
  <c r="D5247" i="7"/>
  <c r="E5246" i="7"/>
  <c r="D5246" i="7"/>
  <c r="E5245" i="7"/>
  <c r="D5245" i="7"/>
  <c r="E5244" i="7"/>
  <c r="D5244" i="7"/>
  <c r="E5243" i="7"/>
  <c r="D5243" i="7"/>
  <c r="E5242" i="7"/>
  <c r="D5242" i="7"/>
  <c r="E5241" i="7"/>
  <c r="D5241" i="7"/>
  <c r="E5240" i="7"/>
  <c r="D5240" i="7"/>
  <c r="E5239" i="7"/>
  <c r="D5239" i="7"/>
  <c r="E5238" i="7"/>
  <c r="D5238" i="7"/>
  <c r="E5237" i="7"/>
  <c r="D5237" i="7"/>
  <c r="E5236" i="7"/>
  <c r="D5236" i="7"/>
  <c r="E5235" i="7"/>
  <c r="D5235" i="7"/>
  <c r="E5234" i="7"/>
  <c r="D5234" i="7"/>
  <c r="E5233" i="7"/>
  <c r="D5233" i="7"/>
  <c r="E5232" i="7"/>
  <c r="D5232" i="7"/>
  <c r="E5231" i="7"/>
  <c r="D5231" i="7"/>
  <c r="E5230" i="7"/>
  <c r="D5230" i="7"/>
  <c r="E5229" i="7"/>
  <c r="D5229" i="7"/>
  <c r="E5852" i="7"/>
  <c r="D5852" i="7"/>
  <c r="E5851" i="7"/>
  <c r="D5851" i="7"/>
  <c r="E5850" i="7"/>
  <c r="D5850" i="7"/>
  <c r="E5849" i="7"/>
  <c r="D5849" i="7"/>
  <c r="E5848" i="7"/>
  <c r="D5848" i="7"/>
  <c r="E5844" i="7" l="1"/>
  <c r="D5844" i="7"/>
  <c r="E5843" i="7"/>
  <c r="D5843" i="7"/>
  <c r="E5842" i="7"/>
  <c r="D5842" i="7"/>
  <c r="E5841" i="7"/>
  <c r="D5841" i="7"/>
  <c r="E5840" i="7"/>
  <c r="D5840" i="7"/>
  <c r="E5839" i="7"/>
  <c r="D5839" i="7"/>
  <c r="E5838" i="7"/>
  <c r="D5838" i="7"/>
  <c r="E5837" i="7"/>
  <c r="D5837" i="7"/>
  <c r="E5836" i="7"/>
  <c r="D5836" i="7"/>
  <c r="E5835" i="7"/>
  <c r="D5835" i="7"/>
  <c r="E5834" i="7"/>
  <c r="D5834" i="7"/>
  <c r="E5833" i="7" l="1"/>
  <c r="D5833" i="7"/>
  <c r="E5832" i="7"/>
  <c r="D5832" i="7"/>
  <c r="E5831" i="7"/>
  <c r="D5831" i="7"/>
  <c r="E5830" i="7"/>
  <c r="D5830" i="7"/>
  <c r="E5829" i="7"/>
  <c r="D5829" i="7"/>
  <c r="E5828" i="7" l="1"/>
  <c r="D5828" i="7"/>
  <c r="E5827" i="7"/>
  <c r="D5827" i="7"/>
  <c r="E5826" i="7"/>
  <c r="D5826" i="7"/>
  <c r="E5825" i="7"/>
  <c r="D5825" i="7"/>
  <c r="E5824" i="7"/>
  <c r="D5824" i="7"/>
  <c r="E5823" i="7"/>
  <c r="D5823" i="7"/>
  <c r="E5822" i="7" l="1"/>
  <c r="D5822" i="7"/>
  <c r="E5821" i="7"/>
  <c r="D5821" i="7"/>
  <c r="E5820" i="7"/>
  <c r="D5820" i="7"/>
  <c r="E5819" i="7"/>
  <c r="D5819" i="7"/>
  <c r="E5818" i="7"/>
  <c r="D5818" i="7"/>
  <c r="E5817" i="7"/>
  <c r="D5817" i="7"/>
  <c r="E5816" i="7"/>
  <c r="D5816" i="7"/>
  <c r="E5815" i="7"/>
  <c r="D5815" i="7"/>
  <c r="E5754" i="7"/>
  <c r="D5754" i="7"/>
  <c r="E5753" i="7"/>
  <c r="D5753" i="7"/>
  <c r="E5752" i="7"/>
  <c r="D5752" i="7"/>
  <c r="E5814" i="7"/>
  <c r="D5814" i="7"/>
  <c r="E5813" i="7"/>
  <c r="D5813" i="7"/>
  <c r="E5812" i="7"/>
  <c r="D5812" i="7"/>
  <c r="E5811" i="7"/>
  <c r="D5811" i="7"/>
  <c r="E5810" i="7"/>
  <c r="D5810" i="7"/>
  <c r="E5809" i="7"/>
  <c r="D5809" i="7"/>
  <c r="E5808" i="7"/>
  <c r="D5808" i="7"/>
  <c r="E5807" i="7"/>
  <c r="D5807" i="7"/>
  <c r="E5806" i="7"/>
  <c r="D5806" i="7"/>
  <c r="E5805" i="7"/>
  <c r="D5805" i="7"/>
  <c r="E5804" i="7"/>
  <c r="D5804" i="7"/>
  <c r="E5803" i="7"/>
  <c r="D5803" i="7"/>
  <c r="E5802" i="7"/>
  <c r="D5802" i="7"/>
  <c r="E5801" i="7"/>
  <c r="D5801" i="7"/>
  <c r="E5800" i="7"/>
  <c r="D5800" i="7"/>
  <c r="E5799" i="7"/>
  <c r="D5799" i="7"/>
  <c r="E5798" i="7"/>
  <c r="D5798" i="7"/>
  <c r="E5797" i="7"/>
  <c r="D5797" i="7"/>
  <c r="E5796" i="7"/>
  <c r="D5796" i="7"/>
  <c r="E5795" i="7"/>
  <c r="D5795" i="7"/>
  <c r="E5794" i="7"/>
  <c r="D5794" i="7"/>
  <c r="E5793" i="7"/>
  <c r="D5793" i="7"/>
  <c r="E5792" i="7"/>
  <c r="D5792" i="7"/>
  <c r="E5791" i="7"/>
  <c r="D5791" i="7"/>
  <c r="E5790" i="7"/>
  <c r="D5790" i="7"/>
  <c r="E5789" i="7"/>
  <c r="D5789" i="7"/>
  <c r="E5788" i="7"/>
  <c r="D5788" i="7"/>
  <c r="E5787" i="7"/>
  <c r="D5787" i="7"/>
  <c r="E5769" i="7" l="1"/>
  <c r="D5769" i="7"/>
  <c r="E5768" i="7"/>
  <c r="D5768" i="7"/>
  <c r="E5767" i="7"/>
  <c r="D5767" i="7"/>
  <c r="E5784" i="7"/>
  <c r="D5784" i="7"/>
  <c r="E5783" i="7"/>
  <c r="D5783" i="7"/>
  <c r="E5782" i="7"/>
  <c r="D5782" i="7"/>
  <c r="E5786" i="7"/>
  <c r="D5786" i="7"/>
  <c r="E5785" i="7"/>
  <c r="D5785" i="7"/>
  <c r="E5761" i="7"/>
  <c r="D5761" i="7"/>
  <c r="E5760" i="7"/>
  <c r="D5760" i="7"/>
  <c r="E5759" i="7"/>
  <c r="D5759" i="7"/>
  <c r="E5751" i="7"/>
  <c r="D5751" i="7"/>
  <c r="E5750" i="7"/>
  <c r="D5750" i="7"/>
  <c r="E5749" i="7"/>
  <c r="D5749" i="7"/>
  <c r="E5748" i="7"/>
  <c r="D5748" i="7"/>
  <c r="E5747" i="7"/>
  <c r="D5747" i="7"/>
  <c r="E5746" i="7"/>
  <c r="D5746" i="7"/>
  <c r="E5745" i="7"/>
  <c r="D5745" i="7"/>
  <c r="E5744" i="7"/>
  <c r="D5744" i="7"/>
  <c r="E5781" i="7"/>
  <c r="D5781" i="7"/>
  <c r="E5780" i="7"/>
  <c r="D5780" i="7"/>
  <c r="E5779" i="7"/>
  <c r="D5779" i="7"/>
  <c r="E5778" i="7"/>
  <c r="D5778" i="7"/>
  <c r="E5777" i="7"/>
  <c r="D5777" i="7"/>
  <c r="E5776" i="7"/>
  <c r="D5776" i="7"/>
  <c r="E5775" i="7"/>
  <c r="D5775" i="7"/>
  <c r="E5774" i="7"/>
  <c r="D5774" i="7"/>
  <c r="E5773" i="7"/>
  <c r="D5773" i="7"/>
  <c r="E5772" i="7"/>
  <c r="D5772" i="7"/>
  <c r="E5771" i="7"/>
  <c r="D5771" i="7"/>
  <c r="E5770" i="7"/>
  <c r="D5770" i="7"/>
  <c r="E5766" i="7" l="1"/>
  <c r="D5766" i="7"/>
  <c r="E5765" i="7"/>
  <c r="D5765" i="7"/>
  <c r="E5764" i="7"/>
  <c r="D5764" i="7"/>
  <c r="E5763" i="7"/>
  <c r="D5763" i="7"/>
  <c r="E5762" i="7"/>
  <c r="D5762" i="7"/>
  <c r="E5758" i="7"/>
  <c r="D5758" i="7"/>
  <c r="E5757" i="7"/>
  <c r="D5757" i="7"/>
  <c r="E5756" i="7"/>
  <c r="D5756" i="7"/>
  <c r="E5755" i="7"/>
  <c r="D5755" i="7"/>
  <c r="E5743" i="7"/>
  <c r="D5743" i="7"/>
  <c r="E5742" i="7"/>
  <c r="D5742" i="7"/>
  <c r="E5741" i="7"/>
  <c r="D5741" i="7"/>
  <c r="E5740" i="7"/>
  <c r="D5740" i="7"/>
  <c r="E5739" i="7" l="1"/>
  <c r="D5739" i="7"/>
  <c r="E5738" i="7"/>
  <c r="D5738" i="7"/>
  <c r="E5737" i="7"/>
  <c r="D5737" i="7"/>
  <c r="E5736" i="7"/>
  <c r="D5736" i="7"/>
  <c r="E5735" i="7"/>
  <c r="D5735" i="7"/>
  <c r="E5734" i="7"/>
  <c r="D5734" i="7"/>
  <c r="E5733" i="7"/>
  <c r="D5733" i="7"/>
  <c r="E5732" i="7"/>
  <c r="D5732" i="7"/>
  <c r="E5707" i="7" l="1"/>
  <c r="D5707" i="7"/>
  <c r="E5706" i="7"/>
  <c r="D5706" i="7"/>
  <c r="E5705" i="7"/>
  <c r="D5705" i="7"/>
  <c r="E5729" i="7"/>
  <c r="D5729" i="7"/>
  <c r="E5728" i="7"/>
  <c r="D5728" i="7"/>
  <c r="E5727" i="7"/>
  <c r="D5727" i="7"/>
  <c r="E5731" i="7"/>
  <c r="D5731" i="7"/>
  <c r="E5730" i="7"/>
  <c r="D5730" i="7"/>
  <c r="E5726" i="7"/>
  <c r="D5726" i="7"/>
  <c r="E5725" i="7"/>
  <c r="D5725" i="7"/>
  <c r="E5724" i="7"/>
  <c r="D5724" i="7"/>
  <c r="E5723" i="7"/>
  <c r="D5723" i="7"/>
  <c r="E5722" i="7"/>
  <c r="D5722" i="7"/>
  <c r="E5721" i="7"/>
  <c r="D5721" i="7"/>
  <c r="E5720" i="7"/>
  <c r="D5720" i="7"/>
  <c r="E5719" i="7"/>
  <c r="D5719" i="7"/>
  <c r="E5718" i="7"/>
  <c r="D5718" i="7"/>
  <c r="E5717" i="7"/>
  <c r="D5717" i="7"/>
  <c r="E5716" i="7"/>
  <c r="D5716" i="7"/>
  <c r="E5715" i="7"/>
  <c r="D5715" i="7"/>
  <c r="E5714" i="7"/>
  <c r="D5714" i="7"/>
  <c r="E5713" i="7"/>
  <c r="D5713" i="7"/>
  <c r="E5712" i="7"/>
  <c r="D5712" i="7"/>
  <c r="E5711" i="7"/>
  <c r="D5711" i="7"/>
  <c r="E5710" i="7"/>
  <c r="D5710" i="7"/>
  <c r="E5709" i="7"/>
  <c r="D5709" i="7"/>
  <c r="E5708" i="7"/>
  <c r="D5708" i="7"/>
  <c r="E5704" i="7"/>
  <c r="D5704" i="7"/>
  <c r="E5703" i="7"/>
  <c r="D5703" i="7"/>
  <c r="E5702" i="7"/>
  <c r="D5702" i="7"/>
  <c r="E5701" i="7"/>
  <c r="D5701" i="7"/>
  <c r="E5700" i="7"/>
  <c r="D5700" i="7"/>
  <c r="E5699" i="7"/>
  <c r="D5699" i="7"/>
  <c r="E5698" i="7"/>
  <c r="D5698" i="7"/>
  <c r="E5697" i="7"/>
  <c r="D5697" i="7"/>
  <c r="E5696" i="7"/>
  <c r="D5696" i="7"/>
  <c r="E5695" i="7"/>
  <c r="D5695" i="7"/>
  <c r="E5694" i="7"/>
  <c r="D5694" i="7"/>
  <c r="E5693" i="7"/>
  <c r="D5693" i="7"/>
  <c r="E5692" i="7"/>
  <c r="D5692" i="7"/>
  <c r="E5691" i="7"/>
  <c r="D5691" i="7"/>
  <c r="E5690" i="7"/>
  <c r="D5690" i="7"/>
  <c r="E5689" i="7"/>
  <c r="D5689" i="7"/>
  <c r="E5688" i="7"/>
  <c r="D5688" i="7"/>
  <c r="E5687" i="7"/>
  <c r="D5687" i="7"/>
  <c r="E5686" i="7"/>
  <c r="D5686" i="7"/>
  <c r="E5685" i="7"/>
  <c r="D5685" i="7"/>
  <c r="E5684" i="7"/>
  <c r="D5684" i="7"/>
  <c r="E5615" i="7"/>
  <c r="D5615" i="7"/>
  <c r="E5614" i="7"/>
  <c r="D5614" i="7"/>
  <c r="E5647" i="7" l="1"/>
  <c r="D5647" i="7"/>
  <c r="E5646" i="7"/>
  <c r="D5646" i="7"/>
  <c r="E5671" i="7"/>
  <c r="D5671" i="7"/>
  <c r="E5670" i="7"/>
  <c r="D5670" i="7"/>
  <c r="E5666" i="7"/>
  <c r="D5666" i="7"/>
  <c r="E5665" i="7"/>
  <c r="D5665" i="7"/>
  <c r="E5664" i="7"/>
  <c r="D5664" i="7"/>
  <c r="E5663" i="7"/>
  <c r="D5663" i="7"/>
  <c r="E5662" i="7"/>
  <c r="D5662" i="7"/>
  <c r="E5661" i="7"/>
  <c r="D5661" i="7"/>
  <c r="E5660" i="7"/>
  <c r="D5660" i="7"/>
  <c r="E5659" i="7"/>
  <c r="D5659" i="7"/>
  <c r="E5683" i="7"/>
  <c r="D5683" i="7"/>
  <c r="E5682" i="7"/>
  <c r="D5682" i="7"/>
  <c r="E5681" i="7"/>
  <c r="D5681" i="7"/>
  <c r="E5680" i="7"/>
  <c r="D5680" i="7"/>
  <c r="E5679" i="7"/>
  <c r="D5679" i="7"/>
  <c r="E5678" i="7"/>
  <c r="D5678" i="7"/>
  <c r="E5677" i="7"/>
  <c r="D5677" i="7"/>
  <c r="E5676" i="7"/>
  <c r="D5676" i="7"/>
  <c r="E5675" i="7"/>
  <c r="D5675" i="7"/>
  <c r="E5658" i="7"/>
  <c r="D5658" i="7"/>
  <c r="E5657" i="7"/>
  <c r="D5657" i="7"/>
  <c r="E5656" i="7"/>
  <c r="D5656" i="7"/>
  <c r="E5674" i="7"/>
  <c r="D5674" i="7"/>
  <c r="E5673" i="7"/>
  <c r="D5673" i="7"/>
  <c r="E5672" i="7"/>
  <c r="D5672" i="7"/>
  <c r="E5669" i="7"/>
  <c r="D5669" i="7"/>
  <c r="E5668" i="7"/>
  <c r="D5668" i="7"/>
  <c r="E5667" i="7"/>
  <c r="D5667" i="7"/>
  <c r="E5645" i="7"/>
  <c r="D5645" i="7"/>
  <c r="E5644" i="7"/>
  <c r="D5644" i="7"/>
  <c r="E5655" i="7" l="1"/>
  <c r="D5655" i="7"/>
  <c r="E5654" i="7"/>
  <c r="D5654" i="7"/>
  <c r="E5653" i="7"/>
  <c r="D5653" i="7"/>
  <c r="E5652" i="7"/>
  <c r="D5652" i="7"/>
  <c r="E5651" i="7"/>
  <c r="D5651" i="7"/>
  <c r="E5650" i="7"/>
  <c r="D5650" i="7"/>
  <c r="E5649" i="7"/>
  <c r="D5649" i="7"/>
  <c r="E5648" i="7"/>
  <c r="D5648" i="7"/>
  <c r="E5632" i="7"/>
  <c r="D5632" i="7"/>
  <c r="E5631" i="7"/>
  <c r="D5631" i="7"/>
  <c r="E5630" i="7"/>
  <c r="D5630" i="7"/>
  <c r="E5611" i="7" l="1"/>
  <c r="D5611" i="7"/>
  <c r="E5610" i="7"/>
  <c r="D5610" i="7"/>
  <c r="E5609" i="7"/>
  <c r="D5609" i="7"/>
  <c r="E5608" i="7"/>
  <c r="D5608" i="7"/>
  <c r="E5607" i="7"/>
  <c r="D5607" i="7"/>
  <c r="E5606" i="7"/>
  <c r="D5606" i="7"/>
  <c r="E5605" i="7"/>
  <c r="D5605" i="7"/>
  <c r="E5604" i="7"/>
  <c r="D5604" i="7"/>
  <c r="E5603" i="7"/>
  <c r="D5603" i="7"/>
  <c r="E5602" i="7"/>
  <c r="D5602" i="7"/>
  <c r="E5601" i="7"/>
  <c r="D5601" i="7"/>
  <c r="E5549" i="7" l="1"/>
  <c r="D5549" i="7"/>
  <c r="E5548" i="7"/>
  <c r="D5548" i="7"/>
  <c r="E5547" i="7"/>
  <c r="D5547" i="7"/>
  <c r="E5640" i="7"/>
  <c r="D5640" i="7"/>
  <c r="E5639" i="7"/>
  <c r="D5639" i="7"/>
  <c r="E5638" i="7"/>
  <c r="D5638" i="7"/>
  <c r="E5600" i="7"/>
  <c r="D5600" i="7"/>
  <c r="E5599" i="7"/>
  <c r="D5599" i="7"/>
  <c r="E5598" i="7"/>
  <c r="D5598" i="7"/>
  <c r="E5597" i="7"/>
  <c r="D5597" i="7"/>
  <c r="E5596" i="7"/>
  <c r="D5596" i="7"/>
  <c r="E5595" i="7"/>
  <c r="D5595" i="7"/>
  <c r="E5582" i="7"/>
  <c r="D5582" i="7"/>
  <c r="E5581" i="7"/>
  <c r="D5581" i="7"/>
  <c r="E5580" i="7"/>
  <c r="D5580" i="7"/>
  <c r="E5579" i="7"/>
  <c r="D5579" i="7"/>
  <c r="E5578" i="7"/>
  <c r="D5578" i="7"/>
  <c r="E5577" i="7"/>
  <c r="D5577" i="7"/>
  <c r="E5564" i="7"/>
  <c r="D5564" i="7"/>
  <c r="E5563" i="7"/>
  <c r="D5563" i="7"/>
  <c r="E5562" i="7"/>
  <c r="D5562" i="7"/>
  <c r="E5572" i="7"/>
  <c r="D5572" i="7"/>
  <c r="E5571" i="7"/>
  <c r="D5571" i="7"/>
  <c r="E5570" i="7"/>
  <c r="D5570" i="7"/>
  <c r="E5569" i="7"/>
  <c r="D5569" i="7"/>
  <c r="E5568" i="7"/>
  <c r="D5568" i="7"/>
  <c r="E5567" i="7"/>
  <c r="D5567" i="7"/>
  <c r="E5566" i="7"/>
  <c r="D5566" i="7"/>
  <c r="E5565" i="7"/>
  <c r="D5565" i="7"/>
  <c r="E5561" i="7"/>
  <c r="D5561" i="7"/>
  <c r="E5560" i="7"/>
  <c r="D5560" i="7"/>
  <c r="E5559" i="7"/>
  <c r="D5559" i="7"/>
  <c r="E5558" i="7"/>
  <c r="D5558" i="7"/>
  <c r="E5557" i="7"/>
  <c r="D5557" i="7"/>
  <c r="E5556" i="7"/>
  <c r="D5556" i="7"/>
  <c r="E5546" i="7"/>
  <c r="D5546" i="7"/>
  <c r="E5545" i="7"/>
  <c r="D5545" i="7"/>
  <c r="E5544" i="7"/>
  <c r="D5544" i="7"/>
  <c r="E5637" i="7"/>
  <c r="D5637" i="7"/>
  <c r="E5636" i="7"/>
  <c r="D5636" i="7"/>
  <c r="E5622" i="7"/>
  <c r="D5622" i="7"/>
  <c r="E5621" i="7"/>
  <c r="D5621" i="7"/>
  <c r="E5594" i="7"/>
  <c r="D5594" i="7"/>
  <c r="E5593" i="7"/>
  <c r="D5593" i="7"/>
  <c r="E5592" i="7"/>
  <c r="D5592" i="7"/>
  <c r="E5591" i="7"/>
  <c r="D5591" i="7"/>
  <c r="E5590" i="7"/>
  <c r="D5590" i="7"/>
  <c r="E5589" i="7"/>
  <c r="D5589" i="7"/>
  <c r="E5576" i="7"/>
  <c r="D5576" i="7"/>
  <c r="E5575" i="7"/>
  <c r="D5575" i="7"/>
  <c r="E5574" i="7"/>
  <c r="D5574" i="7"/>
  <c r="E5573" i="7"/>
  <c r="D5573" i="7"/>
  <c r="E5555" i="7"/>
  <c r="D5555" i="7"/>
  <c r="E5554" i="7"/>
  <c r="D5554" i="7"/>
  <c r="E5643" i="7"/>
  <c r="D5643" i="7"/>
  <c r="E5642" i="7"/>
  <c r="D5642" i="7"/>
  <c r="E5641" i="7"/>
  <c r="D5641" i="7"/>
  <c r="E5635" i="7"/>
  <c r="D5635" i="7"/>
  <c r="E5634" i="7"/>
  <c r="D5634" i="7"/>
  <c r="E5633" i="7"/>
  <c r="D5633" i="7"/>
  <c r="E5629" i="7"/>
  <c r="D5629" i="7"/>
  <c r="E5628" i="7"/>
  <c r="D5628" i="7"/>
  <c r="E5627" i="7"/>
  <c r="D5627" i="7"/>
  <c r="E5626" i="7"/>
  <c r="D5626" i="7"/>
  <c r="E5625" i="7"/>
  <c r="D5625" i="7"/>
  <c r="E5620" i="7"/>
  <c r="D5620" i="7"/>
  <c r="E5619" i="7"/>
  <c r="D5619" i="7"/>
  <c r="E5618" i="7"/>
  <c r="D5618" i="7"/>
  <c r="E5617" i="7"/>
  <c r="D5617" i="7"/>
  <c r="E5616" i="7"/>
  <c r="D5616" i="7"/>
  <c r="E5624" i="7"/>
  <c r="D5624" i="7"/>
  <c r="E5623" i="7"/>
  <c r="D5623" i="7"/>
  <c r="E5613" i="7"/>
  <c r="D5613" i="7"/>
  <c r="E5612" i="7"/>
  <c r="D5612" i="7"/>
  <c r="E5588" i="7" l="1"/>
  <c r="D5588" i="7"/>
  <c r="E5587" i="7"/>
  <c r="D5587" i="7"/>
  <c r="E5586" i="7"/>
  <c r="D5586" i="7"/>
  <c r="E5585" i="7"/>
  <c r="D5585" i="7"/>
  <c r="E5584" i="7"/>
  <c r="D5584" i="7"/>
  <c r="E5583" i="7"/>
  <c r="D5583" i="7"/>
  <c r="E5553" i="7"/>
  <c r="D5553" i="7"/>
  <c r="E5552" i="7"/>
  <c r="D5552" i="7"/>
  <c r="E5551" i="7"/>
  <c r="D5551" i="7"/>
  <c r="E5550" i="7"/>
  <c r="D5550" i="7"/>
  <c r="E5543" i="7"/>
  <c r="D5543" i="7"/>
  <c r="E5542" i="7"/>
  <c r="D5542" i="7"/>
  <c r="E5541" i="7"/>
  <c r="D5541" i="7"/>
  <c r="E5540" i="7"/>
  <c r="D5540" i="7"/>
  <c r="E5539" i="7"/>
  <c r="D5539" i="7"/>
  <c r="E5538" i="7"/>
  <c r="D5538" i="7"/>
  <c r="E5228" i="7"/>
  <c r="D5228" i="7"/>
  <c r="E5227" i="7"/>
  <c r="D5227" i="7"/>
  <c r="E5226" i="7"/>
  <c r="D5226" i="7"/>
  <c r="E5225" i="7"/>
  <c r="D5225" i="7"/>
  <c r="E5023" i="7" l="1"/>
  <c r="D5023" i="7"/>
  <c r="E5022" i="7"/>
  <c r="D5022" i="7"/>
  <c r="E2136" i="7" l="1"/>
  <c r="D2136" i="7"/>
  <c r="E216" i="7" l="1"/>
  <c r="D216" i="7"/>
  <c r="E215" i="7"/>
  <c r="D215" i="7"/>
  <c r="D299" i="7"/>
  <c r="E299" i="7"/>
  <c r="D298" i="7"/>
  <c r="E298" i="7"/>
  <c r="D10" i="7" l="1"/>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D2340" i="7"/>
  <c r="D2341" i="7"/>
  <c r="D2342" i="7"/>
  <c r="D2343" i="7"/>
  <c r="D2344" i="7"/>
  <c r="D2345" i="7"/>
  <c r="D2346" i="7"/>
  <c r="D2347" i="7"/>
  <c r="D2348" i="7"/>
  <c r="D2349" i="7"/>
  <c r="D2350" i="7"/>
  <c r="D2351" i="7"/>
  <c r="D2352" i="7"/>
  <c r="D2353" i="7"/>
  <c r="D2354" i="7"/>
  <c r="D2355" i="7"/>
  <c r="D2356" i="7"/>
  <c r="D2357" i="7"/>
  <c r="D2358" i="7"/>
  <c r="D2359" i="7"/>
  <c r="D2360" i="7"/>
  <c r="D2361" i="7"/>
  <c r="D2362" i="7"/>
  <c r="D2363" i="7"/>
  <c r="D2364" i="7"/>
  <c r="D2365" i="7"/>
  <c r="D2366" i="7"/>
  <c r="D2367" i="7"/>
  <c r="D2368" i="7"/>
  <c r="D2369" i="7"/>
  <c r="D2370" i="7"/>
  <c r="D2371" i="7"/>
  <c r="D2372" i="7"/>
  <c r="D2373" i="7"/>
  <c r="D2374" i="7"/>
  <c r="D2375" i="7"/>
  <c r="D2376" i="7"/>
  <c r="D2377" i="7"/>
  <c r="D2378" i="7"/>
  <c r="D2379" i="7"/>
  <c r="D2380" i="7"/>
  <c r="D2381" i="7"/>
  <c r="D2382" i="7"/>
  <c r="D2383" i="7"/>
  <c r="D2384" i="7"/>
  <c r="D2385" i="7"/>
  <c r="D2386" i="7"/>
  <c r="D2387" i="7"/>
  <c r="D2388" i="7"/>
  <c r="D2389" i="7"/>
  <c r="D2390" i="7"/>
  <c r="D2391" i="7"/>
  <c r="D2392" i="7"/>
  <c r="D2393" i="7"/>
  <c r="D2394" i="7"/>
  <c r="D2395" i="7"/>
  <c r="D2396" i="7"/>
  <c r="D2397" i="7"/>
  <c r="D2398" i="7"/>
  <c r="D2399" i="7"/>
  <c r="D2400" i="7"/>
  <c r="D2401" i="7"/>
  <c r="D2402" i="7"/>
  <c r="D2403" i="7"/>
  <c r="D2404" i="7"/>
  <c r="D2405" i="7"/>
  <c r="D2406" i="7"/>
  <c r="D2407" i="7"/>
  <c r="D2408" i="7"/>
  <c r="D2409" i="7"/>
  <c r="D2410" i="7"/>
  <c r="D2411" i="7"/>
  <c r="D2412" i="7"/>
  <c r="D2413" i="7"/>
  <c r="D2414" i="7"/>
  <c r="D2415" i="7"/>
  <c r="D2416" i="7"/>
  <c r="D2417" i="7"/>
  <c r="D2418" i="7"/>
  <c r="D2419" i="7"/>
  <c r="D2420" i="7"/>
  <c r="D2421" i="7"/>
  <c r="D2422" i="7"/>
  <c r="D2423" i="7"/>
  <c r="D2424" i="7"/>
  <c r="D2425" i="7"/>
  <c r="D2426" i="7"/>
  <c r="D2427" i="7"/>
  <c r="D2428" i="7"/>
  <c r="D2429" i="7"/>
  <c r="D2430" i="7"/>
  <c r="D2431" i="7"/>
  <c r="D2432" i="7"/>
  <c r="D2433" i="7"/>
  <c r="D2434" i="7"/>
  <c r="D2435" i="7"/>
  <c r="D2436" i="7"/>
  <c r="D2437" i="7"/>
  <c r="D2438" i="7"/>
  <c r="D2439" i="7"/>
  <c r="D2440" i="7"/>
  <c r="D2441" i="7"/>
  <c r="D2442" i="7"/>
  <c r="D2443" i="7"/>
  <c r="D2444" i="7"/>
  <c r="D2445" i="7"/>
  <c r="D2446" i="7"/>
  <c r="D2447" i="7"/>
  <c r="D2448" i="7"/>
  <c r="D2449" i="7"/>
  <c r="D2450" i="7"/>
  <c r="D2451" i="7"/>
  <c r="D2452" i="7"/>
  <c r="D2453" i="7"/>
  <c r="D2454" i="7"/>
  <c r="D2455" i="7"/>
  <c r="D2456" i="7"/>
  <c r="D2457" i="7"/>
  <c r="D2458" i="7"/>
  <c r="D2459" i="7"/>
  <c r="D2460" i="7"/>
  <c r="D2461" i="7"/>
  <c r="D2462" i="7"/>
  <c r="D2463" i="7"/>
  <c r="D2464" i="7"/>
  <c r="D2465" i="7"/>
  <c r="D2466" i="7"/>
  <c r="D2467" i="7"/>
  <c r="D2468" i="7"/>
  <c r="D2469" i="7"/>
  <c r="D2470" i="7"/>
  <c r="D2471" i="7"/>
  <c r="D2472" i="7"/>
  <c r="D2473" i="7"/>
  <c r="D2474" i="7"/>
  <c r="D2475" i="7"/>
  <c r="D2476" i="7"/>
  <c r="D2477" i="7"/>
  <c r="D2478" i="7"/>
  <c r="D2479" i="7"/>
  <c r="D2480" i="7"/>
  <c r="D2481" i="7"/>
  <c r="D2482" i="7"/>
  <c r="D2483" i="7"/>
  <c r="D2484" i="7"/>
  <c r="D2485" i="7"/>
  <c r="D2486" i="7"/>
  <c r="D2487" i="7"/>
  <c r="D2488" i="7"/>
  <c r="D2489" i="7"/>
  <c r="D2490" i="7"/>
  <c r="D2491" i="7"/>
  <c r="D2492" i="7"/>
  <c r="D2493" i="7"/>
  <c r="D2494" i="7"/>
  <c r="D2495" i="7"/>
  <c r="D2496" i="7"/>
  <c r="D2497" i="7"/>
  <c r="D2498" i="7"/>
  <c r="D2499" i="7"/>
  <c r="D2500" i="7"/>
  <c r="D2501" i="7"/>
  <c r="D2502" i="7"/>
  <c r="D2503" i="7"/>
  <c r="D2504" i="7"/>
  <c r="D2505" i="7"/>
  <c r="D2506" i="7"/>
  <c r="D2507" i="7"/>
  <c r="D2508" i="7"/>
  <c r="D2509" i="7"/>
  <c r="D2510" i="7"/>
  <c r="D2511" i="7"/>
  <c r="D2512" i="7"/>
  <c r="D2513" i="7"/>
  <c r="D2514" i="7"/>
  <c r="D2515" i="7"/>
  <c r="D2516" i="7"/>
  <c r="D2517" i="7"/>
  <c r="D2518" i="7"/>
  <c r="D2519" i="7"/>
  <c r="D2520" i="7"/>
  <c r="D2521" i="7"/>
  <c r="D2522" i="7"/>
  <c r="D2523" i="7"/>
  <c r="D2524" i="7"/>
  <c r="D2525" i="7"/>
  <c r="D2526" i="7"/>
  <c r="D2527" i="7"/>
  <c r="D2528" i="7"/>
  <c r="D2529" i="7"/>
  <c r="D2530" i="7"/>
  <c r="D2531" i="7"/>
  <c r="D2532" i="7"/>
  <c r="D2533" i="7"/>
  <c r="D2534" i="7"/>
  <c r="D2535" i="7"/>
  <c r="D2536" i="7"/>
  <c r="D2537" i="7"/>
  <c r="D2538" i="7"/>
  <c r="D2539" i="7"/>
  <c r="D2540" i="7"/>
  <c r="D2541" i="7"/>
  <c r="D2542" i="7"/>
  <c r="D2543" i="7"/>
  <c r="D2544" i="7"/>
  <c r="D2545" i="7"/>
  <c r="D2546" i="7"/>
  <c r="D2547" i="7"/>
  <c r="D2548" i="7"/>
  <c r="D2549" i="7"/>
  <c r="D2550" i="7"/>
  <c r="D2551" i="7"/>
  <c r="D2552" i="7"/>
  <c r="D2553" i="7"/>
  <c r="D2554" i="7"/>
  <c r="D2555" i="7"/>
  <c r="D2556" i="7"/>
  <c r="D2557" i="7"/>
  <c r="D2558" i="7"/>
  <c r="D2559" i="7"/>
  <c r="D2560" i="7"/>
  <c r="D2561" i="7"/>
  <c r="D2562" i="7"/>
  <c r="D2563" i="7"/>
  <c r="D2564" i="7"/>
  <c r="D2565" i="7"/>
  <c r="D2566" i="7"/>
  <c r="D2567" i="7"/>
  <c r="D2568" i="7"/>
  <c r="D2569" i="7"/>
  <c r="D2570" i="7"/>
  <c r="D2571" i="7"/>
  <c r="D2572" i="7"/>
  <c r="D2573" i="7"/>
  <c r="D2574" i="7"/>
  <c r="D2575" i="7"/>
  <c r="D2576" i="7"/>
  <c r="D2577" i="7"/>
  <c r="D2578" i="7"/>
  <c r="D2579" i="7"/>
  <c r="D2580" i="7"/>
  <c r="D2581" i="7"/>
  <c r="D2582" i="7"/>
  <c r="D2583" i="7"/>
  <c r="D2584" i="7"/>
  <c r="D2585" i="7"/>
  <c r="D2586" i="7"/>
  <c r="D2587" i="7"/>
  <c r="D2588" i="7"/>
  <c r="D2589" i="7"/>
  <c r="D2590" i="7"/>
  <c r="D2591" i="7"/>
  <c r="D2592" i="7"/>
  <c r="D2593" i="7"/>
  <c r="D2594" i="7"/>
  <c r="D2595" i="7"/>
  <c r="D2596" i="7"/>
  <c r="D2597" i="7"/>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D2642" i="7"/>
  <c r="D2643" i="7"/>
  <c r="D2644" i="7"/>
  <c r="D2645" i="7"/>
  <c r="D2646" i="7"/>
  <c r="D2647" i="7"/>
  <c r="D2648" i="7"/>
  <c r="D2649" i="7"/>
  <c r="D2650" i="7"/>
  <c r="D2651" i="7"/>
  <c r="D2652" i="7"/>
  <c r="D2653" i="7"/>
  <c r="D2654" i="7"/>
  <c r="D2655" i="7"/>
  <c r="D2656" i="7"/>
  <c r="D2657" i="7"/>
  <c r="D2658" i="7"/>
  <c r="D2659" i="7"/>
  <c r="D2660" i="7"/>
  <c r="D2661" i="7"/>
  <c r="D2662" i="7"/>
  <c r="D2663" i="7"/>
  <c r="D2664" i="7"/>
  <c r="D2665" i="7"/>
  <c r="D2666" i="7"/>
  <c r="D2667" i="7"/>
  <c r="D2668" i="7"/>
  <c r="D2669" i="7"/>
  <c r="D2670" i="7"/>
  <c r="D2671" i="7"/>
  <c r="D2672" i="7"/>
  <c r="D2673" i="7"/>
  <c r="D2674" i="7"/>
  <c r="D2675" i="7"/>
  <c r="D2676" i="7"/>
  <c r="D2677" i="7"/>
  <c r="D2678" i="7"/>
  <c r="D2679" i="7"/>
  <c r="D2680" i="7"/>
  <c r="D2681" i="7"/>
  <c r="D2682" i="7"/>
  <c r="D2683" i="7"/>
  <c r="D2684" i="7"/>
  <c r="D2685" i="7"/>
  <c r="D2686" i="7"/>
  <c r="D2687" i="7"/>
  <c r="D2688" i="7"/>
  <c r="D2689" i="7"/>
  <c r="D2690" i="7"/>
  <c r="D2691" i="7"/>
  <c r="D2692" i="7"/>
  <c r="D2693" i="7"/>
  <c r="D2694" i="7"/>
  <c r="D2695" i="7"/>
  <c r="D2696" i="7"/>
  <c r="D2697" i="7"/>
  <c r="D2698" i="7"/>
  <c r="D2699" i="7"/>
  <c r="D2700" i="7"/>
  <c r="D2701" i="7"/>
  <c r="D2702" i="7"/>
  <c r="D2703" i="7"/>
  <c r="D2704" i="7"/>
  <c r="D2705" i="7"/>
  <c r="D2706" i="7"/>
  <c r="D2707" i="7"/>
  <c r="D2708" i="7"/>
  <c r="D2709" i="7"/>
  <c r="D2710" i="7"/>
  <c r="D2711" i="7"/>
  <c r="D2712" i="7"/>
  <c r="D2713" i="7"/>
  <c r="D2714" i="7"/>
  <c r="D2715" i="7"/>
  <c r="D2716" i="7"/>
  <c r="D2717" i="7"/>
  <c r="D2718" i="7"/>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D2748" i="7"/>
  <c r="D2749" i="7"/>
  <c r="D2750" i="7"/>
  <c r="D2751" i="7"/>
  <c r="D2752" i="7"/>
  <c r="D2753" i="7"/>
  <c r="D2754" i="7"/>
  <c r="D2755" i="7"/>
  <c r="D2756" i="7"/>
  <c r="D2757" i="7"/>
  <c r="D2758" i="7"/>
  <c r="D2759" i="7"/>
  <c r="D2760" i="7"/>
  <c r="D2761" i="7"/>
  <c r="D2762" i="7"/>
  <c r="D2763" i="7"/>
  <c r="D2764" i="7"/>
  <c r="D2765" i="7"/>
  <c r="D2766" i="7"/>
  <c r="D2767" i="7"/>
  <c r="D2768" i="7"/>
  <c r="D2769" i="7"/>
  <c r="D2770" i="7"/>
  <c r="D2771" i="7"/>
  <c r="D2772" i="7"/>
  <c r="D2773" i="7"/>
  <c r="D2774" i="7"/>
  <c r="D2775" i="7"/>
  <c r="D2776" i="7"/>
  <c r="D2777" i="7"/>
  <c r="D2778" i="7"/>
  <c r="D2779" i="7"/>
  <c r="D2780" i="7"/>
  <c r="D2781" i="7"/>
  <c r="D2782" i="7"/>
  <c r="D2783" i="7"/>
  <c r="D2784" i="7"/>
  <c r="D2785" i="7"/>
  <c r="D2786" i="7"/>
  <c r="D2787" i="7"/>
  <c r="D2788" i="7"/>
  <c r="D2789" i="7"/>
  <c r="D2790" i="7"/>
  <c r="D2791" i="7"/>
  <c r="D2792" i="7"/>
  <c r="D2793" i="7"/>
  <c r="D2794" i="7"/>
  <c r="D2795" i="7"/>
  <c r="D2796" i="7"/>
  <c r="D2797" i="7"/>
  <c r="D2798" i="7"/>
  <c r="D2799" i="7"/>
  <c r="D2800" i="7"/>
  <c r="D2801" i="7"/>
  <c r="D2802" i="7"/>
  <c r="D2803" i="7"/>
  <c r="D2804" i="7"/>
  <c r="D2805" i="7"/>
  <c r="D2806" i="7"/>
  <c r="D2807" i="7"/>
  <c r="D2808" i="7"/>
  <c r="D2809" i="7"/>
  <c r="D2810" i="7"/>
  <c r="D2811" i="7"/>
  <c r="D2812" i="7"/>
  <c r="D2813" i="7"/>
  <c r="D2814" i="7"/>
  <c r="D2815" i="7"/>
  <c r="D2816" i="7"/>
  <c r="D2817" i="7"/>
  <c r="D2818" i="7"/>
  <c r="D2819" i="7"/>
  <c r="D2820" i="7"/>
  <c r="D2821" i="7"/>
  <c r="D2822" i="7"/>
  <c r="D2823" i="7"/>
  <c r="D2824" i="7"/>
  <c r="D2825" i="7"/>
  <c r="D2826" i="7"/>
  <c r="D2827" i="7"/>
  <c r="D2828" i="7"/>
  <c r="D2829" i="7"/>
  <c r="D2830" i="7"/>
  <c r="D2831" i="7"/>
  <c r="D2832" i="7"/>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D2878" i="7"/>
  <c r="D2879" i="7"/>
  <c r="D2880" i="7"/>
  <c r="D2881" i="7"/>
  <c r="D2882" i="7"/>
  <c r="D2883" i="7"/>
  <c r="D2884" i="7"/>
  <c r="D2885" i="7"/>
  <c r="D2886" i="7"/>
  <c r="D2887" i="7"/>
  <c r="D2888" i="7"/>
  <c r="D2889" i="7"/>
  <c r="D2890" i="7"/>
  <c r="D2891" i="7"/>
  <c r="D2892" i="7"/>
  <c r="D2893" i="7"/>
  <c r="D2894" i="7"/>
  <c r="D2895" i="7"/>
  <c r="D2896" i="7"/>
  <c r="D2897" i="7"/>
  <c r="D2898" i="7"/>
  <c r="D2899" i="7"/>
  <c r="D2900" i="7"/>
  <c r="D2901" i="7"/>
  <c r="D2902" i="7"/>
  <c r="D2903" i="7"/>
  <c r="D2904" i="7"/>
  <c r="D2905" i="7"/>
  <c r="D2906" i="7"/>
  <c r="D2907" i="7"/>
  <c r="D2908" i="7"/>
  <c r="D2909" i="7"/>
  <c r="D2910" i="7"/>
  <c r="D2911" i="7"/>
  <c r="D2912" i="7"/>
  <c r="D2913" i="7"/>
  <c r="D2914" i="7"/>
  <c r="D2915" i="7"/>
  <c r="D2916" i="7"/>
  <c r="D2917" i="7"/>
  <c r="D2918" i="7"/>
  <c r="D2919" i="7"/>
  <c r="D2920" i="7"/>
  <c r="D2921" i="7"/>
  <c r="D2922" i="7"/>
  <c r="D2923" i="7"/>
  <c r="D2924" i="7"/>
  <c r="D2925" i="7"/>
  <c r="D2926" i="7"/>
  <c r="D2927" i="7"/>
  <c r="D2928" i="7"/>
  <c r="D2929" i="7"/>
  <c r="D2930" i="7"/>
  <c r="D2931" i="7"/>
  <c r="D2932" i="7"/>
  <c r="D2933" i="7"/>
  <c r="D2934" i="7"/>
  <c r="D2935" i="7"/>
  <c r="D2936" i="7"/>
  <c r="D2937" i="7"/>
  <c r="D2938" i="7"/>
  <c r="D2939" i="7"/>
  <c r="D2940" i="7"/>
  <c r="D2941" i="7"/>
  <c r="D2942" i="7"/>
  <c r="D2943" i="7"/>
  <c r="D2944" i="7"/>
  <c r="D2945" i="7"/>
  <c r="D2946" i="7"/>
  <c r="D2947" i="7"/>
  <c r="D2948" i="7"/>
  <c r="D2949" i="7"/>
  <c r="D2950" i="7"/>
  <c r="D2951" i="7"/>
  <c r="D2952" i="7"/>
  <c r="D2953" i="7"/>
  <c r="D2954" i="7"/>
  <c r="D2955" i="7"/>
  <c r="D2956" i="7"/>
  <c r="D2957" i="7"/>
  <c r="D2958" i="7"/>
  <c r="D2959" i="7"/>
  <c r="D2960" i="7"/>
  <c r="D2961" i="7"/>
  <c r="D2962" i="7"/>
  <c r="D2963" i="7"/>
  <c r="D2964" i="7"/>
  <c r="D2965" i="7"/>
  <c r="D2966" i="7"/>
  <c r="D2967" i="7"/>
  <c r="D2968" i="7"/>
  <c r="D2969" i="7"/>
  <c r="D2970" i="7"/>
  <c r="D2971" i="7"/>
  <c r="D2972" i="7"/>
  <c r="D2973" i="7"/>
  <c r="D2974" i="7"/>
  <c r="D2975" i="7"/>
  <c r="D2976" i="7"/>
  <c r="D2977" i="7"/>
  <c r="D2978" i="7"/>
  <c r="D2979" i="7"/>
  <c r="D2980" i="7"/>
  <c r="D2981" i="7"/>
  <c r="D2982" i="7"/>
  <c r="D2983" i="7"/>
  <c r="D2984" i="7"/>
  <c r="D2985" i="7"/>
  <c r="D2986" i="7"/>
  <c r="D2987" i="7"/>
  <c r="D2988" i="7"/>
  <c r="D2989" i="7"/>
  <c r="D2990" i="7"/>
  <c r="D2991" i="7"/>
  <c r="D2992" i="7"/>
  <c r="D2993" i="7"/>
  <c r="D2994" i="7"/>
  <c r="D2995" i="7"/>
  <c r="D2996" i="7"/>
  <c r="D2997" i="7"/>
  <c r="D2998" i="7"/>
  <c r="D2999" i="7"/>
  <c r="D3000" i="7"/>
  <c r="D3001" i="7"/>
  <c r="D3002" i="7"/>
  <c r="D3003" i="7"/>
  <c r="D3004" i="7"/>
  <c r="D3005" i="7"/>
  <c r="D3006" i="7"/>
  <c r="D3007" i="7"/>
  <c r="D3008" i="7"/>
  <c r="D3009" i="7"/>
  <c r="D3010" i="7"/>
  <c r="D3011" i="7"/>
  <c r="D3012" i="7"/>
  <c r="D3013" i="7"/>
  <c r="D3014" i="7"/>
  <c r="D3015" i="7"/>
  <c r="D3016" i="7"/>
  <c r="D3017" i="7"/>
  <c r="D3018" i="7"/>
  <c r="D3019" i="7"/>
  <c r="D3020" i="7"/>
  <c r="D3021" i="7"/>
  <c r="D3022" i="7"/>
  <c r="D3023" i="7"/>
  <c r="D3024" i="7"/>
  <c r="D3025" i="7"/>
  <c r="D3026" i="7"/>
  <c r="D3027" i="7"/>
  <c r="D3028" i="7"/>
  <c r="D3029" i="7"/>
  <c r="D3030" i="7"/>
  <c r="D3031" i="7"/>
  <c r="D3032" i="7"/>
  <c r="D3033" i="7"/>
  <c r="D3034" i="7"/>
  <c r="D3035" i="7"/>
  <c r="D3036" i="7"/>
  <c r="D3037" i="7"/>
  <c r="D3038" i="7"/>
  <c r="D3039" i="7"/>
  <c r="D3040" i="7"/>
  <c r="D3041" i="7"/>
  <c r="D3042" i="7"/>
  <c r="D3043" i="7"/>
  <c r="D3044" i="7"/>
  <c r="D3045" i="7"/>
  <c r="D3046" i="7"/>
  <c r="D3047" i="7"/>
  <c r="D3048" i="7"/>
  <c r="D3049" i="7"/>
  <c r="D3050" i="7"/>
  <c r="D3051" i="7"/>
  <c r="D3052" i="7"/>
  <c r="D3053" i="7"/>
  <c r="D3054" i="7"/>
  <c r="D3055" i="7"/>
  <c r="D3056" i="7"/>
  <c r="D3057" i="7"/>
  <c r="D3058" i="7"/>
  <c r="D3059" i="7"/>
  <c r="D3060" i="7"/>
  <c r="D3061" i="7"/>
  <c r="D3062" i="7"/>
  <c r="D3063" i="7"/>
  <c r="D3064" i="7"/>
  <c r="D3065" i="7"/>
  <c r="D3066" i="7"/>
  <c r="D3067" i="7"/>
  <c r="D3068" i="7"/>
  <c r="D3069" i="7"/>
  <c r="D3070" i="7"/>
  <c r="D3071" i="7"/>
  <c r="D3072" i="7"/>
  <c r="D3073" i="7"/>
  <c r="D3074" i="7"/>
  <c r="D3075" i="7"/>
  <c r="D3076" i="7"/>
  <c r="D3077" i="7"/>
  <c r="D3078" i="7"/>
  <c r="D3079" i="7"/>
  <c r="D3080" i="7"/>
  <c r="D3081" i="7"/>
  <c r="D3082" i="7"/>
  <c r="D3083" i="7"/>
  <c r="D3084" i="7"/>
  <c r="D3085" i="7"/>
  <c r="D3086" i="7"/>
  <c r="D3087" i="7"/>
  <c r="D3088" i="7"/>
  <c r="D3089" i="7"/>
  <c r="D3090" i="7"/>
  <c r="D3091" i="7"/>
  <c r="D3092" i="7"/>
  <c r="D3093" i="7"/>
  <c r="D3094" i="7"/>
  <c r="D3095" i="7"/>
  <c r="D3096" i="7"/>
  <c r="D3097" i="7"/>
  <c r="D3098" i="7"/>
  <c r="D3099" i="7"/>
  <c r="D3100" i="7"/>
  <c r="D3101" i="7"/>
  <c r="D3102" i="7"/>
  <c r="D3103" i="7"/>
  <c r="D3104" i="7"/>
  <c r="D3105" i="7"/>
  <c r="D3106" i="7"/>
  <c r="D3107" i="7"/>
  <c r="D3108" i="7"/>
  <c r="D3109" i="7"/>
  <c r="D3110" i="7"/>
  <c r="D3111" i="7"/>
  <c r="D3112" i="7"/>
  <c r="D3113" i="7"/>
  <c r="D3114" i="7"/>
  <c r="D3115" i="7"/>
  <c r="D3116" i="7"/>
  <c r="D3117" i="7"/>
  <c r="D3118" i="7"/>
  <c r="D3119" i="7"/>
  <c r="D3120" i="7"/>
  <c r="D3121" i="7"/>
  <c r="D3122" i="7"/>
  <c r="D3123" i="7"/>
  <c r="D3124" i="7"/>
  <c r="D3125" i="7"/>
  <c r="D3126" i="7"/>
  <c r="D3127" i="7"/>
  <c r="D3128" i="7"/>
  <c r="D3129" i="7"/>
  <c r="D3130" i="7"/>
  <c r="D3131" i="7"/>
  <c r="D3132" i="7"/>
  <c r="D3133" i="7"/>
  <c r="D3134" i="7"/>
  <c r="D3135" i="7"/>
  <c r="D3136" i="7"/>
  <c r="D3137" i="7"/>
  <c r="D3138" i="7"/>
  <c r="D3139" i="7"/>
  <c r="D3140" i="7"/>
  <c r="D3141" i="7"/>
  <c r="D3142" i="7"/>
  <c r="D3143" i="7"/>
  <c r="D3144" i="7"/>
  <c r="D3145" i="7"/>
  <c r="D3146" i="7"/>
  <c r="D3147" i="7"/>
  <c r="D3148" i="7"/>
  <c r="D3149" i="7"/>
  <c r="D3150" i="7"/>
  <c r="D3151" i="7"/>
  <c r="D3152" i="7"/>
  <c r="D3153" i="7"/>
  <c r="D3154" i="7"/>
  <c r="D3155" i="7"/>
  <c r="D3156" i="7"/>
  <c r="D3157" i="7"/>
  <c r="D3158" i="7"/>
  <c r="D3159" i="7"/>
  <c r="D3160" i="7"/>
  <c r="D3161" i="7"/>
  <c r="D3162" i="7"/>
  <c r="D3163" i="7"/>
  <c r="D3164" i="7"/>
  <c r="D3165" i="7"/>
  <c r="D3166" i="7"/>
  <c r="D3167" i="7"/>
  <c r="D3168" i="7"/>
  <c r="D3169" i="7"/>
  <c r="D3170" i="7"/>
  <c r="D3171" i="7"/>
  <c r="D3172" i="7"/>
  <c r="D3173" i="7"/>
  <c r="D3174" i="7"/>
  <c r="D3175" i="7"/>
  <c r="D3176" i="7"/>
  <c r="D3177" i="7"/>
  <c r="D3178" i="7"/>
  <c r="D3179" i="7"/>
  <c r="D3180" i="7"/>
  <c r="D3181" i="7"/>
  <c r="D3182" i="7"/>
  <c r="D3183" i="7"/>
  <c r="D3184" i="7"/>
  <c r="D3185" i="7"/>
  <c r="D3186" i="7"/>
  <c r="D3187" i="7"/>
  <c r="D3188" i="7"/>
  <c r="D3189" i="7"/>
  <c r="D3190" i="7"/>
  <c r="D3191" i="7"/>
  <c r="D3192" i="7"/>
  <c r="D3193" i="7"/>
  <c r="D3194" i="7"/>
  <c r="D3195" i="7"/>
  <c r="D3196" i="7"/>
  <c r="D3197" i="7"/>
  <c r="D3198" i="7"/>
  <c r="D3199" i="7"/>
  <c r="D3200" i="7"/>
  <c r="D3201" i="7"/>
  <c r="D3202" i="7"/>
  <c r="D3203" i="7"/>
  <c r="D3204" i="7"/>
  <c r="D3205" i="7"/>
  <c r="D3206" i="7"/>
  <c r="D3207" i="7"/>
  <c r="D3208" i="7"/>
  <c r="D3209" i="7"/>
  <c r="D3210" i="7"/>
  <c r="D3211" i="7"/>
  <c r="D3212" i="7"/>
  <c r="D3213" i="7"/>
  <c r="D3214" i="7"/>
  <c r="D3215" i="7"/>
  <c r="D3216" i="7"/>
  <c r="D3217" i="7"/>
  <c r="D3218" i="7"/>
  <c r="D3219" i="7"/>
  <c r="D3220" i="7"/>
  <c r="D3221" i="7"/>
  <c r="D3222" i="7"/>
  <c r="D3223" i="7"/>
  <c r="D3224" i="7"/>
  <c r="D3225" i="7"/>
  <c r="D3226" i="7"/>
  <c r="D3227" i="7"/>
  <c r="D3228" i="7"/>
  <c r="D3229" i="7"/>
  <c r="D3230" i="7"/>
  <c r="D3231" i="7"/>
  <c r="D3232" i="7"/>
  <c r="D3233" i="7"/>
  <c r="D3234" i="7"/>
  <c r="D3235" i="7"/>
  <c r="D3236" i="7"/>
  <c r="D3237" i="7"/>
  <c r="D3238" i="7"/>
  <c r="D3239" i="7"/>
  <c r="D3240" i="7"/>
  <c r="D3241" i="7"/>
  <c r="D3242" i="7"/>
  <c r="D3243" i="7"/>
  <c r="D3244" i="7"/>
  <c r="D3245" i="7"/>
  <c r="D3246" i="7"/>
  <c r="D3247" i="7"/>
  <c r="D3248" i="7"/>
  <c r="D3249" i="7"/>
  <c r="D3250" i="7"/>
  <c r="D3251" i="7"/>
  <c r="D3252" i="7"/>
  <c r="D3253" i="7"/>
  <c r="D3254" i="7"/>
  <c r="D3255" i="7"/>
  <c r="D3256" i="7"/>
  <c r="D3257" i="7"/>
  <c r="D3258" i="7"/>
  <c r="D3259" i="7"/>
  <c r="D3260" i="7"/>
  <c r="D3261" i="7"/>
  <c r="D3262" i="7"/>
  <c r="D3263" i="7"/>
  <c r="D3264" i="7"/>
  <c r="D3265" i="7"/>
  <c r="D3266" i="7"/>
  <c r="D3267" i="7"/>
  <c r="D3268" i="7"/>
  <c r="D3269" i="7"/>
  <c r="D3270" i="7"/>
  <c r="D3271" i="7"/>
  <c r="D3272" i="7"/>
  <c r="D3273" i="7"/>
  <c r="D3274" i="7"/>
  <c r="D3275" i="7"/>
  <c r="D3276" i="7"/>
  <c r="D3277" i="7"/>
  <c r="D3278" i="7"/>
  <c r="D3279" i="7"/>
  <c r="D3280" i="7"/>
  <c r="D3281" i="7"/>
  <c r="D3282" i="7"/>
  <c r="D3283" i="7"/>
  <c r="D3284" i="7"/>
  <c r="D3285" i="7"/>
  <c r="D3286" i="7"/>
  <c r="D3287" i="7"/>
  <c r="D3288" i="7"/>
  <c r="D3289" i="7"/>
  <c r="D3290" i="7"/>
  <c r="D3291" i="7"/>
  <c r="D3292" i="7"/>
  <c r="D3293" i="7"/>
  <c r="D3294" i="7"/>
  <c r="D3295" i="7"/>
  <c r="D3296" i="7"/>
  <c r="D3297" i="7"/>
  <c r="D3298" i="7"/>
  <c r="D3299" i="7"/>
  <c r="D3300" i="7"/>
  <c r="D3301" i="7"/>
  <c r="D3302" i="7"/>
  <c r="D3303" i="7"/>
  <c r="D3304" i="7"/>
  <c r="D3305" i="7"/>
  <c r="D3306" i="7"/>
  <c r="D3307" i="7"/>
  <c r="D3308" i="7"/>
  <c r="D3309" i="7"/>
  <c r="D3310" i="7"/>
  <c r="D3311" i="7"/>
  <c r="D3312" i="7"/>
  <c r="D3313" i="7"/>
  <c r="D3314" i="7"/>
  <c r="D3315" i="7"/>
  <c r="D3316" i="7"/>
  <c r="D3317" i="7"/>
  <c r="D3318" i="7"/>
  <c r="D3319" i="7"/>
  <c r="D3320" i="7"/>
  <c r="D3321" i="7"/>
  <c r="D3322" i="7"/>
  <c r="D3323" i="7"/>
  <c r="D3324" i="7"/>
  <c r="D3325" i="7"/>
  <c r="D3326" i="7"/>
  <c r="D3327" i="7"/>
  <c r="D3328" i="7"/>
  <c r="D3329" i="7"/>
  <c r="D3330" i="7"/>
  <c r="D3331" i="7"/>
  <c r="D3332" i="7"/>
  <c r="D3333" i="7"/>
  <c r="D3334" i="7"/>
  <c r="D3335" i="7"/>
  <c r="D3336" i="7"/>
  <c r="D3337" i="7"/>
  <c r="D3338" i="7"/>
  <c r="D3339" i="7"/>
  <c r="D3340" i="7"/>
  <c r="D3341" i="7"/>
  <c r="D3342" i="7"/>
  <c r="D3343" i="7"/>
  <c r="D3344" i="7"/>
  <c r="D3345" i="7"/>
  <c r="D3346" i="7"/>
  <c r="D3347" i="7"/>
  <c r="D3348" i="7"/>
  <c r="D3349" i="7"/>
  <c r="D3350" i="7"/>
  <c r="D3351" i="7"/>
  <c r="D3352" i="7"/>
  <c r="D3353" i="7"/>
  <c r="D3354" i="7"/>
  <c r="D3355" i="7"/>
  <c r="D3356" i="7"/>
  <c r="D3357" i="7"/>
  <c r="D3358" i="7"/>
  <c r="D3359" i="7"/>
  <c r="D3360" i="7"/>
  <c r="D3361" i="7"/>
  <c r="D3362" i="7"/>
  <c r="D3363" i="7"/>
  <c r="D3364" i="7"/>
  <c r="D3365" i="7"/>
  <c r="D3366" i="7"/>
  <c r="D3367" i="7"/>
  <c r="D3368" i="7"/>
  <c r="D3369" i="7"/>
  <c r="D3370" i="7"/>
  <c r="D3371" i="7"/>
  <c r="D3372" i="7"/>
  <c r="D3373" i="7"/>
  <c r="D3374" i="7"/>
  <c r="D3375" i="7"/>
  <c r="D3376" i="7"/>
  <c r="D3377" i="7"/>
  <c r="D3378" i="7"/>
  <c r="D3379" i="7"/>
  <c r="D3380" i="7"/>
  <c r="D3381" i="7"/>
  <c r="D3382" i="7"/>
  <c r="D3383" i="7"/>
  <c r="D3384" i="7"/>
  <c r="D3385" i="7"/>
  <c r="D3386" i="7"/>
  <c r="D3387" i="7"/>
  <c r="D3388" i="7"/>
  <c r="D3389" i="7"/>
  <c r="D3390" i="7"/>
  <c r="D3391" i="7"/>
  <c r="D3392" i="7"/>
  <c r="D3393" i="7"/>
  <c r="D3394" i="7"/>
  <c r="D3395" i="7"/>
  <c r="D3396" i="7"/>
  <c r="D3397" i="7"/>
  <c r="D3398" i="7"/>
  <c r="D3399" i="7"/>
  <c r="D3400" i="7"/>
  <c r="D3401" i="7"/>
  <c r="D3402" i="7"/>
  <c r="D3403" i="7"/>
  <c r="D3404" i="7"/>
  <c r="D3405" i="7"/>
  <c r="D3406" i="7"/>
  <c r="D3407" i="7"/>
  <c r="D3408" i="7"/>
  <c r="D3409" i="7"/>
  <c r="D3410" i="7"/>
  <c r="D3411" i="7"/>
  <c r="D3412" i="7"/>
  <c r="D3413" i="7"/>
  <c r="D3414" i="7"/>
  <c r="D3415" i="7"/>
  <c r="D3416" i="7"/>
  <c r="D3417" i="7"/>
  <c r="D3418" i="7"/>
  <c r="D3419" i="7"/>
  <c r="D3420" i="7"/>
  <c r="D3421" i="7"/>
  <c r="D3422" i="7"/>
  <c r="D3423" i="7"/>
  <c r="D3424" i="7"/>
  <c r="D3425" i="7"/>
  <c r="D3426" i="7"/>
  <c r="D3427" i="7"/>
  <c r="D3428" i="7"/>
  <c r="D3429" i="7"/>
  <c r="D3430" i="7"/>
  <c r="D3431" i="7"/>
  <c r="D3432" i="7"/>
  <c r="D3433" i="7"/>
  <c r="D3434" i="7"/>
  <c r="D3435" i="7"/>
  <c r="D3436" i="7"/>
  <c r="D3437" i="7"/>
  <c r="D3438" i="7"/>
  <c r="D3439" i="7"/>
  <c r="D3440" i="7"/>
  <c r="D3441" i="7"/>
  <c r="D3442" i="7"/>
  <c r="D3443" i="7"/>
  <c r="D3444" i="7"/>
  <c r="D3445" i="7"/>
  <c r="D3446" i="7"/>
  <c r="D3447" i="7"/>
  <c r="D3448" i="7"/>
  <c r="D3449" i="7"/>
  <c r="D3450" i="7"/>
  <c r="D3451" i="7"/>
  <c r="D3452" i="7"/>
  <c r="D3453" i="7"/>
  <c r="D3454" i="7"/>
  <c r="D3455" i="7"/>
  <c r="D3456" i="7"/>
  <c r="D3457" i="7"/>
  <c r="D3458" i="7"/>
  <c r="D3459" i="7"/>
  <c r="D3460" i="7"/>
  <c r="D3461" i="7"/>
  <c r="D3462" i="7"/>
  <c r="D3463" i="7"/>
  <c r="D3464" i="7"/>
  <c r="D3465" i="7"/>
  <c r="D3466" i="7"/>
  <c r="D3467" i="7"/>
  <c r="D3468" i="7"/>
  <c r="D3469" i="7"/>
  <c r="D3470" i="7"/>
  <c r="D3471" i="7"/>
  <c r="D3472" i="7"/>
  <c r="D3473" i="7"/>
  <c r="D3474" i="7"/>
  <c r="D3475" i="7"/>
  <c r="D3476" i="7"/>
  <c r="D3477" i="7"/>
  <c r="D3478" i="7"/>
  <c r="D3479" i="7"/>
  <c r="D3480" i="7"/>
  <c r="D3481" i="7"/>
  <c r="D3482" i="7"/>
  <c r="D3483" i="7"/>
  <c r="D3484" i="7"/>
  <c r="D3485" i="7"/>
  <c r="D3486" i="7"/>
  <c r="D3487" i="7"/>
  <c r="D3488" i="7"/>
  <c r="D3489" i="7"/>
  <c r="D3490" i="7"/>
  <c r="D3491" i="7"/>
  <c r="D3492" i="7"/>
  <c r="D3493" i="7"/>
  <c r="D3494" i="7"/>
  <c r="D3495" i="7"/>
  <c r="D3496" i="7"/>
  <c r="D3497" i="7"/>
  <c r="D3498" i="7"/>
  <c r="D3499" i="7"/>
  <c r="D3500" i="7"/>
  <c r="D3501" i="7"/>
  <c r="D3502" i="7"/>
  <c r="D3503" i="7"/>
  <c r="D3504" i="7"/>
  <c r="D3505" i="7"/>
  <c r="D3506" i="7"/>
  <c r="D3507" i="7"/>
  <c r="D3508" i="7"/>
  <c r="D3509" i="7"/>
  <c r="D3510" i="7"/>
  <c r="D3511" i="7"/>
  <c r="D3512" i="7"/>
  <c r="D3513" i="7"/>
  <c r="D3514" i="7"/>
  <c r="D3515" i="7"/>
  <c r="D3516" i="7"/>
  <c r="D3517" i="7"/>
  <c r="D3518" i="7"/>
  <c r="D3519" i="7"/>
  <c r="D3520" i="7"/>
  <c r="D3521" i="7"/>
  <c r="D3522" i="7"/>
  <c r="D3523" i="7"/>
  <c r="D3524" i="7"/>
  <c r="D3525" i="7"/>
  <c r="D3526" i="7"/>
  <c r="D3527" i="7"/>
  <c r="D3528" i="7"/>
  <c r="D3529" i="7"/>
  <c r="D3530" i="7"/>
  <c r="D3531" i="7"/>
  <c r="D3532" i="7"/>
  <c r="D3533" i="7"/>
  <c r="D3534" i="7"/>
  <c r="D3535" i="7"/>
  <c r="D3536" i="7"/>
  <c r="D3537" i="7"/>
  <c r="D3538" i="7"/>
  <c r="D3539" i="7"/>
  <c r="D3540" i="7"/>
  <c r="D3541" i="7"/>
  <c r="D3542" i="7"/>
  <c r="D3543" i="7"/>
  <c r="D3544" i="7"/>
  <c r="D3545" i="7"/>
  <c r="D3546" i="7"/>
  <c r="D3547" i="7"/>
  <c r="D3548" i="7"/>
  <c r="D3549" i="7"/>
  <c r="D3550" i="7"/>
  <c r="D3551" i="7"/>
  <c r="D3552" i="7"/>
  <c r="D3553" i="7"/>
  <c r="D3554" i="7"/>
  <c r="D3555" i="7"/>
  <c r="D3556" i="7"/>
  <c r="D3557" i="7"/>
  <c r="D3558" i="7"/>
  <c r="D3559" i="7"/>
  <c r="D3560" i="7"/>
  <c r="D3561" i="7"/>
  <c r="D3562" i="7"/>
  <c r="D3563" i="7"/>
  <c r="D3564" i="7"/>
  <c r="D3565" i="7"/>
  <c r="D3566" i="7"/>
  <c r="D3567" i="7"/>
  <c r="D3568" i="7"/>
  <c r="D3569" i="7"/>
  <c r="D3570" i="7"/>
  <c r="D3571" i="7"/>
  <c r="D3572" i="7"/>
  <c r="D3573" i="7"/>
  <c r="D3574" i="7"/>
  <c r="D3575" i="7"/>
  <c r="D3576" i="7"/>
  <c r="D3577" i="7"/>
  <c r="D3578" i="7"/>
  <c r="D3579" i="7"/>
  <c r="D3580" i="7"/>
  <c r="D3581" i="7"/>
  <c r="D3582" i="7"/>
  <c r="D3583" i="7"/>
  <c r="D3584" i="7"/>
  <c r="D3585" i="7"/>
  <c r="D3586" i="7"/>
  <c r="D3587" i="7"/>
  <c r="D3588" i="7"/>
  <c r="D3589" i="7"/>
  <c r="D3590" i="7"/>
  <c r="D3591" i="7"/>
  <c r="D3592" i="7"/>
  <c r="D3593" i="7"/>
  <c r="D3594" i="7"/>
  <c r="D3595" i="7"/>
  <c r="D3596" i="7"/>
  <c r="D3597" i="7"/>
  <c r="D3598" i="7"/>
  <c r="D3599" i="7"/>
  <c r="D3600" i="7"/>
  <c r="D3601" i="7"/>
  <c r="D3602" i="7"/>
  <c r="D3603" i="7"/>
  <c r="D3604" i="7"/>
  <c r="D3605" i="7"/>
  <c r="D3606" i="7"/>
  <c r="D3607" i="7"/>
  <c r="D3608" i="7"/>
  <c r="D3609" i="7"/>
  <c r="D3610" i="7"/>
  <c r="D3611" i="7"/>
  <c r="D3612" i="7"/>
  <c r="D3613" i="7"/>
  <c r="D3614" i="7"/>
  <c r="D3615" i="7"/>
  <c r="D3616" i="7"/>
  <c r="D3617" i="7"/>
  <c r="D3618" i="7"/>
  <c r="D3619" i="7"/>
  <c r="D3620" i="7"/>
  <c r="D3621" i="7"/>
  <c r="D3622" i="7"/>
  <c r="D3623" i="7"/>
  <c r="D3624" i="7"/>
  <c r="D3625" i="7"/>
  <c r="D3626" i="7"/>
  <c r="D3627" i="7"/>
  <c r="D3628" i="7"/>
  <c r="D3629" i="7"/>
  <c r="D3630" i="7"/>
  <c r="D3631" i="7"/>
  <c r="D3632" i="7"/>
  <c r="D3633" i="7"/>
  <c r="D3634" i="7"/>
  <c r="D3635" i="7"/>
  <c r="D3636" i="7"/>
  <c r="D3637" i="7"/>
  <c r="D3638" i="7"/>
  <c r="D3639" i="7"/>
  <c r="D3640" i="7"/>
  <c r="D3641" i="7"/>
  <c r="D3642" i="7"/>
  <c r="D3643" i="7"/>
  <c r="D3644" i="7"/>
  <c r="D3645" i="7"/>
  <c r="D3646" i="7"/>
  <c r="D3647" i="7"/>
  <c r="D3648" i="7"/>
  <c r="D3649" i="7"/>
  <c r="D3650" i="7"/>
  <c r="D3651" i="7"/>
  <c r="D3652" i="7"/>
  <c r="D3653" i="7"/>
  <c r="D3654" i="7"/>
  <c r="D3655" i="7"/>
  <c r="D3656" i="7"/>
  <c r="D3657" i="7"/>
  <c r="D3658" i="7"/>
  <c r="D3659" i="7"/>
  <c r="D3660" i="7"/>
  <c r="D3661" i="7"/>
  <c r="D3662" i="7"/>
  <c r="D3663" i="7"/>
  <c r="D3664" i="7"/>
  <c r="D3665" i="7"/>
  <c r="D3666" i="7"/>
  <c r="D3667" i="7"/>
  <c r="D3668" i="7"/>
  <c r="D3669" i="7"/>
  <c r="D3670" i="7"/>
  <c r="D3671" i="7"/>
  <c r="D3672" i="7"/>
  <c r="D3673" i="7"/>
  <c r="D3674" i="7"/>
  <c r="D3675" i="7"/>
  <c r="D3676" i="7"/>
  <c r="D3677" i="7"/>
  <c r="D3678" i="7"/>
  <c r="D3679" i="7"/>
  <c r="D3680" i="7"/>
  <c r="D3681" i="7"/>
  <c r="D3682" i="7"/>
  <c r="D3683" i="7"/>
  <c r="D3684" i="7"/>
  <c r="D3685" i="7"/>
  <c r="D3686" i="7"/>
  <c r="D3687" i="7"/>
  <c r="D3688" i="7"/>
  <c r="D3689" i="7"/>
  <c r="D3690" i="7"/>
  <c r="D3691" i="7"/>
  <c r="D3692" i="7"/>
  <c r="D3693" i="7"/>
  <c r="D3694" i="7"/>
  <c r="D3695" i="7"/>
  <c r="D3696" i="7"/>
  <c r="D3697" i="7"/>
  <c r="D3698" i="7"/>
  <c r="D3699" i="7"/>
  <c r="D3700" i="7"/>
  <c r="D3701" i="7"/>
  <c r="D3702" i="7"/>
  <c r="D3703" i="7"/>
  <c r="D3704" i="7"/>
  <c r="D3705" i="7"/>
  <c r="D3706" i="7"/>
  <c r="D3707" i="7"/>
  <c r="D3708" i="7"/>
  <c r="D3709" i="7"/>
  <c r="D3710" i="7"/>
  <c r="D3711" i="7"/>
  <c r="D3712" i="7"/>
  <c r="D3713" i="7"/>
  <c r="D3714" i="7"/>
  <c r="D3715" i="7"/>
  <c r="D3716" i="7"/>
  <c r="D3717" i="7"/>
  <c r="D3718" i="7"/>
  <c r="D3719" i="7"/>
  <c r="D3720" i="7"/>
  <c r="D3721" i="7"/>
  <c r="D3722" i="7"/>
  <c r="D3723" i="7"/>
  <c r="D3724" i="7"/>
  <c r="D3725" i="7"/>
  <c r="D3726" i="7"/>
  <c r="D3727" i="7"/>
  <c r="D3728" i="7"/>
  <c r="D3729" i="7"/>
  <c r="D3730" i="7"/>
  <c r="D3731" i="7"/>
  <c r="D3732" i="7"/>
  <c r="D3733" i="7"/>
  <c r="D3734" i="7"/>
  <c r="D3735" i="7"/>
  <c r="D3736" i="7"/>
  <c r="D3737" i="7"/>
  <c r="D3738" i="7"/>
  <c r="D3739" i="7"/>
  <c r="D3740" i="7"/>
  <c r="D3741" i="7"/>
  <c r="D3742" i="7"/>
  <c r="D3743" i="7"/>
  <c r="D3744" i="7"/>
  <c r="D3745" i="7"/>
  <c r="D3746" i="7"/>
  <c r="D3747" i="7"/>
  <c r="D3748" i="7"/>
  <c r="D3749" i="7"/>
  <c r="D3750" i="7"/>
  <c r="D3751" i="7"/>
  <c r="D3752" i="7"/>
  <c r="D3753" i="7"/>
  <c r="D3754" i="7"/>
  <c r="D3755" i="7"/>
  <c r="D3756" i="7"/>
  <c r="D3757" i="7"/>
  <c r="D3758" i="7"/>
  <c r="D3759" i="7"/>
  <c r="D3760" i="7"/>
  <c r="D3761" i="7"/>
  <c r="D3762" i="7"/>
  <c r="D3763" i="7"/>
  <c r="D3764" i="7"/>
  <c r="D3765" i="7"/>
  <c r="D3766" i="7"/>
  <c r="D3767" i="7"/>
  <c r="D3768" i="7"/>
  <c r="D3769" i="7"/>
  <c r="D3770" i="7"/>
  <c r="D3771" i="7"/>
  <c r="D3772" i="7"/>
  <c r="D3773" i="7"/>
  <c r="D3774" i="7"/>
  <c r="D3775" i="7"/>
  <c r="D3776" i="7"/>
  <c r="D3777" i="7"/>
  <c r="D3778" i="7"/>
  <c r="D3779" i="7"/>
  <c r="D3780" i="7"/>
  <c r="D3781" i="7"/>
  <c r="D3782" i="7"/>
  <c r="D3783" i="7"/>
  <c r="D3784" i="7"/>
  <c r="D3785" i="7"/>
  <c r="D3786" i="7"/>
  <c r="D3787" i="7"/>
  <c r="D3788" i="7"/>
  <c r="D3789" i="7"/>
  <c r="D3790" i="7"/>
  <c r="D3791" i="7"/>
  <c r="D3792" i="7"/>
  <c r="D3793" i="7"/>
  <c r="D3794" i="7"/>
  <c r="D3795" i="7"/>
  <c r="D3796" i="7"/>
  <c r="D3797" i="7"/>
  <c r="D3798" i="7"/>
  <c r="D3799" i="7"/>
  <c r="D3800" i="7"/>
  <c r="D3801" i="7"/>
  <c r="D3802" i="7"/>
  <c r="D3803" i="7"/>
  <c r="D3804" i="7"/>
  <c r="D3805" i="7"/>
  <c r="D3806" i="7"/>
  <c r="D3807" i="7"/>
  <c r="D3808" i="7"/>
  <c r="D3809" i="7"/>
  <c r="D3810" i="7"/>
  <c r="D3811" i="7"/>
  <c r="D3812" i="7"/>
  <c r="D3813" i="7"/>
  <c r="D3814" i="7"/>
  <c r="D3815" i="7"/>
  <c r="D3816" i="7"/>
  <c r="D3817" i="7"/>
  <c r="D3818" i="7"/>
  <c r="D3819" i="7"/>
  <c r="D3820" i="7"/>
  <c r="D3821" i="7"/>
  <c r="D3822" i="7"/>
  <c r="D3823" i="7"/>
  <c r="D3824" i="7"/>
  <c r="D3825" i="7"/>
  <c r="D3826" i="7"/>
  <c r="D3827" i="7"/>
  <c r="D3828" i="7"/>
  <c r="D3829" i="7"/>
  <c r="D3830" i="7"/>
  <c r="D3831" i="7"/>
  <c r="D3832" i="7"/>
  <c r="D3833" i="7"/>
  <c r="D3834" i="7"/>
  <c r="D3835" i="7"/>
  <c r="D3836" i="7"/>
  <c r="D3837" i="7"/>
  <c r="D3838" i="7"/>
  <c r="D3839" i="7"/>
  <c r="D3840" i="7"/>
  <c r="D3841" i="7"/>
  <c r="D3842" i="7"/>
  <c r="D3843" i="7"/>
  <c r="D3844" i="7"/>
  <c r="D3845" i="7"/>
  <c r="D3846" i="7"/>
  <c r="D3847" i="7"/>
  <c r="D3848" i="7"/>
  <c r="D3849" i="7"/>
  <c r="D3850" i="7"/>
  <c r="D3851" i="7"/>
  <c r="D3852" i="7"/>
  <c r="D3853" i="7"/>
  <c r="D3854" i="7"/>
  <c r="D3855" i="7"/>
  <c r="D3856" i="7"/>
  <c r="D3857" i="7"/>
  <c r="D3858" i="7"/>
  <c r="D3859" i="7"/>
  <c r="D3860" i="7"/>
  <c r="D3861" i="7"/>
  <c r="D3862" i="7"/>
  <c r="D3863" i="7"/>
  <c r="D3864" i="7"/>
  <c r="D3865" i="7"/>
  <c r="D3866" i="7"/>
  <c r="D3867" i="7"/>
  <c r="D3868" i="7"/>
  <c r="D3869" i="7"/>
  <c r="D3870" i="7"/>
  <c r="D3871" i="7"/>
  <c r="D3872" i="7"/>
  <c r="D3873" i="7"/>
  <c r="D3874" i="7"/>
  <c r="D3875" i="7"/>
  <c r="D3876" i="7"/>
  <c r="D3877" i="7"/>
  <c r="D3878" i="7"/>
  <c r="D3879" i="7"/>
  <c r="D3880" i="7"/>
  <c r="D3881" i="7"/>
  <c r="D3882" i="7"/>
  <c r="D3883" i="7"/>
  <c r="D3884" i="7"/>
  <c r="D3885" i="7"/>
  <c r="D3886" i="7"/>
  <c r="D3887" i="7"/>
  <c r="D3888" i="7"/>
  <c r="D3889" i="7"/>
  <c r="D3890" i="7"/>
  <c r="D3891" i="7"/>
  <c r="D3892" i="7"/>
  <c r="D3893" i="7"/>
  <c r="D3894" i="7"/>
  <c r="D3895" i="7"/>
  <c r="D3896" i="7"/>
  <c r="D3897" i="7"/>
  <c r="D3898" i="7"/>
  <c r="D3899" i="7"/>
  <c r="D3900" i="7"/>
  <c r="D3901" i="7"/>
  <c r="D3902" i="7"/>
  <c r="D3903" i="7"/>
  <c r="D3904" i="7"/>
  <c r="D3905" i="7"/>
  <c r="D3906" i="7"/>
  <c r="D3907" i="7"/>
  <c r="D3908" i="7"/>
  <c r="D3909" i="7"/>
  <c r="D3910" i="7"/>
  <c r="D3911" i="7"/>
  <c r="D3912" i="7"/>
  <c r="D3913" i="7"/>
  <c r="D3914" i="7"/>
  <c r="D3915" i="7"/>
  <c r="D3916" i="7"/>
  <c r="D3917" i="7"/>
  <c r="D3918" i="7"/>
  <c r="D3919" i="7"/>
  <c r="D3920" i="7"/>
  <c r="D3921" i="7"/>
  <c r="D3922" i="7"/>
  <c r="D3923" i="7"/>
  <c r="D3924" i="7"/>
  <c r="D3925" i="7"/>
  <c r="D3926" i="7"/>
  <c r="D3927" i="7"/>
  <c r="D3928" i="7"/>
  <c r="D3929" i="7"/>
  <c r="D3930" i="7"/>
  <c r="D3931" i="7"/>
  <c r="D3932" i="7"/>
  <c r="D3933" i="7"/>
  <c r="D3934" i="7"/>
  <c r="D3935" i="7"/>
  <c r="D3936" i="7"/>
  <c r="D3937" i="7"/>
  <c r="D3938" i="7"/>
  <c r="D3939" i="7"/>
  <c r="D3940" i="7"/>
  <c r="D3941" i="7"/>
  <c r="D3942" i="7"/>
  <c r="D3943" i="7"/>
  <c r="D3944" i="7"/>
  <c r="D3945" i="7"/>
  <c r="D3946" i="7"/>
  <c r="D3947" i="7"/>
  <c r="D3948" i="7"/>
  <c r="D3949" i="7"/>
  <c r="D3950" i="7"/>
  <c r="D3951" i="7"/>
  <c r="D3952" i="7"/>
  <c r="D3953" i="7"/>
  <c r="D3954" i="7"/>
  <c r="D3955" i="7"/>
  <c r="D3956" i="7"/>
  <c r="D3957" i="7"/>
  <c r="D3958" i="7"/>
  <c r="D3959" i="7"/>
  <c r="D3960" i="7"/>
  <c r="D3961" i="7"/>
  <c r="D3962" i="7"/>
  <c r="D3963" i="7"/>
  <c r="D3964" i="7"/>
  <c r="D3965" i="7"/>
  <c r="D3966" i="7"/>
  <c r="D3967" i="7"/>
  <c r="D3968" i="7"/>
  <c r="D3969" i="7"/>
  <c r="D3970" i="7"/>
  <c r="D3971" i="7"/>
  <c r="D3972" i="7"/>
  <c r="D3973" i="7"/>
  <c r="D3974" i="7"/>
  <c r="D3975" i="7"/>
  <c r="D3976" i="7"/>
  <c r="D3977" i="7"/>
  <c r="D3978" i="7"/>
  <c r="D3979" i="7"/>
  <c r="D3980" i="7"/>
  <c r="D3981" i="7"/>
  <c r="D3982" i="7"/>
  <c r="D3983" i="7"/>
  <c r="D3984" i="7"/>
  <c r="D3985" i="7"/>
  <c r="D3986" i="7"/>
  <c r="D3987" i="7"/>
  <c r="D3988" i="7"/>
  <c r="D3989" i="7"/>
  <c r="D3990" i="7"/>
  <c r="D3991" i="7"/>
  <c r="D3992" i="7"/>
  <c r="D3993" i="7"/>
  <c r="D3994" i="7"/>
  <c r="D3995" i="7"/>
  <c r="D3996" i="7"/>
  <c r="D3997" i="7"/>
  <c r="D3998" i="7"/>
  <c r="D3999" i="7"/>
  <c r="D4000" i="7"/>
  <c r="D4001" i="7"/>
  <c r="D4002" i="7"/>
  <c r="D4003" i="7"/>
  <c r="D4004" i="7"/>
  <c r="D4005" i="7"/>
  <c r="D4006" i="7"/>
  <c r="D4007" i="7"/>
  <c r="D4008" i="7"/>
  <c r="D4009" i="7"/>
  <c r="D4010" i="7"/>
  <c r="D4011" i="7"/>
  <c r="D4012" i="7"/>
  <c r="D4013" i="7"/>
  <c r="D4014" i="7"/>
  <c r="D4015" i="7"/>
  <c r="D4016" i="7"/>
  <c r="D4017" i="7"/>
  <c r="D4018" i="7"/>
  <c r="D4019" i="7"/>
  <c r="D4020" i="7"/>
  <c r="D4021" i="7"/>
  <c r="D4022" i="7"/>
  <c r="D4023" i="7"/>
  <c r="D4024" i="7"/>
  <c r="D4025" i="7"/>
  <c r="D4026" i="7"/>
  <c r="D4027" i="7"/>
  <c r="D4028" i="7"/>
  <c r="D4029" i="7"/>
  <c r="D4030" i="7"/>
  <c r="D4031" i="7"/>
  <c r="D4032" i="7"/>
  <c r="D4033" i="7"/>
  <c r="D4034" i="7"/>
  <c r="D4035" i="7"/>
  <c r="D4036" i="7"/>
  <c r="D4037" i="7"/>
  <c r="D4038" i="7"/>
  <c r="D4039" i="7"/>
  <c r="D4040" i="7"/>
  <c r="D4041" i="7"/>
  <c r="D4042" i="7"/>
  <c r="D4043" i="7"/>
  <c r="D4044" i="7"/>
  <c r="D4045" i="7"/>
  <c r="D4046" i="7"/>
  <c r="D4047" i="7"/>
  <c r="D4048" i="7"/>
  <c r="D4049" i="7"/>
  <c r="D4050" i="7"/>
  <c r="D4051" i="7"/>
  <c r="D4052" i="7"/>
  <c r="D4053" i="7"/>
  <c r="D4054" i="7"/>
  <c r="D4055" i="7"/>
  <c r="D4056" i="7"/>
  <c r="D4057" i="7"/>
  <c r="D4058" i="7"/>
  <c r="D4059" i="7"/>
  <c r="D4060" i="7"/>
  <c r="D4061" i="7"/>
  <c r="D4062" i="7"/>
  <c r="D4063" i="7"/>
  <c r="D4064" i="7"/>
  <c r="D4065" i="7"/>
  <c r="D4066" i="7"/>
  <c r="D4067" i="7"/>
  <c r="D4068" i="7"/>
  <c r="D4069" i="7"/>
  <c r="D4070" i="7"/>
  <c r="D4071" i="7"/>
  <c r="D4072" i="7"/>
  <c r="D4073" i="7"/>
  <c r="D4074" i="7"/>
  <c r="D4075" i="7"/>
  <c r="D4076" i="7"/>
  <c r="D4077" i="7"/>
  <c r="D4078" i="7"/>
  <c r="D4079" i="7"/>
  <c r="D4080" i="7"/>
  <c r="D4081" i="7"/>
  <c r="D4082" i="7"/>
  <c r="D4083" i="7"/>
  <c r="D4084" i="7"/>
  <c r="D4085" i="7"/>
  <c r="D4086" i="7"/>
  <c r="D4087" i="7"/>
  <c r="D4088" i="7"/>
  <c r="D4089" i="7"/>
  <c r="D4090" i="7"/>
  <c r="D4091" i="7"/>
  <c r="D4092" i="7"/>
  <c r="D4093" i="7"/>
  <c r="D4094" i="7"/>
  <c r="D4095" i="7"/>
  <c r="D4096" i="7"/>
  <c r="D4097" i="7"/>
  <c r="D4098" i="7"/>
  <c r="D4099" i="7"/>
  <c r="D4100" i="7"/>
  <c r="D4101" i="7"/>
  <c r="D4102" i="7"/>
  <c r="D4103" i="7"/>
  <c r="D4104" i="7"/>
  <c r="D4105" i="7"/>
  <c r="D4106" i="7"/>
  <c r="D4107" i="7"/>
  <c r="D4108" i="7"/>
  <c r="D4109" i="7"/>
  <c r="D4110" i="7"/>
  <c r="D4111" i="7"/>
  <c r="D4112" i="7"/>
  <c r="D4113" i="7"/>
  <c r="D4114" i="7"/>
  <c r="D4115" i="7"/>
  <c r="D4116" i="7"/>
  <c r="D4117" i="7"/>
  <c r="D4118" i="7"/>
  <c r="D4119" i="7"/>
  <c r="D4120" i="7"/>
  <c r="D4121" i="7"/>
  <c r="D4122" i="7"/>
  <c r="D4123" i="7"/>
  <c r="D4124" i="7"/>
  <c r="D4125" i="7"/>
  <c r="D4126" i="7"/>
  <c r="D4127" i="7"/>
  <c r="D4128" i="7"/>
  <c r="D4129" i="7"/>
  <c r="D4130" i="7"/>
  <c r="D4131" i="7"/>
  <c r="D4132" i="7"/>
  <c r="D4133" i="7"/>
  <c r="D4134" i="7"/>
  <c r="D4135" i="7"/>
  <c r="D4136" i="7"/>
  <c r="D4137" i="7"/>
  <c r="D4138" i="7"/>
  <c r="D4139" i="7"/>
  <c r="D4140" i="7"/>
  <c r="D4141" i="7"/>
  <c r="D4142" i="7"/>
  <c r="D4143" i="7"/>
  <c r="D4144" i="7"/>
  <c r="D4145" i="7"/>
  <c r="D4146" i="7"/>
  <c r="D4147" i="7"/>
  <c r="D4148" i="7"/>
  <c r="D4149" i="7"/>
  <c r="D4150" i="7"/>
  <c r="D4151" i="7"/>
  <c r="D4152" i="7"/>
  <c r="D4153" i="7"/>
  <c r="D4154" i="7"/>
  <c r="D4155" i="7"/>
  <c r="D4156" i="7"/>
  <c r="D4157" i="7"/>
  <c r="D4158" i="7"/>
  <c r="D4159" i="7"/>
  <c r="D4160" i="7"/>
  <c r="D4161" i="7"/>
  <c r="D4162" i="7"/>
  <c r="D4163" i="7"/>
  <c r="D4164" i="7"/>
  <c r="D4165" i="7"/>
  <c r="D4166" i="7"/>
  <c r="D4167" i="7"/>
  <c r="D4168" i="7"/>
  <c r="D4169" i="7"/>
  <c r="D4170" i="7"/>
  <c r="D4171" i="7"/>
  <c r="D4172" i="7"/>
  <c r="D4173" i="7"/>
  <c r="D4174" i="7"/>
  <c r="D4175" i="7"/>
  <c r="D4176" i="7"/>
  <c r="D4177" i="7"/>
  <c r="D4178" i="7"/>
  <c r="D4179" i="7"/>
  <c r="D4180" i="7"/>
  <c r="D4181" i="7"/>
  <c r="D4182" i="7"/>
  <c r="D4183" i="7"/>
  <c r="D4184" i="7"/>
  <c r="D4185" i="7"/>
  <c r="D4186" i="7"/>
  <c r="D4187" i="7"/>
  <c r="D4188" i="7"/>
  <c r="D4189" i="7"/>
  <c r="D4190" i="7"/>
  <c r="D4191" i="7"/>
  <c r="D4192" i="7"/>
  <c r="D4193" i="7"/>
  <c r="D4194" i="7"/>
  <c r="D4195" i="7"/>
  <c r="D4196" i="7"/>
  <c r="D4197" i="7"/>
  <c r="D4198" i="7"/>
  <c r="D4199" i="7"/>
  <c r="D4200" i="7"/>
  <c r="D4201" i="7"/>
  <c r="D4202" i="7"/>
  <c r="D4203" i="7"/>
  <c r="D4204" i="7"/>
  <c r="D4205" i="7"/>
  <c r="D4206" i="7"/>
  <c r="D4207" i="7"/>
  <c r="D4208" i="7"/>
  <c r="D4209" i="7"/>
  <c r="D4210" i="7"/>
  <c r="D4211" i="7"/>
  <c r="D4212" i="7"/>
  <c r="D4213" i="7"/>
  <c r="D4214" i="7"/>
  <c r="D4215" i="7"/>
  <c r="D4216" i="7"/>
  <c r="D4217" i="7"/>
  <c r="D4218" i="7"/>
  <c r="D4219" i="7"/>
  <c r="D4220" i="7"/>
  <c r="D4221" i="7"/>
  <c r="D4222" i="7"/>
  <c r="D4223" i="7"/>
  <c r="D4224" i="7"/>
  <c r="D4225" i="7"/>
  <c r="D4226" i="7"/>
  <c r="D4227" i="7"/>
  <c r="D4228" i="7"/>
  <c r="D4229" i="7"/>
  <c r="D4230" i="7"/>
  <c r="D4231" i="7"/>
  <c r="D4232" i="7"/>
  <c r="D4233" i="7"/>
  <c r="D4234" i="7"/>
  <c r="D4235" i="7"/>
  <c r="D4236" i="7"/>
  <c r="D4237" i="7"/>
  <c r="D4238" i="7"/>
  <c r="D4239" i="7"/>
  <c r="D4240" i="7"/>
  <c r="D4241" i="7"/>
  <c r="D4242" i="7"/>
  <c r="D4243" i="7"/>
  <c r="D4244" i="7"/>
  <c r="D4245" i="7"/>
  <c r="D4246" i="7"/>
  <c r="D4247" i="7"/>
  <c r="D4248" i="7"/>
  <c r="D4249" i="7"/>
  <c r="D4250" i="7"/>
  <c r="D4251" i="7"/>
  <c r="D4252" i="7"/>
  <c r="D4253" i="7"/>
  <c r="D4254" i="7"/>
  <c r="D4255" i="7"/>
  <c r="D4256" i="7"/>
  <c r="D4257" i="7"/>
  <c r="D4258" i="7"/>
  <c r="D4259" i="7"/>
  <c r="D4260" i="7"/>
  <c r="D4261" i="7"/>
  <c r="D4262" i="7"/>
  <c r="D4263" i="7"/>
  <c r="D4264" i="7"/>
  <c r="D4265" i="7"/>
  <c r="D4266" i="7"/>
  <c r="D4267" i="7"/>
  <c r="D4268" i="7"/>
  <c r="D4269" i="7"/>
  <c r="D4270" i="7"/>
  <c r="D4271" i="7"/>
  <c r="D4272" i="7"/>
  <c r="D4273" i="7"/>
  <c r="D4274" i="7"/>
  <c r="D4275" i="7"/>
  <c r="D4276" i="7"/>
  <c r="D4277" i="7"/>
  <c r="D4278" i="7"/>
  <c r="D4279" i="7"/>
  <c r="D4280" i="7"/>
  <c r="D4281" i="7"/>
  <c r="D4282" i="7"/>
  <c r="D4283" i="7"/>
  <c r="D4284" i="7"/>
  <c r="D4285" i="7"/>
  <c r="D4286" i="7"/>
  <c r="D4287" i="7"/>
  <c r="D4288" i="7"/>
  <c r="D4289" i="7"/>
  <c r="D4290" i="7"/>
  <c r="D4291" i="7"/>
  <c r="D4292" i="7"/>
  <c r="D4293" i="7"/>
  <c r="D4294" i="7"/>
  <c r="D4295" i="7"/>
  <c r="D4296" i="7"/>
  <c r="D4297" i="7"/>
  <c r="D4298" i="7"/>
  <c r="D4299" i="7"/>
  <c r="D4300" i="7"/>
  <c r="D4301" i="7"/>
  <c r="D4302" i="7"/>
  <c r="D4303" i="7"/>
  <c r="D4304" i="7"/>
  <c r="D4305" i="7"/>
  <c r="D4306" i="7"/>
  <c r="D4307" i="7"/>
  <c r="D4308" i="7"/>
  <c r="D4309" i="7"/>
  <c r="D4310" i="7"/>
  <c r="D4311" i="7"/>
  <c r="D4312" i="7"/>
  <c r="D4313" i="7"/>
  <c r="D4314" i="7"/>
  <c r="D4315" i="7"/>
  <c r="D4316" i="7"/>
  <c r="D4317" i="7"/>
  <c r="D4318" i="7"/>
  <c r="D4319" i="7"/>
  <c r="D4320" i="7"/>
  <c r="D4321" i="7"/>
  <c r="D4322" i="7"/>
  <c r="D4323" i="7"/>
  <c r="D4324" i="7"/>
  <c r="D4325" i="7"/>
  <c r="D4326" i="7"/>
  <c r="D4327" i="7"/>
  <c r="D4328" i="7"/>
  <c r="D4329" i="7"/>
  <c r="D4330" i="7"/>
  <c r="D4331" i="7"/>
  <c r="D4332" i="7"/>
  <c r="D4333" i="7"/>
  <c r="D4334" i="7"/>
  <c r="D4335" i="7"/>
  <c r="D4336" i="7"/>
  <c r="D4337" i="7"/>
  <c r="D4338" i="7"/>
  <c r="D4339" i="7"/>
  <c r="D4340" i="7"/>
  <c r="D4341" i="7"/>
  <c r="D4342" i="7"/>
  <c r="D4343" i="7"/>
  <c r="D4344" i="7"/>
  <c r="D4345" i="7"/>
  <c r="D4346" i="7"/>
  <c r="D4347" i="7"/>
  <c r="D4348" i="7"/>
  <c r="D4349" i="7"/>
  <c r="D4350" i="7"/>
  <c r="D4351" i="7"/>
  <c r="D4352" i="7"/>
  <c r="D4353" i="7"/>
  <c r="D4354" i="7"/>
  <c r="D4355" i="7"/>
  <c r="D4356" i="7"/>
  <c r="D4357" i="7"/>
  <c r="D4358" i="7"/>
  <c r="D4359" i="7"/>
  <c r="D4360" i="7"/>
  <c r="D4361" i="7"/>
  <c r="D4362" i="7"/>
  <c r="D4363" i="7"/>
  <c r="D4364" i="7"/>
  <c r="D4365" i="7"/>
  <c r="D4366" i="7"/>
  <c r="D4367" i="7"/>
  <c r="D4368" i="7"/>
  <c r="D4369" i="7"/>
  <c r="D4370" i="7"/>
  <c r="D4371" i="7"/>
  <c r="D4372" i="7"/>
  <c r="D4373" i="7"/>
  <c r="D4374" i="7"/>
  <c r="D4375" i="7"/>
  <c r="D4376" i="7"/>
  <c r="D4377" i="7"/>
  <c r="D4378" i="7"/>
  <c r="D4379" i="7"/>
  <c r="D4380" i="7"/>
  <c r="D4381" i="7"/>
  <c r="D4382" i="7"/>
  <c r="D4383" i="7"/>
  <c r="D4384" i="7"/>
  <c r="D4385" i="7"/>
  <c r="D4386" i="7"/>
  <c r="D4387" i="7"/>
  <c r="D4388" i="7"/>
  <c r="D4389" i="7"/>
  <c r="D4390" i="7"/>
  <c r="D4391" i="7"/>
  <c r="D4392" i="7"/>
  <c r="D4393" i="7"/>
  <c r="D4394" i="7"/>
  <c r="D4395" i="7"/>
  <c r="D4396" i="7"/>
  <c r="D4397" i="7"/>
  <c r="D4398" i="7"/>
  <c r="D4399" i="7"/>
  <c r="D4400" i="7"/>
  <c r="D4401" i="7"/>
  <c r="D4402" i="7"/>
  <c r="D4403" i="7"/>
  <c r="D4404" i="7"/>
  <c r="D4405" i="7"/>
  <c r="D4406" i="7"/>
  <c r="D4407" i="7"/>
  <c r="D4408" i="7"/>
  <c r="D4409" i="7"/>
  <c r="D4410" i="7"/>
  <c r="D4411" i="7"/>
  <c r="D4412" i="7"/>
  <c r="D4413" i="7"/>
  <c r="D4414" i="7"/>
  <c r="D4415" i="7"/>
  <c r="D4416" i="7"/>
  <c r="D4417" i="7"/>
  <c r="D4418" i="7"/>
  <c r="D4419" i="7"/>
  <c r="D4420" i="7"/>
  <c r="D4421" i="7"/>
  <c r="D4422" i="7"/>
  <c r="D4423" i="7"/>
  <c r="D4424" i="7"/>
  <c r="D4425" i="7"/>
  <c r="D4426" i="7"/>
  <c r="D4427" i="7"/>
  <c r="D4428" i="7"/>
  <c r="D4429" i="7"/>
  <c r="D4430" i="7"/>
  <c r="D4431" i="7"/>
  <c r="D4432" i="7"/>
  <c r="D4433" i="7"/>
  <c r="D4434" i="7"/>
  <c r="D4435" i="7"/>
  <c r="D4436" i="7"/>
  <c r="D4437" i="7"/>
  <c r="D4438" i="7"/>
  <c r="D4439" i="7"/>
  <c r="D4440" i="7"/>
  <c r="D4441" i="7"/>
  <c r="D4442" i="7"/>
  <c r="D4443" i="7"/>
  <c r="D4444" i="7"/>
  <c r="D4445" i="7"/>
  <c r="D4446" i="7"/>
  <c r="D4447" i="7"/>
  <c r="D4448" i="7"/>
  <c r="D4449" i="7"/>
  <c r="D4450" i="7"/>
  <c r="D4451" i="7"/>
  <c r="D4452" i="7"/>
  <c r="D4453" i="7"/>
  <c r="D4454" i="7"/>
  <c r="D4455" i="7"/>
  <c r="D4456" i="7"/>
  <c r="D4457" i="7"/>
  <c r="D4458" i="7"/>
  <c r="D4459" i="7"/>
  <c r="D4460" i="7"/>
  <c r="D4461" i="7"/>
  <c r="D4462" i="7"/>
  <c r="D4463" i="7"/>
  <c r="D4464" i="7"/>
  <c r="D4465" i="7"/>
  <c r="D4466" i="7"/>
  <c r="D4467" i="7"/>
  <c r="D4468" i="7"/>
  <c r="D4469" i="7"/>
  <c r="D4470" i="7"/>
  <c r="D4471" i="7"/>
  <c r="D4472" i="7"/>
  <c r="D4473" i="7"/>
  <c r="D4474" i="7"/>
  <c r="D4475" i="7"/>
  <c r="D4476" i="7"/>
  <c r="D4477" i="7"/>
  <c r="D4478" i="7"/>
  <c r="D4479" i="7"/>
  <c r="D4480" i="7"/>
  <c r="D4481" i="7"/>
  <c r="D4482" i="7"/>
  <c r="D4483" i="7"/>
  <c r="D4484" i="7"/>
  <c r="D4485" i="7"/>
  <c r="D4486" i="7"/>
  <c r="D4487" i="7"/>
  <c r="D4488" i="7"/>
  <c r="D4489" i="7"/>
  <c r="D4490" i="7"/>
  <c r="D4491" i="7"/>
  <c r="D4492" i="7"/>
  <c r="D4493" i="7"/>
  <c r="D4494" i="7"/>
  <c r="D4495" i="7"/>
  <c r="D4496" i="7"/>
  <c r="D4497" i="7"/>
  <c r="D4498" i="7"/>
  <c r="D4499" i="7"/>
  <c r="D4500" i="7"/>
  <c r="D4501" i="7"/>
  <c r="D4502" i="7"/>
  <c r="D4503" i="7"/>
  <c r="D4504" i="7"/>
  <c r="D4505" i="7"/>
  <c r="D4506" i="7"/>
  <c r="D4507" i="7"/>
  <c r="D4508" i="7"/>
  <c r="D4509" i="7"/>
  <c r="D4510" i="7"/>
  <c r="D4511" i="7"/>
  <c r="D4512" i="7"/>
  <c r="D4513" i="7"/>
  <c r="D4514" i="7"/>
  <c r="D4515" i="7"/>
  <c r="D4516" i="7"/>
  <c r="D4517" i="7"/>
  <c r="D4518" i="7"/>
  <c r="D4519" i="7"/>
  <c r="D4520" i="7"/>
  <c r="D4521" i="7"/>
  <c r="D4522" i="7"/>
  <c r="D4523" i="7"/>
  <c r="D4524" i="7"/>
  <c r="D4525" i="7"/>
  <c r="D4526" i="7"/>
  <c r="D4527" i="7"/>
  <c r="D4528" i="7"/>
  <c r="D4529" i="7"/>
  <c r="D4530" i="7"/>
  <c r="D4531" i="7"/>
  <c r="D4532" i="7"/>
  <c r="D4533" i="7"/>
  <c r="D4534" i="7"/>
  <c r="D4535" i="7"/>
  <c r="D4536" i="7"/>
  <c r="D4537" i="7"/>
  <c r="D4538" i="7"/>
  <c r="D4539" i="7"/>
  <c r="D4540" i="7"/>
  <c r="D4541" i="7"/>
  <c r="D4542" i="7"/>
  <c r="D4543" i="7"/>
  <c r="D4544" i="7"/>
  <c r="D4545" i="7"/>
  <c r="D4546" i="7"/>
  <c r="D4547" i="7"/>
  <c r="D4548" i="7"/>
  <c r="D4549" i="7"/>
  <c r="D4550" i="7"/>
  <c r="D4551" i="7"/>
  <c r="D4552" i="7"/>
  <c r="D4553" i="7"/>
  <c r="D4554" i="7"/>
  <c r="D4555" i="7"/>
  <c r="D4556" i="7"/>
  <c r="D4557" i="7"/>
  <c r="D4558" i="7"/>
  <c r="D4559" i="7"/>
  <c r="D4560" i="7"/>
  <c r="D4561" i="7"/>
  <c r="D4562" i="7"/>
  <c r="D4563" i="7"/>
  <c r="D4564" i="7"/>
  <c r="D4565" i="7"/>
  <c r="D4566" i="7"/>
  <c r="D4567" i="7"/>
  <c r="D4568" i="7"/>
  <c r="D4569" i="7"/>
  <c r="D4570" i="7"/>
  <c r="D4571" i="7"/>
  <c r="D4572" i="7"/>
  <c r="D4573" i="7"/>
  <c r="D4574" i="7"/>
  <c r="D4575" i="7"/>
  <c r="D4576" i="7"/>
  <c r="D4577" i="7"/>
  <c r="D4578" i="7"/>
  <c r="D4579" i="7"/>
  <c r="D4580" i="7"/>
  <c r="D4581" i="7"/>
  <c r="D4582" i="7"/>
  <c r="D4583" i="7"/>
  <c r="D4584" i="7"/>
  <c r="D4585" i="7"/>
  <c r="D4586" i="7"/>
  <c r="D4587" i="7"/>
  <c r="D4588" i="7"/>
  <c r="D4589" i="7"/>
  <c r="D4590" i="7"/>
  <c r="D4591" i="7"/>
  <c r="D4592" i="7"/>
  <c r="D4593" i="7"/>
  <c r="D4594" i="7"/>
  <c r="D4595" i="7"/>
  <c r="D4596" i="7"/>
  <c r="D4597" i="7"/>
  <c r="D4598" i="7"/>
  <c r="D4599" i="7"/>
  <c r="D4600" i="7"/>
  <c r="D4601" i="7"/>
  <c r="D4602" i="7"/>
  <c r="D4603" i="7"/>
  <c r="D4604" i="7"/>
  <c r="D4605" i="7"/>
  <c r="D4606" i="7"/>
  <c r="D4607" i="7"/>
  <c r="D4608" i="7"/>
  <c r="D4609" i="7"/>
  <c r="D4610" i="7"/>
  <c r="D4611" i="7"/>
  <c r="D4612" i="7"/>
  <c r="D4613" i="7"/>
  <c r="D4614" i="7"/>
  <c r="D4615" i="7"/>
  <c r="D4616" i="7"/>
  <c r="D4617" i="7"/>
  <c r="D4618" i="7"/>
  <c r="D4619" i="7"/>
  <c r="D4620" i="7"/>
  <c r="D4621" i="7"/>
  <c r="D4622" i="7"/>
  <c r="D4623" i="7"/>
  <c r="D4624" i="7"/>
  <c r="D4625" i="7"/>
  <c r="D4626" i="7"/>
  <c r="D4627" i="7"/>
  <c r="D4628" i="7"/>
  <c r="D4629" i="7"/>
  <c r="D4630" i="7"/>
  <c r="D4631" i="7"/>
  <c r="D4632" i="7"/>
  <c r="D4633" i="7"/>
  <c r="D4634" i="7"/>
  <c r="D4635" i="7"/>
  <c r="D4636" i="7"/>
  <c r="D4637" i="7"/>
  <c r="D4638" i="7"/>
  <c r="D4639" i="7"/>
  <c r="D4640" i="7"/>
  <c r="D4641" i="7"/>
  <c r="D4642" i="7"/>
  <c r="D4643" i="7"/>
  <c r="D4644" i="7"/>
  <c r="D4645" i="7"/>
  <c r="D4646" i="7"/>
  <c r="D4647" i="7"/>
  <c r="D4648" i="7"/>
  <c r="D4649" i="7"/>
  <c r="D4650" i="7"/>
  <c r="D4651" i="7"/>
  <c r="D4652" i="7"/>
  <c r="D4653" i="7"/>
  <c r="D4654" i="7"/>
  <c r="D4655" i="7"/>
  <c r="D4656" i="7"/>
  <c r="D4657" i="7"/>
  <c r="D4658" i="7"/>
  <c r="D4659" i="7"/>
  <c r="D4660" i="7"/>
  <c r="D4661" i="7"/>
  <c r="D4662" i="7"/>
  <c r="D4663" i="7"/>
  <c r="D4664" i="7"/>
  <c r="D4665" i="7"/>
  <c r="D4666" i="7"/>
  <c r="D4667" i="7"/>
  <c r="D4668" i="7"/>
  <c r="D4669" i="7"/>
  <c r="D4670" i="7"/>
  <c r="D4671" i="7"/>
  <c r="D4672" i="7"/>
  <c r="D4673" i="7"/>
  <c r="D4674" i="7"/>
  <c r="D4675" i="7"/>
  <c r="D4676" i="7"/>
  <c r="D4677" i="7"/>
  <c r="D4678" i="7"/>
  <c r="D4679" i="7"/>
  <c r="D4680" i="7"/>
  <c r="D4681" i="7"/>
  <c r="D4682" i="7"/>
  <c r="D4683" i="7"/>
  <c r="D4684" i="7"/>
  <c r="D4685" i="7"/>
  <c r="D4686" i="7"/>
  <c r="D4687" i="7"/>
  <c r="D4688" i="7"/>
  <c r="D4689" i="7"/>
  <c r="D4690" i="7"/>
  <c r="D4691" i="7"/>
  <c r="D4692" i="7"/>
  <c r="D4693" i="7"/>
  <c r="D4694" i="7"/>
  <c r="D4695" i="7"/>
  <c r="D4696" i="7"/>
  <c r="D4697" i="7"/>
  <c r="D4698" i="7"/>
  <c r="D4699" i="7"/>
  <c r="D4700" i="7"/>
  <c r="D4701" i="7"/>
  <c r="D4702" i="7"/>
  <c r="D4703" i="7"/>
  <c r="D4704" i="7"/>
  <c r="D4705" i="7"/>
  <c r="D4706" i="7"/>
  <c r="D4707" i="7"/>
  <c r="D4708" i="7"/>
  <c r="D4709" i="7"/>
  <c r="D4710" i="7"/>
  <c r="D4711" i="7"/>
  <c r="D4712" i="7"/>
  <c r="D4713" i="7"/>
  <c r="D4714" i="7"/>
  <c r="D4715" i="7"/>
  <c r="D4716" i="7"/>
  <c r="D4717" i="7"/>
  <c r="D4718" i="7"/>
  <c r="D4719" i="7"/>
  <c r="D4720" i="7"/>
  <c r="D4721" i="7"/>
  <c r="D4722" i="7"/>
  <c r="D4723" i="7"/>
  <c r="D4724" i="7"/>
  <c r="D4725" i="7"/>
  <c r="D4726" i="7"/>
  <c r="D4727" i="7"/>
  <c r="D4728" i="7"/>
  <c r="D4729" i="7"/>
  <c r="D4730" i="7"/>
  <c r="D4731" i="7"/>
  <c r="D4732" i="7"/>
  <c r="D4733" i="7"/>
  <c r="D4734" i="7"/>
  <c r="D4735" i="7"/>
  <c r="D4736" i="7"/>
  <c r="D4737" i="7"/>
  <c r="D4738" i="7"/>
  <c r="D4739" i="7"/>
  <c r="D4740" i="7"/>
  <c r="D4741" i="7"/>
  <c r="D4742" i="7"/>
  <c r="D4743" i="7"/>
  <c r="D4744" i="7"/>
  <c r="D4745" i="7"/>
  <c r="D4746" i="7"/>
  <c r="D4747" i="7"/>
  <c r="D4748" i="7"/>
  <c r="D4749" i="7"/>
  <c r="D4750" i="7"/>
  <c r="D4751" i="7"/>
  <c r="D4752" i="7"/>
  <c r="D4753" i="7"/>
  <c r="D4754" i="7"/>
  <c r="D4755" i="7"/>
  <c r="D4756" i="7"/>
  <c r="D4757" i="7"/>
  <c r="D4758" i="7"/>
  <c r="D4759" i="7"/>
  <c r="D4760" i="7"/>
  <c r="D4761" i="7"/>
  <c r="D4762" i="7"/>
  <c r="D4763" i="7"/>
  <c r="D4764" i="7"/>
  <c r="D4765" i="7"/>
  <c r="D4766" i="7"/>
  <c r="D4767" i="7"/>
  <c r="D4768" i="7"/>
  <c r="D4769" i="7"/>
  <c r="D4770" i="7"/>
  <c r="D4771" i="7"/>
  <c r="D4772" i="7"/>
  <c r="D4773" i="7"/>
  <c r="D4774" i="7"/>
  <c r="D4775" i="7"/>
  <c r="D4776" i="7"/>
  <c r="D4777" i="7"/>
  <c r="D4778" i="7"/>
  <c r="D4779" i="7"/>
  <c r="D4780" i="7"/>
  <c r="D4781" i="7"/>
  <c r="D4782" i="7"/>
  <c r="D4783" i="7"/>
  <c r="D4784" i="7"/>
  <c r="D4785" i="7"/>
  <c r="D4786" i="7"/>
  <c r="D4787" i="7"/>
  <c r="D4788" i="7"/>
  <c r="D4789" i="7"/>
  <c r="D4790" i="7"/>
  <c r="D4791" i="7"/>
  <c r="D4792" i="7"/>
  <c r="D4793" i="7"/>
  <c r="D4794" i="7"/>
  <c r="D4795" i="7"/>
  <c r="D4796" i="7"/>
  <c r="D4797" i="7"/>
  <c r="D4798" i="7"/>
  <c r="D4799" i="7"/>
  <c r="D4800" i="7"/>
  <c r="D4801" i="7"/>
  <c r="D4802" i="7"/>
  <c r="D4803" i="7"/>
  <c r="D4804" i="7"/>
  <c r="D4805" i="7"/>
  <c r="D4806" i="7"/>
  <c r="D4807" i="7"/>
  <c r="D4808" i="7"/>
  <c r="D4809" i="7"/>
  <c r="D4810" i="7"/>
  <c r="D4811" i="7"/>
  <c r="D4812" i="7"/>
  <c r="D4813" i="7"/>
  <c r="D4814" i="7"/>
  <c r="D4815" i="7"/>
  <c r="D4816" i="7"/>
  <c r="D4817" i="7"/>
  <c r="D4818" i="7"/>
  <c r="D4819" i="7"/>
  <c r="D4820" i="7"/>
  <c r="D4821" i="7"/>
  <c r="D4822" i="7"/>
  <c r="D4823" i="7"/>
  <c r="D4824" i="7"/>
  <c r="D4825" i="7"/>
  <c r="D4826" i="7"/>
  <c r="D4827" i="7"/>
  <c r="D4828" i="7"/>
  <c r="D4829" i="7"/>
  <c r="D4830" i="7"/>
  <c r="D4831" i="7"/>
  <c r="D4832" i="7"/>
  <c r="D4833" i="7"/>
  <c r="D4834" i="7"/>
  <c r="D4835" i="7"/>
  <c r="D4836" i="7"/>
  <c r="D4837" i="7"/>
  <c r="D4838" i="7"/>
  <c r="D4839" i="7"/>
  <c r="D4840" i="7"/>
  <c r="D4841" i="7"/>
  <c r="D4842" i="7"/>
  <c r="D4843" i="7"/>
  <c r="D4844" i="7"/>
  <c r="D4845" i="7"/>
  <c r="D4846" i="7"/>
  <c r="D4847" i="7"/>
  <c r="D4848" i="7"/>
  <c r="D4849" i="7"/>
  <c r="D4850" i="7"/>
  <c r="D4851" i="7"/>
  <c r="D4852" i="7"/>
  <c r="D4853" i="7"/>
  <c r="D4854" i="7"/>
  <c r="D4855" i="7"/>
  <c r="D4856" i="7"/>
  <c r="D4857" i="7"/>
  <c r="D4858" i="7"/>
  <c r="D4859" i="7"/>
  <c r="D4860" i="7"/>
  <c r="D4861" i="7"/>
  <c r="D4862" i="7"/>
  <c r="D4863" i="7"/>
  <c r="D4864" i="7"/>
  <c r="D4865" i="7"/>
  <c r="D4866" i="7"/>
  <c r="D4867" i="7"/>
  <c r="D4868" i="7"/>
  <c r="D4869" i="7"/>
  <c r="D4870" i="7"/>
  <c r="D4871" i="7"/>
  <c r="D4872" i="7"/>
  <c r="D4873" i="7"/>
  <c r="D4874" i="7"/>
  <c r="D4875" i="7"/>
  <c r="D4876" i="7"/>
  <c r="D4877" i="7"/>
  <c r="D4878" i="7"/>
  <c r="D4879" i="7"/>
  <c r="D4880" i="7"/>
  <c r="D4881" i="7"/>
  <c r="D4882" i="7"/>
  <c r="D4883" i="7"/>
  <c r="D4884" i="7"/>
  <c r="D4885" i="7"/>
  <c r="D4886" i="7"/>
  <c r="D4887" i="7"/>
  <c r="D4888" i="7"/>
  <c r="D4889" i="7"/>
  <c r="D4890" i="7"/>
  <c r="D4891" i="7"/>
  <c r="D4892" i="7"/>
  <c r="D4893" i="7"/>
  <c r="D4894" i="7"/>
  <c r="D4895" i="7"/>
  <c r="D4896" i="7"/>
  <c r="D4897" i="7"/>
  <c r="D4898" i="7"/>
  <c r="D4899" i="7"/>
  <c r="D4900" i="7"/>
  <c r="D4901" i="7"/>
  <c r="D4902" i="7"/>
  <c r="D4903" i="7"/>
  <c r="D4904" i="7"/>
  <c r="D4905" i="7"/>
  <c r="D4906" i="7"/>
  <c r="D4907" i="7"/>
  <c r="D4908" i="7"/>
  <c r="D4909" i="7"/>
  <c r="D4910" i="7"/>
  <c r="D4911" i="7"/>
  <c r="D4912" i="7"/>
  <c r="D4913" i="7"/>
  <c r="D4914" i="7"/>
  <c r="D4915" i="7"/>
  <c r="D4916" i="7"/>
  <c r="D4917" i="7"/>
  <c r="D4918" i="7"/>
  <c r="D4919" i="7"/>
  <c r="D4920" i="7"/>
  <c r="D4921" i="7"/>
  <c r="D4922" i="7"/>
  <c r="D4923" i="7"/>
  <c r="D4924" i="7"/>
  <c r="D4925" i="7"/>
  <c r="D4926" i="7"/>
  <c r="D4927" i="7"/>
  <c r="D4928" i="7"/>
  <c r="D4929" i="7"/>
  <c r="D4930" i="7"/>
  <c r="D4931" i="7"/>
  <c r="D4932" i="7"/>
  <c r="D4933" i="7"/>
  <c r="D4934" i="7"/>
  <c r="D4935" i="7"/>
  <c r="D4936" i="7"/>
  <c r="D4937" i="7"/>
  <c r="D4938" i="7"/>
  <c r="D4939" i="7"/>
  <c r="D4940" i="7"/>
  <c r="D4941" i="7"/>
  <c r="D4942" i="7"/>
  <c r="D4943" i="7"/>
  <c r="D4944" i="7"/>
  <c r="D4945" i="7"/>
  <c r="D4946" i="7"/>
  <c r="D4947" i="7"/>
  <c r="D4948" i="7"/>
  <c r="D4949" i="7"/>
  <c r="D4950" i="7"/>
  <c r="D4951" i="7"/>
  <c r="D4952" i="7"/>
  <c r="D4953" i="7"/>
  <c r="D4954" i="7"/>
  <c r="D4955" i="7"/>
  <c r="D4956" i="7"/>
  <c r="D4957" i="7"/>
  <c r="D4958" i="7"/>
  <c r="D4959" i="7"/>
  <c r="D4960" i="7"/>
  <c r="D4961" i="7"/>
  <c r="D4962" i="7"/>
  <c r="D4963" i="7"/>
  <c r="D4964" i="7"/>
  <c r="D4965" i="7"/>
  <c r="D4966" i="7"/>
  <c r="D4967" i="7"/>
  <c r="D4968" i="7"/>
  <c r="D4969" i="7"/>
  <c r="D4970" i="7"/>
  <c r="D4971" i="7"/>
  <c r="D4972" i="7"/>
  <c r="D4973" i="7"/>
  <c r="D4974" i="7"/>
  <c r="D4975" i="7"/>
  <c r="D4976" i="7"/>
  <c r="D4977" i="7"/>
  <c r="D4978" i="7"/>
  <c r="D4979" i="7"/>
  <c r="D4980" i="7"/>
  <c r="D4981" i="7"/>
  <c r="D4982" i="7"/>
  <c r="D4983" i="7"/>
  <c r="D4984" i="7"/>
  <c r="D4985" i="7"/>
  <c r="D4986" i="7"/>
  <c r="D4987" i="7"/>
  <c r="D4988" i="7"/>
  <c r="D4989" i="7"/>
  <c r="D4990" i="7"/>
  <c r="D4991" i="7"/>
  <c r="D4992" i="7"/>
  <c r="D4993" i="7"/>
  <c r="D4994" i="7"/>
  <c r="D4995" i="7"/>
  <c r="D4996" i="7"/>
  <c r="D4997" i="7"/>
  <c r="D4998" i="7"/>
  <c r="D4999" i="7"/>
  <c r="D5000" i="7"/>
  <c r="D5001" i="7"/>
  <c r="D5002" i="7"/>
  <c r="D5003" i="7"/>
  <c r="D5004" i="7"/>
  <c r="D5005" i="7"/>
  <c r="D5006" i="7"/>
  <c r="D5007" i="7"/>
  <c r="D5008" i="7"/>
  <c r="D5009" i="7"/>
  <c r="D5010" i="7"/>
  <c r="D5011" i="7"/>
  <c r="D5012" i="7"/>
  <c r="D5013" i="7"/>
  <c r="D5014" i="7"/>
  <c r="D5015" i="7"/>
  <c r="D5016" i="7"/>
  <c r="D5017" i="7"/>
  <c r="D5018" i="7"/>
  <c r="D5019" i="7"/>
  <c r="D5020" i="7"/>
  <c r="D5021" i="7"/>
  <c r="D5024" i="7"/>
  <c r="D5025" i="7"/>
  <c r="D5026" i="7"/>
  <c r="D5027" i="7"/>
  <c r="D5028" i="7"/>
  <c r="D5029" i="7"/>
  <c r="D5030" i="7"/>
  <c r="D5031" i="7"/>
  <c r="D5032" i="7"/>
  <c r="D5033" i="7"/>
  <c r="D5034" i="7"/>
  <c r="D5035" i="7"/>
  <c r="D5036" i="7"/>
  <c r="D5037" i="7"/>
  <c r="D5038" i="7"/>
  <c r="D5039" i="7"/>
  <c r="D5040" i="7"/>
  <c r="D5041" i="7"/>
  <c r="D5042" i="7"/>
  <c r="D5043" i="7"/>
  <c r="D5044" i="7"/>
  <c r="D5045" i="7"/>
  <c r="D5046" i="7"/>
  <c r="D5047" i="7"/>
  <c r="D5048" i="7"/>
  <c r="D5049" i="7"/>
  <c r="D5050" i="7"/>
  <c r="D5051" i="7"/>
  <c r="D5052" i="7"/>
  <c r="D5053" i="7"/>
  <c r="D5054" i="7"/>
  <c r="D5055" i="7"/>
  <c r="D5056" i="7"/>
  <c r="D5057" i="7"/>
  <c r="D5058" i="7"/>
  <c r="D5059" i="7"/>
  <c r="D5060" i="7"/>
  <c r="D5061" i="7"/>
  <c r="D5062" i="7"/>
  <c r="D5063" i="7"/>
  <c r="D5064" i="7"/>
  <c r="D5065" i="7"/>
  <c r="D5066" i="7"/>
  <c r="D5067" i="7"/>
  <c r="D5068" i="7"/>
  <c r="D5069" i="7"/>
  <c r="D5070" i="7"/>
  <c r="D5071" i="7"/>
  <c r="D5072" i="7"/>
  <c r="D5073" i="7"/>
  <c r="D5074" i="7"/>
  <c r="D5075" i="7"/>
  <c r="D5076" i="7"/>
  <c r="D5077" i="7"/>
  <c r="D5078" i="7"/>
  <c r="D5079" i="7"/>
  <c r="D5080" i="7"/>
  <c r="D5081" i="7"/>
  <c r="D5082" i="7"/>
  <c r="D5083" i="7"/>
  <c r="D5084" i="7"/>
  <c r="D5085" i="7"/>
  <c r="D5086" i="7"/>
  <c r="D5087" i="7"/>
  <c r="D5088" i="7"/>
  <c r="D5089" i="7"/>
  <c r="D5090" i="7"/>
  <c r="D5091" i="7"/>
  <c r="D5092" i="7"/>
  <c r="D5093" i="7"/>
  <c r="D5094" i="7"/>
  <c r="D5095" i="7"/>
  <c r="D5096" i="7"/>
  <c r="D5097" i="7"/>
  <c r="D5098" i="7"/>
  <c r="D5099" i="7"/>
  <c r="D5100" i="7"/>
  <c r="D5101" i="7"/>
  <c r="D5102" i="7"/>
  <c r="D5103" i="7"/>
  <c r="D5104" i="7"/>
  <c r="D5105" i="7"/>
  <c r="D5106" i="7"/>
  <c r="D5107" i="7"/>
  <c r="D5108" i="7"/>
  <c r="D5109" i="7"/>
  <c r="D5110" i="7"/>
  <c r="D5111" i="7"/>
  <c r="D5112" i="7"/>
  <c r="D5113" i="7"/>
  <c r="D5114" i="7"/>
  <c r="D5115" i="7"/>
  <c r="D5116" i="7"/>
  <c r="D5117" i="7"/>
  <c r="D5118" i="7"/>
  <c r="D5119" i="7"/>
  <c r="D5120" i="7"/>
  <c r="D5121" i="7"/>
  <c r="D5122" i="7"/>
  <c r="D5123" i="7"/>
  <c r="D5124" i="7"/>
  <c r="D5125" i="7"/>
  <c r="D5126" i="7"/>
  <c r="D5127" i="7"/>
  <c r="D5128" i="7"/>
  <c r="D5129" i="7"/>
  <c r="D5130" i="7"/>
  <c r="D5131" i="7"/>
  <c r="D5132" i="7"/>
  <c r="D5133" i="7"/>
  <c r="D5134" i="7"/>
  <c r="D5135" i="7"/>
  <c r="D5136" i="7"/>
  <c r="D5137" i="7"/>
  <c r="D5138" i="7"/>
  <c r="D5139" i="7"/>
  <c r="D5140" i="7"/>
  <c r="D5141" i="7"/>
  <c r="D5142" i="7"/>
  <c r="D5143" i="7"/>
  <c r="D5144" i="7"/>
  <c r="D5145" i="7"/>
  <c r="D5146" i="7"/>
  <c r="D5147" i="7"/>
  <c r="D5148" i="7"/>
  <c r="D5149" i="7"/>
  <c r="D5150" i="7"/>
  <c r="D5151" i="7"/>
  <c r="D5152" i="7"/>
  <c r="D5153" i="7"/>
  <c r="D5154" i="7"/>
  <c r="D5155" i="7"/>
  <c r="D5156" i="7"/>
  <c r="D5157" i="7"/>
  <c r="D5158" i="7"/>
  <c r="D5159" i="7"/>
  <c r="D5160" i="7"/>
  <c r="D5161" i="7"/>
  <c r="D5162" i="7"/>
  <c r="D5163" i="7"/>
  <c r="D5164" i="7"/>
  <c r="D5165" i="7"/>
  <c r="D5166" i="7"/>
  <c r="D5167" i="7"/>
  <c r="D5168" i="7"/>
  <c r="D5169" i="7"/>
  <c r="D5170" i="7"/>
  <c r="D5171" i="7"/>
  <c r="D5172" i="7"/>
  <c r="D5173" i="7"/>
  <c r="D5174" i="7"/>
  <c r="D5175" i="7"/>
  <c r="D5176" i="7"/>
  <c r="D5177" i="7"/>
  <c r="D5178" i="7"/>
  <c r="D5179" i="7"/>
  <c r="D5180" i="7"/>
  <c r="D5181" i="7"/>
  <c r="D5182" i="7"/>
  <c r="D5183" i="7"/>
  <c r="D5184" i="7"/>
  <c r="D5185" i="7"/>
  <c r="D5186" i="7"/>
  <c r="D5187" i="7"/>
  <c r="D5188" i="7"/>
  <c r="D5189" i="7"/>
  <c r="D5190" i="7"/>
  <c r="D5191" i="7"/>
  <c r="D5192" i="7"/>
  <c r="D5193" i="7"/>
  <c r="D5194" i="7"/>
  <c r="D5195" i="7"/>
  <c r="D5196" i="7"/>
  <c r="D5197" i="7"/>
  <c r="D5198" i="7"/>
  <c r="D5199" i="7"/>
  <c r="D5200" i="7"/>
  <c r="D5201" i="7"/>
  <c r="D5202" i="7"/>
  <c r="D5217" i="7"/>
  <c r="D5218" i="7"/>
  <c r="D5219" i="7"/>
  <c r="D5220" i="7"/>
  <c r="D5221" i="7"/>
  <c r="D5222" i="7"/>
  <c r="D5223" i="7"/>
  <c r="D5224" i="7"/>
  <c r="D5203" i="7"/>
  <c r="D5204" i="7"/>
  <c r="D5205" i="7"/>
  <c r="D5206" i="7"/>
  <c r="D5207" i="7"/>
  <c r="D5208" i="7"/>
  <c r="D5209" i="7"/>
  <c r="D5210" i="7"/>
  <c r="D5211" i="7"/>
  <c r="D5212" i="7"/>
  <c r="D5213" i="7"/>
  <c r="D5214" i="7"/>
  <c r="D5215" i="7"/>
  <c r="D5216"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E2345" i="7"/>
  <c r="E2346" i="7"/>
  <c r="E2347" i="7"/>
  <c r="E2348" i="7"/>
  <c r="E2349" i="7"/>
  <c r="E2350" i="7"/>
  <c r="E2351" i="7"/>
  <c r="E2352" i="7"/>
  <c r="E2353" i="7"/>
  <c r="E2354" i="7"/>
  <c r="E2355" i="7"/>
  <c r="E2356" i="7"/>
  <c r="E2357" i="7"/>
  <c r="E2358" i="7"/>
  <c r="E2359" i="7"/>
  <c r="E2360" i="7"/>
  <c r="E2361" i="7"/>
  <c r="E2362" i="7"/>
  <c r="E2363" i="7"/>
  <c r="E2364" i="7"/>
  <c r="E2365" i="7"/>
  <c r="E2366" i="7"/>
  <c r="E2367" i="7"/>
  <c r="E2368" i="7"/>
  <c r="E2369" i="7"/>
  <c r="E2370" i="7"/>
  <c r="E2371" i="7"/>
  <c r="E2372" i="7"/>
  <c r="E2373" i="7"/>
  <c r="E2374" i="7"/>
  <c r="E2375" i="7"/>
  <c r="E2376" i="7"/>
  <c r="E2377" i="7"/>
  <c r="E2378" i="7"/>
  <c r="E2379" i="7"/>
  <c r="E2380" i="7"/>
  <c r="E2381" i="7"/>
  <c r="E2382" i="7"/>
  <c r="E2383" i="7"/>
  <c r="E2384" i="7"/>
  <c r="E2385" i="7"/>
  <c r="E2386" i="7"/>
  <c r="E2387" i="7"/>
  <c r="E2388" i="7"/>
  <c r="E2389" i="7"/>
  <c r="E2390" i="7"/>
  <c r="E2391" i="7"/>
  <c r="E2392" i="7"/>
  <c r="E2393" i="7"/>
  <c r="E2394" i="7"/>
  <c r="E2395" i="7"/>
  <c r="E2396" i="7"/>
  <c r="E2397" i="7"/>
  <c r="E2398" i="7"/>
  <c r="E2399" i="7"/>
  <c r="E2400" i="7"/>
  <c r="E2401" i="7"/>
  <c r="E2402" i="7"/>
  <c r="E2403" i="7"/>
  <c r="E2404" i="7"/>
  <c r="E2405" i="7"/>
  <c r="E2406" i="7"/>
  <c r="E2407" i="7"/>
  <c r="E2408" i="7"/>
  <c r="E2409" i="7"/>
  <c r="E2410" i="7"/>
  <c r="E2411" i="7"/>
  <c r="E2412" i="7"/>
  <c r="E2413" i="7"/>
  <c r="E2414" i="7"/>
  <c r="E2415" i="7"/>
  <c r="E2416" i="7"/>
  <c r="E2417" i="7"/>
  <c r="E2418" i="7"/>
  <c r="E2419" i="7"/>
  <c r="E2420" i="7"/>
  <c r="E2421" i="7"/>
  <c r="E2422" i="7"/>
  <c r="E2423" i="7"/>
  <c r="E2424" i="7"/>
  <c r="E2425" i="7"/>
  <c r="E2426" i="7"/>
  <c r="E2427" i="7"/>
  <c r="E2428" i="7"/>
  <c r="E2429" i="7"/>
  <c r="E2430" i="7"/>
  <c r="E2431" i="7"/>
  <c r="E2432" i="7"/>
  <c r="E2433" i="7"/>
  <c r="E2434" i="7"/>
  <c r="E2435" i="7"/>
  <c r="E2436" i="7"/>
  <c r="E2437" i="7"/>
  <c r="E2438" i="7"/>
  <c r="E2439" i="7"/>
  <c r="E2440" i="7"/>
  <c r="E2441" i="7"/>
  <c r="E2442" i="7"/>
  <c r="E2443" i="7"/>
  <c r="E2444" i="7"/>
  <c r="E2445" i="7"/>
  <c r="E2446" i="7"/>
  <c r="E2447" i="7"/>
  <c r="E2448" i="7"/>
  <c r="E2449" i="7"/>
  <c r="E2450" i="7"/>
  <c r="E2451" i="7"/>
  <c r="E2452" i="7"/>
  <c r="E2453" i="7"/>
  <c r="E2454" i="7"/>
  <c r="E2455" i="7"/>
  <c r="E2456" i="7"/>
  <c r="E2457" i="7"/>
  <c r="E2458" i="7"/>
  <c r="E2459" i="7"/>
  <c r="E2460" i="7"/>
  <c r="E2461" i="7"/>
  <c r="E2462" i="7"/>
  <c r="E2463" i="7"/>
  <c r="E2464" i="7"/>
  <c r="E2465" i="7"/>
  <c r="E2466" i="7"/>
  <c r="E2467" i="7"/>
  <c r="E2468" i="7"/>
  <c r="E2469" i="7"/>
  <c r="E2470" i="7"/>
  <c r="E2471" i="7"/>
  <c r="E2472" i="7"/>
  <c r="E2473" i="7"/>
  <c r="E2474" i="7"/>
  <c r="E2475" i="7"/>
  <c r="E2476" i="7"/>
  <c r="E2477" i="7"/>
  <c r="E2478" i="7"/>
  <c r="E2479" i="7"/>
  <c r="E2480" i="7"/>
  <c r="E2481" i="7"/>
  <c r="E2482" i="7"/>
  <c r="E2483" i="7"/>
  <c r="E2484" i="7"/>
  <c r="E2485" i="7"/>
  <c r="E2486" i="7"/>
  <c r="E2487" i="7"/>
  <c r="E2488" i="7"/>
  <c r="E2489" i="7"/>
  <c r="E2490" i="7"/>
  <c r="E2491" i="7"/>
  <c r="E2492" i="7"/>
  <c r="E2493" i="7"/>
  <c r="E2494" i="7"/>
  <c r="E2495" i="7"/>
  <c r="E2496" i="7"/>
  <c r="E2497" i="7"/>
  <c r="E2498" i="7"/>
  <c r="E2499" i="7"/>
  <c r="E2500" i="7"/>
  <c r="E2501" i="7"/>
  <c r="E2502" i="7"/>
  <c r="E2503" i="7"/>
  <c r="E2504" i="7"/>
  <c r="E2505" i="7"/>
  <c r="E2506" i="7"/>
  <c r="E2507" i="7"/>
  <c r="E2508" i="7"/>
  <c r="E2509" i="7"/>
  <c r="E2510" i="7"/>
  <c r="E2511" i="7"/>
  <c r="E2512" i="7"/>
  <c r="E2513" i="7"/>
  <c r="E2514" i="7"/>
  <c r="E2515" i="7"/>
  <c r="E2516" i="7"/>
  <c r="E2517" i="7"/>
  <c r="E2518" i="7"/>
  <c r="E2519" i="7"/>
  <c r="E2520" i="7"/>
  <c r="E2521" i="7"/>
  <c r="E2522" i="7"/>
  <c r="E2523" i="7"/>
  <c r="E2524" i="7"/>
  <c r="E2525" i="7"/>
  <c r="E2526" i="7"/>
  <c r="E2527" i="7"/>
  <c r="E2528" i="7"/>
  <c r="E2529" i="7"/>
  <c r="E2530" i="7"/>
  <c r="E2531" i="7"/>
  <c r="E2532" i="7"/>
  <c r="E2533" i="7"/>
  <c r="E2534" i="7"/>
  <c r="E2535" i="7"/>
  <c r="E2536" i="7"/>
  <c r="E2537" i="7"/>
  <c r="E2538" i="7"/>
  <c r="E2539" i="7"/>
  <c r="E2540" i="7"/>
  <c r="E2541" i="7"/>
  <c r="E2542" i="7"/>
  <c r="E2543" i="7"/>
  <c r="E2544" i="7"/>
  <c r="E2545" i="7"/>
  <c r="E2546" i="7"/>
  <c r="E2547" i="7"/>
  <c r="E2548" i="7"/>
  <c r="E2549" i="7"/>
  <c r="E2550" i="7"/>
  <c r="E2551" i="7"/>
  <c r="E2552" i="7"/>
  <c r="E2553" i="7"/>
  <c r="E2554" i="7"/>
  <c r="E2555" i="7"/>
  <c r="E2556" i="7"/>
  <c r="E2557" i="7"/>
  <c r="E2558" i="7"/>
  <c r="E2559" i="7"/>
  <c r="E2560" i="7"/>
  <c r="E2561" i="7"/>
  <c r="E2562" i="7"/>
  <c r="E2563" i="7"/>
  <c r="E2564" i="7"/>
  <c r="E2565" i="7"/>
  <c r="E2566" i="7"/>
  <c r="E2567" i="7"/>
  <c r="E2568" i="7"/>
  <c r="E2569" i="7"/>
  <c r="E2570" i="7"/>
  <c r="E2571" i="7"/>
  <c r="E2572" i="7"/>
  <c r="E2573" i="7"/>
  <c r="E2574" i="7"/>
  <c r="E2575" i="7"/>
  <c r="E2576" i="7"/>
  <c r="E2577" i="7"/>
  <c r="E2578" i="7"/>
  <c r="E2579" i="7"/>
  <c r="E2580" i="7"/>
  <c r="E2581" i="7"/>
  <c r="E2582" i="7"/>
  <c r="E2583" i="7"/>
  <c r="E2584" i="7"/>
  <c r="E2585" i="7"/>
  <c r="E2586" i="7"/>
  <c r="E2587" i="7"/>
  <c r="E2588" i="7"/>
  <c r="E2589" i="7"/>
  <c r="E2590" i="7"/>
  <c r="E2591" i="7"/>
  <c r="E2592" i="7"/>
  <c r="E2593" i="7"/>
  <c r="E2594" i="7"/>
  <c r="E2595" i="7"/>
  <c r="E2596" i="7"/>
  <c r="E2597" i="7"/>
  <c r="E2598" i="7"/>
  <c r="E2599" i="7"/>
  <c r="E2600" i="7"/>
  <c r="E2601" i="7"/>
  <c r="E2602" i="7"/>
  <c r="E2603" i="7"/>
  <c r="E2604" i="7"/>
  <c r="E2605" i="7"/>
  <c r="E2606" i="7"/>
  <c r="E2607" i="7"/>
  <c r="E2608" i="7"/>
  <c r="E2609" i="7"/>
  <c r="E2610" i="7"/>
  <c r="E2611" i="7"/>
  <c r="E2612" i="7"/>
  <c r="E2613" i="7"/>
  <c r="E2614" i="7"/>
  <c r="E2615" i="7"/>
  <c r="E2616" i="7"/>
  <c r="E2617" i="7"/>
  <c r="E2618" i="7"/>
  <c r="E2619" i="7"/>
  <c r="E2620" i="7"/>
  <c r="E2621" i="7"/>
  <c r="E2622" i="7"/>
  <c r="E2623" i="7"/>
  <c r="E2624" i="7"/>
  <c r="E2625" i="7"/>
  <c r="E2626" i="7"/>
  <c r="E2627" i="7"/>
  <c r="E2628" i="7"/>
  <c r="E2629" i="7"/>
  <c r="E2630" i="7"/>
  <c r="E2631" i="7"/>
  <c r="E2632" i="7"/>
  <c r="E2633" i="7"/>
  <c r="E2634" i="7"/>
  <c r="E2635" i="7"/>
  <c r="E2636" i="7"/>
  <c r="E2637" i="7"/>
  <c r="E2638" i="7"/>
  <c r="E2639" i="7"/>
  <c r="E2640" i="7"/>
  <c r="E2641" i="7"/>
  <c r="E2642" i="7"/>
  <c r="E2643" i="7"/>
  <c r="E2644" i="7"/>
  <c r="E2645" i="7"/>
  <c r="E2646" i="7"/>
  <c r="E2647" i="7"/>
  <c r="E2648" i="7"/>
  <c r="E2649" i="7"/>
  <c r="E2650" i="7"/>
  <c r="E2651" i="7"/>
  <c r="E2652" i="7"/>
  <c r="E2653" i="7"/>
  <c r="E2654" i="7"/>
  <c r="E2655" i="7"/>
  <c r="E2656" i="7"/>
  <c r="E2657" i="7"/>
  <c r="E2658" i="7"/>
  <c r="E2659" i="7"/>
  <c r="E2660" i="7"/>
  <c r="E2661" i="7"/>
  <c r="E2662" i="7"/>
  <c r="E2663" i="7"/>
  <c r="E2664" i="7"/>
  <c r="E2665" i="7"/>
  <c r="E2666" i="7"/>
  <c r="E2667" i="7"/>
  <c r="E2668" i="7"/>
  <c r="E2669" i="7"/>
  <c r="E2670" i="7"/>
  <c r="E2671" i="7"/>
  <c r="E2672" i="7"/>
  <c r="E2673" i="7"/>
  <c r="E2674" i="7"/>
  <c r="E2675" i="7"/>
  <c r="E2676" i="7"/>
  <c r="E2677" i="7"/>
  <c r="E2678" i="7"/>
  <c r="E2679" i="7"/>
  <c r="E2680" i="7"/>
  <c r="E2681" i="7"/>
  <c r="E2682" i="7"/>
  <c r="E2683" i="7"/>
  <c r="E2684" i="7"/>
  <c r="E2685" i="7"/>
  <c r="E2686" i="7"/>
  <c r="E2687" i="7"/>
  <c r="E2688" i="7"/>
  <c r="E2689" i="7"/>
  <c r="E2690" i="7"/>
  <c r="E2691" i="7"/>
  <c r="E2692" i="7"/>
  <c r="E2693" i="7"/>
  <c r="E2694" i="7"/>
  <c r="E2695" i="7"/>
  <c r="E2696" i="7"/>
  <c r="E2697" i="7"/>
  <c r="E2698" i="7"/>
  <c r="E2699" i="7"/>
  <c r="E2700" i="7"/>
  <c r="E2701" i="7"/>
  <c r="E2702" i="7"/>
  <c r="E2703" i="7"/>
  <c r="E2704" i="7"/>
  <c r="E2705" i="7"/>
  <c r="E2706" i="7"/>
  <c r="E2707" i="7"/>
  <c r="E2708" i="7"/>
  <c r="E2709" i="7"/>
  <c r="E2710" i="7"/>
  <c r="E2711" i="7"/>
  <c r="E2712" i="7"/>
  <c r="E2713" i="7"/>
  <c r="E2714" i="7"/>
  <c r="E2715" i="7"/>
  <c r="E2716" i="7"/>
  <c r="E2717" i="7"/>
  <c r="E2718" i="7"/>
  <c r="E2719" i="7"/>
  <c r="E2720" i="7"/>
  <c r="E2721" i="7"/>
  <c r="E2722" i="7"/>
  <c r="E2723" i="7"/>
  <c r="E2724" i="7"/>
  <c r="E2725" i="7"/>
  <c r="E2726" i="7"/>
  <c r="E2727" i="7"/>
  <c r="E2728" i="7"/>
  <c r="E2729" i="7"/>
  <c r="E2730" i="7"/>
  <c r="E2731" i="7"/>
  <c r="E2732" i="7"/>
  <c r="E2733" i="7"/>
  <c r="E2734" i="7"/>
  <c r="E2735" i="7"/>
  <c r="E2736" i="7"/>
  <c r="E2737" i="7"/>
  <c r="E2738" i="7"/>
  <c r="E2739" i="7"/>
  <c r="E2740" i="7"/>
  <c r="E2741" i="7"/>
  <c r="E2742" i="7"/>
  <c r="E2743" i="7"/>
  <c r="E2744" i="7"/>
  <c r="E2745" i="7"/>
  <c r="E2746" i="7"/>
  <c r="E2747" i="7"/>
  <c r="E2748" i="7"/>
  <c r="E2749" i="7"/>
  <c r="E2750" i="7"/>
  <c r="E2751" i="7"/>
  <c r="E2752" i="7"/>
  <c r="E2753" i="7"/>
  <c r="E2754" i="7"/>
  <c r="E2755" i="7"/>
  <c r="E2756" i="7"/>
  <c r="E2757" i="7"/>
  <c r="E2758" i="7"/>
  <c r="E2759" i="7"/>
  <c r="E2760" i="7"/>
  <c r="E2761" i="7"/>
  <c r="E2762" i="7"/>
  <c r="E2763" i="7"/>
  <c r="E2764" i="7"/>
  <c r="E2765" i="7"/>
  <c r="E2766" i="7"/>
  <c r="E2767" i="7"/>
  <c r="E2768" i="7"/>
  <c r="E2769" i="7"/>
  <c r="E2770" i="7"/>
  <c r="E2771" i="7"/>
  <c r="E2772" i="7"/>
  <c r="E2773" i="7"/>
  <c r="E2774" i="7"/>
  <c r="E2775" i="7"/>
  <c r="E2776" i="7"/>
  <c r="E2777" i="7"/>
  <c r="E2778" i="7"/>
  <c r="E2779" i="7"/>
  <c r="E2780" i="7"/>
  <c r="E2781" i="7"/>
  <c r="E2782" i="7"/>
  <c r="E2783" i="7"/>
  <c r="E2784" i="7"/>
  <c r="E2785" i="7"/>
  <c r="E2786" i="7"/>
  <c r="E2787" i="7"/>
  <c r="E2788" i="7"/>
  <c r="E2789" i="7"/>
  <c r="E2790" i="7"/>
  <c r="E2791" i="7"/>
  <c r="E2792" i="7"/>
  <c r="E2793" i="7"/>
  <c r="E2794" i="7"/>
  <c r="E2795" i="7"/>
  <c r="E2796" i="7"/>
  <c r="E2797" i="7"/>
  <c r="E2798" i="7"/>
  <c r="E2799" i="7"/>
  <c r="E2800" i="7"/>
  <c r="E2801" i="7"/>
  <c r="E2802" i="7"/>
  <c r="E2803" i="7"/>
  <c r="E2804" i="7"/>
  <c r="E2805" i="7"/>
  <c r="E2806" i="7"/>
  <c r="E2807" i="7"/>
  <c r="E2808" i="7"/>
  <c r="E2809" i="7"/>
  <c r="E2810" i="7"/>
  <c r="E2811" i="7"/>
  <c r="E2812" i="7"/>
  <c r="E2813" i="7"/>
  <c r="E2814" i="7"/>
  <c r="E2815" i="7"/>
  <c r="E2816" i="7"/>
  <c r="E2817" i="7"/>
  <c r="E2818" i="7"/>
  <c r="E2819" i="7"/>
  <c r="E2820" i="7"/>
  <c r="E2821" i="7"/>
  <c r="E2822" i="7"/>
  <c r="E2823" i="7"/>
  <c r="E2824" i="7"/>
  <c r="E2825" i="7"/>
  <c r="E2826" i="7"/>
  <c r="E2827" i="7"/>
  <c r="E2828" i="7"/>
  <c r="E2829" i="7"/>
  <c r="E2830" i="7"/>
  <c r="E2831" i="7"/>
  <c r="E2832" i="7"/>
  <c r="E2833" i="7"/>
  <c r="E2834" i="7"/>
  <c r="E2835" i="7"/>
  <c r="E2836" i="7"/>
  <c r="E2837" i="7"/>
  <c r="E2838" i="7"/>
  <c r="E2839" i="7"/>
  <c r="E2840" i="7"/>
  <c r="E2841" i="7"/>
  <c r="E2842" i="7"/>
  <c r="E2843" i="7"/>
  <c r="E2844" i="7"/>
  <c r="E2845" i="7"/>
  <c r="E2846" i="7"/>
  <c r="E2847" i="7"/>
  <c r="E2848" i="7"/>
  <c r="E2849" i="7"/>
  <c r="E2850" i="7"/>
  <c r="E2851" i="7"/>
  <c r="E2852" i="7"/>
  <c r="E2853" i="7"/>
  <c r="E2854" i="7"/>
  <c r="E2855" i="7"/>
  <c r="E2856" i="7"/>
  <c r="E2857" i="7"/>
  <c r="E2858" i="7"/>
  <c r="E2859" i="7"/>
  <c r="E2860" i="7"/>
  <c r="E2861" i="7"/>
  <c r="E2862" i="7"/>
  <c r="E2863" i="7"/>
  <c r="E2864" i="7"/>
  <c r="E2865" i="7"/>
  <c r="E2866" i="7"/>
  <c r="E2867" i="7"/>
  <c r="E2868" i="7"/>
  <c r="E2869" i="7"/>
  <c r="E2870" i="7"/>
  <c r="E2871" i="7"/>
  <c r="E2872" i="7"/>
  <c r="E2873" i="7"/>
  <c r="E2874" i="7"/>
  <c r="E2875" i="7"/>
  <c r="E2876" i="7"/>
  <c r="E2877" i="7"/>
  <c r="E2878" i="7"/>
  <c r="E2879" i="7"/>
  <c r="E2880" i="7"/>
  <c r="E2881" i="7"/>
  <c r="E2882" i="7"/>
  <c r="E2883" i="7"/>
  <c r="E2884" i="7"/>
  <c r="E2885" i="7"/>
  <c r="E2886" i="7"/>
  <c r="E2887" i="7"/>
  <c r="E2888" i="7"/>
  <c r="E2889" i="7"/>
  <c r="E2890" i="7"/>
  <c r="E2891" i="7"/>
  <c r="E2892" i="7"/>
  <c r="E2893" i="7"/>
  <c r="E2894" i="7"/>
  <c r="E2895" i="7"/>
  <c r="E2896" i="7"/>
  <c r="E2897" i="7"/>
  <c r="E2898" i="7"/>
  <c r="E2899" i="7"/>
  <c r="E2900" i="7"/>
  <c r="E2901" i="7"/>
  <c r="E2902" i="7"/>
  <c r="E2903" i="7"/>
  <c r="E2904" i="7"/>
  <c r="E2905" i="7"/>
  <c r="E2906" i="7"/>
  <c r="E2907" i="7"/>
  <c r="E2908" i="7"/>
  <c r="E2909" i="7"/>
  <c r="E2910" i="7"/>
  <c r="E2911" i="7"/>
  <c r="E2912" i="7"/>
  <c r="E2913" i="7"/>
  <c r="E2914" i="7"/>
  <c r="E2915" i="7"/>
  <c r="E2916" i="7"/>
  <c r="E2917" i="7"/>
  <c r="E2918" i="7"/>
  <c r="E2919" i="7"/>
  <c r="E2920" i="7"/>
  <c r="E2921" i="7"/>
  <c r="E2922" i="7"/>
  <c r="E2923" i="7"/>
  <c r="E2924" i="7"/>
  <c r="E2925" i="7"/>
  <c r="E2926" i="7"/>
  <c r="E2927" i="7"/>
  <c r="E2928" i="7"/>
  <c r="E2929" i="7"/>
  <c r="E2930" i="7"/>
  <c r="E2931" i="7"/>
  <c r="E2932" i="7"/>
  <c r="E2933" i="7"/>
  <c r="E2934" i="7"/>
  <c r="E2935" i="7"/>
  <c r="E2936" i="7"/>
  <c r="E2937" i="7"/>
  <c r="E2938" i="7"/>
  <c r="E2939" i="7"/>
  <c r="E2940" i="7"/>
  <c r="E2941" i="7"/>
  <c r="E2942" i="7"/>
  <c r="E2943" i="7"/>
  <c r="E2944" i="7"/>
  <c r="E2945" i="7"/>
  <c r="E2946" i="7"/>
  <c r="E2947" i="7"/>
  <c r="E2948" i="7"/>
  <c r="E2949" i="7"/>
  <c r="E2950" i="7"/>
  <c r="E2951" i="7"/>
  <c r="E2952" i="7"/>
  <c r="E2953" i="7"/>
  <c r="E2954" i="7"/>
  <c r="E2955" i="7"/>
  <c r="E2956" i="7"/>
  <c r="E2957" i="7"/>
  <c r="E2958" i="7"/>
  <c r="E2959" i="7"/>
  <c r="E2960" i="7"/>
  <c r="E2961" i="7"/>
  <c r="E2962" i="7"/>
  <c r="E2963" i="7"/>
  <c r="E2964" i="7"/>
  <c r="E2965" i="7"/>
  <c r="E2966" i="7"/>
  <c r="E2967" i="7"/>
  <c r="E2968" i="7"/>
  <c r="E2969" i="7"/>
  <c r="E2970" i="7"/>
  <c r="E2971" i="7"/>
  <c r="E2972" i="7"/>
  <c r="E2973" i="7"/>
  <c r="E2974" i="7"/>
  <c r="E2975" i="7"/>
  <c r="E2976" i="7"/>
  <c r="E2977" i="7"/>
  <c r="E2978" i="7"/>
  <c r="E2979" i="7"/>
  <c r="E2980" i="7"/>
  <c r="E2981" i="7"/>
  <c r="E2982" i="7"/>
  <c r="E2983" i="7"/>
  <c r="E2984" i="7"/>
  <c r="E2985" i="7"/>
  <c r="E2986" i="7"/>
  <c r="E2987" i="7"/>
  <c r="E2988" i="7"/>
  <c r="E2989" i="7"/>
  <c r="E2990" i="7"/>
  <c r="E2991" i="7"/>
  <c r="E2992" i="7"/>
  <c r="E2993" i="7"/>
  <c r="E2994" i="7"/>
  <c r="E2995" i="7"/>
  <c r="E2996" i="7"/>
  <c r="E2997" i="7"/>
  <c r="E2998" i="7"/>
  <c r="E2999" i="7"/>
  <c r="E3000" i="7"/>
  <c r="E3001" i="7"/>
  <c r="E3002" i="7"/>
  <c r="E3003" i="7"/>
  <c r="E3004" i="7"/>
  <c r="E3005" i="7"/>
  <c r="E3006" i="7"/>
  <c r="E3007" i="7"/>
  <c r="E3008" i="7"/>
  <c r="E3009" i="7"/>
  <c r="E3010" i="7"/>
  <c r="E3011" i="7"/>
  <c r="E3012" i="7"/>
  <c r="E3013" i="7"/>
  <c r="E3014" i="7"/>
  <c r="E3015" i="7"/>
  <c r="E3016" i="7"/>
  <c r="E3017" i="7"/>
  <c r="E3018" i="7"/>
  <c r="E3019" i="7"/>
  <c r="E3020" i="7"/>
  <c r="E3021" i="7"/>
  <c r="E3022" i="7"/>
  <c r="E3023" i="7"/>
  <c r="E3024" i="7"/>
  <c r="E3025" i="7"/>
  <c r="E3026" i="7"/>
  <c r="E3027" i="7"/>
  <c r="E3028" i="7"/>
  <c r="E3029" i="7"/>
  <c r="E3030" i="7"/>
  <c r="E3031" i="7"/>
  <c r="E3032" i="7"/>
  <c r="E3033" i="7"/>
  <c r="E3034" i="7"/>
  <c r="E3035" i="7"/>
  <c r="E3036" i="7"/>
  <c r="E3037" i="7"/>
  <c r="E3038" i="7"/>
  <c r="E3039" i="7"/>
  <c r="E3040" i="7"/>
  <c r="E3041" i="7"/>
  <c r="E3042" i="7"/>
  <c r="E3043" i="7"/>
  <c r="E3044" i="7"/>
  <c r="E3045" i="7"/>
  <c r="E3046" i="7"/>
  <c r="E3047" i="7"/>
  <c r="E3048" i="7"/>
  <c r="E3049" i="7"/>
  <c r="E3050" i="7"/>
  <c r="E3051" i="7"/>
  <c r="E3052" i="7"/>
  <c r="E3053" i="7"/>
  <c r="E3054" i="7"/>
  <c r="E3055" i="7"/>
  <c r="E3056" i="7"/>
  <c r="E3057" i="7"/>
  <c r="E3058" i="7"/>
  <c r="E3059" i="7"/>
  <c r="E3060" i="7"/>
  <c r="E3061" i="7"/>
  <c r="E3062" i="7"/>
  <c r="E3063" i="7"/>
  <c r="E3064" i="7"/>
  <c r="E3065" i="7"/>
  <c r="E3066" i="7"/>
  <c r="E3067" i="7"/>
  <c r="E3068" i="7"/>
  <c r="E3069" i="7"/>
  <c r="E3070" i="7"/>
  <c r="E3071" i="7"/>
  <c r="E3072" i="7"/>
  <c r="E3073" i="7"/>
  <c r="E3074" i="7"/>
  <c r="E3075" i="7"/>
  <c r="E3076" i="7"/>
  <c r="E3077" i="7"/>
  <c r="E3078" i="7"/>
  <c r="E3079" i="7"/>
  <c r="E3080" i="7"/>
  <c r="E3081" i="7"/>
  <c r="E3082" i="7"/>
  <c r="E3083" i="7"/>
  <c r="E3084" i="7"/>
  <c r="E3085" i="7"/>
  <c r="E3086" i="7"/>
  <c r="E3087" i="7"/>
  <c r="E3088" i="7"/>
  <c r="E3089" i="7"/>
  <c r="E3090" i="7"/>
  <c r="E3091" i="7"/>
  <c r="E3092" i="7"/>
  <c r="E3093" i="7"/>
  <c r="E3094" i="7"/>
  <c r="E3095" i="7"/>
  <c r="E3096" i="7"/>
  <c r="E3097" i="7"/>
  <c r="E3098" i="7"/>
  <c r="E3099" i="7"/>
  <c r="E3100" i="7"/>
  <c r="E3101" i="7"/>
  <c r="E3102" i="7"/>
  <c r="E3103" i="7"/>
  <c r="E3104" i="7"/>
  <c r="E3105" i="7"/>
  <c r="E3106" i="7"/>
  <c r="E3107" i="7"/>
  <c r="E3108" i="7"/>
  <c r="E3109" i="7"/>
  <c r="E3110" i="7"/>
  <c r="E3111" i="7"/>
  <c r="E3112" i="7"/>
  <c r="E3113" i="7"/>
  <c r="E3114" i="7"/>
  <c r="E3115" i="7"/>
  <c r="E3116" i="7"/>
  <c r="E3117" i="7"/>
  <c r="E3118" i="7"/>
  <c r="E3119" i="7"/>
  <c r="E3120" i="7"/>
  <c r="E3121" i="7"/>
  <c r="E3122" i="7"/>
  <c r="E3123" i="7"/>
  <c r="E3124" i="7"/>
  <c r="E3125" i="7"/>
  <c r="E3126" i="7"/>
  <c r="E3127" i="7"/>
  <c r="E3128" i="7"/>
  <c r="E3129" i="7"/>
  <c r="E3130" i="7"/>
  <c r="E3131" i="7"/>
  <c r="E3132" i="7"/>
  <c r="E3133" i="7"/>
  <c r="E3134" i="7"/>
  <c r="E3135" i="7"/>
  <c r="E3136" i="7"/>
  <c r="E3137" i="7"/>
  <c r="E3138" i="7"/>
  <c r="E3139" i="7"/>
  <c r="E3140" i="7"/>
  <c r="E3141" i="7"/>
  <c r="E3142" i="7"/>
  <c r="E3143" i="7"/>
  <c r="E3144" i="7"/>
  <c r="E3145" i="7"/>
  <c r="E3146" i="7"/>
  <c r="E3147" i="7"/>
  <c r="E3148" i="7"/>
  <c r="E3149" i="7"/>
  <c r="E3150" i="7"/>
  <c r="E3151" i="7"/>
  <c r="E3152" i="7"/>
  <c r="E3153" i="7"/>
  <c r="E3154" i="7"/>
  <c r="E3155" i="7"/>
  <c r="E3156" i="7"/>
  <c r="E3157" i="7"/>
  <c r="E3158" i="7"/>
  <c r="E3159" i="7"/>
  <c r="E3160" i="7"/>
  <c r="E3161" i="7"/>
  <c r="E3162" i="7"/>
  <c r="E3163" i="7"/>
  <c r="E3164" i="7"/>
  <c r="E3165" i="7"/>
  <c r="E3166" i="7"/>
  <c r="E3167" i="7"/>
  <c r="E3168" i="7"/>
  <c r="E3169" i="7"/>
  <c r="E3170" i="7"/>
  <c r="E3171" i="7"/>
  <c r="E3172" i="7"/>
  <c r="E3173" i="7"/>
  <c r="E3174" i="7"/>
  <c r="E3175" i="7"/>
  <c r="E3176" i="7"/>
  <c r="E3177" i="7"/>
  <c r="E3178" i="7"/>
  <c r="E3179" i="7"/>
  <c r="E3180" i="7"/>
  <c r="E3181" i="7"/>
  <c r="E3182" i="7"/>
  <c r="E3183" i="7"/>
  <c r="E3184" i="7"/>
  <c r="E3185" i="7"/>
  <c r="E3186" i="7"/>
  <c r="E3187" i="7"/>
  <c r="E3188" i="7"/>
  <c r="E3189" i="7"/>
  <c r="E3190" i="7"/>
  <c r="E3191" i="7"/>
  <c r="E3192" i="7"/>
  <c r="E3193" i="7"/>
  <c r="E3194" i="7"/>
  <c r="E3195" i="7"/>
  <c r="E3196" i="7"/>
  <c r="E3197" i="7"/>
  <c r="E3198" i="7"/>
  <c r="E3199" i="7"/>
  <c r="E3200" i="7"/>
  <c r="E3201" i="7"/>
  <c r="E3202" i="7"/>
  <c r="E3203" i="7"/>
  <c r="E3204" i="7"/>
  <c r="E3205" i="7"/>
  <c r="E3206" i="7"/>
  <c r="E3207" i="7"/>
  <c r="E3208" i="7"/>
  <c r="E3209" i="7"/>
  <c r="E3210" i="7"/>
  <c r="E3211" i="7"/>
  <c r="E3212" i="7"/>
  <c r="E3213" i="7"/>
  <c r="E3214" i="7"/>
  <c r="E3215" i="7"/>
  <c r="E3216" i="7"/>
  <c r="E3217" i="7"/>
  <c r="E3218" i="7"/>
  <c r="E3219" i="7"/>
  <c r="E3220" i="7"/>
  <c r="E3221" i="7"/>
  <c r="E3222" i="7"/>
  <c r="E3223" i="7"/>
  <c r="E3224" i="7"/>
  <c r="E3225" i="7"/>
  <c r="E3226" i="7"/>
  <c r="E3227" i="7"/>
  <c r="E3228" i="7"/>
  <c r="E3229" i="7"/>
  <c r="E3230" i="7"/>
  <c r="E3231" i="7"/>
  <c r="E3232" i="7"/>
  <c r="E3233" i="7"/>
  <c r="E3234" i="7"/>
  <c r="E3235" i="7"/>
  <c r="E3236" i="7"/>
  <c r="E3237" i="7"/>
  <c r="E3238" i="7"/>
  <c r="E3239" i="7"/>
  <c r="E3240" i="7"/>
  <c r="E3241" i="7"/>
  <c r="E3242" i="7"/>
  <c r="E3243" i="7"/>
  <c r="E3244" i="7"/>
  <c r="E3245" i="7"/>
  <c r="E3246" i="7"/>
  <c r="E3247" i="7"/>
  <c r="E3248" i="7"/>
  <c r="E3249" i="7"/>
  <c r="E3250" i="7"/>
  <c r="E3251" i="7"/>
  <c r="E3252" i="7"/>
  <c r="E3253" i="7"/>
  <c r="E3254" i="7"/>
  <c r="E3255" i="7"/>
  <c r="E3256" i="7"/>
  <c r="E3257" i="7"/>
  <c r="E3258" i="7"/>
  <c r="E3259" i="7"/>
  <c r="E3260" i="7"/>
  <c r="E3261" i="7"/>
  <c r="E3262" i="7"/>
  <c r="E3263" i="7"/>
  <c r="E3264" i="7"/>
  <c r="E3265" i="7"/>
  <c r="E3266" i="7"/>
  <c r="E3267" i="7"/>
  <c r="E3268" i="7"/>
  <c r="E3269" i="7"/>
  <c r="E3270" i="7"/>
  <c r="E3271" i="7"/>
  <c r="E3272" i="7"/>
  <c r="E3273" i="7"/>
  <c r="E3274" i="7"/>
  <c r="E3275" i="7"/>
  <c r="E3276" i="7"/>
  <c r="E3277" i="7"/>
  <c r="E3278" i="7"/>
  <c r="E3279" i="7"/>
  <c r="E3280" i="7"/>
  <c r="E3281" i="7"/>
  <c r="E3282" i="7"/>
  <c r="E3283" i="7"/>
  <c r="E3284" i="7"/>
  <c r="E3285" i="7"/>
  <c r="E3286" i="7"/>
  <c r="E3287" i="7"/>
  <c r="E3288" i="7"/>
  <c r="E3289" i="7"/>
  <c r="E3290" i="7"/>
  <c r="E3291" i="7"/>
  <c r="E3292" i="7"/>
  <c r="E3293" i="7"/>
  <c r="E3294" i="7"/>
  <c r="E3295" i="7"/>
  <c r="E3296" i="7"/>
  <c r="E3297" i="7"/>
  <c r="E3298" i="7"/>
  <c r="E3299" i="7"/>
  <c r="E3300" i="7"/>
  <c r="E3301" i="7"/>
  <c r="E3302" i="7"/>
  <c r="E3303" i="7"/>
  <c r="E3304" i="7"/>
  <c r="E3305" i="7"/>
  <c r="E3306" i="7"/>
  <c r="E3307" i="7"/>
  <c r="E3308" i="7"/>
  <c r="E3309" i="7"/>
  <c r="E3310" i="7"/>
  <c r="E3311" i="7"/>
  <c r="E3312" i="7"/>
  <c r="E3313" i="7"/>
  <c r="E3314" i="7"/>
  <c r="E3315" i="7"/>
  <c r="E3316" i="7"/>
  <c r="E3317" i="7"/>
  <c r="E3318" i="7"/>
  <c r="E3319" i="7"/>
  <c r="E3320" i="7"/>
  <c r="E3321" i="7"/>
  <c r="E3322" i="7"/>
  <c r="E3323" i="7"/>
  <c r="E3324" i="7"/>
  <c r="E3325" i="7"/>
  <c r="E3326" i="7"/>
  <c r="E3327" i="7"/>
  <c r="E3328" i="7"/>
  <c r="E3329" i="7"/>
  <c r="E3330" i="7"/>
  <c r="E3331" i="7"/>
  <c r="E3332" i="7"/>
  <c r="E3333" i="7"/>
  <c r="E3334" i="7"/>
  <c r="E3335" i="7"/>
  <c r="E3336" i="7"/>
  <c r="E3337" i="7"/>
  <c r="E3338" i="7"/>
  <c r="E3339" i="7"/>
  <c r="E3340" i="7"/>
  <c r="E3341" i="7"/>
  <c r="E3342" i="7"/>
  <c r="E3343" i="7"/>
  <c r="E3344" i="7"/>
  <c r="E3345" i="7"/>
  <c r="E3346" i="7"/>
  <c r="E3347" i="7"/>
  <c r="E3348" i="7"/>
  <c r="E3349" i="7"/>
  <c r="E3350" i="7"/>
  <c r="E3351" i="7"/>
  <c r="E3352" i="7"/>
  <c r="E3353" i="7"/>
  <c r="E3354" i="7"/>
  <c r="E3355" i="7"/>
  <c r="E3356" i="7"/>
  <c r="E3357" i="7"/>
  <c r="E3358" i="7"/>
  <c r="E3359" i="7"/>
  <c r="E3360" i="7"/>
  <c r="E3361" i="7"/>
  <c r="E3362" i="7"/>
  <c r="E3363" i="7"/>
  <c r="E3364" i="7"/>
  <c r="E3365" i="7"/>
  <c r="E3366" i="7"/>
  <c r="E3367" i="7"/>
  <c r="E3368" i="7"/>
  <c r="E3369" i="7"/>
  <c r="E3370" i="7"/>
  <c r="E3371" i="7"/>
  <c r="E3372" i="7"/>
  <c r="E3373" i="7"/>
  <c r="E3374" i="7"/>
  <c r="E3375" i="7"/>
  <c r="E3376" i="7"/>
  <c r="E3377" i="7"/>
  <c r="E3378" i="7"/>
  <c r="E3379" i="7"/>
  <c r="E3380" i="7"/>
  <c r="E3381" i="7"/>
  <c r="E3382" i="7"/>
  <c r="E3383" i="7"/>
  <c r="E3384" i="7"/>
  <c r="E3385" i="7"/>
  <c r="E3386" i="7"/>
  <c r="E3387" i="7"/>
  <c r="E3388" i="7"/>
  <c r="E3389" i="7"/>
  <c r="E3390" i="7"/>
  <c r="E3391" i="7"/>
  <c r="E3392" i="7"/>
  <c r="E3393" i="7"/>
  <c r="E3394" i="7"/>
  <c r="E3395" i="7"/>
  <c r="E3396" i="7"/>
  <c r="E3397" i="7"/>
  <c r="E3398" i="7"/>
  <c r="E3399" i="7"/>
  <c r="E3400" i="7"/>
  <c r="E3401" i="7"/>
  <c r="E3402" i="7"/>
  <c r="E3403" i="7"/>
  <c r="E3404" i="7"/>
  <c r="E3405" i="7"/>
  <c r="E3406" i="7"/>
  <c r="E3407" i="7"/>
  <c r="E3408" i="7"/>
  <c r="E3409" i="7"/>
  <c r="E3410" i="7"/>
  <c r="E3411" i="7"/>
  <c r="E3412" i="7"/>
  <c r="E3413" i="7"/>
  <c r="E3414" i="7"/>
  <c r="E3415" i="7"/>
  <c r="E3416" i="7"/>
  <c r="E3417" i="7"/>
  <c r="E3418" i="7"/>
  <c r="E3419" i="7"/>
  <c r="E3420" i="7"/>
  <c r="E3421" i="7"/>
  <c r="E3422" i="7"/>
  <c r="E3423" i="7"/>
  <c r="E3424" i="7"/>
  <c r="E3425" i="7"/>
  <c r="E3426" i="7"/>
  <c r="E3427" i="7"/>
  <c r="E3428" i="7"/>
  <c r="E3429" i="7"/>
  <c r="E3430" i="7"/>
  <c r="E3431" i="7"/>
  <c r="E3432" i="7"/>
  <c r="E3433" i="7"/>
  <c r="E3434" i="7"/>
  <c r="E3435" i="7"/>
  <c r="E3436" i="7"/>
  <c r="E3437" i="7"/>
  <c r="E3438" i="7"/>
  <c r="E3439" i="7"/>
  <c r="E3440" i="7"/>
  <c r="E3441" i="7"/>
  <c r="E3442" i="7"/>
  <c r="E3443" i="7"/>
  <c r="E3444" i="7"/>
  <c r="E3445" i="7"/>
  <c r="E3446" i="7"/>
  <c r="E3447" i="7"/>
  <c r="E3448" i="7"/>
  <c r="E3449" i="7"/>
  <c r="E3450" i="7"/>
  <c r="E3451" i="7"/>
  <c r="E3452" i="7"/>
  <c r="E3453" i="7"/>
  <c r="E3454" i="7"/>
  <c r="E3455" i="7"/>
  <c r="E3456" i="7"/>
  <c r="E3457" i="7"/>
  <c r="E3458" i="7"/>
  <c r="E3459" i="7"/>
  <c r="E3460" i="7"/>
  <c r="E3461" i="7"/>
  <c r="E3462" i="7"/>
  <c r="E3463" i="7"/>
  <c r="E3464" i="7"/>
  <c r="E3465" i="7"/>
  <c r="E3466" i="7"/>
  <c r="E3467" i="7"/>
  <c r="E3468" i="7"/>
  <c r="E3469" i="7"/>
  <c r="E3470" i="7"/>
  <c r="E3471" i="7"/>
  <c r="E3472" i="7"/>
  <c r="E3473" i="7"/>
  <c r="E3474" i="7"/>
  <c r="E3475" i="7"/>
  <c r="E3476" i="7"/>
  <c r="E3477" i="7"/>
  <c r="E3478" i="7"/>
  <c r="E3479" i="7"/>
  <c r="E3480" i="7"/>
  <c r="E3481" i="7"/>
  <c r="E3482" i="7"/>
  <c r="E3483" i="7"/>
  <c r="E3484" i="7"/>
  <c r="E3485" i="7"/>
  <c r="E3486" i="7"/>
  <c r="E3487" i="7"/>
  <c r="E3488" i="7"/>
  <c r="E3489" i="7"/>
  <c r="E3490" i="7"/>
  <c r="E3491" i="7"/>
  <c r="E3492" i="7"/>
  <c r="E3493" i="7"/>
  <c r="E3494" i="7"/>
  <c r="E3495" i="7"/>
  <c r="E3496" i="7"/>
  <c r="E3497" i="7"/>
  <c r="E3498" i="7"/>
  <c r="E3499" i="7"/>
  <c r="E3500" i="7"/>
  <c r="E3501" i="7"/>
  <c r="E3502" i="7"/>
  <c r="E3503" i="7"/>
  <c r="E3504" i="7"/>
  <c r="E3505" i="7"/>
  <c r="E3506" i="7"/>
  <c r="E3507" i="7"/>
  <c r="E3508" i="7"/>
  <c r="E3509" i="7"/>
  <c r="E3510" i="7"/>
  <c r="E3511" i="7"/>
  <c r="E3512" i="7"/>
  <c r="E3513" i="7"/>
  <c r="E3514" i="7"/>
  <c r="E3515" i="7"/>
  <c r="E3516" i="7"/>
  <c r="E3517" i="7"/>
  <c r="E3518" i="7"/>
  <c r="E3519" i="7"/>
  <c r="E3520" i="7"/>
  <c r="E3521" i="7"/>
  <c r="E3522" i="7"/>
  <c r="E3523" i="7"/>
  <c r="E3524" i="7"/>
  <c r="E3525" i="7"/>
  <c r="E3526" i="7"/>
  <c r="E3527" i="7"/>
  <c r="E3528" i="7"/>
  <c r="E3529" i="7"/>
  <c r="E3530" i="7"/>
  <c r="E3531" i="7"/>
  <c r="E3532" i="7"/>
  <c r="E3533" i="7"/>
  <c r="E3534" i="7"/>
  <c r="E3535" i="7"/>
  <c r="E3536" i="7"/>
  <c r="E3537" i="7"/>
  <c r="E3538" i="7"/>
  <c r="E3539" i="7"/>
  <c r="E3540" i="7"/>
  <c r="E3541" i="7"/>
  <c r="E3542" i="7"/>
  <c r="E3543" i="7"/>
  <c r="E3544" i="7"/>
  <c r="E3545" i="7"/>
  <c r="E3546" i="7"/>
  <c r="E3547" i="7"/>
  <c r="E3548" i="7"/>
  <c r="E3549" i="7"/>
  <c r="E3550" i="7"/>
  <c r="E3551" i="7"/>
  <c r="E3552" i="7"/>
  <c r="E3553" i="7"/>
  <c r="E3554" i="7"/>
  <c r="E3555" i="7"/>
  <c r="E3556" i="7"/>
  <c r="E3557" i="7"/>
  <c r="E3558" i="7"/>
  <c r="E3559" i="7"/>
  <c r="E3560" i="7"/>
  <c r="E3561" i="7"/>
  <c r="E3562" i="7"/>
  <c r="E3563" i="7"/>
  <c r="E3564" i="7"/>
  <c r="E3565" i="7"/>
  <c r="E3566" i="7"/>
  <c r="E3567" i="7"/>
  <c r="E3568" i="7"/>
  <c r="E3569" i="7"/>
  <c r="E3570" i="7"/>
  <c r="E3571" i="7"/>
  <c r="E3572" i="7"/>
  <c r="E3573" i="7"/>
  <c r="E3574" i="7"/>
  <c r="E3575" i="7"/>
  <c r="E3576" i="7"/>
  <c r="E3577" i="7"/>
  <c r="E3578" i="7"/>
  <c r="E3579" i="7"/>
  <c r="E3580" i="7"/>
  <c r="E3581" i="7"/>
  <c r="E3582" i="7"/>
  <c r="E3583" i="7"/>
  <c r="E3584" i="7"/>
  <c r="E3585" i="7"/>
  <c r="E3586" i="7"/>
  <c r="E3587" i="7"/>
  <c r="E3588" i="7"/>
  <c r="E3589" i="7"/>
  <c r="E3590" i="7"/>
  <c r="E3591" i="7"/>
  <c r="E3592" i="7"/>
  <c r="E3593" i="7"/>
  <c r="E3594" i="7"/>
  <c r="E3595" i="7"/>
  <c r="E3596" i="7"/>
  <c r="E3597" i="7"/>
  <c r="E3598" i="7"/>
  <c r="E3599" i="7"/>
  <c r="E3600" i="7"/>
  <c r="E3601" i="7"/>
  <c r="E3602" i="7"/>
  <c r="E3603" i="7"/>
  <c r="E3604" i="7"/>
  <c r="E3605" i="7"/>
  <c r="E3606" i="7"/>
  <c r="E3607" i="7"/>
  <c r="E3608" i="7"/>
  <c r="E3609" i="7"/>
  <c r="E3610" i="7"/>
  <c r="E3611" i="7"/>
  <c r="E3612" i="7"/>
  <c r="E3613" i="7"/>
  <c r="E3614" i="7"/>
  <c r="E3615" i="7"/>
  <c r="E3616" i="7"/>
  <c r="E3617" i="7"/>
  <c r="E3618" i="7"/>
  <c r="E3619" i="7"/>
  <c r="E3620" i="7"/>
  <c r="E3621" i="7"/>
  <c r="E3622" i="7"/>
  <c r="E3623" i="7"/>
  <c r="E3624" i="7"/>
  <c r="E3625" i="7"/>
  <c r="E3626" i="7"/>
  <c r="E3627" i="7"/>
  <c r="E3628" i="7"/>
  <c r="E3629" i="7"/>
  <c r="E3630" i="7"/>
  <c r="E3631" i="7"/>
  <c r="E3632" i="7"/>
  <c r="E3633" i="7"/>
  <c r="E3634" i="7"/>
  <c r="E3635" i="7"/>
  <c r="E3636" i="7"/>
  <c r="E3637" i="7"/>
  <c r="E3638" i="7"/>
  <c r="E3639" i="7"/>
  <c r="E3640" i="7"/>
  <c r="E3641" i="7"/>
  <c r="E3642" i="7"/>
  <c r="E3643" i="7"/>
  <c r="E3644" i="7"/>
  <c r="E3645" i="7"/>
  <c r="E3646" i="7"/>
  <c r="E3647" i="7"/>
  <c r="E3648" i="7"/>
  <c r="E3649" i="7"/>
  <c r="E3650" i="7"/>
  <c r="E3651" i="7"/>
  <c r="E3652" i="7"/>
  <c r="E3653" i="7"/>
  <c r="E3654" i="7"/>
  <c r="E3655" i="7"/>
  <c r="E3656" i="7"/>
  <c r="E3657" i="7"/>
  <c r="E3658" i="7"/>
  <c r="E3659" i="7"/>
  <c r="E3660" i="7"/>
  <c r="E3661" i="7"/>
  <c r="E3662" i="7"/>
  <c r="E3663" i="7"/>
  <c r="E3664" i="7"/>
  <c r="E3665" i="7"/>
  <c r="E3666" i="7"/>
  <c r="E3667" i="7"/>
  <c r="E3668" i="7"/>
  <c r="E3669" i="7"/>
  <c r="E3670" i="7"/>
  <c r="E3671" i="7"/>
  <c r="E3672" i="7"/>
  <c r="E3673" i="7"/>
  <c r="E3674" i="7"/>
  <c r="E3675" i="7"/>
  <c r="E3676" i="7"/>
  <c r="E3677" i="7"/>
  <c r="E3678" i="7"/>
  <c r="E3679" i="7"/>
  <c r="E3680" i="7"/>
  <c r="E3681" i="7"/>
  <c r="E3682" i="7"/>
  <c r="E3683" i="7"/>
  <c r="E3684" i="7"/>
  <c r="E3685" i="7"/>
  <c r="E3686" i="7"/>
  <c r="E3687" i="7"/>
  <c r="E3688" i="7"/>
  <c r="E3689" i="7"/>
  <c r="E3690" i="7"/>
  <c r="E3691" i="7"/>
  <c r="E3692" i="7"/>
  <c r="E3693" i="7"/>
  <c r="E3694" i="7"/>
  <c r="E3695" i="7"/>
  <c r="E3696" i="7"/>
  <c r="E3697" i="7"/>
  <c r="E3698" i="7"/>
  <c r="E3699" i="7"/>
  <c r="E3700" i="7"/>
  <c r="E3701" i="7"/>
  <c r="E3702" i="7"/>
  <c r="E3703" i="7"/>
  <c r="E3704" i="7"/>
  <c r="E3705" i="7"/>
  <c r="E3706" i="7"/>
  <c r="E3707" i="7"/>
  <c r="E3708" i="7"/>
  <c r="E3709" i="7"/>
  <c r="E3710" i="7"/>
  <c r="E3711" i="7"/>
  <c r="E3712" i="7"/>
  <c r="E3713" i="7"/>
  <c r="E3714" i="7"/>
  <c r="E3715" i="7"/>
  <c r="E3716" i="7"/>
  <c r="E3717" i="7"/>
  <c r="E3718" i="7"/>
  <c r="E3719" i="7"/>
  <c r="E3720" i="7"/>
  <c r="E3721" i="7"/>
  <c r="E3722" i="7"/>
  <c r="E3723" i="7"/>
  <c r="E3724" i="7"/>
  <c r="E3725" i="7"/>
  <c r="E3726" i="7"/>
  <c r="E3727" i="7"/>
  <c r="E3728" i="7"/>
  <c r="E3729" i="7"/>
  <c r="E3730" i="7"/>
  <c r="E3731" i="7"/>
  <c r="E3732" i="7"/>
  <c r="E3733" i="7"/>
  <c r="E3734" i="7"/>
  <c r="E3735" i="7"/>
  <c r="E3736" i="7"/>
  <c r="E3737" i="7"/>
  <c r="E3738" i="7"/>
  <c r="E3739" i="7"/>
  <c r="E3740" i="7"/>
  <c r="E3741" i="7"/>
  <c r="E3742" i="7"/>
  <c r="E3743" i="7"/>
  <c r="E3744" i="7"/>
  <c r="E3745" i="7"/>
  <c r="E3746" i="7"/>
  <c r="E3747" i="7"/>
  <c r="E3748" i="7"/>
  <c r="E3749" i="7"/>
  <c r="E3750" i="7"/>
  <c r="E3751" i="7"/>
  <c r="E3752" i="7"/>
  <c r="E3753" i="7"/>
  <c r="E3754" i="7"/>
  <c r="E3755" i="7"/>
  <c r="E3756" i="7"/>
  <c r="E3757" i="7"/>
  <c r="E3758" i="7"/>
  <c r="E3759" i="7"/>
  <c r="E3760" i="7"/>
  <c r="E3761" i="7"/>
  <c r="E3762" i="7"/>
  <c r="E3763" i="7"/>
  <c r="E3764" i="7"/>
  <c r="E3765" i="7"/>
  <c r="E3766" i="7"/>
  <c r="E3767" i="7"/>
  <c r="E3768" i="7"/>
  <c r="E3769" i="7"/>
  <c r="E3770" i="7"/>
  <c r="E3771" i="7"/>
  <c r="E3772" i="7"/>
  <c r="E3773" i="7"/>
  <c r="E3774" i="7"/>
  <c r="E3775" i="7"/>
  <c r="E3776" i="7"/>
  <c r="E3777" i="7"/>
  <c r="E3778" i="7"/>
  <c r="E3779" i="7"/>
  <c r="E3780" i="7"/>
  <c r="E3781" i="7"/>
  <c r="E3782" i="7"/>
  <c r="E3783" i="7"/>
  <c r="E3784" i="7"/>
  <c r="E3785" i="7"/>
  <c r="E3786" i="7"/>
  <c r="E3787" i="7"/>
  <c r="E3788" i="7"/>
  <c r="E3789" i="7"/>
  <c r="E3790" i="7"/>
  <c r="E3791" i="7"/>
  <c r="E3792" i="7"/>
  <c r="E3793" i="7"/>
  <c r="E3794" i="7"/>
  <c r="E3795" i="7"/>
  <c r="E3796" i="7"/>
  <c r="E3797" i="7"/>
  <c r="E3798" i="7"/>
  <c r="E3799" i="7"/>
  <c r="E3800" i="7"/>
  <c r="E3801" i="7"/>
  <c r="E3802" i="7"/>
  <c r="E3803" i="7"/>
  <c r="E3804" i="7"/>
  <c r="E3805" i="7"/>
  <c r="E3806" i="7"/>
  <c r="E3807" i="7"/>
  <c r="E3808" i="7"/>
  <c r="E3809" i="7"/>
  <c r="E3810" i="7"/>
  <c r="E3811" i="7"/>
  <c r="E3812" i="7"/>
  <c r="E3813" i="7"/>
  <c r="E3814" i="7"/>
  <c r="E3815" i="7"/>
  <c r="E3816" i="7"/>
  <c r="E3817" i="7"/>
  <c r="E3818" i="7"/>
  <c r="E3819" i="7"/>
  <c r="E3820" i="7"/>
  <c r="E3821" i="7"/>
  <c r="E3822" i="7"/>
  <c r="E3823" i="7"/>
  <c r="E3824" i="7"/>
  <c r="E3825" i="7"/>
  <c r="E3826" i="7"/>
  <c r="E3827" i="7"/>
  <c r="E3828" i="7"/>
  <c r="E3829" i="7"/>
  <c r="E3830" i="7"/>
  <c r="E3831" i="7"/>
  <c r="E3832" i="7"/>
  <c r="E3833" i="7"/>
  <c r="E3834" i="7"/>
  <c r="E3835" i="7"/>
  <c r="E3836" i="7"/>
  <c r="E3837" i="7"/>
  <c r="E3838" i="7"/>
  <c r="E3839" i="7"/>
  <c r="E3840" i="7"/>
  <c r="E3841" i="7"/>
  <c r="E3842" i="7"/>
  <c r="E3843" i="7"/>
  <c r="E3844" i="7"/>
  <c r="E3845" i="7"/>
  <c r="E3846" i="7"/>
  <c r="E3847" i="7"/>
  <c r="E3848" i="7"/>
  <c r="E3849" i="7"/>
  <c r="E3850" i="7"/>
  <c r="E3851" i="7"/>
  <c r="E3852" i="7"/>
  <c r="E3853" i="7"/>
  <c r="E3854" i="7"/>
  <c r="E3855" i="7"/>
  <c r="E3856" i="7"/>
  <c r="E3857" i="7"/>
  <c r="E3858" i="7"/>
  <c r="E3859" i="7"/>
  <c r="E3860" i="7"/>
  <c r="E3861" i="7"/>
  <c r="E3862" i="7"/>
  <c r="E3863" i="7"/>
  <c r="E3864" i="7"/>
  <c r="E3865" i="7"/>
  <c r="E3866" i="7"/>
  <c r="E3867" i="7"/>
  <c r="E3868" i="7"/>
  <c r="E3869" i="7"/>
  <c r="E3870" i="7"/>
  <c r="E3871" i="7"/>
  <c r="E3872" i="7"/>
  <c r="E3873" i="7"/>
  <c r="E3874" i="7"/>
  <c r="E3875" i="7"/>
  <c r="E3876" i="7"/>
  <c r="E3877" i="7"/>
  <c r="E3878" i="7"/>
  <c r="E3879" i="7"/>
  <c r="E3880" i="7"/>
  <c r="E3881" i="7"/>
  <c r="E3882" i="7"/>
  <c r="E3883" i="7"/>
  <c r="E3884" i="7"/>
  <c r="E3885" i="7"/>
  <c r="E3886" i="7"/>
  <c r="E3887" i="7"/>
  <c r="E3888" i="7"/>
  <c r="E3889" i="7"/>
  <c r="E3890" i="7"/>
  <c r="E3891" i="7"/>
  <c r="E3892" i="7"/>
  <c r="E3893" i="7"/>
  <c r="E3894" i="7"/>
  <c r="E3895" i="7"/>
  <c r="E3896" i="7"/>
  <c r="E3897" i="7"/>
  <c r="E3898" i="7"/>
  <c r="E3899" i="7"/>
  <c r="E3900" i="7"/>
  <c r="E3901" i="7"/>
  <c r="E3902" i="7"/>
  <c r="E3903" i="7"/>
  <c r="E3904" i="7"/>
  <c r="E3905" i="7"/>
  <c r="E3906" i="7"/>
  <c r="E3907" i="7"/>
  <c r="E3908" i="7"/>
  <c r="E3909" i="7"/>
  <c r="E3910" i="7"/>
  <c r="E3911" i="7"/>
  <c r="E3912" i="7"/>
  <c r="E3913" i="7"/>
  <c r="E3914" i="7"/>
  <c r="E3915" i="7"/>
  <c r="E3916" i="7"/>
  <c r="E3917" i="7"/>
  <c r="E3918" i="7"/>
  <c r="E3919" i="7"/>
  <c r="E3920" i="7"/>
  <c r="E3921" i="7"/>
  <c r="E3922" i="7"/>
  <c r="E3923" i="7"/>
  <c r="E3924" i="7"/>
  <c r="E3925" i="7"/>
  <c r="E3926" i="7"/>
  <c r="E3927" i="7"/>
  <c r="E3928" i="7"/>
  <c r="E3929" i="7"/>
  <c r="E3930" i="7"/>
  <c r="E3931" i="7"/>
  <c r="E3932" i="7"/>
  <c r="E3933" i="7"/>
  <c r="E3934" i="7"/>
  <c r="E3935" i="7"/>
  <c r="E3936" i="7"/>
  <c r="E3937" i="7"/>
  <c r="E3938" i="7"/>
  <c r="E3939" i="7"/>
  <c r="E3940" i="7"/>
  <c r="E3941" i="7"/>
  <c r="E3942" i="7"/>
  <c r="E3943" i="7"/>
  <c r="E3944" i="7"/>
  <c r="E3945" i="7"/>
  <c r="E3946" i="7"/>
  <c r="E3947" i="7"/>
  <c r="E3948" i="7"/>
  <c r="E3949" i="7"/>
  <c r="E3950" i="7"/>
  <c r="E3951" i="7"/>
  <c r="E3952" i="7"/>
  <c r="E3953" i="7"/>
  <c r="E3954" i="7"/>
  <c r="E3955" i="7"/>
  <c r="E3956" i="7"/>
  <c r="E3957" i="7"/>
  <c r="E3958" i="7"/>
  <c r="E3959" i="7"/>
  <c r="E3960" i="7"/>
  <c r="E3961" i="7"/>
  <c r="E3962" i="7"/>
  <c r="E3963" i="7"/>
  <c r="E3964" i="7"/>
  <c r="E3965" i="7"/>
  <c r="E3966" i="7"/>
  <c r="E3967" i="7"/>
  <c r="E3968" i="7"/>
  <c r="E3969" i="7"/>
  <c r="E3970" i="7"/>
  <c r="E3971" i="7"/>
  <c r="E3972" i="7"/>
  <c r="E3973" i="7"/>
  <c r="E3974" i="7"/>
  <c r="E3975" i="7"/>
  <c r="E3976" i="7"/>
  <c r="E3977" i="7"/>
  <c r="E3978" i="7"/>
  <c r="E3979" i="7"/>
  <c r="E3980" i="7"/>
  <c r="E3981" i="7"/>
  <c r="E3982" i="7"/>
  <c r="E3983" i="7"/>
  <c r="E3984" i="7"/>
  <c r="E3985" i="7"/>
  <c r="E3986" i="7"/>
  <c r="E3987" i="7"/>
  <c r="E3988" i="7"/>
  <c r="E3989" i="7"/>
  <c r="E3990" i="7"/>
  <c r="E3991" i="7"/>
  <c r="E3992" i="7"/>
  <c r="E3993" i="7"/>
  <c r="E3994" i="7"/>
  <c r="E3995" i="7"/>
  <c r="E3996" i="7"/>
  <c r="E3997" i="7"/>
  <c r="E3998" i="7"/>
  <c r="E3999" i="7"/>
  <c r="E4000" i="7"/>
  <c r="E4001" i="7"/>
  <c r="E4002" i="7"/>
  <c r="E4003" i="7"/>
  <c r="E4004" i="7"/>
  <c r="E4005" i="7"/>
  <c r="E4006" i="7"/>
  <c r="E4007" i="7"/>
  <c r="E4008" i="7"/>
  <c r="E4009" i="7"/>
  <c r="E4010" i="7"/>
  <c r="E4011" i="7"/>
  <c r="E4012" i="7"/>
  <c r="E4013" i="7"/>
  <c r="E4014" i="7"/>
  <c r="E4015" i="7"/>
  <c r="E4016" i="7"/>
  <c r="E4017" i="7"/>
  <c r="E4018" i="7"/>
  <c r="E4019" i="7"/>
  <c r="E4020" i="7"/>
  <c r="E4021" i="7"/>
  <c r="E4022" i="7"/>
  <c r="E4023" i="7"/>
  <c r="E4024" i="7"/>
  <c r="E4025" i="7"/>
  <c r="E4026" i="7"/>
  <c r="E4027" i="7"/>
  <c r="E4028" i="7"/>
  <c r="E4029" i="7"/>
  <c r="E4030" i="7"/>
  <c r="E4031" i="7"/>
  <c r="E4032" i="7"/>
  <c r="E4033" i="7"/>
  <c r="E4034" i="7"/>
  <c r="E4035" i="7"/>
  <c r="E4036" i="7"/>
  <c r="E4037" i="7"/>
  <c r="E4038" i="7"/>
  <c r="E4039" i="7"/>
  <c r="E4040" i="7"/>
  <c r="E4041" i="7"/>
  <c r="E4042" i="7"/>
  <c r="E4043" i="7"/>
  <c r="E4044" i="7"/>
  <c r="E4045" i="7"/>
  <c r="E4046" i="7"/>
  <c r="E4047" i="7"/>
  <c r="E4048" i="7"/>
  <c r="E4049" i="7"/>
  <c r="E4050" i="7"/>
  <c r="E4051" i="7"/>
  <c r="E4052" i="7"/>
  <c r="E4053" i="7"/>
  <c r="E4054" i="7"/>
  <c r="E4055" i="7"/>
  <c r="E4056" i="7"/>
  <c r="E4057" i="7"/>
  <c r="E4058" i="7"/>
  <c r="E4059" i="7"/>
  <c r="E4060" i="7"/>
  <c r="E4061" i="7"/>
  <c r="E4062" i="7"/>
  <c r="E4063" i="7"/>
  <c r="E4064" i="7"/>
  <c r="E4065" i="7"/>
  <c r="E4066" i="7"/>
  <c r="E4067" i="7"/>
  <c r="E4068" i="7"/>
  <c r="E4069" i="7"/>
  <c r="E4070" i="7"/>
  <c r="E4071" i="7"/>
  <c r="E4072" i="7"/>
  <c r="E4073" i="7"/>
  <c r="E4074" i="7"/>
  <c r="E4075" i="7"/>
  <c r="E4076" i="7"/>
  <c r="E4077" i="7"/>
  <c r="E4078" i="7"/>
  <c r="E4079" i="7"/>
  <c r="E4080" i="7"/>
  <c r="E4081" i="7"/>
  <c r="E4082" i="7"/>
  <c r="E4083" i="7"/>
  <c r="E4084" i="7"/>
  <c r="E4085" i="7"/>
  <c r="E4086" i="7"/>
  <c r="E4087" i="7"/>
  <c r="E4088" i="7"/>
  <c r="E4089" i="7"/>
  <c r="E4090" i="7"/>
  <c r="E4091" i="7"/>
  <c r="E4092" i="7"/>
  <c r="E4093" i="7"/>
  <c r="E4094" i="7"/>
  <c r="E4095" i="7"/>
  <c r="E4096" i="7"/>
  <c r="E4097" i="7"/>
  <c r="E4098" i="7"/>
  <c r="E4099" i="7"/>
  <c r="E4100" i="7"/>
  <c r="E4101" i="7"/>
  <c r="E4102" i="7"/>
  <c r="E4103" i="7"/>
  <c r="E4104" i="7"/>
  <c r="E4105" i="7"/>
  <c r="E4106" i="7"/>
  <c r="E4107" i="7"/>
  <c r="E4108" i="7"/>
  <c r="E4109" i="7"/>
  <c r="E4110" i="7"/>
  <c r="E4111" i="7"/>
  <c r="E4112" i="7"/>
  <c r="E4113" i="7"/>
  <c r="E4114" i="7"/>
  <c r="E4115" i="7"/>
  <c r="E4116" i="7"/>
  <c r="E4117" i="7"/>
  <c r="E4118" i="7"/>
  <c r="E4119" i="7"/>
  <c r="E4120" i="7"/>
  <c r="E4121" i="7"/>
  <c r="E4122" i="7"/>
  <c r="E4123" i="7"/>
  <c r="E4124" i="7"/>
  <c r="E4125" i="7"/>
  <c r="E4126" i="7"/>
  <c r="E4127" i="7"/>
  <c r="E4128" i="7"/>
  <c r="E4129" i="7"/>
  <c r="E4130" i="7"/>
  <c r="E4131" i="7"/>
  <c r="E4132" i="7"/>
  <c r="E4133" i="7"/>
  <c r="E4134" i="7"/>
  <c r="E4135" i="7"/>
  <c r="E4136" i="7"/>
  <c r="E4137" i="7"/>
  <c r="E4138" i="7"/>
  <c r="E4139" i="7"/>
  <c r="E4140" i="7"/>
  <c r="E4141" i="7"/>
  <c r="E4142" i="7"/>
  <c r="E4143" i="7"/>
  <c r="E4144" i="7"/>
  <c r="E4145" i="7"/>
  <c r="E4146" i="7"/>
  <c r="E4147" i="7"/>
  <c r="E4148" i="7"/>
  <c r="E4149" i="7"/>
  <c r="E4150" i="7"/>
  <c r="E4151" i="7"/>
  <c r="E4152" i="7"/>
  <c r="E4153" i="7"/>
  <c r="E4154" i="7"/>
  <c r="E4155" i="7"/>
  <c r="E4156" i="7"/>
  <c r="E4157" i="7"/>
  <c r="E4158" i="7"/>
  <c r="E4159" i="7"/>
  <c r="E4160" i="7"/>
  <c r="E4161" i="7"/>
  <c r="E4162" i="7"/>
  <c r="E4163" i="7"/>
  <c r="E4164" i="7"/>
  <c r="E4165" i="7"/>
  <c r="E4166" i="7"/>
  <c r="E4167" i="7"/>
  <c r="E4168" i="7"/>
  <c r="E4169" i="7"/>
  <c r="E4170" i="7"/>
  <c r="E4171" i="7"/>
  <c r="E4172" i="7"/>
  <c r="E4173" i="7"/>
  <c r="E4174" i="7"/>
  <c r="E4175" i="7"/>
  <c r="E4176" i="7"/>
  <c r="E4177" i="7"/>
  <c r="E4178" i="7"/>
  <c r="E4179" i="7"/>
  <c r="E4180" i="7"/>
  <c r="E4181" i="7"/>
  <c r="E4182" i="7"/>
  <c r="E4183" i="7"/>
  <c r="E4184" i="7"/>
  <c r="E4185" i="7"/>
  <c r="E4186" i="7"/>
  <c r="E4187" i="7"/>
  <c r="E4188" i="7"/>
  <c r="E4189" i="7"/>
  <c r="E4190" i="7"/>
  <c r="E4191" i="7"/>
  <c r="E4192" i="7"/>
  <c r="E4193" i="7"/>
  <c r="E4194" i="7"/>
  <c r="E4195" i="7"/>
  <c r="E4196" i="7"/>
  <c r="E4197" i="7"/>
  <c r="E4198" i="7"/>
  <c r="E4199" i="7"/>
  <c r="E4200" i="7"/>
  <c r="E4201" i="7"/>
  <c r="E4202" i="7"/>
  <c r="E4203" i="7"/>
  <c r="E4204" i="7"/>
  <c r="E4205" i="7"/>
  <c r="E4206" i="7"/>
  <c r="E4207" i="7"/>
  <c r="E4208" i="7"/>
  <c r="E4209" i="7"/>
  <c r="E4210" i="7"/>
  <c r="E4211" i="7"/>
  <c r="E4212" i="7"/>
  <c r="E4213" i="7"/>
  <c r="E4214" i="7"/>
  <c r="E4215" i="7"/>
  <c r="E4216" i="7"/>
  <c r="E4217" i="7"/>
  <c r="E4218" i="7"/>
  <c r="E4219" i="7"/>
  <c r="E4220" i="7"/>
  <c r="E4221" i="7"/>
  <c r="E4222" i="7"/>
  <c r="E4223" i="7"/>
  <c r="E4224" i="7"/>
  <c r="E4225" i="7"/>
  <c r="E4226" i="7"/>
  <c r="E4227" i="7"/>
  <c r="E4228" i="7"/>
  <c r="E4229" i="7"/>
  <c r="E4230" i="7"/>
  <c r="E4231" i="7"/>
  <c r="E4232" i="7"/>
  <c r="E4233" i="7"/>
  <c r="E4234" i="7"/>
  <c r="E4235" i="7"/>
  <c r="E4236" i="7"/>
  <c r="E4237" i="7"/>
  <c r="E4238" i="7"/>
  <c r="E4239" i="7"/>
  <c r="E4240" i="7"/>
  <c r="E4241" i="7"/>
  <c r="E4242" i="7"/>
  <c r="E4243" i="7"/>
  <c r="E4244" i="7"/>
  <c r="E4245" i="7"/>
  <c r="E4246" i="7"/>
  <c r="E4247" i="7"/>
  <c r="E4248" i="7"/>
  <c r="E4249" i="7"/>
  <c r="E4250" i="7"/>
  <c r="E4251" i="7"/>
  <c r="E4252" i="7"/>
  <c r="E4253" i="7"/>
  <c r="E4254" i="7"/>
  <c r="E4255" i="7"/>
  <c r="E4256" i="7"/>
  <c r="E4257" i="7"/>
  <c r="E4258" i="7"/>
  <c r="E4259" i="7"/>
  <c r="E4260" i="7"/>
  <c r="E4261" i="7"/>
  <c r="E4262" i="7"/>
  <c r="E4263" i="7"/>
  <c r="E4264" i="7"/>
  <c r="E4265" i="7"/>
  <c r="E4266" i="7"/>
  <c r="E4267" i="7"/>
  <c r="E4268" i="7"/>
  <c r="E4269" i="7"/>
  <c r="E4270" i="7"/>
  <c r="E4271" i="7"/>
  <c r="E4272" i="7"/>
  <c r="E4273" i="7"/>
  <c r="E4274" i="7"/>
  <c r="E4275" i="7"/>
  <c r="E4276" i="7"/>
  <c r="E4277" i="7"/>
  <c r="E4278" i="7"/>
  <c r="E4279" i="7"/>
  <c r="E4280" i="7"/>
  <c r="E4281" i="7"/>
  <c r="E4282" i="7"/>
  <c r="E4283" i="7"/>
  <c r="E4284" i="7"/>
  <c r="E4285" i="7"/>
  <c r="E4286" i="7"/>
  <c r="E4287" i="7"/>
  <c r="E4288" i="7"/>
  <c r="E4289" i="7"/>
  <c r="E4290" i="7"/>
  <c r="E4291" i="7"/>
  <c r="E4292" i="7"/>
  <c r="E4293" i="7"/>
  <c r="E4294" i="7"/>
  <c r="E4295" i="7"/>
  <c r="E4296" i="7"/>
  <c r="E4297" i="7"/>
  <c r="E4298" i="7"/>
  <c r="E4299" i="7"/>
  <c r="E4300" i="7"/>
  <c r="E4301" i="7"/>
  <c r="E4302" i="7"/>
  <c r="E4303" i="7"/>
  <c r="E4304" i="7"/>
  <c r="E4305" i="7"/>
  <c r="E4306" i="7"/>
  <c r="E4307" i="7"/>
  <c r="E4308" i="7"/>
  <c r="E4309" i="7"/>
  <c r="E4310" i="7"/>
  <c r="E4311" i="7"/>
  <c r="E4312" i="7"/>
  <c r="E4313" i="7"/>
  <c r="E4314" i="7"/>
  <c r="E4315" i="7"/>
  <c r="E4316" i="7"/>
  <c r="E4317" i="7"/>
  <c r="E4318" i="7"/>
  <c r="E4319" i="7"/>
  <c r="E4320" i="7"/>
  <c r="E4321" i="7"/>
  <c r="E4322" i="7"/>
  <c r="E4323" i="7"/>
  <c r="E4324" i="7"/>
  <c r="E4325" i="7"/>
  <c r="E4326" i="7"/>
  <c r="E4327" i="7"/>
  <c r="E4328" i="7"/>
  <c r="E4329" i="7"/>
  <c r="E4330" i="7"/>
  <c r="E4331" i="7"/>
  <c r="E4332" i="7"/>
  <c r="E4333" i="7"/>
  <c r="E4334" i="7"/>
  <c r="E4335" i="7"/>
  <c r="E4336" i="7"/>
  <c r="E4337" i="7"/>
  <c r="E4338" i="7"/>
  <c r="E4339" i="7"/>
  <c r="E4340" i="7"/>
  <c r="E4341" i="7"/>
  <c r="E4342" i="7"/>
  <c r="E4343" i="7"/>
  <c r="E4344" i="7"/>
  <c r="E4345" i="7"/>
  <c r="E4346" i="7"/>
  <c r="E4347" i="7"/>
  <c r="E4348" i="7"/>
  <c r="E4349" i="7"/>
  <c r="E4350" i="7"/>
  <c r="E4351" i="7"/>
  <c r="E4352" i="7"/>
  <c r="E4353" i="7"/>
  <c r="E4354" i="7"/>
  <c r="E4355" i="7"/>
  <c r="E4356" i="7"/>
  <c r="E4357" i="7"/>
  <c r="E4358" i="7"/>
  <c r="E4359" i="7"/>
  <c r="E4360" i="7"/>
  <c r="E4361" i="7"/>
  <c r="E4362" i="7"/>
  <c r="E4363" i="7"/>
  <c r="E4364" i="7"/>
  <c r="E4365" i="7"/>
  <c r="E4366" i="7"/>
  <c r="E4367" i="7"/>
  <c r="E4368" i="7"/>
  <c r="E4369" i="7"/>
  <c r="E4370" i="7"/>
  <c r="E4371" i="7"/>
  <c r="E4372" i="7"/>
  <c r="E4373" i="7"/>
  <c r="E4374" i="7"/>
  <c r="E4375" i="7"/>
  <c r="E4376" i="7"/>
  <c r="E4377" i="7"/>
  <c r="E4378" i="7"/>
  <c r="E4379" i="7"/>
  <c r="E4380" i="7"/>
  <c r="E4381" i="7"/>
  <c r="E4382" i="7"/>
  <c r="E4383" i="7"/>
  <c r="E4384" i="7"/>
  <c r="E4385" i="7"/>
  <c r="E4386" i="7"/>
  <c r="E4387" i="7"/>
  <c r="E4388" i="7"/>
  <c r="E4389" i="7"/>
  <c r="E4390" i="7"/>
  <c r="E4391" i="7"/>
  <c r="E4392" i="7"/>
  <c r="E4393" i="7"/>
  <c r="E4394" i="7"/>
  <c r="E4395" i="7"/>
  <c r="E4396" i="7"/>
  <c r="E4397" i="7"/>
  <c r="E4398" i="7"/>
  <c r="E4399" i="7"/>
  <c r="E4400" i="7"/>
  <c r="E4401" i="7"/>
  <c r="E4402" i="7"/>
  <c r="E4403" i="7"/>
  <c r="E4404" i="7"/>
  <c r="E4405" i="7"/>
  <c r="E4406" i="7"/>
  <c r="E4407" i="7"/>
  <c r="E4408" i="7"/>
  <c r="E4409" i="7"/>
  <c r="E4410" i="7"/>
  <c r="E4411" i="7"/>
  <c r="E4412" i="7"/>
  <c r="E4413" i="7"/>
  <c r="E4414" i="7"/>
  <c r="E4415" i="7"/>
  <c r="E4416" i="7"/>
  <c r="E4417" i="7"/>
  <c r="E4418" i="7"/>
  <c r="E4419" i="7"/>
  <c r="E4420" i="7"/>
  <c r="E4421" i="7"/>
  <c r="E4422" i="7"/>
  <c r="E4423" i="7"/>
  <c r="E4424" i="7"/>
  <c r="E4425" i="7"/>
  <c r="E4426" i="7"/>
  <c r="E4427" i="7"/>
  <c r="E4428" i="7"/>
  <c r="E4429" i="7"/>
  <c r="E4430" i="7"/>
  <c r="E4431" i="7"/>
  <c r="E4432" i="7"/>
  <c r="E4433" i="7"/>
  <c r="E4434" i="7"/>
  <c r="E4435" i="7"/>
  <c r="E4436" i="7"/>
  <c r="E4437" i="7"/>
  <c r="E4438" i="7"/>
  <c r="E4439" i="7"/>
  <c r="E4440" i="7"/>
  <c r="E4441" i="7"/>
  <c r="E4442" i="7"/>
  <c r="E4443" i="7"/>
  <c r="E4444" i="7"/>
  <c r="E4445" i="7"/>
  <c r="E4446" i="7"/>
  <c r="E4447" i="7"/>
  <c r="E4448" i="7"/>
  <c r="E4449" i="7"/>
  <c r="E4450" i="7"/>
  <c r="E4451" i="7"/>
  <c r="E4452" i="7"/>
  <c r="E4453" i="7"/>
  <c r="E4454" i="7"/>
  <c r="E4455" i="7"/>
  <c r="E4456" i="7"/>
  <c r="E4457" i="7"/>
  <c r="E4458" i="7"/>
  <c r="E4459" i="7"/>
  <c r="E4460" i="7"/>
  <c r="E4461" i="7"/>
  <c r="E4462" i="7"/>
  <c r="E4463" i="7"/>
  <c r="E4464" i="7"/>
  <c r="E4465" i="7"/>
  <c r="E4466" i="7"/>
  <c r="E4467" i="7"/>
  <c r="E4468" i="7"/>
  <c r="E4469" i="7"/>
  <c r="E4470" i="7"/>
  <c r="E4471" i="7"/>
  <c r="E4472" i="7"/>
  <c r="E4473" i="7"/>
  <c r="E4474" i="7"/>
  <c r="E4475" i="7"/>
  <c r="E4476" i="7"/>
  <c r="E4477" i="7"/>
  <c r="E4478" i="7"/>
  <c r="E4479" i="7"/>
  <c r="E4480" i="7"/>
  <c r="E4481" i="7"/>
  <c r="E4482" i="7"/>
  <c r="E4483" i="7"/>
  <c r="E4484" i="7"/>
  <c r="E4485" i="7"/>
  <c r="E4486" i="7"/>
  <c r="E4487" i="7"/>
  <c r="E4488" i="7"/>
  <c r="E4489" i="7"/>
  <c r="E4490" i="7"/>
  <c r="E4491" i="7"/>
  <c r="E4492" i="7"/>
  <c r="E4493" i="7"/>
  <c r="E4494" i="7"/>
  <c r="E4495" i="7"/>
  <c r="E4496" i="7"/>
  <c r="E4497" i="7"/>
  <c r="E4498" i="7"/>
  <c r="E4499" i="7"/>
  <c r="E4500" i="7"/>
  <c r="E4501" i="7"/>
  <c r="E4502" i="7"/>
  <c r="E4503" i="7"/>
  <c r="E4504" i="7"/>
  <c r="E4505" i="7"/>
  <c r="E4506" i="7"/>
  <c r="E4507" i="7"/>
  <c r="E4508" i="7"/>
  <c r="E4509" i="7"/>
  <c r="E4510" i="7"/>
  <c r="E4511" i="7"/>
  <c r="E4512" i="7"/>
  <c r="E4513" i="7"/>
  <c r="E4514" i="7"/>
  <c r="E4515" i="7"/>
  <c r="E4516" i="7"/>
  <c r="E4517" i="7"/>
  <c r="E4518" i="7"/>
  <c r="E4519" i="7"/>
  <c r="E4520" i="7"/>
  <c r="E4521" i="7"/>
  <c r="E4522" i="7"/>
  <c r="E4523" i="7"/>
  <c r="E4524" i="7"/>
  <c r="E4525" i="7"/>
  <c r="E4526" i="7"/>
  <c r="E4527" i="7"/>
  <c r="E4528" i="7"/>
  <c r="E4529" i="7"/>
  <c r="E4530" i="7"/>
  <c r="E4531" i="7"/>
  <c r="E4532" i="7"/>
  <c r="E4533" i="7"/>
  <c r="E4534" i="7"/>
  <c r="E4535" i="7"/>
  <c r="E4536" i="7"/>
  <c r="E4537" i="7"/>
  <c r="E4538" i="7"/>
  <c r="E4539" i="7"/>
  <c r="E4540" i="7"/>
  <c r="E4541" i="7"/>
  <c r="E4542" i="7"/>
  <c r="E4543" i="7"/>
  <c r="E4544" i="7"/>
  <c r="E4545" i="7"/>
  <c r="E4546" i="7"/>
  <c r="E4547" i="7"/>
  <c r="E4548" i="7"/>
  <c r="E4549" i="7"/>
  <c r="E4550" i="7"/>
  <c r="E4551" i="7"/>
  <c r="E4552" i="7"/>
  <c r="E4553" i="7"/>
  <c r="E4554" i="7"/>
  <c r="E4555" i="7"/>
  <c r="E4556" i="7"/>
  <c r="E4557" i="7"/>
  <c r="E4558" i="7"/>
  <c r="E4559" i="7"/>
  <c r="E4560" i="7"/>
  <c r="E4561" i="7"/>
  <c r="E4562" i="7"/>
  <c r="E4563" i="7"/>
  <c r="E4564" i="7"/>
  <c r="E4565" i="7"/>
  <c r="E4566" i="7"/>
  <c r="E4567" i="7"/>
  <c r="E4568" i="7"/>
  <c r="E4569" i="7"/>
  <c r="E4570" i="7"/>
  <c r="E4571" i="7"/>
  <c r="E4572" i="7"/>
  <c r="E4573" i="7"/>
  <c r="E4574" i="7"/>
  <c r="E4575" i="7"/>
  <c r="E4576" i="7"/>
  <c r="E4577" i="7"/>
  <c r="E4578" i="7"/>
  <c r="E4579" i="7"/>
  <c r="E4580" i="7"/>
  <c r="E4581" i="7"/>
  <c r="E4582" i="7"/>
  <c r="E4583" i="7"/>
  <c r="E4584" i="7"/>
  <c r="E4585" i="7"/>
  <c r="E4586" i="7"/>
  <c r="E4587" i="7"/>
  <c r="E4588" i="7"/>
  <c r="E4589" i="7"/>
  <c r="E4590" i="7"/>
  <c r="E4591" i="7"/>
  <c r="E4592" i="7"/>
  <c r="E4593" i="7"/>
  <c r="E4594" i="7"/>
  <c r="E4595" i="7"/>
  <c r="E4596" i="7"/>
  <c r="E4597" i="7"/>
  <c r="E4598" i="7"/>
  <c r="E4599" i="7"/>
  <c r="E4600" i="7"/>
  <c r="E4601" i="7"/>
  <c r="E4602" i="7"/>
  <c r="E4603" i="7"/>
  <c r="E4604" i="7"/>
  <c r="E4605" i="7"/>
  <c r="E4606" i="7"/>
  <c r="E4607" i="7"/>
  <c r="E4608" i="7"/>
  <c r="E4609" i="7"/>
  <c r="E4610" i="7"/>
  <c r="E4611" i="7"/>
  <c r="E4612" i="7"/>
  <c r="E4613" i="7"/>
  <c r="E4614" i="7"/>
  <c r="E4615" i="7"/>
  <c r="E4616" i="7"/>
  <c r="E4617" i="7"/>
  <c r="E4618" i="7"/>
  <c r="E4619" i="7"/>
  <c r="E4620" i="7"/>
  <c r="E4621" i="7"/>
  <c r="E4622" i="7"/>
  <c r="E4623" i="7"/>
  <c r="E4624" i="7"/>
  <c r="E4625" i="7"/>
  <c r="E4626" i="7"/>
  <c r="E4627" i="7"/>
  <c r="E4628" i="7"/>
  <c r="E4629" i="7"/>
  <c r="E4630" i="7"/>
  <c r="E4631" i="7"/>
  <c r="E4632" i="7"/>
  <c r="E4633" i="7"/>
  <c r="E4634" i="7"/>
  <c r="E4635" i="7"/>
  <c r="E4636" i="7"/>
  <c r="E4637" i="7"/>
  <c r="E4638" i="7"/>
  <c r="E4639" i="7"/>
  <c r="E4640" i="7"/>
  <c r="E4641" i="7"/>
  <c r="E4642" i="7"/>
  <c r="E4643" i="7"/>
  <c r="E4644" i="7"/>
  <c r="E4645" i="7"/>
  <c r="E4646" i="7"/>
  <c r="E4647" i="7"/>
  <c r="E4648" i="7"/>
  <c r="E4649" i="7"/>
  <c r="E4650" i="7"/>
  <c r="E4651" i="7"/>
  <c r="E4652" i="7"/>
  <c r="E4653" i="7"/>
  <c r="E4654" i="7"/>
  <c r="E4655" i="7"/>
  <c r="E4656" i="7"/>
  <c r="E4657" i="7"/>
  <c r="E4658" i="7"/>
  <c r="E4659" i="7"/>
  <c r="E4660" i="7"/>
  <c r="E4661" i="7"/>
  <c r="E4662" i="7"/>
  <c r="E4663" i="7"/>
  <c r="E4664" i="7"/>
  <c r="E4665" i="7"/>
  <c r="E4666" i="7"/>
  <c r="E4667" i="7"/>
  <c r="E4668" i="7"/>
  <c r="E4669" i="7"/>
  <c r="E4670" i="7"/>
  <c r="E4671" i="7"/>
  <c r="E4672" i="7"/>
  <c r="E4673" i="7"/>
  <c r="E4674" i="7"/>
  <c r="E4675" i="7"/>
  <c r="E4676" i="7"/>
  <c r="E4677" i="7"/>
  <c r="E4678" i="7"/>
  <c r="E4679" i="7"/>
  <c r="E4680" i="7"/>
  <c r="E4681" i="7"/>
  <c r="E4682" i="7"/>
  <c r="E4683" i="7"/>
  <c r="E4684" i="7"/>
  <c r="E4685" i="7"/>
  <c r="E4686" i="7"/>
  <c r="E4687" i="7"/>
  <c r="E4688" i="7"/>
  <c r="E4689" i="7"/>
  <c r="E4690" i="7"/>
  <c r="E4691" i="7"/>
  <c r="E4692" i="7"/>
  <c r="E4693" i="7"/>
  <c r="E4694" i="7"/>
  <c r="E4695" i="7"/>
  <c r="E4696" i="7"/>
  <c r="E4697" i="7"/>
  <c r="E4698" i="7"/>
  <c r="E4699" i="7"/>
  <c r="E4700" i="7"/>
  <c r="E4701" i="7"/>
  <c r="E4702" i="7"/>
  <c r="E4703" i="7"/>
  <c r="E4704" i="7"/>
  <c r="E4705" i="7"/>
  <c r="E4706" i="7"/>
  <c r="E4707" i="7"/>
  <c r="E4708" i="7"/>
  <c r="E4709" i="7"/>
  <c r="E4710" i="7"/>
  <c r="E4711" i="7"/>
  <c r="E4712" i="7"/>
  <c r="E4713" i="7"/>
  <c r="E4714" i="7"/>
  <c r="E4715" i="7"/>
  <c r="E4716" i="7"/>
  <c r="E4717" i="7"/>
  <c r="E4718" i="7"/>
  <c r="E4719" i="7"/>
  <c r="E4720" i="7"/>
  <c r="E4721" i="7"/>
  <c r="E4722" i="7"/>
  <c r="E4723" i="7"/>
  <c r="E4724" i="7"/>
  <c r="E4725" i="7"/>
  <c r="E4726" i="7"/>
  <c r="E4727" i="7"/>
  <c r="E4728" i="7"/>
  <c r="E4729" i="7"/>
  <c r="E4730" i="7"/>
  <c r="E4731" i="7"/>
  <c r="E4732" i="7"/>
  <c r="E4733" i="7"/>
  <c r="E4734" i="7"/>
  <c r="E4735" i="7"/>
  <c r="E4736" i="7"/>
  <c r="E4737" i="7"/>
  <c r="E4738" i="7"/>
  <c r="E4739" i="7"/>
  <c r="E4740" i="7"/>
  <c r="E4741" i="7"/>
  <c r="E4742" i="7"/>
  <c r="E4743" i="7"/>
  <c r="E4744" i="7"/>
  <c r="E4745" i="7"/>
  <c r="E4746" i="7"/>
  <c r="E4747" i="7"/>
  <c r="E4748" i="7"/>
  <c r="E4749" i="7"/>
  <c r="E4750" i="7"/>
  <c r="E4751" i="7"/>
  <c r="E4752" i="7"/>
  <c r="E4753" i="7"/>
  <c r="E4754" i="7"/>
  <c r="E4755" i="7"/>
  <c r="E4756" i="7"/>
  <c r="E4757" i="7"/>
  <c r="E4758" i="7"/>
  <c r="E4759" i="7"/>
  <c r="E4760" i="7"/>
  <c r="E4761" i="7"/>
  <c r="E4762" i="7"/>
  <c r="E4763" i="7"/>
  <c r="E4764" i="7"/>
  <c r="E4765" i="7"/>
  <c r="E4766" i="7"/>
  <c r="E4767" i="7"/>
  <c r="E4768" i="7"/>
  <c r="E4769" i="7"/>
  <c r="E4770" i="7"/>
  <c r="E4771" i="7"/>
  <c r="E4772" i="7"/>
  <c r="E4773" i="7"/>
  <c r="E4774" i="7"/>
  <c r="E4775" i="7"/>
  <c r="E4776" i="7"/>
  <c r="E4777" i="7"/>
  <c r="E4778" i="7"/>
  <c r="E4779" i="7"/>
  <c r="E4780" i="7"/>
  <c r="E4781" i="7"/>
  <c r="E4782" i="7"/>
  <c r="E4783" i="7"/>
  <c r="E4784" i="7"/>
  <c r="E4785" i="7"/>
  <c r="E4786" i="7"/>
  <c r="E4787" i="7"/>
  <c r="E4788" i="7"/>
  <c r="E4789" i="7"/>
  <c r="E4790" i="7"/>
  <c r="E4791" i="7"/>
  <c r="E4792" i="7"/>
  <c r="E4793" i="7"/>
  <c r="E4794" i="7"/>
  <c r="E4795" i="7"/>
  <c r="E4796" i="7"/>
  <c r="E4797" i="7"/>
  <c r="E4798" i="7"/>
  <c r="E4799" i="7"/>
  <c r="E4800" i="7"/>
  <c r="E4801" i="7"/>
  <c r="E4802" i="7"/>
  <c r="E4803" i="7"/>
  <c r="E4804" i="7"/>
  <c r="E4805" i="7"/>
  <c r="E4806" i="7"/>
  <c r="E4807" i="7"/>
  <c r="E4808" i="7"/>
  <c r="E4809" i="7"/>
  <c r="E4810" i="7"/>
  <c r="E4811" i="7"/>
  <c r="E4812" i="7"/>
  <c r="E4813" i="7"/>
  <c r="E4814" i="7"/>
  <c r="E4815" i="7"/>
  <c r="E4816" i="7"/>
  <c r="E4817" i="7"/>
  <c r="E4818" i="7"/>
  <c r="E4819" i="7"/>
  <c r="E4820" i="7"/>
  <c r="E4821" i="7"/>
  <c r="E4822" i="7"/>
  <c r="E4823" i="7"/>
  <c r="E4824" i="7"/>
  <c r="E4825" i="7"/>
  <c r="E4826" i="7"/>
  <c r="E4827" i="7"/>
  <c r="E4828" i="7"/>
  <c r="E4829" i="7"/>
  <c r="E4830" i="7"/>
  <c r="E4831" i="7"/>
  <c r="E4832" i="7"/>
  <c r="E4833" i="7"/>
  <c r="E4834" i="7"/>
  <c r="E4835" i="7"/>
  <c r="E4836" i="7"/>
  <c r="E4837" i="7"/>
  <c r="E4838" i="7"/>
  <c r="E4839" i="7"/>
  <c r="E4840" i="7"/>
  <c r="E4841" i="7"/>
  <c r="E4842" i="7"/>
  <c r="E4843" i="7"/>
  <c r="E4844" i="7"/>
  <c r="E4845" i="7"/>
  <c r="E4846" i="7"/>
  <c r="E4847" i="7"/>
  <c r="E4848" i="7"/>
  <c r="E4849" i="7"/>
  <c r="E4850" i="7"/>
  <c r="E4851" i="7"/>
  <c r="E4852" i="7"/>
  <c r="E4853" i="7"/>
  <c r="E4854" i="7"/>
  <c r="E4855" i="7"/>
  <c r="E4856" i="7"/>
  <c r="E4857" i="7"/>
  <c r="E4858" i="7"/>
  <c r="E4859" i="7"/>
  <c r="E4860" i="7"/>
  <c r="E4861" i="7"/>
  <c r="E4862" i="7"/>
  <c r="E4863" i="7"/>
  <c r="E4864" i="7"/>
  <c r="E4865" i="7"/>
  <c r="E4866" i="7"/>
  <c r="E4867" i="7"/>
  <c r="E4868" i="7"/>
  <c r="E4869" i="7"/>
  <c r="E4870" i="7"/>
  <c r="E4871" i="7"/>
  <c r="E4872" i="7"/>
  <c r="E4873" i="7"/>
  <c r="E4874" i="7"/>
  <c r="E4875" i="7"/>
  <c r="E4876" i="7"/>
  <c r="E4877" i="7"/>
  <c r="E4878" i="7"/>
  <c r="E4879" i="7"/>
  <c r="E4880" i="7"/>
  <c r="E4881" i="7"/>
  <c r="E4882" i="7"/>
  <c r="E4883" i="7"/>
  <c r="E4884" i="7"/>
  <c r="E4885" i="7"/>
  <c r="E4886" i="7"/>
  <c r="E4887" i="7"/>
  <c r="E4888" i="7"/>
  <c r="E4889" i="7"/>
  <c r="E4890" i="7"/>
  <c r="E4891" i="7"/>
  <c r="E4892" i="7"/>
  <c r="E4893" i="7"/>
  <c r="E4894" i="7"/>
  <c r="E4895" i="7"/>
  <c r="E4896" i="7"/>
  <c r="E4897" i="7"/>
  <c r="E4898" i="7"/>
  <c r="E4899" i="7"/>
  <c r="E4900" i="7"/>
  <c r="E4901" i="7"/>
  <c r="E4902" i="7"/>
  <c r="E4903" i="7"/>
  <c r="E4904" i="7"/>
  <c r="E4905" i="7"/>
  <c r="E4906" i="7"/>
  <c r="E4907" i="7"/>
  <c r="E4908" i="7"/>
  <c r="E4909" i="7"/>
  <c r="E4910" i="7"/>
  <c r="E4911" i="7"/>
  <c r="E4912" i="7"/>
  <c r="E4913" i="7"/>
  <c r="E4914" i="7"/>
  <c r="E4915" i="7"/>
  <c r="E4916" i="7"/>
  <c r="E4917" i="7"/>
  <c r="E4918" i="7"/>
  <c r="E4919" i="7"/>
  <c r="E4920" i="7"/>
  <c r="E4921" i="7"/>
  <c r="E4922" i="7"/>
  <c r="E4923" i="7"/>
  <c r="E4924" i="7"/>
  <c r="E4925" i="7"/>
  <c r="E4926" i="7"/>
  <c r="E4927" i="7"/>
  <c r="E4928" i="7"/>
  <c r="E4929" i="7"/>
  <c r="E4930" i="7"/>
  <c r="E4931" i="7"/>
  <c r="E4932" i="7"/>
  <c r="E4933" i="7"/>
  <c r="E4934" i="7"/>
  <c r="E4935" i="7"/>
  <c r="E4936" i="7"/>
  <c r="E4937" i="7"/>
  <c r="E4938" i="7"/>
  <c r="E4939" i="7"/>
  <c r="E4940" i="7"/>
  <c r="E4941" i="7"/>
  <c r="E4942" i="7"/>
  <c r="E4943" i="7"/>
  <c r="E4944" i="7"/>
  <c r="E4945" i="7"/>
  <c r="E4946" i="7"/>
  <c r="E4947" i="7"/>
  <c r="E4948" i="7"/>
  <c r="E4949" i="7"/>
  <c r="E4950" i="7"/>
  <c r="E4951" i="7"/>
  <c r="E4952" i="7"/>
  <c r="E4953" i="7"/>
  <c r="E4954" i="7"/>
  <c r="E4955" i="7"/>
  <c r="E4956" i="7"/>
  <c r="E4957" i="7"/>
  <c r="E4958" i="7"/>
  <c r="E4959" i="7"/>
  <c r="E4960" i="7"/>
  <c r="E4961" i="7"/>
  <c r="E4962" i="7"/>
  <c r="E4963" i="7"/>
  <c r="E4964" i="7"/>
  <c r="E4965" i="7"/>
  <c r="E4966" i="7"/>
  <c r="E4967" i="7"/>
  <c r="E4968" i="7"/>
  <c r="E4969" i="7"/>
  <c r="E4970" i="7"/>
  <c r="E4971" i="7"/>
  <c r="E4972" i="7"/>
  <c r="E4973" i="7"/>
  <c r="E4974" i="7"/>
  <c r="E4975" i="7"/>
  <c r="E4976" i="7"/>
  <c r="E4977" i="7"/>
  <c r="E4978" i="7"/>
  <c r="E4979" i="7"/>
  <c r="E4980" i="7"/>
  <c r="E4981" i="7"/>
  <c r="E4982" i="7"/>
  <c r="E4983" i="7"/>
  <c r="E4984" i="7"/>
  <c r="E4985" i="7"/>
  <c r="E4986" i="7"/>
  <c r="E4987" i="7"/>
  <c r="E4988" i="7"/>
  <c r="E4989" i="7"/>
  <c r="E4990" i="7"/>
  <c r="E4991" i="7"/>
  <c r="E4992" i="7"/>
  <c r="E4993" i="7"/>
  <c r="E4994" i="7"/>
  <c r="E4995" i="7"/>
  <c r="E4996" i="7"/>
  <c r="E4997" i="7"/>
  <c r="E4998" i="7"/>
  <c r="E4999" i="7"/>
  <c r="E5000" i="7"/>
  <c r="E5001" i="7"/>
  <c r="E5002" i="7"/>
  <c r="E5003" i="7"/>
  <c r="E5004" i="7"/>
  <c r="E5005" i="7"/>
  <c r="E5006" i="7"/>
  <c r="E5007" i="7"/>
  <c r="E5008" i="7"/>
  <c r="E5009" i="7"/>
  <c r="E5010" i="7"/>
  <c r="E5011" i="7"/>
  <c r="E5012" i="7"/>
  <c r="E5013" i="7"/>
  <c r="E5014" i="7"/>
  <c r="E5015" i="7"/>
  <c r="E5016" i="7"/>
  <c r="E5017" i="7"/>
  <c r="E5018" i="7"/>
  <c r="E5019" i="7"/>
  <c r="E5020" i="7"/>
  <c r="E5021" i="7"/>
  <c r="E5024" i="7"/>
  <c r="E5025" i="7"/>
  <c r="E5026" i="7"/>
  <c r="E5027" i="7"/>
  <c r="E5028" i="7"/>
  <c r="E5029" i="7"/>
  <c r="E5030" i="7"/>
  <c r="E5031" i="7"/>
  <c r="E5032" i="7"/>
  <c r="E5033" i="7"/>
  <c r="E5034" i="7"/>
  <c r="E5035" i="7"/>
  <c r="E5036" i="7"/>
  <c r="E5037" i="7"/>
  <c r="E5038" i="7"/>
  <c r="E5039" i="7"/>
  <c r="E5040" i="7"/>
  <c r="E5041" i="7"/>
  <c r="E5042" i="7"/>
  <c r="E5043" i="7"/>
  <c r="E5044" i="7"/>
  <c r="E5045" i="7"/>
  <c r="E5046" i="7"/>
  <c r="E5047" i="7"/>
  <c r="E5048" i="7"/>
  <c r="E5049" i="7"/>
  <c r="E5050" i="7"/>
  <c r="E5051" i="7"/>
  <c r="E5052" i="7"/>
  <c r="E5053" i="7"/>
  <c r="E5054" i="7"/>
  <c r="E5055" i="7"/>
  <c r="E5056" i="7"/>
  <c r="E5057" i="7"/>
  <c r="E5058" i="7"/>
  <c r="E5059" i="7"/>
  <c r="E5060" i="7"/>
  <c r="E5061" i="7"/>
  <c r="E5062" i="7"/>
  <c r="E5063" i="7"/>
  <c r="E5064" i="7"/>
  <c r="E5065" i="7"/>
  <c r="E5066" i="7"/>
  <c r="E5067" i="7"/>
  <c r="E5068" i="7"/>
  <c r="E5069" i="7"/>
  <c r="E5070" i="7"/>
  <c r="E5071" i="7"/>
  <c r="E5072" i="7"/>
  <c r="E5073" i="7"/>
  <c r="E5074" i="7"/>
  <c r="E5075" i="7"/>
  <c r="E5076" i="7"/>
  <c r="E5077" i="7"/>
  <c r="E5078" i="7"/>
  <c r="E5079" i="7"/>
  <c r="E5080" i="7"/>
  <c r="E5081" i="7"/>
  <c r="E5082" i="7"/>
  <c r="E5083" i="7"/>
  <c r="E5084" i="7"/>
  <c r="E5085" i="7"/>
  <c r="E5086" i="7"/>
  <c r="E5087" i="7"/>
  <c r="E5088" i="7"/>
  <c r="E5089" i="7"/>
  <c r="E5090" i="7"/>
  <c r="E5091" i="7"/>
  <c r="E5092" i="7"/>
  <c r="E5093" i="7"/>
  <c r="E5094" i="7"/>
  <c r="E5095" i="7"/>
  <c r="E5096" i="7"/>
  <c r="E5097" i="7"/>
  <c r="E5098" i="7"/>
  <c r="E5099" i="7"/>
  <c r="E5100" i="7"/>
  <c r="E5101" i="7"/>
  <c r="E5102" i="7"/>
  <c r="E5103" i="7"/>
  <c r="E5104" i="7"/>
  <c r="E5105" i="7"/>
  <c r="E5106" i="7"/>
  <c r="E5107" i="7"/>
  <c r="E5108" i="7"/>
  <c r="E5109" i="7"/>
  <c r="E5110" i="7"/>
  <c r="E5111" i="7"/>
  <c r="E5112" i="7"/>
  <c r="E5113" i="7"/>
  <c r="E5114" i="7"/>
  <c r="E5115" i="7"/>
  <c r="E5116" i="7"/>
  <c r="E5117" i="7"/>
  <c r="E5118" i="7"/>
  <c r="E5119" i="7"/>
  <c r="E5120" i="7"/>
  <c r="E5121" i="7"/>
  <c r="E5122" i="7"/>
  <c r="E5123" i="7"/>
  <c r="E5124" i="7"/>
  <c r="E5125" i="7"/>
  <c r="E5126" i="7"/>
  <c r="E5127" i="7"/>
  <c r="E5128" i="7"/>
  <c r="E5129" i="7"/>
  <c r="E5130" i="7"/>
  <c r="E5131" i="7"/>
  <c r="E5132" i="7"/>
  <c r="E5133" i="7"/>
  <c r="E5134" i="7"/>
  <c r="E5135" i="7"/>
  <c r="E5136" i="7"/>
  <c r="E5137" i="7"/>
  <c r="E5138" i="7"/>
  <c r="E5139" i="7"/>
  <c r="E5140" i="7"/>
  <c r="E5141" i="7"/>
  <c r="E5142" i="7"/>
  <c r="E5143" i="7"/>
  <c r="E5144" i="7"/>
  <c r="E5145" i="7"/>
  <c r="E5146" i="7"/>
  <c r="E5147" i="7"/>
  <c r="E5148" i="7"/>
  <c r="E5149" i="7"/>
  <c r="E5150" i="7"/>
  <c r="E5151" i="7"/>
  <c r="E5152" i="7"/>
  <c r="E5153" i="7"/>
  <c r="E5154" i="7"/>
  <c r="E5155" i="7"/>
  <c r="E5156" i="7"/>
  <c r="E5157" i="7"/>
  <c r="E5158" i="7"/>
  <c r="E5159" i="7"/>
  <c r="E5160" i="7"/>
  <c r="E5161" i="7"/>
  <c r="E5162" i="7"/>
  <c r="E5163" i="7"/>
  <c r="E5164" i="7"/>
  <c r="E5165" i="7"/>
  <c r="E5166" i="7"/>
  <c r="E5167" i="7"/>
  <c r="E5168" i="7"/>
  <c r="E5169" i="7"/>
  <c r="E5170" i="7"/>
  <c r="E5171" i="7"/>
  <c r="E5172" i="7"/>
  <c r="E5173" i="7"/>
  <c r="E5174" i="7"/>
  <c r="E5175" i="7"/>
  <c r="E5176" i="7"/>
  <c r="E5177" i="7"/>
  <c r="E5178" i="7"/>
  <c r="E5179" i="7"/>
  <c r="E5180" i="7"/>
  <c r="E5181" i="7"/>
  <c r="E5182" i="7"/>
  <c r="E5183" i="7"/>
  <c r="E5184" i="7"/>
  <c r="E5185" i="7"/>
  <c r="E5186" i="7"/>
  <c r="E5187" i="7"/>
  <c r="E5188" i="7"/>
  <c r="E5189" i="7"/>
  <c r="E5190" i="7"/>
  <c r="E5191" i="7"/>
  <c r="E5192" i="7"/>
  <c r="E5193" i="7"/>
  <c r="E5194" i="7"/>
  <c r="E5195" i="7"/>
  <c r="E5196" i="7"/>
  <c r="E5197" i="7"/>
  <c r="E5198" i="7"/>
  <c r="E5199" i="7"/>
  <c r="E5200" i="7"/>
  <c r="E5201" i="7"/>
  <c r="E5202" i="7"/>
  <c r="E5217" i="7"/>
  <c r="E5218" i="7"/>
  <c r="E5219" i="7"/>
  <c r="E5220" i="7"/>
  <c r="E5221" i="7"/>
  <c r="E5222" i="7"/>
  <c r="E5223" i="7"/>
  <c r="E5224" i="7"/>
  <c r="E5203" i="7"/>
  <c r="E5204" i="7"/>
  <c r="E5205" i="7"/>
  <c r="E5206" i="7"/>
  <c r="E5207" i="7"/>
  <c r="E5208" i="7"/>
  <c r="E5209" i="7"/>
  <c r="E5210" i="7"/>
  <c r="E5211" i="7"/>
  <c r="E5212" i="7"/>
  <c r="E5213" i="7"/>
  <c r="E5214" i="7"/>
  <c r="E5215" i="7"/>
  <c r="E5216" i="7"/>
  <c r="K5169" i="7" l="1"/>
  <c r="K5149" i="7" l="1"/>
  <c r="N5107" i="7" l="1"/>
  <c r="N5104" i="7"/>
  <c r="N5101" i="7"/>
  <c r="N5072" i="7" l="1"/>
  <c r="K5038" i="7" l="1"/>
  <c r="N5024" i="7" l="1"/>
  <c r="N5021" i="7"/>
  <c r="K5018" i="7" l="1"/>
  <c r="N4917" i="7" l="1"/>
  <c r="N4910" i="7"/>
  <c r="N4900" i="7"/>
  <c r="N4897" i="7"/>
  <c r="N4907" i="7"/>
  <c r="N4891" i="7"/>
  <c r="N4887" i="7"/>
  <c r="N4885" i="7"/>
  <c r="N4873" i="7"/>
  <c r="N4870" i="7"/>
  <c r="N4864" i="7"/>
  <c r="N4861" i="7"/>
  <c r="K4884" i="7" l="1"/>
  <c r="K4851" i="7"/>
  <c r="N4816" i="7"/>
  <c r="K4815" i="7" l="1"/>
  <c r="K4746" i="7"/>
  <c r="N4684" i="7" l="1"/>
  <c r="N4681" i="7"/>
  <c r="N4663" i="7"/>
  <c r="K3212" i="7"/>
  <c r="N4574" i="7" l="1"/>
  <c r="N4501" i="7" l="1"/>
  <c r="G15" i="9" l="1"/>
  <c r="H15" i="9" s="1"/>
  <c r="G14" i="9"/>
  <c r="H14" i="9" s="1"/>
  <c r="H16" i="9" l="1"/>
  <c r="J4" i="2"/>
  <c r="K4454" i="7" l="1"/>
  <c r="N4436" i="7" l="1"/>
  <c r="N4433" i="7"/>
  <c r="N4430" i="7"/>
  <c r="N4427" i="7"/>
  <c r="N4421" i="7"/>
  <c r="N4418" i="7"/>
  <c r="K4414" i="7" l="1"/>
  <c r="N4314" i="7" l="1"/>
  <c r="N4311" i="7" l="1"/>
  <c r="K4353" i="7" l="1"/>
  <c r="K4339" i="7"/>
  <c r="N4243" i="7" l="1"/>
  <c r="N4237" i="7"/>
  <c r="N4225" i="7"/>
  <c r="N4221" i="7"/>
  <c r="N4215" i="7"/>
  <c r="N4212" i="7"/>
  <c r="N4209" i="7"/>
  <c r="N4206" i="7"/>
  <c r="N4203" i="7"/>
  <c r="N4200" i="7"/>
  <c r="N4182" i="7"/>
  <c r="N4176" i="7"/>
  <c r="N4130" i="7" l="1"/>
  <c r="N4126" i="7"/>
  <c r="N4124" i="7"/>
  <c r="K4087" i="7" l="1"/>
  <c r="N4068" i="7"/>
  <c r="N4057" i="7"/>
  <c r="N4049" i="7"/>
  <c r="K4041" i="7" l="1"/>
  <c r="N4005" i="7"/>
  <c r="N3994" i="7"/>
  <c r="N3992" i="7"/>
  <c r="N3966" i="7" l="1"/>
  <c r="N3943" i="7"/>
  <c r="K3960" i="7"/>
  <c r="N3951" i="7" l="1"/>
  <c r="N3946" i="7" l="1"/>
  <c r="N3910" i="7" l="1"/>
  <c r="N3918" i="7"/>
  <c r="N3915" i="7"/>
  <c r="N3907" i="7"/>
  <c r="N3904" i="7"/>
  <c r="N3901" i="7" l="1"/>
  <c r="N3879" i="7" l="1"/>
  <c r="N3868" i="7" l="1"/>
  <c r="N3854" i="7"/>
  <c r="N3851" i="7"/>
  <c r="N3662" i="7" l="1"/>
  <c r="N3776" i="7" l="1"/>
  <c r="N3767" i="7"/>
  <c r="N3764" i="7"/>
  <c r="N3761" i="7"/>
  <c r="N3758" i="7"/>
  <c r="N3665" i="7" l="1"/>
  <c r="N3691" i="7"/>
  <c r="N3718" i="7" l="1"/>
  <c r="N3659" i="7"/>
  <c r="N3656" i="7" l="1"/>
  <c r="N3650" i="7"/>
  <c r="N3647" i="7" l="1"/>
  <c r="K3644" i="7"/>
  <c r="N3634" i="7" l="1"/>
  <c r="N3631" i="7" l="1"/>
  <c r="N3617" i="7"/>
  <c r="N3614" i="7"/>
  <c r="N3594" i="7"/>
  <c r="N3591" i="7"/>
  <c r="N3588" i="7"/>
  <c r="N3575" i="7"/>
  <c r="N3571" i="7"/>
  <c r="N3559" i="7"/>
  <c r="N3556" i="7"/>
  <c r="N3553" i="7"/>
  <c r="G11" i="8" l="1"/>
  <c r="N3522" i="7" l="1"/>
  <c r="N3516" i="7"/>
  <c r="N3510" i="7"/>
  <c r="N3507" i="7"/>
  <c r="N3504" i="7" l="1"/>
  <c r="N3475" i="7" l="1"/>
  <c r="N3472" i="7"/>
  <c r="N3469" i="7"/>
  <c r="N3454" i="7"/>
  <c r="N3446" i="7"/>
  <c r="K3434" i="7" l="1"/>
  <c r="N3417" i="7" l="1"/>
  <c r="N3412" i="7"/>
  <c r="N3409" i="7"/>
  <c r="N3391" i="7"/>
  <c r="N3382" i="7"/>
  <c r="N3379" i="7"/>
  <c r="N3376" i="7" l="1"/>
  <c r="K3361" i="7"/>
  <c r="N3296" i="7" l="1"/>
  <c r="N3280" i="7"/>
  <c r="K3273" i="7" l="1"/>
  <c r="K3300" i="7"/>
  <c r="K3327" i="7"/>
  <c r="N3243" i="7"/>
  <c r="N3257" i="7" l="1"/>
  <c r="N3254" i="7"/>
  <c r="N3246" i="7"/>
  <c r="N3237" i="7"/>
  <c r="N3218" i="7" l="1"/>
  <c r="N3215" i="7"/>
  <c r="N3186" i="7" l="1"/>
  <c r="N3138" i="7"/>
  <c r="N3173" i="7"/>
  <c r="N3135" i="7"/>
  <c r="N3132" i="7"/>
  <c r="N3129" i="7"/>
  <c r="K3121" i="7" l="1"/>
  <c r="N3101" i="7" l="1"/>
  <c r="N2949" i="7" l="1"/>
  <c r="N3095" i="7" l="1"/>
  <c r="N3087" i="7" l="1"/>
  <c r="N3083" i="7"/>
  <c r="N3073" i="7"/>
  <c r="N3070" i="7"/>
  <c r="N3067" i="7"/>
  <c r="N3064" i="7"/>
  <c r="N3033" i="7" l="1"/>
  <c r="N2973" i="7"/>
  <c r="N3030" i="7"/>
  <c r="N3013" i="7"/>
  <c r="N3008" i="7"/>
  <c r="N3003" i="7"/>
  <c r="N2986" i="7"/>
  <c r="N2970" i="7"/>
  <c r="K3019" i="7"/>
  <c r="K3000" i="7" l="1"/>
  <c r="K2985" i="7"/>
  <c r="K2968" i="7" l="1"/>
  <c r="N2944" i="7" l="1"/>
  <c r="N2933" i="7" l="1"/>
  <c r="N2930" i="7"/>
  <c r="K2934" i="7" l="1"/>
  <c r="K2929" i="7" l="1"/>
  <c r="N2914" i="7" l="1"/>
  <c r="N2911" i="7"/>
  <c r="N2908" i="7"/>
  <c r="N2905" i="7" l="1"/>
  <c r="N2902" i="7"/>
  <c r="N2875" i="7" l="1"/>
  <c r="N2859" i="7" l="1"/>
  <c r="N2852" i="7" l="1"/>
  <c r="N2849" i="7"/>
  <c r="N2846" i="7" l="1"/>
  <c r="N2809" i="7" l="1"/>
  <c r="N2806" i="7"/>
  <c r="N2773" i="7" l="1"/>
  <c r="N2758" i="7" l="1"/>
  <c r="N2755" i="7" l="1"/>
  <c r="N2315" i="7" l="1"/>
  <c r="N2309" i="7" l="1"/>
  <c r="N2736" i="7" l="1"/>
  <c r="N2731" i="7" l="1"/>
  <c r="N2728" i="7"/>
  <c r="K2700" i="7" l="1"/>
  <c r="N2642" i="7" l="1"/>
  <c r="N2514" i="7" l="1"/>
  <c r="N2611" i="7"/>
  <c r="N2609" i="7"/>
  <c r="N2601" i="7"/>
  <c r="N2588" i="7" l="1"/>
  <c r="L2386" i="7" l="1"/>
  <c r="K2385" i="7"/>
  <c r="N2312" i="7" l="1"/>
  <c r="N2566" i="7" l="1"/>
  <c r="N2558" i="7"/>
  <c r="N2551" i="7"/>
  <c r="N2508" i="7" l="1"/>
  <c r="N2547" i="7"/>
  <c r="N2531" i="7"/>
  <c r="N2528" i="7"/>
  <c r="N1452" i="7" l="1"/>
  <c r="N1451" i="7" s="1"/>
  <c r="N2511" i="7" l="1"/>
  <c r="K2454" i="7" l="1"/>
  <c r="K1798" i="7" l="1"/>
  <c r="K1803" i="7"/>
  <c r="L2289" i="7" l="1"/>
  <c r="S2266" i="7" l="1"/>
  <c r="K2259" i="7"/>
  <c r="N2258" i="7" l="1"/>
  <c r="N2192" i="7" l="1"/>
  <c r="K2237" i="7"/>
  <c r="N2178" i="7"/>
  <c r="N2159" i="7" l="1"/>
  <c r="N2156" i="7"/>
  <c r="N1815" i="7" l="1"/>
  <c r="N2129" i="7" l="1"/>
  <c r="N2153" i="7" l="1"/>
  <c r="N2150" i="7"/>
  <c r="N2132" i="7" l="1"/>
  <c r="N2126" i="7"/>
  <c r="N2113" i="7"/>
  <c r="N2094" i="7"/>
  <c r="N2108" i="7"/>
  <c r="N2105" i="7"/>
  <c r="N2089" i="7"/>
  <c r="L2141" i="7" l="1"/>
  <c r="K2140" i="7"/>
  <c r="S809" i="7" l="1"/>
  <c r="N327" i="7" l="1"/>
  <c r="O804" i="7"/>
  <c r="N1994" i="7" l="1"/>
  <c r="N1988" i="7"/>
  <c r="N2097" i="7" l="1"/>
  <c r="N2059" i="7" l="1"/>
  <c r="N2027" i="7" l="1"/>
  <c r="K2084" i="7" l="1"/>
  <c r="N1998" i="7"/>
  <c r="O1988" i="7" l="1"/>
  <c r="N1980" i="7" l="1"/>
  <c r="U1882" i="7"/>
  <c r="T1882" i="7"/>
  <c r="N1992" i="7"/>
  <c r="N1983" i="7"/>
  <c r="N1971" i="7"/>
  <c r="N1968" i="7"/>
  <c r="N1954" i="7"/>
  <c r="N1948" i="7"/>
  <c r="N1922" i="7"/>
  <c r="N1919" i="7"/>
  <c r="N1916" i="7"/>
  <c r="N1913" i="7"/>
  <c r="N1910" i="7"/>
  <c r="N1904" i="7"/>
  <c r="N1898" i="7"/>
  <c r="N1895" i="7"/>
  <c r="N1889" i="7"/>
  <c r="N1886" i="7"/>
  <c r="N1882" i="7"/>
  <c r="T1881" i="7" s="1"/>
  <c r="N1880" i="7"/>
  <c r="N1877" i="7"/>
  <c r="N1874" i="7"/>
  <c r="N1869" i="7"/>
  <c r="N1864" i="7"/>
  <c r="N1833" i="7"/>
  <c r="N1830" i="7"/>
  <c r="N1827" i="7"/>
  <c r="N1824" i="7"/>
  <c r="N1821" i="7"/>
  <c r="N1818" i="7"/>
  <c r="N1812" i="7"/>
  <c r="N1809" i="7"/>
  <c r="N1806" i="7"/>
  <c r="N1803" i="7"/>
  <c r="N1800" i="7"/>
  <c r="N1797" i="7"/>
  <c r="T1878" i="7" l="1"/>
  <c r="V1881" i="7"/>
  <c r="W1881" i="7" s="1"/>
  <c r="V1882" i="7"/>
  <c r="W1882" i="7" s="1"/>
  <c r="W1883" i="7" l="1"/>
  <c r="N1974" i="7" l="1"/>
  <c r="N1964" i="7"/>
  <c r="N1961" i="7"/>
  <c r="AT1930" i="7" l="1"/>
  <c r="AU1930" i="7"/>
  <c r="AT1931" i="7"/>
  <c r="AT1932" i="7"/>
  <c r="K1814" i="7" l="1"/>
  <c r="K1830" i="7"/>
  <c r="O297" i="7" l="1"/>
  <c r="L32" i="7" l="1"/>
  <c r="E9" i="7" l="1"/>
  <c r="O512" i="7" l="1"/>
  <c r="N510" i="7"/>
  <c r="N1096" i="7"/>
  <c r="N1282" i="7"/>
  <c r="N1504" i="7"/>
  <c r="L1606" i="7" l="1"/>
  <c r="O1256" i="7"/>
  <c r="O1452" i="7" l="1"/>
  <c r="N1455" i="7"/>
  <c r="K1543" i="7" l="1"/>
  <c r="K1542" i="7"/>
  <c r="N1384" i="7"/>
  <c r="K1468" i="7" l="1"/>
  <c r="L1439" i="7"/>
  <c r="L1062" i="7" l="1"/>
  <c r="L1063" i="7"/>
  <c r="L1032" i="7"/>
  <c r="L1027" i="7"/>
  <c r="L1197" i="7" l="1"/>
  <c r="L1191" i="7" l="1"/>
  <c r="K1176" i="7"/>
  <c r="L1181" i="7"/>
  <c r="L1152" i="7"/>
  <c r="L1141" i="7" l="1"/>
  <c r="L1138" i="7"/>
  <c r="L1135" i="7"/>
  <c r="L1132" i="7"/>
  <c r="L1123" i="7"/>
  <c r="L1120" i="7"/>
  <c r="L1117" i="7"/>
  <c r="L1112" i="7"/>
  <c r="L1109" i="7"/>
  <c r="L1106" i="7"/>
  <c r="L1097" i="7"/>
  <c r="L1094" i="7"/>
  <c r="K1060" i="7" l="1"/>
  <c r="L1075" i="7"/>
  <c r="L1068" i="7"/>
  <c r="L1052" i="7"/>
  <c r="L1049" i="7"/>
  <c r="K1029" i="7" l="1"/>
  <c r="K1024" i="7"/>
  <c r="K994" i="7" l="1"/>
  <c r="K993" i="7"/>
  <c r="L991" i="7"/>
  <c r="L1018" i="7"/>
  <c r="K1010" i="7"/>
  <c r="K998" i="7"/>
  <c r="K963" i="7" l="1"/>
  <c r="L906" i="7"/>
  <c r="L900" i="7"/>
  <c r="L890" i="7"/>
  <c r="L961" i="7"/>
  <c r="L985" i="7"/>
  <c r="L958" i="7"/>
  <c r="L923" i="7" l="1"/>
  <c r="K861" i="7"/>
  <c r="L885" i="7" l="1"/>
  <c r="L882" i="7"/>
  <c r="L877" i="7"/>
  <c r="L846" i="7" l="1"/>
  <c r="K842" i="7"/>
  <c r="K854" i="7"/>
  <c r="G49" i="27" l="1"/>
  <c r="G48" i="27"/>
  <c r="G47" i="27"/>
  <c r="G46" i="27"/>
  <c r="G45" i="27"/>
  <c r="G44" i="27"/>
  <c r="G43" i="27"/>
  <c r="G41" i="27"/>
  <c r="G38" i="27"/>
  <c r="G37" i="27"/>
  <c r="G36" i="27"/>
  <c r="G35" i="27"/>
  <c r="G34" i="27"/>
  <c r="G33" i="27"/>
  <c r="G32" i="27"/>
  <c r="G31" i="27"/>
  <c r="G26" i="27"/>
  <c r="G25" i="27"/>
  <c r="G24" i="27"/>
  <c r="G19" i="27"/>
  <c r="G18" i="27"/>
  <c r="G17" i="27"/>
  <c r="G16" i="27"/>
  <c r="G15" i="27"/>
  <c r="G14" i="27"/>
  <c r="G13" i="27"/>
  <c r="G12" i="27"/>
  <c r="G11" i="27"/>
  <c r="G9" i="27"/>
  <c r="G8" i="27"/>
  <c r="F8" i="27"/>
  <c r="E8" i="27"/>
  <c r="G7" i="27"/>
  <c r="F7" i="27"/>
  <c r="E7" i="27"/>
  <c r="K39" i="27" l="1"/>
  <c r="J39" i="27"/>
  <c r="L850" i="7"/>
  <c r="L836" i="7" l="1"/>
  <c r="K818" i="7" l="1"/>
  <c r="L814" i="7"/>
  <c r="L811" i="7"/>
  <c r="K799" i="7" l="1"/>
  <c r="L769" i="7" l="1"/>
  <c r="K789" i="7"/>
  <c r="L766" i="7"/>
  <c r="L763" i="7"/>
  <c r="L760" i="7"/>
  <c r="L757" i="7"/>
  <c r="L742" i="7" l="1"/>
  <c r="L739" i="7"/>
  <c r="L736" i="7"/>
  <c r="G48" i="8"/>
  <c r="G49" i="8"/>
  <c r="L726" i="7"/>
  <c r="L711" i="7" l="1"/>
  <c r="L704" i="7" l="1"/>
  <c r="L701" i="7"/>
  <c r="K396" i="7" l="1"/>
  <c r="L676" i="7" l="1"/>
  <c r="L671" i="7"/>
  <c r="L656" i="7"/>
  <c r="L659" i="7"/>
  <c r="L662" i="7"/>
  <c r="L202" i="7"/>
  <c r="L200" i="7"/>
  <c r="L198" i="7"/>
  <c r="L196" i="7"/>
  <c r="L194" i="7"/>
  <c r="L178" i="7"/>
  <c r="L176" i="7"/>
  <c r="L174" i="7"/>
  <c r="L172" i="7"/>
  <c r="L170" i="7"/>
  <c r="L168" i="7"/>
  <c r="L166" i="7"/>
  <c r="L164" i="7"/>
  <c r="L162" i="7"/>
  <c r="L160" i="7"/>
  <c r="L158" i="7"/>
  <c r="L156" i="7"/>
  <c r="L146" i="7"/>
  <c r="L144" i="7"/>
  <c r="L142" i="7"/>
  <c r="L140" i="7"/>
  <c r="L138" i="7"/>
  <c r="L136" i="7"/>
  <c r="L126" i="7"/>
  <c r="L124" i="7"/>
  <c r="L122" i="7"/>
  <c r="L120" i="7"/>
  <c r="L118" i="7"/>
  <c r="L112" i="7"/>
  <c r="L110" i="7"/>
  <c r="L108" i="7"/>
  <c r="L102" i="7"/>
  <c r="L96" i="7"/>
  <c r="L88" i="7"/>
  <c r="L86" i="7"/>
  <c r="L100" i="7"/>
  <c r="L80" i="7"/>
  <c r="L78" i="7"/>
  <c r="L76" i="7"/>
  <c r="L74" i="7"/>
  <c r="L68" i="7"/>
  <c r="L66" i="7"/>
  <c r="L64" i="7"/>
  <c r="L60" i="7"/>
  <c r="L54" i="7"/>
  <c r="L52" i="7"/>
  <c r="L50" i="7"/>
  <c r="L48" i="7"/>
  <c r="L46" i="7"/>
  <c r="L44" i="7"/>
  <c r="L42" i="7"/>
  <c r="L38" i="7"/>
  <c r="L36" i="7"/>
  <c r="G47" i="8" l="1"/>
  <c r="L620" i="7"/>
  <c r="L628" i="7"/>
  <c r="L623" i="7"/>
  <c r="K600" i="7" l="1"/>
  <c r="D17" i="9" l="1"/>
  <c r="L589" i="7" l="1"/>
  <c r="L586" i="7"/>
  <c r="L581" i="7"/>
  <c r="L578" i="7"/>
  <c r="L573" i="7"/>
  <c r="L565" i="7"/>
  <c r="L562" i="7"/>
  <c r="L559" i="7"/>
  <c r="L539" i="7" l="1"/>
  <c r="L533" i="7"/>
  <c r="L530" i="7"/>
  <c r="L515" i="7" l="1"/>
  <c r="K511" i="7" l="1"/>
  <c r="G45" i="8"/>
  <c r="G46" i="8"/>
  <c r="L497" i="7" l="1"/>
  <c r="G44" i="8" l="1"/>
  <c r="L489" i="7"/>
  <c r="L471" i="7" l="1"/>
  <c r="D9" i="7" l="1"/>
  <c r="O30" i="27" l="1"/>
  <c r="I29" i="27"/>
  <c r="I30" i="27"/>
  <c r="H29" i="27"/>
  <c r="O24" i="8"/>
  <c r="H30" i="27"/>
  <c r="O25" i="8"/>
  <c r="O29" i="27"/>
  <c r="J42" i="27"/>
  <c r="H20" i="27"/>
  <c r="I23" i="27"/>
  <c r="I22" i="27"/>
  <c r="H22" i="27"/>
  <c r="I20" i="27"/>
  <c r="O21" i="27"/>
  <c r="H21" i="27"/>
  <c r="I42" i="27"/>
  <c r="O23" i="27"/>
  <c r="I21" i="27"/>
  <c r="H42" i="27"/>
  <c r="O22" i="27"/>
  <c r="H23" i="27"/>
  <c r="J40" i="27"/>
  <c r="K40" i="27"/>
  <c r="K57" i="27"/>
  <c r="H59" i="27"/>
  <c r="H58" i="27"/>
  <c r="K58" i="27"/>
  <c r="K59" i="27"/>
  <c r="I58" i="27"/>
  <c r="I59" i="27"/>
  <c r="O52" i="27"/>
  <c r="I51" i="27"/>
  <c r="I52" i="27"/>
  <c r="H51" i="27"/>
  <c r="H52" i="27"/>
  <c r="O51" i="27"/>
  <c r="O28" i="27"/>
  <c r="I27" i="27"/>
  <c r="I28" i="27"/>
  <c r="H27" i="27"/>
  <c r="H28" i="27"/>
  <c r="O27" i="27"/>
  <c r="H40" i="27"/>
  <c r="J62" i="27"/>
  <c r="J63" i="27"/>
  <c r="I63" i="27"/>
  <c r="H62" i="27"/>
  <c r="I60" i="27"/>
  <c r="H63" i="27"/>
  <c r="J60" i="27"/>
  <c r="I62" i="27"/>
  <c r="H60" i="27"/>
  <c r="I40" i="27"/>
  <c r="H39" i="27"/>
  <c r="I39" i="27"/>
  <c r="I10" i="27"/>
  <c r="I61" i="27"/>
  <c r="H61" i="27"/>
  <c r="J61" i="27"/>
  <c r="K56" i="27"/>
  <c r="J53" i="27"/>
  <c r="H10" i="27"/>
  <c r="D14" i="5" s="1"/>
  <c r="H41" i="27"/>
  <c r="J56" i="27"/>
  <c r="N56" i="27" s="1"/>
  <c r="I50" i="27"/>
  <c r="I54" i="27"/>
  <c r="H56" i="27"/>
  <c r="D39" i="5" s="1"/>
  <c r="H53" i="27"/>
  <c r="N49" i="27"/>
  <c r="H48" i="27"/>
  <c r="I46" i="27"/>
  <c r="H45" i="27"/>
  <c r="I41" i="27"/>
  <c r="H37" i="27"/>
  <c r="N35" i="27"/>
  <c r="I34" i="27"/>
  <c r="H33" i="27"/>
  <c r="E21" i="3" s="1"/>
  <c r="N31" i="27"/>
  <c r="H25" i="27"/>
  <c r="E29" i="3" s="1"/>
  <c r="D17" i="5" s="1"/>
  <c r="I19" i="27"/>
  <c r="H18" i="27"/>
  <c r="J16" i="27"/>
  <c r="I15" i="27"/>
  <c r="H14" i="27"/>
  <c r="K12" i="27"/>
  <c r="I11" i="27"/>
  <c r="J8" i="27"/>
  <c r="I7" i="27"/>
  <c r="N47" i="27"/>
  <c r="H46" i="27"/>
  <c r="I31" i="27"/>
  <c r="N24" i="27"/>
  <c r="H15" i="27"/>
  <c r="K13" i="27"/>
  <c r="I12" i="27"/>
  <c r="H11" i="27"/>
  <c r="I36" i="27"/>
  <c r="N33" i="27"/>
  <c r="H31" i="27"/>
  <c r="I24" i="27"/>
  <c r="H16" i="27"/>
  <c r="I13" i="27"/>
  <c r="K10" i="27"/>
  <c r="H8" i="27"/>
  <c r="I57" i="27"/>
  <c r="I55" i="27"/>
  <c r="O50" i="27"/>
  <c r="H49" i="27"/>
  <c r="N44" i="27"/>
  <c r="I43" i="27"/>
  <c r="N36" i="27"/>
  <c r="I35" i="27"/>
  <c r="H34" i="27"/>
  <c r="N32" i="27"/>
  <c r="H19" i="27"/>
  <c r="J17" i="27"/>
  <c r="D43" i="5" s="1"/>
  <c r="I16" i="27"/>
  <c r="J9" i="27"/>
  <c r="I8" i="27"/>
  <c r="H7" i="27"/>
  <c r="J48" i="27"/>
  <c r="H47" i="27"/>
  <c r="H43" i="27"/>
  <c r="N37" i="27"/>
  <c r="H35" i="27"/>
  <c r="I32" i="27"/>
  <c r="N25" i="27"/>
  <c r="K54" i="27"/>
  <c r="H57" i="27"/>
  <c r="H55" i="27"/>
  <c r="H54" i="27"/>
  <c r="L54" i="27" s="1"/>
  <c r="I56" i="27"/>
  <c r="I53" i="27"/>
  <c r="H50" i="27"/>
  <c r="I48" i="27"/>
  <c r="D30" i="5" s="1"/>
  <c r="J46" i="27"/>
  <c r="I45" i="27"/>
  <c r="H44" i="27"/>
  <c r="J41" i="27"/>
  <c r="J38" i="27"/>
  <c r="I37" i="27"/>
  <c r="H36" i="27"/>
  <c r="N34" i="27"/>
  <c r="I33" i="27"/>
  <c r="H32" i="27"/>
  <c r="O26" i="27"/>
  <c r="I25" i="27"/>
  <c r="H24" i="27"/>
  <c r="I18" i="27"/>
  <c r="H17" i="27"/>
  <c r="K15" i="27"/>
  <c r="I14" i="27"/>
  <c r="H13" i="27"/>
  <c r="K11" i="27"/>
  <c r="H9" i="27"/>
  <c r="J7" i="27"/>
  <c r="O45" i="27"/>
  <c r="I44" i="27"/>
  <c r="K38" i="27"/>
  <c r="I17" i="27"/>
  <c r="K14" i="27"/>
  <c r="H12" i="27"/>
  <c r="I9" i="27"/>
  <c r="D9" i="5" l="1"/>
  <c r="E9" i="3"/>
  <c r="L42" i="27"/>
  <c r="E11" i="3"/>
  <c r="M59" i="27"/>
  <c r="M58" i="27"/>
  <c r="M57" i="27"/>
  <c r="E10" i="3"/>
  <c r="E12" i="3"/>
  <c r="D22" i="5"/>
  <c r="E17" i="3"/>
  <c r="E16" i="3"/>
  <c r="L39" i="27"/>
  <c r="L62" i="27"/>
  <c r="E16" i="2" s="1"/>
  <c r="L40" i="27"/>
  <c r="M40" i="27"/>
  <c r="L63" i="27"/>
  <c r="L60" i="27"/>
  <c r="E13" i="2" s="1"/>
  <c r="M39" i="27"/>
  <c r="L61" i="27"/>
  <c r="D27" i="4"/>
  <c r="F27" i="4" s="1"/>
  <c r="M56" i="27"/>
  <c r="E36" i="2" s="1"/>
  <c r="L41" i="27"/>
  <c r="L53" i="27"/>
  <c r="B24" i="4"/>
  <c r="D38" i="5"/>
  <c r="D15" i="5"/>
  <c r="B23" i="4"/>
  <c r="D37" i="5"/>
  <c r="D13" i="5"/>
  <c r="L46" i="27"/>
  <c r="M54" i="27"/>
  <c r="N54" i="27"/>
  <c r="D27" i="5"/>
  <c r="D26" i="4"/>
  <c r="F26" i="4" s="1"/>
  <c r="E22" i="4"/>
  <c r="E25" i="4"/>
  <c r="E17" i="2" l="1"/>
  <c r="E18" i="2" s="1"/>
  <c r="E14" i="2"/>
  <c r="E15" i="2" s="1"/>
  <c r="E29" i="4"/>
  <c r="E31" i="2" s="1"/>
  <c r="F25" i="4"/>
  <c r="E41" i="6" l="1"/>
  <c r="E42" i="6"/>
  <c r="E43" i="6"/>
  <c r="E44" i="6"/>
  <c r="E45" i="6"/>
  <c r="E46" i="6"/>
  <c r="E47" i="6"/>
  <c r="E48" i="6"/>
  <c r="E51" i="6"/>
  <c r="E52" i="6"/>
  <c r="E53" i="6"/>
  <c r="E54" i="6"/>
  <c r="E55"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22" i="6"/>
  <c r="E23" i="6"/>
  <c r="E24" i="6"/>
  <c r="E27" i="6"/>
  <c r="E28" i="6"/>
  <c r="E29" i="6"/>
  <c r="E30" i="6"/>
  <c r="E31" i="6"/>
  <c r="E32" i="6"/>
  <c r="E33" i="6"/>
  <c r="E34" i="6"/>
  <c r="E37" i="6"/>
  <c r="E40" i="6"/>
  <c r="E4" i="6"/>
  <c r="E5" i="6"/>
  <c r="E6" i="6"/>
  <c r="E7" i="6"/>
  <c r="E8" i="6"/>
  <c r="E9" i="6"/>
  <c r="E10" i="6"/>
  <c r="E11" i="6"/>
  <c r="E12" i="6"/>
  <c r="E13" i="6"/>
  <c r="E14" i="6"/>
  <c r="E15" i="6"/>
  <c r="E16" i="6"/>
  <c r="E3" i="6"/>
  <c r="K422" i="7" l="1"/>
  <c r="K412" i="7"/>
  <c r="C24" i="4" l="1"/>
  <c r="F24" i="4" s="1"/>
  <c r="G43" i="8" l="1"/>
  <c r="K43" i="27"/>
  <c r="L389" i="7" l="1"/>
  <c r="L384" i="7"/>
  <c r="O20" i="27" s="1"/>
  <c r="D22" i="4" s="1"/>
  <c r="L380" i="7"/>
  <c r="L377" i="7"/>
  <c r="L374" i="7"/>
  <c r="L371" i="7"/>
  <c r="L366" i="7"/>
  <c r="L363" i="7"/>
  <c r="L360" i="7"/>
  <c r="L356" i="7"/>
  <c r="L351" i="7"/>
  <c r="L357" i="7" l="1"/>
  <c r="L334" i="7"/>
  <c r="L331" i="7" l="1"/>
  <c r="D13" i="9" l="1"/>
  <c r="D4" i="9"/>
  <c r="E20" i="9" l="1"/>
  <c r="E13" i="9"/>
  <c r="F8" i="8"/>
  <c r="F7" i="8"/>
  <c r="J42" i="8" s="1"/>
  <c r="K57" i="8" l="1"/>
  <c r="O22" i="8"/>
  <c r="O21" i="8"/>
  <c r="O23" i="8"/>
  <c r="K59" i="8"/>
  <c r="K58" i="8"/>
  <c r="K56" i="8"/>
  <c r="J56" i="8"/>
  <c r="N56" i="8" s="1"/>
  <c r="K40" i="8"/>
  <c r="J40" i="8"/>
  <c r="O52" i="8"/>
  <c r="J39" i="8"/>
  <c r="K39" i="8"/>
  <c r="O51" i="8"/>
  <c r="O30" i="8"/>
  <c r="O29" i="8"/>
  <c r="J62" i="8"/>
  <c r="J63" i="8"/>
  <c r="J60" i="8"/>
  <c r="J61" i="8"/>
  <c r="G38" i="8"/>
  <c r="G37" i="8" l="1"/>
  <c r="O185" i="7" l="1"/>
  <c r="L306" i="7"/>
  <c r="L292" i="7"/>
  <c r="K18" i="27" s="1"/>
  <c r="B22" i="4" s="1"/>
  <c r="B29" i="4" s="1"/>
  <c r="L307" i="7" l="1"/>
  <c r="L293" i="7"/>
  <c r="E8" i="8"/>
  <c r="E7" i="8"/>
  <c r="G9" i="8"/>
  <c r="G8" i="8"/>
  <c r="G10" i="8"/>
  <c r="G12" i="8"/>
  <c r="G13" i="8"/>
  <c r="G15" i="8"/>
  <c r="G16" i="8"/>
  <c r="G17" i="8"/>
  <c r="G18" i="8"/>
  <c r="G19" i="8"/>
  <c r="G26" i="8"/>
  <c r="G27" i="8"/>
  <c r="G31" i="8"/>
  <c r="G32" i="8"/>
  <c r="G33" i="8"/>
  <c r="G34" i="8"/>
  <c r="G35" i="8"/>
  <c r="G36" i="8"/>
  <c r="G7" i="8"/>
  <c r="I25" i="8" l="1"/>
  <c r="I24" i="8"/>
  <c r="H25" i="8"/>
  <c r="H24" i="8"/>
  <c r="H42" i="8"/>
  <c r="I42" i="8"/>
  <c r="H21" i="8"/>
  <c r="I23" i="8"/>
  <c r="I21" i="8"/>
  <c r="I22" i="8"/>
  <c r="H23" i="8"/>
  <c r="H22" i="8"/>
  <c r="I20" i="8"/>
  <c r="H20" i="8"/>
  <c r="K19" i="27"/>
  <c r="C22" i="4" s="1"/>
  <c r="I59" i="8"/>
  <c r="H59" i="8"/>
  <c r="I58" i="8"/>
  <c r="H58" i="8"/>
  <c r="B32" i="5"/>
  <c r="I52" i="8"/>
  <c r="H52" i="8"/>
  <c r="I14" i="8"/>
  <c r="H51" i="8"/>
  <c r="I51" i="8"/>
  <c r="I29" i="8"/>
  <c r="I30" i="8"/>
  <c r="H29" i="8"/>
  <c r="H30" i="8"/>
  <c r="H62" i="8"/>
  <c r="I62" i="8"/>
  <c r="H63" i="8"/>
  <c r="I63" i="8"/>
  <c r="I40" i="8"/>
  <c r="I39" i="8"/>
  <c r="H40" i="8"/>
  <c r="H39" i="8"/>
  <c r="H61" i="8"/>
  <c r="I61" i="8"/>
  <c r="I60" i="8"/>
  <c r="H60" i="8"/>
  <c r="B31" i="5"/>
  <c r="H14" i="8"/>
  <c r="C23" i="4"/>
  <c r="I45" i="8"/>
  <c r="C13" i="3" s="1"/>
  <c r="H45" i="8"/>
  <c r="C14" i="3" s="1"/>
  <c r="I46" i="8"/>
  <c r="H46" i="8"/>
  <c r="K13" i="8"/>
  <c r="I18" i="8"/>
  <c r="H18" i="8"/>
  <c r="H10" i="8"/>
  <c r="B14" i="5" s="1"/>
  <c r="I10" i="8"/>
  <c r="H7" i="8"/>
  <c r="K43" i="8"/>
  <c r="I19" i="8"/>
  <c r="I16" i="8"/>
  <c r="N26" i="8"/>
  <c r="N47" i="8"/>
  <c r="I43" i="8"/>
  <c r="I7" i="8"/>
  <c r="H16" i="8"/>
  <c r="N27" i="8"/>
  <c r="H47" i="8"/>
  <c r="J7" i="8"/>
  <c r="I26" i="8"/>
  <c r="I27" i="8"/>
  <c r="H43" i="8"/>
  <c r="H19" i="8"/>
  <c r="J16" i="8"/>
  <c r="H26" i="8"/>
  <c r="C31" i="3" s="1"/>
  <c r="H27" i="8"/>
  <c r="C29" i="3" s="1"/>
  <c r="B17" i="5" s="1"/>
  <c r="K19" i="8"/>
  <c r="C8" i="4" s="1"/>
  <c r="K12" i="8"/>
  <c r="J41" i="8"/>
  <c r="H41" i="8"/>
  <c r="I41" i="8"/>
  <c r="N34" i="8"/>
  <c r="H34" i="8"/>
  <c r="K15" i="8"/>
  <c r="N35" i="8"/>
  <c r="I37" i="8"/>
  <c r="H8" i="8"/>
  <c r="H11" i="8"/>
  <c r="N36" i="8"/>
  <c r="N32" i="8"/>
  <c r="K10" i="8"/>
  <c r="H35" i="8"/>
  <c r="N33" i="8"/>
  <c r="I8" i="8"/>
  <c r="H31" i="8"/>
  <c r="H36" i="8"/>
  <c r="I34" i="8"/>
  <c r="H15" i="8"/>
  <c r="H13" i="8"/>
  <c r="H37" i="8"/>
  <c r="I33" i="8"/>
  <c r="J8" i="8"/>
  <c r="I11" i="8"/>
  <c r="I31" i="8"/>
  <c r="I32" i="8"/>
  <c r="I15" i="8"/>
  <c r="I13" i="8"/>
  <c r="I35" i="8"/>
  <c r="N37" i="8"/>
  <c r="H33" i="8"/>
  <c r="K14" i="8"/>
  <c r="K11" i="8"/>
  <c r="N31" i="8"/>
  <c r="I36" i="8"/>
  <c r="H32" i="8"/>
  <c r="C23" i="3" s="1"/>
  <c r="H12" i="8"/>
  <c r="I55" i="8"/>
  <c r="J48" i="8"/>
  <c r="I48" i="8"/>
  <c r="B30" i="5" s="1"/>
  <c r="I57" i="8"/>
  <c r="N49" i="8"/>
  <c r="H54" i="8"/>
  <c r="O45" i="8"/>
  <c r="J46" i="8"/>
  <c r="H48" i="8"/>
  <c r="I44" i="8"/>
  <c r="I54" i="8"/>
  <c r="K54" i="8"/>
  <c r="N54" i="8" s="1"/>
  <c r="H57" i="8"/>
  <c r="H50" i="8"/>
  <c r="O50" i="8"/>
  <c r="H49" i="8"/>
  <c r="I50" i="8"/>
  <c r="I12" i="8"/>
  <c r="H44" i="8"/>
  <c r="H53" i="8"/>
  <c r="I53" i="8"/>
  <c r="N44" i="8"/>
  <c r="H56" i="8"/>
  <c r="B39" i="5" s="1"/>
  <c r="J53" i="8"/>
  <c r="O20" i="8"/>
  <c r="B10" i="4"/>
  <c r="K18" i="8"/>
  <c r="B9" i="4"/>
  <c r="J9" i="8"/>
  <c r="I17" i="8"/>
  <c r="J17" i="8"/>
  <c r="B43" i="5" s="1"/>
  <c r="H17" i="8"/>
  <c r="E30" i="3"/>
  <c r="E13" i="3"/>
  <c r="E23" i="3"/>
  <c r="D10" i="5"/>
  <c r="E31" i="3"/>
  <c r="D18" i="5" s="1"/>
  <c r="D31" i="5"/>
  <c r="D32" i="5"/>
  <c r="C9" i="3" l="1"/>
  <c r="L42" i="8"/>
  <c r="B27" i="5"/>
  <c r="C29" i="4"/>
  <c r="B29" i="5"/>
  <c r="B22" i="5"/>
  <c r="M58" i="8"/>
  <c r="M59" i="8"/>
  <c r="B28" i="5"/>
  <c r="C11" i="3"/>
  <c r="B11" i="5" s="1"/>
  <c r="C12" i="3"/>
  <c r="B12" i="5" s="1"/>
  <c r="L40" i="8"/>
  <c r="L39" i="8"/>
  <c r="C17" i="3"/>
  <c r="C16" i="3"/>
  <c r="L63" i="8"/>
  <c r="L62" i="8"/>
  <c r="M39" i="8"/>
  <c r="M40" i="8"/>
  <c r="L61" i="8"/>
  <c r="L60" i="8"/>
  <c r="C13" i="2" s="1"/>
  <c r="H14" i="2" s="1"/>
  <c r="E8" i="4"/>
  <c r="E11" i="4"/>
  <c r="D11" i="4"/>
  <c r="C30" i="3"/>
  <c r="B13" i="5"/>
  <c r="C10" i="3"/>
  <c r="B10" i="5" s="1"/>
  <c r="B38" i="5"/>
  <c r="B37" i="5"/>
  <c r="M57" i="8"/>
  <c r="M14" i="8"/>
  <c r="B15" i="5"/>
  <c r="M54" i="8"/>
  <c r="D13" i="4"/>
  <c r="L53" i="8"/>
  <c r="L48" i="8"/>
  <c r="C20" i="2" s="1"/>
  <c r="B20" i="5"/>
  <c r="D19" i="5"/>
  <c r="B19" i="5"/>
  <c r="B16" i="5"/>
  <c r="C10" i="4"/>
  <c r="F10" i="4" s="1"/>
  <c r="D20" i="5"/>
  <c r="D16" i="5"/>
  <c r="C9" i="4"/>
  <c r="F9" i="4" s="1"/>
  <c r="F23" i="4"/>
  <c r="E33" i="3"/>
  <c r="D23" i="5"/>
  <c r="E27" i="3"/>
  <c r="E28" i="3"/>
  <c r="D21" i="5"/>
  <c r="E25" i="3"/>
  <c r="B18" i="5"/>
  <c r="E22" i="3"/>
  <c r="E26" i="3"/>
  <c r="D40" i="5"/>
  <c r="M12" i="27"/>
  <c r="L48" i="27"/>
  <c r="E20" i="2" s="1"/>
  <c r="L9" i="27"/>
  <c r="E24" i="2" s="1"/>
  <c r="M11" i="27"/>
  <c r="M18" i="27"/>
  <c r="E29" i="2" s="1"/>
  <c r="L16" i="27"/>
  <c r="E19" i="2" s="1"/>
  <c r="M14" i="27"/>
  <c r="L17" i="27"/>
  <c r="E23" i="2" s="1"/>
  <c r="L8" i="27"/>
  <c r="E21" i="2" s="1"/>
  <c r="M19" i="27"/>
  <c r="E30" i="2" s="1"/>
  <c r="M13" i="27"/>
  <c r="M15" i="27"/>
  <c r="M10" i="27"/>
  <c r="L7" i="27"/>
  <c r="E10" i="2" s="1"/>
  <c r="M43" i="27"/>
  <c r="E35" i="2" s="1"/>
  <c r="B8" i="4"/>
  <c r="C26" i="3"/>
  <c r="C22" i="3"/>
  <c r="C21" i="3"/>
  <c r="C25" i="3"/>
  <c r="C33" i="3"/>
  <c r="B23" i="5"/>
  <c r="B21" i="5"/>
  <c r="C28" i="3"/>
  <c r="C27" i="3"/>
  <c r="M43" i="8"/>
  <c r="M13" i="8"/>
  <c r="L41" i="8"/>
  <c r="L17" i="8"/>
  <c r="C23" i="2" s="1"/>
  <c r="J21" i="2" s="1"/>
  <c r="L8" i="8"/>
  <c r="Q8" i="8" s="1"/>
  <c r="L16" i="8"/>
  <c r="C19" i="2" s="1"/>
  <c r="M10" i="8"/>
  <c r="M15" i="8"/>
  <c r="M19" i="8"/>
  <c r="C30" i="2" s="1"/>
  <c r="L7" i="8"/>
  <c r="M18" i="8"/>
  <c r="C29" i="2" s="1"/>
  <c r="M12" i="8"/>
  <c r="M11" i="8"/>
  <c r="C24" i="5"/>
  <c r="C40" i="5"/>
  <c r="C34" i="5"/>
  <c r="D34" i="3"/>
  <c r="D18" i="3"/>
  <c r="D38" i="2"/>
  <c r="D33" i="2"/>
  <c r="D53" i="8" l="1"/>
  <c r="C16" i="2"/>
  <c r="H17" i="2" s="1"/>
  <c r="C17" i="2"/>
  <c r="C35" i="2"/>
  <c r="E49" i="2"/>
  <c r="H55" i="8" s="1"/>
  <c r="C14" i="2"/>
  <c r="I14" i="2" s="1"/>
  <c r="C42" i="5"/>
  <c r="C44" i="5" s="1"/>
  <c r="D24" i="5"/>
  <c r="E15" i="4"/>
  <c r="C31" i="2" s="1"/>
  <c r="H6" i="5"/>
  <c r="B40" i="5"/>
  <c r="F11" i="4"/>
  <c r="F13" i="4"/>
  <c r="O10" i="7"/>
  <c r="C49" i="2"/>
  <c r="B48" i="5" s="1"/>
  <c r="C10" i="2"/>
  <c r="F3" i="2" s="1"/>
  <c r="E34" i="3"/>
  <c r="E37" i="2"/>
  <c r="E38" i="2" s="1"/>
  <c r="B34" i="5"/>
  <c r="C37" i="2"/>
  <c r="D34" i="5"/>
  <c r="L46" i="8"/>
  <c r="D40" i="2"/>
  <c r="C15" i="4"/>
  <c r="B15" i="4"/>
  <c r="C34" i="3"/>
  <c r="H10" i="2" l="1"/>
  <c r="C21" i="2"/>
  <c r="G10" i="3"/>
  <c r="D48" i="5"/>
  <c r="I56" i="8"/>
  <c r="M56" i="8" s="1"/>
  <c r="C18" i="2"/>
  <c r="I17" i="2"/>
  <c r="C15" i="2"/>
  <c r="D42" i="5"/>
  <c r="D44" i="5" s="1"/>
  <c r="B24" i="5"/>
  <c r="B42" i="5" s="1"/>
  <c r="B44" i="5" s="1"/>
  <c r="G8" i="5" s="1"/>
  <c r="C41" i="3"/>
  <c r="C66" i="3" s="1"/>
  <c r="E41" i="3"/>
  <c r="I15" i="2" l="1"/>
  <c r="C36" i="2"/>
  <c r="C38" i="2" s="1"/>
  <c r="D12" i="4"/>
  <c r="F12" i="4" s="1"/>
  <c r="G13" i="3"/>
  <c r="D46" i="5"/>
  <c r="B46" i="5"/>
  <c r="F22" i="4" l="1"/>
  <c r="I9" i="8" l="1"/>
  <c r="H9" i="8"/>
  <c r="L9" i="8" l="1"/>
  <c r="C24" i="2" s="1"/>
  <c r="G3" i="27"/>
  <c r="G5" i="7"/>
  <c r="G3" i="8"/>
  <c r="I12" i="2" l="1"/>
  <c r="L12787" i="7" l="1"/>
  <c r="I38" i="8"/>
  <c r="L16538" i="7"/>
  <c r="H38" i="8"/>
  <c r="L6" i="7" l="1"/>
  <c r="I38" i="27"/>
  <c r="H38" i="27"/>
  <c r="K38" i="8"/>
  <c r="J38" i="8"/>
  <c r="H26" i="27"/>
  <c r="I26" i="27"/>
  <c r="O28" i="8"/>
  <c r="D8" i="4" s="1"/>
  <c r="F8" i="4" s="1"/>
  <c r="C15" i="3"/>
  <c r="C18" i="3" s="1"/>
  <c r="C36" i="3" s="1"/>
  <c r="L38" i="8" l="1"/>
  <c r="L38" i="27"/>
  <c r="E11" i="2" s="1"/>
  <c r="E12" i="2" s="1"/>
  <c r="E25" i="2" s="1"/>
  <c r="M38" i="8"/>
  <c r="G1" i="27"/>
  <c r="M38" i="27"/>
  <c r="E15" i="3"/>
  <c r="E18" i="3" s="1"/>
  <c r="E36" i="3" s="1"/>
  <c r="C38" i="3"/>
  <c r="C69" i="3"/>
  <c r="C74" i="3" s="1"/>
  <c r="D14" i="4"/>
  <c r="F14" i="4" s="1"/>
  <c r="F15" i="4" s="1"/>
  <c r="C11" i="2" l="1"/>
  <c r="I10" i="2" s="1"/>
  <c r="I8" i="2" s="1"/>
  <c r="D28" i="4"/>
  <c r="E38" i="3"/>
  <c r="D15" i="4"/>
  <c r="C32" i="2" s="1"/>
  <c r="C33" i="2" s="1"/>
  <c r="F1" i="2" l="1"/>
  <c r="H28" i="8"/>
  <c r="I28" i="8"/>
  <c r="K6" i="7"/>
  <c r="J10" i="2"/>
  <c r="H11" i="2" s="1"/>
  <c r="C12" i="2"/>
  <c r="C25" i="2" s="1"/>
  <c r="D16" i="9" s="1"/>
  <c r="F28" i="4"/>
  <c r="F29" i="4" s="1"/>
  <c r="D29" i="4"/>
  <c r="E32" i="2" s="1"/>
  <c r="E33" i="2" s="1"/>
  <c r="C46" i="2"/>
  <c r="D15" i="9"/>
  <c r="C42" i="2"/>
  <c r="C44" i="2" s="1"/>
  <c r="C45" i="2"/>
  <c r="C40" i="2"/>
  <c r="G34" i="3" s="1"/>
  <c r="D8" i="9"/>
  <c r="J6" i="7" l="1"/>
  <c r="L2" i="7"/>
  <c r="L3" i="7"/>
  <c r="G1" i="8"/>
  <c r="L4" i="7"/>
  <c r="E44" i="2"/>
  <c r="E42" i="2"/>
  <c r="E45" i="2"/>
  <c r="E40" i="2"/>
  <c r="G28" i="2" s="1"/>
  <c r="E46" i="2"/>
  <c r="I3" i="2"/>
  <c r="E15" i="9"/>
  <c r="E22" i="9"/>
  <c r="D14" i="9"/>
  <c r="G27" i="2"/>
  <c r="G2" i="27"/>
  <c r="G2" i="8"/>
  <c r="E14" i="9" l="1"/>
  <c r="E2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88" authorId="0" shapeId="0" xr:uid="{00000000-0006-0000-0200-000001000000}">
      <text>
        <r>
          <rPr>
            <b/>
            <sz val="9"/>
            <color indexed="81"/>
            <rFont val="Tahoma"/>
            <family val="2"/>
          </rPr>
          <t>Author:</t>
        </r>
        <r>
          <rPr>
            <sz val="9"/>
            <color indexed="81"/>
            <rFont val="Tahoma"/>
            <family val="2"/>
          </rPr>
          <t xml:space="preserve">
LILY RANI PAUL
AKASHDEEP PAUL
SK FEROZ ALAM
EVANA YEASMIN</t>
        </r>
      </text>
    </comment>
    <comment ref="F2385" authorId="0" shapeId="0" xr:uid="{00000000-0006-0000-0200-000002000000}">
      <text>
        <r>
          <rPr>
            <b/>
            <sz val="9"/>
            <color indexed="81"/>
            <rFont val="Tahoma"/>
            <family val="2"/>
          </rPr>
          <t>Author:</t>
        </r>
        <r>
          <rPr>
            <sz val="9"/>
            <color indexed="81"/>
            <rFont val="Tahoma"/>
            <family val="2"/>
          </rPr>
          <t xml:space="preserve">
PRATIMA DEV
MD MANAZIR KABIR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INVESTOR_LIST" description="Connection to the 'INVESTOR_LIST' query in the workbook." type="5" refreshedVersion="8" background="1" saveData="1">
    <dbPr connection="Provider=Microsoft.Mashup.OleDb.1;Data Source=$Workbook$;Location=INVESTOR_LIST;Extended Properties=&quot;&quot;" command="SELECT * FROM [INVESTOR_LI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<sst xmlns="http://schemas.openxmlformats.org/spreadsheetml/2006/main" count="59819" uniqueCount="2186">
  <si>
    <t>Particulars</t>
  </si>
  <si>
    <t>Assets</t>
  </si>
  <si>
    <t>Equity &amp; Liabilities</t>
  </si>
  <si>
    <t>Current Liabilities</t>
  </si>
  <si>
    <t>Total Equity and Liabilities</t>
  </si>
  <si>
    <t>Net Asset Value (NAV)</t>
  </si>
  <si>
    <t xml:space="preserve">     Accounts Receivable</t>
  </si>
  <si>
    <t xml:space="preserve">     Preliminary &amp; Issue Expenses</t>
  </si>
  <si>
    <t xml:space="preserve">               Total Assets</t>
  </si>
  <si>
    <t xml:space="preserve">     Unit Premium</t>
  </si>
  <si>
    <t xml:space="preserve">     Retained Earnings</t>
  </si>
  <si>
    <t xml:space="preserve">           At Cost</t>
  </si>
  <si>
    <t xml:space="preserve">           At Market Price</t>
  </si>
  <si>
    <t>Unit Capital</t>
  </si>
  <si>
    <t>Total Equity</t>
  </si>
  <si>
    <t>Net Cash Flow from Operating Activities</t>
  </si>
  <si>
    <t>Net Cash Flows</t>
  </si>
  <si>
    <t>Notes</t>
  </si>
  <si>
    <t xml:space="preserve">Taka </t>
  </si>
  <si>
    <t>Taka</t>
  </si>
  <si>
    <t xml:space="preserve">INCOME </t>
  </si>
  <si>
    <t xml:space="preserve">     Interest Income</t>
  </si>
  <si>
    <t xml:space="preserve">     Dividend Income</t>
  </si>
  <si>
    <t xml:space="preserve">              TOTAL</t>
  </si>
  <si>
    <t>EXPENSES</t>
  </si>
  <si>
    <t xml:space="preserve">     Trustee Fees</t>
  </si>
  <si>
    <t xml:space="preserve">     Custodian Fees</t>
  </si>
  <si>
    <t xml:space="preserve">     IPO Application Fees</t>
  </si>
  <si>
    <t xml:space="preserve">     Brokerage Commission</t>
  </si>
  <si>
    <t xml:space="preserve">     Audit Fees</t>
  </si>
  <si>
    <t xml:space="preserve">     Other Operating Expense</t>
  </si>
  <si>
    <t>Retained    Earnings</t>
  </si>
  <si>
    <t>Cash flows from operating activities:</t>
  </si>
  <si>
    <t xml:space="preserve">          Interest Income</t>
  </si>
  <si>
    <t xml:space="preserve">          Dividend Income</t>
  </si>
  <si>
    <t xml:space="preserve">          Management Fees</t>
  </si>
  <si>
    <t xml:space="preserve">          Trustee Fees</t>
  </si>
  <si>
    <t xml:space="preserve">          Bank Charges &amp; Excise Duty</t>
  </si>
  <si>
    <t>Cash Flow from Investing Activities:</t>
  </si>
  <si>
    <t xml:space="preserve">         Net Investment in Shares and securities</t>
  </si>
  <si>
    <t xml:space="preserve">         Investment in FDR</t>
  </si>
  <si>
    <t xml:space="preserve">                   Net Cash from Investing Activities</t>
  </si>
  <si>
    <t>Cash Flow from Financing Activities:</t>
  </si>
  <si>
    <t xml:space="preserve">                Net Cash from Financing Activities</t>
  </si>
  <si>
    <t xml:space="preserve">             Net Operating Cash Flow per Unit</t>
  </si>
  <si>
    <t>EKUSH FIRST UNIT FUND</t>
  </si>
  <si>
    <t>Managing Director</t>
  </si>
  <si>
    <t>Accrued Management Fee</t>
  </si>
  <si>
    <t>Accrued Trustee Fee</t>
  </si>
  <si>
    <t>Accrued Custodian Fee</t>
  </si>
  <si>
    <t>Accrued Audit Fee</t>
  </si>
  <si>
    <t>Accrued CDBL Fee</t>
  </si>
  <si>
    <t>Cash and cash equivalents</t>
  </si>
  <si>
    <t>Unit premium reserve</t>
  </si>
  <si>
    <t>Account Name</t>
  </si>
  <si>
    <t xml:space="preserve">Debit </t>
  </si>
  <si>
    <t>Credit</t>
  </si>
  <si>
    <t>Transaction</t>
  </si>
  <si>
    <t xml:space="preserve">Accounts </t>
  </si>
  <si>
    <t>Interest credited in the bank account-1090000732</t>
  </si>
  <si>
    <t>Interest income</t>
  </si>
  <si>
    <t>Bank charges and excise duties</t>
  </si>
  <si>
    <t>Source tax, service charge and other charges have been charged</t>
  </si>
  <si>
    <t>Preliminary &amp; issue expenses</t>
  </si>
  <si>
    <t>Accounts Name</t>
  </si>
  <si>
    <t>Normal Balance</t>
  </si>
  <si>
    <t>Payment of Preliminary expense from the fund</t>
  </si>
  <si>
    <t>Interest Receivables from Bank A/C</t>
  </si>
  <si>
    <t>Year</t>
  </si>
  <si>
    <t>Month</t>
  </si>
  <si>
    <t>Day</t>
  </si>
  <si>
    <t>Value</t>
  </si>
  <si>
    <t>Opening Balance</t>
  </si>
  <si>
    <t>Ending Balance</t>
  </si>
  <si>
    <t>C</t>
  </si>
  <si>
    <t>Transaction Type</t>
  </si>
  <si>
    <t>Unit Premium
 Reserve</t>
  </si>
  <si>
    <t>Bank charge has been charged</t>
  </si>
  <si>
    <t>Payment to UNICAP for purchase of stocks</t>
  </si>
  <si>
    <t>Investments in stock</t>
  </si>
  <si>
    <t>Brokerage commission</t>
  </si>
  <si>
    <t>Investment in FDR with DBH</t>
  </si>
  <si>
    <t>Unrealized gain on securities</t>
  </si>
  <si>
    <t>Unrealized loss on securities</t>
  </si>
  <si>
    <t>No of Units Outstanding</t>
  </si>
  <si>
    <t xml:space="preserve">          Brokerage commission</t>
  </si>
  <si>
    <t>Payment to UCB Capital for purchase of stocks</t>
  </si>
  <si>
    <t>interest receivable</t>
  </si>
  <si>
    <t>amortization of formation expense</t>
  </si>
  <si>
    <t>Accrued management fee</t>
  </si>
  <si>
    <t>accrued trustee fee</t>
  </si>
  <si>
    <t>accrued annual fee to BSEC</t>
  </si>
  <si>
    <t>Accrued audit fee</t>
  </si>
  <si>
    <t>Accrued CDBL fee</t>
  </si>
  <si>
    <t>NC</t>
  </si>
  <si>
    <t>Amortization of preliminary and issue expense</t>
  </si>
  <si>
    <t>Fixed Deposit Receipts (FDR)</t>
  </si>
  <si>
    <t>Management Fee</t>
  </si>
  <si>
    <t xml:space="preserve">      Accounts Payable</t>
  </si>
  <si>
    <t xml:space="preserve">      Liability for expenses</t>
  </si>
  <si>
    <t>Trustee fee</t>
  </si>
  <si>
    <t>BSEC Annual Fee</t>
  </si>
  <si>
    <t>Accrued BSEC fee</t>
  </si>
  <si>
    <t>Audit fee</t>
  </si>
  <si>
    <t>CDBL charges</t>
  </si>
  <si>
    <t>Recording of unrealized gain/(loss)</t>
  </si>
  <si>
    <t>Investment at cost price</t>
  </si>
  <si>
    <t>fair value adjustment</t>
  </si>
  <si>
    <t>Fair value adjustment</t>
  </si>
  <si>
    <t>Carry Forward Balance</t>
  </si>
  <si>
    <t>DEBIT</t>
  </si>
  <si>
    <t>CREDIT</t>
  </si>
  <si>
    <t>Beginning</t>
  </si>
  <si>
    <t>Ending</t>
  </si>
  <si>
    <t>For Balance Sheet</t>
  </si>
  <si>
    <t>For Retained Earnings</t>
  </si>
  <si>
    <t>Desired Reporting Period</t>
  </si>
  <si>
    <t>During the Reporting Period</t>
  </si>
  <si>
    <t>Check of Trial Balance</t>
  </si>
  <si>
    <t>Check of Balance Sheet</t>
  </si>
  <si>
    <t>Check of Cash Balance</t>
  </si>
  <si>
    <t>Check of Balance Seet</t>
  </si>
  <si>
    <t>Check of Journal Entries</t>
  </si>
  <si>
    <t>Date</t>
  </si>
  <si>
    <t>Net Asset Value</t>
  </si>
  <si>
    <t>Preliminary &amp; Issue Expenses</t>
  </si>
  <si>
    <t>Fixed Deposit Receipts (FDR):</t>
  </si>
  <si>
    <t>Last Day of Accounting Period</t>
  </si>
  <si>
    <t>Weekly Expenses:</t>
  </si>
  <si>
    <t>Trustee Fee</t>
  </si>
  <si>
    <t>Audit Fee</t>
  </si>
  <si>
    <t>CDBL Fee</t>
  </si>
  <si>
    <t>Fund Initiation Day</t>
  </si>
  <si>
    <t>Interest receivables from FDR</t>
  </si>
  <si>
    <t>Weekly accounting of interest income from FDR</t>
  </si>
  <si>
    <t>Weekly accounting of interest income from Bank</t>
  </si>
  <si>
    <t>Weekly charge of preliminary &amp; issue expense</t>
  </si>
  <si>
    <t>Weekly charge of management fee</t>
  </si>
  <si>
    <t>Weekly charge of trustee fee</t>
  </si>
  <si>
    <t>Weekly charge of BSEC annual fee</t>
  </si>
  <si>
    <t>Weekly charge of audit fee</t>
  </si>
  <si>
    <t>Interest credited to bank account no-1060000093 from FDR</t>
  </si>
  <si>
    <t>Interest credit to bank account no-1060000093</t>
  </si>
  <si>
    <t>On date</t>
  </si>
  <si>
    <t xml:space="preserve">        Dividend Payment</t>
  </si>
  <si>
    <t xml:space="preserve">     CDBL Charges</t>
  </si>
  <si>
    <t xml:space="preserve">     BSEC Annual Fees</t>
  </si>
  <si>
    <t>Payable to broker</t>
  </si>
  <si>
    <t xml:space="preserve">Weekly charge of preliminary &amp; issue expense </t>
  </si>
  <si>
    <t>Total</t>
  </si>
  <si>
    <t>Stock List</t>
  </si>
  <si>
    <t>Purchase of GP at Unicap, but not paid</t>
  </si>
  <si>
    <t>Interest Income</t>
  </si>
  <si>
    <t xml:space="preserve">               Total Equity</t>
  </si>
  <si>
    <t xml:space="preserve">Net Asset Value (NAV) per unit: </t>
  </si>
  <si>
    <t xml:space="preserve">     Fixed Deposit Receipts (FDR)</t>
  </si>
  <si>
    <t>Unitholders' Equity</t>
  </si>
  <si>
    <t>Payment of BSEC annual fee</t>
  </si>
  <si>
    <t xml:space="preserve">          BSEC Annual Fee</t>
  </si>
  <si>
    <t xml:space="preserve">     Unit Capital</t>
  </si>
  <si>
    <t>Earnings Per Unit</t>
  </si>
  <si>
    <t>These financial statement should be read in conjunction with annexed notes.</t>
  </si>
  <si>
    <t xml:space="preserve">             Total Liabilities</t>
  </si>
  <si>
    <t>Other operating expenses</t>
  </si>
  <si>
    <t>EI registration Fee</t>
  </si>
  <si>
    <t xml:space="preserve">          Other Operating Expense</t>
  </si>
  <si>
    <t>Dividend income</t>
  </si>
  <si>
    <t>dividend receivable from gp as on record date</t>
  </si>
  <si>
    <t>Dividend receivable</t>
  </si>
  <si>
    <t>Purchase of securities at sheltech brokerage</t>
  </si>
  <si>
    <t>CDBL charges has been paid</t>
  </si>
  <si>
    <t xml:space="preserve">          CDBL Fee</t>
  </si>
  <si>
    <t>Payment to UniCap for purchase of stocks</t>
  </si>
  <si>
    <t>Purchase of securities at Unicap Securities</t>
  </si>
  <si>
    <t>BO renewal fee….custodian</t>
  </si>
  <si>
    <t>Custodian fee</t>
  </si>
  <si>
    <t xml:space="preserve">          Custodian Fee</t>
  </si>
  <si>
    <t>Purchase of stock at NRBC but not paid</t>
  </si>
  <si>
    <t>Payment to NRBC securities</t>
  </si>
  <si>
    <t>Purchase of securities at NRBC Securties</t>
  </si>
  <si>
    <t>Payment to ad point for NAV publication</t>
  </si>
  <si>
    <t>Purchase of securities at unicap securities limited</t>
  </si>
  <si>
    <t>Dividend receivable from SEBL1STMF after record date</t>
  </si>
  <si>
    <t>Dividend receivable from NLI1STMF after record date</t>
  </si>
  <si>
    <t>IPO Application</t>
  </si>
  <si>
    <t>IPO Application Fee</t>
  </si>
  <si>
    <t>Application for IPO of AOL &amp; bidding fee</t>
  </si>
  <si>
    <t xml:space="preserve">     IPO Application</t>
  </si>
  <si>
    <t>Application for IPO of energypac &amp; bidding fee</t>
  </si>
  <si>
    <t>Sell of Securities at NRBC</t>
  </si>
  <si>
    <t>Receivable from broker</t>
  </si>
  <si>
    <t>Realized gain</t>
  </si>
  <si>
    <t>Dividend received from sebl</t>
  </si>
  <si>
    <t>Dividend received from nli</t>
  </si>
  <si>
    <t>Allocation of AOL after bidding</t>
  </si>
  <si>
    <t>Interest received from dbh</t>
  </si>
  <si>
    <t>Received IPO bidding money for energypac from dse</t>
  </si>
  <si>
    <t>Application for IPO of Mir Akhter &amp; bidding fee</t>
  </si>
  <si>
    <t>dividend received from GP</t>
  </si>
  <si>
    <t xml:space="preserve">         IPO Application</t>
  </si>
  <si>
    <t xml:space="preserve">          IPO Application Fee</t>
  </si>
  <si>
    <t>c</t>
  </si>
  <si>
    <t>Payment to sheltech for purchase of securities</t>
  </si>
  <si>
    <t>Purchase and sell of securities at sheltech</t>
  </si>
  <si>
    <t>Application for IPO of Dominage &amp; bidding fee</t>
  </si>
  <si>
    <t>Sell of brac bank and squarepharma at sheltech</t>
  </si>
  <si>
    <t>Sell of  squarepharma at unicap</t>
  </si>
  <si>
    <t>Fund received from sheltech due to sell</t>
  </si>
  <si>
    <t>PO to bid index agro and bidding fee &amp; bank charge</t>
  </si>
  <si>
    <t>Sell proceed received from unicap securities</t>
  </si>
  <si>
    <t>Sell proceed received from SHELTECH</t>
  </si>
  <si>
    <t>allocation of Dominage after bidding</t>
  </si>
  <si>
    <t>PO to bid index agro and  bank charge</t>
  </si>
  <si>
    <t>Sell of AOL at nrbc securities but amount not received</t>
  </si>
  <si>
    <t>Buy of ebl and sumit and sell of batbc at sheltech</t>
  </si>
  <si>
    <t>Received sell proceeds from sheltech</t>
  </si>
  <si>
    <t>Buy of brac and sell of sebl at sheltech</t>
  </si>
  <si>
    <t>Buy of brac and sell of sebl at nrbc</t>
  </si>
  <si>
    <t>sell proceeds from nrbc securities</t>
  </si>
  <si>
    <t>Subscription of units through SIP</t>
  </si>
  <si>
    <t>Sell proceeds from sheltech</t>
  </si>
  <si>
    <t>receive sell proceeds from nrbc securiteis</t>
  </si>
  <si>
    <t>Application in crystal insurance</t>
  </si>
  <si>
    <t>received sell proceeds from nrbc</t>
  </si>
  <si>
    <t>sell of securities at sheltech</t>
  </si>
  <si>
    <t>Dividend income from sumit after record date</t>
  </si>
  <si>
    <t>IPO Application in Robi Axiata</t>
  </si>
  <si>
    <t>allocation of Crystal after bidding</t>
  </si>
  <si>
    <t>Received sell proceeds from UCB Capital</t>
  </si>
  <si>
    <t>Purchase of securities at UNICAP Securties</t>
  </si>
  <si>
    <t>Purchase of securities at UNICAP securities</t>
  </si>
  <si>
    <t>Other Income</t>
  </si>
  <si>
    <t>Unit Premium Reserve</t>
  </si>
  <si>
    <t>Payment to Financial Express for Advertisement Purpose</t>
  </si>
  <si>
    <t>Allocation of ROBI after bidding</t>
  </si>
  <si>
    <t>Purchase of securities at UCB Capital Limited</t>
  </si>
  <si>
    <t>Purchase of securities at UNICAP Securities</t>
  </si>
  <si>
    <t>Purchase of securities at UniCap Securities</t>
  </si>
  <si>
    <t>allocation of index at tk 72 agro after bidding</t>
  </si>
  <si>
    <t>Mir Akhter has been alloted at tk 81and money refunded from DSE</t>
  </si>
  <si>
    <t>Payment to Custodian (BRAC Bank Limited)</t>
  </si>
  <si>
    <t>Purchase of Securities at UNICAP</t>
  </si>
  <si>
    <t>Investment in EDGE AMC Growth Fund</t>
  </si>
  <si>
    <t>Investment in Vanguard AML Growth Fund</t>
  </si>
  <si>
    <t>Sell Poceeds from NRBC Securities</t>
  </si>
  <si>
    <t>Ref. Acc.</t>
  </si>
  <si>
    <t>Investment in UFS Pragati Life Unit Fund</t>
  </si>
  <si>
    <t>Pay to UNICAP Securities Ltd. For Purchase of Stocks</t>
  </si>
  <si>
    <t>Pay to NRBC Bank Securites Ltd. For Purchase of stocks</t>
  </si>
  <si>
    <t>Purchse of Securities at UNICAP Securities Ltd.</t>
  </si>
  <si>
    <t>Pay to UCB Capital For Purchase of Stocks</t>
  </si>
  <si>
    <t>Purchase of Securities at SHELTECH Brokerage Limited</t>
  </si>
  <si>
    <t>Purchse of Securities at NRBC Bank Securities Ltd.</t>
  </si>
  <si>
    <t>Pay to SHELTECH Brokerage Ltd. For Purchase of Stocks</t>
  </si>
  <si>
    <t>Subscription of Units through SIP</t>
  </si>
  <si>
    <t>2% Dividend Receivables from Dominage on 37,500 Outstanding Shares</t>
  </si>
  <si>
    <t>Purchase of Stocks at SHELTECH</t>
  </si>
  <si>
    <t>Purchase and Sell of Securities at Unicap</t>
  </si>
  <si>
    <t xml:space="preserve">             TOTAL</t>
  </si>
  <si>
    <t>Sell of securities  at NRBC</t>
  </si>
  <si>
    <t>Purchase and sell of securities at sheltech brokerage</t>
  </si>
  <si>
    <t>Fund received from nrbc securities for sell of securities</t>
  </si>
  <si>
    <t>Encashment of FDR from DBH</t>
  </si>
  <si>
    <t>Purchase of stock at unicap brokerage</t>
  </si>
  <si>
    <t>Purchase of Stocks at UNICAP Securities</t>
  </si>
  <si>
    <t>Payment to BRAC Bank Ltd (Custodian)</t>
  </si>
  <si>
    <t>Purchase of Stocks at UCB Capital Ltd.</t>
  </si>
  <si>
    <t>Payment to NRBC Securities for Purchase of Stocks</t>
  </si>
  <si>
    <t>Purchase of Securities at UNICAP Securities</t>
  </si>
  <si>
    <t>Payment to UNICAP Securities for Purchase of Stocks</t>
  </si>
  <si>
    <t>Interest Credited in the Bank Account-1090000732</t>
  </si>
  <si>
    <t>SIP OR NOT</t>
  </si>
  <si>
    <t>Payment to Sheltech Brokerage Ltd. for Purchase of Stocks</t>
  </si>
  <si>
    <t>Purchase of Stocks at SHELTECH Brokerage Ltd.</t>
  </si>
  <si>
    <t>Purchase of Stocks at UNICAP Securities Ltd.</t>
  </si>
  <si>
    <t>Payment to Telnet communication ltd</t>
  </si>
  <si>
    <t>Purchase and Sale of Stocks at SHELTECH Brockerage Ltd.</t>
  </si>
  <si>
    <t>Payment to SHELTECH Brokerage for purchase of stocks</t>
  </si>
  <si>
    <t>Proceeds from sale at SHELTECH</t>
  </si>
  <si>
    <t>Sale of Stocks at SHELTECH Brokerage Limited</t>
  </si>
  <si>
    <t>Fund received from NRBC Brokerage for Sale of Securities</t>
  </si>
  <si>
    <t>Interest Income from Midland Bank</t>
  </si>
  <si>
    <t>UG/(UL)</t>
  </si>
  <si>
    <t>FVA</t>
  </si>
  <si>
    <t>NAV*</t>
  </si>
  <si>
    <t xml:space="preserve">     Net Gain on Sale of Marketable Securities</t>
  </si>
  <si>
    <t xml:space="preserve">STATEMENT OF FINANCIAL POSITION </t>
  </si>
  <si>
    <t xml:space="preserve">STATEMENT OF PROFIT &amp; LOSS AND OTHER COMPREHENSIVE INCOME </t>
  </si>
  <si>
    <t>STATEMENT OF CHANGES IN EQUITY</t>
  </si>
  <si>
    <t>STATEMENT OF CASH FLOW</t>
  </si>
  <si>
    <t>Payment to backbone for printing purpose</t>
  </si>
  <si>
    <t>sell of securities at ucb capital</t>
  </si>
  <si>
    <t>Custodian Fee has been paid</t>
  </si>
  <si>
    <t>Ekush First Unit Fund</t>
  </si>
  <si>
    <t>Notes to the Financial Statements</t>
  </si>
  <si>
    <t>for the year ended 31 December 2020</t>
  </si>
  <si>
    <t>Legal Status and Nature of the Company</t>
  </si>
  <si>
    <t>The Fund and Its Objectives</t>
  </si>
  <si>
    <t>Principal Activities</t>
  </si>
  <si>
    <t>Ekush First Unit Fund is an open end Mutual Fund, which is a professionally managed portfolio of equity stocks and fixed income instruments. Investors buy units of the fund and the Asset Manager pools that money to make investments on their behalf. An unit represents a portion of the Fund’s holdings.</t>
  </si>
  <si>
    <t>Objectives</t>
  </si>
  <si>
    <t>The primary objective of the Fund is to achieve superior risk adjusted return in the forms of Capital Appreciation, dividend, interest income and to provide attractive dividend payments to the unit holders.</t>
  </si>
  <si>
    <t>Summary of Significant Accounting Policies</t>
  </si>
  <si>
    <t>These financial statements are prepared on the accrual basis of accounting, under the historical cost convention, as modified for investments, which are “market-to-market” and in conformity with the International financial Reporting Standards (IFRS) adopted by the Institute of Chartered Accountants of Bangladesh (ICAB), International Accounting Standards (IAS) adopted by the Institute of Chartered Accountants of Bangladesh (ICAB) and also in compliance with requirements of Bangladesh Securities and Exchange Commission (Mutual Fund) Rules, 2001 and other laws &amp; regulations applicable in Bangladesh.</t>
  </si>
  <si>
    <t>Preparation of the Financial Statements</t>
  </si>
  <si>
    <t>IAS-1, “Presentation of Financial Statements” requires that a cash flow statement be prepared as it provides information about cash flows of the enterprise which is useful in providing users of financial statements with basis to assess the ability of the enterprise to generate cash and cash equivalents and needs of the enterprise to utilize those cash flows. Statement of cash flows has been prepared under the direct method for the period, classified by operating, investing and financing activities as prescribed in paragraph 10 and 18(a) of IAS 7: “Statement of Cash Flows”. In accordance with Mutual Fund Rules, 2001, proceeds from investments have been shown under investing activities. However, the amount of resultant gain on sale of investment has been shown in operating activities.</t>
  </si>
  <si>
    <t>Statement of Cash Flows</t>
  </si>
  <si>
    <t>Statement of Changes in Equity</t>
  </si>
  <si>
    <t>The statement of changes in equity reflects information oabout the increase or decrease in net assets or wealth.</t>
  </si>
  <si>
    <t>Functional and Presentation Currency</t>
  </si>
  <si>
    <t>Thee financial statements are presented in Taka which is fund’s functional currency.</t>
  </si>
  <si>
    <t>Reporting Period</t>
  </si>
  <si>
    <t>These Financial Statements covers period from January 01, 2020 to December 31, 2020.</t>
  </si>
  <si>
    <t>Investment Policy</t>
  </si>
  <si>
    <t>Valuation of Investments</t>
  </si>
  <si>
    <t>The listed securities are valued at the closing quoted market price only on the Dhaka Stock Exchange on the date of valuation i.e. on December 31, 2020.</t>
  </si>
  <si>
    <t>Dividend Policy</t>
  </si>
  <si>
    <t>(a) After the close of annual accounts, the Trustee, as appears, shall declare dividend for the Fund.
(b) It shall distribute at least 70% of the Annual Income derived from realized gains of the Fund, as dividend, at the end of the accounting year.
(c) No Dividend may be declared or paid other than from earnings of the Fund available for distribution.
Surplus arising simply from the valuation of investments may not be available for dividend.</t>
  </si>
  <si>
    <t>The Fund shall pay a management fee to the Asset Management Company @2.50 percent per annum of the weekly average NAV up to Tk. 5.00 crore and @2.00% percent per annum for additional amount of the weekly average NAV up to Tk. 50.00 crore over Tk. 25.00 crore and @1.00 percent per annum for additional amount of the weekly average NAV over Tk. 50.00 crore, accrued and payable quarterly.</t>
  </si>
  <si>
    <t xml:space="preserve">
The trustee shall be paid an annual Trusteeship fee at the following rate on semi-annual in advance basis:</t>
  </si>
  <si>
    <t>NAV (BDT)                                                        Fees
 NAV of the first 200 crore of fund         0.10%
 NAV of the first 100 crore of fund         0.09%
 NAV of the remaining fund                     0.08%</t>
  </si>
  <si>
    <t>The fee for Custodian services will be 0.07% per annum of balance securities held by the fund, calculated on the average market value per month. Besides this, the fund will bear all other expenses via (a) transaction fee of BDT. 200 per transaction (b) local duties and fees like stamp duty on transaction, stamp duty on transfer deed (c) levies, brokerage, register’s fees, local counsel/representation, external auditors at the client’s request, depository fees etc. However, a fee cap of 0.08% per annum on balance securities held by the fund, calculated on the average market value per month would be applicable if the total expenses (including custodian fees, transaction fees &amp; other expenses, mentioned above) per annum go higher than the mentioned fee cap amount. The fee for Custodian services will be realized semi-annually.</t>
  </si>
  <si>
    <t>Custodian Fee</t>
  </si>
  <si>
    <t>Annual fee for the Fund payable in advance, based on face value of total fund size is payable as follow:
 Fund Size                                                                  Annual CDBL Fee
 Up to BDT. 5 crore                                                 BDT. 00,000.00/-
 Above BDT. 5 crore up to BDT. 20 crore       BDT. 20,000.00/-
 Above BDT. 20 crore                                            BDT. 40,000.00/-</t>
  </si>
  <si>
    <t>The Fund has paid TK.200,000/- (Taka two lac) only to the Securities and Exchange    Commission (SEC) as registration fee. In addition to that the fund will have to pay @10% of the year end NAV at Market price of the Fund on advance basis only per annum.</t>
  </si>
  <si>
    <t>Fund Registration and Annual Fee</t>
  </si>
  <si>
    <t>(a) Dividend income is recognized when the right to receive the payment is established i.e. on the  ex-dividend date;
(b) Capital gains are recognized on realization. Gain or loss from Securities  are recognized at point of sale for Securities which are sold. Foe unsold Securities, at the year end based on the difference between market value and cost unrealized gain or losses is accounted for:
(c) Bonus shares have been recognized at zero cost; and
(d) Interest on Fixed Deposit and Short -Term Deposit is recognized as income on accrual basis.</t>
  </si>
  <si>
    <t>Revenue Recognition</t>
  </si>
  <si>
    <t>Taxation</t>
  </si>
  <si>
    <t>The income of the Fund is exempted from income tax under the SRO NO.333-Ain/IT/2011 dated November 10, 2011: under section 44(4) clause (b) of income Tax Ordinance; 1984: hence no provision for tax has been made during the year in the books of the statement of Profit or Loss and other Comprehensive Income.</t>
  </si>
  <si>
    <t>As per Bangladesh Securities and Exchange Commission (Mutual Fund) Rules, 2001 Preliminary &amp; Issue Expenses are being written off over a period of 7 (seven) years.</t>
  </si>
  <si>
    <t>The fund calculates Net Asset Value per share using the cost and market value, which has been     shown on the face of statement of financial position and the computation of NAV per units is stated in NAV per Unit.</t>
  </si>
  <si>
    <t>Net Asset Value (NAV) Per Unit</t>
  </si>
  <si>
    <t>The fund calculates Earning Per Unit (EPU) in accordance with IAS 33: "Earning per Share", this has been shown on the face of the Income Statement</t>
  </si>
  <si>
    <t>Earning Per Unit</t>
  </si>
  <si>
    <t>Events after the Reporting Period</t>
  </si>
  <si>
    <t>The Board of Trustees of the Fund has declared no dividend for th</t>
  </si>
  <si>
    <t>General</t>
  </si>
  <si>
    <t>Figures appearing in these financial statements have been rounded off to nearest BDT.</t>
  </si>
  <si>
    <r>
      <t xml:space="preserve">Ekush First Unit Fund (hereinafter referred to as “the Fund”) was established as a Trust under the Trust Act, 1882 and registered with Sub-Registrar’s Office under the Registration Act 1908, on November 24, 2019. The Fund received Registration Certificate from the Bangladesh Securities and Exchange Commission (BSEC) on December 23, 2019 under the Securities and Exchange Commission (Mutual Fund) Rules 2001. The BSEC approved the Fund and provided consent on November 11, 2019. The initial size of the Fund is BDT. 100,000,000.00 (BDT. Ten Crore) divided into 10,000,000 (One Crore) units of BDT. 10 each. Subsequently, the unit capital of the fund now stands at BDT. 137,352,710.00.
</t>
    </r>
    <r>
      <rPr>
        <u/>
        <sz val="11"/>
        <color theme="1"/>
        <rFont val="Calibri"/>
        <family val="2"/>
        <scheme val="minor"/>
      </rPr>
      <t>Key Partners of the Fund are as follows:</t>
    </r>
    <r>
      <rPr>
        <sz val="11"/>
        <color theme="1"/>
        <rFont val="Calibri"/>
        <family val="2"/>
        <scheme val="minor"/>
      </rPr>
      <t xml:space="preserve">
Sponsor : Ekush Wealth Management Limited
Registered Address : Property Heights (1st Floor), 12 R.K. Mission Road, Dhaka - 1203
Trustee : Shandhani Life Insurance Company Limited
Registered Address : Shandhani Life Tower, Plot – 34, Bangla Motor, Dhaka - 1000
Custodian : BRAC Bank Limited
Registered Address : Anik Tower, 220/B, Tejgaon-Gulshan Link Road, Tejgaon, Dhaka - 1208
Asset Manager : Ekush Wealth Management Limited
Registered Address : Property Heights (1st Floor), 12 R.K. Mission Road, Dhaka – 1203</t>
    </r>
  </si>
  <si>
    <t>Interest Income from City Bank</t>
  </si>
  <si>
    <t>(i) The Fund shall invest subject to the Bangladesh Security Exchange Commission rules and only in those securities, deposits and investments approved by Bangladesh Securities and Exchange Commission and/or the Bangladesh Bank and/or the Insurance Development &amp; Regulatory Authority (IDRA) of Bangladesh or any other competent authority in this regard.
(ii) Not less than 60% (sixty percent) of the total assets of the Scheme of the Fund shall be invested in capital market instruments out of which at least 50% (fifty percent) percent shall be invested in listed securities.
(iii) Not more than 25% (twenty five percent) of the total asset of the Scheme of the Fund shall be invested in Fixed Income Securities (FIS).
(iv) Not more than 15% (fifteen percent) of the total asset of the Scheme shall be invested in Pre-IPOs at one time.
(v) All money collected under the Fund shall be invested only in cashable/transferable instruments, securities whether in money market or capital market or privately placed pre-IPO equity, preference shares, debentures or securitized debts. 
(vi) The Fund shall get the securities purchased or transferred in the name of the Fund.
(vii) Only the Asset Management Company will make the investment decisions and place orders for securities to be purchased or sold for the Scheme's portfolio.</t>
  </si>
  <si>
    <t>Purchase and Sale of Stocks at UCB Capital Management Limited</t>
  </si>
  <si>
    <t>Purchase and Sale of Stocks at SHELTECH Brokerage Limited</t>
  </si>
  <si>
    <t>IPO Application for LOVELLO</t>
  </si>
  <si>
    <t>Sale proceeds from SHELTECH Brokerage</t>
  </si>
  <si>
    <t>Payment of Accrued Trustee Fee</t>
  </si>
  <si>
    <t>Fair Value Adjustment to Reach Investment at Market Price</t>
  </si>
  <si>
    <t xml:space="preserve"> </t>
  </si>
  <si>
    <t>Dividend Received from Summit Power</t>
  </si>
  <si>
    <t>Purchase of Stocks at UCB Capital Management Limited</t>
  </si>
  <si>
    <t>Investment in Asian Tiger Capital Shariah Unit Fund</t>
  </si>
  <si>
    <t>Allotment of Lovello after Bidding</t>
  </si>
  <si>
    <t>Dividend Equalization Reserve</t>
  </si>
  <si>
    <t>IPO Application for eGeneration</t>
  </si>
  <si>
    <t>Lovello has been alloted and money refunded from DSE</t>
  </si>
  <si>
    <t>Provision for Dividend Equalization Reserve</t>
  </si>
  <si>
    <t xml:space="preserve">     Dividend Equalization Reserve</t>
  </si>
  <si>
    <t>Dividend Payable</t>
  </si>
  <si>
    <t>Retained Earnings</t>
  </si>
  <si>
    <t>Sale of Stocks at UNICAP Securities Limited</t>
  </si>
  <si>
    <t>Purchase and Sale of Stocks at UNICAP Securities Limited</t>
  </si>
  <si>
    <t>Payment of CDBL Charges</t>
  </si>
  <si>
    <t>Sale proceeds from UNICAP Securities Limited</t>
  </si>
  <si>
    <t>Dividend Received from DOMINAGE STEEL BUILDING SYSTEMS Limited</t>
  </si>
  <si>
    <t>eGeneration Allotment and IPO Application Money Refund</t>
  </si>
  <si>
    <t>Dividend Payment to SAILA SATTER</t>
  </si>
  <si>
    <t>Dividend Payment to Md. Shafiul Azam</t>
  </si>
  <si>
    <t xml:space="preserve">      Dividend Payable</t>
  </si>
  <si>
    <t>Dividend Receivable from EDGE AMC Growth Fund</t>
  </si>
  <si>
    <t>A00002</t>
  </si>
  <si>
    <t>A00003</t>
  </si>
  <si>
    <t>A00004</t>
  </si>
  <si>
    <t>A00005</t>
  </si>
  <si>
    <t>A00006</t>
  </si>
  <si>
    <t>A00007</t>
  </si>
  <si>
    <t>A00008</t>
  </si>
  <si>
    <t>A00009</t>
  </si>
  <si>
    <t>A00010</t>
  </si>
  <si>
    <t>A00011</t>
  </si>
  <si>
    <t>A00012</t>
  </si>
  <si>
    <t>A00013</t>
  </si>
  <si>
    <t>A00014</t>
  </si>
  <si>
    <t>A00015</t>
  </si>
  <si>
    <t>A00016</t>
  </si>
  <si>
    <t>A00017</t>
  </si>
  <si>
    <t>A00018</t>
  </si>
  <si>
    <t>A00019</t>
  </si>
  <si>
    <t>A00020</t>
  </si>
  <si>
    <t>A00021</t>
  </si>
  <si>
    <t>A00022</t>
  </si>
  <si>
    <t>A00023</t>
  </si>
  <si>
    <t>A00024</t>
  </si>
  <si>
    <t>A00025</t>
  </si>
  <si>
    <t>A00026</t>
  </si>
  <si>
    <t>A00027</t>
  </si>
  <si>
    <t>A00028</t>
  </si>
  <si>
    <t>A00029</t>
  </si>
  <si>
    <t>A00030</t>
  </si>
  <si>
    <t>A00031</t>
  </si>
  <si>
    <t>A00032</t>
  </si>
  <si>
    <t>A00033</t>
  </si>
  <si>
    <t>A00034</t>
  </si>
  <si>
    <t>A00035</t>
  </si>
  <si>
    <t>A00036</t>
  </si>
  <si>
    <t>A00037</t>
  </si>
  <si>
    <t>A00038</t>
  </si>
  <si>
    <t>A00039</t>
  </si>
  <si>
    <t>A00040</t>
  </si>
  <si>
    <t>A00041</t>
  </si>
  <si>
    <t>A00042</t>
  </si>
  <si>
    <t>A00043</t>
  </si>
  <si>
    <t>A00044</t>
  </si>
  <si>
    <t>A00045</t>
  </si>
  <si>
    <t>A00046</t>
  </si>
  <si>
    <t>A00047</t>
  </si>
  <si>
    <t>A00048</t>
  </si>
  <si>
    <t>A00049</t>
  </si>
  <si>
    <t>A00050</t>
  </si>
  <si>
    <t>A00051</t>
  </si>
  <si>
    <t>A00052</t>
  </si>
  <si>
    <t>A00053</t>
  </si>
  <si>
    <t>A00054</t>
  </si>
  <si>
    <t>A00055</t>
  </si>
  <si>
    <t>A00056</t>
  </si>
  <si>
    <t>A00057</t>
  </si>
  <si>
    <t>A00058</t>
  </si>
  <si>
    <t>A00059</t>
  </si>
  <si>
    <t>A00060</t>
  </si>
  <si>
    <t>A00061</t>
  </si>
  <si>
    <t>A00062</t>
  </si>
  <si>
    <t>A00063</t>
  </si>
  <si>
    <t>A00064</t>
  </si>
  <si>
    <t>A00065</t>
  </si>
  <si>
    <t>A00066</t>
  </si>
  <si>
    <t>A00067</t>
  </si>
  <si>
    <t>A00068</t>
  </si>
  <si>
    <t>A00069</t>
  </si>
  <si>
    <t>A00070</t>
  </si>
  <si>
    <t>A00071</t>
  </si>
  <si>
    <t>A00072</t>
  </si>
  <si>
    <t>A00073</t>
  </si>
  <si>
    <t>A00074</t>
  </si>
  <si>
    <t>A00075</t>
  </si>
  <si>
    <t>A00076</t>
  </si>
  <si>
    <t>A00077</t>
  </si>
  <si>
    <t>A00078</t>
  </si>
  <si>
    <t>A00079</t>
  </si>
  <si>
    <t>A00080</t>
  </si>
  <si>
    <t>A00081</t>
  </si>
  <si>
    <t>A00082</t>
  </si>
  <si>
    <t>A00083</t>
  </si>
  <si>
    <t>A00084</t>
  </si>
  <si>
    <t>A00085</t>
  </si>
  <si>
    <t>A00086</t>
  </si>
  <si>
    <t>A00087</t>
  </si>
  <si>
    <t>A00088</t>
  </si>
  <si>
    <t>A00089</t>
  </si>
  <si>
    <t>A00090</t>
  </si>
  <si>
    <t>A00091</t>
  </si>
  <si>
    <t>A00092</t>
  </si>
  <si>
    <t>A00093</t>
  </si>
  <si>
    <t>A00096</t>
  </si>
  <si>
    <t>A00097</t>
  </si>
  <si>
    <t>A00098</t>
  </si>
  <si>
    <t>A00099</t>
  </si>
  <si>
    <t>A00102</t>
  </si>
  <si>
    <t>A00109</t>
  </si>
  <si>
    <t>A00113</t>
  </si>
  <si>
    <t>A00115</t>
  </si>
  <si>
    <t>A00116</t>
  </si>
  <si>
    <t>A00119</t>
  </si>
  <si>
    <t>A00120</t>
  </si>
  <si>
    <t>A00121</t>
  </si>
  <si>
    <t>A00123</t>
  </si>
  <si>
    <t>A00124</t>
  </si>
  <si>
    <t>A00125</t>
  </si>
  <si>
    <t>A00126</t>
  </si>
  <si>
    <t>A00127</t>
  </si>
  <si>
    <t>A00131</t>
  </si>
  <si>
    <t>A00134</t>
  </si>
  <si>
    <t>A00136</t>
  </si>
  <si>
    <t>A00144</t>
  </si>
  <si>
    <t>A00145</t>
  </si>
  <si>
    <t>A00146</t>
  </si>
  <si>
    <t>A00147</t>
  </si>
  <si>
    <t>A00149</t>
  </si>
  <si>
    <t>A00150</t>
  </si>
  <si>
    <t>A00151</t>
  </si>
  <si>
    <t>A00152</t>
  </si>
  <si>
    <t>A00153</t>
  </si>
  <si>
    <t>A00154</t>
  </si>
  <si>
    <t>A00156</t>
  </si>
  <si>
    <t>A00157</t>
  </si>
  <si>
    <t>A00158</t>
  </si>
  <si>
    <t>A00159</t>
  </si>
  <si>
    <t>A00160</t>
  </si>
  <si>
    <t>A00163</t>
  </si>
  <si>
    <t>A00168</t>
  </si>
  <si>
    <t>A00169</t>
  </si>
  <si>
    <t>A00170</t>
  </si>
  <si>
    <t>A00171</t>
  </si>
  <si>
    <t>A00172</t>
  </si>
  <si>
    <t>A00173</t>
  </si>
  <si>
    <t>A00174</t>
  </si>
  <si>
    <t>A00177</t>
  </si>
  <si>
    <t>A00178</t>
  </si>
  <si>
    <t>A00179</t>
  </si>
  <si>
    <t>A00180</t>
  </si>
  <si>
    <t>A00181</t>
  </si>
  <si>
    <t>A00182</t>
  </si>
  <si>
    <t>A00183</t>
  </si>
  <si>
    <t>A00184</t>
  </si>
  <si>
    <t>A00185</t>
  </si>
  <si>
    <t>A00186</t>
  </si>
  <si>
    <t>A00188</t>
  </si>
  <si>
    <t>A00189</t>
  </si>
  <si>
    <t>A00190</t>
  </si>
  <si>
    <t>A00191</t>
  </si>
  <si>
    <t>A00192</t>
  </si>
  <si>
    <t>A00193</t>
  </si>
  <si>
    <t>A00194</t>
  </si>
  <si>
    <t>A00195</t>
  </si>
  <si>
    <t>A00199</t>
  </si>
  <si>
    <t>Payment to UNICAP Securities for purchase of stocks</t>
  </si>
  <si>
    <t>Interest Income from DBH</t>
  </si>
  <si>
    <t>Dividend paid to Mr. Shyamal Krishna Saha</t>
  </si>
  <si>
    <t>A00200</t>
  </si>
  <si>
    <t>A00201</t>
  </si>
  <si>
    <t>A00202</t>
  </si>
  <si>
    <t>A00203</t>
  </si>
  <si>
    <t>Dividend Received from EDGE AMC Growth Fund</t>
  </si>
  <si>
    <t>Dividend Paid to Mr. ANM Mahfuz</t>
  </si>
  <si>
    <t>A00206</t>
  </si>
  <si>
    <t>Withholding Tax Payable</t>
  </si>
  <si>
    <t>Dividend Disbursement for The Year Ended on December 31, 2020</t>
  </si>
  <si>
    <t>IPO Application of DGIC by Issuing PayOrder</t>
  </si>
  <si>
    <t>Management fee has been paid</t>
  </si>
  <si>
    <t>Realized Loss</t>
  </si>
  <si>
    <t>Dividend Receivable from GP</t>
  </si>
  <si>
    <t>Dividend Declared for the Year ended on December 31, 2020 at BDT. 0.80 per Unit</t>
  </si>
  <si>
    <t>IPO Application of BARAKA-PATENGA</t>
  </si>
  <si>
    <t>A00209</t>
  </si>
  <si>
    <t>Dividend Receivable from BATBC</t>
  </si>
  <si>
    <t>Sale Proceeds Received from UNICAP Securities Limited</t>
  </si>
  <si>
    <t>Payment of Management Fee</t>
  </si>
  <si>
    <t>Dividend Receivable from MARICO Bangladesh</t>
  </si>
  <si>
    <t>Dividend Received from MARICO Bangladesh</t>
  </si>
  <si>
    <t>Desh General Insurance Allotment and IPO Application Money Refund</t>
  </si>
  <si>
    <t>A00210</t>
  </si>
  <si>
    <t>A00211</t>
  </si>
  <si>
    <t>A00214</t>
  </si>
  <si>
    <t>A00215</t>
  </si>
  <si>
    <t>A00216</t>
  </si>
  <si>
    <t>Allotment of BARAKA PATENGA POWER</t>
  </si>
  <si>
    <t>Payment of Audit Fees fro the Year Ended on Dec 31, 2020</t>
  </si>
  <si>
    <t>Dividend Receivable from UFS-Pragati Life Unit Fund</t>
  </si>
  <si>
    <t>A00219</t>
  </si>
  <si>
    <t>Dividend paid to Mr. MD. KAMRUZZAMAN</t>
  </si>
  <si>
    <t>A00221</t>
  </si>
  <si>
    <t>Payment to AD POINT for Financial Statement Publishment Purpose</t>
  </si>
  <si>
    <t>A00222</t>
  </si>
  <si>
    <t>Audit fee expense has been occurred</t>
  </si>
  <si>
    <t>Purchase and Sale of Securities at UNICAP Securities Limited</t>
  </si>
  <si>
    <t>INVESTOR NAME</t>
  </si>
  <si>
    <t>INVESTOR CODE</t>
  </si>
  <si>
    <t>HARI PADA SAHA</t>
  </si>
  <si>
    <t>EKUSH WEALTH MANAGEMENT LIMITED</t>
  </si>
  <si>
    <t>SADIA AHMED</t>
  </si>
  <si>
    <t>MORSHEDA MIM</t>
  </si>
  <si>
    <t>AHMAD ZAHID ZAKI</t>
  </si>
  <si>
    <t>JNANDIP PAUL</t>
  </si>
  <si>
    <t>NANI GOPAL DATTA</t>
  </si>
  <si>
    <t>SWADESH RANJAN SAHA</t>
  </si>
  <si>
    <t>SYED ADNAN HUDA</t>
  </si>
  <si>
    <t>A00094</t>
  </si>
  <si>
    <t>CHAONIKA SAHA</t>
  </si>
  <si>
    <t>A00095</t>
  </si>
  <si>
    <t>SK FEROZ ALAM</t>
  </si>
  <si>
    <t>SHAMSUZZAMAN</t>
  </si>
  <si>
    <t>KAMRUL MOMIN</t>
  </si>
  <si>
    <t>A00100</t>
  </si>
  <si>
    <t>MD RAFIQUL ISLAM KHAN</t>
  </si>
  <si>
    <t>A00101</t>
  </si>
  <si>
    <t>ADNAN RASHID</t>
  </si>
  <si>
    <t>MD. MESBAH UDDIN KHAN</t>
  </si>
  <si>
    <t>A00103</t>
  </si>
  <si>
    <t>NASIR UDDIN BABU</t>
  </si>
  <si>
    <t>A00104</t>
  </si>
  <si>
    <t>RIZIA SULTANA AND MOFAZZAL MAMUN KHAN</t>
  </si>
  <si>
    <t>A00105</t>
  </si>
  <si>
    <t>SYED REZWANUL HUQ</t>
  </si>
  <si>
    <t>A00106</t>
  </si>
  <si>
    <t>NAZMUL AHSAN</t>
  </si>
  <si>
    <t>A00107</t>
  </si>
  <si>
    <t>NABADIP ROY</t>
  </si>
  <si>
    <t>A00108</t>
  </si>
  <si>
    <t>RAHNUMA SANJANA</t>
  </si>
  <si>
    <t>MD. NABIL BARKET</t>
  </si>
  <si>
    <t>A00110</t>
  </si>
  <si>
    <t>RASEDUL ISLAM</t>
  </si>
  <si>
    <t>A00111</t>
  </si>
  <si>
    <t>MOHAMMED HAFIZ UDDIN</t>
  </si>
  <si>
    <t>A00112</t>
  </si>
  <si>
    <t>MD. MONIRUZZAMAN</t>
  </si>
  <si>
    <t>S.M. FERDAUS HOSSAIN</t>
  </si>
  <si>
    <t>A00114</t>
  </si>
  <si>
    <t>N M AL HOSSAIN</t>
  </si>
  <si>
    <t>MOHAMMAD SAIFUDDOWLA</t>
  </si>
  <si>
    <t>A00117</t>
  </si>
  <si>
    <t>MD ABDUL AZIZ</t>
  </si>
  <si>
    <t>A00118</t>
  </si>
  <si>
    <t>A00122</t>
  </si>
  <si>
    <t>A00128</t>
  </si>
  <si>
    <t>A00129</t>
  </si>
  <si>
    <t>A00130</t>
  </si>
  <si>
    <t>A00132</t>
  </si>
  <si>
    <t>A00133</t>
  </si>
  <si>
    <t>A00135</t>
  </si>
  <si>
    <t>A00137</t>
  </si>
  <si>
    <t>A00138</t>
  </si>
  <si>
    <t>A00139</t>
  </si>
  <si>
    <t>A00140</t>
  </si>
  <si>
    <t>A00141</t>
  </si>
  <si>
    <t>A00142</t>
  </si>
  <si>
    <t>A00143</t>
  </si>
  <si>
    <t>A00148</t>
  </si>
  <si>
    <t>A00155</t>
  </si>
  <si>
    <t>A00161</t>
  </si>
  <si>
    <t>A00162</t>
  </si>
  <si>
    <t>A00164</t>
  </si>
  <si>
    <t>A00165</t>
  </si>
  <si>
    <t>A00166</t>
  </si>
  <si>
    <t>A00167</t>
  </si>
  <si>
    <t>A00175</t>
  </si>
  <si>
    <t>A00176</t>
  </si>
  <si>
    <t>KAMRUL HASAN MAHMUD</t>
  </si>
  <si>
    <t>MD. ALAMGIR HOSSAIN</t>
  </si>
  <si>
    <t>MD. SAJID SAADAT ALI</t>
  </si>
  <si>
    <t>HASIB MUSTABSIR</t>
  </si>
  <si>
    <t>MD. HARUN OR RASHID</t>
  </si>
  <si>
    <t>MUHAMMAD TANVIR ARAFAT</t>
  </si>
  <si>
    <t>A00196</t>
  </si>
  <si>
    <t>MD. WALI ULLAH</t>
  </si>
  <si>
    <t>A00197</t>
  </si>
  <si>
    <t>MD. NIAZ MURSHED</t>
  </si>
  <si>
    <t>A00198</t>
  </si>
  <si>
    <t>DBH EMPLOYEES GRATUITY FUND</t>
  </si>
  <si>
    <t>JOHORA KHATUN</t>
  </si>
  <si>
    <t>MAHMUD ALI ALAMGIR</t>
  </si>
  <si>
    <t>REZIA RAHMAT</t>
  </si>
  <si>
    <t>MUNTASIR HASAN</t>
  </si>
  <si>
    <t>A00204</t>
  </si>
  <si>
    <t>NAZNIN AKTER</t>
  </si>
  <si>
    <t>A00205</t>
  </si>
  <si>
    <t>RAKIBUL ISLAM</t>
  </si>
  <si>
    <t>A00207</t>
  </si>
  <si>
    <t>ZUBAYER SARWAR</t>
  </si>
  <si>
    <t>A00208</t>
  </si>
  <si>
    <t>CHOWDHURY MD. RAIYAN ALAM</t>
  </si>
  <si>
    <t>FARUQUE AHMED &amp; ZAHEDA BEGUM HENA</t>
  </si>
  <si>
    <t>MOHAMMAD HABIB RASHID</t>
  </si>
  <si>
    <t>MAHFUZUL ISLAM</t>
  </si>
  <si>
    <t>A00212</t>
  </si>
  <si>
    <t>FARHANA AKHTER</t>
  </si>
  <si>
    <t>A00213</t>
  </si>
  <si>
    <t>NOOR AL-RAFI</t>
  </si>
  <si>
    <t>K.M SAKIB AHMED</t>
  </si>
  <si>
    <t>SK FEROZ ALAM &amp; MD BULBUL ISLAM</t>
  </si>
  <si>
    <t>TAPU GUHA</t>
  </si>
  <si>
    <t>A00217</t>
  </si>
  <si>
    <t>MOHAMMAD SAMIR UDDIN</t>
  </si>
  <si>
    <t>A00218</t>
  </si>
  <si>
    <t>K M ROHAN AHMED</t>
  </si>
  <si>
    <t>TAHMID HASAN</t>
  </si>
  <si>
    <t>MIDLAND BANK LIMITED</t>
  </si>
  <si>
    <t>MOHAMMAD AKIB NAWAZ</t>
  </si>
  <si>
    <t>A00223</t>
  </si>
  <si>
    <t>A00224</t>
  </si>
  <si>
    <t>BIJOY CHANDRA DAS</t>
  </si>
  <si>
    <t>A00225</t>
  </si>
  <si>
    <t>RAIS-UR-RUBBI</t>
  </si>
  <si>
    <t>A00226</t>
  </si>
  <si>
    <t>FATEMA-TUZ JOHURA NILA</t>
  </si>
  <si>
    <t>A00227</t>
  </si>
  <si>
    <t xml:space="preserve">          Audit Fee</t>
  </si>
  <si>
    <t>Payment of Audit Fees fro the Year Ended on Dec 31, 2029</t>
  </si>
  <si>
    <t>Dividend Received from BATBC</t>
  </si>
  <si>
    <t>Dividend Received from Grameenphone</t>
  </si>
  <si>
    <t>A00228</t>
  </si>
  <si>
    <t>A00229</t>
  </si>
  <si>
    <t>BALARAM CHANDRA SAHA</t>
  </si>
  <si>
    <t>BACKBONE</t>
  </si>
  <si>
    <t>Dividend Receivable from BRAC BANK Limited</t>
  </si>
  <si>
    <t>dividend income</t>
  </si>
  <si>
    <t>Dividend Received from SINGERBD Limited</t>
  </si>
  <si>
    <t>A00230</t>
  </si>
  <si>
    <t>GOPI NATH GHOSH</t>
  </si>
  <si>
    <t>A00231</t>
  </si>
  <si>
    <t>SULTANA RAZIA</t>
  </si>
  <si>
    <t>SECURE LINK SERVICES BANGLADESH LIMITED</t>
  </si>
  <si>
    <t>QUAZI TOWFIQUE UDDIN</t>
  </si>
  <si>
    <t>MD. FERDAUS WAHID</t>
  </si>
  <si>
    <t>A00232</t>
  </si>
  <si>
    <t>A00233</t>
  </si>
  <si>
    <t>A00234</t>
  </si>
  <si>
    <t>A00235</t>
  </si>
  <si>
    <t>Payment to AD ROOT for SIP Advertisement</t>
  </si>
  <si>
    <t>IPO Application of NIALCO</t>
  </si>
  <si>
    <t>CDBL Charges' Payment to BBL</t>
  </si>
  <si>
    <t>Partial Dividend Received from VANGUARD AML GROWTH FUND</t>
  </si>
  <si>
    <t>A00236</t>
  </si>
  <si>
    <t>A00237</t>
  </si>
  <si>
    <t>MD SHAFIUL AZAM</t>
  </si>
  <si>
    <t>IVA JAMAL</t>
  </si>
  <si>
    <t>A00238</t>
  </si>
  <si>
    <t>ILINE JAMAL</t>
  </si>
  <si>
    <t>TARUN KUMAR SARKER</t>
  </si>
  <si>
    <t>A00239</t>
  </si>
  <si>
    <t>A00240</t>
  </si>
  <si>
    <t>JHARNA AHMED</t>
  </si>
  <si>
    <t>Allotment of NAILCO</t>
  </si>
  <si>
    <t>IPO Application of SONALI LIFE INSURANCE</t>
  </si>
  <si>
    <t>A00241</t>
  </si>
  <si>
    <t>A00242</t>
  </si>
  <si>
    <t>A00243</t>
  </si>
  <si>
    <t>A00244</t>
  </si>
  <si>
    <t>A00245</t>
  </si>
  <si>
    <t>A00246</t>
  </si>
  <si>
    <t>MD KAMAL HOSSAIN</t>
  </si>
  <si>
    <t>MD ABDULLAH-AL- MAMUN</t>
  </si>
  <si>
    <t>MD. MEHEDI HASSAN MILON</t>
  </si>
  <si>
    <t>MOHAMMAD SAMIUL ALAM</t>
  </si>
  <si>
    <t>ZAFOR UDDIN AHMED</t>
  </si>
  <si>
    <t>ABACI INVESTMENTS LTD. EC PROVIDENT FUND</t>
  </si>
  <si>
    <t>Sale Proceeds Received from Sheltech Brokerage Limited</t>
  </si>
  <si>
    <t>4.5% Dividend Declared by AT CAPITAL</t>
  </si>
  <si>
    <t>Purchase &amp; Sale of Stocks at UNICAP Securities Ltd.</t>
  </si>
  <si>
    <t>Sale of Stocks at UNICAP Securities Ltd.</t>
  </si>
  <si>
    <t>A00247</t>
  </si>
  <si>
    <t>A00248</t>
  </si>
  <si>
    <t>A00249</t>
  </si>
  <si>
    <t>A00250</t>
  </si>
  <si>
    <t>SHANTA PAUL</t>
  </si>
  <si>
    <t>ANJAN MALLIK</t>
  </si>
  <si>
    <t>HASINA JANNAT</t>
  </si>
  <si>
    <t>MR. NAYAN KUMAR CHOWDHURY</t>
  </si>
  <si>
    <t>Payment of "Withholding Tax Payable"</t>
  </si>
  <si>
    <t>A00251</t>
  </si>
  <si>
    <t>A00252</t>
  </si>
  <si>
    <t>NITYANANDA BISWAS</t>
  </si>
  <si>
    <t>Purchase and Sale of Stocks at UNICAP Securities Ltd.</t>
  </si>
  <si>
    <t>Allotment of Sonali Life Insurance Company Limited and IPO Refund</t>
  </si>
  <si>
    <t>Dividend Received from BRAC Bank Limited</t>
  </si>
  <si>
    <t>A00253</t>
  </si>
  <si>
    <t>A00254</t>
  </si>
  <si>
    <t>SARDER SAYED AKRAM</t>
  </si>
  <si>
    <t>MD. ATIQUR RAHMAN</t>
  </si>
  <si>
    <t>A00255</t>
  </si>
  <si>
    <t>MAHMUDUL HASSAN</t>
  </si>
  <si>
    <t>A00256</t>
  </si>
  <si>
    <t>TANVIR HASAN</t>
  </si>
  <si>
    <t>A00257</t>
  </si>
  <si>
    <t>S. M. ALI MANZIR PALLAB</t>
  </si>
  <si>
    <t>A00258</t>
  </si>
  <si>
    <t>MD. WALID - AL - ZUBAYER</t>
  </si>
  <si>
    <t>Dividend Received from AT-CAPITAL (Shariah Unit Fund)</t>
  </si>
  <si>
    <t>Total Div</t>
  </si>
  <si>
    <t>Per Unit Dev</t>
  </si>
  <si>
    <t>A00259</t>
  </si>
  <si>
    <t>MEHEDI HASSAN RONI</t>
  </si>
  <si>
    <t>A00260</t>
  </si>
  <si>
    <t>CHANCHAL KUMAR SAHA</t>
  </si>
  <si>
    <t>A00261</t>
  </si>
  <si>
    <t>MEHERUN NESSA JUTHY</t>
  </si>
  <si>
    <t>A00262</t>
  </si>
  <si>
    <t>MASTURA MUNIAT</t>
  </si>
  <si>
    <t>A00263</t>
  </si>
  <si>
    <t>JOY SHREE SAHA</t>
  </si>
  <si>
    <t>A00264</t>
  </si>
  <si>
    <t>A S SALAHUDDIN AHMED</t>
  </si>
  <si>
    <t>A00265</t>
  </si>
  <si>
    <t>MOHAMMED SAJEDUR RAHMAN</t>
  </si>
  <si>
    <t>A00266</t>
  </si>
  <si>
    <t>JUBAIR MOHAMMAD HASAN</t>
  </si>
  <si>
    <t>A00267</t>
  </si>
  <si>
    <t>HABIB REDWAN RAFI</t>
  </si>
  <si>
    <t>A00268</t>
  </si>
  <si>
    <t>NAUSHEEN AHMED</t>
  </si>
  <si>
    <t>A00269</t>
  </si>
  <si>
    <t>A00270</t>
  </si>
  <si>
    <t>INTEREST INCOME HAS BEEN RECEIVED</t>
  </si>
  <si>
    <t>Dividend Receivable from SIGNERBD</t>
  </si>
  <si>
    <t>QAZI MUSADDEQ AHMAD</t>
  </si>
  <si>
    <t>IFTAKHAR AHMED</t>
  </si>
  <si>
    <t>MD. MANAZIR KABIR</t>
  </si>
  <si>
    <t>MD. WALIULLAH. SWADESH RANJAN SAHA &amp; MD. MIZZNUR RAHMAN</t>
  </si>
  <si>
    <t>IMTIAJ ARA</t>
  </si>
  <si>
    <t>NADIRA AKTER</t>
  </si>
  <si>
    <t>A00271</t>
  </si>
  <si>
    <t>ABDULLAH-AL-FAHIM</t>
  </si>
  <si>
    <t>A00272</t>
  </si>
  <si>
    <t>SAJAN KUMAR BASAK</t>
  </si>
  <si>
    <t>A00273</t>
  </si>
  <si>
    <t>JAHAN ARA BEGUM</t>
  </si>
  <si>
    <t>A00274</t>
  </si>
  <si>
    <t>MOHAMMAD SHAHIDUL ISLAM</t>
  </si>
  <si>
    <t>A00275</t>
  </si>
  <si>
    <t>MD. MARUF SIKDER</t>
  </si>
  <si>
    <t>IPO APPLICATION OF SBAC</t>
  </si>
  <si>
    <t>IPO APPLICATION</t>
  </si>
  <si>
    <t>Payment of Custodian Fee</t>
  </si>
  <si>
    <t>Purchase and sell of stocks @ Unicap Securites</t>
  </si>
  <si>
    <t>A00276</t>
  </si>
  <si>
    <t>MD. ARIFUL ISLAM</t>
  </si>
  <si>
    <t>A00277</t>
  </si>
  <si>
    <t>SK. MOINUL HASSAN</t>
  </si>
  <si>
    <t>A00278</t>
  </si>
  <si>
    <t>MD. AHSAN-UZ ZAMAN</t>
  </si>
  <si>
    <t>A00279</t>
  </si>
  <si>
    <t>GOURI TOSH PAUL</t>
  </si>
  <si>
    <t>Interest received from APSCLBOND</t>
  </si>
  <si>
    <t>A00280</t>
  </si>
  <si>
    <t>FARHAN SHAHRIAR DIPTO</t>
  </si>
  <si>
    <t>A00281</t>
  </si>
  <si>
    <t>RAJIB SAHA</t>
  </si>
  <si>
    <t>A00282</t>
  </si>
  <si>
    <t>ALVI RAHMAN</t>
  </si>
  <si>
    <t>A00283</t>
  </si>
  <si>
    <t>MOHAMMAD MIZANUR RAHMAN</t>
  </si>
  <si>
    <t>A00284</t>
  </si>
  <si>
    <t>UMME SALMA KATHA</t>
  </si>
  <si>
    <t>A00285</t>
  </si>
  <si>
    <t>MD. ZAHIRUL ISLAM</t>
  </si>
  <si>
    <t>A00286</t>
  </si>
  <si>
    <t>ASRAFUZZAMAN</t>
  </si>
  <si>
    <t>Purchase and Sale of Stocks at Unicap securities Ltd.</t>
  </si>
  <si>
    <t>Allocation of SBACB after bidding</t>
  </si>
  <si>
    <t>Sale of Stocks at Unicap securities Limited</t>
  </si>
  <si>
    <t>A00287</t>
  </si>
  <si>
    <t>MD. RAFIQUR RAHMAN</t>
  </si>
  <si>
    <t>A00288</t>
  </si>
  <si>
    <t>MD ABDUS SAMAD AZAD</t>
  </si>
  <si>
    <t>A00289</t>
  </si>
  <si>
    <t>MAHBUB-UL-ANAM KHAN</t>
  </si>
  <si>
    <t>A00290</t>
  </si>
  <si>
    <t>NUR ELAHEE MOLLA</t>
  </si>
  <si>
    <t>A00291</t>
  </si>
  <si>
    <t>SAYEM AHMED</t>
  </si>
  <si>
    <t>A00292</t>
  </si>
  <si>
    <t>RAIS UDDIN AHMAD</t>
  </si>
  <si>
    <t>A00293</t>
  </si>
  <si>
    <t>BENOZEER AHMED</t>
  </si>
  <si>
    <t>A00294</t>
  </si>
  <si>
    <t>SUMAIYA CHOWDHURY RUPTY</t>
  </si>
  <si>
    <t>GREEN DELTA SECURITIES LIMITED</t>
  </si>
  <si>
    <t>HARUNUR RASHID</t>
  </si>
  <si>
    <t>A00295</t>
  </si>
  <si>
    <t>SARWAR</t>
  </si>
  <si>
    <t>A00296</t>
  </si>
  <si>
    <t>SOHEL MAHMOOD</t>
  </si>
  <si>
    <t>A00297</t>
  </si>
  <si>
    <t>MOSTAFIZUR RAHMAN</t>
  </si>
  <si>
    <t>A00298</t>
  </si>
  <si>
    <t>MUSHFIQUR RAHMAN</t>
  </si>
  <si>
    <t>A00299</t>
  </si>
  <si>
    <t>MD. ASHADUL HOQUE</t>
  </si>
  <si>
    <t>A00300</t>
  </si>
  <si>
    <t>Interim Dividend By GP</t>
  </si>
  <si>
    <t>JANNATUL FERDOUS SHARNA</t>
  </si>
  <si>
    <t>A00301</t>
  </si>
  <si>
    <t>A.T.M. MORSHED KAMAL</t>
  </si>
  <si>
    <t>A00302</t>
  </si>
  <si>
    <t>A00303</t>
  </si>
  <si>
    <t>KHANDAKAR MOHAMMAD NURUL HADIUZZAMAN</t>
  </si>
  <si>
    <t>SYED NAYEEMUDDIN HOSSAIN</t>
  </si>
  <si>
    <t>A00304</t>
  </si>
  <si>
    <t>Purchase of Stocks at SHELTECH Brokerage Limited</t>
  </si>
  <si>
    <t>ANWAR ZAHID</t>
  </si>
  <si>
    <t>A00220</t>
  </si>
  <si>
    <t>Subscription of Units throught SIP at BDT. 14.67</t>
  </si>
  <si>
    <t>A00305</t>
  </si>
  <si>
    <t>SHIHAB MAHMUD</t>
  </si>
  <si>
    <t>A00187</t>
  </si>
  <si>
    <t>SHAHNAZ PARVEEN</t>
  </si>
  <si>
    <t>HABIBA CHOWDHURY SHELI</t>
  </si>
  <si>
    <t>A00306</t>
  </si>
  <si>
    <t>CHAYAN KUMAR BARUA</t>
  </si>
  <si>
    <t>A00307</t>
  </si>
  <si>
    <t>A00308</t>
  </si>
  <si>
    <t>MD. MOSABBIR ALAM</t>
  </si>
  <si>
    <t>IPO Application of ORYZAAGRO</t>
  </si>
  <si>
    <t>Payment to SHELTECH Brokerage Limited for purchase of stocks</t>
  </si>
  <si>
    <t>Sale of Stocks at UCB Stock Brokerage Limited</t>
  </si>
  <si>
    <t>Purchase of Stocks at UCB Stock Brokerage Limited</t>
  </si>
  <si>
    <t>Dividend Receivable from WALTONHIL</t>
  </si>
  <si>
    <t>Payment to UCB Stock Brokerage Limited for purchase of stocks</t>
  </si>
  <si>
    <t>Buy and Sale of Stocks at Unicap Securities Limited</t>
  </si>
  <si>
    <t>SAMMIR BIN DELOWER</t>
  </si>
  <si>
    <t>A00309</t>
  </si>
  <si>
    <t>Sale Proceeds Received from UCB Stock Brokerage Limited</t>
  </si>
  <si>
    <t>IPO Application of MASTERAGRO</t>
  </si>
  <si>
    <t>Allotment of ORYZAAGRO</t>
  </si>
  <si>
    <t>Sale Proceeds Received from SHELTECH Brokerage Limited</t>
  </si>
  <si>
    <t>UNMESH RAY HIMEL</t>
  </si>
  <si>
    <t>A00310</t>
  </si>
  <si>
    <t>Allotment of MASTERAGRO</t>
  </si>
  <si>
    <t>CDBL Annual Fee</t>
  </si>
  <si>
    <t>BO Account Maintenance Fee</t>
  </si>
  <si>
    <t>Buy and Sale of Stocks at SHELTECH Brokerage Limited</t>
  </si>
  <si>
    <t>IPO Application of MOSTAFA METAL</t>
  </si>
  <si>
    <t>Payment of ANNUAL BSEC FEE</t>
  </si>
  <si>
    <t>Subscription of Units throught SIP at BDT. 15.06</t>
  </si>
  <si>
    <t>Payment to Unicap Securities Limited for purchase of stocks</t>
  </si>
  <si>
    <t>Buy and Sale of Stocks at UCB Stock Brokerage Limited</t>
  </si>
  <si>
    <t>Sale of Investments from UFS-PRAGATI LIFE UNIT FUND</t>
  </si>
  <si>
    <t>Sale of Investments from VANGUARD AML GF</t>
  </si>
  <si>
    <t>Printing Expenses</t>
  </si>
  <si>
    <t>Allotment of MOSTAFA METAL</t>
  </si>
  <si>
    <t>Dividend Received from WALTONHIL</t>
  </si>
  <si>
    <t>Application for IPO of Sena Kolyan Insurance &amp; bidding fee</t>
  </si>
  <si>
    <t>BABITA RANI BARMAN</t>
  </si>
  <si>
    <t>MOHAMMAD MARUFUR RAHMAN SIKDER</t>
  </si>
  <si>
    <t>SHARMEEN MAHMUD</t>
  </si>
  <si>
    <t>A00311</t>
  </si>
  <si>
    <t>MST. NASIRA KHATUN</t>
  </si>
  <si>
    <t>A00312</t>
  </si>
  <si>
    <t>REDOY BARMON</t>
  </si>
  <si>
    <t>A00313</t>
  </si>
  <si>
    <t>Application for IPO of ACME PESTICIDES LIMITED &amp; bidding fee</t>
  </si>
  <si>
    <t>Allotment of SENA KALYAN INSURANCE</t>
  </si>
  <si>
    <t>Application for IPO of KRISHIBID FEED &amp; bidding fee</t>
  </si>
  <si>
    <t>Allotment of KRISHIBID FEED</t>
  </si>
  <si>
    <t>Sale of Investments from UFS-PRAGATI LIFE UF</t>
  </si>
  <si>
    <t>Allotment of ACME PESTICIDES LIMITED</t>
  </si>
  <si>
    <t>RAFAYET ULLAH</t>
  </si>
  <si>
    <t>A00314</t>
  </si>
  <si>
    <t>Payment to UNICAP Securities Limited for purchase of stocks</t>
  </si>
  <si>
    <t>Buy and Sale of Stocks at UNICAP Securities Limited</t>
  </si>
  <si>
    <t>Sale proceeds received SHELTECH Brokerage Limited for purchase of stocks</t>
  </si>
  <si>
    <t>Sale proceeds received UCB Stock Brokerage Limited for purchase of stocks</t>
  </si>
  <si>
    <t>Payment to SHELTECH BROKERAGE Limited for purchase of stocks</t>
  </si>
  <si>
    <t>A00315</t>
  </si>
  <si>
    <t>ZAKIA SULTANA</t>
  </si>
  <si>
    <t>MOUMITA ROY</t>
  </si>
  <si>
    <t>A00316</t>
  </si>
  <si>
    <t>MONSURUL MOHAMMAD SHAHRIAR</t>
  </si>
  <si>
    <t>A00317</t>
  </si>
  <si>
    <t>Sale proceeds received UNICAP Securities Limited for Sale of stocks</t>
  </si>
  <si>
    <t>Sale proceeds received SHELTECH Brokerage Limited for Sale of stocks</t>
  </si>
  <si>
    <t>Sale proceeds received from SHELTECH Brokerage Limited for Sale of stocks</t>
  </si>
  <si>
    <t>Dividend Receivable from SQUARPHARMA</t>
  </si>
  <si>
    <t>Dividend Receivable from RENATA</t>
  </si>
  <si>
    <t>Purchase of Stocks at Unicap Securities Limited</t>
  </si>
  <si>
    <t>Sale proceeds received from Unicap Securities Limited for Sale of stocks</t>
  </si>
  <si>
    <t>Bank charge has been charged (TCB)</t>
  </si>
  <si>
    <t>INTEREST INCOME HAS BEEN RECEIVED (TCB)</t>
  </si>
  <si>
    <t>IPO Application of UNION INSURANCE</t>
  </si>
  <si>
    <t>Dividend Received from UFS-Pragati Life Unit Fund</t>
  </si>
  <si>
    <t>Dividend Receivables from VAML GF</t>
  </si>
  <si>
    <t>IPO Application of BD THAI FOOD &amp; BEVERAGE LTD.</t>
  </si>
  <si>
    <t>UNION INSURANCE Allotment and IPO Application Money Refund</t>
  </si>
  <si>
    <t>IPO Application of UNION BANK LIMITED</t>
  </si>
  <si>
    <t>Interest Credited in the Bank Account</t>
  </si>
  <si>
    <t>Unit Subscription - LUMPSUM</t>
  </si>
  <si>
    <t>Unit Surrender - Lumpsum</t>
  </si>
  <si>
    <t>Reinvestment of Dividend by Investor - CIP</t>
  </si>
  <si>
    <t>Unit Surrender - Lumpsum &amp; Dividend Payment</t>
  </si>
  <si>
    <t>Withdrawal of SIP &amp; LS Units</t>
  </si>
  <si>
    <t>Withdrawal of SIP Units</t>
  </si>
  <si>
    <t>Subscription of Units throught SIP</t>
  </si>
  <si>
    <t>BO Account Fee</t>
  </si>
  <si>
    <t>Purchase of Stocks at UCB Stock Brokerage Limited.</t>
  </si>
  <si>
    <t>Audit Fee Payable</t>
  </si>
  <si>
    <t>January 01 to December 31, 2021</t>
  </si>
  <si>
    <t>Dividend Received from Square Pharmaceuticals Ltd.</t>
  </si>
  <si>
    <t>Accrued Trustee Fee has been Paid</t>
  </si>
  <si>
    <t>IPO Application of JMI Hospital Requisite Mfg. Ltd.</t>
  </si>
  <si>
    <t>BD Thai Allotment and IPO Application Money Refund</t>
  </si>
  <si>
    <t>UNION BANK Allotment and IPO Application Money Refund</t>
  </si>
  <si>
    <t>Dividend Received from RENATA Limited.</t>
  </si>
  <si>
    <t>Sale proceeds received from UNICAP Securities Limited for Sale of stocks</t>
  </si>
  <si>
    <t>Payment to The Financial Express</t>
  </si>
  <si>
    <t>SHARMIN JAHAN SHANTA</t>
  </si>
  <si>
    <t>A00318</t>
  </si>
  <si>
    <t>MD. MIZANUR RAHMAN</t>
  </si>
  <si>
    <t>A00319</t>
  </si>
  <si>
    <t>MD. SAIFULLAH AL AZAD</t>
  </si>
  <si>
    <t>A00320</t>
  </si>
  <si>
    <t>MD. JAHIRUL ISLAM</t>
  </si>
  <si>
    <t>A00321</t>
  </si>
  <si>
    <t>AHMED BIN MONSUR</t>
  </si>
  <si>
    <t>A00322</t>
  </si>
  <si>
    <t>MUNTASIR MAHMUD RAHMAN</t>
  </si>
  <si>
    <t>A00323</t>
  </si>
  <si>
    <t>MD. NAHIDUR RASHID</t>
  </si>
  <si>
    <t>A00324</t>
  </si>
  <si>
    <t>SAJED MADBAR</t>
  </si>
  <si>
    <t>A00325</t>
  </si>
  <si>
    <t>THE GSP FINANCE COMPANY (BANGLADESH) LIMITED EMPLOYEES PROVIDENT FUND</t>
  </si>
  <si>
    <t>A00326</t>
  </si>
  <si>
    <t>A00327</t>
  </si>
  <si>
    <t>Dividend Receivable from EDGE AMC GROWTH FUND</t>
  </si>
  <si>
    <t>Dividend Paid to Phoenix Finance &amp; Investments Ltd</t>
  </si>
  <si>
    <t>Dividend Paid to Phoenix Insurance CO. LTD. EMPL. P.F.</t>
  </si>
  <si>
    <t>Remaining Management Fee has been paid for the period ended on September 18, 2021</t>
  </si>
  <si>
    <t>Allotment of JHRML</t>
  </si>
  <si>
    <t>Dividend Paid to Phoenix Insurance Company Limited</t>
  </si>
  <si>
    <t>Dividend Paid to UNICAP Investments Limited</t>
  </si>
  <si>
    <t>Dividend Paid to ICB Asset Management Company Limited</t>
  </si>
  <si>
    <t>Dividend Paid to UNICAP Securities Limited</t>
  </si>
  <si>
    <t>Dividend Paid to UCIL Employees' Provident Fund</t>
  </si>
  <si>
    <t>Dividend Paid to National Bank Limited</t>
  </si>
  <si>
    <t>Dividend Paid to Reliance Insurance limited</t>
  </si>
  <si>
    <t>Unit Surrender - Lumpsum &amp; SIP</t>
  </si>
  <si>
    <t>M.A. MALEK SIDDIQUE WALI &amp; CO.</t>
  </si>
  <si>
    <t>SAILENDRA SAHA</t>
  </si>
  <si>
    <t>A00328</t>
  </si>
  <si>
    <t>ASHRAFUL ISLAM</t>
  </si>
  <si>
    <t>A00329</t>
  </si>
  <si>
    <t>TANIA KABIR</t>
  </si>
  <si>
    <t>A00330</t>
  </si>
  <si>
    <t>MD. SHEFATH-UL-ISLAM</t>
  </si>
  <si>
    <t>A00331</t>
  </si>
  <si>
    <t>MOHAMMED FUAD ZIBRAN</t>
  </si>
  <si>
    <t>A00332</t>
  </si>
  <si>
    <t>MD. GOLAM MORTAZA</t>
  </si>
  <si>
    <t>A00333</t>
  </si>
  <si>
    <t>SUSMITA DHAR</t>
  </si>
  <si>
    <t>A00334</t>
  </si>
  <si>
    <t>SHAHED UDDIN MOHAMMED PARVEZ</t>
  </si>
  <si>
    <t>A00335</t>
  </si>
  <si>
    <t>A00336</t>
  </si>
  <si>
    <t>Sale of securities at Unicap Securities Limited</t>
  </si>
  <si>
    <t>Sale proceeds received from UCB STOCK BROKERAGE Limited for Sale of stocks - LONG TIME</t>
  </si>
  <si>
    <t>Dividend Paid to A00006</t>
  </si>
  <si>
    <t>BISHWAJIT BASAK</t>
  </si>
  <si>
    <t>A00337</t>
  </si>
  <si>
    <t>MOHAMMED ZAHID HOSSAIN</t>
  </si>
  <si>
    <t>A00338</t>
  </si>
  <si>
    <t>A00339</t>
  </si>
  <si>
    <t>ASMAR OSMAN</t>
  </si>
  <si>
    <t>A00340</t>
  </si>
  <si>
    <t>A00341</t>
  </si>
  <si>
    <t>FAISAL BIN MALEQUE</t>
  </si>
  <si>
    <t>A00342</t>
  </si>
  <si>
    <t>MD. IMRAN HOSSAIN</t>
  </si>
  <si>
    <t>A00343</t>
  </si>
  <si>
    <t>A00344</t>
  </si>
  <si>
    <t>KAZI RASEL</t>
  </si>
  <si>
    <t>A00345</t>
  </si>
  <si>
    <t>Dividend Paid to A00076</t>
  </si>
  <si>
    <t>DIVIDEND PAID TO SEVERAL INVESTORS</t>
  </si>
  <si>
    <t>ANJANA SAHA</t>
  </si>
  <si>
    <t>TANIZA MAZED</t>
  </si>
  <si>
    <t>MD. SHAHIDUL ISLAM</t>
  </si>
  <si>
    <t>PRATIMA DEV</t>
  </si>
  <si>
    <t>UCB STOCK BROKERAGE LIMITED</t>
  </si>
  <si>
    <t>NATIONAL BANK LTD</t>
  </si>
  <si>
    <t>PHOENIX INSURANCE CO. LTD. EMPL. P.F.</t>
  </si>
  <si>
    <t>SATCOM IT LTD. PROVIDENT FUND</t>
  </si>
  <si>
    <t>MOHAMMAD MONJUR ALAM</t>
  </si>
  <si>
    <t>PHOENIX INSURANCE CO. LTD.</t>
  </si>
  <si>
    <t>ASHIT BARAN SAHA</t>
  </si>
  <si>
    <t>MOHAMMAD SAYDUZZAMAN</t>
  </si>
  <si>
    <t>RAHNUMA SULTANA</t>
  </si>
  <si>
    <t>COMMUNITY BANK BANGLADESH LIMITED</t>
  </si>
  <si>
    <t>MAYA RANI SAHA</t>
  </si>
  <si>
    <t>SUHAIEB CHOWDHURY</t>
  </si>
  <si>
    <t>SHAHRIAR MAHMOOD</t>
  </si>
  <si>
    <t>MD MIZANUR RAHMAN</t>
  </si>
  <si>
    <t>FAIYEAD AHMEDUL HYE</t>
  </si>
  <si>
    <t>SAILA SATTER</t>
  </si>
  <si>
    <t>MD KAMRUL ISLAM</t>
  </si>
  <si>
    <t>MD. ZAHIR UDDIN</t>
  </si>
  <si>
    <t>BIPLAB SAHA</t>
  </si>
  <si>
    <t>SAIDA HOMAIRA</t>
  </si>
  <si>
    <t>NEXXEN EQUITY MANAGEMENT LIMITED</t>
  </si>
  <si>
    <t>A00346</t>
  </si>
  <si>
    <t>EVEREST PHARMACEUTICALS LTD. EMPLOYEES CONTRIBUTORY PROVIDENT FUND</t>
  </si>
  <si>
    <t>A00347</t>
  </si>
  <si>
    <t>A.K.M. ANWARUL HOQ</t>
  </si>
  <si>
    <t>A00348</t>
  </si>
  <si>
    <t>MOHAMMAD MOZNU MOLLAH</t>
  </si>
  <si>
    <t>A00349</t>
  </si>
  <si>
    <t>MD. ZAKIR HOSSAIN</t>
  </si>
  <si>
    <t>A00350</t>
  </si>
  <si>
    <t>MOHAMMAD SAIFUL ISLAM</t>
  </si>
  <si>
    <t>A00351</t>
  </si>
  <si>
    <t>SHIULI RANI SAHA</t>
  </si>
  <si>
    <t>A00352</t>
  </si>
  <si>
    <t>VANGUARD AML GROWTH FUND</t>
  </si>
  <si>
    <t>A00353</t>
  </si>
  <si>
    <t>BRAC BANK LIMITED</t>
  </si>
  <si>
    <t>A00354</t>
  </si>
  <si>
    <t>NRB COMMERCIAL BANK LIMITED</t>
  </si>
  <si>
    <t>A00355</t>
  </si>
  <si>
    <t>HOSNEARA ISLAM</t>
  </si>
  <si>
    <t>A00356</t>
  </si>
  <si>
    <t>MOHAMMAD MOINUL ISLAM</t>
  </si>
  <si>
    <t>A00357</t>
  </si>
  <si>
    <t>MOHAMMAD AMDADUL HOQUE</t>
  </si>
  <si>
    <t>A00358</t>
  </si>
  <si>
    <t>HAFIZA AFRIN TONNY</t>
  </si>
  <si>
    <t>A00359</t>
  </si>
  <si>
    <t>NBL CAPITAL AND EQUITY MANAGEMENT LTD</t>
  </si>
  <si>
    <t>A00360</t>
  </si>
  <si>
    <t>ARIF AHMED</t>
  </si>
  <si>
    <t>A00361</t>
  </si>
  <si>
    <t>MOHAMMAD YASEEN</t>
  </si>
  <si>
    <t>A00362</t>
  </si>
  <si>
    <t>MD. TARIF AZAD KHAN</t>
  </si>
  <si>
    <t>A00363</t>
  </si>
  <si>
    <t>MD. AZHARUL KARIM</t>
  </si>
  <si>
    <t>A00364</t>
  </si>
  <si>
    <t>BANGLADESH FUND</t>
  </si>
  <si>
    <t>A00365</t>
  </si>
  <si>
    <t>NAYEEMA TASNEEM</t>
  </si>
  <si>
    <t>A00366</t>
  </si>
  <si>
    <t>A00367</t>
  </si>
  <si>
    <t>MD. NAZIMUL HAQUE HAQUANNI</t>
  </si>
  <si>
    <t>A00368</t>
  </si>
  <si>
    <t>ASRAAR HOSSAIN</t>
  </si>
  <si>
    <t>A00369</t>
  </si>
  <si>
    <t>ZAIN MOHAMMAD YASEEN</t>
  </si>
  <si>
    <t>A00370</t>
  </si>
  <si>
    <t>MD. AL AMIN SARKER</t>
  </si>
  <si>
    <t>A00371</t>
  </si>
  <si>
    <t>MD. ASIF RAIHAN</t>
  </si>
  <si>
    <t>A00372</t>
  </si>
  <si>
    <t>ZINAT MAHRUKH BANU</t>
  </si>
  <si>
    <t>A00373</t>
  </si>
  <si>
    <t>B.M. MIRAZ HOSSAIN</t>
  </si>
  <si>
    <t>A00374</t>
  </si>
  <si>
    <t>DELTA BRAC HOUSING FINANCE CORPORATION LTD</t>
  </si>
  <si>
    <t>A00375</t>
  </si>
  <si>
    <t>RASIDA BEGUM</t>
  </si>
  <si>
    <t>A00376</t>
  </si>
  <si>
    <t>A00377</t>
  </si>
  <si>
    <t>SHABBIR KHAN</t>
  </si>
  <si>
    <t>A00378</t>
  </si>
  <si>
    <t>EDGE VENTURES LIMITED</t>
  </si>
  <si>
    <t>A00379</t>
  </si>
  <si>
    <t>CITY BROKERAGE LIMITED</t>
  </si>
  <si>
    <t>A00380</t>
  </si>
  <si>
    <t>ANIK KUMAR GUPTA</t>
  </si>
  <si>
    <t>A00381</t>
  </si>
  <si>
    <t>A00382</t>
  </si>
  <si>
    <t>AZIZUL ISLAM</t>
  </si>
  <si>
    <t>A00383</t>
  </si>
  <si>
    <t>A00384</t>
  </si>
  <si>
    <t>MD. TANZIRUL AMIN</t>
  </si>
  <si>
    <t>A00386</t>
  </si>
  <si>
    <t>SYED ASIF HOSSAIN</t>
  </si>
  <si>
    <t>A00387</t>
  </si>
  <si>
    <t>Dividend Paid to A00225</t>
  </si>
  <si>
    <t>Dividend Paid to A00265</t>
  </si>
  <si>
    <t>MD. JAHANGIR ALAM</t>
  </si>
  <si>
    <t>BISWAS ARIFUR RAHMAN</t>
  </si>
  <si>
    <t>JEWEL SAHA</t>
  </si>
  <si>
    <t>SHIBBIR AHMED</t>
  </si>
  <si>
    <t>SHYAMAL KRISHNA SAHA</t>
  </si>
  <si>
    <t>NASRIN AKHTER</t>
  </si>
  <si>
    <t>MRINMOY GHOSH</t>
  </si>
  <si>
    <t>MOHAMMAD NAZMUL HOSSAIN</t>
  </si>
  <si>
    <t>ABDUL HAI BHUYAN</t>
  </si>
  <si>
    <t>ALI IMAM</t>
  </si>
  <si>
    <t>UCIL EMPLOYEES' PROVIDENT FUND</t>
  </si>
  <si>
    <t>MD. ZAKIR HOSSEN</t>
  </si>
  <si>
    <t>MRIDUL KUMAR DEY</t>
  </si>
  <si>
    <t>MAMUNUR RASHID</t>
  </si>
  <si>
    <t>MINHAJ UDDIN</t>
  </si>
  <si>
    <t>CRAB EMPLOYEES PROVIDENT FUND</t>
  </si>
  <si>
    <t>CRAB EMPLOYEES GRATUITY FUND</t>
  </si>
  <si>
    <t>MD. BADI-UZ-ZAMAN</t>
  </si>
  <si>
    <t>FAHMIDA HAQUE</t>
  </si>
  <si>
    <t>NUR HAIDAR SARKER</t>
  </si>
  <si>
    <t>UNICAP SECURITIES LIMITED</t>
  </si>
  <si>
    <t>ICB ASSET MANAGEMENT COMPANY LIMITED</t>
  </si>
  <si>
    <t>TANVIR AHMED SIDDIQUI</t>
  </si>
  <si>
    <t>MOHAMMED SELIM</t>
  </si>
  <si>
    <t>MD. MOMINUL HOQUE</t>
  </si>
  <si>
    <t>EHTESHAMUL HAQUE</t>
  </si>
  <si>
    <t>SAYEDA SALAHUDDIN</t>
  </si>
  <si>
    <t>SHAILA SALAHUDDIN</t>
  </si>
  <si>
    <t>M. AMIRULLAH</t>
  </si>
  <si>
    <t>MONIR AHMED</t>
  </si>
  <si>
    <t>MD. SHIFUL ISLAM</t>
  </si>
  <si>
    <t>RAJIB ROY</t>
  </si>
  <si>
    <t>ASIAN TIGER SANDHANI LIFE GROWTH FUND</t>
  </si>
  <si>
    <t>M A QUAYOOM</t>
  </si>
  <si>
    <t>AROORA SAMEERA CHOWDHURY</t>
  </si>
  <si>
    <t>ABACI INVESTMENTS LIMITED</t>
  </si>
  <si>
    <t>MD. SAJEDUL HUDA NOVEL</t>
  </si>
  <si>
    <t>CAPITEC POPULAR LIFE UNIT FUND</t>
  </si>
  <si>
    <t>FARDINA HAFIZ</t>
  </si>
  <si>
    <t>SHUVA SAHA</t>
  </si>
  <si>
    <t>KAZI AHSAN MARUF</t>
  </si>
  <si>
    <t>MD. OMAR FARUQUE Al QUADERI</t>
  </si>
  <si>
    <t>H M JAHID HASSAN</t>
  </si>
  <si>
    <t>SYED FAZLE RABBY</t>
  </si>
  <si>
    <t>KANKA SAHA</t>
  </si>
  <si>
    <t>MD EMDAD HOSSAIN</t>
  </si>
  <si>
    <t>ASIF AHMED</t>
  </si>
  <si>
    <t>REAZ UDDIN AHMED</t>
  </si>
  <si>
    <t>SUJAN BARUA</t>
  </si>
  <si>
    <t>SANJEEDA SARMIN BADHAN</t>
  </si>
  <si>
    <t>UNICAP INVESTMENTS LIMITED</t>
  </si>
  <si>
    <t>MD. GIAS UDDIN</t>
  </si>
  <si>
    <t>MD. SHAIFUL AZAM</t>
  </si>
  <si>
    <t>BILKISS ARA</t>
  </si>
  <si>
    <t>RELIANCE INSURANCE lIMITED</t>
  </si>
  <si>
    <t>JHARNA RANI SAHA</t>
  </si>
  <si>
    <t>RABEYA JAHAN SOAD</t>
  </si>
  <si>
    <t>SAKIN AMIN KHAN</t>
  </si>
  <si>
    <t>MD. KAMRUZZAMAN</t>
  </si>
  <si>
    <t>LILY RANI PAUL</t>
  </si>
  <si>
    <t>IFTEKHAR ALAM</t>
  </si>
  <si>
    <t>MOHAMMAD SHAHJAHAN</t>
  </si>
  <si>
    <t>KHAN SALAHUDDIN MOHAMMAD MINHAJ</t>
  </si>
  <si>
    <t>NARGISH JAHAN</t>
  </si>
  <si>
    <t>FAKARUDDIN ALI AHMED</t>
  </si>
  <si>
    <t>NANDINI SAHA</t>
  </si>
  <si>
    <t>SHANJIDA SULTANA</t>
  </si>
  <si>
    <t>ARIFUR RAHMAN</t>
  </si>
  <si>
    <t>AKASH DEEP PAUL</t>
  </si>
  <si>
    <t>MUQIT-AL RAHMAN</t>
  </si>
  <si>
    <t>YASIR MD FAZLE AMIN</t>
  </si>
  <si>
    <t>MD. SAIFUR RAHMAN</t>
  </si>
  <si>
    <t>MD. EMDAD HOSSAIN</t>
  </si>
  <si>
    <t>SHAHIDA NAHRIN BUBLY</t>
  </si>
  <si>
    <t>MD. ZAHID HOSSAIN</t>
  </si>
  <si>
    <t>RAFIKUL HASAN</t>
  </si>
  <si>
    <t>ABDULLAH AL MAMUN</t>
  </si>
  <si>
    <t>ARZUN KUMAR SARKAR</t>
  </si>
  <si>
    <t>MOHAMMED ALI XAHANGIR</t>
  </si>
  <si>
    <t>FAHMIDA KHAN</t>
  </si>
  <si>
    <t>ARKO SAHA</t>
  </si>
  <si>
    <t>HARUN IBNE HOQUE</t>
  </si>
  <si>
    <t>MOHAMMAD MOHIBUL ISLAM</t>
  </si>
  <si>
    <t>RAJIB CHOWDHURY</t>
  </si>
  <si>
    <t>ASMA UL HUSNA</t>
  </si>
  <si>
    <t>MOHAMMAD JASIM UDDIN</t>
  </si>
  <si>
    <t>SULTANA AFCHANA AFRIN</t>
  </si>
  <si>
    <t>MD MINHAZUL AZIZ</t>
  </si>
  <si>
    <t>MOHAMMAD NASIR HOSSAIN</t>
  </si>
  <si>
    <t>MUHAMMAD TAREQ YUSUF</t>
  </si>
  <si>
    <t>ASHUTOSH TALUKDER</t>
  </si>
  <si>
    <t>MD. TAREQ IBRAHIM</t>
  </si>
  <si>
    <t>CWT EMERGING BD FIRST GROWTH FUND</t>
  </si>
  <si>
    <t>LITON KUMAR BANIK</t>
  </si>
  <si>
    <t>ASHISH KUMAR GHOSH</t>
  </si>
  <si>
    <t>SATINATH GHOSH</t>
  </si>
  <si>
    <t>JANATA BANK LIMITED</t>
  </si>
  <si>
    <t>ANISUL HAQUE</t>
  </si>
  <si>
    <t>EDGE BANGLADESH MUTUAL FUND</t>
  </si>
  <si>
    <t>EDGE AMC GROWTH FUND</t>
  </si>
  <si>
    <t>SHAHRIN ANWAR</t>
  </si>
  <si>
    <t>RAFIQUL ANOWAR</t>
  </si>
  <si>
    <t>AMIT KANTI SARKER</t>
  </si>
  <si>
    <t>ABU NAYEEM MOHAMMAD MAHFUZ</t>
  </si>
  <si>
    <t>MUMINUL ALAM</t>
  </si>
  <si>
    <t>MOHAMMAD ALAUDDIN</t>
  </si>
  <si>
    <t>ISTIAK AHMED PROBAL</t>
  </si>
  <si>
    <t>MD MAHDI HASAN</t>
  </si>
  <si>
    <t>MD TOFIQUL ISLAM CHOWDHURY</t>
  </si>
  <si>
    <t>SUMAN KUMAR KUNDU</t>
  </si>
  <si>
    <t>REAZUL HAQUE</t>
  </si>
  <si>
    <t>TRIPTI BARUA</t>
  </si>
  <si>
    <t>AL MAMUN</t>
  </si>
  <si>
    <t>MOHAMMAD ABDUL HANNAN</t>
  </si>
  <si>
    <t>PHOENIX FINANCE &amp; INVESTMENTS LTD</t>
  </si>
  <si>
    <t>MADHURI KUNDU</t>
  </si>
  <si>
    <t>EVANA YEASMIN</t>
  </si>
  <si>
    <t>FAHIM AHASAN CHOUDHURY</t>
  </si>
  <si>
    <t>SHAHARIAR ALAM</t>
  </si>
  <si>
    <t>MANABENDRA KUMAR DAS</t>
  </si>
  <si>
    <t>KHANDAKER MAHAMADUR AZAD</t>
  </si>
  <si>
    <t>FAZLE RABBI PATHAN</t>
  </si>
  <si>
    <t>SABRIA ISLAM TALUKDER</t>
  </si>
  <si>
    <t>KABIR AHMED TALUKDER</t>
  </si>
  <si>
    <t>MOHAMMAD ENAMUR RAHMAN</t>
  </si>
  <si>
    <t>RAIHAN RASHID MAJUMDAR</t>
  </si>
  <si>
    <t>RABITA RASHID MAJUMDER</t>
  </si>
  <si>
    <t>REZWAN UR RASHID MAJUMDAR</t>
  </si>
  <si>
    <t>KAZI MD. ANISUR RAHMAN</t>
  </si>
  <si>
    <t>FARUK-E AZAM bIN HAIDER</t>
  </si>
  <si>
    <t>LUNA AKTHER</t>
  </si>
  <si>
    <t>SAJJAD CHOWDHURY</t>
  </si>
  <si>
    <t>MOHAMMAD DELOWAR HOSSAIN MRIDHA</t>
  </si>
  <si>
    <t>REZAUR RAHMAN</t>
  </si>
  <si>
    <t>A00388</t>
  </si>
  <si>
    <t>FOUZIA RAHMAN</t>
  </si>
  <si>
    <t>A00389</t>
  </si>
  <si>
    <t>SABBIR AHMED HEMO</t>
  </si>
  <si>
    <t>A00390</t>
  </si>
  <si>
    <t>SHAIKH MD. ABU HASAN</t>
  </si>
  <si>
    <t>A00391</t>
  </si>
  <si>
    <t>EKUSH WEALTH MANAGEMENT LIMITED EMPLOYEES CONTRIBUTORY PROVIDENT FUND</t>
  </si>
  <si>
    <t>A00392</t>
  </si>
  <si>
    <t>MD. MUKIT MURSHED</t>
  </si>
  <si>
    <t>A00393</t>
  </si>
  <si>
    <t>MD. WABAIDULLAH RAHAMAN</t>
  </si>
  <si>
    <t>A00394</t>
  </si>
  <si>
    <t>B. M. ASIFUR RAHMAN FARHAD</t>
  </si>
  <si>
    <t>A00395</t>
  </si>
  <si>
    <t>Dividend Paid to A00039</t>
  </si>
  <si>
    <t>Dividend Paid to A00056</t>
  </si>
  <si>
    <t>A00385</t>
  </si>
  <si>
    <t>MD. ABDUL KARIM</t>
  </si>
  <si>
    <t>Unit Surrender - SIP</t>
  </si>
  <si>
    <t>Dividend Paid to A00239</t>
  </si>
  <si>
    <t>Payment for Publishing The Audited Financial Statements of 2021</t>
  </si>
  <si>
    <t>Purchase of securities at UCB Stock Brokerage Limited</t>
  </si>
  <si>
    <t>Payment to UCB Stock Brokerage for purchase of stocks</t>
  </si>
  <si>
    <t>Unit Surrender - LUMPSUM</t>
  </si>
  <si>
    <t>Dividend Receivable from GRAMEENPHONE LIMITED</t>
  </si>
  <si>
    <t>Purchase of securities at UNICAP SECURITIES Limited</t>
  </si>
  <si>
    <t>Sale proceeds received from SHELTECH Brokerage Limited</t>
  </si>
  <si>
    <t>Unit Subscription - SIP</t>
  </si>
  <si>
    <t>Fixed Deposit Receipts (FDR) with IPDC Finance Limited</t>
  </si>
  <si>
    <t>Dividend Receivable from MARICO Bangladesh Limited</t>
  </si>
  <si>
    <t>Dividend Received from EDGE AMC GROWTH FUND</t>
  </si>
  <si>
    <t>Dividend Received from BERGERPBL</t>
  </si>
  <si>
    <t>Dividend Receivable from BERGERPBL</t>
  </si>
  <si>
    <t>Unit Redemption - SIP</t>
  </si>
  <si>
    <t>Unit Redemption - LUMPSUM</t>
  </si>
  <si>
    <t>Dividend Receivable from IDLC</t>
  </si>
  <si>
    <t>Dividend Paid to A00035</t>
  </si>
  <si>
    <t>Dividend Paid to A00098</t>
  </si>
  <si>
    <t>MOHAMMAD IQBAL REZWAN</t>
  </si>
  <si>
    <t>FAHMIDA SHARMIN NOWRIN</t>
  </si>
  <si>
    <t>A00396</t>
  </si>
  <si>
    <t>A00397</t>
  </si>
  <si>
    <t>A00398</t>
  </si>
  <si>
    <t>MOHAMMAD GULAM KIBRIAH</t>
  </si>
  <si>
    <t>A00399</t>
  </si>
  <si>
    <t>Payment of Audit Fees fro the Year Ended on Dec 31, 2021</t>
  </si>
  <si>
    <t>AMARSTOCK LTD. EMP. PF.</t>
  </si>
  <si>
    <t>MUTUAL TRUST BANK LIMITED</t>
  </si>
  <si>
    <t>A00400</t>
  </si>
  <si>
    <t>SAJAL KANTI HOWLADER</t>
  </si>
  <si>
    <t>A00401</t>
  </si>
  <si>
    <t>TOFIQ AHAMED</t>
  </si>
  <si>
    <t>A00402</t>
  </si>
  <si>
    <t>Dividend Received from MARICO BANGLADESH</t>
  </si>
  <si>
    <t>Payment of CDBL Charges - FEB 2022</t>
  </si>
  <si>
    <t>IPO Application of STAR ADHESIVES LIMITED</t>
  </si>
  <si>
    <t>Dividend Paid to A00251</t>
  </si>
  <si>
    <t>Allotment of STAR ADHESIVES LIMITED</t>
  </si>
  <si>
    <t>MD. NIZAM UDDIN</t>
  </si>
  <si>
    <t>MD. NASIR UDDIN ROBIN</t>
  </si>
  <si>
    <t>MIR ARIFUL ISLAM</t>
  </si>
  <si>
    <t>A00403</t>
  </si>
  <si>
    <t>MOHAMMAD ASRARUL HAQUE</t>
  </si>
  <si>
    <t>A00404</t>
  </si>
  <si>
    <t>SHAHINOOR KHANUM</t>
  </si>
  <si>
    <t>A00405</t>
  </si>
  <si>
    <t>SAYDA SULTANA</t>
  </si>
  <si>
    <t>A00406</t>
  </si>
  <si>
    <t>A00407</t>
  </si>
  <si>
    <t>Sale proceeds received from UNICAP Securities Limited</t>
  </si>
  <si>
    <t>Purchase of securities at Unicap Securities Limited</t>
  </si>
  <si>
    <t>Purchase of securities at UNICAP Securities Limited</t>
  </si>
  <si>
    <t>A00408</t>
  </si>
  <si>
    <t>MD. TAZUL ISLAM</t>
  </si>
  <si>
    <t>MERINA TABASSUM AND MD. MONIRUL ISLAM</t>
  </si>
  <si>
    <t>A00409</t>
  </si>
  <si>
    <t>MD. RAKEBUL ISLAM</t>
  </si>
  <si>
    <t>A00410</t>
  </si>
  <si>
    <t>Unit Surrender - LUMPSUM &amp; SIP</t>
  </si>
  <si>
    <t>Dividend Receivable from EBL</t>
  </si>
  <si>
    <t>MD. ABDUL MOTALEB</t>
  </si>
  <si>
    <t>A00411</t>
  </si>
  <si>
    <t>MD. BABUL MIAH</t>
  </si>
  <si>
    <t>A00412</t>
  </si>
  <si>
    <t>ARCHONA SAHA</t>
  </si>
  <si>
    <t>A00413</t>
  </si>
  <si>
    <t>Dividend Received from GP</t>
  </si>
  <si>
    <t>Purchase and Sale of securities at Unicap Securities Limited</t>
  </si>
  <si>
    <t>FDR with IDLC</t>
  </si>
  <si>
    <t>FDR with BD FINANCE</t>
  </si>
  <si>
    <t>Dividend Received from IDLC</t>
  </si>
  <si>
    <t>TOWHIDUR RAHMAN CHOWDHURY</t>
  </si>
  <si>
    <t>A00414</t>
  </si>
  <si>
    <t>SYED SADEK HUSSAIN</t>
  </si>
  <si>
    <t>A00415</t>
  </si>
  <si>
    <t>IPO Application of MEGHNA INSURANCE COMPANY</t>
  </si>
  <si>
    <t>Payment made to Unicap Securities Limited</t>
  </si>
  <si>
    <t>Dividend Receivable from ATCSUF</t>
  </si>
  <si>
    <t>Dividend Receivable from VAMLGF</t>
  </si>
  <si>
    <t>Dividend Received from ATCSUF</t>
  </si>
  <si>
    <t>Dividend Received from EBL</t>
  </si>
  <si>
    <t>Dividend Receivable from BRAC BANK</t>
  </si>
  <si>
    <t>IPO Allotment of MEGHNA INSURANCE COMPANY</t>
  </si>
  <si>
    <t>IPO Application of BD Paints Limited</t>
  </si>
  <si>
    <t>Dividend Received from BRAC BANK</t>
  </si>
  <si>
    <t>Dividend Received from VANGUARD AML GF</t>
  </si>
  <si>
    <t>IPO Allotment of BD Paints Limited</t>
  </si>
  <si>
    <t>NATEQ BE NAZIR IBN MINAR</t>
  </si>
  <si>
    <t>A00416</t>
  </si>
  <si>
    <t>NANDA DULAL SAHA</t>
  </si>
  <si>
    <t>A00417</t>
  </si>
  <si>
    <t>MD. SOHEL ANWAR</t>
  </si>
  <si>
    <t>A00418</t>
  </si>
  <si>
    <t>MAZED AHMED ABDULLAH</t>
  </si>
  <si>
    <t>A00419</t>
  </si>
  <si>
    <t>MAISHA MUSSARRAT</t>
  </si>
  <si>
    <t>A00420</t>
  </si>
  <si>
    <t>MD MOHSINUR RAHMAN</t>
  </si>
  <si>
    <t>A00421</t>
  </si>
  <si>
    <t>Management fee has been paid for the period from September 19 to March 18</t>
  </si>
  <si>
    <t>IPO Application of Achia Sea Foods Limited</t>
  </si>
  <si>
    <t>SIDDHARTHA SANKAR MALLICK</t>
  </si>
  <si>
    <t>A00422</t>
  </si>
  <si>
    <t>MYAT MOE KHAING</t>
  </si>
  <si>
    <t>A00423</t>
  </si>
  <si>
    <t>SRIJON GHOSH</t>
  </si>
  <si>
    <t>A00424</t>
  </si>
  <si>
    <t>MD. A. RAZZAK</t>
  </si>
  <si>
    <t>A00425</t>
  </si>
  <si>
    <t>TAMRIN AL DEEN</t>
  </si>
  <si>
    <t>A00426</t>
  </si>
  <si>
    <t>ROKSABA KASEM</t>
  </si>
  <si>
    <t>A00427</t>
  </si>
  <si>
    <t>NASRIN AHMED HELA</t>
  </si>
  <si>
    <t>A00428</t>
  </si>
  <si>
    <t>KALLANI ISLAM</t>
  </si>
  <si>
    <t>A00429</t>
  </si>
  <si>
    <t>dividend receivable from MARICO</t>
  </si>
  <si>
    <t>FDRs are renewed with IPDC</t>
  </si>
  <si>
    <t>INTEREST INCOME</t>
  </si>
  <si>
    <t>Interest Income from Bank Account - MDB</t>
  </si>
  <si>
    <t>MD. MOSTAFIJUR RAHMAN</t>
  </si>
  <si>
    <t>A00430</t>
  </si>
  <si>
    <t>IPO Application of Navana Pharmaceuticals Ltd.</t>
  </si>
  <si>
    <t>Allocation of Achia Sea Foods Limited</t>
  </si>
  <si>
    <t>Payment of CDBL Charges - June 2022</t>
  </si>
  <si>
    <t>Payment to Telnet communication ltd - June 2022</t>
  </si>
  <si>
    <t>Half Yearly Ac Mnt Fee from - Jan to Jun of 2022</t>
  </si>
  <si>
    <t>VAT on Half Yearly Ac Mnt Fee from - Jan to Jun of</t>
  </si>
  <si>
    <t>Allocation of Navana Pharmaceuticals Ltd.</t>
  </si>
  <si>
    <t>Sale of securities at Sheltech Brokerage Limited</t>
  </si>
  <si>
    <t xml:space="preserve">Bank charge for Certificate and statement issuing </t>
  </si>
  <si>
    <t>Sale proceeds received from Sheltech Brokerage Limited</t>
  </si>
  <si>
    <t>Purchase and Sale of securities at Sheltech Brokerage Limited</t>
  </si>
  <si>
    <t>Purchase of Stocks at Sheltech Brokerage Limited</t>
  </si>
  <si>
    <t>Buy proceeds payable to Sheltech Brokerage Limited</t>
  </si>
  <si>
    <t>Unit Surrender - SIP &amp; LUMPSUM</t>
  </si>
  <si>
    <t>A00434</t>
  </si>
  <si>
    <t>MD SHAHADAT HOSSAIN</t>
  </si>
  <si>
    <t>A00431</t>
  </si>
  <si>
    <t>AHMED ASIF</t>
  </si>
  <si>
    <t>A00432</t>
  </si>
  <si>
    <t>AHMED FARUK</t>
  </si>
  <si>
    <t>A00433</t>
  </si>
  <si>
    <t>SYED AHMAD</t>
  </si>
  <si>
    <t>ISHRAT NUR</t>
  </si>
  <si>
    <t>A00435</t>
  </si>
  <si>
    <t>SADIA SYED TAHIA</t>
  </si>
  <si>
    <t>A00436</t>
  </si>
  <si>
    <t>MD. RIFAT MUNJUR SUNNY</t>
  </si>
  <si>
    <t>A00437</t>
  </si>
  <si>
    <t>SANDHANI ASSET MANAGEMENT LIMITED</t>
  </si>
  <si>
    <t>A00438</t>
  </si>
  <si>
    <t>Bank Charge BACH Clearing Charge</t>
  </si>
  <si>
    <t>Unit Subscription - SIP (BRAC)</t>
  </si>
  <si>
    <t>Bank charge-  RTGS Charge Fund Withdraw- A00191</t>
  </si>
  <si>
    <t>Bank charge- Charge BACH Clearing Charge &amp; Vat - UNITED COMMERCIAL BANK LTD</t>
  </si>
  <si>
    <t>Bank charge- Charge BACH Clearing Charge &amp; Vat - IFIC BANK LTD.</t>
  </si>
  <si>
    <t>Bank charge- Charge BACH Clearing Charge &amp; Vat - FIRST SECURITY BANK LTD.</t>
  </si>
  <si>
    <t>Bank charge- Charge BACH Clearing Charge &amp; Vat - TRUST BANK LTD</t>
  </si>
  <si>
    <t>Bank charge- Charge BACH Clearing Charge &amp; Vat - EXIM BANK LTD.</t>
  </si>
  <si>
    <t>Trade (B&amp;S) of securities at Sheltech Brokerage Limited</t>
  </si>
  <si>
    <t>dividend received from VIPB SEBL 1st Unit Fund</t>
  </si>
  <si>
    <t>Bank charge-  RTGS Charge Fund Withdraw- A00053</t>
  </si>
  <si>
    <t>A00439</t>
  </si>
  <si>
    <t>RASHEDUL ISLAM</t>
  </si>
  <si>
    <t>Trade (B) of Stocks at Sheltech Brokerage Limited</t>
  </si>
  <si>
    <t>Payment to Telnet communication ltd - July 2022</t>
  </si>
  <si>
    <t>Sell of VIPB SEBL 1ST UNIT FUND</t>
  </si>
  <si>
    <t>Bank charge-  On-Line Transfer PO Adjusted,Po No.PO0100673 Wrongly input</t>
  </si>
  <si>
    <t>IPO Application of ICB AMCL CMSF Golden Jubilee Mutual Fund (GLDNJMF)</t>
  </si>
  <si>
    <t>Payment of CDBL Charges - July 2022</t>
  </si>
  <si>
    <t>A00441</t>
  </si>
  <si>
    <t>NUSRAT JAHAN TISHA</t>
  </si>
  <si>
    <t>A00440</t>
  </si>
  <si>
    <t>SAIKAT DAS SHANTO</t>
  </si>
  <si>
    <t>Bank charge-  BACH Clearing Charge &amp; Vat - UNITED COMMERCIAL BANK LTD.</t>
  </si>
  <si>
    <t>Interest Income from FDR is being Accrued - BD FINANCE</t>
  </si>
  <si>
    <t>Interest Income from FDR is being Accrued - IPDC Finance Limited</t>
  </si>
  <si>
    <t>Interest Income from FDR is being Accrued -IDLC Finance Limited</t>
  </si>
  <si>
    <t>Interest Income from FDR is being Accrued - IDLC Finance Limited</t>
  </si>
  <si>
    <t>FDR is renewed with IDLC Finance Limited</t>
  </si>
  <si>
    <t>FDR is renewed with BD FINANCE</t>
  </si>
  <si>
    <t>FDR is renewed with IPDC Finance Limited</t>
  </si>
  <si>
    <t>Interest Income from FDR - IPDC Finance Limited</t>
  </si>
  <si>
    <t>dividend receivable from MARICO - Interim Dividend - ended June 30, 2022</t>
  </si>
  <si>
    <t>Dividend Received from MARICO BANGLADESH - Year ended March 31, 2022</t>
  </si>
  <si>
    <t>Trade (S) of Unicap Securities Limited</t>
  </si>
  <si>
    <t>Sale proceeds received from Unicap Securities Limited</t>
  </si>
  <si>
    <t>Payment to Telnet communication ltd - August 2022</t>
  </si>
  <si>
    <t>Payment of Custodian Fee - January to June 2022</t>
  </si>
  <si>
    <t>Payment of CDBL Charges - August 2022</t>
  </si>
  <si>
    <t>Dividend Received from MARICO BANGLADESH - Interim Dividend - ended June 30, 2022</t>
  </si>
  <si>
    <t>Bank charge-  BACH Clearing Charge &amp; Vat - DUTCH BANGLA BANK LTD</t>
  </si>
  <si>
    <t>Trade (B) of securities at Unicap Securities Limited</t>
  </si>
  <si>
    <t>Buy proceeds payable to Unicap Securities Limited</t>
  </si>
  <si>
    <t>IPO Application of Chatered Life Insurance Company Ltd. (CLICL)</t>
  </si>
  <si>
    <t>Dividend Received from 	BERGERPBL - Year ended March 31, 2022</t>
  </si>
  <si>
    <t>dividend receivable from IBNSINA - Year ended June 30, 2022</t>
  </si>
  <si>
    <t>Management fee has been paid for the period from March 19 to September 18</t>
  </si>
  <si>
    <t>IPO Application of Asiatic Laboratories Limited (ASIATICLAB)</t>
  </si>
  <si>
    <t>IPO Allocation of ICB AMCL CMSF Golden Jubilee Mutual Fund (GLDNJMF)</t>
  </si>
  <si>
    <t>IPO Allocation of Chatered Life Insurance Company Ltd. (CLICL)</t>
  </si>
  <si>
    <t>Payment to Telnet communication ltd - September 2022</t>
  </si>
  <si>
    <t>Bank charge - RTGS Charge Fund Withdrawl</t>
  </si>
  <si>
    <t>Payment of CDBL Charges - September 2022</t>
  </si>
  <si>
    <t>IPO Application of Global Islami Bank Limited (GIB)</t>
  </si>
  <si>
    <t>Accrued Trustee Fee has been Paid - Jan 1 to June 30</t>
  </si>
  <si>
    <t>KHAN MUHAMMAD FAISOL</t>
  </si>
  <si>
    <t>A00442</t>
  </si>
  <si>
    <t>IPO Allocation of Global Islami Bank Limited (GIB)</t>
  </si>
  <si>
    <t>dividend receivable from BSCCL - Year ended June 30, 2022</t>
  </si>
  <si>
    <t xml:space="preserve">Interest Income from FDR is being Accrued - BD FINANCE </t>
  </si>
  <si>
    <t>Payment of CDBL Charges - October 2022</t>
  </si>
  <si>
    <t>FDR Encash with IDLC (10252256490901)</t>
  </si>
  <si>
    <t>dividend receivable from RENATA - Year ended June 30, 2022</t>
  </si>
  <si>
    <t>Payment to Telnet communication ltd - October 2022</t>
  </si>
  <si>
    <t>Trade (B) of securities at UCB Stock Brokerage Limited.</t>
  </si>
  <si>
    <t>Buy proceeds payable to UCB Stock Brokerage Limited.</t>
  </si>
  <si>
    <t>Interest Income from FDR is being Accrued - DBH Finance</t>
  </si>
  <si>
    <t>FDR Interest Received - BD Finance (000533000000028)</t>
  </si>
  <si>
    <t>Trade (S) of UCB Stock Brokerage Limited.</t>
  </si>
  <si>
    <t>dividend receivable from BATBC - period ended September 30, 2022</t>
  </si>
  <si>
    <t>dividend receivable from UPGDCL - year ended June 30, 2022</t>
  </si>
  <si>
    <t>IPO Application of Islami Commercial Insurance Company Ltd. (ICICL)</t>
  </si>
  <si>
    <t>Dividend Received from IBNASINA - Year ended June 30, 2022</t>
  </si>
  <si>
    <t>FDR Interest Received - BD Finance (000533000000030)</t>
  </si>
  <si>
    <t>Bank charge - Clearing Charge &amp; Vat / RV</t>
  </si>
  <si>
    <t>A00443</t>
  </si>
  <si>
    <t>TAPASH KUMAR PAUL</t>
  </si>
  <si>
    <t>FDR Encash with IDLC (10252256490902)</t>
  </si>
  <si>
    <t>FDR Renew with IDLC (10252256490903)</t>
  </si>
  <si>
    <t>Sale proceeds received from UCB Stock Brokerage Limited.</t>
  </si>
  <si>
    <t>FDR Interest Received- IDLC 
(10252256490903)</t>
  </si>
  <si>
    <t>FDR Interest Received- IDLC 
(10252256490902)</t>
  </si>
  <si>
    <t>FDR Renew- BD Finance + Interest First income
 (000533000000028; 000533000000030)</t>
  </si>
  <si>
    <t>dividend receivable from 	SQURPHARMA - Year ended June 30, 2022</t>
  </si>
  <si>
    <t>IPO Allocation of Islami Commercial Insurance Company Ltd. (ICICL)</t>
  </si>
  <si>
    <t>FDR Renew with IPDC 
(100125-1000028555, 100125-1000028556)</t>
  </si>
  <si>
    <t>FDR Interest Received- IPDC
(100125-1000028555)</t>
  </si>
  <si>
    <t>FDR Interest Received- IPDC
(100125-1000028556)</t>
  </si>
  <si>
    <t>Payment of CDBL Charges - November 2022</t>
  </si>
  <si>
    <t>Trade (B&amp;S) of securities at Unicap Securities Limited</t>
  </si>
  <si>
    <t>Dividend received from BATBC - period ended September 30, 2022</t>
  </si>
  <si>
    <t>Payment to Telnet communication ltd - November 2022</t>
  </si>
  <si>
    <t>dividend received from BSCCL - Year ended June 30, 2022</t>
  </si>
  <si>
    <t xml:space="preserve">Bank charge Excise Duty </t>
  </si>
  <si>
    <t>For the period from January 1 to December 31, 2022</t>
  </si>
  <si>
    <t>January 01 to December 31, 2022</t>
  </si>
  <si>
    <t>Head of Compliance</t>
  </si>
  <si>
    <t>Ekush Wealth Management Limited</t>
  </si>
  <si>
    <t>Trustee</t>
  </si>
  <si>
    <t>Shandhani Life Insurance Company Limited</t>
  </si>
  <si>
    <t xml:space="preserve"> These financial statement should be read in conjunction with annexed notes. </t>
  </si>
  <si>
    <t>BS</t>
  </si>
  <si>
    <t>Bank charge RTGS Charge</t>
  </si>
  <si>
    <t>Dividend received from RENATA - Year ended June 30, 2022</t>
  </si>
  <si>
    <t>Dividend received from SQURPHARMA - Year ended June 30, 2022</t>
  </si>
  <si>
    <t>Payment of CDBL Charges - December 2022</t>
  </si>
  <si>
    <t>Dividend received from UPGDCL - year ended June 30, 2022</t>
  </si>
  <si>
    <t>Payment to Telnet communication ltd - December 2022</t>
  </si>
  <si>
    <t>Bank charge  Cheque Book Issue</t>
  </si>
  <si>
    <t>Bank charge Statement Charge - BRAC</t>
  </si>
  <si>
    <t>FDR with DBH Finance (710001110577)</t>
  </si>
  <si>
    <t>FDR with IDLC Finance</t>
  </si>
  <si>
    <t>FDR with DBH Finance (710001112914)</t>
  </si>
  <si>
    <t>FDR with DBH Finance (710001112915)</t>
  </si>
  <si>
    <t>Payment of Audit Fees for the Year Ended on Dec 31, 2022</t>
  </si>
  <si>
    <t>Payment of CDBL Charges - January 2023</t>
  </si>
  <si>
    <t>dividend receivable from EDGEAMCGF - Year ended June 30, 2022</t>
  </si>
  <si>
    <t>Payment to Telnet communication ltd - January 2022</t>
  </si>
  <si>
    <t>dividend received from EDGEAMCGF - Year ended June 30, 2022</t>
  </si>
  <si>
    <t>RITA RANI GHOSH</t>
  </si>
  <si>
    <t>A00444</t>
  </si>
  <si>
    <t>FAHMIDA SAEED SAKI</t>
  </si>
  <si>
    <t>A00445</t>
  </si>
  <si>
    <t>MD. MAHMUDUL KABIR</t>
  </si>
  <si>
    <t>A00446</t>
  </si>
  <si>
    <t>MOHAMMAD PARVEZ RANA</t>
  </si>
  <si>
    <t>A00447</t>
  </si>
  <si>
    <t>RABIA AFROZA</t>
  </si>
  <si>
    <t>A00448</t>
  </si>
  <si>
    <t>A00449</t>
  </si>
  <si>
    <t>REKHA PARVIN</t>
  </si>
  <si>
    <t>A00450</t>
  </si>
  <si>
    <t>A00451</t>
  </si>
  <si>
    <t>MD JAMAL HOSSAIN</t>
  </si>
  <si>
    <t>A00452</t>
  </si>
  <si>
    <t>A00453</t>
  </si>
  <si>
    <t>IPO Application of Midland Bank Limited (MIDLANDBNK)</t>
  </si>
  <si>
    <t>Bank charge Balance Certificate issue purposes</t>
  </si>
  <si>
    <t>FDR Renew with DBH 
(710001113437)</t>
  </si>
  <si>
    <t>Interest received from DBH (710001110577)</t>
  </si>
  <si>
    <t>For the period from January 1 to December 31, 2023</t>
  </si>
  <si>
    <t>January 01 to December 31, 2023</t>
  </si>
  <si>
    <t>For the period of January 1 to December 31, 2023</t>
  </si>
  <si>
    <t>MD. IFTEKHARUL ISLAM BHUIYAN</t>
  </si>
  <si>
    <t>ROYAL CAPITAL LIMITED</t>
  </si>
  <si>
    <t>MOHAMMAD HASAN SHAHRIAR MASUD</t>
  </si>
  <si>
    <t>A00454</t>
  </si>
  <si>
    <t>TAPATI RANI DAS</t>
  </si>
  <si>
    <t>A00455</t>
  </si>
  <si>
    <t>A00456</t>
  </si>
  <si>
    <t>AMARSTOCK LIMITED</t>
  </si>
  <si>
    <t>A00457</t>
  </si>
  <si>
    <t>MOHAMMAD ISMAIL</t>
  </si>
  <si>
    <t>A00458</t>
  </si>
  <si>
    <t>DHAKA IMPERIAL COLLEGE EMPLOYEES PROVIDENT FUND</t>
  </si>
  <si>
    <t>A00459</t>
  </si>
  <si>
    <t>MOIN UDDIN SIDDIQUE</t>
  </si>
  <si>
    <t>A00460</t>
  </si>
  <si>
    <t>A00461</t>
  </si>
  <si>
    <t>MALLIKA BISWAS</t>
  </si>
  <si>
    <t>A00462</t>
  </si>
  <si>
    <t>DHAKA IMPERIAL COLLEGE TEACHERS STAFF MULTIPURPOSE CO-OPERATIVE SOCIETY LTD.</t>
  </si>
  <si>
    <t>FDR Encash with IDLC (10552256490903)</t>
  </si>
  <si>
    <t>dividend receivable from BATBC -  year ended December 31, 2022</t>
  </si>
  <si>
    <t>dividend receivable from GP -  year  2022</t>
  </si>
  <si>
    <t xml:space="preserve">Unit Surrender Return - SIP </t>
  </si>
  <si>
    <t>Payment to Telnet communication ltd - February 2022</t>
  </si>
  <si>
    <t>Payment of CDBL Charges - February 2023</t>
  </si>
  <si>
    <t>FDR Renew with IPDC
(100125-1000028556)</t>
  </si>
  <si>
    <t>Interest Income from FDR is being Accrued - BD Finance</t>
  </si>
  <si>
    <t>KHAN MUHAMMAD KAWSER AHMED</t>
  </si>
  <si>
    <t>IPO Allocation of Midland Bank Ltd. (MIDLANDBNK)</t>
  </si>
  <si>
    <t xml:space="preserve">Management fee has been Partially paid for the period from September 19 to March 18 </t>
  </si>
  <si>
    <t>FDR with IDLC Finance
(10552256490908, 10552256490909, 10552256490910)</t>
  </si>
  <si>
    <t>FDR with IPDC Finance
(100125-1000037660, 100125-1000037659)</t>
  </si>
  <si>
    <t>FDR with DBH Finance
(710001114095, 710001114096, 710001114097)</t>
  </si>
  <si>
    <t>FDR Renew with BD Finance
(0005-22000000457, 0005-22000000458)</t>
  </si>
  <si>
    <t>0001-1090000732</t>
  </si>
  <si>
    <t>0001-1060000093</t>
  </si>
  <si>
    <t>Payment of Custodian Fee - July to December 2022</t>
  </si>
  <si>
    <t>IPO Application of Trust Islami Life Insurance Ltd. (TILIL)</t>
  </si>
  <si>
    <t>Trade (S) of Royal Capital Limited</t>
  </si>
  <si>
    <t>Sale proceeds received from Royal Capital Limited</t>
  </si>
  <si>
    <t>UMME SAIKA NILA</t>
  </si>
  <si>
    <t>A00463</t>
  </si>
  <si>
    <t>MOHAMMAD HUMAYAN RASHID</t>
  </si>
  <si>
    <t>A00464</t>
  </si>
  <si>
    <t>EDGE HIGH QUALITY INCOME FUND</t>
  </si>
  <si>
    <t>A00465</t>
  </si>
  <si>
    <t>SANDHANI AML SLIC FIXED INCOME FUND</t>
  </si>
  <si>
    <t>A00466</t>
  </si>
  <si>
    <t>SALMAN ZAMAL</t>
  </si>
  <si>
    <t>A00467</t>
  </si>
  <si>
    <t>MADHAB GHOSH</t>
  </si>
  <si>
    <t>A00468</t>
  </si>
  <si>
    <t>SOURAV SAHA</t>
  </si>
  <si>
    <t>A00469</t>
  </si>
  <si>
    <t>MUHAMMAD SHOHIDUZZAMAN</t>
  </si>
  <si>
    <t>A00470</t>
  </si>
  <si>
    <t>SABIRA SALAM RIDI</t>
  </si>
  <si>
    <t>A00471</t>
  </si>
  <si>
    <t>ABIR SAHA</t>
  </si>
  <si>
    <t>A00472</t>
  </si>
  <si>
    <t>Dividend received from BATBC -  year ended December 31, 2022</t>
  </si>
  <si>
    <t>Payment of CDBL Charges - March 2023</t>
  </si>
  <si>
    <t>Payment to Telnet communication ltd - March 2022</t>
  </si>
  <si>
    <t>IPO Allocation of Trust Islami Life Insurance Ltd. (TILIL)</t>
  </si>
  <si>
    <t>NADIA FERDOUS NOOR</t>
  </si>
  <si>
    <t>FDR Renew with DBH
(710001112914)</t>
  </si>
  <si>
    <t>FDR Renew with DBH
(710001112915)</t>
  </si>
  <si>
    <t>dividend received from GP -  year  2022</t>
  </si>
  <si>
    <t>FDR Renew with IDLC
(10552256490904)</t>
  </si>
  <si>
    <t>SAMS SAIYADENA ZEESHA</t>
  </si>
  <si>
    <t>RAEZANA JITU</t>
  </si>
  <si>
    <t>MAMUN SIRAJUL ALAM</t>
  </si>
  <si>
    <t>A00473</t>
  </si>
  <si>
    <t>MICHAEL BEA</t>
  </si>
  <si>
    <t>A00474</t>
  </si>
  <si>
    <t>MD. MONIRUL ISLAM</t>
  </si>
  <si>
    <t>A00475</t>
  </si>
  <si>
    <t>A.K.M REZAUL KARIM</t>
  </si>
  <si>
    <t>A00476</t>
  </si>
  <si>
    <t>IPO Application of Al-Madina Pharmaceuticals Limited (AMPL)</t>
  </si>
  <si>
    <t>FDR Renew with IDLC
(10552256490905)</t>
  </si>
  <si>
    <t>FDR Renew with IDLC
(10552256490906)</t>
  </si>
  <si>
    <t>Payment to Telnet communication ltd - April 2022</t>
  </si>
  <si>
    <t>Payment of CDBL Charges - April 2023</t>
  </si>
  <si>
    <t>dividend receivable from BRAC Bank -  year ended December 31, 2022</t>
  </si>
  <si>
    <t>IPO Allocation of Al-Madina Pharmaceuticals Limited (AMPL)</t>
  </si>
  <si>
    <t>Buy proceeds payable to Royal Capital Limited</t>
  </si>
  <si>
    <t>Trade (B) of securities at Royal Capital Limited</t>
  </si>
  <si>
    <t>Investment in Sandhani AML SLIC Fixed Income Fund</t>
  </si>
  <si>
    <t>dividend receivable from Midland Bank -  year ended December 31, 2022</t>
  </si>
  <si>
    <t>1135-12700000003</t>
  </si>
  <si>
    <t>IPO Application of MK Footwear PLC (MKFOOTWEAR)</t>
  </si>
  <si>
    <t>FDR Renew with DBH
(710001110577)</t>
  </si>
  <si>
    <t>FDR Renew with DBH
(710001114095)</t>
  </si>
  <si>
    <t>FDR Renew with DBH
(710001114096)</t>
  </si>
  <si>
    <t>Payment to Telnet communication ltd - May 2023</t>
  </si>
  <si>
    <t>NAYEEM JAHANGIR</t>
  </si>
  <si>
    <t>A00477</t>
  </si>
  <si>
    <t>S.M. SAIFUL ISLAM</t>
  </si>
  <si>
    <t>A00478</t>
  </si>
  <si>
    <t>KAZI MAZBAH UDDIN</t>
  </si>
  <si>
    <t>A00479</t>
  </si>
  <si>
    <t>MD. MOHIBULLAH CHOWDHURY</t>
  </si>
  <si>
    <t>A00480</t>
  </si>
  <si>
    <t>NUR-E-SALVEEN</t>
  </si>
  <si>
    <t>A00481</t>
  </si>
  <si>
    <t>MOHAMMAD HASAN</t>
  </si>
  <si>
    <t>A00482</t>
  </si>
  <si>
    <t>ABU MUSA MIRZA KAMRUZZMAN SHAHEE</t>
  </si>
  <si>
    <t>A00483</t>
  </si>
  <si>
    <t>MOHAMMED MUQEET HALIM</t>
  </si>
  <si>
    <t>A00484</t>
  </si>
  <si>
    <t>ASHIK IQBAL CHOWDHURY</t>
  </si>
  <si>
    <t>A00485</t>
  </si>
  <si>
    <t>SADIA PARVIN</t>
  </si>
  <si>
    <t>A00486</t>
  </si>
  <si>
    <t>SANJIB KUMAR ROY</t>
  </si>
  <si>
    <t>A00487</t>
  </si>
  <si>
    <t>SUMAN SAHA</t>
  </si>
  <si>
    <t>A00488</t>
  </si>
  <si>
    <t>FAZLE KARIM MURAD</t>
  </si>
  <si>
    <t>A00489</t>
  </si>
  <si>
    <t>MUSTAFA KAMAL MASUD</t>
  </si>
  <si>
    <t>A00490</t>
  </si>
  <si>
    <t>MOHAMMED SHARIFUL ISLAM</t>
  </si>
  <si>
    <t>A00491</t>
  </si>
  <si>
    <t>NUSRAT JAHAN</t>
  </si>
  <si>
    <t>A00492</t>
  </si>
  <si>
    <t>SIKDER FAZLE RABBI</t>
  </si>
  <si>
    <t>A00493</t>
  </si>
  <si>
    <t>dividend received from BRAC Bank -  year ended December 31, 2022</t>
  </si>
  <si>
    <t>FDR Renew with BD Finance
(0005-22000000457)</t>
  </si>
  <si>
    <t>FDR Renew with BD Finance
(0005-22000000458)</t>
  </si>
  <si>
    <t>FDR Renew with IDLC
(10552256490908)</t>
  </si>
  <si>
    <t>FDR Renew with IDLC
(10552256490909)</t>
  </si>
  <si>
    <t>FDR Renew with IDLC
(10552256490910)</t>
  </si>
  <si>
    <t>FDR Renew with IPDC
(100125-1000028555)</t>
  </si>
  <si>
    <t>IPO Allocation of MK Footwear PLC (MKFOOTWEAR)</t>
  </si>
  <si>
    <t>Dividend Received from ATC Shariah Unit Fund</t>
  </si>
  <si>
    <t>Interest Income from Bank Account - BRAC</t>
  </si>
  <si>
    <t>dividend received from Midland Bank -  year ended December 31, 2022</t>
  </si>
  <si>
    <t>Unit Surrender - Lumpsump</t>
  </si>
  <si>
    <t>Payment of CDBL Charges - May 2023</t>
  </si>
  <si>
    <t>FDR Renew with IPDC
(100125-1000037660)</t>
  </si>
  <si>
    <t>FDR Renew with IPDC
(100125-1000037659)</t>
  </si>
  <si>
    <t>Trade (S) of Amar Securities Limited</t>
  </si>
  <si>
    <t>FDR Interest Received From IDLC
(10552256490904)</t>
  </si>
  <si>
    <t>FDR Interest Received From IDLC
(10552256490905)</t>
  </si>
  <si>
    <t>FDR Interest Received From IDLC
(10552256490906)</t>
  </si>
  <si>
    <t>Sale proceeds received from Amar Securities Limited</t>
  </si>
  <si>
    <t>FDR Withdraw IDLC
(10552256490904)</t>
  </si>
  <si>
    <t>FDR Withdraw IDLC
(10552256490905)</t>
  </si>
  <si>
    <t>FDR Withdraw IDLC
(10552256490906)</t>
  </si>
  <si>
    <t>FDR Renew with DBH
(710001114097)</t>
  </si>
  <si>
    <t>FDR Withdraw IDLC
(0005-22000000457,58)</t>
  </si>
  <si>
    <t>T-Bill Purchase</t>
  </si>
  <si>
    <t>Investments in T-Bill</t>
  </si>
  <si>
    <t xml:space="preserve">     Investments in T-Bill</t>
  </si>
  <si>
    <t>Accrued Trustee Fee has been Paid - July 1, 2022 to June 30, 2023</t>
  </si>
  <si>
    <t>Trade (B&amp;S) of securities at Amar Securities Limited</t>
  </si>
  <si>
    <t>Buy proceeds payable to Amar Securities Limited</t>
  </si>
  <si>
    <t>Payment of Custodian Fee - Jan to June 2023</t>
  </si>
  <si>
    <t>dividend received &amp; Yet to get from Midland Bank -  year ended December 31, 2022</t>
  </si>
  <si>
    <t>FDR Withdraw IPDC
(100125-1000028555)</t>
  </si>
  <si>
    <t>Unit Surrender - LUMP &amp; SIP</t>
  </si>
  <si>
    <t xml:space="preserve">         Net Investment in T- Bills</t>
  </si>
  <si>
    <t>As on September 30, 2023</t>
  </si>
  <si>
    <t xml:space="preserve">     Investment in Securities at Market Price</t>
  </si>
  <si>
    <t xml:space="preserve">     Advance, Deposit &amp; Prepayments</t>
  </si>
  <si>
    <t xml:space="preserve">     Cash &amp; Cash Equivalent</t>
  </si>
  <si>
    <t xml:space="preserve">         Proceeds from Encashment of FDR</t>
  </si>
  <si>
    <t xml:space="preserve">         Preliminary &amp; Issue Expenses</t>
  </si>
  <si>
    <t xml:space="preserve">        Proceeds from Issuance of Units</t>
  </si>
  <si>
    <t xml:space="preserve">        Proceeds made for Re-purchase of Units</t>
  </si>
  <si>
    <t xml:space="preserve">      Cash &amp; Cash Equivalent at the Beginning of the Period</t>
  </si>
  <si>
    <t xml:space="preserve">      Cash &amp; Cash Equivalent at the End of the Period</t>
  </si>
  <si>
    <t xml:space="preserve">     Unrealized Gain/(Loss) on Securities</t>
  </si>
  <si>
    <t xml:space="preserve">     Management Fees</t>
  </si>
  <si>
    <t xml:space="preserve">     Amortization of Preliminary &amp; Issue Expenses</t>
  </si>
  <si>
    <t xml:space="preserve">     CDBL Settlement &amp; Demat Charges</t>
  </si>
  <si>
    <t xml:space="preserve">     Bank Charge &amp; Excise Duty</t>
  </si>
  <si>
    <t xml:space="preserve">     Newspaper Publication Expense</t>
  </si>
  <si>
    <t>Net Profit for the Period</t>
  </si>
  <si>
    <t>Unit Capital Raised During the Period</t>
  </si>
  <si>
    <t>Unit Surrendered</t>
  </si>
  <si>
    <t>Dividend Paid During the Year</t>
  </si>
  <si>
    <t>Net Profit During the Period</t>
  </si>
  <si>
    <t>Interest receivables from T-Bill</t>
  </si>
  <si>
    <t>Management fee has been Partially paid for the period from March 19 to September 18  (Total 2,090,236.81)</t>
  </si>
  <si>
    <t>Trade (B) of securities at  Amar Securities Limited</t>
  </si>
  <si>
    <t>Fair value adjustment T-Bill</t>
  </si>
  <si>
    <t>Fair value adjustment T-Bond</t>
  </si>
  <si>
    <t xml:space="preserve">     Investments in T-Bond</t>
  </si>
  <si>
    <t>T-Bill at cost price</t>
  </si>
  <si>
    <t>T-Bond Investment at cost price</t>
  </si>
  <si>
    <t>T-Bond fair value adjustment</t>
  </si>
  <si>
    <t>T-Bill fair value adjustment</t>
  </si>
  <si>
    <t>Investments in T-Bond</t>
  </si>
  <si>
    <t>Interest receivables from T-Bond</t>
  </si>
  <si>
    <t>Unrealized gain on T-Bill</t>
  </si>
  <si>
    <t>Unrealized gain on T-Bond</t>
  </si>
  <si>
    <t>Realized gain on T-Bill</t>
  </si>
  <si>
    <t>Realized gain on T-Bond</t>
  </si>
  <si>
    <t xml:space="preserve">     Unrealized Gain/(Loss) on T-Bill</t>
  </si>
  <si>
    <t xml:space="preserve">     Unrealized Gain/(Loss) on T-Bond</t>
  </si>
  <si>
    <t>Fair Value Adjustment on T-Bill</t>
  </si>
  <si>
    <t>T-Bill</t>
  </si>
  <si>
    <t>T-Bond</t>
  </si>
  <si>
    <t xml:space="preserve">     Net Gain on Sale of T-Bill</t>
  </si>
  <si>
    <t xml:space="preserve">     Net Gain on Sale of T-Bond</t>
  </si>
  <si>
    <t>FDR Withdraw DBH
(710001114095)</t>
  </si>
  <si>
    <t>FDR Withdraw DBH
(710001114096)</t>
  </si>
  <si>
    <t>Unit Surrender - Lumpsump &amp; SIP</t>
  </si>
  <si>
    <t>dividend receivable from BSCCL - Year ended June 30, 2023</t>
  </si>
  <si>
    <t>dividend received from BSCCL -  year ended June 30, 2023</t>
  </si>
  <si>
    <t>FDR Withdraw IPDC
(100125-1000037660)</t>
  </si>
  <si>
    <t>FDR Withdraw IPDC
(100125-1000037659)</t>
  </si>
  <si>
    <t>dividend receivable from RENATA - Year ended June 30, 2023</t>
  </si>
  <si>
    <t>dividend receivable from SQURPHARMA - Year ended June 30, 2023</t>
  </si>
  <si>
    <t>FDR Withdraw DBH
(710001114097)</t>
  </si>
  <si>
    <t>Unit Surrender - LUMPSUMP</t>
  </si>
  <si>
    <t>T-Bill Purchase (BD0909124242)</t>
  </si>
  <si>
    <t>T-Bill Purchase (BD0901425233)</t>
  </si>
  <si>
    <t>IPO Application of Agro Organica PLC (AOPLC)</t>
  </si>
  <si>
    <t>FDR Withdraw DBH
(710001110577)</t>
  </si>
  <si>
    <t>FDR Interest from DBH</t>
  </si>
  <si>
    <t>FDR Withdraw IPDC
(100125-1000028556)</t>
  </si>
  <si>
    <t>T-Bill Purchase (BD0909127245)</t>
  </si>
  <si>
    <t>FDR Withdraw DBH
(710001112914)</t>
  </si>
  <si>
    <t>FDR Withdraw DBH
(710001112915)</t>
  </si>
  <si>
    <t>Interest Income from FDR is being Accrued - DBH Finance Plc</t>
  </si>
  <si>
    <t>Excess Duity Return</t>
  </si>
  <si>
    <t>Sale of T-Bill
(BD0901425233)</t>
  </si>
  <si>
    <t>IPO Allocation of Agro Organica PLC (AOPLC)</t>
  </si>
  <si>
    <t>T-Bill Purchase (BD0909129241)</t>
  </si>
  <si>
    <t>Sale of T-Bill
(BD0909129241)</t>
  </si>
  <si>
    <t>T-Bill Purchase (BD0909130249)</t>
  </si>
  <si>
    <t>FDR Interest received IDLC
(10552256490908)</t>
  </si>
  <si>
    <t>FDR Interest received IDLC
(10552256490909)</t>
  </si>
  <si>
    <t>FDR Interest received IDLC
(10552256490910)</t>
  </si>
  <si>
    <t>Sale of T-Bill
(BD0909130249)</t>
  </si>
  <si>
    <t>Unit Surrender Return - SIP</t>
  </si>
  <si>
    <t>FDR Encash IDLC
(10552256490910)</t>
  </si>
  <si>
    <t>FDR Encash IDLC
(10552256490909)</t>
  </si>
  <si>
    <t>FDR Encash IDLC
(10552256490908)</t>
  </si>
  <si>
    <t>T-Bill Purchase (BD0909131247)</t>
  </si>
  <si>
    <t>Sale of T-Bill
(BD0909131247)</t>
  </si>
  <si>
    <r>
      <t>dividend received from BRAC Bank (UNCLAIMED DIVIDE</t>
    </r>
    <r>
      <rPr>
        <b/>
        <sz val="8"/>
        <color theme="1"/>
        <rFont val="Calibri"/>
        <family val="2"/>
        <scheme val="minor"/>
      </rPr>
      <t>)</t>
    </r>
    <r>
      <rPr>
        <sz val="8"/>
        <color theme="1"/>
        <rFont val="Calibri"/>
        <family val="2"/>
        <scheme val="minor"/>
      </rPr>
      <t>-  year ended Dec 31, 2022</t>
    </r>
  </si>
  <si>
    <t>Midland</t>
  </si>
  <si>
    <t>Brac</t>
  </si>
  <si>
    <t>Modhumoti</t>
  </si>
  <si>
    <t>SBAC</t>
  </si>
  <si>
    <t>1513-205101231001</t>
  </si>
  <si>
    <t>2051-012310002</t>
  </si>
  <si>
    <t>2130-001459</t>
  </si>
  <si>
    <t>MTB</t>
  </si>
  <si>
    <t>1310-000147444</t>
  </si>
  <si>
    <t>Interest Income from Bank Account - Midland</t>
  </si>
  <si>
    <t>Bank charge Excess Duty - Midland</t>
  </si>
  <si>
    <t>Bank charge has been charged - Midland</t>
  </si>
  <si>
    <t xml:space="preserve">          Gain on Sale of T-Bill</t>
  </si>
  <si>
    <t xml:space="preserve">          Gain on Sale of Share and Securities</t>
  </si>
  <si>
    <t>For the period from January 01 to December 31, 2023</t>
  </si>
  <si>
    <t>Bank charge Transfer SI FT - Midland</t>
  </si>
  <si>
    <t>Interest Income from Bank Account - Modhumoti</t>
  </si>
  <si>
    <t>Bank charge Excess Duty - Modhumoti</t>
  </si>
  <si>
    <t>Bank charge MAINTENANCE FEE - Modhumoti</t>
  </si>
  <si>
    <t>Bank charge Others - Modhumoti</t>
  </si>
  <si>
    <t>Interest Income from Bank Account - SBAC</t>
  </si>
  <si>
    <t>Bank charge Others - SBAC</t>
  </si>
  <si>
    <t>Bank charge MAINTENANCE FEE - SBAC</t>
  </si>
  <si>
    <t>Bank charge - SBAC</t>
  </si>
  <si>
    <t>Bank charge MAINTENANCE FEE - MTB</t>
  </si>
  <si>
    <t>Interest Income from Bank Account - MTB</t>
  </si>
  <si>
    <t>Bank charge - MTB</t>
  </si>
  <si>
    <t>Bank charge  - BRAC</t>
  </si>
  <si>
    <t>Bank charge Excess Duty - BRAC</t>
  </si>
  <si>
    <t>dividend received from RENATA - Year ended June 30, 2023</t>
  </si>
  <si>
    <t>dividend received from SQURPHARMA - Year ended June 30, 2023</t>
  </si>
  <si>
    <t xml:space="preserve">Bank charge </t>
  </si>
  <si>
    <t>IPO Application of Sikder Insurance Company Limited (SICL)</t>
  </si>
  <si>
    <t>IPO Allocation of Sikder Insurance Company Limited (SICL)</t>
  </si>
  <si>
    <t>dividend received from 	OLYMPIC - Year ended June 30, 2023</t>
  </si>
  <si>
    <t>T-Bill Purchase (BD0909137244)</t>
  </si>
  <si>
    <t>Dividend Declared for the Year ended on December 31, 2023 at BDT. 0.25 per Unit</t>
  </si>
  <si>
    <t>Sale of T-Bill (BD0909124242)</t>
  </si>
  <si>
    <t xml:space="preserve">Dividend Paid </t>
  </si>
  <si>
    <t>T-Bill Purchase (BD0909140248)</t>
  </si>
  <si>
    <t>IPO Application of Web Coats PLC. (WEBCOATS)</t>
  </si>
  <si>
    <t>IPO Allocation of Web Coats PLC. (WEBCOATS)</t>
  </si>
  <si>
    <t>Unit Subscription - Lumpsum</t>
  </si>
  <si>
    <t>IPO Allocation of Asiatic Lab Ltd (ASIATICLAB)</t>
  </si>
  <si>
    <t>dividend receivable from GP - year ended December 31, 2023</t>
  </si>
  <si>
    <t>dividend receivable from BATBC - year ended December 31, 2023</t>
  </si>
  <si>
    <t>Dividend Paid &amp; Withdraw</t>
  </si>
  <si>
    <t>Sale of T-Bill (BD0909129241)</t>
  </si>
  <si>
    <t>Sale of T-Bill (BD0909127245)</t>
  </si>
  <si>
    <t>Dividend Paid in Cash</t>
  </si>
  <si>
    <t>Withholding Tax Payable of News Paper</t>
  </si>
  <si>
    <t>Withholding Tax Payable of Telnet</t>
  </si>
  <si>
    <t>Withholding Tax Paid of Telnet communication ltd</t>
  </si>
  <si>
    <t>Withholding Tax Paid of The Financial Express</t>
  </si>
  <si>
    <t>Withholding Tax Paid of Paid Dividend</t>
  </si>
  <si>
    <t>Audit Fee Paid</t>
  </si>
  <si>
    <t>Bank charge - Midland</t>
  </si>
  <si>
    <t>Fair Value Adjustment on T-Bond</t>
  </si>
  <si>
    <t>Sale of T-Bill (BD0918215247)</t>
  </si>
  <si>
    <t>Payment of Custodian Fee - July to Dec 2023</t>
  </si>
  <si>
    <t>T-Bond Purchase (BD0926381023)</t>
  </si>
  <si>
    <t>T-Bill Purchase (BD0909148241)</t>
  </si>
  <si>
    <t>Management fee amount return for tax payment</t>
  </si>
  <si>
    <t>IPO Application of Techno Drugs Ltd. (TECHNODRUG)</t>
  </si>
  <si>
    <t>IPO Application of Craftsman Footwear and Accessories Limited (CRAFTSMAN)</t>
  </si>
  <si>
    <t>Accrued Trustee Fee has been Paid - July 1, 2023 to Dec 31, 2023</t>
  </si>
  <si>
    <t>dividend received from BATBC - year ended December 31, 2023</t>
  </si>
  <si>
    <t>dividend received from GP - year ended December 31, 2023</t>
  </si>
  <si>
    <t>IPO Application Return of Techno Drugs Ltd. (TECHNODRUG)</t>
  </si>
  <si>
    <t>IPO Allocation of Craftsman Footwear and Accessories Limited (CRAFTSMAN)</t>
  </si>
  <si>
    <t>Sale of T-Bill (BD0909137244)</t>
  </si>
  <si>
    <t>T-Bill Purchase (BD0909151245)</t>
  </si>
  <si>
    <t>Withholding Tax Paid</t>
  </si>
  <si>
    <t>Sale of T-Bill (BD0909140248</t>
  </si>
  <si>
    <t xml:space="preserve">Management fee paid for the period from Sep 19 - March 18 </t>
  </si>
  <si>
    <t>T-Bill Purchase (BD0909155244</t>
  </si>
  <si>
    <t>1012-050203847</t>
  </si>
  <si>
    <t>dividend receivable from BRAC - year ended December 31, 2023</t>
  </si>
  <si>
    <t>dividend received from BRAC - year ended December 31, 2023</t>
  </si>
  <si>
    <t>Bank charge</t>
  </si>
  <si>
    <t>T-Bill Purchase (BD0909152243</t>
  </si>
  <si>
    <t>T-Bill Purchase (BD0909154249</t>
  </si>
  <si>
    <t>Sale of T-Bill (BD0909152243</t>
  </si>
  <si>
    <t>Sale of T-Bill (BD0909154249</t>
  </si>
  <si>
    <t>FDR Interest Receivable NRB Bank</t>
  </si>
  <si>
    <t>Sale of T-Bill (BD0909144240
Wrongly Credited 5,000,000</t>
  </si>
  <si>
    <t>Wrong Credit Correction</t>
  </si>
  <si>
    <t>Bank charge Midland</t>
  </si>
  <si>
    <t>Interest Income from Bank Midland</t>
  </si>
  <si>
    <t>Interest Income from BRAC</t>
  </si>
  <si>
    <t>Interest Income from  Midland</t>
  </si>
  <si>
    <t>FDR with NRB (1013390204415)</t>
  </si>
  <si>
    <t>FDR with NRB (1013390204426)</t>
  </si>
  <si>
    <t>Interest Income - NRB</t>
  </si>
  <si>
    <t>Bank charge NRB</t>
  </si>
  <si>
    <t>Bank charge MTB</t>
  </si>
  <si>
    <t>Interest Income - MTB</t>
  </si>
  <si>
    <t>Bank charge SBAC</t>
  </si>
  <si>
    <t>Interest Income - SBAC</t>
  </si>
  <si>
    <t>Bank charge Modhumoti</t>
  </si>
  <si>
    <t>Bank charge BRAC</t>
  </si>
  <si>
    <t>Bank charge Refund Midland</t>
  </si>
  <si>
    <t>Trade (S) of CAL Securities Limited</t>
  </si>
  <si>
    <t>Sale proceeds received from CAL Securities Limited</t>
  </si>
  <si>
    <t>Trade (B) of securities at  CAL Securities Limited</t>
  </si>
  <si>
    <t>Sale of T-Bill (BD0909148241</t>
  </si>
  <si>
    <t>NRB</t>
  </si>
  <si>
    <t>Amount</t>
  </si>
  <si>
    <t>Interest</t>
  </si>
  <si>
    <t>Buy proceeds payable to CAL Securities Limited</t>
  </si>
  <si>
    <t>Interest Receivable from Bank</t>
  </si>
  <si>
    <t>Invectment in EDGE AMC Growth Fund</t>
  </si>
  <si>
    <t>Trade (B&amp;S) of securities at CAL Securities Limited</t>
  </si>
  <si>
    <t>A00532</t>
  </si>
  <si>
    <t>Sale of T-Bill (BD0909151245</t>
  </si>
  <si>
    <t>Trade (B&amp;S) of securities at AMAR Securities Limited</t>
  </si>
  <si>
    <t>T-Bond Purchase (BD0928221052</t>
  </si>
  <si>
    <t>Sale of T-Bill (BD0936407248</t>
  </si>
  <si>
    <t>Trade (B) of securities at CAL Securities Limited</t>
  </si>
  <si>
    <t>T-Bill Purchase (BD0909106249</t>
  </si>
  <si>
    <t>dividend receivable from MARICO - period ended June 30, 2024</t>
  </si>
  <si>
    <t>Trade (S) of securities at Amar Securities Limited</t>
  </si>
  <si>
    <t>A00587</t>
  </si>
  <si>
    <t>Trade (B) of securities at Amar Securities Limited</t>
  </si>
  <si>
    <t>Sale of T-Bill (BD0909155244</t>
  </si>
  <si>
    <t>T-Bill Purchase (BD0909108245</t>
  </si>
  <si>
    <t xml:space="preserve">T-Bond Purchase BRAC EPL (BD0928181058 </t>
  </si>
  <si>
    <t>Buy Paid to BRAC EPL</t>
  </si>
  <si>
    <t>dividend received from MARICO - period ended June 30, 2024</t>
  </si>
  <si>
    <t>Payment of Custodian Fee - Jan to jun 2024</t>
  </si>
  <si>
    <t>Trade (S) of securities at Shanta Securities Limited</t>
  </si>
  <si>
    <t>Sale proceeds received from Shanta Securities Limited</t>
  </si>
  <si>
    <t>Sale of T-Bond (BD0934481104</t>
  </si>
  <si>
    <t>Sale of T-Bond (BD0928221052</t>
  </si>
  <si>
    <t>Interest Income from T-Bond</t>
  </si>
  <si>
    <t>Trade (B) of securities at Shanta Securities Limited</t>
  </si>
  <si>
    <t>T-Bond Purchase (BD0929151050</t>
  </si>
  <si>
    <t>T-Bond Purchase (BD0909108245</t>
  </si>
  <si>
    <t>Buy proceeds payable to Shanta Securities Limited</t>
  </si>
  <si>
    <t>Trade (S) of securities at CAL Securities Limited</t>
  </si>
  <si>
    <t>T-Bond Purchase (BD0939371151</t>
  </si>
  <si>
    <t>Accrued Trustee Fee has been Paid - Jan 1, 2024 to Jun 30, 2024</t>
  </si>
  <si>
    <t xml:space="preserve">Management fee paid for the period from March 19 - Sep 18 </t>
  </si>
  <si>
    <t>FDR Interest Income - NRB Bank</t>
  </si>
  <si>
    <t>Share Sale proceeds received from Amar Securities Limited</t>
  </si>
  <si>
    <t>Share Sale proceeds received from CAL Securities Limited</t>
  </si>
  <si>
    <t>Share Buy proceeds paid to Amar Securities Limited</t>
  </si>
  <si>
    <t>Share Buy proceeds paid to CAL Securities Limited Return</t>
  </si>
  <si>
    <t>Interest Receivable from T-Bond</t>
  </si>
  <si>
    <t>Interest Received from T-Bond</t>
  </si>
  <si>
    <t>Withholding Tax Paid to Government</t>
  </si>
  <si>
    <t>Sale of T-Bond (BD0939371151</t>
  </si>
  <si>
    <t>dividend receivable from BATBC - period ended September 30, 2024</t>
  </si>
  <si>
    <t>dividend receivable from MARICO - period ended September 30, 2024</t>
  </si>
  <si>
    <t>dividend receivable from ACMELAB - period ended September 30, 2024</t>
  </si>
  <si>
    <t>Sale of T-Bill (BD0909106249</t>
  </si>
  <si>
    <t>Sale of T-Bond (BD0929151050</t>
  </si>
  <si>
    <t>Sale of T-Bill (BD0909108245</t>
  </si>
  <si>
    <t>Coupon Interest Received from T-Bond</t>
  </si>
  <si>
    <t>Dividend received from MARICO - period ended September 30, 2024</t>
  </si>
  <si>
    <t>Dividend received from BATBC - period ended September 30, 2024</t>
  </si>
  <si>
    <t>Interest Income - BRAC</t>
  </si>
  <si>
    <t>Interest Income - Midland</t>
  </si>
  <si>
    <t>Interest Receivable from Bank- Reverse</t>
  </si>
  <si>
    <t xml:space="preserve">         Net Investment in T- Bonds</t>
  </si>
  <si>
    <t xml:space="preserve">          Gain on Sale of T-Bond</t>
  </si>
  <si>
    <t>dividend receivable  from OLYMPIC - Year ended June 30, 2023</t>
  </si>
  <si>
    <t>Dividend Receivable from VANGUARD AML GF</t>
  </si>
  <si>
    <t xml:space="preserve">     Dividend Reverse</t>
  </si>
  <si>
    <t>dividend REVERSE from MARICO - Interim Dividend - ended June 30, 2022</t>
  </si>
  <si>
    <t>Dividend Receivable from SQURPHARMA - year ended June 30, 2024</t>
  </si>
  <si>
    <t>dividend received from SQURPHARMA - year ended June 30, 2024</t>
  </si>
  <si>
    <t>dividend received from ACMELAB - period ended September 30, 2024</t>
  </si>
  <si>
    <t>FDR Interest Receivable IDLC</t>
  </si>
  <si>
    <t>T-Bond Purchase (BD0937901157</t>
  </si>
  <si>
    <t>Share Sell proceeds received from Amar Securities Limited</t>
  </si>
  <si>
    <t>Share Buy proceeds paid to CAL Securities Limited</t>
  </si>
  <si>
    <t>Dividend Declared for the Year ended on December 31, 2024 at BDT. 0.50 per Unit</t>
  </si>
  <si>
    <t>Dividend Paid to A00241</t>
  </si>
  <si>
    <t>Dividend Paid to A00231</t>
  </si>
  <si>
    <t>Payment of Custodian Fee - Jul to Dec 2024</t>
  </si>
  <si>
    <t>Share Sell proceeds received from Modern Securities Limited</t>
  </si>
  <si>
    <t>dividend receivable from MARICO - period ended December 31, 2024</t>
  </si>
  <si>
    <t>dividend receivable from GP - year ended December 31, 2024</t>
  </si>
  <si>
    <t>dividend receivable from BATBC - year ended December 31, 2024</t>
  </si>
  <si>
    <t>Dividend Withholding Tax for the Year ended on December 31, 2024</t>
  </si>
  <si>
    <t>CIP Dividend Paid for the Year ended on December 31, 2024</t>
  </si>
  <si>
    <t>Cash Dividend Paid for the Year ended on December 31, 2024</t>
  </si>
  <si>
    <t>Trade (S) of securities at Modern Securities Limited</t>
  </si>
  <si>
    <t>dividend receivable from JAMUNAOIL - year ended December 31, 2024</t>
  </si>
  <si>
    <t>dividend received from JAMUNAOIL - year ended December 31, 2024</t>
  </si>
  <si>
    <t>dividend received from MARICO - period ended December 31, 2024</t>
  </si>
  <si>
    <t>Coupon Interest Receivable from T-Bond</t>
  </si>
  <si>
    <t>Share Sell proceeds received from CAL Securities Limited</t>
  </si>
  <si>
    <t>dividend received from BATBC - year ended December 31, 2024</t>
  </si>
  <si>
    <t>FDR Interest Received IDLC</t>
  </si>
  <si>
    <t>dividend received from GP - year ended December 31, 2024</t>
  </si>
  <si>
    <t>dividend receivable from EBL - December 31, 2024</t>
  </si>
  <si>
    <t>dividend receivable from UTTARABANK- December 31, 2024</t>
  </si>
  <si>
    <t>Bank charge Midland Withholding Tax</t>
  </si>
  <si>
    <t>Accrued Trustee Fee has been Paid - Jul 1, 2024 to Dec 31, 2024</t>
  </si>
  <si>
    <t>Trade (B) of securities at LankaBangla Securities Limited</t>
  </si>
  <si>
    <t>Share Buy proceeds paid to LankaBangla Securities Limited</t>
  </si>
  <si>
    <t>Trade (S) of securities at BRAC EPL Stock Securities Limited</t>
  </si>
  <si>
    <t>Trade (B&amp;S) of securities at BRAC EPL Stoc Securities Limited</t>
  </si>
  <si>
    <t>FDR Encash IDLC</t>
  </si>
  <si>
    <t>Trade (B) of securities at BRAC EPL Stoc Securities Limited</t>
  </si>
  <si>
    <t xml:space="preserve">Management fee paid for the period from Sep 19 - Mar 18 </t>
  </si>
  <si>
    <t>Share Buy proceeds paid to BRAC EPL Stock Limited</t>
  </si>
  <si>
    <t>Trade (B&amp;S) of securities at BRAC EPL Stock Brokerage Limited</t>
  </si>
  <si>
    <t>T-Bond Purchase (BD0930401056</t>
  </si>
  <si>
    <t xml:space="preserve">Coupon Interest Receivable from T-Bond (BD0928181058 / TB5Y1128 </t>
  </si>
  <si>
    <t>dividend receivable from JAMUNABANK- December 31, 2024</t>
  </si>
  <si>
    <t>Share Sell proceeds received from BRAC EPL Stock Brokerage Limited</t>
  </si>
  <si>
    <t>dividend received from UTTARABANK- December 31, 2024</t>
  </si>
  <si>
    <t>dividend received from EBL - December 31, 2024</t>
  </si>
  <si>
    <t>dividend receivable from BRACBANK- December 31, 2024</t>
  </si>
  <si>
    <t>Trade (B&amp;S) of securities at Modern Securities Limited</t>
  </si>
  <si>
    <t>Share Buy proceeds paid to Modern Securities Limited</t>
  </si>
  <si>
    <t>Trade (B&amp;S) of securities at BRAC EPL Stock Limited</t>
  </si>
  <si>
    <t>dividend receivable from MARICO - Year 2024-2025</t>
  </si>
  <si>
    <t>Management fee paid for the period from Sep 19 - Mar 18  (887,687.98)</t>
  </si>
  <si>
    <t>Management fee paid for the period from Sep 19 - Mar 18  (767,687.98)</t>
  </si>
  <si>
    <t>Trade (S) of securities at BRAC EPL Stock Limited</t>
  </si>
  <si>
    <t>Trade (B) of securities at BRAC EPL Stock Limited</t>
  </si>
  <si>
    <t>Coupon Interest Receivable from T-Bond (BD0928221052</t>
  </si>
  <si>
    <t>Coupon Interest Received from T-Bond (BD0928221052</t>
  </si>
  <si>
    <t>T-Bond Purchase (BD0927471021</t>
  </si>
  <si>
    <t>T-Bond Purchase (BD0940381157</t>
  </si>
  <si>
    <t>Sell of Asian Tiger Capital Shariah Unit Fund (ATCSUF)</t>
  </si>
  <si>
    <t>Trade (S) of securities at BRAC EPL Limited</t>
  </si>
  <si>
    <t>Sale of T-Bond (BD0926381023</t>
  </si>
  <si>
    <t>Share Sell proceeds received from BRAC EPL Limited</t>
  </si>
  <si>
    <t xml:space="preserve">Management fee paid for the period from Sep 19 - Mar 18  </t>
  </si>
  <si>
    <t>T-Bond Purchase (BD0935451106</t>
  </si>
  <si>
    <t>dividend received from BRACBANK- December 31, 2024</t>
  </si>
  <si>
    <t>FDR with IPDC Finance PLC</t>
  </si>
  <si>
    <t xml:space="preserve">Coupon Interest Received from T-Bond </t>
  </si>
  <si>
    <t>Trade (S) of securities at BRAC EPL Stock Brokerage Limited</t>
  </si>
  <si>
    <t>dividend receivable from CITYBANK- December 31, 2024</t>
  </si>
  <si>
    <t>Bank Account &amp; Bank charge Midland</t>
  </si>
  <si>
    <t>FDR Interest Receivable IPDC Finance PLC</t>
  </si>
  <si>
    <t>dividend received from JAMUNABANK- December 31, 2024</t>
  </si>
  <si>
    <t>T-Bond Purchase (BD0927011025</t>
  </si>
  <si>
    <t>Investment in UCB Income Plus Fund</t>
  </si>
  <si>
    <t>Share Sell proceeds received from BRAC EPL Stock Limited</t>
  </si>
  <si>
    <t>FDR Interest Received NRB Bank</t>
  </si>
  <si>
    <t>T-Bond Purchase (BD0930481058</t>
  </si>
  <si>
    <t>Share Buy proceeds paid to BRAC EPL Stock Brokerage Limited</t>
  </si>
  <si>
    <t>dividend received from CITYBANK- December 31, 2024</t>
  </si>
  <si>
    <t xml:space="preserve">Sale of T-Bond (BD0927011025	</t>
  </si>
  <si>
    <t>Sale of T-Bond (BD0927471021</t>
  </si>
  <si>
    <t>Trade (B) of securities at Modern Securities Limited</t>
  </si>
  <si>
    <t>Sale of T-Bond (BD0930401056</t>
  </si>
  <si>
    <t>Sale of T-Bond (BD0928181058</t>
  </si>
  <si>
    <t>Sale of T-Bond (BD0930481058</t>
  </si>
  <si>
    <t>fair value adjustment T-Bond</t>
  </si>
  <si>
    <t>Trade (B) of securities at Prime Bank Securities Limited</t>
  </si>
  <si>
    <t>dividend receivable from MARICO- ended June 30, 2025</t>
  </si>
  <si>
    <t>Trade (B&amp;S) of securities at Prime Bank Securities Limited</t>
  </si>
  <si>
    <t>Share Buy proceeds paid to Prime Bank Securities Limited</t>
  </si>
  <si>
    <t>Share Buy proceeds paid to Amar Bank Securities Limited</t>
  </si>
  <si>
    <t>Payment of Custodian Fee - Jan-Jun 2025</t>
  </si>
  <si>
    <t>Sale of T-Bond (BD0935451106</t>
  </si>
  <si>
    <t>dividend received from MARICO- ended June 30, 2025</t>
  </si>
  <si>
    <t>Share Sell proceeds received from Prime Bank Securities Limited</t>
  </si>
  <si>
    <t>Coupon Interest Received from T-Bond (BD0940381157)</t>
  </si>
  <si>
    <t>Trade (S) of securities at Prime Bank Securities Limited</t>
  </si>
  <si>
    <t>FDR Interest Received IPDC Finance PLC</t>
  </si>
  <si>
    <t>Sale of T-Bond (BD0937901157</t>
  </si>
  <si>
    <t>Sale of T-Bond (BD0940381157</t>
  </si>
  <si>
    <t>IPO Application of Renata PLC (RENATA)</t>
  </si>
  <si>
    <t>Trade (S) of EDGE AMC Growth Fund</t>
  </si>
  <si>
    <t>dividend receivable from BSRMSTEEL- year ended June 30, 2025</t>
  </si>
  <si>
    <t>IPO Application of Renata Pre. Share (RENATA)</t>
  </si>
  <si>
    <t>FDR Interest Receivable Renata</t>
  </si>
  <si>
    <t>dividend receivable from OLYMPIC- year ended June 30, 2025</t>
  </si>
  <si>
    <t>dividend receivable from RENATA- year ended June 30, 2025</t>
  </si>
  <si>
    <t>dividend receivable from SQURPHARMA - year ended June 30, 2025</t>
  </si>
  <si>
    <t>dividend receivable from ACMELAB - year ended June 30, 2025</t>
  </si>
  <si>
    <t>Weekly</t>
  </si>
  <si>
    <t>Daily</t>
  </si>
  <si>
    <t>dividend receivable from MARICO -  period ended September 30, 2025</t>
  </si>
  <si>
    <t>dividend receivable from BSC -  year ended June 30, 2025</t>
  </si>
  <si>
    <t>Management fee paid for the period from Mar 19 - Sep 18  (Remaining 1,797,215.32)</t>
  </si>
  <si>
    <t>dividend received from MARICO -  period ended September 30, 2025</t>
  </si>
  <si>
    <t>Accrued Trustee Fee has been Paid - Jan 1, 2025 to June 30., 2025</t>
  </si>
  <si>
    <t>Management fee paid for the period from Mar 19 - Sep 18  (Remaining 1,656,038.85)</t>
  </si>
  <si>
    <t>FDR Interest Receivable NRB Bank Reverse</t>
  </si>
  <si>
    <t>FDR Encash IPDC</t>
  </si>
  <si>
    <t>Broker Commission</t>
  </si>
  <si>
    <t>Receivable Remaining</t>
  </si>
  <si>
    <t>Management fee paid for the period from Mar 19 - Sep 18  (Remaining 1,594,862.38)</t>
  </si>
  <si>
    <t>dividend received from OLYMPIC- year ended June 30, 2025</t>
  </si>
  <si>
    <t>dividend received from SQURPHARMA - year ended June 30, 2025</t>
  </si>
  <si>
    <t>Management fee paid for the period from Mar 19 - Sep 18  (Remaining 1,400,000.00)</t>
  </si>
  <si>
    <t>Management fee paid for the period from Mar 19 - Sep 18  (Remaining 1,282,000.00)</t>
  </si>
  <si>
    <t>Interest income from FDR</t>
  </si>
  <si>
    <t>Interest income from Renata Pref. Share</t>
  </si>
  <si>
    <t>Interest income from Bank Acc.</t>
  </si>
  <si>
    <t>Interest receivables from Renata Pref. Share</t>
  </si>
  <si>
    <t>Interest receivables from Bank Acc.</t>
  </si>
  <si>
    <t>Interest income from T-Bill</t>
  </si>
  <si>
    <t>Interest income from T-Bond</t>
  </si>
  <si>
    <t>dividend received from ACMELAB - year ended June 30, 2025</t>
  </si>
  <si>
    <t>dividend received from RENATA- year ended June 30, 2025</t>
  </si>
  <si>
    <t>Management fee paid for the period from Mar 19 - Sep 18  (Remaining 1,277,000.00)</t>
  </si>
  <si>
    <t>Share Buy proceeds paid to UCB Stock Brokerage Limited</t>
  </si>
  <si>
    <t>Trade (B&amp;S) of securities at UCB Stock Brokerage Limited.</t>
  </si>
  <si>
    <t>Trade (S) of securities at UCB Stock Brokerage Limited.</t>
  </si>
  <si>
    <t>Trade (B) of securities at Prime Bank Securities Limited.</t>
  </si>
  <si>
    <t xml:space="preserve">charge of preliminary &amp; issue expense </t>
  </si>
  <si>
    <t>charge of management fee</t>
  </si>
  <si>
    <t>charge of trustee fee</t>
  </si>
  <si>
    <t>Dividend Declared for the Year ended on December 31, 2025 at BDT 0.58 per Unit</t>
  </si>
  <si>
    <t>Share Sell proceeds received from UCB Stock Brokerage Limited</t>
  </si>
  <si>
    <t>CIP Dividend Paid for the Year ended on December 31, 2025</t>
  </si>
  <si>
    <t>Dividend Paid in Cash A00615</t>
  </si>
  <si>
    <t>dividend receivable from EDGE AMC Growth Fund - Year ended 31 Dec, 2025</t>
  </si>
  <si>
    <t>Trade (B&amp;S) of securities at UCB Stock Brokerage Limited</t>
  </si>
  <si>
    <t>dividend receivable from MARICO -  period ended December 31, 2025</t>
  </si>
  <si>
    <t>Management fee paid for the period from Mar 19 - Sep 18  (Remaining 1,157,000)</t>
  </si>
  <si>
    <t>Management fee paid for the period from Mar 19 - Sep 18  (Remaining 330,000)</t>
  </si>
  <si>
    <t>Management fee paid for the period from Mar 19 - Sep 18  (Remaining 250,000)</t>
  </si>
  <si>
    <t>Management fee paid for the period from Mar 19 - Sep 18  (Remaining -110,000)</t>
  </si>
  <si>
    <t>Share Buy proceeds received from Prime Bank Securities Limited</t>
  </si>
  <si>
    <t>Trade (B) of securities at UCB Stock Brokerage Limited</t>
  </si>
  <si>
    <t>Share Buy proceeds received from UCB Stock Brokerage Limited</t>
  </si>
  <si>
    <t>Unit Surrender - Lumsum</t>
  </si>
  <si>
    <t>dividend received from MARICO -  period ended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</si>
</sst>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_(* \(#,##0\);_(* &quot;-&quot;_);_(@_)"/>
    <numFmt numFmtId="43" formatCode="_(* #,##0.00_);_(* \(#,##0.00\);_(* &quot;-&quot;??_);_(@_)"/>
    <numFmt numFmtId="164" formatCode="_-* #,##0.00_-;\-* #,##0.00_-;_-* &quot;-&quot;??_-;_-@_-"/>
    <numFmt numFmtId="165" formatCode="_(* #,##0_);_(* \(#,##0\);_(* &quot;-&quot;??_);_(@_)"/>
    <numFmt numFmtId="166" formatCode="_(* #,##0.000_);_(* \(#,##0.000\);_(* &quot;-&quot;??_);_(@_)"/>
    <numFmt numFmtId="167" formatCode="[$-409]mmmm\ d\,\ yyyy;@"/>
    <numFmt numFmtId="168" formatCode="0.00;[Red]0.00"/>
    <numFmt numFmtId="169" formatCode="[$-409]mmmm\-yy;@"/>
    <numFmt numFmtId="170" formatCode="_(* #,##0.0000_);_(* \(#,##0.0000\);_(* &quot;-&quot;??_);_(@_)"/>
    <numFmt numFmtId="171" formatCode="_(* #,##0.000000_);_(* \(#,##0.000000\);_(* &quot;-&quot;??_);_(@_)"/>
    <numFmt numFmtId="172" formatCode="0.000"/>
    <numFmt numFmtId="173" formatCode="_(* #,##0.000_);_(* \(#,##0.000\);_(* &quot;-&quot;???_);_(@_)"/>
    <numFmt numFmtId="174" formatCode="[$-409]d\-mmm\-yy;@"/>
    <numFmt numFmtId="175" formatCode="0.0000"/>
    <numFmt numFmtId="176" formatCode="_(* #,##0.0_);_(* \(#,##0.0\);_(* &quot;-&quot;?_);_(@_)"/>
    <numFmt numFmtId="177" formatCode="_(* #,##0.0_);_(* \(#,##0.0\);_(* &quot;-&quot;??_);_(@_)"/>
    <numFmt numFmtId="178" formatCode="[$-409]dd\-mmm\-yy;@"/>
    <numFmt numFmtId="179" formatCode="0.000000000000000000000000000000000000000000000000000000000E+00"/>
    <numFmt numFmtId="180" formatCode="_(* #,##0.0000000000000000000000000_);_(* \(#,##0.0000000000000000000000000\);_(* &quot;-&quot;??_);_(@_)"/>
    <numFmt numFmtId="181" formatCode="0.00000"/>
    <numFmt numFmtId="182" formatCode="0.0000000000000000"/>
    <numFmt numFmtId="183" formatCode="[$]dd/mm/yyyy;@" x16r2:formatCode16="[$-en-PK,1]dd/mm/yyyy;@"/>
  </numFmts>
  <fonts count="24" x14ac:knownFonts="1">
    <font>
      <sz val="11"/>
      <color theme="1"/>
      <name val="Calibri"/>
      <family val="2"/>
      <scheme val="minor"/>
    </font>
    <font>
      <sz val="11"/>
      <color theme="1"/>
      <name val="Calibri"/>
      <family val="2"/>
      <scheme val="minor"/>
    </font>
    <font>
      <b/>
      <sz val="10"/>
      <color theme="1"/>
      <name val="Arial"/>
      <family val="2"/>
    </font>
    <font>
      <sz val="10"/>
      <color theme="1"/>
      <name val="Arial"/>
      <family val="2"/>
    </font>
    <font>
      <b/>
      <sz val="11"/>
      <color theme="1"/>
      <name val="Calibri"/>
      <family val="2"/>
      <scheme val="minor"/>
    </font>
    <font>
      <sz val="10"/>
      <name val="Arial"/>
      <family val="2"/>
    </font>
    <font>
      <b/>
      <sz val="10"/>
      <name val="Arial"/>
      <family val="2"/>
    </font>
    <font>
      <sz val="9"/>
      <color theme="1"/>
      <name val="Arial"/>
      <family val="2"/>
    </font>
    <font>
      <sz val="8"/>
      <color theme="1"/>
      <name val="Arial"/>
      <family val="2"/>
    </font>
    <font>
      <sz val="8"/>
      <color theme="1"/>
      <name val="Calibri"/>
      <family val="2"/>
      <scheme val="minor"/>
    </font>
    <font>
      <sz val="11"/>
      <color theme="1"/>
      <name val="Cambria"/>
      <family val="1"/>
    </font>
    <font>
      <b/>
      <sz val="12"/>
      <color theme="1"/>
      <name val="Calibri"/>
      <family val="2"/>
      <scheme val="minor"/>
    </font>
    <font>
      <b/>
      <sz val="9"/>
      <color theme="1"/>
      <name val="Arial"/>
      <family val="2"/>
    </font>
    <font>
      <sz val="9"/>
      <color theme="1"/>
      <name val="Calibri"/>
      <family val="2"/>
      <scheme val="minor"/>
    </font>
    <font>
      <sz val="8"/>
      <name val="Calibri"/>
      <family val="2"/>
      <scheme val="minor"/>
    </font>
    <font>
      <sz val="8"/>
      <color theme="0"/>
      <name val="Calibri"/>
      <family val="2"/>
      <scheme val="minor"/>
    </font>
    <font>
      <sz val="8"/>
      <color theme="1" tint="0.34998626667073579"/>
      <name val="Calibri"/>
      <family val="2"/>
      <scheme val="minor"/>
    </font>
    <font>
      <b/>
      <sz val="8"/>
      <color theme="1"/>
      <name val="Calibri"/>
      <family val="2"/>
      <scheme val="minor"/>
    </font>
    <font>
      <u/>
      <sz val="11"/>
      <color theme="1"/>
      <name val="Calibri"/>
      <family val="2"/>
      <scheme val="minor"/>
    </font>
    <font>
      <sz val="9"/>
      <color indexed="81"/>
      <name val="Tahoma"/>
      <family val="2"/>
    </font>
    <font>
      <b/>
      <sz val="9"/>
      <color indexed="81"/>
      <name val="Tahoma"/>
      <family val="2"/>
    </font>
    <font>
      <sz val="10"/>
      <color theme="0" tint="-0.499984740745262"/>
      <name val="Arial"/>
      <family val="2"/>
    </font>
    <font>
      <b/>
      <sz val="10"/>
      <color rgb="FFFF0000"/>
      <name val="Arial"/>
      <family val="2"/>
    </font>
    <font>
      <sz val="10"/>
      <color rgb="FFFF0000"/>
      <name val="Arial"/>
      <family val="2"/>
    </font>
  </fonts>
  <fills count="18">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bgColor indexed="64"/>
      </patternFill>
    </fill>
    <fill>
      <patternFill patternType="solid">
        <fgColor theme="0" tint="-0.34998626667073579"/>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000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bgColor indexed="64"/>
      </patternFill>
    </fill>
    <fill>
      <patternFill patternType="solid">
        <fgColor theme="0"/>
        <bgColor indexed="64"/>
      </patternFill>
    </fill>
    <fill>
      <patternFill patternType="solid">
        <fgColor theme="7" tint="-0.249977111117893"/>
        <bgColor indexed="64"/>
      </patternFill>
    </fill>
  </fills>
  <borders count="32">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style="thin">
        <color indexed="64"/>
      </right>
      <top/>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9" fontId="1" fillId="0" borderId="0" applyFont="0" applyFill="0" applyBorder="0" applyAlignment="0" applyProtection="0"/>
    <xf numFmtId="0" fontId="5" fillId="0" borderId="0"/>
    <xf numFmtId="0" fontId="5" fillId="0" borderId="0"/>
  </cellStyleXfs>
  <cellXfs count="555">
    <xf numFmtId="0" fontId="0" fillId="0" borderId="0" xfId="0"/>
    <xf numFmtId="0" fontId="2" fillId="0" borderId="0" xfId="0" applyFont="1"/>
    <xf numFmtId="0" fontId="3" fillId="0" borderId="0" xfId="0" applyFont="1"/>
    <xf numFmtId="165" fontId="3" fillId="0" borderId="0" xfId="1" applyNumberFormat="1" applyFont="1"/>
    <xf numFmtId="0" fontId="2" fillId="0" borderId="0" xfId="0" applyFont="1" applyAlignment="1">
      <alignment horizontal="center"/>
    </xf>
    <xf numFmtId="165" fontId="3" fillId="0" borderId="0" xfId="0" applyNumberFormat="1" applyFont="1"/>
    <xf numFmtId="165" fontId="3" fillId="0" borderId="0" xfId="1" applyNumberFormat="1" applyFont="1" applyBorder="1"/>
    <xf numFmtId="165" fontId="2" fillId="0" borderId="0" xfId="1" applyNumberFormat="1" applyFont="1" applyBorder="1"/>
    <xf numFmtId="0" fontId="3" fillId="0" borderId="0" xfId="0" applyFont="1" applyAlignment="1">
      <alignment vertical="center"/>
    </xf>
    <xf numFmtId="0" fontId="3" fillId="0" borderId="0" xfId="0" applyFont="1" applyAlignment="1">
      <alignment horizontal="center"/>
    </xf>
    <xf numFmtId="0" fontId="3" fillId="0" borderId="1" xfId="0" applyFont="1" applyBorder="1"/>
    <xf numFmtId="165" fontId="3" fillId="0" borderId="7" xfId="1" applyNumberFormat="1" applyFont="1" applyBorder="1"/>
    <xf numFmtId="0" fontId="3" fillId="0" borderId="2" xfId="0" applyFont="1" applyBorder="1"/>
    <xf numFmtId="165" fontId="3" fillId="0" borderId="6" xfId="1" applyNumberFormat="1" applyFont="1" applyBorder="1"/>
    <xf numFmtId="165" fontId="2" fillId="0" borderId="0" xfId="0" applyNumberFormat="1" applyFont="1"/>
    <xf numFmtId="165" fontId="3" fillId="0" borderId="0" xfId="0" applyNumberFormat="1" applyFont="1" applyAlignment="1">
      <alignment horizontal="left" vertical="center"/>
    </xf>
    <xf numFmtId="165" fontId="2" fillId="0" borderId="0" xfId="0" applyNumberFormat="1" applyFont="1" applyAlignment="1">
      <alignment horizontal="center"/>
    </xf>
    <xf numFmtId="165" fontId="6" fillId="0" borderId="0" xfId="2" applyNumberFormat="1" applyFont="1"/>
    <xf numFmtId="0" fontId="6" fillId="0" borderId="0" xfId="2" applyFont="1"/>
    <xf numFmtId="43" fontId="2" fillId="0" borderId="0" xfId="0" applyNumberFormat="1" applyFont="1"/>
    <xf numFmtId="0" fontId="2" fillId="0" borderId="0" xfId="0" applyFont="1" applyAlignment="1">
      <alignment horizontal="left" vertical="top"/>
    </xf>
    <xf numFmtId="165" fontId="3" fillId="0" borderId="3" xfId="1" applyNumberFormat="1" applyFont="1" applyBorder="1"/>
    <xf numFmtId="165" fontId="3" fillId="0" borderId="4" xfId="1" applyNumberFormat="1" applyFont="1" applyBorder="1"/>
    <xf numFmtId="0" fontId="0" fillId="0" borderId="0" xfId="0" applyAlignment="1">
      <alignment horizontal="center"/>
    </xf>
    <xf numFmtId="165" fontId="2" fillId="0" borderId="0" xfId="1" applyNumberFormat="1" applyFont="1"/>
    <xf numFmtId="43" fontId="3" fillId="0" borderId="0" xfId="0" applyNumberFormat="1" applyFont="1"/>
    <xf numFmtId="0" fontId="0" fillId="0" borderId="8" xfId="0" applyBorder="1"/>
    <xf numFmtId="0" fontId="0" fillId="0" borderId="8" xfId="0" applyBorder="1" applyAlignment="1">
      <alignment horizontal="center"/>
    </xf>
    <xf numFmtId="0" fontId="4" fillId="0" borderId="8" xfId="0" applyFont="1" applyBorder="1"/>
    <xf numFmtId="0" fontId="2" fillId="0" borderId="8" xfId="0" applyFont="1" applyBorder="1"/>
    <xf numFmtId="0" fontId="3" fillId="0" borderId="8" xfId="0" applyFont="1" applyBorder="1"/>
    <xf numFmtId="0" fontId="2" fillId="2" borderId="8" xfId="0" applyFont="1" applyFill="1" applyBorder="1" applyAlignment="1">
      <alignment horizontal="right"/>
    </xf>
    <xf numFmtId="165" fontId="3" fillId="2" borderId="0" xfId="1" applyNumberFormat="1" applyFont="1" applyFill="1"/>
    <xf numFmtId="165" fontId="3" fillId="2" borderId="8" xfId="1" applyNumberFormat="1" applyFont="1" applyFill="1" applyBorder="1"/>
    <xf numFmtId="0" fontId="2" fillId="3" borderId="8" xfId="0" applyFont="1" applyFill="1" applyBorder="1"/>
    <xf numFmtId="165" fontId="3" fillId="3" borderId="0" xfId="1" applyNumberFormat="1" applyFont="1" applyFill="1"/>
    <xf numFmtId="165" fontId="3" fillId="3" borderId="8" xfId="1" applyNumberFormat="1" applyFont="1" applyFill="1" applyBorder="1"/>
    <xf numFmtId="165" fontId="3" fillId="4" borderId="0" xfId="1" applyNumberFormat="1" applyFont="1" applyFill="1"/>
    <xf numFmtId="165" fontId="3" fillId="4" borderId="8" xfId="1" applyNumberFormat="1" applyFont="1" applyFill="1" applyBorder="1"/>
    <xf numFmtId="1" fontId="3" fillId="5" borderId="0" xfId="0" applyNumberFormat="1" applyFont="1" applyFill="1"/>
    <xf numFmtId="0" fontId="2" fillId="5" borderId="0" xfId="0" applyFont="1" applyFill="1"/>
    <xf numFmtId="0" fontId="2" fillId="5" borderId="0" xfId="0" applyFont="1" applyFill="1" applyAlignment="1">
      <alignment horizontal="center"/>
    </xf>
    <xf numFmtId="0" fontId="3" fillId="5" borderId="8" xfId="0" applyFont="1" applyFill="1" applyBorder="1"/>
    <xf numFmtId="0" fontId="3" fillId="5" borderId="8" xfId="0" applyFont="1" applyFill="1" applyBorder="1" applyAlignment="1">
      <alignment horizontal="center"/>
    </xf>
    <xf numFmtId="0" fontId="2" fillId="4" borderId="8" xfId="0" applyFont="1" applyFill="1" applyBorder="1" applyAlignment="1">
      <alignment horizontal="right"/>
    </xf>
    <xf numFmtId="14" fontId="3" fillId="0" borderId="0" xfId="0" applyNumberFormat="1" applyFont="1"/>
    <xf numFmtId="10" fontId="3" fillId="0" borderId="0" xfId="3" applyNumberFormat="1" applyFont="1"/>
    <xf numFmtId="170" fontId="3" fillId="0" borderId="0" xfId="0" applyNumberFormat="1" applyFont="1"/>
    <xf numFmtId="43" fontId="2" fillId="0" borderId="5" xfId="1" applyFont="1" applyBorder="1"/>
    <xf numFmtId="165" fontId="3" fillId="6" borderId="0" xfId="0" applyNumberFormat="1" applyFont="1" applyFill="1"/>
    <xf numFmtId="0" fontId="2" fillId="6" borderId="8" xfId="0" applyFont="1" applyFill="1" applyBorder="1"/>
    <xf numFmtId="165" fontId="3" fillId="6" borderId="0" xfId="1" applyNumberFormat="1" applyFont="1" applyFill="1"/>
    <xf numFmtId="165" fontId="3" fillId="6" borderId="8" xfId="1" applyNumberFormat="1" applyFont="1" applyFill="1" applyBorder="1"/>
    <xf numFmtId="0" fontId="3" fillId="6" borderId="0" xfId="0" applyFont="1" applyFill="1"/>
    <xf numFmtId="0" fontId="2" fillId="0" borderId="0" xfId="0" applyFont="1" applyAlignment="1">
      <alignment vertical="center"/>
    </xf>
    <xf numFmtId="167" fontId="2" fillId="0" borderId="0" xfId="0" applyNumberFormat="1" applyFont="1" applyAlignment="1">
      <alignment wrapText="1"/>
    </xf>
    <xf numFmtId="167" fontId="2" fillId="0" borderId="0" xfId="0" applyNumberFormat="1" applyFont="1" applyAlignment="1">
      <alignment vertical="center"/>
    </xf>
    <xf numFmtId="165" fontId="2" fillId="0" borderId="0" xfId="1" applyNumberFormat="1" applyFont="1" applyBorder="1" applyAlignment="1">
      <alignment horizontal="left" vertical="top"/>
    </xf>
    <xf numFmtId="165" fontId="2" fillId="0" borderId="0" xfId="1" applyNumberFormat="1" applyFont="1" applyAlignment="1">
      <alignment horizontal="center"/>
    </xf>
    <xf numFmtId="165" fontId="3" fillId="0" borderId="0" xfId="1" applyNumberFormat="1" applyFont="1" applyBorder="1" applyAlignment="1">
      <alignment horizontal="left" vertical="top"/>
    </xf>
    <xf numFmtId="165" fontId="2" fillId="0" borderId="0" xfId="1" applyNumberFormat="1" applyFont="1" applyAlignment="1"/>
    <xf numFmtId="165" fontId="2" fillId="0" borderId="0" xfId="1" applyNumberFormat="1" applyFont="1" applyBorder="1" applyAlignment="1">
      <alignment horizontal="center"/>
    </xf>
    <xf numFmtId="43" fontId="2" fillId="0" borderId="0" xfId="1" applyFont="1" applyBorder="1"/>
    <xf numFmtId="43" fontId="3" fillId="0" borderId="0" xfId="1" applyFont="1" applyBorder="1"/>
    <xf numFmtId="43" fontId="3" fillId="0" borderId="0" xfId="1" applyFont="1"/>
    <xf numFmtId="0" fontId="2" fillId="0" borderId="0" xfId="0" applyFont="1" applyAlignment="1">
      <alignment horizontal="center" vertical="top"/>
    </xf>
    <xf numFmtId="0" fontId="3" fillId="0" borderId="0" xfId="0" applyFont="1" applyAlignment="1">
      <alignment horizontal="center" vertical="center"/>
    </xf>
    <xf numFmtId="43" fontId="2" fillId="0" borderId="0" xfId="1" applyFont="1"/>
    <xf numFmtId="165" fontId="3" fillId="0" borderId="11" xfId="1" applyNumberFormat="1" applyFont="1" applyBorder="1"/>
    <xf numFmtId="165" fontId="2" fillId="0" borderId="14" xfId="1" applyNumberFormat="1" applyFont="1" applyBorder="1"/>
    <xf numFmtId="165" fontId="3" fillId="0" borderId="12" xfId="1" applyNumberFormat="1" applyFont="1" applyBorder="1"/>
    <xf numFmtId="165" fontId="3" fillId="0" borderId="13" xfId="1" applyNumberFormat="1" applyFont="1" applyBorder="1"/>
    <xf numFmtId="165" fontId="3" fillId="0" borderId="15" xfId="1" applyNumberFormat="1" applyFont="1" applyBorder="1"/>
    <xf numFmtId="165" fontId="2" fillId="0" borderId="16" xfId="1" applyNumberFormat="1" applyFont="1" applyBorder="1"/>
    <xf numFmtId="165" fontId="3" fillId="0" borderId="8" xfId="1" applyNumberFormat="1" applyFont="1" applyBorder="1"/>
    <xf numFmtId="174" fontId="2" fillId="0" borderId="0" xfId="0" applyNumberFormat="1" applyFont="1"/>
    <xf numFmtId="174" fontId="2" fillId="0" borderId="11" xfId="0" applyNumberFormat="1" applyFont="1" applyBorder="1" applyAlignment="1">
      <alignment horizontal="center"/>
    </xf>
    <xf numFmtId="165" fontId="2" fillId="0" borderId="11" xfId="0" applyNumberFormat="1" applyFont="1" applyBorder="1" applyAlignment="1">
      <alignment horizontal="center"/>
    </xf>
    <xf numFmtId="165" fontId="3" fillId="0" borderId="12" xfId="0" applyNumberFormat="1" applyFont="1" applyBorder="1"/>
    <xf numFmtId="165" fontId="3" fillId="0" borderId="15" xfId="0" applyNumberFormat="1" applyFont="1" applyBorder="1"/>
    <xf numFmtId="165" fontId="3" fillId="0" borderId="13" xfId="0" applyNumberFormat="1" applyFont="1" applyBorder="1"/>
    <xf numFmtId="165" fontId="2" fillId="0" borderId="8" xfId="0" applyNumberFormat="1" applyFont="1" applyBorder="1"/>
    <xf numFmtId="165" fontId="2" fillId="0" borderId="8" xfId="1" applyNumberFormat="1" applyFont="1" applyBorder="1"/>
    <xf numFmtId="167" fontId="3" fillId="0" borderId="0" xfId="0" applyNumberFormat="1" applyFont="1" applyAlignment="1">
      <alignment horizontal="right"/>
    </xf>
    <xf numFmtId="0" fontId="2" fillId="0" borderId="11" xfId="0" applyFont="1" applyBorder="1" applyAlignment="1">
      <alignment horizontal="center"/>
    </xf>
    <xf numFmtId="0" fontId="2" fillId="0" borderId="11" xfId="0" applyFont="1" applyBorder="1" applyAlignment="1">
      <alignment horizontal="center" vertical="center"/>
    </xf>
    <xf numFmtId="0" fontId="2" fillId="0" borderId="14" xfId="0" applyFont="1" applyBorder="1"/>
    <xf numFmtId="165" fontId="3" fillId="0" borderId="10" xfId="1" applyNumberFormat="1" applyFont="1" applyFill="1" applyBorder="1"/>
    <xf numFmtId="165" fontId="3" fillId="0" borderId="0" xfId="1" applyNumberFormat="1" applyFont="1" applyBorder="1" applyAlignment="1">
      <alignment horizontal="center"/>
    </xf>
    <xf numFmtId="165" fontId="2" fillId="0" borderId="11" xfId="1" applyNumberFormat="1" applyFont="1" applyBorder="1" applyAlignment="1">
      <alignment horizontal="center"/>
    </xf>
    <xf numFmtId="165" fontId="2" fillId="0" borderId="10" xfId="1" applyNumberFormat="1" applyFont="1" applyBorder="1"/>
    <xf numFmtId="165" fontId="2" fillId="0" borderId="0" xfId="0" applyNumberFormat="1" applyFont="1" applyAlignment="1">
      <alignment horizontal="left"/>
    </xf>
    <xf numFmtId="165" fontId="3" fillId="0" borderId="10" xfId="0" applyNumberFormat="1" applyFont="1" applyBorder="1"/>
    <xf numFmtId="43" fontId="2" fillId="2" borderId="8" xfId="1" applyFont="1" applyFill="1" applyBorder="1" applyAlignment="1">
      <alignment horizontal="right"/>
    </xf>
    <xf numFmtId="43" fontId="3" fillId="2" borderId="0" xfId="1" applyFont="1" applyFill="1"/>
    <xf numFmtId="43" fontId="3" fillId="2" borderId="8" xfId="1" applyFont="1" applyFill="1" applyBorder="1"/>
    <xf numFmtId="0" fontId="0" fillId="0" borderId="10" xfId="0" applyBorder="1"/>
    <xf numFmtId="41" fontId="3" fillId="0" borderId="12" xfId="1" applyNumberFormat="1" applyFont="1" applyBorder="1"/>
    <xf numFmtId="41" fontId="3" fillId="0" borderId="15" xfId="1" applyNumberFormat="1" applyFont="1" applyBorder="1"/>
    <xf numFmtId="41" fontId="3" fillId="0" borderId="13" xfId="1" applyNumberFormat="1" applyFont="1" applyBorder="1"/>
    <xf numFmtId="0" fontId="5" fillId="0" borderId="0" xfId="0" applyFont="1" applyAlignment="1">
      <alignment horizontal="center" vertical="center"/>
    </xf>
    <xf numFmtId="0" fontId="5" fillId="0" borderId="0" xfId="0" applyFont="1" applyAlignment="1">
      <alignment horizontal="center"/>
    </xf>
    <xf numFmtId="0" fontId="0" fillId="0" borderId="0" xfId="0" applyAlignment="1">
      <alignment horizontal="center" vertical="center"/>
    </xf>
    <xf numFmtId="43" fontId="0" fillId="0" borderId="0" xfId="1" applyFont="1" applyBorder="1"/>
    <xf numFmtId="0" fontId="2" fillId="0" borderId="9" xfId="0" applyFont="1" applyBorder="1" applyAlignment="1">
      <alignment horizontal="center" vertical="center"/>
    </xf>
    <xf numFmtId="177" fontId="3" fillId="0" borderId="0" xfId="0" applyNumberFormat="1" applyFont="1"/>
    <xf numFmtId="41" fontId="3" fillId="0" borderId="0" xfId="0" applyNumberFormat="1" applyFont="1"/>
    <xf numFmtId="165" fontId="3" fillId="0" borderId="0" xfId="1" applyNumberFormat="1" applyFont="1" applyFill="1"/>
    <xf numFmtId="165" fontId="2" fillId="0" borderId="11" xfId="1" applyNumberFormat="1" applyFont="1" applyFill="1" applyBorder="1" applyAlignment="1">
      <alignment horizontal="center"/>
    </xf>
    <xf numFmtId="165" fontId="3" fillId="0" borderId="0" xfId="1" applyNumberFormat="1" applyFont="1" applyFill="1" applyBorder="1"/>
    <xf numFmtId="41" fontId="3" fillId="0" borderId="12" xfId="1" applyNumberFormat="1" applyFont="1" applyFill="1" applyBorder="1"/>
    <xf numFmtId="41" fontId="3" fillId="0" borderId="15" xfId="1" applyNumberFormat="1" applyFont="1" applyFill="1" applyBorder="1"/>
    <xf numFmtId="41" fontId="3" fillId="0" borderId="13" xfId="1" applyNumberFormat="1" applyFont="1" applyFill="1" applyBorder="1"/>
    <xf numFmtId="165" fontId="2" fillId="0" borderId="0" xfId="1" applyNumberFormat="1" applyFont="1" applyFill="1" applyBorder="1"/>
    <xf numFmtId="43" fontId="2" fillId="0" borderId="0" xfId="1" applyFont="1" applyFill="1" applyBorder="1"/>
    <xf numFmtId="0" fontId="7" fillId="0" borderId="0" xfId="0" applyFont="1"/>
    <xf numFmtId="165" fontId="7" fillId="0" borderId="0" xfId="1" applyNumberFormat="1" applyFont="1"/>
    <xf numFmtId="165" fontId="7" fillId="0" borderId="0" xfId="0" applyNumberFormat="1" applyFont="1"/>
    <xf numFmtId="43" fontId="7" fillId="0" borderId="0" xfId="1" applyFont="1"/>
    <xf numFmtId="165" fontId="7" fillId="6" borderId="0" xfId="0" applyNumberFormat="1" applyFont="1" applyFill="1"/>
    <xf numFmtId="1" fontId="7" fillId="5" borderId="0" xfId="0" applyNumberFormat="1" applyFont="1" applyFill="1"/>
    <xf numFmtId="0" fontId="12" fillId="5" borderId="0" xfId="0" applyFont="1" applyFill="1"/>
    <xf numFmtId="0" fontId="12" fillId="5" borderId="0" xfId="0" applyFont="1" applyFill="1" applyAlignment="1">
      <alignment horizontal="center"/>
    </xf>
    <xf numFmtId="0" fontId="12" fillId="0" borderId="0" xfId="0" applyFont="1"/>
    <xf numFmtId="0" fontId="12" fillId="0" borderId="8" xfId="0" applyFont="1" applyBorder="1"/>
    <xf numFmtId="0" fontId="7" fillId="5" borderId="8" xfId="0" applyFont="1" applyFill="1" applyBorder="1"/>
    <xf numFmtId="0" fontId="7" fillId="5" borderId="8" xfId="0" applyFont="1" applyFill="1" applyBorder="1" applyAlignment="1">
      <alignment horizontal="center"/>
    </xf>
    <xf numFmtId="43" fontId="7" fillId="0" borderId="0" xfId="0" applyNumberFormat="1" applyFont="1"/>
    <xf numFmtId="0" fontId="7" fillId="0" borderId="8" xfId="0" applyFont="1" applyBorder="1"/>
    <xf numFmtId="165" fontId="7" fillId="0" borderId="8" xfId="1" applyNumberFormat="1" applyFont="1" applyFill="1" applyBorder="1"/>
    <xf numFmtId="43" fontId="7" fillId="0" borderId="8" xfId="1" applyFont="1" applyFill="1" applyBorder="1"/>
    <xf numFmtId="0" fontId="13" fillId="0" borderId="0" xfId="0" applyFont="1"/>
    <xf numFmtId="165" fontId="7" fillId="0" borderId="0" xfId="1" applyNumberFormat="1" applyFont="1" applyFill="1" applyBorder="1"/>
    <xf numFmtId="0" fontId="9" fillId="0" borderId="0" xfId="0" applyFont="1" applyAlignment="1">
      <alignment wrapText="1"/>
    </xf>
    <xf numFmtId="0" fontId="15"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165" fontId="17" fillId="0" borderId="9" xfId="0" applyNumberFormat="1" applyFont="1" applyBorder="1" applyAlignment="1">
      <alignment horizontal="center" vertical="center" wrapText="1"/>
    </xf>
    <xf numFmtId="0" fontId="17" fillId="0" borderId="0" xfId="0" applyFont="1" applyAlignment="1">
      <alignment wrapText="1"/>
    </xf>
    <xf numFmtId="1" fontId="9" fillId="0" borderId="9" xfId="0" applyNumberFormat="1" applyFont="1" applyBorder="1" applyAlignment="1">
      <alignment wrapText="1"/>
    </xf>
    <xf numFmtId="0" fontId="9" fillId="0" borderId="9" xfId="0" applyFont="1" applyBorder="1" applyAlignment="1">
      <alignment horizontal="center" wrapText="1"/>
    </xf>
    <xf numFmtId="0" fontId="9" fillId="0" borderId="9" xfId="0" applyFont="1" applyBorder="1" applyAlignment="1">
      <alignment horizontal="left" wrapText="1"/>
    </xf>
    <xf numFmtId="1" fontId="9" fillId="0" borderId="10" xfId="0" applyNumberFormat="1" applyFont="1" applyBorder="1" applyAlignment="1">
      <alignment wrapText="1"/>
    </xf>
    <xf numFmtId="0" fontId="9" fillId="0" borderId="10" xfId="0" applyFont="1" applyBorder="1" applyAlignment="1">
      <alignment horizontal="center" wrapText="1"/>
    </xf>
    <xf numFmtId="0" fontId="9" fillId="0" borderId="10" xfId="0" applyFont="1" applyBorder="1" applyAlignment="1">
      <alignment horizontal="left" wrapText="1"/>
    </xf>
    <xf numFmtId="1" fontId="9" fillId="0" borderId="0" xfId="0" applyNumberFormat="1" applyFont="1" applyAlignment="1">
      <alignment wrapText="1"/>
    </xf>
    <xf numFmtId="0" fontId="9" fillId="0" borderId="0" xfId="0" applyFont="1" applyAlignment="1">
      <alignment horizontal="center" wrapText="1"/>
    </xf>
    <xf numFmtId="0" fontId="9" fillId="0" borderId="0" xfId="0" applyFont="1" applyAlignment="1">
      <alignment horizontal="left" wrapText="1"/>
    </xf>
    <xf numFmtId="1" fontId="8" fillId="0" borderId="9" xfId="0" applyNumberFormat="1" applyFont="1" applyBorder="1" applyAlignment="1">
      <alignment wrapText="1"/>
    </xf>
    <xf numFmtId="0" fontId="8" fillId="0" borderId="9" xfId="0" applyFont="1" applyBorder="1" applyAlignment="1">
      <alignment horizontal="center" wrapText="1"/>
    </xf>
    <xf numFmtId="0" fontId="8" fillId="0" borderId="9" xfId="0" applyFont="1" applyBorder="1" applyAlignment="1">
      <alignment horizontal="left" wrapText="1"/>
    </xf>
    <xf numFmtId="1" fontId="8" fillId="0" borderId="10" xfId="0" applyNumberFormat="1" applyFont="1" applyBorder="1" applyAlignment="1">
      <alignment wrapText="1"/>
    </xf>
    <xf numFmtId="0" fontId="8" fillId="0" borderId="10" xfId="0" applyFont="1" applyBorder="1" applyAlignment="1">
      <alignment horizontal="center" wrapText="1"/>
    </xf>
    <xf numFmtId="0" fontId="8" fillId="0" borderId="10" xfId="0" applyFont="1" applyBorder="1" applyAlignment="1">
      <alignment horizontal="left" wrapText="1"/>
    </xf>
    <xf numFmtId="165" fontId="9" fillId="0" borderId="0" xfId="0" applyNumberFormat="1" applyFont="1" applyAlignment="1">
      <alignment wrapText="1"/>
    </xf>
    <xf numFmtId="1" fontId="8" fillId="0" borderId="0" xfId="0" applyNumberFormat="1" applyFont="1" applyAlignment="1">
      <alignment wrapText="1"/>
    </xf>
    <xf numFmtId="0" fontId="8" fillId="0" borderId="0" xfId="0" applyFont="1" applyAlignment="1">
      <alignment horizontal="center" wrapText="1"/>
    </xf>
    <xf numFmtId="0" fontId="8" fillId="0" borderId="0" xfId="0" applyFont="1" applyAlignment="1">
      <alignment horizontal="left" wrapText="1"/>
    </xf>
    <xf numFmtId="43" fontId="9" fillId="0" borderId="0" xfId="0" applyNumberFormat="1" applyFont="1" applyAlignment="1">
      <alignment wrapText="1"/>
    </xf>
    <xf numFmtId="172" fontId="9" fillId="0" borderId="0" xfId="0" applyNumberFormat="1" applyFont="1" applyAlignment="1">
      <alignment wrapText="1"/>
    </xf>
    <xf numFmtId="173" fontId="9" fillId="0" borderId="0" xfId="0" applyNumberFormat="1" applyFont="1" applyAlignment="1">
      <alignment wrapText="1"/>
    </xf>
    <xf numFmtId="0" fontId="9" fillId="0" borderId="10" xfId="0" applyFont="1" applyBorder="1" applyAlignment="1">
      <alignment wrapText="1"/>
    </xf>
    <xf numFmtId="165" fontId="9" fillId="0" borderId="0" xfId="1" applyNumberFormat="1" applyFont="1" applyFill="1" applyAlignment="1">
      <alignment wrapText="1"/>
    </xf>
    <xf numFmtId="165" fontId="9" fillId="0" borderId="10" xfId="1" applyNumberFormat="1" applyFont="1" applyFill="1" applyBorder="1" applyAlignment="1">
      <alignment wrapText="1"/>
    </xf>
    <xf numFmtId="165" fontId="9" fillId="0" borderId="0" xfId="1" applyNumberFormat="1" applyFont="1" applyFill="1" applyBorder="1" applyAlignment="1">
      <alignment wrapText="1"/>
    </xf>
    <xf numFmtId="176" fontId="9" fillId="0" borderId="0" xfId="0" applyNumberFormat="1" applyFont="1" applyAlignment="1">
      <alignment wrapText="1"/>
    </xf>
    <xf numFmtId="0" fontId="9" fillId="0" borderId="9" xfId="0" applyFont="1" applyBorder="1" applyAlignment="1">
      <alignment wrapText="1"/>
    </xf>
    <xf numFmtId="175" fontId="9" fillId="0" borderId="0" xfId="0" applyNumberFormat="1" applyFont="1" applyAlignment="1">
      <alignment wrapText="1"/>
    </xf>
    <xf numFmtId="2" fontId="9" fillId="0" borderId="0" xfId="0" applyNumberFormat="1" applyFont="1" applyAlignment="1">
      <alignment wrapText="1"/>
    </xf>
    <xf numFmtId="43" fontId="8" fillId="0" borderId="0" xfId="0" applyNumberFormat="1" applyFont="1" applyAlignment="1">
      <alignment wrapText="1"/>
    </xf>
    <xf numFmtId="43" fontId="9" fillId="0" borderId="0" xfId="1" applyFont="1" applyFill="1" applyAlignment="1">
      <alignment wrapText="1"/>
    </xf>
    <xf numFmtId="165" fontId="9" fillId="0" borderId="9" xfId="1" applyNumberFormat="1" applyFont="1" applyFill="1" applyBorder="1" applyAlignment="1">
      <alignment wrapText="1"/>
    </xf>
    <xf numFmtId="0" fontId="9" fillId="0" borderId="0" xfId="0" applyFont="1" applyAlignment="1">
      <alignment horizontal="center" vertical="center" wrapText="1"/>
    </xf>
    <xf numFmtId="171" fontId="9" fillId="0" borderId="0" xfId="0" applyNumberFormat="1" applyFont="1" applyAlignment="1">
      <alignment wrapText="1"/>
    </xf>
    <xf numFmtId="164" fontId="9" fillId="0" borderId="0" xfId="0" applyNumberFormat="1" applyFont="1" applyAlignment="1">
      <alignment wrapText="1"/>
    </xf>
    <xf numFmtId="0" fontId="9" fillId="0" borderId="0" xfId="0" applyFont="1" applyAlignment="1">
      <alignment vertical="center" wrapText="1"/>
    </xf>
    <xf numFmtId="0" fontId="9" fillId="0" borderId="0" xfId="0" applyFont="1" applyAlignment="1">
      <alignment horizontal="left" vertical="center" wrapText="1"/>
    </xf>
    <xf numFmtId="10" fontId="9" fillId="0" borderId="0" xfId="3" applyNumberFormat="1" applyFont="1" applyFill="1" applyAlignment="1">
      <alignment wrapText="1"/>
    </xf>
    <xf numFmtId="0" fontId="9" fillId="0" borderId="10" xfId="0" applyFont="1" applyBorder="1" applyAlignment="1">
      <alignment vertical="center" wrapText="1"/>
    </xf>
    <xf numFmtId="1" fontId="9" fillId="8" borderId="0" xfId="0" applyNumberFormat="1" applyFont="1" applyFill="1" applyAlignment="1">
      <alignment wrapText="1"/>
    </xf>
    <xf numFmtId="0" fontId="9" fillId="8" borderId="0" xfId="0" applyFont="1" applyFill="1" applyAlignment="1">
      <alignment wrapText="1"/>
    </xf>
    <xf numFmtId="43" fontId="9" fillId="8" borderId="0" xfId="0" applyNumberFormat="1" applyFont="1" applyFill="1" applyAlignment="1">
      <alignment wrapText="1"/>
    </xf>
    <xf numFmtId="1" fontId="9" fillId="7" borderId="0" xfId="0" applyNumberFormat="1" applyFont="1" applyFill="1" applyAlignment="1">
      <alignment wrapText="1"/>
    </xf>
    <xf numFmtId="43" fontId="9" fillId="7" borderId="0" xfId="0" applyNumberFormat="1" applyFont="1" applyFill="1" applyAlignment="1">
      <alignment wrapText="1"/>
    </xf>
    <xf numFmtId="0" fontId="9" fillId="7" borderId="0" xfId="0" applyFont="1" applyFill="1" applyAlignment="1">
      <alignment wrapText="1"/>
    </xf>
    <xf numFmtId="41" fontId="2" fillId="0" borderId="8" xfId="1" applyNumberFormat="1" applyFont="1" applyFill="1" applyBorder="1"/>
    <xf numFmtId="41" fontId="3" fillId="0" borderId="0" xfId="1" applyNumberFormat="1" applyFont="1" applyFill="1" applyBorder="1"/>
    <xf numFmtId="41" fontId="3" fillId="0" borderId="8" xfId="1" applyNumberFormat="1" applyFont="1" applyFill="1" applyBorder="1"/>
    <xf numFmtId="41" fontId="3" fillId="0" borderId="10" xfId="1" applyNumberFormat="1" applyFont="1" applyFill="1" applyBorder="1"/>
    <xf numFmtId="0" fontId="0" fillId="0" borderId="19" xfId="0" applyBorder="1" applyAlignment="1">
      <alignment vertical="top" wrapText="1"/>
    </xf>
    <xf numFmtId="0" fontId="4" fillId="9" borderId="11" xfId="0" applyFont="1" applyFill="1" applyBorder="1" applyAlignment="1">
      <alignment horizontal="left" vertical="top"/>
    </xf>
    <xf numFmtId="0" fontId="4" fillId="9" borderId="17" xfId="0" applyFont="1" applyFill="1" applyBorder="1" applyAlignment="1">
      <alignment vertical="top"/>
    </xf>
    <xf numFmtId="0" fontId="0" fillId="0" borderId="0" xfId="0"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0" fillId="0" borderId="18" xfId="0" applyBorder="1" applyAlignment="1">
      <alignment vertical="top"/>
    </xf>
    <xf numFmtId="2" fontId="4" fillId="0" borderId="20" xfId="0" applyNumberFormat="1" applyFont="1" applyBorder="1" applyAlignment="1">
      <alignment vertical="top"/>
    </xf>
    <xf numFmtId="0" fontId="4" fillId="0" borderId="21" xfId="0" applyFont="1" applyBorder="1" applyAlignment="1">
      <alignment vertical="top" wrapText="1"/>
    </xf>
    <xf numFmtId="0" fontId="0" fillId="0" borderId="22" xfId="0" applyBorder="1" applyAlignment="1">
      <alignment vertical="top"/>
    </xf>
    <xf numFmtId="0" fontId="0" fillId="0" borderId="23" xfId="0"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43" fontId="9" fillId="7" borderId="0" xfId="1" applyFont="1" applyFill="1" applyAlignment="1">
      <alignment wrapText="1"/>
    </xf>
    <xf numFmtId="43" fontId="3" fillId="0" borderId="20" xfId="0" applyNumberFormat="1" applyFont="1" applyBorder="1"/>
    <xf numFmtId="43" fontId="3" fillId="0" borderId="9" xfId="0" applyNumberFormat="1" applyFont="1" applyBorder="1"/>
    <xf numFmtId="43" fontId="3" fillId="0" borderId="21" xfId="0" applyNumberFormat="1" applyFont="1" applyBorder="1"/>
    <xf numFmtId="1" fontId="9" fillId="0" borderId="0" xfId="3" applyNumberFormat="1" applyFont="1" applyFill="1" applyAlignment="1">
      <alignment wrapText="1"/>
    </xf>
    <xf numFmtId="165" fontId="9" fillId="0" borderId="1" xfId="0" applyNumberFormat="1" applyFont="1" applyBorder="1" applyAlignment="1">
      <alignment wrapText="1"/>
    </xf>
    <xf numFmtId="0" fontId="9" fillId="0" borderId="7" xfId="0" applyFont="1" applyBorder="1" applyAlignment="1">
      <alignment wrapText="1"/>
    </xf>
    <xf numFmtId="43" fontId="9" fillId="0" borderId="7" xfId="0" applyNumberFormat="1" applyFont="1" applyBorder="1" applyAlignment="1">
      <alignment wrapText="1"/>
    </xf>
    <xf numFmtId="43" fontId="9" fillId="0" borderId="3" xfId="0" applyNumberFormat="1" applyFont="1" applyBorder="1" applyAlignment="1">
      <alignment wrapText="1"/>
    </xf>
    <xf numFmtId="43" fontId="9" fillId="0" borderId="2" xfId="0" applyNumberFormat="1" applyFont="1" applyBorder="1" applyAlignment="1">
      <alignment wrapText="1"/>
    </xf>
    <xf numFmtId="43" fontId="9" fillId="0" borderId="4" xfId="0" applyNumberFormat="1" applyFont="1" applyBorder="1" applyAlignment="1">
      <alignment wrapText="1"/>
    </xf>
    <xf numFmtId="0" fontId="9" fillId="0" borderId="24" xfId="0" applyFont="1" applyBorder="1" applyAlignment="1">
      <alignment wrapText="1"/>
    </xf>
    <xf numFmtId="0" fontId="9" fillId="0" borderId="6" xfId="0" applyFont="1" applyBorder="1" applyAlignment="1">
      <alignment wrapText="1"/>
    </xf>
    <xf numFmtId="43" fontId="9" fillId="0" borderId="25" xfId="0" applyNumberFormat="1" applyFont="1" applyBorder="1" applyAlignment="1">
      <alignment wrapText="1"/>
    </xf>
    <xf numFmtId="43" fontId="9" fillId="0" borderId="0" xfId="1" applyFont="1" applyFill="1" applyBorder="1" applyAlignment="1">
      <alignment wrapText="1"/>
    </xf>
    <xf numFmtId="43" fontId="9" fillId="0" borderId="10" xfId="1" applyFont="1" applyFill="1" applyBorder="1" applyAlignment="1">
      <alignment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9" xfId="0" applyFont="1" applyBorder="1" applyAlignment="1">
      <alignment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0" xfId="0" applyFont="1" applyAlignment="1">
      <alignment horizontal="center" vertical="center" wrapText="1"/>
    </xf>
    <xf numFmtId="43" fontId="9" fillId="0" borderId="9" xfId="1" applyFont="1" applyFill="1" applyBorder="1" applyAlignment="1">
      <alignment wrapText="1"/>
    </xf>
    <xf numFmtId="4" fontId="3" fillId="0" borderId="0" xfId="0" applyNumberFormat="1" applyFont="1"/>
    <xf numFmtId="169" fontId="9" fillId="0" borderId="9" xfId="0" applyNumberFormat="1" applyFont="1" applyBorder="1" applyAlignment="1">
      <alignment horizontal="center" vertical="center" wrapText="1"/>
    </xf>
    <xf numFmtId="43" fontId="16" fillId="0" borderId="0" xfId="1" applyFont="1" applyFill="1" applyAlignment="1">
      <alignment wrapText="1"/>
    </xf>
    <xf numFmtId="43" fontId="17" fillId="0" borderId="9" xfId="1" applyFont="1" applyFill="1" applyBorder="1" applyAlignment="1">
      <alignment horizontal="center" vertical="center" wrapText="1"/>
    </xf>
    <xf numFmtId="43" fontId="8" fillId="0" borderId="9" xfId="1" applyFont="1" applyFill="1" applyBorder="1" applyAlignment="1">
      <alignment wrapText="1"/>
    </xf>
    <xf numFmtId="43" fontId="8" fillId="0" borderId="10" xfId="1" applyFont="1" applyFill="1" applyBorder="1" applyAlignment="1">
      <alignment wrapText="1"/>
    </xf>
    <xf numFmtId="43" fontId="8" fillId="0" borderId="0" xfId="1" applyFont="1" applyFill="1" applyBorder="1" applyAlignment="1">
      <alignment wrapText="1"/>
    </xf>
    <xf numFmtId="43" fontId="9" fillId="0" borderId="0" xfId="1" applyFont="1" applyFill="1" applyBorder="1" applyAlignment="1">
      <alignment vertical="center" wrapText="1"/>
    </xf>
    <xf numFmtId="43" fontId="9" fillId="0" borderId="0" xfId="1" quotePrefix="1" applyFont="1" applyFill="1" applyBorder="1" applyAlignment="1">
      <alignment wrapText="1"/>
    </xf>
    <xf numFmtId="43" fontId="9" fillId="0" borderId="9" xfId="1" applyFont="1" applyFill="1" applyBorder="1" applyAlignment="1">
      <alignment vertical="center" wrapText="1"/>
    </xf>
    <xf numFmtId="43" fontId="9" fillId="0" borderId="10" xfId="1" applyFont="1" applyFill="1" applyBorder="1" applyAlignment="1">
      <alignment vertical="center" wrapText="1"/>
    </xf>
    <xf numFmtId="0" fontId="9" fillId="3" borderId="9" xfId="0" applyFont="1" applyFill="1" applyBorder="1" applyAlignment="1">
      <alignment wrapText="1"/>
    </xf>
    <xf numFmtId="0" fontId="9" fillId="3" borderId="9" xfId="0" applyFont="1" applyFill="1" applyBorder="1" applyAlignment="1">
      <alignment horizontal="center" vertical="center" wrapText="1"/>
    </xf>
    <xf numFmtId="0" fontId="9" fillId="3" borderId="9" xfId="0" applyFont="1" applyFill="1" applyBorder="1" applyAlignment="1">
      <alignment horizontal="left" wrapText="1"/>
    </xf>
    <xf numFmtId="43" fontId="9" fillId="3" borderId="9" xfId="1" applyFont="1" applyFill="1" applyBorder="1" applyAlignment="1">
      <alignment wrapText="1"/>
    </xf>
    <xf numFmtId="0" fontId="9" fillId="3" borderId="10" xfId="0" applyFont="1" applyFill="1" applyBorder="1" applyAlignment="1">
      <alignment wrapText="1"/>
    </xf>
    <xf numFmtId="0" fontId="9" fillId="3" borderId="10" xfId="0" applyFont="1" applyFill="1" applyBorder="1" applyAlignment="1">
      <alignment horizontal="center" vertical="center" wrapText="1"/>
    </xf>
    <xf numFmtId="0" fontId="9" fillId="3" borderId="10" xfId="0" applyFont="1" applyFill="1" applyBorder="1" applyAlignment="1">
      <alignment horizontal="left" wrapText="1"/>
    </xf>
    <xf numFmtId="43" fontId="9" fillId="3" borderId="10" xfId="1" applyFont="1" applyFill="1" applyBorder="1" applyAlignment="1">
      <alignment wrapText="1"/>
    </xf>
    <xf numFmtId="0" fontId="9" fillId="3" borderId="0" xfId="0" applyFont="1" applyFill="1" applyAlignment="1">
      <alignment wrapText="1"/>
    </xf>
    <xf numFmtId="0" fontId="9" fillId="3" borderId="0" xfId="0" applyFont="1" applyFill="1" applyAlignment="1">
      <alignment horizontal="center" vertical="center" wrapText="1"/>
    </xf>
    <xf numFmtId="0" fontId="9" fillId="3" borderId="0" xfId="0" applyFont="1" applyFill="1" applyAlignment="1">
      <alignment horizontal="center" wrapText="1"/>
    </xf>
    <xf numFmtId="0" fontId="9" fillId="3" borderId="0" xfId="0" applyFont="1" applyFill="1" applyAlignment="1">
      <alignment horizontal="left" wrapText="1"/>
    </xf>
    <xf numFmtId="43" fontId="9" fillId="3" borderId="0" xfId="1" applyFont="1" applyFill="1" applyAlignment="1">
      <alignment wrapText="1"/>
    </xf>
    <xf numFmtId="1" fontId="9" fillId="3" borderId="10" xfId="0" applyNumberFormat="1" applyFont="1" applyFill="1" applyBorder="1" applyAlignment="1">
      <alignment wrapText="1"/>
    </xf>
    <xf numFmtId="43" fontId="9" fillId="3" borderId="0" xfId="1" applyFont="1" applyFill="1" applyBorder="1" applyAlignment="1">
      <alignment wrapText="1"/>
    </xf>
    <xf numFmtId="43" fontId="10" fillId="0" borderId="0" xfId="0" applyNumberFormat="1" applyFont="1"/>
    <xf numFmtId="43" fontId="9" fillId="7" borderId="0" xfId="1" applyFont="1" applyFill="1" applyBorder="1" applyAlignment="1">
      <alignment wrapText="1"/>
    </xf>
    <xf numFmtId="43" fontId="9" fillId="8" borderId="0" xfId="1" applyFont="1" applyFill="1" applyAlignment="1">
      <alignment wrapText="1"/>
    </xf>
    <xf numFmtId="165" fontId="9" fillId="7" borderId="0" xfId="0" applyNumberFormat="1" applyFont="1" applyFill="1" applyAlignment="1">
      <alignment wrapText="1"/>
    </xf>
    <xf numFmtId="179" fontId="7" fillId="0" borderId="0" xfId="0" applyNumberFormat="1" applyFont="1"/>
    <xf numFmtId="180" fontId="7" fillId="0" borderId="0" xfId="1" applyNumberFormat="1" applyFont="1"/>
    <xf numFmtId="43" fontId="3" fillId="0" borderId="26" xfId="1" applyFont="1" applyBorder="1"/>
    <xf numFmtId="0" fontId="3" fillId="0" borderId="24" xfId="0" applyFont="1" applyBorder="1"/>
    <xf numFmtId="43" fontId="7" fillId="0" borderId="0" xfId="1" applyFont="1" applyFill="1"/>
    <xf numFmtId="0" fontId="9" fillId="3" borderId="9" xfId="0" applyFont="1" applyFill="1" applyBorder="1" applyAlignment="1">
      <alignment horizontal="center" wrapText="1"/>
    </xf>
    <xf numFmtId="0" fontId="9" fillId="3" borderId="10" xfId="0" applyFont="1" applyFill="1" applyBorder="1" applyAlignment="1">
      <alignment horizontal="center" wrapText="1"/>
    </xf>
    <xf numFmtId="4" fontId="9" fillId="0" borderId="0" xfId="0" applyNumberFormat="1" applyFont="1" applyAlignment="1">
      <alignment wrapText="1"/>
    </xf>
    <xf numFmtId="0" fontId="9" fillId="0" borderId="9" xfId="0" applyFont="1" applyBorder="1" applyAlignment="1">
      <alignment horizontal="center"/>
    </xf>
    <xf numFmtId="0" fontId="9" fillId="0" borderId="0" xfId="0" applyFont="1" applyAlignment="1">
      <alignment horizontal="center"/>
    </xf>
    <xf numFmtId="0" fontId="9" fillId="0" borderId="10" xfId="0" applyFont="1" applyBorder="1" applyAlignment="1">
      <alignment horizontal="center"/>
    </xf>
    <xf numFmtId="167" fontId="3" fillId="0" borderId="22" xfId="0" applyNumberFormat="1" applyFont="1" applyBorder="1"/>
    <xf numFmtId="43" fontId="3" fillId="0" borderId="11" xfId="1" applyFont="1" applyBorder="1" applyAlignment="1">
      <alignment horizontal="right" vertical="center"/>
    </xf>
    <xf numFmtId="1" fontId="9" fillId="3" borderId="9" xfId="0" applyNumberFormat="1" applyFont="1" applyFill="1" applyBorder="1" applyAlignment="1">
      <alignment wrapText="1"/>
    </xf>
    <xf numFmtId="43" fontId="8" fillId="3" borderId="10" xfId="1" applyFont="1" applyFill="1" applyBorder="1" applyAlignment="1">
      <alignment wrapText="1"/>
    </xf>
    <xf numFmtId="43" fontId="9" fillId="7" borderId="9" xfId="1" applyFont="1" applyFill="1" applyBorder="1" applyAlignment="1">
      <alignment wrapText="1"/>
    </xf>
    <xf numFmtId="167" fontId="2" fillId="0" borderId="11" xfId="0" applyNumberFormat="1" applyFont="1" applyBorder="1" applyAlignment="1">
      <alignment horizontal="center" vertical="center" wrapText="1"/>
    </xf>
    <xf numFmtId="166" fontId="3" fillId="0" borderId="26" xfId="1" applyNumberFormat="1" applyFont="1" applyBorder="1"/>
    <xf numFmtId="178" fontId="9" fillId="0" borderId="9" xfId="0" applyNumberFormat="1" applyFont="1" applyBorder="1" applyAlignment="1">
      <alignment wrapText="1"/>
    </xf>
    <xf numFmtId="0" fontId="12" fillId="0" borderId="8" xfId="0" applyFont="1" applyBorder="1" applyAlignment="1">
      <alignment horizontal="right"/>
    </xf>
    <xf numFmtId="43" fontId="12" fillId="0" borderId="8" xfId="1" applyFont="1" applyFill="1" applyBorder="1" applyAlignment="1">
      <alignment horizontal="right"/>
    </xf>
    <xf numFmtId="165" fontId="7" fillId="0" borderId="0" xfId="1" applyNumberFormat="1" applyFont="1" applyFill="1"/>
    <xf numFmtId="178" fontId="9" fillId="3" borderId="9" xfId="0" applyNumberFormat="1" applyFont="1" applyFill="1" applyBorder="1" applyAlignment="1">
      <alignment wrapText="1"/>
    </xf>
    <xf numFmtId="1" fontId="9" fillId="0" borderId="8" xfId="0" applyNumberFormat="1" applyFont="1" applyBorder="1" applyAlignment="1">
      <alignment wrapText="1"/>
    </xf>
    <xf numFmtId="178" fontId="9" fillId="0" borderId="8" xfId="0" applyNumberFormat="1" applyFont="1" applyBorder="1" applyAlignment="1">
      <alignment wrapText="1"/>
    </xf>
    <xf numFmtId="0" fontId="9" fillId="11" borderId="9" xfId="0" applyFont="1" applyFill="1" applyBorder="1" applyAlignment="1">
      <alignment wrapText="1"/>
    </xf>
    <xf numFmtId="0" fontId="9" fillId="11" borderId="0" xfId="0" applyFont="1" applyFill="1" applyAlignment="1">
      <alignment wrapText="1"/>
    </xf>
    <xf numFmtId="1" fontId="9" fillId="11" borderId="9" xfId="0" applyNumberFormat="1" applyFont="1" applyFill="1" applyBorder="1" applyAlignment="1">
      <alignment wrapText="1"/>
    </xf>
    <xf numFmtId="178" fontId="9" fillId="11" borderId="9" xfId="0" applyNumberFormat="1" applyFont="1" applyFill="1" applyBorder="1" applyAlignment="1">
      <alignment wrapText="1"/>
    </xf>
    <xf numFmtId="0" fontId="9" fillId="11" borderId="9" xfId="0" applyFont="1" applyFill="1" applyBorder="1" applyAlignment="1">
      <alignment horizontal="center" vertical="center" wrapText="1"/>
    </xf>
    <xf numFmtId="0" fontId="9" fillId="11" borderId="9" xfId="0" applyFont="1" applyFill="1" applyBorder="1" applyAlignment="1">
      <alignment horizontal="center" wrapText="1"/>
    </xf>
    <xf numFmtId="43" fontId="9" fillId="11" borderId="9" xfId="1" applyFont="1" applyFill="1" applyBorder="1" applyAlignment="1">
      <alignment wrapText="1"/>
    </xf>
    <xf numFmtId="0" fontId="9" fillId="11" borderId="0" xfId="0" applyFont="1" applyFill="1" applyAlignment="1">
      <alignment horizontal="center" vertical="center" wrapText="1"/>
    </xf>
    <xf numFmtId="0" fontId="9" fillId="11" borderId="0" xfId="0" applyFont="1" applyFill="1" applyAlignment="1">
      <alignment horizontal="center" wrapText="1"/>
    </xf>
    <xf numFmtId="43" fontId="9" fillId="11" borderId="0" xfId="1" applyFont="1" applyFill="1" applyBorder="1" applyAlignment="1">
      <alignment wrapText="1"/>
    </xf>
    <xf numFmtId="0" fontId="9" fillId="11" borderId="10" xfId="0" applyFont="1" applyFill="1" applyBorder="1" applyAlignment="1">
      <alignment wrapText="1"/>
    </xf>
    <xf numFmtId="0" fontId="9" fillId="11" borderId="10" xfId="0" applyFont="1" applyFill="1" applyBorder="1" applyAlignment="1">
      <alignment horizontal="center" vertical="center" wrapText="1"/>
    </xf>
    <xf numFmtId="0" fontId="9" fillId="11" borderId="10" xfId="0" applyFont="1" applyFill="1" applyBorder="1" applyAlignment="1">
      <alignment horizontal="center" wrapText="1"/>
    </xf>
    <xf numFmtId="43" fontId="9" fillId="11" borderId="10" xfId="1" applyFont="1" applyFill="1" applyBorder="1" applyAlignment="1">
      <alignment wrapText="1"/>
    </xf>
    <xf numFmtId="0" fontId="9" fillId="12" borderId="9" xfId="0" applyFont="1" applyFill="1" applyBorder="1" applyAlignment="1">
      <alignment wrapText="1"/>
    </xf>
    <xf numFmtId="0" fontId="9" fillId="12" borderId="0" xfId="0" applyFont="1" applyFill="1" applyAlignment="1">
      <alignment wrapText="1"/>
    </xf>
    <xf numFmtId="1" fontId="9" fillId="12" borderId="9" xfId="0" applyNumberFormat="1" applyFont="1" applyFill="1" applyBorder="1" applyAlignment="1">
      <alignment wrapText="1"/>
    </xf>
    <xf numFmtId="178" fontId="9" fillId="12" borderId="9" xfId="0" applyNumberFormat="1" applyFont="1" applyFill="1" applyBorder="1" applyAlignment="1">
      <alignment wrapText="1"/>
    </xf>
    <xf numFmtId="0" fontId="9" fillId="12" borderId="9" xfId="0" applyFont="1" applyFill="1" applyBorder="1" applyAlignment="1">
      <alignment horizontal="center" vertical="center" wrapText="1"/>
    </xf>
    <xf numFmtId="0" fontId="9" fillId="12" borderId="9" xfId="0" applyFont="1" applyFill="1" applyBorder="1" applyAlignment="1">
      <alignment horizontal="center" wrapText="1"/>
    </xf>
    <xf numFmtId="43" fontId="9" fillId="12" borderId="9" xfId="1" applyFont="1" applyFill="1" applyBorder="1" applyAlignment="1">
      <alignment wrapText="1"/>
    </xf>
    <xf numFmtId="0" fontId="9" fillId="12" borderId="0" xfId="0" applyFont="1" applyFill="1" applyAlignment="1">
      <alignment horizontal="center" vertical="center" wrapText="1"/>
    </xf>
    <xf numFmtId="0" fontId="9" fillId="12" borderId="0" xfId="0" applyFont="1" applyFill="1" applyAlignment="1">
      <alignment horizontal="center" wrapText="1"/>
    </xf>
    <xf numFmtId="43" fontId="9" fillId="12" borderId="0" xfId="1" applyFont="1" applyFill="1" applyBorder="1" applyAlignment="1">
      <alignment wrapText="1"/>
    </xf>
    <xf numFmtId="0" fontId="9" fillId="12" borderId="10" xfId="0" applyFont="1" applyFill="1" applyBorder="1" applyAlignment="1">
      <alignment wrapText="1"/>
    </xf>
    <xf numFmtId="0" fontId="9" fillId="12" borderId="10" xfId="0" applyFont="1" applyFill="1" applyBorder="1" applyAlignment="1">
      <alignment horizontal="center" vertical="center" wrapText="1"/>
    </xf>
    <xf numFmtId="0" fontId="9" fillId="12" borderId="10" xfId="0" applyFont="1" applyFill="1" applyBorder="1" applyAlignment="1">
      <alignment horizontal="center" wrapText="1"/>
    </xf>
    <xf numFmtId="43" fontId="9" fillId="12" borderId="10" xfId="1" applyFont="1" applyFill="1" applyBorder="1" applyAlignment="1">
      <alignment wrapText="1"/>
    </xf>
    <xf numFmtId="0" fontId="9" fillId="0" borderId="9" xfId="0" applyFont="1" applyBorder="1" applyAlignment="1">
      <alignment horizontal="left"/>
    </xf>
    <xf numFmtId="178" fontId="9" fillId="0" borderId="0" xfId="0" applyNumberFormat="1" applyFont="1" applyAlignment="1">
      <alignment wrapText="1"/>
    </xf>
    <xf numFmtId="0" fontId="9" fillId="0" borderId="0" xfId="0" applyFont="1" applyAlignment="1">
      <alignment horizontal="left"/>
    </xf>
    <xf numFmtId="178" fontId="9" fillId="0" borderId="10" xfId="0" applyNumberFormat="1" applyFont="1" applyBorder="1" applyAlignment="1">
      <alignment wrapText="1"/>
    </xf>
    <xf numFmtId="0" fontId="9" fillId="0" borderId="10" xfId="0" applyFont="1" applyBorder="1" applyAlignment="1">
      <alignment horizontal="left"/>
    </xf>
    <xf numFmtId="181" fontId="9" fillId="0" borderId="0" xfId="0" applyNumberFormat="1" applyFont="1" applyAlignment="1">
      <alignment wrapText="1"/>
    </xf>
    <xf numFmtId="182" fontId="9" fillId="0" borderId="0" xfId="0" applyNumberFormat="1" applyFont="1" applyAlignment="1">
      <alignment wrapText="1"/>
    </xf>
    <xf numFmtId="0" fontId="9" fillId="0" borderId="9" xfId="0" applyFont="1" applyBorder="1" applyAlignment="1">
      <alignment horizontal="right" vertical="center" wrapText="1"/>
    </xf>
    <xf numFmtId="0" fontId="9" fillId="0" borderId="0" xfId="0" applyFont="1" applyAlignment="1">
      <alignment horizontal="right" vertical="center" wrapText="1"/>
    </xf>
    <xf numFmtId="0" fontId="9" fillId="0" borderId="10" xfId="0" applyFont="1" applyBorder="1" applyAlignment="1">
      <alignment horizontal="right" vertical="center" wrapText="1"/>
    </xf>
    <xf numFmtId="43" fontId="3" fillId="0" borderId="0" xfId="1" applyFont="1" applyAlignment="1">
      <alignment horizontal="center" vertical="center"/>
    </xf>
    <xf numFmtId="1" fontId="9" fillId="3" borderId="8" xfId="0" applyNumberFormat="1" applyFont="1" applyFill="1" applyBorder="1" applyAlignment="1">
      <alignment wrapText="1"/>
    </xf>
    <xf numFmtId="178" fontId="9" fillId="3" borderId="8" xfId="0" applyNumberFormat="1" applyFont="1" applyFill="1" applyBorder="1" applyAlignment="1">
      <alignment wrapText="1"/>
    </xf>
    <xf numFmtId="4" fontId="0" fillId="0" borderId="0" xfId="0" applyNumberFormat="1"/>
    <xf numFmtId="0" fontId="9" fillId="13" borderId="0" xfId="0" applyFont="1" applyFill="1" applyAlignment="1">
      <alignment wrapText="1"/>
    </xf>
    <xf numFmtId="0" fontId="9" fillId="13" borderId="9" xfId="0" applyFont="1" applyFill="1" applyBorder="1" applyAlignment="1">
      <alignment wrapText="1"/>
    </xf>
    <xf numFmtId="1" fontId="9" fillId="13" borderId="9" xfId="0" applyNumberFormat="1" applyFont="1" applyFill="1" applyBorder="1" applyAlignment="1">
      <alignment wrapText="1"/>
    </xf>
    <xf numFmtId="178" fontId="9" fillId="13" borderId="9" xfId="0" applyNumberFormat="1" applyFont="1" applyFill="1" applyBorder="1" applyAlignment="1">
      <alignment wrapText="1"/>
    </xf>
    <xf numFmtId="0" fontId="9" fillId="13" borderId="0" xfId="0" applyFont="1" applyFill="1" applyAlignment="1">
      <alignment horizontal="center" vertical="center" wrapText="1"/>
    </xf>
    <xf numFmtId="0" fontId="9" fillId="13" borderId="0" xfId="0" applyFont="1" applyFill="1" applyAlignment="1">
      <alignment horizontal="center" wrapText="1"/>
    </xf>
    <xf numFmtId="43" fontId="9" fillId="13" borderId="0" xfId="1" applyFont="1" applyFill="1" applyAlignment="1">
      <alignment wrapText="1"/>
    </xf>
    <xf numFmtId="0" fontId="9" fillId="13" borderId="10" xfId="0" applyFont="1" applyFill="1" applyBorder="1" applyAlignment="1">
      <alignment wrapText="1"/>
    </xf>
    <xf numFmtId="0" fontId="9" fillId="13" borderId="10" xfId="0" applyFont="1" applyFill="1" applyBorder="1" applyAlignment="1">
      <alignment horizontal="center" vertical="center" wrapText="1"/>
    </xf>
    <xf numFmtId="0" fontId="9" fillId="13" borderId="10" xfId="0" applyFont="1" applyFill="1" applyBorder="1" applyAlignment="1">
      <alignment horizontal="center" wrapText="1"/>
    </xf>
    <xf numFmtId="43" fontId="9" fillId="13" borderId="10" xfId="1" applyFont="1" applyFill="1" applyBorder="1" applyAlignment="1">
      <alignment wrapText="1"/>
    </xf>
    <xf numFmtId="165" fontId="3" fillId="0" borderId="25" xfId="1" applyNumberFormat="1" applyFont="1" applyBorder="1"/>
    <xf numFmtId="3" fontId="9" fillId="0" borderId="0" xfId="0" applyNumberFormat="1" applyFont="1" applyAlignment="1">
      <alignment wrapText="1"/>
    </xf>
    <xf numFmtId="0" fontId="3" fillId="0" borderId="27" xfId="0" applyFont="1" applyBorder="1"/>
    <xf numFmtId="166" fontId="2" fillId="0" borderId="0" xfId="0" applyNumberFormat="1" applyFont="1"/>
    <xf numFmtId="166" fontId="3" fillId="0" borderId="0" xfId="0" applyNumberFormat="1" applyFont="1"/>
    <xf numFmtId="0" fontId="9" fillId="13" borderId="9" xfId="0" applyFont="1" applyFill="1" applyBorder="1" applyAlignment="1">
      <alignment horizontal="center" vertical="center" wrapText="1"/>
    </xf>
    <xf numFmtId="0" fontId="9" fillId="13" borderId="9" xfId="0" applyFont="1" applyFill="1" applyBorder="1" applyAlignment="1">
      <alignment horizontal="center" wrapText="1"/>
    </xf>
    <xf numFmtId="165" fontId="3" fillId="0" borderId="0" xfId="0" applyNumberFormat="1" applyFont="1" applyAlignment="1">
      <alignment horizontal="right"/>
    </xf>
    <xf numFmtId="0" fontId="9" fillId="14" borderId="9" xfId="0" applyFont="1" applyFill="1" applyBorder="1" applyAlignment="1">
      <alignment wrapText="1"/>
    </xf>
    <xf numFmtId="1" fontId="9" fillId="14" borderId="9" xfId="0" applyNumberFormat="1" applyFont="1" applyFill="1" applyBorder="1" applyAlignment="1">
      <alignment wrapText="1"/>
    </xf>
    <xf numFmtId="178" fontId="9" fillId="14" borderId="9" xfId="0" applyNumberFormat="1" applyFont="1" applyFill="1" applyBorder="1" applyAlignment="1">
      <alignment wrapText="1"/>
    </xf>
    <xf numFmtId="0" fontId="9" fillId="14" borderId="10" xfId="0" applyFont="1" applyFill="1" applyBorder="1" applyAlignment="1">
      <alignment wrapText="1"/>
    </xf>
    <xf numFmtId="0" fontId="9" fillId="14" borderId="10" xfId="0" applyFont="1" applyFill="1" applyBorder="1" applyAlignment="1">
      <alignment horizontal="center" vertical="center" wrapText="1"/>
    </xf>
    <xf numFmtId="0" fontId="9" fillId="14" borderId="10" xfId="0" applyFont="1" applyFill="1" applyBorder="1" applyAlignment="1">
      <alignment horizontal="center" wrapText="1"/>
    </xf>
    <xf numFmtId="43" fontId="9" fillId="14" borderId="10" xfId="1" applyFont="1" applyFill="1" applyBorder="1" applyAlignment="1">
      <alignment wrapText="1"/>
    </xf>
    <xf numFmtId="0" fontId="9" fillId="14" borderId="9" xfId="0" applyFont="1" applyFill="1" applyBorder="1" applyAlignment="1">
      <alignment horizontal="center" vertical="center" wrapText="1"/>
    </xf>
    <xf numFmtId="165" fontId="21" fillId="0" borderId="15" xfId="1" applyNumberFormat="1" applyFont="1" applyBorder="1"/>
    <xf numFmtId="0" fontId="9" fillId="14" borderId="9" xfId="0" applyFont="1" applyFill="1" applyBorder="1" applyAlignment="1">
      <alignment horizontal="center" wrapText="1"/>
    </xf>
    <xf numFmtId="0" fontId="9" fillId="14" borderId="9" xfId="0" applyFont="1" applyFill="1" applyBorder="1" applyAlignment="1">
      <alignment horizontal="left" wrapText="1"/>
    </xf>
    <xf numFmtId="43" fontId="9" fillId="14" borderId="9" xfId="1" applyFont="1" applyFill="1" applyBorder="1" applyAlignment="1">
      <alignment wrapText="1"/>
    </xf>
    <xf numFmtId="0" fontId="9" fillId="14" borderId="10" xfId="0" applyFont="1" applyFill="1" applyBorder="1" applyAlignment="1">
      <alignment horizontal="left" wrapText="1"/>
    </xf>
    <xf numFmtId="166" fontId="3" fillId="0" borderId="0" xfId="1" applyNumberFormat="1" applyFont="1" applyBorder="1"/>
    <xf numFmtId="0" fontId="2" fillId="0" borderId="20" xfId="0" applyFont="1" applyBorder="1" applyAlignment="1">
      <alignment horizontal="center" vertical="center"/>
    </xf>
    <xf numFmtId="0" fontId="2" fillId="0" borderId="21" xfId="0" applyFont="1" applyBorder="1" applyAlignment="1">
      <alignment horizontal="center" vertical="center"/>
    </xf>
    <xf numFmtId="43" fontId="3" fillId="0" borderId="29" xfId="0" applyNumberFormat="1" applyFont="1" applyBorder="1"/>
    <xf numFmtId="43" fontId="3" fillId="0" borderId="17" xfId="0" applyNumberFormat="1" applyFont="1" applyBorder="1"/>
    <xf numFmtId="4" fontId="7" fillId="0" borderId="0" xfId="0" applyNumberFormat="1" applyFont="1"/>
    <xf numFmtId="10" fontId="3" fillId="0" borderId="0" xfId="3" applyNumberFormat="1" applyFont="1" applyAlignment="1">
      <alignment horizontal="right"/>
    </xf>
    <xf numFmtId="43" fontId="3" fillId="0" borderId="0" xfId="1" applyFont="1" applyAlignment="1">
      <alignment horizontal="right" vertical="center"/>
    </xf>
    <xf numFmtId="165" fontId="3" fillId="0" borderId="0" xfId="3" applyNumberFormat="1" applyFont="1" applyAlignment="1">
      <alignment horizontal="right" vertical="center"/>
    </xf>
    <xf numFmtId="49" fontId="3" fillId="0" borderId="0" xfId="1" applyNumberFormat="1" applyFont="1" applyAlignment="1">
      <alignment horizontal="left"/>
    </xf>
    <xf numFmtId="165" fontId="2" fillId="0" borderId="11" xfId="1" applyNumberFormat="1" applyFont="1" applyBorder="1" applyAlignment="1">
      <alignment horizontal="center" vertical="center"/>
    </xf>
    <xf numFmtId="43" fontId="3" fillId="0" borderId="28" xfId="1" applyFont="1" applyBorder="1"/>
    <xf numFmtId="0" fontId="2" fillId="0" borderId="11" xfId="0" applyFont="1" applyBorder="1" applyAlignment="1">
      <alignment horizontal="center" vertical="center" wrapText="1"/>
    </xf>
    <xf numFmtId="43" fontId="3" fillId="7" borderId="0" xfId="1" applyFont="1" applyFill="1"/>
    <xf numFmtId="177" fontId="9" fillId="0" borderId="0" xfId="1" applyNumberFormat="1" applyFont="1" applyFill="1" applyAlignment="1">
      <alignment wrapText="1"/>
    </xf>
    <xf numFmtId="177" fontId="9" fillId="0" borderId="10" xfId="1" applyNumberFormat="1" applyFont="1" applyFill="1" applyBorder="1" applyAlignment="1">
      <alignment wrapText="1"/>
    </xf>
    <xf numFmtId="165" fontId="2" fillId="0" borderId="14" xfId="1" applyNumberFormat="1" applyFont="1" applyFill="1" applyBorder="1"/>
    <xf numFmtId="43" fontId="9" fillId="0" borderId="0" xfId="1" applyFont="1" applyAlignment="1">
      <alignment wrapText="1"/>
    </xf>
    <xf numFmtId="0" fontId="9" fillId="13" borderId="9" xfId="0" applyFont="1" applyFill="1" applyBorder="1" applyAlignment="1">
      <alignment horizontal="left" wrapText="1"/>
    </xf>
    <xf numFmtId="43" fontId="9" fillId="13" borderId="9" xfId="1" applyFont="1" applyFill="1" applyBorder="1" applyAlignment="1">
      <alignment wrapText="1"/>
    </xf>
    <xf numFmtId="0" fontId="9" fillId="13" borderId="10" xfId="0" applyFont="1" applyFill="1" applyBorder="1" applyAlignment="1">
      <alignment horizontal="left" wrapText="1"/>
    </xf>
    <xf numFmtId="14" fontId="0" fillId="0" borderId="0" xfId="0" applyNumberFormat="1"/>
    <xf numFmtId="43" fontId="0" fillId="0" borderId="2" xfId="1" applyFont="1" applyBorder="1"/>
    <xf numFmtId="43" fontId="0" fillId="0" borderId="30" xfId="1" applyFont="1" applyBorder="1"/>
    <xf numFmtId="43" fontId="0" fillId="0" borderId="4" xfId="1" applyFont="1" applyBorder="1"/>
    <xf numFmtId="43" fontId="0" fillId="0" borderId="0" xfId="1" applyFont="1"/>
    <xf numFmtId="43" fontId="0" fillId="0" borderId="22" xfId="1" applyFont="1" applyBorder="1"/>
    <xf numFmtId="43" fontId="3" fillId="0" borderId="22" xfId="1" applyFont="1" applyBorder="1" applyAlignment="1">
      <alignment horizontal="right"/>
    </xf>
    <xf numFmtId="0" fontId="9" fillId="8" borderId="9" xfId="0" applyFont="1" applyFill="1" applyBorder="1" applyAlignment="1">
      <alignment wrapText="1"/>
    </xf>
    <xf numFmtId="1" fontId="9" fillId="8" borderId="9" xfId="0" applyNumberFormat="1" applyFont="1" applyFill="1" applyBorder="1" applyAlignment="1">
      <alignment wrapText="1"/>
    </xf>
    <xf numFmtId="178" fontId="9" fillId="8" borderId="9" xfId="0" applyNumberFormat="1" applyFont="1" applyFill="1" applyBorder="1" applyAlignment="1">
      <alignment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center" wrapText="1"/>
    </xf>
    <xf numFmtId="0" fontId="9" fillId="8" borderId="9" xfId="0" applyFont="1" applyFill="1" applyBorder="1" applyAlignment="1">
      <alignment horizontal="left" wrapText="1"/>
    </xf>
    <xf numFmtId="43" fontId="9" fillId="8" borderId="9" xfId="1" applyFont="1" applyFill="1" applyBorder="1" applyAlignment="1">
      <alignment wrapText="1"/>
    </xf>
    <xf numFmtId="0" fontId="9" fillId="8" borderId="10" xfId="0" applyFont="1" applyFill="1" applyBorder="1" applyAlignment="1">
      <alignment wrapText="1"/>
    </xf>
    <xf numFmtId="0" fontId="9" fillId="8" borderId="10" xfId="0" applyFont="1" applyFill="1" applyBorder="1" applyAlignment="1">
      <alignment horizontal="center" vertical="center" wrapText="1"/>
    </xf>
    <xf numFmtId="0" fontId="9" fillId="8" borderId="10" xfId="0" applyFont="1" applyFill="1" applyBorder="1" applyAlignment="1">
      <alignment horizontal="center" wrapText="1"/>
    </xf>
    <xf numFmtId="0" fontId="9" fillId="8" borderId="10" xfId="0" applyFont="1" applyFill="1" applyBorder="1" applyAlignment="1">
      <alignment horizontal="left" wrapText="1"/>
    </xf>
    <xf numFmtId="43" fontId="9" fillId="8" borderId="10" xfId="1" applyFont="1" applyFill="1" applyBorder="1" applyAlignment="1">
      <alignment wrapText="1"/>
    </xf>
    <xf numFmtId="0" fontId="9" fillId="7" borderId="0" xfId="0" applyFont="1" applyFill="1" applyAlignment="1">
      <alignment horizontal="left" wrapText="1"/>
    </xf>
    <xf numFmtId="0" fontId="9" fillId="7" borderId="10" xfId="0" applyFont="1" applyFill="1" applyBorder="1" applyAlignment="1">
      <alignment horizontal="left" wrapText="1"/>
    </xf>
    <xf numFmtId="43" fontId="9" fillId="7" borderId="10" xfId="1" applyFont="1" applyFill="1" applyBorder="1" applyAlignment="1">
      <alignment wrapText="1"/>
    </xf>
    <xf numFmtId="0" fontId="9" fillId="15" borderId="9" xfId="0" applyFont="1" applyFill="1" applyBorder="1" applyAlignment="1">
      <alignment wrapText="1"/>
    </xf>
    <xf numFmtId="1" fontId="9" fillId="15" borderId="9" xfId="0" applyNumberFormat="1" applyFont="1" applyFill="1" applyBorder="1" applyAlignment="1">
      <alignment wrapText="1"/>
    </xf>
    <xf numFmtId="178" fontId="9" fillId="15" borderId="9" xfId="0" applyNumberFormat="1" applyFont="1" applyFill="1" applyBorder="1" applyAlignment="1">
      <alignment wrapText="1"/>
    </xf>
    <xf numFmtId="0" fontId="9" fillId="15" borderId="9" xfId="0" applyFont="1" applyFill="1" applyBorder="1" applyAlignment="1">
      <alignment horizontal="center" vertical="center" wrapText="1"/>
    </xf>
    <xf numFmtId="0" fontId="9" fillId="15" borderId="9" xfId="0" applyFont="1" applyFill="1" applyBorder="1" applyAlignment="1">
      <alignment horizontal="center" wrapText="1"/>
    </xf>
    <xf numFmtId="0" fontId="9" fillId="15" borderId="9" xfId="0" applyFont="1" applyFill="1" applyBorder="1" applyAlignment="1">
      <alignment horizontal="left" wrapText="1"/>
    </xf>
    <xf numFmtId="43" fontId="9" fillId="15" borderId="9" xfId="1" applyFont="1" applyFill="1" applyBorder="1" applyAlignment="1">
      <alignment wrapText="1"/>
    </xf>
    <xf numFmtId="0" fontId="9" fillId="15" borderId="10" xfId="0" applyFont="1" applyFill="1" applyBorder="1" applyAlignment="1">
      <alignment wrapText="1"/>
    </xf>
    <xf numFmtId="0" fontId="9" fillId="15" borderId="10" xfId="0" applyFont="1" applyFill="1" applyBorder="1" applyAlignment="1">
      <alignment horizontal="center" vertical="center" wrapText="1"/>
    </xf>
    <xf numFmtId="0" fontId="9" fillId="15" borderId="10" xfId="0" applyFont="1" applyFill="1" applyBorder="1" applyAlignment="1">
      <alignment horizontal="center" wrapText="1"/>
    </xf>
    <xf numFmtId="0" fontId="9" fillId="15" borderId="10" xfId="0" applyFont="1" applyFill="1" applyBorder="1" applyAlignment="1">
      <alignment horizontal="left" wrapText="1"/>
    </xf>
    <xf numFmtId="43" fontId="9" fillId="15" borderId="10" xfId="1" applyFont="1" applyFill="1" applyBorder="1" applyAlignment="1">
      <alignment wrapText="1"/>
    </xf>
    <xf numFmtId="164" fontId="7" fillId="0" borderId="0" xfId="0" applyNumberFormat="1" applyFont="1"/>
    <xf numFmtId="0" fontId="0" fillId="0" borderId="27" xfId="0" applyBorder="1"/>
    <xf numFmtId="0" fontId="0" fillId="0" borderId="28" xfId="0" applyBorder="1"/>
    <xf numFmtId="183" fontId="0" fillId="0" borderId="0" xfId="0" applyNumberFormat="1"/>
    <xf numFmtId="0" fontId="4" fillId="0" borderId="27" xfId="0" applyFont="1" applyBorder="1"/>
    <xf numFmtId="43" fontId="4" fillId="0" borderId="27" xfId="1" applyFont="1" applyBorder="1"/>
    <xf numFmtId="43" fontId="4" fillId="0" borderId="5" xfId="1" applyFont="1" applyBorder="1"/>
    <xf numFmtId="43" fontId="4" fillId="0" borderId="31" xfId="1" applyFont="1" applyBorder="1"/>
    <xf numFmtId="43" fontId="4" fillId="0" borderId="28" xfId="1" applyFont="1" applyBorder="1"/>
    <xf numFmtId="0" fontId="9" fillId="10" borderId="9" xfId="0" applyFont="1" applyFill="1" applyBorder="1" applyAlignment="1">
      <alignment horizontal="left" wrapText="1"/>
    </xf>
    <xf numFmtId="43" fontId="9" fillId="10" borderId="9" xfId="1" applyFont="1" applyFill="1" applyBorder="1" applyAlignment="1">
      <alignment wrapText="1"/>
    </xf>
    <xf numFmtId="0" fontId="9" fillId="10" borderId="10" xfId="0" applyFont="1" applyFill="1" applyBorder="1" applyAlignment="1">
      <alignment horizontal="left" wrapText="1"/>
    </xf>
    <xf numFmtId="43" fontId="9" fillId="10" borderId="10" xfId="1" applyFont="1" applyFill="1" applyBorder="1" applyAlignment="1">
      <alignment wrapText="1"/>
    </xf>
    <xf numFmtId="0" fontId="9" fillId="16" borderId="9" xfId="0" applyFont="1" applyFill="1" applyBorder="1" applyAlignment="1">
      <alignment wrapText="1"/>
    </xf>
    <xf numFmtId="1" fontId="9" fillId="16" borderId="9" xfId="0" applyNumberFormat="1" applyFont="1" applyFill="1" applyBorder="1" applyAlignment="1">
      <alignment wrapText="1"/>
    </xf>
    <xf numFmtId="178" fontId="9" fillId="16" borderId="9" xfId="0" applyNumberFormat="1" applyFont="1" applyFill="1" applyBorder="1" applyAlignment="1">
      <alignment wrapText="1"/>
    </xf>
    <xf numFmtId="0" fontId="9" fillId="16" borderId="9" xfId="0" applyFont="1" applyFill="1" applyBorder="1" applyAlignment="1">
      <alignment horizontal="center" vertical="center" wrapText="1"/>
    </xf>
    <xf numFmtId="0" fontId="9" fillId="16" borderId="9" xfId="0" applyFont="1" applyFill="1" applyBorder="1" applyAlignment="1">
      <alignment horizontal="center" wrapText="1"/>
    </xf>
    <xf numFmtId="0" fontId="9" fillId="16" borderId="9" xfId="0" applyFont="1" applyFill="1" applyBorder="1" applyAlignment="1">
      <alignment horizontal="left" wrapText="1"/>
    </xf>
    <xf numFmtId="43" fontId="9" fillId="16" borderId="9" xfId="1" applyFont="1" applyFill="1" applyBorder="1" applyAlignment="1">
      <alignment wrapText="1"/>
    </xf>
    <xf numFmtId="164" fontId="9" fillId="16" borderId="0" xfId="0" applyNumberFormat="1" applyFont="1" applyFill="1" applyAlignment="1">
      <alignment wrapText="1"/>
    </xf>
    <xf numFmtId="0" fontId="9" fillId="16" borderId="0" xfId="0" applyFont="1" applyFill="1" applyAlignment="1">
      <alignment wrapText="1"/>
    </xf>
    <xf numFmtId="0" fontId="9" fillId="16" borderId="10" xfId="0" applyFont="1" applyFill="1" applyBorder="1" applyAlignment="1">
      <alignment wrapText="1"/>
    </xf>
    <xf numFmtId="0" fontId="9" fillId="16" borderId="10" xfId="0" applyFont="1" applyFill="1" applyBorder="1" applyAlignment="1">
      <alignment horizontal="center" vertical="center" wrapText="1"/>
    </xf>
    <xf numFmtId="0" fontId="9" fillId="16" borderId="10" xfId="0" applyFont="1" applyFill="1" applyBorder="1" applyAlignment="1">
      <alignment horizontal="center" wrapText="1"/>
    </xf>
    <xf numFmtId="0" fontId="9" fillId="16" borderId="10" xfId="0" applyFont="1" applyFill="1" applyBorder="1" applyAlignment="1">
      <alignment horizontal="left" wrapText="1"/>
    </xf>
    <xf numFmtId="43" fontId="9" fillId="16" borderId="10" xfId="1" applyFont="1" applyFill="1" applyBorder="1" applyAlignment="1">
      <alignment wrapText="1"/>
    </xf>
    <xf numFmtId="165" fontId="21" fillId="0" borderId="0" xfId="1" applyNumberFormat="1" applyFont="1"/>
    <xf numFmtId="172" fontId="3" fillId="0" borderId="0" xfId="0" applyNumberFormat="1" applyFont="1"/>
    <xf numFmtId="43" fontId="0" fillId="0" borderId="0" xfId="0" applyNumberFormat="1"/>
    <xf numFmtId="3" fontId="3" fillId="0" borderId="0" xfId="0" applyNumberFormat="1" applyFont="1"/>
    <xf numFmtId="43" fontId="3" fillId="3" borderId="8" xfId="1" applyFont="1" applyFill="1" applyBorder="1"/>
    <xf numFmtId="0" fontId="0" fillId="7" borderId="0" xfId="0" applyFill="1"/>
    <xf numFmtId="43" fontId="0" fillId="7" borderId="2" xfId="1" applyFont="1" applyFill="1" applyBorder="1"/>
    <xf numFmtId="43" fontId="9" fillId="0" borderId="0" xfId="1" applyFont="1" applyFill="1" applyAlignment="1">
      <alignment vertical="center"/>
    </xf>
    <xf numFmtId="43" fontId="15" fillId="0" borderId="0" xfId="1" applyFont="1" applyFill="1" applyAlignment="1">
      <alignment wrapText="1"/>
    </xf>
    <xf numFmtId="43" fontId="7" fillId="0" borderId="0" xfId="1" applyFont="1" applyAlignment="1">
      <alignment vertical="center"/>
    </xf>
    <xf numFmtId="43" fontId="7" fillId="0" borderId="0" xfId="1" applyFont="1" applyAlignment="1"/>
    <xf numFmtId="43" fontId="3" fillId="0" borderId="0" xfId="1" applyFont="1" applyAlignment="1"/>
    <xf numFmtId="165" fontId="6" fillId="0" borderId="0" xfId="2" applyNumberFormat="1" applyFont="1" applyAlignment="1">
      <alignment horizontal="center"/>
    </xf>
    <xf numFmtId="165" fontId="3" fillId="0" borderId="0" xfId="0" applyNumberFormat="1" applyFont="1" applyAlignment="1">
      <alignment horizontal="center"/>
    </xf>
    <xf numFmtId="165" fontId="8" fillId="0" borderId="0" xfId="0" applyNumberFormat="1" applyFont="1" applyAlignment="1">
      <alignment horizontal="center"/>
    </xf>
    <xf numFmtId="174" fontId="2" fillId="0" borderId="0" xfId="0" applyNumberFormat="1" applyFont="1" applyAlignment="1">
      <alignment horizontal="center"/>
    </xf>
    <xf numFmtId="165" fontId="21" fillId="0" borderId="0" xfId="1" applyNumberFormat="1" applyFont="1" applyBorder="1"/>
    <xf numFmtId="4" fontId="9" fillId="0" borderId="9" xfId="0" applyNumberFormat="1" applyFont="1" applyBorder="1" applyAlignment="1">
      <alignment wrapText="1"/>
    </xf>
    <xf numFmtId="0" fontId="9" fillId="17" borderId="0" xfId="0" applyFont="1" applyFill="1" applyAlignment="1">
      <alignment horizontal="left" wrapText="1"/>
    </xf>
    <xf numFmtId="43" fontId="9" fillId="17" borderId="0" xfId="1" applyFont="1" applyFill="1" applyBorder="1" applyAlignment="1">
      <alignment wrapText="1"/>
    </xf>
    <xf numFmtId="166" fontId="7" fillId="0" borderId="0" xfId="0" applyNumberFormat="1" applyFont="1"/>
    <xf numFmtId="43" fontId="3" fillId="0" borderId="0" xfId="0" applyNumberFormat="1" applyFont="1" applyAlignment="1">
      <alignment horizontal="center" vertical="center"/>
    </xf>
    <xf numFmtId="165" fontId="22" fillId="0" borderId="0" xfId="0" applyNumberFormat="1" applyFont="1"/>
    <xf numFmtId="0" fontId="22" fillId="0" borderId="0" xfId="0" applyFont="1"/>
    <xf numFmtId="4" fontId="23" fillId="0" borderId="0" xfId="0" applyNumberFormat="1" applyFont="1"/>
    <xf numFmtId="0" fontId="23" fillId="0" borderId="0" xfId="0" applyFont="1"/>
    <xf numFmtId="165" fontId="23" fillId="0" borderId="0" xfId="0" applyNumberFormat="1" applyFont="1"/>
    <xf numFmtId="43" fontId="23" fillId="0" borderId="0" xfId="0" applyNumberFormat="1" applyFont="1"/>
    <xf numFmtId="166" fontId="3" fillId="0" borderId="0" xfId="0" applyNumberFormat="1" applyFont="1" applyAlignment="1">
      <alignment horizontal="center" vertical="center"/>
    </xf>
    <xf numFmtId="165" fontId="3" fillId="7" borderId="0" xfId="0" applyNumberFormat="1" applyFont="1" applyFill="1"/>
    <xf numFmtId="1" fontId="9" fillId="13" borderId="10" xfId="0" applyNumberFormat="1" applyFont="1" applyFill="1" applyBorder="1" applyAlignment="1">
      <alignment wrapText="1"/>
    </xf>
    <xf numFmtId="178" fontId="9" fillId="13" borderId="10" xfId="0" applyNumberFormat="1" applyFont="1" applyFill="1" applyBorder="1" applyAlignment="1">
      <alignment wrapText="1"/>
    </xf>
    <xf numFmtId="1" fontId="9" fillId="8" borderId="10" xfId="0" applyNumberFormat="1" applyFont="1" applyFill="1" applyBorder="1" applyAlignment="1">
      <alignment wrapText="1"/>
    </xf>
    <xf numFmtId="178" fontId="9" fillId="8" borderId="10" xfId="0" applyNumberFormat="1" applyFont="1" applyFill="1" applyBorder="1" applyAlignment="1">
      <alignment wrapText="1"/>
    </xf>
    <xf numFmtId="178" fontId="9" fillId="3" borderId="10" xfId="0" applyNumberFormat="1" applyFont="1" applyFill="1" applyBorder="1" applyAlignment="1">
      <alignment wrapText="1"/>
    </xf>
    <xf numFmtId="0" fontId="9" fillId="13" borderId="9"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0" xfId="0" applyFont="1" applyAlignment="1">
      <alignment horizontal="center" vertical="center" wrapText="1"/>
    </xf>
    <xf numFmtId="0" fontId="9" fillId="3" borderId="0" xfId="0" applyFont="1" applyFill="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6" borderId="9"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9" fillId="11" borderId="9" xfId="0" applyFont="1" applyFill="1" applyBorder="1" applyAlignment="1">
      <alignment horizontal="center" vertical="center" wrapText="1"/>
    </xf>
    <xf numFmtId="0" fontId="9" fillId="11" borderId="0" xfId="0" applyFont="1" applyFill="1" applyAlignment="1">
      <alignment horizontal="center" vertical="center" wrapText="1"/>
    </xf>
    <xf numFmtId="0" fontId="9" fillId="11" borderId="10" xfId="0" applyFont="1" applyFill="1" applyBorder="1" applyAlignment="1">
      <alignment horizontal="center" vertical="center" wrapText="1"/>
    </xf>
    <xf numFmtId="0" fontId="9" fillId="12" borderId="9" xfId="0" applyFont="1" applyFill="1" applyBorder="1" applyAlignment="1">
      <alignment horizontal="center" vertical="center" wrapText="1"/>
    </xf>
    <xf numFmtId="0" fontId="9" fillId="12" borderId="0" xfId="0" applyFont="1" applyFill="1" applyAlignment="1">
      <alignment horizontal="center" vertical="center" wrapText="1"/>
    </xf>
    <xf numFmtId="0" fontId="9" fillId="12" borderId="10"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0" xfId="0" applyFont="1" applyAlignment="1">
      <alignment horizontal="center" wrapText="1"/>
    </xf>
    <xf numFmtId="0" fontId="9" fillId="7" borderId="9" xfId="0" applyFont="1" applyFill="1" applyBorder="1" applyAlignment="1">
      <alignment horizontal="center" wrapText="1"/>
    </xf>
    <xf numFmtId="0" fontId="9" fillId="10" borderId="9" xfId="0" applyFont="1" applyFill="1" applyBorder="1" applyAlignment="1">
      <alignment horizontal="center" vertical="center" wrapText="1"/>
    </xf>
    <xf numFmtId="0" fontId="9" fillId="10" borderId="0" xfId="0" applyFont="1" applyFill="1" applyAlignment="1">
      <alignment horizontal="center" vertical="center" wrapText="1"/>
    </xf>
    <xf numFmtId="0" fontId="9" fillId="10" borderId="10" xfId="0" applyFont="1" applyFill="1" applyBorder="1" applyAlignment="1">
      <alignment horizontal="center" vertical="center" wrapText="1"/>
    </xf>
    <xf numFmtId="0" fontId="9" fillId="0" borderId="9" xfId="0" applyFont="1" applyBorder="1" applyAlignment="1">
      <alignment vertical="center" wrapText="1"/>
    </xf>
    <xf numFmtId="0" fontId="9" fillId="0" borderId="0" xfId="0" applyFont="1" applyAlignment="1">
      <alignment vertical="center" wrapText="1"/>
    </xf>
    <xf numFmtId="178" fontId="9" fillId="0" borderId="9" xfId="0" applyNumberFormat="1" applyFont="1" applyBorder="1" applyAlignment="1">
      <alignment horizontal="center" vertical="center" wrapText="1"/>
    </xf>
    <xf numFmtId="178" fontId="9" fillId="0" borderId="0" xfId="0" applyNumberFormat="1" applyFont="1" applyAlignment="1">
      <alignment horizontal="center" vertical="center" wrapText="1"/>
    </xf>
    <xf numFmtId="178" fontId="9" fillId="0" borderId="10" xfId="0" applyNumberFormat="1" applyFont="1" applyBorder="1" applyAlignment="1">
      <alignment horizontal="center" vertical="center" wrapText="1"/>
    </xf>
    <xf numFmtId="166" fontId="14" fillId="0" borderId="0" xfId="0" applyNumberFormat="1" applyFont="1" applyAlignment="1">
      <alignment horizontal="center" wrapText="1"/>
    </xf>
    <xf numFmtId="2" fontId="15" fillId="0" borderId="0" xfId="1" applyNumberFormat="1" applyFont="1" applyFill="1" applyAlignment="1">
      <alignment horizontal="center" wrapText="1"/>
    </xf>
    <xf numFmtId="0" fontId="14" fillId="0" borderId="0" xfId="0" applyFont="1" applyAlignment="1">
      <alignment horizontal="center" wrapText="1"/>
    </xf>
    <xf numFmtId="0" fontId="9" fillId="3" borderId="9" xfId="0" applyFont="1" applyFill="1" applyBorder="1" applyAlignment="1">
      <alignment horizontal="center" wrapText="1"/>
    </xf>
    <xf numFmtId="0" fontId="9" fillId="3" borderId="10" xfId="0" applyFont="1" applyFill="1" applyBorder="1" applyAlignment="1">
      <alignment horizontal="center" wrapText="1"/>
    </xf>
    <xf numFmtId="0" fontId="9" fillId="7" borderId="10" xfId="0" applyFont="1" applyFill="1" applyBorder="1" applyAlignment="1">
      <alignment horizontal="center" vertical="center" wrapText="1"/>
    </xf>
    <xf numFmtId="0" fontId="9" fillId="15" borderId="9" xfId="0" applyFont="1" applyFill="1" applyBorder="1" applyAlignment="1">
      <alignment horizontal="center" vertical="center" wrapText="1"/>
    </xf>
    <xf numFmtId="0" fontId="9" fillId="15" borderId="10" xfId="0" applyFont="1" applyFill="1" applyBorder="1" applyAlignment="1">
      <alignment horizontal="center" vertical="center" wrapText="1"/>
    </xf>
    <xf numFmtId="0" fontId="12" fillId="5" borderId="8" xfId="0" applyFont="1" applyFill="1" applyBorder="1" applyAlignment="1">
      <alignment horizontal="center"/>
    </xf>
    <xf numFmtId="0" fontId="12" fillId="0" borderId="10" xfId="0" applyFont="1" applyBorder="1" applyAlignment="1">
      <alignment horizontal="center"/>
    </xf>
    <xf numFmtId="165" fontId="7" fillId="0" borderId="0" xfId="1" applyNumberFormat="1" applyFont="1" applyAlignment="1">
      <alignment horizontal="center"/>
    </xf>
    <xf numFmtId="0" fontId="2" fillId="5" borderId="8" xfId="0" applyFont="1" applyFill="1" applyBorder="1" applyAlignment="1">
      <alignment horizontal="center"/>
    </xf>
    <xf numFmtId="0" fontId="2" fillId="2" borderId="10" xfId="0" applyFont="1" applyFill="1" applyBorder="1" applyAlignment="1">
      <alignment horizontal="center"/>
    </xf>
    <xf numFmtId="0" fontId="2" fillId="3" borderId="10" xfId="0" applyFont="1" applyFill="1" applyBorder="1" applyAlignment="1">
      <alignment horizontal="center"/>
    </xf>
    <xf numFmtId="0" fontId="2" fillId="4" borderId="10" xfId="0" applyFont="1" applyFill="1" applyBorder="1" applyAlignment="1">
      <alignment horizontal="center"/>
    </xf>
    <xf numFmtId="165" fontId="3" fillId="0" borderId="0" xfId="1" applyNumberFormat="1" applyFont="1" applyAlignment="1">
      <alignment horizontal="center"/>
    </xf>
    <xf numFmtId="165" fontId="3" fillId="0" borderId="0" xfId="0" applyNumberFormat="1" applyFont="1" applyAlignment="1">
      <alignment horizontal="right"/>
    </xf>
    <xf numFmtId="165" fontId="3" fillId="0" borderId="0" xfId="0" applyNumberFormat="1" applyFont="1" applyAlignment="1">
      <alignment horizontal="center"/>
    </xf>
    <xf numFmtId="172" fontId="3" fillId="3" borderId="8" xfId="0" applyNumberFormat="1" applyFont="1" applyFill="1" applyBorder="1" applyAlignment="1">
      <alignment horizontal="center"/>
    </xf>
    <xf numFmtId="165" fontId="8" fillId="0" borderId="0" xfId="0" applyNumberFormat="1" applyFont="1" applyAlignment="1">
      <alignment horizontal="center"/>
    </xf>
    <xf numFmtId="43" fontId="3" fillId="0" borderId="0" xfId="1" applyFont="1" applyBorder="1" applyAlignment="1">
      <alignment horizontal="right" vertical="center"/>
    </xf>
    <xf numFmtId="165" fontId="2" fillId="0" borderId="11" xfId="0" applyNumberFormat="1" applyFont="1" applyBorder="1" applyAlignment="1">
      <alignment horizontal="center" vertical="center"/>
    </xf>
    <xf numFmtId="0" fontId="2" fillId="0" borderId="11" xfId="0" applyFont="1" applyBorder="1" applyAlignment="1">
      <alignment horizontal="center" vertical="center"/>
    </xf>
    <xf numFmtId="165" fontId="6" fillId="0" borderId="0" xfId="2" applyNumberFormat="1" applyFont="1" applyAlignment="1">
      <alignment horizontal="center"/>
    </xf>
    <xf numFmtId="165" fontId="2" fillId="0" borderId="0" xfId="0" applyNumberFormat="1" applyFont="1" applyAlignment="1">
      <alignment horizontal="center"/>
    </xf>
    <xf numFmtId="168" fontId="6" fillId="0" borderId="0" xfId="2" applyNumberFormat="1" applyFont="1" applyAlignment="1">
      <alignment horizontal="center"/>
    </xf>
    <xf numFmtId="0" fontId="2" fillId="0" borderId="0" xfId="0" applyFont="1" applyAlignment="1">
      <alignment horizontal="center"/>
    </xf>
    <xf numFmtId="165" fontId="7" fillId="0" borderId="0" xfId="0" applyNumberFormat="1" applyFont="1" applyAlignment="1">
      <alignment horizontal="center" vertical="center" wrapText="1"/>
    </xf>
    <xf numFmtId="43" fontId="3" fillId="0" borderId="27" xfId="0" applyNumberFormat="1" applyFont="1" applyBorder="1" applyAlignment="1">
      <alignment horizontal="center"/>
    </xf>
    <xf numFmtId="43" fontId="3" fillId="0" borderId="28" xfId="0" applyNumberFormat="1" applyFont="1" applyBorder="1" applyAlignment="1">
      <alignment horizontal="center"/>
    </xf>
    <xf numFmtId="165" fontId="6" fillId="0" borderId="0" xfId="1" applyNumberFormat="1" applyFont="1" applyAlignment="1">
      <alignment horizontal="center"/>
    </xf>
    <xf numFmtId="165" fontId="2" fillId="0" borderId="0" xfId="1" applyNumberFormat="1" applyFont="1" applyAlignment="1">
      <alignment horizontal="center"/>
    </xf>
    <xf numFmtId="165" fontId="2" fillId="0" borderId="11" xfId="1" applyNumberFormat="1" applyFont="1" applyBorder="1" applyAlignment="1">
      <alignment horizontal="center" vertical="center"/>
    </xf>
    <xf numFmtId="49" fontId="0" fillId="0" borderId="27" xfId="0" applyNumberFormat="1" applyBorder="1" applyAlignment="1">
      <alignment horizontal="center"/>
    </xf>
    <xf numFmtId="49" fontId="0" fillId="0" borderId="28" xfId="0" applyNumberFormat="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9" fillId="0" borderId="0" xfId="0" applyFont="1" applyBorder="1" applyAlignment="1">
      <alignment wrapText="1"/>
    </xf>
    <xf numFmtId="0" fontId="9"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horizontal="center" wrapText="1"/>
    </xf>
  </cellXfs>
  <cellStyles count="6">
    <cellStyle name="Comma" xfId="1" builtinId="3"/>
    <cellStyle name="Normal" xfId="0" builtinId="0"/>
    <cellStyle name="Normal 2 2 14" xfId="4" xr:uid="{00000000-0005-0000-0000-000002000000}"/>
    <cellStyle name="Normal 2 3" xfId="5" xr:uid="{A7564A50-A328-4138-9913-ECD94D278DC1}"/>
    <cellStyle name="Normal_Quarterly Statement-March-2004" xfId="2" xr:uid="{00000000-0005-0000-0000-000003000000}"/>
    <cellStyle name="Percent" xfId="3" builtinId="5"/>
  </cellStyles>
  <dxfs count="265">
    <dxf>
      <font>
        <color rgb="FF9C0006"/>
      </font>
      <fill>
        <patternFill>
          <bgColor rgb="FFFFC7CE"/>
        </patternFill>
      </fill>
    </dxf>
    <dxf>
      <font>
        <color theme="1"/>
      </font>
      <fill>
        <patternFill>
          <bgColor rgb="FF92D050"/>
        </patternFill>
      </fill>
    </dxf>
    <dxf>
      <font>
        <color theme="1"/>
      </font>
      <fill>
        <patternFill>
          <bgColor rgb="FF92D05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0000"/>
        </patternFill>
      </fill>
    </dxf>
    <dxf>
      <numFmt numFmtId="0" formatCode="General"/>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s>
  <tableStyles count="0" defaultTableStyle="TableStyleMedium2" defaultPivotStyle="PivotStyleLight16"/>
  <colors>
    <mruColors>
      <color rgb="FFFF5050"/>
      <color rgb="FFFFFF99"/>
      <color rgb="FFFFFFCC"/>
      <color rgb="FFFFCCFF"/>
      <color rgb="FFFF9966"/>
      <color rgb="FFFF9999"/>
      <color rgb="FFFF0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32084</xdr:colOff>
      <xdr:row>53</xdr:row>
      <xdr:rowOff>16043</xdr:rowOff>
    </xdr:from>
    <xdr:to>
      <xdr:col>0</xdr:col>
      <xdr:colOff>2101516</xdr:colOff>
      <xdr:row>53</xdr:row>
      <xdr:rowOff>16043</xdr:rowOff>
    </xdr:to>
    <xdr:cxnSp macro="">
      <xdr:nvCxnSpPr>
        <xdr:cNvPr id="2" name="Straight Connector 1">
          <a:extLst>
            <a:ext uri="{FF2B5EF4-FFF2-40B4-BE49-F238E27FC236}">
              <a16:creationId xmlns:a16="http://schemas.microsoft.com/office/drawing/2014/main" id="{E635065F-9910-4FC9-97FE-8120AC4B6936}"/>
            </a:ext>
          </a:extLst>
        </xdr:cNvPr>
        <xdr:cNvCxnSpPr/>
      </xdr:nvCxnSpPr>
      <xdr:spPr>
        <a:xfrm>
          <a:off x="474044" y="791036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424070</xdr:colOff>
      <xdr:row>53</xdr:row>
      <xdr:rowOff>19879</xdr:rowOff>
    </xdr:from>
    <xdr:to>
      <xdr:col>4</xdr:col>
      <xdr:colOff>1280928</xdr:colOff>
      <xdr:row>53</xdr:row>
      <xdr:rowOff>19879</xdr:rowOff>
    </xdr:to>
    <xdr:cxnSp macro="">
      <xdr:nvCxnSpPr>
        <xdr:cNvPr id="3" name="Straight Connector 2">
          <a:extLst>
            <a:ext uri="{FF2B5EF4-FFF2-40B4-BE49-F238E27FC236}">
              <a16:creationId xmlns:a16="http://schemas.microsoft.com/office/drawing/2014/main" id="{1D93DC52-04B1-49E1-8B0D-F4DDC48C7526}"/>
            </a:ext>
          </a:extLst>
        </xdr:cNvPr>
        <xdr:cNvCxnSpPr/>
      </xdr:nvCxnSpPr>
      <xdr:spPr>
        <a:xfrm>
          <a:off x="4188350" y="7914199"/>
          <a:ext cx="203033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1795667</xdr:colOff>
      <xdr:row>59</xdr:row>
      <xdr:rowOff>13252</xdr:rowOff>
    </xdr:from>
    <xdr:to>
      <xdr:col>2</xdr:col>
      <xdr:colOff>823725</xdr:colOff>
      <xdr:row>59</xdr:row>
      <xdr:rowOff>13252</xdr:rowOff>
    </xdr:to>
    <xdr:cxnSp macro="">
      <xdr:nvCxnSpPr>
        <xdr:cNvPr id="4" name="Straight Connector 3">
          <a:extLst>
            <a:ext uri="{FF2B5EF4-FFF2-40B4-BE49-F238E27FC236}">
              <a16:creationId xmlns:a16="http://schemas.microsoft.com/office/drawing/2014/main" id="{3535476B-D4DA-42E7-A786-6C8FBF7340B5}"/>
            </a:ext>
          </a:extLst>
        </xdr:cNvPr>
        <xdr:cNvCxnSpPr/>
      </xdr:nvCxnSpPr>
      <xdr:spPr>
        <a:xfrm>
          <a:off x="2237627" y="9004852"/>
          <a:ext cx="235037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32084</xdr:colOff>
      <xdr:row>45</xdr:row>
      <xdr:rowOff>16043</xdr:rowOff>
    </xdr:from>
    <xdr:to>
      <xdr:col>0</xdr:col>
      <xdr:colOff>2101516</xdr:colOff>
      <xdr:row>45</xdr:row>
      <xdr:rowOff>16043</xdr:rowOff>
    </xdr:to>
    <xdr:cxnSp macro="">
      <xdr:nvCxnSpPr>
        <xdr:cNvPr id="2" name="Straight Connector 1">
          <a:extLst>
            <a:ext uri="{FF2B5EF4-FFF2-40B4-BE49-F238E27FC236}">
              <a16:creationId xmlns:a16="http://schemas.microsoft.com/office/drawing/2014/main" id="{09D4EA4D-AC7C-4C00-9C11-1C8B293F2D5A}"/>
            </a:ext>
          </a:extLst>
        </xdr:cNvPr>
        <xdr:cNvCxnSpPr/>
      </xdr:nvCxnSpPr>
      <xdr:spPr>
        <a:xfrm>
          <a:off x="32084" y="714836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424070</xdr:colOff>
      <xdr:row>45</xdr:row>
      <xdr:rowOff>19879</xdr:rowOff>
    </xdr:from>
    <xdr:to>
      <xdr:col>4</xdr:col>
      <xdr:colOff>1280928</xdr:colOff>
      <xdr:row>45</xdr:row>
      <xdr:rowOff>19879</xdr:rowOff>
    </xdr:to>
    <xdr:cxnSp macro="">
      <xdr:nvCxnSpPr>
        <xdr:cNvPr id="3" name="Straight Connector 2">
          <a:extLst>
            <a:ext uri="{FF2B5EF4-FFF2-40B4-BE49-F238E27FC236}">
              <a16:creationId xmlns:a16="http://schemas.microsoft.com/office/drawing/2014/main" id="{9CA5741A-CBAC-44BD-906A-8B0FCF8893F6}"/>
            </a:ext>
          </a:extLst>
        </xdr:cNvPr>
        <xdr:cNvCxnSpPr/>
      </xdr:nvCxnSpPr>
      <xdr:spPr>
        <a:xfrm>
          <a:off x="4180730" y="7152199"/>
          <a:ext cx="227417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1795667</xdr:colOff>
      <xdr:row>51</xdr:row>
      <xdr:rowOff>13252</xdr:rowOff>
    </xdr:from>
    <xdr:to>
      <xdr:col>2</xdr:col>
      <xdr:colOff>823725</xdr:colOff>
      <xdr:row>51</xdr:row>
      <xdr:rowOff>13252</xdr:rowOff>
    </xdr:to>
    <xdr:cxnSp macro="">
      <xdr:nvCxnSpPr>
        <xdr:cNvPr id="4" name="Straight Connector 3">
          <a:extLst>
            <a:ext uri="{FF2B5EF4-FFF2-40B4-BE49-F238E27FC236}">
              <a16:creationId xmlns:a16="http://schemas.microsoft.com/office/drawing/2014/main" id="{1C719F96-6597-46D8-8DAB-A9C6C358BBEF}"/>
            </a:ext>
          </a:extLst>
        </xdr:cNvPr>
        <xdr:cNvCxnSpPr/>
      </xdr:nvCxnSpPr>
      <xdr:spPr>
        <a:xfrm>
          <a:off x="1795667" y="8242852"/>
          <a:ext cx="278471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32084</xdr:colOff>
      <xdr:row>35</xdr:row>
      <xdr:rowOff>16043</xdr:rowOff>
    </xdr:from>
    <xdr:to>
      <xdr:col>0</xdr:col>
      <xdr:colOff>2101516</xdr:colOff>
      <xdr:row>35</xdr:row>
      <xdr:rowOff>16043</xdr:rowOff>
    </xdr:to>
    <xdr:cxnSp macro="">
      <xdr:nvCxnSpPr>
        <xdr:cNvPr id="2" name="Straight Connector 1">
          <a:extLst>
            <a:ext uri="{FF2B5EF4-FFF2-40B4-BE49-F238E27FC236}">
              <a16:creationId xmlns:a16="http://schemas.microsoft.com/office/drawing/2014/main" id="{1EDF9499-4357-4C89-A96A-665B4B16841B}"/>
            </a:ext>
          </a:extLst>
        </xdr:cNvPr>
        <xdr:cNvCxnSpPr/>
      </xdr:nvCxnSpPr>
      <xdr:spPr>
        <a:xfrm>
          <a:off x="32084" y="715598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640080</xdr:colOff>
      <xdr:row>35</xdr:row>
      <xdr:rowOff>19879</xdr:rowOff>
    </xdr:from>
    <xdr:to>
      <xdr:col>5</xdr:col>
      <xdr:colOff>899928</xdr:colOff>
      <xdr:row>35</xdr:row>
      <xdr:rowOff>30480</xdr:rowOff>
    </xdr:to>
    <xdr:cxnSp macro="">
      <xdr:nvCxnSpPr>
        <xdr:cNvPr id="3" name="Straight Connector 2">
          <a:extLst>
            <a:ext uri="{FF2B5EF4-FFF2-40B4-BE49-F238E27FC236}">
              <a16:creationId xmlns:a16="http://schemas.microsoft.com/office/drawing/2014/main" id="{61BCD819-48F1-415B-AF6E-A88054E91468}"/>
            </a:ext>
          </a:extLst>
        </xdr:cNvPr>
        <xdr:cNvCxnSpPr/>
      </xdr:nvCxnSpPr>
      <xdr:spPr>
        <a:xfrm flipV="1">
          <a:off x="4526280" y="7159819"/>
          <a:ext cx="2111508" cy="10601"/>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340247</xdr:colOff>
      <xdr:row>41</xdr:row>
      <xdr:rowOff>13252</xdr:rowOff>
    </xdr:from>
    <xdr:to>
      <xdr:col>3</xdr:col>
      <xdr:colOff>313185</xdr:colOff>
      <xdr:row>41</xdr:row>
      <xdr:rowOff>13252</xdr:rowOff>
    </xdr:to>
    <xdr:cxnSp macro="">
      <xdr:nvCxnSpPr>
        <xdr:cNvPr id="4" name="Straight Connector 3">
          <a:extLst>
            <a:ext uri="{FF2B5EF4-FFF2-40B4-BE49-F238E27FC236}">
              <a16:creationId xmlns:a16="http://schemas.microsoft.com/office/drawing/2014/main" id="{1B778650-03B3-4B47-BEF2-E304291F8C34}"/>
            </a:ext>
          </a:extLst>
        </xdr:cNvPr>
        <xdr:cNvCxnSpPr/>
      </xdr:nvCxnSpPr>
      <xdr:spPr>
        <a:xfrm>
          <a:off x="2489087" y="8250472"/>
          <a:ext cx="171029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32084</xdr:colOff>
      <xdr:row>54</xdr:row>
      <xdr:rowOff>16043</xdr:rowOff>
    </xdr:from>
    <xdr:to>
      <xdr:col>0</xdr:col>
      <xdr:colOff>2101516</xdr:colOff>
      <xdr:row>54</xdr:row>
      <xdr:rowOff>16043</xdr:rowOff>
    </xdr:to>
    <xdr:cxnSp macro="">
      <xdr:nvCxnSpPr>
        <xdr:cNvPr id="8" name="Straight Connector 7">
          <a:extLst>
            <a:ext uri="{FF2B5EF4-FFF2-40B4-BE49-F238E27FC236}">
              <a16:creationId xmlns:a16="http://schemas.microsoft.com/office/drawing/2014/main" id="{ABBAD196-ADB1-422B-9AF2-269A73617A50}"/>
            </a:ext>
          </a:extLst>
        </xdr:cNvPr>
        <xdr:cNvCxnSpPr/>
      </xdr:nvCxnSpPr>
      <xdr:spPr>
        <a:xfrm>
          <a:off x="466424" y="906098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424070</xdr:colOff>
      <xdr:row>54</xdr:row>
      <xdr:rowOff>19879</xdr:rowOff>
    </xdr:from>
    <xdr:to>
      <xdr:col>3</xdr:col>
      <xdr:colOff>1280928</xdr:colOff>
      <xdr:row>54</xdr:row>
      <xdr:rowOff>19879</xdr:rowOff>
    </xdr:to>
    <xdr:cxnSp macro="">
      <xdr:nvCxnSpPr>
        <xdr:cNvPr id="9" name="Straight Connector 8">
          <a:extLst>
            <a:ext uri="{FF2B5EF4-FFF2-40B4-BE49-F238E27FC236}">
              <a16:creationId xmlns:a16="http://schemas.microsoft.com/office/drawing/2014/main" id="{DA442DDD-32B3-4416-B1EA-101A9DCE7ED3}"/>
            </a:ext>
          </a:extLst>
        </xdr:cNvPr>
        <xdr:cNvCxnSpPr/>
      </xdr:nvCxnSpPr>
      <xdr:spPr>
        <a:xfrm>
          <a:off x="4409330" y="9064819"/>
          <a:ext cx="231227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2108087</xdr:colOff>
      <xdr:row>60</xdr:row>
      <xdr:rowOff>13252</xdr:rowOff>
    </xdr:from>
    <xdr:to>
      <xdr:col>1</xdr:col>
      <xdr:colOff>678180</xdr:colOff>
      <xdr:row>60</xdr:row>
      <xdr:rowOff>15240</xdr:rowOff>
    </xdr:to>
    <xdr:cxnSp macro="">
      <xdr:nvCxnSpPr>
        <xdr:cNvPr id="10" name="Straight Connector 9">
          <a:extLst>
            <a:ext uri="{FF2B5EF4-FFF2-40B4-BE49-F238E27FC236}">
              <a16:creationId xmlns:a16="http://schemas.microsoft.com/office/drawing/2014/main" id="{AFD5A25B-A397-4BD0-9F8F-3224530B79F8}"/>
            </a:ext>
          </a:extLst>
        </xdr:cNvPr>
        <xdr:cNvCxnSpPr/>
      </xdr:nvCxnSpPr>
      <xdr:spPr>
        <a:xfrm>
          <a:off x="2542427" y="10155472"/>
          <a:ext cx="2121013" cy="1988"/>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ther%20computers/My%20Laptop/Drive/Financial%20Data/Growth/EGF%20NAV/2024/8/2024.08.01/EGF_2024.08.01%20FIN%20STATS.xlsx" TargetMode="External"/><Relationship Id="rId2" Type="http://schemas.openxmlformats.org/officeDocument/2006/relationships/externalLinkPath" Target="file:///H:\Other%20computers\My%20Laptop\Drive\Financial%20Data\Growth\EGF%20NAV\2024\8\2024.08.01\EGF_2024.08.01%20FIN%20STATS.xlsx" TargetMode="External"/><Relationship Id="rId1" Type="http://schemas.openxmlformats.org/officeDocument/2006/relationships/externalLinkPath" Target="/Other%20computers/My%20Laptop/Drive/Financial%20Data/Growth/EGF%20NAV/2024/8/2024.08.01/EGF_2024.08.01%20FIN%20STAT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ther%20computers/Office%20Laptop/D/Financial%20Data/First%20Unit/FUF%20NAV/2025/01/2025.01.16/2025.01.16%20FIN%20STATS%20-%20Copy.xlsx" TargetMode="External"/><Relationship Id="rId2" Type="http://schemas.openxmlformats.org/officeDocument/2006/relationships/externalLinkPath" Target="file:///G:\Other%20computers\Office%20Laptop\D\Financial%20Data\First%20Unit\FUF%20NAV\2025\01\2025.01.16\2025.01.16%20FIN%20STATS%20-%20Copy.xlsx" TargetMode="External"/><Relationship Id="rId1" Type="http://schemas.openxmlformats.org/officeDocument/2006/relationships/externalLinkPath" Target="/Other%20computers/Office%20Laptop/D/Financial%20Data/First%20Unit/FUF%20NAV/2025/01/2025.01.16/2025.01.16%20FIN%20STATS%20-%20Cop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Other%20computers/Office%20Laptop/D/Financial%20Data/First%20Unit/FUF%20NAV/2025/01/2025.01.16/2025.01.09%20FIN%20STATS.xlsx" TargetMode="External"/><Relationship Id="rId1" Type="http://schemas.openxmlformats.org/officeDocument/2006/relationships/externalLinkPath" Target="/Other%20computers/Office%20Laptop/D/Financial%20Data/First%20Unit/FUF%20NAV/2025/01/2025.01.16/2025.01.09%20FIN%20STAT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Financial%20Data\First%20Unit\Report\2025%20-%20Q2\2025.07.03%20FIN%20STATS.xlsx" TargetMode="External"/><Relationship Id="rId1" Type="http://schemas.openxmlformats.org/officeDocument/2006/relationships/externalLinkPath" Target="2025.07.03%20FIN%20STA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rt of Accounts"/>
      <sheetName val="INVESTORS_LIST"/>
      <sheetName val="Journals"/>
      <sheetName val="TB-C"/>
      <sheetName val="TB-P"/>
      <sheetName val="BS"/>
      <sheetName val="IS"/>
      <sheetName val="E"/>
      <sheetName val="CF"/>
      <sheetName val="W C &amp; I"/>
      <sheetName val="Bank Interest"/>
      <sheetName val="Notes"/>
      <sheetName val="Policy Notes"/>
      <sheetName val="Trade-2021"/>
    </sheetNames>
    <sheetDataSet>
      <sheetData sheetId="0" refreshError="1"/>
      <sheetData sheetId="1" refreshError="1"/>
      <sheetData sheetId="2" refreshError="1"/>
      <sheetData sheetId="3" refreshError="1"/>
      <sheetData sheetId="4" refreshError="1"/>
      <sheetData sheetId="5">
        <row r="43">
          <cell r="C43">
            <v>175788440.8255372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rt of Accounts"/>
      <sheetName val="INVESTOR_LIST"/>
      <sheetName val="Journals"/>
      <sheetName val="TB-C"/>
      <sheetName val="TB-P"/>
      <sheetName val="BS"/>
      <sheetName val="IS"/>
      <sheetName val="E"/>
      <sheetName val="CF"/>
      <sheetName val="W C &amp; I"/>
      <sheetName val="Bank Interest"/>
      <sheetName val="Notes"/>
      <sheetName val="Policy Notes"/>
      <sheetName val="Trade-2021"/>
      <sheetName val="2025.01.16 FIN STATS - Cop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 of Accounts"/>
      <sheetName val="INVESTOR_LIST"/>
      <sheetName val="Journals"/>
      <sheetName val="TB-C"/>
      <sheetName val="TB-P"/>
      <sheetName val="BS"/>
      <sheetName val="CF"/>
      <sheetName val="E"/>
      <sheetName val="IS"/>
      <sheetName val="W C &amp; I"/>
      <sheetName val="Bank Interest"/>
      <sheetName val="Notes"/>
      <sheetName val="Policy Notes"/>
      <sheetName val="Trade-2021"/>
      <sheetName val="2025.01.09 FIN STAT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 of Accounts"/>
      <sheetName val="INVESTOR_LIST"/>
      <sheetName val="Journals"/>
      <sheetName val="TB-C"/>
      <sheetName val="TB-P"/>
      <sheetName val="BS"/>
      <sheetName val="IS"/>
      <sheetName val="E"/>
      <sheetName val="CF"/>
      <sheetName val="W C &amp; I"/>
      <sheetName val="Bank Interest"/>
      <sheetName val="Notes"/>
      <sheetName val="Policy Notes"/>
      <sheetName val="Trade-2021"/>
      <sheetName val="2025.07.03 FIN STA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3">
    <queryTableFields count="2">
      <queryTableField id="1" name="INVESTOR NAME" tableColumnId="1"/>
      <queryTableField id="2" name="INVESTOR COD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VESTOR_LIST" displayName="INVESTOR_LIST" ref="A1:B493" tableType="queryTable" totalsRowShown="0" headerRowDxfId="264">
  <autoFilter ref="A1:B493" xr:uid="{00000000-0009-0000-0100-000002000000}"/>
  <tableColumns count="2">
    <tableColumn id="1" xr3:uid="{00000000-0010-0000-0000-000001000000}" uniqueName="1" name="INVESTOR NAME" queryTableFieldId="1" dataDxfId="263"/>
    <tableColumn id="2" xr3:uid="{00000000-0010-0000-0000-000002000000}" uniqueName="2" name="INVESTOR CODE" queryTableFieldId="2" dataDxfId="262"/>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B2:E598"/>
  <sheetViews>
    <sheetView workbookViewId="0">
      <selection activeCell="C22" sqref="C22"/>
    </sheetView>
  </sheetViews>
  <sheetFormatPr defaultRowHeight="15" x14ac:dyDescent="0.25"/>
  <cols>
    <col min="2" max="2" width="39.140625" bestFit="1" customWidth="1"/>
    <col min="3" max="3" width="15" bestFit="1" customWidth="1"/>
    <col min="5" max="5" width="14.42578125" bestFit="1" customWidth="1"/>
  </cols>
  <sheetData>
    <row r="2" spans="2:5" x14ac:dyDescent="0.25">
      <c r="B2" s="28" t="s">
        <v>64</v>
      </c>
      <c r="C2" s="28" t="s">
        <v>65</v>
      </c>
      <c r="E2" s="26" t="s">
        <v>150</v>
      </c>
    </row>
    <row r="3" spans="2:5" x14ac:dyDescent="0.25">
      <c r="B3" t="s">
        <v>79</v>
      </c>
      <c r="C3" s="23" t="s">
        <v>110</v>
      </c>
      <c r="E3" t="e">
        <f>#REF!</f>
        <v>#REF!</v>
      </c>
    </row>
    <row r="4" spans="2:5" x14ac:dyDescent="0.25">
      <c r="B4" s="26" t="s">
        <v>67</v>
      </c>
      <c r="C4" s="27" t="s">
        <v>110</v>
      </c>
      <c r="E4" t="e">
        <f>#REF!</f>
        <v>#REF!</v>
      </c>
    </row>
    <row r="5" spans="2:5" x14ac:dyDescent="0.25">
      <c r="B5" s="26" t="s">
        <v>63</v>
      </c>
      <c r="C5" s="27" t="s">
        <v>110</v>
      </c>
      <c r="E5" t="e">
        <f>#REF!</f>
        <v>#REF!</v>
      </c>
    </row>
    <row r="6" spans="2:5" x14ac:dyDescent="0.25">
      <c r="B6" s="26" t="s">
        <v>47</v>
      </c>
      <c r="C6" s="27" t="s">
        <v>111</v>
      </c>
      <c r="E6" t="e">
        <f>#REF!</f>
        <v>#REF!</v>
      </c>
    </row>
    <row r="7" spans="2:5" x14ac:dyDescent="0.25">
      <c r="B7" s="26" t="s">
        <v>48</v>
      </c>
      <c r="C7" s="27" t="s">
        <v>111</v>
      </c>
      <c r="E7" t="e">
        <f>#REF!</f>
        <v>#REF!</v>
      </c>
    </row>
    <row r="8" spans="2:5" x14ac:dyDescent="0.25">
      <c r="B8" s="26" t="s">
        <v>49</v>
      </c>
      <c r="C8" s="27" t="s">
        <v>111</v>
      </c>
      <c r="E8" t="e">
        <f>#REF!</f>
        <v>#REF!</v>
      </c>
    </row>
    <row r="9" spans="2:5" x14ac:dyDescent="0.25">
      <c r="B9" s="26" t="s">
        <v>102</v>
      </c>
      <c r="C9" s="27" t="s">
        <v>111</v>
      </c>
      <c r="E9" t="e">
        <f>#REF!</f>
        <v>#REF!</v>
      </c>
    </row>
    <row r="10" spans="2:5" x14ac:dyDescent="0.25">
      <c r="B10" s="26" t="s">
        <v>50</v>
      </c>
      <c r="C10" s="27" t="s">
        <v>111</v>
      </c>
      <c r="E10" t="e">
        <f>#REF!</f>
        <v>#REF!</v>
      </c>
    </row>
    <row r="11" spans="2:5" x14ac:dyDescent="0.25">
      <c r="B11" s="26" t="s">
        <v>51</v>
      </c>
      <c r="C11" s="27" t="s">
        <v>111</v>
      </c>
      <c r="E11" t="e">
        <f>#REF!</f>
        <v>#REF!</v>
      </c>
    </row>
    <row r="12" spans="2:5" x14ac:dyDescent="0.25">
      <c r="B12" s="26" t="s">
        <v>96</v>
      </c>
      <c r="C12" s="27" t="s">
        <v>110</v>
      </c>
      <c r="E12" t="e">
        <f>#REF!</f>
        <v>#REF!</v>
      </c>
    </row>
    <row r="13" spans="2:5" x14ac:dyDescent="0.25">
      <c r="B13" s="26" t="s">
        <v>52</v>
      </c>
      <c r="C13" s="27" t="s">
        <v>110</v>
      </c>
      <c r="E13" t="e">
        <f>#REF!</f>
        <v>#REF!</v>
      </c>
    </row>
    <row r="14" spans="2:5" x14ac:dyDescent="0.25">
      <c r="B14" s="26" t="s">
        <v>13</v>
      </c>
      <c r="C14" s="27" t="s">
        <v>111</v>
      </c>
      <c r="E14" t="e">
        <f>#REF!</f>
        <v>#REF!</v>
      </c>
    </row>
    <row r="15" spans="2:5" x14ac:dyDescent="0.25">
      <c r="B15" s="26" t="s">
        <v>53</v>
      </c>
      <c r="C15" s="27" t="s">
        <v>111</v>
      </c>
      <c r="E15" t="e">
        <f>#REF!</f>
        <v>#REF!</v>
      </c>
    </row>
    <row r="16" spans="2:5" x14ac:dyDescent="0.25">
      <c r="B16" s="26" t="s">
        <v>60</v>
      </c>
      <c r="C16" s="27" t="s">
        <v>111</v>
      </c>
      <c r="E16" t="e">
        <f>#REF!</f>
        <v>#REF!</v>
      </c>
    </row>
    <row r="17" spans="2:5" x14ac:dyDescent="0.25">
      <c r="B17" s="26" t="s">
        <v>2153</v>
      </c>
      <c r="C17" s="27" t="s">
        <v>111</v>
      </c>
    </row>
    <row r="18" spans="2:5" x14ac:dyDescent="0.25">
      <c r="B18" s="26" t="s">
        <v>2154</v>
      </c>
      <c r="C18" s="27" t="s">
        <v>111</v>
      </c>
    </row>
    <row r="19" spans="2:5" x14ac:dyDescent="0.25">
      <c r="B19" s="26" t="s">
        <v>2155</v>
      </c>
      <c r="C19" s="27" t="s">
        <v>111</v>
      </c>
    </row>
    <row r="20" spans="2:5" x14ac:dyDescent="0.25">
      <c r="B20" s="26" t="s">
        <v>2158</v>
      </c>
      <c r="C20" s="27" t="s">
        <v>111</v>
      </c>
    </row>
    <row r="21" spans="2:5" x14ac:dyDescent="0.25">
      <c r="B21" s="26" t="s">
        <v>2159</v>
      </c>
      <c r="C21" s="27" t="s">
        <v>111</v>
      </c>
    </row>
    <row r="22" spans="2:5" x14ac:dyDescent="0.25">
      <c r="B22" s="26" t="s">
        <v>61</v>
      </c>
      <c r="C22" s="27" t="s">
        <v>110</v>
      </c>
      <c r="E22" t="e">
        <f>#REF!</f>
        <v>#REF!</v>
      </c>
    </row>
    <row r="23" spans="2:5" x14ac:dyDescent="0.25">
      <c r="B23" s="26" t="s">
        <v>80</v>
      </c>
      <c r="C23" s="27" t="s">
        <v>110</v>
      </c>
      <c r="E23" t="e">
        <f>#REF!</f>
        <v>#REF!</v>
      </c>
    </row>
    <row r="24" spans="2:5" x14ac:dyDescent="0.25">
      <c r="B24" s="26" t="s">
        <v>82</v>
      </c>
      <c r="C24" s="27" t="s">
        <v>111</v>
      </c>
      <c r="E24" t="e">
        <f>#REF!</f>
        <v>#REF!</v>
      </c>
    </row>
    <row r="25" spans="2:5" x14ac:dyDescent="0.25">
      <c r="B25" s="26" t="s">
        <v>1807</v>
      </c>
      <c r="C25" s="27"/>
    </row>
    <row r="26" spans="2:5" x14ac:dyDescent="0.25">
      <c r="B26" s="26" t="s">
        <v>1808</v>
      </c>
      <c r="C26" s="27"/>
    </row>
    <row r="27" spans="2:5" x14ac:dyDescent="0.25">
      <c r="B27" s="26" t="s">
        <v>83</v>
      </c>
      <c r="C27" s="27" t="s">
        <v>110</v>
      </c>
      <c r="E27" t="e">
        <f>#REF!</f>
        <v>#REF!</v>
      </c>
    </row>
    <row r="28" spans="2:5" x14ac:dyDescent="0.25">
      <c r="B28" s="26" t="s">
        <v>95</v>
      </c>
      <c r="C28" s="27" t="s">
        <v>110</v>
      </c>
      <c r="E28" t="e">
        <f>#REF!</f>
        <v>#REF!</v>
      </c>
    </row>
    <row r="29" spans="2:5" x14ac:dyDescent="0.25">
      <c r="B29" s="26" t="s">
        <v>97</v>
      </c>
      <c r="C29" s="27" t="s">
        <v>110</v>
      </c>
      <c r="E29" t="e">
        <f>#REF!</f>
        <v>#REF!</v>
      </c>
    </row>
    <row r="30" spans="2:5" x14ac:dyDescent="0.25">
      <c r="B30" s="26" t="s">
        <v>100</v>
      </c>
      <c r="C30" s="27" t="s">
        <v>110</v>
      </c>
      <c r="E30" t="e">
        <f>#REF!</f>
        <v>#REF!</v>
      </c>
    </row>
    <row r="31" spans="2:5" x14ac:dyDescent="0.25">
      <c r="B31" s="26" t="s">
        <v>101</v>
      </c>
      <c r="C31" s="27" t="s">
        <v>110</v>
      </c>
      <c r="E31" t="e">
        <f>#REF!</f>
        <v>#REF!</v>
      </c>
    </row>
    <row r="32" spans="2:5" x14ac:dyDescent="0.25">
      <c r="B32" s="26" t="s">
        <v>103</v>
      </c>
      <c r="C32" s="27" t="s">
        <v>110</v>
      </c>
      <c r="E32" t="e">
        <f>#REF!</f>
        <v>#REF!</v>
      </c>
    </row>
    <row r="33" spans="2:5" x14ac:dyDescent="0.25">
      <c r="B33" s="26" t="s">
        <v>104</v>
      </c>
      <c r="C33" s="27" t="s">
        <v>110</v>
      </c>
      <c r="E33" t="e">
        <f>#REF!</f>
        <v>#REF!</v>
      </c>
    </row>
    <row r="34" spans="2:5" x14ac:dyDescent="0.25">
      <c r="B34" s="26" t="s">
        <v>108</v>
      </c>
      <c r="C34" s="27" t="s">
        <v>110</v>
      </c>
      <c r="E34" t="e">
        <f>#REF!</f>
        <v>#REF!</v>
      </c>
    </row>
    <row r="35" spans="2:5" x14ac:dyDescent="0.25">
      <c r="B35" s="26" t="s">
        <v>1798</v>
      </c>
      <c r="C35" s="27" t="s">
        <v>110</v>
      </c>
    </row>
    <row r="36" spans="2:5" x14ac:dyDescent="0.25">
      <c r="B36" s="26" t="s">
        <v>1799</v>
      </c>
      <c r="C36" s="27" t="s">
        <v>110</v>
      </c>
    </row>
    <row r="37" spans="2:5" x14ac:dyDescent="0.25">
      <c r="B37" s="26" t="s">
        <v>133</v>
      </c>
      <c r="C37" s="27" t="s">
        <v>110</v>
      </c>
      <c r="E37" t="e">
        <f>#REF!</f>
        <v>#REF!</v>
      </c>
    </row>
    <row r="38" spans="2:5" x14ac:dyDescent="0.25">
      <c r="B38" s="26" t="s">
        <v>2156</v>
      </c>
      <c r="C38" s="27" t="s">
        <v>110</v>
      </c>
    </row>
    <row r="39" spans="2:5" x14ac:dyDescent="0.25">
      <c r="B39" s="26" t="s">
        <v>2157</v>
      </c>
      <c r="C39" s="27" t="s">
        <v>110</v>
      </c>
    </row>
    <row r="40" spans="2:5" x14ac:dyDescent="0.25">
      <c r="B40" s="26" t="s">
        <v>147</v>
      </c>
      <c r="C40" s="27" t="s">
        <v>111</v>
      </c>
      <c r="E40" t="e">
        <f>#REF!</f>
        <v>#REF!</v>
      </c>
    </row>
    <row r="41" spans="2:5" x14ac:dyDescent="0.25">
      <c r="B41" s="26" t="s">
        <v>163</v>
      </c>
      <c r="C41" s="27" t="s">
        <v>110</v>
      </c>
      <c r="E41" t="e">
        <f>#REF!</f>
        <v>#REF!</v>
      </c>
    </row>
    <row r="42" spans="2:5" x14ac:dyDescent="0.25">
      <c r="B42" s="26" t="s">
        <v>166</v>
      </c>
      <c r="C42" s="26" t="s">
        <v>111</v>
      </c>
      <c r="E42" t="e">
        <f>#REF!</f>
        <v>#REF!</v>
      </c>
    </row>
    <row r="43" spans="2:5" x14ac:dyDescent="0.25">
      <c r="B43" s="96" t="s">
        <v>168</v>
      </c>
      <c r="C43" s="96" t="s">
        <v>110</v>
      </c>
      <c r="E43" t="e">
        <f>#REF!</f>
        <v>#REF!</v>
      </c>
    </row>
    <row r="44" spans="2:5" x14ac:dyDescent="0.25">
      <c r="B44" s="26" t="s">
        <v>175</v>
      </c>
      <c r="C44" s="26" t="s">
        <v>110</v>
      </c>
      <c r="E44" t="e">
        <f>#REF!</f>
        <v>#REF!</v>
      </c>
    </row>
    <row r="45" spans="2:5" x14ac:dyDescent="0.25">
      <c r="B45" s="26" t="s">
        <v>184</v>
      </c>
      <c r="C45" s="26" t="s">
        <v>110</v>
      </c>
      <c r="E45" t="e">
        <f>#REF!</f>
        <v>#REF!</v>
      </c>
    </row>
    <row r="46" spans="2:5" x14ac:dyDescent="0.25">
      <c r="B46" s="96" t="s">
        <v>185</v>
      </c>
      <c r="C46" s="96" t="s">
        <v>110</v>
      </c>
      <c r="E46" t="e">
        <f>#REF!</f>
        <v>#REF!</v>
      </c>
    </row>
    <row r="47" spans="2:5" x14ac:dyDescent="0.25">
      <c r="B47" t="s">
        <v>190</v>
      </c>
      <c r="C47" t="s">
        <v>110</v>
      </c>
      <c r="E47" t="e">
        <f>#REF!</f>
        <v>#REF!</v>
      </c>
    </row>
    <row r="48" spans="2:5" x14ac:dyDescent="0.25">
      <c r="B48" t="s">
        <v>191</v>
      </c>
      <c r="C48" t="s">
        <v>111</v>
      </c>
      <c r="E48" t="e">
        <f>#REF!</f>
        <v>#REF!</v>
      </c>
    </row>
    <row r="49" spans="2:5" x14ac:dyDescent="0.25">
      <c r="B49" t="s">
        <v>1809</v>
      </c>
    </row>
    <row r="50" spans="2:5" x14ac:dyDescent="0.25">
      <c r="B50" t="s">
        <v>1810</v>
      </c>
    </row>
    <row r="51" spans="2:5" x14ac:dyDescent="0.25">
      <c r="B51" t="s">
        <v>231</v>
      </c>
      <c r="C51" t="s">
        <v>111</v>
      </c>
      <c r="E51" t="e">
        <f>#REF!</f>
        <v>#REF!</v>
      </c>
    </row>
    <row r="52" spans="2:5" x14ac:dyDescent="0.25">
      <c r="B52" t="s">
        <v>353</v>
      </c>
      <c r="C52" t="s">
        <v>111</v>
      </c>
      <c r="E52" t="e">
        <f>#REF!</f>
        <v>#REF!</v>
      </c>
    </row>
    <row r="53" spans="2:5" x14ac:dyDescent="0.25">
      <c r="B53" t="s">
        <v>359</v>
      </c>
      <c r="E53" t="e">
        <f>#REF!</f>
        <v>#REF!</v>
      </c>
    </row>
    <row r="54" spans="2:5" x14ac:dyDescent="0.25">
      <c r="B54" t="s">
        <v>358</v>
      </c>
      <c r="C54" t="s">
        <v>111</v>
      </c>
      <c r="E54" t="e">
        <f>#REF!</f>
        <v>#REF!</v>
      </c>
    </row>
    <row r="55" spans="2:5" x14ac:dyDescent="0.25">
      <c r="B55" t="s">
        <v>534</v>
      </c>
      <c r="C55" t="s">
        <v>111</v>
      </c>
      <c r="E55" t="e">
        <f>#REF!</f>
        <v>#REF!</v>
      </c>
    </row>
    <row r="56" spans="2:5" x14ac:dyDescent="0.25">
      <c r="B56" t="s">
        <v>1906</v>
      </c>
      <c r="C56" t="s">
        <v>111</v>
      </c>
      <c r="E56" t="e">
        <f>#REF!</f>
        <v>#REF!</v>
      </c>
    </row>
    <row r="57" spans="2:5" x14ac:dyDescent="0.25">
      <c r="B57" t="s">
        <v>1907</v>
      </c>
      <c r="C57" t="s">
        <v>111</v>
      </c>
      <c r="E57" t="e">
        <f>#REF!</f>
        <v>#REF!</v>
      </c>
    </row>
    <row r="58" spans="2:5" x14ac:dyDescent="0.25">
      <c r="B58" t="s">
        <v>538</v>
      </c>
      <c r="E58" t="e">
        <f>#REF!</f>
        <v>#REF!</v>
      </c>
    </row>
    <row r="59" spans="2:5" x14ac:dyDescent="0.25">
      <c r="B59" t="s">
        <v>1764</v>
      </c>
      <c r="E59" t="e">
        <f>#REF!</f>
        <v>#REF!</v>
      </c>
    </row>
    <row r="60" spans="2:5" x14ac:dyDescent="0.25">
      <c r="B60" t="s">
        <v>1795</v>
      </c>
      <c r="E60" t="e">
        <f>#REF!</f>
        <v>#REF!</v>
      </c>
    </row>
    <row r="61" spans="2:5" x14ac:dyDescent="0.25">
      <c r="B61" t="s">
        <v>1805</v>
      </c>
      <c r="E61" t="e">
        <f>#REF!</f>
        <v>#REF!</v>
      </c>
    </row>
    <row r="62" spans="2:5" x14ac:dyDescent="0.25">
      <c r="B62" t="s">
        <v>1806</v>
      </c>
      <c r="E62" t="e">
        <f>#REF!</f>
        <v>#REF!</v>
      </c>
    </row>
    <row r="63" spans="2:5" x14ac:dyDescent="0.25">
      <c r="E63" t="e">
        <f>#REF!</f>
        <v>#REF!</v>
      </c>
    </row>
    <row r="64" spans="2:5" x14ac:dyDescent="0.25">
      <c r="E64" t="e">
        <f>#REF!</f>
        <v>#REF!</v>
      </c>
    </row>
    <row r="65" spans="5:5" x14ac:dyDescent="0.25">
      <c r="E65" t="e">
        <f>#REF!</f>
        <v>#REF!</v>
      </c>
    </row>
    <row r="66" spans="5:5" x14ac:dyDescent="0.25">
      <c r="E66" t="e">
        <f>#REF!</f>
        <v>#REF!</v>
      </c>
    </row>
    <row r="67" spans="5:5" x14ac:dyDescent="0.25">
      <c r="E67" t="e">
        <f>#REF!</f>
        <v>#REF!</v>
      </c>
    </row>
    <row r="68" spans="5:5" x14ac:dyDescent="0.25">
      <c r="E68" t="e">
        <f>#REF!</f>
        <v>#REF!</v>
      </c>
    </row>
    <row r="69" spans="5:5" x14ac:dyDescent="0.25">
      <c r="E69" t="e">
        <f>#REF!</f>
        <v>#REF!</v>
      </c>
    </row>
    <row r="70" spans="5:5" x14ac:dyDescent="0.25">
      <c r="E70" t="e">
        <f>#REF!</f>
        <v>#REF!</v>
      </c>
    </row>
    <row r="71" spans="5:5" x14ac:dyDescent="0.25">
      <c r="E71" t="e">
        <f>#REF!</f>
        <v>#REF!</v>
      </c>
    </row>
    <row r="72" spans="5:5" x14ac:dyDescent="0.25">
      <c r="E72" t="e">
        <f>#REF!</f>
        <v>#REF!</v>
      </c>
    </row>
    <row r="73" spans="5:5" x14ac:dyDescent="0.25">
      <c r="E73" t="e">
        <f>#REF!</f>
        <v>#REF!</v>
      </c>
    </row>
    <row r="74" spans="5:5" x14ac:dyDescent="0.25">
      <c r="E74" t="e">
        <f>#REF!</f>
        <v>#REF!</v>
      </c>
    </row>
    <row r="75" spans="5:5" x14ac:dyDescent="0.25">
      <c r="E75" t="e">
        <f>#REF!</f>
        <v>#REF!</v>
      </c>
    </row>
    <row r="76" spans="5:5" x14ac:dyDescent="0.25">
      <c r="E76" t="e">
        <f>#REF!</f>
        <v>#REF!</v>
      </c>
    </row>
    <row r="77" spans="5:5" x14ac:dyDescent="0.25">
      <c r="E77" t="e">
        <f>#REF!</f>
        <v>#REF!</v>
      </c>
    </row>
    <row r="78" spans="5:5" x14ac:dyDescent="0.25">
      <c r="E78" t="e">
        <f>#REF!</f>
        <v>#REF!</v>
      </c>
    </row>
    <row r="79" spans="5:5" x14ac:dyDescent="0.25">
      <c r="E79" t="e">
        <f>#REF!</f>
        <v>#REF!</v>
      </c>
    </row>
    <row r="80" spans="5:5" x14ac:dyDescent="0.25">
      <c r="E80" t="e">
        <f>#REF!</f>
        <v>#REF!</v>
      </c>
    </row>
    <row r="81" spans="5:5" x14ac:dyDescent="0.25">
      <c r="E81" t="e">
        <f>#REF!</f>
        <v>#REF!</v>
      </c>
    </row>
    <row r="82" spans="5:5" x14ac:dyDescent="0.25">
      <c r="E82" t="e">
        <f>#REF!</f>
        <v>#REF!</v>
      </c>
    </row>
    <row r="83" spans="5:5" x14ac:dyDescent="0.25">
      <c r="E83" t="e">
        <f>#REF!</f>
        <v>#REF!</v>
      </c>
    </row>
    <row r="84" spans="5:5" x14ac:dyDescent="0.25">
      <c r="E84" t="e">
        <f>#REF!</f>
        <v>#REF!</v>
      </c>
    </row>
    <row r="85" spans="5:5" x14ac:dyDescent="0.25">
      <c r="E85" t="e">
        <f>#REF!</f>
        <v>#REF!</v>
      </c>
    </row>
    <row r="86" spans="5:5" x14ac:dyDescent="0.25">
      <c r="E86" t="e">
        <f>#REF!</f>
        <v>#REF!</v>
      </c>
    </row>
    <row r="87" spans="5:5" x14ac:dyDescent="0.25">
      <c r="E87" t="e">
        <f>#REF!</f>
        <v>#REF!</v>
      </c>
    </row>
    <row r="88" spans="5:5" x14ac:dyDescent="0.25">
      <c r="E88" t="e">
        <f>#REF!</f>
        <v>#REF!</v>
      </c>
    </row>
    <row r="89" spans="5:5" x14ac:dyDescent="0.25">
      <c r="E89" t="e">
        <f>#REF!</f>
        <v>#REF!</v>
      </c>
    </row>
    <row r="90" spans="5:5" x14ac:dyDescent="0.25">
      <c r="E90" t="e">
        <f>#REF!</f>
        <v>#REF!</v>
      </c>
    </row>
    <row r="91" spans="5:5" x14ac:dyDescent="0.25">
      <c r="E91" t="e">
        <f>#REF!</f>
        <v>#REF!</v>
      </c>
    </row>
    <row r="92" spans="5:5" x14ac:dyDescent="0.25">
      <c r="E92" t="e">
        <f>#REF!</f>
        <v>#REF!</v>
      </c>
    </row>
    <row r="93" spans="5:5" x14ac:dyDescent="0.25">
      <c r="E93" t="e">
        <f>#REF!</f>
        <v>#REF!</v>
      </c>
    </row>
    <row r="94" spans="5:5" x14ac:dyDescent="0.25">
      <c r="E94" t="e">
        <f>#REF!</f>
        <v>#REF!</v>
      </c>
    </row>
    <row r="95" spans="5:5" x14ac:dyDescent="0.25">
      <c r="E95" t="e">
        <f>#REF!</f>
        <v>#REF!</v>
      </c>
    </row>
    <row r="96" spans="5:5" x14ac:dyDescent="0.25">
      <c r="E96" t="e">
        <f>#REF!</f>
        <v>#REF!</v>
      </c>
    </row>
    <row r="97" spans="5:5" x14ac:dyDescent="0.25">
      <c r="E97" t="e">
        <f>#REF!</f>
        <v>#REF!</v>
      </c>
    </row>
    <row r="98" spans="5:5" x14ac:dyDescent="0.25">
      <c r="E98" t="e">
        <f>#REF!</f>
        <v>#REF!</v>
      </c>
    </row>
    <row r="99" spans="5:5" x14ac:dyDescent="0.25">
      <c r="E99" t="e">
        <f>#REF!</f>
        <v>#REF!</v>
      </c>
    </row>
    <row r="100" spans="5:5" x14ac:dyDescent="0.25">
      <c r="E100" t="e">
        <f>#REF!</f>
        <v>#REF!</v>
      </c>
    </row>
    <row r="101" spans="5:5" x14ac:dyDescent="0.25">
      <c r="E101" t="e">
        <f>#REF!</f>
        <v>#REF!</v>
      </c>
    </row>
    <row r="102" spans="5:5" x14ac:dyDescent="0.25">
      <c r="E102" t="e">
        <f>#REF!</f>
        <v>#REF!</v>
      </c>
    </row>
    <row r="103" spans="5:5" x14ac:dyDescent="0.25">
      <c r="E103" t="e">
        <f>#REF!</f>
        <v>#REF!</v>
      </c>
    </row>
    <row r="104" spans="5:5" x14ac:dyDescent="0.25">
      <c r="E104" t="e">
        <f>#REF!</f>
        <v>#REF!</v>
      </c>
    </row>
    <row r="105" spans="5:5" x14ac:dyDescent="0.25">
      <c r="E105" t="e">
        <f>#REF!</f>
        <v>#REF!</v>
      </c>
    </row>
    <row r="106" spans="5:5" x14ac:dyDescent="0.25">
      <c r="E106" t="e">
        <f>#REF!</f>
        <v>#REF!</v>
      </c>
    </row>
    <row r="107" spans="5:5" x14ac:dyDescent="0.25">
      <c r="E107" t="e">
        <f>#REF!</f>
        <v>#REF!</v>
      </c>
    </row>
    <row r="108" spans="5:5" x14ac:dyDescent="0.25">
      <c r="E108" t="e">
        <f>#REF!</f>
        <v>#REF!</v>
      </c>
    </row>
    <row r="109" spans="5:5" x14ac:dyDescent="0.25">
      <c r="E109" t="e">
        <f>#REF!</f>
        <v>#REF!</v>
      </c>
    </row>
    <row r="110" spans="5:5" x14ac:dyDescent="0.25">
      <c r="E110" t="e">
        <f>#REF!</f>
        <v>#REF!</v>
      </c>
    </row>
    <row r="111" spans="5:5" x14ac:dyDescent="0.25">
      <c r="E111" t="e">
        <f>#REF!</f>
        <v>#REF!</v>
      </c>
    </row>
    <row r="112" spans="5:5" x14ac:dyDescent="0.25">
      <c r="E112" t="e">
        <f>#REF!</f>
        <v>#REF!</v>
      </c>
    </row>
    <row r="113" spans="5:5" x14ac:dyDescent="0.25">
      <c r="E113" t="e">
        <f>#REF!</f>
        <v>#REF!</v>
      </c>
    </row>
    <row r="114" spans="5:5" x14ac:dyDescent="0.25">
      <c r="E114" t="e">
        <f>#REF!</f>
        <v>#REF!</v>
      </c>
    </row>
    <row r="115" spans="5:5" x14ac:dyDescent="0.25">
      <c r="E115" t="e">
        <f>#REF!</f>
        <v>#REF!</v>
      </c>
    </row>
    <row r="116" spans="5:5" x14ac:dyDescent="0.25">
      <c r="E116" t="e">
        <f>#REF!</f>
        <v>#REF!</v>
      </c>
    </row>
    <row r="117" spans="5:5" x14ac:dyDescent="0.25">
      <c r="E117" t="e">
        <f>#REF!</f>
        <v>#REF!</v>
      </c>
    </row>
    <row r="118" spans="5:5" x14ac:dyDescent="0.25">
      <c r="E118" t="e">
        <f>#REF!</f>
        <v>#REF!</v>
      </c>
    </row>
    <row r="119" spans="5:5" x14ac:dyDescent="0.25">
      <c r="E119" t="e">
        <f>#REF!</f>
        <v>#REF!</v>
      </c>
    </row>
    <row r="120" spans="5:5" x14ac:dyDescent="0.25">
      <c r="E120" t="e">
        <f>#REF!</f>
        <v>#REF!</v>
      </c>
    </row>
    <row r="121" spans="5:5" x14ac:dyDescent="0.25">
      <c r="E121" t="e">
        <f>#REF!</f>
        <v>#REF!</v>
      </c>
    </row>
    <row r="122" spans="5:5" x14ac:dyDescent="0.25">
      <c r="E122" t="e">
        <f>#REF!</f>
        <v>#REF!</v>
      </c>
    </row>
    <row r="123" spans="5:5" x14ac:dyDescent="0.25">
      <c r="E123" t="e">
        <f>#REF!</f>
        <v>#REF!</v>
      </c>
    </row>
    <row r="124" spans="5:5" x14ac:dyDescent="0.25">
      <c r="E124" t="e">
        <f>#REF!</f>
        <v>#REF!</v>
      </c>
    </row>
    <row r="125" spans="5:5" x14ac:dyDescent="0.25">
      <c r="E125" t="e">
        <f>#REF!</f>
        <v>#REF!</v>
      </c>
    </row>
    <row r="126" spans="5:5" x14ac:dyDescent="0.25">
      <c r="E126" t="e">
        <f>#REF!</f>
        <v>#REF!</v>
      </c>
    </row>
    <row r="127" spans="5:5" x14ac:dyDescent="0.25">
      <c r="E127" t="e">
        <f>#REF!</f>
        <v>#REF!</v>
      </c>
    </row>
    <row r="128" spans="5:5" x14ac:dyDescent="0.25">
      <c r="E128" t="e">
        <f>#REF!</f>
        <v>#REF!</v>
      </c>
    </row>
    <row r="129" spans="5:5" x14ac:dyDescent="0.25">
      <c r="E129" t="e">
        <f>#REF!</f>
        <v>#REF!</v>
      </c>
    </row>
    <row r="130" spans="5:5" x14ac:dyDescent="0.25">
      <c r="E130" t="e">
        <f>#REF!</f>
        <v>#REF!</v>
      </c>
    </row>
    <row r="131" spans="5:5" x14ac:dyDescent="0.25">
      <c r="E131" t="e">
        <f>#REF!</f>
        <v>#REF!</v>
      </c>
    </row>
    <row r="132" spans="5:5" x14ac:dyDescent="0.25">
      <c r="E132" t="e">
        <f>#REF!</f>
        <v>#REF!</v>
      </c>
    </row>
    <row r="133" spans="5:5" x14ac:dyDescent="0.25">
      <c r="E133" t="e">
        <f>#REF!</f>
        <v>#REF!</v>
      </c>
    </row>
    <row r="134" spans="5:5" x14ac:dyDescent="0.25">
      <c r="E134" t="e">
        <f>#REF!</f>
        <v>#REF!</v>
      </c>
    </row>
    <row r="135" spans="5:5" x14ac:dyDescent="0.25">
      <c r="E135" t="e">
        <f>#REF!</f>
        <v>#REF!</v>
      </c>
    </row>
    <row r="136" spans="5:5" x14ac:dyDescent="0.25">
      <c r="E136" t="e">
        <f>#REF!</f>
        <v>#REF!</v>
      </c>
    </row>
    <row r="137" spans="5:5" x14ac:dyDescent="0.25">
      <c r="E137" t="e">
        <f>#REF!</f>
        <v>#REF!</v>
      </c>
    </row>
    <row r="138" spans="5:5" x14ac:dyDescent="0.25">
      <c r="E138" t="e">
        <f>#REF!</f>
        <v>#REF!</v>
      </c>
    </row>
    <row r="139" spans="5:5" x14ac:dyDescent="0.25">
      <c r="E139" t="e">
        <f>#REF!</f>
        <v>#REF!</v>
      </c>
    </row>
    <row r="140" spans="5:5" x14ac:dyDescent="0.25">
      <c r="E140" t="e">
        <f>#REF!</f>
        <v>#REF!</v>
      </c>
    </row>
    <row r="141" spans="5:5" x14ac:dyDescent="0.25">
      <c r="E141" t="e">
        <f>#REF!</f>
        <v>#REF!</v>
      </c>
    </row>
    <row r="142" spans="5:5" x14ac:dyDescent="0.25">
      <c r="E142" t="e">
        <f>#REF!</f>
        <v>#REF!</v>
      </c>
    </row>
    <row r="143" spans="5:5" x14ac:dyDescent="0.25">
      <c r="E143" t="e">
        <f>#REF!</f>
        <v>#REF!</v>
      </c>
    </row>
    <row r="144" spans="5:5" x14ac:dyDescent="0.25">
      <c r="E144" t="e">
        <f>#REF!</f>
        <v>#REF!</v>
      </c>
    </row>
    <row r="145" spans="5:5" x14ac:dyDescent="0.25">
      <c r="E145" t="e">
        <f>#REF!</f>
        <v>#REF!</v>
      </c>
    </row>
    <row r="146" spans="5:5" x14ac:dyDescent="0.25">
      <c r="E146" t="e">
        <f>#REF!</f>
        <v>#REF!</v>
      </c>
    </row>
    <row r="147" spans="5:5" x14ac:dyDescent="0.25">
      <c r="E147" t="e">
        <f>#REF!</f>
        <v>#REF!</v>
      </c>
    </row>
    <row r="148" spans="5:5" x14ac:dyDescent="0.25">
      <c r="E148" t="e">
        <f>#REF!</f>
        <v>#REF!</v>
      </c>
    </row>
    <row r="149" spans="5:5" x14ac:dyDescent="0.25">
      <c r="E149" t="e">
        <f>#REF!</f>
        <v>#REF!</v>
      </c>
    </row>
    <row r="150" spans="5:5" x14ac:dyDescent="0.25">
      <c r="E150" t="e">
        <f>#REF!</f>
        <v>#REF!</v>
      </c>
    </row>
    <row r="151" spans="5:5" x14ac:dyDescent="0.25">
      <c r="E151" t="e">
        <f>#REF!</f>
        <v>#REF!</v>
      </c>
    </row>
    <row r="152" spans="5:5" x14ac:dyDescent="0.25">
      <c r="E152" t="e">
        <f>#REF!</f>
        <v>#REF!</v>
      </c>
    </row>
    <row r="153" spans="5:5" x14ac:dyDescent="0.25">
      <c r="E153" t="e">
        <f>#REF!</f>
        <v>#REF!</v>
      </c>
    </row>
    <row r="154" spans="5:5" x14ac:dyDescent="0.25">
      <c r="E154" t="e">
        <f>#REF!</f>
        <v>#REF!</v>
      </c>
    </row>
    <row r="155" spans="5:5" x14ac:dyDescent="0.25">
      <c r="E155" t="e">
        <f>#REF!</f>
        <v>#REF!</v>
      </c>
    </row>
    <row r="156" spans="5:5" x14ac:dyDescent="0.25">
      <c r="E156" t="e">
        <f>#REF!</f>
        <v>#REF!</v>
      </c>
    </row>
    <row r="157" spans="5:5" x14ac:dyDescent="0.25">
      <c r="E157" t="e">
        <f>#REF!</f>
        <v>#REF!</v>
      </c>
    </row>
    <row r="158" spans="5:5" x14ac:dyDescent="0.25">
      <c r="E158" t="e">
        <f>#REF!</f>
        <v>#REF!</v>
      </c>
    </row>
    <row r="159" spans="5:5" x14ac:dyDescent="0.25">
      <c r="E159" t="e">
        <f>#REF!</f>
        <v>#REF!</v>
      </c>
    </row>
    <row r="160" spans="5:5" x14ac:dyDescent="0.25">
      <c r="E160" t="e">
        <f>#REF!</f>
        <v>#REF!</v>
      </c>
    </row>
    <row r="161" spans="5:5" x14ac:dyDescent="0.25">
      <c r="E161" t="e">
        <f>#REF!</f>
        <v>#REF!</v>
      </c>
    </row>
    <row r="162" spans="5:5" x14ac:dyDescent="0.25">
      <c r="E162" t="e">
        <f>#REF!</f>
        <v>#REF!</v>
      </c>
    </row>
    <row r="163" spans="5:5" x14ac:dyDescent="0.25">
      <c r="E163" t="e">
        <f>#REF!</f>
        <v>#REF!</v>
      </c>
    </row>
    <row r="164" spans="5:5" x14ac:dyDescent="0.25">
      <c r="E164" t="e">
        <f>#REF!</f>
        <v>#REF!</v>
      </c>
    </row>
    <row r="165" spans="5:5" x14ac:dyDescent="0.25">
      <c r="E165" t="e">
        <f>#REF!</f>
        <v>#REF!</v>
      </c>
    </row>
    <row r="166" spans="5:5" x14ac:dyDescent="0.25">
      <c r="E166" t="e">
        <f>#REF!</f>
        <v>#REF!</v>
      </c>
    </row>
    <row r="167" spans="5:5" x14ac:dyDescent="0.25">
      <c r="E167" t="e">
        <f>#REF!</f>
        <v>#REF!</v>
      </c>
    </row>
    <row r="168" spans="5:5" x14ac:dyDescent="0.25">
      <c r="E168" t="e">
        <f>#REF!</f>
        <v>#REF!</v>
      </c>
    </row>
    <row r="169" spans="5:5" x14ac:dyDescent="0.25">
      <c r="E169" t="e">
        <f>#REF!</f>
        <v>#REF!</v>
      </c>
    </row>
    <row r="170" spans="5:5" x14ac:dyDescent="0.25">
      <c r="E170" t="e">
        <f>#REF!</f>
        <v>#REF!</v>
      </c>
    </row>
    <row r="171" spans="5:5" x14ac:dyDescent="0.25">
      <c r="E171" t="e">
        <f>#REF!</f>
        <v>#REF!</v>
      </c>
    </row>
    <row r="172" spans="5:5" x14ac:dyDescent="0.25">
      <c r="E172" t="e">
        <f>#REF!</f>
        <v>#REF!</v>
      </c>
    </row>
    <row r="173" spans="5:5" x14ac:dyDescent="0.25">
      <c r="E173" t="e">
        <f>#REF!</f>
        <v>#REF!</v>
      </c>
    </row>
    <row r="174" spans="5:5" x14ac:dyDescent="0.25">
      <c r="E174" t="e">
        <f>#REF!</f>
        <v>#REF!</v>
      </c>
    </row>
    <row r="175" spans="5:5" x14ac:dyDescent="0.25">
      <c r="E175" t="e">
        <f>#REF!</f>
        <v>#REF!</v>
      </c>
    </row>
    <row r="176" spans="5:5" x14ac:dyDescent="0.25">
      <c r="E176" t="e">
        <f>#REF!</f>
        <v>#REF!</v>
      </c>
    </row>
    <row r="177" spans="5:5" x14ac:dyDescent="0.25">
      <c r="E177" t="e">
        <f>#REF!</f>
        <v>#REF!</v>
      </c>
    </row>
    <row r="178" spans="5:5" x14ac:dyDescent="0.25">
      <c r="E178" t="e">
        <f>#REF!</f>
        <v>#REF!</v>
      </c>
    </row>
    <row r="179" spans="5:5" x14ac:dyDescent="0.25">
      <c r="E179" t="e">
        <f>#REF!</f>
        <v>#REF!</v>
      </c>
    </row>
    <row r="180" spans="5:5" x14ac:dyDescent="0.25">
      <c r="E180" t="e">
        <f>#REF!</f>
        <v>#REF!</v>
      </c>
    </row>
    <row r="181" spans="5:5" x14ac:dyDescent="0.25">
      <c r="E181" t="e">
        <f>#REF!</f>
        <v>#REF!</v>
      </c>
    </row>
    <row r="182" spans="5:5" x14ac:dyDescent="0.25">
      <c r="E182" t="e">
        <f>#REF!</f>
        <v>#REF!</v>
      </c>
    </row>
    <row r="183" spans="5:5" x14ac:dyDescent="0.25">
      <c r="E183" t="e">
        <f>#REF!</f>
        <v>#REF!</v>
      </c>
    </row>
    <row r="184" spans="5:5" x14ac:dyDescent="0.25">
      <c r="E184" t="e">
        <f>#REF!</f>
        <v>#REF!</v>
      </c>
    </row>
    <row r="185" spans="5:5" x14ac:dyDescent="0.25">
      <c r="E185" t="e">
        <f>#REF!</f>
        <v>#REF!</v>
      </c>
    </row>
    <row r="186" spans="5:5" x14ac:dyDescent="0.25">
      <c r="E186" t="e">
        <f>#REF!</f>
        <v>#REF!</v>
      </c>
    </row>
    <row r="187" spans="5:5" x14ac:dyDescent="0.25">
      <c r="E187" t="e">
        <f>#REF!</f>
        <v>#REF!</v>
      </c>
    </row>
    <row r="188" spans="5:5" x14ac:dyDescent="0.25">
      <c r="E188" t="e">
        <f>#REF!</f>
        <v>#REF!</v>
      </c>
    </row>
    <row r="189" spans="5:5" x14ac:dyDescent="0.25">
      <c r="E189" t="e">
        <f>#REF!</f>
        <v>#REF!</v>
      </c>
    </row>
    <row r="190" spans="5:5" x14ac:dyDescent="0.25">
      <c r="E190" t="e">
        <f>#REF!</f>
        <v>#REF!</v>
      </c>
    </row>
    <row r="191" spans="5:5" x14ac:dyDescent="0.25">
      <c r="E191" t="e">
        <f>#REF!</f>
        <v>#REF!</v>
      </c>
    </row>
    <row r="192" spans="5:5" x14ac:dyDescent="0.25">
      <c r="E192" t="e">
        <f>#REF!</f>
        <v>#REF!</v>
      </c>
    </row>
    <row r="193" spans="5:5" x14ac:dyDescent="0.25">
      <c r="E193" t="e">
        <f>#REF!</f>
        <v>#REF!</v>
      </c>
    </row>
    <row r="194" spans="5:5" x14ac:dyDescent="0.25">
      <c r="E194" t="e">
        <f>#REF!</f>
        <v>#REF!</v>
      </c>
    </row>
    <row r="195" spans="5:5" x14ac:dyDescent="0.25">
      <c r="E195" t="e">
        <f>#REF!</f>
        <v>#REF!</v>
      </c>
    </row>
    <row r="196" spans="5:5" x14ac:dyDescent="0.25">
      <c r="E196" t="e">
        <f>#REF!</f>
        <v>#REF!</v>
      </c>
    </row>
    <row r="197" spans="5:5" x14ac:dyDescent="0.25">
      <c r="E197" t="e">
        <f>#REF!</f>
        <v>#REF!</v>
      </c>
    </row>
    <row r="198" spans="5:5" x14ac:dyDescent="0.25">
      <c r="E198" t="e">
        <f>#REF!</f>
        <v>#REF!</v>
      </c>
    </row>
    <row r="199" spans="5:5" x14ac:dyDescent="0.25">
      <c r="E199" t="e">
        <f>#REF!</f>
        <v>#REF!</v>
      </c>
    </row>
    <row r="200" spans="5:5" x14ac:dyDescent="0.25">
      <c r="E200" t="e">
        <f>#REF!</f>
        <v>#REF!</v>
      </c>
    </row>
    <row r="201" spans="5:5" x14ac:dyDescent="0.25">
      <c r="E201" t="e">
        <f>#REF!</f>
        <v>#REF!</v>
      </c>
    </row>
    <row r="202" spans="5:5" x14ac:dyDescent="0.25">
      <c r="E202" t="e">
        <f>#REF!</f>
        <v>#REF!</v>
      </c>
    </row>
    <row r="203" spans="5:5" x14ac:dyDescent="0.25">
      <c r="E203" t="e">
        <f>#REF!</f>
        <v>#REF!</v>
      </c>
    </row>
    <row r="204" spans="5:5" x14ac:dyDescent="0.25">
      <c r="E204" t="e">
        <f>#REF!</f>
        <v>#REF!</v>
      </c>
    </row>
    <row r="205" spans="5:5" x14ac:dyDescent="0.25">
      <c r="E205" t="e">
        <f>#REF!</f>
        <v>#REF!</v>
      </c>
    </row>
    <row r="206" spans="5:5" x14ac:dyDescent="0.25">
      <c r="E206" t="e">
        <f>#REF!</f>
        <v>#REF!</v>
      </c>
    </row>
    <row r="207" spans="5:5" x14ac:dyDescent="0.25">
      <c r="E207" t="e">
        <f>#REF!</f>
        <v>#REF!</v>
      </c>
    </row>
    <row r="208" spans="5:5" x14ac:dyDescent="0.25">
      <c r="E208" t="e">
        <f>#REF!</f>
        <v>#REF!</v>
      </c>
    </row>
    <row r="209" spans="5:5" x14ac:dyDescent="0.25">
      <c r="E209" t="e">
        <f>#REF!</f>
        <v>#REF!</v>
      </c>
    </row>
    <row r="210" spans="5:5" x14ac:dyDescent="0.25">
      <c r="E210" t="e">
        <f>#REF!</f>
        <v>#REF!</v>
      </c>
    </row>
    <row r="211" spans="5:5" x14ac:dyDescent="0.25">
      <c r="E211" t="e">
        <f>#REF!</f>
        <v>#REF!</v>
      </c>
    </row>
    <row r="212" spans="5:5" x14ac:dyDescent="0.25">
      <c r="E212" t="e">
        <f>#REF!</f>
        <v>#REF!</v>
      </c>
    </row>
    <row r="213" spans="5:5" x14ac:dyDescent="0.25">
      <c r="E213" t="e">
        <f>#REF!</f>
        <v>#REF!</v>
      </c>
    </row>
    <row r="214" spans="5:5" x14ac:dyDescent="0.25">
      <c r="E214" t="e">
        <f>#REF!</f>
        <v>#REF!</v>
      </c>
    </row>
    <row r="215" spans="5:5" x14ac:dyDescent="0.25">
      <c r="E215" t="e">
        <f>#REF!</f>
        <v>#REF!</v>
      </c>
    </row>
    <row r="216" spans="5:5" x14ac:dyDescent="0.25">
      <c r="E216" t="e">
        <f>#REF!</f>
        <v>#REF!</v>
      </c>
    </row>
    <row r="217" spans="5:5" x14ac:dyDescent="0.25">
      <c r="E217" t="e">
        <f>#REF!</f>
        <v>#REF!</v>
      </c>
    </row>
    <row r="218" spans="5:5" x14ac:dyDescent="0.25">
      <c r="E218" t="e">
        <f>#REF!</f>
        <v>#REF!</v>
      </c>
    </row>
    <row r="219" spans="5:5" x14ac:dyDescent="0.25">
      <c r="E219" t="e">
        <f>#REF!</f>
        <v>#REF!</v>
      </c>
    </row>
    <row r="220" spans="5:5" x14ac:dyDescent="0.25">
      <c r="E220" t="e">
        <f>#REF!</f>
        <v>#REF!</v>
      </c>
    </row>
    <row r="221" spans="5:5" x14ac:dyDescent="0.25">
      <c r="E221" t="e">
        <f>#REF!</f>
        <v>#REF!</v>
      </c>
    </row>
    <row r="222" spans="5:5" x14ac:dyDescent="0.25">
      <c r="E222" t="e">
        <f>#REF!</f>
        <v>#REF!</v>
      </c>
    </row>
    <row r="223" spans="5:5" x14ac:dyDescent="0.25">
      <c r="E223" t="e">
        <f>#REF!</f>
        <v>#REF!</v>
      </c>
    </row>
    <row r="224" spans="5:5" x14ac:dyDescent="0.25">
      <c r="E224" t="e">
        <f>#REF!</f>
        <v>#REF!</v>
      </c>
    </row>
    <row r="225" spans="5:5" x14ac:dyDescent="0.25">
      <c r="E225" t="e">
        <f>#REF!</f>
        <v>#REF!</v>
      </c>
    </row>
    <row r="226" spans="5:5" x14ac:dyDescent="0.25">
      <c r="E226" t="e">
        <f>#REF!</f>
        <v>#REF!</v>
      </c>
    </row>
    <row r="227" spans="5:5" x14ac:dyDescent="0.25">
      <c r="E227" t="e">
        <f>#REF!</f>
        <v>#REF!</v>
      </c>
    </row>
    <row r="228" spans="5:5" x14ac:dyDescent="0.25">
      <c r="E228" t="e">
        <f>#REF!</f>
        <v>#REF!</v>
      </c>
    </row>
    <row r="229" spans="5:5" x14ac:dyDescent="0.25">
      <c r="E229" t="e">
        <f>#REF!</f>
        <v>#REF!</v>
      </c>
    </row>
    <row r="230" spans="5:5" x14ac:dyDescent="0.25">
      <c r="E230" t="e">
        <f>#REF!</f>
        <v>#REF!</v>
      </c>
    </row>
    <row r="231" spans="5:5" x14ac:dyDescent="0.25">
      <c r="E231" t="e">
        <f>#REF!</f>
        <v>#REF!</v>
      </c>
    </row>
    <row r="232" spans="5:5" x14ac:dyDescent="0.25">
      <c r="E232" t="e">
        <f>#REF!</f>
        <v>#REF!</v>
      </c>
    </row>
    <row r="233" spans="5:5" x14ac:dyDescent="0.25">
      <c r="E233" t="e">
        <f>#REF!</f>
        <v>#REF!</v>
      </c>
    </row>
    <row r="234" spans="5:5" x14ac:dyDescent="0.25">
      <c r="E234" t="e">
        <f>#REF!</f>
        <v>#REF!</v>
      </c>
    </row>
    <row r="235" spans="5:5" x14ac:dyDescent="0.25">
      <c r="E235" t="e">
        <f>#REF!</f>
        <v>#REF!</v>
      </c>
    </row>
    <row r="236" spans="5:5" x14ac:dyDescent="0.25">
      <c r="E236" t="e">
        <f>#REF!</f>
        <v>#REF!</v>
      </c>
    </row>
    <row r="237" spans="5:5" x14ac:dyDescent="0.25">
      <c r="E237" t="e">
        <f>#REF!</f>
        <v>#REF!</v>
      </c>
    </row>
    <row r="238" spans="5:5" x14ac:dyDescent="0.25">
      <c r="E238" t="e">
        <f>#REF!</f>
        <v>#REF!</v>
      </c>
    </row>
    <row r="239" spans="5:5" x14ac:dyDescent="0.25">
      <c r="E239" t="e">
        <f>#REF!</f>
        <v>#REF!</v>
      </c>
    </row>
    <row r="240" spans="5:5" x14ac:dyDescent="0.25">
      <c r="E240" t="e">
        <f>#REF!</f>
        <v>#REF!</v>
      </c>
    </row>
    <row r="241" spans="5:5" x14ac:dyDescent="0.25">
      <c r="E241" t="e">
        <f>#REF!</f>
        <v>#REF!</v>
      </c>
    </row>
    <row r="242" spans="5:5" x14ac:dyDescent="0.25">
      <c r="E242" t="e">
        <f>#REF!</f>
        <v>#REF!</v>
      </c>
    </row>
    <row r="243" spans="5:5" x14ac:dyDescent="0.25">
      <c r="E243" t="e">
        <f>#REF!</f>
        <v>#REF!</v>
      </c>
    </row>
    <row r="244" spans="5:5" x14ac:dyDescent="0.25">
      <c r="E244" t="e">
        <f>#REF!</f>
        <v>#REF!</v>
      </c>
    </row>
    <row r="245" spans="5:5" x14ac:dyDescent="0.25">
      <c r="E245" t="e">
        <f>#REF!</f>
        <v>#REF!</v>
      </c>
    </row>
    <row r="246" spans="5:5" x14ac:dyDescent="0.25">
      <c r="E246" t="e">
        <f>#REF!</f>
        <v>#REF!</v>
      </c>
    </row>
    <row r="247" spans="5:5" x14ac:dyDescent="0.25">
      <c r="E247" t="e">
        <f>#REF!</f>
        <v>#REF!</v>
      </c>
    </row>
    <row r="248" spans="5:5" x14ac:dyDescent="0.25">
      <c r="E248" t="e">
        <f>#REF!</f>
        <v>#REF!</v>
      </c>
    </row>
    <row r="249" spans="5:5" x14ac:dyDescent="0.25">
      <c r="E249" t="e">
        <f>#REF!</f>
        <v>#REF!</v>
      </c>
    </row>
    <row r="250" spans="5:5" x14ac:dyDescent="0.25">
      <c r="E250" t="e">
        <f>#REF!</f>
        <v>#REF!</v>
      </c>
    </row>
    <row r="251" spans="5:5" x14ac:dyDescent="0.25">
      <c r="E251" t="e">
        <f>#REF!</f>
        <v>#REF!</v>
      </c>
    </row>
    <row r="252" spans="5:5" x14ac:dyDescent="0.25">
      <c r="E252" t="e">
        <f>#REF!</f>
        <v>#REF!</v>
      </c>
    </row>
    <row r="253" spans="5:5" x14ac:dyDescent="0.25">
      <c r="E253" t="e">
        <f>#REF!</f>
        <v>#REF!</v>
      </c>
    </row>
    <row r="254" spans="5:5" x14ac:dyDescent="0.25">
      <c r="E254" t="e">
        <f>#REF!</f>
        <v>#REF!</v>
      </c>
    </row>
    <row r="255" spans="5:5" x14ac:dyDescent="0.25">
      <c r="E255" t="e">
        <f>#REF!</f>
        <v>#REF!</v>
      </c>
    </row>
    <row r="256" spans="5:5" x14ac:dyDescent="0.25">
      <c r="E256" t="e">
        <f>#REF!</f>
        <v>#REF!</v>
      </c>
    </row>
    <row r="257" spans="5:5" x14ac:dyDescent="0.25">
      <c r="E257" t="e">
        <f>#REF!</f>
        <v>#REF!</v>
      </c>
    </row>
    <row r="258" spans="5:5" x14ac:dyDescent="0.25">
      <c r="E258" t="e">
        <f>#REF!</f>
        <v>#REF!</v>
      </c>
    </row>
    <row r="259" spans="5:5" x14ac:dyDescent="0.25">
      <c r="E259" t="e">
        <f>#REF!</f>
        <v>#REF!</v>
      </c>
    </row>
    <row r="260" spans="5:5" x14ac:dyDescent="0.25">
      <c r="E260" t="e">
        <f>#REF!</f>
        <v>#REF!</v>
      </c>
    </row>
    <row r="261" spans="5:5" x14ac:dyDescent="0.25">
      <c r="E261" t="e">
        <f>#REF!</f>
        <v>#REF!</v>
      </c>
    </row>
    <row r="262" spans="5:5" x14ac:dyDescent="0.25">
      <c r="E262" t="e">
        <f>#REF!</f>
        <v>#REF!</v>
      </c>
    </row>
    <row r="263" spans="5:5" x14ac:dyDescent="0.25">
      <c r="E263" t="e">
        <f>#REF!</f>
        <v>#REF!</v>
      </c>
    </row>
    <row r="264" spans="5:5" x14ac:dyDescent="0.25">
      <c r="E264" t="e">
        <f>#REF!</f>
        <v>#REF!</v>
      </c>
    </row>
    <row r="265" spans="5:5" x14ac:dyDescent="0.25">
      <c r="E265" t="e">
        <f>#REF!</f>
        <v>#REF!</v>
      </c>
    </row>
    <row r="266" spans="5:5" x14ac:dyDescent="0.25">
      <c r="E266" t="e">
        <f>#REF!</f>
        <v>#REF!</v>
      </c>
    </row>
    <row r="267" spans="5:5" x14ac:dyDescent="0.25">
      <c r="E267" t="e">
        <f>#REF!</f>
        <v>#REF!</v>
      </c>
    </row>
    <row r="268" spans="5:5" x14ac:dyDescent="0.25">
      <c r="E268" t="e">
        <f>#REF!</f>
        <v>#REF!</v>
      </c>
    </row>
    <row r="269" spans="5:5" x14ac:dyDescent="0.25">
      <c r="E269" t="e">
        <f>#REF!</f>
        <v>#REF!</v>
      </c>
    </row>
    <row r="270" spans="5:5" x14ac:dyDescent="0.25">
      <c r="E270" t="e">
        <f>#REF!</f>
        <v>#REF!</v>
      </c>
    </row>
    <row r="271" spans="5:5" x14ac:dyDescent="0.25">
      <c r="E271" t="e">
        <f>#REF!</f>
        <v>#REF!</v>
      </c>
    </row>
    <row r="272" spans="5:5" x14ac:dyDescent="0.25">
      <c r="E272" t="e">
        <f>#REF!</f>
        <v>#REF!</v>
      </c>
    </row>
    <row r="273" spans="5:5" x14ac:dyDescent="0.25">
      <c r="E273" t="e">
        <f>#REF!</f>
        <v>#REF!</v>
      </c>
    </row>
    <row r="274" spans="5:5" x14ac:dyDescent="0.25">
      <c r="E274" t="e">
        <f>#REF!</f>
        <v>#REF!</v>
      </c>
    </row>
    <row r="275" spans="5:5" x14ac:dyDescent="0.25">
      <c r="E275" t="e">
        <f>#REF!</f>
        <v>#REF!</v>
      </c>
    </row>
    <row r="276" spans="5:5" x14ac:dyDescent="0.25">
      <c r="E276" t="e">
        <f>#REF!</f>
        <v>#REF!</v>
      </c>
    </row>
    <row r="277" spans="5:5" x14ac:dyDescent="0.25">
      <c r="E277" t="e">
        <f>#REF!</f>
        <v>#REF!</v>
      </c>
    </row>
    <row r="278" spans="5:5" x14ac:dyDescent="0.25">
      <c r="E278" t="e">
        <f>#REF!</f>
        <v>#REF!</v>
      </c>
    </row>
    <row r="279" spans="5:5" x14ac:dyDescent="0.25">
      <c r="E279" t="e">
        <f>#REF!</f>
        <v>#REF!</v>
      </c>
    </row>
    <row r="280" spans="5:5" x14ac:dyDescent="0.25">
      <c r="E280" t="e">
        <f>#REF!</f>
        <v>#REF!</v>
      </c>
    </row>
    <row r="281" spans="5:5" x14ac:dyDescent="0.25">
      <c r="E281" t="e">
        <f>#REF!</f>
        <v>#REF!</v>
      </c>
    </row>
    <row r="282" spans="5:5" x14ac:dyDescent="0.25">
      <c r="E282" t="e">
        <f>#REF!</f>
        <v>#REF!</v>
      </c>
    </row>
    <row r="283" spans="5:5" x14ac:dyDescent="0.25">
      <c r="E283" t="e">
        <f>#REF!</f>
        <v>#REF!</v>
      </c>
    </row>
    <row r="284" spans="5:5" x14ac:dyDescent="0.25">
      <c r="E284" t="e">
        <f>#REF!</f>
        <v>#REF!</v>
      </c>
    </row>
    <row r="285" spans="5:5" x14ac:dyDescent="0.25">
      <c r="E285" t="e">
        <f>#REF!</f>
        <v>#REF!</v>
      </c>
    </row>
    <row r="286" spans="5:5" x14ac:dyDescent="0.25">
      <c r="E286" t="e">
        <f>#REF!</f>
        <v>#REF!</v>
      </c>
    </row>
    <row r="287" spans="5:5" x14ac:dyDescent="0.25">
      <c r="E287" t="e">
        <f>#REF!</f>
        <v>#REF!</v>
      </c>
    </row>
    <row r="288" spans="5:5" x14ac:dyDescent="0.25">
      <c r="E288" t="e">
        <f>#REF!</f>
        <v>#REF!</v>
      </c>
    </row>
    <row r="289" spans="5:5" x14ac:dyDescent="0.25">
      <c r="E289" t="e">
        <f>#REF!</f>
        <v>#REF!</v>
      </c>
    </row>
    <row r="290" spans="5:5" x14ac:dyDescent="0.25">
      <c r="E290" t="e">
        <f>#REF!</f>
        <v>#REF!</v>
      </c>
    </row>
    <row r="291" spans="5:5" x14ac:dyDescent="0.25">
      <c r="E291" t="e">
        <f>#REF!</f>
        <v>#REF!</v>
      </c>
    </row>
    <row r="292" spans="5:5" x14ac:dyDescent="0.25">
      <c r="E292" t="e">
        <f>#REF!</f>
        <v>#REF!</v>
      </c>
    </row>
    <row r="293" spans="5:5" x14ac:dyDescent="0.25">
      <c r="E293" t="e">
        <f>#REF!</f>
        <v>#REF!</v>
      </c>
    </row>
    <row r="294" spans="5:5" x14ac:dyDescent="0.25">
      <c r="E294" t="e">
        <f>#REF!</f>
        <v>#REF!</v>
      </c>
    </row>
    <row r="295" spans="5:5" x14ac:dyDescent="0.25">
      <c r="E295" t="e">
        <f>#REF!</f>
        <v>#REF!</v>
      </c>
    </row>
    <row r="296" spans="5:5" x14ac:dyDescent="0.25">
      <c r="E296" t="e">
        <f>#REF!</f>
        <v>#REF!</v>
      </c>
    </row>
    <row r="297" spans="5:5" x14ac:dyDescent="0.25">
      <c r="E297" t="e">
        <f>#REF!</f>
        <v>#REF!</v>
      </c>
    </row>
    <row r="298" spans="5:5" x14ac:dyDescent="0.25">
      <c r="E298" t="e">
        <f>#REF!</f>
        <v>#REF!</v>
      </c>
    </row>
    <row r="299" spans="5:5" x14ac:dyDescent="0.25">
      <c r="E299" t="e">
        <f>#REF!</f>
        <v>#REF!</v>
      </c>
    </row>
    <row r="300" spans="5:5" x14ac:dyDescent="0.25">
      <c r="E300" t="e">
        <f>#REF!</f>
        <v>#REF!</v>
      </c>
    </row>
    <row r="301" spans="5:5" x14ac:dyDescent="0.25">
      <c r="E301" t="e">
        <f>#REF!</f>
        <v>#REF!</v>
      </c>
    </row>
    <row r="302" spans="5:5" x14ac:dyDescent="0.25">
      <c r="E302" t="e">
        <f>#REF!</f>
        <v>#REF!</v>
      </c>
    </row>
    <row r="303" spans="5:5" x14ac:dyDescent="0.25">
      <c r="E303" t="e">
        <f>#REF!</f>
        <v>#REF!</v>
      </c>
    </row>
    <row r="304" spans="5:5" x14ac:dyDescent="0.25">
      <c r="E304" t="e">
        <f>#REF!</f>
        <v>#REF!</v>
      </c>
    </row>
    <row r="305" spans="5:5" x14ac:dyDescent="0.25">
      <c r="E305" t="e">
        <f>#REF!</f>
        <v>#REF!</v>
      </c>
    </row>
    <row r="306" spans="5:5" x14ac:dyDescent="0.25">
      <c r="E306" t="e">
        <f>#REF!</f>
        <v>#REF!</v>
      </c>
    </row>
    <row r="307" spans="5:5" x14ac:dyDescent="0.25">
      <c r="E307" t="e">
        <f>#REF!</f>
        <v>#REF!</v>
      </c>
    </row>
    <row r="308" spans="5:5" x14ac:dyDescent="0.25">
      <c r="E308" t="e">
        <f>#REF!</f>
        <v>#REF!</v>
      </c>
    </row>
    <row r="309" spans="5:5" x14ac:dyDescent="0.25">
      <c r="E309" t="e">
        <f>#REF!</f>
        <v>#REF!</v>
      </c>
    </row>
    <row r="310" spans="5:5" x14ac:dyDescent="0.25">
      <c r="E310" t="e">
        <f>#REF!</f>
        <v>#REF!</v>
      </c>
    </row>
    <row r="311" spans="5:5" x14ac:dyDescent="0.25">
      <c r="E311" t="e">
        <f>#REF!</f>
        <v>#REF!</v>
      </c>
    </row>
    <row r="312" spans="5:5" x14ac:dyDescent="0.25">
      <c r="E312" t="e">
        <f>#REF!</f>
        <v>#REF!</v>
      </c>
    </row>
    <row r="313" spans="5:5" x14ac:dyDescent="0.25">
      <c r="E313" t="e">
        <f>#REF!</f>
        <v>#REF!</v>
      </c>
    </row>
    <row r="314" spans="5:5" x14ac:dyDescent="0.25">
      <c r="E314" t="e">
        <f>#REF!</f>
        <v>#REF!</v>
      </c>
    </row>
    <row r="315" spans="5:5" x14ac:dyDescent="0.25">
      <c r="E315" t="e">
        <f>#REF!</f>
        <v>#REF!</v>
      </c>
    </row>
    <row r="316" spans="5:5" x14ac:dyDescent="0.25">
      <c r="E316" t="e">
        <f>#REF!</f>
        <v>#REF!</v>
      </c>
    </row>
    <row r="317" spans="5:5" x14ac:dyDescent="0.25">
      <c r="E317" t="e">
        <f>#REF!</f>
        <v>#REF!</v>
      </c>
    </row>
    <row r="318" spans="5:5" x14ac:dyDescent="0.25">
      <c r="E318" t="e">
        <f>#REF!</f>
        <v>#REF!</v>
      </c>
    </row>
    <row r="319" spans="5:5" x14ac:dyDescent="0.25">
      <c r="E319" t="e">
        <f>#REF!</f>
        <v>#REF!</v>
      </c>
    </row>
    <row r="320" spans="5:5" x14ac:dyDescent="0.25">
      <c r="E320" t="e">
        <f>#REF!</f>
        <v>#REF!</v>
      </c>
    </row>
    <row r="321" spans="5:5" x14ac:dyDescent="0.25">
      <c r="E321" t="e">
        <f>#REF!</f>
        <v>#REF!</v>
      </c>
    </row>
    <row r="322" spans="5:5" x14ac:dyDescent="0.25">
      <c r="E322" t="e">
        <f>#REF!</f>
        <v>#REF!</v>
      </c>
    </row>
    <row r="323" spans="5:5" x14ac:dyDescent="0.25">
      <c r="E323" t="e">
        <f>#REF!</f>
        <v>#REF!</v>
      </c>
    </row>
    <row r="324" spans="5:5" x14ac:dyDescent="0.25">
      <c r="E324" t="e">
        <f>#REF!</f>
        <v>#REF!</v>
      </c>
    </row>
    <row r="325" spans="5:5" x14ac:dyDescent="0.25">
      <c r="E325" t="e">
        <f>#REF!</f>
        <v>#REF!</v>
      </c>
    </row>
    <row r="326" spans="5:5" x14ac:dyDescent="0.25">
      <c r="E326" t="e">
        <f>#REF!</f>
        <v>#REF!</v>
      </c>
    </row>
    <row r="327" spans="5:5" x14ac:dyDescent="0.25">
      <c r="E327" t="e">
        <f>#REF!</f>
        <v>#REF!</v>
      </c>
    </row>
    <row r="328" spans="5:5" x14ac:dyDescent="0.25">
      <c r="E328" t="e">
        <f>#REF!</f>
        <v>#REF!</v>
      </c>
    </row>
    <row r="329" spans="5:5" x14ac:dyDescent="0.25">
      <c r="E329" t="e">
        <f>#REF!</f>
        <v>#REF!</v>
      </c>
    </row>
    <row r="330" spans="5:5" x14ac:dyDescent="0.25">
      <c r="E330" t="e">
        <f>#REF!</f>
        <v>#REF!</v>
      </c>
    </row>
    <row r="331" spans="5:5" x14ac:dyDescent="0.25">
      <c r="E331" t="e">
        <f>#REF!</f>
        <v>#REF!</v>
      </c>
    </row>
    <row r="332" spans="5:5" x14ac:dyDescent="0.25">
      <c r="E332" t="e">
        <f>#REF!</f>
        <v>#REF!</v>
      </c>
    </row>
    <row r="333" spans="5:5" x14ac:dyDescent="0.25">
      <c r="E333" t="e">
        <f>#REF!</f>
        <v>#REF!</v>
      </c>
    </row>
    <row r="334" spans="5:5" x14ac:dyDescent="0.25">
      <c r="E334" t="e">
        <f>#REF!</f>
        <v>#REF!</v>
      </c>
    </row>
    <row r="335" spans="5:5" x14ac:dyDescent="0.25">
      <c r="E335" t="e">
        <f>#REF!</f>
        <v>#REF!</v>
      </c>
    </row>
    <row r="336" spans="5:5" x14ac:dyDescent="0.25">
      <c r="E336" t="e">
        <f>#REF!</f>
        <v>#REF!</v>
      </c>
    </row>
    <row r="337" spans="5:5" x14ac:dyDescent="0.25">
      <c r="E337" t="e">
        <f>#REF!</f>
        <v>#REF!</v>
      </c>
    </row>
    <row r="338" spans="5:5" x14ac:dyDescent="0.25">
      <c r="E338" t="e">
        <f>#REF!</f>
        <v>#REF!</v>
      </c>
    </row>
    <row r="339" spans="5:5" x14ac:dyDescent="0.25">
      <c r="E339" t="e">
        <f>#REF!</f>
        <v>#REF!</v>
      </c>
    </row>
    <row r="340" spans="5:5" x14ac:dyDescent="0.25">
      <c r="E340" t="e">
        <f>#REF!</f>
        <v>#REF!</v>
      </c>
    </row>
    <row r="341" spans="5:5" x14ac:dyDescent="0.25">
      <c r="E341" t="e">
        <f>#REF!</f>
        <v>#REF!</v>
      </c>
    </row>
    <row r="342" spans="5:5" x14ac:dyDescent="0.25">
      <c r="E342" t="e">
        <f>#REF!</f>
        <v>#REF!</v>
      </c>
    </row>
    <row r="343" spans="5:5" x14ac:dyDescent="0.25">
      <c r="E343" t="e">
        <f>#REF!</f>
        <v>#REF!</v>
      </c>
    </row>
    <row r="344" spans="5:5" x14ac:dyDescent="0.25">
      <c r="E344" t="e">
        <f>#REF!</f>
        <v>#REF!</v>
      </c>
    </row>
    <row r="345" spans="5:5" x14ac:dyDescent="0.25">
      <c r="E345" t="e">
        <f>#REF!</f>
        <v>#REF!</v>
      </c>
    </row>
    <row r="346" spans="5:5" x14ac:dyDescent="0.25">
      <c r="E346" t="e">
        <f>#REF!</f>
        <v>#REF!</v>
      </c>
    </row>
    <row r="347" spans="5:5" x14ac:dyDescent="0.25">
      <c r="E347" t="e">
        <f>#REF!</f>
        <v>#REF!</v>
      </c>
    </row>
    <row r="348" spans="5:5" x14ac:dyDescent="0.25">
      <c r="E348" t="e">
        <f>#REF!</f>
        <v>#REF!</v>
      </c>
    </row>
    <row r="349" spans="5:5" x14ac:dyDescent="0.25">
      <c r="E349" t="e">
        <f>#REF!</f>
        <v>#REF!</v>
      </c>
    </row>
    <row r="350" spans="5:5" x14ac:dyDescent="0.25">
      <c r="E350" t="e">
        <f>#REF!</f>
        <v>#REF!</v>
      </c>
    </row>
    <row r="351" spans="5:5" x14ac:dyDescent="0.25">
      <c r="E351" t="e">
        <f>#REF!</f>
        <v>#REF!</v>
      </c>
    </row>
    <row r="352" spans="5:5" x14ac:dyDescent="0.25">
      <c r="E352" t="e">
        <f>#REF!</f>
        <v>#REF!</v>
      </c>
    </row>
    <row r="353" spans="5:5" x14ac:dyDescent="0.25">
      <c r="E353" t="e">
        <f>#REF!</f>
        <v>#REF!</v>
      </c>
    </row>
    <row r="354" spans="5:5" x14ac:dyDescent="0.25">
      <c r="E354" t="e">
        <f>#REF!</f>
        <v>#REF!</v>
      </c>
    </row>
    <row r="355" spans="5:5" x14ac:dyDescent="0.25">
      <c r="E355" t="e">
        <f>#REF!</f>
        <v>#REF!</v>
      </c>
    </row>
    <row r="356" spans="5:5" x14ac:dyDescent="0.25">
      <c r="E356" t="e">
        <f>#REF!</f>
        <v>#REF!</v>
      </c>
    </row>
    <row r="357" spans="5:5" x14ac:dyDescent="0.25">
      <c r="E357" t="e">
        <f>#REF!</f>
        <v>#REF!</v>
      </c>
    </row>
    <row r="358" spans="5:5" x14ac:dyDescent="0.25">
      <c r="E358" t="e">
        <f>#REF!</f>
        <v>#REF!</v>
      </c>
    </row>
    <row r="359" spans="5:5" x14ac:dyDescent="0.25">
      <c r="E359" t="e">
        <f>#REF!</f>
        <v>#REF!</v>
      </c>
    </row>
    <row r="360" spans="5:5" x14ac:dyDescent="0.25">
      <c r="E360" t="e">
        <f>#REF!</f>
        <v>#REF!</v>
      </c>
    </row>
    <row r="361" spans="5:5" x14ac:dyDescent="0.25">
      <c r="E361" t="e">
        <f>#REF!</f>
        <v>#REF!</v>
      </c>
    </row>
    <row r="362" spans="5:5" x14ac:dyDescent="0.25">
      <c r="E362" t="e">
        <f>#REF!</f>
        <v>#REF!</v>
      </c>
    </row>
    <row r="363" spans="5:5" x14ac:dyDescent="0.25">
      <c r="E363" t="e">
        <f>#REF!</f>
        <v>#REF!</v>
      </c>
    </row>
    <row r="364" spans="5:5" x14ac:dyDescent="0.25">
      <c r="E364" t="e">
        <f>#REF!</f>
        <v>#REF!</v>
      </c>
    </row>
    <row r="365" spans="5:5" x14ac:dyDescent="0.25">
      <c r="E365" t="e">
        <f>#REF!</f>
        <v>#REF!</v>
      </c>
    </row>
    <row r="366" spans="5:5" x14ac:dyDescent="0.25">
      <c r="E366" t="e">
        <f>#REF!</f>
        <v>#REF!</v>
      </c>
    </row>
    <row r="367" spans="5:5" x14ac:dyDescent="0.25">
      <c r="E367" t="e">
        <f>#REF!</f>
        <v>#REF!</v>
      </c>
    </row>
    <row r="368" spans="5:5" x14ac:dyDescent="0.25">
      <c r="E368" t="e">
        <f>#REF!</f>
        <v>#REF!</v>
      </c>
    </row>
    <row r="369" spans="5:5" x14ac:dyDescent="0.25">
      <c r="E369" t="e">
        <f>#REF!</f>
        <v>#REF!</v>
      </c>
    </row>
    <row r="370" spans="5:5" x14ac:dyDescent="0.25">
      <c r="E370" t="e">
        <f>#REF!</f>
        <v>#REF!</v>
      </c>
    </row>
    <row r="371" spans="5:5" x14ac:dyDescent="0.25">
      <c r="E371" t="e">
        <f>#REF!</f>
        <v>#REF!</v>
      </c>
    </row>
    <row r="372" spans="5:5" x14ac:dyDescent="0.25">
      <c r="E372" t="e">
        <f>#REF!</f>
        <v>#REF!</v>
      </c>
    </row>
    <row r="373" spans="5:5" x14ac:dyDescent="0.25">
      <c r="E373" t="e">
        <f>#REF!</f>
        <v>#REF!</v>
      </c>
    </row>
    <row r="374" spans="5:5" x14ac:dyDescent="0.25">
      <c r="E374" t="e">
        <f>#REF!</f>
        <v>#REF!</v>
      </c>
    </row>
    <row r="375" spans="5:5" x14ac:dyDescent="0.25">
      <c r="E375" t="e">
        <f>#REF!</f>
        <v>#REF!</v>
      </c>
    </row>
    <row r="376" spans="5:5" x14ac:dyDescent="0.25">
      <c r="E376" t="e">
        <f>#REF!</f>
        <v>#REF!</v>
      </c>
    </row>
    <row r="377" spans="5:5" x14ac:dyDescent="0.25">
      <c r="E377" t="e">
        <f>#REF!</f>
        <v>#REF!</v>
      </c>
    </row>
    <row r="378" spans="5:5" x14ac:dyDescent="0.25">
      <c r="E378" t="e">
        <f>#REF!</f>
        <v>#REF!</v>
      </c>
    </row>
    <row r="379" spans="5:5" x14ac:dyDescent="0.25">
      <c r="E379" t="e">
        <f>#REF!</f>
        <v>#REF!</v>
      </c>
    </row>
    <row r="380" spans="5:5" x14ac:dyDescent="0.25">
      <c r="E380" t="e">
        <f>#REF!</f>
        <v>#REF!</v>
      </c>
    </row>
    <row r="381" spans="5:5" x14ac:dyDescent="0.25">
      <c r="E381" t="e">
        <f>#REF!</f>
        <v>#REF!</v>
      </c>
    </row>
    <row r="382" spans="5:5" x14ac:dyDescent="0.25">
      <c r="E382" t="e">
        <f>#REF!</f>
        <v>#REF!</v>
      </c>
    </row>
    <row r="383" spans="5:5" x14ac:dyDescent="0.25">
      <c r="E383" t="e">
        <f>#REF!</f>
        <v>#REF!</v>
      </c>
    </row>
    <row r="384" spans="5:5" x14ac:dyDescent="0.25">
      <c r="E384" t="e">
        <f>#REF!</f>
        <v>#REF!</v>
      </c>
    </row>
    <row r="385" spans="5:5" x14ac:dyDescent="0.25">
      <c r="E385" t="e">
        <f>#REF!</f>
        <v>#REF!</v>
      </c>
    </row>
    <row r="386" spans="5:5" x14ac:dyDescent="0.25">
      <c r="E386" t="e">
        <f>#REF!</f>
        <v>#REF!</v>
      </c>
    </row>
    <row r="387" spans="5:5" x14ac:dyDescent="0.25">
      <c r="E387" t="e">
        <f>#REF!</f>
        <v>#REF!</v>
      </c>
    </row>
    <row r="388" spans="5:5" x14ac:dyDescent="0.25">
      <c r="E388" t="e">
        <f>#REF!</f>
        <v>#REF!</v>
      </c>
    </row>
    <row r="389" spans="5:5" x14ac:dyDescent="0.25">
      <c r="E389" t="e">
        <f>#REF!</f>
        <v>#REF!</v>
      </c>
    </row>
    <row r="390" spans="5:5" x14ac:dyDescent="0.25">
      <c r="E390" t="e">
        <f>#REF!</f>
        <v>#REF!</v>
      </c>
    </row>
    <row r="391" spans="5:5" x14ac:dyDescent="0.25">
      <c r="E391" t="e">
        <f>#REF!</f>
        <v>#REF!</v>
      </c>
    </row>
    <row r="392" spans="5:5" x14ac:dyDescent="0.25">
      <c r="E392" t="e">
        <f>#REF!</f>
        <v>#REF!</v>
      </c>
    </row>
    <row r="393" spans="5:5" x14ac:dyDescent="0.25">
      <c r="E393" t="e">
        <f>#REF!</f>
        <v>#REF!</v>
      </c>
    </row>
    <row r="394" spans="5:5" x14ac:dyDescent="0.25">
      <c r="E394" t="e">
        <f>#REF!</f>
        <v>#REF!</v>
      </c>
    </row>
    <row r="395" spans="5:5" x14ac:dyDescent="0.25">
      <c r="E395" t="e">
        <f>#REF!</f>
        <v>#REF!</v>
      </c>
    </row>
    <row r="396" spans="5:5" x14ac:dyDescent="0.25">
      <c r="E396" t="e">
        <f>#REF!</f>
        <v>#REF!</v>
      </c>
    </row>
    <row r="397" spans="5:5" x14ac:dyDescent="0.25">
      <c r="E397" t="e">
        <f>#REF!</f>
        <v>#REF!</v>
      </c>
    </row>
    <row r="398" spans="5:5" x14ac:dyDescent="0.25">
      <c r="E398" t="e">
        <f>#REF!</f>
        <v>#REF!</v>
      </c>
    </row>
    <row r="399" spans="5:5" x14ac:dyDescent="0.25">
      <c r="E399" t="e">
        <f>#REF!</f>
        <v>#REF!</v>
      </c>
    </row>
    <row r="400" spans="5:5" x14ac:dyDescent="0.25">
      <c r="E400" t="e">
        <f>#REF!</f>
        <v>#REF!</v>
      </c>
    </row>
    <row r="401" spans="5:5" x14ac:dyDescent="0.25">
      <c r="E401" t="e">
        <f>#REF!</f>
        <v>#REF!</v>
      </c>
    </row>
    <row r="402" spans="5:5" x14ac:dyDescent="0.25">
      <c r="E402" t="e">
        <f>#REF!</f>
        <v>#REF!</v>
      </c>
    </row>
    <row r="403" spans="5:5" x14ac:dyDescent="0.25">
      <c r="E403" t="e">
        <f>#REF!</f>
        <v>#REF!</v>
      </c>
    </row>
    <row r="404" spans="5:5" x14ac:dyDescent="0.25">
      <c r="E404" t="e">
        <f>#REF!</f>
        <v>#REF!</v>
      </c>
    </row>
    <row r="405" spans="5:5" x14ac:dyDescent="0.25">
      <c r="E405" t="e">
        <f>#REF!</f>
        <v>#REF!</v>
      </c>
    </row>
    <row r="406" spans="5:5" x14ac:dyDescent="0.25">
      <c r="E406" t="e">
        <f>#REF!</f>
        <v>#REF!</v>
      </c>
    </row>
    <row r="407" spans="5:5" x14ac:dyDescent="0.25">
      <c r="E407" t="e">
        <f>#REF!</f>
        <v>#REF!</v>
      </c>
    </row>
    <row r="408" spans="5:5" x14ac:dyDescent="0.25">
      <c r="E408" t="e">
        <f>#REF!</f>
        <v>#REF!</v>
      </c>
    </row>
    <row r="409" spans="5:5" x14ac:dyDescent="0.25">
      <c r="E409" t="e">
        <f>#REF!</f>
        <v>#REF!</v>
      </c>
    </row>
    <row r="410" spans="5:5" x14ac:dyDescent="0.25">
      <c r="E410" t="e">
        <f>#REF!</f>
        <v>#REF!</v>
      </c>
    </row>
    <row r="411" spans="5:5" x14ac:dyDescent="0.25">
      <c r="E411" t="e">
        <f>#REF!</f>
        <v>#REF!</v>
      </c>
    </row>
    <row r="412" spans="5:5" x14ac:dyDescent="0.25">
      <c r="E412" t="e">
        <f>#REF!</f>
        <v>#REF!</v>
      </c>
    </row>
    <row r="413" spans="5:5" x14ac:dyDescent="0.25">
      <c r="E413" t="e">
        <f>#REF!</f>
        <v>#REF!</v>
      </c>
    </row>
    <row r="414" spans="5:5" x14ac:dyDescent="0.25">
      <c r="E414" t="e">
        <f>#REF!</f>
        <v>#REF!</v>
      </c>
    </row>
    <row r="415" spans="5:5" x14ac:dyDescent="0.25">
      <c r="E415" t="e">
        <f>#REF!</f>
        <v>#REF!</v>
      </c>
    </row>
    <row r="416" spans="5:5" x14ac:dyDescent="0.25">
      <c r="E416" t="e">
        <f>#REF!</f>
        <v>#REF!</v>
      </c>
    </row>
    <row r="417" spans="5:5" x14ac:dyDescent="0.25">
      <c r="E417" t="e">
        <f>#REF!</f>
        <v>#REF!</v>
      </c>
    </row>
    <row r="418" spans="5:5" x14ac:dyDescent="0.25">
      <c r="E418" t="e">
        <f>#REF!</f>
        <v>#REF!</v>
      </c>
    </row>
    <row r="419" spans="5:5" x14ac:dyDescent="0.25">
      <c r="E419" t="e">
        <f>#REF!</f>
        <v>#REF!</v>
      </c>
    </row>
    <row r="420" spans="5:5" x14ac:dyDescent="0.25">
      <c r="E420" t="e">
        <f>#REF!</f>
        <v>#REF!</v>
      </c>
    </row>
    <row r="421" spans="5:5" x14ac:dyDescent="0.25">
      <c r="E421" t="e">
        <f>#REF!</f>
        <v>#REF!</v>
      </c>
    </row>
    <row r="422" spans="5:5" x14ac:dyDescent="0.25">
      <c r="E422" t="e">
        <f>#REF!</f>
        <v>#REF!</v>
      </c>
    </row>
    <row r="423" spans="5:5" x14ac:dyDescent="0.25">
      <c r="E423" t="e">
        <f>#REF!</f>
        <v>#REF!</v>
      </c>
    </row>
    <row r="424" spans="5:5" x14ac:dyDescent="0.25">
      <c r="E424" t="e">
        <f>#REF!</f>
        <v>#REF!</v>
      </c>
    </row>
    <row r="425" spans="5:5" x14ac:dyDescent="0.25">
      <c r="E425" t="e">
        <f>#REF!</f>
        <v>#REF!</v>
      </c>
    </row>
    <row r="426" spans="5:5" x14ac:dyDescent="0.25">
      <c r="E426" t="e">
        <f>#REF!</f>
        <v>#REF!</v>
      </c>
    </row>
    <row r="427" spans="5:5" x14ac:dyDescent="0.25">
      <c r="E427" t="e">
        <f>#REF!</f>
        <v>#REF!</v>
      </c>
    </row>
    <row r="428" spans="5:5" x14ac:dyDescent="0.25">
      <c r="E428" t="e">
        <f>#REF!</f>
        <v>#REF!</v>
      </c>
    </row>
    <row r="429" spans="5:5" x14ac:dyDescent="0.25">
      <c r="E429" t="e">
        <f>#REF!</f>
        <v>#REF!</v>
      </c>
    </row>
    <row r="430" spans="5:5" x14ac:dyDescent="0.25">
      <c r="E430" t="e">
        <f>#REF!</f>
        <v>#REF!</v>
      </c>
    </row>
    <row r="431" spans="5:5" x14ac:dyDescent="0.25">
      <c r="E431" t="e">
        <f>#REF!</f>
        <v>#REF!</v>
      </c>
    </row>
    <row r="432" spans="5:5" x14ac:dyDescent="0.25">
      <c r="E432" t="e">
        <f>#REF!</f>
        <v>#REF!</v>
      </c>
    </row>
    <row r="433" spans="5:5" x14ac:dyDescent="0.25">
      <c r="E433" t="e">
        <f>#REF!</f>
        <v>#REF!</v>
      </c>
    </row>
    <row r="434" spans="5:5" x14ac:dyDescent="0.25">
      <c r="E434" t="e">
        <f>#REF!</f>
        <v>#REF!</v>
      </c>
    </row>
    <row r="435" spans="5:5" x14ac:dyDescent="0.25">
      <c r="E435" t="e">
        <f>#REF!</f>
        <v>#REF!</v>
      </c>
    </row>
    <row r="436" spans="5:5" x14ac:dyDescent="0.25">
      <c r="E436" t="e">
        <f>#REF!</f>
        <v>#REF!</v>
      </c>
    </row>
    <row r="437" spans="5:5" x14ac:dyDescent="0.25">
      <c r="E437" t="e">
        <f>#REF!</f>
        <v>#REF!</v>
      </c>
    </row>
    <row r="438" spans="5:5" x14ac:dyDescent="0.25">
      <c r="E438" t="e">
        <f>#REF!</f>
        <v>#REF!</v>
      </c>
    </row>
    <row r="439" spans="5:5" x14ac:dyDescent="0.25">
      <c r="E439" t="e">
        <f>#REF!</f>
        <v>#REF!</v>
      </c>
    </row>
    <row r="440" spans="5:5" x14ac:dyDescent="0.25">
      <c r="E440" t="e">
        <f>#REF!</f>
        <v>#REF!</v>
      </c>
    </row>
    <row r="441" spans="5:5" x14ac:dyDescent="0.25">
      <c r="E441" t="e">
        <f>#REF!</f>
        <v>#REF!</v>
      </c>
    </row>
    <row r="442" spans="5:5" x14ac:dyDescent="0.25">
      <c r="E442" t="e">
        <f>#REF!</f>
        <v>#REF!</v>
      </c>
    </row>
    <row r="443" spans="5:5" x14ac:dyDescent="0.25">
      <c r="E443" t="e">
        <f>#REF!</f>
        <v>#REF!</v>
      </c>
    </row>
    <row r="444" spans="5:5" x14ac:dyDescent="0.25">
      <c r="E444" t="e">
        <f>#REF!</f>
        <v>#REF!</v>
      </c>
    </row>
    <row r="445" spans="5:5" x14ac:dyDescent="0.25">
      <c r="E445" t="e">
        <f>#REF!</f>
        <v>#REF!</v>
      </c>
    </row>
    <row r="446" spans="5:5" x14ac:dyDescent="0.25">
      <c r="E446" t="e">
        <f>#REF!</f>
        <v>#REF!</v>
      </c>
    </row>
    <row r="447" spans="5:5" x14ac:dyDescent="0.25">
      <c r="E447" t="e">
        <f>#REF!</f>
        <v>#REF!</v>
      </c>
    </row>
    <row r="448" spans="5:5" x14ac:dyDescent="0.25">
      <c r="E448" t="e">
        <f>#REF!</f>
        <v>#REF!</v>
      </c>
    </row>
    <row r="449" spans="5:5" x14ac:dyDescent="0.25">
      <c r="E449" t="e">
        <f>#REF!</f>
        <v>#REF!</v>
      </c>
    </row>
    <row r="450" spans="5:5" x14ac:dyDescent="0.25">
      <c r="E450" t="e">
        <f>#REF!</f>
        <v>#REF!</v>
      </c>
    </row>
    <row r="451" spans="5:5" x14ac:dyDescent="0.25">
      <c r="E451" t="e">
        <f>#REF!</f>
        <v>#REF!</v>
      </c>
    </row>
    <row r="452" spans="5:5" x14ac:dyDescent="0.25">
      <c r="E452" t="e">
        <f>#REF!</f>
        <v>#REF!</v>
      </c>
    </row>
    <row r="453" spans="5:5" x14ac:dyDescent="0.25">
      <c r="E453" t="e">
        <f>#REF!</f>
        <v>#REF!</v>
      </c>
    </row>
    <row r="454" spans="5:5" x14ac:dyDescent="0.25">
      <c r="E454" t="e">
        <f>#REF!</f>
        <v>#REF!</v>
      </c>
    </row>
    <row r="455" spans="5:5" x14ac:dyDescent="0.25">
      <c r="E455" t="e">
        <f>#REF!</f>
        <v>#REF!</v>
      </c>
    </row>
    <row r="456" spans="5:5" x14ac:dyDescent="0.25">
      <c r="E456" t="e">
        <f>#REF!</f>
        <v>#REF!</v>
      </c>
    </row>
    <row r="457" spans="5:5" x14ac:dyDescent="0.25">
      <c r="E457" t="e">
        <f>#REF!</f>
        <v>#REF!</v>
      </c>
    </row>
    <row r="458" spans="5:5" x14ac:dyDescent="0.25">
      <c r="E458" t="e">
        <f>#REF!</f>
        <v>#REF!</v>
      </c>
    </row>
    <row r="459" spans="5:5" x14ac:dyDescent="0.25">
      <c r="E459" t="e">
        <f>#REF!</f>
        <v>#REF!</v>
      </c>
    </row>
    <row r="460" spans="5:5" x14ac:dyDescent="0.25">
      <c r="E460" t="e">
        <f>#REF!</f>
        <v>#REF!</v>
      </c>
    </row>
    <row r="461" spans="5:5" x14ac:dyDescent="0.25">
      <c r="E461" t="e">
        <f>#REF!</f>
        <v>#REF!</v>
      </c>
    </row>
    <row r="462" spans="5:5" x14ac:dyDescent="0.25">
      <c r="E462" t="e">
        <f>#REF!</f>
        <v>#REF!</v>
      </c>
    </row>
    <row r="463" spans="5:5" x14ac:dyDescent="0.25">
      <c r="E463" t="e">
        <f>#REF!</f>
        <v>#REF!</v>
      </c>
    </row>
    <row r="464" spans="5:5" x14ac:dyDescent="0.25">
      <c r="E464" t="e">
        <f>#REF!</f>
        <v>#REF!</v>
      </c>
    </row>
    <row r="465" spans="5:5" x14ac:dyDescent="0.25">
      <c r="E465" t="e">
        <f>#REF!</f>
        <v>#REF!</v>
      </c>
    </row>
    <row r="466" spans="5:5" x14ac:dyDescent="0.25">
      <c r="E466" t="e">
        <f>#REF!</f>
        <v>#REF!</v>
      </c>
    </row>
    <row r="467" spans="5:5" x14ac:dyDescent="0.25">
      <c r="E467" t="e">
        <f>#REF!</f>
        <v>#REF!</v>
      </c>
    </row>
    <row r="468" spans="5:5" x14ac:dyDescent="0.25">
      <c r="E468" t="e">
        <f>#REF!</f>
        <v>#REF!</v>
      </c>
    </row>
    <row r="469" spans="5:5" x14ac:dyDescent="0.25">
      <c r="E469" t="e">
        <f>#REF!</f>
        <v>#REF!</v>
      </c>
    </row>
    <row r="470" spans="5:5" x14ac:dyDescent="0.25">
      <c r="E470" t="e">
        <f>#REF!</f>
        <v>#REF!</v>
      </c>
    </row>
    <row r="471" spans="5:5" x14ac:dyDescent="0.25">
      <c r="E471" t="e">
        <f>#REF!</f>
        <v>#REF!</v>
      </c>
    </row>
    <row r="472" spans="5:5" x14ac:dyDescent="0.25">
      <c r="E472" t="e">
        <f>#REF!</f>
        <v>#REF!</v>
      </c>
    </row>
    <row r="473" spans="5:5" x14ac:dyDescent="0.25">
      <c r="E473" t="e">
        <f>#REF!</f>
        <v>#REF!</v>
      </c>
    </row>
    <row r="474" spans="5:5" x14ac:dyDescent="0.25">
      <c r="E474" t="e">
        <f>#REF!</f>
        <v>#REF!</v>
      </c>
    </row>
    <row r="475" spans="5:5" x14ac:dyDescent="0.25">
      <c r="E475" t="e">
        <f>#REF!</f>
        <v>#REF!</v>
      </c>
    </row>
    <row r="476" spans="5:5" x14ac:dyDescent="0.25">
      <c r="E476" t="e">
        <f>#REF!</f>
        <v>#REF!</v>
      </c>
    </row>
    <row r="477" spans="5:5" x14ac:dyDescent="0.25">
      <c r="E477" t="e">
        <f>#REF!</f>
        <v>#REF!</v>
      </c>
    </row>
    <row r="478" spans="5:5" x14ac:dyDescent="0.25">
      <c r="E478" t="e">
        <f>#REF!</f>
        <v>#REF!</v>
      </c>
    </row>
    <row r="479" spans="5:5" x14ac:dyDescent="0.25">
      <c r="E479" t="e">
        <f>#REF!</f>
        <v>#REF!</v>
      </c>
    </row>
    <row r="480" spans="5:5" x14ac:dyDescent="0.25">
      <c r="E480" t="e">
        <f>#REF!</f>
        <v>#REF!</v>
      </c>
    </row>
    <row r="481" spans="5:5" x14ac:dyDescent="0.25">
      <c r="E481" t="e">
        <f>#REF!</f>
        <v>#REF!</v>
      </c>
    </row>
    <row r="482" spans="5:5" x14ac:dyDescent="0.25">
      <c r="E482" t="e">
        <f>#REF!</f>
        <v>#REF!</v>
      </c>
    </row>
    <row r="483" spans="5:5" x14ac:dyDescent="0.25">
      <c r="E483" t="e">
        <f>#REF!</f>
        <v>#REF!</v>
      </c>
    </row>
    <row r="484" spans="5:5" x14ac:dyDescent="0.25">
      <c r="E484" t="e">
        <f>#REF!</f>
        <v>#REF!</v>
      </c>
    </row>
    <row r="485" spans="5:5" x14ac:dyDescent="0.25">
      <c r="E485" t="e">
        <f>#REF!</f>
        <v>#REF!</v>
      </c>
    </row>
    <row r="486" spans="5:5" x14ac:dyDescent="0.25">
      <c r="E486" t="e">
        <f>#REF!</f>
        <v>#REF!</v>
      </c>
    </row>
    <row r="487" spans="5:5" x14ac:dyDescent="0.25">
      <c r="E487" t="e">
        <f>#REF!</f>
        <v>#REF!</v>
      </c>
    </row>
    <row r="488" spans="5:5" x14ac:dyDescent="0.25">
      <c r="E488" t="e">
        <f>#REF!</f>
        <v>#REF!</v>
      </c>
    </row>
    <row r="489" spans="5:5" x14ac:dyDescent="0.25">
      <c r="E489" t="e">
        <f>#REF!</f>
        <v>#REF!</v>
      </c>
    </row>
    <row r="490" spans="5:5" x14ac:dyDescent="0.25">
      <c r="E490" t="e">
        <f>#REF!</f>
        <v>#REF!</v>
      </c>
    </row>
    <row r="491" spans="5:5" x14ac:dyDescent="0.25">
      <c r="E491" t="e">
        <f>#REF!</f>
        <v>#REF!</v>
      </c>
    </row>
    <row r="492" spans="5:5" x14ac:dyDescent="0.25">
      <c r="E492" t="e">
        <f>#REF!</f>
        <v>#REF!</v>
      </c>
    </row>
    <row r="493" spans="5:5" x14ac:dyDescent="0.25">
      <c r="E493" t="e">
        <f>#REF!</f>
        <v>#REF!</v>
      </c>
    </row>
    <row r="494" spans="5:5" x14ac:dyDescent="0.25">
      <c r="E494" t="e">
        <f>#REF!</f>
        <v>#REF!</v>
      </c>
    </row>
    <row r="495" spans="5:5" x14ac:dyDescent="0.25">
      <c r="E495" t="e">
        <f>#REF!</f>
        <v>#REF!</v>
      </c>
    </row>
    <row r="496" spans="5:5" x14ac:dyDescent="0.25">
      <c r="E496" t="e">
        <f>#REF!</f>
        <v>#REF!</v>
      </c>
    </row>
    <row r="497" spans="5:5" x14ac:dyDescent="0.25">
      <c r="E497" t="e">
        <f>#REF!</f>
        <v>#REF!</v>
      </c>
    </row>
    <row r="498" spans="5:5" x14ac:dyDescent="0.25">
      <c r="E498" t="e">
        <f>#REF!</f>
        <v>#REF!</v>
      </c>
    </row>
    <row r="499" spans="5:5" x14ac:dyDescent="0.25">
      <c r="E499" t="e">
        <f>#REF!</f>
        <v>#REF!</v>
      </c>
    </row>
    <row r="500" spans="5:5" x14ac:dyDescent="0.25">
      <c r="E500" t="e">
        <f>#REF!</f>
        <v>#REF!</v>
      </c>
    </row>
    <row r="501" spans="5:5" x14ac:dyDescent="0.25">
      <c r="E501" t="e">
        <f>#REF!</f>
        <v>#REF!</v>
      </c>
    </row>
    <row r="502" spans="5:5" x14ac:dyDescent="0.25">
      <c r="E502" t="e">
        <f>#REF!</f>
        <v>#REF!</v>
      </c>
    </row>
    <row r="503" spans="5:5" x14ac:dyDescent="0.25">
      <c r="E503" t="e">
        <f>#REF!</f>
        <v>#REF!</v>
      </c>
    </row>
    <row r="504" spans="5:5" x14ac:dyDescent="0.25">
      <c r="E504" t="e">
        <f>#REF!</f>
        <v>#REF!</v>
      </c>
    </row>
    <row r="505" spans="5:5" x14ac:dyDescent="0.25">
      <c r="E505" t="e">
        <f>#REF!</f>
        <v>#REF!</v>
      </c>
    </row>
    <row r="506" spans="5:5" x14ac:dyDescent="0.25">
      <c r="E506" t="e">
        <f>#REF!</f>
        <v>#REF!</v>
      </c>
    </row>
    <row r="507" spans="5:5" x14ac:dyDescent="0.25">
      <c r="E507" t="e">
        <f>#REF!</f>
        <v>#REF!</v>
      </c>
    </row>
    <row r="508" spans="5:5" x14ac:dyDescent="0.25">
      <c r="E508" t="e">
        <f>#REF!</f>
        <v>#REF!</v>
      </c>
    </row>
    <row r="509" spans="5:5" x14ac:dyDescent="0.25">
      <c r="E509" t="e">
        <f>#REF!</f>
        <v>#REF!</v>
      </c>
    </row>
    <row r="510" spans="5:5" x14ac:dyDescent="0.25">
      <c r="E510" t="e">
        <f>#REF!</f>
        <v>#REF!</v>
      </c>
    </row>
    <row r="511" spans="5:5" x14ac:dyDescent="0.25">
      <c r="E511" t="e">
        <f>#REF!</f>
        <v>#REF!</v>
      </c>
    </row>
    <row r="512" spans="5:5" x14ac:dyDescent="0.25">
      <c r="E512" t="e">
        <f>#REF!</f>
        <v>#REF!</v>
      </c>
    </row>
    <row r="513" spans="5:5" x14ac:dyDescent="0.25">
      <c r="E513" t="e">
        <f>#REF!</f>
        <v>#REF!</v>
      </c>
    </row>
    <row r="514" spans="5:5" x14ac:dyDescent="0.25">
      <c r="E514" t="e">
        <f>#REF!</f>
        <v>#REF!</v>
      </c>
    </row>
    <row r="515" spans="5:5" x14ac:dyDescent="0.25">
      <c r="E515" t="e">
        <f>#REF!</f>
        <v>#REF!</v>
      </c>
    </row>
    <row r="516" spans="5:5" x14ac:dyDescent="0.25">
      <c r="E516" t="e">
        <f>#REF!</f>
        <v>#REF!</v>
      </c>
    </row>
    <row r="517" spans="5:5" x14ac:dyDescent="0.25">
      <c r="E517" t="e">
        <f>#REF!</f>
        <v>#REF!</v>
      </c>
    </row>
    <row r="518" spans="5:5" x14ac:dyDescent="0.25">
      <c r="E518" t="e">
        <f>#REF!</f>
        <v>#REF!</v>
      </c>
    </row>
    <row r="519" spans="5:5" x14ac:dyDescent="0.25">
      <c r="E519" t="e">
        <f>#REF!</f>
        <v>#REF!</v>
      </c>
    </row>
    <row r="520" spans="5:5" x14ac:dyDescent="0.25">
      <c r="E520" t="e">
        <f>#REF!</f>
        <v>#REF!</v>
      </c>
    </row>
    <row r="521" spans="5:5" x14ac:dyDescent="0.25">
      <c r="E521" t="e">
        <f>#REF!</f>
        <v>#REF!</v>
      </c>
    </row>
    <row r="522" spans="5:5" x14ac:dyDescent="0.25">
      <c r="E522" t="e">
        <f>#REF!</f>
        <v>#REF!</v>
      </c>
    </row>
    <row r="523" spans="5:5" x14ac:dyDescent="0.25">
      <c r="E523" t="e">
        <f>#REF!</f>
        <v>#REF!</v>
      </c>
    </row>
    <row r="524" spans="5:5" x14ac:dyDescent="0.25">
      <c r="E524" t="e">
        <f>#REF!</f>
        <v>#REF!</v>
      </c>
    </row>
    <row r="525" spans="5:5" x14ac:dyDescent="0.25">
      <c r="E525" t="e">
        <f>#REF!</f>
        <v>#REF!</v>
      </c>
    </row>
    <row r="526" spans="5:5" x14ac:dyDescent="0.25">
      <c r="E526" t="e">
        <f>#REF!</f>
        <v>#REF!</v>
      </c>
    </row>
    <row r="527" spans="5:5" x14ac:dyDescent="0.25">
      <c r="E527" t="e">
        <f>#REF!</f>
        <v>#REF!</v>
      </c>
    </row>
    <row r="528" spans="5:5" x14ac:dyDescent="0.25">
      <c r="E528" t="e">
        <f>#REF!</f>
        <v>#REF!</v>
      </c>
    </row>
    <row r="529" spans="5:5" x14ac:dyDescent="0.25">
      <c r="E529" t="e">
        <f>#REF!</f>
        <v>#REF!</v>
      </c>
    </row>
    <row r="530" spans="5:5" x14ac:dyDescent="0.25">
      <c r="E530" t="e">
        <f>#REF!</f>
        <v>#REF!</v>
      </c>
    </row>
    <row r="531" spans="5:5" x14ac:dyDescent="0.25">
      <c r="E531" t="e">
        <f>#REF!</f>
        <v>#REF!</v>
      </c>
    </row>
    <row r="532" spans="5:5" x14ac:dyDescent="0.25">
      <c r="E532" t="e">
        <f>#REF!</f>
        <v>#REF!</v>
      </c>
    </row>
    <row r="533" spans="5:5" x14ac:dyDescent="0.25">
      <c r="E533" t="e">
        <f>#REF!</f>
        <v>#REF!</v>
      </c>
    </row>
    <row r="534" spans="5:5" x14ac:dyDescent="0.25">
      <c r="E534" t="e">
        <f>#REF!</f>
        <v>#REF!</v>
      </c>
    </row>
    <row r="535" spans="5:5" x14ac:dyDescent="0.25">
      <c r="E535" t="e">
        <f>#REF!</f>
        <v>#REF!</v>
      </c>
    </row>
    <row r="536" spans="5:5" x14ac:dyDescent="0.25">
      <c r="E536" t="e">
        <f>#REF!</f>
        <v>#REF!</v>
      </c>
    </row>
    <row r="537" spans="5:5" x14ac:dyDescent="0.25">
      <c r="E537" t="e">
        <f>#REF!</f>
        <v>#REF!</v>
      </c>
    </row>
    <row r="538" spans="5:5" x14ac:dyDescent="0.25">
      <c r="E538" t="e">
        <f>#REF!</f>
        <v>#REF!</v>
      </c>
    </row>
    <row r="539" spans="5:5" x14ac:dyDescent="0.25">
      <c r="E539" t="e">
        <f>#REF!</f>
        <v>#REF!</v>
      </c>
    </row>
    <row r="540" spans="5:5" x14ac:dyDescent="0.25">
      <c r="E540" t="e">
        <f>#REF!</f>
        <v>#REF!</v>
      </c>
    </row>
    <row r="541" spans="5:5" x14ac:dyDescent="0.25">
      <c r="E541" t="e">
        <f>#REF!</f>
        <v>#REF!</v>
      </c>
    </row>
    <row r="542" spans="5:5" x14ac:dyDescent="0.25">
      <c r="E542" t="e">
        <f>#REF!</f>
        <v>#REF!</v>
      </c>
    </row>
    <row r="543" spans="5:5" x14ac:dyDescent="0.25">
      <c r="E543" t="e">
        <f>#REF!</f>
        <v>#REF!</v>
      </c>
    </row>
    <row r="544" spans="5:5" x14ac:dyDescent="0.25">
      <c r="E544" t="e">
        <f>#REF!</f>
        <v>#REF!</v>
      </c>
    </row>
    <row r="545" spans="5:5" x14ac:dyDescent="0.25">
      <c r="E545" t="e">
        <f>#REF!</f>
        <v>#REF!</v>
      </c>
    </row>
    <row r="546" spans="5:5" x14ac:dyDescent="0.25">
      <c r="E546" t="e">
        <f>#REF!</f>
        <v>#REF!</v>
      </c>
    </row>
    <row r="547" spans="5:5" x14ac:dyDescent="0.25">
      <c r="E547" t="e">
        <f>#REF!</f>
        <v>#REF!</v>
      </c>
    </row>
    <row r="548" spans="5:5" x14ac:dyDescent="0.25">
      <c r="E548" t="e">
        <f>#REF!</f>
        <v>#REF!</v>
      </c>
    </row>
    <row r="549" spans="5:5" x14ac:dyDescent="0.25">
      <c r="E549" t="e">
        <f>#REF!</f>
        <v>#REF!</v>
      </c>
    </row>
    <row r="550" spans="5:5" x14ac:dyDescent="0.25">
      <c r="E550" t="e">
        <f>#REF!</f>
        <v>#REF!</v>
      </c>
    </row>
    <row r="551" spans="5:5" x14ac:dyDescent="0.25">
      <c r="E551" t="e">
        <f>#REF!</f>
        <v>#REF!</v>
      </c>
    </row>
    <row r="552" spans="5:5" x14ac:dyDescent="0.25">
      <c r="E552" t="e">
        <f>#REF!</f>
        <v>#REF!</v>
      </c>
    </row>
    <row r="553" spans="5:5" x14ac:dyDescent="0.25">
      <c r="E553" t="e">
        <f>#REF!</f>
        <v>#REF!</v>
      </c>
    </row>
    <row r="554" spans="5:5" x14ac:dyDescent="0.25">
      <c r="E554" t="e">
        <f>#REF!</f>
        <v>#REF!</v>
      </c>
    </row>
    <row r="555" spans="5:5" x14ac:dyDescent="0.25">
      <c r="E555" t="e">
        <f>#REF!</f>
        <v>#REF!</v>
      </c>
    </row>
    <row r="556" spans="5:5" x14ac:dyDescent="0.25">
      <c r="E556" t="e">
        <f>#REF!</f>
        <v>#REF!</v>
      </c>
    </row>
    <row r="557" spans="5:5" x14ac:dyDescent="0.25">
      <c r="E557" t="e">
        <f>#REF!</f>
        <v>#REF!</v>
      </c>
    </row>
    <row r="558" spans="5:5" x14ac:dyDescent="0.25">
      <c r="E558" t="e">
        <f>#REF!</f>
        <v>#REF!</v>
      </c>
    </row>
    <row r="559" spans="5:5" x14ac:dyDescent="0.25">
      <c r="E559" t="e">
        <f>#REF!</f>
        <v>#REF!</v>
      </c>
    </row>
    <row r="560" spans="5:5" x14ac:dyDescent="0.25">
      <c r="E560" t="e">
        <f>#REF!</f>
        <v>#REF!</v>
      </c>
    </row>
    <row r="561" spans="5:5" x14ac:dyDescent="0.25">
      <c r="E561" t="e">
        <f>#REF!</f>
        <v>#REF!</v>
      </c>
    </row>
    <row r="562" spans="5:5" x14ac:dyDescent="0.25">
      <c r="E562" t="e">
        <f>#REF!</f>
        <v>#REF!</v>
      </c>
    </row>
    <row r="563" spans="5:5" x14ac:dyDescent="0.25">
      <c r="E563" t="e">
        <f>#REF!</f>
        <v>#REF!</v>
      </c>
    </row>
    <row r="564" spans="5:5" x14ac:dyDescent="0.25">
      <c r="E564" t="e">
        <f>#REF!</f>
        <v>#REF!</v>
      </c>
    </row>
    <row r="565" spans="5:5" x14ac:dyDescent="0.25">
      <c r="E565" t="e">
        <f>#REF!</f>
        <v>#REF!</v>
      </c>
    </row>
    <row r="566" spans="5:5" x14ac:dyDescent="0.25">
      <c r="E566" t="e">
        <f>#REF!</f>
        <v>#REF!</v>
      </c>
    </row>
    <row r="567" spans="5:5" x14ac:dyDescent="0.25">
      <c r="E567" t="e">
        <f>#REF!</f>
        <v>#REF!</v>
      </c>
    </row>
    <row r="568" spans="5:5" x14ac:dyDescent="0.25">
      <c r="E568" t="e">
        <f>#REF!</f>
        <v>#REF!</v>
      </c>
    </row>
    <row r="569" spans="5:5" x14ac:dyDescent="0.25">
      <c r="E569" t="e">
        <f>#REF!</f>
        <v>#REF!</v>
      </c>
    </row>
    <row r="570" spans="5:5" x14ac:dyDescent="0.25">
      <c r="E570" t="e">
        <f>#REF!</f>
        <v>#REF!</v>
      </c>
    </row>
    <row r="571" spans="5:5" x14ac:dyDescent="0.25">
      <c r="E571" t="e">
        <f>#REF!</f>
        <v>#REF!</v>
      </c>
    </row>
    <row r="572" spans="5:5" x14ac:dyDescent="0.25">
      <c r="E572" t="e">
        <f>#REF!</f>
        <v>#REF!</v>
      </c>
    </row>
    <row r="573" spans="5:5" x14ac:dyDescent="0.25">
      <c r="E573" t="e">
        <f>#REF!</f>
        <v>#REF!</v>
      </c>
    </row>
    <row r="574" spans="5:5" x14ac:dyDescent="0.25">
      <c r="E574" t="e">
        <f>#REF!</f>
        <v>#REF!</v>
      </c>
    </row>
    <row r="575" spans="5:5" x14ac:dyDescent="0.25">
      <c r="E575" t="e">
        <f>#REF!</f>
        <v>#REF!</v>
      </c>
    </row>
    <row r="576" spans="5:5" x14ac:dyDescent="0.25">
      <c r="E576" t="e">
        <f>#REF!</f>
        <v>#REF!</v>
      </c>
    </row>
    <row r="577" spans="5:5" x14ac:dyDescent="0.25">
      <c r="E577" t="e">
        <f>#REF!</f>
        <v>#REF!</v>
      </c>
    </row>
    <row r="578" spans="5:5" x14ac:dyDescent="0.25">
      <c r="E578" t="e">
        <f>#REF!</f>
        <v>#REF!</v>
      </c>
    </row>
    <row r="579" spans="5:5" x14ac:dyDescent="0.25">
      <c r="E579" t="e">
        <f>#REF!</f>
        <v>#REF!</v>
      </c>
    </row>
    <row r="580" spans="5:5" x14ac:dyDescent="0.25">
      <c r="E580" t="e">
        <f>#REF!</f>
        <v>#REF!</v>
      </c>
    </row>
    <row r="581" spans="5:5" x14ac:dyDescent="0.25">
      <c r="E581" t="e">
        <f>#REF!</f>
        <v>#REF!</v>
      </c>
    </row>
    <row r="582" spans="5:5" x14ac:dyDescent="0.25">
      <c r="E582" t="e">
        <f>#REF!</f>
        <v>#REF!</v>
      </c>
    </row>
    <row r="583" spans="5:5" x14ac:dyDescent="0.25">
      <c r="E583" t="e">
        <f>#REF!</f>
        <v>#REF!</v>
      </c>
    </row>
    <row r="584" spans="5:5" x14ac:dyDescent="0.25">
      <c r="E584" t="e">
        <f>#REF!</f>
        <v>#REF!</v>
      </c>
    </row>
    <row r="585" spans="5:5" x14ac:dyDescent="0.25">
      <c r="E585" t="e">
        <f>#REF!</f>
        <v>#REF!</v>
      </c>
    </row>
    <row r="586" spans="5:5" x14ac:dyDescent="0.25">
      <c r="E586" t="e">
        <f>#REF!</f>
        <v>#REF!</v>
      </c>
    </row>
    <row r="587" spans="5:5" x14ac:dyDescent="0.25">
      <c r="E587" t="e">
        <f>#REF!</f>
        <v>#REF!</v>
      </c>
    </row>
    <row r="588" spans="5:5" x14ac:dyDescent="0.25">
      <c r="E588" t="e">
        <f>#REF!</f>
        <v>#REF!</v>
      </c>
    </row>
    <row r="589" spans="5:5" x14ac:dyDescent="0.25">
      <c r="E589" t="e">
        <f>#REF!</f>
        <v>#REF!</v>
      </c>
    </row>
    <row r="590" spans="5:5" x14ac:dyDescent="0.25">
      <c r="E590" t="e">
        <f>#REF!</f>
        <v>#REF!</v>
      </c>
    </row>
    <row r="591" spans="5:5" x14ac:dyDescent="0.25">
      <c r="E591" t="e">
        <f>#REF!</f>
        <v>#REF!</v>
      </c>
    </row>
    <row r="592" spans="5:5" x14ac:dyDescent="0.25">
      <c r="E592" t="e">
        <f>#REF!</f>
        <v>#REF!</v>
      </c>
    </row>
    <row r="593" spans="5:5" x14ac:dyDescent="0.25">
      <c r="E593" t="e">
        <f>#REF!</f>
        <v>#REF!</v>
      </c>
    </row>
    <row r="594" spans="5:5" x14ac:dyDescent="0.25">
      <c r="E594" t="e">
        <f>#REF!</f>
        <v>#REF!</v>
      </c>
    </row>
    <row r="595" spans="5:5" x14ac:dyDescent="0.25">
      <c r="E595" t="e">
        <f>#REF!</f>
        <v>#REF!</v>
      </c>
    </row>
    <row r="596" spans="5:5" x14ac:dyDescent="0.25">
      <c r="E596" t="e">
        <f>#REF!</f>
        <v>#REF!</v>
      </c>
    </row>
    <row r="597" spans="5:5" x14ac:dyDescent="0.25">
      <c r="E597" t="e">
        <f>#REF!</f>
        <v>#REF!</v>
      </c>
    </row>
    <row r="598" spans="5:5" x14ac:dyDescent="0.25">
      <c r="E598" t="e">
        <f>#REF!</f>
        <v>#REF!</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3"/>
  <sheetViews>
    <sheetView topLeftCell="A373" workbookViewId="0">
      <selection activeCell="A476" sqref="A476"/>
    </sheetView>
  </sheetViews>
  <sheetFormatPr defaultRowHeight="15" x14ac:dyDescent="0.25"/>
  <cols>
    <col min="1" max="1" width="78.5703125" bestFit="1" customWidth="1"/>
    <col min="2" max="2" width="19.85546875" bestFit="1" customWidth="1"/>
  </cols>
  <sheetData>
    <row r="1" spans="1:2" x14ac:dyDescent="0.25">
      <c r="A1" s="102" t="s">
        <v>564</v>
      </c>
      <c r="B1" s="102" t="s">
        <v>565</v>
      </c>
    </row>
    <row r="2" spans="1:2" x14ac:dyDescent="0.25">
      <c r="A2" t="s">
        <v>566</v>
      </c>
      <c r="B2" s="102" t="s">
        <v>370</v>
      </c>
    </row>
    <row r="3" spans="1:2" x14ac:dyDescent="0.25">
      <c r="A3" t="s">
        <v>567</v>
      </c>
      <c r="B3" s="102" t="s">
        <v>371</v>
      </c>
    </row>
    <row r="4" spans="1:2" x14ac:dyDescent="0.25">
      <c r="A4" t="s">
        <v>568</v>
      </c>
      <c r="B4" s="102" t="s">
        <v>372</v>
      </c>
    </row>
    <row r="5" spans="1:2" x14ac:dyDescent="0.25">
      <c r="A5" t="s">
        <v>569</v>
      </c>
      <c r="B5" s="102" t="s">
        <v>373</v>
      </c>
    </row>
    <row r="6" spans="1:2" x14ac:dyDescent="0.25">
      <c r="A6" t="s">
        <v>1157</v>
      </c>
      <c r="B6" s="102" t="s">
        <v>374</v>
      </c>
    </row>
    <row r="7" spans="1:2" x14ac:dyDescent="0.25">
      <c r="A7" t="s">
        <v>1158</v>
      </c>
      <c r="B7" s="102" t="s">
        <v>375</v>
      </c>
    </row>
    <row r="8" spans="1:2" x14ac:dyDescent="0.25">
      <c r="A8" t="s">
        <v>1159</v>
      </c>
      <c r="B8" s="102" t="s">
        <v>376</v>
      </c>
    </row>
    <row r="9" spans="1:2" x14ac:dyDescent="0.25">
      <c r="A9" t="s">
        <v>1160</v>
      </c>
      <c r="B9" s="102" t="s">
        <v>377</v>
      </c>
    </row>
    <row r="10" spans="1:2" x14ac:dyDescent="0.25">
      <c r="A10" t="s">
        <v>1161</v>
      </c>
      <c r="B10" s="102" t="s">
        <v>378</v>
      </c>
    </row>
    <row r="11" spans="1:2" x14ac:dyDescent="0.25">
      <c r="A11" t="s">
        <v>1162</v>
      </c>
      <c r="B11" s="102" t="s">
        <v>379</v>
      </c>
    </row>
    <row r="12" spans="1:2" x14ac:dyDescent="0.25">
      <c r="A12" t="s">
        <v>1163</v>
      </c>
      <c r="B12" s="102" t="s">
        <v>380</v>
      </c>
    </row>
    <row r="13" spans="1:2" x14ac:dyDescent="0.25">
      <c r="A13" t="s">
        <v>1164</v>
      </c>
      <c r="B13" s="102" t="s">
        <v>381</v>
      </c>
    </row>
    <row r="14" spans="1:2" x14ac:dyDescent="0.25">
      <c r="A14" t="s">
        <v>1053</v>
      </c>
      <c r="B14" s="102" t="s">
        <v>382</v>
      </c>
    </row>
    <row r="15" spans="1:2" x14ac:dyDescent="0.25">
      <c r="A15" t="s">
        <v>1165</v>
      </c>
      <c r="B15" s="102" t="s">
        <v>383</v>
      </c>
    </row>
    <row r="16" spans="1:2" x14ac:dyDescent="0.25">
      <c r="A16" t="s">
        <v>1166</v>
      </c>
      <c r="B16" s="102" t="s">
        <v>384</v>
      </c>
    </row>
    <row r="17" spans="1:2" x14ac:dyDescent="0.25">
      <c r="A17" t="s">
        <v>1167</v>
      </c>
      <c r="B17" s="102" t="s">
        <v>385</v>
      </c>
    </row>
    <row r="18" spans="1:2" x14ac:dyDescent="0.25">
      <c r="A18" t="s">
        <v>1168</v>
      </c>
      <c r="B18" s="102" t="s">
        <v>386</v>
      </c>
    </row>
    <row r="19" spans="1:2" x14ac:dyDescent="0.25">
      <c r="A19" t="s">
        <v>1054</v>
      </c>
      <c r="B19" s="102" t="s">
        <v>387</v>
      </c>
    </row>
    <row r="20" spans="1:2" x14ac:dyDescent="0.25">
      <c r="A20" t="s">
        <v>1169</v>
      </c>
      <c r="B20" s="102" t="s">
        <v>388</v>
      </c>
    </row>
    <row r="21" spans="1:2" x14ac:dyDescent="0.25">
      <c r="A21" t="s">
        <v>1170</v>
      </c>
      <c r="B21" s="102" t="s">
        <v>389</v>
      </c>
    </row>
    <row r="22" spans="1:2" x14ac:dyDescent="0.25">
      <c r="A22" t="s">
        <v>1171</v>
      </c>
      <c r="B22" s="102" t="s">
        <v>390</v>
      </c>
    </row>
    <row r="23" spans="1:2" x14ac:dyDescent="0.25">
      <c r="A23" t="s">
        <v>1172</v>
      </c>
      <c r="B23" s="102" t="s">
        <v>391</v>
      </c>
    </row>
    <row r="24" spans="1:2" x14ac:dyDescent="0.25">
      <c r="A24" t="s">
        <v>1173</v>
      </c>
      <c r="B24" s="102" t="s">
        <v>392</v>
      </c>
    </row>
    <row r="25" spans="1:2" x14ac:dyDescent="0.25">
      <c r="A25" t="s">
        <v>1174</v>
      </c>
      <c r="B25" s="102" t="s">
        <v>393</v>
      </c>
    </row>
    <row r="26" spans="1:2" x14ac:dyDescent="0.25">
      <c r="A26" t="s">
        <v>1175</v>
      </c>
      <c r="B26" s="102" t="s">
        <v>394</v>
      </c>
    </row>
    <row r="27" spans="1:2" x14ac:dyDescent="0.25">
      <c r="A27" t="s">
        <v>1055</v>
      </c>
      <c r="B27" s="102" t="s">
        <v>395</v>
      </c>
    </row>
    <row r="28" spans="1:2" x14ac:dyDescent="0.25">
      <c r="A28" t="s">
        <v>1056</v>
      </c>
      <c r="B28" s="102" t="s">
        <v>396</v>
      </c>
    </row>
    <row r="29" spans="1:2" x14ac:dyDescent="0.25">
      <c r="A29" t="s">
        <v>1176</v>
      </c>
      <c r="B29" s="102" t="s">
        <v>397</v>
      </c>
    </row>
    <row r="30" spans="1:2" x14ac:dyDescent="0.25">
      <c r="A30" t="s">
        <v>1177</v>
      </c>
      <c r="B30" s="102" t="s">
        <v>398</v>
      </c>
    </row>
    <row r="31" spans="1:2" x14ac:dyDescent="0.25">
      <c r="A31" t="s">
        <v>1178</v>
      </c>
      <c r="B31" s="102" t="s">
        <v>399</v>
      </c>
    </row>
    <row r="32" spans="1:2" x14ac:dyDescent="0.25">
      <c r="A32" t="s">
        <v>1179</v>
      </c>
      <c r="B32" s="102" t="s">
        <v>400</v>
      </c>
    </row>
    <row r="33" spans="1:2" x14ac:dyDescent="0.25">
      <c r="A33" t="s">
        <v>1180</v>
      </c>
      <c r="B33" s="102" t="s">
        <v>401</v>
      </c>
    </row>
    <row r="34" spans="1:2" x14ac:dyDescent="0.25">
      <c r="A34" t="s">
        <v>1181</v>
      </c>
      <c r="B34" s="102" t="s">
        <v>402</v>
      </c>
    </row>
    <row r="35" spans="1:2" x14ac:dyDescent="0.25">
      <c r="A35" t="s">
        <v>1182</v>
      </c>
      <c r="B35" s="102" t="s">
        <v>403</v>
      </c>
    </row>
    <row r="36" spans="1:2" x14ac:dyDescent="0.25">
      <c r="A36" t="s">
        <v>1183</v>
      </c>
      <c r="B36" s="102" t="s">
        <v>404</v>
      </c>
    </row>
    <row r="37" spans="1:2" x14ac:dyDescent="0.25">
      <c r="A37" t="s">
        <v>1184</v>
      </c>
      <c r="B37" s="102" t="s">
        <v>405</v>
      </c>
    </row>
    <row r="38" spans="1:2" x14ac:dyDescent="0.25">
      <c r="A38" t="s">
        <v>1185</v>
      </c>
      <c r="B38" s="102" t="s">
        <v>406</v>
      </c>
    </row>
    <row r="39" spans="1:2" x14ac:dyDescent="0.25">
      <c r="A39" t="s">
        <v>1186</v>
      </c>
      <c r="B39" s="102" t="s">
        <v>407</v>
      </c>
    </row>
    <row r="40" spans="1:2" x14ac:dyDescent="0.25">
      <c r="A40" t="s">
        <v>1187</v>
      </c>
      <c r="B40" s="102" t="s">
        <v>408</v>
      </c>
    </row>
    <row r="41" spans="1:2" x14ac:dyDescent="0.25">
      <c r="A41" t="s">
        <v>1188</v>
      </c>
      <c r="B41" s="102" t="s">
        <v>409</v>
      </c>
    </row>
    <row r="42" spans="1:2" x14ac:dyDescent="0.25">
      <c r="A42" t="s">
        <v>1189</v>
      </c>
      <c r="B42" s="102" t="s">
        <v>410</v>
      </c>
    </row>
    <row r="43" spans="1:2" x14ac:dyDescent="0.25">
      <c r="A43" t="s">
        <v>1057</v>
      </c>
      <c r="B43" s="102" t="s">
        <v>411</v>
      </c>
    </row>
    <row r="44" spans="1:2" x14ac:dyDescent="0.25">
      <c r="A44" t="s">
        <v>1190</v>
      </c>
      <c r="B44" s="102" t="s">
        <v>412</v>
      </c>
    </row>
    <row r="45" spans="1:2" x14ac:dyDescent="0.25">
      <c r="A45" t="s">
        <v>1191</v>
      </c>
      <c r="B45" s="102" t="s">
        <v>413</v>
      </c>
    </row>
    <row r="46" spans="1:2" x14ac:dyDescent="0.25">
      <c r="A46" t="s">
        <v>1192</v>
      </c>
      <c r="B46" s="102" t="s">
        <v>414</v>
      </c>
    </row>
    <row r="47" spans="1:2" x14ac:dyDescent="0.25">
      <c r="A47" t="s">
        <v>1058</v>
      </c>
      <c r="B47" s="102" t="s">
        <v>415</v>
      </c>
    </row>
    <row r="48" spans="1:2" x14ac:dyDescent="0.25">
      <c r="A48" t="s">
        <v>1193</v>
      </c>
      <c r="B48" s="102" t="s">
        <v>416</v>
      </c>
    </row>
    <row r="49" spans="1:2" x14ac:dyDescent="0.25">
      <c r="A49" t="s">
        <v>1059</v>
      </c>
      <c r="B49" s="102" t="s">
        <v>417</v>
      </c>
    </row>
    <row r="50" spans="1:2" x14ac:dyDescent="0.25">
      <c r="A50" t="s">
        <v>1194</v>
      </c>
      <c r="B50" s="102" t="s">
        <v>418</v>
      </c>
    </row>
    <row r="51" spans="1:2" x14ac:dyDescent="0.25">
      <c r="A51" t="s">
        <v>1060</v>
      </c>
      <c r="B51" s="102" t="s">
        <v>419</v>
      </c>
    </row>
    <row r="52" spans="1:2" x14ac:dyDescent="0.25">
      <c r="A52" t="s">
        <v>1195</v>
      </c>
      <c r="B52" s="102" t="s">
        <v>420</v>
      </c>
    </row>
    <row r="53" spans="1:2" x14ac:dyDescent="0.25">
      <c r="A53" t="s">
        <v>1196</v>
      </c>
      <c r="B53" s="102" t="s">
        <v>421</v>
      </c>
    </row>
    <row r="54" spans="1:2" x14ac:dyDescent="0.25">
      <c r="A54" t="s">
        <v>793</v>
      </c>
      <c r="B54" s="102" t="s">
        <v>422</v>
      </c>
    </row>
    <row r="55" spans="1:2" x14ac:dyDescent="0.25">
      <c r="A55" t="s">
        <v>1197</v>
      </c>
      <c r="B55" s="102" t="s">
        <v>423</v>
      </c>
    </row>
    <row r="56" spans="1:2" x14ac:dyDescent="0.25">
      <c r="A56" t="s">
        <v>1198</v>
      </c>
      <c r="B56" s="102" t="s">
        <v>424</v>
      </c>
    </row>
    <row r="57" spans="1:2" x14ac:dyDescent="0.25">
      <c r="A57" t="s">
        <v>1199</v>
      </c>
      <c r="B57" s="102" t="s">
        <v>425</v>
      </c>
    </row>
    <row r="58" spans="1:2" x14ac:dyDescent="0.25">
      <c r="A58" t="s">
        <v>757</v>
      </c>
      <c r="B58" s="102" t="s">
        <v>426</v>
      </c>
    </row>
    <row r="59" spans="1:2" x14ac:dyDescent="0.25">
      <c r="A59" t="s">
        <v>1200</v>
      </c>
      <c r="B59" s="102" t="s">
        <v>427</v>
      </c>
    </row>
    <row r="60" spans="1:2" x14ac:dyDescent="0.25">
      <c r="A60" t="s">
        <v>1201</v>
      </c>
      <c r="B60" s="102" t="s">
        <v>428</v>
      </c>
    </row>
    <row r="61" spans="1:2" x14ac:dyDescent="0.25">
      <c r="A61" t="s">
        <v>1202</v>
      </c>
      <c r="B61" s="102" t="s">
        <v>429</v>
      </c>
    </row>
    <row r="62" spans="1:2" x14ac:dyDescent="0.25">
      <c r="A62" t="s">
        <v>1203</v>
      </c>
      <c r="B62" s="102" t="s">
        <v>430</v>
      </c>
    </row>
    <row r="63" spans="1:2" x14ac:dyDescent="0.25">
      <c r="A63" t="s">
        <v>1061</v>
      </c>
      <c r="B63" s="102" t="s">
        <v>431</v>
      </c>
    </row>
    <row r="64" spans="1:2" x14ac:dyDescent="0.25">
      <c r="A64" t="s">
        <v>570</v>
      </c>
      <c r="B64" s="102" t="s">
        <v>432</v>
      </c>
    </row>
    <row r="65" spans="1:2" x14ac:dyDescent="0.25">
      <c r="A65" t="s">
        <v>1204</v>
      </c>
      <c r="B65" s="102" t="s">
        <v>433</v>
      </c>
    </row>
    <row r="66" spans="1:2" x14ac:dyDescent="0.25">
      <c r="A66" t="s">
        <v>1205</v>
      </c>
      <c r="B66" s="102" t="s">
        <v>434</v>
      </c>
    </row>
    <row r="67" spans="1:2" x14ac:dyDescent="0.25">
      <c r="A67" t="s">
        <v>1206</v>
      </c>
      <c r="B67" s="102" t="s">
        <v>435</v>
      </c>
    </row>
    <row r="68" spans="1:2" x14ac:dyDescent="0.25">
      <c r="A68" t="s">
        <v>1062</v>
      </c>
      <c r="B68" s="102" t="s">
        <v>436</v>
      </c>
    </row>
    <row r="69" spans="1:2" x14ac:dyDescent="0.25">
      <c r="A69" t="s">
        <v>1207</v>
      </c>
      <c r="B69" s="102" t="s">
        <v>437</v>
      </c>
    </row>
    <row r="70" spans="1:2" x14ac:dyDescent="0.25">
      <c r="A70" t="s">
        <v>921</v>
      </c>
      <c r="B70" s="102" t="s">
        <v>438</v>
      </c>
    </row>
    <row r="71" spans="1:2" x14ac:dyDescent="0.25">
      <c r="A71" t="s">
        <v>1208</v>
      </c>
      <c r="B71" s="102" t="s">
        <v>439</v>
      </c>
    </row>
    <row r="72" spans="1:2" x14ac:dyDescent="0.25">
      <c r="A72" t="s">
        <v>1209</v>
      </c>
      <c r="B72" s="102" t="s">
        <v>440</v>
      </c>
    </row>
    <row r="73" spans="1:2" x14ac:dyDescent="0.25">
      <c r="A73" t="s">
        <v>1210</v>
      </c>
      <c r="B73" s="102" t="s">
        <v>441</v>
      </c>
    </row>
    <row r="74" spans="1:2" x14ac:dyDescent="0.25">
      <c r="A74" t="s">
        <v>1063</v>
      </c>
      <c r="B74" s="102" t="s">
        <v>442</v>
      </c>
    </row>
    <row r="75" spans="1:2" x14ac:dyDescent="0.25">
      <c r="A75" t="s">
        <v>1211</v>
      </c>
      <c r="B75" s="102" t="s">
        <v>443</v>
      </c>
    </row>
    <row r="76" spans="1:2" x14ac:dyDescent="0.25">
      <c r="A76" t="s">
        <v>1064</v>
      </c>
      <c r="B76" s="102" t="s">
        <v>444</v>
      </c>
    </row>
    <row r="77" spans="1:2" x14ac:dyDescent="0.25">
      <c r="A77" t="s">
        <v>1212</v>
      </c>
      <c r="B77" s="102" t="s">
        <v>445</v>
      </c>
    </row>
    <row r="78" spans="1:2" x14ac:dyDescent="0.25">
      <c r="A78" t="s">
        <v>1065</v>
      </c>
      <c r="B78" s="102" t="s">
        <v>446</v>
      </c>
    </row>
    <row r="79" spans="1:2" x14ac:dyDescent="0.25">
      <c r="A79" t="s">
        <v>1213</v>
      </c>
      <c r="B79" s="102" t="s">
        <v>447</v>
      </c>
    </row>
    <row r="80" spans="1:2" x14ac:dyDescent="0.25">
      <c r="A80" t="s">
        <v>1214</v>
      </c>
      <c r="B80" s="102" t="s">
        <v>448</v>
      </c>
    </row>
    <row r="81" spans="1:2" x14ac:dyDescent="0.25">
      <c r="A81" t="s">
        <v>1066</v>
      </c>
      <c r="B81" s="102" t="s">
        <v>449</v>
      </c>
    </row>
    <row r="82" spans="1:2" x14ac:dyDescent="0.25">
      <c r="A82" t="s">
        <v>1215</v>
      </c>
      <c r="B82" s="102" t="s">
        <v>450</v>
      </c>
    </row>
    <row r="83" spans="1:2" x14ac:dyDescent="0.25">
      <c r="A83" t="s">
        <v>1216</v>
      </c>
      <c r="B83" s="102" t="s">
        <v>451</v>
      </c>
    </row>
    <row r="84" spans="1:2" x14ac:dyDescent="0.25">
      <c r="A84" t="s">
        <v>1217</v>
      </c>
      <c r="B84" s="102" t="s">
        <v>452</v>
      </c>
    </row>
    <row r="85" spans="1:2" x14ac:dyDescent="0.25">
      <c r="A85" t="s">
        <v>1218</v>
      </c>
      <c r="B85" s="102" t="s">
        <v>453</v>
      </c>
    </row>
    <row r="86" spans="1:2" x14ac:dyDescent="0.25">
      <c r="A86" t="s">
        <v>1219</v>
      </c>
      <c r="B86" s="102" t="s">
        <v>454</v>
      </c>
    </row>
    <row r="87" spans="1:2" x14ac:dyDescent="0.25">
      <c r="A87" t="s">
        <v>814</v>
      </c>
      <c r="B87" s="102" t="s">
        <v>455</v>
      </c>
    </row>
    <row r="88" spans="1:2" x14ac:dyDescent="0.25">
      <c r="A88" t="s">
        <v>1067</v>
      </c>
      <c r="B88" s="102" t="s">
        <v>456</v>
      </c>
    </row>
    <row r="89" spans="1:2" x14ac:dyDescent="0.25">
      <c r="A89" t="s">
        <v>1220</v>
      </c>
      <c r="B89" s="102" t="s">
        <v>457</v>
      </c>
    </row>
    <row r="90" spans="1:2" x14ac:dyDescent="0.25">
      <c r="A90" t="s">
        <v>1221</v>
      </c>
      <c r="B90" s="102" t="s">
        <v>458</v>
      </c>
    </row>
    <row r="91" spans="1:2" x14ac:dyDescent="0.25">
      <c r="A91" t="s">
        <v>571</v>
      </c>
      <c r="B91" s="102" t="s">
        <v>459</v>
      </c>
    </row>
    <row r="92" spans="1:2" x14ac:dyDescent="0.25">
      <c r="A92" t="s">
        <v>572</v>
      </c>
      <c r="B92" s="102" t="s">
        <v>460</v>
      </c>
    </row>
    <row r="93" spans="1:2" x14ac:dyDescent="0.25">
      <c r="A93" t="s">
        <v>573</v>
      </c>
      <c r="B93" s="102" t="s">
        <v>461</v>
      </c>
    </row>
    <row r="94" spans="1:2" x14ac:dyDescent="0.25">
      <c r="A94" t="s">
        <v>574</v>
      </c>
      <c r="B94" s="102" t="s">
        <v>575</v>
      </c>
    </row>
    <row r="95" spans="1:2" x14ac:dyDescent="0.25">
      <c r="A95" t="s">
        <v>576</v>
      </c>
      <c r="B95" s="102" t="s">
        <v>577</v>
      </c>
    </row>
    <row r="96" spans="1:2" x14ac:dyDescent="0.25">
      <c r="A96" t="s">
        <v>578</v>
      </c>
      <c r="B96" s="102" t="s">
        <v>462</v>
      </c>
    </row>
    <row r="97" spans="1:2" x14ac:dyDescent="0.25">
      <c r="A97" t="s">
        <v>1222</v>
      </c>
      <c r="B97" s="102" t="s">
        <v>463</v>
      </c>
    </row>
    <row r="98" spans="1:2" x14ac:dyDescent="0.25">
      <c r="A98" t="s">
        <v>1223</v>
      </c>
      <c r="B98" s="102" t="s">
        <v>464</v>
      </c>
    </row>
    <row r="99" spans="1:2" x14ac:dyDescent="0.25">
      <c r="A99" t="s">
        <v>579</v>
      </c>
      <c r="B99" s="102" t="s">
        <v>465</v>
      </c>
    </row>
    <row r="100" spans="1:2" x14ac:dyDescent="0.25">
      <c r="A100" t="s">
        <v>580</v>
      </c>
      <c r="B100" s="102" t="s">
        <v>581</v>
      </c>
    </row>
    <row r="101" spans="1:2" x14ac:dyDescent="0.25">
      <c r="A101" t="s">
        <v>582</v>
      </c>
      <c r="B101" s="102" t="s">
        <v>583</v>
      </c>
    </row>
    <row r="102" spans="1:2" x14ac:dyDescent="0.25">
      <c r="A102" t="s">
        <v>584</v>
      </c>
      <c r="B102" s="102" t="s">
        <v>466</v>
      </c>
    </row>
    <row r="103" spans="1:2" x14ac:dyDescent="0.25">
      <c r="A103" t="s">
        <v>585</v>
      </c>
      <c r="B103" s="102" t="s">
        <v>586</v>
      </c>
    </row>
    <row r="104" spans="1:2" x14ac:dyDescent="0.25">
      <c r="A104" t="s">
        <v>587</v>
      </c>
      <c r="B104" s="102" t="s">
        <v>588</v>
      </c>
    </row>
    <row r="105" spans="1:2" x14ac:dyDescent="0.25">
      <c r="A105" t="s">
        <v>589</v>
      </c>
      <c r="B105" s="102" t="s">
        <v>590</v>
      </c>
    </row>
    <row r="106" spans="1:2" x14ac:dyDescent="0.25">
      <c r="A106" t="s">
        <v>591</v>
      </c>
      <c r="B106" s="102" t="s">
        <v>592</v>
      </c>
    </row>
    <row r="107" spans="1:2" x14ac:dyDescent="0.25">
      <c r="A107" t="s">
        <v>593</v>
      </c>
      <c r="B107" s="102" t="s">
        <v>594</v>
      </c>
    </row>
    <row r="108" spans="1:2" x14ac:dyDescent="0.25">
      <c r="A108" t="s">
        <v>595</v>
      </c>
      <c r="B108" s="102" t="s">
        <v>596</v>
      </c>
    </row>
    <row r="109" spans="1:2" x14ac:dyDescent="0.25">
      <c r="A109" t="s">
        <v>597</v>
      </c>
      <c r="B109" s="102" t="s">
        <v>467</v>
      </c>
    </row>
    <row r="110" spans="1:2" x14ac:dyDescent="0.25">
      <c r="A110" t="s">
        <v>598</v>
      </c>
      <c r="B110" s="102" t="s">
        <v>599</v>
      </c>
    </row>
    <row r="111" spans="1:2" x14ac:dyDescent="0.25">
      <c r="A111" t="s">
        <v>600</v>
      </c>
      <c r="B111" s="102" t="s">
        <v>601</v>
      </c>
    </row>
    <row r="112" spans="1:2" x14ac:dyDescent="0.25">
      <c r="A112" t="s">
        <v>602</v>
      </c>
      <c r="B112" s="102" t="s">
        <v>603</v>
      </c>
    </row>
    <row r="113" spans="1:2" x14ac:dyDescent="0.25">
      <c r="A113" t="s">
        <v>604</v>
      </c>
      <c r="B113" s="102" t="s">
        <v>468</v>
      </c>
    </row>
    <row r="114" spans="1:2" x14ac:dyDescent="0.25">
      <c r="A114" t="s">
        <v>605</v>
      </c>
      <c r="B114" s="102" t="s">
        <v>606</v>
      </c>
    </row>
    <row r="115" spans="1:2" x14ac:dyDescent="0.25">
      <c r="A115" t="s">
        <v>1224</v>
      </c>
      <c r="B115" s="102" t="s">
        <v>469</v>
      </c>
    </row>
    <row r="116" spans="1:2" x14ac:dyDescent="0.25">
      <c r="A116" t="s">
        <v>607</v>
      </c>
      <c r="B116" s="102" t="s">
        <v>470</v>
      </c>
    </row>
    <row r="117" spans="1:2" x14ac:dyDescent="0.25">
      <c r="A117" t="s">
        <v>608</v>
      </c>
      <c r="B117" s="102" t="s">
        <v>609</v>
      </c>
    </row>
    <row r="118" spans="1:2" x14ac:dyDescent="0.25">
      <c r="A118" t="s">
        <v>610</v>
      </c>
      <c r="B118" s="102" t="s">
        <v>611</v>
      </c>
    </row>
    <row r="119" spans="1:2" x14ac:dyDescent="0.25">
      <c r="A119" t="s">
        <v>1225</v>
      </c>
      <c r="B119" s="102" t="s">
        <v>471</v>
      </c>
    </row>
    <row r="120" spans="1:2" x14ac:dyDescent="0.25">
      <c r="A120" t="s">
        <v>1068</v>
      </c>
      <c r="B120" s="102" t="s">
        <v>472</v>
      </c>
    </row>
    <row r="121" spans="1:2" x14ac:dyDescent="0.25">
      <c r="A121" t="s">
        <v>1226</v>
      </c>
      <c r="B121" s="102" t="s">
        <v>473</v>
      </c>
    </row>
    <row r="122" spans="1:2" x14ac:dyDescent="0.25">
      <c r="A122" t="s">
        <v>1227</v>
      </c>
      <c r="B122" s="102" t="s">
        <v>612</v>
      </c>
    </row>
    <row r="123" spans="1:2" x14ac:dyDescent="0.25">
      <c r="A123" t="s">
        <v>1228</v>
      </c>
      <c r="B123" s="102" t="s">
        <v>474</v>
      </c>
    </row>
    <row r="124" spans="1:2" x14ac:dyDescent="0.25">
      <c r="A124" t="s">
        <v>1229</v>
      </c>
      <c r="B124" s="102" t="s">
        <v>475</v>
      </c>
    </row>
    <row r="125" spans="1:2" x14ac:dyDescent="0.25">
      <c r="A125" t="s">
        <v>1069</v>
      </c>
      <c r="B125" s="102" t="s">
        <v>476</v>
      </c>
    </row>
    <row r="126" spans="1:2" x14ac:dyDescent="0.25">
      <c r="A126" t="s">
        <v>1230</v>
      </c>
      <c r="B126" s="102" t="s">
        <v>477</v>
      </c>
    </row>
    <row r="127" spans="1:2" x14ac:dyDescent="0.25">
      <c r="A127" t="s">
        <v>1231</v>
      </c>
      <c r="B127" s="102" t="s">
        <v>478</v>
      </c>
    </row>
    <row r="128" spans="1:2" x14ac:dyDescent="0.25">
      <c r="A128" t="s">
        <v>794</v>
      </c>
      <c r="B128" s="102" t="s">
        <v>613</v>
      </c>
    </row>
    <row r="129" spans="1:2" x14ac:dyDescent="0.25">
      <c r="A129" t="s">
        <v>1232</v>
      </c>
      <c r="B129" s="102" t="s">
        <v>614</v>
      </c>
    </row>
    <row r="130" spans="1:2" x14ac:dyDescent="0.25">
      <c r="A130" t="s">
        <v>1233</v>
      </c>
      <c r="B130" s="102" t="s">
        <v>615</v>
      </c>
    </row>
    <row r="131" spans="1:2" x14ac:dyDescent="0.25">
      <c r="A131" t="s">
        <v>1234</v>
      </c>
      <c r="B131" s="102" t="s">
        <v>479</v>
      </c>
    </row>
    <row r="132" spans="1:2" x14ac:dyDescent="0.25">
      <c r="A132" t="s">
        <v>1235</v>
      </c>
      <c r="B132" s="102" t="s">
        <v>616</v>
      </c>
    </row>
    <row r="133" spans="1:2" x14ac:dyDescent="0.25">
      <c r="A133" t="s">
        <v>1236</v>
      </c>
      <c r="B133" s="102" t="s">
        <v>617</v>
      </c>
    </row>
    <row r="134" spans="1:2" x14ac:dyDescent="0.25">
      <c r="A134" t="s">
        <v>1237</v>
      </c>
      <c r="B134" s="102" t="s">
        <v>480</v>
      </c>
    </row>
    <row r="135" spans="1:2" x14ac:dyDescent="0.25">
      <c r="A135" t="s">
        <v>1238</v>
      </c>
      <c r="B135" s="102" t="s">
        <v>618</v>
      </c>
    </row>
    <row r="136" spans="1:2" x14ac:dyDescent="0.25">
      <c r="A136" t="s">
        <v>1239</v>
      </c>
      <c r="B136" s="102" t="s">
        <v>481</v>
      </c>
    </row>
    <row r="137" spans="1:2" x14ac:dyDescent="0.25">
      <c r="A137" t="s">
        <v>1240</v>
      </c>
      <c r="B137" s="102" t="s">
        <v>619</v>
      </c>
    </row>
    <row r="138" spans="1:2" x14ac:dyDescent="0.25">
      <c r="A138" t="s">
        <v>1241</v>
      </c>
      <c r="B138" s="102" t="s">
        <v>620</v>
      </c>
    </row>
    <row r="139" spans="1:2" x14ac:dyDescent="0.25">
      <c r="A139" t="s">
        <v>1242</v>
      </c>
      <c r="B139" s="102" t="s">
        <v>621</v>
      </c>
    </row>
    <row r="140" spans="1:2" x14ac:dyDescent="0.25">
      <c r="A140" t="s">
        <v>1243</v>
      </c>
      <c r="B140" s="102" t="s">
        <v>622</v>
      </c>
    </row>
    <row r="141" spans="1:2" x14ac:dyDescent="0.25">
      <c r="A141" t="s">
        <v>1244</v>
      </c>
      <c r="B141" s="102" t="s">
        <v>623</v>
      </c>
    </row>
    <row r="142" spans="1:2" x14ac:dyDescent="0.25">
      <c r="A142" t="s">
        <v>1245</v>
      </c>
      <c r="B142" s="102" t="s">
        <v>624</v>
      </c>
    </row>
    <row r="143" spans="1:2" x14ac:dyDescent="0.25">
      <c r="A143" t="s">
        <v>1246</v>
      </c>
      <c r="B143" s="102" t="s">
        <v>625</v>
      </c>
    </row>
    <row r="144" spans="1:2" x14ac:dyDescent="0.25">
      <c r="A144" t="s">
        <v>1070</v>
      </c>
      <c r="B144" s="102" t="s">
        <v>482</v>
      </c>
    </row>
    <row r="145" spans="1:2" x14ac:dyDescent="0.25">
      <c r="A145" t="s">
        <v>1247</v>
      </c>
      <c r="B145" s="102" t="s">
        <v>483</v>
      </c>
    </row>
    <row r="146" spans="1:2" x14ac:dyDescent="0.25">
      <c r="A146" t="s">
        <v>1248</v>
      </c>
      <c r="B146" s="102" t="s">
        <v>484</v>
      </c>
    </row>
    <row r="147" spans="1:2" x14ac:dyDescent="0.25">
      <c r="A147" t="s">
        <v>1249</v>
      </c>
      <c r="B147" s="102" t="s">
        <v>485</v>
      </c>
    </row>
    <row r="148" spans="1:2" x14ac:dyDescent="0.25">
      <c r="A148" t="s">
        <v>1250</v>
      </c>
      <c r="B148" s="102" t="s">
        <v>626</v>
      </c>
    </row>
    <row r="149" spans="1:2" x14ac:dyDescent="0.25">
      <c r="A149" t="s">
        <v>1251</v>
      </c>
      <c r="B149" s="102" t="s">
        <v>486</v>
      </c>
    </row>
    <row r="150" spans="1:2" x14ac:dyDescent="0.25">
      <c r="A150" t="s">
        <v>1252</v>
      </c>
      <c r="B150" s="102" t="s">
        <v>487</v>
      </c>
    </row>
    <row r="151" spans="1:2" x14ac:dyDescent="0.25">
      <c r="A151" t="s">
        <v>1253</v>
      </c>
      <c r="B151" s="102" t="s">
        <v>488</v>
      </c>
    </row>
    <row r="152" spans="1:2" x14ac:dyDescent="0.25">
      <c r="A152" t="s">
        <v>1254</v>
      </c>
      <c r="B152" s="102" t="s">
        <v>489</v>
      </c>
    </row>
    <row r="153" spans="1:2" x14ac:dyDescent="0.25">
      <c r="A153" t="s">
        <v>1255</v>
      </c>
      <c r="B153" s="102" t="s">
        <v>490</v>
      </c>
    </row>
    <row r="154" spans="1:2" x14ac:dyDescent="0.25">
      <c r="A154" t="s">
        <v>1256</v>
      </c>
      <c r="B154" s="102" t="s">
        <v>491</v>
      </c>
    </row>
    <row r="155" spans="1:2" x14ac:dyDescent="0.25">
      <c r="A155" t="s">
        <v>1257</v>
      </c>
      <c r="B155" s="102" t="s">
        <v>627</v>
      </c>
    </row>
    <row r="156" spans="1:2" x14ac:dyDescent="0.25">
      <c r="A156" t="s">
        <v>795</v>
      </c>
      <c r="B156" s="102" t="s">
        <v>492</v>
      </c>
    </row>
    <row r="157" spans="1:2" x14ac:dyDescent="0.25">
      <c r="A157" t="s">
        <v>1258</v>
      </c>
      <c r="B157" s="102" t="s">
        <v>493</v>
      </c>
    </row>
    <row r="158" spans="1:2" x14ac:dyDescent="0.25">
      <c r="A158" t="s">
        <v>1259</v>
      </c>
      <c r="B158" s="102" t="s">
        <v>494</v>
      </c>
    </row>
    <row r="159" spans="1:2" x14ac:dyDescent="0.25">
      <c r="A159" t="s">
        <v>1260</v>
      </c>
      <c r="B159" s="102" t="s">
        <v>495</v>
      </c>
    </row>
    <row r="160" spans="1:2" x14ac:dyDescent="0.25">
      <c r="A160" t="s">
        <v>1071</v>
      </c>
      <c r="B160" s="102" t="s">
        <v>496</v>
      </c>
    </row>
    <row r="161" spans="1:2" x14ac:dyDescent="0.25">
      <c r="A161" t="s">
        <v>1261</v>
      </c>
      <c r="B161" s="102" t="s">
        <v>628</v>
      </c>
    </row>
    <row r="162" spans="1:2" x14ac:dyDescent="0.25">
      <c r="A162" t="s">
        <v>1262</v>
      </c>
      <c r="B162" s="102" t="s">
        <v>629</v>
      </c>
    </row>
    <row r="163" spans="1:2" x14ac:dyDescent="0.25">
      <c r="A163" t="s">
        <v>1263</v>
      </c>
      <c r="B163" s="102" t="s">
        <v>497</v>
      </c>
    </row>
    <row r="164" spans="1:2" x14ac:dyDescent="0.25">
      <c r="A164" t="s">
        <v>1264</v>
      </c>
      <c r="B164" s="102" t="s">
        <v>630</v>
      </c>
    </row>
    <row r="165" spans="1:2" x14ac:dyDescent="0.25">
      <c r="A165" t="s">
        <v>1265</v>
      </c>
      <c r="B165" s="102" t="s">
        <v>631</v>
      </c>
    </row>
    <row r="166" spans="1:2" x14ac:dyDescent="0.25">
      <c r="A166" t="s">
        <v>1266</v>
      </c>
      <c r="B166" s="102" t="s">
        <v>632</v>
      </c>
    </row>
    <row r="167" spans="1:2" x14ac:dyDescent="0.25">
      <c r="A167" t="s">
        <v>1267</v>
      </c>
      <c r="B167" s="102" t="s">
        <v>633</v>
      </c>
    </row>
    <row r="168" spans="1:2" x14ac:dyDescent="0.25">
      <c r="A168" t="s">
        <v>1268</v>
      </c>
      <c r="B168" s="102" t="s">
        <v>498</v>
      </c>
    </row>
    <row r="169" spans="1:2" x14ac:dyDescent="0.25">
      <c r="A169" t="s">
        <v>1269</v>
      </c>
      <c r="B169" s="102" t="s">
        <v>499</v>
      </c>
    </row>
    <row r="170" spans="1:2" x14ac:dyDescent="0.25">
      <c r="A170" t="s">
        <v>1072</v>
      </c>
      <c r="B170" s="102" t="s">
        <v>500</v>
      </c>
    </row>
    <row r="171" spans="1:2" x14ac:dyDescent="0.25">
      <c r="A171" t="s">
        <v>1270</v>
      </c>
      <c r="B171" s="102" t="s">
        <v>501</v>
      </c>
    </row>
    <row r="172" spans="1:2" x14ac:dyDescent="0.25">
      <c r="A172" t="s">
        <v>1271</v>
      </c>
      <c r="B172" s="102" t="s">
        <v>502</v>
      </c>
    </row>
    <row r="173" spans="1:2" x14ac:dyDescent="0.25">
      <c r="A173" t="s">
        <v>1272</v>
      </c>
      <c r="B173" s="102" t="s">
        <v>503</v>
      </c>
    </row>
    <row r="174" spans="1:2" x14ac:dyDescent="0.25">
      <c r="A174" t="s">
        <v>1273</v>
      </c>
      <c r="B174" s="102" t="s">
        <v>504</v>
      </c>
    </row>
    <row r="175" spans="1:2" x14ac:dyDescent="0.25">
      <c r="A175" t="s">
        <v>1274</v>
      </c>
      <c r="B175" s="102" t="s">
        <v>634</v>
      </c>
    </row>
    <row r="176" spans="1:2" x14ac:dyDescent="0.25">
      <c r="A176" t="s">
        <v>1275</v>
      </c>
      <c r="B176" s="102" t="s">
        <v>635</v>
      </c>
    </row>
    <row r="177" spans="1:2" x14ac:dyDescent="0.25">
      <c r="A177" t="s">
        <v>1276</v>
      </c>
      <c r="B177" s="102" t="s">
        <v>505</v>
      </c>
    </row>
    <row r="178" spans="1:2" x14ac:dyDescent="0.25">
      <c r="A178" t="s">
        <v>1277</v>
      </c>
      <c r="B178" s="102" t="s">
        <v>506</v>
      </c>
    </row>
    <row r="179" spans="1:2" x14ac:dyDescent="0.25">
      <c r="A179" t="s">
        <v>1278</v>
      </c>
      <c r="B179" s="102" t="s">
        <v>507</v>
      </c>
    </row>
    <row r="180" spans="1:2" x14ac:dyDescent="0.25">
      <c r="A180" t="s">
        <v>1279</v>
      </c>
      <c r="B180" s="102" t="s">
        <v>508</v>
      </c>
    </row>
    <row r="181" spans="1:2" x14ac:dyDescent="0.25">
      <c r="A181" t="s">
        <v>1280</v>
      </c>
      <c r="B181" s="102" t="s">
        <v>509</v>
      </c>
    </row>
    <row r="182" spans="1:2" x14ac:dyDescent="0.25">
      <c r="A182" t="s">
        <v>1281</v>
      </c>
      <c r="B182" s="102" t="s">
        <v>510</v>
      </c>
    </row>
    <row r="183" spans="1:2" x14ac:dyDescent="0.25">
      <c r="A183" t="s">
        <v>1282</v>
      </c>
      <c r="B183" s="102" t="s">
        <v>511</v>
      </c>
    </row>
    <row r="184" spans="1:2" x14ac:dyDescent="0.25">
      <c r="A184" t="s">
        <v>1283</v>
      </c>
      <c r="B184" s="102" t="s">
        <v>512</v>
      </c>
    </row>
    <row r="185" spans="1:2" x14ac:dyDescent="0.25">
      <c r="A185" t="s">
        <v>1284</v>
      </c>
      <c r="B185" s="102" t="s">
        <v>513</v>
      </c>
    </row>
    <row r="186" spans="1:2" x14ac:dyDescent="0.25">
      <c r="A186" t="s">
        <v>1285</v>
      </c>
      <c r="B186" s="102" t="s">
        <v>514</v>
      </c>
    </row>
    <row r="187" spans="1:2" x14ac:dyDescent="0.25">
      <c r="A187" t="s">
        <v>882</v>
      </c>
      <c r="B187" s="102" t="s">
        <v>883</v>
      </c>
    </row>
    <row r="188" spans="1:2" x14ac:dyDescent="0.25">
      <c r="A188" t="s">
        <v>1286</v>
      </c>
      <c r="B188" s="102" t="s">
        <v>515</v>
      </c>
    </row>
    <row r="189" spans="1:2" x14ac:dyDescent="0.25">
      <c r="A189" t="s">
        <v>1073</v>
      </c>
      <c r="B189" s="102" t="s">
        <v>516</v>
      </c>
    </row>
    <row r="190" spans="1:2" x14ac:dyDescent="0.25">
      <c r="A190" t="s">
        <v>636</v>
      </c>
      <c r="B190" s="102" t="s">
        <v>517</v>
      </c>
    </row>
    <row r="191" spans="1:2" x14ac:dyDescent="0.25">
      <c r="A191" t="s">
        <v>637</v>
      </c>
      <c r="B191" s="102" t="s">
        <v>518</v>
      </c>
    </row>
    <row r="192" spans="1:2" x14ac:dyDescent="0.25">
      <c r="A192" t="s">
        <v>638</v>
      </c>
      <c r="B192" s="102" t="s">
        <v>519</v>
      </c>
    </row>
    <row r="193" spans="1:2" x14ac:dyDescent="0.25">
      <c r="A193" t="s">
        <v>1287</v>
      </c>
      <c r="B193" s="102" t="s">
        <v>520</v>
      </c>
    </row>
    <row r="194" spans="1:2" x14ac:dyDescent="0.25">
      <c r="A194" t="s">
        <v>639</v>
      </c>
      <c r="B194" s="102" t="s">
        <v>521</v>
      </c>
    </row>
    <row r="195" spans="1:2" x14ac:dyDescent="0.25">
      <c r="A195" t="s">
        <v>640</v>
      </c>
      <c r="B195" s="102" t="s">
        <v>522</v>
      </c>
    </row>
    <row r="196" spans="1:2" x14ac:dyDescent="0.25">
      <c r="A196" t="s">
        <v>641</v>
      </c>
      <c r="B196" s="102" t="s">
        <v>642</v>
      </c>
    </row>
    <row r="197" spans="1:2" x14ac:dyDescent="0.25">
      <c r="A197" t="s">
        <v>643</v>
      </c>
      <c r="B197" s="102" t="s">
        <v>644</v>
      </c>
    </row>
    <row r="198" spans="1:2" x14ac:dyDescent="0.25">
      <c r="A198" t="s">
        <v>645</v>
      </c>
      <c r="B198" s="102" t="s">
        <v>646</v>
      </c>
    </row>
    <row r="199" spans="1:2" x14ac:dyDescent="0.25">
      <c r="A199" t="s">
        <v>647</v>
      </c>
      <c r="B199" s="102" t="s">
        <v>523</v>
      </c>
    </row>
    <row r="200" spans="1:2" x14ac:dyDescent="0.25">
      <c r="A200" t="s">
        <v>648</v>
      </c>
      <c r="B200" s="102" t="s">
        <v>527</v>
      </c>
    </row>
    <row r="201" spans="1:2" x14ac:dyDescent="0.25">
      <c r="A201" t="s">
        <v>649</v>
      </c>
      <c r="B201" s="102" t="s">
        <v>528</v>
      </c>
    </row>
    <row r="202" spans="1:2" x14ac:dyDescent="0.25">
      <c r="A202" t="s">
        <v>922</v>
      </c>
      <c r="B202" s="102" t="s">
        <v>529</v>
      </c>
    </row>
    <row r="203" spans="1:2" x14ac:dyDescent="0.25">
      <c r="A203" t="s">
        <v>650</v>
      </c>
      <c r="B203" s="102" t="s">
        <v>530</v>
      </c>
    </row>
    <row r="204" spans="1:2" x14ac:dyDescent="0.25">
      <c r="A204" t="s">
        <v>651</v>
      </c>
      <c r="B204" s="102" t="s">
        <v>652</v>
      </c>
    </row>
    <row r="205" spans="1:2" x14ac:dyDescent="0.25">
      <c r="A205" t="s">
        <v>653</v>
      </c>
      <c r="B205" s="102" t="s">
        <v>654</v>
      </c>
    </row>
    <row r="206" spans="1:2" x14ac:dyDescent="0.25">
      <c r="A206" t="s">
        <v>1288</v>
      </c>
      <c r="B206" s="102" t="s">
        <v>533</v>
      </c>
    </row>
    <row r="207" spans="1:2" x14ac:dyDescent="0.25">
      <c r="A207" t="s">
        <v>655</v>
      </c>
      <c r="B207" s="102" t="s">
        <v>656</v>
      </c>
    </row>
    <row r="208" spans="1:2" x14ac:dyDescent="0.25">
      <c r="A208" t="s">
        <v>657</v>
      </c>
      <c r="B208" s="102" t="s">
        <v>658</v>
      </c>
    </row>
    <row r="209" spans="1:2" x14ac:dyDescent="0.25">
      <c r="A209" t="s">
        <v>659</v>
      </c>
      <c r="B209" s="102" t="s">
        <v>542</v>
      </c>
    </row>
    <row r="210" spans="1:2" x14ac:dyDescent="0.25">
      <c r="A210" t="s">
        <v>660</v>
      </c>
      <c r="B210" s="102" t="s">
        <v>549</v>
      </c>
    </row>
    <row r="211" spans="1:2" x14ac:dyDescent="0.25">
      <c r="A211" t="s">
        <v>661</v>
      </c>
      <c r="B211" s="102" t="s">
        <v>550</v>
      </c>
    </row>
    <row r="212" spans="1:2" x14ac:dyDescent="0.25">
      <c r="A212" t="s">
        <v>662</v>
      </c>
      <c r="B212" s="102" t="s">
        <v>663</v>
      </c>
    </row>
    <row r="213" spans="1:2" x14ac:dyDescent="0.25">
      <c r="A213" t="s">
        <v>664</v>
      </c>
      <c r="B213" s="102" t="s">
        <v>665</v>
      </c>
    </row>
    <row r="214" spans="1:2" x14ac:dyDescent="0.25">
      <c r="A214" t="s">
        <v>666</v>
      </c>
      <c r="B214" s="102" t="s">
        <v>551</v>
      </c>
    </row>
    <row r="215" spans="1:2" x14ac:dyDescent="0.25">
      <c r="A215" t="s">
        <v>667</v>
      </c>
      <c r="B215" s="102" t="s">
        <v>552</v>
      </c>
    </row>
    <row r="216" spans="1:2" x14ac:dyDescent="0.25">
      <c r="A216" t="s">
        <v>668</v>
      </c>
      <c r="B216" s="102" t="s">
        <v>553</v>
      </c>
    </row>
    <row r="217" spans="1:2" x14ac:dyDescent="0.25">
      <c r="A217" t="s">
        <v>669</v>
      </c>
      <c r="B217" s="102" t="s">
        <v>670</v>
      </c>
    </row>
    <row r="218" spans="1:2" x14ac:dyDescent="0.25">
      <c r="A218" t="s">
        <v>671</v>
      </c>
      <c r="B218" s="102" t="s">
        <v>672</v>
      </c>
    </row>
    <row r="219" spans="1:2" x14ac:dyDescent="0.25">
      <c r="A219" t="s">
        <v>673</v>
      </c>
      <c r="B219" s="102" t="s">
        <v>557</v>
      </c>
    </row>
    <row r="220" spans="1:2" x14ac:dyDescent="0.25">
      <c r="A220" t="s">
        <v>878</v>
      </c>
      <c r="B220" s="102" t="s">
        <v>879</v>
      </c>
    </row>
    <row r="221" spans="1:2" x14ac:dyDescent="0.25">
      <c r="A221" t="s">
        <v>674</v>
      </c>
      <c r="B221" s="102" t="s">
        <v>559</v>
      </c>
    </row>
    <row r="222" spans="1:2" x14ac:dyDescent="0.25">
      <c r="A222" t="s">
        <v>675</v>
      </c>
      <c r="B222" s="102" t="s">
        <v>561</v>
      </c>
    </row>
    <row r="223" spans="1:2" x14ac:dyDescent="0.25">
      <c r="A223" t="s">
        <v>676</v>
      </c>
      <c r="B223" s="102" t="s">
        <v>677</v>
      </c>
    </row>
    <row r="224" spans="1:2" x14ac:dyDescent="0.25">
      <c r="A224" t="s">
        <v>679</v>
      </c>
      <c r="B224" s="102" t="s">
        <v>678</v>
      </c>
    </row>
    <row r="225" spans="1:2" x14ac:dyDescent="0.25">
      <c r="A225" t="s">
        <v>681</v>
      </c>
      <c r="B225" s="102" t="s">
        <v>680</v>
      </c>
    </row>
    <row r="226" spans="1:2" x14ac:dyDescent="0.25">
      <c r="A226" t="s">
        <v>683</v>
      </c>
      <c r="B226" s="102" t="s">
        <v>682</v>
      </c>
    </row>
    <row r="227" spans="1:2" x14ac:dyDescent="0.25">
      <c r="A227" t="s">
        <v>855</v>
      </c>
      <c r="B227" s="102" t="s">
        <v>684</v>
      </c>
    </row>
    <row r="228" spans="1:2" x14ac:dyDescent="0.25">
      <c r="A228" t="s">
        <v>691</v>
      </c>
      <c r="B228" s="102" t="s">
        <v>689</v>
      </c>
    </row>
    <row r="229" spans="1:2" x14ac:dyDescent="0.25">
      <c r="A229" t="s">
        <v>692</v>
      </c>
      <c r="B229" s="102" t="s">
        <v>690</v>
      </c>
    </row>
    <row r="230" spans="1:2" x14ac:dyDescent="0.25">
      <c r="A230" t="s">
        <v>697</v>
      </c>
      <c r="B230" s="102" t="s">
        <v>696</v>
      </c>
    </row>
    <row r="231" spans="1:2" x14ac:dyDescent="0.25">
      <c r="A231" t="s">
        <v>699</v>
      </c>
      <c r="B231" s="102" t="s">
        <v>698</v>
      </c>
    </row>
    <row r="232" spans="1:2" x14ac:dyDescent="0.25">
      <c r="A232" t="s">
        <v>700</v>
      </c>
      <c r="B232" s="102" t="s">
        <v>703</v>
      </c>
    </row>
    <row r="233" spans="1:2" x14ac:dyDescent="0.25">
      <c r="A233" t="s">
        <v>701</v>
      </c>
      <c r="B233" s="102" t="s">
        <v>704</v>
      </c>
    </row>
    <row r="234" spans="1:2" x14ac:dyDescent="0.25">
      <c r="A234" t="s">
        <v>1074</v>
      </c>
      <c r="B234" s="102" t="s">
        <v>705</v>
      </c>
    </row>
    <row r="235" spans="1:2" x14ac:dyDescent="0.25">
      <c r="A235" t="s">
        <v>702</v>
      </c>
      <c r="B235" s="102" t="s">
        <v>706</v>
      </c>
    </row>
    <row r="236" spans="1:2" x14ac:dyDescent="0.25">
      <c r="A236" t="s">
        <v>713</v>
      </c>
      <c r="B236" s="102" t="s">
        <v>711</v>
      </c>
    </row>
    <row r="237" spans="1:2" x14ac:dyDescent="0.25">
      <c r="A237" t="s">
        <v>714</v>
      </c>
      <c r="B237" s="102" t="s">
        <v>712</v>
      </c>
    </row>
    <row r="238" spans="1:2" x14ac:dyDescent="0.25">
      <c r="A238" t="s">
        <v>716</v>
      </c>
      <c r="B238" s="102" t="s">
        <v>715</v>
      </c>
    </row>
    <row r="239" spans="1:2" x14ac:dyDescent="0.25">
      <c r="A239" t="s">
        <v>717</v>
      </c>
      <c r="B239" s="102" t="s">
        <v>718</v>
      </c>
    </row>
    <row r="240" spans="1:2" x14ac:dyDescent="0.25">
      <c r="A240" t="s">
        <v>720</v>
      </c>
      <c r="B240" s="102" t="s">
        <v>719</v>
      </c>
    </row>
    <row r="241" spans="1:2" x14ac:dyDescent="0.25">
      <c r="A241" t="s">
        <v>729</v>
      </c>
      <c r="B241" s="102" t="s">
        <v>723</v>
      </c>
    </row>
    <row r="242" spans="1:2" x14ac:dyDescent="0.25">
      <c r="A242" t="s">
        <v>730</v>
      </c>
      <c r="B242" s="102" t="s">
        <v>724</v>
      </c>
    </row>
    <row r="243" spans="1:2" x14ac:dyDescent="0.25">
      <c r="A243" t="s">
        <v>731</v>
      </c>
      <c r="B243" s="102" t="s">
        <v>725</v>
      </c>
    </row>
    <row r="244" spans="1:2" x14ac:dyDescent="0.25">
      <c r="A244" t="s">
        <v>732</v>
      </c>
      <c r="B244" s="102" t="s">
        <v>726</v>
      </c>
    </row>
    <row r="245" spans="1:2" x14ac:dyDescent="0.25">
      <c r="A245" t="s">
        <v>733</v>
      </c>
      <c r="B245" s="102" t="s">
        <v>727</v>
      </c>
    </row>
    <row r="246" spans="1:2" x14ac:dyDescent="0.25">
      <c r="A246" t="s">
        <v>734</v>
      </c>
      <c r="B246" s="102" t="s">
        <v>728</v>
      </c>
    </row>
    <row r="247" spans="1:2" x14ac:dyDescent="0.25">
      <c r="A247" t="s">
        <v>743</v>
      </c>
      <c r="B247" s="102" t="s">
        <v>739</v>
      </c>
    </row>
    <row r="248" spans="1:2" x14ac:dyDescent="0.25">
      <c r="A248" t="s">
        <v>744</v>
      </c>
      <c r="B248" s="102" t="s">
        <v>740</v>
      </c>
    </row>
    <row r="249" spans="1:2" x14ac:dyDescent="0.25">
      <c r="A249" t="s">
        <v>745</v>
      </c>
      <c r="B249" s="102" t="s">
        <v>741</v>
      </c>
    </row>
    <row r="250" spans="1:2" x14ac:dyDescent="0.25">
      <c r="A250" t="s">
        <v>746</v>
      </c>
      <c r="B250" s="102" t="s">
        <v>742</v>
      </c>
    </row>
    <row r="251" spans="1:2" x14ac:dyDescent="0.25">
      <c r="A251" t="s">
        <v>796</v>
      </c>
      <c r="B251" s="102" t="s">
        <v>748</v>
      </c>
    </row>
    <row r="252" spans="1:2" x14ac:dyDescent="0.25">
      <c r="A252" t="s">
        <v>750</v>
      </c>
      <c r="B252" s="102" t="s">
        <v>749</v>
      </c>
    </row>
    <row r="253" spans="1:2" x14ac:dyDescent="0.25">
      <c r="A253" t="s">
        <v>756</v>
      </c>
      <c r="B253" s="102" t="s">
        <v>754</v>
      </c>
    </row>
    <row r="254" spans="1:2" x14ac:dyDescent="0.25">
      <c r="A254" t="s">
        <v>757</v>
      </c>
      <c r="B254" s="102" t="s">
        <v>755</v>
      </c>
    </row>
    <row r="255" spans="1:2" x14ac:dyDescent="0.25">
      <c r="A255" t="s">
        <v>759</v>
      </c>
      <c r="B255" s="102" t="s">
        <v>758</v>
      </c>
    </row>
    <row r="256" spans="1:2" x14ac:dyDescent="0.25">
      <c r="A256" t="s">
        <v>761</v>
      </c>
      <c r="B256" s="102" t="s">
        <v>760</v>
      </c>
    </row>
    <row r="257" spans="1:2" x14ac:dyDescent="0.25">
      <c r="A257" t="s">
        <v>763</v>
      </c>
      <c r="B257" s="102" t="s">
        <v>762</v>
      </c>
    </row>
    <row r="258" spans="1:2" x14ac:dyDescent="0.25">
      <c r="A258" t="s">
        <v>765</v>
      </c>
      <c r="B258" s="102" t="s">
        <v>764</v>
      </c>
    </row>
    <row r="259" spans="1:2" x14ac:dyDescent="0.25">
      <c r="A259" t="s">
        <v>770</v>
      </c>
      <c r="B259" s="102" t="s">
        <v>769</v>
      </c>
    </row>
    <row r="260" spans="1:2" x14ac:dyDescent="0.25">
      <c r="A260" t="s">
        <v>772</v>
      </c>
      <c r="B260" s="102" t="s">
        <v>771</v>
      </c>
    </row>
    <row r="261" spans="1:2" x14ac:dyDescent="0.25">
      <c r="A261" t="s">
        <v>774</v>
      </c>
      <c r="B261" s="102" t="s">
        <v>773</v>
      </c>
    </row>
    <row r="262" spans="1:2" x14ac:dyDescent="0.25">
      <c r="A262" t="s">
        <v>776</v>
      </c>
      <c r="B262" s="102" t="s">
        <v>775</v>
      </c>
    </row>
    <row r="263" spans="1:2" x14ac:dyDescent="0.25">
      <c r="A263" t="s">
        <v>778</v>
      </c>
      <c r="B263" s="102" t="s">
        <v>777</v>
      </c>
    </row>
    <row r="264" spans="1:2" x14ac:dyDescent="0.25">
      <c r="A264" t="s">
        <v>780</v>
      </c>
      <c r="B264" s="102" t="s">
        <v>779</v>
      </c>
    </row>
    <row r="265" spans="1:2" x14ac:dyDescent="0.25">
      <c r="A265" t="s">
        <v>782</v>
      </c>
      <c r="B265" s="102" t="s">
        <v>781</v>
      </c>
    </row>
    <row r="266" spans="1:2" x14ac:dyDescent="0.25">
      <c r="A266" t="s">
        <v>784</v>
      </c>
      <c r="B266" s="102" t="s">
        <v>783</v>
      </c>
    </row>
    <row r="267" spans="1:2" x14ac:dyDescent="0.25">
      <c r="A267" t="s">
        <v>786</v>
      </c>
      <c r="B267" s="102" t="s">
        <v>785</v>
      </c>
    </row>
    <row r="268" spans="1:2" x14ac:dyDescent="0.25">
      <c r="A268" t="s">
        <v>788</v>
      </c>
      <c r="B268" s="102" t="s">
        <v>787</v>
      </c>
    </row>
    <row r="269" spans="1:2" x14ac:dyDescent="0.25">
      <c r="A269" t="s">
        <v>797</v>
      </c>
      <c r="B269" s="102" t="s">
        <v>789</v>
      </c>
    </row>
    <row r="270" spans="1:2" x14ac:dyDescent="0.25">
      <c r="A270" t="s">
        <v>798</v>
      </c>
      <c r="B270" s="102" t="s">
        <v>790</v>
      </c>
    </row>
    <row r="271" spans="1:2" x14ac:dyDescent="0.25">
      <c r="A271" t="s">
        <v>800</v>
      </c>
      <c r="B271" s="102" t="s">
        <v>799</v>
      </c>
    </row>
    <row r="272" spans="1:2" x14ac:dyDescent="0.25">
      <c r="A272" t="s">
        <v>802</v>
      </c>
      <c r="B272" s="102" t="s">
        <v>801</v>
      </c>
    </row>
    <row r="273" spans="1:2" x14ac:dyDescent="0.25">
      <c r="A273" t="s">
        <v>804</v>
      </c>
      <c r="B273" s="102" t="s">
        <v>803</v>
      </c>
    </row>
    <row r="274" spans="1:2" x14ac:dyDescent="0.25">
      <c r="A274" t="s">
        <v>806</v>
      </c>
      <c r="B274" s="102" t="s">
        <v>805</v>
      </c>
    </row>
    <row r="275" spans="1:2" x14ac:dyDescent="0.25">
      <c r="A275" t="s">
        <v>808</v>
      </c>
      <c r="B275" s="102" t="s">
        <v>807</v>
      </c>
    </row>
    <row r="276" spans="1:2" x14ac:dyDescent="0.25">
      <c r="A276" t="s">
        <v>814</v>
      </c>
      <c r="B276" s="102" t="s">
        <v>813</v>
      </c>
    </row>
    <row r="277" spans="1:2" x14ac:dyDescent="0.25">
      <c r="A277" t="s">
        <v>816</v>
      </c>
      <c r="B277" s="102" t="s">
        <v>815</v>
      </c>
    </row>
    <row r="278" spans="1:2" x14ac:dyDescent="0.25">
      <c r="A278" t="s">
        <v>818</v>
      </c>
      <c r="B278" s="102" t="s">
        <v>817</v>
      </c>
    </row>
    <row r="279" spans="1:2" x14ac:dyDescent="0.25">
      <c r="A279" t="s">
        <v>820</v>
      </c>
      <c r="B279" s="102" t="s">
        <v>819</v>
      </c>
    </row>
    <row r="280" spans="1:2" x14ac:dyDescent="0.25">
      <c r="A280" t="s">
        <v>823</v>
      </c>
      <c r="B280" s="102" t="s">
        <v>822</v>
      </c>
    </row>
    <row r="281" spans="1:2" x14ac:dyDescent="0.25">
      <c r="A281" t="s">
        <v>825</v>
      </c>
      <c r="B281" s="102" t="s">
        <v>824</v>
      </c>
    </row>
    <row r="282" spans="1:2" x14ac:dyDescent="0.25">
      <c r="A282" t="s">
        <v>827</v>
      </c>
      <c r="B282" s="102" t="s">
        <v>826</v>
      </c>
    </row>
    <row r="283" spans="1:2" x14ac:dyDescent="0.25">
      <c r="A283" t="s">
        <v>829</v>
      </c>
      <c r="B283" s="102" t="s">
        <v>828</v>
      </c>
    </row>
    <row r="284" spans="1:2" x14ac:dyDescent="0.25">
      <c r="A284" t="s">
        <v>831</v>
      </c>
      <c r="B284" s="102" t="s">
        <v>830</v>
      </c>
    </row>
    <row r="285" spans="1:2" x14ac:dyDescent="0.25">
      <c r="A285" t="s">
        <v>833</v>
      </c>
      <c r="B285" s="102" t="s">
        <v>832</v>
      </c>
    </row>
    <row r="286" spans="1:2" x14ac:dyDescent="0.25">
      <c r="A286" t="s">
        <v>835</v>
      </c>
      <c r="B286" s="102" t="s">
        <v>834</v>
      </c>
    </row>
    <row r="287" spans="1:2" x14ac:dyDescent="0.25">
      <c r="A287" t="s">
        <v>840</v>
      </c>
      <c r="B287" s="102" t="s">
        <v>839</v>
      </c>
    </row>
    <row r="288" spans="1:2" x14ac:dyDescent="0.25">
      <c r="A288" t="s">
        <v>842</v>
      </c>
      <c r="B288" s="102" t="s">
        <v>841</v>
      </c>
    </row>
    <row r="289" spans="1:2" x14ac:dyDescent="0.25">
      <c r="A289" t="s">
        <v>844</v>
      </c>
      <c r="B289" s="102" t="s">
        <v>843</v>
      </c>
    </row>
    <row r="290" spans="1:2" x14ac:dyDescent="0.25">
      <c r="A290" t="s">
        <v>846</v>
      </c>
      <c r="B290" s="102" t="s">
        <v>845</v>
      </c>
    </row>
    <row r="291" spans="1:2" x14ac:dyDescent="0.25">
      <c r="A291" t="s">
        <v>848</v>
      </c>
      <c r="B291" s="102" t="s">
        <v>847</v>
      </c>
    </row>
    <row r="292" spans="1:2" x14ac:dyDescent="0.25">
      <c r="A292" t="s">
        <v>850</v>
      </c>
      <c r="B292" s="102" t="s">
        <v>849</v>
      </c>
    </row>
    <row r="293" spans="1:2" x14ac:dyDescent="0.25">
      <c r="A293" t="s">
        <v>852</v>
      </c>
      <c r="B293" s="102" t="s">
        <v>851</v>
      </c>
    </row>
    <row r="294" spans="1:2" x14ac:dyDescent="0.25">
      <c r="A294" t="s">
        <v>854</v>
      </c>
      <c r="B294" s="102" t="s">
        <v>853</v>
      </c>
    </row>
    <row r="295" spans="1:2" x14ac:dyDescent="0.25">
      <c r="A295" t="s">
        <v>856</v>
      </c>
      <c r="B295" s="102" t="s">
        <v>857</v>
      </c>
    </row>
    <row r="296" spans="1:2" x14ac:dyDescent="0.25">
      <c r="A296" t="s">
        <v>858</v>
      </c>
      <c r="B296" s="102" t="s">
        <v>859</v>
      </c>
    </row>
    <row r="297" spans="1:2" x14ac:dyDescent="0.25">
      <c r="A297" t="s">
        <v>860</v>
      </c>
      <c r="B297" s="102" t="s">
        <v>861</v>
      </c>
    </row>
    <row r="298" spans="1:2" x14ac:dyDescent="0.25">
      <c r="A298" t="s">
        <v>862</v>
      </c>
      <c r="B298" s="102" t="s">
        <v>863</v>
      </c>
    </row>
    <row r="299" spans="1:2" x14ac:dyDescent="0.25">
      <c r="A299" t="s">
        <v>864</v>
      </c>
      <c r="B299" s="102" t="s">
        <v>865</v>
      </c>
    </row>
    <row r="300" spans="1:2" x14ac:dyDescent="0.25">
      <c r="A300" t="s">
        <v>866</v>
      </c>
      <c r="B300" s="102" t="s">
        <v>867</v>
      </c>
    </row>
    <row r="301" spans="1:2" x14ac:dyDescent="0.25">
      <c r="A301" t="s">
        <v>869</v>
      </c>
      <c r="B301" s="102" t="s">
        <v>870</v>
      </c>
    </row>
    <row r="302" spans="1:2" x14ac:dyDescent="0.25">
      <c r="A302" t="s">
        <v>871</v>
      </c>
      <c r="B302" s="102" t="s">
        <v>872</v>
      </c>
    </row>
    <row r="303" spans="1:2" x14ac:dyDescent="0.25">
      <c r="A303" t="s">
        <v>874</v>
      </c>
      <c r="B303" s="102" t="s">
        <v>873</v>
      </c>
    </row>
    <row r="304" spans="1:2" x14ac:dyDescent="0.25">
      <c r="A304" t="s">
        <v>875</v>
      </c>
      <c r="B304" s="102" t="s">
        <v>876</v>
      </c>
    </row>
    <row r="305" spans="1:2" x14ac:dyDescent="0.25">
      <c r="A305" t="s">
        <v>884</v>
      </c>
      <c r="B305" s="102" t="s">
        <v>881</v>
      </c>
    </row>
    <row r="306" spans="1:2" x14ac:dyDescent="0.25">
      <c r="A306" t="s">
        <v>885</v>
      </c>
      <c r="B306" s="102" t="s">
        <v>886</v>
      </c>
    </row>
    <row r="307" spans="1:2" x14ac:dyDescent="0.25">
      <c r="A307" t="s">
        <v>887</v>
      </c>
      <c r="B307" s="102" t="s">
        <v>888</v>
      </c>
    </row>
    <row r="308" spans="1:2" x14ac:dyDescent="0.25">
      <c r="A308" t="s">
        <v>890</v>
      </c>
      <c r="B308" s="102" t="s">
        <v>889</v>
      </c>
    </row>
    <row r="309" spans="1:2" x14ac:dyDescent="0.25">
      <c r="A309" t="s">
        <v>898</v>
      </c>
      <c r="B309" s="102" t="s">
        <v>899</v>
      </c>
    </row>
    <row r="310" spans="1:2" x14ac:dyDescent="0.25">
      <c r="A310" t="s">
        <v>904</v>
      </c>
      <c r="B310" s="102" t="s">
        <v>905</v>
      </c>
    </row>
    <row r="311" spans="1:2" x14ac:dyDescent="0.25">
      <c r="A311" t="s">
        <v>923</v>
      </c>
      <c r="B311" s="102" t="s">
        <v>924</v>
      </c>
    </row>
    <row r="312" spans="1:2" x14ac:dyDescent="0.25">
      <c r="A312" t="s">
        <v>925</v>
      </c>
      <c r="B312" s="102" t="s">
        <v>926</v>
      </c>
    </row>
    <row r="313" spans="1:2" x14ac:dyDescent="0.25">
      <c r="A313" t="s">
        <v>927</v>
      </c>
      <c r="B313" s="102" t="s">
        <v>928</v>
      </c>
    </row>
    <row r="314" spans="1:2" x14ac:dyDescent="0.25">
      <c r="A314" t="s">
        <v>935</v>
      </c>
      <c r="B314" s="102" t="s">
        <v>936</v>
      </c>
    </row>
    <row r="315" spans="1:2" x14ac:dyDescent="0.25">
      <c r="A315" t="s">
        <v>943</v>
      </c>
      <c r="B315" s="102" t="s">
        <v>942</v>
      </c>
    </row>
    <row r="316" spans="1:2" x14ac:dyDescent="0.25">
      <c r="A316" t="s">
        <v>944</v>
      </c>
      <c r="B316" s="102" t="s">
        <v>945</v>
      </c>
    </row>
    <row r="317" spans="1:2" x14ac:dyDescent="0.25">
      <c r="A317" t="s">
        <v>946</v>
      </c>
      <c r="B317" s="102" t="s">
        <v>947</v>
      </c>
    </row>
    <row r="318" spans="1:2" x14ac:dyDescent="0.25">
      <c r="A318" t="s">
        <v>983</v>
      </c>
      <c r="B318" s="102" t="s">
        <v>984</v>
      </c>
    </row>
    <row r="319" spans="1:2" x14ac:dyDescent="0.25">
      <c r="A319" t="s">
        <v>985</v>
      </c>
      <c r="B319" s="102" t="s">
        <v>986</v>
      </c>
    </row>
    <row r="320" spans="1:2" x14ac:dyDescent="0.25">
      <c r="A320" t="s">
        <v>987</v>
      </c>
      <c r="B320" s="102" t="s">
        <v>988</v>
      </c>
    </row>
    <row r="321" spans="1:2" x14ac:dyDescent="0.25">
      <c r="A321" t="s">
        <v>989</v>
      </c>
      <c r="B321" s="102" t="s">
        <v>990</v>
      </c>
    </row>
    <row r="322" spans="1:2" x14ac:dyDescent="0.25">
      <c r="A322" t="s">
        <v>991</v>
      </c>
      <c r="B322" s="102" t="s">
        <v>992</v>
      </c>
    </row>
    <row r="323" spans="1:2" x14ac:dyDescent="0.25">
      <c r="A323" t="s">
        <v>993</v>
      </c>
      <c r="B323" s="102" t="s">
        <v>994</v>
      </c>
    </row>
    <row r="324" spans="1:2" x14ac:dyDescent="0.25">
      <c r="A324" t="s">
        <v>995</v>
      </c>
      <c r="B324" s="102" t="s">
        <v>996</v>
      </c>
    </row>
    <row r="325" spans="1:2" x14ac:dyDescent="0.25">
      <c r="A325" t="s">
        <v>997</v>
      </c>
      <c r="B325" s="102" t="s">
        <v>998</v>
      </c>
    </row>
    <row r="326" spans="1:2" x14ac:dyDescent="0.25">
      <c r="A326" t="s">
        <v>999</v>
      </c>
      <c r="B326" s="102" t="s">
        <v>1000</v>
      </c>
    </row>
    <row r="327" spans="1:2" x14ac:dyDescent="0.25">
      <c r="A327" t="s">
        <v>1015</v>
      </c>
      <c r="B327" s="102" t="s">
        <v>1001</v>
      </c>
    </row>
    <row r="328" spans="1:2" x14ac:dyDescent="0.25">
      <c r="A328" t="s">
        <v>1016</v>
      </c>
      <c r="B328" s="102" t="s">
        <v>1017</v>
      </c>
    </row>
    <row r="329" spans="1:2" x14ac:dyDescent="0.25">
      <c r="A329" t="s">
        <v>1018</v>
      </c>
      <c r="B329" s="102" t="s">
        <v>1019</v>
      </c>
    </row>
    <row r="330" spans="1:2" x14ac:dyDescent="0.25">
      <c r="A330" t="s">
        <v>1020</v>
      </c>
      <c r="B330" s="102" t="s">
        <v>1021</v>
      </c>
    </row>
    <row r="331" spans="1:2" x14ac:dyDescent="0.25">
      <c r="A331" t="s">
        <v>1022</v>
      </c>
      <c r="B331" s="102" t="s">
        <v>1023</v>
      </c>
    </row>
    <row r="332" spans="1:2" x14ac:dyDescent="0.25">
      <c r="A332" t="s">
        <v>1024</v>
      </c>
      <c r="B332" s="102" t="s">
        <v>1025</v>
      </c>
    </row>
    <row r="333" spans="1:2" x14ac:dyDescent="0.25">
      <c r="A333" t="s">
        <v>1026</v>
      </c>
      <c r="B333" s="102" t="s">
        <v>1027</v>
      </c>
    </row>
    <row r="334" spans="1:2" x14ac:dyDescent="0.25">
      <c r="A334" t="s">
        <v>1028</v>
      </c>
      <c r="B334" s="102" t="s">
        <v>1029</v>
      </c>
    </row>
    <row r="335" spans="1:2" x14ac:dyDescent="0.25">
      <c r="A335" t="s">
        <v>1030</v>
      </c>
      <c r="B335" s="102" t="s">
        <v>1031</v>
      </c>
    </row>
    <row r="336" spans="1:2" x14ac:dyDescent="0.25">
      <c r="A336" t="s">
        <v>1075</v>
      </c>
      <c r="B336" s="102" t="s">
        <v>1032</v>
      </c>
    </row>
    <row r="337" spans="1:2" x14ac:dyDescent="0.25">
      <c r="A337" t="s">
        <v>1036</v>
      </c>
      <c r="B337" s="102" t="s">
        <v>1037</v>
      </c>
    </row>
    <row r="338" spans="1:2" x14ac:dyDescent="0.25">
      <c r="A338" t="s">
        <v>1038</v>
      </c>
      <c r="B338" s="102" t="s">
        <v>1039</v>
      </c>
    </row>
    <row r="339" spans="1:2" x14ac:dyDescent="0.25">
      <c r="A339" t="s">
        <v>1076</v>
      </c>
      <c r="B339" s="102" t="s">
        <v>1040</v>
      </c>
    </row>
    <row r="340" spans="1:2" x14ac:dyDescent="0.25">
      <c r="A340" t="s">
        <v>1041</v>
      </c>
      <c r="B340" s="102" t="s">
        <v>1042</v>
      </c>
    </row>
    <row r="341" spans="1:2" x14ac:dyDescent="0.25">
      <c r="A341" t="s">
        <v>1330</v>
      </c>
      <c r="B341" s="102" t="s">
        <v>1043</v>
      </c>
    </row>
    <row r="342" spans="1:2" x14ac:dyDescent="0.25">
      <c r="A342" t="s">
        <v>1044</v>
      </c>
      <c r="B342" s="102" t="s">
        <v>1045</v>
      </c>
    </row>
    <row r="343" spans="1:2" x14ac:dyDescent="0.25">
      <c r="A343" t="s">
        <v>1046</v>
      </c>
      <c r="B343" s="102" t="s">
        <v>1047</v>
      </c>
    </row>
    <row r="344" spans="1:2" x14ac:dyDescent="0.25">
      <c r="A344" t="s">
        <v>1626</v>
      </c>
      <c r="B344" s="102" t="s">
        <v>1048</v>
      </c>
    </row>
    <row r="345" spans="1:2" x14ac:dyDescent="0.25">
      <c r="A345" t="s">
        <v>1049</v>
      </c>
      <c r="B345" s="102" t="s">
        <v>1050</v>
      </c>
    </row>
    <row r="346" spans="1:2" x14ac:dyDescent="0.25">
      <c r="A346" t="s">
        <v>1077</v>
      </c>
      <c r="B346" s="102" t="s">
        <v>1078</v>
      </c>
    </row>
    <row r="347" spans="1:2" x14ac:dyDescent="0.25">
      <c r="A347" t="s">
        <v>1079</v>
      </c>
      <c r="B347" s="102" t="s">
        <v>1080</v>
      </c>
    </row>
    <row r="348" spans="1:2" x14ac:dyDescent="0.25">
      <c r="A348" t="s">
        <v>1081</v>
      </c>
      <c r="B348" s="102" t="s">
        <v>1082</v>
      </c>
    </row>
    <row r="349" spans="1:2" x14ac:dyDescent="0.25">
      <c r="A349" t="s">
        <v>1083</v>
      </c>
      <c r="B349" s="102" t="s">
        <v>1084</v>
      </c>
    </row>
    <row r="350" spans="1:2" x14ac:dyDescent="0.25">
      <c r="A350" t="s">
        <v>1085</v>
      </c>
      <c r="B350" s="102" t="s">
        <v>1086</v>
      </c>
    </row>
    <row r="351" spans="1:2" x14ac:dyDescent="0.25">
      <c r="A351" t="s">
        <v>1087</v>
      </c>
      <c r="B351" s="102" t="s">
        <v>1088</v>
      </c>
    </row>
    <row r="352" spans="1:2" x14ac:dyDescent="0.25">
      <c r="A352" t="s">
        <v>1089</v>
      </c>
      <c r="B352" s="102" t="s">
        <v>1090</v>
      </c>
    </row>
    <row r="353" spans="1:2" x14ac:dyDescent="0.25">
      <c r="A353" t="s">
        <v>1091</v>
      </c>
      <c r="B353" s="102" t="s">
        <v>1092</v>
      </c>
    </row>
    <row r="354" spans="1:2" x14ac:dyDescent="0.25">
      <c r="A354" t="s">
        <v>1093</v>
      </c>
      <c r="B354" s="102" t="s">
        <v>1094</v>
      </c>
    </row>
    <row r="355" spans="1:2" x14ac:dyDescent="0.25">
      <c r="A355" t="s">
        <v>1095</v>
      </c>
      <c r="B355" s="102" t="s">
        <v>1096</v>
      </c>
    </row>
    <row r="356" spans="1:2" x14ac:dyDescent="0.25">
      <c r="A356" t="s">
        <v>1097</v>
      </c>
      <c r="B356" s="102" t="s">
        <v>1098</v>
      </c>
    </row>
    <row r="357" spans="1:2" x14ac:dyDescent="0.25">
      <c r="A357" t="s">
        <v>1099</v>
      </c>
      <c r="B357" s="102" t="s">
        <v>1100</v>
      </c>
    </row>
    <row r="358" spans="1:2" x14ac:dyDescent="0.25">
      <c r="A358" t="s">
        <v>1101</v>
      </c>
      <c r="B358" s="102" t="s">
        <v>1102</v>
      </c>
    </row>
    <row r="359" spans="1:2" x14ac:dyDescent="0.25">
      <c r="A359" t="s">
        <v>1103</v>
      </c>
      <c r="B359" s="102" t="s">
        <v>1104</v>
      </c>
    </row>
    <row r="360" spans="1:2" x14ac:dyDescent="0.25">
      <c r="A360" t="s">
        <v>1105</v>
      </c>
      <c r="B360" s="102" t="s">
        <v>1106</v>
      </c>
    </row>
    <row r="361" spans="1:2" x14ac:dyDescent="0.25">
      <c r="A361" t="s">
        <v>1107</v>
      </c>
      <c r="B361" s="102" t="s">
        <v>1108</v>
      </c>
    </row>
    <row r="362" spans="1:2" x14ac:dyDescent="0.25">
      <c r="A362" t="s">
        <v>1109</v>
      </c>
      <c r="B362" s="102" t="s">
        <v>1110</v>
      </c>
    </row>
    <row r="363" spans="1:2" x14ac:dyDescent="0.25">
      <c r="A363" t="s">
        <v>1111</v>
      </c>
      <c r="B363" s="102" t="s">
        <v>1112</v>
      </c>
    </row>
    <row r="364" spans="1:2" x14ac:dyDescent="0.25">
      <c r="A364" t="s">
        <v>1113</v>
      </c>
      <c r="B364" s="102" t="s">
        <v>1114</v>
      </c>
    </row>
    <row r="365" spans="1:2" x14ac:dyDescent="0.25">
      <c r="A365" t="s">
        <v>1115</v>
      </c>
      <c r="B365" s="102" t="s">
        <v>1116</v>
      </c>
    </row>
    <row r="366" spans="1:2" x14ac:dyDescent="0.25">
      <c r="A366" t="s">
        <v>1117</v>
      </c>
      <c r="B366" s="102" t="s">
        <v>1118</v>
      </c>
    </row>
    <row r="367" spans="1:2" x14ac:dyDescent="0.25">
      <c r="A367" t="s">
        <v>1289</v>
      </c>
      <c r="B367" s="102" t="s">
        <v>1119</v>
      </c>
    </row>
    <row r="368" spans="1:2" x14ac:dyDescent="0.25">
      <c r="A368" t="s">
        <v>1120</v>
      </c>
      <c r="B368" s="102" t="s">
        <v>1121</v>
      </c>
    </row>
    <row r="369" spans="1:2" x14ac:dyDescent="0.25">
      <c r="A369" t="s">
        <v>1122</v>
      </c>
      <c r="B369" s="102" t="s">
        <v>1123</v>
      </c>
    </row>
    <row r="370" spans="1:2" x14ac:dyDescent="0.25">
      <c r="A370" t="s">
        <v>1124</v>
      </c>
      <c r="B370" s="102" t="s">
        <v>1125</v>
      </c>
    </row>
    <row r="371" spans="1:2" x14ac:dyDescent="0.25">
      <c r="A371" t="s">
        <v>1126</v>
      </c>
      <c r="B371" s="102" t="s">
        <v>1127</v>
      </c>
    </row>
    <row r="372" spans="1:2" x14ac:dyDescent="0.25">
      <c r="A372" t="s">
        <v>1128</v>
      </c>
      <c r="B372" s="102" t="s">
        <v>1129</v>
      </c>
    </row>
    <row r="373" spans="1:2" x14ac:dyDescent="0.25">
      <c r="A373" t="s">
        <v>1130</v>
      </c>
      <c r="B373" s="102" t="s">
        <v>1131</v>
      </c>
    </row>
    <row r="374" spans="1:2" x14ac:dyDescent="0.25">
      <c r="A374" t="s">
        <v>1132</v>
      </c>
      <c r="B374" s="102" t="s">
        <v>1133</v>
      </c>
    </row>
    <row r="375" spans="1:2" x14ac:dyDescent="0.25">
      <c r="A375" t="s">
        <v>1134</v>
      </c>
      <c r="B375" s="102" t="s">
        <v>1135</v>
      </c>
    </row>
    <row r="376" spans="1:2" x14ac:dyDescent="0.25">
      <c r="A376" t="s">
        <v>1136</v>
      </c>
      <c r="B376" s="102" t="s">
        <v>1137</v>
      </c>
    </row>
    <row r="377" spans="1:2" x14ac:dyDescent="0.25">
      <c r="A377" t="s">
        <v>1338</v>
      </c>
      <c r="B377" s="102" t="s">
        <v>1138</v>
      </c>
    </row>
    <row r="378" spans="1:2" x14ac:dyDescent="0.25">
      <c r="A378" t="s">
        <v>1139</v>
      </c>
      <c r="B378" s="102" t="s">
        <v>1140</v>
      </c>
    </row>
    <row r="379" spans="1:2" x14ac:dyDescent="0.25">
      <c r="A379" t="s">
        <v>1141</v>
      </c>
      <c r="B379" s="102" t="s">
        <v>1142</v>
      </c>
    </row>
    <row r="380" spans="1:2" x14ac:dyDescent="0.25">
      <c r="A380" t="s">
        <v>1143</v>
      </c>
      <c r="B380" s="102" t="s">
        <v>1144</v>
      </c>
    </row>
    <row r="381" spans="1:2" x14ac:dyDescent="0.25">
      <c r="A381" t="s">
        <v>1145</v>
      </c>
      <c r="B381" s="102" t="s">
        <v>1146</v>
      </c>
    </row>
    <row r="382" spans="1:2" x14ac:dyDescent="0.25">
      <c r="A382" t="s">
        <v>1055</v>
      </c>
      <c r="B382" s="102" t="s">
        <v>1147</v>
      </c>
    </row>
    <row r="383" spans="1:2" x14ac:dyDescent="0.25">
      <c r="A383" t="s">
        <v>1148</v>
      </c>
      <c r="B383" s="102" t="s">
        <v>1149</v>
      </c>
    </row>
    <row r="384" spans="1:2" x14ac:dyDescent="0.25">
      <c r="A384" t="s">
        <v>1350</v>
      </c>
      <c r="B384" s="102" t="s">
        <v>1150</v>
      </c>
    </row>
    <row r="385" spans="1:2" x14ac:dyDescent="0.25">
      <c r="A385" t="s">
        <v>1309</v>
      </c>
      <c r="B385" s="102" t="s">
        <v>1308</v>
      </c>
    </row>
    <row r="386" spans="1:2" x14ac:dyDescent="0.25">
      <c r="A386" t="s">
        <v>1151</v>
      </c>
      <c r="B386" s="102" t="s">
        <v>1152</v>
      </c>
    </row>
    <row r="387" spans="1:2" x14ac:dyDescent="0.25">
      <c r="A387" t="s">
        <v>1153</v>
      </c>
      <c r="B387" s="102" t="s">
        <v>1154</v>
      </c>
    </row>
    <row r="388" spans="1:2" x14ac:dyDescent="0.25">
      <c r="A388" t="s">
        <v>1290</v>
      </c>
      <c r="B388" s="102" t="s">
        <v>1291</v>
      </c>
    </row>
    <row r="389" spans="1:2" x14ac:dyDescent="0.25">
      <c r="A389" t="s">
        <v>1292</v>
      </c>
      <c r="B389" s="102" t="s">
        <v>1293</v>
      </c>
    </row>
    <row r="390" spans="1:2" x14ac:dyDescent="0.25">
      <c r="A390" t="s">
        <v>1294</v>
      </c>
      <c r="B390" s="102" t="s">
        <v>1295</v>
      </c>
    </row>
    <row r="391" spans="1:2" x14ac:dyDescent="0.25">
      <c r="A391" t="s">
        <v>1296</v>
      </c>
      <c r="B391" s="102" t="s">
        <v>1297</v>
      </c>
    </row>
    <row r="392" spans="1:2" x14ac:dyDescent="0.25">
      <c r="A392" t="s">
        <v>1298</v>
      </c>
      <c r="B392" s="102" t="s">
        <v>1299</v>
      </c>
    </row>
    <row r="393" spans="1:2" x14ac:dyDescent="0.25">
      <c r="A393" t="s">
        <v>1300</v>
      </c>
      <c r="B393" s="102" t="s">
        <v>1301</v>
      </c>
    </row>
    <row r="394" spans="1:2" x14ac:dyDescent="0.25">
      <c r="A394" t="s">
        <v>1302</v>
      </c>
      <c r="B394" s="102" t="s">
        <v>1303</v>
      </c>
    </row>
    <row r="395" spans="1:2" x14ac:dyDescent="0.25">
      <c r="A395" t="s">
        <v>1304</v>
      </c>
      <c r="B395" s="102" t="s">
        <v>1305</v>
      </c>
    </row>
    <row r="396" spans="1:2" x14ac:dyDescent="0.25">
      <c r="A396" t="s">
        <v>1331</v>
      </c>
      <c r="B396" s="102" t="s">
        <v>1332</v>
      </c>
    </row>
    <row r="397" spans="1:2" x14ac:dyDescent="0.25">
      <c r="A397" t="s">
        <v>1351</v>
      </c>
      <c r="B397" s="102" t="s">
        <v>1333</v>
      </c>
    </row>
    <row r="398" spans="1:2" x14ac:dyDescent="0.25">
      <c r="A398" t="s">
        <v>1366</v>
      </c>
      <c r="B398" s="102" t="s">
        <v>1334</v>
      </c>
    </row>
    <row r="399" spans="1:2" x14ac:dyDescent="0.25">
      <c r="A399" t="s">
        <v>1335</v>
      </c>
      <c r="B399" s="102" t="s">
        <v>1336</v>
      </c>
    </row>
    <row r="400" spans="1:2" x14ac:dyDescent="0.25">
      <c r="A400" t="s">
        <v>1339</v>
      </c>
      <c r="B400" s="102" t="s">
        <v>1340</v>
      </c>
    </row>
    <row r="401" spans="1:2" x14ac:dyDescent="0.25">
      <c r="A401" t="s">
        <v>1341</v>
      </c>
      <c r="B401" s="102" t="s">
        <v>1342</v>
      </c>
    </row>
    <row r="402" spans="1:2" x14ac:dyDescent="0.25">
      <c r="A402" t="s">
        <v>1343</v>
      </c>
      <c r="B402" s="102" t="s">
        <v>1344</v>
      </c>
    </row>
    <row r="403" spans="1:2" x14ac:dyDescent="0.25">
      <c r="A403" t="s">
        <v>1352</v>
      </c>
      <c r="B403" s="102" t="s">
        <v>1353</v>
      </c>
    </row>
    <row r="404" spans="1:2" x14ac:dyDescent="0.25">
      <c r="A404" t="s">
        <v>1354</v>
      </c>
      <c r="B404" s="102" t="s">
        <v>1355</v>
      </c>
    </row>
    <row r="405" spans="1:2" x14ac:dyDescent="0.25">
      <c r="A405" t="s">
        <v>1356</v>
      </c>
      <c r="B405" s="102" t="s">
        <v>1357</v>
      </c>
    </row>
    <row r="406" spans="1:2" x14ac:dyDescent="0.25">
      <c r="A406" t="s">
        <v>1358</v>
      </c>
      <c r="B406" s="102" t="s">
        <v>1359</v>
      </c>
    </row>
    <row r="407" spans="1:2" x14ac:dyDescent="0.25">
      <c r="A407" t="s">
        <v>985</v>
      </c>
      <c r="B407" s="102" t="s">
        <v>1360</v>
      </c>
    </row>
    <row r="408" spans="1:2" x14ac:dyDescent="0.25">
      <c r="A408" t="s">
        <v>1365</v>
      </c>
      <c r="B408" s="102" t="s">
        <v>1364</v>
      </c>
    </row>
    <row r="409" spans="1:2" x14ac:dyDescent="0.25">
      <c r="A409" t="s">
        <v>1672</v>
      </c>
      <c r="B409" s="102" t="s">
        <v>1367</v>
      </c>
    </row>
    <row r="410" spans="1:2" x14ac:dyDescent="0.25">
      <c r="A410" t="s">
        <v>1368</v>
      </c>
      <c r="B410" s="102" t="s">
        <v>1369</v>
      </c>
    </row>
    <row r="411" spans="1:2" x14ac:dyDescent="0.25">
      <c r="A411" t="s">
        <v>1372</v>
      </c>
      <c r="B411" s="102" t="s">
        <v>1373</v>
      </c>
    </row>
    <row r="412" spans="1:2" x14ac:dyDescent="0.25">
      <c r="A412" t="s">
        <v>1374</v>
      </c>
      <c r="B412" s="102" t="s">
        <v>1375</v>
      </c>
    </row>
    <row r="413" spans="1:2" x14ac:dyDescent="0.25">
      <c r="A413" t="s">
        <v>1376</v>
      </c>
      <c r="B413" s="102" t="s">
        <v>1377</v>
      </c>
    </row>
    <row r="414" spans="1:2" x14ac:dyDescent="0.25">
      <c r="A414" t="s">
        <v>1383</v>
      </c>
      <c r="B414" s="102" t="s">
        <v>1384</v>
      </c>
    </row>
    <row r="415" spans="1:2" x14ac:dyDescent="0.25">
      <c r="A415" t="s">
        <v>1385</v>
      </c>
      <c r="B415" s="102" t="s">
        <v>1386</v>
      </c>
    </row>
    <row r="416" spans="1:2" x14ac:dyDescent="0.25">
      <c r="A416" t="s">
        <v>1399</v>
      </c>
      <c r="B416" s="102" t="s">
        <v>1400</v>
      </c>
    </row>
    <row r="417" spans="1:2" x14ac:dyDescent="0.25">
      <c r="A417" t="s">
        <v>1401</v>
      </c>
      <c r="B417" s="102" t="s">
        <v>1402</v>
      </c>
    </row>
    <row r="418" spans="1:2" x14ac:dyDescent="0.25">
      <c r="A418" t="s">
        <v>1403</v>
      </c>
      <c r="B418" s="102" t="s">
        <v>1404</v>
      </c>
    </row>
    <row r="419" spans="1:2" x14ac:dyDescent="0.25">
      <c r="A419" t="s">
        <v>1405</v>
      </c>
      <c r="B419" s="102" t="s">
        <v>1406</v>
      </c>
    </row>
    <row r="420" spans="1:2" x14ac:dyDescent="0.25">
      <c r="A420" t="s">
        <v>1407</v>
      </c>
      <c r="B420" s="102" t="s">
        <v>1408</v>
      </c>
    </row>
    <row r="421" spans="1:2" x14ac:dyDescent="0.25">
      <c r="A421" t="s">
        <v>1409</v>
      </c>
      <c r="B421" s="102" t="s">
        <v>1410</v>
      </c>
    </row>
    <row r="422" spans="1:2" x14ac:dyDescent="0.25">
      <c r="A422" t="s">
        <v>1413</v>
      </c>
      <c r="B422" s="102" t="s">
        <v>1414</v>
      </c>
    </row>
    <row r="423" spans="1:2" x14ac:dyDescent="0.25">
      <c r="A423" t="s">
        <v>1415</v>
      </c>
      <c r="B423" s="102" t="s">
        <v>1416</v>
      </c>
    </row>
    <row r="424" spans="1:2" x14ac:dyDescent="0.25">
      <c r="A424" t="s">
        <v>1417</v>
      </c>
      <c r="B424" s="102" t="s">
        <v>1418</v>
      </c>
    </row>
    <row r="425" spans="1:2" x14ac:dyDescent="0.25">
      <c r="A425" t="s">
        <v>1419</v>
      </c>
      <c r="B425" s="102" t="s">
        <v>1420</v>
      </c>
    </row>
    <row r="426" spans="1:2" x14ac:dyDescent="0.25">
      <c r="A426" t="s">
        <v>1421</v>
      </c>
      <c r="B426" s="102" t="s">
        <v>1422</v>
      </c>
    </row>
    <row r="427" spans="1:2" x14ac:dyDescent="0.25">
      <c r="A427" t="s">
        <v>1423</v>
      </c>
      <c r="B427" s="102" t="s">
        <v>1424</v>
      </c>
    </row>
    <row r="428" spans="1:2" x14ac:dyDescent="0.25">
      <c r="A428" t="s">
        <v>1425</v>
      </c>
      <c r="B428" s="102" t="s">
        <v>1426</v>
      </c>
    </row>
    <row r="429" spans="1:2" x14ac:dyDescent="0.25">
      <c r="A429" t="s">
        <v>1427</v>
      </c>
      <c r="B429" s="102" t="s">
        <v>1428</v>
      </c>
    </row>
    <row r="430" spans="1:2" x14ac:dyDescent="0.25">
      <c r="A430" t="s">
        <v>1433</v>
      </c>
      <c r="B430" s="102" t="s">
        <v>1434</v>
      </c>
    </row>
    <row r="431" spans="1:2" x14ac:dyDescent="0.25">
      <c r="A431" t="s">
        <v>1450</v>
      </c>
      <c r="B431" s="102" t="s">
        <v>1451</v>
      </c>
    </row>
    <row r="432" spans="1:2" x14ac:dyDescent="0.25">
      <c r="A432" t="s">
        <v>1452</v>
      </c>
      <c r="B432" s="102" t="s">
        <v>1453</v>
      </c>
    </row>
    <row r="433" spans="1:2" x14ac:dyDescent="0.25">
      <c r="A433" t="s">
        <v>1454</v>
      </c>
      <c r="B433" s="102" t="s">
        <v>1455</v>
      </c>
    </row>
    <row r="434" spans="1:2" x14ac:dyDescent="0.25">
      <c r="A434" t="s">
        <v>1456</v>
      </c>
      <c r="B434" s="102" t="s">
        <v>1449</v>
      </c>
    </row>
    <row r="435" spans="1:2" x14ac:dyDescent="0.25">
      <c r="A435" t="s">
        <v>1457</v>
      </c>
      <c r="B435" s="102" t="s">
        <v>1458</v>
      </c>
    </row>
    <row r="436" spans="1:2" x14ac:dyDescent="0.25">
      <c r="A436" t="s">
        <v>1459</v>
      </c>
      <c r="B436" s="102" t="s">
        <v>1460</v>
      </c>
    </row>
    <row r="437" spans="1:2" x14ac:dyDescent="0.25">
      <c r="A437" t="s">
        <v>1461</v>
      </c>
      <c r="B437" s="102" t="s">
        <v>1462</v>
      </c>
    </row>
    <row r="438" spans="1:2" x14ac:dyDescent="0.25">
      <c r="A438" t="s">
        <v>1463</v>
      </c>
      <c r="B438" s="102" t="s">
        <v>1464</v>
      </c>
    </row>
    <row r="439" spans="1:2" x14ac:dyDescent="0.25">
      <c r="A439" t="s">
        <v>1477</v>
      </c>
      <c r="B439" s="102" t="s">
        <v>1476</v>
      </c>
    </row>
    <row r="440" spans="1:2" x14ac:dyDescent="0.25">
      <c r="A440" t="s">
        <v>1485</v>
      </c>
      <c r="B440" s="102" t="s">
        <v>1486</v>
      </c>
    </row>
    <row r="441" spans="1:2" x14ac:dyDescent="0.25">
      <c r="A441" t="s">
        <v>1487</v>
      </c>
      <c r="B441" s="102" t="s">
        <v>1484</v>
      </c>
    </row>
    <row r="442" spans="1:2" x14ac:dyDescent="0.25">
      <c r="A442" t="s">
        <v>1520</v>
      </c>
      <c r="B442" s="102" t="s">
        <v>1521</v>
      </c>
    </row>
    <row r="443" spans="1:2" x14ac:dyDescent="0.25">
      <c r="A443" t="s">
        <v>1541</v>
      </c>
      <c r="B443" s="102" t="s">
        <v>1540</v>
      </c>
    </row>
    <row r="444" spans="1:2" x14ac:dyDescent="0.25">
      <c r="A444" t="s">
        <v>1584</v>
      </c>
      <c r="B444" s="102" t="s">
        <v>1585</v>
      </c>
    </row>
    <row r="445" spans="1:2" x14ac:dyDescent="0.25">
      <c r="A445" t="s">
        <v>1586</v>
      </c>
      <c r="B445" s="102" t="s">
        <v>1587</v>
      </c>
    </row>
    <row r="446" spans="1:2" x14ac:dyDescent="0.25">
      <c r="A446" t="s">
        <v>1588</v>
      </c>
      <c r="B446" s="102" t="s">
        <v>1589</v>
      </c>
    </row>
    <row r="447" spans="1:2" x14ac:dyDescent="0.25">
      <c r="A447" t="s">
        <v>1590</v>
      </c>
      <c r="B447" s="102" t="s">
        <v>1591</v>
      </c>
    </row>
    <row r="448" spans="1:2" x14ac:dyDescent="0.25">
      <c r="A448" t="s">
        <v>1592</v>
      </c>
      <c r="B448" s="102" t="s">
        <v>1593</v>
      </c>
    </row>
    <row r="449" spans="1:2" x14ac:dyDescent="0.25">
      <c r="A449" t="s">
        <v>1635</v>
      </c>
      <c r="B449" s="102" t="s">
        <v>1594</v>
      </c>
    </row>
    <row r="450" spans="1:2" x14ac:dyDescent="0.25">
      <c r="A450" t="s">
        <v>1595</v>
      </c>
      <c r="B450" s="102" t="s">
        <v>1596</v>
      </c>
    </row>
    <row r="451" spans="1:2" x14ac:dyDescent="0.25">
      <c r="A451" t="s">
        <v>1608</v>
      </c>
      <c r="B451" s="102" t="s">
        <v>1597</v>
      </c>
    </row>
    <row r="452" spans="1:2" x14ac:dyDescent="0.25">
      <c r="A452" t="s">
        <v>1609</v>
      </c>
      <c r="B452" s="102" t="s">
        <v>1599</v>
      </c>
    </row>
    <row r="453" spans="1:2" x14ac:dyDescent="0.25">
      <c r="A453" t="s">
        <v>1598</v>
      </c>
      <c r="B453" s="102" t="s">
        <v>1600</v>
      </c>
    </row>
    <row r="454" spans="1:2" x14ac:dyDescent="0.25">
      <c r="A454" t="s">
        <v>1610</v>
      </c>
      <c r="B454" s="102" t="s">
        <v>1611</v>
      </c>
    </row>
    <row r="455" spans="1:2" x14ac:dyDescent="0.25">
      <c r="A455" t="s">
        <v>1612</v>
      </c>
      <c r="B455" s="102" t="s">
        <v>1613</v>
      </c>
    </row>
    <row r="456" spans="1:2" x14ac:dyDescent="0.25">
      <c r="A456" t="s">
        <v>1677</v>
      </c>
      <c r="B456" s="102" t="s">
        <v>1614</v>
      </c>
    </row>
    <row r="457" spans="1:2" x14ac:dyDescent="0.25">
      <c r="A457" t="s">
        <v>1615</v>
      </c>
      <c r="B457" s="102" t="s">
        <v>1616</v>
      </c>
    </row>
    <row r="458" spans="1:2" x14ac:dyDescent="0.25">
      <c r="A458" t="s">
        <v>1617</v>
      </c>
      <c r="B458" s="102" t="s">
        <v>1618</v>
      </c>
    </row>
    <row r="459" spans="1:2" x14ac:dyDescent="0.25">
      <c r="A459" t="s">
        <v>1619</v>
      </c>
      <c r="B459" s="102" t="s">
        <v>1620</v>
      </c>
    </row>
    <row r="460" spans="1:2" x14ac:dyDescent="0.25">
      <c r="A460" t="s">
        <v>1621</v>
      </c>
      <c r="B460" s="102" t="s">
        <v>1622</v>
      </c>
    </row>
    <row r="461" spans="1:2" x14ac:dyDescent="0.25">
      <c r="A461" t="s">
        <v>1678</v>
      </c>
      <c r="B461" s="102" t="s">
        <v>1623</v>
      </c>
    </row>
    <row r="462" spans="1:2" x14ac:dyDescent="0.25">
      <c r="A462" t="s">
        <v>1624</v>
      </c>
      <c r="B462" s="102" t="s">
        <v>1625</v>
      </c>
    </row>
    <row r="463" spans="1:2" x14ac:dyDescent="0.25">
      <c r="A463" t="s">
        <v>1648</v>
      </c>
      <c r="B463" s="102" t="s">
        <v>1649</v>
      </c>
    </row>
    <row r="464" spans="1:2" x14ac:dyDescent="0.25">
      <c r="A464" t="s">
        <v>1650</v>
      </c>
      <c r="B464" s="102" t="s">
        <v>1651</v>
      </c>
    </row>
    <row r="465" spans="1:2" x14ac:dyDescent="0.25">
      <c r="A465" t="s">
        <v>1652</v>
      </c>
      <c r="B465" s="102" t="s">
        <v>1653</v>
      </c>
    </row>
    <row r="466" spans="1:2" x14ac:dyDescent="0.25">
      <c r="A466" t="s">
        <v>1654</v>
      </c>
      <c r="B466" s="102" t="s">
        <v>1655</v>
      </c>
    </row>
    <row r="467" spans="1:2" x14ac:dyDescent="0.25">
      <c r="A467" t="s">
        <v>1656</v>
      </c>
      <c r="B467" s="102" t="s">
        <v>1657</v>
      </c>
    </row>
    <row r="468" spans="1:2" x14ac:dyDescent="0.25">
      <c r="A468" t="s">
        <v>1658</v>
      </c>
      <c r="B468" s="102" t="s">
        <v>1659</v>
      </c>
    </row>
    <row r="469" spans="1:2" x14ac:dyDescent="0.25">
      <c r="A469" t="s">
        <v>1660</v>
      </c>
      <c r="B469" s="102" t="s">
        <v>1661</v>
      </c>
    </row>
    <row r="470" spans="1:2" x14ac:dyDescent="0.25">
      <c r="A470" t="s">
        <v>1662</v>
      </c>
      <c r="B470" s="102" t="s">
        <v>1663</v>
      </c>
    </row>
    <row r="471" spans="1:2" x14ac:dyDescent="0.25">
      <c r="A471" t="s">
        <v>1664</v>
      </c>
      <c r="B471" s="102" t="s">
        <v>1665</v>
      </c>
    </row>
    <row r="472" spans="1:2" x14ac:dyDescent="0.25">
      <c r="A472" t="s">
        <v>1666</v>
      </c>
      <c r="B472" s="102" t="s">
        <v>1667</v>
      </c>
    </row>
    <row r="473" spans="1:2" x14ac:dyDescent="0.25">
      <c r="A473" t="s">
        <v>1679</v>
      </c>
      <c r="B473" s="102" t="s">
        <v>1680</v>
      </c>
    </row>
    <row r="474" spans="1:2" x14ac:dyDescent="0.25">
      <c r="A474" t="s">
        <v>1681</v>
      </c>
      <c r="B474" s="102" t="s">
        <v>1682</v>
      </c>
    </row>
    <row r="475" spans="1:2" x14ac:dyDescent="0.25">
      <c r="A475" t="s">
        <v>1683</v>
      </c>
      <c r="B475" s="102" t="s">
        <v>1684</v>
      </c>
    </row>
    <row r="476" spans="1:2" x14ac:dyDescent="0.25">
      <c r="A476" t="s">
        <v>1685</v>
      </c>
      <c r="B476" s="102" t="s">
        <v>1686</v>
      </c>
    </row>
    <row r="477" spans="1:2" x14ac:dyDescent="0.25">
      <c r="A477" t="s">
        <v>1704</v>
      </c>
      <c r="B477" s="102" t="s">
        <v>1705</v>
      </c>
    </row>
    <row r="478" spans="1:2" x14ac:dyDescent="0.25">
      <c r="A478" t="s">
        <v>1706</v>
      </c>
      <c r="B478" s="102" t="s">
        <v>1707</v>
      </c>
    </row>
    <row r="479" spans="1:2" x14ac:dyDescent="0.25">
      <c r="A479" t="s">
        <v>1708</v>
      </c>
      <c r="B479" s="102" t="s">
        <v>1709</v>
      </c>
    </row>
    <row r="480" spans="1:2" x14ac:dyDescent="0.25">
      <c r="A480" t="s">
        <v>1710</v>
      </c>
      <c r="B480" s="102" t="s">
        <v>1711</v>
      </c>
    </row>
    <row r="481" spans="1:2" x14ac:dyDescent="0.25">
      <c r="A481" t="s">
        <v>1712</v>
      </c>
      <c r="B481" s="102" t="s">
        <v>1713</v>
      </c>
    </row>
    <row r="482" spans="1:2" x14ac:dyDescent="0.25">
      <c r="A482" t="s">
        <v>1714</v>
      </c>
      <c r="B482" s="102" t="s">
        <v>1715</v>
      </c>
    </row>
    <row r="483" spans="1:2" x14ac:dyDescent="0.25">
      <c r="A483" t="s">
        <v>1716</v>
      </c>
      <c r="B483" s="102" t="s">
        <v>1717</v>
      </c>
    </row>
    <row r="484" spans="1:2" x14ac:dyDescent="0.25">
      <c r="A484" t="s">
        <v>1718</v>
      </c>
      <c r="B484" s="102" t="s">
        <v>1719</v>
      </c>
    </row>
    <row r="485" spans="1:2" x14ac:dyDescent="0.25">
      <c r="A485" t="s">
        <v>1720</v>
      </c>
      <c r="B485" s="102" t="s">
        <v>1721</v>
      </c>
    </row>
    <row r="486" spans="1:2" x14ac:dyDescent="0.25">
      <c r="A486" t="s">
        <v>1722</v>
      </c>
      <c r="B486" s="102" t="s">
        <v>1723</v>
      </c>
    </row>
    <row r="487" spans="1:2" x14ac:dyDescent="0.25">
      <c r="A487" t="s">
        <v>1724</v>
      </c>
      <c r="B487" s="102" t="s">
        <v>1725</v>
      </c>
    </row>
    <row r="488" spans="1:2" x14ac:dyDescent="0.25">
      <c r="A488" t="s">
        <v>1726</v>
      </c>
      <c r="B488" s="102" t="s">
        <v>1727</v>
      </c>
    </row>
    <row r="489" spans="1:2" x14ac:dyDescent="0.25">
      <c r="A489" t="s">
        <v>1728</v>
      </c>
      <c r="B489" s="102" t="s">
        <v>1729</v>
      </c>
    </row>
    <row r="490" spans="1:2" x14ac:dyDescent="0.25">
      <c r="A490" t="s">
        <v>1730</v>
      </c>
      <c r="B490" s="102" t="s">
        <v>1731</v>
      </c>
    </row>
    <row r="491" spans="1:2" x14ac:dyDescent="0.25">
      <c r="A491" t="s">
        <v>1732</v>
      </c>
      <c r="B491" s="102" t="s">
        <v>1733</v>
      </c>
    </row>
    <row r="492" spans="1:2" x14ac:dyDescent="0.25">
      <c r="A492" t="s">
        <v>1734</v>
      </c>
      <c r="B492" s="102" t="s">
        <v>1735</v>
      </c>
    </row>
    <row r="493" spans="1:2" x14ac:dyDescent="0.25">
      <c r="A493" t="s">
        <v>1736</v>
      </c>
      <c r="B493" s="102" t="s">
        <v>1737</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2:BB18197"/>
  <sheetViews>
    <sheetView showGridLines="0" topLeftCell="A2" zoomScale="130" zoomScaleNormal="130" workbookViewId="0">
      <pane ySplit="6" topLeftCell="A18097" activePane="bottomLeft" state="frozen"/>
      <selection activeCell="D26" sqref="D26"/>
      <selection pane="bottomLeft" activeCell="H18114" sqref="H18114"/>
    </sheetView>
  </sheetViews>
  <sheetFormatPr defaultColWidth="8.85546875" defaultRowHeight="11.25" x14ac:dyDescent="0.2"/>
  <cols>
    <col min="1" max="1" width="5.28515625" style="133" customWidth="1"/>
    <col min="2" max="2" width="4.7109375" style="133" customWidth="1"/>
    <col min="3" max="3" width="4" style="133" customWidth="1"/>
    <col min="4" max="4" width="5.42578125" style="133" customWidth="1"/>
    <col min="5" max="5" width="8.28515625" style="133" customWidth="1"/>
    <col min="6" max="6" width="31.7109375" style="133" customWidth="1"/>
    <col min="7" max="7" width="7.85546875" style="174" customWidth="1"/>
    <col min="8" max="8" width="6.85546875" style="148" customWidth="1"/>
    <col min="9" max="9" width="6.28515625" style="148" customWidth="1"/>
    <col min="10" max="10" width="32.7109375" style="149" customWidth="1"/>
    <col min="11" max="12" width="13.7109375" style="172" bestFit="1" customWidth="1"/>
    <col min="13" max="13" width="10.28515625" style="133" customWidth="1"/>
    <col min="14" max="14" width="17" style="133" bestFit="1" customWidth="1"/>
    <col min="15" max="15" width="12.85546875" style="133" bestFit="1" customWidth="1"/>
    <col min="16" max="16" width="14.5703125" style="133" bestFit="1" customWidth="1"/>
    <col min="17" max="18" width="19.42578125" style="133" bestFit="1" customWidth="1"/>
    <col min="19" max="19" width="13.5703125" style="133" bestFit="1" customWidth="1"/>
    <col min="20" max="20" width="10.28515625" style="133" bestFit="1" customWidth="1"/>
    <col min="21" max="21" width="11.7109375" style="133" bestFit="1" customWidth="1"/>
    <col min="22" max="22" width="9.28515625" style="133" bestFit="1" customWidth="1"/>
    <col min="23" max="23" width="11.7109375" style="133" bestFit="1" customWidth="1"/>
    <col min="24" max="16384" width="8.85546875" style="133"/>
  </cols>
  <sheetData>
    <row r="2" spans="1:17" x14ac:dyDescent="0.2">
      <c r="A2" s="496" t="s">
        <v>122</v>
      </c>
      <c r="B2" s="496"/>
      <c r="C2" s="496"/>
      <c r="D2" s="496"/>
      <c r="E2" s="496"/>
      <c r="F2" s="496"/>
      <c r="G2" s="446"/>
      <c r="H2" s="446"/>
      <c r="I2" s="446"/>
      <c r="J2" s="446"/>
      <c r="K2" s="446"/>
      <c r="L2" s="445">
        <f>K6-L6</f>
        <v>-1.575469970703125E-3</v>
      </c>
    </row>
    <row r="3" spans="1:17" x14ac:dyDescent="0.2">
      <c r="A3" s="496" t="s">
        <v>118</v>
      </c>
      <c r="B3" s="496"/>
      <c r="C3" s="496"/>
      <c r="D3" s="496"/>
      <c r="E3" s="496"/>
      <c r="F3" s="496"/>
      <c r="G3" s="446"/>
      <c r="H3" s="446"/>
      <c r="I3" s="446"/>
      <c r="J3" s="446"/>
      <c r="K3" s="446"/>
      <c r="L3" s="172">
        <f>SUM('TB-C'!H7:H5014)-SUM('TB-C'!I7:I5014)</f>
        <v>2.8882473707199097E-3</v>
      </c>
    </row>
    <row r="4" spans="1:17" x14ac:dyDescent="0.2">
      <c r="A4" s="506" t="s">
        <v>121</v>
      </c>
      <c r="B4" s="506"/>
      <c r="C4" s="506"/>
      <c r="D4" s="506"/>
      <c r="E4" s="506"/>
      <c r="F4" s="506"/>
      <c r="G4" s="446"/>
      <c r="H4" s="446"/>
      <c r="I4" s="446"/>
      <c r="J4" s="446"/>
      <c r="K4" s="446"/>
      <c r="L4" s="446">
        <f>BS!C25-BS!C40</f>
        <v>0</v>
      </c>
    </row>
    <row r="5" spans="1:17" x14ac:dyDescent="0.2">
      <c r="A5" s="508" t="s">
        <v>120</v>
      </c>
      <c r="B5" s="508"/>
      <c r="C5" s="508"/>
      <c r="D5" s="508"/>
      <c r="E5" s="508"/>
      <c r="F5" s="508"/>
      <c r="G5" s="507">
        <f>BS!C23-CF!B44</f>
        <v>-2739690.0668895207</v>
      </c>
      <c r="H5" s="507"/>
      <c r="I5" s="507"/>
      <c r="J5" s="507"/>
      <c r="K5" s="507"/>
      <c r="L5" s="507"/>
      <c r="M5" s="316"/>
    </row>
    <row r="6" spans="1:17" x14ac:dyDescent="0.2">
      <c r="A6" s="134"/>
      <c r="B6" s="134"/>
      <c r="C6" s="134"/>
      <c r="D6" s="134"/>
      <c r="E6" s="134"/>
      <c r="F6" s="134"/>
      <c r="G6" s="135"/>
      <c r="H6" s="136"/>
      <c r="I6" s="136"/>
      <c r="J6" s="160">
        <f>ROUND(L6-K6,0)</f>
        <v>0</v>
      </c>
      <c r="K6" s="229">
        <f>SUBTOTAL(9,K9:K22408)</f>
        <v>6726483605.8960676</v>
      </c>
      <c r="L6" s="229">
        <f>SUBTOTAL(9,L9:L22408)</f>
        <v>6726483605.8976431</v>
      </c>
      <c r="M6" s="160"/>
      <c r="N6" s="315"/>
    </row>
    <row r="7" spans="1:17" s="140" customFormat="1" ht="30" customHeight="1" x14ac:dyDescent="0.2">
      <c r="A7" s="137" t="s">
        <v>68</v>
      </c>
      <c r="B7" s="138" t="s">
        <v>69</v>
      </c>
      <c r="C7" s="138" t="s">
        <v>70</v>
      </c>
      <c r="D7" s="138" t="s">
        <v>71</v>
      </c>
      <c r="E7" s="138"/>
      <c r="F7" s="139" t="s">
        <v>57</v>
      </c>
      <c r="G7" s="138" t="s">
        <v>75</v>
      </c>
      <c r="H7" s="137"/>
      <c r="I7" s="137"/>
      <c r="J7" s="138" t="s">
        <v>54</v>
      </c>
      <c r="K7" s="230" t="s">
        <v>55</v>
      </c>
      <c r="L7" s="230" t="s">
        <v>56</v>
      </c>
      <c r="N7" s="140" t="s">
        <v>245</v>
      </c>
    </row>
    <row r="8" spans="1:17" s="140" customFormat="1" x14ac:dyDescent="0.2">
      <c r="A8" s="138"/>
      <c r="B8" s="138"/>
      <c r="C8" s="138"/>
      <c r="D8" s="138"/>
      <c r="E8" s="138" t="s">
        <v>123</v>
      </c>
      <c r="F8" s="139"/>
      <c r="G8" s="138"/>
      <c r="H8" s="138"/>
      <c r="I8" s="138"/>
      <c r="J8" s="138"/>
      <c r="K8" s="230"/>
      <c r="L8" s="230"/>
    </row>
    <row r="9" spans="1:17" ht="33.75" x14ac:dyDescent="0.2">
      <c r="A9" s="141">
        <v>2019</v>
      </c>
      <c r="B9" s="141">
        <v>11</v>
      </c>
      <c r="C9" s="141">
        <v>26</v>
      </c>
      <c r="D9" s="141">
        <f t="shared" ref="D9:D72" si="0">DATE(A9,B9,C9)</f>
        <v>43795</v>
      </c>
      <c r="E9" s="275">
        <f>DATE(A9,B9,C9)</f>
        <v>43795</v>
      </c>
      <c r="F9" s="479" t="s">
        <v>964</v>
      </c>
      <c r="G9" s="220" t="s">
        <v>74</v>
      </c>
      <c r="H9" s="220" t="str" cm="1">
        <f t="array" ref="H9">IFERROR(INDEX(INVESTOR_LIST[INVESTOR NAME],MATCH(I9,INVESTOR_LIST[INVESTOR CODE],0),)," ")</f>
        <v>HARI PADA SAHA</v>
      </c>
      <c r="I9" s="142" t="s">
        <v>370</v>
      </c>
      <c r="J9" s="143" t="s">
        <v>52</v>
      </c>
      <c r="K9" s="226">
        <v>500000</v>
      </c>
      <c r="L9" s="226"/>
      <c r="Q9" s="133" t="s">
        <v>370</v>
      </c>
    </row>
    <row r="10" spans="1:17" ht="33.75" x14ac:dyDescent="0.2">
      <c r="A10" s="144">
        <v>2019</v>
      </c>
      <c r="B10" s="144">
        <v>11</v>
      </c>
      <c r="C10" s="144">
        <v>26</v>
      </c>
      <c r="D10" s="141">
        <f t="shared" si="0"/>
        <v>43795</v>
      </c>
      <c r="E10" s="275">
        <f t="shared" ref="E10:E73" si="1">DATE(A10,B10,C10)</f>
        <v>43795</v>
      </c>
      <c r="F10" s="480"/>
      <c r="G10" s="221" t="s">
        <v>74</v>
      </c>
      <c r="H10" s="221" t="str" cm="1">
        <f t="array" ref="H10">IFERROR(INDEX(INVESTOR_LIST[INVESTOR NAME],MATCH(I10,INVESTOR_LIST[INVESTOR CODE],0),)," ")</f>
        <v>HARI PADA SAHA</v>
      </c>
      <c r="I10" s="145" t="s">
        <v>370</v>
      </c>
      <c r="J10" s="146" t="s">
        <v>13</v>
      </c>
      <c r="K10" s="219"/>
      <c r="L10" s="219">
        <v>500000</v>
      </c>
      <c r="M10" s="147">
        <v>0</v>
      </c>
      <c r="O10" s="133">
        <f ca="1">SUMIF(J9:L3763,"UNIT PREMIUM RESERVE",L9:L3763)</f>
        <v>39052551.794000119</v>
      </c>
      <c r="Q10" s="133" t="s">
        <v>370</v>
      </c>
    </row>
    <row r="11" spans="1:17" ht="11.25" customHeight="1" x14ac:dyDescent="0.2">
      <c r="A11" s="147">
        <v>2019</v>
      </c>
      <c r="B11" s="147">
        <v>11</v>
      </c>
      <c r="C11" s="147">
        <v>26</v>
      </c>
      <c r="D11" s="141">
        <f t="shared" si="0"/>
        <v>43795</v>
      </c>
      <c r="E11" s="275">
        <f t="shared" si="1"/>
        <v>43795</v>
      </c>
      <c r="F11" s="479" t="s">
        <v>964</v>
      </c>
      <c r="G11" s="174" t="s">
        <v>74</v>
      </c>
      <c r="H11" s="174" t="str" cm="1">
        <f t="array" ref="H11">IFERROR(INDEX(INVESTOR_LIST[INVESTOR NAME],MATCH(I11,INVESTOR_LIST[INVESTOR CODE],0),)," ")</f>
        <v>EKUSH WEALTH MANAGEMENT LIMITED</v>
      </c>
      <c r="I11" s="148" t="s">
        <v>371</v>
      </c>
      <c r="J11" s="149" t="s">
        <v>52</v>
      </c>
      <c r="K11" s="218">
        <v>10000000</v>
      </c>
      <c r="L11" s="218"/>
      <c r="M11" s="147">
        <v>0</v>
      </c>
      <c r="Q11" s="133" t="s">
        <v>371</v>
      </c>
    </row>
    <row r="12" spans="1:17" ht="56.25" x14ac:dyDescent="0.2">
      <c r="A12" s="144">
        <v>2019</v>
      </c>
      <c r="B12" s="144">
        <v>11</v>
      </c>
      <c r="C12" s="144">
        <v>26</v>
      </c>
      <c r="D12" s="141">
        <f t="shared" si="0"/>
        <v>43795</v>
      </c>
      <c r="E12" s="275">
        <f t="shared" si="1"/>
        <v>43795</v>
      </c>
      <c r="F12" s="480"/>
      <c r="G12" s="221" t="s">
        <v>74</v>
      </c>
      <c r="H12" s="221" t="str" cm="1">
        <f t="array" ref="H12">IFERROR(INDEX(INVESTOR_LIST[INVESTOR NAME],MATCH(I12,INVESTOR_LIST[INVESTOR CODE],0),)," ")</f>
        <v>EKUSH WEALTH MANAGEMENT LIMITED</v>
      </c>
      <c r="I12" s="145" t="s">
        <v>371</v>
      </c>
      <c r="J12" s="146" t="s">
        <v>13</v>
      </c>
      <c r="K12" s="219"/>
      <c r="L12" s="219">
        <v>10000000</v>
      </c>
      <c r="M12" s="147">
        <v>0</v>
      </c>
      <c r="Q12" s="133" t="s">
        <v>371</v>
      </c>
    </row>
    <row r="13" spans="1:17" x14ac:dyDescent="0.2">
      <c r="A13" s="141">
        <v>2019</v>
      </c>
      <c r="B13" s="141">
        <v>11</v>
      </c>
      <c r="C13" s="141">
        <v>26</v>
      </c>
      <c r="D13" s="141">
        <f t="shared" si="0"/>
        <v>43795</v>
      </c>
      <c r="E13" s="275">
        <f t="shared" si="1"/>
        <v>43795</v>
      </c>
      <c r="F13" s="479" t="s">
        <v>77</v>
      </c>
      <c r="G13" s="220" t="s">
        <v>74</v>
      </c>
      <c r="H13" s="174" t="str" cm="1">
        <f t="array" ref="H13">IFERROR(INDEX(INVESTOR_LIST[INVESTOR NAME],MATCH(I13,INVESTOR_LIST[INVESTOR CODE],0),)," ")</f>
        <v xml:space="preserve"> </v>
      </c>
      <c r="I13" s="148" t="s">
        <v>348</v>
      </c>
      <c r="J13" s="143" t="s">
        <v>61</v>
      </c>
      <c r="K13" s="226">
        <v>60</v>
      </c>
      <c r="L13" s="226"/>
      <c r="M13" s="147">
        <v>26</v>
      </c>
      <c r="Q13" s="133" t="s">
        <v>348</v>
      </c>
    </row>
    <row r="14" spans="1:17" x14ac:dyDescent="0.2">
      <c r="A14" s="144">
        <v>2019</v>
      </c>
      <c r="B14" s="144">
        <v>11</v>
      </c>
      <c r="C14" s="144">
        <v>26</v>
      </c>
      <c r="D14" s="141">
        <f t="shared" si="0"/>
        <v>43795</v>
      </c>
      <c r="E14" s="275">
        <f t="shared" si="1"/>
        <v>43795</v>
      </c>
      <c r="F14" s="480"/>
      <c r="G14" s="221" t="s">
        <v>74</v>
      </c>
      <c r="H14" s="221" t="str" cm="1">
        <f t="array" ref="H14">IFERROR(INDEX(INVESTOR_LIST[INVESTOR NAME],MATCH(I14,INVESTOR_LIST[INVESTOR CODE],0),)," ")</f>
        <v xml:space="preserve"> </v>
      </c>
      <c r="I14" s="145" t="s">
        <v>348</v>
      </c>
      <c r="J14" s="146" t="s">
        <v>52</v>
      </c>
      <c r="K14" s="219"/>
      <c r="L14" s="219">
        <v>60</v>
      </c>
      <c r="M14" s="147">
        <v>0</v>
      </c>
      <c r="Q14" s="133" t="s">
        <v>348</v>
      </c>
    </row>
    <row r="15" spans="1:17" ht="11.25" customHeight="1" x14ac:dyDescent="0.2">
      <c r="A15" s="141">
        <v>2019</v>
      </c>
      <c r="B15" s="147">
        <v>12</v>
      </c>
      <c r="C15" s="147">
        <v>22</v>
      </c>
      <c r="D15" s="141">
        <f t="shared" si="0"/>
        <v>43821</v>
      </c>
      <c r="E15" s="275">
        <f t="shared" si="1"/>
        <v>43821</v>
      </c>
      <c r="F15" s="479" t="s">
        <v>964</v>
      </c>
      <c r="G15" s="174" t="s">
        <v>74</v>
      </c>
      <c r="H15" s="174" t="str" cm="1">
        <f t="array" ref="H15">IFERROR(INDEX(INVESTOR_LIST[INVESTOR NAME],MATCH(I15,INVESTOR_LIST[INVESTOR CODE],0),)," ")</f>
        <v>SADIA AHMED</v>
      </c>
      <c r="I15" s="148" t="s">
        <v>372</v>
      </c>
      <c r="J15" s="149" t="s">
        <v>52</v>
      </c>
      <c r="K15" s="218">
        <v>700000</v>
      </c>
      <c r="L15" s="218"/>
      <c r="M15" s="147">
        <v>8</v>
      </c>
      <c r="Q15" s="133" t="s">
        <v>372</v>
      </c>
    </row>
    <row r="16" spans="1:17" ht="22.5" x14ac:dyDescent="0.2">
      <c r="A16" s="144">
        <v>2019</v>
      </c>
      <c r="B16" s="144">
        <v>12</v>
      </c>
      <c r="C16" s="144">
        <v>22</v>
      </c>
      <c r="D16" s="141">
        <f t="shared" si="0"/>
        <v>43821</v>
      </c>
      <c r="E16" s="275">
        <f t="shared" si="1"/>
        <v>43821</v>
      </c>
      <c r="F16" s="480"/>
      <c r="G16" s="221" t="s">
        <v>74</v>
      </c>
      <c r="H16" s="221" t="str" cm="1">
        <f t="array" ref="H16">IFERROR(INDEX(INVESTOR_LIST[INVESTOR NAME],MATCH(I16,INVESTOR_LIST[INVESTOR CODE],0),)," ")</f>
        <v>SADIA AHMED</v>
      </c>
      <c r="I16" s="145" t="s">
        <v>372</v>
      </c>
      <c r="J16" s="146" t="s">
        <v>13</v>
      </c>
      <c r="K16" s="219"/>
      <c r="L16" s="219">
        <v>700000</v>
      </c>
      <c r="M16" s="147">
        <v>0</v>
      </c>
      <c r="Q16" s="133" t="s">
        <v>372</v>
      </c>
    </row>
    <row r="17" spans="1:17" x14ac:dyDescent="0.2">
      <c r="A17" s="141">
        <v>2019</v>
      </c>
      <c r="B17" s="141">
        <v>12</v>
      </c>
      <c r="C17" s="141">
        <v>22</v>
      </c>
      <c r="D17" s="141">
        <f t="shared" si="0"/>
        <v>43821</v>
      </c>
      <c r="E17" s="275">
        <f t="shared" si="1"/>
        <v>43821</v>
      </c>
      <c r="F17" s="479" t="s">
        <v>77</v>
      </c>
      <c r="G17" s="220" t="s">
        <v>74</v>
      </c>
      <c r="H17" s="174" t="str" cm="1">
        <f t="array" ref="H17">IFERROR(INDEX(INVESTOR_LIST[INVESTOR NAME],MATCH(I17,INVESTOR_LIST[INVESTOR CODE],0),)," ")</f>
        <v xml:space="preserve"> </v>
      </c>
      <c r="I17" s="148" t="s">
        <v>348</v>
      </c>
      <c r="J17" s="143" t="s">
        <v>61</v>
      </c>
      <c r="K17" s="226">
        <v>25</v>
      </c>
      <c r="L17" s="226"/>
      <c r="M17" s="147">
        <v>0</v>
      </c>
      <c r="Q17" s="133" t="s">
        <v>348</v>
      </c>
    </row>
    <row r="18" spans="1:17" x14ac:dyDescent="0.2">
      <c r="A18" s="144">
        <v>2019</v>
      </c>
      <c r="B18" s="144">
        <v>12</v>
      </c>
      <c r="C18" s="144">
        <v>22</v>
      </c>
      <c r="D18" s="141">
        <f t="shared" si="0"/>
        <v>43821</v>
      </c>
      <c r="E18" s="275">
        <f t="shared" si="1"/>
        <v>43821</v>
      </c>
      <c r="F18" s="480"/>
      <c r="G18" s="221" t="s">
        <v>74</v>
      </c>
      <c r="H18" s="221" t="str" cm="1">
        <f t="array" ref="H18">IFERROR(INDEX(INVESTOR_LIST[INVESTOR NAME],MATCH(I18,INVESTOR_LIST[INVESTOR CODE],0),)," ")</f>
        <v xml:space="preserve"> </v>
      </c>
      <c r="I18" s="145" t="s">
        <v>348</v>
      </c>
      <c r="J18" s="146" t="s">
        <v>52</v>
      </c>
      <c r="K18" s="219"/>
      <c r="L18" s="219">
        <v>25</v>
      </c>
      <c r="M18" s="147">
        <v>0</v>
      </c>
      <c r="Q18" s="133" t="s">
        <v>348</v>
      </c>
    </row>
    <row r="19" spans="1:17" ht="11.25" customHeight="1" x14ac:dyDescent="0.2">
      <c r="A19" s="141">
        <v>2019</v>
      </c>
      <c r="B19" s="141">
        <v>12</v>
      </c>
      <c r="C19" s="141">
        <v>30</v>
      </c>
      <c r="D19" s="141">
        <f t="shared" si="0"/>
        <v>43829</v>
      </c>
      <c r="E19" s="275">
        <f t="shared" si="1"/>
        <v>43829</v>
      </c>
      <c r="F19" s="479" t="s">
        <v>270</v>
      </c>
      <c r="G19" s="220" t="s">
        <v>74</v>
      </c>
      <c r="H19" s="220" t="str" cm="1">
        <f t="array" ref="H19">IFERROR(INDEX(INVESTOR_LIST[INVESTOR NAME],MATCH(I19,INVESTOR_LIST[INVESTOR CODE],0),)," ")</f>
        <v xml:space="preserve"> </v>
      </c>
      <c r="I19" s="142" t="s">
        <v>348</v>
      </c>
      <c r="J19" s="143" t="s">
        <v>52</v>
      </c>
      <c r="K19" s="226">
        <v>66136</v>
      </c>
      <c r="L19" s="226"/>
      <c r="M19" s="147"/>
      <c r="Q19" s="133" t="s">
        <v>348</v>
      </c>
    </row>
    <row r="20" spans="1:17" x14ac:dyDescent="0.2">
      <c r="A20" s="144">
        <v>2019</v>
      </c>
      <c r="B20" s="144">
        <v>12</v>
      </c>
      <c r="C20" s="144">
        <v>30</v>
      </c>
      <c r="D20" s="141">
        <f t="shared" si="0"/>
        <v>43829</v>
      </c>
      <c r="E20" s="275">
        <f t="shared" si="1"/>
        <v>43829</v>
      </c>
      <c r="F20" s="480"/>
      <c r="G20" s="221" t="s">
        <v>74</v>
      </c>
      <c r="H20" s="221" t="str" cm="1">
        <f t="array" ref="H20">IFERROR(INDEX(INVESTOR_LIST[INVESTOR NAME],MATCH(I20,INVESTOR_LIST[INVESTOR CODE],0),)," ")</f>
        <v xml:space="preserve"> </v>
      </c>
      <c r="I20" s="145" t="s">
        <v>348</v>
      </c>
      <c r="J20" s="146" t="s">
        <v>60</v>
      </c>
      <c r="K20" s="219"/>
      <c r="L20" s="219">
        <v>66136</v>
      </c>
      <c r="M20" s="147">
        <v>0</v>
      </c>
      <c r="N20" s="156"/>
      <c r="Q20" s="133" t="s">
        <v>348</v>
      </c>
    </row>
    <row r="21" spans="1:17" ht="11.25" customHeight="1" x14ac:dyDescent="0.2">
      <c r="A21" s="147">
        <v>2019</v>
      </c>
      <c r="B21" s="147">
        <v>12</v>
      </c>
      <c r="C21" s="147">
        <v>30</v>
      </c>
      <c r="D21" s="141">
        <f t="shared" si="0"/>
        <v>43829</v>
      </c>
      <c r="E21" s="275">
        <f t="shared" si="1"/>
        <v>43829</v>
      </c>
      <c r="F21" s="479" t="s">
        <v>964</v>
      </c>
      <c r="G21" s="174" t="s">
        <v>74</v>
      </c>
      <c r="H21" s="174" t="str" cm="1">
        <f t="array" ref="H21">IFERROR(INDEX(INVESTOR_LIST[INVESTOR NAME],MATCH(I21,INVESTOR_LIST[INVESTOR CODE],0),)," ")</f>
        <v>MORSHEDA MIM</v>
      </c>
      <c r="I21" s="148" t="s">
        <v>373</v>
      </c>
      <c r="J21" s="149" t="s">
        <v>52</v>
      </c>
      <c r="K21" s="218">
        <v>50000</v>
      </c>
      <c r="L21" s="218"/>
      <c r="M21" s="147">
        <v>1</v>
      </c>
      <c r="N21" s="156"/>
      <c r="Q21" s="133" t="s">
        <v>373</v>
      </c>
    </row>
    <row r="22" spans="1:17" ht="22.5" x14ac:dyDescent="0.2">
      <c r="A22" s="144">
        <v>2019</v>
      </c>
      <c r="B22" s="144">
        <v>12</v>
      </c>
      <c r="C22" s="144">
        <v>30</v>
      </c>
      <c r="D22" s="141">
        <f t="shared" si="0"/>
        <v>43829</v>
      </c>
      <c r="E22" s="275">
        <f t="shared" si="1"/>
        <v>43829</v>
      </c>
      <c r="F22" s="480"/>
      <c r="G22" s="221" t="s">
        <v>74</v>
      </c>
      <c r="H22" s="221" t="str" cm="1">
        <f t="array" ref="H22">IFERROR(INDEX(INVESTOR_LIST[INVESTOR NAME],MATCH(I22,INVESTOR_LIST[INVESTOR CODE],0),)," ")</f>
        <v>MORSHEDA MIM</v>
      </c>
      <c r="I22" s="145" t="s">
        <v>373</v>
      </c>
      <c r="J22" s="146" t="s">
        <v>13</v>
      </c>
      <c r="K22" s="219"/>
      <c r="L22" s="219">
        <v>50000</v>
      </c>
      <c r="M22" s="147">
        <v>0</v>
      </c>
      <c r="O22" s="156"/>
      <c r="Q22" s="133" t="s">
        <v>373</v>
      </c>
    </row>
    <row r="23" spans="1:17" x14ac:dyDescent="0.2">
      <c r="A23" s="141">
        <v>2019</v>
      </c>
      <c r="B23" s="141">
        <v>12</v>
      </c>
      <c r="C23" s="141">
        <v>30</v>
      </c>
      <c r="D23" s="141">
        <f t="shared" si="0"/>
        <v>43829</v>
      </c>
      <c r="E23" s="275">
        <f t="shared" si="1"/>
        <v>43829</v>
      </c>
      <c r="F23" s="479" t="s">
        <v>77</v>
      </c>
      <c r="G23" s="220" t="s">
        <v>74</v>
      </c>
      <c r="H23" s="174" t="str" cm="1">
        <f t="array" ref="H23">IFERROR(INDEX(INVESTOR_LIST[INVESTOR NAME],MATCH(I23,INVESTOR_LIST[INVESTOR CODE],0),)," ")</f>
        <v xml:space="preserve"> </v>
      </c>
      <c r="I23" s="148" t="s">
        <v>348</v>
      </c>
      <c r="J23" s="143" t="s">
        <v>61</v>
      </c>
      <c r="K23" s="226">
        <v>9920</v>
      </c>
      <c r="L23" s="226"/>
      <c r="M23" s="147">
        <v>2</v>
      </c>
      <c r="Q23" s="133" t="s">
        <v>348</v>
      </c>
    </row>
    <row r="24" spans="1:17" x14ac:dyDescent="0.2">
      <c r="A24" s="144">
        <v>2019</v>
      </c>
      <c r="B24" s="144">
        <v>12</v>
      </c>
      <c r="C24" s="144">
        <v>30</v>
      </c>
      <c r="D24" s="141">
        <f t="shared" si="0"/>
        <v>43829</v>
      </c>
      <c r="E24" s="275">
        <f t="shared" si="1"/>
        <v>43829</v>
      </c>
      <c r="F24" s="480"/>
      <c r="G24" s="221" t="s">
        <v>74</v>
      </c>
      <c r="H24" s="221" t="str" cm="1">
        <f t="array" ref="H24">IFERROR(INDEX(INVESTOR_LIST[INVESTOR NAME],MATCH(I24,INVESTOR_LIST[INVESTOR CODE],0),)," ")</f>
        <v xml:space="preserve"> </v>
      </c>
      <c r="I24" s="145" t="s">
        <v>348</v>
      </c>
      <c r="J24" s="146" t="s">
        <v>52</v>
      </c>
      <c r="K24" s="219"/>
      <c r="L24" s="219">
        <v>9920</v>
      </c>
      <c r="M24" s="147">
        <v>0</v>
      </c>
      <c r="Q24" s="133" t="s">
        <v>348</v>
      </c>
    </row>
    <row r="25" spans="1:17" x14ac:dyDescent="0.2">
      <c r="A25" s="141">
        <v>2019</v>
      </c>
      <c r="B25" s="141">
        <v>12</v>
      </c>
      <c r="C25" s="141">
        <v>30</v>
      </c>
      <c r="D25" s="141">
        <f t="shared" si="0"/>
        <v>43829</v>
      </c>
      <c r="E25" s="275">
        <f t="shared" si="1"/>
        <v>43829</v>
      </c>
      <c r="F25" s="479" t="s">
        <v>77</v>
      </c>
      <c r="G25" s="220" t="s">
        <v>74</v>
      </c>
      <c r="H25" s="174" t="str" cm="1">
        <f t="array" ref="H25">IFERROR(INDEX(INVESTOR_LIST[INVESTOR NAME],MATCH(I25,INVESTOR_LIST[INVESTOR CODE],0),)," ")</f>
        <v xml:space="preserve"> </v>
      </c>
      <c r="I25" s="148" t="s">
        <v>348</v>
      </c>
      <c r="J25" s="143" t="s">
        <v>61</v>
      </c>
      <c r="K25" s="226">
        <v>575</v>
      </c>
      <c r="L25" s="226"/>
      <c r="M25" s="147">
        <v>5</v>
      </c>
      <c r="Q25" s="133" t="s">
        <v>348</v>
      </c>
    </row>
    <row r="26" spans="1:17" x14ac:dyDescent="0.2">
      <c r="A26" s="144">
        <v>2019</v>
      </c>
      <c r="B26" s="144">
        <v>12</v>
      </c>
      <c r="C26" s="144">
        <v>30</v>
      </c>
      <c r="D26" s="141">
        <f t="shared" si="0"/>
        <v>43829</v>
      </c>
      <c r="E26" s="275">
        <f t="shared" si="1"/>
        <v>43829</v>
      </c>
      <c r="F26" s="480"/>
      <c r="G26" s="221" t="s">
        <v>74</v>
      </c>
      <c r="H26" s="221" t="str" cm="1">
        <f t="array" ref="H26">IFERROR(INDEX(INVESTOR_LIST[INVESTOR NAME],MATCH(I26,INVESTOR_LIST[INVESTOR CODE],0),)," ")</f>
        <v xml:space="preserve"> </v>
      </c>
      <c r="I26" s="145" t="s">
        <v>348</v>
      </c>
      <c r="J26" s="146" t="s">
        <v>52</v>
      </c>
      <c r="K26" s="219"/>
      <c r="L26" s="219">
        <v>575</v>
      </c>
      <c r="M26" s="147">
        <v>0</v>
      </c>
      <c r="Q26" s="133" t="s">
        <v>348</v>
      </c>
    </row>
    <row r="27" spans="1:17" x14ac:dyDescent="0.2">
      <c r="A27" s="141">
        <v>2019</v>
      </c>
      <c r="B27" s="141">
        <v>12</v>
      </c>
      <c r="C27" s="141">
        <v>30</v>
      </c>
      <c r="D27" s="141">
        <f t="shared" si="0"/>
        <v>43829</v>
      </c>
      <c r="E27" s="275">
        <f t="shared" si="1"/>
        <v>43829</v>
      </c>
      <c r="F27" s="479" t="s">
        <v>77</v>
      </c>
      <c r="G27" s="220" t="s">
        <v>74</v>
      </c>
      <c r="H27" s="174" t="str" cm="1">
        <f t="array" ref="H27">IFERROR(INDEX(INVESTOR_LIST[INVESTOR NAME],MATCH(I27,INVESTOR_LIST[INVESTOR CODE],0),)," ")</f>
        <v xml:space="preserve"> </v>
      </c>
      <c r="I27" s="148" t="s">
        <v>348</v>
      </c>
      <c r="J27" s="143" t="s">
        <v>61</v>
      </c>
      <c r="K27" s="226">
        <v>12000</v>
      </c>
      <c r="L27" s="226"/>
      <c r="M27" s="147">
        <v>0</v>
      </c>
      <c r="Q27" s="133" t="s">
        <v>348</v>
      </c>
    </row>
    <row r="28" spans="1:17" x14ac:dyDescent="0.2">
      <c r="A28" s="144">
        <v>2019</v>
      </c>
      <c r="B28" s="144">
        <v>12</v>
      </c>
      <c r="C28" s="144">
        <v>30</v>
      </c>
      <c r="D28" s="141">
        <f t="shared" si="0"/>
        <v>43829</v>
      </c>
      <c r="E28" s="275">
        <f t="shared" si="1"/>
        <v>43829</v>
      </c>
      <c r="F28" s="480"/>
      <c r="G28" s="221" t="s">
        <v>74</v>
      </c>
      <c r="H28" s="221" t="str" cm="1">
        <f t="array" ref="H28">IFERROR(INDEX(INVESTOR_LIST[INVESTOR NAME],MATCH(I28,INVESTOR_LIST[INVESTOR CODE],0),)," ")</f>
        <v xml:space="preserve"> </v>
      </c>
      <c r="I28" s="145" t="s">
        <v>348</v>
      </c>
      <c r="J28" s="146" t="s">
        <v>52</v>
      </c>
      <c r="K28" s="219"/>
      <c r="L28" s="219">
        <v>12000</v>
      </c>
      <c r="M28" s="147">
        <v>0</v>
      </c>
      <c r="Q28" s="133" t="s">
        <v>348</v>
      </c>
    </row>
    <row r="29" spans="1:17" x14ac:dyDescent="0.2">
      <c r="A29" s="147">
        <v>2019</v>
      </c>
      <c r="B29" s="147">
        <v>12</v>
      </c>
      <c r="C29" s="147">
        <v>31</v>
      </c>
      <c r="D29" s="141">
        <f t="shared" si="0"/>
        <v>43830</v>
      </c>
      <c r="E29" s="275">
        <f t="shared" si="1"/>
        <v>43830</v>
      </c>
      <c r="F29" s="479" t="s">
        <v>562</v>
      </c>
      <c r="G29" s="174" t="s">
        <v>94</v>
      </c>
      <c r="H29" s="174" t="str" cm="1">
        <f t="array" ref="H29">IFERROR(INDEX(INVESTOR_LIST[INVESTOR NAME],MATCH(I29,INVESTOR_LIST[INVESTOR CODE],0),)," ")</f>
        <v xml:space="preserve"> </v>
      </c>
      <c r="I29" s="148" t="s">
        <v>348</v>
      </c>
      <c r="J29" s="149" t="s">
        <v>103</v>
      </c>
      <c r="K29" s="218">
        <v>10000</v>
      </c>
      <c r="L29" s="218"/>
      <c r="M29" s="147"/>
      <c r="Q29" s="133" t="s">
        <v>348</v>
      </c>
    </row>
    <row r="30" spans="1:17" x14ac:dyDescent="0.2">
      <c r="A30" s="147">
        <v>2019</v>
      </c>
      <c r="B30" s="147">
        <v>12</v>
      </c>
      <c r="C30" s="147">
        <v>31</v>
      </c>
      <c r="D30" s="141">
        <f t="shared" si="0"/>
        <v>43830</v>
      </c>
      <c r="E30" s="275">
        <f t="shared" si="1"/>
        <v>43830</v>
      </c>
      <c r="F30" s="480"/>
      <c r="G30" s="174" t="s">
        <v>94</v>
      </c>
      <c r="H30" s="174" t="str" cm="1">
        <f t="array" ref="H30">IFERROR(INDEX(INVESTOR_LIST[INVESTOR NAME],MATCH(I30,INVESTOR_LIST[INVESTOR CODE],0),)," ")</f>
        <v xml:space="preserve"> </v>
      </c>
      <c r="I30" s="148" t="s">
        <v>348</v>
      </c>
      <c r="J30" s="149" t="s">
        <v>50</v>
      </c>
      <c r="K30" s="218"/>
      <c r="L30" s="218">
        <v>10000</v>
      </c>
      <c r="M30" s="147"/>
      <c r="Q30" s="133" t="s">
        <v>348</v>
      </c>
    </row>
    <row r="31" spans="1:17" ht="11.25" customHeight="1" x14ac:dyDescent="0.2">
      <c r="A31" s="150">
        <v>2020</v>
      </c>
      <c r="B31" s="150">
        <v>1</v>
      </c>
      <c r="C31" s="150">
        <v>12</v>
      </c>
      <c r="D31" s="141">
        <f t="shared" si="0"/>
        <v>43842</v>
      </c>
      <c r="E31" s="275">
        <f t="shared" si="1"/>
        <v>43842</v>
      </c>
      <c r="F31" s="479" t="s">
        <v>964</v>
      </c>
      <c r="G31" s="223" t="s">
        <v>74</v>
      </c>
      <c r="H31" s="223" t="str" cm="1">
        <f t="array" ref="H31">IFERROR(INDEX(INVESTOR_LIST[INVESTOR NAME],MATCH(I31,INVESTOR_LIST[INVESTOR CODE],0),)," ")</f>
        <v>MD. JAHANGIR ALAM</v>
      </c>
      <c r="I31" s="151" t="s">
        <v>374</v>
      </c>
      <c r="J31" s="152" t="s">
        <v>52</v>
      </c>
      <c r="K31" s="231">
        <v>50000</v>
      </c>
      <c r="L31" s="231"/>
      <c r="M31" s="147">
        <v>2</v>
      </c>
      <c r="Q31" s="133" t="s">
        <v>374</v>
      </c>
    </row>
    <row r="32" spans="1:17" ht="45" x14ac:dyDescent="0.2">
      <c r="A32" s="153">
        <v>2020</v>
      </c>
      <c r="B32" s="153">
        <v>1</v>
      </c>
      <c r="C32" s="153">
        <v>12</v>
      </c>
      <c r="D32" s="141">
        <f t="shared" si="0"/>
        <v>43842</v>
      </c>
      <c r="E32" s="275">
        <f t="shared" si="1"/>
        <v>43842</v>
      </c>
      <c r="F32" s="480"/>
      <c r="G32" s="224" t="s">
        <v>74</v>
      </c>
      <c r="H32" s="224" t="str" cm="1">
        <f t="array" ref="H32">IFERROR(INDEX(INVESTOR_LIST[INVESTOR NAME],MATCH(I32,INVESTOR_LIST[INVESTOR CODE],0),)," ")</f>
        <v>MD. JAHANGIR ALAM</v>
      </c>
      <c r="I32" s="154" t="s">
        <v>374</v>
      </c>
      <c r="J32" s="155" t="s">
        <v>13</v>
      </c>
      <c r="K32" s="232"/>
      <c r="L32" s="232">
        <f>K31</f>
        <v>50000</v>
      </c>
      <c r="M32" s="147">
        <v>0</v>
      </c>
      <c r="Q32" s="133" t="s">
        <v>374</v>
      </c>
    </row>
    <row r="33" spans="1:17" x14ac:dyDescent="0.2">
      <c r="A33" s="141">
        <v>2020</v>
      </c>
      <c r="B33" s="141">
        <v>1</v>
      </c>
      <c r="C33" s="141">
        <v>12</v>
      </c>
      <c r="D33" s="141">
        <f t="shared" si="0"/>
        <v>43842</v>
      </c>
      <c r="E33" s="275">
        <f t="shared" si="1"/>
        <v>43842</v>
      </c>
      <c r="F33" s="479" t="s">
        <v>77</v>
      </c>
      <c r="G33" s="220" t="s">
        <v>74</v>
      </c>
      <c r="H33" s="174" t="str" cm="1">
        <f t="array" ref="H33">IFERROR(INDEX(INVESTOR_LIST[INVESTOR NAME],MATCH(I33,INVESTOR_LIST[INVESTOR CODE],0),)," ")</f>
        <v xml:space="preserve"> </v>
      </c>
      <c r="I33" s="148" t="s">
        <v>348</v>
      </c>
      <c r="J33" s="143" t="s">
        <v>61</v>
      </c>
      <c r="K33" s="226">
        <v>10</v>
      </c>
      <c r="L33" s="226"/>
      <c r="M33" s="147">
        <v>1</v>
      </c>
      <c r="Q33" s="133" t="s">
        <v>348</v>
      </c>
    </row>
    <row r="34" spans="1:17" x14ac:dyDescent="0.2">
      <c r="A34" s="144">
        <v>2020</v>
      </c>
      <c r="B34" s="144">
        <v>1</v>
      </c>
      <c r="C34" s="144">
        <v>12</v>
      </c>
      <c r="D34" s="141">
        <f t="shared" si="0"/>
        <v>43842</v>
      </c>
      <c r="E34" s="275">
        <f t="shared" si="1"/>
        <v>43842</v>
      </c>
      <c r="F34" s="480"/>
      <c r="G34" s="221" t="s">
        <v>74</v>
      </c>
      <c r="H34" s="221" t="str" cm="1">
        <f t="array" ref="H34">IFERROR(INDEX(INVESTOR_LIST[INVESTOR NAME],MATCH(I34,INVESTOR_LIST[INVESTOR CODE],0),)," ")</f>
        <v xml:space="preserve"> </v>
      </c>
      <c r="I34" s="145" t="s">
        <v>348</v>
      </c>
      <c r="J34" s="146" t="s">
        <v>52</v>
      </c>
      <c r="K34" s="219"/>
      <c r="L34" s="219">
        <v>10</v>
      </c>
      <c r="M34" s="147">
        <v>0</v>
      </c>
      <c r="Q34" s="133" t="s">
        <v>348</v>
      </c>
    </row>
    <row r="35" spans="1:17" ht="11.25" customHeight="1" x14ac:dyDescent="0.2">
      <c r="A35" s="157">
        <v>2020</v>
      </c>
      <c r="B35" s="157">
        <v>1</v>
      </c>
      <c r="C35" s="157">
        <v>13</v>
      </c>
      <c r="D35" s="141">
        <f t="shared" si="0"/>
        <v>43843</v>
      </c>
      <c r="E35" s="275">
        <f t="shared" si="1"/>
        <v>43843</v>
      </c>
      <c r="F35" s="479" t="s">
        <v>964</v>
      </c>
      <c r="G35" s="225" t="s">
        <v>74</v>
      </c>
      <c r="H35" s="225" t="str" cm="1">
        <f t="array" ref="H35">IFERROR(INDEX(INVESTOR_LIST[INVESTOR NAME],MATCH(I35,INVESTOR_LIST[INVESTOR CODE],0),)," ")</f>
        <v>BISWAS ARIFUR RAHMAN</v>
      </c>
      <c r="I35" s="158" t="s">
        <v>375</v>
      </c>
      <c r="J35" s="159" t="s">
        <v>52</v>
      </c>
      <c r="K35" s="233">
        <v>10000</v>
      </c>
      <c r="L35" s="233"/>
      <c r="M35" s="147">
        <v>3</v>
      </c>
      <c r="Q35" s="133" t="s">
        <v>375</v>
      </c>
    </row>
    <row r="36" spans="1:17" ht="45" x14ac:dyDescent="0.2">
      <c r="A36" s="153">
        <v>2020</v>
      </c>
      <c r="B36" s="153">
        <v>1</v>
      </c>
      <c r="C36" s="153">
        <v>13</v>
      </c>
      <c r="D36" s="141">
        <f t="shared" si="0"/>
        <v>43843</v>
      </c>
      <c r="E36" s="275">
        <f t="shared" si="1"/>
        <v>43843</v>
      </c>
      <c r="F36" s="480"/>
      <c r="G36" s="224" t="s">
        <v>74</v>
      </c>
      <c r="H36" s="224" t="str" cm="1">
        <f t="array" ref="H36">IFERROR(INDEX(INVESTOR_LIST[INVESTOR NAME],MATCH(I36,INVESTOR_LIST[INVESTOR CODE],0),)," ")</f>
        <v>BISWAS ARIFUR RAHMAN</v>
      </c>
      <c r="I36" s="154" t="s">
        <v>375</v>
      </c>
      <c r="J36" s="155" t="s">
        <v>13</v>
      </c>
      <c r="K36" s="232"/>
      <c r="L36" s="232">
        <f>K35</f>
        <v>10000</v>
      </c>
      <c r="M36" s="147">
        <v>0</v>
      </c>
      <c r="Q36" s="133" t="s">
        <v>375</v>
      </c>
    </row>
    <row r="37" spans="1:17" ht="11.25" customHeight="1" x14ac:dyDescent="0.2">
      <c r="A37" s="150">
        <v>2020</v>
      </c>
      <c r="B37" s="150">
        <v>1</v>
      </c>
      <c r="C37" s="150">
        <v>15</v>
      </c>
      <c r="D37" s="141">
        <f t="shared" si="0"/>
        <v>43845</v>
      </c>
      <c r="E37" s="275">
        <f t="shared" si="1"/>
        <v>43845</v>
      </c>
      <c r="F37" s="479" t="s">
        <v>964</v>
      </c>
      <c r="G37" s="223" t="s">
        <v>74</v>
      </c>
      <c r="H37" s="225" t="str" cm="1">
        <f t="array" ref="H37">IFERROR(INDEX(INVESTOR_LIST[INVESTOR NAME],MATCH(I37,INVESTOR_LIST[INVESTOR CODE],0),)," ")</f>
        <v>JEWEL SAHA</v>
      </c>
      <c r="I37" s="158" t="s">
        <v>376</v>
      </c>
      <c r="J37" s="152" t="s">
        <v>52</v>
      </c>
      <c r="K37" s="231">
        <v>5000</v>
      </c>
      <c r="L37" s="231"/>
      <c r="M37" s="147">
        <v>2</v>
      </c>
      <c r="Q37" s="133" t="s">
        <v>376</v>
      </c>
    </row>
    <row r="38" spans="1:17" ht="22.5" x14ac:dyDescent="0.2">
      <c r="A38" s="153">
        <v>2020</v>
      </c>
      <c r="B38" s="153">
        <v>1</v>
      </c>
      <c r="C38" s="153">
        <v>15</v>
      </c>
      <c r="D38" s="141">
        <f t="shared" si="0"/>
        <v>43845</v>
      </c>
      <c r="E38" s="275">
        <f t="shared" si="1"/>
        <v>43845</v>
      </c>
      <c r="F38" s="480"/>
      <c r="G38" s="224" t="s">
        <v>74</v>
      </c>
      <c r="H38" s="224" t="str" cm="1">
        <f t="array" ref="H38">IFERROR(INDEX(INVESTOR_LIST[INVESTOR NAME],MATCH(I38,INVESTOR_LIST[INVESTOR CODE],0),)," ")</f>
        <v>JEWEL SAHA</v>
      </c>
      <c r="I38" s="154" t="s">
        <v>376</v>
      </c>
      <c r="J38" s="155" t="s">
        <v>13</v>
      </c>
      <c r="K38" s="232"/>
      <c r="L38" s="232">
        <f>K37</f>
        <v>5000</v>
      </c>
      <c r="M38" s="147">
        <v>0</v>
      </c>
      <c r="Q38" s="133" t="s">
        <v>376</v>
      </c>
    </row>
    <row r="39" spans="1:17" x14ac:dyDescent="0.2">
      <c r="A39" s="141">
        <v>2020</v>
      </c>
      <c r="B39" s="141">
        <v>1</v>
      </c>
      <c r="C39" s="141">
        <v>20</v>
      </c>
      <c r="D39" s="141">
        <f t="shared" si="0"/>
        <v>43850</v>
      </c>
      <c r="E39" s="275">
        <f t="shared" si="1"/>
        <v>43850</v>
      </c>
      <c r="F39" s="479" t="s">
        <v>77</v>
      </c>
      <c r="G39" s="220" t="s">
        <v>74</v>
      </c>
      <c r="H39" s="174" t="str" cm="1">
        <f t="array" ref="H39">IFERROR(INDEX(INVESTOR_LIST[INVESTOR NAME],MATCH(I39,INVESTOR_LIST[INVESTOR CODE],0),)," ")</f>
        <v xml:space="preserve"> </v>
      </c>
      <c r="I39" s="148" t="s">
        <v>348</v>
      </c>
      <c r="J39" s="143" t="s">
        <v>61</v>
      </c>
      <c r="K39" s="226">
        <v>10</v>
      </c>
      <c r="L39" s="226"/>
      <c r="M39" s="147">
        <v>0</v>
      </c>
      <c r="Q39" s="133" t="s">
        <v>348</v>
      </c>
    </row>
    <row r="40" spans="1:17" x14ac:dyDescent="0.2">
      <c r="A40" s="144">
        <v>2020</v>
      </c>
      <c r="B40" s="144">
        <v>1</v>
      </c>
      <c r="C40" s="144">
        <v>20</v>
      </c>
      <c r="D40" s="141">
        <f t="shared" si="0"/>
        <v>43850</v>
      </c>
      <c r="E40" s="275">
        <f t="shared" si="1"/>
        <v>43850</v>
      </c>
      <c r="F40" s="480"/>
      <c r="G40" s="221" t="s">
        <v>74</v>
      </c>
      <c r="H40" s="221" t="str" cm="1">
        <f t="array" ref="H40">IFERROR(INDEX(INVESTOR_LIST[INVESTOR NAME],MATCH(I40,INVESTOR_LIST[INVESTOR CODE],0),)," ")</f>
        <v xml:space="preserve"> </v>
      </c>
      <c r="I40" s="145" t="s">
        <v>348</v>
      </c>
      <c r="J40" s="146" t="s">
        <v>52</v>
      </c>
      <c r="K40" s="219"/>
      <c r="L40" s="219">
        <v>10</v>
      </c>
      <c r="M40" s="147">
        <v>0</v>
      </c>
      <c r="Q40" s="133" t="s">
        <v>348</v>
      </c>
    </row>
    <row r="41" spans="1:17" ht="11.25" customHeight="1" x14ac:dyDescent="0.2">
      <c r="A41" s="150">
        <v>2020</v>
      </c>
      <c r="B41" s="150">
        <v>1</v>
      </c>
      <c r="C41" s="150">
        <v>20</v>
      </c>
      <c r="D41" s="141">
        <f t="shared" si="0"/>
        <v>43850</v>
      </c>
      <c r="E41" s="275">
        <f t="shared" si="1"/>
        <v>43850</v>
      </c>
      <c r="F41" s="479" t="s">
        <v>964</v>
      </c>
      <c r="G41" s="223" t="s">
        <v>74</v>
      </c>
      <c r="H41" s="225" t="str" cm="1">
        <f t="array" ref="H41">IFERROR(INDEX(INVESTOR_LIST[INVESTOR NAME],MATCH(I41,INVESTOR_LIST[INVESTOR CODE],0),)," ")</f>
        <v>SHIBBIR AHMED</v>
      </c>
      <c r="I41" s="158" t="s">
        <v>377</v>
      </c>
      <c r="J41" s="152" t="s">
        <v>52</v>
      </c>
      <c r="K41" s="231">
        <v>100000</v>
      </c>
      <c r="L41" s="231"/>
      <c r="M41" s="147">
        <v>6</v>
      </c>
      <c r="Q41" s="133" t="s">
        <v>377</v>
      </c>
    </row>
    <row r="42" spans="1:17" ht="22.5" x14ac:dyDescent="0.2">
      <c r="A42" s="153">
        <v>2020</v>
      </c>
      <c r="B42" s="153">
        <v>1</v>
      </c>
      <c r="C42" s="153">
        <v>20</v>
      </c>
      <c r="D42" s="141">
        <f t="shared" si="0"/>
        <v>43850</v>
      </c>
      <c r="E42" s="275">
        <f t="shared" si="1"/>
        <v>43850</v>
      </c>
      <c r="F42" s="480"/>
      <c r="G42" s="224" t="s">
        <v>74</v>
      </c>
      <c r="H42" s="224" t="str" cm="1">
        <f t="array" ref="H42">IFERROR(INDEX(INVESTOR_LIST[INVESTOR NAME],MATCH(I42,INVESTOR_LIST[INVESTOR CODE],0),)," ")</f>
        <v>SHIBBIR AHMED</v>
      </c>
      <c r="I42" s="154" t="s">
        <v>377</v>
      </c>
      <c r="J42" s="155" t="s">
        <v>13</v>
      </c>
      <c r="K42" s="232"/>
      <c r="L42" s="232">
        <f>K41</f>
        <v>100000</v>
      </c>
      <c r="M42" s="147">
        <v>0</v>
      </c>
      <c r="Q42" s="133" t="s">
        <v>377</v>
      </c>
    </row>
    <row r="43" spans="1:17" ht="11.25" customHeight="1" x14ac:dyDescent="0.2">
      <c r="A43" s="150">
        <v>2020</v>
      </c>
      <c r="B43" s="150">
        <v>1</v>
      </c>
      <c r="C43" s="150">
        <v>20</v>
      </c>
      <c r="D43" s="141">
        <f t="shared" si="0"/>
        <v>43850</v>
      </c>
      <c r="E43" s="275">
        <f t="shared" si="1"/>
        <v>43850</v>
      </c>
      <c r="F43" s="479" t="s">
        <v>964</v>
      </c>
      <c r="G43" s="223" t="s">
        <v>74</v>
      </c>
      <c r="H43" s="225" t="str" cm="1">
        <f t="array" ref="H43">IFERROR(INDEX(INVESTOR_LIST[INVESTOR NAME],MATCH(I43,INVESTOR_LIST[INVESTOR CODE],0),)," ")</f>
        <v>SHYAMAL KRISHNA SAHA</v>
      </c>
      <c r="I43" s="158" t="s">
        <v>378</v>
      </c>
      <c r="J43" s="152" t="s">
        <v>52</v>
      </c>
      <c r="K43" s="231">
        <v>100000</v>
      </c>
      <c r="L43" s="231"/>
      <c r="M43" s="147">
        <v>1</v>
      </c>
      <c r="Q43" s="133" t="s">
        <v>378</v>
      </c>
    </row>
    <row r="44" spans="1:17" ht="45" x14ac:dyDescent="0.2">
      <c r="A44" s="153">
        <v>2020</v>
      </c>
      <c r="B44" s="153">
        <v>1</v>
      </c>
      <c r="C44" s="153">
        <v>20</v>
      </c>
      <c r="D44" s="141">
        <f t="shared" si="0"/>
        <v>43850</v>
      </c>
      <c r="E44" s="275">
        <f t="shared" si="1"/>
        <v>43850</v>
      </c>
      <c r="F44" s="480"/>
      <c r="G44" s="224" t="s">
        <v>74</v>
      </c>
      <c r="H44" s="224" t="str" cm="1">
        <f t="array" ref="H44">IFERROR(INDEX(INVESTOR_LIST[INVESTOR NAME],MATCH(I44,INVESTOR_LIST[INVESTOR CODE],0),)," ")</f>
        <v>SHYAMAL KRISHNA SAHA</v>
      </c>
      <c r="I44" s="154" t="s">
        <v>378</v>
      </c>
      <c r="J44" s="155" t="s">
        <v>13</v>
      </c>
      <c r="K44" s="232"/>
      <c r="L44" s="232">
        <f>K43</f>
        <v>100000</v>
      </c>
      <c r="M44" s="147">
        <v>0</v>
      </c>
      <c r="Q44" s="133" t="s">
        <v>378</v>
      </c>
    </row>
    <row r="45" spans="1:17" ht="11.25" customHeight="1" x14ac:dyDescent="0.2">
      <c r="A45" s="150">
        <v>2020</v>
      </c>
      <c r="B45" s="150">
        <v>1</v>
      </c>
      <c r="C45" s="150">
        <v>22</v>
      </c>
      <c r="D45" s="141">
        <f t="shared" si="0"/>
        <v>43852</v>
      </c>
      <c r="E45" s="275">
        <f t="shared" si="1"/>
        <v>43852</v>
      </c>
      <c r="F45" s="479" t="s">
        <v>964</v>
      </c>
      <c r="G45" s="223" t="s">
        <v>74</v>
      </c>
      <c r="H45" s="225" t="str" cm="1">
        <f t="array" ref="H45">IFERROR(INDEX(INVESTOR_LIST[INVESTOR NAME],MATCH(I45,INVESTOR_LIST[INVESTOR CODE],0),)," ")</f>
        <v>NASRIN AKHTER</v>
      </c>
      <c r="I45" s="158" t="s">
        <v>379</v>
      </c>
      <c r="J45" s="152" t="s">
        <v>52</v>
      </c>
      <c r="K45" s="231">
        <v>6000</v>
      </c>
      <c r="L45" s="231"/>
      <c r="M45" s="147">
        <v>5</v>
      </c>
      <c r="Q45" s="133" t="s">
        <v>379</v>
      </c>
    </row>
    <row r="46" spans="1:17" ht="22.5" x14ac:dyDescent="0.2">
      <c r="A46" s="153">
        <v>2020</v>
      </c>
      <c r="B46" s="153">
        <v>1</v>
      </c>
      <c r="C46" s="153">
        <v>22</v>
      </c>
      <c r="D46" s="141">
        <f t="shared" si="0"/>
        <v>43852</v>
      </c>
      <c r="E46" s="275">
        <f t="shared" si="1"/>
        <v>43852</v>
      </c>
      <c r="F46" s="480"/>
      <c r="G46" s="224" t="s">
        <v>74</v>
      </c>
      <c r="H46" s="224" t="str" cm="1">
        <f t="array" ref="H46">IFERROR(INDEX(INVESTOR_LIST[INVESTOR NAME],MATCH(I46,INVESTOR_LIST[INVESTOR CODE],0),)," ")</f>
        <v>NASRIN AKHTER</v>
      </c>
      <c r="I46" s="154" t="s">
        <v>379</v>
      </c>
      <c r="J46" s="155" t="s">
        <v>13</v>
      </c>
      <c r="K46" s="232"/>
      <c r="L46" s="232">
        <f>K45</f>
        <v>6000</v>
      </c>
      <c r="M46" s="147">
        <v>0</v>
      </c>
      <c r="Q46" s="133" t="s">
        <v>379</v>
      </c>
    </row>
    <row r="47" spans="1:17" ht="11.25" customHeight="1" x14ac:dyDescent="0.2">
      <c r="A47" s="150">
        <v>2020</v>
      </c>
      <c r="B47" s="150">
        <v>1</v>
      </c>
      <c r="C47" s="150">
        <v>23</v>
      </c>
      <c r="D47" s="141">
        <f t="shared" si="0"/>
        <v>43853</v>
      </c>
      <c r="E47" s="275">
        <f t="shared" si="1"/>
        <v>43853</v>
      </c>
      <c r="F47" s="479" t="s">
        <v>964</v>
      </c>
      <c r="G47" s="223" t="s">
        <v>74</v>
      </c>
      <c r="H47" s="225" t="str" cm="1">
        <f t="array" ref="H47">IFERROR(INDEX(INVESTOR_LIST[INVESTOR NAME],MATCH(I47,INVESTOR_LIST[INVESTOR CODE],0),)," ")</f>
        <v>MRINMOY GHOSH</v>
      </c>
      <c r="I47" s="158" t="s">
        <v>380</v>
      </c>
      <c r="J47" s="152" t="s">
        <v>52</v>
      </c>
      <c r="K47" s="231">
        <v>10000</v>
      </c>
      <c r="L47" s="231"/>
      <c r="M47" s="147">
        <v>0</v>
      </c>
      <c r="Q47" s="133" t="s">
        <v>380</v>
      </c>
    </row>
    <row r="48" spans="1:17" ht="33.75" x14ac:dyDescent="0.2">
      <c r="A48" s="153">
        <v>2020</v>
      </c>
      <c r="B48" s="153">
        <v>1</v>
      </c>
      <c r="C48" s="153">
        <v>23</v>
      </c>
      <c r="D48" s="141">
        <f t="shared" si="0"/>
        <v>43853</v>
      </c>
      <c r="E48" s="275">
        <f t="shared" si="1"/>
        <v>43853</v>
      </c>
      <c r="F48" s="480"/>
      <c r="G48" s="224" t="s">
        <v>74</v>
      </c>
      <c r="H48" s="224" t="str" cm="1">
        <f t="array" ref="H48">IFERROR(INDEX(INVESTOR_LIST[INVESTOR NAME],MATCH(I48,INVESTOR_LIST[INVESTOR CODE],0),)," ")</f>
        <v>MRINMOY GHOSH</v>
      </c>
      <c r="I48" s="154" t="s">
        <v>380</v>
      </c>
      <c r="J48" s="155" t="s">
        <v>13</v>
      </c>
      <c r="K48" s="232"/>
      <c r="L48" s="232">
        <f>K47</f>
        <v>10000</v>
      </c>
      <c r="M48" s="147">
        <v>0</v>
      </c>
      <c r="Q48" s="133" t="s">
        <v>380</v>
      </c>
    </row>
    <row r="49" spans="1:17" ht="11.25" customHeight="1" x14ac:dyDescent="0.2">
      <c r="A49" s="150">
        <v>2020</v>
      </c>
      <c r="B49" s="150">
        <v>1</v>
      </c>
      <c r="C49" s="150">
        <v>26</v>
      </c>
      <c r="D49" s="141">
        <f t="shared" si="0"/>
        <v>43856</v>
      </c>
      <c r="E49" s="275">
        <f t="shared" si="1"/>
        <v>43856</v>
      </c>
      <c r="F49" s="479" t="s">
        <v>964</v>
      </c>
      <c r="G49" s="223" t="s">
        <v>74</v>
      </c>
      <c r="H49" s="225" t="str" cm="1">
        <f t="array" ref="H49">IFERROR(INDEX(INVESTOR_LIST[INVESTOR NAME],MATCH(I49,INVESTOR_LIST[INVESTOR CODE],0),)," ")</f>
        <v>MORSHEDA MIM</v>
      </c>
      <c r="I49" s="158" t="s">
        <v>373</v>
      </c>
      <c r="J49" s="152" t="s">
        <v>52</v>
      </c>
      <c r="K49" s="231">
        <v>5000</v>
      </c>
      <c r="L49" s="231"/>
      <c r="M49" s="147">
        <v>9</v>
      </c>
      <c r="Q49" s="133" t="s">
        <v>373</v>
      </c>
    </row>
    <row r="50" spans="1:17" ht="33.75" x14ac:dyDescent="0.2">
      <c r="A50" s="153">
        <v>2020</v>
      </c>
      <c r="B50" s="153">
        <v>1</v>
      </c>
      <c r="C50" s="153">
        <v>26</v>
      </c>
      <c r="D50" s="141">
        <f t="shared" si="0"/>
        <v>43856</v>
      </c>
      <c r="E50" s="275">
        <f t="shared" si="1"/>
        <v>43856</v>
      </c>
      <c r="F50" s="480"/>
      <c r="G50" s="224" t="s">
        <v>74</v>
      </c>
      <c r="H50" s="224" t="str" cm="1">
        <f t="array" ref="H50">IFERROR(INDEX(INVESTOR_LIST[INVESTOR NAME],MATCH(I50,INVESTOR_LIST[INVESTOR CODE],0),)," ")</f>
        <v>MORSHEDA MIM</v>
      </c>
      <c r="I50" s="154" t="s">
        <v>373</v>
      </c>
      <c r="J50" s="155" t="s">
        <v>13</v>
      </c>
      <c r="K50" s="232"/>
      <c r="L50" s="232">
        <f>K49</f>
        <v>5000</v>
      </c>
      <c r="M50" s="147">
        <v>0</v>
      </c>
      <c r="Q50" s="133" t="s">
        <v>373</v>
      </c>
    </row>
    <row r="51" spans="1:17" ht="11.25" customHeight="1" x14ac:dyDescent="0.2">
      <c r="A51" s="150">
        <v>2020</v>
      </c>
      <c r="B51" s="150">
        <v>1</v>
      </c>
      <c r="C51" s="150">
        <v>28</v>
      </c>
      <c r="D51" s="141">
        <f t="shared" si="0"/>
        <v>43858</v>
      </c>
      <c r="E51" s="275">
        <f t="shared" si="1"/>
        <v>43858</v>
      </c>
      <c r="F51" s="479" t="s">
        <v>964</v>
      </c>
      <c r="G51" s="223" t="s">
        <v>74</v>
      </c>
      <c r="H51" s="225" t="str" cm="1">
        <f t="array" ref="H51">IFERROR(INDEX(INVESTOR_LIST[INVESTOR NAME],MATCH(I51,INVESTOR_LIST[INVESTOR CODE],0),)," ")</f>
        <v>MOHAMMAD NAZMUL HOSSAIN</v>
      </c>
      <c r="I51" s="158" t="s">
        <v>381</v>
      </c>
      <c r="J51" s="152" t="s">
        <v>52</v>
      </c>
      <c r="K51" s="231">
        <v>200000</v>
      </c>
      <c r="L51" s="231"/>
      <c r="M51" s="147">
        <v>2</v>
      </c>
      <c r="Q51" s="133" t="s">
        <v>381</v>
      </c>
    </row>
    <row r="52" spans="1:17" ht="67.5" x14ac:dyDescent="0.2">
      <c r="A52" s="153">
        <v>2020</v>
      </c>
      <c r="B52" s="153">
        <v>1</v>
      </c>
      <c r="C52" s="153">
        <v>28</v>
      </c>
      <c r="D52" s="141">
        <f t="shared" si="0"/>
        <v>43858</v>
      </c>
      <c r="E52" s="275">
        <f t="shared" si="1"/>
        <v>43858</v>
      </c>
      <c r="F52" s="480"/>
      <c r="G52" s="224" t="s">
        <v>74</v>
      </c>
      <c r="H52" s="224" t="str" cm="1">
        <f t="array" ref="H52">IFERROR(INDEX(INVESTOR_LIST[INVESTOR NAME],MATCH(I52,INVESTOR_LIST[INVESTOR CODE],0),)," ")</f>
        <v>MOHAMMAD NAZMUL HOSSAIN</v>
      </c>
      <c r="I52" s="154" t="s">
        <v>381</v>
      </c>
      <c r="J52" s="155" t="s">
        <v>13</v>
      </c>
      <c r="K52" s="232"/>
      <c r="L52" s="232">
        <f>K51</f>
        <v>200000</v>
      </c>
      <c r="M52" s="147">
        <v>0</v>
      </c>
      <c r="Q52" s="133" t="s">
        <v>381</v>
      </c>
    </row>
    <row r="53" spans="1:17" ht="11.25" customHeight="1" x14ac:dyDescent="0.2">
      <c r="A53" s="150">
        <v>2020</v>
      </c>
      <c r="B53" s="150">
        <v>1</v>
      </c>
      <c r="C53" s="150">
        <v>28</v>
      </c>
      <c r="D53" s="141">
        <f t="shared" si="0"/>
        <v>43858</v>
      </c>
      <c r="E53" s="275">
        <f t="shared" si="1"/>
        <v>43858</v>
      </c>
      <c r="F53" s="479" t="s">
        <v>964</v>
      </c>
      <c r="G53" s="223" t="s">
        <v>74</v>
      </c>
      <c r="H53" s="225" t="str" cm="1">
        <f t="array" ref="H53">IFERROR(INDEX(INVESTOR_LIST[INVESTOR NAME],MATCH(I53,INVESTOR_LIST[INVESTOR CODE],0),)," ")</f>
        <v>ANJANA SAHA</v>
      </c>
      <c r="I53" s="158" t="s">
        <v>382</v>
      </c>
      <c r="J53" s="152" t="s">
        <v>52</v>
      </c>
      <c r="K53" s="231">
        <v>800000</v>
      </c>
      <c r="L53" s="231"/>
      <c r="M53" s="147">
        <v>0</v>
      </c>
      <c r="Q53" s="133" t="s">
        <v>382</v>
      </c>
    </row>
    <row r="54" spans="1:17" ht="22.5" x14ac:dyDescent="0.2">
      <c r="A54" s="153">
        <v>2020</v>
      </c>
      <c r="B54" s="153">
        <v>1</v>
      </c>
      <c r="C54" s="153">
        <v>28</v>
      </c>
      <c r="D54" s="141">
        <f t="shared" si="0"/>
        <v>43858</v>
      </c>
      <c r="E54" s="275">
        <f t="shared" si="1"/>
        <v>43858</v>
      </c>
      <c r="F54" s="480"/>
      <c r="G54" s="224" t="s">
        <v>74</v>
      </c>
      <c r="H54" s="224" t="str" cm="1">
        <f t="array" ref="H54">IFERROR(INDEX(INVESTOR_LIST[INVESTOR NAME],MATCH(I54,INVESTOR_LIST[INVESTOR CODE],0),)," ")</f>
        <v>ANJANA SAHA</v>
      </c>
      <c r="I54" s="154" t="s">
        <v>382</v>
      </c>
      <c r="J54" s="155" t="s">
        <v>13</v>
      </c>
      <c r="K54" s="232"/>
      <c r="L54" s="232">
        <f>K53</f>
        <v>800000</v>
      </c>
      <c r="M54" s="147">
        <v>0</v>
      </c>
      <c r="Q54" s="133" t="s">
        <v>382</v>
      </c>
    </row>
    <row r="55" spans="1:17" x14ac:dyDescent="0.2">
      <c r="A55" s="141">
        <v>2020</v>
      </c>
      <c r="B55" s="141">
        <v>1</v>
      </c>
      <c r="C55" s="141">
        <v>28</v>
      </c>
      <c r="D55" s="141">
        <f t="shared" si="0"/>
        <v>43858</v>
      </c>
      <c r="E55" s="275">
        <f t="shared" si="1"/>
        <v>43858</v>
      </c>
      <c r="F55" s="479" t="s">
        <v>77</v>
      </c>
      <c r="G55" s="220" t="s">
        <v>74</v>
      </c>
      <c r="H55" s="174" t="str" cm="1">
        <f t="array" ref="H55">IFERROR(INDEX(INVESTOR_LIST[INVESTOR NAME],MATCH(I55,INVESTOR_LIST[INVESTOR CODE],0),)," ")</f>
        <v xml:space="preserve"> </v>
      </c>
      <c r="I55" s="148" t="s">
        <v>348</v>
      </c>
      <c r="J55" s="143" t="s">
        <v>61</v>
      </c>
      <c r="K55" s="226">
        <v>10</v>
      </c>
      <c r="L55" s="226"/>
      <c r="M55" s="147">
        <v>0</v>
      </c>
      <c r="Q55" s="133" t="s">
        <v>348</v>
      </c>
    </row>
    <row r="56" spans="1:17" x14ac:dyDescent="0.2">
      <c r="A56" s="144">
        <v>2020</v>
      </c>
      <c r="B56" s="144">
        <v>1</v>
      </c>
      <c r="C56" s="144">
        <v>28</v>
      </c>
      <c r="D56" s="141">
        <f t="shared" si="0"/>
        <v>43858</v>
      </c>
      <c r="E56" s="275">
        <f t="shared" si="1"/>
        <v>43858</v>
      </c>
      <c r="F56" s="480"/>
      <c r="G56" s="221" t="s">
        <v>74</v>
      </c>
      <c r="H56" s="221" t="str" cm="1">
        <f t="array" ref="H56">IFERROR(INDEX(INVESTOR_LIST[INVESTOR NAME],MATCH(I56,INVESTOR_LIST[INVESTOR CODE],0),)," ")</f>
        <v xml:space="preserve"> </v>
      </c>
      <c r="I56" s="145" t="s">
        <v>348</v>
      </c>
      <c r="J56" s="146" t="s">
        <v>52</v>
      </c>
      <c r="K56" s="219"/>
      <c r="L56" s="219">
        <v>10</v>
      </c>
      <c r="M56" s="147">
        <v>0</v>
      </c>
      <c r="Q56" s="133" t="s">
        <v>348</v>
      </c>
    </row>
    <row r="57" spans="1:17" x14ac:dyDescent="0.2">
      <c r="A57" s="141">
        <v>2020</v>
      </c>
      <c r="B57" s="141">
        <v>1</v>
      </c>
      <c r="C57" s="141">
        <v>28</v>
      </c>
      <c r="D57" s="141">
        <f t="shared" si="0"/>
        <v>43858</v>
      </c>
      <c r="E57" s="275">
        <f t="shared" si="1"/>
        <v>43858</v>
      </c>
      <c r="F57" s="479" t="s">
        <v>77</v>
      </c>
      <c r="G57" s="220" t="s">
        <v>74</v>
      </c>
      <c r="H57" s="174" t="str" cm="1">
        <f t="array" ref="H57">IFERROR(INDEX(INVESTOR_LIST[INVESTOR NAME],MATCH(I57,INVESTOR_LIST[INVESTOR CODE],0),)," ")</f>
        <v xml:space="preserve"> </v>
      </c>
      <c r="I57" s="148" t="s">
        <v>348</v>
      </c>
      <c r="J57" s="143" t="s">
        <v>61</v>
      </c>
      <c r="K57" s="226">
        <v>25</v>
      </c>
      <c r="L57" s="226"/>
      <c r="M57" s="147">
        <v>6</v>
      </c>
      <c r="Q57" s="133" t="s">
        <v>348</v>
      </c>
    </row>
    <row r="58" spans="1:17" x14ac:dyDescent="0.2">
      <c r="A58" s="144">
        <v>2020</v>
      </c>
      <c r="B58" s="144">
        <v>1</v>
      </c>
      <c r="C58" s="144">
        <v>28</v>
      </c>
      <c r="D58" s="141">
        <f t="shared" si="0"/>
        <v>43858</v>
      </c>
      <c r="E58" s="275">
        <f t="shared" si="1"/>
        <v>43858</v>
      </c>
      <c r="F58" s="480"/>
      <c r="G58" s="221" t="s">
        <v>74</v>
      </c>
      <c r="H58" s="221" t="str" cm="1">
        <f t="array" ref="H58">IFERROR(INDEX(INVESTOR_LIST[INVESTOR NAME],MATCH(I58,INVESTOR_LIST[INVESTOR CODE],0),)," ")</f>
        <v xml:space="preserve"> </v>
      </c>
      <c r="I58" s="145" t="s">
        <v>348</v>
      </c>
      <c r="J58" s="146" t="s">
        <v>52</v>
      </c>
      <c r="K58" s="219"/>
      <c r="L58" s="219">
        <v>25</v>
      </c>
      <c r="M58" s="147">
        <v>0</v>
      </c>
      <c r="Q58" s="133" t="s">
        <v>348</v>
      </c>
    </row>
    <row r="59" spans="1:17" ht="11.25" customHeight="1" x14ac:dyDescent="0.2">
      <c r="A59" s="150">
        <v>2020</v>
      </c>
      <c r="B59" s="150">
        <v>2</v>
      </c>
      <c r="C59" s="150">
        <v>3</v>
      </c>
      <c r="D59" s="141">
        <f t="shared" si="0"/>
        <v>43864</v>
      </c>
      <c r="E59" s="275">
        <f t="shared" si="1"/>
        <v>43864</v>
      </c>
      <c r="F59" s="479" t="s">
        <v>964</v>
      </c>
      <c r="G59" s="223" t="s">
        <v>74</v>
      </c>
      <c r="H59" s="225" t="str" cm="1">
        <f t="array" ref="H59">IFERROR(INDEX(INVESTOR_LIST[INVESTOR NAME],MATCH(I59,INVESTOR_LIST[INVESTOR CODE],0),)," ")</f>
        <v>ABDUL HAI BHUYAN</v>
      </c>
      <c r="I59" s="158" t="s">
        <v>383</v>
      </c>
      <c r="J59" s="152" t="s">
        <v>52</v>
      </c>
      <c r="K59" s="231">
        <v>100000</v>
      </c>
      <c r="L59" s="231"/>
      <c r="M59" s="147">
        <v>0</v>
      </c>
      <c r="Q59" s="133" t="s">
        <v>383</v>
      </c>
    </row>
    <row r="60" spans="1:17" ht="45" x14ac:dyDescent="0.2">
      <c r="A60" s="153">
        <v>2020</v>
      </c>
      <c r="B60" s="153">
        <v>2</v>
      </c>
      <c r="C60" s="153">
        <v>3</v>
      </c>
      <c r="D60" s="141">
        <f t="shared" si="0"/>
        <v>43864</v>
      </c>
      <c r="E60" s="275">
        <f t="shared" si="1"/>
        <v>43864</v>
      </c>
      <c r="F60" s="480"/>
      <c r="G60" s="224" t="s">
        <v>74</v>
      </c>
      <c r="H60" s="224" t="str" cm="1">
        <f t="array" ref="H60">IFERROR(INDEX(INVESTOR_LIST[INVESTOR NAME],MATCH(I60,INVESTOR_LIST[INVESTOR CODE],0),)," ")</f>
        <v>ABDUL HAI BHUYAN</v>
      </c>
      <c r="I60" s="154" t="s">
        <v>383</v>
      </c>
      <c r="J60" s="155" t="s">
        <v>13</v>
      </c>
      <c r="K60" s="232"/>
      <c r="L60" s="232">
        <f>K59</f>
        <v>100000</v>
      </c>
      <c r="M60" s="147">
        <v>0</v>
      </c>
      <c r="Q60" s="133" t="s">
        <v>383</v>
      </c>
    </row>
    <row r="61" spans="1:17" x14ac:dyDescent="0.2">
      <c r="A61" s="141">
        <v>2020</v>
      </c>
      <c r="B61" s="141">
        <v>2</v>
      </c>
      <c r="C61" s="141">
        <v>3</v>
      </c>
      <c r="D61" s="141">
        <f t="shared" si="0"/>
        <v>43864</v>
      </c>
      <c r="E61" s="275">
        <f t="shared" si="1"/>
        <v>43864</v>
      </c>
      <c r="F61" s="479" t="s">
        <v>77</v>
      </c>
      <c r="G61" s="220" t="s">
        <v>74</v>
      </c>
      <c r="H61" s="174" t="str" cm="1">
        <f t="array" ref="H61">IFERROR(INDEX(INVESTOR_LIST[INVESTOR NAME],MATCH(I61,INVESTOR_LIST[INVESTOR CODE],0),)," ")</f>
        <v xml:space="preserve"> </v>
      </c>
      <c r="I61" s="148" t="s">
        <v>348</v>
      </c>
      <c r="J61" s="143" t="s">
        <v>61</v>
      </c>
      <c r="K61" s="226">
        <v>10</v>
      </c>
      <c r="L61" s="226"/>
      <c r="M61" s="147">
        <v>1</v>
      </c>
      <c r="Q61" s="133" t="s">
        <v>348</v>
      </c>
    </row>
    <row r="62" spans="1:17" x14ac:dyDescent="0.2">
      <c r="A62" s="144">
        <v>2020</v>
      </c>
      <c r="B62" s="144">
        <v>2</v>
      </c>
      <c r="C62" s="144">
        <v>3</v>
      </c>
      <c r="D62" s="141">
        <f t="shared" si="0"/>
        <v>43864</v>
      </c>
      <c r="E62" s="275">
        <f t="shared" si="1"/>
        <v>43864</v>
      </c>
      <c r="F62" s="480"/>
      <c r="G62" s="221" t="s">
        <v>74</v>
      </c>
      <c r="H62" s="221" t="str" cm="1">
        <f t="array" ref="H62">IFERROR(INDEX(INVESTOR_LIST[INVESTOR NAME],MATCH(I62,INVESTOR_LIST[INVESTOR CODE],0),)," ")</f>
        <v xml:space="preserve"> </v>
      </c>
      <c r="I62" s="145" t="s">
        <v>348</v>
      </c>
      <c r="J62" s="146" t="s">
        <v>52</v>
      </c>
      <c r="K62" s="219"/>
      <c r="L62" s="219">
        <v>10</v>
      </c>
      <c r="M62" s="147">
        <v>0</v>
      </c>
      <c r="Q62" s="133" t="s">
        <v>348</v>
      </c>
    </row>
    <row r="63" spans="1:17" ht="11.25" customHeight="1" x14ac:dyDescent="0.2">
      <c r="A63" s="150">
        <v>2020</v>
      </c>
      <c r="B63" s="150">
        <v>2</v>
      </c>
      <c r="C63" s="150">
        <v>4</v>
      </c>
      <c r="D63" s="141">
        <f t="shared" si="0"/>
        <v>43865</v>
      </c>
      <c r="E63" s="275">
        <f t="shared" si="1"/>
        <v>43865</v>
      </c>
      <c r="F63" s="479" t="s">
        <v>964</v>
      </c>
      <c r="G63" s="223" t="s">
        <v>74</v>
      </c>
      <c r="H63" s="225" t="str" cm="1">
        <f t="array" ref="H63">IFERROR(INDEX(INVESTOR_LIST[INVESTOR NAME],MATCH(I63,INVESTOR_LIST[INVESTOR CODE],0),)," ")</f>
        <v>ALI IMAM</v>
      </c>
      <c r="I63" s="158" t="s">
        <v>384</v>
      </c>
      <c r="J63" s="152" t="s">
        <v>52</v>
      </c>
      <c r="K63" s="231">
        <v>50000</v>
      </c>
      <c r="L63" s="231"/>
      <c r="M63" s="147">
        <v>5</v>
      </c>
      <c r="Q63" s="133" t="s">
        <v>384</v>
      </c>
    </row>
    <row r="64" spans="1:17" ht="22.5" x14ac:dyDescent="0.2">
      <c r="A64" s="153">
        <v>2020</v>
      </c>
      <c r="B64" s="153">
        <v>2</v>
      </c>
      <c r="C64" s="153">
        <v>4</v>
      </c>
      <c r="D64" s="141">
        <f t="shared" si="0"/>
        <v>43865</v>
      </c>
      <c r="E64" s="275">
        <f t="shared" si="1"/>
        <v>43865</v>
      </c>
      <c r="F64" s="480"/>
      <c r="G64" s="224" t="s">
        <v>74</v>
      </c>
      <c r="H64" s="224" t="str" cm="1">
        <f t="array" ref="H64">IFERROR(INDEX(INVESTOR_LIST[INVESTOR NAME],MATCH(I64,INVESTOR_LIST[INVESTOR CODE],0),)," ")</f>
        <v>ALI IMAM</v>
      </c>
      <c r="I64" s="154" t="s">
        <v>384</v>
      </c>
      <c r="J64" s="155" t="s">
        <v>13</v>
      </c>
      <c r="K64" s="232"/>
      <c r="L64" s="232">
        <f>K63</f>
        <v>50000</v>
      </c>
      <c r="M64" s="147">
        <v>0</v>
      </c>
      <c r="Q64" s="133" t="s">
        <v>384</v>
      </c>
    </row>
    <row r="65" spans="1:17" ht="11.25" customHeight="1" x14ac:dyDescent="0.2">
      <c r="A65" s="150">
        <v>2020</v>
      </c>
      <c r="B65" s="150">
        <v>2</v>
      </c>
      <c r="C65" s="150">
        <v>9</v>
      </c>
      <c r="D65" s="141">
        <f t="shared" si="0"/>
        <v>43870</v>
      </c>
      <c r="E65" s="275">
        <f t="shared" si="1"/>
        <v>43870</v>
      </c>
      <c r="F65" s="479" t="s">
        <v>964</v>
      </c>
      <c r="G65" s="223" t="s">
        <v>74</v>
      </c>
      <c r="H65" s="225" t="str" cm="1">
        <f t="array" ref="H65">IFERROR(INDEX(INVESTOR_LIST[INVESTOR NAME],MATCH(I65,INVESTOR_LIST[INVESTOR CODE],0),)," ")</f>
        <v>UCIL EMPLOYEES' PROVIDENT FUND</v>
      </c>
      <c r="I65" s="158" t="s">
        <v>385</v>
      </c>
      <c r="J65" s="152" t="s">
        <v>52</v>
      </c>
      <c r="K65" s="231">
        <v>500000</v>
      </c>
      <c r="L65" s="231"/>
      <c r="M65" s="147">
        <v>0</v>
      </c>
      <c r="Q65" s="133" t="s">
        <v>385</v>
      </c>
    </row>
    <row r="66" spans="1:17" ht="67.5" x14ac:dyDescent="0.2">
      <c r="A66" s="153">
        <v>2020</v>
      </c>
      <c r="B66" s="153">
        <v>2</v>
      </c>
      <c r="C66" s="153">
        <v>9</v>
      </c>
      <c r="D66" s="141">
        <f t="shared" si="0"/>
        <v>43870</v>
      </c>
      <c r="E66" s="275">
        <f t="shared" si="1"/>
        <v>43870</v>
      </c>
      <c r="F66" s="480"/>
      <c r="G66" s="224" t="s">
        <v>74</v>
      </c>
      <c r="H66" s="224" t="str" cm="1">
        <f t="array" ref="H66">IFERROR(INDEX(INVESTOR_LIST[INVESTOR NAME],MATCH(I66,INVESTOR_LIST[INVESTOR CODE],0),)," ")</f>
        <v>UCIL EMPLOYEES' PROVIDENT FUND</v>
      </c>
      <c r="I66" s="154" t="s">
        <v>385</v>
      </c>
      <c r="J66" s="155" t="s">
        <v>13</v>
      </c>
      <c r="K66" s="232"/>
      <c r="L66" s="232">
        <f>K65</f>
        <v>500000</v>
      </c>
      <c r="M66" s="147">
        <v>0</v>
      </c>
      <c r="Q66" s="133" t="s">
        <v>385</v>
      </c>
    </row>
    <row r="67" spans="1:17" ht="11.25" customHeight="1" x14ac:dyDescent="0.2">
      <c r="A67" s="150">
        <v>2020</v>
      </c>
      <c r="B67" s="150">
        <v>2</v>
      </c>
      <c r="C67" s="150">
        <v>9</v>
      </c>
      <c r="D67" s="141">
        <f t="shared" si="0"/>
        <v>43870</v>
      </c>
      <c r="E67" s="275">
        <f t="shared" si="1"/>
        <v>43870</v>
      </c>
      <c r="F67" s="479" t="s">
        <v>964</v>
      </c>
      <c r="G67" s="223" t="s">
        <v>74</v>
      </c>
      <c r="H67" s="225" t="str" cm="1">
        <f t="array" ref="H67">IFERROR(INDEX(INVESTOR_LIST[INVESTOR NAME],MATCH(I67,INVESTOR_LIST[INVESTOR CODE],0),)," ")</f>
        <v>MD. ZAKIR HOSSEN</v>
      </c>
      <c r="I67" s="158" t="s">
        <v>386</v>
      </c>
      <c r="J67" s="152" t="s">
        <v>52</v>
      </c>
      <c r="K67" s="231">
        <v>5000</v>
      </c>
      <c r="L67" s="231"/>
      <c r="M67" s="147">
        <v>9</v>
      </c>
      <c r="Q67" s="133" t="s">
        <v>386</v>
      </c>
    </row>
    <row r="68" spans="1:17" ht="45" x14ac:dyDescent="0.2">
      <c r="A68" s="153">
        <v>2020</v>
      </c>
      <c r="B68" s="153">
        <v>2</v>
      </c>
      <c r="C68" s="153">
        <v>9</v>
      </c>
      <c r="D68" s="141">
        <f t="shared" si="0"/>
        <v>43870</v>
      </c>
      <c r="E68" s="275">
        <f t="shared" si="1"/>
        <v>43870</v>
      </c>
      <c r="F68" s="480"/>
      <c r="G68" s="224" t="s">
        <v>74</v>
      </c>
      <c r="H68" s="224" t="str" cm="1">
        <f t="array" ref="H68">IFERROR(INDEX(INVESTOR_LIST[INVESTOR NAME],MATCH(I68,INVESTOR_LIST[INVESTOR CODE],0),)," ")</f>
        <v>MD. ZAKIR HOSSEN</v>
      </c>
      <c r="I68" s="154" t="s">
        <v>386</v>
      </c>
      <c r="J68" s="155" t="s">
        <v>13</v>
      </c>
      <c r="K68" s="232"/>
      <c r="L68" s="232">
        <f>K67</f>
        <v>5000</v>
      </c>
      <c r="M68" s="147">
        <v>0</v>
      </c>
      <c r="Q68" s="133" t="s">
        <v>386</v>
      </c>
    </row>
    <row r="69" spans="1:17" x14ac:dyDescent="0.2">
      <c r="A69" s="141">
        <v>2020</v>
      </c>
      <c r="B69" s="141">
        <v>2</v>
      </c>
      <c r="C69" s="141">
        <v>9</v>
      </c>
      <c r="D69" s="141">
        <f t="shared" si="0"/>
        <v>43870</v>
      </c>
      <c r="E69" s="275">
        <f t="shared" si="1"/>
        <v>43870</v>
      </c>
      <c r="F69" s="479" t="s">
        <v>77</v>
      </c>
      <c r="G69" s="220" t="s">
        <v>74</v>
      </c>
      <c r="H69" s="174" t="str" cm="1">
        <f t="array" ref="H69">IFERROR(INDEX(INVESTOR_LIST[INVESTOR NAME],MATCH(I69,INVESTOR_LIST[INVESTOR CODE],0),)," ")</f>
        <v xml:space="preserve"> </v>
      </c>
      <c r="I69" s="148" t="s">
        <v>348</v>
      </c>
      <c r="J69" s="143" t="s">
        <v>61</v>
      </c>
      <c r="K69" s="226">
        <v>60</v>
      </c>
      <c r="L69" s="226"/>
      <c r="M69" s="147">
        <v>0</v>
      </c>
      <c r="Q69" s="133" t="s">
        <v>348</v>
      </c>
    </row>
    <row r="70" spans="1:17" x14ac:dyDescent="0.2">
      <c r="A70" s="144">
        <v>2020</v>
      </c>
      <c r="B70" s="144">
        <v>2</v>
      </c>
      <c r="C70" s="144">
        <v>9</v>
      </c>
      <c r="D70" s="141">
        <f t="shared" si="0"/>
        <v>43870</v>
      </c>
      <c r="E70" s="275">
        <f t="shared" si="1"/>
        <v>43870</v>
      </c>
      <c r="F70" s="480"/>
      <c r="G70" s="221" t="s">
        <v>74</v>
      </c>
      <c r="H70" s="221" t="str" cm="1">
        <f t="array" ref="H70">IFERROR(INDEX(INVESTOR_LIST[INVESTOR NAME],MATCH(I70,INVESTOR_LIST[INVESTOR CODE],0),)," ")</f>
        <v xml:space="preserve"> </v>
      </c>
      <c r="I70" s="145" t="s">
        <v>348</v>
      </c>
      <c r="J70" s="146" t="s">
        <v>52</v>
      </c>
      <c r="K70" s="219"/>
      <c r="L70" s="219">
        <v>60</v>
      </c>
      <c r="M70" s="147">
        <v>0</v>
      </c>
      <c r="Q70" s="133" t="s">
        <v>348</v>
      </c>
    </row>
    <row r="71" spans="1:17" x14ac:dyDescent="0.2">
      <c r="A71" s="141">
        <v>2020</v>
      </c>
      <c r="B71" s="141">
        <v>2</v>
      </c>
      <c r="C71" s="141">
        <v>18</v>
      </c>
      <c r="D71" s="141">
        <f t="shared" si="0"/>
        <v>43879</v>
      </c>
      <c r="E71" s="275">
        <f t="shared" si="1"/>
        <v>43879</v>
      </c>
      <c r="F71" s="479" t="s">
        <v>77</v>
      </c>
      <c r="G71" s="220" t="s">
        <v>74</v>
      </c>
      <c r="H71" s="174" t="str" cm="1">
        <f t="array" ref="H71">IFERROR(INDEX(INVESTOR_LIST[INVESTOR NAME],MATCH(I71,INVESTOR_LIST[INVESTOR CODE],0),)," ")</f>
        <v xml:space="preserve"> </v>
      </c>
      <c r="I71" s="148" t="s">
        <v>348</v>
      </c>
      <c r="J71" s="143" t="s">
        <v>61</v>
      </c>
      <c r="K71" s="226">
        <v>10</v>
      </c>
      <c r="L71" s="226"/>
      <c r="M71" s="147">
        <v>0</v>
      </c>
      <c r="Q71" s="133" t="s">
        <v>348</v>
      </c>
    </row>
    <row r="72" spans="1:17" x14ac:dyDescent="0.2">
      <c r="A72" s="144">
        <v>2020</v>
      </c>
      <c r="B72" s="144">
        <v>2</v>
      </c>
      <c r="C72" s="144">
        <v>18</v>
      </c>
      <c r="D72" s="141">
        <f t="shared" si="0"/>
        <v>43879</v>
      </c>
      <c r="E72" s="275">
        <f t="shared" si="1"/>
        <v>43879</v>
      </c>
      <c r="F72" s="480"/>
      <c r="G72" s="221" t="s">
        <v>74</v>
      </c>
      <c r="H72" s="221" t="str" cm="1">
        <f t="array" ref="H72">IFERROR(INDEX(INVESTOR_LIST[INVESTOR NAME],MATCH(I72,INVESTOR_LIST[INVESTOR CODE],0),)," ")</f>
        <v xml:space="preserve"> </v>
      </c>
      <c r="I72" s="145" t="s">
        <v>348</v>
      </c>
      <c r="J72" s="146" t="s">
        <v>52</v>
      </c>
      <c r="K72" s="219"/>
      <c r="L72" s="219">
        <v>10</v>
      </c>
      <c r="M72" s="147">
        <v>0</v>
      </c>
      <c r="Q72" s="133" t="s">
        <v>348</v>
      </c>
    </row>
    <row r="73" spans="1:17" ht="11.25" customHeight="1" x14ac:dyDescent="0.2">
      <c r="A73" s="150">
        <v>2020</v>
      </c>
      <c r="B73" s="150">
        <v>2</v>
      </c>
      <c r="C73" s="150">
        <v>18</v>
      </c>
      <c r="D73" s="141">
        <f t="shared" ref="D73:D136" si="2">DATE(A73,B73,C73)</f>
        <v>43879</v>
      </c>
      <c r="E73" s="275">
        <f t="shared" si="1"/>
        <v>43879</v>
      </c>
      <c r="F73" s="479" t="s">
        <v>964</v>
      </c>
      <c r="G73" s="223" t="s">
        <v>74</v>
      </c>
      <c r="H73" s="225" t="str" cm="1">
        <f t="array" ref="H73">IFERROR(INDEX(INVESTOR_LIST[INVESTOR NAME],MATCH(I73,INVESTOR_LIST[INVESTOR CODE],0),)," ")</f>
        <v>TANIZA MAZED</v>
      </c>
      <c r="I73" s="158" t="s">
        <v>387</v>
      </c>
      <c r="J73" s="152" t="s">
        <v>52</v>
      </c>
      <c r="K73" s="231">
        <v>100000</v>
      </c>
      <c r="L73" s="231"/>
      <c r="M73" s="147">
        <v>3</v>
      </c>
      <c r="Q73" s="133" t="s">
        <v>387</v>
      </c>
    </row>
    <row r="74" spans="1:17" ht="22.5" x14ac:dyDescent="0.2">
      <c r="A74" s="153">
        <v>2020</v>
      </c>
      <c r="B74" s="153">
        <v>2</v>
      </c>
      <c r="C74" s="153">
        <v>18</v>
      </c>
      <c r="D74" s="141">
        <f t="shared" si="2"/>
        <v>43879</v>
      </c>
      <c r="E74" s="275">
        <f t="shared" ref="E74:E137" si="3">DATE(A74,B74,C74)</f>
        <v>43879</v>
      </c>
      <c r="F74" s="480"/>
      <c r="G74" s="224" t="s">
        <v>74</v>
      </c>
      <c r="H74" s="224" t="str" cm="1">
        <f t="array" ref="H74">IFERROR(INDEX(INVESTOR_LIST[INVESTOR NAME],MATCH(I74,INVESTOR_LIST[INVESTOR CODE],0),)," ")</f>
        <v>TANIZA MAZED</v>
      </c>
      <c r="I74" s="154" t="s">
        <v>387</v>
      </c>
      <c r="J74" s="155" t="s">
        <v>13</v>
      </c>
      <c r="K74" s="232"/>
      <c r="L74" s="232">
        <f>K73</f>
        <v>100000</v>
      </c>
      <c r="M74" s="147">
        <v>0</v>
      </c>
      <c r="Q74" s="133" t="s">
        <v>387</v>
      </c>
    </row>
    <row r="75" spans="1:17" ht="15.75" customHeight="1" x14ac:dyDescent="0.2">
      <c r="A75" s="150">
        <v>2020</v>
      </c>
      <c r="B75" s="150">
        <v>2</v>
      </c>
      <c r="C75" s="150">
        <v>20</v>
      </c>
      <c r="D75" s="141">
        <f t="shared" si="2"/>
        <v>43881</v>
      </c>
      <c r="E75" s="275">
        <f t="shared" si="3"/>
        <v>43881</v>
      </c>
      <c r="F75" s="479" t="s">
        <v>964</v>
      </c>
      <c r="G75" s="223" t="s">
        <v>74</v>
      </c>
      <c r="H75" s="225" t="str" cm="1">
        <f t="array" ref="H75">IFERROR(INDEX(INVESTOR_LIST[INVESTOR NAME],MATCH(I75,INVESTOR_LIST[INVESTOR CODE],0),)," ")</f>
        <v>MRIDUL KUMAR DEY</v>
      </c>
      <c r="I75" s="158" t="s">
        <v>388</v>
      </c>
      <c r="J75" s="152" t="s">
        <v>52</v>
      </c>
      <c r="K75" s="231">
        <v>100000</v>
      </c>
      <c r="L75" s="231"/>
      <c r="M75" s="147">
        <v>0</v>
      </c>
      <c r="Q75" s="133" t="s">
        <v>388</v>
      </c>
    </row>
    <row r="76" spans="1:17" ht="13.5" customHeight="1" x14ac:dyDescent="0.2">
      <c r="A76" s="153">
        <v>2020</v>
      </c>
      <c r="B76" s="153">
        <v>2</v>
      </c>
      <c r="C76" s="153">
        <v>20</v>
      </c>
      <c r="D76" s="141">
        <f t="shared" si="2"/>
        <v>43881</v>
      </c>
      <c r="E76" s="275">
        <f t="shared" si="3"/>
        <v>43881</v>
      </c>
      <c r="F76" s="480"/>
      <c r="G76" s="224" t="s">
        <v>74</v>
      </c>
      <c r="H76" s="224" t="str" cm="1">
        <f t="array" ref="H76">IFERROR(INDEX(INVESTOR_LIST[INVESTOR NAME],MATCH(I76,INVESTOR_LIST[INVESTOR CODE],0),)," ")</f>
        <v>MRIDUL KUMAR DEY</v>
      </c>
      <c r="I76" s="154" t="s">
        <v>388</v>
      </c>
      <c r="J76" s="155" t="s">
        <v>13</v>
      </c>
      <c r="K76" s="232"/>
      <c r="L76" s="232">
        <f>K75</f>
        <v>100000</v>
      </c>
      <c r="M76" s="147">
        <v>0</v>
      </c>
      <c r="Q76" s="133" t="s">
        <v>388</v>
      </c>
    </row>
    <row r="77" spans="1:17" ht="11.25" customHeight="1" x14ac:dyDescent="0.2">
      <c r="A77" s="150">
        <v>2020</v>
      </c>
      <c r="B77" s="150">
        <v>2</v>
      </c>
      <c r="C77" s="150">
        <v>20</v>
      </c>
      <c r="D77" s="141">
        <f t="shared" si="2"/>
        <v>43881</v>
      </c>
      <c r="E77" s="275">
        <f t="shared" si="3"/>
        <v>43881</v>
      </c>
      <c r="F77" s="479" t="s">
        <v>964</v>
      </c>
      <c r="G77" s="223" t="s">
        <v>74</v>
      </c>
      <c r="H77" s="225" t="str" cm="1">
        <f t="array" ref="H77">IFERROR(INDEX(INVESTOR_LIST[INVESTOR NAME],MATCH(I77,INVESTOR_LIST[INVESTOR CODE],0),)," ")</f>
        <v>MAMUNUR RASHID</v>
      </c>
      <c r="I77" s="158" t="s">
        <v>389</v>
      </c>
      <c r="J77" s="152" t="s">
        <v>52</v>
      </c>
      <c r="K77" s="231">
        <v>10000</v>
      </c>
      <c r="L77" s="231"/>
      <c r="M77" s="147">
        <v>0</v>
      </c>
      <c r="Q77" s="133" t="s">
        <v>389</v>
      </c>
    </row>
    <row r="78" spans="1:17" ht="33.75" x14ac:dyDescent="0.2">
      <c r="A78" s="153">
        <v>2020</v>
      </c>
      <c r="B78" s="153">
        <v>2</v>
      </c>
      <c r="C78" s="153">
        <v>20</v>
      </c>
      <c r="D78" s="141">
        <f t="shared" si="2"/>
        <v>43881</v>
      </c>
      <c r="E78" s="275">
        <f t="shared" si="3"/>
        <v>43881</v>
      </c>
      <c r="F78" s="480"/>
      <c r="G78" s="224" t="s">
        <v>74</v>
      </c>
      <c r="H78" s="224" t="str" cm="1">
        <f t="array" ref="H78">IFERROR(INDEX(INVESTOR_LIST[INVESTOR NAME],MATCH(I78,INVESTOR_LIST[INVESTOR CODE],0),)," ")</f>
        <v>MAMUNUR RASHID</v>
      </c>
      <c r="I78" s="154" t="s">
        <v>389</v>
      </c>
      <c r="J78" s="155" t="s">
        <v>13</v>
      </c>
      <c r="K78" s="232"/>
      <c r="L78" s="232">
        <f>K77</f>
        <v>10000</v>
      </c>
      <c r="M78" s="147">
        <v>0</v>
      </c>
      <c r="Q78" s="133" t="s">
        <v>389</v>
      </c>
    </row>
    <row r="79" spans="1:17" ht="11.25" customHeight="1" x14ac:dyDescent="0.2">
      <c r="A79" s="150">
        <v>2020</v>
      </c>
      <c r="B79" s="150">
        <v>2</v>
      </c>
      <c r="C79" s="150">
        <v>20</v>
      </c>
      <c r="D79" s="141">
        <f t="shared" si="2"/>
        <v>43881</v>
      </c>
      <c r="E79" s="275">
        <f t="shared" si="3"/>
        <v>43881</v>
      </c>
      <c r="F79" s="479" t="s">
        <v>964</v>
      </c>
      <c r="G79" s="223" t="s">
        <v>74</v>
      </c>
      <c r="H79" s="225" t="str" cm="1">
        <f t="array" ref="H79">IFERROR(INDEX(INVESTOR_LIST[INVESTOR NAME],MATCH(I79,INVESTOR_LIST[INVESTOR CODE],0),)," ")</f>
        <v>MINHAJ UDDIN</v>
      </c>
      <c r="I79" s="158" t="s">
        <v>390</v>
      </c>
      <c r="J79" s="152" t="s">
        <v>52</v>
      </c>
      <c r="K79" s="231">
        <v>220000</v>
      </c>
      <c r="L79" s="231"/>
      <c r="M79" s="147">
        <v>0</v>
      </c>
      <c r="Q79" s="133" t="s">
        <v>390</v>
      </c>
    </row>
    <row r="80" spans="1:17" ht="22.5" x14ac:dyDescent="0.2">
      <c r="A80" s="153">
        <v>2020</v>
      </c>
      <c r="B80" s="153">
        <v>2</v>
      </c>
      <c r="C80" s="153">
        <v>20</v>
      </c>
      <c r="D80" s="141">
        <f t="shared" si="2"/>
        <v>43881</v>
      </c>
      <c r="E80" s="275">
        <f t="shared" si="3"/>
        <v>43881</v>
      </c>
      <c r="F80" s="480"/>
      <c r="G80" s="224" t="s">
        <v>74</v>
      </c>
      <c r="H80" s="224" t="str" cm="1">
        <f t="array" ref="H80">IFERROR(INDEX(INVESTOR_LIST[INVESTOR NAME],MATCH(I80,INVESTOR_LIST[INVESTOR CODE],0),)," ")</f>
        <v>MINHAJ UDDIN</v>
      </c>
      <c r="I80" s="154" t="s">
        <v>390</v>
      </c>
      <c r="J80" s="155" t="s">
        <v>13</v>
      </c>
      <c r="K80" s="232"/>
      <c r="L80" s="232">
        <f>K79</f>
        <v>220000</v>
      </c>
      <c r="M80" s="147">
        <v>0</v>
      </c>
      <c r="Q80" s="133" t="s">
        <v>390</v>
      </c>
    </row>
    <row r="81" spans="1:17" x14ac:dyDescent="0.2">
      <c r="A81" s="141">
        <v>2020</v>
      </c>
      <c r="B81" s="141">
        <v>2</v>
      </c>
      <c r="C81" s="141">
        <v>20</v>
      </c>
      <c r="D81" s="141">
        <f t="shared" si="2"/>
        <v>43881</v>
      </c>
      <c r="E81" s="275">
        <f t="shared" si="3"/>
        <v>43881</v>
      </c>
      <c r="F81" s="479" t="s">
        <v>77</v>
      </c>
      <c r="G81" s="220" t="s">
        <v>74</v>
      </c>
      <c r="H81" s="174" t="str" cm="1">
        <f t="array" ref="H81">IFERROR(INDEX(INVESTOR_LIST[INVESTOR NAME],MATCH(I81,INVESTOR_LIST[INVESTOR CODE],0),)," ")</f>
        <v xml:space="preserve"> </v>
      </c>
      <c r="I81" s="148" t="s">
        <v>348</v>
      </c>
      <c r="J81" s="143" t="s">
        <v>61</v>
      </c>
      <c r="K81" s="226">
        <v>10</v>
      </c>
      <c r="L81" s="226"/>
      <c r="M81" s="147">
        <v>0</v>
      </c>
      <c r="Q81" s="133" t="s">
        <v>348</v>
      </c>
    </row>
    <row r="82" spans="1:17" x14ac:dyDescent="0.2">
      <c r="A82" s="144">
        <v>2020</v>
      </c>
      <c r="B82" s="144">
        <v>2</v>
      </c>
      <c r="C82" s="144">
        <v>20</v>
      </c>
      <c r="D82" s="141">
        <f t="shared" si="2"/>
        <v>43881</v>
      </c>
      <c r="E82" s="275">
        <f t="shared" si="3"/>
        <v>43881</v>
      </c>
      <c r="F82" s="480"/>
      <c r="G82" s="221" t="s">
        <v>74</v>
      </c>
      <c r="H82" s="221" t="str" cm="1">
        <f t="array" ref="H82">IFERROR(INDEX(INVESTOR_LIST[INVESTOR NAME],MATCH(I82,INVESTOR_LIST[INVESTOR CODE],0),)," ")</f>
        <v xml:space="preserve"> </v>
      </c>
      <c r="I82" s="145" t="s">
        <v>348</v>
      </c>
      <c r="J82" s="146" t="s">
        <v>52</v>
      </c>
      <c r="K82" s="219"/>
      <c r="L82" s="219">
        <v>10</v>
      </c>
      <c r="M82" s="147">
        <v>0</v>
      </c>
      <c r="Q82" s="133" t="s">
        <v>348</v>
      </c>
    </row>
    <row r="83" spans="1:17" x14ac:dyDescent="0.2">
      <c r="A83" s="141">
        <v>2020</v>
      </c>
      <c r="B83" s="141">
        <v>2</v>
      </c>
      <c r="C83" s="141">
        <v>20</v>
      </c>
      <c r="D83" s="141">
        <f t="shared" si="2"/>
        <v>43881</v>
      </c>
      <c r="E83" s="275">
        <f t="shared" si="3"/>
        <v>43881</v>
      </c>
      <c r="F83" s="479" t="s">
        <v>77</v>
      </c>
      <c r="G83" s="220" t="s">
        <v>74</v>
      </c>
      <c r="H83" s="174" t="str" cm="1">
        <f t="array" ref="H83">IFERROR(INDEX(INVESTOR_LIST[INVESTOR NAME],MATCH(I83,INVESTOR_LIST[INVESTOR CODE],0),)," ")</f>
        <v xml:space="preserve"> </v>
      </c>
      <c r="I83" s="148" t="s">
        <v>348</v>
      </c>
      <c r="J83" s="143" t="s">
        <v>61</v>
      </c>
      <c r="K83" s="226">
        <v>10</v>
      </c>
      <c r="L83" s="226"/>
      <c r="M83" s="147">
        <v>1</v>
      </c>
      <c r="Q83" s="133" t="s">
        <v>348</v>
      </c>
    </row>
    <row r="84" spans="1:17" x14ac:dyDescent="0.2">
      <c r="A84" s="144">
        <v>2020</v>
      </c>
      <c r="B84" s="144">
        <v>2</v>
      </c>
      <c r="C84" s="144">
        <v>20</v>
      </c>
      <c r="D84" s="141">
        <f t="shared" si="2"/>
        <v>43881</v>
      </c>
      <c r="E84" s="275">
        <f t="shared" si="3"/>
        <v>43881</v>
      </c>
      <c r="F84" s="480"/>
      <c r="G84" s="221" t="s">
        <v>74</v>
      </c>
      <c r="H84" s="221" t="str" cm="1">
        <f t="array" ref="H84">IFERROR(INDEX(INVESTOR_LIST[INVESTOR NAME],MATCH(I84,INVESTOR_LIST[INVESTOR CODE],0),)," ")</f>
        <v xml:space="preserve"> </v>
      </c>
      <c r="I84" s="145" t="s">
        <v>348</v>
      </c>
      <c r="J84" s="146" t="s">
        <v>52</v>
      </c>
      <c r="K84" s="219"/>
      <c r="L84" s="219">
        <v>10</v>
      </c>
      <c r="M84" s="147">
        <v>0</v>
      </c>
      <c r="Q84" s="133" t="s">
        <v>348</v>
      </c>
    </row>
    <row r="85" spans="1:17" ht="11.25" customHeight="1" x14ac:dyDescent="0.2">
      <c r="A85" s="150">
        <v>2020</v>
      </c>
      <c r="B85" s="150">
        <v>2</v>
      </c>
      <c r="C85" s="150">
        <v>26</v>
      </c>
      <c r="D85" s="141">
        <f t="shared" si="2"/>
        <v>43887</v>
      </c>
      <c r="E85" s="275">
        <f t="shared" si="3"/>
        <v>43887</v>
      </c>
      <c r="F85" s="479" t="s">
        <v>964</v>
      </c>
      <c r="G85" s="223" t="s">
        <v>74</v>
      </c>
      <c r="H85" s="225" t="str" cm="1">
        <f t="array" ref="H85">IFERROR(INDEX(INVESTOR_LIST[INVESTOR NAME],MATCH(I85,INVESTOR_LIST[INVESTOR CODE],0),)," ")</f>
        <v>CRAB EMPLOYEES GRATUITY FUND</v>
      </c>
      <c r="I85" s="158" t="s">
        <v>392</v>
      </c>
      <c r="J85" s="152" t="s">
        <v>52</v>
      </c>
      <c r="K85" s="231">
        <v>250000</v>
      </c>
      <c r="L85" s="231"/>
      <c r="M85" s="147">
        <v>0</v>
      </c>
      <c r="Q85" s="133" t="s">
        <v>392</v>
      </c>
    </row>
    <row r="86" spans="1:17" ht="67.5" x14ac:dyDescent="0.2">
      <c r="A86" s="153">
        <v>2020</v>
      </c>
      <c r="B86" s="153">
        <v>2</v>
      </c>
      <c r="C86" s="153">
        <v>26</v>
      </c>
      <c r="D86" s="141">
        <f t="shared" si="2"/>
        <v>43887</v>
      </c>
      <c r="E86" s="275">
        <f t="shared" si="3"/>
        <v>43887</v>
      </c>
      <c r="F86" s="480"/>
      <c r="G86" s="224" t="s">
        <v>74</v>
      </c>
      <c r="H86" s="224" t="str" cm="1">
        <f t="array" ref="H86">IFERROR(INDEX(INVESTOR_LIST[INVESTOR NAME],MATCH(I86,INVESTOR_LIST[INVESTOR CODE],0),)," ")</f>
        <v>CRAB EMPLOYEES GRATUITY FUND</v>
      </c>
      <c r="I86" s="154" t="s">
        <v>392</v>
      </c>
      <c r="J86" s="155" t="s">
        <v>13</v>
      </c>
      <c r="K86" s="232"/>
      <c r="L86" s="232">
        <f>K85</f>
        <v>250000</v>
      </c>
      <c r="M86" s="147">
        <v>0</v>
      </c>
      <c r="Q86" s="133" t="s">
        <v>392</v>
      </c>
    </row>
    <row r="87" spans="1:17" ht="11.25" customHeight="1" x14ac:dyDescent="0.2">
      <c r="A87" s="150">
        <v>2020</v>
      </c>
      <c r="B87" s="150">
        <v>2</v>
      </c>
      <c r="C87" s="150">
        <v>26</v>
      </c>
      <c r="D87" s="141">
        <f t="shared" si="2"/>
        <v>43887</v>
      </c>
      <c r="E87" s="275">
        <f t="shared" si="3"/>
        <v>43887</v>
      </c>
      <c r="F87" s="479" t="s">
        <v>964</v>
      </c>
      <c r="G87" s="223" t="s">
        <v>74</v>
      </c>
      <c r="H87" s="225" t="str" cm="1">
        <f t="array" ref="H87">IFERROR(INDEX(INVESTOR_LIST[INVESTOR NAME],MATCH(I87,INVESTOR_LIST[INVESTOR CODE],0),)," ")</f>
        <v>CRAB EMPLOYEES PROVIDENT FUND</v>
      </c>
      <c r="I87" s="158" t="s">
        <v>391</v>
      </c>
      <c r="J87" s="152" t="s">
        <v>52</v>
      </c>
      <c r="K87" s="231">
        <v>250000</v>
      </c>
      <c r="L87" s="231"/>
      <c r="M87" s="147">
        <v>0</v>
      </c>
      <c r="Q87" s="133" t="s">
        <v>391</v>
      </c>
    </row>
    <row r="88" spans="1:17" ht="67.5" x14ac:dyDescent="0.2">
      <c r="A88" s="153">
        <v>2020</v>
      </c>
      <c r="B88" s="153">
        <v>2</v>
      </c>
      <c r="C88" s="153">
        <v>26</v>
      </c>
      <c r="D88" s="141">
        <f t="shared" si="2"/>
        <v>43887</v>
      </c>
      <c r="E88" s="275">
        <f t="shared" si="3"/>
        <v>43887</v>
      </c>
      <c r="F88" s="480"/>
      <c r="G88" s="224" t="s">
        <v>74</v>
      </c>
      <c r="H88" s="224" t="str" cm="1">
        <f t="array" ref="H88">IFERROR(INDEX(INVESTOR_LIST[INVESTOR NAME],MATCH(I88,INVESTOR_LIST[INVESTOR CODE],0),)," ")</f>
        <v>CRAB EMPLOYEES PROVIDENT FUND</v>
      </c>
      <c r="I88" s="154" t="s">
        <v>391</v>
      </c>
      <c r="J88" s="155" t="s">
        <v>13</v>
      </c>
      <c r="K88" s="232"/>
      <c r="L88" s="232">
        <f>K87</f>
        <v>250000</v>
      </c>
      <c r="M88" s="147">
        <v>0</v>
      </c>
      <c r="Q88" s="133" t="s">
        <v>391</v>
      </c>
    </row>
    <row r="89" spans="1:17" x14ac:dyDescent="0.2">
      <c r="A89" s="141">
        <v>2020</v>
      </c>
      <c r="B89" s="141">
        <v>2</v>
      </c>
      <c r="C89" s="141">
        <v>26</v>
      </c>
      <c r="D89" s="141">
        <f t="shared" si="2"/>
        <v>43887</v>
      </c>
      <c r="E89" s="275">
        <f t="shared" si="3"/>
        <v>43887</v>
      </c>
      <c r="F89" s="479" t="s">
        <v>77</v>
      </c>
      <c r="G89" s="220" t="s">
        <v>74</v>
      </c>
      <c r="H89" s="174" t="str" cm="1">
        <f t="array" ref="H89">IFERROR(INDEX(INVESTOR_LIST[INVESTOR NAME],MATCH(I89,INVESTOR_LIST[INVESTOR CODE],0),)," ")</f>
        <v xml:space="preserve"> </v>
      </c>
      <c r="I89" s="148" t="s">
        <v>348</v>
      </c>
      <c r="J89" s="143" t="s">
        <v>61</v>
      </c>
      <c r="K89" s="226">
        <v>10</v>
      </c>
      <c r="L89" s="226"/>
      <c r="M89" s="147">
        <v>0</v>
      </c>
      <c r="Q89" s="133" t="s">
        <v>348</v>
      </c>
    </row>
    <row r="90" spans="1:17" x14ac:dyDescent="0.2">
      <c r="A90" s="144">
        <v>2020</v>
      </c>
      <c r="B90" s="144">
        <v>2</v>
      </c>
      <c r="C90" s="144">
        <v>26</v>
      </c>
      <c r="D90" s="141">
        <f t="shared" si="2"/>
        <v>43887</v>
      </c>
      <c r="E90" s="275">
        <f t="shared" si="3"/>
        <v>43887</v>
      </c>
      <c r="F90" s="480"/>
      <c r="G90" s="221" t="s">
        <v>74</v>
      </c>
      <c r="H90" s="221" t="str" cm="1">
        <f t="array" ref="H90">IFERROR(INDEX(INVESTOR_LIST[INVESTOR NAME],MATCH(I90,INVESTOR_LIST[INVESTOR CODE],0),)," ")</f>
        <v xml:space="preserve"> </v>
      </c>
      <c r="I90" s="145" t="s">
        <v>348</v>
      </c>
      <c r="J90" s="146" t="s">
        <v>52</v>
      </c>
      <c r="K90" s="219"/>
      <c r="L90" s="219">
        <v>10</v>
      </c>
      <c r="M90" s="147">
        <v>0</v>
      </c>
      <c r="Q90" s="133" t="s">
        <v>348</v>
      </c>
    </row>
    <row r="91" spans="1:17" ht="16.899999999999999" customHeight="1" x14ac:dyDescent="0.2">
      <c r="A91" s="141">
        <v>2020</v>
      </c>
      <c r="B91" s="141">
        <v>2</v>
      </c>
      <c r="C91" s="141">
        <v>26</v>
      </c>
      <c r="D91" s="141">
        <f t="shared" si="2"/>
        <v>43887</v>
      </c>
      <c r="E91" s="275">
        <f t="shared" si="3"/>
        <v>43887</v>
      </c>
      <c r="F91" s="479" t="s">
        <v>77</v>
      </c>
      <c r="G91" s="220" t="s">
        <v>74</v>
      </c>
      <c r="H91" s="174" t="str" cm="1">
        <f t="array" ref="H91">IFERROR(INDEX(INVESTOR_LIST[INVESTOR NAME],MATCH(I91,INVESTOR_LIST[INVESTOR CODE],0),)," ")</f>
        <v xml:space="preserve"> </v>
      </c>
      <c r="I91" s="148" t="s">
        <v>348</v>
      </c>
      <c r="J91" s="143" t="s">
        <v>61</v>
      </c>
      <c r="K91" s="226">
        <v>10</v>
      </c>
      <c r="L91" s="226"/>
      <c r="M91" s="147">
        <v>0</v>
      </c>
      <c r="Q91" s="133" t="s">
        <v>348</v>
      </c>
    </row>
    <row r="92" spans="1:17" ht="17.45" customHeight="1" x14ac:dyDescent="0.2">
      <c r="A92" s="144">
        <v>2020</v>
      </c>
      <c r="B92" s="144">
        <v>2</v>
      </c>
      <c r="C92" s="144">
        <v>26</v>
      </c>
      <c r="D92" s="141">
        <f t="shared" si="2"/>
        <v>43887</v>
      </c>
      <c r="E92" s="275">
        <f t="shared" si="3"/>
        <v>43887</v>
      </c>
      <c r="F92" s="480"/>
      <c r="G92" s="221" t="s">
        <v>74</v>
      </c>
      <c r="H92" s="221" t="str" cm="1">
        <f t="array" ref="H92">IFERROR(INDEX(INVESTOR_LIST[INVESTOR NAME],MATCH(I92,INVESTOR_LIST[INVESTOR CODE],0),)," ")</f>
        <v xml:space="preserve"> </v>
      </c>
      <c r="I92" s="145" t="s">
        <v>348</v>
      </c>
      <c r="J92" s="146" t="s">
        <v>52</v>
      </c>
      <c r="K92" s="219"/>
      <c r="L92" s="219">
        <v>10</v>
      </c>
      <c r="M92" s="147">
        <v>0</v>
      </c>
      <c r="Q92" s="133" t="s">
        <v>348</v>
      </c>
    </row>
    <row r="93" spans="1:17" x14ac:dyDescent="0.2">
      <c r="A93" s="141">
        <v>2020</v>
      </c>
      <c r="B93" s="141">
        <v>2</v>
      </c>
      <c r="C93" s="141">
        <v>26</v>
      </c>
      <c r="D93" s="141">
        <f t="shared" si="2"/>
        <v>43887</v>
      </c>
      <c r="E93" s="275">
        <f t="shared" si="3"/>
        <v>43887</v>
      </c>
      <c r="F93" s="479" t="s">
        <v>77</v>
      </c>
      <c r="G93" s="220" t="s">
        <v>74</v>
      </c>
      <c r="H93" s="174" t="str" cm="1">
        <f t="array" ref="H93">IFERROR(INDEX(INVESTOR_LIST[INVESTOR NAME],MATCH(I93,INVESTOR_LIST[INVESTOR CODE],0),)," ")</f>
        <v xml:space="preserve"> </v>
      </c>
      <c r="I93" s="148" t="s">
        <v>348</v>
      </c>
      <c r="J93" s="143" t="s">
        <v>61</v>
      </c>
      <c r="K93" s="226">
        <v>25</v>
      </c>
      <c r="L93" s="226"/>
      <c r="M93" s="147">
        <v>0</v>
      </c>
      <c r="Q93" s="133" t="s">
        <v>348</v>
      </c>
    </row>
    <row r="94" spans="1:17" x14ac:dyDescent="0.2">
      <c r="A94" s="144">
        <v>2020</v>
      </c>
      <c r="B94" s="144">
        <v>2</v>
      </c>
      <c r="C94" s="144">
        <v>26</v>
      </c>
      <c r="D94" s="141">
        <f t="shared" si="2"/>
        <v>43887</v>
      </c>
      <c r="E94" s="275">
        <f t="shared" si="3"/>
        <v>43887</v>
      </c>
      <c r="F94" s="480"/>
      <c r="G94" s="221" t="s">
        <v>74</v>
      </c>
      <c r="H94" s="221" t="str" cm="1">
        <f t="array" ref="H94">IFERROR(INDEX(INVESTOR_LIST[INVESTOR NAME],MATCH(I94,INVESTOR_LIST[INVESTOR CODE],0),)," ")</f>
        <v xml:space="preserve"> </v>
      </c>
      <c r="I94" s="145" t="s">
        <v>348</v>
      </c>
      <c r="J94" s="146" t="s">
        <v>52</v>
      </c>
      <c r="K94" s="219"/>
      <c r="L94" s="219">
        <v>25</v>
      </c>
      <c r="M94" s="147">
        <v>0</v>
      </c>
      <c r="Q94" s="133" t="s">
        <v>348</v>
      </c>
    </row>
    <row r="95" spans="1:17" ht="11.25" customHeight="1" x14ac:dyDescent="0.2">
      <c r="A95" s="150">
        <v>2020</v>
      </c>
      <c r="B95" s="150">
        <v>2</v>
      </c>
      <c r="C95" s="150">
        <v>27</v>
      </c>
      <c r="D95" s="141">
        <f t="shared" si="2"/>
        <v>43888</v>
      </c>
      <c r="E95" s="275">
        <f t="shared" si="3"/>
        <v>43888</v>
      </c>
      <c r="F95" s="479" t="s">
        <v>964</v>
      </c>
      <c r="G95" s="223" t="s">
        <v>74</v>
      </c>
      <c r="H95" s="225" t="str" cm="1">
        <f t="array" ref="H95">IFERROR(INDEX(INVESTOR_LIST[INVESTOR NAME],MATCH(I95,INVESTOR_LIST[INVESTOR CODE],0),)," ")</f>
        <v>MD. BADI-UZ-ZAMAN</v>
      </c>
      <c r="I95" s="158" t="s">
        <v>393</v>
      </c>
      <c r="J95" s="152" t="s">
        <v>52</v>
      </c>
      <c r="K95" s="231">
        <v>100000</v>
      </c>
      <c r="L95" s="231"/>
      <c r="M95" s="147">
        <v>2</v>
      </c>
      <c r="Q95" s="133" t="s">
        <v>393</v>
      </c>
    </row>
    <row r="96" spans="1:17" ht="45" x14ac:dyDescent="0.2">
      <c r="A96" s="153">
        <v>2020</v>
      </c>
      <c r="B96" s="153">
        <v>2</v>
      </c>
      <c r="C96" s="153">
        <v>27</v>
      </c>
      <c r="D96" s="141">
        <f t="shared" si="2"/>
        <v>43888</v>
      </c>
      <c r="E96" s="275">
        <f t="shared" si="3"/>
        <v>43888</v>
      </c>
      <c r="F96" s="480"/>
      <c r="G96" s="224" t="s">
        <v>74</v>
      </c>
      <c r="H96" s="224" t="str" cm="1">
        <f t="array" ref="H96">IFERROR(INDEX(INVESTOR_LIST[INVESTOR NAME],MATCH(I96,INVESTOR_LIST[INVESTOR CODE],0),)," ")</f>
        <v>MD. BADI-UZ-ZAMAN</v>
      </c>
      <c r="I96" s="154" t="s">
        <v>393</v>
      </c>
      <c r="J96" s="155" t="s">
        <v>13</v>
      </c>
      <c r="K96" s="232"/>
      <c r="L96" s="232">
        <f>K95</f>
        <v>100000</v>
      </c>
      <c r="M96" s="147">
        <v>0</v>
      </c>
      <c r="Q96" s="133" t="s">
        <v>393</v>
      </c>
    </row>
    <row r="97" spans="1:17" x14ac:dyDescent="0.2">
      <c r="A97" s="141">
        <v>2020</v>
      </c>
      <c r="B97" s="141">
        <v>2</v>
      </c>
      <c r="C97" s="141">
        <v>27</v>
      </c>
      <c r="D97" s="141">
        <f t="shared" si="2"/>
        <v>43888</v>
      </c>
      <c r="E97" s="275">
        <f t="shared" si="3"/>
        <v>43888</v>
      </c>
      <c r="F97" s="479" t="s">
        <v>77</v>
      </c>
      <c r="G97" s="220" t="s">
        <v>74</v>
      </c>
      <c r="H97" s="174" t="str" cm="1">
        <f t="array" ref="H97">IFERROR(INDEX(INVESTOR_LIST[INVESTOR NAME],MATCH(I97,INVESTOR_LIST[INVESTOR CODE],0),)," ")</f>
        <v xml:space="preserve"> </v>
      </c>
      <c r="I97" s="148" t="s">
        <v>348</v>
      </c>
      <c r="J97" s="143" t="s">
        <v>61</v>
      </c>
      <c r="K97" s="226">
        <v>10</v>
      </c>
      <c r="L97" s="226"/>
      <c r="M97" s="147">
        <v>0</v>
      </c>
      <c r="Q97" s="133" t="s">
        <v>348</v>
      </c>
    </row>
    <row r="98" spans="1:17" x14ac:dyDescent="0.2">
      <c r="A98" s="144">
        <v>2020</v>
      </c>
      <c r="B98" s="144">
        <v>2</v>
      </c>
      <c r="C98" s="144">
        <v>27</v>
      </c>
      <c r="D98" s="141">
        <f t="shared" si="2"/>
        <v>43888</v>
      </c>
      <c r="E98" s="275">
        <f t="shared" si="3"/>
        <v>43888</v>
      </c>
      <c r="F98" s="480"/>
      <c r="G98" s="221" t="s">
        <v>74</v>
      </c>
      <c r="H98" s="221" t="str" cm="1">
        <f t="array" ref="H98">IFERROR(INDEX(INVESTOR_LIST[INVESTOR NAME],MATCH(I98,INVESTOR_LIST[INVESTOR CODE],0),)," ")</f>
        <v xml:space="preserve"> </v>
      </c>
      <c r="I98" s="145" t="s">
        <v>348</v>
      </c>
      <c r="J98" s="146" t="s">
        <v>52</v>
      </c>
      <c r="K98" s="219"/>
      <c r="L98" s="219">
        <v>10</v>
      </c>
      <c r="M98" s="147">
        <v>0</v>
      </c>
      <c r="Q98" s="133" t="s">
        <v>348</v>
      </c>
    </row>
    <row r="99" spans="1:17" ht="11.25" customHeight="1" x14ac:dyDescent="0.2">
      <c r="A99" s="150">
        <v>2020</v>
      </c>
      <c r="B99" s="150">
        <v>3</v>
      </c>
      <c r="C99" s="150">
        <v>3</v>
      </c>
      <c r="D99" s="141">
        <f t="shared" si="2"/>
        <v>43893</v>
      </c>
      <c r="E99" s="275">
        <f t="shared" si="3"/>
        <v>43893</v>
      </c>
      <c r="F99" s="479" t="s">
        <v>964</v>
      </c>
      <c r="G99" s="223" t="s">
        <v>74</v>
      </c>
      <c r="H99" s="225" t="str" cm="1">
        <f t="array" ref="H99">IFERROR(INDEX(INVESTOR_LIST[INVESTOR NAME],MATCH(I99,INVESTOR_LIST[INVESTOR CODE],0),)," ")</f>
        <v>MD. SHAHIDUL ISLAM</v>
      </c>
      <c r="I99" s="158" t="s">
        <v>395</v>
      </c>
      <c r="J99" s="152" t="s">
        <v>52</v>
      </c>
      <c r="K99" s="231">
        <v>500000</v>
      </c>
      <c r="L99" s="231"/>
      <c r="M99" s="147">
        <v>0</v>
      </c>
      <c r="Q99" s="133" t="s">
        <v>395</v>
      </c>
    </row>
    <row r="100" spans="1:17" ht="45" x14ac:dyDescent="0.2">
      <c r="A100" s="153">
        <v>2020</v>
      </c>
      <c r="B100" s="153">
        <v>3</v>
      </c>
      <c r="C100" s="153">
        <v>3</v>
      </c>
      <c r="D100" s="141">
        <f t="shared" si="2"/>
        <v>43893</v>
      </c>
      <c r="E100" s="275">
        <f t="shared" si="3"/>
        <v>43893</v>
      </c>
      <c r="F100" s="480"/>
      <c r="G100" s="224" t="s">
        <v>74</v>
      </c>
      <c r="H100" s="224" t="str" cm="1">
        <f t="array" ref="H100">IFERROR(INDEX(INVESTOR_LIST[INVESTOR NAME],MATCH(I100,INVESTOR_LIST[INVESTOR CODE],0),)," ")</f>
        <v>MD. SHAHIDUL ISLAM</v>
      </c>
      <c r="I100" s="154" t="s">
        <v>395</v>
      </c>
      <c r="J100" s="155" t="s">
        <v>13</v>
      </c>
      <c r="K100" s="232"/>
      <c r="L100" s="232">
        <f>K99</f>
        <v>500000</v>
      </c>
      <c r="M100" s="147">
        <v>0</v>
      </c>
      <c r="Q100" s="133" t="s">
        <v>395</v>
      </c>
    </row>
    <row r="101" spans="1:17" ht="11.25" customHeight="1" x14ac:dyDescent="0.2">
      <c r="A101" s="150">
        <v>2020</v>
      </c>
      <c r="B101" s="150">
        <v>3</v>
      </c>
      <c r="C101" s="150">
        <v>3</v>
      </c>
      <c r="D101" s="141">
        <f t="shared" si="2"/>
        <v>43893</v>
      </c>
      <c r="E101" s="275">
        <f t="shared" si="3"/>
        <v>43893</v>
      </c>
      <c r="F101" s="479" t="s">
        <v>964</v>
      </c>
      <c r="G101" s="223" t="s">
        <v>74</v>
      </c>
      <c r="H101" s="225" t="str" cm="1">
        <f t="array" ref="H101">IFERROR(INDEX(INVESTOR_LIST[INVESTOR NAME],MATCH(I101,INVESTOR_LIST[INVESTOR CODE],0),)," ")</f>
        <v>FAHMIDA HAQUE</v>
      </c>
      <c r="I101" s="158" t="s">
        <v>394</v>
      </c>
      <c r="J101" s="152" t="s">
        <v>52</v>
      </c>
      <c r="K101" s="231">
        <v>500000</v>
      </c>
      <c r="L101" s="231"/>
      <c r="M101" s="147">
        <v>0</v>
      </c>
      <c r="Q101" s="133" t="s">
        <v>394</v>
      </c>
    </row>
    <row r="102" spans="1:17" ht="33.75" x14ac:dyDescent="0.2">
      <c r="A102" s="153">
        <v>2020</v>
      </c>
      <c r="B102" s="153">
        <v>3</v>
      </c>
      <c r="C102" s="153">
        <v>3</v>
      </c>
      <c r="D102" s="141">
        <f t="shared" si="2"/>
        <v>43893</v>
      </c>
      <c r="E102" s="275">
        <f t="shared" si="3"/>
        <v>43893</v>
      </c>
      <c r="F102" s="480"/>
      <c r="G102" s="224" t="s">
        <v>74</v>
      </c>
      <c r="H102" s="224" t="str" cm="1">
        <f t="array" ref="H102">IFERROR(INDEX(INVESTOR_LIST[INVESTOR NAME],MATCH(I102,INVESTOR_LIST[INVESTOR CODE],0),)," ")</f>
        <v>FAHMIDA HAQUE</v>
      </c>
      <c r="I102" s="154" t="s">
        <v>394</v>
      </c>
      <c r="J102" s="155" t="s">
        <v>13</v>
      </c>
      <c r="K102" s="232"/>
      <c r="L102" s="232">
        <f>K101</f>
        <v>500000</v>
      </c>
      <c r="M102" s="147">
        <v>0</v>
      </c>
      <c r="Q102" s="133" t="s">
        <v>394</v>
      </c>
    </row>
    <row r="103" spans="1:17" x14ac:dyDescent="0.2">
      <c r="A103" s="141">
        <v>2020</v>
      </c>
      <c r="B103" s="141">
        <v>3</v>
      </c>
      <c r="C103" s="141">
        <v>3</v>
      </c>
      <c r="D103" s="141">
        <f t="shared" si="2"/>
        <v>43893</v>
      </c>
      <c r="E103" s="275">
        <f t="shared" si="3"/>
        <v>43893</v>
      </c>
      <c r="F103" s="479" t="s">
        <v>77</v>
      </c>
      <c r="G103" s="220" t="s">
        <v>74</v>
      </c>
      <c r="H103" s="174" t="str" cm="1">
        <f t="array" ref="H103">IFERROR(INDEX(INVESTOR_LIST[INVESTOR NAME],MATCH(I103,INVESTOR_LIST[INVESTOR CODE],0),)," ")</f>
        <v xml:space="preserve"> </v>
      </c>
      <c r="I103" s="148" t="s">
        <v>348</v>
      </c>
      <c r="J103" s="143" t="s">
        <v>61</v>
      </c>
      <c r="K103" s="226">
        <v>25</v>
      </c>
      <c r="L103" s="226"/>
      <c r="M103" s="147">
        <v>0</v>
      </c>
      <c r="Q103" s="133" t="s">
        <v>348</v>
      </c>
    </row>
    <row r="104" spans="1:17" x14ac:dyDescent="0.2">
      <c r="A104" s="144">
        <v>2020</v>
      </c>
      <c r="B104" s="144">
        <v>3</v>
      </c>
      <c r="C104" s="144">
        <v>3</v>
      </c>
      <c r="D104" s="141">
        <f t="shared" si="2"/>
        <v>43893</v>
      </c>
      <c r="E104" s="275">
        <f t="shared" si="3"/>
        <v>43893</v>
      </c>
      <c r="F104" s="480"/>
      <c r="G104" s="221" t="s">
        <v>74</v>
      </c>
      <c r="H104" s="221" t="str" cm="1">
        <f t="array" ref="H104">IFERROR(INDEX(INVESTOR_LIST[INVESTOR NAME],MATCH(I104,INVESTOR_LIST[INVESTOR CODE],0),)," ")</f>
        <v xml:space="preserve"> </v>
      </c>
      <c r="I104" s="145" t="s">
        <v>348</v>
      </c>
      <c r="J104" s="146" t="s">
        <v>52</v>
      </c>
      <c r="K104" s="219"/>
      <c r="L104" s="219">
        <v>25</v>
      </c>
      <c r="M104" s="147">
        <v>0</v>
      </c>
      <c r="Q104" s="133" t="s">
        <v>348</v>
      </c>
    </row>
    <row r="105" spans="1:17" x14ac:dyDescent="0.2">
      <c r="A105" s="141">
        <v>2020</v>
      </c>
      <c r="B105" s="141">
        <v>3</v>
      </c>
      <c r="C105" s="141">
        <v>3</v>
      </c>
      <c r="D105" s="141">
        <f t="shared" si="2"/>
        <v>43893</v>
      </c>
      <c r="E105" s="275">
        <f t="shared" si="3"/>
        <v>43893</v>
      </c>
      <c r="F105" s="479" t="s">
        <v>77</v>
      </c>
      <c r="G105" s="220" t="s">
        <v>74</v>
      </c>
      <c r="H105" s="174" t="str" cm="1">
        <f t="array" ref="H105">IFERROR(INDEX(INVESTOR_LIST[INVESTOR NAME],MATCH(I105,INVESTOR_LIST[INVESTOR CODE],0),)," ")</f>
        <v xml:space="preserve"> </v>
      </c>
      <c r="I105" s="148" t="s">
        <v>348</v>
      </c>
      <c r="J105" s="143" t="s">
        <v>61</v>
      </c>
      <c r="K105" s="226">
        <v>25</v>
      </c>
      <c r="L105" s="226"/>
      <c r="M105" s="147">
        <v>0</v>
      </c>
      <c r="Q105" s="133" t="s">
        <v>348</v>
      </c>
    </row>
    <row r="106" spans="1:17" x14ac:dyDescent="0.2">
      <c r="A106" s="144">
        <v>2020</v>
      </c>
      <c r="B106" s="144">
        <v>3</v>
      </c>
      <c r="C106" s="144">
        <v>3</v>
      </c>
      <c r="D106" s="141">
        <f t="shared" si="2"/>
        <v>43893</v>
      </c>
      <c r="E106" s="275">
        <f t="shared" si="3"/>
        <v>43893</v>
      </c>
      <c r="F106" s="480"/>
      <c r="G106" s="221" t="s">
        <v>74</v>
      </c>
      <c r="H106" s="221" t="str" cm="1">
        <f t="array" ref="H106">IFERROR(INDEX(INVESTOR_LIST[INVESTOR NAME],MATCH(I106,INVESTOR_LIST[INVESTOR CODE],0),)," ")</f>
        <v xml:space="preserve"> </v>
      </c>
      <c r="I106" s="145" t="s">
        <v>348</v>
      </c>
      <c r="J106" s="146" t="s">
        <v>52</v>
      </c>
      <c r="K106" s="219"/>
      <c r="L106" s="219">
        <v>25</v>
      </c>
      <c r="M106" s="147">
        <v>0</v>
      </c>
      <c r="Q106" s="133" t="s">
        <v>348</v>
      </c>
    </row>
    <row r="107" spans="1:17" ht="11.25" customHeight="1" x14ac:dyDescent="0.2">
      <c r="A107" s="150">
        <v>2020</v>
      </c>
      <c r="B107" s="150">
        <v>3</v>
      </c>
      <c r="C107" s="150">
        <v>12</v>
      </c>
      <c r="D107" s="141">
        <f t="shared" si="2"/>
        <v>43902</v>
      </c>
      <c r="E107" s="275">
        <f t="shared" si="3"/>
        <v>43902</v>
      </c>
      <c r="F107" s="479" t="s">
        <v>964</v>
      </c>
      <c r="G107" s="223" t="s">
        <v>74</v>
      </c>
      <c r="H107" s="225" t="str" cm="1">
        <f t="array" ref="H107">IFERROR(INDEX(INVESTOR_LIST[INVESTOR NAME],MATCH(I107,INVESTOR_LIST[INVESTOR CODE],0),)," ")</f>
        <v>PRATIMA DEV</v>
      </c>
      <c r="I107" s="158" t="s">
        <v>396</v>
      </c>
      <c r="J107" s="152" t="s">
        <v>52</v>
      </c>
      <c r="K107" s="231">
        <v>500000</v>
      </c>
      <c r="L107" s="231"/>
      <c r="M107" s="147">
        <v>0</v>
      </c>
      <c r="Q107" s="133" t="s">
        <v>396</v>
      </c>
    </row>
    <row r="108" spans="1:17" ht="22.5" x14ac:dyDescent="0.2">
      <c r="A108" s="153">
        <v>2020</v>
      </c>
      <c r="B108" s="153">
        <v>3</v>
      </c>
      <c r="C108" s="153">
        <v>12</v>
      </c>
      <c r="D108" s="141">
        <f t="shared" si="2"/>
        <v>43902</v>
      </c>
      <c r="E108" s="275">
        <f t="shared" si="3"/>
        <v>43902</v>
      </c>
      <c r="F108" s="480"/>
      <c r="G108" s="224" t="s">
        <v>74</v>
      </c>
      <c r="H108" s="224" t="str" cm="1">
        <f t="array" ref="H108">IFERROR(INDEX(INVESTOR_LIST[INVESTOR NAME],MATCH(I108,INVESTOR_LIST[INVESTOR CODE],0),)," ")</f>
        <v>PRATIMA DEV</v>
      </c>
      <c r="I108" s="154" t="s">
        <v>396</v>
      </c>
      <c r="J108" s="155" t="s">
        <v>13</v>
      </c>
      <c r="K108" s="232"/>
      <c r="L108" s="232">
        <f>K107</f>
        <v>500000</v>
      </c>
      <c r="M108" s="147">
        <v>0</v>
      </c>
      <c r="Q108" s="133" t="s">
        <v>396</v>
      </c>
    </row>
    <row r="109" spans="1:17" ht="11.25" customHeight="1" x14ac:dyDescent="0.2">
      <c r="A109" s="150">
        <v>2020</v>
      </c>
      <c r="B109" s="150">
        <v>3</v>
      </c>
      <c r="C109" s="150">
        <v>12</v>
      </c>
      <c r="D109" s="141">
        <f t="shared" si="2"/>
        <v>43902</v>
      </c>
      <c r="E109" s="275">
        <f t="shared" si="3"/>
        <v>43902</v>
      </c>
      <c r="F109" s="479" t="s">
        <v>964</v>
      </c>
      <c r="G109" s="223" t="s">
        <v>74</v>
      </c>
      <c r="H109" s="225" t="str" cm="1">
        <f t="array" ref="H109">IFERROR(INDEX(INVESTOR_LIST[INVESTOR NAME],MATCH(I109,INVESTOR_LIST[INVESTOR CODE],0),)," ")</f>
        <v>NUR HAIDAR SARKER</v>
      </c>
      <c r="I109" s="158" t="s">
        <v>397</v>
      </c>
      <c r="J109" s="152" t="s">
        <v>52</v>
      </c>
      <c r="K109" s="231">
        <v>500000</v>
      </c>
      <c r="L109" s="231"/>
      <c r="M109" s="147">
        <v>0</v>
      </c>
      <c r="Q109" s="133" t="s">
        <v>397</v>
      </c>
    </row>
    <row r="110" spans="1:17" ht="45" x14ac:dyDescent="0.2">
      <c r="A110" s="153">
        <v>2020</v>
      </c>
      <c r="B110" s="153">
        <v>3</v>
      </c>
      <c r="C110" s="153">
        <v>12</v>
      </c>
      <c r="D110" s="141">
        <f t="shared" si="2"/>
        <v>43902</v>
      </c>
      <c r="E110" s="275">
        <f t="shared" si="3"/>
        <v>43902</v>
      </c>
      <c r="F110" s="480"/>
      <c r="G110" s="224" t="s">
        <v>74</v>
      </c>
      <c r="H110" s="224" t="str" cm="1">
        <f t="array" ref="H110">IFERROR(INDEX(INVESTOR_LIST[INVESTOR NAME],MATCH(I110,INVESTOR_LIST[INVESTOR CODE],0),)," ")</f>
        <v>NUR HAIDAR SARKER</v>
      </c>
      <c r="I110" s="154" t="s">
        <v>397</v>
      </c>
      <c r="J110" s="155" t="s">
        <v>13</v>
      </c>
      <c r="K110" s="232"/>
      <c r="L110" s="232">
        <f>K109</f>
        <v>500000</v>
      </c>
      <c r="M110" s="147">
        <v>0</v>
      </c>
      <c r="Q110" s="133" t="s">
        <v>397</v>
      </c>
    </row>
    <row r="111" spans="1:17" ht="11.25" customHeight="1" x14ac:dyDescent="0.2">
      <c r="A111" s="150">
        <v>2020</v>
      </c>
      <c r="B111" s="150">
        <v>3</v>
      </c>
      <c r="C111" s="150">
        <v>12</v>
      </c>
      <c r="D111" s="141">
        <f t="shared" si="2"/>
        <v>43902</v>
      </c>
      <c r="E111" s="275">
        <f t="shared" si="3"/>
        <v>43902</v>
      </c>
      <c r="F111" s="479" t="s">
        <v>964</v>
      </c>
      <c r="G111" s="223" t="s">
        <v>74</v>
      </c>
      <c r="H111" s="225" t="str" cm="1">
        <f t="array" ref="H111">IFERROR(INDEX(INVESTOR_LIST[INVESTOR NAME],MATCH(I111,INVESTOR_LIST[INVESTOR CODE],0),)," ")</f>
        <v>AROORA SAMEERA CHOWDHURY</v>
      </c>
      <c r="I111" s="158" t="s">
        <v>413</v>
      </c>
      <c r="J111" s="152" t="s">
        <v>52</v>
      </c>
      <c r="K111" s="231">
        <v>10000000</v>
      </c>
      <c r="L111" s="231"/>
      <c r="M111" s="147">
        <v>0</v>
      </c>
      <c r="Q111" s="133" t="s">
        <v>413</v>
      </c>
    </row>
    <row r="112" spans="1:17" ht="67.5" x14ac:dyDescent="0.2">
      <c r="A112" s="153">
        <v>2020</v>
      </c>
      <c r="B112" s="153">
        <v>3</v>
      </c>
      <c r="C112" s="153">
        <v>12</v>
      </c>
      <c r="D112" s="141">
        <f t="shared" si="2"/>
        <v>43902</v>
      </c>
      <c r="E112" s="275">
        <f t="shared" si="3"/>
        <v>43902</v>
      </c>
      <c r="F112" s="480"/>
      <c r="G112" s="224" t="s">
        <v>74</v>
      </c>
      <c r="H112" s="224" t="str" cm="1">
        <f t="array" ref="H112">IFERROR(INDEX(INVESTOR_LIST[INVESTOR NAME],MATCH(I112,INVESTOR_LIST[INVESTOR CODE],0),)," ")</f>
        <v>AROORA SAMEERA CHOWDHURY</v>
      </c>
      <c r="I112" s="154" t="s">
        <v>413</v>
      </c>
      <c r="J112" s="155" t="s">
        <v>13</v>
      </c>
      <c r="K112" s="232"/>
      <c r="L112" s="232">
        <f>K111</f>
        <v>10000000</v>
      </c>
      <c r="M112" s="147">
        <v>0</v>
      </c>
      <c r="Q112" s="133" t="s">
        <v>413</v>
      </c>
    </row>
    <row r="113" spans="1:17" x14ac:dyDescent="0.2">
      <c r="A113" s="141">
        <v>2020</v>
      </c>
      <c r="B113" s="141">
        <v>3</v>
      </c>
      <c r="C113" s="141">
        <v>12</v>
      </c>
      <c r="D113" s="141">
        <f t="shared" si="2"/>
        <v>43902</v>
      </c>
      <c r="E113" s="275">
        <f t="shared" si="3"/>
        <v>43902</v>
      </c>
      <c r="F113" s="479" t="s">
        <v>77</v>
      </c>
      <c r="G113" s="220" t="s">
        <v>74</v>
      </c>
      <c r="H113" s="174" t="str" cm="1">
        <f t="array" ref="H113">IFERROR(INDEX(INVESTOR_LIST[INVESTOR NAME],MATCH(I113,INVESTOR_LIST[INVESTOR CODE],0),)," ")</f>
        <v xml:space="preserve"> </v>
      </c>
      <c r="I113" s="148" t="s">
        <v>348</v>
      </c>
      <c r="J113" s="143" t="s">
        <v>61</v>
      </c>
      <c r="K113" s="226">
        <v>25</v>
      </c>
      <c r="L113" s="226"/>
      <c r="M113" s="147">
        <v>0</v>
      </c>
      <c r="Q113" s="133" t="s">
        <v>348</v>
      </c>
    </row>
    <row r="114" spans="1:17" x14ac:dyDescent="0.2">
      <c r="A114" s="144">
        <v>2020</v>
      </c>
      <c r="B114" s="144">
        <v>3</v>
      </c>
      <c r="C114" s="144">
        <v>12</v>
      </c>
      <c r="D114" s="141">
        <f t="shared" si="2"/>
        <v>43902</v>
      </c>
      <c r="E114" s="275">
        <f t="shared" si="3"/>
        <v>43902</v>
      </c>
      <c r="F114" s="480"/>
      <c r="G114" s="221" t="s">
        <v>74</v>
      </c>
      <c r="H114" s="221" t="str" cm="1">
        <f t="array" ref="H114">IFERROR(INDEX(INVESTOR_LIST[INVESTOR NAME],MATCH(I114,INVESTOR_LIST[INVESTOR CODE],0),)," ")</f>
        <v xml:space="preserve"> </v>
      </c>
      <c r="I114" s="145" t="s">
        <v>348</v>
      </c>
      <c r="J114" s="146" t="s">
        <v>52</v>
      </c>
      <c r="K114" s="219"/>
      <c r="L114" s="219">
        <v>25</v>
      </c>
      <c r="M114" s="147">
        <v>0</v>
      </c>
      <c r="Q114" s="133" t="s">
        <v>348</v>
      </c>
    </row>
    <row r="115" spans="1:17" x14ac:dyDescent="0.2">
      <c r="A115" s="141">
        <v>2020</v>
      </c>
      <c r="B115" s="141">
        <v>3</v>
      </c>
      <c r="C115" s="141">
        <v>12</v>
      </c>
      <c r="D115" s="141">
        <f t="shared" si="2"/>
        <v>43902</v>
      </c>
      <c r="E115" s="275">
        <f t="shared" si="3"/>
        <v>43902</v>
      </c>
      <c r="F115" s="479" t="s">
        <v>77</v>
      </c>
      <c r="G115" s="220" t="s">
        <v>74</v>
      </c>
      <c r="H115" s="174" t="str" cm="1">
        <f t="array" ref="H115">IFERROR(INDEX(INVESTOR_LIST[INVESTOR NAME],MATCH(I115,INVESTOR_LIST[INVESTOR CODE],0),)," ")</f>
        <v xml:space="preserve"> </v>
      </c>
      <c r="I115" s="148" t="s">
        <v>348</v>
      </c>
      <c r="J115" s="143" t="s">
        <v>61</v>
      </c>
      <c r="K115" s="226">
        <v>25</v>
      </c>
      <c r="L115" s="226"/>
      <c r="M115" s="147">
        <v>0</v>
      </c>
      <c r="Q115" s="133" t="s">
        <v>348</v>
      </c>
    </row>
    <row r="116" spans="1:17" x14ac:dyDescent="0.2">
      <c r="A116" s="144">
        <v>2020</v>
      </c>
      <c r="B116" s="144">
        <v>3</v>
      </c>
      <c r="C116" s="144">
        <v>12</v>
      </c>
      <c r="D116" s="141">
        <f t="shared" si="2"/>
        <v>43902</v>
      </c>
      <c r="E116" s="275">
        <f t="shared" si="3"/>
        <v>43902</v>
      </c>
      <c r="F116" s="480"/>
      <c r="G116" s="221" t="s">
        <v>74</v>
      </c>
      <c r="H116" s="221" t="str" cm="1">
        <f t="array" ref="H116">IFERROR(INDEX(INVESTOR_LIST[INVESTOR NAME],MATCH(I116,INVESTOR_LIST[INVESTOR CODE],0),)," ")</f>
        <v xml:space="preserve"> </v>
      </c>
      <c r="I116" s="145" t="s">
        <v>348</v>
      </c>
      <c r="J116" s="146" t="s">
        <v>52</v>
      </c>
      <c r="K116" s="219"/>
      <c r="L116" s="219">
        <v>25</v>
      </c>
      <c r="M116" s="147">
        <v>0</v>
      </c>
      <c r="Q116" s="133" t="s">
        <v>348</v>
      </c>
    </row>
    <row r="117" spans="1:17" ht="11.25" customHeight="1" x14ac:dyDescent="0.2">
      <c r="A117" s="150">
        <v>2020</v>
      </c>
      <c r="B117" s="150">
        <v>3</v>
      </c>
      <c r="C117" s="150">
        <v>15</v>
      </c>
      <c r="D117" s="141">
        <f t="shared" si="2"/>
        <v>43905</v>
      </c>
      <c r="E117" s="275">
        <f t="shared" si="3"/>
        <v>43905</v>
      </c>
      <c r="F117" s="479" t="s">
        <v>964</v>
      </c>
      <c r="G117" s="223" t="s">
        <v>74</v>
      </c>
      <c r="H117" s="225" t="str" cm="1">
        <f t="array" ref="H117">IFERROR(INDEX(INVESTOR_LIST[INVESTOR NAME],MATCH(I117,INVESTOR_LIST[INVESTOR CODE],0),)," ")</f>
        <v>UNICAP SECURITIES LIMITED</v>
      </c>
      <c r="I117" s="158" t="s">
        <v>398</v>
      </c>
      <c r="J117" s="152" t="s">
        <v>52</v>
      </c>
      <c r="K117" s="231">
        <v>3000000</v>
      </c>
      <c r="L117" s="231"/>
      <c r="M117" s="147">
        <v>0</v>
      </c>
      <c r="Q117" s="133" t="s">
        <v>398</v>
      </c>
    </row>
    <row r="118" spans="1:17" ht="45" x14ac:dyDescent="0.2">
      <c r="A118" s="153">
        <v>2020</v>
      </c>
      <c r="B118" s="153">
        <v>3</v>
      </c>
      <c r="C118" s="153">
        <v>15</v>
      </c>
      <c r="D118" s="141">
        <f t="shared" si="2"/>
        <v>43905</v>
      </c>
      <c r="E118" s="275">
        <f t="shared" si="3"/>
        <v>43905</v>
      </c>
      <c r="F118" s="480"/>
      <c r="G118" s="224" t="s">
        <v>74</v>
      </c>
      <c r="H118" s="224" t="str" cm="1">
        <f t="array" ref="H118">IFERROR(INDEX(INVESTOR_LIST[INVESTOR NAME],MATCH(I118,INVESTOR_LIST[INVESTOR CODE],0),)," ")</f>
        <v>UNICAP SECURITIES LIMITED</v>
      </c>
      <c r="I118" s="154" t="s">
        <v>398</v>
      </c>
      <c r="J118" s="155" t="s">
        <v>13</v>
      </c>
      <c r="K118" s="232"/>
      <c r="L118" s="232">
        <f>K117</f>
        <v>3000000</v>
      </c>
      <c r="M118" s="147">
        <v>0</v>
      </c>
      <c r="Q118" s="133" t="s">
        <v>398</v>
      </c>
    </row>
    <row r="119" spans="1:17" ht="11.25" customHeight="1" x14ac:dyDescent="0.2">
      <c r="A119" s="150">
        <v>2020</v>
      </c>
      <c r="B119" s="150">
        <v>3</v>
      </c>
      <c r="C119" s="150">
        <v>15</v>
      </c>
      <c r="D119" s="141">
        <f t="shared" si="2"/>
        <v>43905</v>
      </c>
      <c r="E119" s="275">
        <f t="shared" si="3"/>
        <v>43905</v>
      </c>
      <c r="F119" s="479" t="s">
        <v>964</v>
      </c>
      <c r="G119" s="223" t="s">
        <v>74</v>
      </c>
      <c r="H119" s="225" t="str" cm="1">
        <f t="array" ref="H119">IFERROR(INDEX(INVESTOR_LIST[INVESTOR NAME],MATCH(I119,INVESTOR_LIST[INVESTOR CODE],0),)," ")</f>
        <v>ICB ASSET MANAGEMENT COMPANY LIMITED</v>
      </c>
      <c r="I119" s="158" t="s">
        <v>399</v>
      </c>
      <c r="J119" s="152" t="s">
        <v>52</v>
      </c>
      <c r="K119" s="231">
        <v>10000000</v>
      </c>
      <c r="L119" s="231"/>
      <c r="M119" s="147">
        <v>1</v>
      </c>
      <c r="Q119" s="133" t="s">
        <v>399</v>
      </c>
    </row>
    <row r="120" spans="1:17" ht="78.75" x14ac:dyDescent="0.2">
      <c r="A120" s="153">
        <v>2020</v>
      </c>
      <c r="B120" s="153">
        <v>3</v>
      </c>
      <c r="C120" s="153">
        <v>15</v>
      </c>
      <c r="D120" s="141">
        <f t="shared" si="2"/>
        <v>43905</v>
      </c>
      <c r="E120" s="275">
        <f t="shared" si="3"/>
        <v>43905</v>
      </c>
      <c r="F120" s="480"/>
      <c r="G120" s="224" t="s">
        <v>74</v>
      </c>
      <c r="H120" s="224" t="str" cm="1">
        <f t="array" ref="H120">IFERROR(INDEX(INVESTOR_LIST[INVESTOR NAME],MATCH(I120,INVESTOR_LIST[INVESTOR CODE],0),)," ")</f>
        <v>ICB ASSET MANAGEMENT COMPANY LIMITED</v>
      </c>
      <c r="I120" s="154" t="s">
        <v>399</v>
      </c>
      <c r="J120" s="155" t="s">
        <v>13</v>
      </c>
      <c r="K120" s="232"/>
      <c r="L120" s="232">
        <f>K119</f>
        <v>10000000</v>
      </c>
      <c r="M120" s="147">
        <v>0</v>
      </c>
      <c r="Q120" s="133" t="s">
        <v>399</v>
      </c>
    </row>
    <row r="121" spans="1:17" ht="11.25" customHeight="1" x14ac:dyDescent="0.2">
      <c r="A121" s="150">
        <v>2020</v>
      </c>
      <c r="B121" s="150">
        <v>3</v>
      </c>
      <c r="C121" s="150">
        <v>15</v>
      </c>
      <c r="D121" s="141">
        <f t="shared" si="2"/>
        <v>43905</v>
      </c>
      <c r="E121" s="275">
        <f t="shared" si="3"/>
        <v>43905</v>
      </c>
      <c r="F121" s="479" t="s">
        <v>964</v>
      </c>
      <c r="G121" s="223" t="s">
        <v>74</v>
      </c>
      <c r="H121" s="225" t="str" cm="1">
        <f t="array" ref="H121">IFERROR(INDEX(INVESTOR_LIST[INVESTOR NAME],MATCH(I121,INVESTOR_LIST[INVESTOR CODE],0),)," ")</f>
        <v>EKUSH WEALTH MANAGEMENT LIMITED</v>
      </c>
      <c r="I121" s="158" t="s">
        <v>371</v>
      </c>
      <c r="J121" s="152" t="s">
        <v>52</v>
      </c>
      <c r="K121" s="231">
        <v>19500000</v>
      </c>
      <c r="L121" s="231"/>
      <c r="M121" s="147">
        <v>0</v>
      </c>
      <c r="Q121" s="133" t="s">
        <v>371</v>
      </c>
    </row>
    <row r="122" spans="1:17" ht="67.5" x14ac:dyDescent="0.2">
      <c r="A122" s="153">
        <v>2020</v>
      </c>
      <c r="B122" s="153">
        <v>3</v>
      </c>
      <c r="C122" s="153">
        <v>15</v>
      </c>
      <c r="D122" s="141">
        <f t="shared" si="2"/>
        <v>43905</v>
      </c>
      <c r="E122" s="275">
        <f t="shared" si="3"/>
        <v>43905</v>
      </c>
      <c r="F122" s="480"/>
      <c r="G122" s="224" t="s">
        <v>74</v>
      </c>
      <c r="H122" s="224" t="str" cm="1">
        <f t="array" ref="H122">IFERROR(INDEX(INVESTOR_LIST[INVESTOR NAME],MATCH(I122,INVESTOR_LIST[INVESTOR CODE],0),)," ")</f>
        <v>EKUSH WEALTH MANAGEMENT LIMITED</v>
      </c>
      <c r="I122" s="154" t="s">
        <v>371</v>
      </c>
      <c r="J122" s="155" t="s">
        <v>13</v>
      </c>
      <c r="K122" s="232"/>
      <c r="L122" s="232">
        <f>K121</f>
        <v>19500000</v>
      </c>
      <c r="M122" s="147">
        <v>0</v>
      </c>
      <c r="Q122" s="133" t="s">
        <v>371</v>
      </c>
    </row>
    <row r="123" spans="1:17" ht="11.25" customHeight="1" x14ac:dyDescent="0.2">
      <c r="A123" s="150">
        <v>2020</v>
      </c>
      <c r="B123" s="150">
        <v>3</v>
      </c>
      <c r="C123" s="150">
        <v>15</v>
      </c>
      <c r="D123" s="141">
        <f t="shared" si="2"/>
        <v>43905</v>
      </c>
      <c r="E123" s="275">
        <f t="shared" si="3"/>
        <v>43905</v>
      </c>
      <c r="F123" s="479" t="s">
        <v>964</v>
      </c>
      <c r="G123" s="223" t="s">
        <v>74</v>
      </c>
      <c r="H123" s="225" t="str" cm="1">
        <f t="array" ref="H123">IFERROR(INDEX(INVESTOR_LIST[INVESTOR NAME],MATCH(I123,INVESTOR_LIST[INVESTOR CODE],0),)," ")</f>
        <v>TANVIR AHMED SIDDIQUI</v>
      </c>
      <c r="I123" s="158" t="s">
        <v>400</v>
      </c>
      <c r="J123" s="152" t="s">
        <v>52</v>
      </c>
      <c r="K123" s="231">
        <v>50000</v>
      </c>
      <c r="L123" s="231"/>
      <c r="M123" s="147">
        <v>0</v>
      </c>
      <c r="Q123" s="133" t="s">
        <v>400</v>
      </c>
    </row>
    <row r="124" spans="1:17" ht="15" customHeight="1" x14ac:dyDescent="0.2">
      <c r="A124" s="153">
        <v>2020</v>
      </c>
      <c r="B124" s="153">
        <v>3</v>
      </c>
      <c r="C124" s="153">
        <v>15</v>
      </c>
      <c r="D124" s="141">
        <f t="shared" si="2"/>
        <v>43905</v>
      </c>
      <c r="E124" s="275">
        <f t="shared" si="3"/>
        <v>43905</v>
      </c>
      <c r="F124" s="480"/>
      <c r="G124" s="224" t="s">
        <v>74</v>
      </c>
      <c r="H124" s="224" t="str" cm="1">
        <f t="array" ref="H124">IFERROR(INDEX(INVESTOR_LIST[INVESTOR NAME],MATCH(I124,INVESTOR_LIST[INVESTOR CODE],0),)," ")</f>
        <v>TANVIR AHMED SIDDIQUI</v>
      </c>
      <c r="I124" s="154" t="s">
        <v>400</v>
      </c>
      <c r="J124" s="155" t="s">
        <v>13</v>
      </c>
      <c r="K124" s="232"/>
      <c r="L124" s="232">
        <f>K123</f>
        <v>50000</v>
      </c>
      <c r="M124" s="147">
        <v>0</v>
      </c>
      <c r="Q124" s="133" t="s">
        <v>400</v>
      </c>
    </row>
    <row r="125" spans="1:17" ht="11.25" customHeight="1" x14ac:dyDescent="0.2">
      <c r="A125" s="150">
        <v>2020</v>
      </c>
      <c r="B125" s="150">
        <v>3</v>
      </c>
      <c r="C125" s="150">
        <v>15</v>
      </c>
      <c r="D125" s="141">
        <f t="shared" si="2"/>
        <v>43905</v>
      </c>
      <c r="E125" s="275">
        <f t="shared" si="3"/>
        <v>43905</v>
      </c>
      <c r="F125" s="479" t="s">
        <v>964</v>
      </c>
      <c r="G125" s="223" t="s">
        <v>74</v>
      </c>
      <c r="H125" s="225" t="str" cm="1">
        <f t="array" ref="H125">IFERROR(INDEX(INVESTOR_LIST[INVESTOR NAME],MATCH(I125,INVESTOR_LIST[INVESTOR CODE],0),)," ")</f>
        <v>MOHAMMED SELIM</v>
      </c>
      <c r="I125" s="158" t="s">
        <v>401</v>
      </c>
      <c r="J125" s="152" t="s">
        <v>52</v>
      </c>
      <c r="K125" s="231">
        <v>100000</v>
      </c>
      <c r="L125" s="231"/>
      <c r="M125" s="147">
        <v>0</v>
      </c>
      <c r="Q125" s="133" t="s">
        <v>401</v>
      </c>
    </row>
    <row r="126" spans="1:17" ht="33.75" x14ac:dyDescent="0.2">
      <c r="A126" s="153">
        <v>2020</v>
      </c>
      <c r="B126" s="153">
        <v>3</v>
      </c>
      <c r="C126" s="153">
        <v>15</v>
      </c>
      <c r="D126" s="141">
        <f t="shared" si="2"/>
        <v>43905</v>
      </c>
      <c r="E126" s="275">
        <f t="shared" si="3"/>
        <v>43905</v>
      </c>
      <c r="F126" s="480"/>
      <c r="G126" s="224" t="s">
        <v>74</v>
      </c>
      <c r="H126" s="224" t="str" cm="1">
        <f t="array" ref="H126">IFERROR(INDEX(INVESTOR_LIST[INVESTOR NAME],MATCH(I126,INVESTOR_LIST[INVESTOR CODE],0),)," ")</f>
        <v>MOHAMMED SELIM</v>
      </c>
      <c r="I126" s="154" t="s">
        <v>401</v>
      </c>
      <c r="J126" s="155" t="s">
        <v>13</v>
      </c>
      <c r="K126" s="232"/>
      <c r="L126" s="232">
        <f>K125</f>
        <v>100000</v>
      </c>
      <c r="M126" s="147">
        <v>0</v>
      </c>
      <c r="Q126" s="133" t="s">
        <v>401</v>
      </c>
    </row>
    <row r="127" spans="1:17" x14ac:dyDescent="0.2">
      <c r="A127" s="141">
        <v>2020</v>
      </c>
      <c r="B127" s="141">
        <v>3</v>
      </c>
      <c r="C127" s="141">
        <v>15</v>
      </c>
      <c r="D127" s="141">
        <f t="shared" si="2"/>
        <v>43905</v>
      </c>
      <c r="E127" s="275">
        <f t="shared" si="3"/>
        <v>43905</v>
      </c>
      <c r="F127" s="479" t="s">
        <v>77</v>
      </c>
      <c r="G127" s="220" t="s">
        <v>74</v>
      </c>
      <c r="H127" s="174" t="str" cm="1">
        <f t="array" ref="H127">IFERROR(INDEX(INVESTOR_LIST[INVESTOR NAME],MATCH(I127,INVESTOR_LIST[INVESTOR CODE],0),)," ")</f>
        <v xml:space="preserve"> </v>
      </c>
      <c r="I127" s="148" t="s">
        <v>348</v>
      </c>
      <c r="J127" s="143" t="s">
        <v>61</v>
      </c>
      <c r="K127" s="226">
        <v>60</v>
      </c>
      <c r="L127" s="226"/>
      <c r="M127" s="147">
        <v>0</v>
      </c>
      <c r="Q127" s="133" t="s">
        <v>348</v>
      </c>
    </row>
    <row r="128" spans="1:17" x14ac:dyDescent="0.2">
      <c r="A128" s="144">
        <v>2020</v>
      </c>
      <c r="B128" s="144">
        <v>3</v>
      </c>
      <c r="C128" s="144">
        <v>15</v>
      </c>
      <c r="D128" s="141">
        <f t="shared" si="2"/>
        <v>43905</v>
      </c>
      <c r="E128" s="275">
        <f t="shared" si="3"/>
        <v>43905</v>
      </c>
      <c r="F128" s="480"/>
      <c r="G128" s="221" t="s">
        <v>74</v>
      </c>
      <c r="H128" s="221" t="str" cm="1">
        <f t="array" ref="H128">IFERROR(INDEX(INVESTOR_LIST[INVESTOR NAME],MATCH(I128,INVESTOR_LIST[INVESTOR CODE],0),)," ")</f>
        <v xml:space="preserve"> </v>
      </c>
      <c r="I128" s="145" t="s">
        <v>348</v>
      </c>
      <c r="J128" s="146" t="s">
        <v>52</v>
      </c>
      <c r="K128" s="219"/>
      <c r="L128" s="219">
        <v>60</v>
      </c>
      <c r="M128" s="147">
        <v>0</v>
      </c>
      <c r="N128" s="160"/>
      <c r="O128" s="160"/>
      <c r="Q128" s="133" t="s">
        <v>348</v>
      </c>
    </row>
    <row r="129" spans="1:17" x14ac:dyDescent="0.2">
      <c r="A129" s="141">
        <v>2020</v>
      </c>
      <c r="B129" s="141">
        <v>3</v>
      </c>
      <c r="C129" s="141">
        <v>15</v>
      </c>
      <c r="D129" s="141">
        <f t="shared" si="2"/>
        <v>43905</v>
      </c>
      <c r="E129" s="275">
        <f t="shared" si="3"/>
        <v>43905</v>
      </c>
      <c r="F129" s="479" t="s">
        <v>77</v>
      </c>
      <c r="G129" s="220" t="s">
        <v>74</v>
      </c>
      <c r="H129" s="174" t="str" cm="1">
        <f t="array" ref="H129">IFERROR(INDEX(INVESTOR_LIST[INVESTOR NAME],MATCH(I129,INVESTOR_LIST[INVESTOR CODE],0),)," ")</f>
        <v xml:space="preserve"> </v>
      </c>
      <c r="I129" s="148" t="s">
        <v>348</v>
      </c>
      <c r="J129" s="143" t="s">
        <v>61</v>
      </c>
      <c r="K129" s="226">
        <v>60</v>
      </c>
      <c r="L129" s="226"/>
      <c r="M129" s="147">
        <v>5</v>
      </c>
      <c r="Q129" s="133" t="s">
        <v>348</v>
      </c>
    </row>
    <row r="130" spans="1:17" x14ac:dyDescent="0.2">
      <c r="A130" s="144">
        <v>2020</v>
      </c>
      <c r="B130" s="144">
        <v>3</v>
      </c>
      <c r="C130" s="144">
        <v>15</v>
      </c>
      <c r="D130" s="141">
        <f t="shared" si="2"/>
        <v>43905</v>
      </c>
      <c r="E130" s="275">
        <f t="shared" si="3"/>
        <v>43905</v>
      </c>
      <c r="F130" s="480"/>
      <c r="G130" s="221" t="s">
        <v>74</v>
      </c>
      <c r="H130" s="221" t="str" cm="1">
        <f t="array" ref="H130">IFERROR(INDEX(INVESTOR_LIST[INVESTOR NAME],MATCH(I130,INVESTOR_LIST[INVESTOR CODE],0),)," ")</f>
        <v xml:space="preserve"> </v>
      </c>
      <c r="I130" s="145" t="s">
        <v>348</v>
      </c>
      <c r="J130" s="146" t="s">
        <v>52</v>
      </c>
      <c r="K130" s="219"/>
      <c r="L130" s="219">
        <v>60</v>
      </c>
      <c r="M130" s="147">
        <v>0</v>
      </c>
      <c r="Q130" s="133" t="s">
        <v>348</v>
      </c>
    </row>
    <row r="131" spans="1:17" x14ac:dyDescent="0.2">
      <c r="A131" s="141">
        <v>2020</v>
      </c>
      <c r="B131" s="141">
        <v>3</v>
      </c>
      <c r="C131" s="141">
        <v>15</v>
      </c>
      <c r="D131" s="141">
        <f t="shared" si="2"/>
        <v>43905</v>
      </c>
      <c r="E131" s="275">
        <f t="shared" si="3"/>
        <v>43905</v>
      </c>
      <c r="F131" s="479" t="s">
        <v>77</v>
      </c>
      <c r="G131" s="220" t="s">
        <v>74</v>
      </c>
      <c r="H131" s="174" t="str" cm="1">
        <f t="array" ref="H131">IFERROR(INDEX(INVESTOR_LIST[INVESTOR NAME],MATCH(I131,INVESTOR_LIST[INVESTOR CODE],0),)," ")</f>
        <v xml:space="preserve"> </v>
      </c>
      <c r="I131" s="148" t="s">
        <v>348</v>
      </c>
      <c r="J131" s="143" t="s">
        <v>61</v>
      </c>
      <c r="K131" s="226">
        <v>10</v>
      </c>
      <c r="L131" s="226"/>
      <c r="M131" s="147" t="e">
        <v>#REF!</v>
      </c>
      <c r="Q131" s="133" t="s">
        <v>348</v>
      </c>
    </row>
    <row r="132" spans="1:17" x14ac:dyDescent="0.2">
      <c r="A132" s="144">
        <v>2020</v>
      </c>
      <c r="B132" s="144">
        <v>3</v>
      </c>
      <c r="C132" s="144">
        <v>15</v>
      </c>
      <c r="D132" s="141">
        <f t="shared" si="2"/>
        <v>43905</v>
      </c>
      <c r="E132" s="275">
        <f t="shared" si="3"/>
        <v>43905</v>
      </c>
      <c r="F132" s="480"/>
      <c r="G132" s="221" t="s">
        <v>74</v>
      </c>
      <c r="H132" s="221" t="str" cm="1">
        <f t="array" ref="H132">IFERROR(INDEX(INVESTOR_LIST[INVESTOR NAME],MATCH(I132,INVESTOR_LIST[INVESTOR CODE],0),)," ")</f>
        <v xml:space="preserve"> </v>
      </c>
      <c r="I132" s="145" t="s">
        <v>348</v>
      </c>
      <c r="J132" s="146" t="s">
        <v>52</v>
      </c>
      <c r="K132" s="219"/>
      <c r="L132" s="219">
        <v>10</v>
      </c>
      <c r="M132" s="147">
        <v>0</v>
      </c>
      <c r="Q132" s="133" t="s">
        <v>348</v>
      </c>
    </row>
    <row r="133" spans="1:17" x14ac:dyDescent="0.2">
      <c r="A133" s="141">
        <v>2020</v>
      </c>
      <c r="B133" s="141">
        <v>3</v>
      </c>
      <c r="C133" s="141">
        <v>15</v>
      </c>
      <c r="D133" s="141">
        <f t="shared" si="2"/>
        <v>43905</v>
      </c>
      <c r="E133" s="275">
        <f t="shared" si="3"/>
        <v>43905</v>
      </c>
      <c r="F133" s="479" t="s">
        <v>77</v>
      </c>
      <c r="G133" s="220" t="s">
        <v>74</v>
      </c>
      <c r="H133" s="174" t="str" cm="1">
        <f t="array" ref="H133">IFERROR(INDEX(INVESTOR_LIST[INVESTOR NAME],MATCH(I133,INVESTOR_LIST[INVESTOR CODE],0),)," ")</f>
        <v xml:space="preserve"> </v>
      </c>
      <c r="I133" s="148" t="s">
        <v>348</v>
      </c>
      <c r="J133" s="143" t="s">
        <v>61</v>
      </c>
      <c r="K133" s="226">
        <v>10</v>
      </c>
      <c r="L133" s="226"/>
      <c r="M133" s="147">
        <v>17</v>
      </c>
      <c r="Q133" s="133" t="s">
        <v>348</v>
      </c>
    </row>
    <row r="134" spans="1:17" x14ac:dyDescent="0.2">
      <c r="A134" s="144">
        <v>2020</v>
      </c>
      <c r="B134" s="144">
        <v>3</v>
      </c>
      <c r="C134" s="144">
        <v>15</v>
      </c>
      <c r="D134" s="141">
        <f t="shared" si="2"/>
        <v>43905</v>
      </c>
      <c r="E134" s="275">
        <f t="shared" si="3"/>
        <v>43905</v>
      </c>
      <c r="F134" s="480"/>
      <c r="G134" s="221" t="s">
        <v>74</v>
      </c>
      <c r="H134" s="221" t="str" cm="1">
        <f t="array" ref="H134">IFERROR(INDEX(INVESTOR_LIST[INVESTOR NAME],MATCH(I134,INVESTOR_LIST[INVESTOR CODE],0),)," ")</f>
        <v xml:space="preserve"> </v>
      </c>
      <c r="I134" s="145" t="s">
        <v>348</v>
      </c>
      <c r="J134" s="146" t="s">
        <v>52</v>
      </c>
      <c r="K134" s="219"/>
      <c r="L134" s="219">
        <v>10</v>
      </c>
      <c r="M134" s="147">
        <v>0</v>
      </c>
      <c r="Q134" s="133" t="s">
        <v>348</v>
      </c>
    </row>
    <row r="135" spans="1:17" ht="11.25" customHeight="1" x14ac:dyDescent="0.2">
      <c r="A135" s="150">
        <v>2020</v>
      </c>
      <c r="B135" s="150">
        <v>3</v>
      </c>
      <c r="C135" s="150">
        <v>16</v>
      </c>
      <c r="D135" s="141">
        <f t="shared" si="2"/>
        <v>43906</v>
      </c>
      <c r="E135" s="275">
        <f t="shared" si="3"/>
        <v>43906</v>
      </c>
      <c r="F135" s="479" t="s">
        <v>964</v>
      </c>
      <c r="G135" s="223" t="s">
        <v>74</v>
      </c>
      <c r="H135" s="225" t="str" cm="1">
        <f t="array" ref="H135">IFERROR(INDEX(INVESTOR_LIST[INVESTOR NAME],MATCH(I135,INVESTOR_LIST[INVESTOR CODE],0),)," ")</f>
        <v>MD. MOMINUL HOQUE</v>
      </c>
      <c r="I135" s="158" t="s">
        <v>402</v>
      </c>
      <c r="J135" s="152" t="s">
        <v>52</v>
      </c>
      <c r="K135" s="231">
        <v>100000</v>
      </c>
      <c r="L135" s="231"/>
      <c r="M135" s="147">
        <v>15</v>
      </c>
      <c r="Q135" s="133" t="s">
        <v>402</v>
      </c>
    </row>
    <row r="136" spans="1:17" ht="45" x14ac:dyDescent="0.2">
      <c r="A136" s="153">
        <v>2020</v>
      </c>
      <c r="B136" s="153">
        <v>3</v>
      </c>
      <c r="C136" s="153">
        <v>16</v>
      </c>
      <c r="D136" s="141">
        <f t="shared" si="2"/>
        <v>43906</v>
      </c>
      <c r="E136" s="275">
        <f t="shared" si="3"/>
        <v>43906</v>
      </c>
      <c r="F136" s="480"/>
      <c r="G136" s="224" t="s">
        <v>74</v>
      </c>
      <c r="H136" s="224" t="str" cm="1">
        <f t="array" ref="H136">IFERROR(INDEX(INVESTOR_LIST[INVESTOR NAME],MATCH(I136,INVESTOR_LIST[INVESTOR CODE],0),)," ")</f>
        <v>MD. MOMINUL HOQUE</v>
      </c>
      <c r="I136" s="154" t="s">
        <v>402</v>
      </c>
      <c r="J136" s="155" t="s">
        <v>13</v>
      </c>
      <c r="K136" s="232"/>
      <c r="L136" s="232">
        <f>K135</f>
        <v>100000</v>
      </c>
      <c r="M136" s="147">
        <v>0</v>
      </c>
      <c r="Q136" s="133" t="s">
        <v>402</v>
      </c>
    </row>
    <row r="137" spans="1:17" ht="11.25" customHeight="1" x14ac:dyDescent="0.2">
      <c r="A137" s="150">
        <v>2020</v>
      </c>
      <c r="B137" s="150">
        <v>3</v>
      </c>
      <c r="C137" s="150">
        <v>16</v>
      </c>
      <c r="D137" s="141">
        <f t="shared" ref="D137:D200" si="4">DATE(A137,B137,C137)</f>
        <v>43906</v>
      </c>
      <c r="E137" s="275">
        <f t="shared" si="3"/>
        <v>43906</v>
      </c>
      <c r="F137" s="479" t="s">
        <v>964</v>
      </c>
      <c r="G137" s="223" t="s">
        <v>74</v>
      </c>
      <c r="H137" s="225" t="str" cm="1">
        <f t="array" ref="H137">IFERROR(INDEX(INVESTOR_LIST[INVESTOR NAME],MATCH(I137,INVESTOR_LIST[INVESTOR CODE],0),)," ")</f>
        <v>EKUSH WEALTH MANAGEMENT LIMITED</v>
      </c>
      <c r="I137" s="158" t="s">
        <v>371</v>
      </c>
      <c r="J137" s="152" t="s">
        <v>52</v>
      </c>
      <c r="K137" s="231">
        <v>6000000</v>
      </c>
      <c r="L137" s="231"/>
      <c r="M137" s="147">
        <v>29</v>
      </c>
      <c r="Q137" s="133" t="s">
        <v>371</v>
      </c>
    </row>
    <row r="138" spans="1:17" ht="67.5" x14ac:dyDescent="0.2">
      <c r="A138" s="153">
        <v>2020</v>
      </c>
      <c r="B138" s="153">
        <v>3</v>
      </c>
      <c r="C138" s="153">
        <v>16</v>
      </c>
      <c r="D138" s="141">
        <f t="shared" si="4"/>
        <v>43906</v>
      </c>
      <c r="E138" s="275">
        <f t="shared" ref="E138:E201" si="5">DATE(A138,B138,C138)</f>
        <v>43906</v>
      </c>
      <c r="F138" s="480"/>
      <c r="G138" s="224" t="s">
        <v>74</v>
      </c>
      <c r="H138" s="224" t="str" cm="1">
        <f t="array" ref="H138">IFERROR(INDEX(INVESTOR_LIST[INVESTOR NAME],MATCH(I138,INVESTOR_LIST[INVESTOR CODE],0),)," ")</f>
        <v>EKUSH WEALTH MANAGEMENT LIMITED</v>
      </c>
      <c r="I138" s="154" t="s">
        <v>371</v>
      </c>
      <c r="J138" s="155" t="s">
        <v>13</v>
      </c>
      <c r="K138" s="232"/>
      <c r="L138" s="232">
        <f>K137</f>
        <v>6000000</v>
      </c>
      <c r="M138" s="147">
        <v>0</v>
      </c>
      <c r="Q138" s="133" t="s">
        <v>371</v>
      </c>
    </row>
    <row r="139" spans="1:17" ht="11.25" customHeight="1" x14ac:dyDescent="0.2">
      <c r="A139" s="150">
        <v>2020</v>
      </c>
      <c r="B139" s="150">
        <v>3</v>
      </c>
      <c r="C139" s="150">
        <v>16</v>
      </c>
      <c r="D139" s="141">
        <f t="shared" si="4"/>
        <v>43906</v>
      </c>
      <c r="E139" s="275">
        <f t="shared" si="5"/>
        <v>43906</v>
      </c>
      <c r="F139" s="479" t="s">
        <v>964</v>
      </c>
      <c r="G139" s="223" t="s">
        <v>74</v>
      </c>
      <c r="H139" s="225" t="str" cm="1">
        <f t="array" ref="H139">IFERROR(INDEX(INVESTOR_LIST[INVESTOR NAME],MATCH(I139,INVESTOR_LIST[INVESTOR CODE],0),)," ")</f>
        <v>EHTESHAMUL HAQUE</v>
      </c>
      <c r="I139" s="158" t="s">
        <v>403</v>
      </c>
      <c r="J139" s="152" t="s">
        <v>52</v>
      </c>
      <c r="K139" s="231">
        <v>100000</v>
      </c>
      <c r="L139" s="231"/>
      <c r="M139" s="147">
        <v>1</v>
      </c>
      <c r="Q139" s="133" t="s">
        <v>403</v>
      </c>
    </row>
    <row r="140" spans="1:17" ht="33.75" x14ac:dyDescent="0.2">
      <c r="A140" s="153">
        <v>2020</v>
      </c>
      <c r="B140" s="153">
        <v>3</v>
      </c>
      <c r="C140" s="153">
        <v>16</v>
      </c>
      <c r="D140" s="141">
        <f t="shared" si="4"/>
        <v>43906</v>
      </c>
      <c r="E140" s="275">
        <f t="shared" si="5"/>
        <v>43906</v>
      </c>
      <c r="F140" s="480"/>
      <c r="G140" s="224" t="s">
        <v>74</v>
      </c>
      <c r="H140" s="224" t="str" cm="1">
        <f t="array" ref="H140">IFERROR(INDEX(INVESTOR_LIST[INVESTOR NAME],MATCH(I140,INVESTOR_LIST[INVESTOR CODE],0),)," ")</f>
        <v>EHTESHAMUL HAQUE</v>
      </c>
      <c r="I140" s="154" t="s">
        <v>403</v>
      </c>
      <c r="J140" s="155" t="s">
        <v>13</v>
      </c>
      <c r="K140" s="232"/>
      <c r="L140" s="232">
        <f>K139</f>
        <v>100000</v>
      </c>
      <c r="M140" s="147">
        <v>0</v>
      </c>
      <c r="Q140" s="133" t="s">
        <v>403</v>
      </c>
    </row>
    <row r="141" spans="1:17" ht="11.25" customHeight="1" x14ac:dyDescent="0.2">
      <c r="A141" s="150">
        <v>2020</v>
      </c>
      <c r="B141" s="150">
        <v>3</v>
      </c>
      <c r="C141" s="150">
        <v>16</v>
      </c>
      <c r="D141" s="141">
        <f t="shared" si="4"/>
        <v>43906</v>
      </c>
      <c r="E141" s="275">
        <f t="shared" si="5"/>
        <v>43906</v>
      </c>
      <c r="F141" s="479" t="s">
        <v>964</v>
      </c>
      <c r="G141" s="223" t="s">
        <v>74</v>
      </c>
      <c r="H141" s="225" t="str" cm="1">
        <f t="array" ref="H141">IFERROR(INDEX(INVESTOR_LIST[INVESTOR NAME],MATCH(I141,INVESTOR_LIST[INVESTOR CODE],0),)," ")</f>
        <v>SAYEDA SALAHUDDIN</v>
      </c>
      <c r="I141" s="158" t="s">
        <v>404</v>
      </c>
      <c r="J141" s="152" t="s">
        <v>52</v>
      </c>
      <c r="K141" s="231">
        <v>400000</v>
      </c>
      <c r="L141" s="231"/>
      <c r="M141" s="147">
        <v>0</v>
      </c>
      <c r="Q141" s="133" t="s">
        <v>404</v>
      </c>
    </row>
    <row r="142" spans="1:17" ht="45" x14ac:dyDescent="0.2">
      <c r="A142" s="153">
        <v>2020</v>
      </c>
      <c r="B142" s="153">
        <v>3</v>
      </c>
      <c r="C142" s="153">
        <v>16</v>
      </c>
      <c r="D142" s="141">
        <f t="shared" si="4"/>
        <v>43906</v>
      </c>
      <c r="E142" s="275">
        <f t="shared" si="5"/>
        <v>43906</v>
      </c>
      <c r="F142" s="480"/>
      <c r="G142" s="224" t="s">
        <v>74</v>
      </c>
      <c r="H142" s="224" t="str" cm="1">
        <f t="array" ref="H142">IFERROR(INDEX(INVESTOR_LIST[INVESTOR NAME],MATCH(I142,INVESTOR_LIST[INVESTOR CODE],0),)," ")</f>
        <v>SAYEDA SALAHUDDIN</v>
      </c>
      <c r="I142" s="154" t="s">
        <v>404</v>
      </c>
      <c r="J142" s="155" t="s">
        <v>13</v>
      </c>
      <c r="K142" s="232"/>
      <c r="L142" s="232">
        <f>K141</f>
        <v>400000</v>
      </c>
      <c r="M142" s="147">
        <v>1</v>
      </c>
      <c r="Q142" s="133" t="s">
        <v>404</v>
      </c>
    </row>
    <row r="143" spans="1:17" ht="11.25" customHeight="1" x14ac:dyDescent="0.2">
      <c r="A143" s="150">
        <v>2020</v>
      </c>
      <c r="B143" s="150">
        <v>3</v>
      </c>
      <c r="C143" s="150">
        <v>16</v>
      </c>
      <c r="D143" s="141">
        <f t="shared" si="4"/>
        <v>43906</v>
      </c>
      <c r="E143" s="275">
        <f t="shared" si="5"/>
        <v>43906</v>
      </c>
      <c r="F143" s="479" t="s">
        <v>964</v>
      </c>
      <c r="G143" s="223" t="s">
        <v>74</v>
      </c>
      <c r="H143" s="225" t="str" cm="1">
        <f t="array" ref="H143">IFERROR(INDEX(INVESTOR_LIST[INVESTOR NAME],MATCH(I143,INVESTOR_LIST[INVESTOR CODE],0),)," ")</f>
        <v>SHAILA SALAHUDDIN</v>
      </c>
      <c r="I143" s="158" t="s">
        <v>405</v>
      </c>
      <c r="J143" s="152" t="s">
        <v>52</v>
      </c>
      <c r="K143" s="231">
        <v>600000</v>
      </c>
      <c r="L143" s="231"/>
      <c r="M143" s="147">
        <v>0</v>
      </c>
      <c r="Q143" s="133" t="s">
        <v>405</v>
      </c>
    </row>
    <row r="144" spans="1:17" ht="33.75" x14ac:dyDescent="0.2">
      <c r="A144" s="153">
        <v>2020</v>
      </c>
      <c r="B144" s="153">
        <v>3</v>
      </c>
      <c r="C144" s="153">
        <v>16</v>
      </c>
      <c r="D144" s="141">
        <f t="shared" si="4"/>
        <v>43906</v>
      </c>
      <c r="E144" s="275">
        <f t="shared" si="5"/>
        <v>43906</v>
      </c>
      <c r="F144" s="480"/>
      <c r="G144" s="224" t="s">
        <v>74</v>
      </c>
      <c r="H144" s="224" t="str" cm="1">
        <f t="array" ref="H144">IFERROR(INDEX(INVESTOR_LIST[INVESTOR NAME],MATCH(I144,INVESTOR_LIST[INVESTOR CODE],0),)," ")</f>
        <v>SHAILA SALAHUDDIN</v>
      </c>
      <c r="I144" s="154" t="s">
        <v>405</v>
      </c>
      <c r="J144" s="155" t="s">
        <v>13</v>
      </c>
      <c r="K144" s="232"/>
      <c r="L144" s="232">
        <f>K143</f>
        <v>600000</v>
      </c>
      <c r="M144" s="147">
        <v>0</v>
      </c>
      <c r="Q144" s="133" t="s">
        <v>405</v>
      </c>
    </row>
    <row r="145" spans="1:17" ht="11.25" customHeight="1" x14ac:dyDescent="0.2">
      <c r="A145" s="150">
        <v>2020</v>
      </c>
      <c r="B145" s="150">
        <v>3</v>
      </c>
      <c r="C145" s="150">
        <v>16</v>
      </c>
      <c r="D145" s="141">
        <f t="shared" si="4"/>
        <v>43906</v>
      </c>
      <c r="E145" s="275">
        <f t="shared" si="5"/>
        <v>43906</v>
      </c>
      <c r="F145" s="479" t="s">
        <v>964</v>
      </c>
      <c r="G145" s="223" t="s">
        <v>74</v>
      </c>
      <c r="H145" s="225" t="str" cm="1">
        <f t="array" ref="H145">IFERROR(INDEX(INVESTOR_LIST[INVESTOR NAME],MATCH(I145,INVESTOR_LIST[INVESTOR CODE],0),)," ")</f>
        <v>M. AMIRULLAH</v>
      </c>
      <c r="I145" s="158" t="s">
        <v>406</v>
      </c>
      <c r="J145" s="152" t="s">
        <v>52</v>
      </c>
      <c r="K145" s="231">
        <v>500000</v>
      </c>
      <c r="L145" s="231"/>
      <c r="M145" s="147">
        <v>0</v>
      </c>
      <c r="Q145" s="133" t="s">
        <v>406</v>
      </c>
    </row>
    <row r="146" spans="1:17" ht="33.75" x14ac:dyDescent="0.2">
      <c r="A146" s="153">
        <v>2020</v>
      </c>
      <c r="B146" s="153">
        <v>3</v>
      </c>
      <c r="C146" s="153">
        <v>16</v>
      </c>
      <c r="D146" s="141">
        <f t="shared" si="4"/>
        <v>43906</v>
      </c>
      <c r="E146" s="275">
        <f t="shared" si="5"/>
        <v>43906</v>
      </c>
      <c r="F146" s="480"/>
      <c r="G146" s="224" t="s">
        <v>74</v>
      </c>
      <c r="H146" s="224" t="str" cm="1">
        <f t="array" ref="H146">IFERROR(INDEX(INVESTOR_LIST[INVESTOR NAME],MATCH(I146,INVESTOR_LIST[INVESTOR CODE],0),)," ")</f>
        <v>M. AMIRULLAH</v>
      </c>
      <c r="I146" s="154" t="s">
        <v>406</v>
      </c>
      <c r="J146" s="155" t="s">
        <v>13</v>
      </c>
      <c r="K146" s="232"/>
      <c r="L146" s="232">
        <f>K145</f>
        <v>500000</v>
      </c>
      <c r="M146" s="147">
        <v>0</v>
      </c>
      <c r="Q146" s="133" t="s">
        <v>406</v>
      </c>
    </row>
    <row r="147" spans="1:17" x14ac:dyDescent="0.2">
      <c r="A147" s="141">
        <v>2020</v>
      </c>
      <c r="B147" s="141">
        <v>3</v>
      </c>
      <c r="C147" s="141">
        <v>16</v>
      </c>
      <c r="D147" s="141">
        <f t="shared" si="4"/>
        <v>43906</v>
      </c>
      <c r="E147" s="275">
        <f t="shared" si="5"/>
        <v>43906</v>
      </c>
      <c r="F147" s="479" t="s">
        <v>77</v>
      </c>
      <c r="G147" s="220" t="s">
        <v>74</v>
      </c>
      <c r="H147" s="174" t="str" cm="1">
        <f t="array" ref="H147">IFERROR(INDEX(INVESTOR_LIST[INVESTOR NAME],MATCH(I147,INVESTOR_LIST[INVESTOR CODE],0),)," ")</f>
        <v xml:space="preserve"> </v>
      </c>
      <c r="I147" s="148" t="s">
        <v>348</v>
      </c>
      <c r="J147" s="143" t="s">
        <v>61</v>
      </c>
      <c r="K147" s="226">
        <v>10</v>
      </c>
      <c r="L147" s="226"/>
      <c r="M147" s="147">
        <v>0</v>
      </c>
      <c r="Q147" s="133" t="s">
        <v>348</v>
      </c>
    </row>
    <row r="148" spans="1:17" x14ac:dyDescent="0.2">
      <c r="A148" s="144">
        <v>2020</v>
      </c>
      <c r="B148" s="144">
        <v>3</v>
      </c>
      <c r="C148" s="144">
        <v>16</v>
      </c>
      <c r="D148" s="141">
        <f t="shared" si="4"/>
        <v>43906</v>
      </c>
      <c r="E148" s="275">
        <f t="shared" si="5"/>
        <v>43906</v>
      </c>
      <c r="F148" s="480"/>
      <c r="G148" s="221" t="s">
        <v>74</v>
      </c>
      <c r="H148" s="221" t="str" cm="1">
        <f t="array" ref="H148">IFERROR(INDEX(INVESTOR_LIST[INVESTOR NAME],MATCH(I148,INVESTOR_LIST[INVESTOR CODE],0),)," ")</f>
        <v xml:space="preserve"> </v>
      </c>
      <c r="I148" s="145" t="s">
        <v>348</v>
      </c>
      <c r="J148" s="146" t="s">
        <v>52</v>
      </c>
      <c r="K148" s="219"/>
      <c r="L148" s="219">
        <v>10</v>
      </c>
      <c r="M148" s="147">
        <v>0</v>
      </c>
      <c r="Q148" s="133" t="s">
        <v>348</v>
      </c>
    </row>
    <row r="149" spans="1:17" x14ac:dyDescent="0.2">
      <c r="A149" s="141">
        <v>2020</v>
      </c>
      <c r="B149" s="141">
        <v>3</v>
      </c>
      <c r="C149" s="141">
        <v>16</v>
      </c>
      <c r="D149" s="141">
        <f t="shared" si="4"/>
        <v>43906</v>
      </c>
      <c r="E149" s="275">
        <f t="shared" si="5"/>
        <v>43906</v>
      </c>
      <c r="F149" s="479" t="s">
        <v>77</v>
      </c>
      <c r="G149" s="220" t="s">
        <v>74</v>
      </c>
      <c r="H149" s="174" t="str" cm="1">
        <f t="array" ref="H149">IFERROR(INDEX(INVESTOR_LIST[INVESTOR NAME],MATCH(I149,INVESTOR_LIST[INVESTOR CODE],0),)," ")</f>
        <v xml:space="preserve"> </v>
      </c>
      <c r="I149" s="148" t="s">
        <v>348</v>
      </c>
      <c r="J149" s="143" t="s">
        <v>61</v>
      </c>
      <c r="K149" s="226">
        <v>10</v>
      </c>
      <c r="L149" s="226"/>
      <c r="M149" s="147">
        <v>0</v>
      </c>
      <c r="Q149" s="133" t="s">
        <v>348</v>
      </c>
    </row>
    <row r="150" spans="1:17" x14ac:dyDescent="0.2">
      <c r="A150" s="144">
        <v>2020</v>
      </c>
      <c r="B150" s="144">
        <v>3</v>
      </c>
      <c r="C150" s="144">
        <v>16</v>
      </c>
      <c r="D150" s="141">
        <f t="shared" si="4"/>
        <v>43906</v>
      </c>
      <c r="E150" s="275">
        <f t="shared" si="5"/>
        <v>43906</v>
      </c>
      <c r="F150" s="480"/>
      <c r="G150" s="221" t="s">
        <v>74</v>
      </c>
      <c r="H150" s="221" t="str" cm="1">
        <f t="array" ref="H150">IFERROR(INDEX(INVESTOR_LIST[INVESTOR NAME],MATCH(I150,INVESTOR_LIST[INVESTOR CODE],0),)," ")</f>
        <v xml:space="preserve"> </v>
      </c>
      <c r="I150" s="145" t="s">
        <v>348</v>
      </c>
      <c r="J150" s="146" t="s">
        <v>52</v>
      </c>
      <c r="K150" s="219"/>
      <c r="L150" s="219">
        <v>10</v>
      </c>
      <c r="M150" s="147">
        <v>0</v>
      </c>
      <c r="Q150" s="133" t="s">
        <v>348</v>
      </c>
    </row>
    <row r="151" spans="1:17" x14ac:dyDescent="0.2">
      <c r="A151" s="141">
        <v>2020</v>
      </c>
      <c r="B151" s="141">
        <v>3</v>
      </c>
      <c r="C151" s="141">
        <v>16</v>
      </c>
      <c r="D151" s="141">
        <f t="shared" si="4"/>
        <v>43906</v>
      </c>
      <c r="E151" s="275">
        <f t="shared" si="5"/>
        <v>43906</v>
      </c>
      <c r="F151" s="479" t="s">
        <v>77</v>
      </c>
      <c r="G151" s="220" t="s">
        <v>74</v>
      </c>
      <c r="H151" s="174" t="str" cm="1">
        <f t="array" ref="H151">IFERROR(INDEX(INVESTOR_LIST[INVESTOR NAME],MATCH(I151,INVESTOR_LIST[INVESTOR CODE],0),)," ")</f>
        <v xml:space="preserve"> </v>
      </c>
      <c r="I151" s="148" t="s">
        <v>348</v>
      </c>
      <c r="J151" s="143" t="s">
        <v>61</v>
      </c>
      <c r="K151" s="226">
        <v>25</v>
      </c>
      <c r="L151" s="226"/>
      <c r="M151" s="147">
        <v>0</v>
      </c>
      <c r="Q151" s="133" t="s">
        <v>348</v>
      </c>
    </row>
    <row r="152" spans="1:17" x14ac:dyDescent="0.2">
      <c r="A152" s="144">
        <v>2020</v>
      </c>
      <c r="B152" s="144">
        <v>3</v>
      </c>
      <c r="C152" s="144">
        <v>16</v>
      </c>
      <c r="D152" s="141">
        <f t="shared" si="4"/>
        <v>43906</v>
      </c>
      <c r="E152" s="275">
        <f t="shared" si="5"/>
        <v>43906</v>
      </c>
      <c r="F152" s="480"/>
      <c r="G152" s="221" t="s">
        <v>74</v>
      </c>
      <c r="H152" s="221" t="str" cm="1">
        <f t="array" ref="H152">IFERROR(INDEX(INVESTOR_LIST[INVESTOR NAME],MATCH(I152,INVESTOR_LIST[INVESTOR CODE],0),)," ")</f>
        <v xml:space="preserve"> </v>
      </c>
      <c r="I152" s="145" t="s">
        <v>348</v>
      </c>
      <c r="J152" s="146" t="s">
        <v>52</v>
      </c>
      <c r="K152" s="219"/>
      <c r="L152" s="219">
        <v>25</v>
      </c>
      <c r="M152" s="147">
        <v>0</v>
      </c>
      <c r="Q152" s="133" t="s">
        <v>348</v>
      </c>
    </row>
    <row r="153" spans="1:17" x14ac:dyDescent="0.2">
      <c r="A153" s="141">
        <v>2020</v>
      </c>
      <c r="B153" s="141">
        <v>3</v>
      </c>
      <c r="C153" s="141">
        <v>16</v>
      </c>
      <c r="D153" s="141">
        <f t="shared" si="4"/>
        <v>43906</v>
      </c>
      <c r="E153" s="275">
        <f t="shared" si="5"/>
        <v>43906</v>
      </c>
      <c r="F153" s="479" t="s">
        <v>77</v>
      </c>
      <c r="G153" s="220" t="s">
        <v>74</v>
      </c>
      <c r="H153" s="174" t="str" cm="1">
        <f t="array" ref="H153">IFERROR(INDEX(INVESTOR_LIST[INVESTOR NAME],MATCH(I153,INVESTOR_LIST[INVESTOR CODE],0),)," ")</f>
        <v xml:space="preserve"> </v>
      </c>
      <c r="I153" s="148" t="s">
        <v>348</v>
      </c>
      <c r="J153" s="143" t="s">
        <v>61</v>
      </c>
      <c r="K153" s="226">
        <v>25</v>
      </c>
      <c r="L153" s="226"/>
      <c r="M153" s="147">
        <v>0</v>
      </c>
      <c r="Q153" s="133" t="s">
        <v>348</v>
      </c>
    </row>
    <row r="154" spans="1:17" x14ac:dyDescent="0.2">
      <c r="A154" s="144">
        <v>2020</v>
      </c>
      <c r="B154" s="144">
        <v>3</v>
      </c>
      <c r="C154" s="144">
        <v>16</v>
      </c>
      <c r="D154" s="141">
        <f t="shared" si="4"/>
        <v>43906</v>
      </c>
      <c r="E154" s="275">
        <f t="shared" si="5"/>
        <v>43906</v>
      </c>
      <c r="F154" s="480"/>
      <c r="G154" s="221" t="s">
        <v>74</v>
      </c>
      <c r="H154" s="221" t="str" cm="1">
        <f t="array" ref="H154">IFERROR(INDEX(INVESTOR_LIST[INVESTOR NAME],MATCH(I154,INVESTOR_LIST[INVESTOR CODE],0),)," ")</f>
        <v xml:space="preserve"> </v>
      </c>
      <c r="I154" s="145" t="s">
        <v>348</v>
      </c>
      <c r="J154" s="146" t="s">
        <v>52</v>
      </c>
      <c r="K154" s="219"/>
      <c r="L154" s="219">
        <v>25</v>
      </c>
      <c r="M154" s="147">
        <v>0</v>
      </c>
      <c r="Q154" s="133" t="s">
        <v>348</v>
      </c>
    </row>
    <row r="155" spans="1:17" ht="11.25" customHeight="1" x14ac:dyDescent="0.2">
      <c r="A155" s="150">
        <v>2020</v>
      </c>
      <c r="B155" s="150">
        <v>3</v>
      </c>
      <c r="C155" s="150">
        <v>18</v>
      </c>
      <c r="D155" s="141">
        <f t="shared" si="4"/>
        <v>43908</v>
      </c>
      <c r="E155" s="275">
        <f t="shared" si="5"/>
        <v>43908</v>
      </c>
      <c r="F155" s="479" t="s">
        <v>964</v>
      </c>
      <c r="G155" s="223" t="s">
        <v>74</v>
      </c>
      <c r="H155" s="225" t="str" cm="1">
        <f t="array" ref="H155">IFERROR(INDEX(INVESTOR_LIST[INVESTOR NAME],MATCH(I155,INVESTOR_LIST[INVESTOR CODE],0),)," ")</f>
        <v>MONIR AHMED</v>
      </c>
      <c r="I155" s="158" t="s">
        <v>407</v>
      </c>
      <c r="J155" s="152" t="s">
        <v>52</v>
      </c>
      <c r="K155" s="231">
        <v>100000</v>
      </c>
      <c r="L155" s="231"/>
      <c r="M155" s="147">
        <v>0</v>
      </c>
      <c r="Q155" s="133" t="s">
        <v>407</v>
      </c>
    </row>
    <row r="156" spans="1:17" ht="22.5" x14ac:dyDescent="0.2">
      <c r="A156" s="153">
        <v>2020</v>
      </c>
      <c r="B156" s="153">
        <v>3</v>
      </c>
      <c r="C156" s="153">
        <v>18</v>
      </c>
      <c r="D156" s="141">
        <f t="shared" si="4"/>
        <v>43908</v>
      </c>
      <c r="E156" s="275">
        <f t="shared" si="5"/>
        <v>43908</v>
      </c>
      <c r="F156" s="480"/>
      <c r="G156" s="224" t="s">
        <v>74</v>
      </c>
      <c r="H156" s="224" t="str" cm="1">
        <f t="array" ref="H156">IFERROR(INDEX(INVESTOR_LIST[INVESTOR NAME],MATCH(I156,INVESTOR_LIST[INVESTOR CODE],0),)," ")</f>
        <v>MONIR AHMED</v>
      </c>
      <c r="I156" s="154" t="s">
        <v>407</v>
      </c>
      <c r="J156" s="155" t="s">
        <v>13</v>
      </c>
      <c r="K156" s="232"/>
      <c r="L156" s="232">
        <f>K155</f>
        <v>100000</v>
      </c>
      <c r="M156" s="147">
        <v>0</v>
      </c>
      <c r="Q156" s="133" t="s">
        <v>407</v>
      </c>
    </row>
    <row r="157" spans="1:17" ht="11.25" customHeight="1" x14ac:dyDescent="0.2">
      <c r="A157" s="150">
        <v>2020</v>
      </c>
      <c r="B157" s="150">
        <v>3</v>
      </c>
      <c r="C157" s="150">
        <v>18</v>
      </c>
      <c r="D157" s="141">
        <f t="shared" si="4"/>
        <v>43908</v>
      </c>
      <c r="E157" s="275">
        <f t="shared" si="5"/>
        <v>43908</v>
      </c>
      <c r="F157" s="479" t="s">
        <v>964</v>
      </c>
      <c r="G157" s="223" t="s">
        <v>74</v>
      </c>
      <c r="H157" s="225" t="str" cm="1">
        <f t="array" ref="H157">IFERROR(INDEX(INVESTOR_LIST[INVESTOR NAME],MATCH(I157,INVESTOR_LIST[INVESTOR CODE],0),)," ")</f>
        <v>MD. SHIFUL ISLAM</v>
      </c>
      <c r="I157" s="158" t="s">
        <v>408</v>
      </c>
      <c r="J157" s="152" t="s">
        <v>52</v>
      </c>
      <c r="K157" s="231">
        <v>500000</v>
      </c>
      <c r="L157" s="231"/>
      <c r="M157" s="147">
        <v>0</v>
      </c>
      <c r="Q157" s="133" t="s">
        <v>408</v>
      </c>
    </row>
    <row r="158" spans="1:17" ht="33.75" x14ac:dyDescent="0.2">
      <c r="A158" s="153">
        <v>2020</v>
      </c>
      <c r="B158" s="153">
        <v>3</v>
      </c>
      <c r="C158" s="153">
        <v>18</v>
      </c>
      <c r="D158" s="141">
        <f t="shared" si="4"/>
        <v>43908</v>
      </c>
      <c r="E158" s="275">
        <f t="shared" si="5"/>
        <v>43908</v>
      </c>
      <c r="F158" s="480"/>
      <c r="G158" s="224" t="s">
        <v>74</v>
      </c>
      <c r="H158" s="224" t="str" cm="1">
        <f t="array" ref="H158">IFERROR(INDEX(INVESTOR_LIST[INVESTOR NAME],MATCH(I158,INVESTOR_LIST[INVESTOR CODE],0),)," ")</f>
        <v>MD. SHIFUL ISLAM</v>
      </c>
      <c r="I158" s="154" t="s">
        <v>408</v>
      </c>
      <c r="J158" s="155" t="s">
        <v>13</v>
      </c>
      <c r="K158" s="232"/>
      <c r="L158" s="232">
        <f>K157</f>
        <v>500000</v>
      </c>
      <c r="M158" s="147">
        <v>0</v>
      </c>
      <c r="N158" s="160"/>
      <c r="Q158" s="133" t="s">
        <v>408</v>
      </c>
    </row>
    <row r="159" spans="1:17" ht="11.25" customHeight="1" x14ac:dyDescent="0.2">
      <c r="A159" s="150">
        <v>2020</v>
      </c>
      <c r="B159" s="150">
        <v>3</v>
      </c>
      <c r="C159" s="150">
        <v>18</v>
      </c>
      <c r="D159" s="141">
        <f t="shared" si="4"/>
        <v>43908</v>
      </c>
      <c r="E159" s="275">
        <f t="shared" si="5"/>
        <v>43908</v>
      </c>
      <c r="F159" s="479" t="s">
        <v>964</v>
      </c>
      <c r="G159" s="223" t="s">
        <v>74</v>
      </c>
      <c r="H159" s="225" t="str" cm="1">
        <f t="array" ref="H159">IFERROR(INDEX(INVESTOR_LIST[INVESTOR NAME],MATCH(I159,INVESTOR_LIST[INVESTOR CODE],0),)," ")</f>
        <v>RAJIB ROY</v>
      </c>
      <c r="I159" s="158" t="s">
        <v>409</v>
      </c>
      <c r="J159" s="152" t="s">
        <v>52</v>
      </c>
      <c r="K159" s="231">
        <v>150000</v>
      </c>
      <c r="L159" s="231"/>
      <c r="M159" s="147">
        <v>0</v>
      </c>
      <c r="N159" s="161"/>
      <c r="Q159" s="133" t="s">
        <v>409</v>
      </c>
    </row>
    <row r="160" spans="1:17" ht="22.5" x14ac:dyDescent="0.2">
      <c r="A160" s="153">
        <v>2020</v>
      </c>
      <c r="B160" s="153">
        <v>3</v>
      </c>
      <c r="C160" s="153">
        <v>18</v>
      </c>
      <c r="D160" s="141">
        <f t="shared" si="4"/>
        <v>43908</v>
      </c>
      <c r="E160" s="275">
        <f t="shared" si="5"/>
        <v>43908</v>
      </c>
      <c r="F160" s="480"/>
      <c r="G160" s="224" t="s">
        <v>74</v>
      </c>
      <c r="H160" s="224" t="str" cm="1">
        <f t="array" ref="H160">IFERROR(INDEX(INVESTOR_LIST[INVESTOR NAME],MATCH(I160,INVESTOR_LIST[INVESTOR CODE],0),)," ")</f>
        <v>RAJIB ROY</v>
      </c>
      <c r="I160" s="154" t="s">
        <v>409</v>
      </c>
      <c r="J160" s="155" t="s">
        <v>13</v>
      </c>
      <c r="K160" s="232"/>
      <c r="L160" s="232">
        <f>K159</f>
        <v>150000</v>
      </c>
      <c r="M160" s="147">
        <v>4</v>
      </c>
      <c r="N160" s="162"/>
      <c r="Q160" s="133" t="s">
        <v>409</v>
      </c>
    </row>
    <row r="161" spans="1:17" ht="11.25" customHeight="1" x14ac:dyDescent="0.2">
      <c r="A161" s="150">
        <v>2020</v>
      </c>
      <c r="B161" s="150">
        <v>3</v>
      </c>
      <c r="C161" s="150">
        <v>18</v>
      </c>
      <c r="D161" s="141">
        <f t="shared" si="4"/>
        <v>43908</v>
      </c>
      <c r="E161" s="275">
        <f t="shared" si="5"/>
        <v>43908</v>
      </c>
      <c r="F161" s="479" t="s">
        <v>964</v>
      </c>
      <c r="G161" s="223" t="s">
        <v>74</v>
      </c>
      <c r="H161" s="225" t="str" cm="1">
        <f t="array" ref="H161">IFERROR(INDEX(INVESTOR_LIST[INVESTOR NAME],MATCH(I161,INVESTOR_LIST[INVESTOR CODE],0),)," ")</f>
        <v>MONIR AHMED</v>
      </c>
      <c r="I161" s="158" t="s">
        <v>407</v>
      </c>
      <c r="J161" s="152" t="s">
        <v>52</v>
      </c>
      <c r="K161" s="231">
        <v>300000</v>
      </c>
      <c r="L161" s="231"/>
      <c r="M161" s="147">
        <v>0</v>
      </c>
      <c r="N161" s="160"/>
      <c r="O161" s="160"/>
      <c r="Q161" s="133" t="s">
        <v>407</v>
      </c>
    </row>
    <row r="162" spans="1:17" ht="22.5" x14ac:dyDescent="0.2">
      <c r="A162" s="153">
        <v>2020</v>
      </c>
      <c r="B162" s="153">
        <v>3</v>
      </c>
      <c r="C162" s="153">
        <v>18</v>
      </c>
      <c r="D162" s="141">
        <f t="shared" si="4"/>
        <v>43908</v>
      </c>
      <c r="E162" s="275">
        <f t="shared" si="5"/>
        <v>43908</v>
      </c>
      <c r="F162" s="480"/>
      <c r="G162" s="224" t="s">
        <v>74</v>
      </c>
      <c r="H162" s="224" t="str" cm="1">
        <f t="array" ref="H162">IFERROR(INDEX(INVESTOR_LIST[INVESTOR NAME],MATCH(I162,INVESTOR_LIST[INVESTOR CODE],0),)," ")</f>
        <v>MONIR AHMED</v>
      </c>
      <c r="I162" s="154" t="s">
        <v>407</v>
      </c>
      <c r="J162" s="155" t="s">
        <v>13</v>
      </c>
      <c r="K162" s="232"/>
      <c r="L162" s="232">
        <f>K161</f>
        <v>300000</v>
      </c>
      <c r="M162" s="147">
        <v>0</v>
      </c>
      <c r="Q162" s="133" t="s">
        <v>407</v>
      </c>
    </row>
    <row r="163" spans="1:17" ht="11.25" customHeight="1" x14ac:dyDescent="0.2">
      <c r="A163" s="150">
        <v>2020</v>
      </c>
      <c r="B163" s="150">
        <v>3</v>
      </c>
      <c r="C163" s="150">
        <v>18</v>
      </c>
      <c r="D163" s="141">
        <f t="shared" si="4"/>
        <v>43908</v>
      </c>
      <c r="E163" s="275">
        <f t="shared" si="5"/>
        <v>43908</v>
      </c>
      <c r="F163" s="479" t="s">
        <v>964</v>
      </c>
      <c r="G163" s="223" t="s">
        <v>74</v>
      </c>
      <c r="H163" s="225" t="str" cm="1">
        <f t="array" ref="H163">IFERROR(INDEX(INVESTOR_LIST[INVESTOR NAME],MATCH(I163,INVESTOR_LIST[INVESTOR CODE],0),)," ")</f>
        <v>EKUSH WEALTH MANAGEMENT LIMITED</v>
      </c>
      <c r="I163" s="158" t="s">
        <v>371</v>
      </c>
      <c r="J163" s="152" t="s">
        <v>52</v>
      </c>
      <c r="K163" s="231">
        <v>3000000</v>
      </c>
      <c r="L163" s="231"/>
      <c r="M163" s="147">
        <v>1</v>
      </c>
      <c r="Q163" s="133" t="s">
        <v>371</v>
      </c>
    </row>
    <row r="164" spans="1:17" ht="67.5" x14ac:dyDescent="0.2">
      <c r="A164" s="153">
        <v>2020</v>
      </c>
      <c r="B164" s="153">
        <v>3</v>
      </c>
      <c r="C164" s="153">
        <v>18</v>
      </c>
      <c r="D164" s="141">
        <f t="shared" si="4"/>
        <v>43908</v>
      </c>
      <c r="E164" s="275">
        <f t="shared" si="5"/>
        <v>43908</v>
      </c>
      <c r="F164" s="480"/>
      <c r="G164" s="224" t="s">
        <v>74</v>
      </c>
      <c r="H164" s="224" t="str" cm="1">
        <f t="array" ref="H164">IFERROR(INDEX(INVESTOR_LIST[INVESTOR NAME],MATCH(I164,INVESTOR_LIST[INVESTOR CODE],0),)," ")</f>
        <v>EKUSH WEALTH MANAGEMENT LIMITED</v>
      </c>
      <c r="I164" s="154" t="s">
        <v>371</v>
      </c>
      <c r="J164" s="155" t="s">
        <v>13</v>
      </c>
      <c r="K164" s="232"/>
      <c r="L164" s="232">
        <f>K163</f>
        <v>3000000</v>
      </c>
      <c r="M164" s="147">
        <v>0</v>
      </c>
      <c r="Q164" s="133" t="s">
        <v>371</v>
      </c>
    </row>
    <row r="165" spans="1:17" ht="11.25" customHeight="1" x14ac:dyDescent="0.2">
      <c r="A165" s="150">
        <v>2020</v>
      </c>
      <c r="B165" s="150">
        <v>3</v>
      </c>
      <c r="C165" s="150">
        <v>18</v>
      </c>
      <c r="D165" s="141">
        <f t="shared" si="4"/>
        <v>43908</v>
      </c>
      <c r="E165" s="275">
        <f t="shared" si="5"/>
        <v>43908</v>
      </c>
      <c r="F165" s="479" t="s">
        <v>964</v>
      </c>
      <c r="G165" s="223" t="s">
        <v>74</v>
      </c>
      <c r="H165" s="225" t="str" cm="1">
        <f t="array" ref="H165">IFERROR(INDEX(INVESTOR_LIST[INVESTOR NAME],MATCH(I165,INVESTOR_LIST[INVESTOR CODE],0),)," ")</f>
        <v>ASIAN TIGER SANDHANI LIFE GROWTH FUND</v>
      </c>
      <c r="I165" s="158" t="s">
        <v>410</v>
      </c>
      <c r="J165" s="152" t="s">
        <v>52</v>
      </c>
      <c r="K165" s="231">
        <v>10000000</v>
      </c>
      <c r="L165" s="231"/>
      <c r="M165" s="147">
        <v>0</v>
      </c>
      <c r="Q165" s="133" t="s">
        <v>410</v>
      </c>
    </row>
    <row r="166" spans="1:17" ht="67.5" x14ac:dyDescent="0.2">
      <c r="A166" s="153">
        <v>2020</v>
      </c>
      <c r="B166" s="153">
        <v>3</v>
      </c>
      <c r="C166" s="153">
        <v>18</v>
      </c>
      <c r="D166" s="141">
        <f t="shared" si="4"/>
        <v>43908</v>
      </c>
      <c r="E166" s="275">
        <f t="shared" si="5"/>
        <v>43908</v>
      </c>
      <c r="F166" s="480"/>
      <c r="G166" s="224" t="s">
        <v>74</v>
      </c>
      <c r="H166" s="224" t="str" cm="1">
        <f t="array" ref="H166">IFERROR(INDEX(INVESTOR_LIST[INVESTOR NAME],MATCH(I166,INVESTOR_LIST[INVESTOR CODE],0),)," ")</f>
        <v>ASIAN TIGER SANDHANI LIFE GROWTH FUND</v>
      </c>
      <c r="I166" s="154" t="s">
        <v>410</v>
      </c>
      <c r="J166" s="155" t="s">
        <v>13</v>
      </c>
      <c r="K166" s="232"/>
      <c r="L166" s="232">
        <f>K165</f>
        <v>10000000</v>
      </c>
      <c r="M166" s="147">
        <v>0</v>
      </c>
      <c r="Q166" s="133" t="s">
        <v>410</v>
      </c>
    </row>
    <row r="167" spans="1:17" ht="11.25" customHeight="1" x14ac:dyDescent="0.2">
      <c r="A167" s="150">
        <v>2020</v>
      </c>
      <c r="B167" s="150">
        <v>3</v>
      </c>
      <c r="C167" s="150">
        <v>18</v>
      </c>
      <c r="D167" s="141">
        <f t="shared" si="4"/>
        <v>43908</v>
      </c>
      <c r="E167" s="275">
        <f t="shared" si="5"/>
        <v>43908</v>
      </c>
      <c r="F167" s="479" t="s">
        <v>964</v>
      </c>
      <c r="G167" s="223" t="s">
        <v>74</v>
      </c>
      <c r="H167" s="225" t="str" cm="1">
        <f t="array" ref="H167">IFERROR(INDEX(INVESTOR_LIST[INVESTOR NAME],MATCH(I167,INVESTOR_LIST[INVESTOR CODE],0),)," ")</f>
        <v>UCB STOCK BROKERAGE LIMITED</v>
      </c>
      <c r="I167" s="158" t="s">
        <v>411</v>
      </c>
      <c r="J167" s="152" t="s">
        <v>52</v>
      </c>
      <c r="K167" s="231">
        <v>5000000</v>
      </c>
      <c r="L167" s="231"/>
      <c r="M167" s="147">
        <v>0</v>
      </c>
      <c r="Q167" s="133" t="s">
        <v>411</v>
      </c>
    </row>
    <row r="168" spans="1:17" ht="56.25" x14ac:dyDescent="0.2">
      <c r="A168" s="153">
        <v>2020</v>
      </c>
      <c r="B168" s="153">
        <v>3</v>
      </c>
      <c r="C168" s="153">
        <v>18</v>
      </c>
      <c r="D168" s="141">
        <f t="shared" si="4"/>
        <v>43908</v>
      </c>
      <c r="E168" s="275">
        <f t="shared" si="5"/>
        <v>43908</v>
      </c>
      <c r="F168" s="480"/>
      <c r="G168" s="224" t="s">
        <v>74</v>
      </c>
      <c r="H168" s="224" t="str" cm="1">
        <f t="array" ref="H168">IFERROR(INDEX(INVESTOR_LIST[INVESTOR NAME],MATCH(I168,INVESTOR_LIST[INVESTOR CODE],0),)," ")</f>
        <v>UCB STOCK BROKERAGE LIMITED</v>
      </c>
      <c r="I168" s="154" t="s">
        <v>411</v>
      </c>
      <c r="J168" s="155" t="s">
        <v>13</v>
      </c>
      <c r="K168" s="232"/>
      <c r="L168" s="232">
        <f>K167</f>
        <v>5000000</v>
      </c>
      <c r="M168" s="147">
        <v>1</v>
      </c>
      <c r="Q168" s="133" t="s">
        <v>411</v>
      </c>
    </row>
    <row r="169" spans="1:17" ht="11.25" customHeight="1" x14ac:dyDescent="0.2">
      <c r="A169" s="150">
        <v>2020</v>
      </c>
      <c r="B169" s="150">
        <v>3</v>
      </c>
      <c r="C169" s="150">
        <v>18</v>
      </c>
      <c r="D169" s="141">
        <f t="shared" si="4"/>
        <v>43908</v>
      </c>
      <c r="E169" s="275">
        <f t="shared" si="5"/>
        <v>43908</v>
      </c>
      <c r="F169" s="479" t="s">
        <v>964</v>
      </c>
      <c r="G169" s="223" t="s">
        <v>74</v>
      </c>
      <c r="H169" s="225" t="str" cm="1">
        <f t="array" ref="H169">IFERROR(INDEX(INVESTOR_LIST[INVESTOR NAME],MATCH(I169,INVESTOR_LIST[INVESTOR CODE],0),)," ")</f>
        <v>M A QUAYOOM</v>
      </c>
      <c r="I169" s="158" t="s">
        <v>412</v>
      </c>
      <c r="J169" s="152" t="s">
        <v>52</v>
      </c>
      <c r="K169" s="231">
        <v>200000</v>
      </c>
      <c r="L169" s="231"/>
      <c r="M169" s="147">
        <v>0</v>
      </c>
      <c r="Q169" s="133" t="s">
        <v>412</v>
      </c>
    </row>
    <row r="170" spans="1:17" ht="33.75" x14ac:dyDescent="0.2">
      <c r="A170" s="153">
        <v>2020</v>
      </c>
      <c r="B170" s="153">
        <v>3</v>
      </c>
      <c r="C170" s="153">
        <v>18</v>
      </c>
      <c r="D170" s="141">
        <f t="shared" si="4"/>
        <v>43908</v>
      </c>
      <c r="E170" s="275">
        <f t="shared" si="5"/>
        <v>43908</v>
      </c>
      <c r="F170" s="480"/>
      <c r="G170" s="224" t="s">
        <v>74</v>
      </c>
      <c r="H170" s="224" t="str" cm="1">
        <f t="array" ref="H170">IFERROR(INDEX(INVESTOR_LIST[INVESTOR NAME],MATCH(I170,INVESTOR_LIST[INVESTOR CODE],0),)," ")</f>
        <v>M A QUAYOOM</v>
      </c>
      <c r="I170" s="154" t="s">
        <v>412</v>
      </c>
      <c r="J170" s="155" t="s">
        <v>13</v>
      </c>
      <c r="K170" s="232"/>
      <c r="L170" s="232">
        <f>K169</f>
        <v>200000</v>
      </c>
      <c r="M170" s="147">
        <v>1</v>
      </c>
      <c r="Q170" s="133" t="s">
        <v>412</v>
      </c>
    </row>
    <row r="171" spans="1:17" ht="11.25" customHeight="1" x14ac:dyDescent="0.2">
      <c r="A171" s="150">
        <v>2020</v>
      </c>
      <c r="B171" s="150">
        <v>3</v>
      </c>
      <c r="C171" s="150">
        <v>18</v>
      </c>
      <c r="D171" s="141">
        <f t="shared" si="4"/>
        <v>43908</v>
      </c>
      <c r="E171" s="275">
        <f t="shared" si="5"/>
        <v>43908</v>
      </c>
      <c r="F171" s="479" t="s">
        <v>964</v>
      </c>
      <c r="G171" s="223" t="s">
        <v>74</v>
      </c>
      <c r="H171" s="225" t="str" cm="1">
        <f t="array" ref="H171">IFERROR(INDEX(INVESTOR_LIST[INVESTOR NAME],MATCH(I171,INVESTOR_LIST[INVESTOR CODE],0),)," ")</f>
        <v>AROORA SAMEERA CHOWDHURY</v>
      </c>
      <c r="I171" s="158" t="s">
        <v>413</v>
      </c>
      <c r="J171" s="152" t="s">
        <v>52</v>
      </c>
      <c r="K171" s="231">
        <v>1500000</v>
      </c>
      <c r="L171" s="231"/>
      <c r="M171" s="147">
        <v>0</v>
      </c>
      <c r="Q171" s="133" t="s">
        <v>413</v>
      </c>
    </row>
    <row r="172" spans="1:17" ht="67.5" x14ac:dyDescent="0.2">
      <c r="A172" s="153">
        <v>2020</v>
      </c>
      <c r="B172" s="153">
        <v>3</v>
      </c>
      <c r="C172" s="153">
        <v>18</v>
      </c>
      <c r="D172" s="141">
        <f t="shared" si="4"/>
        <v>43908</v>
      </c>
      <c r="E172" s="275">
        <f t="shared" si="5"/>
        <v>43908</v>
      </c>
      <c r="F172" s="480"/>
      <c r="G172" s="224" t="s">
        <v>74</v>
      </c>
      <c r="H172" s="224" t="str" cm="1">
        <f t="array" ref="H172">IFERROR(INDEX(INVESTOR_LIST[INVESTOR NAME],MATCH(I172,INVESTOR_LIST[INVESTOR CODE],0),)," ")</f>
        <v>AROORA SAMEERA CHOWDHURY</v>
      </c>
      <c r="I172" s="154" t="s">
        <v>413</v>
      </c>
      <c r="J172" s="155" t="s">
        <v>13</v>
      </c>
      <c r="K172" s="232"/>
      <c r="L172" s="232">
        <f>K171</f>
        <v>1500000</v>
      </c>
      <c r="M172" s="147">
        <v>0</v>
      </c>
      <c r="Q172" s="133" t="s">
        <v>413</v>
      </c>
    </row>
    <row r="173" spans="1:17" ht="11.25" customHeight="1" x14ac:dyDescent="0.2">
      <c r="A173" s="150">
        <v>2020</v>
      </c>
      <c r="B173" s="150">
        <v>3</v>
      </c>
      <c r="C173" s="150">
        <v>18</v>
      </c>
      <c r="D173" s="141">
        <f t="shared" si="4"/>
        <v>43908</v>
      </c>
      <c r="E173" s="275">
        <f t="shared" si="5"/>
        <v>43908</v>
      </c>
      <c r="F173" s="479" t="s">
        <v>964</v>
      </c>
      <c r="G173" s="223" t="s">
        <v>74</v>
      </c>
      <c r="H173" s="225" t="str" cm="1">
        <f t="array" ref="H173">IFERROR(INDEX(INVESTOR_LIST[INVESTOR NAME],MATCH(I173,INVESTOR_LIST[INVESTOR CODE],0),)," ")</f>
        <v>ABACI INVESTMENTS LIMITED</v>
      </c>
      <c r="I173" s="158" t="s">
        <v>414</v>
      </c>
      <c r="J173" s="152" t="s">
        <v>52</v>
      </c>
      <c r="K173" s="231">
        <v>9300000</v>
      </c>
      <c r="L173" s="231"/>
      <c r="M173" s="147">
        <v>0</v>
      </c>
      <c r="Q173" s="133" t="s">
        <v>414</v>
      </c>
    </row>
    <row r="174" spans="1:17" ht="45" x14ac:dyDescent="0.2">
      <c r="A174" s="153">
        <v>2020</v>
      </c>
      <c r="B174" s="153">
        <v>3</v>
      </c>
      <c r="C174" s="153">
        <v>18</v>
      </c>
      <c r="D174" s="141">
        <f t="shared" si="4"/>
        <v>43908</v>
      </c>
      <c r="E174" s="275">
        <f t="shared" si="5"/>
        <v>43908</v>
      </c>
      <c r="F174" s="480"/>
      <c r="G174" s="224" t="s">
        <v>74</v>
      </c>
      <c r="H174" s="224" t="str" cm="1">
        <f t="array" ref="H174">IFERROR(INDEX(INVESTOR_LIST[INVESTOR NAME],MATCH(I174,INVESTOR_LIST[INVESTOR CODE],0),)," ")</f>
        <v>ABACI INVESTMENTS LIMITED</v>
      </c>
      <c r="I174" s="154" t="s">
        <v>414</v>
      </c>
      <c r="J174" s="155" t="s">
        <v>13</v>
      </c>
      <c r="K174" s="232"/>
      <c r="L174" s="232">
        <f>K173</f>
        <v>9300000</v>
      </c>
      <c r="M174" s="147">
        <v>0</v>
      </c>
      <c r="Q174" s="133" t="s">
        <v>414</v>
      </c>
    </row>
    <row r="175" spans="1:17" ht="11.25" customHeight="1" x14ac:dyDescent="0.2">
      <c r="A175" s="150">
        <v>2020</v>
      </c>
      <c r="B175" s="150">
        <v>3</v>
      </c>
      <c r="C175" s="150">
        <v>18</v>
      </c>
      <c r="D175" s="141">
        <f t="shared" si="4"/>
        <v>43908</v>
      </c>
      <c r="E175" s="275">
        <f t="shared" si="5"/>
        <v>43908</v>
      </c>
      <c r="F175" s="479" t="s">
        <v>964</v>
      </c>
      <c r="G175" s="223" t="s">
        <v>74</v>
      </c>
      <c r="H175" s="225" t="str" cm="1">
        <f t="array" ref="H175">IFERROR(INDEX(INVESTOR_LIST[INVESTOR NAME],MATCH(I175,INVESTOR_LIST[INVESTOR CODE],0),)," ")</f>
        <v>ABACI INVESTMENTS LIMITED</v>
      </c>
      <c r="I175" s="158" t="s">
        <v>414</v>
      </c>
      <c r="J175" s="152" t="s">
        <v>52</v>
      </c>
      <c r="K175" s="231">
        <v>700000</v>
      </c>
      <c r="L175" s="231"/>
      <c r="M175" s="147">
        <v>0</v>
      </c>
      <c r="Q175" s="133" t="s">
        <v>414</v>
      </c>
    </row>
    <row r="176" spans="1:17" ht="45" x14ac:dyDescent="0.2">
      <c r="A176" s="153">
        <v>2020</v>
      </c>
      <c r="B176" s="153">
        <v>3</v>
      </c>
      <c r="C176" s="153">
        <v>18</v>
      </c>
      <c r="D176" s="141">
        <f t="shared" si="4"/>
        <v>43908</v>
      </c>
      <c r="E176" s="275">
        <f t="shared" si="5"/>
        <v>43908</v>
      </c>
      <c r="F176" s="480"/>
      <c r="G176" s="224" t="s">
        <v>74</v>
      </c>
      <c r="H176" s="224" t="str" cm="1">
        <f t="array" ref="H176">IFERROR(INDEX(INVESTOR_LIST[INVESTOR NAME],MATCH(I176,INVESTOR_LIST[INVESTOR CODE],0),)," ")</f>
        <v>ABACI INVESTMENTS LIMITED</v>
      </c>
      <c r="I176" s="154" t="s">
        <v>414</v>
      </c>
      <c r="J176" s="155" t="s">
        <v>13</v>
      </c>
      <c r="K176" s="232"/>
      <c r="L176" s="232">
        <f>K175</f>
        <v>700000</v>
      </c>
      <c r="M176" s="147">
        <v>0</v>
      </c>
      <c r="Q176" s="133" t="s">
        <v>414</v>
      </c>
    </row>
    <row r="177" spans="1:17" ht="11.25" customHeight="1" x14ac:dyDescent="0.2">
      <c r="A177" s="150">
        <v>2020</v>
      </c>
      <c r="B177" s="150">
        <v>3</v>
      </c>
      <c r="C177" s="150">
        <v>18</v>
      </c>
      <c r="D177" s="141">
        <f t="shared" si="4"/>
        <v>43908</v>
      </c>
      <c r="E177" s="275">
        <f t="shared" si="5"/>
        <v>43908</v>
      </c>
      <c r="F177" s="479" t="s">
        <v>964</v>
      </c>
      <c r="G177" s="223" t="s">
        <v>74</v>
      </c>
      <c r="H177" s="225" t="str" cm="1">
        <f t="array" ref="H177">IFERROR(INDEX(INVESTOR_LIST[INVESTOR NAME],MATCH(I177,INVESTOR_LIST[INVESTOR CODE],0),)," ")</f>
        <v>NATIONAL BANK LTD</v>
      </c>
      <c r="I177" s="158" t="s">
        <v>415</v>
      </c>
      <c r="J177" s="152" t="s">
        <v>52</v>
      </c>
      <c r="K177" s="231">
        <v>1000000</v>
      </c>
      <c r="L177" s="231"/>
      <c r="M177" s="147">
        <v>0</v>
      </c>
      <c r="Q177" s="133" t="s">
        <v>415</v>
      </c>
    </row>
    <row r="178" spans="1:17" ht="45" x14ac:dyDescent="0.2">
      <c r="A178" s="153">
        <v>2020</v>
      </c>
      <c r="B178" s="153">
        <v>3</v>
      </c>
      <c r="C178" s="153">
        <v>18</v>
      </c>
      <c r="D178" s="141">
        <f t="shared" si="4"/>
        <v>43908</v>
      </c>
      <c r="E178" s="275">
        <f t="shared" si="5"/>
        <v>43908</v>
      </c>
      <c r="F178" s="480"/>
      <c r="G178" s="224" t="s">
        <v>74</v>
      </c>
      <c r="H178" s="224" t="str" cm="1">
        <f t="array" ref="H178">IFERROR(INDEX(INVESTOR_LIST[INVESTOR NAME],MATCH(I178,INVESTOR_LIST[INVESTOR CODE],0),)," ")</f>
        <v>NATIONAL BANK LTD</v>
      </c>
      <c r="I178" s="154" t="s">
        <v>415</v>
      </c>
      <c r="J178" s="155" t="s">
        <v>13</v>
      </c>
      <c r="K178" s="232"/>
      <c r="L178" s="232">
        <f>K177</f>
        <v>1000000</v>
      </c>
      <c r="M178" s="147">
        <v>0</v>
      </c>
      <c r="Q178" s="133" t="s">
        <v>415</v>
      </c>
    </row>
    <row r="179" spans="1:17" x14ac:dyDescent="0.2">
      <c r="A179" s="141">
        <v>2020</v>
      </c>
      <c r="B179" s="141">
        <v>3</v>
      </c>
      <c r="C179" s="141">
        <v>18</v>
      </c>
      <c r="D179" s="141">
        <f t="shared" si="4"/>
        <v>43908</v>
      </c>
      <c r="E179" s="275">
        <f t="shared" si="5"/>
        <v>43908</v>
      </c>
      <c r="F179" s="479" t="s">
        <v>77</v>
      </c>
      <c r="G179" s="220" t="s">
        <v>74</v>
      </c>
      <c r="H179" s="174" t="str" cm="1">
        <f t="array" ref="H179">IFERROR(INDEX(INVESTOR_LIST[INVESTOR NAME],MATCH(I179,INVESTOR_LIST[INVESTOR CODE],0),)," ")</f>
        <v xml:space="preserve"> </v>
      </c>
      <c r="I179" s="148" t="s">
        <v>348</v>
      </c>
      <c r="J179" s="143" t="s">
        <v>61</v>
      </c>
      <c r="K179" s="226">
        <v>60</v>
      </c>
      <c r="L179" s="226"/>
      <c r="M179" s="147">
        <v>0</v>
      </c>
      <c r="Q179" s="133" t="s">
        <v>348</v>
      </c>
    </row>
    <row r="180" spans="1:17" x14ac:dyDescent="0.2">
      <c r="A180" s="144">
        <v>2020</v>
      </c>
      <c r="B180" s="144">
        <v>3</v>
      </c>
      <c r="C180" s="144">
        <v>18</v>
      </c>
      <c r="D180" s="141">
        <f t="shared" si="4"/>
        <v>43908</v>
      </c>
      <c r="E180" s="275">
        <f t="shared" si="5"/>
        <v>43908</v>
      </c>
      <c r="F180" s="480"/>
      <c r="G180" s="221" t="s">
        <v>74</v>
      </c>
      <c r="H180" s="221" t="str" cm="1">
        <f t="array" ref="H180">IFERROR(INDEX(INVESTOR_LIST[INVESTOR NAME],MATCH(I180,INVESTOR_LIST[INVESTOR CODE],0),)," ")</f>
        <v xml:space="preserve"> </v>
      </c>
      <c r="I180" s="145" t="s">
        <v>348</v>
      </c>
      <c r="J180" s="146" t="s">
        <v>52</v>
      </c>
      <c r="K180" s="219"/>
      <c r="L180" s="219">
        <v>60</v>
      </c>
      <c r="M180" s="147">
        <v>0</v>
      </c>
      <c r="Q180" s="133" t="s">
        <v>348</v>
      </c>
    </row>
    <row r="181" spans="1:17" x14ac:dyDescent="0.2">
      <c r="A181" s="141">
        <v>2020</v>
      </c>
      <c r="B181" s="141">
        <v>3</v>
      </c>
      <c r="C181" s="141">
        <v>18</v>
      </c>
      <c r="D181" s="141">
        <f t="shared" si="4"/>
        <v>43908</v>
      </c>
      <c r="E181" s="275">
        <f t="shared" si="5"/>
        <v>43908</v>
      </c>
      <c r="F181" s="479" t="s">
        <v>77</v>
      </c>
      <c r="G181" s="220" t="s">
        <v>74</v>
      </c>
      <c r="H181" s="174" t="str" cm="1">
        <f t="array" ref="H181">IFERROR(INDEX(INVESTOR_LIST[INVESTOR NAME],MATCH(I181,INVESTOR_LIST[INVESTOR CODE],0),)," ")</f>
        <v xml:space="preserve"> </v>
      </c>
      <c r="I181" s="148" t="s">
        <v>348</v>
      </c>
      <c r="J181" s="143" t="s">
        <v>61</v>
      </c>
      <c r="K181" s="226">
        <v>60</v>
      </c>
      <c r="L181" s="226"/>
      <c r="M181" s="147">
        <v>0</v>
      </c>
      <c r="Q181" s="133" t="s">
        <v>348</v>
      </c>
    </row>
    <row r="182" spans="1:17" x14ac:dyDescent="0.2">
      <c r="A182" s="144">
        <v>2020</v>
      </c>
      <c r="B182" s="144">
        <v>3</v>
      </c>
      <c r="C182" s="144">
        <v>18</v>
      </c>
      <c r="D182" s="141">
        <f t="shared" si="4"/>
        <v>43908</v>
      </c>
      <c r="E182" s="275">
        <f t="shared" si="5"/>
        <v>43908</v>
      </c>
      <c r="F182" s="480"/>
      <c r="G182" s="221" t="s">
        <v>74</v>
      </c>
      <c r="H182" s="221" t="str" cm="1">
        <f t="array" ref="H182">IFERROR(INDEX(INVESTOR_LIST[INVESTOR NAME],MATCH(I182,INVESTOR_LIST[INVESTOR CODE],0),)," ")</f>
        <v xml:space="preserve"> </v>
      </c>
      <c r="I182" s="145" t="s">
        <v>348</v>
      </c>
      <c r="J182" s="146" t="s">
        <v>52</v>
      </c>
      <c r="K182" s="219"/>
      <c r="L182" s="219">
        <v>60</v>
      </c>
      <c r="M182" s="147">
        <v>0</v>
      </c>
      <c r="Q182" s="133" t="s">
        <v>348</v>
      </c>
    </row>
    <row r="183" spans="1:17" x14ac:dyDescent="0.2">
      <c r="A183" s="141">
        <v>2020</v>
      </c>
      <c r="B183" s="141">
        <v>3</v>
      </c>
      <c r="C183" s="141">
        <v>18</v>
      </c>
      <c r="D183" s="141">
        <f t="shared" si="4"/>
        <v>43908</v>
      </c>
      <c r="E183" s="275">
        <f t="shared" si="5"/>
        <v>43908</v>
      </c>
      <c r="F183" s="479" t="s">
        <v>77</v>
      </c>
      <c r="G183" s="220" t="s">
        <v>74</v>
      </c>
      <c r="H183" s="174" t="str" cm="1">
        <f t="array" ref="H183">IFERROR(INDEX(INVESTOR_LIST[INVESTOR NAME],MATCH(I183,INVESTOR_LIST[INVESTOR CODE],0),)," ")</f>
        <v xml:space="preserve"> </v>
      </c>
      <c r="I183" s="148" t="s">
        <v>348</v>
      </c>
      <c r="J183" s="143" t="s">
        <v>61</v>
      </c>
      <c r="K183" s="226">
        <v>10</v>
      </c>
      <c r="L183" s="226"/>
      <c r="M183" s="147">
        <v>0</v>
      </c>
      <c r="Q183" s="133" t="s">
        <v>348</v>
      </c>
    </row>
    <row r="184" spans="1:17" x14ac:dyDescent="0.2">
      <c r="A184" s="144">
        <v>2020</v>
      </c>
      <c r="B184" s="144">
        <v>3</v>
      </c>
      <c r="C184" s="144">
        <v>18</v>
      </c>
      <c r="D184" s="141">
        <f t="shared" si="4"/>
        <v>43908</v>
      </c>
      <c r="E184" s="275">
        <f t="shared" si="5"/>
        <v>43908</v>
      </c>
      <c r="F184" s="480"/>
      <c r="G184" s="221" t="s">
        <v>74</v>
      </c>
      <c r="H184" s="221" t="str" cm="1">
        <f t="array" ref="H184">IFERROR(INDEX(INVESTOR_LIST[INVESTOR NAME],MATCH(I184,INVESTOR_LIST[INVESTOR CODE],0),)," ")</f>
        <v xml:space="preserve"> </v>
      </c>
      <c r="I184" s="145" t="s">
        <v>348</v>
      </c>
      <c r="J184" s="146" t="s">
        <v>52</v>
      </c>
      <c r="K184" s="219"/>
      <c r="L184" s="219">
        <v>10</v>
      </c>
      <c r="M184" s="147">
        <v>0</v>
      </c>
      <c r="Q184" s="133" t="s">
        <v>348</v>
      </c>
    </row>
    <row r="185" spans="1:17" ht="15" customHeight="1" x14ac:dyDescent="0.2">
      <c r="A185" s="141">
        <v>2020</v>
      </c>
      <c r="B185" s="141">
        <v>3</v>
      </c>
      <c r="C185" s="141">
        <v>18</v>
      </c>
      <c r="D185" s="141">
        <f t="shared" si="4"/>
        <v>43908</v>
      </c>
      <c r="E185" s="275">
        <f t="shared" si="5"/>
        <v>43908</v>
      </c>
      <c r="F185" s="479" t="s">
        <v>77</v>
      </c>
      <c r="G185" s="220" t="s">
        <v>74</v>
      </c>
      <c r="H185" s="174" t="str" cm="1">
        <f t="array" ref="H185">IFERROR(INDEX(INVESTOR_LIST[INVESTOR NAME],MATCH(I185,INVESTOR_LIST[INVESTOR CODE],0),)," ")</f>
        <v xml:space="preserve"> </v>
      </c>
      <c r="I185" s="148" t="s">
        <v>348</v>
      </c>
      <c r="J185" s="143" t="s">
        <v>61</v>
      </c>
      <c r="K185" s="226">
        <v>230</v>
      </c>
      <c r="L185" s="226"/>
      <c r="M185" s="147">
        <v>0</v>
      </c>
      <c r="N185" s="133">
        <v>4507.6000000000004</v>
      </c>
      <c r="O185" s="133">
        <f>N185+M185</f>
        <v>4507.6000000000004</v>
      </c>
      <c r="Q185" s="133" t="s">
        <v>348</v>
      </c>
    </row>
    <row r="186" spans="1:17" x14ac:dyDescent="0.2">
      <c r="A186" s="144">
        <v>2020</v>
      </c>
      <c r="B186" s="144">
        <v>3</v>
      </c>
      <c r="C186" s="144">
        <v>18</v>
      </c>
      <c r="D186" s="141">
        <f t="shared" si="4"/>
        <v>43908</v>
      </c>
      <c r="E186" s="275">
        <f t="shared" si="5"/>
        <v>43908</v>
      </c>
      <c r="F186" s="480"/>
      <c r="G186" s="221" t="s">
        <v>74</v>
      </c>
      <c r="H186" s="221" t="str" cm="1">
        <f t="array" ref="H186">IFERROR(INDEX(INVESTOR_LIST[INVESTOR NAME],MATCH(I186,INVESTOR_LIST[INVESTOR CODE],0),)," ")</f>
        <v xml:space="preserve"> </v>
      </c>
      <c r="I186" s="145" t="s">
        <v>348</v>
      </c>
      <c r="J186" s="146" t="s">
        <v>52</v>
      </c>
      <c r="K186" s="219"/>
      <c r="L186" s="219">
        <v>230</v>
      </c>
      <c r="M186" s="147">
        <v>3</v>
      </c>
      <c r="Q186" s="133" t="s">
        <v>348</v>
      </c>
    </row>
    <row r="187" spans="1:17" x14ac:dyDescent="0.2">
      <c r="A187" s="141">
        <v>2020</v>
      </c>
      <c r="B187" s="141">
        <v>3</v>
      </c>
      <c r="C187" s="141">
        <v>18</v>
      </c>
      <c r="D187" s="141">
        <f t="shared" si="4"/>
        <v>43908</v>
      </c>
      <c r="E187" s="275">
        <f t="shared" si="5"/>
        <v>43908</v>
      </c>
      <c r="F187" s="479" t="s">
        <v>77</v>
      </c>
      <c r="G187" s="220" t="s">
        <v>74</v>
      </c>
      <c r="H187" s="174" t="str" cm="1">
        <f t="array" ref="H187">IFERROR(INDEX(INVESTOR_LIST[INVESTOR NAME],MATCH(I187,INVESTOR_LIST[INVESTOR CODE],0),)," ")</f>
        <v xml:space="preserve"> </v>
      </c>
      <c r="I187" s="148" t="s">
        <v>348</v>
      </c>
      <c r="J187" s="143" t="s">
        <v>61</v>
      </c>
      <c r="K187" s="226">
        <v>10</v>
      </c>
      <c r="L187" s="226"/>
      <c r="M187" s="147">
        <v>0</v>
      </c>
      <c r="Q187" s="133" t="s">
        <v>348</v>
      </c>
    </row>
    <row r="188" spans="1:17" x14ac:dyDescent="0.2">
      <c r="A188" s="144">
        <v>2020</v>
      </c>
      <c r="B188" s="144">
        <v>3</v>
      </c>
      <c r="C188" s="144">
        <v>18</v>
      </c>
      <c r="D188" s="141">
        <f t="shared" si="4"/>
        <v>43908</v>
      </c>
      <c r="E188" s="275">
        <f t="shared" si="5"/>
        <v>43908</v>
      </c>
      <c r="F188" s="480"/>
      <c r="G188" s="221" t="s">
        <v>74</v>
      </c>
      <c r="H188" s="221" t="str" cm="1">
        <f t="array" ref="H188">IFERROR(INDEX(INVESTOR_LIST[INVESTOR NAME],MATCH(I188,INVESTOR_LIST[INVESTOR CODE],0),)," ")</f>
        <v xml:space="preserve"> </v>
      </c>
      <c r="I188" s="145" t="s">
        <v>348</v>
      </c>
      <c r="J188" s="146" t="s">
        <v>52</v>
      </c>
      <c r="K188" s="219"/>
      <c r="L188" s="219">
        <v>10</v>
      </c>
      <c r="M188" s="147">
        <v>0</v>
      </c>
      <c r="Q188" s="133" t="s">
        <v>348</v>
      </c>
    </row>
    <row r="189" spans="1:17" x14ac:dyDescent="0.2">
      <c r="A189" s="141">
        <v>2020</v>
      </c>
      <c r="B189" s="141">
        <v>3</v>
      </c>
      <c r="C189" s="141">
        <v>18</v>
      </c>
      <c r="D189" s="141">
        <f t="shared" si="4"/>
        <v>43908</v>
      </c>
      <c r="E189" s="275">
        <f t="shared" si="5"/>
        <v>43908</v>
      </c>
      <c r="F189" s="479" t="s">
        <v>77</v>
      </c>
      <c r="G189" s="220" t="s">
        <v>74</v>
      </c>
      <c r="H189" s="174" t="str" cm="1">
        <f t="array" ref="H189">IFERROR(INDEX(INVESTOR_LIST[INVESTOR NAME],MATCH(I189,INVESTOR_LIST[INVESTOR CODE],0),)," ")</f>
        <v xml:space="preserve"> </v>
      </c>
      <c r="I189" s="148" t="s">
        <v>348</v>
      </c>
      <c r="J189" s="143" t="s">
        <v>61</v>
      </c>
      <c r="K189" s="226">
        <v>25</v>
      </c>
      <c r="L189" s="226"/>
      <c r="M189" s="147">
        <v>1</v>
      </c>
      <c r="Q189" s="133" t="s">
        <v>348</v>
      </c>
    </row>
    <row r="190" spans="1:17" x14ac:dyDescent="0.2">
      <c r="A190" s="144">
        <v>2020</v>
      </c>
      <c r="B190" s="144">
        <v>3</v>
      </c>
      <c r="C190" s="144">
        <v>18</v>
      </c>
      <c r="D190" s="141">
        <f t="shared" si="4"/>
        <v>43908</v>
      </c>
      <c r="E190" s="275">
        <f t="shared" si="5"/>
        <v>43908</v>
      </c>
      <c r="F190" s="480"/>
      <c r="G190" s="221" t="s">
        <v>74</v>
      </c>
      <c r="H190" s="221" t="str" cm="1">
        <f t="array" ref="H190">IFERROR(INDEX(INVESTOR_LIST[INVESTOR NAME],MATCH(I190,INVESTOR_LIST[INVESTOR CODE],0),)," ")</f>
        <v xml:space="preserve"> </v>
      </c>
      <c r="I190" s="145" t="s">
        <v>348</v>
      </c>
      <c r="J190" s="146" t="s">
        <v>52</v>
      </c>
      <c r="K190" s="219"/>
      <c r="L190" s="219">
        <v>25</v>
      </c>
      <c r="M190" s="147">
        <v>0</v>
      </c>
      <c r="Q190" s="133" t="s">
        <v>348</v>
      </c>
    </row>
    <row r="191" spans="1:17" x14ac:dyDescent="0.2">
      <c r="A191" s="141">
        <v>2020</v>
      </c>
      <c r="B191" s="141">
        <v>3</v>
      </c>
      <c r="C191" s="141">
        <v>18</v>
      </c>
      <c r="D191" s="141">
        <f t="shared" si="4"/>
        <v>43908</v>
      </c>
      <c r="E191" s="275">
        <f t="shared" si="5"/>
        <v>43908</v>
      </c>
      <c r="F191" s="479" t="s">
        <v>77</v>
      </c>
      <c r="G191" s="220" t="s">
        <v>74</v>
      </c>
      <c r="H191" s="174" t="str" cm="1">
        <f t="array" ref="H191">IFERROR(INDEX(INVESTOR_LIST[INVESTOR NAME],MATCH(I191,INVESTOR_LIST[INVESTOR CODE],0),)," ")</f>
        <v xml:space="preserve"> </v>
      </c>
      <c r="I191" s="148" t="s">
        <v>348</v>
      </c>
      <c r="J191" s="143" t="s">
        <v>61</v>
      </c>
      <c r="K191" s="226">
        <v>115</v>
      </c>
      <c r="L191" s="226"/>
      <c r="M191" s="147">
        <v>0</v>
      </c>
      <c r="Q191" s="133" t="s">
        <v>348</v>
      </c>
    </row>
    <row r="192" spans="1:17" x14ac:dyDescent="0.2">
      <c r="A192" s="144">
        <v>2020</v>
      </c>
      <c r="B192" s="144">
        <v>3</v>
      </c>
      <c r="C192" s="144">
        <v>18</v>
      </c>
      <c r="D192" s="141">
        <f t="shared" si="4"/>
        <v>43908</v>
      </c>
      <c r="E192" s="275">
        <f t="shared" si="5"/>
        <v>43908</v>
      </c>
      <c r="F192" s="480"/>
      <c r="G192" s="221" t="s">
        <v>74</v>
      </c>
      <c r="H192" s="221" t="str" cm="1">
        <f t="array" ref="H192">IFERROR(INDEX(INVESTOR_LIST[INVESTOR NAME],MATCH(I192,INVESTOR_LIST[INVESTOR CODE],0),)," ")</f>
        <v xml:space="preserve"> </v>
      </c>
      <c r="I192" s="145" t="s">
        <v>348</v>
      </c>
      <c r="J192" s="146" t="s">
        <v>52</v>
      </c>
      <c r="K192" s="219"/>
      <c r="L192" s="219">
        <v>115</v>
      </c>
      <c r="M192" s="147">
        <v>0</v>
      </c>
      <c r="Q192" s="133" t="s">
        <v>348</v>
      </c>
    </row>
    <row r="193" spans="1:17" ht="11.25" customHeight="1" x14ac:dyDescent="0.2">
      <c r="A193" s="150">
        <v>2020</v>
      </c>
      <c r="B193" s="150">
        <v>3</v>
      </c>
      <c r="C193" s="150">
        <v>19</v>
      </c>
      <c r="D193" s="141">
        <f t="shared" si="4"/>
        <v>43909</v>
      </c>
      <c r="E193" s="275">
        <f t="shared" si="5"/>
        <v>43909</v>
      </c>
      <c r="F193" s="479" t="s">
        <v>964</v>
      </c>
      <c r="G193" s="223" t="s">
        <v>74</v>
      </c>
      <c r="H193" s="225" t="str" cm="1">
        <f t="array" ref="H193">IFERROR(INDEX(INVESTOR_LIST[INVESTOR NAME],MATCH(I193,INVESTOR_LIST[INVESTOR CODE],0),)," ")</f>
        <v>PHOENIX INSURANCE CO. LTD. EMPL. P.F.</v>
      </c>
      <c r="I193" s="158" t="s">
        <v>417</v>
      </c>
      <c r="J193" s="152" t="s">
        <v>52</v>
      </c>
      <c r="K193" s="231">
        <v>1000000</v>
      </c>
      <c r="L193" s="231"/>
      <c r="M193" s="147">
        <v>0</v>
      </c>
      <c r="Q193" s="133" t="s">
        <v>417</v>
      </c>
    </row>
    <row r="194" spans="1:17" ht="78.75" x14ac:dyDescent="0.2">
      <c r="A194" s="153">
        <v>2020</v>
      </c>
      <c r="B194" s="153">
        <v>3</v>
      </c>
      <c r="C194" s="153">
        <v>19</v>
      </c>
      <c r="D194" s="141">
        <f t="shared" si="4"/>
        <v>43909</v>
      </c>
      <c r="E194" s="275">
        <f t="shared" si="5"/>
        <v>43909</v>
      </c>
      <c r="F194" s="480"/>
      <c r="G194" s="224" t="s">
        <v>74</v>
      </c>
      <c r="H194" s="224" t="str" cm="1">
        <f t="array" ref="H194">IFERROR(INDEX(INVESTOR_LIST[INVESTOR NAME],MATCH(I194,INVESTOR_LIST[INVESTOR CODE],0),)," ")</f>
        <v>PHOENIX INSURANCE CO. LTD. EMPL. P.F.</v>
      </c>
      <c r="I194" s="154" t="s">
        <v>417</v>
      </c>
      <c r="J194" s="155" t="s">
        <v>13</v>
      </c>
      <c r="K194" s="232"/>
      <c r="L194" s="232">
        <f>K193</f>
        <v>1000000</v>
      </c>
      <c r="M194" s="147">
        <v>0</v>
      </c>
      <c r="Q194" s="133" t="s">
        <v>417</v>
      </c>
    </row>
    <row r="195" spans="1:17" ht="11.25" customHeight="1" x14ac:dyDescent="0.2">
      <c r="A195" s="150">
        <v>2020</v>
      </c>
      <c r="B195" s="150">
        <v>3</v>
      </c>
      <c r="C195" s="150">
        <v>19</v>
      </c>
      <c r="D195" s="141">
        <f t="shared" si="4"/>
        <v>43909</v>
      </c>
      <c r="E195" s="275">
        <f t="shared" si="5"/>
        <v>43909</v>
      </c>
      <c r="F195" s="479" t="s">
        <v>964</v>
      </c>
      <c r="G195" s="223" t="s">
        <v>74</v>
      </c>
      <c r="H195" s="225" t="str" cm="1">
        <f t="array" ref="H195">IFERROR(INDEX(INVESTOR_LIST[INVESTOR NAME],MATCH(I195,INVESTOR_LIST[INVESTOR CODE],0),)," ")</f>
        <v>CAPITEC POPULAR LIFE UNIT FUND</v>
      </c>
      <c r="I195" s="158" t="s">
        <v>418</v>
      </c>
      <c r="J195" s="152" t="s">
        <v>52</v>
      </c>
      <c r="K195" s="231">
        <v>2500000</v>
      </c>
      <c r="L195" s="231"/>
      <c r="M195" s="147">
        <v>0</v>
      </c>
      <c r="Q195" s="133" t="s">
        <v>418</v>
      </c>
    </row>
    <row r="196" spans="1:17" ht="67.5" x14ac:dyDescent="0.2">
      <c r="A196" s="153">
        <v>2020</v>
      </c>
      <c r="B196" s="153">
        <v>3</v>
      </c>
      <c r="C196" s="153">
        <v>19</v>
      </c>
      <c r="D196" s="141">
        <f t="shared" si="4"/>
        <v>43909</v>
      </c>
      <c r="E196" s="275">
        <f t="shared" si="5"/>
        <v>43909</v>
      </c>
      <c r="F196" s="480"/>
      <c r="G196" s="224" t="s">
        <v>74</v>
      </c>
      <c r="H196" s="224" t="str" cm="1">
        <f t="array" ref="H196">IFERROR(INDEX(INVESTOR_LIST[INVESTOR NAME],MATCH(I196,INVESTOR_LIST[INVESTOR CODE],0),)," ")</f>
        <v>CAPITEC POPULAR LIFE UNIT FUND</v>
      </c>
      <c r="I196" s="154" t="s">
        <v>418</v>
      </c>
      <c r="J196" s="155" t="s">
        <v>13</v>
      </c>
      <c r="K196" s="232"/>
      <c r="L196" s="232">
        <f>K195</f>
        <v>2500000</v>
      </c>
      <c r="M196" s="147">
        <v>0</v>
      </c>
      <c r="Q196" s="133" t="s">
        <v>418</v>
      </c>
    </row>
    <row r="197" spans="1:17" ht="11.25" customHeight="1" x14ac:dyDescent="0.2">
      <c r="A197" s="150">
        <v>2020</v>
      </c>
      <c r="B197" s="150">
        <v>3</v>
      </c>
      <c r="C197" s="150">
        <v>19</v>
      </c>
      <c r="D197" s="141">
        <f t="shared" si="4"/>
        <v>43909</v>
      </c>
      <c r="E197" s="275">
        <f t="shared" si="5"/>
        <v>43909</v>
      </c>
      <c r="F197" s="479" t="s">
        <v>964</v>
      </c>
      <c r="G197" s="223" t="s">
        <v>74</v>
      </c>
      <c r="H197" s="225" t="str" cm="1">
        <f t="array" ref="H197">IFERROR(INDEX(INVESTOR_LIST[INVESTOR NAME],MATCH(I197,INVESTOR_LIST[INVESTOR CODE],0),)," ")</f>
        <v>SATCOM IT LTD. PROVIDENT FUND</v>
      </c>
      <c r="I197" s="158" t="s">
        <v>419</v>
      </c>
      <c r="J197" s="152" t="s">
        <v>52</v>
      </c>
      <c r="K197" s="231">
        <v>500000</v>
      </c>
      <c r="L197" s="231"/>
      <c r="M197" s="147">
        <v>0</v>
      </c>
      <c r="Q197" s="133" t="s">
        <v>419</v>
      </c>
    </row>
    <row r="198" spans="1:17" ht="67.5" x14ac:dyDescent="0.2">
      <c r="A198" s="153">
        <v>2020</v>
      </c>
      <c r="B198" s="153">
        <v>3</v>
      </c>
      <c r="C198" s="153">
        <v>19</v>
      </c>
      <c r="D198" s="141">
        <f t="shared" si="4"/>
        <v>43909</v>
      </c>
      <c r="E198" s="275">
        <f t="shared" si="5"/>
        <v>43909</v>
      </c>
      <c r="F198" s="480"/>
      <c r="G198" s="224" t="s">
        <v>74</v>
      </c>
      <c r="H198" s="224" t="str" cm="1">
        <f t="array" ref="H198">IFERROR(INDEX(INVESTOR_LIST[INVESTOR NAME],MATCH(I198,INVESTOR_LIST[INVESTOR CODE],0),)," ")</f>
        <v>SATCOM IT LTD. PROVIDENT FUND</v>
      </c>
      <c r="I198" s="154" t="s">
        <v>419</v>
      </c>
      <c r="J198" s="155" t="s">
        <v>13</v>
      </c>
      <c r="K198" s="232"/>
      <c r="L198" s="232">
        <f>K197</f>
        <v>500000</v>
      </c>
      <c r="M198" s="147">
        <v>0</v>
      </c>
      <c r="Q198" s="133" t="s">
        <v>419</v>
      </c>
    </row>
    <row r="199" spans="1:17" ht="11.25" customHeight="1" x14ac:dyDescent="0.2">
      <c r="A199" s="150">
        <v>2020</v>
      </c>
      <c r="B199" s="150">
        <v>3</v>
      </c>
      <c r="C199" s="150">
        <v>19</v>
      </c>
      <c r="D199" s="141">
        <f t="shared" si="4"/>
        <v>43909</v>
      </c>
      <c r="E199" s="275">
        <f t="shared" si="5"/>
        <v>43909</v>
      </c>
      <c r="F199" s="479" t="s">
        <v>964</v>
      </c>
      <c r="G199" s="223" t="s">
        <v>74</v>
      </c>
      <c r="H199" s="225" t="str" cm="1">
        <f t="array" ref="H199">IFERROR(INDEX(INVESTOR_LIST[INVESTOR NAME],MATCH(I199,INVESTOR_LIST[INVESTOR CODE],0),)," ")</f>
        <v>FARDINA HAFIZ</v>
      </c>
      <c r="I199" s="158" t="s">
        <v>420</v>
      </c>
      <c r="J199" s="152" t="s">
        <v>52</v>
      </c>
      <c r="K199" s="231">
        <v>200000</v>
      </c>
      <c r="L199" s="231"/>
      <c r="M199" s="147">
        <v>0</v>
      </c>
      <c r="Q199" s="133" t="s">
        <v>420</v>
      </c>
    </row>
    <row r="200" spans="1:17" ht="22.5" x14ac:dyDescent="0.2">
      <c r="A200" s="153">
        <v>2020</v>
      </c>
      <c r="B200" s="153">
        <v>3</v>
      </c>
      <c r="C200" s="153">
        <v>19</v>
      </c>
      <c r="D200" s="141">
        <f t="shared" si="4"/>
        <v>43909</v>
      </c>
      <c r="E200" s="275">
        <f t="shared" si="5"/>
        <v>43909</v>
      </c>
      <c r="F200" s="480"/>
      <c r="G200" s="224" t="s">
        <v>74</v>
      </c>
      <c r="H200" s="224" t="str" cm="1">
        <f t="array" ref="H200">IFERROR(INDEX(INVESTOR_LIST[INVESTOR NAME],MATCH(I200,INVESTOR_LIST[INVESTOR CODE],0),)," ")</f>
        <v>FARDINA HAFIZ</v>
      </c>
      <c r="I200" s="154" t="s">
        <v>420</v>
      </c>
      <c r="J200" s="155" t="s">
        <v>13</v>
      </c>
      <c r="K200" s="232"/>
      <c r="L200" s="232">
        <f>K199</f>
        <v>200000</v>
      </c>
      <c r="M200" s="147">
        <v>0</v>
      </c>
      <c r="Q200" s="133" t="s">
        <v>420</v>
      </c>
    </row>
    <row r="201" spans="1:17" ht="11.25" customHeight="1" x14ac:dyDescent="0.2">
      <c r="A201" s="150">
        <v>2020</v>
      </c>
      <c r="B201" s="150">
        <v>3</v>
      </c>
      <c r="C201" s="150">
        <v>19</v>
      </c>
      <c r="D201" s="141">
        <f t="shared" ref="D201:D266" si="6">DATE(A201,B201,C201)</f>
        <v>43909</v>
      </c>
      <c r="E201" s="275">
        <f t="shared" si="5"/>
        <v>43909</v>
      </c>
      <c r="F201" s="479" t="s">
        <v>964</v>
      </c>
      <c r="G201" s="223" t="s">
        <v>74</v>
      </c>
      <c r="H201" s="225" t="str" cm="1">
        <f t="array" ref="H201">IFERROR(INDEX(INVESTOR_LIST[INVESTOR NAME],MATCH(I201,INVESTOR_LIST[INVESTOR CODE],0),)," ")</f>
        <v>MD. SAJEDUL HUDA NOVEL</v>
      </c>
      <c r="I201" s="158" t="s">
        <v>416</v>
      </c>
      <c r="J201" s="152" t="s">
        <v>52</v>
      </c>
      <c r="K201" s="231">
        <v>10000</v>
      </c>
      <c r="L201" s="231"/>
      <c r="M201" s="147">
        <v>0</v>
      </c>
      <c r="Q201" s="133" t="s">
        <v>416</v>
      </c>
    </row>
    <row r="202" spans="1:17" ht="45" x14ac:dyDescent="0.2">
      <c r="A202" s="153">
        <v>2020</v>
      </c>
      <c r="B202" s="153">
        <v>3</v>
      </c>
      <c r="C202" s="153">
        <v>19</v>
      </c>
      <c r="D202" s="141">
        <f t="shared" si="6"/>
        <v>43909</v>
      </c>
      <c r="E202" s="275">
        <f t="shared" ref="E202:E267" si="7">DATE(A202,B202,C202)</f>
        <v>43909</v>
      </c>
      <c r="F202" s="480"/>
      <c r="G202" s="224" t="s">
        <v>74</v>
      </c>
      <c r="H202" s="224" t="str" cm="1">
        <f t="array" ref="H202">IFERROR(INDEX(INVESTOR_LIST[INVESTOR NAME],MATCH(I202,INVESTOR_LIST[INVESTOR CODE],0),)," ")</f>
        <v>MD. SAJEDUL HUDA NOVEL</v>
      </c>
      <c r="I202" s="154" t="s">
        <v>416</v>
      </c>
      <c r="J202" s="155" t="s">
        <v>13</v>
      </c>
      <c r="K202" s="232"/>
      <c r="L202" s="232">
        <f>K201</f>
        <v>10000</v>
      </c>
      <c r="M202" s="147">
        <v>0</v>
      </c>
      <c r="Q202" s="133" t="s">
        <v>416</v>
      </c>
    </row>
    <row r="203" spans="1:17" x14ac:dyDescent="0.2">
      <c r="A203" s="141">
        <v>2020</v>
      </c>
      <c r="B203" s="141">
        <v>3</v>
      </c>
      <c r="C203" s="141">
        <v>19</v>
      </c>
      <c r="D203" s="141">
        <f t="shared" si="6"/>
        <v>43909</v>
      </c>
      <c r="E203" s="275">
        <f t="shared" si="7"/>
        <v>43909</v>
      </c>
      <c r="F203" s="479" t="s">
        <v>77</v>
      </c>
      <c r="G203" s="220" t="s">
        <v>74</v>
      </c>
      <c r="H203" s="174" t="str" cm="1">
        <f t="array" ref="H203">IFERROR(INDEX(INVESTOR_LIST[INVESTOR NAME],MATCH(I203,INVESTOR_LIST[INVESTOR CODE],0),)," ")</f>
        <v xml:space="preserve"> </v>
      </c>
      <c r="I203" s="148" t="s">
        <v>348</v>
      </c>
      <c r="J203" s="143" t="s">
        <v>61</v>
      </c>
      <c r="K203" s="226">
        <v>60</v>
      </c>
      <c r="L203" s="226"/>
      <c r="M203" s="147">
        <v>0</v>
      </c>
      <c r="Q203" s="133" t="s">
        <v>348</v>
      </c>
    </row>
    <row r="204" spans="1:17" x14ac:dyDescent="0.2">
      <c r="A204" s="144">
        <v>2020</v>
      </c>
      <c r="B204" s="144">
        <v>3</v>
      </c>
      <c r="C204" s="144">
        <v>19</v>
      </c>
      <c r="D204" s="141">
        <f t="shared" si="6"/>
        <v>43909</v>
      </c>
      <c r="E204" s="275">
        <f t="shared" si="7"/>
        <v>43909</v>
      </c>
      <c r="F204" s="480"/>
      <c r="G204" s="221" t="s">
        <v>74</v>
      </c>
      <c r="H204" s="221" t="str" cm="1">
        <f t="array" ref="H204">IFERROR(INDEX(INVESTOR_LIST[INVESTOR NAME],MATCH(I204,INVESTOR_LIST[INVESTOR CODE],0),)," ")</f>
        <v xml:space="preserve"> </v>
      </c>
      <c r="I204" s="145" t="s">
        <v>348</v>
      </c>
      <c r="J204" s="146" t="s">
        <v>52</v>
      </c>
      <c r="K204" s="219"/>
      <c r="L204" s="219">
        <v>60</v>
      </c>
      <c r="M204" s="147">
        <v>0</v>
      </c>
      <c r="Q204" s="133" t="s">
        <v>348</v>
      </c>
    </row>
    <row r="205" spans="1:17" x14ac:dyDescent="0.2">
      <c r="A205" s="141">
        <v>2020</v>
      </c>
      <c r="B205" s="141">
        <v>3</v>
      </c>
      <c r="C205" s="141">
        <v>19</v>
      </c>
      <c r="D205" s="141">
        <f t="shared" si="6"/>
        <v>43909</v>
      </c>
      <c r="E205" s="275">
        <f t="shared" si="7"/>
        <v>43909</v>
      </c>
      <c r="F205" s="479" t="s">
        <v>77</v>
      </c>
      <c r="G205" s="220" t="s">
        <v>74</v>
      </c>
      <c r="H205" s="174" t="str" cm="1">
        <f t="array" ref="H205">IFERROR(INDEX(INVESTOR_LIST[INVESTOR NAME],MATCH(I205,INVESTOR_LIST[INVESTOR CODE],0),)," ")</f>
        <v xml:space="preserve"> </v>
      </c>
      <c r="I205" s="148" t="s">
        <v>348</v>
      </c>
      <c r="J205" s="143" t="s">
        <v>61</v>
      </c>
      <c r="K205" s="226">
        <v>60</v>
      </c>
      <c r="L205" s="226"/>
      <c r="M205" s="147">
        <v>1</v>
      </c>
      <c r="Q205" s="133" t="s">
        <v>348</v>
      </c>
    </row>
    <row r="206" spans="1:17" x14ac:dyDescent="0.2">
      <c r="A206" s="144">
        <v>2020</v>
      </c>
      <c r="B206" s="144">
        <v>3</v>
      </c>
      <c r="C206" s="144">
        <v>19</v>
      </c>
      <c r="D206" s="141">
        <f t="shared" si="6"/>
        <v>43909</v>
      </c>
      <c r="E206" s="275">
        <f t="shared" si="7"/>
        <v>43909</v>
      </c>
      <c r="F206" s="480"/>
      <c r="G206" s="221" t="s">
        <v>74</v>
      </c>
      <c r="H206" s="221" t="str" cm="1">
        <f t="array" ref="H206">IFERROR(INDEX(INVESTOR_LIST[INVESTOR NAME],MATCH(I206,INVESTOR_LIST[INVESTOR CODE],0),)," ")</f>
        <v xml:space="preserve"> </v>
      </c>
      <c r="I206" s="145" t="s">
        <v>348</v>
      </c>
      <c r="J206" s="146" t="s">
        <v>52</v>
      </c>
      <c r="K206" s="219"/>
      <c r="L206" s="219">
        <v>60</v>
      </c>
      <c r="M206" s="147">
        <v>0</v>
      </c>
      <c r="Q206" s="133" t="s">
        <v>348</v>
      </c>
    </row>
    <row r="207" spans="1:17" x14ac:dyDescent="0.2">
      <c r="A207" s="141">
        <v>2020</v>
      </c>
      <c r="B207" s="141">
        <v>3</v>
      </c>
      <c r="C207" s="141">
        <v>19</v>
      </c>
      <c r="D207" s="141">
        <f t="shared" si="6"/>
        <v>43909</v>
      </c>
      <c r="E207" s="275">
        <f t="shared" si="7"/>
        <v>43909</v>
      </c>
      <c r="F207" s="479" t="s">
        <v>77</v>
      </c>
      <c r="G207" s="220" t="s">
        <v>74</v>
      </c>
      <c r="H207" s="174" t="str" cm="1">
        <f t="array" ref="H207">IFERROR(INDEX(INVESTOR_LIST[INVESTOR NAME],MATCH(I207,INVESTOR_LIST[INVESTOR CODE],0),)," ")</f>
        <v xml:space="preserve"> </v>
      </c>
      <c r="I207" s="148" t="s">
        <v>348</v>
      </c>
      <c r="J207" s="143" t="s">
        <v>61</v>
      </c>
      <c r="K207" s="226">
        <v>60</v>
      </c>
      <c r="L207" s="226"/>
      <c r="M207" s="147">
        <v>0</v>
      </c>
      <c r="Q207" s="133" t="s">
        <v>348</v>
      </c>
    </row>
    <row r="208" spans="1:17" x14ac:dyDescent="0.2">
      <c r="A208" s="144">
        <v>2020</v>
      </c>
      <c r="B208" s="144">
        <v>3</v>
      </c>
      <c r="C208" s="144">
        <v>19</v>
      </c>
      <c r="D208" s="141">
        <f t="shared" si="6"/>
        <v>43909</v>
      </c>
      <c r="E208" s="275">
        <f t="shared" si="7"/>
        <v>43909</v>
      </c>
      <c r="F208" s="480"/>
      <c r="G208" s="221" t="s">
        <v>74</v>
      </c>
      <c r="H208" s="221" t="str" cm="1">
        <f t="array" ref="H208">IFERROR(INDEX(INVESTOR_LIST[INVESTOR NAME],MATCH(I208,INVESTOR_LIST[INVESTOR CODE],0),)," ")</f>
        <v xml:space="preserve"> </v>
      </c>
      <c r="I208" s="145" t="s">
        <v>348</v>
      </c>
      <c r="J208" s="146" t="s">
        <v>52</v>
      </c>
      <c r="K208" s="219"/>
      <c r="L208" s="219">
        <v>60</v>
      </c>
      <c r="M208" s="147">
        <v>0</v>
      </c>
      <c r="Q208" s="133" t="s">
        <v>348</v>
      </c>
    </row>
    <row r="209" spans="1:17" x14ac:dyDescent="0.2">
      <c r="A209" s="141">
        <v>2020</v>
      </c>
      <c r="B209" s="141">
        <v>3</v>
      </c>
      <c r="C209" s="141">
        <v>19</v>
      </c>
      <c r="D209" s="141">
        <f t="shared" si="6"/>
        <v>43909</v>
      </c>
      <c r="E209" s="275">
        <f t="shared" si="7"/>
        <v>43909</v>
      </c>
      <c r="F209" s="479" t="s">
        <v>77</v>
      </c>
      <c r="G209" s="220" t="s">
        <v>74</v>
      </c>
      <c r="H209" s="174" t="str" cm="1">
        <f t="array" ref="H209">IFERROR(INDEX(INVESTOR_LIST[INVESTOR NAME],MATCH(I209,INVESTOR_LIST[INVESTOR CODE],0),)," ")</f>
        <v xml:space="preserve"> </v>
      </c>
      <c r="I209" s="148" t="s">
        <v>348</v>
      </c>
      <c r="J209" s="143" t="s">
        <v>61</v>
      </c>
      <c r="K209" s="226">
        <v>10</v>
      </c>
      <c r="L209" s="226"/>
      <c r="M209" s="147">
        <v>0</v>
      </c>
      <c r="Q209" s="133" t="s">
        <v>348</v>
      </c>
    </row>
    <row r="210" spans="1:17" x14ac:dyDescent="0.2">
      <c r="A210" s="144">
        <v>2020</v>
      </c>
      <c r="B210" s="144">
        <v>3</v>
      </c>
      <c r="C210" s="144">
        <v>19</v>
      </c>
      <c r="D210" s="141">
        <f t="shared" si="6"/>
        <v>43909</v>
      </c>
      <c r="E210" s="275">
        <f t="shared" si="7"/>
        <v>43909</v>
      </c>
      <c r="F210" s="480"/>
      <c r="G210" s="221" t="s">
        <v>74</v>
      </c>
      <c r="H210" s="221" t="str" cm="1">
        <f t="array" ref="H210">IFERROR(INDEX(INVESTOR_LIST[INVESTOR NAME],MATCH(I210,INVESTOR_LIST[INVESTOR CODE],0),)," ")</f>
        <v xml:space="preserve"> </v>
      </c>
      <c r="I210" s="145" t="s">
        <v>348</v>
      </c>
      <c r="J210" s="146" t="s">
        <v>52</v>
      </c>
      <c r="K210" s="219"/>
      <c r="L210" s="219">
        <v>10</v>
      </c>
      <c r="M210" s="147">
        <v>1</v>
      </c>
      <c r="Q210" s="133" t="s">
        <v>348</v>
      </c>
    </row>
    <row r="211" spans="1:17" ht="11.25" customHeight="1" x14ac:dyDescent="0.2">
      <c r="A211" s="141">
        <v>2020</v>
      </c>
      <c r="B211" s="141">
        <v>3</v>
      </c>
      <c r="C211" s="141">
        <v>24</v>
      </c>
      <c r="D211" s="141">
        <f t="shared" si="6"/>
        <v>43914</v>
      </c>
      <c r="E211" s="275">
        <f t="shared" si="7"/>
        <v>43914</v>
      </c>
      <c r="F211" s="479" t="s">
        <v>965</v>
      </c>
      <c r="G211" s="220" t="s">
        <v>74</v>
      </c>
      <c r="H211" s="174" t="str" cm="1">
        <f t="array" ref="H211">IFERROR(INDEX(INVESTOR_LIST[INVESTOR NAME],MATCH(I211,INVESTOR_LIST[INVESTOR CODE],0),)," ")</f>
        <v>ABACI INVESTMENTS LIMITED</v>
      </c>
      <c r="I211" s="148" t="s">
        <v>414</v>
      </c>
      <c r="J211" s="143" t="s">
        <v>13</v>
      </c>
      <c r="K211" s="226">
        <v>10000000</v>
      </c>
      <c r="L211" s="226"/>
      <c r="M211" s="147">
        <v>0</v>
      </c>
      <c r="N211" s="160"/>
      <c r="Q211" s="133" t="s">
        <v>414</v>
      </c>
    </row>
    <row r="212" spans="1:17" ht="45" x14ac:dyDescent="0.2">
      <c r="A212" s="144">
        <v>2020</v>
      </c>
      <c r="B212" s="144">
        <v>3</v>
      </c>
      <c r="C212" s="144">
        <v>24</v>
      </c>
      <c r="D212" s="141">
        <f t="shared" si="6"/>
        <v>43914</v>
      </c>
      <c r="E212" s="275">
        <f t="shared" si="7"/>
        <v>43914</v>
      </c>
      <c r="F212" s="480"/>
      <c r="G212" s="221" t="s">
        <v>74</v>
      </c>
      <c r="H212" s="221" t="str" cm="1">
        <f t="array" ref="H212">IFERROR(INDEX(INVESTOR_LIST[INVESTOR NAME],MATCH(I212,INVESTOR_LIST[INVESTOR CODE],0),)," ")</f>
        <v>ABACI INVESTMENTS LIMITED</v>
      </c>
      <c r="I212" s="145" t="s">
        <v>414</v>
      </c>
      <c r="J212" s="146" t="s">
        <v>52</v>
      </c>
      <c r="K212" s="219"/>
      <c r="L212" s="219">
        <v>10000000</v>
      </c>
      <c r="M212" s="147">
        <v>0</v>
      </c>
      <c r="Q212" s="133" t="s">
        <v>414</v>
      </c>
    </row>
    <row r="213" spans="1:17" ht="15" customHeight="1" x14ac:dyDescent="0.2">
      <c r="A213" s="141">
        <v>2020</v>
      </c>
      <c r="B213" s="141">
        <v>3</v>
      </c>
      <c r="C213" s="141">
        <v>24</v>
      </c>
      <c r="D213" s="141">
        <f t="shared" si="6"/>
        <v>43914</v>
      </c>
      <c r="E213" s="275">
        <f t="shared" si="7"/>
        <v>43914</v>
      </c>
      <c r="F213" s="479" t="s">
        <v>77</v>
      </c>
      <c r="G213" s="220" t="s">
        <v>74</v>
      </c>
      <c r="H213" s="174" t="str" cm="1">
        <f t="array" ref="H213">IFERROR(INDEX(INVESTOR_LIST[INVESTOR NAME],MATCH(I213,INVESTOR_LIST[INVESTOR CODE],0),)," ")</f>
        <v xml:space="preserve"> </v>
      </c>
      <c r="I213" s="148" t="s">
        <v>348</v>
      </c>
      <c r="J213" s="143" t="s">
        <v>61</v>
      </c>
      <c r="K213" s="226">
        <v>100</v>
      </c>
      <c r="L213" s="226"/>
      <c r="M213" s="147">
        <v>1</v>
      </c>
      <c r="Q213" s="133" t="s">
        <v>348</v>
      </c>
    </row>
    <row r="214" spans="1:17" x14ac:dyDescent="0.2">
      <c r="A214" s="144">
        <v>2020</v>
      </c>
      <c r="B214" s="144">
        <v>3</v>
      </c>
      <c r="C214" s="144">
        <v>24</v>
      </c>
      <c r="D214" s="141">
        <f t="shared" si="6"/>
        <v>43914</v>
      </c>
      <c r="E214" s="275">
        <f t="shared" si="7"/>
        <v>43914</v>
      </c>
      <c r="F214" s="480"/>
      <c r="G214" s="221" t="s">
        <v>74</v>
      </c>
      <c r="H214" s="221" t="str" cm="1">
        <f t="array" ref="H214">IFERROR(INDEX(INVESTOR_LIST[INVESTOR NAME],MATCH(I214,INVESTOR_LIST[INVESTOR CODE],0),)," ")</f>
        <v xml:space="preserve"> </v>
      </c>
      <c r="I214" s="145" t="s">
        <v>348</v>
      </c>
      <c r="J214" s="146" t="s">
        <v>52</v>
      </c>
      <c r="K214" s="219"/>
      <c r="L214" s="219">
        <v>100</v>
      </c>
      <c r="M214" s="147">
        <v>0</v>
      </c>
      <c r="Q214" s="133" t="s">
        <v>348</v>
      </c>
    </row>
    <row r="215" spans="1:17" x14ac:dyDescent="0.2">
      <c r="A215" s="141">
        <v>2020</v>
      </c>
      <c r="B215" s="141">
        <v>3</v>
      </c>
      <c r="C215" s="141">
        <v>25</v>
      </c>
      <c r="D215" s="141">
        <f t="shared" ref="D215:D216" si="8">DATE(A215,B215,C215)</f>
        <v>43915</v>
      </c>
      <c r="E215" s="275">
        <f t="shared" ref="E215:E216" si="9">DATE(A215,B215,C215)</f>
        <v>43915</v>
      </c>
      <c r="F215" s="479" t="s">
        <v>971</v>
      </c>
      <c r="G215" s="174" t="s">
        <v>74</v>
      </c>
      <c r="H215" s="174" t="str" cm="1">
        <f t="array" ref="H215">IFERROR(INDEX(INVESTOR_LIST[INVESTOR NAME],MATCH(I215,INVESTOR_LIST[INVESTOR CODE],0),)," ")</f>
        <v xml:space="preserve"> </v>
      </c>
      <c r="J215" s="149" t="s">
        <v>80</v>
      </c>
      <c r="K215" s="218">
        <v>500</v>
      </c>
      <c r="L215" s="218"/>
      <c r="M215" s="147"/>
    </row>
    <row r="216" spans="1:17" x14ac:dyDescent="0.2">
      <c r="A216" s="144">
        <v>2020</v>
      </c>
      <c r="B216" s="144">
        <v>3</v>
      </c>
      <c r="C216" s="144">
        <v>25</v>
      </c>
      <c r="D216" s="141">
        <f t="shared" si="8"/>
        <v>43915</v>
      </c>
      <c r="E216" s="275">
        <f t="shared" si="9"/>
        <v>43915</v>
      </c>
      <c r="F216" s="480"/>
      <c r="G216" s="174" t="s">
        <v>74</v>
      </c>
      <c r="H216" s="174" t="str" cm="1">
        <f t="array" ref="H216">IFERROR(INDEX(INVESTOR_LIST[INVESTOR NAME],MATCH(I216,INVESTOR_LIST[INVESTOR CODE],0),)," ")</f>
        <v xml:space="preserve"> </v>
      </c>
      <c r="J216" s="149" t="s">
        <v>147</v>
      </c>
      <c r="K216" s="218"/>
      <c r="L216" s="218">
        <v>500</v>
      </c>
      <c r="M216" s="147"/>
    </row>
    <row r="217" spans="1:17" ht="11.25" customHeight="1" x14ac:dyDescent="0.2">
      <c r="A217" s="141">
        <v>2020</v>
      </c>
      <c r="B217" s="141">
        <v>4</v>
      </c>
      <c r="C217" s="141">
        <v>2</v>
      </c>
      <c r="D217" s="141">
        <f t="shared" si="6"/>
        <v>43923</v>
      </c>
      <c r="E217" s="275">
        <f t="shared" si="7"/>
        <v>43923</v>
      </c>
      <c r="F217" s="479" t="s">
        <v>965</v>
      </c>
      <c r="G217" s="220" t="s">
        <v>74</v>
      </c>
      <c r="H217" s="174" t="str" cm="1">
        <f t="array" ref="H217">IFERROR(INDEX(INVESTOR_LIST[INVESTOR NAME],MATCH(I217,INVESTOR_LIST[INVESTOR CODE],0),)," ")</f>
        <v>EKUSH WEALTH MANAGEMENT LIMITED</v>
      </c>
      <c r="I217" s="148" t="s">
        <v>371</v>
      </c>
      <c r="J217" s="143" t="s">
        <v>13</v>
      </c>
      <c r="K217" s="226">
        <v>28500000</v>
      </c>
      <c r="L217" s="226"/>
      <c r="M217" s="147">
        <v>0</v>
      </c>
      <c r="Q217" s="133" t="s">
        <v>371</v>
      </c>
    </row>
    <row r="218" spans="1:17" ht="56.25" x14ac:dyDescent="0.2">
      <c r="A218" s="144">
        <v>2020</v>
      </c>
      <c r="B218" s="144">
        <v>4</v>
      </c>
      <c r="C218" s="144">
        <v>2</v>
      </c>
      <c r="D218" s="141">
        <f t="shared" si="6"/>
        <v>43923</v>
      </c>
      <c r="E218" s="275">
        <f t="shared" si="7"/>
        <v>43923</v>
      </c>
      <c r="F218" s="480"/>
      <c r="G218" s="221" t="s">
        <v>74</v>
      </c>
      <c r="H218" s="221" t="str" cm="1">
        <f t="array" ref="H218">IFERROR(INDEX(INVESTOR_LIST[INVESTOR NAME],MATCH(I218,INVESTOR_LIST[INVESTOR CODE],0),)," ")</f>
        <v>EKUSH WEALTH MANAGEMENT LIMITED</v>
      </c>
      <c r="I218" s="145" t="s">
        <v>371</v>
      </c>
      <c r="J218" s="146" t="s">
        <v>52</v>
      </c>
      <c r="K218" s="219"/>
      <c r="L218" s="219">
        <v>28500000</v>
      </c>
      <c r="M218" s="147">
        <v>0</v>
      </c>
      <c r="Q218" s="133" t="s">
        <v>371</v>
      </c>
    </row>
    <row r="219" spans="1:17" ht="11.25" customHeight="1" x14ac:dyDescent="0.2">
      <c r="A219" s="141">
        <v>2020</v>
      </c>
      <c r="B219" s="141">
        <v>4</v>
      </c>
      <c r="C219" s="141">
        <v>19</v>
      </c>
      <c r="D219" s="141">
        <f t="shared" si="6"/>
        <v>43940</v>
      </c>
      <c r="E219" s="275">
        <f t="shared" si="7"/>
        <v>43940</v>
      </c>
      <c r="F219" s="479" t="s">
        <v>965</v>
      </c>
      <c r="G219" s="220" t="s">
        <v>74</v>
      </c>
      <c r="H219" s="174" t="str" cm="1">
        <f t="array" ref="H219">IFERROR(INDEX(INVESTOR_LIST[INVESTOR NAME],MATCH(I219,INVESTOR_LIST[INVESTOR CODE],0),)," ")</f>
        <v>MD. SHIFUL ISLAM</v>
      </c>
      <c r="I219" s="148" t="s">
        <v>408</v>
      </c>
      <c r="J219" s="143" t="s">
        <v>13</v>
      </c>
      <c r="K219" s="226">
        <v>500000</v>
      </c>
      <c r="L219" s="226"/>
      <c r="M219" s="147">
        <v>0</v>
      </c>
      <c r="Q219" s="133" t="s">
        <v>408</v>
      </c>
    </row>
    <row r="220" spans="1:17" ht="15" customHeight="1" x14ac:dyDescent="0.2">
      <c r="A220" s="144">
        <v>2020</v>
      </c>
      <c r="B220" s="144">
        <v>4</v>
      </c>
      <c r="C220" s="144">
        <v>19</v>
      </c>
      <c r="D220" s="141">
        <f t="shared" si="6"/>
        <v>43940</v>
      </c>
      <c r="E220" s="275">
        <f t="shared" si="7"/>
        <v>43940</v>
      </c>
      <c r="F220" s="480"/>
      <c r="G220" s="221" t="s">
        <v>74</v>
      </c>
      <c r="H220" s="221" t="str" cm="1">
        <f t="array" ref="H220">IFERROR(INDEX(INVESTOR_LIST[INVESTOR NAME],MATCH(I220,INVESTOR_LIST[INVESTOR CODE],0),)," ")</f>
        <v>MD. SHIFUL ISLAM</v>
      </c>
      <c r="I220" s="145" t="s">
        <v>408</v>
      </c>
      <c r="J220" s="146" t="s">
        <v>52</v>
      </c>
      <c r="K220" s="219"/>
      <c r="L220" s="219">
        <v>500000</v>
      </c>
      <c r="M220" s="147">
        <v>0</v>
      </c>
      <c r="Q220" s="133" t="s">
        <v>408</v>
      </c>
    </row>
    <row r="221" spans="1:17" x14ac:dyDescent="0.2">
      <c r="A221" s="141">
        <v>2020</v>
      </c>
      <c r="B221" s="141">
        <v>5</v>
      </c>
      <c r="C221" s="141">
        <v>4</v>
      </c>
      <c r="D221" s="141">
        <f t="shared" si="6"/>
        <v>43955</v>
      </c>
      <c r="E221" s="275">
        <f t="shared" si="7"/>
        <v>43955</v>
      </c>
      <c r="F221" s="479" t="s">
        <v>66</v>
      </c>
      <c r="G221" s="220" t="s">
        <v>74</v>
      </c>
      <c r="H221" s="174" t="str" cm="1">
        <f t="array" ref="H221">IFERROR(INDEX(INVESTOR_LIST[INVESTOR NAME],MATCH(I221,INVESTOR_LIST[INVESTOR CODE],0),)," ")</f>
        <v xml:space="preserve"> </v>
      </c>
      <c r="I221" s="148" t="s">
        <v>348</v>
      </c>
      <c r="J221" s="143" t="s">
        <v>63</v>
      </c>
      <c r="K221" s="226">
        <v>1000000</v>
      </c>
      <c r="L221" s="226"/>
      <c r="M221" s="147">
        <v>0</v>
      </c>
      <c r="Q221" s="133" t="s">
        <v>348</v>
      </c>
    </row>
    <row r="222" spans="1:17" x14ac:dyDescent="0.2">
      <c r="A222" s="144">
        <v>2020</v>
      </c>
      <c r="B222" s="144">
        <v>5</v>
      </c>
      <c r="C222" s="144">
        <v>4</v>
      </c>
      <c r="D222" s="141">
        <f t="shared" si="6"/>
        <v>43955</v>
      </c>
      <c r="E222" s="275">
        <f t="shared" si="7"/>
        <v>43955</v>
      </c>
      <c r="F222" s="480"/>
      <c r="G222" s="221" t="s">
        <v>74</v>
      </c>
      <c r="H222" s="221" t="str" cm="1">
        <f t="array" ref="H222">IFERROR(INDEX(INVESTOR_LIST[INVESTOR NAME],MATCH(I222,INVESTOR_LIST[INVESTOR CODE],0),)," ")</f>
        <v xml:space="preserve"> </v>
      </c>
      <c r="I222" s="145" t="s">
        <v>348</v>
      </c>
      <c r="J222" s="146" t="s">
        <v>52</v>
      </c>
      <c r="K222" s="219"/>
      <c r="L222" s="219">
        <v>1000000</v>
      </c>
      <c r="M222" s="147">
        <v>0</v>
      </c>
      <c r="Q222" s="133" t="s">
        <v>348</v>
      </c>
    </row>
    <row r="223" spans="1:17" x14ac:dyDescent="0.2">
      <c r="A223" s="141">
        <v>2020</v>
      </c>
      <c r="B223" s="141">
        <v>6</v>
      </c>
      <c r="C223" s="141">
        <v>2</v>
      </c>
      <c r="D223" s="141">
        <f t="shared" si="6"/>
        <v>43984</v>
      </c>
      <c r="E223" s="275">
        <f t="shared" si="7"/>
        <v>43984</v>
      </c>
      <c r="F223" s="479" t="s">
        <v>77</v>
      </c>
      <c r="G223" s="220" t="s">
        <v>74</v>
      </c>
      <c r="H223" s="174" t="str" cm="1">
        <f t="array" ref="H223">IFERROR(INDEX(INVESTOR_LIST[INVESTOR NAME],MATCH(I223,INVESTOR_LIST[INVESTOR CODE],0),)," ")</f>
        <v xml:space="preserve"> </v>
      </c>
      <c r="I223" s="148" t="s">
        <v>348</v>
      </c>
      <c r="J223" s="143" t="s">
        <v>61</v>
      </c>
      <c r="K223" s="226">
        <v>230</v>
      </c>
      <c r="L223" s="226"/>
      <c r="M223" s="147">
        <v>0</v>
      </c>
      <c r="Q223" s="133" t="s">
        <v>348</v>
      </c>
    </row>
    <row r="224" spans="1:17" x14ac:dyDescent="0.2">
      <c r="A224" s="144">
        <v>2020</v>
      </c>
      <c r="B224" s="144">
        <v>6</v>
      </c>
      <c r="C224" s="144">
        <v>2</v>
      </c>
      <c r="D224" s="141">
        <f t="shared" si="6"/>
        <v>43984</v>
      </c>
      <c r="E224" s="275">
        <f t="shared" si="7"/>
        <v>43984</v>
      </c>
      <c r="F224" s="480"/>
      <c r="G224" s="221" t="s">
        <v>74</v>
      </c>
      <c r="H224" s="221" t="str" cm="1">
        <f t="array" ref="H224">IFERROR(INDEX(INVESTOR_LIST[INVESTOR NAME],MATCH(I224,INVESTOR_LIST[INVESTOR CODE],0),)," ")</f>
        <v xml:space="preserve"> </v>
      </c>
      <c r="I224" s="145" t="s">
        <v>348</v>
      </c>
      <c r="J224" s="146" t="s">
        <v>52</v>
      </c>
      <c r="K224" s="219"/>
      <c r="L224" s="219">
        <v>230</v>
      </c>
      <c r="M224" s="147">
        <v>0</v>
      </c>
      <c r="Q224" s="133" t="s">
        <v>348</v>
      </c>
    </row>
    <row r="225" spans="1:17" x14ac:dyDescent="0.2">
      <c r="A225" s="141">
        <v>2020</v>
      </c>
      <c r="B225" s="141">
        <v>6</v>
      </c>
      <c r="C225" s="141">
        <v>3</v>
      </c>
      <c r="D225" s="141">
        <f t="shared" si="6"/>
        <v>43985</v>
      </c>
      <c r="E225" s="275">
        <f t="shared" si="7"/>
        <v>43985</v>
      </c>
      <c r="F225" s="479" t="s">
        <v>263</v>
      </c>
      <c r="G225" s="220" t="s">
        <v>94</v>
      </c>
      <c r="H225" s="220" t="str" cm="1">
        <f t="array" ref="H225">IFERROR(INDEX(INVESTOR_LIST[INVESTOR NAME],MATCH(I225,INVESTOR_LIST[INVESTOR CODE],0),)," ")</f>
        <v xml:space="preserve"> </v>
      </c>
      <c r="I225" s="142" t="s">
        <v>348</v>
      </c>
      <c r="J225" s="143" t="s">
        <v>79</v>
      </c>
      <c r="K225" s="226">
        <v>1838007.6</v>
      </c>
      <c r="L225" s="226"/>
      <c r="M225" s="147">
        <v>0</v>
      </c>
      <c r="N225" s="160"/>
      <c r="Q225" s="133" t="s">
        <v>348</v>
      </c>
    </row>
    <row r="226" spans="1:17" x14ac:dyDescent="0.2">
      <c r="A226" s="147">
        <v>2020</v>
      </c>
      <c r="B226" s="147">
        <v>6</v>
      </c>
      <c r="C226" s="147">
        <v>3</v>
      </c>
      <c r="D226" s="141">
        <f t="shared" si="6"/>
        <v>43985</v>
      </c>
      <c r="E226" s="275">
        <f t="shared" si="7"/>
        <v>43985</v>
      </c>
      <c r="F226" s="481"/>
      <c r="G226" s="174" t="s">
        <v>94</v>
      </c>
      <c r="H226" s="174" t="str" cm="1">
        <f t="array" ref="H226">IFERROR(INDEX(INVESTOR_LIST[INVESTOR NAME],MATCH(I226,INVESTOR_LIST[INVESTOR CODE],0),)," ")</f>
        <v xml:space="preserve"> </v>
      </c>
      <c r="I226" s="148" t="s">
        <v>348</v>
      </c>
      <c r="J226" s="149" t="s">
        <v>80</v>
      </c>
      <c r="K226" s="218">
        <v>3308.41</v>
      </c>
      <c r="L226" s="218"/>
      <c r="M226" s="147">
        <v>0</v>
      </c>
      <c r="N226" s="160"/>
      <c r="Q226" s="133" t="s">
        <v>348</v>
      </c>
    </row>
    <row r="227" spans="1:17" x14ac:dyDescent="0.2">
      <c r="A227" s="144">
        <v>2020</v>
      </c>
      <c r="B227" s="144">
        <v>6</v>
      </c>
      <c r="C227" s="144">
        <v>3</v>
      </c>
      <c r="D227" s="141">
        <f t="shared" si="6"/>
        <v>43985</v>
      </c>
      <c r="E227" s="275">
        <f t="shared" si="7"/>
        <v>43985</v>
      </c>
      <c r="F227" s="480"/>
      <c r="G227" s="221" t="s">
        <v>94</v>
      </c>
      <c r="H227" s="221" t="str" cm="1">
        <f t="array" ref="H227">IFERROR(INDEX(INVESTOR_LIST[INVESTOR NAME],MATCH(I227,INVESTOR_LIST[INVESTOR CODE],0),)," ")</f>
        <v xml:space="preserve"> </v>
      </c>
      <c r="I227" s="145" t="s">
        <v>348</v>
      </c>
      <c r="J227" s="146" t="s">
        <v>147</v>
      </c>
      <c r="K227" s="218"/>
      <c r="L227" s="219">
        <v>1841316.01</v>
      </c>
      <c r="M227" s="147">
        <v>0</v>
      </c>
      <c r="N227" s="160"/>
      <c r="Q227" s="133" t="s">
        <v>348</v>
      </c>
    </row>
    <row r="228" spans="1:17" x14ac:dyDescent="0.2">
      <c r="A228" s="147">
        <v>2020</v>
      </c>
      <c r="B228" s="147">
        <v>6</v>
      </c>
      <c r="C228" s="147">
        <v>4</v>
      </c>
      <c r="D228" s="141">
        <f t="shared" si="6"/>
        <v>43986</v>
      </c>
      <c r="E228" s="275">
        <f t="shared" si="7"/>
        <v>43986</v>
      </c>
      <c r="F228" s="479" t="s">
        <v>78</v>
      </c>
      <c r="G228" s="174" t="s">
        <v>74</v>
      </c>
      <c r="H228" s="174" t="str" cm="1">
        <f t="array" ref="H228">IFERROR(INDEX(INVESTOR_LIST[INVESTOR NAME],MATCH(I228,INVESTOR_LIST[INVESTOR CODE],0),)," ")</f>
        <v xml:space="preserve"> </v>
      </c>
      <c r="I228" s="148" t="s">
        <v>348</v>
      </c>
      <c r="J228" s="149" t="s">
        <v>147</v>
      </c>
      <c r="K228" s="226">
        <v>1841316.01</v>
      </c>
      <c r="L228" s="218"/>
      <c r="M228" s="147">
        <v>0</v>
      </c>
      <c r="N228" s="160"/>
      <c r="Q228" s="133" t="s">
        <v>348</v>
      </c>
    </row>
    <row r="229" spans="1:17" x14ac:dyDescent="0.2">
      <c r="A229" s="144">
        <v>2020</v>
      </c>
      <c r="B229" s="144">
        <v>6</v>
      </c>
      <c r="C229" s="144">
        <v>4</v>
      </c>
      <c r="D229" s="141">
        <f t="shared" si="6"/>
        <v>43986</v>
      </c>
      <c r="E229" s="275">
        <f t="shared" si="7"/>
        <v>43986</v>
      </c>
      <c r="F229" s="480"/>
      <c r="G229" s="221" t="s">
        <v>74</v>
      </c>
      <c r="H229" s="221" t="str" cm="1">
        <f t="array" ref="H229">IFERROR(INDEX(INVESTOR_LIST[INVESTOR NAME],MATCH(I229,INVESTOR_LIST[INVESTOR CODE],0),)," ")</f>
        <v xml:space="preserve"> </v>
      </c>
      <c r="I229" s="145" t="s">
        <v>348</v>
      </c>
      <c r="J229" s="146" t="s">
        <v>52</v>
      </c>
      <c r="K229" s="219"/>
      <c r="L229" s="219">
        <v>1841316.01</v>
      </c>
      <c r="M229" s="147">
        <v>0</v>
      </c>
      <c r="Q229" s="133" t="s">
        <v>348</v>
      </c>
    </row>
    <row r="230" spans="1:17" x14ac:dyDescent="0.2">
      <c r="A230" s="147">
        <v>2020</v>
      </c>
      <c r="B230" s="147">
        <v>6</v>
      </c>
      <c r="C230" s="147">
        <v>4</v>
      </c>
      <c r="D230" s="141">
        <f t="shared" si="6"/>
        <v>43986</v>
      </c>
      <c r="E230" s="275">
        <f t="shared" si="7"/>
        <v>43986</v>
      </c>
      <c r="F230" s="481" t="s">
        <v>87</v>
      </c>
      <c r="G230" s="174" t="s">
        <v>94</v>
      </c>
      <c r="H230" s="174" t="str" cm="1">
        <f t="array" ref="H230">IFERROR(INDEX(INVESTOR_LIST[INVESTOR NAME],MATCH(I230,INVESTOR_LIST[INVESTOR CODE],0),)," ")</f>
        <v xml:space="preserve"> </v>
      </c>
      <c r="I230" s="148" t="s">
        <v>348</v>
      </c>
      <c r="J230" s="149" t="s">
        <v>67</v>
      </c>
      <c r="K230" s="218">
        <v>450000</v>
      </c>
      <c r="L230" s="218"/>
      <c r="M230" s="147">
        <v>0</v>
      </c>
      <c r="Q230" s="133" t="s">
        <v>348</v>
      </c>
    </row>
    <row r="231" spans="1:17" x14ac:dyDescent="0.2">
      <c r="A231" s="144">
        <v>2020</v>
      </c>
      <c r="B231" s="144">
        <v>6</v>
      </c>
      <c r="C231" s="144">
        <v>4</v>
      </c>
      <c r="D231" s="141">
        <f t="shared" si="6"/>
        <v>43986</v>
      </c>
      <c r="E231" s="275">
        <f t="shared" si="7"/>
        <v>43986</v>
      </c>
      <c r="F231" s="480"/>
      <c r="G231" s="221" t="s">
        <v>94</v>
      </c>
      <c r="H231" s="221" t="str" cm="1">
        <f t="array" ref="H231">IFERROR(INDEX(INVESTOR_LIST[INVESTOR NAME],MATCH(I231,INVESTOR_LIST[INVESTOR CODE],0),)," ")</f>
        <v xml:space="preserve"> </v>
      </c>
      <c r="I231" s="145" t="s">
        <v>348</v>
      </c>
      <c r="J231" s="146" t="s">
        <v>60</v>
      </c>
      <c r="K231" s="219"/>
      <c r="L231" s="219">
        <v>450000</v>
      </c>
      <c r="M231" s="147">
        <v>0</v>
      </c>
      <c r="Q231" s="133" t="s">
        <v>348</v>
      </c>
    </row>
    <row r="232" spans="1:17" ht="22.5" x14ac:dyDescent="0.2">
      <c r="A232" s="147">
        <v>2020</v>
      </c>
      <c r="B232" s="147">
        <v>6</v>
      </c>
      <c r="C232" s="147">
        <v>4</v>
      </c>
      <c r="D232" s="141">
        <f t="shared" si="6"/>
        <v>43986</v>
      </c>
      <c r="E232" s="275">
        <f t="shared" si="7"/>
        <v>43986</v>
      </c>
      <c r="F232" s="481" t="s">
        <v>88</v>
      </c>
      <c r="G232" s="174" t="s">
        <v>94</v>
      </c>
      <c r="H232" s="174" t="str" cm="1">
        <f t="array" ref="H232">IFERROR(INDEX(INVESTOR_LIST[INVESTOR NAME],MATCH(I232,INVESTOR_LIST[INVESTOR CODE],0),)," ")</f>
        <v xml:space="preserve"> </v>
      </c>
      <c r="I232" s="148" t="s">
        <v>348</v>
      </c>
      <c r="J232" s="149" t="s">
        <v>95</v>
      </c>
      <c r="K232" s="218">
        <v>30612.240000000002</v>
      </c>
      <c r="L232" s="218"/>
      <c r="M232" s="147">
        <v>0</v>
      </c>
      <c r="Q232" s="133" t="s">
        <v>348</v>
      </c>
    </row>
    <row r="233" spans="1:17" x14ac:dyDescent="0.2">
      <c r="A233" s="144">
        <v>2020</v>
      </c>
      <c r="B233" s="144">
        <v>6</v>
      </c>
      <c r="C233" s="144">
        <v>4</v>
      </c>
      <c r="D233" s="141">
        <f t="shared" si="6"/>
        <v>43986</v>
      </c>
      <c r="E233" s="275">
        <f t="shared" si="7"/>
        <v>43986</v>
      </c>
      <c r="F233" s="480"/>
      <c r="G233" s="221" t="s">
        <v>94</v>
      </c>
      <c r="H233" s="221" t="str" cm="1">
        <f t="array" ref="H233">IFERROR(INDEX(INVESTOR_LIST[INVESTOR NAME],MATCH(I233,INVESTOR_LIST[INVESTOR CODE],0),)," ")</f>
        <v xml:space="preserve"> </v>
      </c>
      <c r="I233" s="145" t="s">
        <v>348</v>
      </c>
      <c r="J233" s="146" t="s">
        <v>63</v>
      </c>
      <c r="K233" s="219"/>
      <c r="L233" s="219">
        <v>30612.240000000002</v>
      </c>
      <c r="M233" s="147">
        <v>0</v>
      </c>
      <c r="Q233" s="133" t="s">
        <v>348</v>
      </c>
    </row>
    <row r="234" spans="1:17" x14ac:dyDescent="0.2">
      <c r="A234" s="147">
        <v>2020</v>
      </c>
      <c r="B234" s="147">
        <v>6</v>
      </c>
      <c r="C234" s="147">
        <v>4</v>
      </c>
      <c r="D234" s="141">
        <f t="shared" si="6"/>
        <v>43986</v>
      </c>
      <c r="E234" s="275">
        <f t="shared" si="7"/>
        <v>43986</v>
      </c>
      <c r="F234" s="481" t="s">
        <v>89</v>
      </c>
      <c r="G234" s="174" t="s">
        <v>94</v>
      </c>
      <c r="H234" s="174" t="str" cm="1">
        <f t="array" ref="H234">IFERROR(INDEX(INVESTOR_LIST[INVESTOR NAME],MATCH(I234,INVESTOR_LIST[INVESTOR CODE],0),)," ")</f>
        <v xml:space="preserve"> </v>
      </c>
      <c r="I234" s="148" t="s">
        <v>348</v>
      </c>
      <c r="J234" s="149" t="s">
        <v>97</v>
      </c>
      <c r="K234" s="218">
        <v>284745.62</v>
      </c>
      <c r="L234" s="218"/>
      <c r="M234" s="147">
        <v>0</v>
      </c>
      <c r="Q234" s="133" t="s">
        <v>348</v>
      </c>
    </row>
    <row r="235" spans="1:17" x14ac:dyDescent="0.2">
      <c r="A235" s="144">
        <v>2020</v>
      </c>
      <c r="B235" s="144">
        <v>6</v>
      </c>
      <c r="C235" s="144">
        <v>4</v>
      </c>
      <c r="D235" s="141">
        <f t="shared" si="6"/>
        <v>43986</v>
      </c>
      <c r="E235" s="275">
        <f t="shared" si="7"/>
        <v>43986</v>
      </c>
      <c r="F235" s="480"/>
      <c r="G235" s="221" t="s">
        <v>94</v>
      </c>
      <c r="H235" s="221" t="str" cm="1">
        <f t="array" ref="H235">IFERROR(INDEX(INVESTOR_LIST[INVESTOR NAME],MATCH(I235,INVESTOR_LIST[INVESTOR CODE],0),)," ")</f>
        <v xml:space="preserve"> </v>
      </c>
      <c r="I235" s="145" t="s">
        <v>348</v>
      </c>
      <c r="J235" s="146" t="s">
        <v>47</v>
      </c>
      <c r="K235" s="219"/>
      <c r="L235" s="219">
        <v>284745.62</v>
      </c>
      <c r="M235" s="147">
        <v>0</v>
      </c>
      <c r="Q235" s="133" t="s">
        <v>348</v>
      </c>
    </row>
    <row r="236" spans="1:17" x14ac:dyDescent="0.2">
      <c r="A236" s="147">
        <v>2020</v>
      </c>
      <c r="B236" s="147">
        <v>6</v>
      </c>
      <c r="C236" s="147">
        <v>4</v>
      </c>
      <c r="D236" s="141">
        <f t="shared" si="6"/>
        <v>43986</v>
      </c>
      <c r="E236" s="275">
        <f t="shared" si="7"/>
        <v>43986</v>
      </c>
      <c r="F236" s="481" t="s">
        <v>90</v>
      </c>
      <c r="G236" s="174" t="s">
        <v>94</v>
      </c>
      <c r="H236" s="174" t="str" cm="1">
        <f t="array" ref="H236">IFERROR(INDEX(INVESTOR_LIST[INVESTOR NAME],MATCH(I236,INVESTOR_LIST[INVESTOR CODE],0),)," ")</f>
        <v xml:space="preserve"> </v>
      </c>
      <c r="I236" s="148" t="s">
        <v>348</v>
      </c>
      <c r="J236" s="149" t="s">
        <v>100</v>
      </c>
      <c r="K236" s="218">
        <v>11561.19</v>
      </c>
      <c r="L236" s="218"/>
      <c r="M236" s="147">
        <v>0</v>
      </c>
      <c r="Q236" s="133" t="s">
        <v>348</v>
      </c>
    </row>
    <row r="237" spans="1:17" x14ac:dyDescent="0.2">
      <c r="A237" s="144">
        <v>2020</v>
      </c>
      <c r="B237" s="144">
        <v>6</v>
      </c>
      <c r="C237" s="144">
        <v>4</v>
      </c>
      <c r="D237" s="141">
        <f t="shared" si="6"/>
        <v>43986</v>
      </c>
      <c r="E237" s="275">
        <f t="shared" si="7"/>
        <v>43986</v>
      </c>
      <c r="F237" s="480"/>
      <c r="G237" s="221" t="s">
        <v>94</v>
      </c>
      <c r="H237" s="221" t="str" cm="1">
        <f t="array" ref="H237">IFERROR(INDEX(INVESTOR_LIST[INVESTOR NAME],MATCH(I237,INVESTOR_LIST[INVESTOR CODE],0),)," ")</f>
        <v xml:space="preserve"> </v>
      </c>
      <c r="I237" s="145" t="s">
        <v>348</v>
      </c>
      <c r="J237" s="146" t="s">
        <v>48</v>
      </c>
      <c r="K237" s="219"/>
      <c r="L237" s="219">
        <v>11561.19</v>
      </c>
      <c r="M237" s="147">
        <v>0</v>
      </c>
      <c r="Q237" s="133" t="s">
        <v>348</v>
      </c>
    </row>
    <row r="238" spans="1:17" x14ac:dyDescent="0.2">
      <c r="A238" s="147">
        <v>2020</v>
      </c>
      <c r="B238" s="147">
        <v>6</v>
      </c>
      <c r="C238" s="147">
        <v>4</v>
      </c>
      <c r="D238" s="141">
        <f t="shared" si="6"/>
        <v>43986</v>
      </c>
      <c r="E238" s="275">
        <f t="shared" si="7"/>
        <v>43986</v>
      </c>
      <c r="F238" s="481" t="s">
        <v>91</v>
      </c>
      <c r="G238" s="174" t="s">
        <v>94</v>
      </c>
      <c r="H238" s="174" t="str" cm="1">
        <f t="array" ref="H238">IFERROR(INDEX(INVESTOR_LIST[INVESTOR NAME],MATCH(I238,INVESTOR_LIST[INVESTOR CODE],0),)," ")</f>
        <v xml:space="preserve"> </v>
      </c>
      <c r="I238" s="148" t="s">
        <v>348</v>
      </c>
      <c r="J238" s="149" t="s">
        <v>101</v>
      </c>
      <c r="K238" s="218">
        <v>17206.310000000001</v>
      </c>
      <c r="L238" s="218"/>
      <c r="M238" s="147">
        <v>0</v>
      </c>
      <c r="Q238" s="133" t="s">
        <v>348</v>
      </c>
    </row>
    <row r="239" spans="1:17" x14ac:dyDescent="0.2">
      <c r="A239" s="144">
        <v>2020</v>
      </c>
      <c r="B239" s="144">
        <v>6</v>
      </c>
      <c r="C239" s="144">
        <v>4</v>
      </c>
      <c r="D239" s="141">
        <f t="shared" si="6"/>
        <v>43986</v>
      </c>
      <c r="E239" s="275">
        <f t="shared" si="7"/>
        <v>43986</v>
      </c>
      <c r="F239" s="480"/>
      <c r="G239" s="221" t="s">
        <v>94</v>
      </c>
      <c r="H239" s="221" t="str" cm="1">
        <f t="array" ref="H239">IFERROR(INDEX(INVESTOR_LIST[INVESTOR NAME],MATCH(I239,INVESTOR_LIST[INVESTOR CODE],0),)," ")</f>
        <v xml:space="preserve"> </v>
      </c>
      <c r="I239" s="145" t="s">
        <v>348</v>
      </c>
      <c r="J239" s="146" t="s">
        <v>102</v>
      </c>
      <c r="K239" s="219"/>
      <c r="L239" s="219">
        <v>17206.310000000001</v>
      </c>
      <c r="M239" s="147">
        <v>0</v>
      </c>
      <c r="Q239" s="133" t="s">
        <v>348</v>
      </c>
    </row>
    <row r="240" spans="1:17" x14ac:dyDescent="0.2">
      <c r="A240" s="147">
        <v>2020</v>
      </c>
      <c r="B240" s="147">
        <v>6</v>
      </c>
      <c r="C240" s="147">
        <v>4</v>
      </c>
      <c r="D240" s="141">
        <f t="shared" si="6"/>
        <v>43986</v>
      </c>
      <c r="E240" s="275">
        <f t="shared" si="7"/>
        <v>43986</v>
      </c>
      <c r="F240" s="481" t="s">
        <v>92</v>
      </c>
      <c r="G240" s="174" t="s">
        <v>94</v>
      </c>
      <c r="H240" s="174" t="str" cm="1">
        <f t="array" ref="H240">IFERROR(INDEX(INVESTOR_LIST[INVESTOR NAME],MATCH(I240,INVESTOR_LIST[INVESTOR CODE],0),)," ")</f>
        <v xml:space="preserve"> </v>
      </c>
      <c r="I240" s="148" t="s">
        <v>348</v>
      </c>
      <c r="J240" s="149" t="s">
        <v>103</v>
      </c>
      <c r="K240" s="218">
        <v>8125</v>
      </c>
      <c r="L240" s="218"/>
      <c r="M240" s="147">
        <v>5</v>
      </c>
      <c r="Q240" s="133" t="s">
        <v>348</v>
      </c>
    </row>
    <row r="241" spans="1:17" x14ac:dyDescent="0.2">
      <c r="A241" s="144">
        <v>2020</v>
      </c>
      <c r="B241" s="144">
        <v>6</v>
      </c>
      <c r="C241" s="144">
        <v>4</v>
      </c>
      <c r="D241" s="141">
        <f t="shared" si="6"/>
        <v>43986</v>
      </c>
      <c r="E241" s="275">
        <f t="shared" si="7"/>
        <v>43986</v>
      </c>
      <c r="F241" s="480"/>
      <c r="G241" s="221" t="s">
        <v>94</v>
      </c>
      <c r="H241" s="221" t="str" cm="1">
        <f t="array" ref="H241">IFERROR(INDEX(INVESTOR_LIST[INVESTOR NAME],MATCH(I241,INVESTOR_LIST[INVESTOR CODE],0),)," ")</f>
        <v xml:space="preserve"> </v>
      </c>
      <c r="I241" s="145" t="s">
        <v>348</v>
      </c>
      <c r="J241" s="146" t="s">
        <v>50</v>
      </c>
      <c r="K241" s="219"/>
      <c r="L241" s="219">
        <v>8125</v>
      </c>
      <c r="M241" s="147">
        <v>0</v>
      </c>
      <c r="Q241" s="133" t="s">
        <v>348</v>
      </c>
    </row>
    <row r="242" spans="1:17" x14ac:dyDescent="0.2">
      <c r="A242" s="147">
        <v>2020</v>
      </c>
      <c r="B242" s="147">
        <v>6</v>
      </c>
      <c r="C242" s="147">
        <v>4</v>
      </c>
      <c r="D242" s="141">
        <f t="shared" si="6"/>
        <v>43986</v>
      </c>
      <c r="E242" s="275">
        <f t="shared" si="7"/>
        <v>43986</v>
      </c>
      <c r="F242" s="481" t="s">
        <v>93</v>
      </c>
      <c r="G242" s="174" t="s">
        <v>94</v>
      </c>
      <c r="H242" s="174" t="str" cm="1">
        <f t="array" ref="H242">IFERROR(INDEX(INVESTOR_LIST[INVESTOR NAME],MATCH(I242,INVESTOR_LIST[INVESTOR CODE],0),)," ")</f>
        <v xml:space="preserve"> </v>
      </c>
      <c r="I242" s="148" t="s">
        <v>348</v>
      </c>
      <c r="J242" s="149" t="s">
        <v>104</v>
      </c>
      <c r="K242" s="218">
        <v>7041.67</v>
      </c>
      <c r="L242" s="218"/>
      <c r="M242" s="147">
        <v>0</v>
      </c>
      <c r="Q242" s="133" t="s">
        <v>348</v>
      </c>
    </row>
    <row r="243" spans="1:17" x14ac:dyDescent="0.2">
      <c r="A243" s="144">
        <v>2020</v>
      </c>
      <c r="B243" s="144">
        <v>6</v>
      </c>
      <c r="C243" s="144">
        <v>4</v>
      </c>
      <c r="D243" s="141">
        <f t="shared" si="6"/>
        <v>43986</v>
      </c>
      <c r="E243" s="275">
        <f t="shared" si="7"/>
        <v>43986</v>
      </c>
      <c r="F243" s="480"/>
      <c r="G243" s="221" t="s">
        <v>94</v>
      </c>
      <c r="H243" s="221" t="str" cm="1">
        <f t="array" ref="H243">IFERROR(INDEX(INVESTOR_LIST[INVESTOR NAME],MATCH(I243,INVESTOR_LIST[INVESTOR CODE],0),)," ")</f>
        <v xml:space="preserve"> </v>
      </c>
      <c r="I243" s="145" t="s">
        <v>348</v>
      </c>
      <c r="J243" s="146" t="s">
        <v>51</v>
      </c>
      <c r="K243" s="219"/>
      <c r="L243" s="219">
        <v>7041.67</v>
      </c>
      <c r="M243" s="147">
        <v>1</v>
      </c>
      <c r="Q243" s="133" t="s">
        <v>348</v>
      </c>
    </row>
    <row r="244" spans="1:17" x14ac:dyDescent="0.2">
      <c r="A244" s="147">
        <v>2020</v>
      </c>
      <c r="B244" s="147">
        <v>6</v>
      </c>
      <c r="C244" s="147">
        <v>4</v>
      </c>
      <c r="D244" s="141">
        <f t="shared" si="6"/>
        <v>43986</v>
      </c>
      <c r="E244" s="275">
        <f t="shared" si="7"/>
        <v>43986</v>
      </c>
      <c r="F244" s="481" t="s">
        <v>105</v>
      </c>
      <c r="G244" s="174" t="s">
        <v>94</v>
      </c>
      <c r="H244" s="174" t="str" cm="1">
        <f t="array" ref="H244">IFERROR(INDEX(INVESTOR_LIST[INVESTOR NAME],MATCH(I244,INVESTOR_LIST[INVESTOR CODE],0),)," ")</f>
        <v xml:space="preserve"> </v>
      </c>
      <c r="I244" s="148" t="s">
        <v>348</v>
      </c>
      <c r="J244" s="149" t="s">
        <v>83</v>
      </c>
      <c r="K244" s="218">
        <v>4507.6000000000004</v>
      </c>
      <c r="L244" s="218"/>
      <c r="M244" s="147">
        <v>0</v>
      </c>
      <c r="Q244" s="133" t="s">
        <v>348</v>
      </c>
    </row>
    <row r="245" spans="1:17" x14ac:dyDescent="0.2">
      <c r="A245" s="144">
        <v>2020</v>
      </c>
      <c r="B245" s="144">
        <v>6</v>
      </c>
      <c r="C245" s="144">
        <v>4</v>
      </c>
      <c r="D245" s="141">
        <f t="shared" si="6"/>
        <v>43986</v>
      </c>
      <c r="E245" s="275">
        <f t="shared" si="7"/>
        <v>43986</v>
      </c>
      <c r="F245" s="480"/>
      <c r="G245" s="221" t="s">
        <v>94</v>
      </c>
      <c r="H245" s="221" t="str" cm="1">
        <f t="array" ref="H245">IFERROR(INDEX(INVESTOR_LIST[INVESTOR NAME],MATCH(I245,INVESTOR_LIST[INVESTOR CODE],0),)," ")</f>
        <v xml:space="preserve"> </v>
      </c>
      <c r="I245" s="145" t="s">
        <v>348</v>
      </c>
      <c r="J245" s="146" t="s">
        <v>108</v>
      </c>
      <c r="K245" s="219"/>
      <c r="L245" s="219">
        <v>4507.6000000000004</v>
      </c>
      <c r="M245" s="147">
        <v>0</v>
      </c>
      <c r="Q245" s="133" t="s">
        <v>348</v>
      </c>
    </row>
    <row r="246" spans="1:17" x14ac:dyDescent="0.2">
      <c r="A246" s="147">
        <v>2020</v>
      </c>
      <c r="B246" s="147">
        <v>6</v>
      </c>
      <c r="C246" s="147">
        <v>8</v>
      </c>
      <c r="D246" s="141">
        <f t="shared" si="6"/>
        <v>43990</v>
      </c>
      <c r="E246" s="275">
        <f t="shared" si="7"/>
        <v>43990</v>
      </c>
      <c r="F246" s="481" t="s">
        <v>264</v>
      </c>
      <c r="G246" s="174" t="s">
        <v>94</v>
      </c>
      <c r="H246" s="174" t="str" cm="1">
        <f t="array" ref="H246">IFERROR(INDEX(INVESTOR_LIST[INVESTOR NAME],MATCH(I246,INVESTOR_LIST[INVESTOR CODE],0),)," ")</f>
        <v xml:space="preserve"> </v>
      </c>
      <c r="I246" s="148" t="s">
        <v>348</v>
      </c>
      <c r="J246" s="149" t="s">
        <v>79</v>
      </c>
      <c r="K246" s="218">
        <v>4483403.5</v>
      </c>
      <c r="L246" s="218"/>
      <c r="M246" s="147">
        <v>1</v>
      </c>
      <c r="Q246" s="133" t="s">
        <v>348</v>
      </c>
    </row>
    <row r="247" spans="1:17" x14ac:dyDescent="0.2">
      <c r="A247" s="147">
        <v>2020</v>
      </c>
      <c r="B247" s="147">
        <v>6</v>
      </c>
      <c r="C247" s="147">
        <v>8</v>
      </c>
      <c r="D247" s="141">
        <f t="shared" si="6"/>
        <v>43990</v>
      </c>
      <c r="E247" s="275">
        <f t="shared" si="7"/>
        <v>43990</v>
      </c>
      <c r="F247" s="481"/>
      <c r="G247" s="174" t="s">
        <v>94</v>
      </c>
      <c r="H247" s="174" t="str" cm="1">
        <f t="array" ref="H247">IFERROR(INDEX(INVESTOR_LIST[INVESTOR NAME],MATCH(I247,INVESTOR_LIST[INVESTOR CODE],0),)," ")</f>
        <v xml:space="preserve"> </v>
      </c>
      <c r="I247" s="148" t="s">
        <v>348</v>
      </c>
      <c r="J247" s="149" t="s">
        <v>80</v>
      </c>
      <c r="K247" s="218">
        <v>8070.13</v>
      </c>
      <c r="L247" s="218"/>
      <c r="M247" s="147">
        <v>0</v>
      </c>
      <c r="Q247" s="133" t="s">
        <v>348</v>
      </c>
    </row>
    <row r="248" spans="1:17" x14ac:dyDescent="0.2">
      <c r="A248" s="144">
        <v>2020</v>
      </c>
      <c r="B248" s="144">
        <v>6</v>
      </c>
      <c r="C248" s="144">
        <v>8</v>
      </c>
      <c r="D248" s="141">
        <f t="shared" si="6"/>
        <v>43990</v>
      </c>
      <c r="E248" s="275">
        <f t="shared" si="7"/>
        <v>43990</v>
      </c>
      <c r="F248" s="480"/>
      <c r="G248" s="221" t="s">
        <v>94</v>
      </c>
      <c r="H248" s="221" t="str" cm="1">
        <f t="array" ref="H248">IFERROR(INDEX(INVESTOR_LIST[INVESTOR NAME],MATCH(I248,INVESTOR_LIST[INVESTOR CODE],0),)," ")</f>
        <v xml:space="preserve"> </v>
      </c>
      <c r="I248" s="145" t="s">
        <v>348</v>
      </c>
      <c r="J248" s="146" t="s">
        <v>147</v>
      </c>
      <c r="K248" s="219"/>
      <c r="L248" s="219">
        <v>4491473.63</v>
      </c>
      <c r="M248" s="147">
        <v>0</v>
      </c>
      <c r="Q248" s="133" t="s">
        <v>348</v>
      </c>
    </row>
    <row r="249" spans="1:17" x14ac:dyDescent="0.2">
      <c r="A249" s="147">
        <v>2020</v>
      </c>
      <c r="B249" s="147">
        <v>6</v>
      </c>
      <c r="C249" s="147">
        <v>9</v>
      </c>
      <c r="D249" s="141">
        <f t="shared" si="6"/>
        <v>43991</v>
      </c>
      <c r="E249" s="275">
        <f t="shared" si="7"/>
        <v>43991</v>
      </c>
      <c r="F249" s="479" t="s">
        <v>78</v>
      </c>
      <c r="G249" s="174" t="s">
        <v>74</v>
      </c>
      <c r="H249" s="174" t="str" cm="1">
        <f t="array" ref="H249">IFERROR(INDEX(INVESTOR_LIST[INVESTOR NAME],MATCH(I249,INVESTOR_LIST[INVESTOR CODE],0),)," ")</f>
        <v xml:space="preserve"> </v>
      </c>
      <c r="I249" s="148" t="s">
        <v>348</v>
      </c>
      <c r="J249" s="149" t="s">
        <v>147</v>
      </c>
      <c r="K249" s="218">
        <v>4491473.63</v>
      </c>
      <c r="L249" s="218"/>
      <c r="M249" s="147">
        <v>0</v>
      </c>
      <c r="Q249" s="133" t="s">
        <v>348</v>
      </c>
    </row>
    <row r="250" spans="1:17" x14ac:dyDescent="0.2">
      <c r="A250" s="147">
        <v>2020</v>
      </c>
      <c r="B250" s="147">
        <v>6</v>
      </c>
      <c r="C250" s="147">
        <v>9</v>
      </c>
      <c r="D250" s="141">
        <f t="shared" si="6"/>
        <v>43991</v>
      </c>
      <c r="E250" s="275">
        <f t="shared" si="7"/>
        <v>43991</v>
      </c>
      <c r="F250" s="480"/>
      <c r="G250" s="174" t="s">
        <v>74</v>
      </c>
      <c r="H250" s="174" t="str" cm="1">
        <f t="array" ref="H250">IFERROR(INDEX(INVESTOR_LIST[INVESTOR NAME],MATCH(I250,INVESTOR_LIST[INVESTOR CODE],0),)," ")</f>
        <v xml:space="preserve"> </v>
      </c>
      <c r="I250" s="148" t="s">
        <v>348</v>
      </c>
      <c r="J250" s="149" t="s">
        <v>52</v>
      </c>
      <c r="K250" s="218"/>
      <c r="L250" s="219">
        <v>4491473.63</v>
      </c>
      <c r="M250" s="147">
        <v>0</v>
      </c>
      <c r="Q250" s="133" t="s">
        <v>348</v>
      </c>
    </row>
    <row r="251" spans="1:17" x14ac:dyDescent="0.2">
      <c r="A251" s="141">
        <v>2020</v>
      </c>
      <c r="B251" s="141">
        <v>6</v>
      </c>
      <c r="C251" s="141">
        <v>9</v>
      </c>
      <c r="D251" s="141">
        <f t="shared" si="6"/>
        <v>43991</v>
      </c>
      <c r="E251" s="275">
        <f t="shared" si="7"/>
        <v>43991</v>
      </c>
      <c r="F251" s="479" t="s">
        <v>264</v>
      </c>
      <c r="G251" s="220" t="s">
        <v>94</v>
      </c>
      <c r="H251" s="220" t="str" cm="1">
        <f t="array" ref="H251">IFERROR(INDEX(INVESTOR_LIST[INVESTOR NAME],MATCH(I251,INVESTOR_LIST[INVESTOR CODE],0),)," ")</f>
        <v xml:space="preserve"> </v>
      </c>
      <c r="I251" s="142" t="s">
        <v>348</v>
      </c>
      <c r="J251" s="143" t="s">
        <v>79</v>
      </c>
      <c r="K251" s="226">
        <v>1758632</v>
      </c>
      <c r="L251" s="226"/>
      <c r="M251" s="147">
        <v>0</v>
      </c>
      <c r="Q251" s="133" t="s">
        <v>348</v>
      </c>
    </row>
    <row r="252" spans="1:17" x14ac:dyDescent="0.2">
      <c r="A252" s="147">
        <v>2020</v>
      </c>
      <c r="B252" s="147">
        <v>6</v>
      </c>
      <c r="C252" s="147">
        <v>9</v>
      </c>
      <c r="D252" s="141">
        <f t="shared" si="6"/>
        <v>43991</v>
      </c>
      <c r="E252" s="275">
        <f t="shared" si="7"/>
        <v>43991</v>
      </c>
      <c r="F252" s="481"/>
      <c r="G252" s="174" t="s">
        <v>94</v>
      </c>
      <c r="H252" s="174" t="str" cm="1">
        <f t="array" ref="H252">IFERROR(INDEX(INVESTOR_LIST[INVESTOR NAME],MATCH(I252,INVESTOR_LIST[INVESTOR CODE],0),)," ")</f>
        <v xml:space="preserve"> </v>
      </c>
      <c r="I252" s="148" t="s">
        <v>348</v>
      </c>
      <c r="J252" s="149" t="s">
        <v>80</v>
      </c>
      <c r="K252" s="218">
        <v>3165.54</v>
      </c>
      <c r="L252" s="218"/>
      <c r="M252" s="147">
        <v>0</v>
      </c>
      <c r="Q252" s="133" t="s">
        <v>348</v>
      </c>
    </row>
    <row r="253" spans="1:17" x14ac:dyDescent="0.2">
      <c r="A253" s="144">
        <v>2020</v>
      </c>
      <c r="B253" s="144">
        <v>6</v>
      </c>
      <c r="C253" s="144">
        <v>9</v>
      </c>
      <c r="D253" s="141">
        <f t="shared" si="6"/>
        <v>43991</v>
      </c>
      <c r="E253" s="275">
        <f t="shared" si="7"/>
        <v>43991</v>
      </c>
      <c r="F253" s="480"/>
      <c r="G253" s="221" t="s">
        <v>94</v>
      </c>
      <c r="H253" s="221" t="str" cm="1">
        <f t="array" ref="H253">IFERROR(INDEX(INVESTOR_LIST[INVESTOR NAME],MATCH(I253,INVESTOR_LIST[INVESTOR CODE],0),)," ")</f>
        <v xml:space="preserve"> </v>
      </c>
      <c r="I253" s="145" t="s">
        <v>348</v>
      </c>
      <c r="J253" s="146" t="s">
        <v>147</v>
      </c>
      <c r="K253" s="218"/>
      <c r="L253" s="219">
        <v>1761797.54</v>
      </c>
      <c r="M253" s="147">
        <v>0</v>
      </c>
      <c r="Q253" s="133" t="s">
        <v>348</v>
      </c>
    </row>
    <row r="254" spans="1:17" x14ac:dyDescent="0.2">
      <c r="A254" s="147">
        <v>2020</v>
      </c>
      <c r="B254" s="147">
        <v>6</v>
      </c>
      <c r="C254" s="147">
        <v>10</v>
      </c>
      <c r="D254" s="141">
        <f t="shared" si="6"/>
        <v>43992</v>
      </c>
      <c r="E254" s="275">
        <f t="shared" si="7"/>
        <v>43992</v>
      </c>
      <c r="F254" s="479" t="s">
        <v>78</v>
      </c>
      <c r="G254" s="174" t="s">
        <v>74</v>
      </c>
      <c r="H254" s="174" t="str" cm="1">
        <f t="array" ref="H254">IFERROR(INDEX(INVESTOR_LIST[INVESTOR NAME],MATCH(I254,INVESTOR_LIST[INVESTOR CODE],0),)," ")</f>
        <v xml:space="preserve"> </v>
      </c>
      <c r="I254" s="148" t="s">
        <v>348</v>
      </c>
      <c r="J254" s="149" t="s">
        <v>147</v>
      </c>
      <c r="K254" s="218">
        <v>1761797.54</v>
      </c>
      <c r="L254" s="218"/>
      <c r="M254" s="147">
        <v>0</v>
      </c>
      <c r="Q254" s="133" t="s">
        <v>348</v>
      </c>
    </row>
    <row r="255" spans="1:17" x14ac:dyDescent="0.2">
      <c r="A255" s="147">
        <v>2020</v>
      </c>
      <c r="B255" s="147">
        <v>6</v>
      </c>
      <c r="C255" s="147">
        <v>10</v>
      </c>
      <c r="D255" s="141">
        <f t="shared" si="6"/>
        <v>43992</v>
      </c>
      <c r="E255" s="275">
        <f t="shared" si="7"/>
        <v>43992</v>
      </c>
      <c r="F255" s="480"/>
      <c r="G255" s="174" t="s">
        <v>74</v>
      </c>
      <c r="H255" s="174" t="str" cm="1">
        <f t="array" ref="H255">IFERROR(INDEX(INVESTOR_LIST[INVESTOR NAME],MATCH(I255,INVESTOR_LIST[INVESTOR CODE],0),)," ")</f>
        <v xml:space="preserve"> </v>
      </c>
      <c r="I255" s="148" t="s">
        <v>348</v>
      </c>
      <c r="J255" s="149" t="s">
        <v>52</v>
      </c>
      <c r="K255" s="218"/>
      <c r="L255" s="218">
        <v>1761797.54</v>
      </c>
      <c r="M255" s="147">
        <v>0</v>
      </c>
      <c r="Q255" s="133" t="s">
        <v>348</v>
      </c>
    </row>
    <row r="256" spans="1:17" x14ac:dyDescent="0.2">
      <c r="A256" s="141">
        <v>2020</v>
      </c>
      <c r="B256" s="141">
        <v>6</v>
      </c>
      <c r="C256" s="141">
        <v>11</v>
      </c>
      <c r="D256" s="141">
        <f t="shared" si="6"/>
        <v>43993</v>
      </c>
      <c r="E256" s="275">
        <f t="shared" si="7"/>
        <v>43993</v>
      </c>
      <c r="F256" s="479" t="s">
        <v>87</v>
      </c>
      <c r="G256" s="220" t="s">
        <v>94</v>
      </c>
      <c r="H256" s="220" t="str" cm="1">
        <f t="array" ref="H256">IFERROR(INDEX(INVESTOR_LIST[INVESTOR NAME],MATCH(I256,INVESTOR_LIST[INVESTOR CODE],0),)," ")</f>
        <v xml:space="preserve"> </v>
      </c>
      <c r="I256" s="142" t="s">
        <v>348</v>
      </c>
      <c r="J256" s="143" t="s">
        <v>67</v>
      </c>
      <c r="K256" s="226">
        <v>50000</v>
      </c>
      <c r="L256" s="226"/>
      <c r="M256" s="147">
        <v>0</v>
      </c>
      <c r="Q256" s="133" t="s">
        <v>348</v>
      </c>
    </row>
    <row r="257" spans="1:17" x14ac:dyDescent="0.2">
      <c r="A257" s="144">
        <v>2020</v>
      </c>
      <c r="B257" s="144">
        <v>6</v>
      </c>
      <c r="C257" s="144">
        <v>11</v>
      </c>
      <c r="D257" s="141">
        <f t="shared" si="6"/>
        <v>43993</v>
      </c>
      <c r="E257" s="275">
        <f t="shared" si="7"/>
        <v>43993</v>
      </c>
      <c r="F257" s="480"/>
      <c r="G257" s="221" t="s">
        <v>94</v>
      </c>
      <c r="H257" s="221" t="str" cm="1">
        <f t="array" ref="H257">IFERROR(INDEX(INVESTOR_LIST[INVESTOR NAME],MATCH(I257,INVESTOR_LIST[INVESTOR CODE],0),)," ")</f>
        <v xml:space="preserve"> </v>
      </c>
      <c r="I257" s="145" t="s">
        <v>348</v>
      </c>
      <c r="J257" s="146" t="s">
        <v>60</v>
      </c>
      <c r="K257" s="219"/>
      <c r="L257" s="219">
        <v>50000</v>
      </c>
      <c r="M257" s="147">
        <v>0</v>
      </c>
      <c r="Q257" s="133" t="s">
        <v>348</v>
      </c>
    </row>
    <row r="258" spans="1:17" ht="22.5" x14ac:dyDescent="0.2">
      <c r="A258" s="147">
        <v>2020</v>
      </c>
      <c r="B258" s="147">
        <v>6</v>
      </c>
      <c r="C258" s="147">
        <v>11</v>
      </c>
      <c r="D258" s="141">
        <f t="shared" si="6"/>
        <v>43993</v>
      </c>
      <c r="E258" s="275">
        <f t="shared" si="7"/>
        <v>43993</v>
      </c>
      <c r="F258" s="481" t="s">
        <v>88</v>
      </c>
      <c r="G258" s="174" t="s">
        <v>94</v>
      </c>
      <c r="H258" s="174" t="str" cm="1">
        <f t="array" ref="H258">IFERROR(INDEX(INVESTOR_LIST[INVESTOR NAME],MATCH(I258,INVESTOR_LIST[INVESTOR CODE],0),)," ")</f>
        <v xml:space="preserve"> </v>
      </c>
      <c r="I258" s="148" t="s">
        <v>348</v>
      </c>
      <c r="J258" s="149" t="s">
        <v>95</v>
      </c>
      <c r="K258" s="218">
        <v>2747.1</v>
      </c>
      <c r="L258" s="218"/>
      <c r="M258" s="147">
        <v>0</v>
      </c>
      <c r="Q258" s="133" t="s">
        <v>348</v>
      </c>
    </row>
    <row r="259" spans="1:17" x14ac:dyDescent="0.2">
      <c r="A259" s="144">
        <v>2020</v>
      </c>
      <c r="B259" s="144">
        <v>6</v>
      </c>
      <c r="C259" s="144">
        <v>11</v>
      </c>
      <c r="D259" s="141">
        <f t="shared" si="6"/>
        <v>43993</v>
      </c>
      <c r="E259" s="275">
        <f t="shared" si="7"/>
        <v>43993</v>
      </c>
      <c r="F259" s="480"/>
      <c r="G259" s="221" t="s">
        <v>94</v>
      </c>
      <c r="H259" s="221" t="str" cm="1">
        <f t="array" ref="H259">IFERROR(INDEX(INVESTOR_LIST[INVESTOR NAME],MATCH(I259,INVESTOR_LIST[INVESTOR CODE],0),)," ")</f>
        <v xml:space="preserve"> </v>
      </c>
      <c r="I259" s="145" t="s">
        <v>348</v>
      </c>
      <c r="J259" s="146" t="s">
        <v>63</v>
      </c>
      <c r="K259" s="219"/>
      <c r="L259" s="219">
        <v>2747.1</v>
      </c>
      <c r="M259" s="147">
        <v>0</v>
      </c>
      <c r="Q259" s="133" t="s">
        <v>348</v>
      </c>
    </row>
    <row r="260" spans="1:17" x14ac:dyDescent="0.2">
      <c r="A260" s="147">
        <v>2020</v>
      </c>
      <c r="B260" s="147">
        <v>6</v>
      </c>
      <c r="C260" s="147">
        <v>11</v>
      </c>
      <c r="D260" s="141">
        <f t="shared" si="6"/>
        <v>43993</v>
      </c>
      <c r="E260" s="275">
        <f t="shared" si="7"/>
        <v>43993</v>
      </c>
      <c r="F260" s="481" t="s">
        <v>89</v>
      </c>
      <c r="G260" s="174" t="s">
        <v>94</v>
      </c>
      <c r="H260" s="174" t="str" cm="1">
        <f t="array" ref="H260">IFERROR(INDEX(INVESTOR_LIST[INVESTOR NAME],MATCH(I260,INVESTOR_LIST[INVESTOR CODE],0),)," ")</f>
        <v xml:space="preserve"> </v>
      </c>
      <c r="I260" s="148" t="s">
        <v>348</v>
      </c>
      <c r="J260" s="149" t="s">
        <v>97</v>
      </c>
      <c r="K260" s="218">
        <v>25778.39</v>
      </c>
      <c r="L260" s="218"/>
      <c r="M260" s="147">
        <v>0</v>
      </c>
      <c r="Q260" s="133" t="s">
        <v>348</v>
      </c>
    </row>
    <row r="261" spans="1:17" x14ac:dyDescent="0.2">
      <c r="A261" s="144">
        <v>2020</v>
      </c>
      <c r="B261" s="144">
        <v>6</v>
      </c>
      <c r="C261" s="144">
        <v>11</v>
      </c>
      <c r="D261" s="141">
        <f t="shared" si="6"/>
        <v>43993</v>
      </c>
      <c r="E261" s="275">
        <f t="shared" si="7"/>
        <v>43993</v>
      </c>
      <c r="F261" s="480"/>
      <c r="G261" s="221" t="s">
        <v>94</v>
      </c>
      <c r="H261" s="221" t="str" cm="1">
        <f t="array" ref="H261">IFERROR(INDEX(INVESTOR_LIST[INVESTOR NAME],MATCH(I261,INVESTOR_LIST[INVESTOR CODE],0),)," ")</f>
        <v xml:space="preserve"> </v>
      </c>
      <c r="I261" s="145" t="s">
        <v>348</v>
      </c>
      <c r="J261" s="146" t="s">
        <v>47</v>
      </c>
      <c r="K261" s="219"/>
      <c r="L261" s="219">
        <v>25778.39</v>
      </c>
      <c r="M261" s="147">
        <v>0</v>
      </c>
      <c r="Q261" s="133" t="s">
        <v>348</v>
      </c>
    </row>
    <row r="262" spans="1:17" x14ac:dyDescent="0.2">
      <c r="A262" s="147">
        <v>2020</v>
      </c>
      <c r="B262" s="147">
        <v>6</v>
      </c>
      <c r="C262" s="147">
        <v>11</v>
      </c>
      <c r="D262" s="141">
        <f t="shared" si="6"/>
        <v>43993</v>
      </c>
      <c r="E262" s="275">
        <f t="shared" si="7"/>
        <v>43993</v>
      </c>
      <c r="F262" s="481" t="s">
        <v>90</v>
      </c>
      <c r="G262" s="174" t="s">
        <v>94</v>
      </c>
      <c r="H262" s="174" t="str" cm="1">
        <f t="array" ref="H262">IFERROR(INDEX(INVESTOR_LIST[INVESTOR NAME],MATCH(I262,INVESTOR_LIST[INVESTOR CODE],0),)," ")</f>
        <v xml:space="preserve"> </v>
      </c>
      <c r="I262" s="148" t="s">
        <v>348</v>
      </c>
      <c r="J262" s="149" t="s">
        <v>100</v>
      </c>
      <c r="K262" s="218">
        <v>1049</v>
      </c>
      <c r="L262" s="218"/>
      <c r="M262" s="147">
        <v>0</v>
      </c>
      <c r="Q262" s="133" t="s">
        <v>348</v>
      </c>
    </row>
    <row r="263" spans="1:17" x14ac:dyDescent="0.2">
      <c r="A263" s="144">
        <v>2020</v>
      </c>
      <c r="B263" s="144">
        <v>6</v>
      </c>
      <c r="C263" s="144">
        <v>11</v>
      </c>
      <c r="D263" s="141">
        <f t="shared" si="6"/>
        <v>43993</v>
      </c>
      <c r="E263" s="275">
        <f t="shared" si="7"/>
        <v>43993</v>
      </c>
      <c r="F263" s="480"/>
      <c r="G263" s="221" t="s">
        <v>94</v>
      </c>
      <c r="H263" s="221" t="str" cm="1">
        <f t="array" ref="H263">IFERROR(INDEX(INVESTOR_LIST[INVESTOR NAME],MATCH(I263,INVESTOR_LIST[INVESTOR CODE],0),)," ")</f>
        <v xml:space="preserve"> </v>
      </c>
      <c r="I263" s="145" t="s">
        <v>348</v>
      </c>
      <c r="J263" s="146" t="s">
        <v>48</v>
      </c>
      <c r="K263" s="219"/>
      <c r="L263" s="219">
        <v>1049</v>
      </c>
      <c r="M263" s="147">
        <v>3</v>
      </c>
      <c r="Q263" s="133" t="s">
        <v>348</v>
      </c>
    </row>
    <row r="264" spans="1:17" x14ac:dyDescent="0.2">
      <c r="A264" s="147">
        <v>2020</v>
      </c>
      <c r="B264" s="147">
        <v>6</v>
      </c>
      <c r="C264" s="147">
        <v>11</v>
      </c>
      <c r="D264" s="141">
        <f t="shared" si="6"/>
        <v>43993</v>
      </c>
      <c r="E264" s="275">
        <f t="shared" si="7"/>
        <v>43993</v>
      </c>
      <c r="F264" s="481" t="s">
        <v>91</v>
      </c>
      <c r="G264" s="174" t="s">
        <v>94</v>
      </c>
      <c r="H264" s="174" t="str" cm="1">
        <f t="array" ref="H264">IFERROR(INDEX(INVESTOR_LIST[INVESTOR NAME],MATCH(I264,INVESTOR_LIST[INVESTOR CODE],0),)," ")</f>
        <v xml:space="preserve"> </v>
      </c>
      <c r="I264" s="148" t="s">
        <v>348</v>
      </c>
      <c r="J264" s="149" t="s">
        <v>101</v>
      </c>
      <c r="K264" s="218">
        <v>1544.16</v>
      </c>
      <c r="L264" s="218"/>
      <c r="M264" s="147">
        <v>0</v>
      </c>
      <c r="Q264" s="133" t="s">
        <v>348</v>
      </c>
    </row>
    <row r="265" spans="1:17" x14ac:dyDescent="0.2">
      <c r="A265" s="144">
        <v>2020</v>
      </c>
      <c r="B265" s="144">
        <v>6</v>
      </c>
      <c r="C265" s="144">
        <v>11</v>
      </c>
      <c r="D265" s="141">
        <f t="shared" si="6"/>
        <v>43993</v>
      </c>
      <c r="E265" s="275">
        <f t="shared" si="7"/>
        <v>43993</v>
      </c>
      <c r="F265" s="480"/>
      <c r="G265" s="221" t="s">
        <v>94</v>
      </c>
      <c r="H265" s="221" t="str" cm="1">
        <f t="array" ref="H265">IFERROR(INDEX(INVESTOR_LIST[INVESTOR NAME],MATCH(I265,INVESTOR_LIST[INVESTOR CODE],0),)," ")</f>
        <v xml:space="preserve"> </v>
      </c>
      <c r="I265" s="145" t="s">
        <v>348</v>
      </c>
      <c r="J265" s="146" t="s">
        <v>102</v>
      </c>
      <c r="K265" s="219"/>
      <c r="L265" s="219">
        <v>1544.16</v>
      </c>
      <c r="M265" s="147">
        <v>0</v>
      </c>
      <c r="Q265" s="133" t="s">
        <v>348</v>
      </c>
    </row>
    <row r="266" spans="1:17" x14ac:dyDescent="0.2">
      <c r="A266" s="147">
        <v>2020</v>
      </c>
      <c r="B266" s="147">
        <v>6</v>
      </c>
      <c r="C266" s="147">
        <v>11</v>
      </c>
      <c r="D266" s="141">
        <f t="shared" si="6"/>
        <v>43993</v>
      </c>
      <c r="E266" s="275">
        <f t="shared" si="7"/>
        <v>43993</v>
      </c>
      <c r="F266" s="481" t="s">
        <v>92</v>
      </c>
      <c r="G266" s="174" t="s">
        <v>94</v>
      </c>
      <c r="H266" s="174" t="str" cm="1">
        <f t="array" ref="H266">IFERROR(INDEX(INVESTOR_LIST[INVESTOR NAME],MATCH(I266,INVESTOR_LIST[INVESTOR CODE],0),)," ")</f>
        <v xml:space="preserve"> </v>
      </c>
      <c r="I266" s="148" t="s">
        <v>348</v>
      </c>
      <c r="J266" s="149" t="s">
        <v>103</v>
      </c>
      <c r="K266" s="218">
        <v>729.17</v>
      </c>
      <c r="L266" s="218"/>
      <c r="M266" s="147">
        <v>0</v>
      </c>
      <c r="N266" s="481" t="s">
        <v>271</v>
      </c>
      <c r="O266" s="156"/>
      <c r="P266" s="156"/>
      <c r="Q266" s="133" t="s">
        <v>348</v>
      </c>
    </row>
    <row r="267" spans="1:17" x14ac:dyDescent="0.2">
      <c r="A267" s="144">
        <v>2020</v>
      </c>
      <c r="B267" s="144">
        <v>6</v>
      </c>
      <c r="C267" s="144">
        <v>11</v>
      </c>
      <c r="D267" s="141">
        <f t="shared" ref="D267:D332" si="10">DATE(A267,B267,C267)</f>
        <v>43993</v>
      </c>
      <c r="E267" s="275">
        <f t="shared" si="7"/>
        <v>43993</v>
      </c>
      <c r="F267" s="480"/>
      <c r="G267" s="221" t="s">
        <v>94</v>
      </c>
      <c r="H267" s="221" t="str" cm="1">
        <f t="array" ref="H267">IFERROR(INDEX(INVESTOR_LIST[INVESTOR NAME],MATCH(I267,INVESTOR_LIST[INVESTOR CODE],0),)," ")</f>
        <v xml:space="preserve"> </v>
      </c>
      <c r="I267" s="145" t="s">
        <v>348</v>
      </c>
      <c r="J267" s="146" t="s">
        <v>50</v>
      </c>
      <c r="K267" s="219"/>
      <c r="L267" s="219">
        <v>729.17</v>
      </c>
      <c r="M267" s="147">
        <v>0</v>
      </c>
      <c r="N267" s="481"/>
      <c r="P267" s="156"/>
      <c r="Q267" s="133" t="s">
        <v>348</v>
      </c>
    </row>
    <row r="268" spans="1:17" x14ac:dyDescent="0.2">
      <c r="A268" s="147">
        <v>2020</v>
      </c>
      <c r="B268" s="147">
        <v>6</v>
      </c>
      <c r="C268" s="147">
        <v>11</v>
      </c>
      <c r="D268" s="141">
        <f t="shared" si="10"/>
        <v>43993</v>
      </c>
      <c r="E268" s="275">
        <f t="shared" ref="E268:E333" si="11">DATE(A268,B268,C268)</f>
        <v>43993</v>
      </c>
      <c r="F268" s="481" t="s">
        <v>93</v>
      </c>
      <c r="G268" s="174" t="s">
        <v>94</v>
      </c>
      <c r="H268" s="174" t="str" cm="1">
        <f t="array" ref="H268">IFERROR(INDEX(INVESTOR_LIST[INVESTOR NAME],MATCH(I268,INVESTOR_LIST[INVESTOR CODE],0),)," ")</f>
        <v xml:space="preserve"> </v>
      </c>
      <c r="I268" s="148" t="s">
        <v>348</v>
      </c>
      <c r="J268" s="149" t="s">
        <v>104</v>
      </c>
      <c r="K268" s="218">
        <v>631.94000000000005</v>
      </c>
      <c r="L268" s="218"/>
      <c r="M268" s="147">
        <v>0</v>
      </c>
      <c r="N268" s="481"/>
      <c r="P268" s="156"/>
      <c r="Q268" s="133" t="s">
        <v>348</v>
      </c>
    </row>
    <row r="269" spans="1:17" x14ac:dyDescent="0.2">
      <c r="A269" s="144">
        <v>2020</v>
      </c>
      <c r="B269" s="144">
        <v>6</v>
      </c>
      <c r="C269" s="144">
        <v>11</v>
      </c>
      <c r="D269" s="141">
        <f t="shared" si="10"/>
        <v>43993</v>
      </c>
      <c r="E269" s="275">
        <f t="shared" si="11"/>
        <v>43993</v>
      </c>
      <c r="F269" s="480"/>
      <c r="G269" s="221" t="s">
        <v>94</v>
      </c>
      <c r="H269" s="221" t="str" cm="1">
        <f t="array" ref="H269">IFERROR(INDEX(INVESTOR_LIST[INVESTOR NAME],MATCH(I269,INVESTOR_LIST[INVESTOR CODE],0),)," ")</f>
        <v xml:space="preserve"> </v>
      </c>
      <c r="I269" s="145" t="s">
        <v>348</v>
      </c>
      <c r="J269" s="146" t="s">
        <v>51</v>
      </c>
      <c r="K269" s="219"/>
      <c r="L269" s="219">
        <v>631.94000000000005</v>
      </c>
      <c r="M269" s="147">
        <v>0</v>
      </c>
      <c r="Q269" s="133" t="s">
        <v>348</v>
      </c>
    </row>
    <row r="270" spans="1:17" x14ac:dyDescent="0.2">
      <c r="A270" s="147">
        <v>2020</v>
      </c>
      <c r="B270" s="147">
        <v>6</v>
      </c>
      <c r="C270" s="147">
        <v>11</v>
      </c>
      <c r="D270" s="141">
        <f t="shared" si="10"/>
        <v>43993</v>
      </c>
      <c r="E270" s="275">
        <f t="shared" si="11"/>
        <v>43993</v>
      </c>
      <c r="F270" s="481" t="s">
        <v>105</v>
      </c>
      <c r="G270" s="174" t="s">
        <v>94</v>
      </c>
      <c r="H270" s="174" t="str" cm="1">
        <f t="array" ref="H270">IFERROR(INDEX(INVESTOR_LIST[INVESTOR NAME],MATCH(I270,INVESTOR_LIST[INVESTOR CODE],0),)," ")</f>
        <v xml:space="preserve"> </v>
      </c>
      <c r="I270" s="148" t="s">
        <v>348</v>
      </c>
      <c r="J270" s="149" t="s">
        <v>108</v>
      </c>
      <c r="K270" s="218">
        <v>15964.5</v>
      </c>
      <c r="L270" s="218"/>
      <c r="M270" s="147">
        <v>0</v>
      </c>
      <c r="Q270" s="133" t="s">
        <v>348</v>
      </c>
    </row>
    <row r="271" spans="1:17" x14ac:dyDescent="0.2">
      <c r="A271" s="144">
        <v>2020</v>
      </c>
      <c r="B271" s="144">
        <v>6</v>
      </c>
      <c r="C271" s="144">
        <v>11</v>
      </c>
      <c r="D271" s="141">
        <f t="shared" si="10"/>
        <v>43993</v>
      </c>
      <c r="E271" s="275">
        <f t="shared" si="11"/>
        <v>43993</v>
      </c>
      <c r="F271" s="480"/>
      <c r="G271" s="221" t="s">
        <v>94</v>
      </c>
      <c r="H271" s="221" t="str" cm="1">
        <f t="array" ref="H271">IFERROR(INDEX(INVESTOR_LIST[INVESTOR NAME],MATCH(I271,INVESTOR_LIST[INVESTOR CODE],0),)," ")</f>
        <v xml:space="preserve"> </v>
      </c>
      <c r="I271" s="145" t="s">
        <v>348</v>
      </c>
      <c r="J271" s="146" t="s">
        <v>82</v>
      </c>
      <c r="K271" s="219"/>
      <c r="L271" s="219">
        <v>15964.5</v>
      </c>
      <c r="M271" s="147">
        <v>0</v>
      </c>
      <c r="Q271" s="133" t="s">
        <v>348</v>
      </c>
    </row>
    <row r="272" spans="1:17" x14ac:dyDescent="0.2">
      <c r="A272" s="147">
        <v>2020</v>
      </c>
      <c r="B272" s="147">
        <v>6</v>
      </c>
      <c r="C272" s="147">
        <v>14</v>
      </c>
      <c r="D272" s="141">
        <f t="shared" si="10"/>
        <v>43996</v>
      </c>
      <c r="E272" s="275">
        <f t="shared" si="11"/>
        <v>43996</v>
      </c>
      <c r="F272" s="481" t="s">
        <v>264</v>
      </c>
      <c r="G272" s="174" t="s">
        <v>94</v>
      </c>
      <c r="H272" s="174" t="str" cm="1">
        <f t="array" ref="H272">IFERROR(INDEX(INVESTOR_LIST[INVESTOR NAME],MATCH(I272,INVESTOR_LIST[INVESTOR CODE],0),)," ")</f>
        <v xml:space="preserve"> </v>
      </c>
      <c r="I272" s="148" t="s">
        <v>348</v>
      </c>
      <c r="J272" s="149" t="s">
        <v>79</v>
      </c>
      <c r="K272" s="218">
        <v>705738</v>
      </c>
      <c r="L272" s="218"/>
      <c r="M272" s="147">
        <v>0</v>
      </c>
      <c r="Q272" s="133" t="s">
        <v>348</v>
      </c>
    </row>
    <row r="273" spans="1:17" x14ac:dyDescent="0.2">
      <c r="A273" s="147">
        <v>2020</v>
      </c>
      <c r="B273" s="147">
        <v>6</v>
      </c>
      <c r="C273" s="147">
        <v>14</v>
      </c>
      <c r="D273" s="141">
        <f t="shared" si="10"/>
        <v>43996</v>
      </c>
      <c r="E273" s="275">
        <f t="shared" si="11"/>
        <v>43996</v>
      </c>
      <c r="F273" s="481"/>
      <c r="G273" s="174" t="s">
        <v>94</v>
      </c>
      <c r="H273" s="174" t="str" cm="1">
        <f t="array" ref="H273">IFERROR(INDEX(INVESTOR_LIST[INVESTOR NAME],MATCH(I273,INVESTOR_LIST[INVESTOR CODE],0),)," ")</f>
        <v xml:space="preserve"> </v>
      </c>
      <c r="I273" s="148" t="s">
        <v>348</v>
      </c>
      <c r="J273" s="149" t="s">
        <v>80</v>
      </c>
      <c r="K273" s="218">
        <v>1270.33</v>
      </c>
      <c r="L273" s="218"/>
      <c r="M273" s="147">
        <v>0</v>
      </c>
      <c r="Q273" s="133" t="s">
        <v>348</v>
      </c>
    </row>
    <row r="274" spans="1:17" x14ac:dyDescent="0.2">
      <c r="A274" s="144">
        <v>2020</v>
      </c>
      <c r="B274" s="144">
        <v>6</v>
      </c>
      <c r="C274" s="144">
        <v>14</v>
      </c>
      <c r="D274" s="141">
        <f t="shared" si="10"/>
        <v>43996</v>
      </c>
      <c r="E274" s="275">
        <f t="shared" si="11"/>
        <v>43996</v>
      </c>
      <c r="F274" s="480"/>
      <c r="G274" s="221" t="s">
        <v>94</v>
      </c>
      <c r="H274" s="221" t="str" cm="1">
        <f t="array" ref="H274">IFERROR(INDEX(INVESTOR_LIST[INVESTOR NAME],MATCH(I274,INVESTOR_LIST[INVESTOR CODE],0),)," ")</f>
        <v xml:space="preserve"> </v>
      </c>
      <c r="I274" s="145" t="s">
        <v>348</v>
      </c>
      <c r="J274" s="146" t="s">
        <v>147</v>
      </c>
      <c r="K274" s="219"/>
      <c r="L274" s="219">
        <v>707008.33</v>
      </c>
      <c r="M274" s="147">
        <v>0</v>
      </c>
      <c r="Q274" s="133" t="s">
        <v>348</v>
      </c>
    </row>
    <row r="275" spans="1:17" x14ac:dyDescent="0.2">
      <c r="A275" s="141">
        <v>2020</v>
      </c>
      <c r="B275" s="141">
        <v>6</v>
      </c>
      <c r="C275" s="141">
        <v>15</v>
      </c>
      <c r="D275" s="141">
        <f t="shared" si="10"/>
        <v>43997</v>
      </c>
      <c r="E275" s="275">
        <f t="shared" si="11"/>
        <v>43997</v>
      </c>
      <c r="F275" s="479" t="s">
        <v>78</v>
      </c>
      <c r="G275" s="220" t="s">
        <v>74</v>
      </c>
      <c r="H275" s="220" t="str" cm="1">
        <f t="array" ref="H275">IFERROR(INDEX(INVESTOR_LIST[INVESTOR NAME],MATCH(I275,INVESTOR_LIST[INVESTOR CODE],0),)," ")</f>
        <v xml:space="preserve"> </v>
      </c>
      <c r="I275" s="142" t="s">
        <v>348</v>
      </c>
      <c r="J275" s="143" t="s">
        <v>147</v>
      </c>
      <c r="K275" s="226">
        <v>707008.33</v>
      </c>
      <c r="L275" s="226"/>
      <c r="M275" s="147">
        <v>0</v>
      </c>
      <c r="Q275" s="133" t="s">
        <v>348</v>
      </c>
    </row>
    <row r="276" spans="1:17" x14ac:dyDescent="0.2">
      <c r="A276" s="144">
        <v>2020</v>
      </c>
      <c r="B276" s="144">
        <v>6</v>
      </c>
      <c r="C276" s="144">
        <v>15</v>
      </c>
      <c r="D276" s="141">
        <f t="shared" si="10"/>
        <v>43997</v>
      </c>
      <c r="E276" s="275">
        <f t="shared" si="11"/>
        <v>43997</v>
      </c>
      <c r="F276" s="480"/>
      <c r="G276" s="221" t="s">
        <v>74</v>
      </c>
      <c r="H276" s="221" t="str" cm="1">
        <f t="array" ref="H276">IFERROR(INDEX(INVESTOR_LIST[INVESTOR NAME],MATCH(I276,INVESTOR_LIST[INVESTOR CODE],0),)," ")</f>
        <v xml:space="preserve"> </v>
      </c>
      <c r="I276" s="145" t="s">
        <v>348</v>
      </c>
      <c r="J276" s="146" t="s">
        <v>52</v>
      </c>
      <c r="K276" s="219"/>
      <c r="L276" s="219">
        <v>707008.33</v>
      </c>
      <c r="M276" s="147">
        <v>0</v>
      </c>
      <c r="Q276" s="133" t="s">
        <v>348</v>
      </c>
    </row>
    <row r="277" spans="1:17" x14ac:dyDescent="0.2">
      <c r="A277" s="147">
        <v>2020</v>
      </c>
      <c r="B277" s="147">
        <v>6</v>
      </c>
      <c r="C277" s="147">
        <v>15</v>
      </c>
      <c r="D277" s="141">
        <f t="shared" si="10"/>
        <v>43997</v>
      </c>
      <c r="E277" s="275">
        <f t="shared" si="11"/>
        <v>43997</v>
      </c>
      <c r="F277" s="481" t="s">
        <v>81</v>
      </c>
      <c r="G277" s="174" t="s">
        <v>74</v>
      </c>
      <c r="H277" s="174" t="str" cm="1">
        <f t="array" ref="H277">IFERROR(INDEX(INVESTOR_LIST[INVESTOR NAME],MATCH(I277,INVESTOR_LIST[INVESTOR CODE],0),)," ")</f>
        <v xml:space="preserve"> </v>
      </c>
      <c r="I277" s="148" t="s">
        <v>348</v>
      </c>
      <c r="J277" s="149" t="s">
        <v>96</v>
      </c>
      <c r="K277" s="218">
        <v>5000000</v>
      </c>
      <c r="L277" s="218"/>
      <c r="M277" s="147">
        <v>0</v>
      </c>
      <c r="Q277" s="133" t="s">
        <v>348</v>
      </c>
    </row>
    <row r="278" spans="1:17" x14ac:dyDescent="0.2">
      <c r="A278" s="144">
        <v>2020</v>
      </c>
      <c r="B278" s="144">
        <v>6</v>
      </c>
      <c r="C278" s="144">
        <v>15</v>
      </c>
      <c r="D278" s="141">
        <f t="shared" si="10"/>
        <v>43997</v>
      </c>
      <c r="E278" s="275">
        <f t="shared" si="11"/>
        <v>43997</v>
      </c>
      <c r="F278" s="480"/>
      <c r="G278" s="221" t="s">
        <v>74</v>
      </c>
      <c r="H278" s="221" t="str" cm="1">
        <f t="array" ref="H278">IFERROR(INDEX(INVESTOR_LIST[INVESTOR NAME],MATCH(I278,INVESTOR_LIST[INVESTOR CODE],0),)," ")</f>
        <v xml:space="preserve"> </v>
      </c>
      <c r="I278" s="145" t="s">
        <v>348</v>
      </c>
      <c r="J278" s="146" t="s">
        <v>52</v>
      </c>
      <c r="K278" s="219"/>
      <c r="L278" s="219">
        <v>5000000</v>
      </c>
      <c r="M278" s="147">
        <v>0</v>
      </c>
      <c r="Q278" s="133" t="s">
        <v>348</v>
      </c>
    </row>
    <row r="279" spans="1:17" x14ac:dyDescent="0.2">
      <c r="A279" s="147">
        <v>2020</v>
      </c>
      <c r="B279" s="147">
        <v>6</v>
      </c>
      <c r="C279" s="147">
        <v>15</v>
      </c>
      <c r="D279" s="141">
        <f t="shared" si="10"/>
        <v>43997</v>
      </c>
      <c r="E279" s="275">
        <f t="shared" si="11"/>
        <v>43997</v>
      </c>
      <c r="F279" s="481" t="s">
        <v>81</v>
      </c>
      <c r="G279" s="174" t="s">
        <v>74</v>
      </c>
      <c r="H279" s="174" t="str" cm="1">
        <f t="array" ref="H279">IFERROR(INDEX(INVESTOR_LIST[INVESTOR NAME],MATCH(I279,INVESTOR_LIST[INVESTOR CODE],0),)," ")</f>
        <v xml:space="preserve"> </v>
      </c>
      <c r="I279" s="148" t="s">
        <v>348</v>
      </c>
      <c r="J279" s="149" t="s">
        <v>96</v>
      </c>
      <c r="K279" s="218">
        <v>5000000</v>
      </c>
      <c r="L279" s="218"/>
      <c r="M279" s="147">
        <v>0</v>
      </c>
      <c r="Q279" s="133" t="s">
        <v>348</v>
      </c>
    </row>
    <row r="280" spans="1:17" x14ac:dyDescent="0.2">
      <c r="A280" s="144">
        <v>2020</v>
      </c>
      <c r="B280" s="144">
        <v>6</v>
      </c>
      <c r="C280" s="144">
        <v>15</v>
      </c>
      <c r="D280" s="141">
        <f t="shared" si="10"/>
        <v>43997</v>
      </c>
      <c r="E280" s="275">
        <f t="shared" si="11"/>
        <v>43997</v>
      </c>
      <c r="F280" s="480"/>
      <c r="G280" s="221" t="s">
        <v>74</v>
      </c>
      <c r="H280" s="221" t="str" cm="1">
        <f t="array" ref="H280">IFERROR(INDEX(INVESTOR_LIST[INVESTOR NAME],MATCH(I280,INVESTOR_LIST[INVESTOR CODE],0),)," ")</f>
        <v xml:space="preserve"> </v>
      </c>
      <c r="I280" s="145" t="s">
        <v>348</v>
      </c>
      <c r="J280" s="146" t="s">
        <v>52</v>
      </c>
      <c r="K280" s="219"/>
      <c r="L280" s="219">
        <v>5000000</v>
      </c>
      <c r="M280" s="147">
        <v>0</v>
      </c>
      <c r="Q280" s="133" t="s">
        <v>348</v>
      </c>
    </row>
    <row r="281" spans="1:17" x14ac:dyDescent="0.2">
      <c r="A281" s="147">
        <v>2020</v>
      </c>
      <c r="B281" s="147">
        <v>6</v>
      </c>
      <c r="C281" s="147">
        <v>15</v>
      </c>
      <c r="D281" s="141">
        <f t="shared" si="10"/>
        <v>43997</v>
      </c>
      <c r="E281" s="275">
        <f t="shared" si="11"/>
        <v>43997</v>
      </c>
      <c r="F281" s="481" t="s">
        <v>81</v>
      </c>
      <c r="G281" s="174" t="s">
        <v>74</v>
      </c>
      <c r="H281" s="174" t="str" cm="1">
        <f t="array" ref="H281">IFERROR(INDEX(INVESTOR_LIST[INVESTOR NAME],MATCH(I281,INVESTOR_LIST[INVESTOR CODE],0),)," ")</f>
        <v xml:space="preserve"> </v>
      </c>
      <c r="I281" s="148" t="s">
        <v>348</v>
      </c>
      <c r="J281" s="149" t="s">
        <v>96</v>
      </c>
      <c r="K281" s="218">
        <v>3000000</v>
      </c>
      <c r="L281" s="218"/>
      <c r="M281" s="147">
        <v>0</v>
      </c>
      <c r="Q281" s="133" t="s">
        <v>348</v>
      </c>
    </row>
    <row r="282" spans="1:17" x14ac:dyDescent="0.2">
      <c r="A282" s="144">
        <v>2020</v>
      </c>
      <c r="B282" s="144">
        <v>6</v>
      </c>
      <c r="C282" s="144">
        <v>15</v>
      </c>
      <c r="D282" s="141">
        <f t="shared" si="10"/>
        <v>43997</v>
      </c>
      <c r="E282" s="275">
        <f t="shared" si="11"/>
        <v>43997</v>
      </c>
      <c r="F282" s="480"/>
      <c r="G282" s="221" t="s">
        <v>74</v>
      </c>
      <c r="H282" s="221" t="str" cm="1">
        <f t="array" ref="H282">IFERROR(INDEX(INVESTOR_LIST[INVESTOR NAME],MATCH(I282,INVESTOR_LIST[INVESTOR CODE],0),)," ")</f>
        <v xml:space="preserve"> </v>
      </c>
      <c r="I282" s="145" t="s">
        <v>348</v>
      </c>
      <c r="J282" s="146" t="s">
        <v>52</v>
      </c>
      <c r="K282" s="219"/>
      <c r="L282" s="219">
        <v>3000000</v>
      </c>
      <c r="M282" s="147">
        <v>0</v>
      </c>
      <c r="Q282" s="133" t="s">
        <v>348</v>
      </c>
    </row>
    <row r="283" spans="1:17" x14ac:dyDescent="0.2">
      <c r="A283" s="147">
        <v>2020</v>
      </c>
      <c r="B283" s="147">
        <v>6</v>
      </c>
      <c r="C283" s="147">
        <v>15</v>
      </c>
      <c r="D283" s="141">
        <f t="shared" si="10"/>
        <v>43997</v>
      </c>
      <c r="E283" s="275">
        <f t="shared" si="11"/>
        <v>43997</v>
      </c>
      <c r="F283" s="481" t="s">
        <v>81</v>
      </c>
      <c r="G283" s="174" t="s">
        <v>74</v>
      </c>
      <c r="H283" s="174" t="str" cm="1">
        <f t="array" ref="H283">IFERROR(INDEX(INVESTOR_LIST[INVESTOR NAME],MATCH(I283,INVESTOR_LIST[INVESTOR CODE],0),)," ")</f>
        <v xml:space="preserve"> </v>
      </c>
      <c r="I283" s="148" t="s">
        <v>348</v>
      </c>
      <c r="J283" s="149" t="s">
        <v>96</v>
      </c>
      <c r="K283" s="218">
        <v>2000000</v>
      </c>
      <c r="L283" s="218"/>
      <c r="M283" s="147">
        <v>1</v>
      </c>
      <c r="Q283" s="133" t="s">
        <v>348</v>
      </c>
    </row>
    <row r="284" spans="1:17" x14ac:dyDescent="0.2">
      <c r="A284" s="144">
        <v>2020</v>
      </c>
      <c r="B284" s="144">
        <v>6</v>
      </c>
      <c r="C284" s="144">
        <v>15</v>
      </c>
      <c r="D284" s="141">
        <f t="shared" si="10"/>
        <v>43997</v>
      </c>
      <c r="E284" s="275">
        <f t="shared" si="11"/>
        <v>43997</v>
      </c>
      <c r="F284" s="480"/>
      <c r="G284" s="221" t="s">
        <v>74</v>
      </c>
      <c r="H284" s="221" t="str" cm="1">
        <f t="array" ref="H284">IFERROR(INDEX(INVESTOR_LIST[INVESTOR NAME],MATCH(I284,INVESTOR_LIST[INVESTOR CODE],0),)," ")</f>
        <v xml:space="preserve"> </v>
      </c>
      <c r="I284" s="145" t="s">
        <v>348</v>
      </c>
      <c r="J284" s="146" t="s">
        <v>52</v>
      </c>
      <c r="K284" s="219"/>
      <c r="L284" s="219">
        <v>2000000</v>
      </c>
      <c r="M284" s="147">
        <v>0</v>
      </c>
      <c r="Q284" s="133" t="s">
        <v>348</v>
      </c>
    </row>
    <row r="285" spans="1:17" x14ac:dyDescent="0.2">
      <c r="A285" s="147">
        <v>2020</v>
      </c>
      <c r="B285" s="147">
        <v>6</v>
      </c>
      <c r="C285" s="147">
        <v>15</v>
      </c>
      <c r="D285" s="141">
        <f t="shared" si="10"/>
        <v>43997</v>
      </c>
      <c r="E285" s="275">
        <f t="shared" si="11"/>
        <v>43997</v>
      </c>
      <c r="F285" s="481" t="s">
        <v>81</v>
      </c>
      <c r="G285" s="174" t="s">
        <v>74</v>
      </c>
      <c r="H285" s="174" t="str" cm="1">
        <f t="array" ref="H285">IFERROR(INDEX(INVESTOR_LIST[INVESTOR NAME],MATCH(I285,INVESTOR_LIST[INVESTOR CODE],0),)," ")</f>
        <v xml:space="preserve"> </v>
      </c>
      <c r="I285" s="148" t="s">
        <v>348</v>
      </c>
      <c r="J285" s="149" t="s">
        <v>96</v>
      </c>
      <c r="K285" s="218">
        <v>5000000</v>
      </c>
      <c r="L285" s="218"/>
      <c r="M285" s="147">
        <v>0</v>
      </c>
      <c r="Q285" s="133" t="s">
        <v>348</v>
      </c>
    </row>
    <row r="286" spans="1:17" x14ac:dyDescent="0.2">
      <c r="A286" s="144">
        <v>2020</v>
      </c>
      <c r="B286" s="144">
        <v>6</v>
      </c>
      <c r="C286" s="144">
        <v>15</v>
      </c>
      <c r="D286" s="141">
        <f t="shared" si="10"/>
        <v>43997</v>
      </c>
      <c r="E286" s="275">
        <f t="shared" si="11"/>
        <v>43997</v>
      </c>
      <c r="F286" s="480"/>
      <c r="G286" s="221" t="s">
        <v>74</v>
      </c>
      <c r="H286" s="221" t="str" cm="1">
        <f t="array" ref="H286">IFERROR(INDEX(INVESTOR_LIST[INVESTOR NAME],MATCH(I286,INVESTOR_LIST[INVESTOR CODE],0),)," ")</f>
        <v xml:space="preserve"> </v>
      </c>
      <c r="I286" s="145" t="s">
        <v>348</v>
      </c>
      <c r="J286" s="146" t="s">
        <v>52</v>
      </c>
      <c r="K286" s="219"/>
      <c r="L286" s="219">
        <v>5000000</v>
      </c>
      <c r="M286" s="147">
        <v>0</v>
      </c>
      <c r="Q286" s="133" t="s">
        <v>348</v>
      </c>
    </row>
    <row r="287" spans="1:17" x14ac:dyDescent="0.2">
      <c r="A287" s="147">
        <v>2020</v>
      </c>
      <c r="B287" s="147">
        <v>6</v>
      </c>
      <c r="C287" s="147">
        <v>15</v>
      </c>
      <c r="D287" s="141">
        <f t="shared" si="10"/>
        <v>43997</v>
      </c>
      <c r="E287" s="275">
        <f t="shared" si="11"/>
        <v>43997</v>
      </c>
      <c r="F287" s="481" t="s">
        <v>81</v>
      </c>
      <c r="G287" s="174" t="s">
        <v>74</v>
      </c>
      <c r="H287" s="174" t="str" cm="1">
        <f t="array" ref="H287">IFERROR(INDEX(INVESTOR_LIST[INVESTOR NAME],MATCH(I287,INVESTOR_LIST[INVESTOR CODE],0),)," ")</f>
        <v xml:space="preserve"> </v>
      </c>
      <c r="I287" s="148" t="s">
        <v>348</v>
      </c>
      <c r="J287" s="149" t="s">
        <v>96</v>
      </c>
      <c r="K287" s="218">
        <v>3000000</v>
      </c>
      <c r="L287" s="218"/>
      <c r="M287" s="147">
        <v>0</v>
      </c>
      <c r="Q287" s="133" t="s">
        <v>348</v>
      </c>
    </row>
    <row r="288" spans="1:17" x14ac:dyDescent="0.2">
      <c r="A288" s="144">
        <v>2020</v>
      </c>
      <c r="B288" s="144">
        <v>6</v>
      </c>
      <c r="C288" s="144">
        <v>15</v>
      </c>
      <c r="D288" s="141">
        <f t="shared" si="10"/>
        <v>43997</v>
      </c>
      <c r="E288" s="275">
        <f t="shared" si="11"/>
        <v>43997</v>
      </c>
      <c r="F288" s="480"/>
      <c r="G288" s="221" t="s">
        <v>74</v>
      </c>
      <c r="H288" s="221" t="str" cm="1">
        <f t="array" ref="H288">IFERROR(INDEX(INVESTOR_LIST[INVESTOR NAME],MATCH(I288,INVESTOR_LIST[INVESTOR CODE],0),)," ")</f>
        <v xml:space="preserve"> </v>
      </c>
      <c r="I288" s="145" t="s">
        <v>348</v>
      </c>
      <c r="J288" s="146" t="s">
        <v>52</v>
      </c>
      <c r="K288" s="219"/>
      <c r="L288" s="219">
        <v>3000000</v>
      </c>
      <c r="M288" s="147">
        <v>0</v>
      </c>
      <c r="Q288" s="133" t="s">
        <v>348</v>
      </c>
    </row>
    <row r="289" spans="1:17" x14ac:dyDescent="0.2">
      <c r="A289" s="147">
        <v>2020</v>
      </c>
      <c r="B289" s="147">
        <v>6</v>
      </c>
      <c r="C289" s="147">
        <v>15</v>
      </c>
      <c r="D289" s="141">
        <f t="shared" si="10"/>
        <v>43997</v>
      </c>
      <c r="E289" s="275">
        <f t="shared" si="11"/>
        <v>43997</v>
      </c>
      <c r="F289" s="481" t="s">
        <v>81</v>
      </c>
      <c r="G289" s="174" t="s">
        <v>74</v>
      </c>
      <c r="H289" s="174" t="str" cm="1">
        <f t="array" ref="H289">IFERROR(INDEX(INVESTOR_LIST[INVESTOR NAME],MATCH(I289,INVESTOR_LIST[INVESTOR CODE],0),)," ")</f>
        <v xml:space="preserve"> </v>
      </c>
      <c r="I289" s="148" t="s">
        <v>348</v>
      </c>
      <c r="J289" s="149" t="s">
        <v>96</v>
      </c>
      <c r="K289" s="218">
        <v>2000000</v>
      </c>
      <c r="L289" s="218"/>
      <c r="M289" s="147">
        <v>1</v>
      </c>
      <c r="Q289" s="133" t="s">
        <v>348</v>
      </c>
    </row>
    <row r="290" spans="1:17" x14ac:dyDescent="0.2">
      <c r="A290" s="144">
        <v>2020</v>
      </c>
      <c r="B290" s="144">
        <v>6</v>
      </c>
      <c r="C290" s="144">
        <v>15</v>
      </c>
      <c r="D290" s="141">
        <f t="shared" si="10"/>
        <v>43997</v>
      </c>
      <c r="E290" s="275">
        <f t="shared" si="11"/>
        <v>43997</v>
      </c>
      <c r="F290" s="480"/>
      <c r="G290" s="221" t="s">
        <v>74</v>
      </c>
      <c r="H290" s="221" t="str" cm="1">
        <f t="array" ref="H290">IFERROR(INDEX(INVESTOR_LIST[INVESTOR NAME],MATCH(I290,INVESTOR_LIST[INVESTOR CODE],0),)," ")</f>
        <v xml:space="preserve"> </v>
      </c>
      <c r="I290" s="145" t="s">
        <v>348</v>
      </c>
      <c r="J290" s="146" t="s">
        <v>52</v>
      </c>
      <c r="K290" s="219"/>
      <c r="L290" s="219">
        <v>2000000</v>
      </c>
      <c r="M290" s="147">
        <v>0</v>
      </c>
      <c r="Q290" s="133" t="s">
        <v>348</v>
      </c>
    </row>
    <row r="291" spans="1:17" ht="22.5" x14ac:dyDescent="0.2">
      <c r="A291" s="141">
        <v>2020</v>
      </c>
      <c r="B291" s="141">
        <v>6</v>
      </c>
      <c r="C291" s="141">
        <v>16</v>
      </c>
      <c r="D291" s="141">
        <f t="shared" si="10"/>
        <v>43998</v>
      </c>
      <c r="E291" s="275">
        <f t="shared" si="11"/>
        <v>43998</v>
      </c>
      <c r="F291" s="479" t="s">
        <v>964</v>
      </c>
      <c r="G291" s="220" t="s">
        <v>74</v>
      </c>
      <c r="H291" s="174" t="str" cm="1">
        <f t="array" ref="H291">IFERROR(INDEX(INVESTOR_LIST[INVESTOR NAME],MATCH(I291,INVESTOR_LIST[INVESTOR CODE],0),)," ")</f>
        <v>SHUVA SAHA</v>
      </c>
      <c r="I291" s="148" t="s">
        <v>421</v>
      </c>
      <c r="J291" s="143" t="s">
        <v>52</v>
      </c>
      <c r="K291" s="226">
        <v>250000</v>
      </c>
      <c r="L291" s="226"/>
      <c r="M291" s="147">
        <v>0</v>
      </c>
      <c r="Q291" s="133" t="s">
        <v>421</v>
      </c>
    </row>
    <row r="292" spans="1:17" ht="22.5" x14ac:dyDescent="0.2">
      <c r="A292" s="147">
        <v>2020</v>
      </c>
      <c r="B292" s="147">
        <v>6</v>
      </c>
      <c r="C292" s="147">
        <v>16</v>
      </c>
      <c r="D292" s="141">
        <f t="shared" si="10"/>
        <v>43998</v>
      </c>
      <c r="E292" s="275">
        <f t="shared" si="11"/>
        <v>43998</v>
      </c>
      <c r="F292" s="481"/>
      <c r="G292" s="174" t="s">
        <v>74</v>
      </c>
      <c r="H292" s="174" t="str" cm="1">
        <f t="array" ref="H292">IFERROR(INDEX(INVESTOR_LIST[INVESTOR NAME],MATCH(I292,INVESTOR_LIST[INVESTOR CODE],0),)," ")</f>
        <v>SHUVA SAHA</v>
      </c>
      <c r="I292" s="148" t="s">
        <v>421</v>
      </c>
      <c r="J292" s="149" t="s">
        <v>13</v>
      </c>
      <c r="K292" s="218"/>
      <c r="L292" s="218">
        <f>24925*10</f>
        <v>249250</v>
      </c>
      <c r="M292" s="147">
        <v>0</v>
      </c>
      <c r="N292" s="156"/>
      <c r="Q292" s="133" t="s">
        <v>421</v>
      </c>
    </row>
    <row r="293" spans="1:17" ht="22.5" x14ac:dyDescent="0.2">
      <c r="A293" s="144">
        <v>2020</v>
      </c>
      <c r="B293" s="144">
        <v>6</v>
      </c>
      <c r="C293" s="144">
        <v>16</v>
      </c>
      <c r="D293" s="141">
        <f t="shared" si="10"/>
        <v>43998</v>
      </c>
      <c r="E293" s="275">
        <f t="shared" si="11"/>
        <v>43998</v>
      </c>
      <c r="F293" s="480"/>
      <c r="G293" s="221" t="s">
        <v>74</v>
      </c>
      <c r="H293" s="221" t="str" cm="1">
        <f t="array" ref="H293">IFERROR(INDEX(INVESTOR_LIST[INVESTOR NAME],MATCH(I293,INVESTOR_LIST[INVESTOR CODE],0),)," ")</f>
        <v>SHUVA SAHA</v>
      </c>
      <c r="I293" s="145" t="s">
        <v>421</v>
      </c>
      <c r="J293" s="146" t="s">
        <v>53</v>
      </c>
      <c r="K293" s="219"/>
      <c r="L293" s="219">
        <f>K291-L292</f>
        <v>750</v>
      </c>
      <c r="M293" s="147">
        <v>0</v>
      </c>
      <c r="N293" s="160"/>
      <c r="Q293" s="133" t="s">
        <v>421</v>
      </c>
    </row>
    <row r="294" spans="1:17" x14ac:dyDescent="0.2">
      <c r="A294" s="141">
        <v>2020</v>
      </c>
      <c r="B294" s="141">
        <v>6</v>
      </c>
      <c r="C294" s="141">
        <v>16</v>
      </c>
      <c r="D294" s="141">
        <f t="shared" si="10"/>
        <v>43998</v>
      </c>
      <c r="E294" s="275">
        <f t="shared" si="11"/>
        <v>43998</v>
      </c>
      <c r="F294" s="479" t="s">
        <v>77</v>
      </c>
      <c r="G294" s="220" t="s">
        <v>74</v>
      </c>
      <c r="H294" s="174" t="str" cm="1">
        <f t="array" ref="H294">IFERROR(INDEX(INVESTOR_LIST[INVESTOR NAME],MATCH(I294,INVESTOR_LIST[INVESTOR CODE],0),)," ")</f>
        <v xml:space="preserve"> </v>
      </c>
      <c r="I294" s="148" t="s">
        <v>348</v>
      </c>
      <c r="J294" s="143" t="s">
        <v>61</v>
      </c>
      <c r="K294" s="226">
        <v>10</v>
      </c>
      <c r="L294" s="226"/>
      <c r="M294" s="147">
        <v>0</v>
      </c>
      <c r="Q294" s="133" t="s">
        <v>348</v>
      </c>
    </row>
    <row r="295" spans="1:17" x14ac:dyDescent="0.2">
      <c r="A295" s="144">
        <v>2020</v>
      </c>
      <c r="B295" s="144">
        <v>6</v>
      </c>
      <c r="C295" s="144">
        <v>16</v>
      </c>
      <c r="D295" s="141">
        <f t="shared" si="10"/>
        <v>43998</v>
      </c>
      <c r="E295" s="275">
        <f t="shared" si="11"/>
        <v>43998</v>
      </c>
      <c r="F295" s="480"/>
      <c r="G295" s="221" t="s">
        <v>74</v>
      </c>
      <c r="H295" s="221" t="str" cm="1">
        <f t="array" ref="H295">IFERROR(INDEX(INVESTOR_LIST[INVESTOR NAME],MATCH(I295,INVESTOR_LIST[INVESTOR CODE],0),)," ")</f>
        <v xml:space="preserve"> </v>
      </c>
      <c r="I295" s="145" t="s">
        <v>348</v>
      </c>
      <c r="J295" s="146" t="s">
        <v>52</v>
      </c>
      <c r="K295" s="219"/>
      <c r="L295" s="219">
        <v>10</v>
      </c>
      <c r="M295" s="147">
        <v>0</v>
      </c>
      <c r="Q295" s="133" t="s">
        <v>348</v>
      </c>
    </row>
    <row r="296" spans="1:17" x14ac:dyDescent="0.2">
      <c r="A296" s="147">
        <v>2020</v>
      </c>
      <c r="B296" s="147">
        <v>6</v>
      </c>
      <c r="C296" s="147">
        <v>17</v>
      </c>
      <c r="D296" s="141">
        <f t="shared" si="10"/>
        <v>43999</v>
      </c>
      <c r="E296" s="275">
        <f t="shared" si="11"/>
        <v>43999</v>
      </c>
      <c r="F296" s="481" t="s">
        <v>86</v>
      </c>
      <c r="G296" s="174" t="s">
        <v>74</v>
      </c>
      <c r="H296" s="174" t="str" cm="1">
        <f t="array" ref="H296">IFERROR(INDEX(INVESTOR_LIST[INVESTOR NAME],MATCH(I296,INVESTOR_LIST[INVESTOR CODE],0),)," ")</f>
        <v xml:space="preserve"> </v>
      </c>
      <c r="I296" s="148" t="s">
        <v>348</v>
      </c>
      <c r="J296" s="149" t="s">
        <v>79</v>
      </c>
      <c r="K296" s="218">
        <v>3220000</v>
      </c>
      <c r="L296" s="218"/>
      <c r="M296" s="147">
        <v>0</v>
      </c>
      <c r="P296" s="164"/>
      <c r="Q296" s="133" t="s">
        <v>348</v>
      </c>
    </row>
    <row r="297" spans="1:17" x14ac:dyDescent="0.2">
      <c r="A297" s="147">
        <v>2020</v>
      </c>
      <c r="B297" s="147">
        <v>6</v>
      </c>
      <c r="C297" s="147">
        <v>17</v>
      </c>
      <c r="D297" s="141">
        <f t="shared" si="10"/>
        <v>43999</v>
      </c>
      <c r="E297" s="275">
        <f t="shared" si="11"/>
        <v>43999</v>
      </c>
      <c r="F297" s="481"/>
      <c r="G297" s="174" t="s">
        <v>74</v>
      </c>
      <c r="H297" s="174" t="str" cm="1">
        <f t="array" ref="H297">IFERROR(INDEX(INVESTOR_LIST[INVESTOR NAME],MATCH(I297,INVESTOR_LIST[INVESTOR CODE],0),)," ")</f>
        <v xml:space="preserve"> </v>
      </c>
      <c r="I297" s="148" t="s">
        <v>348</v>
      </c>
      <c r="J297" s="149" t="s">
        <v>80</v>
      </c>
      <c r="K297" s="218">
        <v>5796</v>
      </c>
      <c r="L297" s="218"/>
      <c r="M297" s="147">
        <v>0</v>
      </c>
      <c r="O297" s="160">
        <f>K297-5796</f>
        <v>0</v>
      </c>
      <c r="P297" s="164"/>
      <c r="Q297" s="133" t="s">
        <v>348</v>
      </c>
    </row>
    <row r="298" spans="1:17" x14ac:dyDescent="0.2">
      <c r="A298" s="147">
        <v>2020</v>
      </c>
      <c r="B298" s="147">
        <v>6</v>
      </c>
      <c r="C298" s="147">
        <v>17</v>
      </c>
      <c r="D298" s="141">
        <f t="shared" ref="D298" si="12">DATE(A298,B298,C298)</f>
        <v>43999</v>
      </c>
      <c r="E298" s="275">
        <f t="shared" ref="E298" si="13">DATE(A298,B298,C298)</f>
        <v>43999</v>
      </c>
      <c r="F298" s="481"/>
      <c r="G298" s="174" t="s">
        <v>74</v>
      </c>
      <c r="H298" s="174" t="str" cm="1">
        <f t="array" ref="H298">IFERROR(INDEX(INVESTOR_LIST[INVESTOR NAME],MATCH(I298,INVESTOR_LIST[INVESTOR CODE],0),)," ")</f>
        <v xml:space="preserve"> </v>
      </c>
      <c r="J298" s="149" t="s">
        <v>147</v>
      </c>
      <c r="K298" s="218">
        <v>500</v>
      </c>
      <c r="L298" s="218"/>
      <c r="M298" s="147"/>
      <c r="O298" s="160"/>
      <c r="P298" s="164"/>
    </row>
    <row r="299" spans="1:17" x14ac:dyDescent="0.2">
      <c r="A299" s="147">
        <v>2020</v>
      </c>
      <c r="B299" s="147">
        <v>6</v>
      </c>
      <c r="C299" s="147">
        <v>17</v>
      </c>
      <c r="D299" s="141">
        <f t="shared" ref="D299" si="14">DATE(A299,B299,C299)</f>
        <v>43999</v>
      </c>
      <c r="E299" s="275">
        <f t="shared" ref="E299" si="15">DATE(A299,B299,C299)</f>
        <v>43999</v>
      </c>
      <c r="F299" s="481"/>
      <c r="G299" s="174" t="s">
        <v>74</v>
      </c>
      <c r="H299" s="174" t="str" cm="1">
        <f t="array" ref="H299">IFERROR(INDEX(INVESTOR_LIST[INVESTOR NAME],MATCH(I299,INVESTOR_LIST[INVESTOR CODE],0),)," ")</f>
        <v xml:space="preserve"> </v>
      </c>
      <c r="J299" s="149" t="s">
        <v>190</v>
      </c>
      <c r="K299" s="218">
        <v>204</v>
      </c>
      <c r="L299" s="218"/>
      <c r="M299" s="147"/>
      <c r="O299" s="160"/>
      <c r="P299" s="164"/>
    </row>
    <row r="300" spans="1:17" x14ac:dyDescent="0.2">
      <c r="A300" s="144">
        <v>2020</v>
      </c>
      <c r="B300" s="144">
        <v>6</v>
      </c>
      <c r="C300" s="144">
        <v>17</v>
      </c>
      <c r="D300" s="141">
        <f t="shared" si="10"/>
        <v>43999</v>
      </c>
      <c r="E300" s="275">
        <f t="shared" si="11"/>
        <v>43999</v>
      </c>
      <c r="F300" s="480"/>
      <c r="G300" s="221" t="s">
        <v>74</v>
      </c>
      <c r="H300" s="221" t="str" cm="1">
        <f t="array" ref="H300">IFERROR(INDEX(INVESTOR_LIST[INVESTOR NAME],MATCH(I300,INVESTOR_LIST[INVESTOR CODE],0),)," ")</f>
        <v xml:space="preserve"> </v>
      </c>
      <c r="I300" s="145" t="s">
        <v>348</v>
      </c>
      <c r="J300" s="146" t="s">
        <v>52</v>
      </c>
      <c r="K300" s="219"/>
      <c r="L300" s="219">
        <v>3226500</v>
      </c>
      <c r="M300" s="147">
        <v>0</v>
      </c>
      <c r="P300" s="165"/>
      <c r="Q300" s="133" t="s">
        <v>348</v>
      </c>
    </row>
    <row r="301" spans="1:17" x14ac:dyDescent="0.2">
      <c r="A301" s="147">
        <v>2020</v>
      </c>
      <c r="B301" s="147">
        <v>6</v>
      </c>
      <c r="C301" s="147">
        <v>18</v>
      </c>
      <c r="D301" s="141">
        <f t="shared" si="10"/>
        <v>44000</v>
      </c>
      <c r="E301" s="275">
        <f t="shared" si="11"/>
        <v>44000</v>
      </c>
      <c r="F301" s="481" t="s">
        <v>265</v>
      </c>
      <c r="G301" s="174" t="s">
        <v>74</v>
      </c>
      <c r="H301" s="174" t="str" cm="1">
        <f t="array" ref="H301">IFERROR(INDEX(INVESTOR_LIST[INVESTOR NAME],MATCH(I301,INVESTOR_LIST[INVESTOR CODE],0),)," ")</f>
        <v xml:space="preserve"> </v>
      </c>
      <c r="I301" s="148" t="s">
        <v>348</v>
      </c>
      <c r="J301" s="149" t="s">
        <v>175</v>
      </c>
      <c r="K301" s="218">
        <v>1350</v>
      </c>
      <c r="L301" s="218"/>
      <c r="M301" s="147">
        <v>0</v>
      </c>
      <c r="P301" s="166"/>
      <c r="Q301" s="133" t="s">
        <v>348</v>
      </c>
    </row>
    <row r="302" spans="1:17" x14ac:dyDescent="0.2">
      <c r="A302" s="144">
        <v>2020</v>
      </c>
      <c r="B302" s="144">
        <v>6</v>
      </c>
      <c r="C302" s="144">
        <v>18</v>
      </c>
      <c r="D302" s="141">
        <f t="shared" si="10"/>
        <v>44000</v>
      </c>
      <c r="E302" s="275">
        <f t="shared" si="11"/>
        <v>44000</v>
      </c>
      <c r="F302" s="480"/>
      <c r="G302" s="221" t="s">
        <v>74</v>
      </c>
      <c r="H302" s="221" t="str" cm="1">
        <f t="array" ref="H302">IFERROR(INDEX(INVESTOR_LIST[INVESTOR NAME],MATCH(I302,INVESTOR_LIST[INVESTOR CODE],0),)," ")</f>
        <v xml:space="preserve"> </v>
      </c>
      <c r="I302" s="145" t="s">
        <v>348</v>
      </c>
      <c r="J302" s="146" t="s">
        <v>52</v>
      </c>
      <c r="K302" s="219"/>
      <c r="L302" s="219">
        <v>1350</v>
      </c>
      <c r="M302" s="147">
        <v>0</v>
      </c>
      <c r="P302" s="166"/>
      <c r="Q302" s="133" t="s">
        <v>348</v>
      </c>
    </row>
    <row r="303" spans="1:17" x14ac:dyDescent="0.2">
      <c r="A303" s="147">
        <v>2020</v>
      </c>
      <c r="B303" s="147">
        <v>6</v>
      </c>
      <c r="C303" s="147">
        <v>18</v>
      </c>
      <c r="D303" s="141">
        <f t="shared" si="10"/>
        <v>44000</v>
      </c>
      <c r="E303" s="275">
        <f t="shared" si="11"/>
        <v>44000</v>
      </c>
      <c r="F303" s="481" t="s">
        <v>265</v>
      </c>
      <c r="G303" s="174" t="s">
        <v>74</v>
      </c>
      <c r="H303" s="174" t="str" cm="1">
        <f t="array" ref="H303">IFERROR(INDEX(INVESTOR_LIST[INVESTOR NAME],MATCH(I303,INVESTOR_LIST[INVESTOR CODE],0),)," ")</f>
        <v xml:space="preserve"> </v>
      </c>
      <c r="I303" s="148" t="s">
        <v>348</v>
      </c>
      <c r="J303" s="149" t="s">
        <v>175</v>
      </c>
      <c r="K303" s="218">
        <v>450</v>
      </c>
      <c r="L303" s="218"/>
      <c r="M303" s="147">
        <v>0</v>
      </c>
      <c r="Q303" s="133" t="s">
        <v>348</v>
      </c>
    </row>
    <row r="304" spans="1:17" x14ac:dyDescent="0.2">
      <c r="A304" s="144">
        <v>2020</v>
      </c>
      <c r="B304" s="144">
        <v>6</v>
      </c>
      <c r="C304" s="144">
        <v>18</v>
      </c>
      <c r="D304" s="141">
        <f t="shared" si="10"/>
        <v>44000</v>
      </c>
      <c r="E304" s="275">
        <f t="shared" si="11"/>
        <v>44000</v>
      </c>
      <c r="F304" s="480"/>
      <c r="G304" s="221" t="s">
        <v>74</v>
      </c>
      <c r="H304" s="221" t="str" cm="1">
        <f t="array" ref="H304">IFERROR(INDEX(INVESTOR_LIST[INVESTOR NAME],MATCH(I304,INVESTOR_LIST[INVESTOR CODE],0),)," ")</f>
        <v xml:space="preserve"> </v>
      </c>
      <c r="I304" s="145" t="s">
        <v>348</v>
      </c>
      <c r="J304" s="146" t="s">
        <v>52</v>
      </c>
      <c r="K304" s="219"/>
      <c r="L304" s="219">
        <v>450</v>
      </c>
      <c r="M304" s="147">
        <v>0</v>
      </c>
      <c r="Q304" s="133" t="s">
        <v>348</v>
      </c>
    </row>
    <row r="305" spans="1:17" ht="15" customHeight="1" x14ac:dyDescent="0.2">
      <c r="A305" s="141">
        <v>2020</v>
      </c>
      <c r="B305" s="141">
        <v>6</v>
      </c>
      <c r="C305" s="141">
        <v>18</v>
      </c>
      <c r="D305" s="141">
        <f t="shared" si="10"/>
        <v>44000</v>
      </c>
      <c r="E305" s="275">
        <f t="shared" si="11"/>
        <v>44000</v>
      </c>
      <c r="F305" s="479" t="s">
        <v>964</v>
      </c>
      <c r="G305" s="228" t="s">
        <v>74</v>
      </c>
      <c r="H305" s="174" t="str" cm="1">
        <f t="array" ref="H305">IFERROR(INDEX(INVESTOR_LIST[INVESTOR NAME],MATCH(I305,INVESTOR_LIST[INVESTOR CODE],0),)," ")</f>
        <v>QAZI MUSADDEQ AHMAD</v>
      </c>
      <c r="I305" s="148" t="s">
        <v>422</v>
      </c>
      <c r="J305" s="143" t="s">
        <v>52</v>
      </c>
      <c r="K305" s="226">
        <v>400000</v>
      </c>
      <c r="L305" s="226"/>
      <c r="M305" s="147">
        <v>0</v>
      </c>
      <c r="Q305" s="133" t="s">
        <v>422</v>
      </c>
    </row>
    <row r="306" spans="1:17" ht="45" x14ac:dyDescent="0.2">
      <c r="A306" s="147">
        <v>2020</v>
      </c>
      <c r="B306" s="147">
        <v>6</v>
      </c>
      <c r="C306" s="147">
        <v>18</v>
      </c>
      <c r="D306" s="141">
        <f t="shared" si="10"/>
        <v>44000</v>
      </c>
      <c r="E306" s="275">
        <f t="shared" si="11"/>
        <v>44000</v>
      </c>
      <c r="F306" s="481"/>
      <c r="G306" s="174" t="s">
        <v>74</v>
      </c>
      <c r="H306" s="174" t="str" cm="1">
        <f t="array" ref="H306">IFERROR(INDEX(INVESTOR_LIST[INVESTOR NAME],MATCH(I306,INVESTOR_LIST[INVESTOR CODE],0),)," ")</f>
        <v>QAZI MUSADDEQ AHMAD</v>
      </c>
      <c r="I306" s="148" t="s">
        <v>422</v>
      </c>
      <c r="J306" s="149" t="s">
        <v>13</v>
      </c>
      <c r="K306" s="218"/>
      <c r="L306" s="218">
        <f>39722*10</f>
        <v>397220</v>
      </c>
      <c r="M306" s="147">
        <v>0</v>
      </c>
      <c r="Q306" s="133" t="s">
        <v>422</v>
      </c>
    </row>
    <row r="307" spans="1:17" ht="15" customHeight="1" x14ac:dyDescent="0.2">
      <c r="A307" s="144">
        <v>2020</v>
      </c>
      <c r="B307" s="144">
        <v>6</v>
      </c>
      <c r="C307" s="144">
        <v>18</v>
      </c>
      <c r="D307" s="141">
        <f t="shared" si="10"/>
        <v>44000</v>
      </c>
      <c r="E307" s="275">
        <f t="shared" si="11"/>
        <v>44000</v>
      </c>
      <c r="F307" s="480"/>
      <c r="G307" s="221" t="s">
        <v>74</v>
      </c>
      <c r="H307" s="221" t="str" cm="1">
        <f t="array" ref="H307">IFERROR(INDEX(INVESTOR_LIST[INVESTOR NAME],MATCH(I307,INVESTOR_LIST[INVESTOR CODE],0),)," ")</f>
        <v>QAZI MUSADDEQ AHMAD</v>
      </c>
      <c r="I307" s="145" t="s">
        <v>422</v>
      </c>
      <c r="J307" s="146" t="s">
        <v>53</v>
      </c>
      <c r="K307" s="219"/>
      <c r="L307" s="219">
        <f>K305-L306</f>
        <v>2780</v>
      </c>
      <c r="M307" s="147">
        <v>0</v>
      </c>
      <c r="Q307" s="133" t="s">
        <v>422</v>
      </c>
    </row>
    <row r="308" spans="1:17" x14ac:dyDescent="0.2">
      <c r="A308" s="141">
        <v>2020</v>
      </c>
      <c r="B308" s="141">
        <v>6</v>
      </c>
      <c r="C308" s="141">
        <v>18</v>
      </c>
      <c r="D308" s="141">
        <f t="shared" si="10"/>
        <v>44000</v>
      </c>
      <c r="E308" s="275">
        <f t="shared" si="11"/>
        <v>44000</v>
      </c>
      <c r="F308" s="479" t="s">
        <v>77</v>
      </c>
      <c r="G308" s="220" t="s">
        <v>74</v>
      </c>
      <c r="H308" s="174" t="str" cm="1">
        <f t="array" ref="H308">IFERROR(INDEX(INVESTOR_LIST[INVESTOR NAME],MATCH(I308,INVESTOR_LIST[INVESTOR CODE],0),)," ")</f>
        <v xml:space="preserve"> </v>
      </c>
      <c r="I308" s="148" t="s">
        <v>348</v>
      </c>
      <c r="J308" s="143" t="s">
        <v>61</v>
      </c>
      <c r="K308" s="226">
        <v>10</v>
      </c>
      <c r="L308" s="226"/>
      <c r="M308" s="147">
        <v>0</v>
      </c>
      <c r="Q308" s="133" t="s">
        <v>348</v>
      </c>
    </row>
    <row r="309" spans="1:17" ht="15" customHeight="1" x14ac:dyDescent="0.2">
      <c r="A309" s="144">
        <v>2020</v>
      </c>
      <c r="B309" s="144">
        <v>6</v>
      </c>
      <c r="C309" s="144">
        <v>18</v>
      </c>
      <c r="D309" s="141">
        <f t="shared" si="10"/>
        <v>44000</v>
      </c>
      <c r="E309" s="275">
        <f t="shared" si="11"/>
        <v>44000</v>
      </c>
      <c r="F309" s="480"/>
      <c r="G309" s="221" t="s">
        <v>74</v>
      </c>
      <c r="H309" s="221" t="str" cm="1">
        <f t="array" ref="H309">IFERROR(INDEX(INVESTOR_LIST[INVESTOR NAME],MATCH(I309,INVESTOR_LIST[INVESTOR CODE],0),)," ")</f>
        <v xml:space="preserve"> </v>
      </c>
      <c r="I309" s="145" t="s">
        <v>348</v>
      </c>
      <c r="J309" s="146" t="s">
        <v>52</v>
      </c>
      <c r="K309" s="219"/>
      <c r="L309" s="219">
        <v>10</v>
      </c>
      <c r="M309" s="147">
        <v>0</v>
      </c>
      <c r="Q309" s="133" t="s">
        <v>348</v>
      </c>
    </row>
    <row r="310" spans="1:17" x14ac:dyDescent="0.2">
      <c r="A310" s="147">
        <v>2020</v>
      </c>
      <c r="B310" s="147">
        <v>6</v>
      </c>
      <c r="C310" s="147">
        <v>18</v>
      </c>
      <c r="D310" s="141">
        <f t="shared" si="10"/>
        <v>44000</v>
      </c>
      <c r="E310" s="275">
        <f t="shared" si="11"/>
        <v>44000</v>
      </c>
      <c r="F310" s="481" t="s">
        <v>87</v>
      </c>
      <c r="G310" s="174" t="s">
        <v>94</v>
      </c>
      <c r="H310" s="174" t="str" cm="1">
        <f t="array" ref="H310">IFERROR(INDEX(INVESTOR_LIST[INVESTOR NAME],MATCH(I310,INVESTOR_LIST[INVESTOR CODE],0),)," ")</f>
        <v xml:space="preserve"> </v>
      </c>
      <c r="I310" s="148" t="s">
        <v>348</v>
      </c>
      <c r="J310" s="149" t="s">
        <v>67</v>
      </c>
      <c r="K310" s="218">
        <v>50000</v>
      </c>
      <c r="L310" s="218"/>
      <c r="M310" s="147">
        <v>0</v>
      </c>
      <c r="Q310" s="133" t="s">
        <v>348</v>
      </c>
    </row>
    <row r="311" spans="1:17" ht="15" customHeight="1" x14ac:dyDescent="0.2">
      <c r="A311" s="144">
        <v>2020</v>
      </c>
      <c r="B311" s="144">
        <v>6</v>
      </c>
      <c r="C311" s="144">
        <v>18</v>
      </c>
      <c r="D311" s="141">
        <f t="shared" si="10"/>
        <v>44000</v>
      </c>
      <c r="E311" s="275">
        <f t="shared" si="11"/>
        <v>44000</v>
      </c>
      <c r="F311" s="480"/>
      <c r="G311" s="221" t="s">
        <v>94</v>
      </c>
      <c r="H311" s="221" t="str" cm="1">
        <f t="array" ref="H311">IFERROR(INDEX(INVESTOR_LIST[INVESTOR NAME],MATCH(I311,INVESTOR_LIST[INVESTOR CODE],0),)," ")</f>
        <v xml:space="preserve"> </v>
      </c>
      <c r="I311" s="145" t="s">
        <v>348</v>
      </c>
      <c r="J311" s="146" t="s">
        <v>60</v>
      </c>
      <c r="K311" s="219"/>
      <c r="L311" s="219">
        <v>50000</v>
      </c>
      <c r="M311" s="147">
        <v>2</v>
      </c>
      <c r="Q311" s="133" t="s">
        <v>348</v>
      </c>
    </row>
    <row r="312" spans="1:17" ht="22.5" x14ac:dyDescent="0.2">
      <c r="A312" s="147">
        <v>2020</v>
      </c>
      <c r="B312" s="147">
        <v>6</v>
      </c>
      <c r="C312" s="147">
        <v>18</v>
      </c>
      <c r="D312" s="141">
        <f t="shared" si="10"/>
        <v>44000</v>
      </c>
      <c r="E312" s="275">
        <f t="shared" si="11"/>
        <v>44000</v>
      </c>
      <c r="F312" s="481" t="s">
        <v>88</v>
      </c>
      <c r="G312" s="174" t="s">
        <v>94</v>
      </c>
      <c r="H312" s="174" t="str" cm="1">
        <f t="array" ref="H312">IFERROR(INDEX(INVESTOR_LIST[INVESTOR NAME],MATCH(I312,INVESTOR_LIST[INVESTOR CODE],0),)," ")</f>
        <v xml:space="preserve"> </v>
      </c>
      <c r="I312" s="148" t="s">
        <v>348</v>
      </c>
      <c r="J312" s="149" t="s">
        <v>95</v>
      </c>
      <c r="K312" s="218">
        <v>2746.75</v>
      </c>
      <c r="L312" s="218"/>
      <c r="M312" s="147">
        <v>0</v>
      </c>
      <c r="Q312" s="133" t="s">
        <v>348</v>
      </c>
    </row>
    <row r="313" spans="1:17" x14ac:dyDescent="0.2">
      <c r="A313" s="144">
        <v>2020</v>
      </c>
      <c r="B313" s="144">
        <v>6</v>
      </c>
      <c r="C313" s="144">
        <v>18</v>
      </c>
      <c r="D313" s="141">
        <f t="shared" si="10"/>
        <v>44000</v>
      </c>
      <c r="E313" s="275">
        <f t="shared" si="11"/>
        <v>44000</v>
      </c>
      <c r="F313" s="480"/>
      <c r="G313" s="221" t="s">
        <v>94</v>
      </c>
      <c r="H313" s="221" t="str" cm="1">
        <f t="array" ref="H313">IFERROR(INDEX(INVESTOR_LIST[INVESTOR NAME],MATCH(I313,INVESTOR_LIST[INVESTOR CODE],0),)," ")</f>
        <v xml:space="preserve"> </v>
      </c>
      <c r="I313" s="145" t="s">
        <v>348</v>
      </c>
      <c r="J313" s="146" t="s">
        <v>63</v>
      </c>
      <c r="K313" s="219"/>
      <c r="L313" s="219">
        <v>2746.75</v>
      </c>
      <c r="M313" s="147">
        <v>0</v>
      </c>
      <c r="Q313" s="133" t="s">
        <v>348</v>
      </c>
    </row>
    <row r="314" spans="1:17" x14ac:dyDescent="0.2">
      <c r="A314" s="147">
        <v>2020</v>
      </c>
      <c r="B314" s="147">
        <v>6</v>
      </c>
      <c r="C314" s="147">
        <v>18</v>
      </c>
      <c r="D314" s="141">
        <f t="shared" si="10"/>
        <v>44000</v>
      </c>
      <c r="E314" s="275">
        <f t="shared" si="11"/>
        <v>44000</v>
      </c>
      <c r="F314" s="481" t="s">
        <v>89</v>
      </c>
      <c r="G314" s="174" t="s">
        <v>94</v>
      </c>
      <c r="H314" s="174" t="str" cm="1">
        <f t="array" ref="H314">IFERROR(INDEX(INVESTOR_LIST[INVESTOR NAME],MATCH(I314,INVESTOR_LIST[INVESTOR CODE],0),)," ")</f>
        <v xml:space="preserve"> </v>
      </c>
      <c r="I314" s="148" t="s">
        <v>348</v>
      </c>
      <c r="J314" s="149" t="s">
        <v>97</v>
      </c>
      <c r="K314" s="218">
        <v>28027.59</v>
      </c>
      <c r="L314" s="218"/>
      <c r="M314" s="147">
        <v>0</v>
      </c>
      <c r="Q314" s="133" t="s">
        <v>348</v>
      </c>
    </row>
    <row r="315" spans="1:17" x14ac:dyDescent="0.2">
      <c r="A315" s="144">
        <v>2020</v>
      </c>
      <c r="B315" s="144">
        <v>6</v>
      </c>
      <c r="C315" s="144">
        <v>18</v>
      </c>
      <c r="D315" s="141">
        <f t="shared" si="10"/>
        <v>44000</v>
      </c>
      <c r="E315" s="275">
        <f t="shared" si="11"/>
        <v>44000</v>
      </c>
      <c r="F315" s="480"/>
      <c r="G315" s="221" t="s">
        <v>94</v>
      </c>
      <c r="H315" s="221" t="str" cm="1">
        <f t="array" ref="H315">IFERROR(INDEX(INVESTOR_LIST[INVESTOR NAME],MATCH(I315,INVESTOR_LIST[INVESTOR CODE],0),)," ")</f>
        <v xml:space="preserve"> </v>
      </c>
      <c r="I315" s="145" t="s">
        <v>348</v>
      </c>
      <c r="J315" s="146" t="s">
        <v>47</v>
      </c>
      <c r="K315" s="219"/>
      <c r="L315" s="219">
        <v>28027.59</v>
      </c>
      <c r="M315" s="147">
        <v>0</v>
      </c>
      <c r="Q315" s="133" t="s">
        <v>348</v>
      </c>
    </row>
    <row r="316" spans="1:17" x14ac:dyDescent="0.2">
      <c r="A316" s="147">
        <v>2020</v>
      </c>
      <c r="B316" s="147">
        <v>6</v>
      </c>
      <c r="C316" s="147">
        <v>18</v>
      </c>
      <c r="D316" s="141">
        <f t="shared" si="10"/>
        <v>44000</v>
      </c>
      <c r="E316" s="275">
        <f t="shared" si="11"/>
        <v>44000</v>
      </c>
      <c r="F316" s="481" t="s">
        <v>90</v>
      </c>
      <c r="G316" s="174" t="s">
        <v>94</v>
      </c>
      <c r="H316" s="174" t="str" cm="1">
        <f t="array" ref="H316">IFERROR(INDEX(INVESTOR_LIST[INVESTOR NAME],MATCH(I316,INVESTOR_LIST[INVESTOR CODE],0),)," ")</f>
        <v xml:space="preserve"> </v>
      </c>
      <c r="I316" s="148" t="s">
        <v>348</v>
      </c>
      <c r="J316" s="149" t="s">
        <v>100</v>
      </c>
      <c r="K316" s="218">
        <v>1161.53</v>
      </c>
      <c r="L316" s="218"/>
      <c r="M316" s="147">
        <v>0</v>
      </c>
      <c r="Q316" s="133" t="s">
        <v>348</v>
      </c>
    </row>
    <row r="317" spans="1:17" x14ac:dyDescent="0.2">
      <c r="A317" s="144">
        <v>2020</v>
      </c>
      <c r="B317" s="144">
        <v>6</v>
      </c>
      <c r="C317" s="144">
        <v>18</v>
      </c>
      <c r="D317" s="141">
        <f t="shared" si="10"/>
        <v>44000</v>
      </c>
      <c r="E317" s="275">
        <f t="shared" si="11"/>
        <v>44000</v>
      </c>
      <c r="F317" s="480"/>
      <c r="G317" s="221" t="s">
        <v>94</v>
      </c>
      <c r="H317" s="221" t="str" cm="1">
        <f t="array" ref="H317">IFERROR(INDEX(INVESTOR_LIST[INVESTOR NAME],MATCH(I317,INVESTOR_LIST[INVESTOR CODE],0),)," ")</f>
        <v xml:space="preserve"> </v>
      </c>
      <c r="I317" s="145" t="s">
        <v>348</v>
      </c>
      <c r="J317" s="146" t="s">
        <v>48</v>
      </c>
      <c r="K317" s="219"/>
      <c r="L317" s="219">
        <v>1161.53</v>
      </c>
      <c r="M317" s="147">
        <v>0</v>
      </c>
      <c r="Q317" s="133" t="s">
        <v>348</v>
      </c>
    </row>
    <row r="318" spans="1:17" x14ac:dyDescent="0.2">
      <c r="A318" s="147">
        <v>2020</v>
      </c>
      <c r="B318" s="147">
        <v>6</v>
      </c>
      <c r="C318" s="147">
        <v>18</v>
      </c>
      <c r="D318" s="141">
        <f t="shared" si="10"/>
        <v>44000</v>
      </c>
      <c r="E318" s="275">
        <f t="shared" si="11"/>
        <v>44000</v>
      </c>
      <c r="F318" s="481" t="s">
        <v>91</v>
      </c>
      <c r="G318" s="174" t="s">
        <v>94</v>
      </c>
      <c r="H318" s="174" t="str" cm="1">
        <f t="array" ref="H318">IFERROR(INDEX(INVESTOR_LIST[INVESTOR NAME],MATCH(I318,INVESTOR_LIST[INVESTOR CODE],0),)," ")</f>
        <v xml:space="preserve"> </v>
      </c>
      <c r="I318" s="148" t="s">
        <v>348</v>
      </c>
      <c r="J318" s="149" t="s">
        <v>101</v>
      </c>
      <c r="K318" s="218">
        <v>1566.32</v>
      </c>
      <c r="L318" s="218"/>
      <c r="M318" s="147">
        <v>0</v>
      </c>
      <c r="Q318" s="133" t="s">
        <v>348</v>
      </c>
    </row>
    <row r="319" spans="1:17" x14ac:dyDescent="0.2">
      <c r="A319" s="144">
        <v>2020</v>
      </c>
      <c r="B319" s="144">
        <v>6</v>
      </c>
      <c r="C319" s="144">
        <v>18</v>
      </c>
      <c r="D319" s="141">
        <f t="shared" si="10"/>
        <v>44000</v>
      </c>
      <c r="E319" s="275">
        <f t="shared" si="11"/>
        <v>44000</v>
      </c>
      <c r="F319" s="480"/>
      <c r="G319" s="221" t="s">
        <v>94</v>
      </c>
      <c r="H319" s="221" t="str" cm="1">
        <f t="array" ref="H319">IFERROR(INDEX(INVESTOR_LIST[INVESTOR NAME],MATCH(I319,INVESTOR_LIST[INVESTOR CODE],0),)," ")</f>
        <v xml:space="preserve"> </v>
      </c>
      <c r="I319" s="145" t="s">
        <v>348</v>
      </c>
      <c r="J319" s="146" t="s">
        <v>102</v>
      </c>
      <c r="K319" s="219"/>
      <c r="L319" s="219">
        <v>1566.32</v>
      </c>
      <c r="M319" s="147">
        <v>0</v>
      </c>
      <c r="Q319" s="133" t="s">
        <v>348</v>
      </c>
    </row>
    <row r="320" spans="1:17" x14ac:dyDescent="0.2">
      <c r="A320" s="147">
        <v>2020</v>
      </c>
      <c r="B320" s="147">
        <v>6</v>
      </c>
      <c r="C320" s="147">
        <v>18</v>
      </c>
      <c r="D320" s="141">
        <f t="shared" si="10"/>
        <v>44000</v>
      </c>
      <c r="E320" s="275">
        <f t="shared" si="11"/>
        <v>44000</v>
      </c>
      <c r="F320" s="481" t="s">
        <v>92</v>
      </c>
      <c r="G320" s="174" t="s">
        <v>94</v>
      </c>
      <c r="H320" s="174" t="str" cm="1">
        <f t="array" ref="H320">IFERROR(INDEX(INVESTOR_LIST[INVESTOR NAME],MATCH(I320,INVESTOR_LIST[INVESTOR CODE],0),)," ")</f>
        <v xml:space="preserve"> </v>
      </c>
      <c r="I320" s="148" t="s">
        <v>348</v>
      </c>
      <c r="J320" s="149" t="s">
        <v>103</v>
      </c>
      <c r="K320" s="218">
        <v>729.16</v>
      </c>
      <c r="L320" s="218"/>
      <c r="M320" s="147">
        <v>0</v>
      </c>
      <c r="Q320" s="133" t="s">
        <v>348</v>
      </c>
    </row>
    <row r="321" spans="1:19" x14ac:dyDescent="0.2">
      <c r="A321" s="144">
        <v>2020</v>
      </c>
      <c r="B321" s="144">
        <v>6</v>
      </c>
      <c r="C321" s="144">
        <v>18</v>
      </c>
      <c r="D321" s="141">
        <f t="shared" si="10"/>
        <v>44000</v>
      </c>
      <c r="E321" s="275">
        <f t="shared" si="11"/>
        <v>44000</v>
      </c>
      <c r="F321" s="480"/>
      <c r="G321" s="221" t="s">
        <v>94</v>
      </c>
      <c r="H321" s="221" t="str" cm="1">
        <f t="array" ref="H321">IFERROR(INDEX(INVESTOR_LIST[INVESTOR NAME],MATCH(I321,INVESTOR_LIST[INVESTOR CODE],0),)," ")</f>
        <v xml:space="preserve"> </v>
      </c>
      <c r="I321" s="145" t="s">
        <v>348</v>
      </c>
      <c r="J321" s="146" t="s">
        <v>50</v>
      </c>
      <c r="K321" s="219"/>
      <c r="L321" s="219">
        <v>729.16</v>
      </c>
      <c r="M321" s="147">
        <v>0</v>
      </c>
      <c r="Q321" s="133" t="s">
        <v>348</v>
      </c>
    </row>
    <row r="322" spans="1:19" x14ac:dyDescent="0.2">
      <c r="A322" s="147">
        <v>2020</v>
      </c>
      <c r="B322" s="147">
        <v>6</v>
      </c>
      <c r="C322" s="147">
        <v>18</v>
      </c>
      <c r="D322" s="141">
        <f t="shared" si="10"/>
        <v>44000</v>
      </c>
      <c r="E322" s="275">
        <f t="shared" si="11"/>
        <v>44000</v>
      </c>
      <c r="F322" s="481" t="s">
        <v>93</v>
      </c>
      <c r="G322" s="174" t="s">
        <v>94</v>
      </c>
      <c r="H322" s="174" t="str" cm="1">
        <f t="array" ref="H322">IFERROR(INDEX(INVESTOR_LIST[INVESTOR NAME],MATCH(I322,INVESTOR_LIST[INVESTOR CODE],0),)," ")</f>
        <v xml:space="preserve"> </v>
      </c>
      <c r="I322" s="148" t="s">
        <v>348</v>
      </c>
      <c r="J322" s="149" t="s">
        <v>104</v>
      </c>
      <c r="K322" s="218">
        <v>630.95000000000005</v>
      </c>
      <c r="L322" s="218"/>
      <c r="M322" s="147">
        <v>0</v>
      </c>
      <c r="Q322" s="133" t="s">
        <v>348</v>
      </c>
      <c r="S322" s="161"/>
    </row>
    <row r="323" spans="1:19" x14ac:dyDescent="0.2">
      <c r="A323" s="144">
        <v>2020</v>
      </c>
      <c r="B323" s="144">
        <v>6</v>
      </c>
      <c r="C323" s="144">
        <v>18</v>
      </c>
      <c r="D323" s="141">
        <f t="shared" si="10"/>
        <v>44000</v>
      </c>
      <c r="E323" s="275">
        <f t="shared" si="11"/>
        <v>44000</v>
      </c>
      <c r="F323" s="480"/>
      <c r="G323" s="221" t="s">
        <v>94</v>
      </c>
      <c r="H323" s="221" t="str" cm="1">
        <f t="array" ref="H323">IFERROR(INDEX(INVESTOR_LIST[INVESTOR NAME],MATCH(I323,INVESTOR_LIST[INVESTOR CODE],0),)," ")</f>
        <v xml:space="preserve"> </v>
      </c>
      <c r="I323" s="145" t="s">
        <v>348</v>
      </c>
      <c r="J323" s="146" t="s">
        <v>51</v>
      </c>
      <c r="K323" s="219"/>
      <c r="L323" s="219">
        <v>630.95000000000005</v>
      </c>
      <c r="M323" s="147">
        <v>0</v>
      </c>
      <c r="Q323" s="133" t="s">
        <v>348</v>
      </c>
    </row>
    <row r="324" spans="1:19" x14ac:dyDescent="0.2">
      <c r="A324" s="147">
        <v>2020</v>
      </c>
      <c r="B324" s="147">
        <v>6</v>
      </c>
      <c r="C324" s="147">
        <v>18</v>
      </c>
      <c r="D324" s="141">
        <f t="shared" si="10"/>
        <v>44000</v>
      </c>
      <c r="E324" s="275">
        <f t="shared" si="11"/>
        <v>44000</v>
      </c>
      <c r="F324" s="481" t="s">
        <v>105</v>
      </c>
      <c r="G324" s="174" t="s">
        <v>94</v>
      </c>
      <c r="H324" s="174" t="str" cm="1">
        <f t="array" ref="H324">IFERROR(INDEX(INVESTOR_LIST[INVESTOR NAME],MATCH(I324,INVESTOR_LIST[INVESTOR CODE],0),)," ")</f>
        <v xml:space="preserve"> </v>
      </c>
      <c r="I324" s="148" t="s">
        <v>348</v>
      </c>
      <c r="J324" s="149" t="s">
        <v>108</v>
      </c>
      <c r="K324" s="218">
        <v>200262</v>
      </c>
      <c r="L324" s="218"/>
      <c r="M324" s="147">
        <v>0</v>
      </c>
      <c r="Q324" s="133" t="s">
        <v>348</v>
      </c>
    </row>
    <row r="325" spans="1:19" x14ac:dyDescent="0.2">
      <c r="A325" s="144">
        <v>2020</v>
      </c>
      <c r="B325" s="144">
        <v>6</v>
      </c>
      <c r="C325" s="144">
        <v>18</v>
      </c>
      <c r="D325" s="141">
        <f t="shared" si="10"/>
        <v>44000</v>
      </c>
      <c r="E325" s="275">
        <f t="shared" si="11"/>
        <v>44000</v>
      </c>
      <c r="F325" s="480"/>
      <c r="G325" s="221" t="s">
        <v>94</v>
      </c>
      <c r="H325" s="221" t="str" cm="1">
        <f t="array" ref="H325">IFERROR(INDEX(INVESTOR_LIST[INVESTOR NAME],MATCH(I325,INVESTOR_LIST[INVESTOR CODE],0),)," ")</f>
        <v xml:space="preserve"> </v>
      </c>
      <c r="I325" s="145" t="s">
        <v>348</v>
      </c>
      <c r="J325" s="146" t="s">
        <v>82</v>
      </c>
      <c r="K325" s="219"/>
      <c r="L325" s="219">
        <v>200262</v>
      </c>
      <c r="M325" s="147">
        <v>0</v>
      </c>
      <c r="Q325" s="133" t="s">
        <v>348</v>
      </c>
    </row>
    <row r="326" spans="1:19" ht="33.75" x14ac:dyDescent="0.2">
      <c r="A326" s="147">
        <v>2020</v>
      </c>
      <c r="B326" s="147">
        <v>6</v>
      </c>
      <c r="C326" s="147">
        <v>23</v>
      </c>
      <c r="D326" s="141">
        <f t="shared" si="10"/>
        <v>44005</v>
      </c>
      <c r="E326" s="275">
        <f t="shared" si="11"/>
        <v>44005</v>
      </c>
      <c r="F326" s="479" t="s">
        <v>964</v>
      </c>
      <c r="G326" s="174" t="s">
        <v>74</v>
      </c>
      <c r="H326" s="174" t="str" cm="1">
        <f t="array" ref="H326">IFERROR(INDEX(INVESTOR_LIST[INVESTOR NAME],MATCH(I326,INVESTOR_LIST[INVESTOR CODE],0),)," ")</f>
        <v>MD. ARIFUL ISLAM</v>
      </c>
      <c r="I326" s="148" t="s">
        <v>455</v>
      </c>
      <c r="J326" s="149" t="s">
        <v>52</v>
      </c>
      <c r="K326" s="218">
        <v>50000</v>
      </c>
      <c r="L326" s="218"/>
      <c r="M326" s="147">
        <v>0</v>
      </c>
      <c r="Q326" s="133" t="s">
        <v>455</v>
      </c>
    </row>
    <row r="327" spans="1:19" ht="33.75" x14ac:dyDescent="0.2">
      <c r="A327" s="147">
        <v>2020</v>
      </c>
      <c r="B327" s="147">
        <v>6</v>
      </c>
      <c r="C327" s="147">
        <v>23</v>
      </c>
      <c r="D327" s="141">
        <f t="shared" si="10"/>
        <v>44005</v>
      </c>
      <c r="E327" s="275">
        <f t="shared" si="11"/>
        <v>44005</v>
      </c>
      <c r="F327" s="481"/>
      <c r="G327" s="174" t="s">
        <v>74</v>
      </c>
      <c r="H327" s="174" t="str" cm="1">
        <f t="array" ref="H327">IFERROR(INDEX(INVESTOR_LIST[INVESTOR NAME],MATCH(I327,INVESTOR_LIST[INVESTOR CODE],0),)," ")</f>
        <v>MD. ARIFUL ISLAM</v>
      </c>
      <c r="I327" s="148" t="s">
        <v>455</v>
      </c>
      <c r="J327" s="149" t="s">
        <v>13</v>
      </c>
      <c r="K327" s="218"/>
      <c r="L327" s="218">
        <v>49650</v>
      </c>
      <c r="M327" s="147">
        <v>3</v>
      </c>
      <c r="N327" s="156">
        <f>K326/10.07</f>
        <v>4965.2432969215488</v>
      </c>
      <c r="Q327" s="133" t="s">
        <v>455</v>
      </c>
    </row>
    <row r="328" spans="1:19" ht="33.75" x14ac:dyDescent="0.2">
      <c r="A328" s="144">
        <v>2020</v>
      </c>
      <c r="B328" s="144">
        <v>6</v>
      </c>
      <c r="C328" s="144">
        <v>23</v>
      </c>
      <c r="D328" s="141">
        <f t="shared" si="10"/>
        <v>44005</v>
      </c>
      <c r="E328" s="275">
        <f t="shared" si="11"/>
        <v>44005</v>
      </c>
      <c r="F328" s="480"/>
      <c r="G328" s="221" t="s">
        <v>74</v>
      </c>
      <c r="H328" s="221" t="str" cm="1">
        <f t="array" ref="H328">IFERROR(INDEX(INVESTOR_LIST[INVESTOR NAME],MATCH(I328,INVESTOR_LIST[INVESTOR CODE],0),)," ")</f>
        <v>MD. ARIFUL ISLAM</v>
      </c>
      <c r="I328" s="145" t="s">
        <v>455</v>
      </c>
      <c r="J328" s="146" t="s">
        <v>53</v>
      </c>
      <c r="K328" s="219"/>
      <c r="L328" s="219">
        <v>350</v>
      </c>
      <c r="M328" s="147">
        <v>0</v>
      </c>
      <c r="Q328" s="133" t="s">
        <v>455</v>
      </c>
    </row>
    <row r="329" spans="1:19" ht="45" x14ac:dyDescent="0.2">
      <c r="A329" s="147">
        <v>2020</v>
      </c>
      <c r="B329" s="147">
        <v>6</v>
      </c>
      <c r="C329" s="147">
        <v>24</v>
      </c>
      <c r="D329" s="141">
        <f t="shared" si="10"/>
        <v>44006</v>
      </c>
      <c r="E329" s="275">
        <f t="shared" si="11"/>
        <v>44006</v>
      </c>
      <c r="F329" s="479" t="s">
        <v>964</v>
      </c>
      <c r="G329" s="174" t="s">
        <v>74</v>
      </c>
      <c r="H329" s="174" t="str" cm="1">
        <f t="array" ref="H329">IFERROR(INDEX(INVESTOR_LIST[INVESTOR NAME],MATCH(I329,INVESTOR_LIST[INVESTOR CODE],0),)," ")</f>
        <v>MOHAMMAD MOHIBUL ISLAM</v>
      </c>
      <c r="I329" s="174" t="s">
        <v>481</v>
      </c>
      <c r="J329" s="149" t="s">
        <v>52</v>
      </c>
      <c r="K329" s="218">
        <v>80000</v>
      </c>
      <c r="L329" s="218"/>
      <c r="M329" s="147">
        <v>0</v>
      </c>
      <c r="Q329" s="133" t="s">
        <v>481</v>
      </c>
    </row>
    <row r="330" spans="1:19" ht="45" x14ac:dyDescent="0.2">
      <c r="A330" s="147">
        <v>2020</v>
      </c>
      <c r="B330" s="147">
        <v>6</v>
      </c>
      <c r="C330" s="147">
        <v>24</v>
      </c>
      <c r="D330" s="141">
        <f t="shared" si="10"/>
        <v>44006</v>
      </c>
      <c r="E330" s="275">
        <f t="shared" si="11"/>
        <v>44006</v>
      </c>
      <c r="F330" s="481"/>
      <c r="G330" s="174" t="s">
        <v>74</v>
      </c>
      <c r="H330" s="174" t="str" cm="1">
        <f t="array" ref="H330">IFERROR(INDEX(INVESTOR_LIST[INVESTOR NAME],MATCH(I330,INVESTOR_LIST[INVESTOR CODE],0),)," ")</f>
        <v>MOHAMMAD MOHIBUL ISLAM</v>
      </c>
      <c r="I330" s="174" t="s">
        <v>481</v>
      </c>
      <c r="J330" s="149" t="s">
        <v>13</v>
      </c>
      <c r="K330" s="218"/>
      <c r="L330" s="218">
        <v>79440</v>
      </c>
      <c r="M330" s="147">
        <v>0</v>
      </c>
      <c r="Q330" s="133" t="s">
        <v>481</v>
      </c>
    </row>
    <row r="331" spans="1:19" ht="45" x14ac:dyDescent="0.2">
      <c r="A331" s="144">
        <v>2020</v>
      </c>
      <c r="B331" s="144">
        <v>6</v>
      </c>
      <c r="C331" s="144">
        <v>24</v>
      </c>
      <c r="D331" s="141">
        <f t="shared" si="10"/>
        <v>44006</v>
      </c>
      <c r="E331" s="275">
        <f t="shared" si="11"/>
        <v>44006</v>
      </c>
      <c r="F331" s="480"/>
      <c r="G331" s="221" t="s">
        <v>74</v>
      </c>
      <c r="H331" s="221" t="str" cm="1">
        <f t="array" ref="H331">IFERROR(INDEX(INVESTOR_LIST[INVESTOR NAME],MATCH(I331,INVESTOR_LIST[INVESTOR CODE],0),)," ")</f>
        <v>MOHAMMAD MOHIBUL ISLAM</v>
      </c>
      <c r="I331" s="221" t="s">
        <v>481</v>
      </c>
      <c r="J331" s="146" t="s">
        <v>53</v>
      </c>
      <c r="K331" s="219"/>
      <c r="L331" s="219">
        <f>K329-L330</f>
        <v>560</v>
      </c>
      <c r="M331" s="147">
        <v>0</v>
      </c>
      <c r="Q331" s="133" t="s">
        <v>481</v>
      </c>
    </row>
    <row r="332" spans="1:19" ht="33.75" x14ac:dyDescent="0.2">
      <c r="A332" s="147">
        <v>2020</v>
      </c>
      <c r="B332" s="147">
        <v>6</v>
      </c>
      <c r="C332" s="147">
        <v>25</v>
      </c>
      <c r="D332" s="141">
        <f t="shared" si="10"/>
        <v>44007</v>
      </c>
      <c r="E332" s="275">
        <f t="shared" si="11"/>
        <v>44007</v>
      </c>
      <c r="F332" s="479" t="s">
        <v>964</v>
      </c>
      <c r="G332" s="174" t="s">
        <v>74</v>
      </c>
      <c r="H332" s="174" t="str" cm="1">
        <f t="array" ref="H332">IFERROR(INDEX(INVESTOR_LIST[INVESTOR NAME],MATCH(I332,INVESTOR_LIST[INVESTOR CODE],0),)," ")</f>
        <v>RABEYA JAHAN SOAD</v>
      </c>
      <c r="I332" s="148" t="s">
        <v>447</v>
      </c>
      <c r="J332" s="149" t="s">
        <v>52</v>
      </c>
      <c r="K332" s="218">
        <v>100000</v>
      </c>
      <c r="L332" s="218"/>
      <c r="M332" s="147">
        <v>0</v>
      </c>
      <c r="N332" s="160"/>
      <c r="Q332" s="133" t="s">
        <v>447</v>
      </c>
    </row>
    <row r="333" spans="1:19" ht="33.75" x14ac:dyDescent="0.2">
      <c r="A333" s="147">
        <v>2020</v>
      </c>
      <c r="B333" s="147">
        <v>6</v>
      </c>
      <c r="C333" s="147">
        <v>25</v>
      </c>
      <c r="D333" s="141">
        <f t="shared" ref="D333:D396" si="16">DATE(A333,B333,C333)</f>
        <v>44007</v>
      </c>
      <c r="E333" s="275">
        <f t="shared" si="11"/>
        <v>44007</v>
      </c>
      <c r="F333" s="481"/>
      <c r="G333" s="174" t="s">
        <v>74</v>
      </c>
      <c r="H333" s="174" t="str" cm="1">
        <f t="array" ref="H333">IFERROR(INDEX(INVESTOR_LIST[INVESTOR NAME],MATCH(I333,INVESTOR_LIST[INVESTOR CODE],0),)," ")</f>
        <v>RABEYA JAHAN SOAD</v>
      </c>
      <c r="I333" s="148" t="s">
        <v>447</v>
      </c>
      <c r="J333" s="149" t="s">
        <v>13</v>
      </c>
      <c r="K333" s="218"/>
      <c r="L333" s="218">
        <v>99300</v>
      </c>
      <c r="M333" s="147">
        <v>1</v>
      </c>
      <c r="Q333" s="133" t="s">
        <v>447</v>
      </c>
    </row>
    <row r="334" spans="1:19" ht="33.75" x14ac:dyDescent="0.2">
      <c r="A334" s="144">
        <v>2020</v>
      </c>
      <c r="B334" s="144">
        <v>6</v>
      </c>
      <c r="C334" s="144">
        <v>25</v>
      </c>
      <c r="D334" s="141">
        <f t="shared" si="16"/>
        <v>44007</v>
      </c>
      <c r="E334" s="275">
        <f t="shared" ref="E334:E397" si="17">DATE(A334,B334,C334)</f>
        <v>44007</v>
      </c>
      <c r="F334" s="480"/>
      <c r="G334" s="221" t="s">
        <v>74</v>
      </c>
      <c r="H334" s="221" t="str" cm="1">
        <f t="array" ref="H334">IFERROR(INDEX(INVESTOR_LIST[INVESTOR NAME],MATCH(I334,INVESTOR_LIST[INVESTOR CODE],0),)," ")</f>
        <v>RABEYA JAHAN SOAD</v>
      </c>
      <c r="I334" s="145" t="s">
        <v>447</v>
      </c>
      <c r="J334" s="146" t="s">
        <v>53</v>
      </c>
      <c r="K334" s="219"/>
      <c r="L334" s="219">
        <f>K332-L333</f>
        <v>700</v>
      </c>
      <c r="M334" s="147">
        <v>0</v>
      </c>
      <c r="Q334" s="133" t="s">
        <v>447</v>
      </c>
    </row>
    <row r="335" spans="1:19" x14ac:dyDescent="0.2">
      <c r="A335" s="147">
        <v>2020</v>
      </c>
      <c r="B335" s="147">
        <v>6</v>
      </c>
      <c r="C335" s="147">
        <v>25</v>
      </c>
      <c r="D335" s="141">
        <f t="shared" si="16"/>
        <v>44007</v>
      </c>
      <c r="E335" s="275">
        <f t="shared" si="17"/>
        <v>44007</v>
      </c>
      <c r="F335" s="481" t="s">
        <v>134</v>
      </c>
      <c r="G335" s="174" t="s">
        <v>94</v>
      </c>
      <c r="H335" s="174" t="str" cm="1">
        <f t="array" ref="H335">IFERROR(INDEX(INVESTOR_LIST[INVESTOR NAME],MATCH(I335,INVESTOR_LIST[INVESTOR CODE],0),)," ")</f>
        <v xml:space="preserve"> </v>
      </c>
      <c r="I335" s="148" t="s">
        <v>348</v>
      </c>
      <c r="J335" s="149" t="s">
        <v>133</v>
      </c>
      <c r="K335" s="218">
        <v>40865</v>
      </c>
      <c r="L335" s="218"/>
      <c r="M335" s="147">
        <v>0</v>
      </c>
      <c r="Q335" s="133" t="s">
        <v>348</v>
      </c>
    </row>
    <row r="336" spans="1:19" x14ac:dyDescent="0.2">
      <c r="A336" s="144">
        <v>2020</v>
      </c>
      <c r="B336" s="144">
        <v>6</v>
      </c>
      <c r="C336" s="144">
        <v>25</v>
      </c>
      <c r="D336" s="141">
        <f t="shared" si="16"/>
        <v>44007</v>
      </c>
      <c r="E336" s="275">
        <f t="shared" si="17"/>
        <v>44007</v>
      </c>
      <c r="F336" s="480"/>
      <c r="G336" s="221" t="s">
        <v>94</v>
      </c>
      <c r="H336" s="221" t="str" cm="1">
        <f t="array" ref="H336">IFERROR(INDEX(INVESTOR_LIST[INVESTOR NAME],MATCH(I336,INVESTOR_LIST[INVESTOR CODE],0),)," ")</f>
        <v xml:space="preserve"> </v>
      </c>
      <c r="I336" s="145" t="s">
        <v>348</v>
      </c>
      <c r="J336" s="146" t="s">
        <v>60</v>
      </c>
      <c r="K336" s="219"/>
      <c r="L336" s="219">
        <v>40865</v>
      </c>
      <c r="M336" s="147">
        <v>0</v>
      </c>
      <c r="Q336" s="133" t="s">
        <v>348</v>
      </c>
    </row>
    <row r="337" spans="1:17" x14ac:dyDescent="0.2">
      <c r="A337" s="147">
        <v>2020</v>
      </c>
      <c r="B337" s="147">
        <v>6</v>
      </c>
      <c r="C337" s="147">
        <v>25</v>
      </c>
      <c r="D337" s="141">
        <f t="shared" si="16"/>
        <v>44007</v>
      </c>
      <c r="E337" s="275">
        <f t="shared" si="17"/>
        <v>44007</v>
      </c>
      <c r="F337" s="481" t="s">
        <v>135</v>
      </c>
      <c r="G337" s="174" t="s">
        <v>94</v>
      </c>
      <c r="H337" s="174" t="str" cm="1">
        <f t="array" ref="H337">IFERROR(INDEX(INVESTOR_LIST[INVESTOR NAME],MATCH(I337,INVESTOR_LIST[INVESTOR CODE],0),)," ")</f>
        <v xml:space="preserve"> </v>
      </c>
      <c r="I337" s="148" t="s">
        <v>348</v>
      </c>
      <c r="J337" s="149" t="s">
        <v>67</v>
      </c>
      <c r="K337" s="218">
        <v>50000</v>
      </c>
      <c r="L337" s="218"/>
      <c r="M337" s="147">
        <v>1</v>
      </c>
      <c r="Q337" s="133" t="s">
        <v>348</v>
      </c>
    </row>
    <row r="338" spans="1:17" ht="15" customHeight="1" x14ac:dyDescent="0.2">
      <c r="A338" s="144">
        <v>2020</v>
      </c>
      <c r="B338" s="144">
        <v>6</v>
      </c>
      <c r="C338" s="144">
        <v>25</v>
      </c>
      <c r="D338" s="141">
        <f t="shared" si="16"/>
        <v>44007</v>
      </c>
      <c r="E338" s="275">
        <f t="shared" si="17"/>
        <v>44007</v>
      </c>
      <c r="F338" s="480"/>
      <c r="G338" s="221" t="s">
        <v>94</v>
      </c>
      <c r="H338" s="221" t="str" cm="1">
        <f t="array" ref="H338">IFERROR(INDEX(INVESTOR_LIST[INVESTOR NAME],MATCH(I338,INVESTOR_LIST[INVESTOR CODE],0),)," ")</f>
        <v xml:space="preserve"> </v>
      </c>
      <c r="I338" s="145" t="s">
        <v>348</v>
      </c>
      <c r="J338" s="146" t="s">
        <v>60</v>
      </c>
      <c r="K338" s="219"/>
      <c r="L338" s="219">
        <v>50000</v>
      </c>
      <c r="M338" s="147">
        <v>0</v>
      </c>
      <c r="Q338" s="133" t="s">
        <v>348</v>
      </c>
    </row>
    <row r="339" spans="1:17" ht="22.5" x14ac:dyDescent="0.2">
      <c r="A339" s="147">
        <v>2020</v>
      </c>
      <c r="B339" s="147">
        <v>6</v>
      </c>
      <c r="C339" s="147">
        <v>25</v>
      </c>
      <c r="D339" s="141">
        <f t="shared" si="16"/>
        <v>44007</v>
      </c>
      <c r="E339" s="275">
        <f t="shared" si="17"/>
        <v>44007</v>
      </c>
      <c r="F339" s="481" t="s">
        <v>136</v>
      </c>
      <c r="G339" s="174" t="s">
        <v>94</v>
      </c>
      <c r="H339" s="174" t="str" cm="1">
        <f t="array" ref="H339">IFERROR(INDEX(INVESTOR_LIST[INVESTOR NAME],MATCH(I339,INVESTOR_LIST[INVESTOR CODE],0),)," ")</f>
        <v xml:space="preserve"> </v>
      </c>
      <c r="I339" s="148" t="s">
        <v>348</v>
      </c>
      <c r="J339" s="149" t="s">
        <v>95</v>
      </c>
      <c r="K339" s="218">
        <v>2747.25</v>
      </c>
      <c r="L339" s="218"/>
      <c r="M339" s="147">
        <v>0</v>
      </c>
      <c r="N339" s="160"/>
      <c r="Q339" s="133" t="s">
        <v>348</v>
      </c>
    </row>
    <row r="340" spans="1:17" x14ac:dyDescent="0.2">
      <c r="A340" s="144">
        <v>2020</v>
      </c>
      <c r="B340" s="144">
        <v>6</v>
      </c>
      <c r="C340" s="144">
        <v>25</v>
      </c>
      <c r="D340" s="141">
        <f t="shared" si="16"/>
        <v>44007</v>
      </c>
      <c r="E340" s="275">
        <f t="shared" si="17"/>
        <v>44007</v>
      </c>
      <c r="F340" s="480"/>
      <c r="G340" s="221" t="s">
        <v>94</v>
      </c>
      <c r="H340" s="221" t="str" cm="1">
        <f t="array" ref="H340">IFERROR(INDEX(INVESTOR_LIST[INVESTOR NAME],MATCH(I340,INVESTOR_LIST[INVESTOR CODE],0),)," ")</f>
        <v xml:space="preserve"> </v>
      </c>
      <c r="I340" s="145" t="s">
        <v>348</v>
      </c>
      <c r="J340" s="146" t="s">
        <v>63</v>
      </c>
      <c r="K340" s="219"/>
      <c r="L340" s="219">
        <v>2747.25</v>
      </c>
      <c r="M340" s="147">
        <v>1</v>
      </c>
      <c r="Q340" s="133" t="s">
        <v>348</v>
      </c>
    </row>
    <row r="341" spans="1:17" x14ac:dyDescent="0.2">
      <c r="A341" s="147">
        <v>2020</v>
      </c>
      <c r="B341" s="147">
        <v>6</v>
      </c>
      <c r="C341" s="147">
        <v>25</v>
      </c>
      <c r="D341" s="141">
        <f t="shared" si="16"/>
        <v>44007</v>
      </c>
      <c r="E341" s="275">
        <f t="shared" si="17"/>
        <v>44007</v>
      </c>
      <c r="F341" s="481" t="s">
        <v>137</v>
      </c>
      <c r="G341" s="174" t="s">
        <v>94</v>
      </c>
      <c r="H341" s="174" t="str" cm="1">
        <f t="array" ref="H341">IFERROR(INDEX(INVESTOR_LIST[INVESTOR NAME],MATCH(I341,INVESTOR_LIST[INVESTOR CODE],0),)," ")</f>
        <v xml:space="preserve"> </v>
      </c>
      <c r="I341" s="148" t="s">
        <v>348</v>
      </c>
      <c r="J341" s="149" t="s">
        <v>97</v>
      </c>
      <c r="K341" s="218">
        <v>25904.65</v>
      </c>
      <c r="L341" s="218"/>
      <c r="M341" s="147">
        <v>0</v>
      </c>
      <c r="Q341" s="133" t="s">
        <v>348</v>
      </c>
    </row>
    <row r="342" spans="1:17" x14ac:dyDescent="0.2">
      <c r="A342" s="144">
        <v>2020</v>
      </c>
      <c r="B342" s="144">
        <v>6</v>
      </c>
      <c r="C342" s="144">
        <v>25</v>
      </c>
      <c r="D342" s="141">
        <f t="shared" si="16"/>
        <v>44007</v>
      </c>
      <c r="E342" s="275">
        <f t="shared" si="17"/>
        <v>44007</v>
      </c>
      <c r="F342" s="480"/>
      <c r="G342" s="221" t="s">
        <v>94</v>
      </c>
      <c r="H342" s="221" t="str" cm="1">
        <f t="array" ref="H342">IFERROR(INDEX(INVESTOR_LIST[INVESTOR NAME],MATCH(I342,INVESTOR_LIST[INVESTOR CODE],0),)," ")</f>
        <v xml:space="preserve"> </v>
      </c>
      <c r="I342" s="145" t="s">
        <v>348</v>
      </c>
      <c r="J342" s="146" t="s">
        <v>47</v>
      </c>
      <c r="K342" s="219"/>
      <c r="L342" s="219">
        <v>25904.65</v>
      </c>
      <c r="M342" s="147">
        <v>0</v>
      </c>
      <c r="Q342" s="133" t="s">
        <v>348</v>
      </c>
    </row>
    <row r="343" spans="1:17" x14ac:dyDescent="0.2">
      <c r="A343" s="147">
        <v>2020</v>
      </c>
      <c r="B343" s="147">
        <v>6</v>
      </c>
      <c r="C343" s="147">
        <v>25</v>
      </c>
      <c r="D343" s="141">
        <f t="shared" si="16"/>
        <v>44007</v>
      </c>
      <c r="E343" s="275">
        <f t="shared" si="17"/>
        <v>44007</v>
      </c>
      <c r="F343" s="481" t="s">
        <v>138</v>
      </c>
      <c r="G343" s="174" t="s">
        <v>94</v>
      </c>
      <c r="H343" s="174" t="str" cm="1">
        <f t="array" ref="H343">IFERROR(INDEX(INVESTOR_LIST[INVESTOR NAME],MATCH(I343,INVESTOR_LIST[INVESTOR CODE],0),)," ")</f>
        <v xml:space="preserve"> </v>
      </c>
      <c r="I343" s="148" t="s">
        <v>348</v>
      </c>
      <c r="J343" s="149" t="s">
        <v>100</v>
      </c>
      <c r="K343" s="218">
        <v>1246.6300000000001</v>
      </c>
      <c r="L343" s="218"/>
      <c r="M343" s="147">
        <v>1</v>
      </c>
      <c r="Q343" s="133" t="s">
        <v>348</v>
      </c>
    </row>
    <row r="344" spans="1:17" x14ac:dyDescent="0.2">
      <c r="A344" s="144">
        <v>2020</v>
      </c>
      <c r="B344" s="144">
        <v>6</v>
      </c>
      <c r="C344" s="144">
        <v>25</v>
      </c>
      <c r="D344" s="141">
        <f t="shared" si="16"/>
        <v>44007</v>
      </c>
      <c r="E344" s="275">
        <f t="shared" si="17"/>
        <v>44007</v>
      </c>
      <c r="F344" s="480"/>
      <c r="G344" s="221" t="s">
        <v>94</v>
      </c>
      <c r="H344" s="221" t="str" cm="1">
        <f t="array" ref="H344">IFERROR(INDEX(INVESTOR_LIST[INVESTOR NAME],MATCH(I344,INVESTOR_LIST[INVESTOR CODE],0),)," ")</f>
        <v xml:space="preserve"> </v>
      </c>
      <c r="I344" s="145" t="s">
        <v>348</v>
      </c>
      <c r="J344" s="146" t="s">
        <v>48</v>
      </c>
      <c r="K344" s="219"/>
      <c r="L344" s="219">
        <v>1246.6300000000001</v>
      </c>
      <c r="M344" s="147">
        <v>0</v>
      </c>
      <c r="Q344" s="133" t="s">
        <v>348</v>
      </c>
    </row>
    <row r="345" spans="1:17" x14ac:dyDescent="0.2">
      <c r="A345" s="147">
        <v>2020</v>
      </c>
      <c r="B345" s="147">
        <v>6</v>
      </c>
      <c r="C345" s="147">
        <v>25</v>
      </c>
      <c r="D345" s="141">
        <f t="shared" si="16"/>
        <v>44007</v>
      </c>
      <c r="E345" s="275">
        <f t="shared" si="17"/>
        <v>44007</v>
      </c>
      <c r="F345" s="481" t="s">
        <v>139</v>
      </c>
      <c r="G345" s="174" t="s">
        <v>94</v>
      </c>
      <c r="H345" s="174" t="str" cm="1">
        <f t="array" ref="H345">IFERROR(INDEX(INVESTOR_LIST[INVESTOR NAME],MATCH(I345,INVESTOR_LIST[INVESTOR CODE],0),)," ")</f>
        <v xml:space="preserve"> </v>
      </c>
      <c r="I345" s="148" t="s">
        <v>348</v>
      </c>
      <c r="J345" s="149" t="s">
        <v>101</v>
      </c>
      <c r="K345" s="218">
        <v>1585.76</v>
      </c>
      <c r="L345" s="218"/>
      <c r="M345" s="147">
        <v>0</v>
      </c>
      <c r="Q345" s="133" t="s">
        <v>348</v>
      </c>
    </row>
    <row r="346" spans="1:17" x14ac:dyDescent="0.2">
      <c r="A346" s="144">
        <v>2020</v>
      </c>
      <c r="B346" s="144">
        <v>6</v>
      </c>
      <c r="C346" s="144">
        <v>25</v>
      </c>
      <c r="D346" s="141">
        <f t="shared" si="16"/>
        <v>44007</v>
      </c>
      <c r="E346" s="275">
        <f t="shared" si="17"/>
        <v>44007</v>
      </c>
      <c r="F346" s="480"/>
      <c r="G346" s="221" t="s">
        <v>94</v>
      </c>
      <c r="H346" s="221" t="str" cm="1">
        <f t="array" ref="H346">IFERROR(INDEX(INVESTOR_LIST[INVESTOR NAME],MATCH(I346,INVESTOR_LIST[INVESTOR CODE],0),)," ")</f>
        <v xml:space="preserve"> </v>
      </c>
      <c r="I346" s="145" t="s">
        <v>348</v>
      </c>
      <c r="J346" s="146" t="s">
        <v>102</v>
      </c>
      <c r="K346" s="219"/>
      <c r="L346" s="219">
        <v>1585.76</v>
      </c>
      <c r="M346" s="147">
        <v>0</v>
      </c>
      <c r="Q346" s="133" t="s">
        <v>348</v>
      </c>
    </row>
    <row r="347" spans="1:17" x14ac:dyDescent="0.2">
      <c r="A347" s="147">
        <v>2020</v>
      </c>
      <c r="B347" s="147">
        <v>6</v>
      </c>
      <c r="C347" s="147">
        <v>25</v>
      </c>
      <c r="D347" s="141">
        <f t="shared" si="16"/>
        <v>44007</v>
      </c>
      <c r="E347" s="275">
        <f t="shared" si="17"/>
        <v>44007</v>
      </c>
      <c r="F347" s="481" t="s">
        <v>140</v>
      </c>
      <c r="G347" s="174" t="s">
        <v>94</v>
      </c>
      <c r="H347" s="174" t="str" cm="1">
        <f t="array" ref="H347">IFERROR(INDEX(INVESTOR_LIST[INVESTOR NAME],MATCH(I347,INVESTOR_LIST[INVESTOR CODE],0),)," ")</f>
        <v xml:space="preserve"> </v>
      </c>
      <c r="I347" s="148" t="s">
        <v>348</v>
      </c>
      <c r="J347" s="149" t="s">
        <v>103</v>
      </c>
      <c r="K347" s="218">
        <v>729.17</v>
      </c>
      <c r="L347" s="218"/>
      <c r="M347" s="147">
        <v>0</v>
      </c>
      <c r="Q347" s="133" t="s">
        <v>348</v>
      </c>
    </row>
    <row r="348" spans="1:17" x14ac:dyDescent="0.2">
      <c r="A348" s="144">
        <v>2020</v>
      </c>
      <c r="B348" s="144">
        <v>6</v>
      </c>
      <c r="C348" s="144">
        <v>25</v>
      </c>
      <c r="D348" s="141">
        <f t="shared" si="16"/>
        <v>44007</v>
      </c>
      <c r="E348" s="275">
        <f t="shared" si="17"/>
        <v>44007</v>
      </c>
      <c r="F348" s="480"/>
      <c r="G348" s="221" t="s">
        <v>94</v>
      </c>
      <c r="H348" s="221" t="str" cm="1">
        <f t="array" ref="H348">IFERROR(INDEX(INVESTOR_LIST[INVESTOR NAME],MATCH(I348,INVESTOR_LIST[INVESTOR CODE],0),)," ")</f>
        <v xml:space="preserve"> </v>
      </c>
      <c r="I348" s="145" t="s">
        <v>348</v>
      </c>
      <c r="J348" s="146" t="s">
        <v>50</v>
      </c>
      <c r="K348" s="219"/>
      <c r="L348" s="219">
        <v>729.17</v>
      </c>
      <c r="M348" s="147">
        <v>0</v>
      </c>
      <c r="Q348" s="133" t="s">
        <v>348</v>
      </c>
    </row>
    <row r="349" spans="1:17" ht="33.75" x14ac:dyDescent="0.2">
      <c r="A349" s="133">
        <v>2020</v>
      </c>
      <c r="B349" s="133">
        <v>6</v>
      </c>
      <c r="C349" s="133">
        <v>28</v>
      </c>
      <c r="D349" s="141">
        <f t="shared" si="16"/>
        <v>44010</v>
      </c>
      <c r="E349" s="275">
        <f t="shared" si="17"/>
        <v>44010</v>
      </c>
      <c r="F349" s="479" t="s">
        <v>964</v>
      </c>
      <c r="G349" s="174" t="s">
        <v>74</v>
      </c>
      <c r="H349" s="174" t="str" cm="1">
        <f t="array" ref="H349">IFERROR(INDEX(INVESTOR_LIST[INVESTOR NAME],MATCH(I349,INVESTOR_LIST[INVESTOR CODE],0),)," ")</f>
        <v>MD. ARIFUL ISLAM</v>
      </c>
      <c r="I349" s="148" t="s">
        <v>455</v>
      </c>
      <c r="J349" s="149" t="s">
        <v>52</v>
      </c>
      <c r="K349" s="218">
        <v>50000</v>
      </c>
      <c r="L349" s="218"/>
      <c r="M349" s="147">
        <v>0</v>
      </c>
      <c r="Q349" s="133" t="s">
        <v>455</v>
      </c>
    </row>
    <row r="350" spans="1:17" ht="33.75" x14ac:dyDescent="0.2">
      <c r="A350" s="133">
        <v>2020</v>
      </c>
      <c r="B350" s="133">
        <v>6</v>
      </c>
      <c r="C350" s="133">
        <v>28</v>
      </c>
      <c r="D350" s="141">
        <f t="shared" si="16"/>
        <v>44010</v>
      </c>
      <c r="E350" s="275">
        <f t="shared" si="17"/>
        <v>44010</v>
      </c>
      <c r="F350" s="481"/>
      <c r="G350" s="174" t="s">
        <v>74</v>
      </c>
      <c r="H350" s="174" t="str" cm="1">
        <f t="array" ref="H350">IFERROR(INDEX(INVESTOR_LIST[INVESTOR NAME],MATCH(I350,INVESTOR_LIST[INVESTOR CODE],0),)," ")</f>
        <v>MD. ARIFUL ISLAM</v>
      </c>
      <c r="I350" s="148" t="s">
        <v>455</v>
      </c>
      <c r="J350" s="149" t="s">
        <v>13</v>
      </c>
      <c r="K350" s="218"/>
      <c r="L350" s="218">
        <v>49600</v>
      </c>
      <c r="M350" s="147">
        <v>0</v>
      </c>
      <c r="Q350" s="133" t="s">
        <v>455</v>
      </c>
    </row>
    <row r="351" spans="1:17" ht="33.75" x14ac:dyDescent="0.2">
      <c r="A351" s="163">
        <v>2020</v>
      </c>
      <c r="B351" s="163">
        <v>6</v>
      </c>
      <c r="C351" s="163">
        <v>28</v>
      </c>
      <c r="D351" s="141">
        <f t="shared" si="16"/>
        <v>44010</v>
      </c>
      <c r="E351" s="275">
        <f t="shared" si="17"/>
        <v>44010</v>
      </c>
      <c r="F351" s="480"/>
      <c r="G351" s="221" t="s">
        <v>74</v>
      </c>
      <c r="H351" s="221" t="str" cm="1">
        <f t="array" ref="H351">IFERROR(INDEX(INVESTOR_LIST[INVESTOR NAME],MATCH(I351,INVESTOR_LIST[INVESTOR CODE],0),)," ")</f>
        <v>MD. ARIFUL ISLAM</v>
      </c>
      <c r="I351" s="145" t="s">
        <v>455</v>
      </c>
      <c r="J351" s="146" t="s">
        <v>53</v>
      </c>
      <c r="K351" s="219"/>
      <c r="L351" s="219">
        <f>K349-L350</f>
        <v>400</v>
      </c>
      <c r="M351" s="147">
        <v>0</v>
      </c>
      <c r="Q351" s="133" t="s">
        <v>455</v>
      </c>
    </row>
    <row r="352" spans="1:17" ht="33.75" x14ac:dyDescent="0.2">
      <c r="A352" s="133">
        <v>2020</v>
      </c>
      <c r="B352" s="133">
        <v>6</v>
      </c>
      <c r="C352" s="133">
        <v>28</v>
      </c>
      <c r="D352" s="141">
        <f t="shared" si="16"/>
        <v>44010</v>
      </c>
      <c r="E352" s="275">
        <f t="shared" si="17"/>
        <v>44010</v>
      </c>
      <c r="F352" s="479" t="s">
        <v>964</v>
      </c>
      <c r="G352" s="174" t="s">
        <v>74</v>
      </c>
      <c r="H352" s="174" t="str" cm="1">
        <f t="array" ref="H352">IFERROR(INDEX(INVESTOR_LIST[INVESTOR NAME],MATCH(I352,INVESTOR_LIST[INVESTOR CODE],0),)," ")</f>
        <v>SAJJAD CHOWDHURY</v>
      </c>
      <c r="I352" s="148" t="s">
        <v>533</v>
      </c>
      <c r="J352" s="149" t="s">
        <v>52</v>
      </c>
      <c r="K352" s="218">
        <v>50000</v>
      </c>
      <c r="L352" s="218"/>
      <c r="M352" s="147">
        <v>0</v>
      </c>
      <c r="Q352" s="133" t="s">
        <v>348</v>
      </c>
    </row>
    <row r="353" spans="1:17" ht="33.75" x14ac:dyDescent="0.2">
      <c r="A353" s="133">
        <v>2020</v>
      </c>
      <c r="B353" s="133">
        <v>6</v>
      </c>
      <c r="C353" s="133">
        <v>28</v>
      </c>
      <c r="D353" s="141">
        <f t="shared" si="16"/>
        <v>44010</v>
      </c>
      <c r="E353" s="275">
        <f t="shared" si="17"/>
        <v>44010</v>
      </c>
      <c r="F353" s="481"/>
      <c r="G353" s="174" t="s">
        <v>74</v>
      </c>
      <c r="H353" s="174" t="str" cm="1">
        <f t="array" ref="H353">IFERROR(INDEX(INVESTOR_LIST[INVESTOR NAME],MATCH(I353,INVESTOR_LIST[INVESTOR CODE],0),)," ")</f>
        <v>SAJJAD CHOWDHURY</v>
      </c>
      <c r="I353" s="148" t="s">
        <v>533</v>
      </c>
      <c r="J353" s="149" t="s">
        <v>13</v>
      </c>
      <c r="K353" s="218"/>
      <c r="L353" s="218">
        <v>49600</v>
      </c>
      <c r="M353" s="147">
        <v>0</v>
      </c>
      <c r="Q353" s="133" t="s">
        <v>348</v>
      </c>
    </row>
    <row r="354" spans="1:17" ht="33.75" x14ac:dyDescent="0.2">
      <c r="A354" s="163">
        <v>2020</v>
      </c>
      <c r="B354" s="163">
        <v>6</v>
      </c>
      <c r="C354" s="163">
        <v>28</v>
      </c>
      <c r="D354" s="141">
        <f t="shared" si="16"/>
        <v>44010</v>
      </c>
      <c r="E354" s="275">
        <f t="shared" si="17"/>
        <v>44010</v>
      </c>
      <c r="F354" s="480"/>
      <c r="G354" s="221" t="s">
        <v>74</v>
      </c>
      <c r="H354" s="221" t="str" cm="1">
        <f t="array" ref="H354">IFERROR(INDEX(INVESTOR_LIST[INVESTOR NAME],MATCH(I354,INVESTOR_LIST[INVESTOR CODE],0),)," ")</f>
        <v>SAJJAD CHOWDHURY</v>
      </c>
      <c r="I354" s="145" t="s">
        <v>533</v>
      </c>
      <c r="J354" s="146" t="s">
        <v>53</v>
      </c>
      <c r="K354" s="219"/>
      <c r="L354" s="219">
        <v>400</v>
      </c>
      <c r="M354" s="147">
        <v>0</v>
      </c>
      <c r="Q354" s="133" t="s">
        <v>348</v>
      </c>
    </row>
    <row r="355" spans="1:17" ht="45" x14ac:dyDescent="0.2">
      <c r="A355" s="133">
        <v>2020</v>
      </c>
      <c r="B355" s="133">
        <v>6</v>
      </c>
      <c r="C355" s="133">
        <v>28</v>
      </c>
      <c r="D355" s="141">
        <f t="shared" si="16"/>
        <v>44010</v>
      </c>
      <c r="E355" s="275">
        <f t="shared" si="17"/>
        <v>44010</v>
      </c>
      <c r="F355" s="479" t="s">
        <v>964</v>
      </c>
      <c r="G355" s="174" t="s">
        <v>74</v>
      </c>
      <c r="H355" s="174" t="str" cm="1">
        <f t="array" ref="H355">IFERROR(INDEX(INVESTOR_LIST[INVESTOR NAME],MATCH(I355,INVESTOR_LIST[INVESTOR CODE],0),)," ")</f>
        <v>MOHAMMAD SAYDUZZAMAN</v>
      </c>
      <c r="I355" s="148" t="s">
        <v>444</v>
      </c>
      <c r="J355" s="149" t="s">
        <v>52</v>
      </c>
      <c r="K355" s="218">
        <v>200000</v>
      </c>
      <c r="L355" s="218"/>
      <c r="M355" s="147">
        <v>0</v>
      </c>
      <c r="Q355" s="133" t="s">
        <v>444</v>
      </c>
    </row>
    <row r="356" spans="1:17" ht="45" x14ac:dyDescent="0.2">
      <c r="A356" s="133">
        <v>2020</v>
      </c>
      <c r="B356" s="133">
        <v>6</v>
      </c>
      <c r="C356" s="133">
        <v>28</v>
      </c>
      <c r="D356" s="141">
        <f t="shared" si="16"/>
        <v>44010</v>
      </c>
      <c r="E356" s="275">
        <f t="shared" si="17"/>
        <v>44010</v>
      </c>
      <c r="F356" s="481"/>
      <c r="G356" s="174" t="s">
        <v>74</v>
      </c>
      <c r="H356" s="174" t="str" cm="1">
        <f t="array" ref="H356">IFERROR(INDEX(INVESTOR_LIST[INVESTOR NAME],MATCH(I356,INVESTOR_LIST[INVESTOR CODE],0),)," ")</f>
        <v>MOHAMMAD SAYDUZZAMAN</v>
      </c>
      <c r="I356" s="148" t="s">
        <v>444</v>
      </c>
      <c r="J356" s="149" t="s">
        <v>13</v>
      </c>
      <c r="K356" s="218"/>
      <c r="L356" s="218">
        <f>19841*10</f>
        <v>198410</v>
      </c>
      <c r="M356" s="147">
        <v>0</v>
      </c>
      <c r="Q356" s="133" t="s">
        <v>444</v>
      </c>
    </row>
    <row r="357" spans="1:17" ht="45" x14ac:dyDescent="0.2">
      <c r="A357" s="163">
        <v>2020</v>
      </c>
      <c r="B357" s="163">
        <v>6</v>
      </c>
      <c r="C357" s="163">
        <v>28</v>
      </c>
      <c r="D357" s="141">
        <f t="shared" si="16"/>
        <v>44010</v>
      </c>
      <c r="E357" s="275">
        <f t="shared" si="17"/>
        <v>44010</v>
      </c>
      <c r="F357" s="480"/>
      <c r="G357" s="221" t="s">
        <v>74</v>
      </c>
      <c r="H357" s="221" t="str" cm="1">
        <f t="array" ref="H357">IFERROR(INDEX(INVESTOR_LIST[INVESTOR NAME],MATCH(I357,INVESTOR_LIST[INVESTOR CODE],0),)," ")</f>
        <v>MOHAMMAD SAYDUZZAMAN</v>
      </c>
      <c r="I357" s="145" t="s">
        <v>444</v>
      </c>
      <c r="J357" s="146" t="s">
        <v>53</v>
      </c>
      <c r="K357" s="219"/>
      <c r="L357" s="219">
        <f>K355-L356</f>
        <v>1590</v>
      </c>
      <c r="M357" s="147">
        <v>0</v>
      </c>
      <c r="Q357" s="133" t="s">
        <v>444</v>
      </c>
    </row>
    <row r="358" spans="1:17" ht="33.75" x14ac:dyDescent="0.2">
      <c r="A358" s="133">
        <v>2020</v>
      </c>
      <c r="B358" s="133">
        <v>6</v>
      </c>
      <c r="C358" s="133">
        <v>28</v>
      </c>
      <c r="D358" s="141">
        <f t="shared" si="16"/>
        <v>44010</v>
      </c>
      <c r="E358" s="275">
        <f t="shared" si="17"/>
        <v>44010</v>
      </c>
      <c r="F358" s="479" t="s">
        <v>964</v>
      </c>
      <c r="G358" s="174" t="s">
        <v>74</v>
      </c>
      <c r="H358" s="174" t="str" cm="1">
        <f t="array" ref="H358">IFERROR(INDEX(INVESTOR_LIST[INVESTOR NAME],MATCH(I358,INVESTOR_LIST[INVESTOR CODE],0),)," ")</f>
        <v>H M JAHID HASSAN</v>
      </c>
      <c r="I358" s="148" t="s">
        <v>425</v>
      </c>
      <c r="J358" s="149" t="s">
        <v>52</v>
      </c>
      <c r="K358" s="218">
        <v>201600</v>
      </c>
      <c r="L358" s="218"/>
      <c r="M358" s="147">
        <v>0</v>
      </c>
      <c r="Q358" s="133" t="s">
        <v>425</v>
      </c>
    </row>
    <row r="359" spans="1:17" ht="33.75" x14ac:dyDescent="0.2">
      <c r="A359" s="133">
        <v>2020</v>
      </c>
      <c r="B359" s="133">
        <v>6</v>
      </c>
      <c r="C359" s="133">
        <v>28</v>
      </c>
      <c r="D359" s="141">
        <f t="shared" si="16"/>
        <v>44010</v>
      </c>
      <c r="E359" s="275">
        <f t="shared" si="17"/>
        <v>44010</v>
      </c>
      <c r="F359" s="481"/>
      <c r="G359" s="174" t="s">
        <v>74</v>
      </c>
      <c r="H359" s="174" t="str" cm="1">
        <f t="array" ref="H359">IFERROR(INDEX(INVESTOR_LIST[INVESTOR NAME],MATCH(I359,INVESTOR_LIST[INVESTOR CODE],0),)," ")</f>
        <v>H M JAHID HASSAN</v>
      </c>
      <c r="I359" s="148" t="s">
        <v>425</v>
      </c>
      <c r="J359" s="149" t="s">
        <v>13</v>
      </c>
      <c r="K359" s="218"/>
      <c r="L359" s="218">
        <v>200000</v>
      </c>
      <c r="M359" s="147">
        <v>3</v>
      </c>
      <c r="Q359" s="133" t="s">
        <v>425</v>
      </c>
    </row>
    <row r="360" spans="1:17" ht="33.75" x14ac:dyDescent="0.2">
      <c r="A360" s="163">
        <v>2020</v>
      </c>
      <c r="B360" s="163">
        <v>6</v>
      </c>
      <c r="C360" s="163">
        <v>28</v>
      </c>
      <c r="D360" s="141">
        <f t="shared" si="16"/>
        <v>44010</v>
      </c>
      <c r="E360" s="275">
        <f t="shared" si="17"/>
        <v>44010</v>
      </c>
      <c r="F360" s="480"/>
      <c r="G360" s="221" t="s">
        <v>74</v>
      </c>
      <c r="H360" s="221" t="str" cm="1">
        <f t="array" ref="H360">IFERROR(INDEX(INVESTOR_LIST[INVESTOR NAME],MATCH(I360,INVESTOR_LIST[INVESTOR CODE],0),)," ")</f>
        <v>H M JAHID HASSAN</v>
      </c>
      <c r="I360" s="145" t="s">
        <v>425</v>
      </c>
      <c r="J360" s="146" t="s">
        <v>53</v>
      </c>
      <c r="K360" s="219"/>
      <c r="L360" s="219">
        <f>K358-L359</f>
        <v>1600</v>
      </c>
      <c r="M360" s="147">
        <v>0</v>
      </c>
      <c r="N360" s="167"/>
      <c r="Q360" s="133" t="s">
        <v>425</v>
      </c>
    </row>
    <row r="361" spans="1:17" ht="33.75" x14ac:dyDescent="0.2">
      <c r="A361" s="133">
        <v>2020</v>
      </c>
      <c r="B361" s="133">
        <v>6</v>
      </c>
      <c r="C361" s="133">
        <v>28</v>
      </c>
      <c r="D361" s="141">
        <f t="shared" si="16"/>
        <v>44010</v>
      </c>
      <c r="E361" s="275">
        <f t="shared" si="17"/>
        <v>44010</v>
      </c>
      <c r="F361" s="479" t="s">
        <v>964</v>
      </c>
      <c r="G361" s="174" t="s">
        <v>74</v>
      </c>
      <c r="H361" s="174" t="str" cm="1">
        <f t="array" ref="H361">IFERROR(INDEX(INVESTOR_LIST[INVESTOR NAME],MATCH(I361,INVESTOR_LIST[INVESTOR CODE],0),)," ")</f>
        <v>MD. ATIQUR RAHMAN</v>
      </c>
      <c r="I361" s="148" t="s">
        <v>426</v>
      </c>
      <c r="J361" s="149" t="s">
        <v>52</v>
      </c>
      <c r="K361" s="218">
        <v>150000</v>
      </c>
      <c r="L361" s="218"/>
      <c r="M361" s="147">
        <v>0</v>
      </c>
      <c r="Q361" s="133" t="s">
        <v>426</v>
      </c>
    </row>
    <row r="362" spans="1:17" ht="33.75" x14ac:dyDescent="0.2">
      <c r="A362" s="133">
        <v>2020</v>
      </c>
      <c r="B362" s="133">
        <v>6</v>
      </c>
      <c r="C362" s="133">
        <v>28</v>
      </c>
      <c r="D362" s="141">
        <f t="shared" si="16"/>
        <v>44010</v>
      </c>
      <c r="E362" s="275">
        <f t="shared" si="17"/>
        <v>44010</v>
      </c>
      <c r="F362" s="481"/>
      <c r="G362" s="174" t="s">
        <v>74</v>
      </c>
      <c r="H362" s="174" t="str" cm="1">
        <f t="array" ref="H362">IFERROR(INDEX(INVESTOR_LIST[INVESTOR NAME],MATCH(I362,INVESTOR_LIST[INVESTOR CODE],0),)," ")</f>
        <v>MD. ATIQUR RAHMAN</v>
      </c>
      <c r="I362" s="148" t="s">
        <v>426</v>
      </c>
      <c r="J362" s="149" t="s">
        <v>13</v>
      </c>
      <c r="K362" s="218"/>
      <c r="L362" s="218">
        <v>148810</v>
      </c>
      <c r="M362" s="147">
        <v>0</v>
      </c>
      <c r="Q362" s="133" t="s">
        <v>426</v>
      </c>
    </row>
    <row r="363" spans="1:17" ht="33.75" x14ac:dyDescent="0.2">
      <c r="A363" s="163">
        <v>2020</v>
      </c>
      <c r="B363" s="163">
        <v>6</v>
      </c>
      <c r="C363" s="163">
        <v>28</v>
      </c>
      <c r="D363" s="141">
        <f t="shared" si="16"/>
        <v>44010</v>
      </c>
      <c r="E363" s="275">
        <f t="shared" si="17"/>
        <v>44010</v>
      </c>
      <c r="F363" s="480"/>
      <c r="G363" s="221" t="s">
        <v>74</v>
      </c>
      <c r="H363" s="221" t="str" cm="1">
        <f t="array" ref="H363">IFERROR(INDEX(INVESTOR_LIST[INVESTOR NAME],MATCH(I363,INVESTOR_LIST[INVESTOR CODE],0),)," ")</f>
        <v>MD. ATIQUR RAHMAN</v>
      </c>
      <c r="I363" s="145" t="s">
        <v>426</v>
      </c>
      <c r="J363" s="146" t="s">
        <v>53</v>
      </c>
      <c r="K363" s="219"/>
      <c r="L363" s="219">
        <f>K361-L362</f>
        <v>1190</v>
      </c>
      <c r="M363" s="147">
        <v>0</v>
      </c>
      <c r="Q363" s="133" t="s">
        <v>426</v>
      </c>
    </row>
    <row r="364" spans="1:17" ht="56.25" x14ac:dyDescent="0.2">
      <c r="A364" s="133">
        <v>2020</v>
      </c>
      <c r="B364" s="133">
        <v>6</v>
      </c>
      <c r="C364" s="133">
        <v>28</v>
      </c>
      <c r="D364" s="141">
        <f t="shared" si="16"/>
        <v>44010</v>
      </c>
      <c r="E364" s="275">
        <f t="shared" si="17"/>
        <v>44010</v>
      </c>
      <c r="F364" s="479" t="s">
        <v>964</v>
      </c>
      <c r="G364" s="174" t="s">
        <v>74</v>
      </c>
      <c r="H364" s="174" t="str" cm="1">
        <f t="array" ref="H364">IFERROR(INDEX(INVESTOR_LIST[INVESTOR NAME],MATCH(I364,INVESTOR_LIST[INVESTOR CODE],0),)," ")</f>
        <v>MD. OMAR FARUQUE Al QUADERI</v>
      </c>
      <c r="I364" s="148" t="s">
        <v>424</v>
      </c>
      <c r="J364" s="149" t="s">
        <v>52</v>
      </c>
      <c r="K364" s="218">
        <v>250000</v>
      </c>
      <c r="L364" s="218"/>
      <c r="M364" s="147">
        <v>0</v>
      </c>
      <c r="Q364" s="133" t="s">
        <v>424</v>
      </c>
    </row>
    <row r="365" spans="1:17" ht="56.25" x14ac:dyDescent="0.2">
      <c r="A365" s="133">
        <v>2020</v>
      </c>
      <c r="B365" s="133">
        <v>6</v>
      </c>
      <c r="C365" s="133">
        <v>28</v>
      </c>
      <c r="D365" s="141">
        <f t="shared" si="16"/>
        <v>44010</v>
      </c>
      <c r="E365" s="275">
        <f t="shared" si="17"/>
        <v>44010</v>
      </c>
      <c r="F365" s="481"/>
      <c r="G365" s="174" t="s">
        <v>74</v>
      </c>
      <c r="H365" s="174" t="str" cm="1">
        <f t="array" ref="H365">IFERROR(INDEX(INVESTOR_LIST[INVESTOR NAME],MATCH(I365,INVESTOR_LIST[INVESTOR CODE],0),)," ")</f>
        <v>MD. OMAR FARUQUE Al QUADERI</v>
      </c>
      <c r="I365" s="148" t="s">
        <v>424</v>
      </c>
      <c r="J365" s="149" t="s">
        <v>13</v>
      </c>
      <c r="K365" s="218"/>
      <c r="L365" s="218">
        <v>248020</v>
      </c>
      <c r="M365" s="147">
        <v>3</v>
      </c>
      <c r="Q365" s="133" t="s">
        <v>424</v>
      </c>
    </row>
    <row r="366" spans="1:17" ht="56.25" x14ac:dyDescent="0.2">
      <c r="A366" s="163">
        <v>2020</v>
      </c>
      <c r="B366" s="163">
        <v>6</v>
      </c>
      <c r="C366" s="163">
        <v>28</v>
      </c>
      <c r="D366" s="141">
        <f t="shared" si="16"/>
        <v>44010</v>
      </c>
      <c r="E366" s="275">
        <f t="shared" si="17"/>
        <v>44010</v>
      </c>
      <c r="F366" s="480"/>
      <c r="G366" s="221" t="s">
        <v>74</v>
      </c>
      <c r="H366" s="221" t="str" cm="1">
        <f t="array" ref="H366">IFERROR(INDEX(INVESTOR_LIST[INVESTOR NAME],MATCH(I366,INVESTOR_LIST[INVESTOR CODE],0),)," ")</f>
        <v>MD. OMAR FARUQUE Al QUADERI</v>
      </c>
      <c r="I366" s="145" t="s">
        <v>424</v>
      </c>
      <c r="J366" s="146" t="s">
        <v>53</v>
      </c>
      <c r="K366" s="219"/>
      <c r="L366" s="219">
        <f>K364-L365</f>
        <v>1980</v>
      </c>
      <c r="M366" s="147">
        <v>0</v>
      </c>
      <c r="Q366" s="133" t="s">
        <v>424</v>
      </c>
    </row>
    <row r="367" spans="1:17" x14ac:dyDescent="0.2">
      <c r="A367" s="133">
        <v>2020</v>
      </c>
      <c r="B367" s="133">
        <v>6</v>
      </c>
      <c r="C367" s="133">
        <v>28</v>
      </c>
      <c r="D367" s="141">
        <f t="shared" si="16"/>
        <v>44010</v>
      </c>
      <c r="E367" s="275">
        <f t="shared" si="17"/>
        <v>44010</v>
      </c>
      <c r="F367" s="481" t="s">
        <v>62</v>
      </c>
      <c r="G367" s="174" t="s">
        <v>74</v>
      </c>
      <c r="H367" s="174" t="str" cm="1">
        <f t="array" ref="H367">IFERROR(INDEX(INVESTOR_LIST[INVESTOR NAME],MATCH(I367,INVESTOR_LIST[INVESTOR CODE],0),)," ")</f>
        <v xml:space="preserve"> </v>
      </c>
      <c r="I367" s="148" t="s">
        <v>348</v>
      </c>
      <c r="J367" s="149" t="s">
        <v>61</v>
      </c>
      <c r="K367" s="218">
        <v>40</v>
      </c>
      <c r="L367" s="218"/>
      <c r="M367" s="147">
        <v>0</v>
      </c>
      <c r="Q367" s="133" t="s">
        <v>348</v>
      </c>
    </row>
    <row r="368" spans="1:17" x14ac:dyDescent="0.2">
      <c r="A368" s="163">
        <v>2020</v>
      </c>
      <c r="B368" s="163">
        <v>6</v>
      </c>
      <c r="C368" s="163">
        <v>28</v>
      </c>
      <c r="D368" s="141">
        <f t="shared" si="16"/>
        <v>44010</v>
      </c>
      <c r="E368" s="275">
        <f t="shared" si="17"/>
        <v>44010</v>
      </c>
      <c r="F368" s="480"/>
      <c r="G368" s="221" t="s">
        <v>74</v>
      </c>
      <c r="H368" s="221" t="str" cm="1">
        <f t="array" ref="H368">IFERROR(INDEX(INVESTOR_LIST[INVESTOR NAME],MATCH(I368,INVESTOR_LIST[INVESTOR CODE],0),)," ")</f>
        <v xml:space="preserve"> </v>
      </c>
      <c r="I368" s="145" t="s">
        <v>348</v>
      </c>
      <c r="J368" s="146" t="s">
        <v>52</v>
      </c>
      <c r="K368" s="219"/>
      <c r="L368" s="219">
        <v>40</v>
      </c>
      <c r="M368" s="147">
        <v>1</v>
      </c>
      <c r="Q368" s="133" t="s">
        <v>348</v>
      </c>
    </row>
    <row r="369" spans="1:17" ht="22.5" x14ac:dyDescent="0.2">
      <c r="A369" s="133">
        <v>2020</v>
      </c>
      <c r="B369" s="133">
        <v>6</v>
      </c>
      <c r="C369" s="133">
        <v>29</v>
      </c>
      <c r="D369" s="141">
        <f t="shared" si="16"/>
        <v>44011</v>
      </c>
      <c r="E369" s="275">
        <f t="shared" si="17"/>
        <v>44011</v>
      </c>
      <c r="F369" s="479" t="s">
        <v>964</v>
      </c>
      <c r="G369" s="174" t="s">
        <v>74</v>
      </c>
      <c r="H369" s="174" t="str" cm="1">
        <f t="array" ref="H369">IFERROR(INDEX(INVESTOR_LIST[INVESTOR NAME],MATCH(I369,INVESTOR_LIST[INVESTOR CODE],0),)," ")</f>
        <v>ASIF AHMED</v>
      </c>
      <c r="I369" s="148" t="s">
        <v>430</v>
      </c>
      <c r="J369" s="149" t="s">
        <v>52</v>
      </c>
      <c r="K369" s="218">
        <v>100000</v>
      </c>
      <c r="L369" s="218"/>
      <c r="M369" s="147">
        <v>0</v>
      </c>
      <c r="Q369" s="133" t="s">
        <v>430</v>
      </c>
    </row>
    <row r="370" spans="1:17" ht="22.5" x14ac:dyDescent="0.2">
      <c r="A370" s="133">
        <v>2020</v>
      </c>
      <c r="B370" s="133">
        <v>6</v>
      </c>
      <c r="C370" s="133">
        <v>29</v>
      </c>
      <c r="D370" s="141">
        <f t="shared" si="16"/>
        <v>44011</v>
      </c>
      <c r="E370" s="275">
        <f t="shared" si="17"/>
        <v>44011</v>
      </c>
      <c r="F370" s="481"/>
      <c r="G370" s="174" t="s">
        <v>74</v>
      </c>
      <c r="H370" s="174" t="str" cm="1">
        <f t="array" ref="H370">IFERROR(INDEX(INVESTOR_LIST[INVESTOR NAME],MATCH(I370,INVESTOR_LIST[INVESTOR CODE],0),)," ")</f>
        <v>ASIF AHMED</v>
      </c>
      <c r="I370" s="148" t="s">
        <v>430</v>
      </c>
      <c r="J370" s="149" t="s">
        <v>13</v>
      </c>
      <c r="K370" s="218"/>
      <c r="L370" s="218">
        <v>99210</v>
      </c>
      <c r="M370" s="147">
        <v>0</v>
      </c>
      <c r="Q370" s="133" t="s">
        <v>430</v>
      </c>
    </row>
    <row r="371" spans="1:17" ht="22.5" x14ac:dyDescent="0.2">
      <c r="A371" s="163">
        <v>2020</v>
      </c>
      <c r="B371" s="163">
        <v>6</v>
      </c>
      <c r="C371" s="163">
        <v>29</v>
      </c>
      <c r="D371" s="141">
        <f t="shared" si="16"/>
        <v>44011</v>
      </c>
      <c r="E371" s="275">
        <f t="shared" si="17"/>
        <v>44011</v>
      </c>
      <c r="F371" s="480"/>
      <c r="G371" s="221" t="s">
        <v>74</v>
      </c>
      <c r="H371" s="221" t="str" cm="1">
        <f t="array" ref="H371">IFERROR(INDEX(INVESTOR_LIST[INVESTOR NAME],MATCH(I371,INVESTOR_LIST[INVESTOR CODE],0),)," ")</f>
        <v>ASIF AHMED</v>
      </c>
      <c r="I371" s="145" t="s">
        <v>430</v>
      </c>
      <c r="J371" s="146" t="s">
        <v>53</v>
      </c>
      <c r="K371" s="219"/>
      <c r="L371" s="219">
        <f>K369-L370</f>
        <v>790</v>
      </c>
      <c r="M371" s="147">
        <v>0</v>
      </c>
      <c r="Q371" s="133" t="s">
        <v>430</v>
      </c>
    </row>
    <row r="372" spans="1:17" ht="22.5" x14ac:dyDescent="0.2">
      <c r="A372" s="133">
        <v>2020</v>
      </c>
      <c r="B372" s="133">
        <v>6</v>
      </c>
      <c r="C372" s="133">
        <v>29</v>
      </c>
      <c r="D372" s="141">
        <f t="shared" si="16"/>
        <v>44011</v>
      </c>
      <c r="E372" s="275">
        <f t="shared" si="17"/>
        <v>44011</v>
      </c>
      <c r="F372" s="479" t="s">
        <v>964</v>
      </c>
      <c r="G372" s="174" t="s">
        <v>74</v>
      </c>
      <c r="H372" s="174" t="str" cm="1">
        <f t="array" ref="H372">IFERROR(INDEX(INVESTOR_LIST[INVESTOR NAME],MATCH(I372,INVESTOR_LIST[INVESTOR CODE],0),)," ")</f>
        <v>ASIF AHMED</v>
      </c>
      <c r="I372" s="148" t="s">
        <v>430</v>
      </c>
      <c r="J372" s="149" t="s">
        <v>52</v>
      </c>
      <c r="K372" s="218">
        <v>50000</v>
      </c>
      <c r="L372" s="218"/>
      <c r="M372" s="147">
        <v>0</v>
      </c>
      <c r="Q372" s="133" t="s">
        <v>430</v>
      </c>
    </row>
    <row r="373" spans="1:17" ht="22.5" x14ac:dyDescent="0.2">
      <c r="A373" s="133">
        <v>2020</v>
      </c>
      <c r="B373" s="133">
        <v>6</v>
      </c>
      <c r="C373" s="133">
        <v>29</v>
      </c>
      <c r="D373" s="141">
        <f t="shared" si="16"/>
        <v>44011</v>
      </c>
      <c r="E373" s="275">
        <f t="shared" si="17"/>
        <v>44011</v>
      </c>
      <c r="F373" s="481"/>
      <c r="G373" s="174" t="s">
        <v>74</v>
      </c>
      <c r="H373" s="174" t="str" cm="1">
        <f t="array" ref="H373">IFERROR(INDEX(INVESTOR_LIST[INVESTOR NAME],MATCH(I373,INVESTOR_LIST[INVESTOR CODE],0),)," ")</f>
        <v>ASIF AHMED</v>
      </c>
      <c r="I373" s="148" t="s">
        <v>430</v>
      </c>
      <c r="J373" s="149" t="s">
        <v>13</v>
      </c>
      <c r="K373" s="218"/>
      <c r="L373" s="218">
        <v>49600</v>
      </c>
      <c r="M373" s="147">
        <v>0</v>
      </c>
      <c r="Q373" s="133" t="s">
        <v>430</v>
      </c>
    </row>
    <row r="374" spans="1:17" ht="22.5" x14ac:dyDescent="0.2">
      <c r="A374" s="163">
        <v>2020</v>
      </c>
      <c r="B374" s="163">
        <v>6</v>
      </c>
      <c r="C374" s="163">
        <v>29</v>
      </c>
      <c r="D374" s="141">
        <f t="shared" si="16"/>
        <v>44011</v>
      </c>
      <c r="E374" s="275">
        <f t="shared" si="17"/>
        <v>44011</v>
      </c>
      <c r="F374" s="480"/>
      <c r="G374" s="221" t="s">
        <v>74</v>
      </c>
      <c r="H374" s="221" t="str" cm="1">
        <f t="array" ref="H374">IFERROR(INDEX(INVESTOR_LIST[INVESTOR NAME],MATCH(I374,INVESTOR_LIST[INVESTOR CODE],0),)," ")</f>
        <v>ASIF AHMED</v>
      </c>
      <c r="I374" s="145" t="s">
        <v>430</v>
      </c>
      <c r="J374" s="146" t="s">
        <v>53</v>
      </c>
      <c r="K374" s="219"/>
      <c r="L374" s="219">
        <f>K372-L373</f>
        <v>400</v>
      </c>
      <c r="M374" s="147">
        <v>0</v>
      </c>
      <c r="Q374" s="133" t="s">
        <v>430</v>
      </c>
    </row>
    <row r="375" spans="1:17" ht="33.75" x14ac:dyDescent="0.2">
      <c r="A375" s="133">
        <v>2020</v>
      </c>
      <c r="B375" s="133">
        <v>6</v>
      </c>
      <c r="C375" s="133">
        <v>30</v>
      </c>
      <c r="D375" s="141">
        <f t="shared" si="16"/>
        <v>44012</v>
      </c>
      <c r="E375" s="275">
        <f t="shared" si="17"/>
        <v>44012</v>
      </c>
      <c r="F375" s="479" t="s">
        <v>964</v>
      </c>
      <c r="G375" s="174" t="s">
        <v>74</v>
      </c>
      <c r="H375" s="174" t="str" cm="1">
        <f t="array" ref="H375">IFERROR(INDEX(INVESTOR_LIST[INVESTOR NAME],MATCH(I375,INVESTOR_LIST[INVESTOR CODE],0),)," ")</f>
        <v>SAKIN AMIN KHAN</v>
      </c>
      <c r="I375" s="148" t="s">
        <v>448</v>
      </c>
      <c r="J375" s="149" t="s">
        <v>52</v>
      </c>
      <c r="K375" s="218">
        <v>162000</v>
      </c>
      <c r="L375" s="218"/>
      <c r="M375" s="147">
        <v>0</v>
      </c>
      <c r="N375" s="160"/>
      <c r="Q375" s="133" t="s">
        <v>448</v>
      </c>
    </row>
    <row r="376" spans="1:17" ht="33.75" x14ac:dyDescent="0.2">
      <c r="A376" s="133">
        <v>2020</v>
      </c>
      <c r="B376" s="133">
        <v>6</v>
      </c>
      <c r="C376" s="133">
        <v>30</v>
      </c>
      <c r="D376" s="141">
        <f t="shared" si="16"/>
        <v>44012</v>
      </c>
      <c r="E376" s="275">
        <f t="shared" si="17"/>
        <v>44012</v>
      </c>
      <c r="F376" s="481"/>
      <c r="G376" s="174" t="s">
        <v>74</v>
      </c>
      <c r="H376" s="174" t="str" cm="1">
        <f t="array" ref="H376">IFERROR(INDEX(INVESTOR_LIST[INVESTOR NAME],MATCH(I376,INVESTOR_LIST[INVESTOR CODE],0),)," ")</f>
        <v>SAKIN AMIN KHAN</v>
      </c>
      <c r="I376" s="148" t="s">
        <v>448</v>
      </c>
      <c r="J376" s="149" t="s">
        <v>13</v>
      </c>
      <c r="K376" s="218"/>
      <c r="L376" s="218">
        <v>160710</v>
      </c>
      <c r="M376" s="147">
        <v>0</v>
      </c>
      <c r="Q376" s="133" t="s">
        <v>448</v>
      </c>
    </row>
    <row r="377" spans="1:17" ht="33.75" x14ac:dyDescent="0.2">
      <c r="A377" s="163">
        <v>2020</v>
      </c>
      <c r="B377" s="163">
        <v>6</v>
      </c>
      <c r="C377" s="163">
        <v>30</v>
      </c>
      <c r="D377" s="141">
        <f t="shared" si="16"/>
        <v>44012</v>
      </c>
      <c r="E377" s="275">
        <f t="shared" si="17"/>
        <v>44012</v>
      </c>
      <c r="F377" s="480"/>
      <c r="G377" s="221" t="s">
        <v>74</v>
      </c>
      <c r="H377" s="221" t="str" cm="1">
        <f t="array" ref="H377">IFERROR(INDEX(INVESTOR_LIST[INVESTOR NAME],MATCH(I377,INVESTOR_LIST[INVESTOR CODE],0),)," ")</f>
        <v>SAKIN AMIN KHAN</v>
      </c>
      <c r="I377" s="145" t="s">
        <v>448</v>
      </c>
      <c r="J377" s="146" t="s">
        <v>53</v>
      </c>
      <c r="K377" s="219"/>
      <c r="L377" s="219">
        <f>K375-L376</f>
        <v>1290</v>
      </c>
      <c r="M377" s="147">
        <v>0</v>
      </c>
      <c r="Q377" s="133" t="s">
        <v>448</v>
      </c>
    </row>
    <row r="378" spans="1:17" ht="33.75" x14ac:dyDescent="0.2">
      <c r="A378" s="133">
        <v>2020</v>
      </c>
      <c r="B378" s="133">
        <v>6</v>
      </c>
      <c r="C378" s="133">
        <v>30</v>
      </c>
      <c r="D378" s="141">
        <f t="shared" si="16"/>
        <v>44012</v>
      </c>
      <c r="E378" s="275">
        <f t="shared" si="17"/>
        <v>44012</v>
      </c>
      <c r="F378" s="479" t="s">
        <v>964</v>
      </c>
      <c r="G378" s="174" t="s">
        <v>74</v>
      </c>
      <c r="H378" s="174" t="str" cm="1">
        <f t="array" ref="H378">IFERROR(INDEX(INVESTOR_LIST[INVESTOR NAME],MATCH(I378,INVESTOR_LIST[INVESTOR CODE],0),)," ")</f>
        <v>KAZI AHSAN MARUF</v>
      </c>
      <c r="I378" s="148" t="s">
        <v>423</v>
      </c>
      <c r="J378" s="149" t="s">
        <v>52</v>
      </c>
      <c r="K378" s="218">
        <v>140000</v>
      </c>
      <c r="L378" s="218"/>
      <c r="M378" s="147">
        <v>0</v>
      </c>
      <c r="Q378" s="133" t="s">
        <v>423</v>
      </c>
    </row>
    <row r="379" spans="1:17" ht="33.75" x14ac:dyDescent="0.2">
      <c r="A379" s="133">
        <v>2020</v>
      </c>
      <c r="B379" s="133">
        <v>6</v>
      </c>
      <c r="C379" s="133">
        <v>30</v>
      </c>
      <c r="D379" s="141">
        <f t="shared" si="16"/>
        <v>44012</v>
      </c>
      <c r="E379" s="275">
        <f t="shared" si="17"/>
        <v>44012</v>
      </c>
      <c r="F379" s="481"/>
      <c r="G379" s="174" t="s">
        <v>74</v>
      </c>
      <c r="H379" s="174" t="str" cm="1">
        <f t="array" ref="H379">IFERROR(INDEX(INVESTOR_LIST[INVESTOR NAME],MATCH(I379,INVESTOR_LIST[INVESTOR CODE],0),)," ")</f>
        <v>KAZI AHSAN MARUF</v>
      </c>
      <c r="I379" s="148" t="s">
        <v>423</v>
      </c>
      <c r="J379" s="149" t="s">
        <v>13</v>
      </c>
      <c r="K379" s="218"/>
      <c r="L379" s="218">
        <v>138880</v>
      </c>
      <c r="M379" s="147">
        <v>0</v>
      </c>
      <c r="Q379" s="133" t="s">
        <v>423</v>
      </c>
    </row>
    <row r="380" spans="1:17" ht="33.75" x14ac:dyDescent="0.2">
      <c r="A380" s="163">
        <v>2020</v>
      </c>
      <c r="B380" s="163">
        <v>6</v>
      </c>
      <c r="C380" s="163">
        <v>30</v>
      </c>
      <c r="D380" s="141">
        <f t="shared" si="16"/>
        <v>44012</v>
      </c>
      <c r="E380" s="275">
        <f t="shared" si="17"/>
        <v>44012</v>
      </c>
      <c r="F380" s="480"/>
      <c r="G380" s="221" t="s">
        <v>74</v>
      </c>
      <c r="H380" s="221" t="str" cm="1">
        <f t="array" ref="H380">IFERROR(INDEX(INVESTOR_LIST[INVESTOR NAME],MATCH(I380,INVESTOR_LIST[INVESTOR CODE],0),)," ")</f>
        <v>KAZI AHSAN MARUF</v>
      </c>
      <c r="I380" s="145" t="s">
        <v>423</v>
      </c>
      <c r="J380" s="146" t="s">
        <v>53</v>
      </c>
      <c r="K380" s="219"/>
      <c r="L380" s="219">
        <f>K378-L379</f>
        <v>1120</v>
      </c>
      <c r="M380" s="147">
        <v>7</v>
      </c>
      <c r="Q380" s="133" t="s">
        <v>423</v>
      </c>
    </row>
    <row r="381" spans="1:17" x14ac:dyDescent="0.2">
      <c r="A381" s="133">
        <v>2020</v>
      </c>
      <c r="B381" s="133">
        <v>6</v>
      </c>
      <c r="C381" s="133">
        <v>30</v>
      </c>
      <c r="D381" s="141">
        <f t="shared" si="16"/>
        <v>44012</v>
      </c>
      <c r="E381" s="275">
        <f t="shared" si="17"/>
        <v>44012</v>
      </c>
      <c r="F381" s="481" t="s">
        <v>62</v>
      </c>
      <c r="G381" s="174" t="s">
        <v>74</v>
      </c>
      <c r="H381" s="174" t="str" cm="1">
        <f t="array" ref="H381">IFERROR(INDEX(INVESTOR_LIST[INVESTOR NAME],MATCH(I381,INVESTOR_LIST[INVESTOR CODE],0),)," ")</f>
        <v xml:space="preserve"> </v>
      </c>
      <c r="I381" s="148" t="s">
        <v>348</v>
      </c>
      <c r="J381" s="149" t="s">
        <v>61</v>
      </c>
      <c r="K381" s="218">
        <v>10</v>
      </c>
      <c r="L381" s="218"/>
      <c r="M381" s="147">
        <v>0</v>
      </c>
      <c r="Q381" s="133" t="s">
        <v>348</v>
      </c>
    </row>
    <row r="382" spans="1:17" x14ac:dyDescent="0.2">
      <c r="A382" s="163">
        <v>2020</v>
      </c>
      <c r="B382" s="163">
        <v>6</v>
      </c>
      <c r="C382" s="163">
        <v>30</v>
      </c>
      <c r="D382" s="141">
        <f t="shared" si="16"/>
        <v>44012</v>
      </c>
      <c r="E382" s="275">
        <f t="shared" si="17"/>
        <v>44012</v>
      </c>
      <c r="F382" s="480"/>
      <c r="G382" s="221" t="s">
        <v>74</v>
      </c>
      <c r="H382" s="221" t="str" cm="1">
        <f t="array" ref="H382">IFERROR(INDEX(INVESTOR_LIST[INVESTOR NAME],MATCH(I382,INVESTOR_LIST[INVESTOR CODE],0),)," ")</f>
        <v xml:space="preserve"> </v>
      </c>
      <c r="I382" s="145" t="s">
        <v>348</v>
      </c>
      <c r="J382" s="146" t="s">
        <v>52</v>
      </c>
      <c r="K382" s="219"/>
      <c r="L382" s="219">
        <v>10</v>
      </c>
      <c r="M382" s="147">
        <v>0</v>
      </c>
      <c r="Q382" s="133" t="s">
        <v>348</v>
      </c>
    </row>
    <row r="383" spans="1:17" x14ac:dyDescent="0.2">
      <c r="A383" s="133">
        <v>2020</v>
      </c>
      <c r="B383" s="133">
        <v>6</v>
      </c>
      <c r="C383" s="133">
        <v>30</v>
      </c>
      <c r="D383" s="141">
        <f t="shared" si="16"/>
        <v>44012</v>
      </c>
      <c r="E383" s="275">
        <f t="shared" si="17"/>
        <v>44012</v>
      </c>
      <c r="F383" s="481" t="s">
        <v>59</v>
      </c>
      <c r="G383" s="174" t="s">
        <v>74</v>
      </c>
      <c r="H383" s="174" t="str" cm="1">
        <f t="array" ref="H383">IFERROR(INDEX(INVESTOR_LIST[INVESTOR NAME],MATCH(I383,INVESTOR_LIST[INVESTOR CODE],0),)," ")</f>
        <v xml:space="preserve"> </v>
      </c>
      <c r="I383" s="148" t="s">
        <v>348</v>
      </c>
      <c r="J383" s="149" t="s">
        <v>52</v>
      </c>
      <c r="K383" s="218">
        <v>816664</v>
      </c>
      <c r="L383" s="218"/>
      <c r="M383" s="147">
        <v>0</v>
      </c>
      <c r="Q383" s="133" t="s">
        <v>348</v>
      </c>
    </row>
    <row r="384" spans="1:17" x14ac:dyDescent="0.2">
      <c r="A384" s="133">
        <v>2020</v>
      </c>
      <c r="B384" s="133">
        <v>6</v>
      </c>
      <c r="C384" s="133">
        <v>30</v>
      </c>
      <c r="D384" s="141">
        <f t="shared" si="16"/>
        <v>44012</v>
      </c>
      <c r="E384" s="275">
        <f t="shared" si="17"/>
        <v>44012</v>
      </c>
      <c r="F384" s="481"/>
      <c r="G384" s="174" t="s">
        <v>74</v>
      </c>
      <c r="H384" s="174" t="str" cm="1">
        <f t="array" ref="H384">IFERROR(INDEX(INVESTOR_LIST[INVESTOR NAME],MATCH(I384,INVESTOR_LIST[INVESTOR CODE],0),)," ")</f>
        <v xml:space="preserve"> </v>
      </c>
      <c r="I384" s="148" t="s">
        <v>348</v>
      </c>
      <c r="J384" s="149" t="s">
        <v>60</v>
      </c>
      <c r="K384" s="218"/>
      <c r="L384" s="218">
        <f>K383-L385</f>
        <v>216664</v>
      </c>
      <c r="M384" s="147">
        <v>0</v>
      </c>
      <c r="Q384" s="133" t="s">
        <v>348</v>
      </c>
    </row>
    <row r="385" spans="1:17" x14ac:dyDescent="0.2">
      <c r="A385" s="163">
        <v>2020</v>
      </c>
      <c r="B385" s="163">
        <v>6</v>
      </c>
      <c r="C385" s="163">
        <v>30</v>
      </c>
      <c r="D385" s="141">
        <f t="shared" si="16"/>
        <v>44012</v>
      </c>
      <c r="E385" s="275">
        <f t="shared" si="17"/>
        <v>44012</v>
      </c>
      <c r="F385" s="480"/>
      <c r="G385" s="221" t="s">
        <v>74</v>
      </c>
      <c r="H385" s="221" t="str" cm="1">
        <f t="array" ref="H385">IFERROR(INDEX(INVESTOR_LIST[INVESTOR NAME],MATCH(I385,INVESTOR_LIST[INVESTOR CODE],0),)," ")</f>
        <v xml:space="preserve"> </v>
      </c>
      <c r="I385" s="145" t="s">
        <v>348</v>
      </c>
      <c r="J385" s="146" t="s">
        <v>67</v>
      </c>
      <c r="K385" s="219"/>
      <c r="L385" s="219">
        <v>600000</v>
      </c>
      <c r="M385" s="147">
        <v>0</v>
      </c>
      <c r="Q385" s="133" t="s">
        <v>348</v>
      </c>
    </row>
    <row r="386" spans="1:17" x14ac:dyDescent="0.2">
      <c r="A386" s="133">
        <v>2020</v>
      </c>
      <c r="B386" s="133">
        <v>6</v>
      </c>
      <c r="C386" s="133">
        <v>30</v>
      </c>
      <c r="D386" s="141">
        <f t="shared" si="16"/>
        <v>44012</v>
      </c>
      <c r="E386" s="275">
        <f t="shared" si="17"/>
        <v>44012</v>
      </c>
      <c r="F386" s="481" t="s">
        <v>62</v>
      </c>
      <c r="G386" s="174" t="s">
        <v>74</v>
      </c>
      <c r="H386" s="174" t="str" cm="1">
        <f t="array" ref="H386">IFERROR(INDEX(INVESTOR_LIST[INVESTOR NAME],MATCH(I386,INVESTOR_LIST[INVESTOR CODE],0),)," ")</f>
        <v xml:space="preserve"> </v>
      </c>
      <c r="I386" s="148" t="s">
        <v>348</v>
      </c>
      <c r="J386" s="149" t="s">
        <v>61</v>
      </c>
      <c r="K386" s="218">
        <v>575</v>
      </c>
      <c r="L386" s="218"/>
      <c r="M386" s="147">
        <v>0</v>
      </c>
      <c r="Q386" s="133" t="s">
        <v>348</v>
      </c>
    </row>
    <row r="387" spans="1:17" x14ac:dyDescent="0.2">
      <c r="A387" s="163">
        <v>2020</v>
      </c>
      <c r="B387" s="163">
        <v>6</v>
      </c>
      <c r="C387" s="163">
        <v>30</v>
      </c>
      <c r="D387" s="141">
        <f t="shared" si="16"/>
        <v>44012</v>
      </c>
      <c r="E387" s="275">
        <f t="shared" si="17"/>
        <v>44012</v>
      </c>
      <c r="F387" s="480"/>
      <c r="G387" s="221" t="s">
        <v>74</v>
      </c>
      <c r="H387" s="221" t="str" cm="1">
        <f t="array" ref="H387">IFERROR(INDEX(INVESTOR_LIST[INVESTOR NAME],MATCH(I387,INVESTOR_LIST[INVESTOR CODE],0),)," ")</f>
        <v xml:space="preserve"> </v>
      </c>
      <c r="I387" s="145" t="s">
        <v>348</v>
      </c>
      <c r="J387" s="146" t="s">
        <v>52</v>
      </c>
      <c r="K387" s="219"/>
      <c r="L387" s="219">
        <v>575</v>
      </c>
      <c r="M387" s="147">
        <v>0</v>
      </c>
      <c r="Q387" s="133" t="s">
        <v>348</v>
      </c>
    </row>
    <row r="388" spans="1:17" ht="15" customHeight="1" x14ac:dyDescent="0.2">
      <c r="A388" s="133">
        <v>2020</v>
      </c>
      <c r="B388" s="133">
        <v>6</v>
      </c>
      <c r="C388" s="133">
        <v>30</v>
      </c>
      <c r="D388" s="141">
        <f t="shared" si="16"/>
        <v>44012</v>
      </c>
      <c r="E388" s="275">
        <f t="shared" si="17"/>
        <v>44012</v>
      </c>
      <c r="F388" s="481" t="s">
        <v>141</v>
      </c>
      <c r="G388" s="174" t="s">
        <v>74</v>
      </c>
      <c r="H388" s="174" t="str" cm="1">
        <f t="array" ref="H388">IFERROR(INDEX(INVESTOR_LIST[INVESTOR NAME],MATCH(I388,INVESTOR_LIST[INVESTOR CODE],0),)," ")</f>
        <v xml:space="preserve"> </v>
      </c>
      <c r="I388" s="148" t="s">
        <v>348</v>
      </c>
      <c r="J388" s="149" t="s">
        <v>52</v>
      </c>
      <c r="K388" s="218">
        <v>93150</v>
      </c>
      <c r="L388" s="218"/>
      <c r="M388" s="147">
        <v>0</v>
      </c>
      <c r="Q388" s="133" t="s">
        <v>348</v>
      </c>
    </row>
    <row r="389" spans="1:17" x14ac:dyDescent="0.2">
      <c r="A389" s="133">
        <v>2020</v>
      </c>
      <c r="B389" s="133">
        <v>6</v>
      </c>
      <c r="C389" s="133">
        <v>30</v>
      </c>
      <c r="D389" s="141">
        <f t="shared" si="16"/>
        <v>44012</v>
      </c>
      <c r="E389" s="275">
        <f t="shared" si="17"/>
        <v>44012</v>
      </c>
      <c r="F389" s="481"/>
      <c r="G389" s="174" t="s">
        <v>74</v>
      </c>
      <c r="H389" s="174" t="str" cm="1">
        <f t="array" ref="H389">IFERROR(INDEX(INVESTOR_LIST[INVESTOR NAME],MATCH(I389,INVESTOR_LIST[INVESTOR CODE],0),)," ")</f>
        <v xml:space="preserve"> </v>
      </c>
      <c r="I389" s="148" t="s">
        <v>348</v>
      </c>
      <c r="J389" s="149" t="s">
        <v>60</v>
      </c>
      <c r="K389" s="218"/>
      <c r="L389" s="218">
        <f>K388-L390</f>
        <v>52285</v>
      </c>
      <c r="M389" s="147">
        <v>0</v>
      </c>
      <c r="Q389" s="133" t="s">
        <v>348</v>
      </c>
    </row>
    <row r="390" spans="1:17" x14ac:dyDescent="0.2">
      <c r="A390" s="163">
        <v>2020</v>
      </c>
      <c r="B390" s="163">
        <v>6</v>
      </c>
      <c r="C390" s="163">
        <v>30</v>
      </c>
      <c r="D390" s="141">
        <f t="shared" si="16"/>
        <v>44012</v>
      </c>
      <c r="E390" s="275">
        <f t="shared" si="17"/>
        <v>44012</v>
      </c>
      <c r="F390" s="480"/>
      <c r="G390" s="221" t="s">
        <v>74</v>
      </c>
      <c r="H390" s="221" t="str" cm="1">
        <f t="array" ref="H390">IFERROR(INDEX(INVESTOR_LIST[INVESTOR NAME],MATCH(I390,INVESTOR_LIST[INVESTOR CODE],0),)," ")</f>
        <v xml:space="preserve"> </v>
      </c>
      <c r="I390" s="145" t="s">
        <v>348</v>
      </c>
      <c r="J390" s="146" t="s">
        <v>133</v>
      </c>
      <c r="K390" s="219"/>
      <c r="L390" s="219">
        <v>40865</v>
      </c>
      <c r="M390" s="147">
        <v>0</v>
      </c>
      <c r="Q390" s="133" t="s">
        <v>348</v>
      </c>
    </row>
    <row r="391" spans="1:17" x14ac:dyDescent="0.2">
      <c r="A391" s="133">
        <v>2020</v>
      </c>
      <c r="B391" s="133">
        <v>6</v>
      </c>
      <c r="C391" s="133">
        <v>30</v>
      </c>
      <c r="D391" s="141">
        <f t="shared" si="16"/>
        <v>44012</v>
      </c>
      <c r="E391" s="275">
        <f t="shared" si="17"/>
        <v>44012</v>
      </c>
      <c r="F391" s="481" t="s">
        <v>142</v>
      </c>
      <c r="G391" s="174" t="s">
        <v>74</v>
      </c>
      <c r="H391" s="174" t="str" cm="1">
        <f t="array" ref="H391">IFERROR(INDEX(INVESTOR_LIST[INVESTOR NAME],MATCH(I391,INVESTOR_LIST[INVESTOR CODE],0),)," ")</f>
        <v xml:space="preserve"> </v>
      </c>
      <c r="I391" s="148" t="s">
        <v>348</v>
      </c>
      <c r="J391" s="149" t="s">
        <v>52</v>
      </c>
      <c r="K391" s="218">
        <v>249222</v>
      </c>
      <c r="L391" s="218"/>
      <c r="M391" s="147">
        <v>0</v>
      </c>
      <c r="Q391" s="133" t="s">
        <v>348</v>
      </c>
    </row>
    <row r="392" spans="1:17" x14ac:dyDescent="0.2">
      <c r="A392" s="163">
        <v>2020</v>
      </c>
      <c r="B392" s="163">
        <v>6</v>
      </c>
      <c r="C392" s="163">
        <v>30</v>
      </c>
      <c r="D392" s="141">
        <f t="shared" si="16"/>
        <v>44012</v>
      </c>
      <c r="E392" s="275">
        <f t="shared" si="17"/>
        <v>44012</v>
      </c>
      <c r="F392" s="480"/>
      <c r="G392" s="221" t="s">
        <v>74</v>
      </c>
      <c r="H392" s="221" t="str" cm="1">
        <f t="array" ref="H392">IFERROR(INDEX(INVESTOR_LIST[INVESTOR NAME],MATCH(I392,INVESTOR_LIST[INVESTOR CODE],0),)," ")</f>
        <v xml:space="preserve"> </v>
      </c>
      <c r="I392" s="145" t="s">
        <v>348</v>
      </c>
      <c r="J392" s="146" t="s">
        <v>60</v>
      </c>
      <c r="K392" s="219"/>
      <c r="L392" s="219">
        <v>249222</v>
      </c>
      <c r="M392" s="147">
        <v>0</v>
      </c>
      <c r="Q392" s="133" t="s">
        <v>348</v>
      </c>
    </row>
    <row r="393" spans="1:17" x14ac:dyDescent="0.2">
      <c r="A393" s="133">
        <v>2020</v>
      </c>
      <c r="B393" s="133">
        <v>6</v>
      </c>
      <c r="C393" s="133">
        <v>30</v>
      </c>
      <c r="D393" s="141">
        <f t="shared" si="16"/>
        <v>44012</v>
      </c>
      <c r="E393" s="275">
        <f t="shared" si="17"/>
        <v>44012</v>
      </c>
      <c r="F393" s="481" t="s">
        <v>62</v>
      </c>
      <c r="G393" s="174" t="s">
        <v>74</v>
      </c>
      <c r="H393" s="174" t="str" cm="1">
        <f t="array" ref="H393">IFERROR(INDEX(INVESTOR_LIST[INVESTOR NAME],MATCH(I393,INVESTOR_LIST[INVESTOR CODE],0),)," ")</f>
        <v xml:space="preserve"> </v>
      </c>
      <c r="I393" s="148" t="s">
        <v>348</v>
      </c>
      <c r="J393" s="149" t="s">
        <v>61</v>
      </c>
      <c r="K393" s="218">
        <v>345</v>
      </c>
      <c r="L393" s="218"/>
      <c r="M393" s="147">
        <v>0</v>
      </c>
      <c r="Q393" s="133" t="s">
        <v>348</v>
      </c>
    </row>
    <row r="394" spans="1:17" x14ac:dyDescent="0.2">
      <c r="A394" s="163">
        <v>2020</v>
      </c>
      <c r="B394" s="163">
        <v>6</v>
      </c>
      <c r="C394" s="163">
        <v>30</v>
      </c>
      <c r="D394" s="141">
        <f t="shared" si="16"/>
        <v>44012</v>
      </c>
      <c r="E394" s="275">
        <f t="shared" si="17"/>
        <v>44012</v>
      </c>
      <c r="F394" s="480"/>
      <c r="G394" s="221" t="s">
        <v>74</v>
      </c>
      <c r="H394" s="221" t="str" cm="1">
        <f t="array" ref="H394">IFERROR(INDEX(INVESTOR_LIST[INVESTOR NAME],MATCH(I394,INVESTOR_LIST[INVESTOR CODE],0),)," ")</f>
        <v xml:space="preserve"> </v>
      </c>
      <c r="I394" s="145" t="s">
        <v>348</v>
      </c>
      <c r="J394" s="146" t="s">
        <v>52</v>
      </c>
      <c r="K394" s="219"/>
      <c r="L394" s="219">
        <v>345</v>
      </c>
      <c r="M394" s="147">
        <v>0</v>
      </c>
      <c r="Q394" s="133" t="s">
        <v>348</v>
      </c>
    </row>
    <row r="395" spans="1:17" ht="45" x14ac:dyDescent="0.2">
      <c r="A395" s="133">
        <v>2020</v>
      </c>
      <c r="B395" s="133">
        <v>7</v>
      </c>
      <c r="C395" s="133">
        <v>2</v>
      </c>
      <c r="D395" s="141">
        <f t="shared" si="16"/>
        <v>44014</v>
      </c>
      <c r="E395" s="275">
        <f t="shared" si="17"/>
        <v>44014</v>
      </c>
      <c r="F395" s="479" t="s">
        <v>965</v>
      </c>
      <c r="G395" s="174" t="s">
        <v>74</v>
      </c>
      <c r="H395" s="174" t="str" cm="1">
        <f t="array" ref="H395">IFERROR(INDEX(INVESTOR_LIST[INVESTOR NAME],MATCH(I395,INVESTOR_LIST[INVESTOR CODE],0),)," ")</f>
        <v>MOHAMMAD MOHIBUL ISLAM</v>
      </c>
      <c r="I395" s="148" t="s">
        <v>481</v>
      </c>
      <c r="J395" s="149" t="s">
        <v>13</v>
      </c>
      <c r="K395" s="218">
        <v>79440</v>
      </c>
      <c r="L395" s="218"/>
      <c r="M395" s="147">
        <v>0</v>
      </c>
      <c r="Q395" s="133" t="s">
        <v>481</v>
      </c>
    </row>
    <row r="396" spans="1:17" ht="45" x14ac:dyDescent="0.2">
      <c r="A396" s="133">
        <v>2020</v>
      </c>
      <c r="B396" s="133">
        <v>7</v>
      </c>
      <c r="C396" s="133">
        <v>2</v>
      </c>
      <c r="D396" s="141">
        <f t="shared" si="16"/>
        <v>44014</v>
      </c>
      <c r="E396" s="275">
        <f t="shared" si="17"/>
        <v>44014</v>
      </c>
      <c r="F396" s="481"/>
      <c r="G396" s="174" t="s">
        <v>74</v>
      </c>
      <c r="H396" s="174" t="str" cm="1">
        <f t="array" ref="H396">IFERROR(INDEX(INVESTOR_LIST[INVESTOR NAME],MATCH(I396,INVESTOR_LIST[INVESTOR CODE],0),)," ")</f>
        <v>MOHAMMAD MOHIBUL ISLAM</v>
      </c>
      <c r="I396" s="148" t="s">
        <v>481</v>
      </c>
      <c r="J396" s="149" t="s">
        <v>53</v>
      </c>
      <c r="K396" s="218">
        <f>L397-K395</f>
        <v>635</v>
      </c>
      <c r="L396" s="218"/>
      <c r="M396" s="147">
        <v>0</v>
      </c>
      <c r="Q396" s="133" t="s">
        <v>481</v>
      </c>
    </row>
    <row r="397" spans="1:17" ht="45" x14ac:dyDescent="0.2">
      <c r="A397" s="163">
        <v>2020</v>
      </c>
      <c r="B397" s="163">
        <v>7</v>
      </c>
      <c r="C397" s="163">
        <v>2</v>
      </c>
      <c r="D397" s="141">
        <f t="shared" ref="D397:D460" si="18">DATE(A397,B397,C397)</f>
        <v>44014</v>
      </c>
      <c r="E397" s="275">
        <f t="shared" si="17"/>
        <v>44014</v>
      </c>
      <c r="F397" s="480"/>
      <c r="G397" s="221" t="s">
        <v>74</v>
      </c>
      <c r="H397" s="221" t="str" cm="1">
        <f t="array" ref="H397">IFERROR(INDEX(INVESTOR_LIST[INVESTOR NAME],MATCH(I397,INVESTOR_LIST[INVESTOR CODE],0),)," ")</f>
        <v>MOHAMMAD MOHIBUL ISLAM</v>
      </c>
      <c r="I397" s="145" t="s">
        <v>481</v>
      </c>
      <c r="J397" s="146" t="s">
        <v>52</v>
      </c>
      <c r="K397" s="219"/>
      <c r="L397" s="219">
        <v>80075</v>
      </c>
      <c r="M397" s="147">
        <v>0</v>
      </c>
      <c r="Q397" s="133" t="s">
        <v>481</v>
      </c>
    </row>
    <row r="398" spans="1:17" x14ac:dyDescent="0.2">
      <c r="A398" s="133">
        <v>2020</v>
      </c>
      <c r="B398" s="133">
        <v>7</v>
      </c>
      <c r="C398" s="133">
        <v>2</v>
      </c>
      <c r="D398" s="141">
        <f t="shared" si="18"/>
        <v>44014</v>
      </c>
      <c r="E398" s="275">
        <f t="shared" ref="E398:E461" si="19">DATE(A398,B398,C398)</f>
        <v>44014</v>
      </c>
      <c r="F398" s="481" t="s">
        <v>264</v>
      </c>
      <c r="G398" s="174" t="s">
        <v>94</v>
      </c>
      <c r="H398" s="174" t="str" cm="1">
        <f t="array" ref="H398">IFERROR(INDEX(INVESTOR_LIST[INVESTOR NAME],MATCH(I398,INVESTOR_LIST[INVESTOR CODE],0),)," ")</f>
        <v xml:space="preserve"> </v>
      </c>
      <c r="I398" s="148" t="s">
        <v>348</v>
      </c>
      <c r="J398" s="149" t="s">
        <v>79</v>
      </c>
      <c r="K398" s="218">
        <v>351000</v>
      </c>
      <c r="L398" s="218"/>
      <c r="M398" s="147">
        <v>0</v>
      </c>
      <c r="Q398" s="133" t="s">
        <v>348</v>
      </c>
    </row>
    <row r="399" spans="1:17" x14ac:dyDescent="0.2">
      <c r="A399" s="133">
        <v>2020</v>
      </c>
      <c r="B399" s="133">
        <v>7</v>
      </c>
      <c r="C399" s="133">
        <v>2</v>
      </c>
      <c r="D399" s="141">
        <f t="shared" si="18"/>
        <v>44014</v>
      </c>
      <c r="E399" s="275">
        <f t="shared" si="19"/>
        <v>44014</v>
      </c>
      <c r="F399" s="481"/>
      <c r="G399" s="174" t="s">
        <v>94</v>
      </c>
      <c r="H399" s="174" t="str" cm="1">
        <f t="array" ref="H399">IFERROR(INDEX(INVESTOR_LIST[INVESTOR NAME],MATCH(I399,INVESTOR_LIST[INVESTOR CODE],0),)," ")</f>
        <v xml:space="preserve"> </v>
      </c>
      <c r="I399" s="148" t="s">
        <v>348</v>
      </c>
      <c r="J399" s="149" t="s">
        <v>80</v>
      </c>
      <c r="K399" s="218">
        <v>631.79999999999995</v>
      </c>
      <c r="L399" s="218"/>
      <c r="M399" s="147">
        <v>0</v>
      </c>
      <c r="Q399" s="133" t="s">
        <v>348</v>
      </c>
    </row>
    <row r="400" spans="1:17" x14ac:dyDescent="0.2">
      <c r="A400" s="163">
        <v>2020</v>
      </c>
      <c r="B400" s="163">
        <v>7</v>
      </c>
      <c r="C400" s="163">
        <v>2</v>
      </c>
      <c r="D400" s="141">
        <f t="shared" si="18"/>
        <v>44014</v>
      </c>
      <c r="E400" s="275">
        <f t="shared" si="19"/>
        <v>44014</v>
      </c>
      <c r="F400" s="480"/>
      <c r="G400" s="221" t="s">
        <v>94</v>
      </c>
      <c r="H400" s="221" t="str" cm="1">
        <f t="array" ref="H400">IFERROR(INDEX(INVESTOR_LIST[INVESTOR NAME],MATCH(I400,INVESTOR_LIST[INVESTOR CODE],0),)," ")</f>
        <v xml:space="preserve"> </v>
      </c>
      <c r="I400" s="145" t="s">
        <v>348</v>
      </c>
      <c r="J400" s="146" t="s">
        <v>147</v>
      </c>
      <c r="K400" s="219"/>
      <c r="L400" s="219">
        <v>351631.8</v>
      </c>
      <c r="M400" s="147">
        <v>0</v>
      </c>
      <c r="N400" s="160"/>
      <c r="Q400" s="133" t="s">
        <v>348</v>
      </c>
    </row>
    <row r="401" spans="1:20" x14ac:dyDescent="0.2">
      <c r="A401" s="246">
        <v>2020</v>
      </c>
      <c r="B401" s="246">
        <v>7</v>
      </c>
      <c r="C401" s="246">
        <v>2</v>
      </c>
      <c r="D401" s="141">
        <f t="shared" si="18"/>
        <v>44014</v>
      </c>
      <c r="E401" s="275">
        <f t="shared" si="19"/>
        <v>44014</v>
      </c>
      <c r="F401" s="482" t="s">
        <v>137</v>
      </c>
      <c r="G401" s="247" t="s">
        <v>94</v>
      </c>
      <c r="H401" s="247" t="str" cm="1">
        <f t="array" ref="H401">IFERROR(INDEX(INVESTOR_LIST[INVESTOR NAME],MATCH(I401,INVESTOR_LIST[INVESTOR CODE],0),)," ")</f>
        <v xml:space="preserve"> </v>
      </c>
      <c r="I401" s="248" t="s">
        <v>348</v>
      </c>
      <c r="J401" s="249" t="s">
        <v>97</v>
      </c>
      <c r="K401" s="252">
        <v>30424.116207692306</v>
      </c>
      <c r="L401" s="252"/>
      <c r="M401" s="147">
        <v>4</v>
      </c>
      <c r="Q401" s="133" t="s">
        <v>348</v>
      </c>
    </row>
    <row r="402" spans="1:20" x14ac:dyDescent="0.2">
      <c r="A402" s="242">
        <v>2020</v>
      </c>
      <c r="B402" s="242">
        <v>7</v>
      </c>
      <c r="C402" s="242">
        <v>2</v>
      </c>
      <c r="D402" s="141">
        <f t="shared" si="18"/>
        <v>44014</v>
      </c>
      <c r="E402" s="275">
        <f t="shared" si="19"/>
        <v>44014</v>
      </c>
      <c r="F402" s="478"/>
      <c r="G402" s="243" t="s">
        <v>94</v>
      </c>
      <c r="H402" s="243" t="str" cm="1">
        <f t="array" ref="H402">IFERROR(INDEX(INVESTOR_LIST[INVESTOR NAME],MATCH(I402,INVESTOR_LIST[INVESTOR CODE],0),)," ")</f>
        <v xml:space="preserve"> </v>
      </c>
      <c r="I402" s="263" t="s">
        <v>348</v>
      </c>
      <c r="J402" s="244" t="s">
        <v>47</v>
      </c>
      <c r="K402" s="245"/>
      <c r="L402" s="245">
        <v>30424.116207692306</v>
      </c>
      <c r="M402" s="147">
        <v>0</v>
      </c>
      <c r="N402" s="160"/>
      <c r="Q402" s="133" t="s">
        <v>348</v>
      </c>
    </row>
    <row r="403" spans="1:20" ht="22.5" x14ac:dyDescent="0.2">
      <c r="A403" s="246">
        <v>2020</v>
      </c>
      <c r="B403" s="246">
        <v>7</v>
      </c>
      <c r="C403" s="246">
        <v>2</v>
      </c>
      <c r="D403" s="141">
        <f t="shared" si="18"/>
        <v>44014</v>
      </c>
      <c r="E403" s="275">
        <f t="shared" si="19"/>
        <v>44014</v>
      </c>
      <c r="F403" s="482" t="s">
        <v>136</v>
      </c>
      <c r="G403" s="247" t="s">
        <v>94</v>
      </c>
      <c r="H403" s="247" t="str" cm="1">
        <f t="array" ref="H403">IFERROR(INDEX(INVESTOR_LIST[INVESTOR NAME],MATCH(I403,INVESTOR_LIST[INVESTOR CODE],0),)," ")</f>
        <v xml:space="preserve"> </v>
      </c>
      <c r="I403" s="248" t="s">
        <v>348</v>
      </c>
      <c r="J403" s="249" t="s">
        <v>95</v>
      </c>
      <c r="K403" s="252">
        <v>2747.25</v>
      </c>
      <c r="L403" s="252"/>
      <c r="M403" s="147">
        <v>0</v>
      </c>
      <c r="Q403" s="133" t="s">
        <v>348</v>
      </c>
    </row>
    <row r="404" spans="1:20" x14ac:dyDescent="0.2">
      <c r="A404" s="242">
        <v>2020</v>
      </c>
      <c r="B404" s="242">
        <v>7</v>
      </c>
      <c r="C404" s="242">
        <v>2</v>
      </c>
      <c r="D404" s="141">
        <f t="shared" si="18"/>
        <v>44014</v>
      </c>
      <c r="E404" s="275">
        <f t="shared" si="19"/>
        <v>44014</v>
      </c>
      <c r="F404" s="478"/>
      <c r="G404" s="243" t="s">
        <v>94</v>
      </c>
      <c r="H404" s="243" t="str" cm="1">
        <f t="array" ref="H404">IFERROR(INDEX(INVESTOR_LIST[INVESTOR NAME],MATCH(I404,INVESTOR_LIST[INVESTOR CODE],0),)," ")</f>
        <v xml:space="preserve"> </v>
      </c>
      <c r="I404" s="263" t="s">
        <v>348</v>
      </c>
      <c r="J404" s="244" t="s">
        <v>63</v>
      </c>
      <c r="K404" s="245"/>
      <c r="L404" s="245">
        <v>2747.25</v>
      </c>
      <c r="M404" s="147">
        <v>0</v>
      </c>
      <c r="Q404" s="133" t="s">
        <v>348</v>
      </c>
    </row>
    <row r="405" spans="1:20" x14ac:dyDescent="0.2">
      <c r="A405" s="246">
        <v>2020</v>
      </c>
      <c r="B405" s="246">
        <v>7</v>
      </c>
      <c r="C405" s="246">
        <v>2</v>
      </c>
      <c r="D405" s="141">
        <f t="shared" si="18"/>
        <v>44014</v>
      </c>
      <c r="E405" s="275">
        <f t="shared" si="19"/>
        <v>44014</v>
      </c>
      <c r="F405" s="482" t="s">
        <v>138</v>
      </c>
      <c r="G405" s="247" t="s">
        <v>94</v>
      </c>
      <c r="H405" s="247" t="str" cm="1">
        <f t="array" ref="H405">IFERROR(INDEX(INVESTOR_LIST[INVESTOR NAME],MATCH(I405,INVESTOR_LIST[INVESTOR CODE],0),)," ")</f>
        <v xml:space="preserve"> </v>
      </c>
      <c r="I405" s="248" t="s">
        <v>348</v>
      </c>
      <c r="J405" s="249" t="s">
        <v>100</v>
      </c>
      <c r="K405" s="252">
        <v>1281.1300000000001</v>
      </c>
      <c r="L405" s="252"/>
      <c r="M405" s="147">
        <v>0</v>
      </c>
      <c r="Q405" s="133" t="s">
        <v>348</v>
      </c>
    </row>
    <row r="406" spans="1:20" ht="15.6" customHeight="1" x14ac:dyDescent="0.2">
      <c r="A406" s="242">
        <v>2020</v>
      </c>
      <c r="B406" s="242">
        <v>7</v>
      </c>
      <c r="C406" s="242">
        <v>2</v>
      </c>
      <c r="D406" s="141">
        <f t="shared" si="18"/>
        <v>44014</v>
      </c>
      <c r="E406" s="275">
        <f t="shared" si="19"/>
        <v>44014</v>
      </c>
      <c r="F406" s="478"/>
      <c r="G406" s="243" t="s">
        <v>94</v>
      </c>
      <c r="H406" s="243" t="str" cm="1">
        <f t="array" ref="H406">IFERROR(INDEX(INVESTOR_LIST[INVESTOR NAME],MATCH(I406,INVESTOR_LIST[INVESTOR CODE],0),)," ")</f>
        <v xml:space="preserve"> </v>
      </c>
      <c r="I406" s="263" t="s">
        <v>348</v>
      </c>
      <c r="J406" s="244" t="s">
        <v>48</v>
      </c>
      <c r="K406" s="245"/>
      <c r="L406" s="245">
        <v>1281.1300000000001</v>
      </c>
      <c r="M406" s="147">
        <v>2</v>
      </c>
      <c r="Q406" s="133" t="s">
        <v>348</v>
      </c>
    </row>
    <row r="407" spans="1:20" x14ac:dyDescent="0.2">
      <c r="A407" s="246">
        <v>2020</v>
      </c>
      <c r="B407" s="246">
        <v>7</v>
      </c>
      <c r="C407" s="246">
        <v>2</v>
      </c>
      <c r="D407" s="141">
        <f t="shared" si="18"/>
        <v>44014</v>
      </c>
      <c r="E407" s="275">
        <f t="shared" si="19"/>
        <v>44014</v>
      </c>
      <c r="F407" s="482" t="s">
        <v>139</v>
      </c>
      <c r="G407" s="247" t="s">
        <v>94</v>
      </c>
      <c r="H407" s="247" t="str" cm="1">
        <f t="array" ref="H407">IFERROR(INDEX(INVESTOR_LIST[INVESTOR NAME],MATCH(I407,INVESTOR_LIST[INVESTOR CODE],0),)," ")</f>
        <v xml:space="preserve"> </v>
      </c>
      <c r="I407" s="248" t="s">
        <v>348</v>
      </c>
      <c r="J407" s="249" t="s">
        <v>101</v>
      </c>
      <c r="K407" s="252">
        <v>43340.45</v>
      </c>
      <c r="L407" s="252"/>
      <c r="M407" s="147">
        <v>0</v>
      </c>
      <c r="Q407" s="133" t="s">
        <v>348</v>
      </c>
    </row>
    <row r="408" spans="1:20" x14ac:dyDescent="0.2">
      <c r="A408" s="242">
        <v>2020</v>
      </c>
      <c r="B408" s="242">
        <v>7</v>
      </c>
      <c r="C408" s="242">
        <v>2</v>
      </c>
      <c r="D408" s="141">
        <f t="shared" si="18"/>
        <v>44014</v>
      </c>
      <c r="E408" s="275">
        <f t="shared" si="19"/>
        <v>44014</v>
      </c>
      <c r="F408" s="478"/>
      <c r="G408" s="243" t="s">
        <v>94</v>
      </c>
      <c r="H408" s="243" t="str" cm="1">
        <f t="array" ref="H408">IFERROR(INDEX(INVESTOR_LIST[INVESTOR NAME],MATCH(I408,INVESTOR_LIST[INVESTOR CODE],0),)," ")</f>
        <v xml:space="preserve"> </v>
      </c>
      <c r="I408" s="263" t="s">
        <v>348</v>
      </c>
      <c r="J408" s="244" t="s">
        <v>102</v>
      </c>
      <c r="K408" s="245"/>
      <c r="L408" s="245">
        <v>43340.45</v>
      </c>
      <c r="M408" s="147">
        <v>0</v>
      </c>
      <c r="Q408" s="133" t="s">
        <v>348</v>
      </c>
    </row>
    <row r="409" spans="1:20" x14ac:dyDescent="0.2">
      <c r="A409" s="246">
        <v>2020</v>
      </c>
      <c r="B409" s="246">
        <v>7</v>
      </c>
      <c r="C409" s="246">
        <v>2</v>
      </c>
      <c r="D409" s="141">
        <f t="shared" si="18"/>
        <v>44014</v>
      </c>
      <c r="E409" s="275">
        <f t="shared" si="19"/>
        <v>44014</v>
      </c>
      <c r="F409" s="482" t="s">
        <v>140</v>
      </c>
      <c r="G409" s="247" t="s">
        <v>94</v>
      </c>
      <c r="H409" s="247" t="str" cm="1">
        <f t="array" ref="H409">IFERROR(INDEX(INVESTOR_LIST[INVESTOR NAME],MATCH(I409,INVESTOR_LIST[INVESTOR CODE],0),)," ")</f>
        <v xml:space="preserve"> </v>
      </c>
      <c r="I409" s="248" t="s">
        <v>348</v>
      </c>
      <c r="J409" s="249" t="s">
        <v>103</v>
      </c>
      <c r="K409" s="252">
        <v>729.17</v>
      </c>
      <c r="L409" s="252"/>
      <c r="M409" s="147">
        <v>0</v>
      </c>
      <c r="Q409" s="133" t="s">
        <v>348</v>
      </c>
    </row>
    <row r="410" spans="1:20" x14ac:dyDescent="0.2">
      <c r="A410" s="242">
        <v>2020</v>
      </c>
      <c r="B410" s="242">
        <v>7</v>
      </c>
      <c r="C410" s="242">
        <v>2</v>
      </c>
      <c r="D410" s="141">
        <f t="shared" si="18"/>
        <v>44014</v>
      </c>
      <c r="E410" s="275">
        <f t="shared" si="19"/>
        <v>44014</v>
      </c>
      <c r="F410" s="478"/>
      <c r="G410" s="243" t="s">
        <v>94</v>
      </c>
      <c r="H410" s="243" t="str" cm="1">
        <f t="array" ref="H410">IFERROR(INDEX(INVESTOR_LIST[INVESTOR NAME],MATCH(I410,INVESTOR_LIST[INVESTOR CODE],0),)," ")</f>
        <v xml:space="preserve"> </v>
      </c>
      <c r="I410" s="263" t="s">
        <v>348</v>
      </c>
      <c r="J410" s="244" t="s">
        <v>50</v>
      </c>
      <c r="K410" s="245"/>
      <c r="L410" s="245">
        <v>729.17</v>
      </c>
      <c r="M410" s="147">
        <v>0</v>
      </c>
      <c r="Q410" s="133" t="s">
        <v>348</v>
      </c>
    </row>
    <row r="411" spans="1:20" ht="33.75" x14ac:dyDescent="0.2">
      <c r="A411" s="133">
        <v>2020</v>
      </c>
      <c r="B411" s="133">
        <v>7</v>
      </c>
      <c r="C411" s="133">
        <v>5</v>
      </c>
      <c r="D411" s="141">
        <f t="shared" si="18"/>
        <v>44017</v>
      </c>
      <c r="E411" s="275">
        <f t="shared" si="19"/>
        <v>44017</v>
      </c>
      <c r="F411" s="479" t="s">
        <v>965</v>
      </c>
      <c r="G411" s="174" t="s">
        <v>74</v>
      </c>
      <c r="H411" s="174" t="str" cm="1">
        <f t="array" ref="H411">IFERROR(INDEX(INVESTOR_LIST[INVESTOR NAME],MATCH(I411,INVESTOR_LIST[INVESTOR CODE],0),)," ")</f>
        <v>MD. ATIQUR RAHMAN</v>
      </c>
      <c r="I411" s="148" t="s">
        <v>426</v>
      </c>
      <c r="J411" s="149" t="s">
        <v>13</v>
      </c>
      <c r="K411" s="218">
        <v>148810</v>
      </c>
      <c r="L411" s="218"/>
      <c r="M411" s="147">
        <v>0</v>
      </c>
      <c r="Q411" s="133" t="s">
        <v>426</v>
      </c>
    </row>
    <row r="412" spans="1:20" ht="33.75" x14ac:dyDescent="0.2">
      <c r="A412" s="133">
        <v>2020</v>
      </c>
      <c r="B412" s="133">
        <v>7</v>
      </c>
      <c r="C412" s="133">
        <v>5</v>
      </c>
      <c r="D412" s="141">
        <f t="shared" si="18"/>
        <v>44017</v>
      </c>
      <c r="E412" s="275">
        <f t="shared" si="19"/>
        <v>44017</v>
      </c>
      <c r="F412" s="481"/>
      <c r="G412" s="174" t="s">
        <v>74</v>
      </c>
      <c r="H412" s="174" t="str" cm="1">
        <f t="array" ref="H412">IFERROR(INDEX(INVESTOR_LIST[INVESTOR NAME],MATCH(I412,INVESTOR_LIST[INVESTOR CODE],0),)," ")</f>
        <v>MD. ATIQUR RAHMAN</v>
      </c>
      <c r="I412" s="148" t="s">
        <v>426</v>
      </c>
      <c r="J412" s="149" t="s">
        <v>53</v>
      </c>
      <c r="K412" s="218">
        <f>L413-K411</f>
        <v>2380.9599999999919</v>
      </c>
      <c r="L412" s="218"/>
      <c r="M412" s="147">
        <v>1</v>
      </c>
      <c r="Q412" s="133" t="s">
        <v>426</v>
      </c>
    </row>
    <row r="413" spans="1:20" ht="33.75" x14ac:dyDescent="0.2">
      <c r="A413" s="163">
        <v>2020</v>
      </c>
      <c r="B413" s="163">
        <v>7</v>
      </c>
      <c r="C413" s="163">
        <v>5</v>
      </c>
      <c r="D413" s="141">
        <f t="shared" si="18"/>
        <v>44017</v>
      </c>
      <c r="E413" s="275">
        <f t="shared" si="19"/>
        <v>44017</v>
      </c>
      <c r="F413" s="480"/>
      <c r="G413" s="221" t="s">
        <v>74</v>
      </c>
      <c r="H413" s="221" t="str" cm="1">
        <f t="array" ref="H413">IFERROR(INDEX(INVESTOR_LIST[INVESTOR NAME],MATCH(I413,INVESTOR_LIST[INVESTOR CODE],0),)," ")</f>
        <v>MD. ATIQUR RAHMAN</v>
      </c>
      <c r="I413" s="145" t="s">
        <v>426</v>
      </c>
      <c r="J413" s="146" t="s">
        <v>52</v>
      </c>
      <c r="K413" s="219"/>
      <c r="L413" s="219">
        <v>151190.96</v>
      </c>
      <c r="M413" s="147">
        <v>0</v>
      </c>
      <c r="Q413" s="133" t="s">
        <v>426</v>
      </c>
      <c r="T413" s="161"/>
    </row>
    <row r="414" spans="1:20" x14ac:dyDescent="0.2">
      <c r="A414" s="133">
        <v>2020</v>
      </c>
      <c r="B414" s="133">
        <v>7</v>
      </c>
      <c r="C414" s="133">
        <v>5</v>
      </c>
      <c r="D414" s="141">
        <f t="shared" si="18"/>
        <v>44017</v>
      </c>
      <c r="E414" s="275">
        <f t="shared" si="19"/>
        <v>44017</v>
      </c>
      <c r="F414" s="481" t="s">
        <v>266</v>
      </c>
      <c r="G414" s="174" t="s">
        <v>74</v>
      </c>
      <c r="H414" s="174" t="str" cm="1">
        <f t="array" ref="H414">IFERROR(INDEX(INVESTOR_LIST[INVESTOR NAME],MATCH(I414,INVESTOR_LIST[INVESTOR CODE],0),)," ")</f>
        <v xml:space="preserve"> </v>
      </c>
      <c r="I414" s="148" t="s">
        <v>348</v>
      </c>
      <c r="J414" s="149" t="s">
        <v>79</v>
      </c>
      <c r="K414" s="218">
        <v>1053000</v>
      </c>
      <c r="L414" s="218"/>
      <c r="M414" s="147">
        <v>0</v>
      </c>
      <c r="Q414" s="133" t="s">
        <v>348</v>
      </c>
      <c r="T414" s="161"/>
    </row>
    <row r="415" spans="1:20" x14ac:dyDescent="0.2">
      <c r="A415" s="133">
        <v>2020</v>
      </c>
      <c r="B415" s="133">
        <v>7</v>
      </c>
      <c r="C415" s="133">
        <v>5</v>
      </c>
      <c r="D415" s="141">
        <f t="shared" si="18"/>
        <v>44017</v>
      </c>
      <c r="E415" s="275">
        <f t="shared" si="19"/>
        <v>44017</v>
      </c>
      <c r="F415" s="481"/>
      <c r="G415" s="174" t="s">
        <v>74</v>
      </c>
      <c r="H415" s="174" t="str" cm="1">
        <f t="array" ref="H415">IFERROR(INDEX(INVESTOR_LIST[INVESTOR NAME],MATCH(I415,INVESTOR_LIST[INVESTOR CODE],0),)," ")</f>
        <v xml:space="preserve"> </v>
      </c>
      <c r="I415" s="148" t="s">
        <v>348</v>
      </c>
      <c r="J415" s="149" t="s">
        <v>80</v>
      </c>
      <c r="K415" s="218">
        <v>1895.4</v>
      </c>
      <c r="L415" s="218"/>
      <c r="M415" s="147">
        <v>0</v>
      </c>
      <c r="Q415" s="133" t="s">
        <v>348</v>
      </c>
      <c r="T415" s="161"/>
    </row>
    <row r="416" spans="1:20" x14ac:dyDescent="0.2">
      <c r="A416" s="163">
        <v>2020</v>
      </c>
      <c r="B416" s="163">
        <v>7</v>
      </c>
      <c r="C416" s="163">
        <v>5</v>
      </c>
      <c r="D416" s="141">
        <f t="shared" si="18"/>
        <v>44017</v>
      </c>
      <c r="E416" s="275">
        <f t="shared" si="19"/>
        <v>44017</v>
      </c>
      <c r="F416" s="480"/>
      <c r="G416" s="221" t="s">
        <v>74</v>
      </c>
      <c r="H416" s="221" t="str" cm="1">
        <f t="array" ref="H416">IFERROR(INDEX(INVESTOR_LIST[INVESTOR NAME],MATCH(I416,INVESTOR_LIST[INVESTOR CODE],0),)," ")</f>
        <v xml:space="preserve"> </v>
      </c>
      <c r="I416" s="145" t="s">
        <v>348</v>
      </c>
      <c r="J416" s="146" t="s">
        <v>147</v>
      </c>
      <c r="K416" s="219"/>
      <c r="L416" s="219">
        <v>1054895.3999999999</v>
      </c>
      <c r="M416" s="147">
        <v>0</v>
      </c>
      <c r="Q416" s="133" t="s">
        <v>348</v>
      </c>
    </row>
    <row r="417" spans="1:17" x14ac:dyDescent="0.2">
      <c r="A417" s="133">
        <v>2020</v>
      </c>
      <c r="B417" s="133">
        <v>7</v>
      </c>
      <c r="C417" s="133">
        <v>6</v>
      </c>
      <c r="D417" s="141">
        <f t="shared" si="18"/>
        <v>44018</v>
      </c>
      <c r="E417" s="275">
        <f t="shared" si="19"/>
        <v>44018</v>
      </c>
      <c r="F417" s="481" t="s">
        <v>78</v>
      </c>
      <c r="G417" s="174" t="s">
        <v>74</v>
      </c>
      <c r="H417" s="174" t="str" cm="1">
        <f t="array" ref="H417">IFERROR(INDEX(INVESTOR_LIST[INVESTOR NAME],MATCH(I417,INVESTOR_LIST[INVESTOR CODE],0),)," ")</f>
        <v xml:space="preserve"> </v>
      </c>
      <c r="I417" s="148" t="s">
        <v>348</v>
      </c>
      <c r="J417" s="149" t="s">
        <v>147</v>
      </c>
      <c r="K417" s="218">
        <v>351631.8</v>
      </c>
      <c r="L417" s="218"/>
      <c r="M417" s="147">
        <v>0</v>
      </c>
      <c r="Q417" s="133" t="s">
        <v>348</v>
      </c>
    </row>
    <row r="418" spans="1:17" x14ac:dyDescent="0.2">
      <c r="A418" s="163">
        <v>2020</v>
      </c>
      <c r="B418" s="163">
        <v>7</v>
      </c>
      <c r="C418" s="163">
        <v>6</v>
      </c>
      <c r="D418" s="141">
        <f t="shared" si="18"/>
        <v>44018</v>
      </c>
      <c r="E418" s="275">
        <f t="shared" si="19"/>
        <v>44018</v>
      </c>
      <c r="F418" s="480"/>
      <c r="G418" s="221" t="s">
        <v>74</v>
      </c>
      <c r="H418" s="221" t="str" cm="1">
        <f t="array" ref="H418">IFERROR(INDEX(INVESTOR_LIST[INVESTOR NAME],MATCH(I418,INVESTOR_LIST[INVESTOR CODE],0),)," ")</f>
        <v xml:space="preserve"> </v>
      </c>
      <c r="I418" s="145" t="s">
        <v>348</v>
      </c>
      <c r="J418" s="146" t="s">
        <v>52</v>
      </c>
      <c r="K418" s="218"/>
      <c r="L418" s="219">
        <v>351631.8</v>
      </c>
      <c r="M418" s="147">
        <v>0</v>
      </c>
      <c r="Q418" s="133" t="s">
        <v>348</v>
      </c>
    </row>
    <row r="419" spans="1:17" x14ac:dyDescent="0.2">
      <c r="A419" s="133">
        <v>2020</v>
      </c>
      <c r="B419" s="133">
        <v>7</v>
      </c>
      <c r="C419" s="133">
        <v>6</v>
      </c>
      <c r="D419" s="141">
        <f t="shared" si="18"/>
        <v>44018</v>
      </c>
      <c r="E419" s="275">
        <f t="shared" si="19"/>
        <v>44018</v>
      </c>
      <c r="F419" s="481" t="s">
        <v>86</v>
      </c>
      <c r="G419" s="174" t="s">
        <v>74</v>
      </c>
      <c r="H419" s="174" t="str" cm="1">
        <f t="array" ref="H419">IFERROR(INDEX(INVESTOR_LIST[INVESTOR NAME],MATCH(I419,INVESTOR_LIST[INVESTOR CODE],0),)," ")</f>
        <v xml:space="preserve"> </v>
      </c>
      <c r="I419" s="148" t="s">
        <v>348</v>
      </c>
      <c r="J419" s="149" t="s">
        <v>147</v>
      </c>
      <c r="K419" s="226">
        <v>1054895.3999999999</v>
      </c>
      <c r="L419" s="218"/>
      <c r="M419" s="147">
        <v>0</v>
      </c>
      <c r="Q419" s="133" t="s">
        <v>348</v>
      </c>
    </row>
    <row r="420" spans="1:17" x14ac:dyDescent="0.2">
      <c r="A420" s="163">
        <v>2020</v>
      </c>
      <c r="B420" s="163">
        <v>7</v>
      </c>
      <c r="C420" s="163">
        <v>6</v>
      </c>
      <c r="D420" s="141">
        <f t="shared" si="18"/>
        <v>44018</v>
      </c>
      <c r="E420" s="275">
        <f t="shared" si="19"/>
        <v>44018</v>
      </c>
      <c r="F420" s="480"/>
      <c r="G420" s="221" t="s">
        <v>74</v>
      </c>
      <c r="H420" s="221" t="str" cm="1">
        <f t="array" ref="H420">IFERROR(INDEX(INVESTOR_LIST[INVESTOR NAME],MATCH(I420,INVESTOR_LIST[INVESTOR CODE],0),)," ")</f>
        <v xml:space="preserve"> </v>
      </c>
      <c r="I420" s="145" t="s">
        <v>348</v>
      </c>
      <c r="J420" s="146" t="s">
        <v>52</v>
      </c>
      <c r="K420" s="219"/>
      <c r="L420" s="219">
        <v>1054895.3999999999</v>
      </c>
      <c r="M420" s="147">
        <v>0</v>
      </c>
      <c r="Q420" s="133" t="s">
        <v>348</v>
      </c>
    </row>
    <row r="421" spans="1:17" ht="22.5" x14ac:dyDescent="0.2">
      <c r="A421" s="133">
        <v>2020</v>
      </c>
      <c r="B421" s="133">
        <v>7</v>
      </c>
      <c r="C421" s="133">
        <v>7</v>
      </c>
      <c r="D421" s="141">
        <f t="shared" si="18"/>
        <v>44019</v>
      </c>
      <c r="E421" s="275">
        <f t="shared" si="19"/>
        <v>44019</v>
      </c>
      <c r="F421" s="479" t="s">
        <v>965</v>
      </c>
      <c r="G421" s="174" t="s">
        <v>74</v>
      </c>
      <c r="H421" s="174" t="str" cm="1">
        <f t="array" ref="H421">IFERROR(INDEX(INVESTOR_LIST[INVESTOR NAME],MATCH(I421,INVESTOR_LIST[INVESTOR CODE],0),)," ")</f>
        <v>MONIR AHMED</v>
      </c>
      <c r="I421" s="148" t="s">
        <v>407</v>
      </c>
      <c r="J421" s="149" t="s">
        <v>13</v>
      </c>
      <c r="K421" s="218">
        <v>295280</v>
      </c>
      <c r="L421" s="218"/>
      <c r="M421" s="147">
        <v>0</v>
      </c>
      <c r="Q421" s="133" t="s">
        <v>407</v>
      </c>
    </row>
    <row r="422" spans="1:17" ht="22.5" x14ac:dyDescent="0.2">
      <c r="A422" s="133">
        <v>2020</v>
      </c>
      <c r="B422" s="133">
        <v>7</v>
      </c>
      <c r="C422" s="133">
        <v>7</v>
      </c>
      <c r="D422" s="141">
        <f t="shared" si="18"/>
        <v>44019</v>
      </c>
      <c r="E422" s="275">
        <f t="shared" si="19"/>
        <v>44019</v>
      </c>
      <c r="F422" s="481"/>
      <c r="G422" s="174" t="s">
        <v>74</v>
      </c>
      <c r="H422" s="174" t="str" cm="1">
        <f t="array" ref="H422">IFERROR(INDEX(INVESTOR_LIST[INVESTOR NAME],MATCH(I422,INVESTOR_LIST[INVESTOR CODE],0),)," ")</f>
        <v>MONIR AHMED</v>
      </c>
      <c r="I422" s="148" t="s">
        <v>407</v>
      </c>
      <c r="J422" s="149" t="s">
        <v>53</v>
      </c>
      <c r="K422" s="218">
        <f>L423-K421</f>
        <v>4724.4799999999814</v>
      </c>
      <c r="L422" s="218"/>
      <c r="M422" s="147">
        <v>0</v>
      </c>
      <c r="Q422" s="133" t="s">
        <v>407</v>
      </c>
    </row>
    <row r="423" spans="1:17" ht="15" customHeight="1" x14ac:dyDescent="0.2">
      <c r="A423" s="163">
        <v>2020</v>
      </c>
      <c r="B423" s="163">
        <v>7</v>
      </c>
      <c r="C423" s="163">
        <v>7</v>
      </c>
      <c r="D423" s="141">
        <f t="shared" si="18"/>
        <v>44019</v>
      </c>
      <c r="E423" s="275">
        <f t="shared" si="19"/>
        <v>44019</v>
      </c>
      <c r="F423" s="480"/>
      <c r="G423" s="221" t="s">
        <v>74</v>
      </c>
      <c r="H423" s="221" t="str" cm="1">
        <f t="array" ref="H423">IFERROR(INDEX(INVESTOR_LIST[INVESTOR NAME],MATCH(I423,INVESTOR_LIST[INVESTOR CODE],0),)," ")</f>
        <v>MONIR AHMED</v>
      </c>
      <c r="I423" s="145" t="s">
        <v>407</v>
      </c>
      <c r="J423" s="146" t="s">
        <v>52</v>
      </c>
      <c r="K423" s="219"/>
      <c r="L423" s="219">
        <v>300004.47999999998</v>
      </c>
      <c r="M423" s="147">
        <v>0</v>
      </c>
      <c r="Q423" s="133" t="s">
        <v>407</v>
      </c>
    </row>
    <row r="424" spans="1:17" x14ac:dyDescent="0.2">
      <c r="A424" s="133">
        <v>2020</v>
      </c>
      <c r="B424" s="133">
        <v>7</v>
      </c>
      <c r="C424" s="133">
        <v>8</v>
      </c>
      <c r="D424" s="141">
        <f t="shared" si="18"/>
        <v>44020</v>
      </c>
      <c r="E424" s="275">
        <f t="shared" si="19"/>
        <v>44020</v>
      </c>
      <c r="F424" s="481" t="s">
        <v>264</v>
      </c>
      <c r="G424" s="174" t="s">
        <v>94</v>
      </c>
      <c r="H424" s="174" t="str" cm="1">
        <f t="array" ref="H424">IFERROR(INDEX(INVESTOR_LIST[INVESTOR NAME],MATCH(I424,INVESTOR_LIST[INVESTOR CODE],0),)," ")</f>
        <v xml:space="preserve"> </v>
      </c>
      <c r="I424" s="148" t="s">
        <v>348</v>
      </c>
      <c r="J424" s="149" t="s">
        <v>79</v>
      </c>
      <c r="K424" s="218">
        <v>3451500</v>
      </c>
      <c r="L424" s="218"/>
      <c r="M424" s="147">
        <v>0</v>
      </c>
      <c r="Q424" s="133" t="s">
        <v>348</v>
      </c>
    </row>
    <row r="425" spans="1:17" x14ac:dyDescent="0.2">
      <c r="A425" s="133">
        <v>2020</v>
      </c>
      <c r="B425" s="133">
        <v>7</v>
      </c>
      <c r="C425" s="133">
        <v>8</v>
      </c>
      <c r="D425" s="141">
        <f t="shared" si="18"/>
        <v>44020</v>
      </c>
      <c r="E425" s="275">
        <f t="shared" si="19"/>
        <v>44020</v>
      </c>
      <c r="F425" s="481"/>
      <c r="G425" s="174" t="s">
        <v>94</v>
      </c>
      <c r="H425" s="174" t="str" cm="1">
        <f t="array" ref="H425">IFERROR(INDEX(INVESTOR_LIST[INVESTOR NAME],MATCH(I425,INVESTOR_LIST[INVESTOR CODE],0),)," ")</f>
        <v xml:space="preserve"> </v>
      </c>
      <c r="I425" s="148" t="s">
        <v>348</v>
      </c>
      <c r="J425" s="149" t="s">
        <v>80</v>
      </c>
      <c r="K425" s="218">
        <v>6212.7</v>
      </c>
      <c r="L425" s="218"/>
      <c r="M425" s="147">
        <v>0</v>
      </c>
      <c r="Q425" s="133" t="s">
        <v>348</v>
      </c>
    </row>
    <row r="426" spans="1:17" x14ac:dyDescent="0.2">
      <c r="A426" s="163">
        <v>2020</v>
      </c>
      <c r="B426" s="163">
        <v>7</v>
      </c>
      <c r="C426" s="163">
        <v>8</v>
      </c>
      <c r="D426" s="141">
        <f t="shared" si="18"/>
        <v>44020</v>
      </c>
      <c r="E426" s="275">
        <f t="shared" si="19"/>
        <v>44020</v>
      </c>
      <c r="F426" s="480"/>
      <c r="G426" s="221" t="s">
        <v>94</v>
      </c>
      <c r="H426" s="221" t="str" cm="1">
        <f t="array" ref="H426">IFERROR(INDEX(INVESTOR_LIST[INVESTOR NAME],MATCH(I426,INVESTOR_LIST[INVESTOR CODE],0),)," ")</f>
        <v xml:space="preserve"> </v>
      </c>
      <c r="I426" s="145" t="s">
        <v>348</v>
      </c>
      <c r="J426" s="146" t="s">
        <v>147</v>
      </c>
      <c r="K426" s="219"/>
      <c r="L426" s="219">
        <v>3457712.7</v>
      </c>
      <c r="M426" s="147">
        <v>0</v>
      </c>
      <c r="Q426" s="133" t="s">
        <v>348</v>
      </c>
    </row>
    <row r="427" spans="1:17" x14ac:dyDescent="0.2">
      <c r="A427" s="133">
        <v>2020</v>
      </c>
      <c r="B427" s="133">
        <v>7</v>
      </c>
      <c r="C427" s="133">
        <v>9</v>
      </c>
      <c r="D427" s="141">
        <f t="shared" si="18"/>
        <v>44021</v>
      </c>
      <c r="E427" s="275">
        <f t="shared" si="19"/>
        <v>44021</v>
      </c>
      <c r="F427" s="481" t="s">
        <v>264</v>
      </c>
      <c r="G427" s="174" t="s">
        <v>94</v>
      </c>
      <c r="H427" s="174" t="str" cm="1">
        <f t="array" ref="H427">IFERROR(INDEX(INVESTOR_LIST[INVESTOR NAME],MATCH(I427,INVESTOR_LIST[INVESTOR CODE],0),)," ")</f>
        <v xml:space="preserve"> </v>
      </c>
      <c r="I427" s="148" t="s">
        <v>348</v>
      </c>
      <c r="J427" s="149" t="s">
        <v>79</v>
      </c>
      <c r="K427" s="218">
        <v>865000</v>
      </c>
      <c r="L427" s="218"/>
      <c r="M427" s="147">
        <v>6</v>
      </c>
      <c r="Q427" s="133" t="s">
        <v>348</v>
      </c>
    </row>
    <row r="428" spans="1:17" x14ac:dyDescent="0.2">
      <c r="A428" s="133">
        <v>2020</v>
      </c>
      <c r="B428" s="133">
        <v>7</v>
      </c>
      <c r="C428" s="133">
        <v>9</v>
      </c>
      <c r="D428" s="141">
        <f t="shared" si="18"/>
        <v>44021</v>
      </c>
      <c r="E428" s="275">
        <f t="shared" si="19"/>
        <v>44021</v>
      </c>
      <c r="F428" s="481"/>
      <c r="G428" s="174" t="s">
        <v>94</v>
      </c>
      <c r="H428" s="174" t="str" cm="1">
        <f t="array" ref="H428">IFERROR(INDEX(INVESTOR_LIST[INVESTOR NAME],MATCH(I428,INVESTOR_LIST[INVESTOR CODE],0),)," ")</f>
        <v xml:space="preserve"> </v>
      </c>
      <c r="I428" s="148" t="s">
        <v>348</v>
      </c>
      <c r="J428" s="149" t="s">
        <v>80</v>
      </c>
      <c r="K428" s="218">
        <v>1557</v>
      </c>
      <c r="L428" s="218"/>
      <c r="M428" s="147">
        <v>0</v>
      </c>
      <c r="Q428" s="133" t="s">
        <v>348</v>
      </c>
    </row>
    <row r="429" spans="1:17" x14ac:dyDescent="0.2">
      <c r="A429" s="163">
        <v>2020</v>
      </c>
      <c r="B429" s="163">
        <v>7</v>
      </c>
      <c r="C429" s="163">
        <v>9</v>
      </c>
      <c r="D429" s="141">
        <f t="shared" si="18"/>
        <v>44021</v>
      </c>
      <c r="E429" s="275">
        <f t="shared" si="19"/>
        <v>44021</v>
      </c>
      <c r="F429" s="480"/>
      <c r="G429" s="221" t="s">
        <v>94</v>
      </c>
      <c r="H429" s="221" t="str" cm="1">
        <f t="array" ref="H429">IFERROR(INDEX(INVESTOR_LIST[INVESTOR NAME],MATCH(I429,INVESTOR_LIST[INVESTOR CODE],0),)," ")</f>
        <v xml:space="preserve"> </v>
      </c>
      <c r="I429" s="145" t="s">
        <v>348</v>
      </c>
      <c r="J429" s="146" t="s">
        <v>147</v>
      </c>
      <c r="K429" s="219"/>
      <c r="L429" s="219">
        <v>866557</v>
      </c>
      <c r="M429" s="147">
        <v>1</v>
      </c>
      <c r="Q429" s="133" t="s">
        <v>348</v>
      </c>
    </row>
    <row r="430" spans="1:17" x14ac:dyDescent="0.2">
      <c r="A430" s="133">
        <v>2020</v>
      </c>
      <c r="B430" s="133">
        <v>7</v>
      </c>
      <c r="C430" s="133">
        <v>9</v>
      </c>
      <c r="D430" s="141">
        <f t="shared" si="18"/>
        <v>44021</v>
      </c>
      <c r="E430" s="275">
        <f t="shared" si="19"/>
        <v>44021</v>
      </c>
      <c r="F430" s="481" t="s">
        <v>266</v>
      </c>
      <c r="G430" s="174" t="s">
        <v>94</v>
      </c>
      <c r="H430" s="174" t="str" cm="1">
        <f t="array" ref="H430">IFERROR(INDEX(INVESTOR_LIST[INVESTOR NAME],MATCH(I430,INVESTOR_LIST[INVESTOR CODE],0),)," ")</f>
        <v xml:space="preserve"> </v>
      </c>
      <c r="I430" s="148" t="s">
        <v>348</v>
      </c>
      <c r="J430" s="149" t="s">
        <v>79</v>
      </c>
      <c r="K430" s="218">
        <v>1389400</v>
      </c>
      <c r="L430" s="218"/>
      <c r="M430" s="147">
        <v>0</v>
      </c>
      <c r="Q430" s="133" t="s">
        <v>348</v>
      </c>
    </row>
    <row r="431" spans="1:17" x14ac:dyDescent="0.2">
      <c r="A431" s="133">
        <v>2020</v>
      </c>
      <c r="B431" s="133">
        <v>7</v>
      </c>
      <c r="C431" s="133">
        <v>9</v>
      </c>
      <c r="D431" s="141">
        <f t="shared" si="18"/>
        <v>44021</v>
      </c>
      <c r="E431" s="275">
        <f t="shared" si="19"/>
        <v>44021</v>
      </c>
      <c r="F431" s="481"/>
      <c r="G431" s="174" t="s">
        <v>94</v>
      </c>
      <c r="H431" s="174" t="str" cm="1">
        <f t="array" ref="H431">IFERROR(INDEX(INVESTOR_LIST[INVESTOR NAME],MATCH(I431,INVESTOR_LIST[INVESTOR CODE],0),)," ")</f>
        <v xml:space="preserve"> </v>
      </c>
      <c r="I431" s="148" t="s">
        <v>348</v>
      </c>
      <c r="J431" s="149" t="s">
        <v>80</v>
      </c>
      <c r="K431" s="218">
        <v>2500.92</v>
      </c>
      <c r="L431" s="218"/>
      <c r="M431" s="147">
        <v>0</v>
      </c>
      <c r="Q431" s="133" t="s">
        <v>348</v>
      </c>
    </row>
    <row r="432" spans="1:17" x14ac:dyDescent="0.2">
      <c r="A432" s="163">
        <v>2020</v>
      </c>
      <c r="B432" s="163">
        <v>7</v>
      </c>
      <c r="C432" s="163">
        <v>9</v>
      </c>
      <c r="D432" s="141">
        <f t="shared" si="18"/>
        <v>44021</v>
      </c>
      <c r="E432" s="275">
        <f t="shared" si="19"/>
        <v>44021</v>
      </c>
      <c r="F432" s="480"/>
      <c r="G432" s="221" t="s">
        <v>94</v>
      </c>
      <c r="H432" s="221" t="str" cm="1">
        <f t="array" ref="H432">IFERROR(INDEX(INVESTOR_LIST[INVESTOR NAME],MATCH(I432,INVESTOR_LIST[INVESTOR CODE],0),)," ")</f>
        <v xml:space="preserve"> </v>
      </c>
      <c r="I432" s="145" t="s">
        <v>348</v>
      </c>
      <c r="J432" s="146" t="s">
        <v>147</v>
      </c>
      <c r="K432" s="219"/>
      <c r="L432" s="219">
        <v>1391900.92</v>
      </c>
      <c r="M432" s="147">
        <v>0</v>
      </c>
      <c r="Q432" s="133" t="s">
        <v>348</v>
      </c>
    </row>
    <row r="433" spans="1:17" x14ac:dyDescent="0.2">
      <c r="A433" s="246">
        <v>2020</v>
      </c>
      <c r="B433" s="246">
        <v>7</v>
      </c>
      <c r="C433" s="246">
        <v>9</v>
      </c>
      <c r="D433" s="141">
        <f t="shared" si="18"/>
        <v>44021</v>
      </c>
      <c r="E433" s="275">
        <f t="shared" si="19"/>
        <v>44021</v>
      </c>
      <c r="F433" s="482" t="s">
        <v>105</v>
      </c>
      <c r="G433" s="247" t="s">
        <v>94</v>
      </c>
      <c r="H433" s="247" t="str" cm="1">
        <f t="array" ref="H433">IFERROR(INDEX(INVESTOR_LIST[INVESTOR NAME],MATCH(I433,INVESTOR_LIST[INVESTOR CODE],0),)," ")</f>
        <v xml:space="preserve"> </v>
      </c>
      <c r="I433" s="248" t="s">
        <v>348</v>
      </c>
      <c r="J433" s="249" t="s">
        <v>108</v>
      </c>
      <c r="K433" s="252">
        <v>384500</v>
      </c>
      <c r="L433" s="252"/>
      <c r="M433" s="147">
        <v>0</v>
      </c>
      <c r="Q433" s="133" t="s">
        <v>348</v>
      </c>
    </row>
    <row r="434" spans="1:17" x14ac:dyDescent="0.2">
      <c r="A434" s="242">
        <v>2020</v>
      </c>
      <c r="B434" s="242">
        <v>7</v>
      </c>
      <c r="C434" s="242">
        <v>9</v>
      </c>
      <c r="D434" s="141">
        <f t="shared" si="18"/>
        <v>44021</v>
      </c>
      <c r="E434" s="275">
        <f t="shared" si="19"/>
        <v>44021</v>
      </c>
      <c r="F434" s="478"/>
      <c r="G434" s="243" t="s">
        <v>94</v>
      </c>
      <c r="H434" s="243" t="str" cm="1">
        <f t="array" ref="H434">IFERROR(INDEX(INVESTOR_LIST[INVESTOR NAME],MATCH(I434,INVESTOR_LIST[INVESTOR CODE],0),)," ")</f>
        <v xml:space="preserve"> </v>
      </c>
      <c r="I434" s="263" t="s">
        <v>348</v>
      </c>
      <c r="J434" s="244" t="s">
        <v>82</v>
      </c>
      <c r="K434" s="245"/>
      <c r="L434" s="245">
        <v>384500</v>
      </c>
      <c r="M434" s="147">
        <v>0</v>
      </c>
      <c r="Q434" s="133" t="s">
        <v>348</v>
      </c>
    </row>
    <row r="435" spans="1:17" x14ac:dyDescent="0.2">
      <c r="A435" s="246">
        <v>2020</v>
      </c>
      <c r="B435" s="246">
        <v>7</v>
      </c>
      <c r="C435" s="246">
        <v>9</v>
      </c>
      <c r="D435" s="141">
        <f t="shared" si="18"/>
        <v>44021</v>
      </c>
      <c r="E435" s="275">
        <f t="shared" si="19"/>
        <v>44021</v>
      </c>
      <c r="F435" s="482" t="s">
        <v>137</v>
      </c>
      <c r="G435" s="247" t="s">
        <v>94</v>
      </c>
      <c r="H435" s="247" t="str" cm="1">
        <f t="array" ref="H435">IFERROR(INDEX(INVESTOR_LIST[INVESTOR NAME],MATCH(I435,INVESTOR_LIST[INVESTOR CODE],0),)," ")</f>
        <v xml:space="preserve"> </v>
      </c>
      <c r="I435" s="248" t="s">
        <v>348</v>
      </c>
      <c r="J435" s="249" t="s">
        <v>97</v>
      </c>
      <c r="K435" s="252">
        <v>26521.7</v>
      </c>
      <c r="L435" s="252"/>
      <c r="M435" s="147">
        <v>0</v>
      </c>
      <c r="Q435" s="133" t="s">
        <v>348</v>
      </c>
    </row>
    <row r="436" spans="1:17" x14ac:dyDescent="0.2">
      <c r="A436" s="242">
        <v>2020</v>
      </c>
      <c r="B436" s="242">
        <v>7</v>
      </c>
      <c r="C436" s="242">
        <v>9</v>
      </c>
      <c r="D436" s="141">
        <f t="shared" si="18"/>
        <v>44021</v>
      </c>
      <c r="E436" s="275">
        <f t="shared" si="19"/>
        <v>44021</v>
      </c>
      <c r="F436" s="478"/>
      <c r="G436" s="243" t="s">
        <v>94</v>
      </c>
      <c r="H436" s="243" t="str" cm="1">
        <f t="array" ref="H436">IFERROR(INDEX(INVESTOR_LIST[INVESTOR NAME],MATCH(I436,INVESTOR_LIST[INVESTOR CODE],0),)," ")</f>
        <v xml:space="preserve"> </v>
      </c>
      <c r="I436" s="263" t="s">
        <v>348</v>
      </c>
      <c r="J436" s="244" t="s">
        <v>47</v>
      </c>
      <c r="K436" s="245"/>
      <c r="L436" s="245">
        <v>26521.7</v>
      </c>
      <c r="M436" s="147">
        <v>0</v>
      </c>
      <c r="Q436" s="133" t="s">
        <v>348</v>
      </c>
    </row>
    <row r="437" spans="1:17" ht="22.5" x14ac:dyDescent="0.2">
      <c r="A437" s="246">
        <v>2020</v>
      </c>
      <c r="B437" s="246">
        <v>7</v>
      </c>
      <c r="C437" s="246">
        <v>9</v>
      </c>
      <c r="D437" s="141">
        <f t="shared" si="18"/>
        <v>44021</v>
      </c>
      <c r="E437" s="275">
        <f t="shared" si="19"/>
        <v>44021</v>
      </c>
      <c r="F437" s="482" t="s">
        <v>148</v>
      </c>
      <c r="G437" s="247" t="s">
        <v>94</v>
      </c>
      <c r="H437" s="247" t="str" cm="1">
        <f t="array" ref="H437">IFERROR(INDEX(INVESTOR_LIST[INVESTOR NAME],MATCH(I437,INVESTOR_LIST[INVESTOR CODE],0),)," ")</f>
        <v xml:space="preserve"> </v>
      </c>
      <c r="I437" s="248" t="s">
        <v>348</v>
      </c>
      <c r="J437" s="249" t="s">
        <v>95</v>
      </c>
      <c r="K437" s="252">
        <v>2747.25</v>
      </c>
      <c r="L437" s="252"/>
      <c r="M437" s="147">
        <v>0</v>
      </c>
      <c r="Q437" s="133" t="s">
        <v>348</v>
      </c>
    </row>
    <row r="438" spans="1:17" x14ac:dyDescent="0.2">
      <c r="A438" s="242">
        <v>2020</v>
      </c>
      <c r="B438" s="242">
        <v>7</v>
      </c>
      <c r="C438" s="242">
        <v>9</v>
      </c>
      <c r="D438" s="141">
        <f t="shared" si="18"/>
        <v>44021</v>
      </c>
      <c r="E438" s="275">
        <f t="shared" si="19"/>
        <v>44021</v>
      </c>
      <c r="F438" s="478"/>
      <c r="G438" s="243" t="s">
        <v>94</v>
      </c>
      <c r="H438" s="243" t="str" cm="1">
        <f t="array" ref="H438">IFERROR(INDEX(INVESTOR_LIST[INVESTOR NAME],MATCH(I438,INVESTOR_LIST[INVESTOR CODE],0),)," ")</f>
        <v xml:space="preserve"> </v>
      </c>
      <c r="I438" s="263" t="s">
        <v>348</v>
      </c>
      <c r="J438" s="244" t="s">
        <v>63</v>
      </c>
      <c r="K438" s="245"/>
      <c r="L438" s="245">
        <v>2747.25</v>
      </c>
      <c r="M438" s="147">
        <v>0</v>
      </c>
      <c r="Q438" s="133" t="s">
        <v>348</v>
      </c>
    </row>
    <row r="439" spans="1:17" x14ac:dyDescent="0.2">
      <c r="A439" s="246">
        <v>2020</v>
      </c>
      <c r="B439" s="246">
        <v>7</v>
      </c>
      <c r="C439" s="246">
        <v>9</v>
      </c>
      <c r="D439" s="141">
        <f t="shared" si="18"/>
        <v>44021</v>
      </c>
      <c r="E439" s="275">
        <f t="shared" si="19"/>
        <v>44021</v>
      </c>
      <c r="F439" s="482" t="s">
        <v>138</v>
      </c>
      <c r="G439" s="247" t="s">
        <v>94</v>
      </c>
      <c r="H439" s="247" t="str" cm="1">
        <f t="array" ref="H439">IFERROR(INDEX(INVESTOR_LIST[INVESTOR NAME],MATCH(I439,INVESTOR_LIST[INVESTOR CODE],0),)," ")</f>
        <v xml:space="preserve"> </v>
      </c>
      <c r="I439" s="248" t="s">
        <v>348</v>
      </c>
      <c r="J439" s="249" t="s">
        <v>100</v>
      </c>
      <c r="K439" s="252">
        <v>1277.5</v>
      </c>
      <c r="L439" s="252"/>
      <c r="M439" s="147">
        <v>0</v>
      </c>
      <c r="Q439" s="133" t="s">
        <v>348</v>
      </c>
    </row>
    <row r="440" spans="1:17" x14ac:dyDescent="0.2">
      <c r="A440" s="242">
        <v>2020</v>
      </c>
      <c r="B440" s="242">
        <v>7</v>
      </c>
      <c r="C440" s="242">
        <v>9</v>
      </c>
      <c r="D440" s="141">
        <f t="shared" si="18"/>
        <v>44021</v>
      </c>
      <c r="E440" s="275">
        <f t="shared" si="19"/>
        <v>44021</v>
      </c>
      <c r="F440" s="478"/>
      <c r="G440" s="243" t="s">
        <v>94</v>
      </c>
      <c r="H440" s="243" t="str" cm="1">
        <f t="array" ref="H440">IFERROR(INDEX(INVESTOR_LIST[INVESTOR NAME],MATCH(I440,INVESTOR_LIST[INVESTOR CODE],0),)," ")</f>
        <v xml:space="preserve"> </v>
      </c>
      <c r="I440" s="263" t="s">
        <v>348</v>
      </c>
      <c r="J440" s="244" t="s">
        <v>48</v>
      </c>
      <c r="K440" s="245"/>
      <c r="L440" s="245">
        <v>1277.5</v>
      </c>
      <c r="M440" s="147">
        <v>0</v>
      </c>
      <c r="Q440" s="133" t="s">
        <v>348</v>
      </c>
    </row>
    <row r="441" spans="1:17" x14ac:dyDescent="0.2">
      <c r="A441" s="246">
        <v>2020</v>
      </c>
      <c r="B441" s="246">
        <v>7</v>
      </c>
      <c r="C441" s="246">
        <v>9</v>
      </c>
      <c r="D441" s="141">
        <f t="shared" si="18"/>
        <v>44021</v>
      </c>
      <c r="E441" s="275">
        <f t="shared" si="19"/>
        <v>44021</v>
      </c>
      <c r="F441" s="482" t="s">
        <v>140</v>
      </c>
      <c r="G441" s="247" t="s">
        <v>94</v>
      </c>
      <c r="H441" s="247" t="str" cm="1">
        <f t="array" ref="H441">IFERROR(INDEX(INVESTOR_LIST[INVESTOR NAME],MATCH(I441,INVESTOR_LIST[INVESTOR CODE],0),)," ")</f>
        <v xml:space="preserve"> </v>
      </c>
      <c r="I441" s="248" t="s">
        <v>348</v>
      </c>
      <c r="J441" s="249" t="s">
        <v>103</v>
      </c>
      <c r="K441" s="252">
        <v>729.17</v>
      </c>
      <c r="L441" s="252"/>
      <c r="M441" s="147">
        <v>0</v>
      </c>
      <c r="Q441" s="133" t="s">
        <v>348</v>
      </c>
    </row>
    <row r="442" spans="1:17" x14ac:dyDescent="0.2">
      <c r="A442" s="242">
        <v>2020</v>
      </c>
      <c r="B442" s="242">
        <v>7</v>
      </c>
      <c r="C442" s="242">
        <v>9</v>
      </c>
      <c r="D442" s="141">
        <f t="shared" si="18"/>
        <v>44021</v>
      </c>
      <c r="E442" s="275">
        <f t="shared" si="19"/>
        <v>44021</v>
      </c>
      <c r="F442" s="478"/>
      <c r="G442" s="243" t="s">
        <v>94</v>
      </c>
      <c r="H442" s="243" t="str" cm="1">
        <f t="array" ref="H442">IFERROR(INDEX(INVESTOR_LIST[INVESTOR NAME],MATCH(I442,INVESTOR_LIST[INVESTOR CODE],0),)," ")</f>
        <v xml:space="preserve"> </v>
      </c>
      <c r="I442" s="263" t="s">
        <v>348</v>
      </c>
      <c r="J442" s="244" t="s">
        <v>50</v>
      </c>
      <c r="K442" s="245"/>
      <c r="L442" s="245">
        <v>729.17</v>
      </c>
      <c r="M442" s="147">
        <v>0</v>
      </c>
      <c r="Q442" s="133" t="s">
        <v>348</v>
      </c>
    </row>
    <row r="443" spans="1:17" x14ac:dyDescent="0.2">
      <c r="A443" s="133">
        <v>2020</v>
      </c>
      <c r="B443" s="133">
        <v>7</v>
      </c>
      <c r="C443" s="133">
        <v>12</v>
      </c>
      <c r="D443" s="141">
        <f t="shared" si="18"/>
        <v>44024</v>
      </c>
      <c r="E443" s="275">
        <f t="shared" si="19"/>
        <v>44024</v>
      </c>
      <c r="F443" s="481" t="s">
        <v>78</v>
      </c>
      <c r="G443" s="174" t="s">
        <v>74</v>
      </c>
      <c r="H443" s="174" t="str" cm="1">
        <f t="array" ref="H443">IFERROR(INDEX(INVESTOR_LIST[INVESTOR NAME],MATCH(I443,INVESTOR_LIST[INVESTOR CODE],0),)," ")</f>
        <v xml:space="preserve"> </v>
      </c>
      <c r="I443" s="148" t="s">
        <v>348</v>
      </c>
      <c r="J443" s="149" t="s">
        <v>147</v>
      </c>
      <c r="K443" s="218">
        <v>3457712.7</v>
      </c>
      <c r="L443" s="218"/>
      <c r="M443" s="147">
        <v>0</v>
      </c>
      <c r="Q443" s="133" t="s">
        <v>348</v>
      </c>
    </row>
    <row r="444" spans="1:17" x14ac:dyDescent="0.2">
      <c r="A444" s="163">
        <v>2020</v>
      </c>
      <c r="B444" s="163">
        <v>7</v>
      </c>
      <c r="C444" s="163">
        <v>12</v>
      </c>
      <c r="D444" s="141">
        <f t="shared" si="18"/>
        <v>44024</v>
      </c>
      <c r="E444" s="275">
        <f t="shared" si="19"/>
        <v>44024</v>
      </c>
      <c r="F444" s="480"/>
      <c r="G444" s="221" t="s">
        <v>74</v>
      </c>
      <c r="H444" s="221" t="str" cm="1">
        <f t="array" ref="H444">IFERROR(INDEX(INVESTOR_LIST[INVESTOR NAME],MATCH(I444,INVESTOR_LIST[INVESTOR CODE],0),)," ")</f>
        <v xml:space="preserve"> </v>
      </c>
      <c r="I444" s="145" t="s">
        <v>348</v>
      </c>
      <c r="J444" s="146" t="s">
        <v>52</v>
      </c>
      <c r="K444" s="219"/>
      <c r="L444" s="219">
        <v>3457712.7</v>
      </c>
      <c r="M444" s="147">
        <v>7</v>
      </c>
      <c r="Q444" s="133" t="s">
        <v>348</v>
      </c>
    </row>
    <row r="445" spans="1:17" x14ac:dyDescent="0.2">
      <c r="A445" s="133">
        <v>2020</v>
      </c>
      <c r="B445" s="133">
        <v>7</v>
      </c>
      <c r="C445" s="133">
        <v>12</v>
      </c>
      <c r="D445" s="141">
        <f t="shared" si="18"/>
        <v>44024</v>
      </c>
      <c r="E445" s="275">
        <f t="shared" si="19"/>
        <v>44024</v>
      </c>
      <c r="F445" s="481" t="s">
        <v>78</v>
      </c>
      <c r="G445" s="174" t="s">
        <v>74</v>
      </c>
      <c r="H445" s="174" t="str" cm="1">
        <f t="array" ref="H445">IFERROR(INDEX(INVESTOR_LIST[INVESTOR NAME],MATCH(I445,INVESTOR_LIST[INVESTOR CODE],0),)," ")</f>
        <v xml:space="preserve"> </v>
      </c>
      <c r="I445" s="148" t="s">
        <v>348</v>
      </c>
      <c r="J445" s="149" t="s">
        <v>147</v>
      </c>
      <c r="K445" s="218">
        <v>866557</v>
      </c>
      <c r="L445" s="218"/>
      <c r="M445" s="147">
        <v>0</v>
      </c>
      <c r="Q445" s="133" t="s">
        <v>348</v>
      </c>
    </row>
    <row r="446" spans="1:17" x14ac:dyDescent="0.2">
      <c r="A446" s="163">
        <v>2020</v>
      </c>
      <c r="B446" s="163">
        <v>7</v>
      </c>
      <c r="C446" s="163">
        <v>12</v>
      </c>
      <c r="D446" s="141">
        <f t="shared" si="18"/>
        <v>44024</v>
      </c>
      <c r="E446" s="275">
        <f t="shared" si="19"/>
        <v>44024</v>
      </c>
      <c r="F446" s="480"/>
      <c r="G446" s="221" t="s">
        <v>74</v>
      </c>
      <c r="H446" s="221" t="str" cm="1">
        <f t="array" ref="H446">IFERROR(INDEX(INVESTOR_LIST[INVESTOR NAME],MATCH(I446,INVESTOR_LIST[INVESTOR CODE],0),)," ")</f>
        <v xml:space="preserve"> </v>
      </c>
      <c r="I446" s="145" t="s">
        <v>348</v>
      </c>
      <c r="J446" s="146" t="s">
        <v>52</v>
      </c>
      <c r="K446" s="219"/>
      <c r="L446" s="219">
        <v>866557</v>
      </c>
      <c r="M446" s="147">
        <v>0</v>
      </c>
      <c r="Q446" s="133" t="s">
        <v>348</v>
      </c>
    </row>
    <row r="447" spans="1:17" x14ac:dyDescent="0.2">
      <c r="A447" s="133">
        <v>2020</v>
      </c>
      <c r="B447" s="133">
        <v>7</v>
      </c>
      <c r="C447" s="133">
        <v>12</v>
      </c>
      <c r="D447" s="141">
        <f t="shared" si="18"/>
        <v>44024</v>
      </c>
      <c r="E447" s="275">
        <f t="shared" si="19"/>
        <v>44024</v>
      </c>
      <c r="F447" s="481" t="s">
        <v>86</v>
      </c>
      <c r="G447" s="174" t="s">
        <v>74</v>
      </c>
      <c r="H447" s="174" t="str" cm="1">
        <f t="array" ref="H447">IFERROR(INDEX(INVESTOR_LIST[INVESTOR NAME],MATCH(I447,INVESTOR_LIST[INVESTOR CODE],0),)," ")</f>
        <v xml:space="preserve"> </v>
      </c>
      <c r="I447" s="148" t="s">
        <v>348</v>
      </c>
      <c r="J447" s="149" t="s">
        <v>147</v>
      </c>
      <c r="K447" s="218">
        <v>1391900.9201</v>
      </c>
      <c r="L447" s="218"/>
      <c r="M447" s="147">
        <v>0</v>
      </c>
      <c r="Q447" s="133" t="s">
        <v>348</v>
      </c>
    </row>
    <row r="448" spans="1:17" x14ac:dyDescent="0.2">
      <c r="A448" s="163">
        <v>2020</v>
      </c>
      <c r="B448" s="163">
        <v>7</v>
      </c>
      <c r="C448" s="163">
        <v>12</v>
      </c>
      <c r="D448" s="141">
        <f t="shared" si="18"/>
        <v>44024</v>
      </c>
      <c r="E448" s="275">
        <f t="shared" si="19"/>
        <v>44024</v>
      </c>
      <c r="F448" s="480"/>
      <c r="G448" s="221" t="s">
        <v>74</v>
      </c>
      <c r="H448" s="221" t="str" cm="1">
        <f t="array" ref="H448">IFERROR(INDEX(INVESTOR_LIST[INVESTOR NAME],MATCH(I448,INVESTOR_LIST[INVESTOR CODE],0),)," ")</f>
        <v xml:space="preserve"> </v>
      </c>
      <c r="I448" s="145" t="s">
        <v>348</v>
      </c>
      <c r="J448" s="146" t="s">
        <v>52</v>
      </c>
      <c r="K448" s="219"/>
      <c r="L448" s="219">
        <v>1391900.9201</v>
      </c>
      <c r="M448" s="147">
        <v>0</v>
      </c>
      <c r="Q448" s="133" t="s">
        <v>348</v>
      </c>
    </row>
    <row r="449" spans="1:19" x14ac:dyDescent="0.2">
      <c r="A449" s="133">
        <v>2020</v>
      </c>
      <c r="B449" s="133">
        <v>7</v>
      </c>
      <c r="C449" s="133">
        <v>15</v>
      </c>
      <c r="D449" s="141">
        <f t="shared" si="18"/>
        <v>44027</v>
      </c>
      <c r="E449" s="275">
        <f t="shared" si="19"/>
        <v>44027</v>
      </c>
      <c r="F449" s="481" t="s">
        <v>151</v>
      </c>
      <c r="G449" s="174" t="s">
        <v>94</v>
      </c>
      <c r="H449" s="174" t="str" cm="1">
        <f t="array" ref="H449">IFERROR(INDEX(INVESTOR_LIST[INVESTOR NAME],MATCH(I449,INVESTOR_LIST[INVESTOR CODE],0),)," ")</f>
        <v xml:space="preserve"> </v>
      </c>
      <c r="I449" s="148" t="s">
        <v>348</v>
      </c>
      <c r="J449" s="149" t="s">
        <v>79</v>
      </c>
      <c r="K449" s="218">
        <v>607500</v>
      </c>
      <c r="L449" s="218"/>
      <c r="M449" s="147">
        <v>0</v>
      </c>
      <c r="Q449" s="133" t="s">
        <v>348</v>
      </c>
    </row>
    <row r="450" spans="1:19" x14ac:dyDescent="0.2">
      <c r="A450" s="133">
        <v>2020</v>
      </c>
      <c r="B450" s="133">
        <v>7</v>
      </c>
      <c r="C450" s="133">
        <v>15</v>
      </c>
      <c r="D450" s="141">
        <f t="shared" si="18"/>
        <v>44027</v>
      </c>
      <c r="E450" s="275">
        <f t="shared" si="19"/>
        <v>44027</v>
      </c>
      <c r="F450" s="481"/>
      <c r="G450" s="174" t="s">
        <v>94</v>
      </c>
      <c r="H450" s="174" t="str" cm="1">
        <f t="array" ref="H450">IFERROR(INDEX(INVESTOR_LIST[INVESTOR NAME],MATCH(I450,INVESTOR_LIST[INVESTOR CODE],0),)," ")</f>
        <v xml:space="preserve"> </v>
      </c>
      <c r="I450" s="148" t="s">
        <v>348</v>
      </c>
      <c r="J450" s="149" t="s">
        <v>80</v>
      </c>
      <c r="K450" s="218">
        <v>1093.5</v>
      </c>
      <c r="L450" s="218"/>
      <c r="M450" s="147">
        <v>0</v>
      </c>
      <c r="Q450" s="133" t="s">
        <v>348</v>
      </c>
    </row>
    <row r="451" spans="1:19" x14ac:dyDescent="0.2">
      <c r="A451" s="163">
        <v>2020</v>
      </c>
      <c r="B451" s="163">
        <v>7</v>
      </c>
      <c r="C451" s="163">
        <v>15</v>
      </c>
      <c r="D451" s="141">
        <f t="shared" si="18"/>
        <v>44027</v>
      </c>
      <c r="E451" s="275">
        <f t="shared" si="19"/>
        <v>44027</v>
      </c>
      <c r="F451" s="480"/>
      <c r="G451" s="221" t="s">
        <v>94</v>
      </c>
      <c r="H451" s="221" t="str" cm="1">
        <f t="array" ref="H451">IFERROR(INDEX(INVESTOR_LIST[INVESTOR NAME],MATCH(I451,INVESTOR_LIST[INVESTOR CODE],0),)," ")</f>
        <v xml:space="preserve"> </v>
      </c>
      <c r="I451" s="145" t="s">
        <v>348</v>
      </c>
      <c r="J451" s="146" t="s">
        <v>147</v>
      </c>
      <c r="K451" s="218"/>
      <c r="L451" s="219">
        <v>608593.5</v>
      </c>
      <c r="M451" s="147">
        <v>0</v>
      </c>
      <c r="Q451" s="133" t="s">
        <v>348</v>
      </c>
    </row>
    <row r="452" spans="1:19" x14ac:dyDescent="0.2">
      <c r="A452" s="168">
        <v>2020</v>
      </c>
      <c r="B452" s="168">
        <v>7</v>
      </c>
      <c r="C452" s="168">
        <v>16</v>
      </c>
      <c r="D452" s="141">
        <f t="shared" si="18"/>
        <v>44028</v>
      </c>
      <c r="E452" s="275">
        <f t="shared" si="19"/>
        <v>44028</v>
      </c>
      <c r="F452" s="479" t="s">
        <v>78</v>
      </c>
      <c r="G452" s="220" t="s">
        <v>74</v>
      </c>
      <c r="H452" s="220" t="str" cm="1">
        <f t="array" ref="H452">IFERROR(INDEX(INVESTOR_LIST[INVESTOR NAME],MATCH(I452,INVESTOR_LIST[INVESTOR CODE],0),)," ")</f>
        <v xml:space="preserve"> </v>
      </c>
      <c r="I452" s="142" t="s">
        <v>348</v>
      </c>
      <c r="J452" s="143" t="s">
        <v>147</v>
      </c>
      <c r="K452" s="218">
        <v>608593.5</v>
      </c>
      <c r="L452" s="226"/>
      <c r="M452" s="147">
        <v>0</v>
      </c>
      <c r="Q452" s="133" t="s">
        <v>348</v>
      </c>
    </row>
    <row r="453" spans="1:19" x14ac:dyDescent="0.2">
      <c r="A453" s="163">
        <v>2020</v>
      </c>
      <c r="B453" s="163">
        <v>7</v>
      </c>
      <c r="C453" s="163">
        <v>16</v>
      </c>
      <c r="D453" s="141">
        <f t="shared" si="18"/>
        <v>44028</v>
      </c>
      <c r="E453" s="275">
        <f t="shared" si="19"/>
        <v>44028</v>
      </c>
      <c r="F453" s="480"/>
      <c r="G453" s="221" t="s">
        <v>74</v>
      </c>
      <c r="H453" s="221" t="str" cm="1">
        <f t="array" ref="H453">IFERROR(INDEX(INVESTOR_LIST[INVESTOR NAME],MATCH(I453,INVESTOR_LIST[INVESTOR CODE],0),)," ")</f>
        <v xml:space="preserve"> </v>
      </c>
      <c r="I453" s="145" t="s">
        <v>348</v>
      </c>
      <c r="J453" s="146" t="s">
        <v>52</v>
      </c>
      <c r="K453" s="219"/>
      <c r="L453" s="219">
        <v>608593.5</v>
      </c>
      <c r="M453" s="147">
        <v>0</v>
      </c>
      <c r="Q453" s="133" t="s">
        <v>348</v>
      </c>
    </row>
    <row r="454" spans="1:19" x14ac:dyDescent="0.2">
      <c r="A454" s="246">
        <v>2020</v>
      </c>
      <c r="B454" s="246">
        <v>7</v>
      </c>
      <c r="C454" s="246">
        <v>16</v>
      </c>
      <c r="D454" s="141">
        <f t="shared" si="18"/>
        <v>44028</v>
      </c>
      <c r="E454" s="275">
        <f t="shared" si="19"/>
        <v>44028</v>
      </c>
      <c r="F454" s="482" t="s">
        <v>105</v>
      </c>
      <c r="G454" s="247" t="s">
        <v>94</v>
      </c>
      <c r="H454" s="247" t="str" cm="1">
        <f t="array" ref="H454">IFERROR(INDEX(INVESTOR_LIST[INVESTOR NAME],MATCH(I454,INVESTOR_LIST[INVESTOR CODE],0),)," ")</f>
        <v xml:space="preserve"> </v>
      </c>
      <c r="I454" s="248" t="s">
        <v>348</v>
      </c>
      <c r="J454" s="249" t="s">
        <v>108</v>
      </c>
      <c r="K454" s="252">
        <v>59200</v>
      </c>
      <c r="L454" s="252"/>
      <c r="M454" s="147">
        <v>0</v>
      </c>
      <c r="Q454" s="133" t="s">
        <v>348</v>
      </c>
    </row>
    <row r="455" spans="1:19" x14ac:dyDescent="0.2">
      <c r="A455" s="242">
        <v>2020</v>
      </c>
      <c r="B455" s="242">
        <v>7</v>
      </c>
      <c r="C455" s="242">
        <v>16</v>
      </c>
      <c r="D455" s="141">
        <f t="shared" si="18"/>
        <v>44028</v>
      </c>
      <c r="E455" s="275">
        <f t="shared" si="19"/>
        <v>44028</v>
      </c>
      <c r="F455" s="478"/>
      <c r="G455" s="243" t="s">
        <v>94</v>
      </c>
      <c r="H455" s="243" t="str" cm="1">
        <f t="array" ref="H455">IFERROR(INDEX(INVESTOR_LIST[INVESTOR NAME],MATCH(I455,INVESTOR_LIST[INVESTOR CODE],0),)," ")</f>
        <v xml:space="preserve"> </v>
      </c>
      <c r="I455" s="263" t="s">
        <v>348</v>
      </c>
      <c r="J455" s="244" t="s">
        <v>82</v>
      </c>
      <c r="K455" s="245"/>
      <c r="L455" s="245">
        <v>59200</v>
      </c>
      <c r="M455" s="147">
        <v>0</v>
      </c>
      <c r="Q455" s="133" t="s">
        <v>348</v>
      </c>
      <c r="S455" s="169"/>
    </row>
    <row r="456" spans="1:19" ht="22.5" x14ac:dyDescent="0.2">
      <c r="A456" s="246">
        <v>2020</v>
      </c>
      <c r="B456" s="246">
        <v>7</v>
      </c>
      <c r="C456" s="246">
        <v>16</v>
      </c>
      <c r="D456" s="141">
        <f t="shared" si="18"/>
        <v>44028</v>
      </c>
      <c r="E456" s="275">
        <f t="shared" si="19"/>
        <v>44028</v>
      </c>
      <c r="F456" s="482" t="s">
        <v>136</v>
      </c>
      <c r="G456" s="247" t="s">
        <v>94</v>
      </c>
      <c r="H456" s="247" t="str" cm="1">
        <f t="array" ref="H456">IFERROR(INDEX(INVESTOR_LIST[INVESTOR NAME],MATCH(I456,INVESTOR_LIST[INVESTOR CODE],0),)," ")</f>
        <v xml:space="preserve"> </v>
      </c>
      <c r="I456" s="248" t="s">
        <v>348</v>
      </c>
      <c r="J456" s="249" t="s">
        <v>95</v>
      </c>
      <c r="K456" s="252">
        <v>2747.25</v>
      </c>
      <c r="L456" s="252"/>
      <c r="M456" s="147">
        <v>0</v>
      </c>
      <c r="Q456" s="133" t="s">
        <v>348</v>
      </c>
    </row>
    <row r="457" spans="1:19" x14ac:dyDescent="0.2">
      <c r="A457" s="242">
        <v>2020</v>
      </c>
      <c r="B457" s="242">
        <v>7</v>
      </c>
      <c r="C457" s="242">
        <v>16</v>
      </c>
      <c r="D457" s="141">
        <f t="shared" si="18"/>
        <v>44028</v>
      </c>
      <c r="E457" s="275">
        <f t="shared" si="19"/>
        <v>44028</v>
      </c>
      <c r="F457" s="478"/>
      <c r="G457" s="243" t="s">
        <v>94</v>
      </c>
      <c r="H457" s="243" t="str" cm="1">
        <f t="array" ref="H457">IFERROR(INDEX(INVESTOR_LIST[INVESTOR NAME],MATCH(I457,INVESTOR_LIST[INVESTOR CODE],0),)," ")</f>
        <v xml:space="preserve"> </v>
      </c>
      <c r="I457" s="263" t="s">
        <v>348</v>
      </c>
      <c r="J457" s="244" t="s">
        <v>63</v>
      </c>
      <c r="K457" s="245"/>
      <c r="L457" s="245">
        <v>2747.25</v>
      </c>
      <c r="M457" s="147">
        <v>0</v>
      </c>
      <c r="Q457" s="133" t="s">
        <v>348</v>
      </c>
    </row>
    <row r="458" spans="1:19" x14ac:dyDescent="0.2">
      <c r="A458" s="246">
        <v>2020</v>
      </c>
      <c r="B458" s="246">
        <v>7</v>
      </c>
      <c r="C458" s="246">
        <v>16</v>
      </c>
      <c r="D458" s="141">
        <f t="shared" si="18"/>
        <v>44028</v>
      </c>
      <c r="E458" s="275">
        <f t="shared" si="19"/>
        <v>44028</v>
      </c>
      <c r="F458" s="482" t="s">
        <v>137</v>
      </c>
      <c r="G458" s="247" t="s">
        <v>94</v>
      </c>
      <c r="H458" s="247" t="str" cm="1">
        <f t="array" ref="H458">IFERROR(INDEX(INVESTOR_LIST[INVESTOR NAME],MATCH(I458,INVESTOR_LIST[INVESTOR CODE],0),)," ")</f>
        <v xml:space="preserve"> </v>
      </c>
      <c r="I458" s="248" t="s">
        <v>348</v>
      </c>
      <c r="J458" s="249" t="s">
        <v>97</v>
      </c>
      <c r="K458" s="252">
        <v>26532.02</v>
      </c>
      <c r="L458" s="252"/>
      <c r="M458" s="147">
        <v>0</v>
      </c>
      <c r="Q458" s="133" t="s">
        <v>348</v>
      </c>
    </row>
    <row r="459" spans="1:19" x14ac:dyDescent="0.2">
      <c r="A459" s="242">
        <v>2020</v>
      </c>
      <c r="B459" s="242">
        <v>7</v>
      </c>
      <c r="C459" s="242">
        <v>16</v>
      </c>
      <c r="D459" s="141">
        <f t="shared" si="18"/>
        <v>44028</v>
      </c>
      <c r="E459" s="275">
        <f t="shared" si="19"/>
        <v>44028</v>
      </c>
      <c r="F459" s="478"/>
      <c r="G459" s="243" t="s">
        <v>94</v>
      </c>
      <c r="H459" s="243" t="str" cm="1">
        <f t="array" ref="H459">IFERROR(INDEX(INVESTOR_LIST[INVESTOR NAME],MATCH(I459,INVESTOR_LIST[INVESTOR CODE],0),)," ")</f>
        <v xml:space="preserve"> </v>
      </c>
      <c r="I459" s="263" t="s">
        <v>348</v>
      </c>
      <c r="J459" s="244" t="s">
        <v>47</v>
      </c>
      <c r="K459" s="245"/>
      <c r="L459" s="245">
        <v>26532.02</v>
      </c>
      <c r="M459" s="147">
        <v>0</v>
      </c>
      <c r="Q459" s="133" t="s">
        <v>348</v>
      </c>
    </row>
    <row r="460" spans="1:19" x14ac:dyDescent="0.2">
      <c r="A460" s="246">
        <v>2020</v>
      </c>
      <c r="B460" s="246">
        <v>7</v>
      </c>
      <c r="C460" s="246">
        <v>16</v>
      </c>
      <c r="D460" s="141">
        <f t="shared" si="18"/>
        <v>44028</v>
      </c>
      <c r="E460" s="275">
        <f t="shared" si="19"/>
        <v>44028</v>
      </c>
      <c r="F460" s="482" t="s">
        <v>138</v>
      </c>
      <c r="G460" s="247" t="s">
        <v>94</v>
      </c>
      <c r="H460" s="247" t="str" cm="1">
        <f t="array" ref="H460">IFERROR(INDEX(INVESTOR_LIST[INVESTOR NAME],MATCH(I460,INVESTOR_LIST[INVESTOR CODE],0),)," ")</f>
        <v xml:space="preserve"> </v>
      </c>
      <c r="I460" s="248" t="s">
        <v>348</v>
      </c>
      <c r="J460" s="249" t="s">
        <v>100</v>
      </c>
      <c r="K460" s="252">
        <v>1278.01</v>
      </c>
      <c r="L460" s="252"/>
      <c r="M460" s="147">
        <v>0</v>
      </c>
      <c r="Q460" s="133" t="s">
        <v>348</v>
      </c>
    </row>
    <row r="461" spans="1:19" x14ac:dyDescent="0.2">
      <c r="A461" s="242">
        <v>2020</v>
      </c>
      <c r="B461" s="242">
        <v>7</v>
      </c>
      <c r="C461" s="242">
        <v>16</v>
      </c>
      <c r="D461" s="141">
        <f t="shared" ref="D461:D524" si="20">DATE(A461,B461,C461)</f>
        <v>44028</v>
      </c>
      <c r="E461" s="275">
        <f t="shared" si="19"/>
        <v>44028</v>
      </c>
      <c r="F461" s="478"/>
      <c r="G461" s="243" t="s">
        <v>94</v>
      </c>
      <c r="H461" s="247" t="str" cm="1">
        <f t="array" ref="H461">IFERROR(INDEX(INVESTOR_LIST[INVESTOR NAME],MATCH(I461,INVESTOR_LIST[INVESTOR CODE],0),)," ")</f>
        <v xml:space="preserve"> </v>
      </c>
      <c r="I461" s="248" t="s">
        <v>348</v>
      </c>
      <c r="J461" s="244" t="s">
        <v>48</v>
      </c>
      <c r="K461" s="245"/>
      <c r="L461" s="245">
        <v>1278.01</v>
      </c>
      <c r="M461" s="147">
        <v>0</v>
      </c>
      <c r="Q461" s="133" t="s">
        <v>348</v>
      </c>
    </row>
    <row r="462" spans="1:19" x14ac:dyDescent="0.2">
      <c r="A462" s="238">
        <v>2020</v>
      </c>
      <c r="B462" s="238">
        <v>7</v>
      </c>
      <c r="C462" s="238">
        <v>16</v>
      </c>
      <c r="D462" s="141">
        <f t="shared" si="20"/>
        <v>44028</v>
      </c>
      <c r="E462" s="275">
        <f t="shared" ref="E462:E525" si="21">DATE(A462,B462,C462)</f>
        <v>44028</v>
      </c>
      <c r="F462" s="477" t="s">
        <v>140</v>
      </c>
      <c r="G462" s="239" t="s">
        <v>94</v>
      </c>
      <c r="H462" s="247" t="str" cm="1">
        <f t="array" ref="H462">IFERROR(INDEX(INVESTOR_LIST[INVESTOR NAME],MATCH(I462,INVESTOR_LIST[INVESTOR CODE],0),)," ")</f>
        <v xml:space="preserve"> </v>
      </c>
      <c r="I462" s="248" t="s">
        <v>348</v>
      </c>
      <c r="J462" s="240" t="s">
        <v>103</v>
      </c>
      <c r="K462" s="252">
        <v>729.17</v>
      </c>
      <c r="L462" s="252"/>
      <c r="M462" s="147">
        <v>0</v>
      </c>
      <c r="Q462" s="133" t="s">
        <v>348</v>
      </c>
    </row>
    <row r="463" spans="1:19" x14ac:dyDescent="0.2">
      <c r="A463" s="242">
        <v>2020</v>
      </c>
      <c r="B463" s="242">
        <v>7</v>
      </c>
      <c r="C463" s="242">
        <v>16</v>
      </c>
      <c r="D463" s="141">
        <f t="shared" si="20"/>
        <v>44028</v>
      </c>
      <c r="E463" s="275">
        <f t="shared" si="21"/>
        <v>44028</v>
      </c>
      <c r="F463" s="478"/>
      <c r="G463" s="243" t="s">
        <v>94</v>
      </c>
      <c r="H463" s="243" t="str" cm="1">
        <f t="array" ref="H463">IFERROR(INDEX(INVESTOR_LIST[INVESTOR NAME],MATCH(I463,INVESTOR_LIST[INVESTOR CODE],0),)," ")</f>
        <v xml:space="preserve"> </v>
      </c>
      <c r="I463" s="263" t="s">
        <v>348</v>
      </c>
      <c r="J463" s="244" t="s">
        <v>50</v>
      </c>
      <c r="K463" s="245"/>
      <c r="L463" s="245">
        <v>729.17</v>
      </c>
      <c r="M463" s="147">
        <v>0</v>
      </c>
      <c r="Q463" s="133" t="s">
        <v>348</v>
      </c>
    </row>
    <row r="464" spans="1:19" x14ac:dyDescent="0.2">
      <c r="A464" s="133">
        <v>2020</v>
      </c>
      <c r="B464" s="133">
        <v>7</v>
      </c>
      <c r="C464" s="133">
        <v>23</v>
      </c>
      <c r="D464" s="141">
        <f t="shared" si="20"/>
        <v>44035</v>
      </c>
      <c r="E464" s="275">
        <f t="shared" si="21"/>
        <v>44035</v>
      </c>
      <c r="F464" s="481" t="s">
        <v>157</v>
      </c>
      <c r="G464" s="174" t="s">
        <v>74</v>
      </c>
      <c r="H464" s="174" t="str" cm="1">
        <f t="array" ref="H464">IFERROR(INDEX(INVESTOR_LIST[INVESTOR NAME],MATCH(I464,INVESTOR_LIST[INVESTOR CODE],0),)," ")</f>
        <v xml:space="preserve"> </v>
      </c>
      <c r="I464" s="148" t="s">
        <v>348</v>
      </c>
      <c r="J464" s="149" t="s">
        <v>102</v>
      </c>
      <c r="K464" s="218">
        <v>65243</v>
      </c>
      <c r="L464" s="218"/>
      <c r="M464" s="147">
        <v>0</v>
      </c>
      <c r="Q464" s="133" t="s">
        <v>348</v>
      </c>
    </row>
    <row r="465" spans="1:17" x14ac:dyDescent="0.2">
      <c r="A465" s="163">
        <v>2020</v>
      </c>
      <c r="B465" s="163">
        <v>7</v>
      </c>
      <c r="C465" s="163">
        <v>23</v>
      </c>
      <c r="D465" s="141">
        <f t="shared" si="20"/>
        <v>44035</v>
      </c>
      <c r="E465" s="275">
        <f t="shared" si="21"/>
        <v>44035</v>
      </c>
      <c r="F465" s="480"/>
      <c r="G465" s="221" t="s">
        <v>74</v>
      </c>
      <c r="H465" s="221" t="str" cm="1">
        <f t="array" ref="H465">IFERROR(INDEX(INVESTOR_LIST[INVESTOR NAME],MATCH(I465,INVESTOR_LIST[INVESTOR CODE],0),)," ")</f>
        <v xml:space="preserve"> </v>
      </c>
      <c r="I465" s="145" t="s">
        <v>348</v>
      </c>
      <c r="J465" s="146" t="s">
        <v>52</v>
      </c>
      <c r="K465" s="219"/>
      <c r="L465" s="219">
        <v>65243</v>
      </c>
      <c r="M465" s="147">
        <v>0</v>
      </c>
      <c r="Q465" s="133" t="s">
        <v>348</v>
      </c>
    </row>
    <row r="466" spans="1:17" ht="33.75" x14ac:dyDescent="0.2">
      <c r="A466" s="133">
        <v>2020</v>
      </c>
      <c r="B466" s="133">
        <v>7</v>
      </c>
      <c r="C466" s="133">
        <v>23</v>
      </c>
      <c r="D466" s="141">
        <f t="shared" si="20"/>
        <v>44035</v>
      </c>
      <c r="E466" s="275">
        <f t="shared" si="21"/>
        <v>44035</v>
      </c>
      <c r="F466" s="479" t="s">
        <v>965</v>
      </c>
      <c r="G466" s="174" t="s">
        <v>74</v>
      </c>
      <c r="H466" s="174" t="str" cm="1">
        <f t="array" ref="H466">IFERROR(INDEX(INVESTOR_LIST[INVESTOR NAME],MATCH(I466,INVESTOR_LIST[INVESTOR CODE],0),)," ")</f>
        <v>H M JAHID HASSAN</v>
      </c>
      <c r="I466" s="148" t="s">
        <v>425</v>
      </c>
      <c r="J466" s="149" t="s">
        <v>13</v>
      </c>
      <c r="K466" s="218">
        <v>200000</v>
      </c>
      <c r="L466" s="218"/>
      <c r="M466" s="147">
        <v>0</v>
      </c>
      <c r="Q466" s="133" t="s">
        <v>425</v>
      </c>
    </row>
    <row r="467" spans="1:17" ht="33.75" x14ac:dyDescent="0.2">
      <c r="A467" s="133">
        <v>2020</v>
      </c>
      <c r="B467" s="133">
        <v>7</v>
      </c>
      <c r="C467" s="133">
        <v>23</v>
      </c>
      <c r="D467" s="141">
        <f t="shared" si="20"/>
        <v>44035</v>
      </c>
      <c r="E467" s="275">
        <f t="shared" si="21"/>
        <v>44035</v>
      </c>
      <c r="F467" s="481"/>
      <c r="G467" s="174" t="s">
        <v>74</v>
      </c>
      <c r="H467" s="174" t="str" cm="1">
        <f t="array" ref="H467">IFERROR(INDEX(INVESTOR_LIST[INVESTOR NAME],MATCH(I467,INVESTOR_LIST[INVESTOR CODE],0),)," ")</f>
        <v>H M JAHID HASSAN</v>
      </c>
      <c r="I467" s="148" t="s">
        <v>425</v>
      </c>
      <c r="J467" s="149" t="s">
        <v>53</v>
      </c>
      <c r="K467" s="218">
        <v>4400</v>
      </c>
      <c r="L467" s="218"/>
      <c r="M467" s="147">
        <v>0</v>
      </c>
      <c r="Q467" s="133" t="s">
        <v>425</v>
      </c>
    </row>
    <row r="468" spans="1:17" ht="33.75" x14ac:dyDescent="0.2">
      <c r="A468" s="163">
        <v>2020</v>
      </c>
      <c r="B468" s="163">
        <v>7</v>
      </c>
      <c r="C468" s="163">
        <v>23</v>
      </c>
      <c r="D468" s="141">
        <f t="shared" si="20"/>
        <v>44035</v>
      </c>
      <c r="E468" s="275">
        <f t="shared" si="21"/>
        <v>44035</v>
      </c>
      <c r="F468" s="480"/>
      <c r="G468" s="221" t="s">
        <v>74</v>
      </c>
      <c r="H468" s="221" t="str" cm="1">
        <f t="array" ref="H468">IFERROR(INDEX(INVESTOR_LIST[INVESTOR NAME],MATCH(I468,INVESTOR_LIST[INVESTOR CODE],0),)," ")</f>
        <v>H M JAHID HASSAN</v>
      </c>
      <c r="I468" s="145" t="s">
        <v>425</v>
      </c>
      <c r="J468" s="146" t="s">
        <v>52</v>
      </c>
      <c r="K468" s="219"/>
      <c r="L468" s="219">
        <v>204400</v>
      </c>
      <c r="M468" s="147">
        <v>0</v>
      </c>
      <c r="Q468" s="133" t="s">
        <v>425</v>
      </c>
    </row>
    <row r="469" spans="1:17" ht="22.5" x14ac:dyDescent="0.2">
      <c r="A469" s="133">
        <v>2020</v>
      </c>
      <c r="B469" s="133">
        <v>7</v>
      </c>
      <c r="C469" s="133">
        <v>23</v>
      </c>
      <c r="D469" s="141">
        <f t="shared" si="20"/>
        <v>44035</v>
      </c>
      <c r="E469" s="275">
        <f t="shared" si="21"/>
        <v>44035</v>
      </c>
      <c r="F469" s="479" t="s">
        <v>964</v>
      </c>
      <c r="G469" s="174" t="s">
        <v>74</v>
      </c>
      <c r="H469" s="174" t="str" cm="1">
        <f t="array" ref="H469">IFERROR(INDEX(INVESTOR_LIST[INVESTOR NAME],MATCH(I469,INVESTOR_LIST[INVESTOR CODE],0),)," ")</f>
        <v>SHUVA SAHA</v>
      </c>
      <c r="I469" s="148" t="s">
        <v>421</v>
      </c>
      <c r="J469" s="149" t="s">
        <v>52</v>
      </c>
      <c r="K469" s="218">
        <v>250000</v>
      </c>
      <c r="L469" s="218"/>
      <c r="M469" s="147">
        <v>0</v>
      </c>
      <c r="Q469" s="133" t="s">
        <v>421</v>
      </c>
    </row>
    <row r="470" spans="1:17" ht="22.5" x14ac:dyDescent="0.2">
      <c r="A470" s="133">
        <v>2020</v>
      </c>
      <c r="B470" s="133">
        <v>7</v>
      </c>
      <c r="C470" s="133">
        <v>23</v>
      </c>
      <c r="D470" s="141">
        <f t="shared" si="20"/>
        <v>44035</v>
      </c>
      <c r="E470" s="275">
        <f t="shared" si="21"/>
        <v>44035</v>
      </c>
      <c r="F470" s="481"/>
      <c r="G470" s="174" t="s">
        <v>74</v>
      </c>
      <c r="H470" s="174" t="str" cm="1">
        <f t="array" ref="H470">IFERROR(INDEX(INVESTOR_LIST[INVESTOR NAME],MATCH(I470,INVESTOR_LIST[INVESTOR CODE],0),)," ")</f>
        <v>SHUVA SAHA</v>
      </c>
      <c r="I470" s="148" t="s">
        <v>421</v>
      </c>
      <c r="J470" s="149" t="s">
        <v>13</v>
      </c>
      <c r="K470" s="218"/>
      <c r="L470" s="218">
        <v>244610</v>
      </c>
      <c r="M470" s="147">
        <v>0</v>
      </c>
      <c r="Q470" s="133" t="s">
        <v>421</v>
      </c>
    </row>
    <row r="471" spans="1:17" ht="22.5" x14ac:dyDescent="0.2">
      <c r="A471" s="163">
        <v>2020</v>
      </c>
      <c r="B471" s="163">
        <v>7</v>
      </c>
      <c r="C471" s="163">
        <v>23</v>
      </c>
      <c r="D471" s="141">
        <f t="shared" si="20"/>
        <v>44035</v>
      </c>
      <c r="E471" s="275">
        <f t="shared" si="21"/>
        <v>44035</v>
      </c>
      <c r="F471" s="480"/>
      <c r="G471" s="221" t="s">
        <v>74</v>
      </c>
      <c r="H471" s="221" t="str" cm="1">
        <f t="array" ref="H471">IFERROR(INDEX(INVESTOR_LIST[INVESTOR NAME],MATCH(I471,INVESTOR_LIST[INVESTOR CODE],0),)," ")</f>
        <v>SHUVA SAHA</v>
      </c>
      <c r="I471" s="145" t="s">
        <v>421</v>
      </c>
      <c r="J471" s="146" t="s">
        <v>53</v>
      </c>
      <c r="K471" s="219"/>
      <c r="L471" s="219">
        <f>K469-L470</f>
        <v>5390</v>
      </c>
      <c r="M471" s="147">
        <v>0</v>
      </c>
      <c r="Q471" s="133" t="s">
        <v>421</v>
      </c>
    </row>
    <row r="472" spans="1:17" ht="33.75" x14ac:dyDescent="0.2">
      <c r="A472" s="133">
        <v>2020</v>
      </c>
      <c r="B472" s="133">
        <v>7</v>
      </c>
      <c r="C472" s="133">
        <v>23</v>
      </c>
      <c r="D472" s="141">
        <f t="shared" si="20"/>
        <v>44035</v>
      </c>
      <c r="E472" s="275">
        <f t="shared" si="21"/>
        <v>44035</v>
      </c>
      <c r="F472" s="479" t="s">
        <v>964</v>
      </c>
      <c r="G472" s="174" t="s">
        <v>74</v>
      </c>
      <c r="H472" s="174" t="str" cm="1">
        <f t="array" ref="H472">IFERROR(INDEX(INVESTOR_LIST[INVESTOR NAME],MATCH(I472,INVESTOR_LIST[INVESTOR CODE],0),)," ")</f>
        <v>SYED FAZLE RABBY</v>
      </c>
      <c r="I472" s="148" t="s">
        <v>427</v>
      </c>
      <c r="J472" s="149" t="s">
        <v>52</v>
      </c>
      <c r="K472" s="218">
        <v>204400</v>
      </c>
      <c r="L472" s="218"/>
      <c r="M472" s="147">
        <v>0</v>
      </c>
      <c r="Q472" s="133" t="s">
        <v>427</v>
      </c>
    </row>
    <row r="473" spans="1:17" ht="33.75" x14ac:dyDescent="0.2">
      <c r="A473" s="133">
        <v>2020</v>
      </c>
      <c r="B473" s="133">
        <v>7</v>
      </c>
      <c r="C473" s="133">
        <v>23</v>
      </c>
      <c r="D473" s="141">
        <f t="shared" si="20"/>
        <v>44035</v>
      </c>
      <c r="E473" s="275">
        <f t="shared" si="21"/>
        <v>44035</v>
      </c>
      <c r="F473" s="481"/>
      <c r="G473" s="174" t="s">
        <v>74</v>
      </c>
      <c r="H473" s="174" t="str" cm="1">
        <f t="array" ref="H473">IFERROR(INDEX(INVESTOR_LIST[INVESTOR NAME],MATCH(I473,INVESTOR_LIST[INVESTOR CODE],0),)," ")</f>
        <v>SYED FAZLE RABBY</v>
      </c>
      <c r="I473" s="148" t="s">
        <v>427</v>
      </c>
      <c r="J473" s="149" t="s">
        <v>13</v>
      </c>
      <c r="K473" s="218"/>
      <c r="L473" s="218">
        <v>200000</v>
      </c>
      <c r="M473" s="147">
        <v>3</v>
      </c>
      <c r="Q473" s="133" t="s">
        <v>427</v>
      </c>
    </row>
    <row r="474" spans="1:17" ht="33.75" x14ac:dyDescent="0.2">
      <c r="A474" s="163">
        <v>2020</v>
      </c>
      <c r="B474" s="163">
        <v>7</v>
      </c>
      <c r="C474" s="163">
        <v>23</v>
      </c>
      <c r="D474" s="141">
        <f t="shared" si="20"/>
        <v>44035</v>
      </c>
      <c r="E474" s="275">
        <f t="shared" si="21"/>
        <v>44035</v>
      </c>
      <c r="F474" s="480"/>
      <c r="G474" s="221" t="s">
        <v>74</v>
      </c>
      <c r="H474" s="221" t="str" cm="1">
        <f t="array" ref="H474">IFERROR(INDEX(INVESTOR_LIST[INVESTOR NAME],MATCH(I474,INVESTOR_LIST[INVESTOR CODE],0),)," ")</f>
        <v>SYED FAZLE RABBY</v>
      </c>
      <c r="I474" s="145" t="s">
        <v>427</v>
      </c>
      <c r="J474" s="146" t="s">
        <v>53</v>
      </c>
      <c r="K474" s="219"/>
      <c r="L474" s="219">
        <v>4400</v>
      </c>
      <c r="M474" s="147">
        <v>0</v>
      </c>
      <c r="Q474" s="133" t="s">
        <v>427</v>
      </c>
    </row>
    <row r="475" spans="1:17" x14ac:dyDescent="0.2">
      <c r="A475" s="246">
        <v>2020</v>
      </c>
      <c r="B475" s="246">
        <v>7</v>
      </c>
      <c r="C475" s="246">
        <v>23</v>
      </c>
      <c r="D475" s="141">
        <f t="shared" si="20"/>
        <v>44035</v>
      </c>
      <c r="E475" s="275">
        <f t="shared" si="21"/>
        <v>44035</v>
      </c>
      <c r="F475" s="482" t="s">
        <v>105</v>
      </c>
      <c r="G475" s="247" t="s">
        <v>94</v>
      </c>
      <c r="H475" s="247" t="str" cm="1">
        <f t="array" ref="H475">IFERROR(INDEX(INVESTOR_LIST[INVESTOR NAME],MATCH(I475,INVESTOR_LIST[INVESTOR CODE],0),)," ")</f>
        <v xml:space="preserve"> </v>
      </c>
      <c r="I475" s="248" t="s">
        <v>348</v>
      </c>
      <c r="J475" s="249" t="s">
        <v>108</v>
      </c>
      <c r="K475" s="252">
        <v>388600</v>
      </c>
      <c r="L475" s="252"/>
      <c r="M475" s="147">
        <v>0</v>
      </c>
      <c r="Q475" s="133" t="s">
        <v>348</v>
      </c>
    </row>
    <row r="476" spans="1:17" x14ac:dyDescent="0.2">
      <c r="A476" s="242">
        <v>2020</v>
      </c>
      <c r="B476" s="242">
        <v>7</v>
      </c>
      <c r="C476" s="242">
        <v>23</v>
      </c>
      <c r="D476" s="141">
        <f t="shared" si="20"/>
        <v>44035</v>
      </c>
      <c r="E476" s="275">
        <f t="shared" si="21"/>
        <v>44035</v>
      </c>
      <c r="F476" s="478"/>
      <c r="G476" s="243" t="s">
        <v>94</v>
      </c>
      <c r="H476" s="243" t="str" cm="1">
        <f t="array" ref="H476">IFERROR(INDEX(INVESTOR_LIST[INVESTOR NAME],MATCH(I476,INVESTOR_LIST[INVESTOR CODE],0),)," ")</f>
        <v xml:space="preserve"> </v>
      </c>
      <c r="I476" s="263" t="s">
        <v>348</v>
      </c>
      <c r="J476" s="244" t="s">
        <v>82</v>
      </c>
      <c r="K476" s="245"/>
      <c r="L476" s="245">
        <v>388600</v>
      </c>
      <c r="M476" s="147">
        <v>0</v>
      </c>
      <c r="Q476" s="133" t="s">
        <v>348</v>
      </c>
    </row>
    <row r="477" spans="1:17" ht="22.5" x14ac:dyDescent="0.2">
      <c r="A477" s="246">
        <v>2020</v>
      </c>
      <c r="B477" s="246">
        <v>7</v>
      </c>
      <c r="C477" s="246">
        <v>23</v>
      </c>
      <c r="D477" s="141">
        <f t="shared" si="20"/>
        <v>44035</v>
      </c>
      <c r="E477" s="275">
        <f t="shared" si="21"/>
        <v>44035</v>
      </c>
      <c r="F477" s="482" t="s">
        <v>136</v>
      </c>
      <c r="G477" s="247" t="s">
        <v>94</v>
      </c>
      <c r="H477" s="247" t="str" cm="1">
        <f t="array" ref="H477">IFERROR(INDEX(INVESTOR_LIST[INVESTOR NAME],MATCH(I477,INVESTOR_LIST[INVESTOR CODE],0),)," ")</f>
        <v xml:space="preserve"> </v>
      </c>
      <c r="I477" s="248" t="s">
        <v>348</v>
      </c>
      <c r="J477" s="249" t="s">
        <v>95</v>
      </c>
      <c r="K477" s="252">
        <v>2747.25</v>
      </c>
      <c r="L477" s="252"/>
      <c r="M477" s="147">
        <v>0</v>
      </c>
      <c r="Q477" s="133" t="s">
        <v>348</v>
      </c>
    </row>
    <row r="478" spans="1:17" x14ac:dyDescent="0.2">
      <c r="A478" s="242">
        <v>2020</v>
      </c>
      <c r="B478" s="242">
        <v>7</v>
      </c>
      <c r="C478" s="242">
        <v>23</v>
      </c>
      <c r="D478" s="141">
        <f t="shared" si="20"/>
        <v>44035</v>
      </c>
      <c r="E478" s="275">
        <f t="shared" si="21"/>
        <v>44035</v>
      </c>
      <c r="F478" s="478"/>
      <c r="G478" s="243" t="s">
        <v>94</v>
      </c>
      <c r="H478" s="243" t="str" cm="1">
        <f t="array" ref="H478">IFERROR(INDEX(INVESTOR_LIST[INVESTOR NAME],MATCH(I478,INVESTOR_LIST[INVESTOR CODE],0),)," ")</f>
        <v xml:space="preserve"> </v>
      </c>
      <c r="I478" s="263" t="s">
        <v>348</v>
      </c>
      <c r="J478" s="244" t="s">
        <v>63</v>
      </c>
      <c r="K478" s="245"/>
      <c r="L478" s="245">
        <v>2747.25</v>
      </c>
      <c r="M478" s="147">
        <v>0</v>
      </c>
      <c r="Q478" s="133" t="s">
        <v>348</v>
      </c>
    </row>
    <row r="479" spans="1:17" x14ac:dyDescent="0.2">
      <c r="A479" s="246">
        <v>2020</v>
      </c>
      <c r="B479" s="246">
        <v>7</v>
      </c>
      <c r="C479" s="246">
        <v>23</v>
      </c>
      <c r="D479" s="141">
        <f t="shared" si="20"/>
        <v>44035</v>
      </c>
      <c r="E479" s="275">
        <f t="shared" si="21"/>
        <v>44035</v>
      </c>
      <c r="F479" s="482" t="s">
        <v>77</v>
      </c>
      <c r="G479" s="247" t="s">
        <v>74</v>
      </c>
      <c r="H479" s="247" t="str" cm="1">
        <f t="array" ref="H479">IFERROR(INDEX(INVESTOR_LIST[INVESTOR NAME],MATCH(I479,INVESTOR_LIST[INVESTOR CODE],0),)," ")</f>
        <v xml:space="preserve"> </v>
      </c>
      <c r="I479" s="248" t="s">
        <v>348</v>
      </c>
      <c r="J479" s="249" t="s">
        <v>61</v>
      </c>
      <c r="K479" s="252">
        <v>10</v>
      </c>
      <c r="L479" s="252"/>
      <c r="M479" s="147">
        <v>0</v>
      </c>
      <c r="Q479" s="133" t="s">
        <v>348</v>
      </c>
    </row>
    <row r="480" spans="1:17" x14ac:dyDescent="0.2">
      <c r="A480" s="242">
        <v>2020</v>
      </c>
      <c r="B480" s="242">
        <v>7</v>
      </c>
      <c r="C480" s="242">
        <v>23</v>
      </c>
      <c r="D480" s="141">
        <f t="shared" si="20"/>
        <v>44035</v>
      </c>
      <c r="E480" s="275">
        <f t="shared" si="21"/>
        <v>44035</v>
      </c>
      <c r="F480" s="478"/>
      <c r="G480" s="243" t="s">
        <v>74</v>
      </c>
      <c r="H480" s="243" t="str" cm="1">
        <f t="array" ref="H480">IFERROR(INDEX(INVESTOR_LIST[INVESTOR NAME],MATCH(I480,INVESTOR_LIST[INVESTOR CODE],0),)," ")</f>
        <v xml:space="preserve"> </v>
      </c>
      <c r="I480" s="263" t="s">
        <v>348</v>
      </c>
      <c r="J480" s="244" t="s">
        <v>52</v>
      </c>
      <c r="K480" s="245"/>
      <c r="L480" s="245">
        <v>10</v>
      </c>
      <c r="M480" s="147">
        <v>0</v>
      </c>
      <c r="Q480" s="133" t="s">
        <v>348</v>
      </c>
    </row>
    <row r="481" spans="1:17" x14ac:dyDescent="0.2">
      <c r="A481" s="246">
        <v>2020</v>
      </c>
      <c r="B481" s="246">
        <v>7</v>
      </c>
      <c r="C481" s="246">
        <v>23</v>
      </c>
      <c r="D481" s="141">
        <f t="shared" si="20"/>
        <v>44035</v>
      </c>
      <c r="E481" s="275">
        <f t="shared" si="21"/>
        <v>44035</v>
      </c>
      <c r="F481" s="482" t="s">
        <v>137</v>
      </c>
      <c r="G481" s="247" t="s">
        <v>94</v>
      </c>
      <c r="H481" s="247" t="str" cm="1">
        <f t="array" ref="H481">IFERROR(INDEX(INVESTOR_LIST[INVESTOR NAME],MATCH(I481,INVESTOR_LIST[INVESTOR CODE],0),)," ")</f>
        <v xml:space="preserve"> </v>
      </c>
      <c r="I481" s="248" t="s">
        <v>348</v>
      </c>
      <c r="J481" s="249" t="s">
        <v>97</v>
      </c>
      <c r="K481" s="252">
        <v>26765.3</v>
      </c>
      <c r="L481" s="252"/>
      <c r="M481" s="147">
        <v>0</v>
      </c>
      <c r="Q481" s="133" t="s">
        <v>348</v>
      </c>
    </row>
    <row r="482" spans="1:17" x14ac:dyDescent="0.2">
      <c r="A482" s="242">
        <v>2020</v>
      </c>
      <c r="B482" s="242">
        <v>7</v>
      </c>
      <c r="C482" s="242">
        <v>23</v>
      </c>
      <c r="D482" s="141">
        <f t="shared" si="20"/>
        <v>44035</v>
      </c>
      <c r="E482" s="275">
        <f t="shared" si="21"/>
        <v>44035</v>
      </c>
      <c r="F482" s="478"/>
      <c r="G482" s="243" t="s">
        <v>94</v>
      </c>
      <c r="H482" s="243" t="str" cm="1">
        <f t="array" ref="H482">IFERROR(INDEX(INVESTOR_LIST[INVESTOR NAME],MATCH(I482,INVESTOR_LIST[INVESTOR CODE],0),)," ")</f>
        <v xml:space="preserve"> </v>
      </c>
      <c r="I482" s="263" t="s">
        <v>348</v>
      </c>
      <c r="J482" s="244" t="s">
        <v>47</v>
      </c>
      <c r="K482" s="245"/>
      <c r="L482" s="245">
        <v>26765.3</v>
      </c>
      <c r="M482" s="147">
        <v>0</v>
      </c>
      <c r="Q482" s="133" t="s">
        <v>348</v>
      </c>
    </row>
    <row r="483" spans="1:17" x14ac:dyDescent="0.2">
      <c r="A483" s="246">
        <v>2020</v>
      </c>
      <c r="B483" s="246">
        <v>7</v>
      </c>
      <c r="C483" s="246">
        <v>23</v>
      </c>
      <c r="D483" s="141">
        <f t="shared" si="20"/>
        <v>44035</v>
      </c>
      <c r="E483" s="275">
        <f t="shared" si="21"/>
        <v>44035</v>
      </c>
      <c r="F483" s="482" t="s">
        <v>138</v>
      </c>
      <c r="G483" s="247" t="s">
        <v>94</v>
      </c>
      <c r="H483" s="247" t="str" cm="1">
        <f t="array" ref="H483">IFERROR(INDEX(INVESTOR_LIST[INVESTOR NAME],MATCH(I483,INVESTOR_LIST[INVESTOR CODE],0),)," ")</f>
        <v xml:space="preserve"> </v>
      </c>
      <c r="I483" s="248" t="s">
        <v>348</v>
      </c>
      <c r="J483" s="249" t="s">
        <v>100</v>
      </c>
      <c r="K483" s="252">
        <v>1289.69</v>
      </c>
      <c r="L483" s="252"/>
      <c r="M483" s="147">
        <v>0</v>
      </c>
      <c r="Q483" s="133" t="s">
        <v>348</v>
      </c>
    </row>
    <row r="484" spans="1:17" x14ac:dyDescent="0.2">
      <c r="A484" s="242">
        <v>2020</v>
      </c>
      <c r="B484" s="242">
        <v>7</v>
      </c>
      <c r="C484" s="242">
        <v>23</v>
      </c>
      <c r="D484" s="141">
        <f t="shared" si="20"/>
        <v>44035</v>
      </c>
      <c r="E484" s="275">
        <f t="shared" si="21"/>
        <v>44035</v>
      </c>
      <c r="F484" s="478"/>
      <c r="G484" s="243" t="s">
        <v>94</v>
      </c>
      <c r="H484" s="243" t="str" cm="1">
        <f t="array" ref="H484">IFERROR(INDEX(INVESTOR_LIST[INVESTOR NAME],MATCH(I484,INVESTOR_LIST[INVESTOR CODE],0),)," ")</f>
        <v xml:space="preserve"> </v>
      </c>
      <c r="I484" s="263" t="s">
        <v>348</v>
      </c>
      <c r="J484" s="244" t="s">
        <v>48</v>
      </c>
      <c r="K484" s="245"/>
      <c r="L484" s="245">
        <v>1289.69</v>
      </c>
      <c r="M484" s="147">
        <v>0</v>
      </c>
      <c r="Q484" s="133" t="s">
        <v>348</v>
      </c>
    </row>
    <row r="485" spans="1:17" x14ac:dyDescent="0.2">
      <c r="A485" s="246">
        <v>2020</v>
      </c>
      <c r="B485" s="246">
        <v>7</v>
      </c>
      <c r="C485" s="246">
        <v>23</v>
      </c>
      <c r="D485" s="141">
        <f t="shared" si="20"/>
        <v>44035</v>
      </c>
      <c r="E485" s="275">
        <f t="shared" si="21"/>
        <v>44035</v>
      </c>
      <c r="F485" s="482" t="s">
        <v>140</v>
      </c>
      <c r="G485" s="247" t="s">
        <v>94</v>
      </c>
      <c r="H485" s="247" t="str" cm="1">
        <f t="array" ref="H485">IFERROR(INDEX(INVESTOR_LIST[INVESTOR NAME],MATCH(I485,INVESTOR_LIST[INVESTOR CODE],0),)," ")</f>
        <v xml:space="preserve"> </v>
      </c>
      <c r="I485" s="248" t="s">
        <v>348</v>
      </c>
      <c r="J485" s="249" t="s">
        <v>103</v>
      </c>
      <c r="K485" s="252">
        <v>729.17</v>
      </c>
      <c r="L485" s="252"/>
      <c r="M485" s="147">
        <v>0</v>
      </c>
      <c r="Q485" s="133" t="s">
        <v>348</v>
      </c>
    </row>
    <row r="486" spans="1:17" x14ac:dyDescent="0.2">
      <c r="A486" s="242">
        <v>2020</v>
      </c>
      <c r="B486" s="242">
        <v>7</v>
      </c>
      <c r="C486" s="242">
        <v>23</v>
      </c>
      <c r="D486" s="141">
        <f t="shared" si="20"/>
        <v>44035</v>
      </c>
      <c r="E486" s="275">
        <f t="shared" si="21"/>
        <v>44035</v>
      </c>
      <c r="F486" s="478"/>
      <c r="G486" s="243" t="s">
        <v>94</v>
      </c>
      <c r="H486" s="243" t="str" cm="1">
        <f t="array" ref="H486">IFERROR(INDEX(INVESTOR_LIST[INVESTOR NAME],MATCH(I486,INVESTOR_LIST[INVESTOR CODE],0),)," ")</f>
        <v xml:space="preserve"> </v>
      </c>
      <c r="I486" s="263" t="s">
        <v>348</v>
      </c>
      <c r="J486" s="244" t="s">
        <v>50</v>
      </c>
      <c r="K486" s="245"/>
      <c r="L486" s="245">
        <v>729.17</v>
      </c>
      <c r="M486" s="147">
        <v>0</v>
      </c>
      <c r="Q486" s="133" t="s">
        <v>348</v>
      </c>
    </row>
    <row r="487" spans="1:17" ht="33.75" x14ac:dyDescent="0.2">
      <c r="A487" s="133">
        <v>2020</v>
      </c>
      <c r="B487" s="133">
        <v>7</v>
      </c>
      <c r="C487" s="133">
        <v>27</v>
      </c>
      <c r="D487" s="141">
        <f t="shared" si="20"/>
        <v>44039</v>
      </c>
      <c r="E487" s="275">
        <f t="shared" si="21"/>
        <v>44039</v>
      </c>
      <c r="F487" s="479" t="s">
        <v>964</v>
      </c>
      <c r="G487" s="174" t="s">
        <v>74</v>
      </c>
      <c r="H487" s="174" t="str" cm="1">
        <f t="array" ref="H487">IFERROR(INDEX(INVESTOR_LIST[INVESTOR NAME],MATCH(I487,INVESTOR_LIST[INVESTOR CODE],0),)," ")</f>
        <v>RAHNUMA SULTANA</v>
      </c>
      <c r="I487" s="148" t="s">
        <v>446</v>
      </c>
      <c r="J487" s="149" t="s">
        <v>52</v>
      </c>
      <c r="K487" s="218">
        <v>100000</v>
      </c>
      <c r="L487" s="218"/>
      <c r="M487" s="147">
        <v>1</v>
      </c>
      <c r="Q487" s="133" t="s">
        <v>446</v>
      </c>
    </row>
    <row r="488" spans="1:17" ht="33.75" x14ac:dyDescent="0.2">
      <c r="A488" s="133">
        <v>2020</v>
      </c>
      <c r="B488" s="133">
        <v>7</v>
      </c>
      <c r="C488" s="133">
        <v>27</v>
      </c>
      <c r="D488" s="141">
        <f t="shared" si="20"/>
        <v>44039</v>
      </c>
      <c r="E488" s="275">
        <f t="shared" si="21"/>
        <v>44039</v>
      </c>
      <c r="F488" s="481"/>
      <c r="G488" s="174" t="s">
        <v>74</v>
      </c>
      <c r="H488" s="174" t="str" cm="1">
        <f t="array" ref="H488">IFERROR(INDEX(INVESTOR_LIST[INVESTOR NAME],MATCH(I488,INVESTOR_LIST[INVESTOR CODE],0),)," ")</f>
        <v>RAHNUMA SULTANA</v>
      </c>
      <c r="I488" s="148" t="s">
        <v>446</v>
      </c>
      <c r="J488" s="149" t="s">
        <v>13</v>
      </c>
      <c r="K488" s="218"/>
      <c r="L488" s="218">
        <v>97180</v>
      </c>
      <c r="M488" s="147">
        <v>0</v>
      </c>
      <c r="Q488" s="133" t="s">
        <v>446</v>
      </c>
    </row>
    <row r="489" spans="1:17" ht="33.75" x14ac:dyDescent="0.2">
      <c r="A489" s="163">
        <v>2020</v>
      </c>
      <c r="B489" s="163">
        <v>7</v>
      </c>
      <c r="C489" s="163">
        <v>27</v>
      </c>
      <c r="D489" s="141">
        <f t="shared" si="20"/>
        <v>44039</v>
      </c>
      <c r="E489" s="275">
        <f t="shared" si="21"/>
        <v>44039</v>
      </c>
      <c r="F489" s="480"/>
      <c r="G489" s="221" t="s">
        <v>74</v>
      </c>
      <c r="H489" s="221" t="str" cm="1">
        <f t="array" ref="H489">IFERROR(INDEX(INVESTOR_LIST[INVESTOR NAME],MATCH(I489,INVESTOR_LIST[INVESTOR CODE],0),)," ")</f>
        <v>RAHNUMA SULTANA</v>
      </c>
      <c r="I489" s="145" t="s">
        <v>446</v>
      </c>
      <c r="J489" s="146" t="s">
        <v>53</v>
      </c>
      <c r="K489" s="219"/>
      <c r="L489" s="219">
        <f>K487-L488</f>
        <v>2820</v>
      </c>
      <c r="M489" s="147">
        <v>0</v>
      </c>
      <c r="Q489" s="133" t="s">
        <v>446</v>
      </c>
    </row>
    <row r="490" spans="1:17" x14ac:dyDescent="0.2">
      <c r="A490" s="133">
        <v>2020</v>
      </c>
      <c r="B490" s="133">
        <v>7</v>
      </c>
      <c r="C490" s="133">
        <v>29</v>
      </c>
      <c r="D490" s="141">
        <f t="shared" si="20"/>
        <v>44041</v>
      </c>
      <c r="E490" s="275">
        <f t="shared" si="21"/>
        <v>44041</v>
      </c>
      <c r="F490" s="481" t="s">
        <v>141</v>
      </c>
      <c r="G490" s="174" t="s">
        <v>74</v>
      </c>
      <c r="H490" s="174" t="str" cm="1">
        <f t="array" ref="H490">IFERROR(INDEX(INVESTOR_LIST[INVESTOR NAME],MATCH(I490,INVESTOR_LIST[INVESTOR CODE],0),)," ")</f>
        <v xml:space="preserve"> </v>
      </c>
      <c r="I490" s="148" t="s">
        <v>348</v>
      </c>
      <c r="J490" s="149" t="s">
        <v>52</v>
      </c>
      <c r="K490" s="218">
        <v>177085</v>
      </c>
      <c r="L490" s="218"/>
      <c r="M490" s="147">
        <v>0</v>
      </c>
      <c r="Q490" s="133" t="s">
        <v>348</v>
      </c>
    </row>
    <row r="491" spans="1:17" x14ac:dyDescent="0.2">
      <c r="A491" s="163">
        <v>2020</v>
      </c>
      <c r="B491" s="163">
        <v>7</v>
      </c>
      <c r="C491" s="163">
        <v>29</v>
      </c>
      <c r="D491" s="141">
        <f t="shared" si="20"/>
        <v>44041</v>
      </c>
      <c r="E491" s="275">
        <f t="shared" si="21"/>
        <v>44041</v>
      </c>
      <c r="F491" s="480"/>
      <c r="G491" s="221" t="s">
        <v>74</v>
      </c>
      <c r="H491" s="221" t="str" cm="1">
        <f t="array" ref="H491">IFERROR(INDEX(INVESTOR_LIST[INVESTOR NAME],MATCH(I491,INVESTOR_LIST[INVESTOR CODE],0),)," ")</f>
        <v xml:space="preserve"> </v>
      </c>
      <c r="I491" s="145" t="s">
        <v>348</v>
      </c>
      <c r="J491" s="146" t="s">
        <v>60</v>
      </c>
      <c r="K491" s="219"/>
      <c r="L491" s="219">
        <v>177085</v>
      </c>
      <c r="M491" s="147">
        <v>0</v>
      </c>
      <c r="Q491" s="133" t="s">
        <v>348</v>
      </c>
    </row>
    <row r="492" spans="1:17" x14ac:dyDescent="0.2">
      <c r="A492" s="133">
        <v>2020</v>
      </c>
      <c r="B492" s="133">
        <v>7</v>
      </c>
      <c r="C492" s="133">
        <v>29</v>
      </c>
      <c r="D492" s="141">
        <f t="shared" si="20"/>
        <v>44041</v>
      </c>
      <c r="E492" s="275">
        <f t="shared" si="21"/>
        <v>44041</v>
      </c>
      <c r="F492" s="481" t="s">
        <v>164</v>
      </c>
      <c r="G492" s="174" t="s">
        <v>74</v>
      </c>
      <c r="H492" s="174" t="str" cm="1">
        <f t="array" ref="H492">IFERROR(INDEX(INVESTOR_LIST[INVESTOR NAME],MATCH(I492,INVESTOR_LIST[INVESTOR CODE],0),)," ")</f>
        <v xml:space="preserve"> </v>
      </c>
      <c r="I492" s="148" t="s">
        <v>348</v>
      </c>
      <c r="J492" s="149" t="s">
        <v>163</v>
      </c>
      <c r="K492" s="218">
        <v>25000</v>
      </c>
      <c r="L492" s="218"/>
      <c r="M492" s="147">
        <v>1</v>
      </c>
      <c r="Q492" s="133" t="s">
        <v>348</v>
      </c>
    </row>
    <row r="493" spans="1:17" x14ac:dyDescent="0.2">
      <c r="A493" s="163">
        <v>2020</v>
      </c>
      <c r="B493" s="163">
        <v>7</v>
      </c>
      <c r="C493" s="163">
        <v>29</v>
      </c>
      <c r="D493" s="141">
        <f t="shared" si="20"/>
        <v>44041</v>
      </c>
      <c r="E493" s="275">
        <f t="shared" si="21"/>
        <v>44041</v>
      </c>
      <c r="F493" s="480"/>
      <c r="G493" s="221" t="s">
        <v>74</v>
      </c>
      <c r="H493" s="221" t="str" cm="1">
        <f t="array" ref="H493">IFERROR(INDEX(INVESTOR_LIST[INVESTOR NAME],MATCH(I493,INVESTOR_LIST[INVESTOR CODE],0),)," ")</f>
        <v xml:space="preserve"> </v>
      </c>
      <c r="I493" s="145" t="s">
        <v>348</v>
      </c>
      <c r="J493" s="146" t="s">
        <v>52</v>
      </c>
      <c r="K493" s="219"/>
      <c r="L493" s="219">
        <v>25000</v>
      </c>
      <c r="M493" s="147">
        <v>0</v>
      </c>
      <c r="Q493" s="133" t="s">
        <v>348</v>
      </c>
    </row>
    <row r="494" spans="1:17" x14ac:dyDescent="0.2">
      <c r="A494" s="133">
        <v>2020</v>
      </c>
      <c r="B494" s="133">
        <v>7</v>
      </c>
      <c r="C494" s="133">
        <v>29</v>
      </c>
      <c r="D494" s="141">
        <f t="shared" si="20"/>
        <v>44041</v>
      </c>
      <c r="E494" s="275">
        <f t="shared" si="21"/>
        <v>44041</v>
      </c>
      <c r="F494" s="481" t="s">
        <v>77</v>
      </c>
      <c r="G494" s="174" t="s">
        <v>74</v>
      </c>
      <c r="H494" s="174" t="str" cm="1">
        <f t="array" ref="H494">IFERROR(INDEX(INVESTOR_LIST[INVESTOR NAME],MATCH(I494,INVESTOR_LIST[INVESTOR CODE],0),)," ")</f>
        <v xml:space="preserve"> </v>
      </c>
      <c r="I494" s="148" t="s">
        <v>348</v>
      </c>
      <c r="J494" s="149" t="s">
        <v>61</v>
      </c>
      <c r="K494" s="218">
        <v>58</v>
      </c>
      <c r="L494" s="218"/>
      <c r="M494" s="147">
        <v>0</v>
      </c>
      <c r="Q494" s="133" t="s">
        <v>348</v>
      </c>
    </row>
    <row r="495" spans="1:17" x14ac:dyDescent="0.2">
      <c r="A495" s="163">
        <v>2020</v>
      </c>
      <c r="B495" s="163">
        <v>7</v>
      </c>
      <c r="C495" s="163">
        <v>29</v>
      </c>
      <c r="D495" s="141">
        <f t="shared" si="20"/>
        <v>44041</v>
      </c>
      <c r="E495" s="275">
        <f t="shared" si="21"/>
        <v>44041</v>
      </c>
      <c r="F495" s="480"/>
      <c r="G495" s="221" t="s">
        <v>74</v>
      </c>
      <c r="H495" s="221" t="str" cm="1">
        <f t="array" ref="H495">IFERROR(INDEX(INVESTOR_LIST[INVESTOR NAME],MATCH(I495,INVESTOR_LIST[INVESTOR CODE],0),)," ")</f>
        <v xml:space="preserve"> </v>
      </c>
      <c r="I495" s="145" t="s">
        <v>348</v>
      </c>
      <c r="J495" s="146" t="s">
        <v>52</v>
      </c>
      <c r="K495" s="219"/>
      <c r="L495" s="219">
        <v>58</v>
      </c>
      <c r="M495" s="147">
        <v>0</v>
      </c>
      <c r="Q495" s="133" t="s">
        <v>348</v>
      </c>
    </row>
    <row r="496" spans="1:17" ht="22.5" x14ac:dyDescent="0.2">
      <c r="A496" s="133">
        <v>2020</v>
      </c>
      <c r="B496" s="133">
        <v>7</v>
      </c>
      <c r="C496" s="133">
        <v>30</v>
      </c>
      <c r="D496" s="141">
        <f t="shared" si="20"/>
        <v>44042</v>
      </c>
      <c r="E496" s="275">
        <f t="shared" si="21"/>
        <v>44042</v>
      </c>
      <c r="F496" s="479" t="s">
        <v>964</v>
      </c>
      <c r="G496" s="174" t="s">
        <v>74</v>
      </c>
      <c r="H496" s="174" t="str" cm="1">
        <f t="array" ref="H496">IFERROR(INDEX(INVESTOR_LIST[INVESTOR NAME],MATCH(I496,INVESTOR_LIST[INVESTOR CODE],0),)," ")</f>
        <v>KANKA SAHA</v>
      </c>
      <c r="I496" s="148" t="s">
        <v>428</v>
      </c>
      <c r="J496" s="149" t="s">
        <v>52</v>
      </c>
      <c r="K496" s="218">
        <v>500000</v>
      </c>
      <c r="L496" s="218"/>
      <c r="M496" s="147">
        <v>0</v>
      </c>
      <c r="Q496" s="133" t="s">
        <v>428</v>
      </c>
    </row>
    <row r="497" spans="1:17" ht="22.5" x14ac:dyDescent="0.2">
      <c r="A497" s="133">
        <v>2020</v>
      </c>
      <c r="B497" s="133">
        <v>7</v>
      </c>
      <c r="C497" s="133">
        <v>30</v>
      </c>
      <c r="D497" s="141">
        <f t="shared" si="20"/>
        <v>44042</v>
      </c>
      <c r="E497" s="275">
        <f t="shared" si="21"/>
        <v>44042</v>
      </c>
      <c r="F497" s="481"/>
      <c r="G497" s="174" t="s">
        <v>74</v>
      </c>
      <c r="H497" s="174" t="str" cm="1">
        <f t="array" ref="H497">IFERROR(INDEX(INVESTOR_LIST[INVESTOR NAME],MATCH(I497,INVESTOR_LIST[INVESTOR CODE],0),)," ")</f>
        <v>KANKA SAHA</v>
      </c>
      <c r="I497" s="148" t="s">
        <v>428</v>
      </c>
      <c r="J497" s="149" t="s">
        <v>53</v>
      </c>
      <c r="K497" s="218"/>
      <c r="L497" s="218">
        <f>K496-L498</f>
        <v>14090</v>
      </c>
      <c r="M497" s="147">
        <v>0</v>
      </c>
      <c r="Q497" s="133" t="s">
        <v>428</v>
      </c>
    </row>
    <row r="498" spans="1:17" ht="22.5" x14ac:dyDescent="0.2">
      <c r="A498" s="163">
        <v>2020</v>
      </c>
      <c r="B498" s="163">
        <v>7</v>
      </c>
      <c r="C498" s="163">
        <v>30</v>
      </c>
      <c r="D498" s="141">
        <f t="shared" si="20"/>
        <v>44042</v>
      </c>
      <c r="E498" s="275">
        <f t="shared" si="21"/>
        <v>44042</v>
      </c>
      <c r="F498" s="480"/>
      <c r="G498" s="221" t="s">
        <v>74</v>
      </c>
      <c r="H498" s="221" t="str" cm="1">
        <f t="array" ref="H498">IFERROR(INDEX(INVESTOR_LIST[INVESTOR NAME],MATCH(I498,INVESTOR_LIST[INVESTOR CODE],0),)," ")</f>
        <v>KANKA SAHA</v>
      </c>
      <c r="I498" s="145" t="s">
        <v>428</v>
      </c>
      <c r="J498" s="146" t="s">
        <v>13</v>
      </c>
      <c r="K498" s="219"/>
      <c r="L498" s="219">
        <v>485910</v>
      </c>
      <c r="M498" s="147">
        <v>0</v>
      </c>
      <c r="Q498" s="133" t="s">
        <v>428</v>
      </c>
    </row>
    <row r="499" spans="1:17" x14ac:dyDescent="0.2">
      <c r="A499" s="133">
        <v>2020</v>
      </c>
      <c r="B499" s="133">
        <v>7</v>
      </c>
      <c r="C499" s="133">
        <v>30</v>
      </c>
      <c r="D499" s="141">
        <f t="shared" si="20"/>
        <v>44042</v>
      </c>
      <c r="E499" s="275">
        <f t="shared" si="21"/>
        <v>44042</v>
      </c>
      <c r="F499" s="481" t="s">
        <v>77</v>
      </c>
      <c r="G499" s="174" t="s">
        <v>74</v>
      </c>
      <c r="H499" s="174" t="str" cm="1">
        <f t="array" ref="H499">IFERROR(INDEX(INVESTOR_LIST[INVESTOR NAME],MATCH(I499,INVESTOR_LIST[INVESTOR CODE],0),)," ")</f>
        <v xml:space="preserve"> </v>
      </c>
      <c r="I499" s="148" t="s">
        <v>348</v>
      </c>
      <c r="J499" s="149" t="s">
        <v>61</v>
      </c>
      <c r="K499" s="218">
        <v>60</v>
      </c>
      <c r="L499" s="218"/>
      <c r="M499" s="147">
        <v>0</v>
      </c>
      <c r="Q499" s="133" t="s">
        <v>348</v>
      </c>
    </row>
    <row r="500" spans="1:17" x14ac:dyDescent="0.2">
      <c r="A500" s="163">
        <v>2020</v>
      </c>
      <c r="B500" s="163">
        <v>7</v>
      </c>
      <c r="C500" s="163">
        <v>30</v>
      </c>
      <c r="D500" s="141">
        <f t="shared" si="20"/>
        <v>44042</v>
      </c>
      <c r="E500" s="275">
        <f t="shared" si="21"/>
        <v>44042</v>
      </c>
      <c r="F500" s="480"/>
      <c r="G500" s="221" t="s">
        <v>74</v>
      </c>
      <c r="H500" s="221" t="str" cm="1">
        <f t="array" ref="H500">IFERROR(INDEX(INVESTOR_LIST[INVESTOR NAME],MATCH(I500,INVESTOR_LIST[INVESTOR CODE],0),)," ")</f>
        <v xml:space="preserve"> </v>
      </c>
      <c r="I500" s="145" t="s">
        <v>348</v>
      </c>
      <c r="J500" s="146" t="s">
        <v>52</v>
      </c>
      <c r="K500" s="219"/>
      <c r="L500" s="219">
        <v>60</v>
      </c>
      <c r="M500" s="147">
        <v>1</v>
      </c>
      <c r="Q500" s="133" t="s">
        <v>348</v>
      </c>
    </row>
    <row r="501" spans="1:17" x14ac:dyDescent="0.2">
      <c r="A501" s="246">
        <v>2020</v>
      </c>
      <c r="B501" s="246">
        <v>7</v>
      </c>
      <c r="C501" s="246">
        <v>30</v>
      </c>
      <c r="D501" s="141">
        <f t="shared" si="20"/>
        <v>44042</v>
      </c>
      <c r="E501" s="275">
        <f t="shared" si="21"/>
        <v>44042</v>
      </c>
      <c r="F501" s="482" t="s">
        <v>105</v>
      </c>
      <c r="G501" s="247" t="s">
        <v>94</v>
      </c>
      <c r="H501" s="247" t="str" cm="1">
        <f t="array" ref="H501">IFERROR(INDEX(INVESTOR_LIST[INVESTOR NAME],MATCH(I501,INVESTOR_LIST[INVESTOR CODE],0),)," ")</f>
        <v xml:space="preserve"> </v>
      </c>
      <c r="I501" s="248" t="s">
        <v>348</v>
      </c>
      <c r="J501" s="249" t="s">
        <v>108</v>
      </c>
      <c r="K501" s="252">
        <v>932800</v>
      </c>
      <c r="L501" s="252"/>
      <c r="M501" s="147">
        <v>0</v>
      </c>
      <c r="Q501" s="133" t="s">
        <v>348</v>
      </c>
    </row>
    <row r="502" spans="1:17" x14ac:dyDescent="0.2">
      <c r="A502" s="242">
        <v>2020</v>
      </c>
      <c r="B502" s="242">
        <v>7</v>
      </c>
      <c r="C502" s="242">
        <v>30</v>
      </c>
      <c r="D502" s="141">
        <f t="shared" si="20"/>
        <v>44042</v>
      </c>
      <c r="E502" s="275">
        <f t="shared" si="21"/>
        <v>44042</v>
      </c>
      <c r="F502" s="478"/>
      <c r="G502" s="243" t="s">
        <v>94</v>
      </c>
      <c r="H502" s="243" t="str" cm="1">
        <f t="array" ref="H502">IFERROR(INDEX(INVESTOR_LIST[INVESTOR NAME],MATCH(I502,INVESTOR_LIST[INVESTOR CODE],0),)," ")</f>
        <v xml:space="preserve"> </v>
      </c>
      <c r="I502" s="263" t="s">
        <v>348</v>
      </c>
      <c r="J502" s="244" t="s">
        <v>82</v>
      </c>
      <c r="K502" s="245"/>
      <c r="L502" s="245">
        <v>932800</v>
      </c>
      <c r="M502" s="147">
        <v>0</v>
      </c>
      <c r="Q502" s="133" t="s">
        <v>348</v>
      </c>
    </row>
    <row r="503" spans="1:17" ht="22.5" x14ac:dyDescent="0.2">
      <c r="A503" s="246">
        <v>2020</v>
      </c>
      <c r="B503" s="246">
        <v>7</v>
      </c>
      <c r="C503" s="246">
        <v>30</v>
      </c>
      <c r="D503" s="141">
        <f t="shared" si="20"/>
        <v>44042</v>
      </c>
      <c r="E503" s="275">
        <f t="shared" si="21"/>
        <v>44042</v>
      </c>
      <c r="F503" s="482" t="s">
        <v>136</v>
      </c>
      <c r="G503" s="247" t="s">
        <v>94</v>
      </c>
      <c r="H503" s="247" t="str" cm="1">
        <f t="array" ref="H503">IFERROR(INDEX(INVESTOR_LIST[INVESTOR NAME],MATCH(I503,INVESTOR_LIST[INVESTOR CODE],0),)," ")</f>
        <v xml:space="preserve"> </v>
      </c>
      <c r="I503" s="248" t="s">
        <v>348</v>
      </c>
      <c r="J503" s="249" t="s">
        <v>95</v>
      </c>
      <c r="K503" s="252">
        <v>2747.25</v>
      </c>
      <c r="L503" s="252"/>
      <c r="M503" s="147">
        <v>0</v>
      </c>
      <c r="Q503" s="133" t="s">
        <v>348</v>
      </c>
    </row>
    <row r="504" spans="1:17" x14ac:dyDescent="0.2">
      <c r="A504" s="242">
        <v>2020</v>
      </c>
      <c r="B504" s="242">
        <v>7</v>
      </c>
      <c r="C504" s="242">
        <v>30</v>
      </c>
      <c r="D504" s="141">
        <f t="shared" si="20"/>
        <v>44042</v>
      </c>
      <c r="E504" s="275">
        <f t="shared" si="21"/>
        <v>44042</v>
      </c>
      <c r="F504" s="478"/>
      <c r="G504" s="243" t="s">
        <v>94</v>
      </c>
      <c r="H504" s="243" t="str" cm="1">
        <f t="array" ref="H504">IFERROR(INDEX(INVESTOR_LIST[INVESTOR NAME],MATCH(I504,INVESTOR_LIST[INVESTOR CODE],0),)," ")</f>
        <v xml:space="preserve"> </v>
      </c>
      <c r="I504" s="263" t="s">
        <v>348</v>
      </c>
      <c r="J504" s="244" t="s">
        <v>63</v>
      </c>
      <c r="K504" s="245"/>
      <c r="L504" s="245">
        <v>2747.25</v>
      </c>
      <c r="M504" s="147">
        <v>0</v>
      </c>
      <c r="Q504" s="133" t="s">
        <v>348</v>
      </c>
    </row>
    <row r="505" spans="1:17" x14ac:dyDescent="0.2">
      <c r="A505" s="246">
        <v>2020</v>
      </c>
      <c r="B505" s="246">
        <v>7</v>
      </c>
      <c r="C505" s="246">
        <v>30</v>
      </c>
      <c r="D505" s="141">
        <f t="shared" si="20"/>
        <v>44042</v>
      </c>
      <c r="E505" s="275">
        <f t="shared" si="21"/>
        <v>44042</v>
      </c>
      <c r="F505" s="482" t="s">
        <v>137</v>
      </c>
      <c r="G505" s="247" t="s">
        <v>94</v>
      </c>
      <c r="H505" s="247" t="str" cm="1">
        <f t="array" ref="H505">IFERROR(INDEX(INVESTOR_LIST[INVESTOR NAME],MATCH(I505,INVESTOR_LIST[INVESTOR CODE],0),)," ")</f>
        <v xml:space="preserve"> </v>
      </c>
      <c r="I505" s="248" t="s">
        <v>348</v>
      </c>
      <c r="J505" s="249" t="s">
        <v>97</v>
      </c>
      <c r="K505" s="252">
        <v>27401.48</v>
      </c>
      <c r="L505" s="252"/>
      <c r="M505" s="147">
        <v>0</v>
      </c>
      <c r="Q505" s="133" t="s">
        <v>348</v>
      </c>
    </row>
    <row r="506" spans="1:17" x14ac:dyDescent="0.2">
      <c r="A506" s="242">
        <v>2020</v>
      </c>
      <c r="B506" s="242">
        <v>7</v>
      </c>
      <c r="C506" s="242">
        <v>30</v>
      </c>
      <c r="D506" s="141">
        <f t="shared" si="20"/>
        <v>44042</v>
      </c>
      <c r="E506" s="275">
        <f t="shared" si="21"/>
        <v>44042</v>
      </c>
      <c r="F506" s="478"/>
      <c r="G506" s="243" t="s">
        <v>94</v>
      </c>
      <c r="H506" s="243" t="str" cm="1">
        <f t="array" ref="H506">IFERROR(INDEX(INVESTOR_LIST[INVESTOR NAME],MATCH(I506,INVESTOR_LIST[INVESTOR CODE],0),)," ")</f>
        <v xml:space="preserve"> </v>
      </c>
      <c r="I506" s="263" t="s">
        <v>348</v>
      </c>
      <c r="J506" s="244" t="s">
        <v>47</v>
      </c>
      <c r="K506" s="245"/>
      <c r="L506" s="245">
        <v>27401.48</v>
      </c>
      <c r="M506" s="147">
        <v>0</v>
      </c>
      <c r="Q506" s="133" t="s">
        <v>348</v>
      </c>
    </row>
    <row r="507" spans="1:17" x14ac:dyDescent="0.2">
      <c r="A507" s="246">
        <v>2020</v>
      </c>
      <c r="B507" s="246">
        <v>7</v>
      </c>
      <c r="C507" s="246">
        <v>30</v>
      </c>
      <c r="D507" s="141">
        <f t="shared" si="20"/>
        <v>44042</v>
      </c>
      <c r="E507" s="275">
        <f t="shared" si="21"/>
        <v>44042</v>
      </c>
      <c r="F507" s="482" t="s">
        <v>138</v>
      </c>
      <c r="G507" s="247" t="s">
        <v>94</v>
      </c>
      <c r="H507" s="247" t="str" cm="1">
        <f t="array" ref="H507">IFERROR(INDEX(INVESTOR_LIST[INVESTOR NAME],MATCH(I507,INVESTOR_LIST[INVESTOR CODE],0),)," ")</f>
        <v xml:space="preserve"> </v>
      </c>
      <c r="I507" s="248" t="s">
        <v>348</v>
      </c>
      <c r="J507" s="249" t="s">
        <v>100</v>
      </c>
      <c r="K507" s="252">
        <v>1321.47</v>
      </c>
      <c r="L507" s="252"/>
      <c r="M507" s="147">
        <v>0</v>
      </c>
      <c r="Q507" s="133" t="s">
        <v>348</v>
      </c>
    </row>
    <row r="508" spans="1:17" x14ac:dyDescent="0.2">
      <c r="A508" s="242">
        <v>2020</v>
      </c>
      <c r="B508" s="242">
        <v>7</v>
      </c>
      <c r="C508" s="242">
        <v>30</v>
      </c>
      <c r="D508" s="141">
        <f t="shared" si="20"/>
        <v>44042</v>
      </c>
      <c r="E508" s="275">
        <f t="shared" si="21"/>
        <v>44042</v>
      </c>
      <c r="F508" s="478"/>
      <c r="G508" s="243" t="s">
        <v>94</v>
      </c>
      <c r="H508" s="243" t="str" cm="1">
        <f t="array" ref="H508">IFERROR(INDEX(INVESTOR_LIST[INVESTOR NAME],MATCH(I508,INVESTOR_LIST[INVESTOR CODE],0),)," ")</f>
        <v xml:space="preserve"> </v>
      </c>
      <c r="I508" s="263" t="s">
        <v>348</v>
      </c>
      <c r="J508" s="244" t="s">
        <v>48</v>
      </c>
      <c r="K508" s="245"/>
      <c r="L508" s="245">
        <v>1321.47</v>
      </c>
      <c r="M508" s="147">
        <v>0</v>
      </c>
      <c r="Q508" s="133" t="s">
        <v>348</v>
      </c>
    </row>
    <row r="509" spans="1:17" x14ac:dyDescent="0.2">
      <c r="A509" s="246">
        <v>2020</v>
      </c>
      <c r="B509" s="246">
        <v>7</v>
      </c>
      <c r="C509" s="246">
        <v>30</v>
      </c>
      <c r="D509" s="141">
        <f t="shared" si="20"/>
        <v>44042</v>
      </c>
      <c r="E509" s="275">
        <f t="shared" si="21"/>
        <v>44042</v>
      </c>
      <c r="F509" s="482" t="s">
        <v>140</v>
      </c>
      <c r="G509" s="247" t="s">
        <v>94</v>
      </c>
      <c r="H509" s="247" t="str" cm="1">
        <f t="array" ref="H509">IFERROR(INDEX(INVESTOR_LIST[INVESTOR NAME],MATCH(I509,INVESTOR_LIST[INVESTOR CODE],0),)," ")</f>
        <v xml:space="preserve"> </v>
      </c>
      <c r="I509" s="248" t="s">
        <v>348</v>
      </c>
      <c r="J509" s="249" t="s">
        <v>103</v>
      </c>
      <c r="K509" s="252">
        <v>729.17</v>
      </c>
      <c r="L509" s="252"/>
      <c r="M509" s="147">
        <v>0</v>
      </c>
      <c r="Q509" s="133" t="s">
        <v>348</v>
      </c>
    </row>
    <row r="510" spans="1:17" x14ac:dyDescent="0.2">
      <c r="A510" s="242">
        <v>2020</v>
      </c>
      <c r="B510" s="242">
        <v>7</v>
      </c>
      <c r="C510" s="242">
        <v>30</v>
      </c>
      <c r="D510" s="141">
        <f t="shared" si="20"/>
        <v>44042</v>
      </c>
      <c r="E510" s="275">
        <f t="shared" si="21"/>
        <v>44042</v>
      </c>
      <c r="F510" s="478"/>
      <c r="G510" s="243" t="s">
        <v>94</v>
      </c>
      <c r="H510" s="243" t="str" cm="1">
        <f t="array" ref="H510">IFERROR(INDEX(INVESTOR_LIST[INVESTOR NAME],MATCH(I510,INVESTOR_LIST[INVESTOR CODE],0),)," ")</f>
        <v xml:space="preserve"> </v>
      </c>
      <c r="I510" s="263" t="s">
        <v>348</v>
      </c>
      <c r="J510" s="244" t="s">
        <v>50</v>
      </c>
      <c r="K510" s="245"/>
      <c r="L510" s="245">
        <v>729.17</v>
      </c>
      <c r="M510" s="147">
        <v>0</v>
      </c>
      <c r="N510" s="133">
        <f>78-16</f>
        <v>62</v>
      </c>
      <c r="Q510" s="133" t="s">
        <v>348</v>
      </c>
    </row>
    <row r="511" spans="1:17" x14ac:dyDescent="0.2">
      <c r="A511" s="133">
        <v>2020</v>
      </c>
      <c r="B511" s="133">
        <v>8</v>
      </c>
      <c r="C511" s="133">
        <v>5</v>
      </c>
      <c r="D511" s="141">
        <f t="shared" si="20"/>
        <v>44048</v>
      </c>
      <c r="E511" s="275">
        <f t="shared" si="21"/>
        <v>44048</v>
      </c>
      <c r="F511" s="481" t="s">
        <v>167</v>
      </c>
      <c r="G511" s="174" t="s">
        <v>94</v>
      </c>
      <c r="H511" s="174" t="str" cm="1">
        <f t="array" ref="H511">IFERROR(INDEX(INVESTOR_LIST[INVESTOR NAME],MATCH(I511,INVESTOR_LIST[INVESTOR CODE],0),)," ")</f>
        <v xml:space="preserve"> </v>
      </c>
      <c r="I511" s="148" t="s">
        <v>348</v>
      </c>
      <c r="J511" s="149" t="s">
        <v>168</v>
      </c>
      <c r="K511" s="218">
        <f>30000*13</f>
        <v>390000</v>
      </c>
      <c r="L511" s="218"/>
      <c r="M511" s="147">
        <v>0</v>
      </c>
      <c r="Q511" s="133" t="s">
        <v>348</v>
      </c>
    </row>
    <row r="512" spans="1:17" x14ac:dyDescent="0.2">
      <c r="A512" s="163">
        <v>2020</v>
      </c>
      <c r="B512" s="163">
        <v>8</v>
      </c>
      <c r="C512" s="163">
        <v>5</v>
      </c>
      <c r="D512" s="141">
        <f t="shared" si="20"/>
        <v>44048</v>
      </c>
      <c r="E512" s="275">
        <f t="shared" si="21"/>
        <v>44048</v>
      </c>
      <c r="F512" s="480"/>
      <c r="G512" s="221" t="s">
        <v>94</v>
      </c>
      <c r="H512" s="221" t="str" cm="1">
        <f t="array" ref="H512">IFERROR(INDEX(INVESTOR_LIST[INVESTOR NAME],MATCH(I512,INVESTOR_LIST[INVESTOR CODE],0),)," ")</f>
        <v xml:space="preserve"> </v>
      </c>
      <c r="I512" s="145" t="s">
        <v>348</v>
      </c>
      <c r="J512" s="146" t="s">
        <v>166</v>
      </c>
      <c r="K512" s="219"/>
      <c r="L512" s="219">
        <v>390000</v>
      </c>
      <c r="M512" s="147">
        <v>0</v>
      </c>
      <c r="O512" s="160">
        <f>L598-K597</f>
        <v>10195.44</v>
      </c>
      <c r="Q512" s="133" t="s">
        <v>348</v>
      </c>
    </row>
    <row r="513" spans="1:17" ht="33.75" x14ac:dyDescent="0.2">
      <c r="A513" s="133">
        <v>2020</v>
      </c>
      <c r="B513" s="133">
        <v>8</v>
      </c>
      <c r="C513" s="133">
        <v>6</v>
      </c>
      <c r="D513" s="141">
        <f t="shared" si="20"/>
        <v>44049</v>
      </c>
      <c r="E513" s="275">
        <f t="shared" si="21"/>
        <v>44049</v>
      </c>
      <c r="F513" s="479" t="s">
        <v>964</v>
      </c>
      <c r="G513" s="174" t="s">
        <v>74</v>
      </c>
      <c r="H513" s="174" t="str" cm="1">
        <f t="array" ref="H513">IFERROR(INDEX(INVESTOR_LIST[INVESTOR NAME],MATCH(I513,INVESTOR_LIST[INVESTOR CODE],0),)," ")</f>
        <v>MD EMDAD HOSSAIN</v>
      </c>
      <c r="I513" s="148" t="s">
        <v>429</v>
      </c>
      <c r="J513" s="149" t="s">
        <v>52</v>
      </c>
      <c r="K513" s="218">
        <v>100000</v>
      </c>
      <c r="L513" s="218"/>
      <c r="M513" s="147">
        <v>1</v>
      </c>
      <c r="Q513" s="133" t="s">
        <v>429</v>
      </c>
    </row>
    <row r="514" spans="1:17" ht="33.75" x14ac:dyDescent="0.2">
      <c r="A514" s="133">
        <v>2020</v>
      </c>
      <c r="B514" s="133">
        <v>8</v>
      </c>
      <c r="C514" s="133">
        <v>6</v>
      </c>
      <c r="D514" s="141">
        <f t="shared" si="20"/>
        <v>44049</v>
      </c>
      <c r="E514" s="275">
        <f t="shared" si="21"/>
        <v>44049</v>
      </c>
      <c r="F514" s="481"/>
      <c r="G514" s="174" t="s">
        <v>74</v>
      </c>
      <c r="H514" s="174" t="str" cm="1">
        <f t="array" ref="H514">IFERROR(INDEX(INVESTOR_LIST[INVESTOR NAME],MATCH(I514,INVESTOR_LIST[INVESTOR CODE],0),)," ")</f>
        <v>MD EMDAD HOSSAIN</v>
      </c>
      <c r="I514" s="148" t="s">
        <v>429</v>
      </c>
      <c r="J514" s="149" t="s">
        <v>13</v>
      </c>
      <c r="K514" s="218"/>
      <c r="L514" s="218">
        <v>96150</v>
      </c>
      <c r="M514" s="147">
        <v>0</v>
      </c>
      <c r="Q514" s="133" t="s">
        <v>429</v>
      </c>
    </row>
    <row r="515" spans="1:17" ht="33.75" x14ac:dyDescent="0.2">
      <c r="A515" s="163">
        <v>2020</v>
      </c>
      <c r="B515" s="163">
        <v>8</v>
      </c>
      <c r="C515" s="163">
        <v>6</v>
      </c>
      <c r="D515" s="141">
        <f t="shared" si="20"/>
        <v>44049</v>
      </c>
      <c r="E515" s="275">
        <f t="shared" si="21"/>
        <v>44049</v>
      </c>
      <c r="F515" s="480"/>
      <c r="G515" s="221" t="s">
        <v>74</v>
      </c>
      <c r="H515" s="221" t="str" cm="1">
        <f t="array" ref="H515">IFERROR(INDEX(INVESTOR_LIST[INVESTOR NAME],MATCH(I515,INVESTOR_LIST[INVESTOR CODE],0),)," ")</f>
        <v>MD EMDAD HOSSAIN</v>
      </c>
      <c r="I515" s="145" t="s">
        <v>429</v>
      </c>
      <c r="J515" s="146" t="s">
        <v>53</v>
      </c>
      <c r="K515" s="219"/>
      <c r="L515" s="219">
        <f>K513-L514</f>
        <v>3850</v>
      </c>
      <c r="M515" s="147">
        <v>0</v>
      </c>
      <c r="Q515" s="133" t="s">
        <v>429</v>
      </c>
    </row>
    <row r="516" spans="1:17" x14ac:dyDescent="0.2">
      <c r="A516" s="133">
        <v>2020</v>
      </c>
      <c r="B516" s="133">
        <v>8</v>
      </c>
      <c r="C516" s="133">
        <v>6</v>
      </c>
      <c r="D516" s="141">
        <f t="shared" si="20"/>
        <v>44049</v>
      </c>
      <c r="E516" s="275">
        <f t="shared" si="21"/>
        <v>44049</v>
      </c>
      <c r="F516" s="481" t="s">
        <v>77</v>
      </c>
      <c r="G516" s="174" t="s">
        <v>74</v>
      </c>
      <c r="H516" s="174" t="str" cm="1">
        <f t="array" ref="H516">IFERROR(INDEX(INVESTOR_LIST[INVESTOR NAME],MATCH(I516,INVESTOR_LIST[INVESTOR CODE],0),)," ")</f>
        <v xml:space="preserve"> </v>
      </c>
      <c r="I516" s="148" t="s">
        <v>348</v>
      </c>
      <c r="J516" s="149" t="s">
        <v>61</v>
      </c>
      <c r="K516" s="218">
        <v>10</v>
      </c>
      <c r="L516" s="218"/>
      <c r="M516" s="147">
        <v>0</v>
      </c>
      <c r="Q516" s="133" t="s">
        <v>348</v>
      </c>
    </row>
    <row r="517" spans="1:17" x14ac:dyDescent="0.2">
      <c r="A517" s="163">
        <v>2020</v>
      </c>
      <c r="B517" s="163">
        <v>8</v>
      </c>
      <c r="C517" s="163">
        <v>6</v>
      </c>
      <c r="D517" s="141">
        <f t="shared" si="20"/>
        <v>44049</v>
      </c>
      <c r="E517" s="275">
        <f t="shared" si="21"/>
        <v>44049</v>
      </c>
      <c r="F517" s="480"/>
      <c r="G517" s="221" t="s">
        <v>74</v>
      </c>
      <c r="H517" s="221" t="str" cm="1">
        <f t="array" ref="H517">IFERROR(INDEX(INVESTOR_LIST[INVESTOR NAME],MATCH(I517,INVESTOR_LIST[INVESTOR CODE],0),)," ")</f>
        <v xml:space="preserve"> </v>
      </c>
      <c r="I517" s="145" t="s">
        <v>348</v>
      </c>
      <c r="J517" s="146" t="s">
        <v>52</v>
      </c>
      <c r="K517" s="219"/>
      <c r="L517" s="219">
        <v>10</v>
      </c>
      <c r="M517" s="147">
        <v>0</v>
      </c>
      <c r="Q517" s="133" t="s">
        <v>348</v>
      </c>
    </row>
    <row r="518" spans="1:17" x14ac:dyDescent="0.2">
      <c r="A518" s="246">
        <v>2020</v>
      </c>
      <c r="B518" s="246">
        <v>8</v>
      </c>
      <c r="C518" s="246">
        <v>6</v>
      </c>
      <c r="D518" s="141">
        <f t="shared" si="20"/>
        <v>44049</v>
      </c>
      <c r="E518" s="275">
        <f t="shared" si="21"/>
        <v>44049</v>
      </c>
      <c r="F518" s="482" t="s">
        <v>105</v>
      </c>
      <c r="G518" s="247" t="s">
        <v>94</v>
      </c>
      <c r="H518" s="247" t="str" cm="1">
        <f t="array" ref="H518">IFERROR(INDEX(INVESTOR_LIST[INVESTOR NAME],MATCH(I518,INVESTOR_LIST[INVESTOR CODE],0),)," ")</f>
        <v xml:space="preserve"> </v>
      </c>
      <c r="I518" s="248" t="s">
        <v>348</v>
      </c>
      <c r="J518" s="249" t="s">
        <v>108</v>
      </c>
      <c r="K518" s="252">
        <v>312000</v>
      </c>
      <c r="L518" s="252"/>
      <c r="M518" s="147">
        <v>0</v>
      </c>
      <c r="Q518" s="133" t="s">
        <v>348</v>
      </c>
    </row>
    <row r="519" spans="1:17" x14ac:dyDescent="0.2">
      <c r="A519" s="242">
        <v>2020</v>
      </c>
      <c r="B519" s="242">
        <v>8</v>
      </c>
      <c r="C519" s="242">
        <v>6</v>
      </c>
      <c r="D519" s="141">
        <f t="shared" si="20"/>
        <v>44049</v>
      </c>
      <c r="E519" s="275">
        <f t="shared" si="21"/>
        <v>44049</v>
      </c>
      <c r="F519" s="478"/>
      <c r="G519" s="243" t="s">
        <v>94</v>
      </c>
      <c r="H519" s="243" t="str" cm="1">
        <f t="array" ref="H519">IFERROR(INDEX(INVESTOR_LIST[INVESTOR NAME],MATCH(I519,INVESTOR_LIST[INVESTOR CODE],0),)," ")</f>
        <v xml:space="preserve"> </v>
      </c>
      <c r="I519" s="263" t="s">
        <v>348</v>
      </c>
      <c r="J519" s="244" t="s">
        <v>82</v>
      </c>
      <c r="K519" s="245"/>
      <c r="L519" s="245">
        <v>312000</v>
      </c>
      <c r="M519" s="147">
        <v>0</v>
      </c>
      <c r="Q519" s="133" t="s">
        <v>348</v>
      </c>
    </row>
    <row r="520" spans="1:17" ht="22.5" x14ac:dyDescent="0.2">
      <c r="A520" s="246">
        <v>2020</v>
      </c>
      <c r="B520" s="246">
        <v>8</v>
      </c>
      <c r="C520" s="246">
        <v>6</v>
      </c>
      <c r="D520" s="141">
        <f t="shared" si="20"/>
        <v>44049</v>
      </c>
      <c r="E520" s="275">
        <f t="shared" si="21"/>
        <v>44049</v>
      </c>
      <c r="F520" s="482" t="s">
        <v>136</v>
      </c>
      <c r="G520" s="247" t="s">
        <v>94</v>
      </c>
      <c r="H520" s="247" t="str" cm="1">
        <f t="array" ref="H520">IFERROR(INDEX(INVESTOR_LIST[INVESTOR NAME],MATCH(I520,INVESTOR_LIST[INVESTOR CODE],0),)," ")</f>
        <v xml:space="preserve"> </v>
      </c>
      <c r="I520" s="248" t="s">
        <v>348</v>
      </c>
      <c r="J520" s="249" t="s">
        <v>95</v>
      </c>
      <c r="K520" s="252">
        <v>2747.25</v>
      </c>
      <c r="L520" s="252"/>
      <c r="M520" s="147">
        <v>0</v>
      </c>
      <c r="Q520" s="133" t="s">
        <v>348</v>
      </c>
    </row>
    <row r="521" spans="1:17" x14ac:dyDescent="0.2">
      <c r="A521" s="242">
        <v>2020</v>
      </c>
      <c r="B521" s="242">
        <v>8</v>
      </c>
      <c r="C521" s="242">
        <v>6</v>
      </c>
      <c r="D521" s="141">
        <f t="shared" si="20"/>
        <v>44049</v>
      </c>
      <c r="E521" s="275">
        <f t="shared" si="21"/>
        <v>44049</v>
      </c>
      <c r="F521" s="478"/>
      <c r="G521" s="243" t="s">
        <v>94</v>
      </c>
      <c r="H521" s="243" t="str" cm="1">
        <f t="array" ref="H521">IFERROR(INDEX(INVESTOR_LIST[INVESTOR NAME],MATCH(I521,INVESTOR_LIST[INVESTOR CODE],0),)," ")</f>
        <v xml:space="preserve"> </v>
      </c>
      <c r="I521" s="263" t="s">
        <v>348</v>
      </c>
      <c r="J521" s="244" t="s">
        <v>63</v>
      </c>
      <c r="K521" s="245"/>
      <c r="L521" s="245">
        <v>2747.25</v>
      </c>
      <c r="M521" s="147">
        <v>0</v>
      </c>
      <c r="Q521" s="133" t="s">
        <v>348</v>
      </c>
    </row>
    <row r="522" spans="1:17" x14ac:dyDescent="0.2">
      <c r="A522" s="246">
        <v>2020</v>
      </c>
      <c r="B522" s="246">
        <v>8</v>
      </c>
      <c r="C522" s="246">
        <v>6</v>
      </c>
      <c r="D522" s="141">
        <f t="shared" si="20"/>
        <v>44049</v>
      </c>
      <c r="E522" s="275">
        <f t="shared" si="21"/>
        <v>44049</v>
      </c>
      <c r="F522" s="482" t="s">
        <v>137</v>
      </c>
      <c r="G522" s="247" t="s">
        <v>94</v>
      </c>
      <c r="H522" s="247" t="str" cm="1">
        <f t="array" ref="H522">IFERROR(INDEX(INVESTOR_LIST[INVESTOR NAME],MATCH(I522,INVESTOR_LIST[INVESTOR CODE],0),)," ")</f>
        <v xml:space="preserve"> </v>
      </c>
      <c r="I522" s="248" t="s">
        <v>348</v>
      </c>
      <c r="J522" s="249" t="s">
        <v>97</v>
      </c>
      <c r="K522" s="252">
        <v>31506.3</v>
      </c>
      <c r="L522" s="252"/>
      <c r="M522" s="147">
        <v>0</v>
      </c>
      <c r="Q522" s="133" t="s">
        <v>348</v>
      </c>
    </row>
    <row r="523" spans="1:17" x14ac:dyDescent="0.2">
      <c r="A523" s="242">
        <v>2020</v>
      </c>
      <c r="B523" s="242">
        <v>8</v>
      </c>
      <c r="C523" s="242">
        <v>6</v>
      </c>
      <c r="D523" s="141">
        <f t="shared" si="20"/>
        <v>44049</v>
      </c>
      <c r="E523" s="275">
        <f t="shared" si="21"/>
        <v>44049</v>
      </c>
      <c r="F523" s="478"/>
      <c r="G523" s="243" t="s">
        <v>94</v>
      </c>
      <c r="H523" s="243" t="str" cm="1">
        <f t="array" ref="H523">IFERROR(INDEX(INVESTOR_LIST[INVESTOR NAME],MATCH(I523,INVESTOR_LIST[INVESTOR CODE],0),)," ")</f>
        <v xml:space="preserve"> </v>
      </c>
      <c r="I523" s="263" t="s">
        <v>348</v>
      </c>
      <c r="J523" s="244" t="s">
        <v>47</v>
      </c>
      <c r="K523" s="245"/>
      <c r="L523" s="245">
        <v>31506.3</v>
      </c>
      <c r="M523" s="147">
        <v>0</v>
      </c>
      <c r="Q523" s="133" t="s">
        <v>348</v>
      </c>
    </row>
    <row r="524" spans="1:17" x14ac:dyDescent="0.2">
      <c r="A524" s="246">
        <v>2020</v>
      </c>
      <c r="B524" s="246">
        <v>8</v>
      </c>
      <c r="C524" s="246">
        <v>6</v>
      </c>
      <c r="D524" s="141">
        <f t="shared" si="20"/>
        <v>44049</v>
      </c>
      <c r="E524" s="275">
        <f t="shared" si="21"/>
        <v>44049</v>
      </c>
      <c r="F524" s="482" t="s">
        <v>138</v>
      </c>
      <c r="G524" s="247" t="s">
        <v>94</v>
      </c>
      <c r="H524" s="247" t="str" cm="1">
        <f t="array" ref="H524">IFERROR(INDEX(INVESTOR_LIST[INVESTOR NAME],MATCH(I524,INVESTOR_LIST[INVESTOR CODE],0),)," ")</f>
        <v xml:space="preserve"> </v>
      </c>
      <c r="I524" s="248" t="s">
        <v>348</v>
      </c>
      <c r="J524" s="249" t="s">
        <v>100</v>
      </c>
      <c r="K524" s="252">
        <v>1334.27</v>
      </c>
      <c r="L524" s="252"/>
      <c r="M524" s="147">
        <v>0</v>
      </c>
      <c r="Q524" s="133" t="s">
        <v>348</v>
      </c>
    </row>
    <row r="525" spans="1:17" x14ac:dyDescent="0.2">
      <c r="A525" s="242">
        <v>2020</v>
      </c>
      <c r="B525" s="242">
        <v>8</v>
      </c>
      <c r="C525" s="242">
        <v>6</v>
      </c>
      <c r="D525" s="141">
        <f t="shared" ref="D525:D588" si="22">DATE(A525,B525,C525)</f>
        <v>44049</v>
      </c>
      <c r="E525" s="275">
        <f t="shared" si="21"/>
        <v>44049</v>
      </c>
      <c r="F525" s="478"/>
      <c r="G525" s="243" t="s">
        <v>94</v>
      </c>
      <c r="H525" s="243" t="str" cm="1">
        <f t="array" ref="H525">IFERROR(INDEX(INVESTOR_LIST[INVESTOR NAME],MATCH(I525,INVESTOR_LIST[INVESTOR CODE],0),)," ")</f>
        <v xml:space="preserve"> </v>
      </c>
      <c r="I525" s="263" t="s">
        <v>348</v>
      </c>
      <c r="J525" s="244" t="s">
        <v>48</v>
      </c>
      <c r="K525" s="245"/>
      <c r="L525" s="245">
        <v>1334.27</v>
      </c>
      <c r="M525" s="147">
        <v>0</v>
      </c>
      <c r="Q525" s="133" t="s">
        <v>348</v>
      </c>
    </row>
    <row r="526" spans="1:17" x14ac:dyDescent="0.2">
      <c r="A526" s="246">
        <v>2020</v>
      </c>
      <c r="B526" s="246">
        <v>8</v>
      </c>
      <c r="C526" s="246">
        <v>6</v>
      </c>
      <c r="D526" s="141">
        <f t="shared" si="22"/>
        <v>44049</v>
      </c>
      <c r="E526" s="275">
        <f t="shared" ref="E526:E589" si="23">DATE(A526,B526,C526)</f>
        <v>44049</v>
      </c>
      <c r="F526" s="482" t="s">
        <v>140</v>
      </c>
      <c r="G526" s="247" t="s">
        <v>94</v>
      </c>
      <c r="H526" s="247" t="str" cm="1">
        <f t="array" ref="H526">IFERROR(INDEX(INVESTOR_LIST[INVESTOR NAME],MATCH(I526,INVESTOR_LIST[INVESTOR CODE],0),)," ")</f>
        <v xml:space="preserve"> </v>
      </c>
      <c r="I526" s="248" t="s">
        <v>348</v>
      </c>
      <c r="J526" s="249" t="s">
        <v>103</v>
      </c>
      <c r="K526" s="252">
        <v>1700.31</v>
      </c>
      <c r="L526" s="252"/>
      <c r="M526" s="147">
        <v>3</v>
      </c>
      <c r="Q526" s="133" t="s">
        <v>348</v>
      </c>
    </row>
    <row r="527" spans="1:17" x14ac:dyDescent="0.2">
      <c r="A527" s="242">
        <v>2020</v>
      </c>
      <c r="B527" s="242">
        <v>8</v>
      </c>
      <c r="C527" s="242">
        <v>6</v>
      </c>
      <c r="D527" s="141">
        <f t="shared" si="22"/>
        <v>44049</v>
      </c>
      <c r="E527" s="275">
        <f t="shared" si="23"/>
        <v>44049</v>
      </c>
      <c r="F527" s="478"/>
      <c r="G527" s="243" t="s">
        <v>94</v>
      </c>
      <c r="H527" s="243" t="str" cm="1">
        <f t="array" ref="H527">IFERROR(INDEX(INVESTOR_LIST[INVESTOR NAME],MATCH(I527,INVESTOR_LIST[INVESTOR CODE],0),)," ")</f>
        <v xml:space="preserve"> </v>
      </c>
      <c r="I527" s="263" t="s">
        <v>348</v>
      </c>
      <c r="J527" s="244" t="s">
        <v>50</v>
      </c>
      <c r="K527" s="245"/>
      <c r="L527" s="245">
        <v>1700.31</v>
      </c>
      <c r="M527" s="147">
        <v>0</v>
      </c>
      <c r="Q527" s="133" t="s">
        <v>348</v>
      </c>
    </row>
    <row r="528" spans="1:17" ht="45" x14ac:dyDescent="0.2">
      <c r="A528" s="133">
        <v>2020</v>
      </c>
      <c r="B528" s="133">
        <v>8</v>
      </c>
      <c r="C528" s="133">
        <v>13</v>
      </c>
      <c r="D528" s="141">
        <f t="shared" si="22"/>
        <v>44056</v>
      </c>
      <c r="E528" s="275">
        <f t="shared" si="23"/>
        <v>44056</v>
      </c>
      <c r="F528" s="479" t="s">
        <v>964</v>
      </c>
      <c r="G528" s="174" t="s">
        <v>74</v>
      </c>
      <c r="H528" s="174" t="str" cm="1">
        <f t="array" ref="H528">IFERROR(INDEX(INVESTOR_LIST[INVESTOR NAME],MATCH(I528,INVESTOR_LIST[INVESTOR CODE],0),)," ")</f>
        <v>UNICAP INVESTMENTS LIMITED</v>
      </c>
      <c r="I528" s="148" t="s">
        <v>437</v>
      </c>
      <c r="J528" s="149" t="s">
        <v>52</v>
      </c>
      <c r="K528" s="218">
        <v>500000</v>
      </c>
      <c r="L528" s="218"/>
      <c r="M528" s="147">
        <v>2</v>
      </c>
      <c r="Q528" s="133" t="s">
        <v>437</v>
      </c>
    </row>
    <row r="529" spans="1:17" ht="45" x14ac:dyDescent="0.2">
      <c r="A529" s="133">
        <v>2020</v>
      </c>
      <c r="B529" s="133">
        <v>8</v>
      </c>
      <c r="C529" s="133">
        <v>13</v>
      </c>
      <c r="D529" s="141">
        <f t="shared" si="22"/>
        <v>44056</v>
      </c>
      <c r="E529" s="275">
        <f t="shared" si="23"/>
        <v>44056</v>
      </c>
      <c r="F529" s="481"/>
      <c r="G529" s="174" t="s">
        <v>74</v>
      </c>
      <c r="H529" s="174" t="str" cm="1">
        <f t="array" ref="H529">IFERROR(INDEX(INVESTOR_LIST[INVESTOR NAME],MATCH(I529,INVESTOR_LIST[INVESTOR CODE],0),)," ")</f>
        <v>UNICAP INVESTMENTS LIMITED</v>
      </c>
      <c r="I529" s="148" t="s">
        <v>437</v>
      </c>
      <c r="J529" s="149" t="s">
        <v>13</v>
      </c>
      <c r="K529" s="218"/>
      <c r="L529" s="218">
        <v>476190</v>
      </c>
      <c r="M529" s="147">
        <v>0</v>
      </c>
      <c r="Q529" s="133" t="s">
        <v>437</v>
      </c>
    </row>
    <row r="530" spans="1:17" ht="45" x14ac:dyDescent="0.2">
      <c r="A530" s="163">
        <v>2020</v>
      </c>
      <c r="B530" s="163">
        <v>8</v>
      </c>
      <c r="C530" s="163">
        <v>13</v>
      </c>
      <c r="D530" s="141">
        <f t="shared" si="22"/>
        <v>44056</v>
      </c>
      <c r="E530" s="275">
        <f t="shared" si="23"/>
        <v>44056</v>
      </c>
      <c r="F530" s="480"/>
      <c r="G530" s="221" t="s">
        <v>74</v>
      </c>
      <c r="H530" s="221" t="str" cm="1">
        <f t="array" ref="H530">IFERROR(INDEX(INVESTOR_LIST[INVESTOR NAME],MATCH(I530,INVESTOR_LIST[INVESTOR CODE],0),)," ")</f>
        <v>UNICAP INVESTMENTS LIMITED</v>
      </c>
      <c r="I530" s="145" t="s">
        <v>437</v>
      </c>
      <c r="J530" s="146" t="s">
        <v>53</v>
      </c>
      <c r="K530" s="219"/>
      <c r="L530" s="219">
        <f>K528-L529</f>
        <v>23810</v>
      </c>
      <c r="M530" s="147">
        <v>1</v>
      </c>
      <c r="Q530" s="133" t="s">
        <v>437</v>
      </c>
    </row>
    <row r="531" spans="1:17" ht="45" x14ac:dyDescent="0.2">
      <c r="A531" s="133">
        <v>2020</v>
      </c>
      <c r="B531" s="133">
        <v>8</v>
      </c>
      <c r="C531" s="133">
        <v>13</v>
      </c>
      <c r="D531" s="141">
        <f t="shared" si="22"/>
        <v>44056</v>
      </c>
      <c r="E531" s="275">
        <f t="shared" si="23"/>
        <v>44056</v>
      </c>
      <c r="F531" s="479" t="s">
        <v>964</v>
      </c>
      <c r="G531" s="174" t="s">
        <v>74</v>
      </c>
      <c r="H531" s="174" t="str" cm="1">
        <f t="array" ref="H531">IFERROR(INDEX(INVESTOR_LIST[INVESTOR NAME],MATCH(I531,INVESTOR_LIST[INVESTOR CODE],0),)," ")</f>
        <v>MOHAMMAD MONJUR ALAM</v>
      </c>
      <c r="I531" s="148" t="s">
        <v>431</v>
      </c>
      <c r="J531" s="149" t="s">
        <v>52</v>
      </c>
      <c r="K531" s="218">
        <v>50000</v>
      </c>
      <c r="L531" s="218"/>
      <c r="M531" s="147">
        <v>0</v>
      </c>
      <c r="Q531" s="133" t="s">
        <v>431</v>
      </c>
    </row>
    <row r="532" spans="1:17" ht="45" x14ac:dyDescent="0.2">
      <c r="A532" s="133">
        <v>2020</v>
      </c>
      <c r="B532" s="133">
        <v>8</v>
      </c>
      <c r="C532" s="133">
        <v>13</v>
      </c>
      <c r="D532" s="141">
        <f t="shared" si="22"/>
        <v>44056</v>
      </c>
      <c r="E532" s="275">
        <f t="shared" si="23"/>
        <v>44056</v>
      </c>
      <c r="F532" s="481"/>
      <c r="G532" s="174" t="s">
        <v>74</v>
      </c>
      <c r="H532" s="174" t="str" cm="1">
        <f t="array" ref="H532">IFERROR(INDEX(INVESTOR_LIST[INVESTOR NAME],MATCH(I532,INVESTOR_LIST[INVESTOR CODE],0),)," ")</f>
        <v>MOHAMMAD MONJUR ALAM</v>
      </c>
      <c r="I532" s="148" t="s">
        <v>431</v>
      </c>
      <c r="J532" s="149" t="s">
        <v>13</v>
      </c>
      <c r="K532" s="218"/>
      <c r="L532" s="218">
        <v>47620</v>
      </c>
      <c r="M532" s="147">
        <v>0</v>
      </c>
      <c r="Q532" s="133" t="s">
        <v>431</v>
      </c>
    </row>
    <row r="533" spans="1:17" ht="45" x14ac:dyDescent="0.2">
      <c r="A533" s="163">
        <v>2020</v>
      </c>
      <c r="B533" s="163">
        <v>8</v>
      </c>
      <c r="C533" s="163">
        <v>13</v>
      </c>
      <c r="D533" s="141">
        <f t="shared" si="22"/>
        <v>44056</v>
      </c>
      <c r="E533" s="275">
        <f t="shared" si="23"/>
        <v>44056</v>
      </c>
      <c r="F533" s="480"/>
      <c r="G533" s="221" t="s">
        <v>74</v>
      </c>
      <c r="H533" s="221" t="str" cm="1">
        <f t="array" ref="H533">IFERROR(INDEX(INVESTOR_LIST[INVESTOR NAME],MATCH(I533,INVESTOR_LIST[INVESTOR CODE],0),)," ")</f>
        <v>MOHAMMAD MONJUR ALAM</v>
      </c>
      <c r="I533" s="145" t="s">
        <v>431</v>
      </c>
      <c r="J533" s="146" t="s">
        <v>53</v>
      </c>
      <c r="K533" s="219"/>
      <c r="L533" s="219">
        <f>K531-L532</f>
        <v>2380</v>
      </c>
      <c r="M533" s="147">
        <v>0</v>
      </c>
      <c r="Q533" s="133" t="s">
        <v>431</v>
      </c>
    </row>
    <row r="534" spans="1:17" ht="33.75" x14ac:dyDescent="0.2">
      <c r="A534" s="133">
        <v>2020</v>
      </c>
      <c r="B534" s="133">
        <v>8</v>
      </c>
      <c r="C534" s="133">
        <v>13</v>
      </c>
      <c r="D534" s="141">
        <f t="shared" si="22"/>
        <v>44056</v>
      </c>
      <c r="E534" s="275">
        <f t="shared" si="23"/>
        <v>44056</v>
      </c>
      <c r="F534" s="479" t="s">
        <v>964</v>
      </c>
      <c r="G534" s="174" t="s">
        <v>74</v>
      </c>
      <c r="H534" s="174" t="str" cm="1">
        <f t="array" ref="H534">IFERROR(INDEX(INVESTOR_LIST[INVESTOR NAME],MATCH(I534,INVESTOR_LIST[INVESTOR CODE],0),)," ")</f>
        <v>AHMAD ZAHID ZAKI</v>
      </c>
      <c r="I534" s="148" t="s">
        <v>432</v>
      </c>
      <c r="J534" s="149" t="s">
        <v>52</v>
      </c>
      <c r="K534" s="218">
        <v>50000</v>
      </c>
      <c r="L534" s="218"/>
      <c r="M534" s="147">
        <v>0</v>
      </c>
      <c r="Q534" s="133" t="s">
        <v>432</v>
      </c>
    </row>
    <row r="535" spans="1:17" ht="33.75" x14ac:dyDescent="0.2">
      <c r="A535" s="133">
        <v>2020</v>
      </c>
      <c r="B535" s="133">
        <v>8</v>
      </c>
      <c r="C535" s="133">
        <v>13</v>
      </c>
      <c r="D535" s="141">
        <f t="shared" si="22"/>
        <v>44056</v>
      </c>
      <c r="E535" s="275">
        <f t="shared" si="23"/>
        <v>44056</v>
      </c>
      <c r="F535" s="481"/>
      <c r="G535" s="174" t="s">
        <v>74</v>
      </c>
      <c r="H535" s="174" t="str" cm="1">
        <f t="array" ref="H535">IFERROR(INDEX(INVESTOR_LIST[INVESTOR NAME],MATCH(I535,INVESTOR_LIST[INVESTOR CODE],0),)," ")</f>
        <v>AHMAD ZAHID ZAKI</v>
      </c>
      <c r="I535" s="148" t="s">
        <v>432</v>
      </c>
      <c r="J535" s="149" t="s">
        <v>13</v>
      </c>
      <c r="K535" s="218"/>
      <c r="L535" s="218">
        <v>47620</v>
      </c>
      <c r="M535" s="147">
        <v>0</v>
      </c>
      <c r="Q535" s="133" t="s">
        <v>432</v>
      </c>
    </row>
    <row r="536" spans="1:17" ht="33.75" x14ac:dyDescent="0.2">
      <c r="A536" s="163">
        <v>2020</v>
      </c>
      <c r="B536" s="163">
        <v>8</v>
      </c>
      <c r="C536" s="163">
        <v>13</v>
      </c>
      <c r="D536" s="141">
        <f t="shared" si="22"/>
        <v>44056</v>
      </c>
      <c r="E536" s="275">
        <f t="shared" si="23"/>
        <v>44056</v>
      </c>
      <c r="F536" s="480"/>
      <c r="G536" s="221" t="s">
        <v>74</v>
      </c>
      <c r="H536" s="221" t="str" cm="1">
        <f t="array" ref="H536">IFERROR(INDEX(INVESTOR_LIST[INVESTOR NAME],MATCH(I536,INVESTOR_LIST[INVESTOR CODE],0),)," ")</f>
        <v>AHMAD ZAHID ZAKI</v>
      </c>
      <c r="I536" s="145" t="s">
        <v>432</v>
      </c>
      <c r="J536" s="146" t="s">
        <v>53</v>
      </c>
      <c r="K536" s="219"/>
      <c r="L536" s="219">
        <v>2380</v>
      </c>
      <c r="M536" s="147">
        <v>0</v>
      </c>
      <c r="Q536" s="133" t="s">
        <v>432</v>
      </c>
    </row>
    <row r="537" spans="1:17" ht="33.75" x14ac:dyDescent="0.2">
      <c r="A537" s="133">
        <v>2020</v>
      </c>
      <c r="B537" s="133">
        <v>8</v>
      </c>
      <c r="C537" s="133">
        <v>13</v>
      </c>
      <c r="D537" s="141">
        <f t="shared" si="22"/>
        <v>44056</v>
      </c>
      <c r="E537" s="275">
        <f t="shared" si="23"/>
        <v>44056</v>
      </c>
      <c r="F537" s="479" t="s">
        <v>964</v>
      </c>
      <c r="G537" s="174" t="s">
        <v>74</v>
      </c>
      <c r="H537" s="174" t="str" cm="1">
        <f t="array" ref="H537">IFERROR(INDEX(INVESTOR_LIST[INVESTOR NAME],MATCH(I537,INVESTOR_LIST[INVESTOR CODE],0),)," ")</f>
        <v>MD. ATIQUR RAHMAN</v>
      </c>
      <c r="I537" s="148" t="s">
        <v>426</v>
      </c>
      <c r="J537" s="149" t="s">
        <v>52</v>
      </c>
      <c r="K537" s="218">
        <v>300000</v>
      </c>
      <c r="L537" s="218"/>
      <c r="M537" s="147">
        <v>0</v>
      </c>
      <c r="Q537" s="133" t="s">
        <v>426</v>
      </c>
    </row>
    <row r="538" spans="1:17" ht="33.75" x14ac:dyDescent="0.2">
      <c r="A538" s="133">
        <v>2020</v>
      </c>
      <c r="B538" s="133">
        <v>8</v>
      </c>
      <c r="C538" s="133">
        <v>13</v>
      </c>
      <c r="D538" s="141">
        <f t="shared" si="22"/>
        <v>44056</v>
      </c>
      <c r="E538" s="275">
        <f t="shared" si="23"/>
        <v>44056</v>
      </c>
      <c r="F538" s="481"/>
      <c r="G538" s="174" t="s">
        <v>74</v>
      </c>
      <c r="H538" s="174" t="str" cm="1">
        <f t="array" ref="H538">IFERROR(INDEX(INVESTOR_LIST[INVESTOR NAME],MATCH(I538,INVESTOR_LIST[INVESTOR CODE],0),)," ")</f>
        <v>MD. ATIQUR RAHMAN</v>
      </c>
      <c r="I538" s="148" t="s">
        <v>426</v>
      </c>
      <c r="J538" s="149" t="s">
        <v>13</v>
      </c>
      <c r="K538" s="218"/>
      <c r="L538" s="218">
        <v>285710</v>
      </c>
      <c r="M538" s="147">
        <v>0</v>
      </c>
      <c r="Q538" s="133" t="s">
        <v>426</v>
      </c>
    </row>
    <row r="539" spans="1:17" ht="33.75" x14ac:dyDescent="0.2">
      <c r="A539" s="163">
        <v>2020</v>
      </c>
      <c r="B539" s="163">
        <v>8</v>
      </c>
      <c r="C539" s="163">
        <v>13</v>
      </c>
      <c r="D539" s="141">
        <f t="shared" si="22"/>
        <v>44056</v>
      </c>
      <c r="E539" s="275">
        <f t="shared" si="23"/>
        <v>44056</v>
      </c>
      <c r="F539" s="480"/>
      <c r="G539" s="221" t="s">
        <v>74</v>
      </c>
      <c r="H539" s="221" t="str" cm="1">
        <f t="array" ref="H539">IFERROR(INDEX(INVESTOR_LIST[INVESTOR NAME],MATCH(I539,INVESTOR_LIST[INVESTOR CODE],0),)," ")</f>
        <v>MD. ATIQUR RAHMAN</v>
      </c>
      <c r="I539" s="145" t="s">
        <v>426</v>
      </c>
      <c r="J539" s="146" t="s">
        <v>53</v>
      </c>
      <c r="K539" s="219"/>
      <c r="L539" s="219">
        <f>K537-L538</f>
        <v>14290</v>
      </c>
      <c r="M539" s="147">
        <v>0</v>
      </c>
      <c r="Q539" s="133" t="s">
        <v>426</v>
      </c>
    </row>
    <row r="540" spans="1:17" x14ac:dyDescent="0.2">
      <c r="A540" s="133">
        <v>2020</v>
      </c>
      <c r="B540" s="133">
        <v>8</v>
      </c>
      <c r="C540" s="133">
        <v>13</v>
      </c>
      <c r="D540" s="141">
        <f t="shared" si="22"/>
        <v>44056</v>
      </c>
      <c r="E540" s="275">
        <f t="shared" si="23"/>
        <v>44056</v>
      </c>
      <c r="F540" s="481" t="s">
        <v>169</v>
      </c>
      <c r="G540" s="174" t="s">
        <v>94</v>
      </c>
      <c r="H540" s="174" t="str" cm="1">
        <f t="array" ref="H540">IFERROR(INDEX(INVESTOR_LIST[INVESTOR NAME],MATCH(I540,INVESTOR_LIST[INVESTOR CODE],0),)," ")</f>
        <v xml:space="preserve"> </v>
      </c>
      <c r="I540" s="148" t="s">
        <v>348</v>
      </c>
      <c r="J540" s="149" t="s">
        <v>79</v>
      </c>
      <c r="K540" s="218">
        <v>16297295.199999999</v>
      </c>
      <c r="L540" s="218"/>
      <c r="M540" s="147">
        <v>1</v>
      </c>
      <c r="Q540" s="133" t="s">
        <v>348</v>
      </c>
    </row>
    <row r="541" spans="1:17" x14ac:dyDescent="0.2">
      <c r="A541" s="133">
        <v>2020</v>
      </c>
      <c r="B541" s="133">
        <v>8</v>
      </c>
      <c r="C541" s="133">
        <v>13</v>
      </c>
      <c r="D541" s="141">
        <f t="shared" si="22"/>
        <v>44056</v>
      </c>
      <c r="E541" s="275">
        <f t="shared" si="23"/>
        <v>44056</v>
      </c>
      <c r="F541" s="481"/>
      <c r="G541" s="174" t="s">
        <v>94</v>
      </c>
      <c r="H541" s="174" t="str" cm="1">
        <f t="array" ref="H541">IFERROR(INDEX(INVESTOR_LIST[INVESTOR NAME],MATCH(I541,INVESTOR_LIST[INVESTOR CODE],0),)," ")</f>
        <v xml:space="preserve"> </v>
      </c>
      <c r="I541" s="148" t="s">
        <v>348</v>
      </c>
      <c r="J541" s="149" t="s">
        <v>80</v>
      </c>
      <c r="K541" s="218">
        <v>29335.13</v>
      </c>
      <c r="L541" s="218"/>
      <c r="M541" s="147">
        <v>0</v>
      </c>
      <c r="Q541" s="133" t="s">
        <v>348</v>
      </c>
    </row>
    <row r="542" spans="1:17" x14ac:dyDescent="0.2">
      <c r="A542" s="163">
        <v>2020</v>
      </c>
      <c r="B542" s="163">
        <v>8</v>
      </c>
      <c r="C542" s="163">
        <v>13</v>
      </c>
      <c r="D542" s="141">
        <f t="shared" si="22"/>
        <v>44056</v>
      </c>
      <c r="E542" s="275">
        <f t="shared" si="23"/>
        <v>44056</v>
      </c>
      <c r="F542" s="480"/>
      <c r="G542" s="221" t="s">
        <v>94</v>
      </c>
      <c r="H542" s="221" t="str" cm="1">
        <f t="array" ref="H542">IFERROR(INDEX(INVESTOR_LIST[INVESTOR NAME],MATCH(I542,INVESTOR_LIST[INVESTOR CODE],0),)," ")</f>
        <v xml:space="preserve"> </v>
      </c>
      <c r="I542" s="145" t="s">
        <v>348</v>
      </c>
      <c r="J542" s="146" t="s">
        <v>147</v>
      </c>
      <c r="K542" s="219"/>
      <c r="L542" s="219">
        <v>16326630.33</v>
      </c>
      <c r="M542" s="147">
        <v>0</v>
      </c>
      <c r="Q542" s="133" t="s">
        <v>348</v>
      </c>
    </row>
    <row r="543" spans="1:17" x14ac:dyDescent="0.2">
      <c r="A543" s="133">
        <v>2020</v>
      </c>
      <c r="B543" s="133">
        <v>8</v>
      </c>
      <c r="C543" s="133">
        <v>13</v>
      </c>
      <c r="D543" s="141">
        <f t="shared" si="22"/>
        <v>44056</v>
      </c>
      <c r="E543" s="275">
        <f t="shared" si="23"/>
        <v>44056</v>
      </c>
      <c r="F543" s="481" t="s">
        <v>77</v>
      </c>
      <c r="G543" s="174" t="s">
        <v>74</v>
      </c>
      <c r="H543" s="174" t="str" cm="1">
        <f t="array" ref="H543">IFERROR(INDEX(INVESTOR_LIST[INVESTOR NAME],MATCH(I543,INVESTOR_LIST[INVESTOR CODE],0),)," ")</f>
        <v xml:space="preserve"> </v>
      </c>
      <c r="I543" s="148" t="s">
        <v>348</v>
      </c>
      <c r="J543" s="149" t="s">
        <v>61</v>
      </c>
      <c r="K543" s="218">
        <v>60</v>
      </c>
      <c r="L543" s="218"/>
      <c r="M543" s="147">
        <v>0</v>
      </c>
      <c r="Q543" s="133" t="s">
        <v>348</v>
      </c>
    </row>
    <row r="544" spans="1:17" x14ac:dyDescent="0.2">
      <c r="A544" s="163">
        <v>2020</v>
      </c>
      <c r="B544" s="163">
        <v>8</v>
      </c>
      <c r="C544" s="163">
        <v>13</v>
      </c>
      <c r="D544" s="141">
        <f t="shared" si="22"/>
        <v>44056</v>
      </c>
      <c r="E544" s="275">
        <f t="shared" si="23"/>
        <v>44056</v>
      </c>
      <c r="F544" s="480"/>
      <c r="G544" s="221" t="s">
        <v>74</v>
      </c>
      <c r="H544" s="221" t="str" cm="1">
        <f t="array" ref="H544">IFERROR(INDEX(INVESTOR_LIST[INVESTOR NAME],MATCH(I544,INVESTOR_LIST[INVESTOR CODE],0),)," ")</f>
        <v xml:space="preserve"> </v>
      </c>
      <c r="I544" s="145" t="s">
        <v>348</v>
      </c>
      <c r="J544" s="146" t="s">
        <v>52</v>
      </c>
      <c r="K544" s="219"/>
      <c r="L544" s="219">
        <v>60</v>
      </c>
      <c r="M544" s="147">
        <v>0</v>
      </c>
      <c r="Q544" s="133" t="s">
        <v>348</v>
      </c>
    </row>
    <row r="545" spans="1:17" x14ac:dyDescent="0.2">
      <c r="A545" s="133">
        <v>2020</v>
      </c>
      <c r="B545" s="133">
        <v>8</v>
      </c>
      <c r="C545" s="133">
        <v>13</v>
      </c>
      <c r="D545" s="141">
        <f t="shared" si="22"/>
        <v>44056</v>
      </c>
      <c r="E545" s="275">
        <f t="shared" si="23"/>
        <v>44056</v>
      </c>
      <c r="F545" s="481" t="s">
        <v>77</v>
      </c>
      <c r="G545" s="174" t="s">
        <v>74</v>
      </c>
      <c r="H545" s="174" t="str" cm="1">
        <f t="array" ref="H545">IFERROR(INDEX(INVESTOR_LIST[INVESTOR NAME],MATCH(I545,INVESTOR_LIST[INVESTOR CODE],0),)," ")</f>
        <v xml:space="preserve"> </v>
      </c>
      <c r="I545" s="148" t="s">
        <v>348</v>
      </c>
      <c r="J545" s="149" t="s">
        <v>61</v>
      </c>
      <c r="K545" s="218">
        <v>10</v>
      </c>
      <c r="L545" s="218"/>
      <c r="M545" s="147">
        <v>0</v>
      </c>
      <c r="Q545" s="133" t="s">
        <v>348</v>
      </c>
    </row>
    <row r="546" spans="1:17" x14ac:dyDescent="0.2">
      <c r="A546" s="163">
        <v>2020</v>
      </c>
      <c r="B546" s="163">
        <v>8</v>
      </c>
      <c r="C546" s="163">
        <v>13</v>
      </c>
      <c r="D546" s="141">
        <f t="shared" si="22"/>
        <v>44056</v>
      </c>
      <c r="E546" s="275">
        <f t="shared" si="23"/>
        <v>44056</v>
      </c>
      <c r="F546" s="480"/>
      <c r="G546" s="221" t="s">
        <v>74</v>
      </c>
      <c r="H546" s="221" t="str" cm="1">
        <f t="array" ref="H546">IFERROR(INDEX(INVESTOR_LIST[INVESTOR NAME],MATCH(I546,INVESTOR_LIST[INVESTOR CODE],0),)," ")</f>
        <v xml:space="preserve"> </v>
      </c>
      <c r="I546" s="145" t="s">
        <v>348</v>
      </c>
      <c r="J546" s="146" t="s">
        <v>52</v>
      </c>
      <c r="K546" s="219"/>
      <c r="L546" s="219">
        <v>10</v>
      </c>
      <c r="M546" s="147">
        <v>0</v>
      </c>
      <c r="Q546" s="133" t="s">
        <v>348</v>
      </c>
    </row>
    <row r="547" spans="1:17" x14ac:dyDescent="0.2">
      <c r="A547" s="246">
        <v>2020</v>
      </c>
      <c r="B547" s="246">
        <v>8</v>
      </c>
      <c r="C547" s="246">
        <v>13</v>
      </c>
      <c r="D547" s="141">
        <f t="shared" si="22"/>
        <v>44056</v>
      </c>
      <c r="E547" s="275">
        <f t="shared" si="23"/>
        <v>44056</v>
      </c>
      <c r="F547" s="482" t="s">
        <v>105</v>
      </c>
      <c r="G547" s="247" t="s">
        <v>94</v>
      </c>
      <c r="H547" s="247" t="str" cm="1">
        <f t="array" ref="H547">IFERROR(INDEX(INVESTOR_LIST[INVESTOR NAME],MATCH(I547,INVESTOR_LIST[INVESTOR CODE],0),)," ")</f>
        <v xml:space="preserve"> </v>
      </c>
      <c r="I547" s="248" t="s">
        <v>348</v>
      </c>
      <c r="J547" s="249" t="s">
        <v>108</v>
      </c>
      <c r="K547" s="252">
        <v>1501505</v>
      </c>
      <c r="L547" s="252"/>
      <c r="M547" s="147">
        <v>0</v>
      </c>
      <c r="Q547" s="133" t="s">
        <v>348</v>
      </c>
    </row>
    <row r="548" spans="1:17" x14ac:dyDescent="0.2">
      <c r="A548" s="242">
        <v>2020</v>
      </c>
      <c r="B548" s="242">
        <v>8</v>
      </c>
      <c r="C548" s="242">
        <v>13</v>
      </c>
      <c r="D548" s="141">
        <f t="shared" si="22"/>
        <v>44056</v>
      </c>
      <c r="E548" s="275">
        <f t="shared" si="23"/>
        <v>44056</v>
      </c>
      <c r="F548" s="478"/>
      <c r="G548" s="243" t="s">
        <v>94</v>
      </c>
      <c r="H548" s="243" t="str" cm="1">
        <f t="array" ref="H548">IFERROR(INDEX(INVESTOR_LIST[INVESTOR NAME],MATCH(I548,INVESTOR_LIST[INVESTOR CODE],0),)," ")</f>
        <v xml:space="preserve"> </v>
      </c>
      <c r="I548" s="263" t="s">
        <v>348</v>
      </c>
      <c r="J548" s="244" t="s">
        <v>82</v>
      </c>
      <c r="K548" s="245"/>
      <c r="L548" s="245">
        <v>1501505</v>
      </c>
      <c r="M548" s="147">
        <v>0</v>
      </c>
      <c r="Q548" s="133" t="s">
        <v>348</v>
      </c>
    </row>
    <row r="549" spans="1:17" ht="22.5" x14ac:dyDescent="0.2">
      <c r="A549" s="246">
        <v>2020</v>
      </c>
      <c r="B549" s="246">
        <v>8</v>
      </c>
      <c r="C549" s="246">
        <v>13</v>
      </c>
      <c r="D549" s="141">
        <f t="shared" si="22"/>
        <v>44056</v>
      </c>
      <c r="E549" s="275">
        <f t="shared" si="23"/>
        <v>44056</v>
      </c>
      <c r="F549" s="482" t="s">
        <v>136</v>
      </c>
      <c r="G549" s="247" t="s">
        <v>94</v>
      </c>
      <c r="H549" s="247" t="str" cm="1">
        <f t="array" ref="H549">IFERROR(INDEX(INVESTOR_LIST[INVESTOR NAME],MATCH(I549,INVESTOR_LIST[INVESTOR CODE],0),)," ")</f>
        <v xml:space="preserve"> </v>
      </c>
      <c r="I549" s="248" t="s">
        <v>348</v>
      </c>
      <c r="J549" s="249" t="s">
        <v>95</v>
      </c>
      <c r="K549" s="252">
        <v>2747.25</v>
      </c>
      <c r="L549" s="252"/>
      <c r="M549" s="147">
        <v>0</v>
      </c>
      <c r="Q549" s="133" t="s">
        <v>348</v>
      </c>
    </row>
    <row r="550" spans="1:17" x14ac:dyDescent="0.2">
      <c r="A550" s="242">
        <v>2020</v>
      </c>
      <c r="B550" s="242">
        <v>8</v>
      </c>
      <c r="C550" s="242">
        <v>13</v>
      </c>
      <c r="D550" s="141">
        <f t="shared" si="22"/>
        <v>44056</v>
      </c>
      <c r="E550" s="275">
        <f t="shared" si="23"/>
        <v>44056</v>
      </c>
      <c r="F550" s="478"/>
      <c r="G550" s="243" t="s">
        <v>94</v>
      </c>
      <c r="H550" s="243" t="str" cm="1">
        <f t="array" ref="H550">IFERROR(INDEX(INVESTOR_LIST[INVESTOR NAME],MATCH(I550,INVESTOR_LIST[INVESTOR CODE],0),)," ")</f>
        <v xml:space="preserve"> </v>
      </c>
      <c r="I550" s="263" t="s">
        <v>348</v>
      </c>
      <c r="J550" s="244" t="s">
        <v>63</v>
      </c>
      <c r="K550" s="245"/>
      <c r="L550" s="245">
        <v>2747.25</v>
      </c>
      <c r="M550" s="147">
        <v>0</v>
      </c>
      <c r="Q550" s="133" t="s">
        <v>348</v>
      </c>
    </row>
    <row r="551" spans="1:17" x14ac:dyDescent="0.2">
      <c r="A551" s="246">
        <v>2020</v>
      </c>
      <c r="B551" s="246">
        <v>8</v>
      </c>
      <c r="C551" s="246">
        <v>13</v>
      </c>
      <c r="D551" s="141">
        <f t="shared" si="22"/>
        <v>44056</v>
      </c>
      <c r="E551" s="275">
        <f t="shared" si="23"/>
        <v>44056</v>
      </c>
      <c r="F551" s="482" t="s">
        <v>137</v>
      </c>
      <c r="G551" s="247" t="s">
        <v>94</v>
      </c>
      <c r="H551" s="247" t="str" cm="1">
        <f t="array" ref="H551">IFERROR(INDEX(INVESTOR_LIST[INVESTOR NAME],MATCH(I551,INVESTOR_LIST[INVESTOR CODE],0),)," ")</f>
        <v xml:space="preserve"> </v>
      </c>
      <c r="I551" s="248" t="s">
        <v>348</v>
      </c>
      <c r="J551" s="249" t="s">
        <v>97</v>
      </c>
      <c r="K551" s="252">
        <v>32441.72</v>
      </c>
      <c r="L551" s="252"/>
      <c r="M551" s="147">
        <v>0</v>
      </c>
      <c r="Q551" s="133" t="s">
        <v>348</v>
      </c>
    </row>
    <row r="552" spans="1:17" x14ac:dyDescent="0.2">
      <c r="A552" s="242">
        <v>2020</v>
      </c>
      <c r="B552" s="242">
        <v>8</v>
      </c>
      <c r="C552" s="242">
        <v>13</v>
      </c>
      <c r="D552" s="141">
        <f t="shared" si="22"/>
        <v>44056</v>
      </c>
      <c r="E552" s="275">
        <f t="shared" si="23"/>
        <v>44056</v>
      </c>
      <c r="F552" s="478"/>
      <c r="G552" s="243" t="s">
        <v>94</v>
      </c>
      <c r="H552" s="243" t="str" cm="1">
        <f t="array" ref="H552">IFERROR(INDEX(INVESTOR_LIST[INVESTOR NAME],MATCH(I552,INVESTOR_LIST[INVESTOR CODE],0),)," ")</f>
        <v xml:space="preserve"> </v>
      </c>
      <c r="I552" s="263" t="s">
        <v>348</v>
      </c>
      <c r="J552" s="244" t="s">
        <v>47</v>
      </c>
      <c r="K552" s="245"/>
      <c r="L552" s="245">
        <v>32441.72</v>
      </c>
      <c r="M552" s="147">
        <v>0</v>
      </c>
      <c r="Q552" s="133" t="s">
        <v>348</v>
      </c>
    </row>
    <row r="553" spans="1:17" x14ac:dyDescent="0.2">
      <c r="A553" s="246">
        <v>2020</v>
      </c>
      <c r="B553" s="246">
        <v>8</v>
      </c>
      <c r="C553" s="246">
        <v>13</v>
      </c>
      <c r="D553" s="141">
        <f t="shared" si="22"/>
        <v>44056</v>
      </c>
      <c r="E553" s="275">
        <f t="shared" si="23"/>
        <v>44056</v>
      </c>
      <c r="F553" s="482" t="s">
        <v>138</v>
      </c>
      <c r="G553" s="247" t="s">
        <v>94</v>
      </c>
      <c r="H553" s="247" t="str" cm="1">
        <f t="array" ref="H553">IFERROR(INDEX(INVESTOR_LIST[INVESTOR NAME],MATCH(I553,INVESTOR_LIST[INVESTOR CODE],0),)," ")</f>
        <v xml:space="preserve"> </v>
      </c>
      <c r="I553" s="248" t="s">
        <v>348</v>
      </c>
      <c r="J553" s="249" t="s">
        <v>100</v>
      </c>
      <c r="K553" s="252">
        <v>1381.08</v>
      </c>
      <c r="L553" s="252"/>
      <c r="M553" s="147">
        <v>0</v>
      </c>
      <c r="Q553" s="133" t="s">
        <v>348</v>
      </c>
    </row>
    <row r="554" spans="1:17" x14ac:dyDescent="0.2">
      <c r="A554" s="242">
        <v>2020</v>
      </c>
      <c r="B554" s="242">
        <v>8</v>
      </c>
      <c r="C554" s="242">
        <v>13</v>
      </c>
      <c r="D554" s="141">
        <f t="shared" si="22"/>
        <v>44056</v>
      </c>
      <c r="E554" s="275">
        <f t="shared" si="23"/>
        <v>44056</v>
      </c>
      <c r="F554" s="478"/>
      <c r="G554" s="243" t="s">
        <v>94</v>
      </c>
      <c r="H554" s="243" t="str" cm="1">
        <f t="array" ref="H554">IFERROR(INDEX(INVESTOR_LIST[INVESTOR NAME],MATCH(I554,INVESTOR_LIST[INVESTOR CODE],0),)," ")</f>
        <v xml:space="preserve"> </v>
      </c>
      <c r="I554" s="263" t="s">
        <v>348</v>
      </c>
      <c r="J554" s="244" t="s">
        <v>48</v>
      </c>
      <c r="K554" s="245"/>
      <c r="L554" s="245">
        <v>1381.08</v>
      </c>
      <c r="M554" s="147">
        <v>0</v>
      </c>
      <c r="Q554" s="133" t="s">
        <v>348</v>
      </c>
    </row>
    <row r="555" spans="1:17" x14ac:dyDescent="0.2">
      <c r="A555" s="246">
        <v>2020</v>
      </c>
      <c r="B555" s="246">
        <v>8</v>
      </c>
      <c r="C555" s="246">
        <v>13</v>
      </c>
      <c r="D555" s="141">
        <f t="shared" si="22"/>
        <v>44056</v>
      </c>
      <c r="E555" s="275">
        <f t="shared" si="23"/>
        <v>44056</v>
      </c>
      <c r="F555" s="482" t="s">
        <v>140</v>
      </c>
      <c r="G555" s="247" t="s">
        <v>94</v>
      </c>
      <c r="H555" s="247" t="str" cm="1">
        <f t="array" ref="H555">IFERROR(INDEX(INVESTOR_LIST[INVESTOR NAME],MATCH(I555,INVESTOR_LIST[INVESTOR CODE],0),)," ")</f>
        <v xml:space="preserve"> </v>
      </c>
      <c r="I555" s="248" t="s">
        <v>348</v>
      </c>
      <c r="J555" s="249" t="s">
        <v>103</v>
      </c>
      <c r="K555" s="252">
        <v>729.17</v>
      </c>
      <c r="L555" s="252"/>
      <c r="M555" s="147">
        <v>0</v>
      </c>
      <c r="Q555" s="133" t="s">
        <v>348</v>
      </c>
    </row>
    <row r="556" spans="1:17" x14ac:dyDescent="0.2">
      <c r="A556" s="242">
        <v>2020</v>
      </c>
      <c r="B556" s="242">
        <v>8</v>
      </c>
      <c r="C556" s="242">
        <v>13</v>
      </c>
      <c r="D556" s="141">
        <f t="shared" si="22"/>
        <v>44056</v>
      </c>
      <c r="E556" s="275">
        <f t="shared" si="23"/>
        <v>44056</v>
      </c>
      <c r="F556" s="478"/>
      <c r="G556" s="243" t="s">
        <v>94</v>
      </c>
      <c r="H556" s="243" t="str" cm="1">
        <f t="array" ref="H556">IFERROR(INDEX(INVESTOR_LIST[INVESTOR NAME],MATCH(I556,INVESTOR_LIST[INVESTOR CODE],0),)," ")</f>
        <v xml:space="preserve"> </v>
      </c>
      <c r="I556" s="263" t="s">
        <v>348</v>
      </c>
      <c r="J556" s="244" t="s">
        <v>50</v>
      </c>
      <c r="K556" s="245"/>
      <c r="L556" s="245">
        <v>729.17</v>
      </c>
      <c r="M556" s="147">
        <v>0</v>
      </c>
      <c r="Q556" s="133" t="s">
        <v>348</v>
      </c>
    </row>
    <row r="557" spans="1:17" ht="33.75" x14ac:dyDescent="0.2">
      <c r="A557" s="133">
        <v>2020</v>
      </c>
      <c r="B557" s="133">
        <v>8</v>
      </c>
      <c r="C557" s="133">
        <v>16</v>
      </c>
      <c r="D557" s="141">
        <f t="shared" si="22"/>
        <v>44059</v>
      </c>
      <c r="E557" s="275">
        <f t="shared" si="23"/>
        <v>44059</v>
      </c>
      <c r="F557" s="479" t="s">
        <v>964</v>
      </c>
      <c r="G557" s="174" t="s">
        <v>74</v>
      </c>
      <c r="H557" s="174" t="str" cm="1">
        <f t="array" ref="H557">IFERROR(INDEX(INVESTOR_LIST[INVESTOR NAME],MATCH(I557,INVESTOR_LIST[INVESTOR CODE],0),)," ")</f>
        <v>BABITA RANI BARMAN</v>
      </c>
      <c r="I557" s="148" t="s">
        <v>438</v>
      </c>
      <c r="J557" s="149" t="s">
        <v>52</v>
      </c>
      <c r="K557" s="218">
        <v>210000</v>
      </c>
      <c r="L557" s="218"/>
      <c r="M557" s="147">
        <v>0</v>
      </c>
      <c r="Q557" s="133" t="s">
        <v>438</v>
      </c>
    </row>
    <row r="558" spans="1:17" ht="33.75" x14ac:dyDescent="0.2">
      <c r="A558" s="133">
        <v>2020</v>
      </c>
      <c r="B558" s="133">
        <v>8</v>
      </c>
      <c r="C558" s="133">
        <v>16</v>
      </c>
      <c r="D558" s="141">
        <f t="shared" si="22"/>
        <v>44059</v>
      </c>
      <c r="E558" s="275">
        <f t="shared" si="23"/>
        <v>44059</v>
      </c>
      <c r="F558" s="481"/>
      <c r="G558" s="174" t="s">
        <v>74</v>
      </c>
      <c r="H558" s="174" t="str" cm="1">
        <f t="array" ref="H558">IFERROR(INDEX(INVESTOR_LIST[INVESTOR NAME],MATCH(I558,INVESTOR_LIST[INVESTOR CODE],0),)," ")</f>
        <v>BABITA RANI BARMAN</v>
      </c>
      <c r="I558" s="148" t="s">
        <v>438</v>
      </c>
      <c r="J558" s="149" t="s">
        <v>13</v>
      </c>
      <c r="K558" s="218"/>
      <c r="L558" s="218">
        <v>200000</v>
      </c>
      <c r="M558" s="147">
        <v>0</v>
      </c>
      <c r="Q558" s="133" t="s">
        <v>438</v>
      </c>
    </row>
    <row r="559" spans="1:17" ht="33.75" x14ac:dyDescent="0.2">
      <c r="A559" s="163">
        <v>2020</v>
      </c>
      <c r="B559" s="163">
        <v>8</v>
      </c>
      <c r="C559" s="163">
        <v>16</v>
      </c>
      <c r="D559" s="141">
        <f t="shared" si="22"/>
        <v>44059</v>
      </c>
      <c r="E559" s="275">
        <f t="shared" si="23"/>
        <v>44059</v>
      </c>
      <c r="F559" s="480"/>
      <c r="G559" s="221" t="s">
        <v>74</v>
      </c>
      <c r="H559" s="221" t="str" cm="1">
        <f t="array" ref="H559">IFERROR(INDEX(INVESTOR_LIST[INVESTOR NAME],MATCH(I559,INVESTOR_LIST[INVESTOR CODE],0),)," ")</f>
        <v>BABITA RANI BARMAN</v>
      </c>
      <c r="I559" s="145" t="s">
        <v>438</v>
      </c>
      <c r="J559" s="146" t="s">
        <v>53</v>
      </c>
      <c r="K559" s="219"/>
      <c r="L559" s="219">
        <f>K557-L558</f>
        <v>10000</v>
      </c>
      <c r="M559" s="147">
        <v>0</v>
      </c>
      <c r="Q559" s="133" t="s">
        <v>438</v>
      </c>
    </row>
    <row r="560" spans="1:17" ht="45" x14ac:dyDescent="0.2">
      <c r="A560" s="133">
        <v>2020</v>
      </c>
      <c r="B560" s="133">
        <v>8</v>
      </c>
      <c r="C560" s="133">
        <v>16</v>
      </c>
      <c r="D560" s="141">
        <f t="shared" si="22"/>
        <v>44059</v>
      </c>
      <c r="E560" s="275">
        <f t="shared" si="23"/>
        <v>44059</v>
      </c>
      <c r="F560" s="479" t="s">
        <v>964</v>
      </c>
      <c r="G560" s="174" t="s">
        <v>74</v>
      </c>
      <c r="H560" s="174" t="str" cm="1">
        <f t="array" ref="H560">IFERROR(INDEX(INVESTOR_LIST[INVESTOR NAME],MATCH(I560,INVESTOR_LIST[INVESTOR CODE],0),)," ")</f>
        <v>SANJEEDA SARMIN BADHAN</v>
      </c>
      <c r="I560" s="148" t="s">
        <v>435</v>
      </c>
      <c r="J560" s="149" t="s">
        <v>52</v>
      </c>
      <c r="K560" s="218">
        <v>50000</v>
      </c>
      <c r="L560" s="218"/>
      <c r="M560" s="147">
        <v>0</v>
      </c>
      <c r="Q560" s="133" t="s">
        <v>435</v>
      </c>
    </row>
    <row r="561" spans="1:17" ht="45" x14ac:dyDescent="0.2">
      <c r="A561" s="133">
        <v>2020</v>
      </c>
      <c r="B561" s="133">
        <v>8</v>
      </c>
      <c r="C561" s="133">
        <v>16</v>
      </c>
      <c r="D561" s="141">
        <f t="shared" si="22"/>
        <v>44059</v>
      </c>
      <c r="E561" s="275">
        <f t="shared" si="23"/>
        <v>44059</v>
      </c>
      <c r="F561" s="481"/>
      <c r="G561" s="174" t="s">
        <v>74</v>
      </c>
      <c r="H561" s="174" t="str" cm="1">
        <f t="array" ref="H561">IFERROR(INDEX(INVESTOR_LIST[INVESTOR NAME],MATCH(I561,INVESTOR_LIST[INVESTOR CODE],0),)," ")</f>
        <v>SANJEEDA SARMIN BADHAN</v>
      </c>
      <c r="I561" s="148" t="s">
        <v>435</v>
      </c>
      <c r="J561" s="149" t="s">
        <v>13</v>
      </c>
      <c r="K561" s="218"/>
      <c r="L561" s="218">
        <v>47620</v>
      </c>
      <c r="M561" s="147">
        <v>0</v>
      </c>
      <c r="Q561" s="133" t="s">
        <v>435</v>
      </c>
    </row>
    <row r="562" spans="1:17" ht="45" x14ac:dyDescent="0.2">
      <c r="A562" s="163">
        <v>2020</v>
      </c>
      <c r="B562" s="163">
        <v>8</v>
      </c>
      <c r="C562" s="163">
        <v>16</v>
      </c>
      <c r="D562" s="141">
        <f t="shared" si="22"/>
        <v>44059</v>
      </c>
      <c r="E562" s="275">
        <f t="shared" si="23"/>
        <v>44059</v>
      </c>
      <c r="F562" s="480"/>
      <c r="G562" s="221" t="s">
        <v>74</v>
      </c>
      <c r="H562" s="221" t="str" cm="1">
        <f t="array" ref="H562">IFERROR(INDEX(INVESTOR_LIST[INVESTOR NAME],MATCH(I562,INVESTOR_LIST[INVESTOR CODE],0),)," ")</f>
        <v>SANJEEDA SARMIN BADHAN</v>
      </c>
      <c r="I562" s="145" t="s">
        <v>435</v>
      </c>
      <c r="J562" s="146" t="s">
        <v>53</v>
      </c>
      <c r="K562" s="219"/>
      <c r="L562" s="219">
        <f>K560-L561</f>
        <v>2380</v>
      </c>
      <c r="M562" s="147">
        <v>0</v>
      </c>
      <c r="Q562" s="133" t="s">
        <v>435</v>
      </c>
    </row>
    <row r="563" spans="1:17" ht="33.75" x14ac:dyDescent="0.2">
      <c r="A563" s="133">
        <v>2020</v>
      </c>
      <c r="B563" s="133">
        <v>8</v>
      </c>
      <c r="C563" s="133">
        <v>16</v>
      </c>
      <c r="D563" s="141">
        <f t="shared" si="22"/>
        <v>44059</v>
      </c>
      <c r="E563" s="275">
        <f t="shared" si="23"/>
        <v>44059</v>
      </c>
      <c r="F563" s="479" t="s">
        <v>964</v>
      </c>
      <c r="G563" s="174" t="s">
        <v>74</v>
      </c>
      <c r="H563" s="174" t="str" cm="1">
        <f t="array" ref="H563">IFERROR(INDEX(INVESTOR_LIST[INVESTOR NAME],MATCH(I563,INVESTOR_LIST[INVESTOR CODE],0),)," ")</f>
        <v>REAZ UDDIN AHMED</v>
      </c>
      <c r="I563" s="148" t="s">
        <v>433</v>
      </c>
      <c r="J563" s="149" t="s">
        <v>52</v>
      </c>
      <c r="K563" s="218">
        <v>10500</v>
      </c>
      <c r="L563" s="218"/>
      <c r="M563" s="147">
        <v>0</v>
      </c>
      <c r="Q563" s="133" t="s">
        <v>433</v>
      </c>
    </row>
    <row r="564" spans="1:17" ht="33.75" x14ac:dyDescent="0.2">
      <c r="A564" s="133">
        <v>2020</v>
      </c>
      <c r="B564" s="133">
        <v>8</v>
      </c>
      <c r="C564" s="133">
        <v>16</v>
      </c>
      <c r="D564" s="141">
        <f t="shared" si="22"/>
        <v>44059</v>
      </c>
      <c r="E564" s="275">
        <f t="shared" si="23"/>
        <v>44059</v>
      </c>
      <c r="F564" s="481"/>
      <c r="G564" s="174" t="s">
        <v>74</v>
      </c>
      <c r="H564" s="174" t="str" cm="1">
        <f t="array" ref="H564">IFERROR(INDEX(INVESTOR_LIST[INVESTOR NAME],MATCH(I564,INVESTOR_LIST[INVESTOR CODE],0),)," ")</f>
        <v>REAZ UDDIN AHMED</v>
      </c>
      <c r="I564" s="148" t="s">
        <v>433</v>
      </c>
      <c r="J564" s="149" t="s">
        <v>13</v>
      </c>
      <c r="K564" s="218"/>
      <c r="L564" s="218">
        <v>10000</v>
      </c>
      <c r="M564" s="147">
        <v>4</v>
      </c>
      <c r="Q564" s="133" t="s">
        <v>433</v>
      </c>
    </row>
    <row r="565" spans="1:17" ht="33.75" x14ac:dyDescent="0.2">
      <c r="A565" s="163">
        <v>2020</v>
      </c>
      <c r="B565" s="163">
        <v>8</v>
      </c>
      <c r="C565" s="163">
        <v>16</v>
      </c>
      <c r="D565" s="141">
        <f t="shared" si="22"/>
        <v>44059</v>
      </c>
      <c r="E565" s="275">
        <f t="shared" si="23"/>
        <v>44059</v>
      </c>
      <c r="F565" s="480"/>
      <c r="G565" s="221" t="s">
        <v>74</v>
      </c>
      <c r="H565" s="221" t="str" cm="1">
        <f t="array" ref="H565">IFERROR(INDEX(INVESTOR_LIST[INVESTOR NAME],MATCH(I565,INVESTOR_LIST[INVESTOR CODE],0),)," ")</f>
        <v>REAZ UDDIN AHMED</v>
      </c>
      <c r="I565" s="145" t="s">
        <v>433</v>
      </c>
      <c r="J565" s="146" t="s">
        <v>53</v>
      </c>
      <c r="K565" s="219"/>
      <c r="L565" s="219">
        <f>K563-L564</f>
        <v>500</v>
      </c>
      <c r="M565" s="147">
        <v>0</v>
      </c>
      <c r="Q565" s="133" t="s">
        <v>433</v>
      </c>
    </row>
    <row r="566" spans="1:17" x14ac:dyDescent="0.2">
      <c r="A566" s="133">
        <v>2020</v>
      </c>
      <c r="B566" s="133">
        <v>8</v>
      </c>
      <c r="C566" s="133">
        <v>16</v>
      </c>
      <c r="D566" s="141">
        <f t="shared" si="22"/>
        <v>44059</v>
      </c>
      <c r="E566" s="275">
        <f t="shared" si="23"/>
        <v>44059</v>
      </c>
      <c r="F566" s="481" t="s">
        <v>173</v>
      </c>
      <c r="G566" s="174" t="s">
        <v>94</v>
      </c>
      <c r="H566" s="174" t="str" cm="1">
        <f t="array" ref="H566">IFERROR(INDEX(INVESTOR_LIST[INVESTOR NAME],MATCH(I566,INVESTOR_LIST[INVESTOR CODE],0),)," ")</f>
        <v xml:space="preserve"> </v>
      </c>
      <c r="I566" s="148" t="s">
        <v>348</v>
      </c>
      <c r="J566" s="149" t="s">
        <v>79</v>
      </c>
      <c r="K566" s="218">
        <v>3075022.9</v>
      </c>
      <c r="L566" s="218"/>
      <c r="M566" s="147">
        <v>0</v>
      </c>
      <c r="Q566" s="133" t="s">
        <v>348</v>
      </c>
    </row>
    <row r="567" spans="1:17" x14ac:dyDescent="0.2">
      <c r="A567" s="133">
        <v>2020</v>
      </c>
      <c r="B567" s="133">
        <v>8</v>
      </c>
      <c r="C567" s="133">
        <v>16</v>
      </c>
      <c r="D567" s="141">
        <f t="shared" si="22"/>
        <v>44059</v>
      </c>
      <c r="E567" s="275">
        <f t="shared" si="23"/>
        <v>44059</v>
      </c>
      <c r="F567" s="481"/>
      <c r="G567" s="174" t="s">
        <v>94</v>
      </c>
      <c r="H567" s="174" t="str" cm="1">
        <f t="array" ref="H567">IFERROR(INDEX(INVESTOR_LIST[INVESTOR NAME],MATCH(I567,INVESTOR_LIST[INVESTOR CODE],0),)," ")</f>
        <v xml:space="preserve"> </v>
      </c>
      <c r="I567" s="148" t="s">
        <v>348</v>
      </c>
      <c r="J567" s="149" t="s">
        <v>80</v>
      </c>
      <c r="K567" s="218">
        <v>5535.04</v>
      </c>
      <c r="L567" s="218"/>
      <c r="M567" s="147">
        <v>0</v>
      </c>
      <c r="Q567" s="133" t="s">
        <v>348</v>
      </c>
    </row>
    <row r="568" spans="1:17" x14ac:dyDescent="0.2">
      <c r="A568" s="163">
        <v>2020</v>
      </c>
      <c r="B568" s="163">
        <v>8</v>
      </c>
      <c r="C568" s="163">
        <v>16</v>
      </c>
      <c r="D568" s="141">
        <f t="shared" si="22"/>
        <v>44059</v>
      </c>
      <c r="E568" s="275">
        <f t="shared" si="23"/>
        <v>44059</v>
      </c>
      <c r="F568" s="480"/>
      <c r="G568" s="221" t="s">
        <v>94</v>
      </c>
      <c r="H568" s="221" t="str" cm="1">
        <f t="array" ref="H568">IFERROR(INDEX(INVESTOR_LIST[INVESTOR NAME],MATCH(I568,INVESTOR_LIST[INVESTOR CODE],0),)," ")</f>
        <v xml:space="preserve"> </v>
      </c>
      <c r="I568" s="145" t="s">
        <v>348</v>
      </c>
      <c r="J568" s="146" t="s">
        <v>147</v>
      </c>
      <c r="K568" s="219"/>
      <c r="L568" s="219">
        <v>3080557.94</v>
      </c>
      <c r="M568" s="147">
        <v>0</v>
      </c>
      <c r="Q568" s="133" t="s">
        <v>348</v>
      </c>
    </row>
    <row r="569" spans="1:17" ht="15" customHeight="1" x14ac:dyDescent="0.2">
      <c r="A569" s="133">
        <v>2020</v>
      </c>
      <c r="B569" s="133">
        <v>8</v>
      </c>
      <c r="C569" s="133">
        <v>16</v>
      </c>
      <c r="D569" s="141">
        <f t="shared" si="22"/>
        <v>44059</v>
      </c>
      <c r="E569" s="275">
        <f t="shared" si="23"/>
        <v>44059</v>
      </c>
      <c r="F569" s="481" t="s">
        <v>277</v>
      </c>
      <c r="G569" s="174" t="s">
        <v>74</v>
      </c>
      <c r="H569" s="174" t="str" cm="1">
        <f t="array" ref="H569">IFERROR(INDEX(INVESTOR_LIST[INVESTOR NAME],MATCH(I569,INVESTOR_LIST[INVESTOR CODE],0),)," ")</f>
        <v xml:space="preserve"> </v>
      </c>
      <c r="I569" s="148" t="s">
        <v>348</v>
      </c>
      <c r="J569" s="149" t="s">
        <v>147</v>
      </c>
      <c r="K569" s="218">
        <v>16326630.33</v>
      </c>
      <c r="L569" s="218"/>
      <c r="M569" s="147">
        <v>0</v>
      </c>
      <c r="Q569" s="133" t="s">
        <v>348</v>
      </c>
    </row>
    <row r="570" spans="1:17" x14ac:dyDescent="0.2">
      <c r="A570" s="163">
        <v>2020</v>
      </c>
      <c r="B570" s="163">
        <v>8</v>
      </c>
      <c r="C570" s="163">
        <v>16</v>
      </c>
      <c r="D570" s="141">
        <f t="shared" si="22"/>
        <v>44059</v>
      </c>
      <c r="E570" s="275">
        <f t="shared" si="23"/>
        <v>44059</v>
      </c>
      <c r="F570" s="480"/>
      <c r="G570" s="221" t="s">
        <v>74</v>
      </c>
      <c r="H570" s="221" t="str" cm="1">
        <f t="array" ref="H570">IFERROR(INDEX(INVESTOR_LIST[INVESTOR NAME],MATCH(I570,INVESTOR_LIST[INVESTOR CODE],0),)," ")</f>
        <v xml:space="preserve"> </v>
      </c>
      <c r="I570" s="145" t="s">
        <v>348</v>
      </c>
      <c r="J570" s="146" t="s">
        <v>52</v>
      </c>
      <c r="K570" s="219"/>
      <c r="L570" s="219">
        <v>16326630.33</v>
      </c>
      <c r="M570" s="147">
        <v>0</v>
      </c>
      <c r="Q570" s="133" t="s">
        <v>348</v>
      </c>
    </row>
    <row r="571" spans="1:17" ht="22.5" x14ac:dyDescent="0.2">
      <c r="A571" s="133">
        <v>2020</v>
      </c>
      <c r="B571" s="133">
        <v>8</v>
      </c>
      <c r="C571" s="133">
        <v>17</v>
      </c>
      <c r="D571" s="141">
        <f t="shared" si="22"/>
        <v>44060</v>
      </c>
      <c r="E571" s="275">
        <f t="shared" si="23"/>
        <v>44060</v>
      </c>
      <c r="F571" s="479" t="s">
        <v>964</v>
      </c>
      <c r="G571" s="174" t="s">
        <v>74</v>
      </c>
      <c r="H571" s="174" t="str" cm="1">
        <f t="array" ref="H571">IFERROR(INDEX(INVESTOR_LIST[INVESTOR NAME],MATCH(I571,INVESTOR_LIST[INVESTOR CODE],0),)," ")</f>
        <v>SUJAN BARUA</v>
      </c>
      <c r="I571" s="148" t="s">
        <v>434</v>
      </c>
      <c r="J571" s="149" t="s">
        <v>52</v>
      </c>
      <c r="K571" s="218">
        <v>10500</v>
      </c>
      <c r="L571" s="218"/>
      <c r="M571" s="147">
        <v>0</v>
      </c>
      <c r="Q571" s="133" t="s">
        <v>434</v>
      </c>
    </row>
    <row r="572" spans="1:17" ht="22.5" x14ac:dyDescent="0.2">
      <c r="A572" s="133">
        <v>2020</v>
      </c>
      <c r="B572" s="133">
        <v>8</v>
      </c>
      <c r="C572" s="133">
        <v>17</v>
      </c>
      <c r="D572" s="141">
        <f t="shared" si="22"/>
        <v>44060</v>
      </c>
      <c r="E572" s="275">
        <f t="shared" si="23"/>
        <v>44060</v>
      </c>
      <c r="F572" s="481"/>
      <c r="G572" s="174" t="s">
        <v>74</v>
      </c>
      <c r="H572" s="174" t="str" cm="1">
        <f t="array" ref="H572">IFERROR(INDEX(INVESTOR_LIST[INVESTOR NAME],MATCH(I572,INVESTOR_LIST[INVESTOR CODE],0),)," ")</f>
        <v>SUJAN BARUA</v>
      </c>
      <c r="I572" s="148" t="s">
        <v>434</v>
      </c>
      <c r="J572" s="149" t="s">
        <v>13</v>
      </c>
      <c r="K572" s="218"/>
      <c r="L572" s="218">
        <v>10000</v>
      </c>
      <c r="M572" s="147">
        <v>0</v>
      </c>
      <c r="Q572" s="133" t="s">
        <v>434</v>
      </c>
    </row>
    <row r="573" spans="1:17" ht="22.5" x14ac:dyDescent="0.2">
      <c r="A573" s="163">
        <v>2020</v>
      </c>
      <c r="B573" s="163">
        <v>8</v>
      </c>
      <c r="C573" s="163">
        <v>17</v>
      </c>
      <c r="D573" s="141">
        <f t="shared" si="22"/>
        <v>44060</v>
      </c>
      <c r="E573" s="275">
        <f t="shared" si="23"/>
        <v>44060</v>
      </c>
      <c r="F573" s="480"/>
      <c r="G573" s="221" t="s">
        <v>74</v>
      </c>
      <c r="H573" s="221" t="str" cm="1">
        <f t="array" ref="H573">IFERROR(INDEX(INVESTOR_LIST[INVESTOR NAME],MATCH(I573,INVESTOR_LIST[INVESTOR CODE],0),)," ")</f>
        <v>SUJAN BARUA</v>
      </c>
      <c r="I573" s="145" t="s">
        <v>434</v>
      </c>
      <c r="J573" s="146" t="s">
        <v>53</v>
      </c>
      <c r="K573" s="219"/>
      <c r="L573" s="219">
        <f>K571-L572</f>
        <v>500</v>
      </c>
      <c r="M573" s="147">
        <v>0</v>
      </c>
      <c r="Q573" s="133" t="s">
        <v>434</v>
      </c>
    </row>
    <row r="574" spans="1:17" x14ac:dyDescent="0.2">
      <c r="A574" s="133">
        <v>2020</v>
      </c>
      <c r="B574" s="133">
        <v>8</v>
      </c>
      <c r="C574" s="133">
        <v>17</v>
      </c>
      <c r="D574" s="141">
        <f t="shared" si="22"/>
        <v>44060</v>
      </c>
      <c r="E574" s="275">
        <f t="shared" si="23"/>
        <v>44060</v>
      </c>
      <c r="F574" s="481" t="s">
        <v>172</v>
      </c>
      <c r="G574" s="174" t="s">
        <v>74</v>
      </c>
      <c r="H574" s="174" t="str" cm="1">
        <f t="array" ref="H574">IFERROR(INDEX(INVESTOR_LIST[INVESTOR NAME],MATCH(I574,INVESTOR_LIST[INVESTOR CODE],0),)," ")</f>
        <v xml:space="preserve"> </v>
      </c>
      <c r="I574" s="148" t="s">
        <v>348</v>
      </c>
      <c r="J574" s="149" t="s">
        <v>147</v>
      </c>
      <c r="K574" s="218">
        <v>3080557.94</v>
      </c>
      <c r="L574" s="218"/>
      <c r="M574" s="147">
        <v>1</v>
      </c>
      <c r="Q574" s="133" t="s">
        <v>348</v>
      </c>
    </row>
    <row r="575" spans="1:17" x14ac:dyDescent="0.2">
      <c r="A575" s="163">
        <v>2020</v>
      </c>
      <c r="B575" s="163">
        <v>8</v>
      </c>
      <c r="C575" s="163">
        <v>17</v>
      </c>
      <c r="D575" s="141">
        <f t="shared" si="22"/>
        <v>44060</v>
      </c>
      <c r="E575" s="275">
        <f t="shared" si="23"/>
        <v>44060</v>
      </c>
      <c r="F575" s="480"/>
      <c r="G575" s="221" t="s">
        <v>74</v>
      </c>
      <c r="H575" s="221" t="str" cm="1">
        <f t="array" ref="H575">IFERROR(INDEX(INVESTOR_LIST[INVESTOR NAME],MATCH(I575,INVESTOR_LIST[INVESTOR CODE],0),)," ")</f>
        <v xml:space="preserve"> </v>
      </c>
      <c r="I575" s="145" t="s">
        <v>348</v>
      </c>
      <c r="J575" s="146" t="s">
        <v>52</v>
      </c>
      <c r="K575" s="219"/>
      <c r="L575" s="219">
        <v>3080557.94</v>
      </c>
      <c r="M575" s="147">
        <v>0</v>
      </c>
      <c r="Q575" s="133" t="s">
        <v>348</v>
      </c>
    </row>
    <row r="576" spans="1:17" ht="33.75" x14ac:dyDescent="0.2">
      <c r="A576" s="133">
        <v>2020</v>
      </c>
      <c r="B576" s="133">
        <v>8</v>
      </c>
      <c r="C576" s="133">
        <v>18</v>
      </c>
      <c r="D576" s="141">
        <f t="shared" si="22"/>
        <v>44061</v>
      </c>
      <c r="E576" s="275">
        <f t="shared" si="23"/>
        <v>44061</v>
      </c>
      <c r="F576" s="479" t="s">
        <v>964</v>
      </c>
      <c r="G576" s="174" t="s">
        <v>74</v>
      </c>
      <c r="H576" s="174" t="str" cm="1">
        <f t="array" ref="H576">IFERROR(INDEX(INVESTOR_LIST[INVESTOR NAME],MATCH(I576,INVESTOR_LIST[INVESTOR CODE],0),)," ")</f>
        <v>AHMAD ZAHID ZAKI</v>
      </c>
      <c r="I576" s="148" t="s">
        <v>432</v>
      </c>
      <c r="J576" s="149" t="s">
        <v>52</v>
      </c>
      <c r="K576" s="218">
        <v>2552</v>
      </c>
      <c r="L576" s="218"/>
      <c r="M576" s="147">
        <v>0</v>
      </c>
      <c r="Q576" s="133" t="s">
        <v>432</v>
      </c>
    </row>
    <row r="577" spans="1:17" ht="33.75" x14ac:dyDescent="0.2">
      <c r="A577" s="133">
        <v>2020</v>
      </c>
      <c r="B577" s="133">
        <v>8</v>
      </c>
      <c r="C577" s="133">
        <v>18</v>
      </c>
      <c r="D577" s="141">
        <f t="shared" si="22"/>
        <v>44061</v>
      </c>
      <c r="E577" s="275">
        <f t="shared" si="23"/>
        <v>44061</v>
      </c>
      <c r="F577" s="481"/>
      <c r="G577" s="174" t="s">
        <v>74</v>
      </c>
      <c r="H577" s="174" t="str" cm="1">
        <f t="array" ref="H577">IFERROR(INDEX(INVESTOR_LIST[INVESTOR NAME],MATCH(I577,INVESTOR_LIST[INVESTOR CODE],0),)," ")</f>
        <v>AHMAD ZAHID ZAKI</v>
      </c>
      <c r="I577" s="148" t="s">
        <v>432</v>
      </c>
      <c r="J577" s="149" t="s">
        <v>13</v>
      </c>
      <c r="K577" s="218"/>
      <c r="L577" s="218">
        <v>2380</v>
      </c>
      <c r="M577" s="147">
        <v>0</v>
      </c>
      <c r="Q577" s="133" t="s">
        <v>432</v>
      </c>
    </row>
    <row r="578" spans="1:17" ht="33.75" x14ac:dyDescent="0.2">
      <c r="A578" s="163">
        <v>2020</v>
      </c>
      <c r="B578" s="163">
        <v>8</v>
      </c>
      <c r="C578" s="163">
        <v>18</v>
      </c>
      <c r="D578" s="141">
        <f t="shared" si="22"/>
        <v>44061</v>
      </c>
      <c r="E578" s="275">
        <f t="shared" si="23"/>
        <v>44061</v>
      </c>
      <c r="F578" s="480"/>
      <c r="G578" s="221" t="s">
        <v>74</v>
      </c>
      <c r="H578" s="221" t="str" cm="1">
        <f t="array" ref="H578">IFERROR(INDEX(INVESTOR_LIST[INVESTOR NAME],MATCH(I578,INVESTOR_LIST[INVESTOR CODE],0),)," ")</f>
        <v>AHMAD ZAHID ZAKI</v>
      </c>
      <c r="I578" s="145" t="s">
        <v>432</v>
      </c>
      <c r="J578" s="146" t="s">
        <v>53</v>
      </c>
      <c r="K578" s="219"/>
      <c r="L578" s="219">
        <f>K576-L577</f>
        <v>172</v>
      </c>
      <c r="M578" s="147">
        <v>0</v>
      </c>
      <c r="Q578" s="133" t="s">
        <v>432</v>
      </c>
    </row>
    <row r="579" spans="1:17" ht="45" x14ac:dyDescent="0.2">
      <c r="A579" s="168">
        <v>2020</v>
      </c>
      <c r="B579" s="168">
        <v>8</v>
      </c>
      <c r="C579" s="168">
        <v>18</v>
      </c>
      <c r="D579" s="141">
        <f t="shared" si="22"/>
        <v>44061</v>
      </c>
      <c r="E579" s="275">
        <f t="shared" si="23"/>
        <v>44061</v>
      </c>
      <c r="F579" s="479" t="s">
        <v>964</v>
      </c>
      <c r="G579" s="220" t="s">
        <v>74</v>
      </c>
      <c r="H579" s="220" t="str" cm="1">
        <f t="array" ref="H579">IFERROR(INDEX(INVESTOR_LIST[INVESTOR NAME],MATCH(I579,INVESTOR_LIST[INVESTOR CODE],0),)," ")</f>
        <v>PHOENIX INSURANCE CO. LTD.</v>
      </c>
      <c r="I579" s="142" t="s">
        <v>436</v>
      </c>
      <c r="J579" s="143" t="s">
        <v>52</v>
      </c>
      <c r="K579" s="226">
        <v>1000000</v>
      </c>
      <c r="L579" s="226"/>
      <c r="M579" s="147">
        <v>0</v>
      </c>
      <c r="Q579" s="133" t="s">
        <v>436</v>
      </c>
    </row>
    <row r="580" spans="1:17" ht="45" x14ac:dyDescent="0.2">
      <c r="A580" s="133">
        <v>2020</v>
      </c>
      <c r="B580" s="133">
        <v>8</v>
      </c>
      <c r="C580" s="133">
        <v>18</v>
      </c>
      <c r="D580" s="141">
        <f t="shared" si="22"/>
        <v>44061</v>
      </c>
      <c r="E580" s="275">
        <f t="shared" si="23"/>
        <v>44061</v>
      </c>
      <c r="F580" s="481"/>
      <c r="G580" s="174" t="s">
        <v>74</v>
      </c>
      <c r="H580" s="174" t="str" cm="1">
        <f t="array" ref="H580">IFERROR(INDEX(INVESTOR_LIST[INVESTOR NAME],MATCH(I580,INVESTOR_LIST[INVESTOR CODE],0),)," ")</f>
        <v>PHOENIX INSURANCE CO. LTD.</v>
      </c>
      <c r="I580" s="148" t="s">
        <v>436</v>
      </c>
      <c r="J580" s="149" t="s">
        <v>13</v>
      </c>
      <c r="K580" s="218"/>
      <c r="L580" s="218">
        <v>932830</v>
      </c>
      <c r="M580" s="147">
        <v>0</v>
      </c>
      <c r="Q580" s="133" t="s">
        <v>436</v>
      </c>
    </row>
    <row r="581" spans="1:17" ht="45" x14ac:dyDescent="0.2">
      <c r="A581" s="163">
        <v>2020</v>
      </c>
      <c r="B581" s="163">
        <v>8</v>
      </c>
      <c r="C581" s="163">
        <v>18</v>
      </c>
      <c r="D581" s="141">
        <f t="shared" si="22"/>
        <v>44061</v>
      </c>
      <c r="E581" s="275">
        <f t="shared" si="23"/>
        <v>44061</v>
      </c>
      <c r="F581" s="480"/>
      <c r="G581" s="221" t="s">
        <v>74</v>
      </c>
      <c r="H581" s="221" t="str" cm="1">
        <f t="array" ref="H581">IFERROR(INDEX(INVESTOR_LIST[INVESTOR NAME],MATCH(I581,INVESTOR_LIST[INVESTOR CODE],0),)," ")</f>
        <v>PHOENIX INSURANCE CO. LTD.</v>
      </c>
      <c r="I581" s="145" t="s">
        <v>436</v>
      </c>
      <c r="J581" s="146" t="s">
        <v>53</v>
      </c>
      <c r="K581" s="219"/>
      <c r="L581" s="219">
        <f>K579-L580</f>
        <v>67170</v>
      </c>
      <c r="M581" s="147">
        <v>0</v>
      </c>
      <c r="Q581" s="133" t="s">
        <v>436</v>
      </c>
    </row>
    <row r="582" spans="1:17" x14ac:dyDescent="0.2">
      <c r="A582" s="133">
        <v>2020</v>
      </c>
      <c r="B582" s="133">
        <v>8</v>
      </c>
      <c r="C582" s="133">
        <v>18</v>
      </c>
      <c r="D582" s="141">
        <f t="shared" si="22"/>
        <v>44061</v>
      </c>
      <c r="E582" s="275">
        <f t="shared" si="23"/>
        <v>44061</v>
      </c>
      <c r="F582" s="481" t="s">
        <v>77</v>
      </c>
      <c r="G582" s="174" t="s">
        <v>74</v>
      </c>
      <c r="H582" s="174" t="str" cm="1">
        <f t="array" ref="H582">IFERROR(INDEX(INVESTOR_LIST[INVESTOR NAME],MATCH(I582,INVESTOR_LIST[INVESTOR CODE],0),)," ")</f>
        <v xml:space="preserve"> </v>
      </c>
      <c r="I582" s="148" t="s">
        <v>348</v>
      </c>
      <c r="J582" s="149" t="s">
        <v>61</v>
      </c>
      <c r="K582" s="218">
        <v>60</v>
      </c>
      <c r="L582" s="218"/>
      <c r="M582" s="147">
        <v>0</v>
      </c>
      <c r="Q582" s="133" t="s">
        <v>348</v>
      </c>
    </row>
    <row r="583" spans="1:17" x14ac:dyDescent="0.2">
      <c r="A583" s="163">
        <v>2020</v>
      </c>
      <c r="B583" s="163">
        <v>8</v>
      </c>
      <c r="C583" s="163">
        <v>18</v>
      </c>
      <c r="D583" s="141">
        <f t="shared" si="22"/>
        <v>44061</v>
      </c>
      <c r="E583" s="275">
        <f t="shared" si="23"/>
        <v>44061</v>
      </c>
      <c r="F583" s="480"/>
      <c r="G583" s="221" t="s">
        <v>74</v>
      </c>
      <c r="H583" s="221" t="str" cm="1">
        <f t="array" ref="H583">IFERROR(INDEX(INVESTOR_LIST[INVESTOR NAME],MATCH(I583,INVESTOR_LIST[INVESTOR CODE],0),)," ")</f>
        <v xml:space="preserve"> </v>
      </c>
      <c r="I583" s="145" t="s">
        <v>348</v>
      </c>
      <c r="J583" s="146" t="s">
        <v>52</v>
      </c>
      <c r="K583" s="219"/>
      <c r="L583" s="219">
        <v>60</v>
      </c>
      <c r="M583" s="147">
        <v>0</v>
      </c>
      <c r="Q583" s="133" t="s">
        <v>348</v>
      </c>
    </row>
    <row r="584" spans="1:17" ht="33.75" x14ac:dyDescent="0.2">
      <c r="A584" s="133">
        <v>2020</v>
      </c>
      <c r="B584" s="133">
        <v>8</v>
      </c>
      <c r="C584" s="133">
        <v>19</v>
      </c>
      <c r="D584" s="141">
        <f t="shared" si="22"/>
        <v>44062</v>
      </c>
      <c r="E584" s="275">
        <f t="shared" si="23"/>
        <v>44062</v>
      </c>
      <c r="F584" s="479" t="s">
        <v>964</v>
      </c>
      <c r="G584" s="174" t="s">
        <v>74</v>
      </c>
      <c r="H584" s="174" t="str" cm="1">
        <f t="array" ref="H584">IFERROR(INDEX(INVESTOR_LIST[INVESTOR NAME],MATCH(I584,INVESTOR_LIST[INVESTOR CODE],0),)," ")</f>
        <v>MD. SHAIFUL AZAM</v>
      </c>
      <c r="I584" s="148" t="s">
        <v>440</v>
      </c>
      <c r="J584" s="149" t="s">
        <v>52</v>
      </c>
      <c r="K584" s="218">
        <v>200000</v>
      </c>
      <c r="L584" s="218"/>
      <c r="M584" s="147">
        <v>0</v>
      </c>
      <c r="Q584" s="133" t="s">
        <v>440</v>
      </c>
    </row>
    <row r="585" spans="1:17" ht="33.75" x14ac:dyDescent="0.2">
      <c r="A585" s="133">
        <v>2020</v>
      </c>
      <c r="B585" s="133">
        <v>8</v>
      </c>
      <c r="C585" s="133">
        <v>19</v>
      </c>
      <c r="D585" s="141">
        <f t="shared" si="22"/>
        <v>44062</v>
      </c>
      <c r="E585" s="275">
        <f t="shared" si="23"/>
        <v>44062</v>
      </c>
      <c r="F585" s="481"/>
      <c r="G585" s="174" t="s">
        <v>74</v>
      </c>
      <c r="H585" s="174" t="str" cm="1">
        <f t="array" ref="H585">IFERROR(INDEX(INVESTOR_LIST[INVESTOR NAME],MATCH(I585,INVESTOR_LIST[INVESTOR CODE],0),)," ")</f>
        <v>MD. SHAIFUL AZAM</v>
      </c>
      <c r="I585" s="148" t="s">
        <v>440</v>
      </c>
      <c r="J585" s="149" t="s">
        <v>13</v>
      </c>
      <c r="K585" s="218"/>
      <c r="L585" s="218">
        <v>190480</v>
      </c>
      <c r="M585" s="147">
        <v>0</v>
      </c>
      <c r="Q585" s="133" t="s">
        <v>440</v>
      </c>
    </row>
    <row r="586" spans="1:17" ht="33.75" x14ac:dyDescent="0.2">
      <c r="A586" s="163">
        <v>2020</v>
      </c>
      <c r="B586" s="163">
        <v>8</v>
      </c>
      <c r="C586" s="163">
        <v>19</v>
      </c>
      <c r="D586" s="141">
        <f t="shared" si="22"/>
        <v>44062</v>
      </c>
      <c r="E586" s="275">
        <f t="shared" si="23"/>
        <v>44062</v>
      </c>
      <c r="F586" s="480"/>
      <c r="G586" s="221" t="s">
        <v>74</v>
      </c>
      <c r="H586" s="221" t="str" cm="1">
        <f t="array" ref="H586">IFERROR(INDEX(INVESTOR_LIST[INVESTOR NAME],MATCH(I586,INVESTOR_LIST[INVESTOR CODE],0),)," ")</f>
        <v>MD. SHAIFUL AZAM</v>
      </c>
      <c r="I586" s="145" t="s">
        <v>440</v>
      </c>
      <c r="J586" s="146" t="s">
        <v>53</v>
      </c>
      <c r="K586" s="219"/>
      <c r="L586" s="219">
        <f>K584-L585</f>
        <v>9520</v>
      </c>
      <c r="M586" s="147">
        <v>1</v>
      </c>
      <c r="Q586" s="133" t="s">
        <v>440</v>
      </c>
    </row>
    <row r="587" spans="1:17" ht="33.75" x14ac:dyDescent="0.2">
      <c r="A587" s="133">
        <v>2020</v>
      </c>
      <c r="B587" s="133">
        <v>8</v>
      </c>
      <c r="C587" s="133">
        <v>19</v>
      </c>
      <c r="D587" s="141">
        <f t="shared" si="22"/>
        <v>44062</v>
      </c>
      <c r="E587" s="275">
        <f t="shared" si="23"/>
        <v>44062</v>
      </c>
      <c r="F587" s="479" t="s">
        <v>964</v>
      </c>
      <c r="G587" s="174" t="s">
        <v>74</v>
      </c>
      <c r="H587" s="174" t="str" cm="1">
        <f t="array" ref="H587">IFERROR(INDEX(INVESTOR_LIST[INVESTOR NAME],MATCH(I587,INVESTOR_LIST[INVESTOR CODE],0),)," ")</f>
        <v>MD. GIAS UDDIN</v>
      </c>
      <c r="I587" s="148" t="s">
        <v>439</v>
      </c>
      <c r="J587" s="149" t="s">
        <v>52</v>
      </c>
      <c r="K587" s="218">
        <v>250000</v>
      </c>
      <c r="L587" s="218"/>
      <c r="M587" s="147">
        <v>0</v>
      </c>
      <c r="Q587" s="133" t="s">
        <v>439</v>
      </c>
    </row>
    <row r="588" spans="1:17" ht="33.75" x14ac:dyDescent="0.2">
      <c r="A588" s="133">
        <v>2020</v>
      </c>
      <c r="B588" s="133">
        <v>8</v>
      </c>
      <c r="C588" s="133">
        <v>19</v>
      </c>
      <c r="D588" s="141">
        <f t="shared" si="22"/>
        <v>44062</v>
      </c>
      <c r="E588" s="275">
        <f t="shared" si="23"/>
        <v>44062</v>
      </c>
      <c r="F588" s="481"/>
      <c r="G588" s="174" t="s">
        <v>74</v>
      </c>
      <c r="H588" s="174" t="str" cm="1">
        <f t="array" ref="H588">IFERROR(INDEX(INVESTOR_LIST[INVESTOR NAME],MATCH(I588,INVESTOR_LIST[INVESTOR CODE],0),)," ")</f>
        <v>MD. GIAS UDDIN</v>
      </c>
      <c r="I588" s="148" t="s">
        <v>439</v>
      </c>
      <c r="J588" s="149" t="s">
        <v>13</v>
      </c>
      <c r="K588" s="218"/>
      <c r="L588" s="218">
        <v>233210</v>
      </c>
      <c r="M588" s="147">
        <v>0</v>
      </c>
      <c r="Q588" s="133" t="s">
        <v>439</v>
      </c>
    </row>
    <row r="589" spans="1:17" ht="33.75" x14ac:dyDescent="0.2">
      <c r="A589" s="163">
        <v>2020</v>
      </c>
      <c r="B589" s="163">
        <v>8</v>
      </c>
      <c r="C589" s="163">
        <v>19</v>
      </c>
      <c r="D589" s="141">
        <f t="shared" ref="D589:D652" si="24">DATE(A589,B589,C589)</f>
        <v>44062</v>
      </c>
      <c r="E589" s="275">
        <f t="shared" si="23"/>
        <v>44062</v>
      </c>
      <c r="F589" s="480"/>
      <c r="G589" s="221" t="s">
        <v>74</v>
      </c>
      <c r="H589" s="221" t="str" cm="1">
        <f t="array" ref="H589">IFERROR(INDEX(INVESTOR_LIST[INVESTOR NAME],MATCH(I589,INVESTOR_LIST[INVESTOR CODE],0),)," ")</f>
        <v>MD. GIAS UDDIN</v>
      </c>
      <c r="I589" s="145" t="s">
        <v>439</v>
      </c>
      <c r="J589" s="146" t="s">
        <v>53</v>
      </c>
      <c r="K589" s="219"/>
      <c r="L589" s="219">
        <f>K587-L588</f>
        <v>16790</v>
      </c>
      <c r="M589" s="147">
        <v>0</v>
      </c>
      <c r="Q589" s="133" t="s">
        <v>439</v>
      </c>
    </row>
    <row r="590" spans="1:17" x14ac:dyDescent="0.2">
      <c r="A590" s="133">
        <v>2020</v>
      </c>
      <c r="B590" s="133">
        <v>8</v>
      </c>
      <c r="C590" s="133">
        <v>19</v>
      </c>
      <c r="D590" s="141">
        <f t="shared" si="24"/>
        <v>44062</v>
      </c>
      <c r="E590" s="275">
        <f t="shared" ref="E590:E653" si="25">DATE(A590,B590,C590)</f>
        <v>44062</v>
      </c>
      <c r="F590" s="481" t="s">
        <v>77</v>
      </c>
      <c r="G590" s="174" t="s">
        <v>74</v>
      </c>
      <c r="H590" s="174" t="str" cm="1">
        <f t="array" ref="H590">IFERROR(INDEX(INVESTOR_LIST[INVESTOR NAME],MATCH(I590,INVESTOR_LIST[INVESTOR CODE],0),)," ")</f>
        <v xml:space="preserve"> </v>
      </c>
      <c r="I590" s="148" t="s">
        <v>348</v>
      </c>
      <c r="J590" s="149" t="s">
        <v>61</v>
      </c>
      <c r="K590" s="218">
        <v>10</v>
      </c>
      <c r="L590" s="218"/>
      <c r="M590" s="147">
        <v>0</v>
      </c>
      <c r="Q590" s="133" t="s">
        <v>348</v>
      </c>
    </row>
    <row r="591" spans="1:17" x14ac:dyDescent="0.2">
      <c r="A591" s="163">
        <v>2020</v>
      </c>
      <c r="B591" s="163">
        <v>8</v>
      </c>
      <c r="C591" s="163">
        <v>19</v>
      </c>
      <c r="D591" s="141">
        <f t="shared" si="24"/>
        <v>44062</v>
      </c>
      <c r="E591" s="275">
        <f t="shared" si="25"/>
        <v>44062</v>
      </c>
      <c r="F591" s="480"/>
      <c r="G591" s="221" t="s">
        <v>74</v>
      </c>
      <c r="H591" s="221" t="str" cm="1">
        <f t="array" ref="H591">IFERROR(INDEX(INVESTOR_LIST[INVESTOR NAME],MATCH(I591,INVESTOR_LIST[INVESTOR CODE],0),)," ")</f>
        <v xml:space="preserve"> </v>
      </c>
      <c r="I591" s="145" t="s">
        <v>348</v>
      </c>
      <c r="J591" s="146" t="s">
        <v>52</v>
      </c>
      <c r="K591" s="219"/>
      <c r="L591" s="219">
        <v>10</v>
      </c>
      <c r="M591" s="147">
        <v>1</v>
      </c>
      <c r="Q591" s="133" t="s">
        <v>348</v>
      </c>
    </row>
    <row r="592" spans="1:17" x14ac:dyDescent="0.2">
      <c r="A592" s="133">
        <v>2020</v>
      </c>
      <c r="B592" s="133">
        <v>8</v>
      </c>
      <c r="C592" s="133">
        <v>19</v>
      </c>
      <c r="D592" s="141">
        <f t="shared" si="24"/>
        <v>44062</v>
      </c>
      <c r="E592" s="275">
        <f t="shared" si="25"/>
        <v>44062</v>
      </c>
      <c r="F592" s="481" t="s">
        <v>77</v>
      </c>
      <c r="G592" s="174" t="s">
        <v>74</v>
      </c>
      <c r="H592" s="174" t="str" cm="1">
        <f t="array" ref="H592">IFERROR(INDEX(INVESTOR_LIST[INVESTOR NAME],MATCH(I592,INVESTOR_LIST[INVESTOR CODE],0),)," ")</f>
        <v xml:space="preserve"> </v>
      </c>
      <c r="I592" s="148" t="s">
        <v>348</v>
      </c>
      <c r="J592" s="149" t="s">
        <v>61</v>
      </c>
      <c r="K592" s="218">
        <v>10</v>
      </c>
      <c r="L592" s="218"/>
      <c r="M592" s="147">
        <v>0</v>
      </c>
      <c r="Q592" s="133" t="s">
        <v>348</v>
      </c>
    </row>
    <row r="593" spans="1:17" x14ac:dyDescent="0.2">
      <c r="A593" s="163">
        <v>2020</v>
      </c>
      <c r="B593" s="163">
        <v>8</v>
      </c>
      <c r="C593" s="163">
        <v>19</v>
      </c>
      <c r="D593" s="141">
        <f t="shared" si="24"/>
        <v>44062</v>
      </c>
      <c r="E593" s="275">
        <f t="shared" si="25"/>
        <v>44062</v>
      </c>
      <c r="F593" s="480"/>
      <c r="G593" s="221" t="s">
        <v>74</v>
      </c>
      <c r="H593" s="221" t="str" cm="1">
        <f t="array" ref="H593">IFERROR(INDEX(INVESTOR_LIST[INVESTOR NAME],MATCH(I593,INVESTOR_LIST[INVESTOR CODE],0),)," ")</f>
        <v xml:space="preserve"> </v>
      </c>
      <c r="I593" s="145" t="s">
        <v>348</v>
      </c>
      <c r="J593" s="146" t="s">
        <v>52</v>
      </c>
      <c r="K593" s="219"/>
      <c r="L593" s="219">
        <v>10</v>
      </c>
      <c r="M593" s="147">
        <v>0</v>
      </c>
      <c r="Q593" s="133" t="s">
        <v>348</v>
      </c>
    </row>
    <row r="594" spans="1:17" x14ac:dyDescent="0.2">
      <c r="A594" s="168">
        <v>2020</v>
      </c>
      <c r="B594" s="168">
        <v>8</v>
      </c>
      <c r="C594" s="168">
        <v>19</v>
      </c>
      <c r="D594" s="141">
        <f t="shared" si="24"/>
        <v>44062</v>
      </c>
      <c r="E594" s="275">
        <f t="shared" si="25"/>
        <v>44062</v>
      </c>
      <c r="F594" s="479" t="s">
        <v>292</v>
      </c>
      <c r="G594" s="220" t="s">
        <v>74</v>
      </c>
      <c r="H594" s="220" t="str" cm="1">
        <f t="array" ref="H594">IFERROR(INDEX(INVESTOR_LIST[INVESTOR NAME],MATCH(I594,INVESTOR_LIST[INVESTOR CODE],0),)," ")</f>
        <v xml:space="preserve"> </v>
      </c>
      <c r="I594" s="142" t="s">
        <v>348</v>
      </c>
      <c r="J594" s="143" t="s">
        <v>175</v>
      </c>
      <c r="K594" s="226">
        <v>1529.5</v>
      </c>
      <c r="L594" s="226"/>
      <c r="M594" s="147"/>
      <c r="Q594" s="133" t="s">
        <v>348</v>
      </c>
    </row>
    <row r="595" spans="1:17" x14ac:dyDescent="0.2">
      <c r="A595" s="163">
        <v>2020</v>
      </c>
      <c r="B595" s="163">
        <v>8</v>
      </c>
      <c r="C595" s="163">
        <v>19</v>
      </c>
      <c r="D595" s="141">
        <f t="shared" si="24"/>
        <v>44062</v>
      </c>
      <c r="E595" s="275">
        <f t="shared" si="25"/>
        <v>44062</v>
      </c>
      <c r="F595" s="480"/>
      <c r="G595" s="221" t="s">
        <v>74</v>
      </c>
      <c r="H595" s="221" t="str" cm="1">
        <f t="array" ref="H595">IFERROR(INDEX(INVESTOR_LIST[INVESTOR NAME],MATCH(I595,INVESTOR_LIST[INVESTOR CODE],0),)," ")</f>
        <v xml:space="preserve"> </v>
      </c>
      <c r="I595" s="145" t="s">
        <v>348</v>
      </c>
      <c r="J595" s="146" t="s">
        <v>52</v>
      </c>
      <c r="K595" s="219"/>
      <c r="L595" s="219">
        <v>1529.5</v>
      </c>
      <c r="M595" s="147"/>
      <c r="Q595" s="133" t="s">
        <v>348</v>
      </c>
    </row>
    <row r="596" spans="1:17" x14ac:dyDescent="0.2">
      <c r="A596" s="133">
        <v>2020</v>
      </c>
      <c r="B596" s="133">
        <v>8</v>
      </c>
      <c r="C596" s="133">
        <v>19</v>
      </c>
      <c r="D596" s="141">
        <f t="shared" si="24"/>
        <v>44062</v>
      </c>
      <c r="E596" s="275">
        <f t="shared" si="25"/>
        <v>44062</v>
      </c>
      <c r="F596" s="481" t="s">
        <v>170</v>
      </c>
      <c r="G596" s="174" t="s">
        <v>74</v>
      </c>
      <c r="H596" s="174" t="str" cm="1">
        <f t="array" ref="H596">IFERROR(INDEX(INVESTOR_LIST[INVESTOR NAME],MATCH(I596,INVESTOR_LIST[INVESTOR CODE],0),)," ")</f>
        <v xml:space="preserve"> </v>
      </c>
      <c r="I596" s="148" t="s">
        <v>348</v>
      </c>
      <c r="J596" s="149" t="s">
        <v>104</v>
      </c>
      <c r="K596" s="218">
        <v>10195.44</v>
      </c>
      <c r="L596" s="218"/>
      <c r="M596" s="147">
        <v>0</v>
      </c>
      <c r="Q596" s="133" t="s">
        <v>348</v>
      </c>
    </row>
    <row r="597" spans="1:17" x14ac:dyDescent="0.2">
      <c r="A597" s="133">
        <v>2020</v>
      </c>
      <c r="B597" s="133">
        <v>8</v>
      </c>
      <c r="C597" s="133">
        <v>19</v>
      </c>
      <c r="D597" s="141">
        <f t="shared" si="24"/>
        <v>44062</v>
      </c>
      <c r="E597" s="275">
        <f t="shared" si="25"/>
        <v>44062</v>
      </c>
      <c r="F597" s="481"/>
      <c r="G597" s="174" t="s">
        <v>74</v>
      </c>
      <c r="H597" s="174" t="str" cm="1">
        <f t="array" ref="H597">IFERROR(INDEX(INVESTOR_LIST[INVESTOR NAME],MATCH(I597,INVESTOR_LIST[INVESTOR CODE],0),)," ")</f>
        <v xml:space="preserve"> </v>
      </c>
      <c r="I597" s="148" t="s">
        <v>348</v>
      </c>
      <c r="J597" s="149" t="s">
        <v>51</v>
      </c>
      <c r="K597" s="218">
        <v>8304.56</v>
      </c>
      <c r="L597" s="218"/>
      <c r="M597" s="147">
        <v>0</v>
      </c>
      <c r="Q597" s="133" t="s">
        <v>348</v>
      </c>
    </row>
    <row r="598" spans="1:17" x14ac:dyDescent="0.2">
      <c r="A598" s="163">
        <v>2020</v>
      </c>
      <c r="B598" s="163">
        <v>8</v>
      </c>
      <c r="C598" s="163">
        <v>19</v>
      </c>
      <c r="D598" s="141">
        <f t="shared" si="24"/>
        <v>44062</v>
      </c>
      <c r="E598" s="275">
        <f t="shared" si="25"/>
        <v>44062</v>
      </c>
      <c r="F598" s="480"/>
      <c r="G598" s="221" t="s">
        <v>74</v>
      </c>
      <c r="H598" s="221" t="str" cm="1">
        <f t="array" ref="H598">IFERROR(INDEX(INVESTOR_LIST[INVESTOR NAME],MATCH(I598,INVESTOR_LIST[INVESTOR CODE],0),)," ")</f>
        <v xml:space="preserve"> </v>
      </c>
      <c r="I598" s="145" t="s">
        <v>348</v>
      </c>
      <c r="J598" s="146" t="s">
        <v>52</v>
      </c>
      <c r="K598" s="219"/>
      <c r="L598" s="219">
        <v>18500</v>
      </c>
      <c r="M598" s="147">
        <v>0</v>
      </c>
      <c r="Q598" s="133" t="s">
        <v>348</v>
      </c>
    </row>
    <row r="599" spans="1:17" ht="33.75" x14ac:dyDescent="0.2">
      <c r="A599" s="133">
        <v>2020</v>
      </c>
      <c r="B599" s="133">
        <v>8</v>
      </c>
      <c r="C599" s="133">
        <v>20</v>
      </c>
      <c r="D599" s="141">
        <f t="shared" si="24"/>
        <v>44063</v>
      </c>
      <c r="E599" s="275">
        <f t="shared" si="25"/>
        <v>44063</v>
      </c>
      <c r="F599" s="479" t="s">
        <v>965</v>
      </c>
      <c r="G599" s="174" t="s">
        <v>74</v>
      </c>
      <c r="H599" s="174" t="str" cm="1">
        <f t="array" ref="H599">IFERROR(INDEX(INVESTOR_LIST[INVESTOR NAME],MATCH(I599,INVESTOR_LIST[INVESTOR CODE],0),)," ")</f>
        <v>MD. ATIQUR RAHMAN</v>
      </c>
      <c r="I599" s="148" t="s">
        <v>426</v>
      </c>
      <c r="J599" s="149" t="s">
        <v>13</v>
      </c>
      <c r="K599" s="218">
        <v>285710</v>
      </c>
      <c r="L599" s="218"/>
      <c r="M599" s="147">
        <v>0</v>
      </c>
      <c r="Q599" s="133" t="s">
        <v>426</v>
      </c>
    </row>
    <row r="600" spans="1:17" ht="33.75" x14ac:dyDescent="0.2">
      <c r="A600" s="133">
        <v>2020</v>
      </c>
      <c r="B600" s="133">
        <v>8</v>
      </c>
      <c r="C600" s="133">
        <v>20</v>
      </c>
      <c r="D600" s="141">
        <f t="shared" si="24"/>
        <v>44063</v>
      </c>
      <c r="E600" s="275">
        <f t="shared" si="25"/>
        <v>44063</v>
      </c>
      <c r="F600" s="481"/>
      <c r="G600" s="174" t="s">
        <v>74</v>
      </c>
      <c r="H600" s="174" t="str" cm="1">
        <f t="array" ref="H600">IFERROR(INDEX(INVESTOR_LIST[INVESTOR NAME],MATCH(I600,INVESTOR_LIST[INVESTOR CODE],0),)," ")</f>
        <v>MD. ATIQUR RAHMAN</v>
      </c>
      <c r="I600" s="148" t="s">
        <v>426</v>
      </c>
      <c r="J600" s="149" t="s">
        <v>53</v>
      </c>
      <c r="K600" s="218">
        <f>L601-K599</f>
        <v>20575</v>
      </c>
      <c r="L600" s="218"/>
      <c r="M600" s="147">
        <v>0</v>
      </c>
      <c r="Q600" s="133" t="s">
        <v>426</v>
      </c>
    </row>
    <row r="601" spans="1:17" ht="33.75" x14ac:dyDescent="0.2">
      <c r="A601" s="163">
        <v>2020</v>
      </c>
      <c r="B601" s="163">
        <v>8</v>
      </c>
      <c r="C601" s="163">
        <v>20</v>
      </c>
      <c r="D601" s="141">
        <f t="shared" si="24"/>
        <v>44063</v>
      </c>
      <c r="E601" s="275">
        <f t="shared" si="25"/>
        <v>44063</v>
      </c>
      <c r="F601" s="480"/>
      <c r="G601" s="221" t="s">
        <v>74</v>
      </c>
      <c r="H601" s="221" t="str" cm="1">
        <f t="array" ref="H601">IFERROR(INDEX(INVESTOR_LIST[INVESTOR NAME],MATCH(I601,INVESTOR_LIST[INVESTOR CODE],0),)," ")</f>
        <v>MD. ATIQUR RAHMAN</v>
      </c>
      <c r="I601" s="145" t="s">
        <v>426</v>
      </c>
      <c r="J601" s="146" t="s">
        <v>52</v>
      </c>
      <c r="K601" s="219"/>
      <c r="L601" s="219">
        <v>306285</v>
      </c>
      <c r="M601" s="147">
        <v>0</v>
      </c>
      <c r="Q601" s="133" t="s">
        <v>426</v>
      </c>
    </row>
    <row r="602" spans="1:17" x14ac:dyDescent="0.2">
      <c r="A602" s="246">
        <v>2020</v>
      </c>
      <c r="B602" s="246">
        <v>8</v>
      </c>
      <c r="C602" s="246">
        <v>20</v>
      </c>
      <c r="D602" s="141">
        <f t="shared" si="24"/>
        <v>44063</v>
      </c>
      <c r="E602" s="275">
        <f t="shared" si="25"/>
        <v>44063</v>
      </c>
      <c r="F602" s="482" t="s">
        <v>105</v>
      </c>
      <c r="G602" s="247" t="s">
        <v>94</v>
      </c>
      <c r="H602" s="247" t="str" cm="1">
        <f t="array" ref="H602">IFERROR(INDEX(INVESTOR_LIST[INVESTOR NAME],MATCH(I602,INVESTOR_LIST[INVESTOR CODE],0),)," ")</f>
        <v xml:space="preserve"> </v>
      </c>
      <c r="I602" s="248" t="s">
        <v>348</v>
      </c>
      <c r="J602" s="249" t="s">
        <v>108</v>
      </c>
      <c r="K602" s="252">
        <v>611276.9</v>
      </c>
      <c r="L602" s="252"/>
      <c r="M602" s="147">
        <v>0</v>
      </c>
      <c r="Q602" s="133" t="s">
        <v>348</v>
      </c>
    </row>
    <row r="603" spans="1:17" x14ac:dyDescent="0.2">
      <c r="A603" s="242">
        <v>2020</v>
      </c>
      <c r="B603" s="242">
        <v>8</v>
      </c>
      <c r="C603" s="242">
        <v>20</v>
      </c>
      <c r="D603" s="141">
        <f t="shared" si="24"/>
        <v>44063</v>
      </c>
      <c r="E603" s="275">
        <f t="shared" si="25"/>
        <v>44063</v>
      </c>
      <c r="F603" s="478"/>
      <c r="G603" s="243" t="s">
        <v>94</v>
      </c>
      <c r="H603" s="243" t="str" cm="1">
        <f t="array" ref="H603">IFERROR(INDEX(INVESTOR_LIST[INVESTOR NAME],MATCH(I603,INVESTOR_LIST[INVESTOR CODE],0),)," ")</f>
        <v xml:space="preserve"> </v>
      </c>
      <c r="I603" s="263" t="s">
        <v>348</v>
      </c>
      <c r="J603" s="244" t="s">
        <v>82</v>
      </c>
      <c r="K603" s="245"/>
      <c r="L603" s="245">
        <v>611276.9</v>
      </c>
      <c r="M603" s="147">
        <v>0</v>
      </c>
      <c r="Q603" s="133" t="s">
        <v>348</v>
      </c>
    </row>
    <row r="604" spans="1:17" ht="22.5" x14ac:dyDescent="0.2">
      <c r="A604" s="246">
        <v>2020</v>
      </c>
      <c r="B604" s="246">
        <v>8</v>
      </c>
      <c r="C604" s="246">
        <v>20</v>
      </c>
      <c r="D604" s="141">
        <f t="shared" si="24"/>
        <v>44063</v>
      </c>
      <c r="E604" s="275">
        <f t="shared" si="25"/>
        <v>44063</v>
      </c>
      <c r="F604" s="482" t="s">
        <v>136</v>
      </c>
      <c r="G604" s="247" t="s">
        <v>94</v>
      </c>
      <c r="H604" s="247" t="str" cm="1">
        <f t="array" ref="H604">IFERROR(INDEX(INVESTOR_LIST[INVESTOR NAME],MATCH(I604,INVESTOR_LIST[INVESTOR CODE],0),)," ")</f>
        <v xml:space="preserve"> </v>
      </c>
      <c r="I604" s="248" t="s">
        <v>348</v>
      </c>
      <c r="J604" s="249" t="s">
        <v>95</v>
      </c>
      <c r="K604" s="252">
        <v>2747.2527472527472</v>
      </c>
      <c r="L604" s="252"/>
      <c r="M604" s="147">
        <v>0</v>
      </c>
      <c r="Q604" s="133" t="s">
        <v>348</v>
      </c>
    </row>
    <row r="605" spans="1:17" x14ac:dyDescent="0.2">
      <c r="A605" s="242">
        <v>2020</v>
      </c>
      <c r="B605" s="242">
        <v>8</v>
      </c>
      <c r="C605" s="242">
        <v>20</v>
      </c>
      <c r="D605" s="141">
        <f t="shared" si="24"/>
        <v>44063</v>
      </c>
      <c r="E605" s="275">
        <f t="shared" si="25"/>
        <v>44063</v>
      </c>
      <c r="F605" s="478"/>
      <c r="G605" s="243" t="s">
        <v>94</v>
      </c>
      <c r="H605" s="243" t="str" cm="1">
        <f t="array" ref="H605">IFERROR(INDEX(INVESTOR_LIST[INVESTOR NAME],MATCH(I605,INVESTOR_LIST[INVESTOR CODE],0),)," ")</f>
        <v xml:space="preserve"> </v>
      </c>
      <c r="I605" s="263" t="s">
        <v>348</v>
      </c>
      <c r="J605" s="244" t="s">
        <v>63</v>
      </c>
      <c r="K605" s="245"/>
      <c r="L605" s="245">
        <v>2747.2527472527472</v>
      </c>
      <c r="M605" s="147">
        <v>3</v>
      </c>
      <c r="Q605" s="133" t="s">
        <v>348</v>
      </c>
    </row>
    <row r="606" spans="1:17" x14ac:dyDescent="0.2">
      <c r="A606" s="246">
        <v>2020</v>
      </c>
      <c r="B606" s="246">
        <v>8</v>
      </c>
      <c r="C606" s="246">
        <v>20</v>
      </c>
      <c r="D606" s="141">
        <f t="shared" si="24"/>
        <v>44063</v>
      </c>
      <c r="E606" s="275">
        <f t="shared" si="25"/>
        <v>44063</v>
      </c>
      <c r="F606" s="482" t="s">
        <v>137</v>
      </c>
      <c r="G606" s="247" t="s">
        <v>94</v>
      </c>
      <c r="H606" s="247" t="str" cm="1">
        <f t="array" ref="H606">IFERROR(INDEX(INVESTOR_LIST[INVESTOR NAME],MATCH(I606,INVESTOR_LIST[INVESTOR CODE],0),)," ")</f>
        <v xml:space="preserve"> </v>
      </c>
      <c r="I606" s="248" t="s">
        <v>348</v>
      </c>
      <c r="J606" s="249" t="s">
        <v>97</v>
      </c>
      <c r="K606" s="252">
        <v>33228.150374443263</v>
      </c>
      <c r="L606" s="252"/>
      <c r="M606" s="147">
        <v>0</v>
      </c>
      <c r="Q606" s="133" t="s">
        <v>348</v>
      </c>
    </row>
    <row r="607" spans="1:17" x14ac:dyDescent="0.2">
      <c r="A607" s="242">
        <v>2020</v>
      </c>
      <c r="B607" s="242">
        <v>8</v>
      </c>
      <c r="C607" s="242">
        <v>20</v>
      </c>
      <c r="D607" s="141">
        <f t="shared" si="24"/>
        <v>44063</v>
      </c>
      <c r="E607" s="275">
        <f t="shared" si="25"/>
        <v>44063</v>
      </c>
      <c r="F607" s="478"/>
      <c r="G607" s="243" t="s">
        <v>94</v>
      </c>
      <c r="H607" s="243" t="str" cm="1">
        <f t="array" ref="H607">IFERROR(INDEX(INVESTOR_LIST[INVESTOR NAME],MATCH(I607,INVESTOR_LIST[INVESTOR CODE],0),)," ")</f>
        <v xml:space="preserve"> </v>
      </c>
      <c r="I607" s="263" t="s">
        <v>348</v>
      </c>
      <c r="J607" s="244" t="s">
        <v>47</v>
      </c>
      <c r="K607" s="245"/>
      <c r="L607" s="245">
        <v>33228.150374443299</v>
      </c>
      <c r="M607" s="147">
        <v>0</v>
      </c>
      <c r="Q607" s="133" t="s">
        <v>348</v>
      </c>
    </row>
    <row r="608" spans="1:17" x14ac:dyDescent="0.2">
      <c r="A608" s="246">
        <v>2020</v>
      </c>
      <c r="B608" s="246">
        <v>8</v>
      </c>
      <c r="C608" s="246">
        <v>20</v>
      </c>
      <c r="D608" s="141">
        <f t="shared" si="24"/>
        <v>44063</v>
      </c>
      <c r="E608" s="275">
        <f t="shared" si="25"/>
        <v>44063</v>
      </c>
      <c r="F608" s="482" t="s">
        <v>138</v>
      </c>
      <c r="G608" s="247" t="s">
        <v>94</v>
      </c>
      <c r="H608" s="247" t="str" cm="1">
        <f t="array" ref="H608">IFERROR(INDEX(INVESTOR_LIST[INVESTOR NAME],MATCH(I608,INVESTOR_LIST[INVESTOR CODE],0),)," ")</f>
        <v xml:space="preserve"> </v>
      </c>
      <c r="I608" s="248" t="s">
        <v>348</v>
      </c>
      <c r="J608" s="249" t="s">
        <v>100</v>
      </c>
      <c r="K608" s="252">
        <v>1421.0642539321746</v>
      </c>
      <c r="L608" s="252"/>
      <c r="M608" s="147">
        <v>0</v>
      </c>
      <c r="Q608" s="133" t="s">
        <v>348</v>
      </c>
    </row>
    <row r="609" spans="1:17" x14ac:dyDescent="0.2">
      <c r="A609" s="242">
        <v>2020</v>
      </c>
      <c r="B609" s="242">
        <v>8</v>
      </c>
      <c r="C609" s="242">
        <v>20</v>
      </c>
      <c r="D609" s="141">
        <f t="shared" si="24"/>
        <v>44063</v>
      </c>
      <c r="E609" s="275">
        <f t="shared" si="25"/>
        <v>44063</v>
      </c>
      <c r="F609" s="478"/>
      <c r="G609" s="243" t="s">
        <v>94</v>
      </c>
      <c r="H609" s="243" t="str" cm="1">
        <f t="array" ref="H609">IFERROR(INDEX(INVESTOR_LIST[INVESTOR NAME],MATCH(I609,INVESTOR_LIST[INVESTOR CODE],0),)," ")</f>
        <v xml:space="preserve"> </v>
      </c>
      <c r="I609" s="263" t="s">
        <v>348</v>
      </c>
      <c r="J609" s="244" t="s">
        <v>48</v>
      </c>
      <c r="K609" s="245"/>
      <c r="L609" s="245">
        <v>1421.06425393217</v>
      </c>
      <c r="M609" s="147">
        <v>0</v>
      </c>
      <c r="Q609" s="133" t="s">
        <v>348</v>
      </c>
    </row>
    <row r="610" spans="1:17" x14ac:dyDescent="0.2">
      <c r="A610" s="246">
        <v>2020</v>
      </c>
      <c r="B610" s="246">
        <v>8</v>
      </c>
      <c r="C610" s="246">
        <v>20</v>
      </c>
      <c r="D610" s="141">
        <f t="shared" si="24"/>
        <v>44063</v>
      </c>
      <c r="E610" s="275">
        <f t="shared" si="25"/>
        <v>44063</v>
      </c>
      <c r="F610" s="482" t="s">
        <v>140</v>
      </c>
      <c r="G610" s="247" t="s">
        <v>94</v>
      </c>
      <c r="H610" s="247" t="str" cm="1">
        <f t="array" ref="H610">IFERROR(INDEX(INVESTOR_LIST[INVESTOR NAME],MATCH(I610,INVESTOR_LIST[INVESTOR CODE],0),)," ")</f>
        <v xml:space="preserve"> </v>
      </c>
      <c r="I610" s="248" t="s">
        <v>348</v>
      </c>
      <c r="J610" s="249" t="s">
        <v>103</v>
      </c>
      <c r="K610" s="252">
        <v>729.16666666666663</v>
      </c>
      <c r="L610" s="252"/>
      <c r="M610" s="147">
        <v>0</v>
      </c>
      <c r="Q610" s="133" t="s">
        <v>348</v>
      </c>
    </row>
    <row r="611" spans="1:17" x14ac:dyDescent="0.2">
      <c r="A611" s="242">
        <v>2020</v>
      </c>
      <c r="B611" s="242">
        <v>8</v>
      </c>
      <c r="C611" s="242">
        <v>20</v>
      </c>
      <c r="D611" s="141">
        <f t="shared" si="24"/>
        <v>44063</v>
      </c>
      <c r="E611" s="275">
        <f t="shared" si="25"/>
        <v>44063</v>
      </c>
      <c r="F611" s="478"/>
      <c r="G611" s="243" t="s">
        <v>94</v>
      </c>
      <c r="H611" s="243" t="str" cm="1">
        <f t="array" ref="H611">IFERROR(INDEX(INVESTOR_LIST[INVESTOR NAME],MATCH(I611,INVESTOR_LIST[INVESTOR CODE],0),)," ")</f>
        <v xml:space="preserve"> </v>
      </c>
      <c r="I611" s="263" t="s">
        <v>348</v>
      </c>
      <c r="J611" s="244" t="s">
        <v>50</v>
      </c>
      <c r="K611" s="245"/>
      <c r="L611" s="245">
        <v>729.16666666666663</v>
      </c>
      <c r="M611" s="147">
        <v>1</v>
      </c>
      <c r="Q611" s="133" t="s">
        <v>348</v>
      </c>
    </row>
    <row r="612" spans="1:17" x14ac:dyDescent="0.2">
      <c r="A612" s="133">
        <v>2020</v>
      </c>
      <c r="B612" s="133">
        <v>8</v>
      </c>
      <c r="C612" s="133">
        <v>23</v>
      </c>
      <c r="D612" s="141">
        <f t="shared" si="24"/>
        <v>44066</v>
      </c>
      <c r="E612" s="275">
        <f t="shared" si="25"/>
        <v>44066</v>
      </c>
      <c r="F612" s="481" t="s">
        <v>77</v>
      </c>
      <c r="G612" s="174" t="s">
        <v>74</v>
      </c>
      <c r="H612" s="174" t="str" cm="1">
        <f t="array" ref="H612">IFERROR(INDEX(INVESTOR_LIST[INVESTOR NAME],MATCH(I612,INVESTOR_LIST[INVESTOR CODE],0),)," ")</f>
        <v xml:space="preserve"> </v>
      </c>
      <c r="I612" s="148" t="s">
        <v>348</v>
      </c>
      <c r="J612" s="149" t="s">
        <v>61</v>
      </c>
      <c r="K612" s="218">
        <v>10</v>
      </c>
      <c r="L612" s="218"/>
      <c r="M612" s="147">
        <v>0</v>
      </c>
      <c r="Q612" s="133" t="s">
        <v>348</v>
      </c>
    </row>
    <row r="613" spans="1:17" s="186" customFormat="1" x14ac:dyDescent="0.2">
      <c r="A613" s="163">
        <v>2020</v>
      </c>
      <c r="B613" s="163">
        <v>8</v>
      </c>
      <c r="C613" s="163">
        <v>23</v>
      </c>
      <c r="D613" s="141">
        <f t="shared" si="24"/>
        <v>44066</v>
      </c>
      <c r="E613" s="275">
        <f t="shared" si="25"/>
        <v>44066</v>
      </c>
      <c r="F613" s="480"/>
      <c r="G613" s="221" t="s">
        <v>74</v>
      </c>
      <c r="H613" s="221" t="str" cm="1">
        <f t="array" ref="H613">IFERROR(INDEX(INVESTOR_LIST[INVESTOR NAME],MATCH(I613,INVESTOR_LIST[INVESTOR CODE],0),)," ")</f>
        <v xml:space="preserve"> </v>
      </c>
      <c r="I613" s="145" t="s">
        <v>348</v>
      </c>
      <c r="J613" s="146" t="s">
        <v>52</v>
      </c>
      <c r="K613" s="219"/>
      <c r="L613" s="219">
        <v>10</v>
      </c>
      <c r="M613" s="184">
        <v>1</v>
      </c>
      <c r="Q613" s="133" t="s">
        <v>348</v>
      </c>
    </row>
    <row r="614" spans="1:17" s="186" customFormat="1" x14ac:dyDescent="0.2">
      <c r="A614" s="133">
        <v>2020</v>
      </c>
      <c r="B614" s="133">
        <v>8</v>
      </c>
      <c r="C614" s="133">
        <v>25</v>
      </c>
      <c r="D614" s="141">
        <f t="shared" si="24"/>
        <v>44068</v>
      </c>
      <c r="E614" s="275">
        <f t="shared" si="25"/>
        <v>44068</v>
      </c>
      <c r="F614" s="481" t="s">
        <v>275</v>
      </c>
      <c r="G614" s="174" t="s">
        <v>74</v>
      </c>
      <c r="H614" s="174" t="str" cm="1">
        <f t="array" ref="H614">IFERROR(INDEX(INVESTOR_LIST[INVESTOR NAME],MATCH(I614,INVESTOR_LIST[INVESTOR CODE],0),)," ")</f>
        <v xml:space="preserve"> </v>
      </c>
      <c r="I614" s="148" t="s">
        <v>348</v>
      </c>
      <c r="J614" s="149" t="s">
        <v>163</v>
      </c>
      <c r="K614" s="218">
        <v>6869</v>
      </c>
      <c r="L614" s="218"/>
      <c r="M614" s="184">
        <v>0</v>
      </c>
      <c r="Q614" s="133" t="s">
        <v>348</v>
      </c>
    </row>
    <row r="615" spans="1:17" x14ac:dyDescent="0.2">
      <c r="A615" s="163">
        <v>2020</v>
      </c>
      <c r="B615" s="163">
        <v>8</v>
      </c>
      <c r="C615" s="163">
        <v>25</v>
      </c>
      <c r="D615" s="141">
        <f t="shared" si="24"/>
        <v>44068</v>
      </c>
      <c r="E615" s="275">
        <f t="shared" si="25"/>
        <v>44068</v>
      </c>
      <c r="F615" s="480"/>
      <c r="G615" s="221" t="s">
        <v>74</v>
      </c>
      <c r="H615" s="221" t="str" cm="1">
        <f t="array" ref="H615">IFERROR(INDEX(INVESTOR_LIST[INVESTOR NAME],MATCH(I615,INVESTOR_LIST[INVESTOR CODE],0),)," ")</f>
        <v xml:space="preserve"> </v>
      </c>
      <c r="I615" s="145" t="s">
        <v>348</v>
      </c>
      <c r="J615" s="146" t="s">
        <v>52</v>
      </c>
      <c r="K615" s="219"/>
      <c r="L615" s="219">
        <v>6869</v>
      </c>
      <c r="M615" s="147">
        <v>2</v>
      </c>
      <c r="Q615" s="133" t="s">
        <v>348</v>
      </c>
    </row>
    <row r="616" spans="1:17" x14ac:dyDescent="0.2">
      <c r="A616" s="133">
        <v>2020</v>
      </c>
      <c r="B616" s="133">
        <v>8</v>
      </c>
      <c r="C616" s="133">
        <v>26</v>
      </c>
      <c r="D616" s="141">
        <f t="shared" si="24"/>
        <v>44069</v>
      </c>
      <c r="E616" s="275">
        <f t="shared" si="25"/>
        <v>44069</v>
      </c>
      <c r="F616" s="481" t="s">
        <v>174</v>
      </c>
      <c r="G616" s="174" t="s">
        <v>74</v>
      </c>
      <c r="H616" s="174" t="str" cm="1">
        <f t="array" ref="H616">IFERROR(INDEX(INVESTOR_LIST[INVESTOR NAME],MATCH(I616,INVESTOR_LIST[INVESTOR CODE],0),)," ")</f>
        <v xml:space="preserve"> </v>
      </c>
      <c r="I616" s="148" t="s">
        <v>348</v>
      </c>
      <c r="J616" s="149" t="s">
        <v>175</v>
      </c>
      <c r="K616" s="218">
        <v>1800</v>
      </c>
      <c r="L616" s="218"/>
      <c r="M616" s="147">
        <v>0</v>
      </c>
      <c r="Q616" s="133" t="s">
        <v>348</v>
      </c>
    </row>
    <row r="617" spans="1:17" x14ac:dyDescent="0.2">
      <c r="A617" s="163">
        <v>2020</v>
      </c>
      <c r="B617" s="163">
        <v>8</v>
      </c>
      <c r="C617" s="163">
        <v>26</v>
      </c>
      <c r="D617" s="141">
        <f t="shared" si="24"/>
        <v>44069</v>
      </c>
      <c r="E617" s="275">
        <f t="shared" si="25"/>
        <v>44069</v>
      </c>
      <c r="F617" s="480"/>
      <c r="G617" s="221" t="s">
        <v>74</v>
      </c>
      <c r="H617" s="221" t="str" cm="1">
        <f t="array" ref="H617">IFERROR(INDEX(INVESTOR_LIST[INVESTOR NAME],MATCH(I617,INVESTOR_LIST[INVESTOR CODE],0),)," ")</f>
        <v xml:space="preserve"> </v>
      </c>
      <c r="I617" s="145" t="s">
        <v>348</v>
      </c>
      <c r="J617" s="146" t="s">
        <v>52</v>
      </c>
      <c r="K617" s="219"/>
      <c r="L617" s="219">
        <v>1800</v>
      </c>
      <c r="M617" s="147">
        <v>0</v>
      </c>
      <c r="Q617" s="133" t="s">
        <v>348</v>
      </c>
    </row>
    <row r="618" spans="1:17" ht="56.25" x14ac:dyDescent="0.2">
      <c r="A618" s="133">
        <v>2020</v>
      </c>
      <c r="B618" s="133">
        <v>8</v>
      </c>
      <c r="C618" s="133">
        <v>26</v>
      </c>
      <c r="D618" s="141">
        <f t="shared" si="24"/>
        <v>44069</v>
      </c>
      <c r="E618" s="275">
        <f t="shared" si="25"/>
        <v>44069</v>
      </c>
      <c r="F618" s="479" t="s">
        <v>964</v>
      </c>
      <c r="G618" s="174" t="s">
        <v>74</v>
      </c>
      <c r="H618" s="174" t="str" cm="1">
        <f t="array" ref="H618">IFERROR(INDEX(INVESTOR_LIST[INVESTOR NAME],MATCH(I618,INVESTOR_LIST[INVESTOR CODE],0),)," ")</f>
        <v>RELIANCE INSURANCE lIMITED</v>
      </c>
      <c r="I618" s="148" t="s">
        <v>443</v>
      </c>
      <c r="J618" s="149" t="s">
        <v>52</v>
      </c>
      <c r="K618" s="218">
        <v>2200000</v>
      </c>
      <c r="L618" s="218"/>
      <c r="M618" s="147">
        <v>0</v>
      </c>
      <c r="Q618" s="133" t="s">
        <v>443</v>
      </c>
    </row>
    <row r="619" spans="1:17" ht="56.25" x14ac:dyDescent="0.2">
      <c r="A619" s="133">
        <v>2020</v>
      </c>
      <c r="B619" s="133">
        <v>8</v>
      </c>
      <c r="C619" s="133">
        <v>26</v>
      </c>
      <c r="D619" s="141">
        <f t="shared" si="24"/>
        <v>44069</v>
      </c>
      <c r="E619" s="275">
        <f t="shared" si="25"/>
        <v>44069</v>
      </c>
      <c r="F619" s="481"/>
      <c r="G619" s="174" t="s">
        <v>74</v>
      </c>
      <c r="H619" s="174" t="str" cm="1">
        <f t="array" ref="H619">IFERROR(INDEX(INVESTOR_LIST[INVESTOR NAME],MATCH(I619,INVESTOR_LIST[INVESTOR CODE],0),)," ")</f>
        <v>RELIANCE INSURANCE lIMITED</v>
      </c>
      <c r="I619" s="148" t="s">
        <v>443</v>
      </c>
      <c r="J619" s="149" t="s">
        <v>13</v>
      </c>
      <c r="K619" s="218"/>
      <c r="L619" s="218">
        <v>2037040</v>
      </c>
      <c r="M619" s="147">
        <v>0</v>
      </c>
      <c r="Q619" s="133" t="s">
        <v>443</v>
      </c>
    </row>
    <row r="620" spans="1:17" ht="56.25" x14ac:dyDescent="0.2">
      <c r="A620" s="163">
        <v>2020</v>
      </c>
      <c r="B620" s="163">
        <v>8</v>
      </c>
      <c r="C620" s="163">
        <v>26</v>
      </c>
      <c r="D620" s="141">
        <f t="shared" si="24"/>
        <v>44069</v>
      </c>
      <c r="E620" s="275">
        <f t="shared" si="25"/>
        <v>44069</v>
      </c>
      <c r="F620" s="480"/>
      <c r="G620" s="221" t="s">
        <v>74</v>
      </c>
      <c r="H620" s="221" t="str" cm="1">
        <f t="array" ref="H620">IFERROR(INDEX(INVESTOR_LIST[INVESTOR NAME],MATCH(I620,INVESTOR_LIST[INVESTOR CODE],0),)," ")</f>
        <v>RELIANCE INSURANCE lIMITED</v>
      </c>
      <c r="I620" s="145" t="s">
        <v>443</v>
      </c>
      <c r="J620" s="146" t="s">
        <v>53</v>
      </c>
      <c r="K620" s="219"/>
      <c r="L620" s="219">
        <f>K618-L619</f>
        <v>162960</v>
      </c>
      <c r="M620" s="147">
        <v>0</v>
      </c>
      <c r="Q620" s="133" t="s">
        <v>443</v>
      </c>
    </row>
    <row r="621" spans="1:17" ht="22.5" x14ac:dyDescent="0.2">
      <c r="A621" s="133">
        <v>2020</v>
      </c>
      <c r="B621" s="133">
        <v>8</v>
      </c>
      <c r="C621" s="133">
        <v>26</v>
      </c>
      <c r="D621" s="141">
        <f t="shared" si="24"/>
        <v>44069</v>
      </c>
      <c r="E621" s="275">
        <f t="shared" si="25"/>
        <v>44069</v>
      </c>
      <c r="F621" s="479" t="s">
        <v>964</v>
      </c>
      <c r="G621" s="174" t="s">
        <v>74</v>
      </c>
      <c r="H621" s="174" t="str" cm="1">
        <f t="array" ref="H621">IFERROR(INDEX(INVESTOR_LIST[INVESTOR NAME],MATCH(I621,INVESTOR_LIST[INVESTOR CODE],0),)," ")</f>
        <v>BILKISS ARA</v>
      </c>
      <c r="I621" s="148" t="s">
        <v>441</v>
      </c>
      <c r="J621" s="149" t="s">
        <v>52</v>
      </c>
      <c r="K621" s="218">
        <v>200000</v>
      </c>
      <c r="L621" s="218"/>
      <c r="M621" s="147">
        <v>0</v>
      </c>
      <c r="Q621" s="133" t="s">
        <v>441</v>
      </c>
    </row>
    <row r="622" spans="1:17" ht="22.5" x14ac:dyDescent="0.2">
      <c r="A622" s="133">
        <v>2020</v>
      </c>
      <c r="B622" s="133">
        <v>8</v>
      </c>
      <c r="C622" s="133">
        <v>26</v>
      </c>
      <c r="D622" s="141">
        <f t="shared" si="24"/>
        <v>44069</v>
      </c>
      <c r="E622" s="275">
        <f t="shared" si="25"/>
        <v>44069</v>
      </c>
      <c r="F622" s="481"/>
      <c r="G622" s="174" t="s">
        <v>74</v>
      </c>
      <c r="H622" s="174" t="str" cm="1">
        <f t="array" ref="H622">IFERROR(INDEX(INVESTOR_LIST[INVESTOR NAME],MATCH(I622,INVESTOR_LIST[INVESTOR CODE],0),)," ")</f>
        <v>BILKISS ARA</v>
      </c>
      <c r="I622" s="148" t="s">
        <v>441</v>
      </c>
      <c r="J622" s="149" t="s">
        <v>13</v>
      </c>
      <c r="K622" s="218"/>
      <c r="L622" s="218">
        <v>185180</v>
      </c>
      <c r="M622" s="147">
        <v>0</v>
      </c>
      <c r="Q622" s="133" t="s">
        <v>441</v>
      </c>
    </row>
    <row r="623" spans="1:17" ht="22.5" x14ac:dyDescent="0.2">
      <c r="A623" s="163">
        <v>2020</v>
      </c>
      <c r="B623" s="163">
        <v>8</v>
      </c>
      <c r="C623" s="163">
        <v>26</v>
      </c>
      <c r="D623" s="141">
        <f t="shared" si="24"/>
        <v>44069</v>
      </c>
      <c r="E623" s="275">
        <f t="shared" si="25"/>
        <v>44069</v>
      </c>
      <c r="F623" s="480"/>
      <c r="G623" s="221" t="s">
        <v>74</v>
      </c>
      <c r="H623" s="221" t="str" cm="1">
        <f t="array" ref="H623">IFERROR(INDEX(INVESTOR_LIST[INVESTOR NAME],MATCH(I623,INVESTOR_LIST[INVESTOR CODE],0),)," ")</f>
        <v>BILKISS ARA</v>
      </c>
      <c r="I623" s="145" t="s">
        <v>441</v>
      </c>
      <c r="J623" s="146" t="s">
        <v>53</v>
      </c>
      <c r="K623" s="219"/>
      <c r="L623" s="219">
        <f>K621-L622</f>
        <v>14820</v>
      </c>
      <c r="M623" s="147">
        <v>0</v>
      </c>
      <c r="Q623" s="133" t="s">
        <v>441</v>
      </c>
    </row>
    <row r="624" spans="1:17" x14ac:dyDescent="0.2">
      <c r="A624" s="133">
        <v>2020</v>
      </c>
      <c r="B624" s="133">
        <v>8</v>
      </c>
      <c r="C624" s="133">
        <v>26</v>
      </c>
      <c r="D624" s="141">
        <f t="shared" si="24"/>
        <v>44069</v>
      </c>
      <c r="E624" s="275">
        <f t="shared" si="25"/>
        <v>44069</v>
      </c>
      <c r="F624" s="481" t="s">
        <v>77</v>
      </c>
      <c r="G624" s="174" t="s">
        <v>74</v>
      </c>
      <c r="H624" s="174" t="str" cm="1">
        <f t="array" ref="H624">IFERROR(INDEX(INVESTOR_LIST[INVESTOR NAME],MATCH(I624,INVESTOR_LIST[INVESTOR CODE],0),)," ")</f>
        <v xml:space="preserve"> </v>
      </c>
      <c r="I624" s="148" t="s">
        <v>348</v>
      </c>
      <c r="J624" s="149" t="s">
        <v>61</v>
      </c>
      <c r="K624" s="218">
        <v>10</v>
      </c>
      <c r="L624" s="218"/>
      <c r="M624" s="147">
        <v>0</v>
      </c>
      <c r="Q624" s="133" t="s">
        <v>348</v>
      </c>
    </row>
    <row r="625" spans="1:17" x14ac:dyDescent="0.2">
      <c r="A625" s="163">
        <v>2020</v>
      </c>
      <c r="B625" s="163">
        <v>8</v>
      </c>
      <c r="C625" s="163">
        <v>26</v>
      </c>
      <c r="D625" s="141">
        <f t="shared" si="24"/>
        <v>44069</v>
      </c>
      <c r="E625" s="275">
        <f t="shared" si="25"/>
        <v>44069</v>
      </c>
      <c r="F625" s="480"/>
      <c r="G625" s="221" t="s">
        <v>74</v>
      </c>
      <c r="H625" s="221" t="str" cm="1">
        <f t="array" ref="H625">IFERROR(INDEX(INVESTOR_LIST[INVESTOR NAME],MATCH(I625,INVESTOR_LIST[INVESTOR CODE],0),)," ")</f>
        <v xml:space="preserve"> </v>
      </c>
      <c r="I625" s="145" t="s">
        <v>348</v>
      </c>
      <c r="J625" s="146" t="s">
        <v>52</v>
      </c>
      <c r="K625" s="219"/>
      <c r="L625" s="219">
        <v>10</v>
      </c>
      <c r="M625" s="147">
        <v>0</v>
      </c>
      <c r="Q625" s="133" t="s">
        <v>348</v>
      </c>
    </row>
    <row r="626" spans="1:17" ht="33.75" x14ac:dyDescent="0.2">
      <c r="A626" s="133">
        <v>2020</v>
      </c>
      <c r="B626" s="133">
        <v>8</v>
      </c>
      <c r="C626" s="133">
        <v>27</v>
      </c>
      <c r="D626" s="141">
        <f t="shared" si="24"/>
        <v>44070</v>
      </c>
      <c r="E626" s="275">
        <f t="shared" si="25"/>
        <v>44070</v>
      </c>
      <c r="F626" s="479" t="s">
        <v>964</v>
      </c>
      <c r="G626" s="174" t="s">
        <v>74</v>
      </c>
      <c r="H626" s="174" t="str" cm="1">
        <f t="array" ref="H626">IFERROR(INDEX(INVESTOR_LIST[INVESTOR NAME],MATCH(I626,INVESTOR_LIST[INVESTOR CODE],0),)," ")</f>
        <v>ASHIT BARAN SAHA</v>
      </c>
      <c r="I626" s="148" t="s">
        <v>442</v>
      </c>
      <c r="J626" s="149" t="s">
        <v>52</v>
      </c>
      <c r="K626" s="218">
        <v>500000</v>
      </c>
      <c r="L626" s="218"/>
      <c r="M626" s="147">
        <v>0</v>
      </c>
      <c r="Q626" s="133" t="s">
        <v>442</v>
      </c>
    </row>
    <row r="627" spans="1:17" ht="33.75" x14ac:dyDescent="0.2">
      <c r="A627" s="133">
        <v>2020</v>
      </c>
      <c r="B627" s="133">
        <v>8</v>
      </c>
      <c r="C627" s="133">
        <v>27</v>
      </c>
      <c r="D627" s="141">
        <f t="shared" si="24"/>
        <v>44070</v>
      </c>
      <c r="E627" s="275">
        <f t="shared" si="25"/>
        <v>44070</v>
      </c>
      <c r="F627" s="481"/>
      <c r="G627" s="174" t="s">
        <v>74</v>
      </c>
      <c r="H627" s="174" t="str" cm="1">
        <f t="array" ref="H627">IFERROR(INDEX(INVESTOR_LIST[INVESTOR NAME],MATCH(I627,INVESTOR_LIST[INVESTOR CODE],0),)," ")</f>
        <v>ASHIT BARAN SAHA</v>
      </c>
      <c r="I627" s="148" t="s">
        <v>442</v>
      </c>
      <c r="J627" s="149" t="s">
        <v>13</v>
      </c>
      <c r="K627" s="218"/>
      <c r="L627" s="218">
        <v>462960</v>
      </c>
      <c r="M627" s="147">
        <v>0</v>
      </c>
      <c r="Q627" s="133" t="s">
        <v>442</v>
      </c>
    </row>
    <row r="628" spans="1:17" ht="33.75" x14ac:dyDescent="0.2">
      <c r="A628" s="163">
        <v>2020</v>
      </c>
      <c r="B628" s="163">
        <v>8</v>
      </c>
      <c r="C628" s="163">
        <v>27</v>
      </c>
      <c r="D628" s="141">
        <f t="shared" si="24"/>
        <v>44070</v>
      </c>
      <c r="E628" s="275">
        <f t="shared" si="25"/>
        <v>44070</v>
      </c>
      <c r="F628" s="480"/>
      <c r="G628" s="221" t="s">
        <v>74</v>
      </c>
      <c r="H628" s="221" t="str" cm="1">
        <f t="array" ref="H628">IFERROR(INDEX(INVESTOR_LIST[INVESTOR NAME],MATCH(I628,INVESTOR_LIST[INVESTOR CODE],0),)," ")</f>
        <v>ASHIT BARAN SAHA</v>
      </c>
      <c r="I628" s="145" t="s">
        <v>442</v>
      </c>
      <c r="J628" s="146" t="s">
        <v>53</v>
      </c>
      <c r="K628" s="219"/>
      <c r="L628" s="219">
        <f>K626-L627</f>
        <v>37040</v>
      </c>
      <c r="M628" s="147">
        <v>0</v>
      </c>
      <c r="Q628" s="133" t="s">
        <v>442</v>
      </c>
    </row>
    <row r="629" spans="1:17" ht="22.5" x14ac:dyDescent="0.2">
      <c r="A629" s="133">
        <v>2020</v>
      </c>
      <c r="B629" s="133">
        <v>8</v>
      </c>
      <c r="C629" s="133">
        <v>27</v>
      </c>
      <c r="D629" s="141">
        <f t="shared" si="24"/>
        <v>44070</v>
      </c>
      <c r="E629" s="275">
        <f t="shared" si="25"/>
        <v>44070</v>
      </c>
      <c r="F629" s="479" t="s">
        <v>964</v>
      </c>
      <c r="G629" s="174" t="s">
        <v>74</v>
      </c>
      <c r="H629" s="174" t="str" cm="1">
        <f t="array" ref="H629">IFERROR(INDEX(INVESTOR_LIST[INVESTOR NAME],MATCH(I629,INVESTOR_LIST[INVESTOR CODE],0),)," ")</f>
        <v>ANJANA SAHA</v>
      </c>
      <c r="I629" s="148" t="s">
        <v>382</v>
      </c>
      <c r="J629" s="149" t="s">
        <v>52</v>
      </c>
      <c r="K629" s="218">
        <v>216000</v>
      </c>
      <c r="L629" s="218"/>
      <c r="M629" s="147">
        <v>0</v>
      </c>
      <c r="Q629" s="133" t="s">
        <v>382</v>
      </c>
    </row>
    <row r="630" spans="1:17" ht="22.5" x14ac:dyDescent="0.2">
      <c r="A630" s="133">
        <v>2020</v>
      </c>
      <c r="B630" s="133">
        <v>8</v>
      </c>
      <c r="C630" s="133">
        <v>27</v>
      </c>
      <c r="D630" s="141">
        <f t="shared" si="24"/>
        <v>44070</v>
      </c>
      <c r="E630" s="275">
        <f t="shared" si="25"/>
        <v>44070</v>
      </c>
      <c r="F630" s="481"/>
      <c r="G630" s="174" t="s">
        <v>74</v>
      </c>
      <c r="H630" s="174" t="str" cm="1">
        <f t="array" ref="H630">IFERROR(INDEX(INVESTOR_LIST[INVESTOR NAME],MATCH(I630,INVESTOR_LIST[INVESTOR CODE],0),)," ")</f>
        <v>ANJANA SAHA</v>
      </c>
      <c r="I630" s="148" t="s">
        <v>382</v>
      </c>
      <c r="J630" s="149" t="s">
        <v>13</v>
      </c>
      <c r="K630" s="218"/>
      <c r="L630" s="218">
        <v>200000</v>
      </c>
      <c r="M630" s="147">
        <v>0</v>
      </c>
      <c r="N630" s="171"/>
      <c r="Q630" s="133" t="s">
        <v>382</v>
      </c>
    </row>
    <row r="631" spans="1:17" ht="22.5" x14ac:dyDescent="0.2">
      <c r="A631" s="163">
        <v>2020</v>
      </c>
      <c r="B631" s="163">
        <v>8</v>
      </c>
      <c r="C631" s="163">
        <v>27</v>
      </c>
      <c r="D631" s="141">
        <f t="shared" si="24"/>
        <v>44070</v>
      </c>
      <c r="E631" s="275">
        <f t="shared" si="25"/>
        <v>44070</v>
      </c>
      <c r="F631" s="480"/>
      <c r="G631" s="221" t="s">
        <v>74</v>
      </c>
      <c r="H631" s="221" t="str" cm="1">
        <f t="array" ref="H631">IFERROR(INDEX(INVESTOR_LIST[INVESTOR NAME],MATCH(I631,INVESTOR_LIST[INVESTOR CODE],0),)," ")</f>
        <v>ANJANA SAHA</v>
      </c>
      <c r="I631" s="145" t="s">
        <v>382</v>
      </c>
      <c r="J631" s="146" t="s">
        <v>53</v>
      </c>
      <c r="K631" s="219"/>
      <c r="L631" s="219">
        <v>16000</v>
      </c>
      <c r="M631" s="147">
        <v>0</v>
      </c>
      <c r="N631" s="171"/>
      <c r="Q631" s="133" t="s">
        <v>382</v>
      </c>
    </row>
    <row r="632" spans="1:17" ht="33.75" x14ac:dyDescent="0.2">
      <c r="A632" s="133">
        <v>2020</v>
      </c>
      <c r="B632" s="133">
        <v>8</v>
      </c>
      <c r="C632" s="133">
        <v>27</v>
      </c>
      <c r="D632" s="141">
        <f t="shared" si="24"/>
        <v>44070</v>
      </c>
      <c r="E632" s="275">
        <f t="shared" si="25"/>
        <v>44070</v>
      </c>
      <c r="F632" s="479" t="s">
        <v>964</v>
      </c>
      <c r="G632" s="174" t="s">
        <v>74</v>
      </c>
      <c r="H632" s="174" t="str" cm="1">
        <f t="array" ref="H632">IFERROR(INDEX(INVESTOR_LIST[INVESTOR NAME],MATCH(I632,INVESTOR_LIST[INVESTOR CODE],0),)," ")</f>
        <v>M A QUAYOOM</v>
      </c>
      <c r="I632" s="148" t="s">
        <v>412</v>
      </c>
      <c r="J632" s="149" t="s">
        <v>52</v>
      </c>
      <c r="K632" s="218">
        <v>540000</v>
      </c>
      <c r="L632" s="218"/>
      <c r="M632" s="147">
        <v>0</v>
      </c>
      <c r="Q632" s="133" t="s">
        <v>412</v>
      </c>
    </row>
    <row r="633" spans="1:17" ht="33.75" x14ac:dyDescent="0.2">
      <c r="A633" s="133">
        <v>2020</v>
      </c>
      <c r="B633" s="133">
        <v>8</v>
      </c>
      <c r="C633" s="133">
        <v>27</v>
      </c>
      <c r="D633" s="141">
        <f t="shared" si="24"/>
        <v>44070</v>
      </c>
      <c r="E633" s="275">
        <f t="shared" si="25"/>
        <v>44070</v>
      </c>
      <c r="F633" s="481"/>
      <c r="G633" s="174" t="s">
        <v>74</v>
      </c>
      <c r="H633" s="174" t="str" cm="1">
        <f t="array" ref="H633">IFERROR(INDEX(INVESTOR_LIST[INVESTOR NAME],MATCH(I633,INVESTOR_LIST[INVESTOR CODE],0),)," ")</f>
        <v>M A QUAYOOM</v>
      </c>
      <c r="I633" s="148" t="s">
        <v>412</v>
      </c>
      <c r="J633" s="149" t="s">
        <v>13</v>
      </c>
      <c r="K633" s="218"/>
      <c r="L633" s="218">
        <v>500000</v>
      </c>
      <c r="M633" s="147">
        <v>0</v>
      </c>
      <c r="Q633" s="133" t="s">
        <v>412</v>
      </c>
    </row>
    <row r="634" spans="1:17" ht="33.75" x14ac:dyDescent="0.2">
      <c r="A634" s="163">
        <v>2020</v>
      </c>
      <c r="B634" s="163">
        <v>8</v>
      </c>
      <c r="C634" s="163">
        <v>27</v>
      </c>
      <c r="D634" s="141">
        <f t="shared" si="24"/>
        <v>44070</v>
      </c>
      <c r="E634" s="275">
        <f t="shared" si="25"/>
        <v>44070</v>
      </c>
      <c r="F634" s="480"/>
      <c r="G634" s="221" t="s">
        <v>74</v>
      </c>
      <c r="H634" s="221" t="str" cm="1">
        <f t="array" ref="H634">IFERROR(INDEX(INVESTOR_LIST[INVESTOR NAME],MATCH(I634,INVESTOR_LIST[INVESTOR CODE],0),)," ")</f>
        <v>M A QUAYOOM</v>
      </c>
      <c r="I634" s="145" t="s">
        <v>412</v>
      </c>
      <c r="J634" s="146" t="s">
        <v>53</v>
      </c>
      <c r="K634" s="219"/>
      <c r="L634" s="219">
        <v>40000</v>
      </c>
      <c r="M634" s="147">
        <v>0</v>
      </c>
      <c r="Q634" s="133" t="s">
        <v>412</v>
      </c>
    </row>
    <row r="635" spans="1:17" x14ac:dyDescent="0.2">
      <c r="A635" s="133">
        <v>2020</v>
      </c>
      <c r="B635" s="133">
        <v>8</v>
      </c>
      <c r="C635" s="133">
        <v>27</v>
      </c>
      <c r="D635" s="141">
        <f t="shared" si="24"/>
        <v>44070</v>
      </c>
      <c r="E635" s="275">
        <f t="shared" si="25"/>
        <v>44070</v>
      </c>
      <c r="F635" s="481" t="s">
        <v>177</v>
      </c>
      <c r="G635" s="174" t="s">
        <v>94</v>
      </c>
      <c r="H635" s="174" t="str" cm="1">
        <f t="array" ref="H635">IFERROR(INDEX(INVESTOR_LIST[INVESTOR NAME],MATCH(I635,INVESTOR_LIST[INVESTOR CODE],0),)," ")</f>
        <v xml:space="preserve"> </v>
      </c>
      <c r="I635" s="148" t="s">
        <v>348</v>
      </c>
      <c r="J635" s="149" t="s">
        <v>79</v>
      </c>
      <c r="K635" s="218">
        <v>1024022.4</v>
      </c>
      <c r="L635" s="218"/>
      <c r="M635" s="147">
        <v>0</v>
      </c>
      <c r="Q635" s="133" t="s">
        <v>348</v>
      </c>
    </row>
    <row r="636" spans="1:17" x14ac:dyDescent="0.2">
      <c r="A636" s="133">
        <v>2020</v>
      </c>
      <c r="B636" s="133">
        <v>8</v>
      </c>
      <c r="C636" s="133">
        <v>27</v>
      </c>
      <c r="D636" s="141">
        <f t="shared" si="24"/>
        <v>44070</v>
      </c>
      <c r="E636" s="275">
        <f t="shared" si="25"/>
        <v>44070</v>
      </c>
      <c r="F636" s="481"/>
      <c r="G636" s="174" t="s">
        <v>94</v>
      </c>
      <c r="H636" s="174" t="str" cm="1">
        <f t="array" ref="H636">IFERROR(INDEX(INVESTOR_LIST[INVESTOR NAME],MATCH(I636,INVESTOR_LIST[INVESTOR CODE],0),)," ")</f>
        <v xml:space="preserve"> </v>
      </c>
      <c r="I636" s="148" t="s">
        <v>348</v>
      </c>
      <c r="J636" s="149" t="s">
        <v>80</v>
      </c>
      <c r="K636" s="218">
        <v>1843.24</v>
      </c>
      <c r="L636" s="218"/>
      <c r="M636" s="147">
        <v>0</v>
      </c>
      <c r="Q636" s="133" t="s">
        <v>348</v>
      </c>
    </row>
    <row r="637" spans="1:17" x14ac:dyDescent="0.2">
      <c r="A637" s="163">
        <v>2020</v>
      </c>
      <c r="B637" s="163">
        <v>8</v>
      </c>
      <c r="C637" s="163">
        <v>27</v>
      </c>
      <c r="D637" s="141">
        <f t="shared" si="24"/>
        <v>44070</v>
      </c>
      <c r="E637" s="275">
        <f t="shared" si="25"/>
        <v>44070</v>
      </c>
      <c r="F637" s="480"/>
      <c r="G637" s="221" t="s">
        <v>94</v>
      </c>
      <c r="H637" s="221" t="str" cm="1">
        <f t="array" ref="H637">IFERROR(INDEX(INVESTOR_LIST[INVESTOR NAME],MATCH(I637,INVESTOR_LIST[INVESTOR CODE],0),)," ")</f>
        <v xml:space="preserve"> </v>
      </c>
      <c r="I637" s="145" t="s">
        <v>348</v>
      </c>
      <c r="J637" s="146" t="s">
        <v>147</v>
      </c>
      <c r="K637" s="219"/>
      <c r="L637" s="219">
        <v>1025865.64</v>
      </c>
      <c r="M637" s="147">
        <v>0</v>
      </c>
      <c r="Q637" s="133" t="s">
        <v>348</v>
      </c>
    </row>
    <row r="638" spans="1:17" x14ac:dyDescent="0.2">
      <c r="A638" s="133">
        <v>2020</v>
      </c>
      <c r="B638" s="133">
        <v>8</v>
      </c>
      <c r="C638" s="133">
        <v>27</v>
      </c>
      <c r="D638" s="141">
        <f t="shared" si="24"/>
        <v>44070</v>
      </c>
      <c r="E638" s="275">
        <f t="shared" si="25"/>
        <v>44070</v>
      </c>
      <c r="F638" s="481" t="s">
        <v>77</v>
      </c>
      <c r="G638" s="174" t="s">
        <v>74</v>
      </c>
      <c r="H638" s="174" t="str" cm="1">
        <f t="array" ref="H638">IFERROR(INDEX(INVESTOR_LIST[INVESTOR NAME],MATCH(I638,INVESTOR_LIST[INVESTOR CODE],0),)," ")</f>
        <v xml:space="preserve"> </v>
      </c>
      <c r="I638" s="148" t="s">
        <v>348</v>
      </c>
      <c r="J638" s="149" t="s">
        <v>61</v>
      </c>
      <c r="K638" s="218">
        <v>70</v>
      </c>
      <c r="L638" s="218"/>
      <c r="M638" s="147">
        <v>0</v>
      </c>
      <c r="Q638" s="133" t="s">
        <v>348</v>
      </c>
    </row>
    <row r="639" spans="1:17" x14ac:dyDescent="0.2">
      <c r="A639" s="163">
        <v>2020</v>
      </c>
      <c r="B639" s="163">
        <v>8</v>
      </c>
      <c r="C639" s="163">
        <v>27</v>
      </c>
      <c r="D639" s="141">
        <f t="shared" si="24"/>
        <v>44070</v>
      </c>
      <c r="E639" s="275">
        <f t="shared" si="25"/>
        <v>44070</v>
      </c>
      <c r="F639" s="480"/>
      <c r="G639" s="221" t="s">
        <v>74</v>
      </c>
      <c r="H639" s="221" t="str" cm="1">
        <f t="array" ref="H639">IFERROR(INDEX(INVESTOR_LIST[INVESTOR NAME],MATCH(I639,INVESTOR_LIST[INVESTOR CODE],0),)," ")</f>
        <v xml:space="preserve"> </v>
      </c>
      <c r="I639" s="145" t="s">
        <v>348</v>
      </c>
      <c r="J639" s="146" t="s">
        <v>52</v>
      </c>
      <c r="K639" s="219"/>
      <c r="L639" s="219">
        <v>70</v>
      </c>
      <c r="M639" s="147">
        <v>0</v>
      </c>
      <c r="Q639" s="133" t="s">
        <v>348</v>
      </c>
    </row>
    <row r="640" spans="1:17" x14ac:dyDescent="0.2">
      <c r="A640" s="246">
        <v>2020</v>
      </c>
      <c r="B640" s="246">
        <v>8</v>
      </c>
      <c r="C640" s="246">
        <v>27</v>
      </c>
      <c r="D640" s="141">
        <f t="shared" si="24"/>
        <v>44070</v>
      </c>
      <c r="E640" s="275">
        <f t="shared" si="25"/>
        <v>44070</v>
      </c>
      <c r="F640" s="482" t="s">
        <v>105</v>
      </c>
      <c r="G640" s="247" t="s">
        <v>94</v>
      </c>
      <c r="H640" s="247" t="str" cm="1">
        <f t="array" ref="H640">IFERROR(INDEX(INVESTOR_LIST[INVESTOR NAME],MATCH(I640,INVESTOR_LIST[INVESTOR CODE],0),)," ")</f>
        <v xml:space="preserve"> </v>
      </c>
      <c r="I640" s="248" t="s">
        <v>348</v>
      </c>
      <c r="J640" s="249" t="s">
        <v>108</v>
      </c>
      <c r="K640" s="252">
        <v>2908577.6</v>
      </c>
      <c r="L640" s="252"/>
      <c r="M640" s="147">
        <v>4</v>
      </c>
      <c r="Q640" s="133" t="s">
        <v>348</v>
      </c>
    </row>
    <row r="641" spans="1:17" x14ac:dyDescent="0.2">
      <c r="A641" s="242">
        <v>2020</v>
      </c>
      <c r="B641" s="242">
        <v>8</v>
      </c>
      <c r="C641" s="242">
        <v>27</v>
      </c>
      <c r="D641" s="141">
        <f t="shared" si="24"/>
        <v>44070</v>
      </c>
      <c r="E641" s="275">
        <f t="shared" si="25"/>
        <v>44070</v>
      </c>
      <c r="F641" s="478"/>
      <c r="G641" s="243" t="s">
        <v>94</v>
      </c>
      <c r="H641" s="243" t="str" cm="1">
        <f t="array" ref="H641">IFERROR(INDEX(INVESTOR_LIST[INVESTOR NAME],MATCH(I641,INVESTOR_LIST[INVESTOR CODE],0),)," ")</f>
        <v xml:space="preserve"> </v>
      </c>
      <c r="I641" s="263" t="s">
        <v>348</v>
      </c>
      <c r="J641" s="244" t="s">
        <v>82</v>
      </c>
      <c r="K641" s="245"/>
      <c r="L641" s="245">
        <v>2908577.6</v>
      </c>
      <c r="M641" s="147">
        <v>0</v>
      </c>
      <c r="Q641" s="133" t="s">
        <v>348</v>
      </c>
    </row>
    <row r="642" spans="1:17" ht="22.5" x14ac:dyDescent="0.2">
      <c r="A642" s="246">
        <v>2020</v>
      </c>
      <c r="B642" s="246">
        <v>8</v>
      </c>
      <c r="C642" s="246">
        <v>27</v>
      </c>
      <c r="D642" s="141">
        <f t="shared" si="24"/>
        <v>44070</v>
      </c>
      <c r="E642" s="275">
        <f t="shared" si="25"/>
        <v>44070</v>
      </c>
      <c r="F642" s="482" t="s">
        <v>136</v>
      </c>
      <c r="G642" s="247" t="s">
        <v>94</v>
      </c>
      <c r="H642" s="247" t="str" cm="1">
        <f t="array" ref="H642">IFERROR(INDEX(INVESTOR_LIST[INVESTOR NAME],MATCH(I642,INVESTOR_LIST[INVESTOR CODE],0),)," ")</f>
        <v xml:space="preserve"> </v>
      </c>
      <c r="I642" s="248" t="s">
        <v>348</v>
      </c>
      <c r="J642" s="249" t="s">
        <v>95</v>
      </c>
      <c r="K642" s="252">
        <v>2747.25</v>
      </c>
      <c r="L642" s="252"/>
      <c r="M642" s="147">
        <v>0</v>
      </c>
      <c r="Q642" s="133" t="s">
        <v>348</v>
      </c>
    </row>
    <row r="643" spans="1:17" x14ac:dyDescent="0.2">
      <c r="A643" s="242">
        <v>2020</v>
      </c>
      <c r="B643" s="242">
        <v>8</v>
      </c>
      <c r="C643" s="242">
        <v>27</v>
      </c>
      <c r="D643" s="141">
        <f t="shared" si="24"/>
        <v>44070</v>
      </c>
      <c r="E643" s="275">
        <f t="shared" si="25"/>
        <v>44070</v>
      </c>
      <c r="F643" s="478"/>
      <c r="G643" s="243" t="s">
        <v>94</v>
      </c>
      <c r="H643" s="243" t="str" cm="1">
        <f t="array" ref="H643">IFERROR(INDEX(INVESTOR_LIST[INVESTOR NAME],MATCH(I643,INVESTOR_LIST[INVESTOR CODE],0),)," ")</f>
        <v xml:space="preserve"> </v>
      </c>
      <c r="I643" s="263" t="s">
        <v>348</v>
      </c>
      <c r="J643" s="244" t="s">
        <v>63</v>
      </c>
      <c r="K643" s="245"/>
      <c r="L643" s="245">
        <v>2747.25</v>
      </c>
      <c r="M643" s="147">
        <v>0</v>
      </c>
      <c r="Q643" s="133" t="s">
        <v>348</v>
      </c>
    </row>
    <row r="644" spans="1:17" x14ac:dyDescent="0.2">
      <c r="A644" s="246">
        <v>2020</v>
      </c>
      <c r="B644" s="246">
        <v>8</v>
      </c>
      <c r="C644" s="246">
        <v>27</v>
      </c>
      <c r="D644" s="141">
        <f t="shared" si="24"/>
        <v>44070</v>
      </c>
      <c r="E644" s="275">
        <f t="shared" si="25"/>
        <v>44070</v>
      </c>
      <c r="F644" s="482" t="s">
        <v>137</v>
      </c>
      <c r="G644" s="247" t="s">
        <v>94</v>
      </c>
      <c r="H644" s="247" t="str" cm="1">
        <f t="array" ref="H644">IFERROR(INDEX(INVESTOR_LIST[INVESTOR NAME],MATCH(I644,INVESTOR_LIST[INVESTOR CODE],0),)," ")</f>
        <v xml:space="preserve"> </v>
      </c>
      <c r="I644" s="248" t="s">
        <v>348</v>
      </c>
      <c r="J644" s="249" t="s">
        <v>97</v>
      </c>
      <c r="K644" s="252">
        <v>35710.85</v>
      </c>
      <c r="L644" s="252"/>
      <c r="M644" s="147">
        <v>0</v>
      </c>
      <c r="Q644" s="133" t="s">
        <v>348</v>
      </c>
    </row>
    <row r="645" spans="1:17" x14ac:dyDescent="0.2">
      <c r="A645" s="242">
        <v>2020</v>
      </c>
      <c r="B645" s="242">
        <v>8</v>
      </c>
      <c r="C645" s="242">
        <v>27</v>
      </c>
      <c r="D645" s="141">
        <f t="shared" si="24"/>
        <v>44070</v>
      </c>
      <c r="E645" s="275">
        <f t="shared" si="25"/>
        <v>44070</v>
      </c>
      <c r="F645" s="478"/>
      <c r="G645" s="243" t="s">
        <v>94</v>
      </c>
      <c r="H645" s="243" t="str" cm="1">
        <f t="array" ref="H645">IFERROR(INDEX(INVESTOR_LIST[INVESTOR NAME],MATCH(I645,INVESTOR_LIST[INVESTOR CODE],0),)," ")</f>
        <v xml:space="preserve"> </v>
      </c>
      <c r="I645" s="263" t="s">
        <v>348</v>
      </c>
      <c r="J645" s="244" t="s">
        <v>47</v>
      </c>
      <c r="K645" s="245"/>
      <c r="L645" s="245">
        <v>35710.85</v>
      </c>
      <c r="M645" s="147">
        <v>0</v>
      </c>
      <c r="Q645" s="133" t="s">
        <v>348</v>
      </c>
    </row>
    <row r="646" spans="1:17" x14ac:dyDescent="0.2">
      <c r="A646" s="246">
        <v>2020</v>
      </c>
      <c r="B646" s="246">
        <v>8</v>
      </c>
      <c r="C646" s="246">
        <v>27</v>
      </c>
      <c r="D646" s="141">
        <f t="shared" si="24"/>
        <v>44070</v>
      </c>
      <c r="E646" s="275">
        <f t="shared" si="25"/>
        <v>44070</v>
      </c>
      <c r="F646" s="482" t="s">
        <v>138</v>
      </c>
      <c r="G646" s="247" t="s">
        <v>94</v>
      </c>
      <c r="H646" s="247" t="str" cm="1">
        <f t="array" ref="H646">IFERROR(INDEX(INVESTOR_LIST[INVESTOR NAME],MATCH(I646,INVESTOR_LIST[INVESTOR CODE],0),)," ")</f>
        <v xml:space="preserve"> </v>
      </c>
      <c r="I646" s="248" t="s">
        <v>348</v>
      </c>
      <c r="J646" s="249" t="s">
        <v>100</v>
      </c>
      <c r="K646" s="252">
        <v>1544.47</v>
      </c>
      <c r="L646" s="252"/>
      <c r="M646" s="147">
        <v>0</v>
      </c>
      <c r="Q646" s="133" t="s">
        <v>348</v>
      </c>
    </row>
    <row r="647" spans="1:17" x14ac:dyDescent="0.2">
      <c r="A647" s="242">
        <v>2020</v>
      </c>
      <c r="B647" s="242">
        <v>8</v>
      </c>
      <c r="C647" s="242">
        <v>27</v>
      </c>
      <c r="D647" s="141">
        <f t="shared" si="24"/>
        <v>44070</v>
      </c>
      <c r="E647" s="275">
        <f t="shared" si="25"/>
        <v>44070</v>
      </c>
      <c r="F647" s="478"/>
      <c r="G647" s="243" t="s">
        <v>94</v>
      </c>
      <c r="H647" s="243" t="str" cm="1">
        <f t="array" ref="H647">IFERROR(INDEX(INVESTOR_LIST[INVESTOR NAME],MATCH(I647,INVESTOR_LIST[INVESTOR CODE],0),)," ")</f>
        <v xml:space="preserve"> </v>
      </c>
      <c r="I647" s="263" t="s">
        <v>348</v>
      </c>
      <c r="J647" s="244" t="s">
        <v>48</v>
      </c>
      <c r="K647" s="245"/>
      <c r="L647" s="245">
        <v>1544.47</v>
      </c>
      <c r="M647" s="147">
        <v>0</v>
      </c>
      <c r="Q647" s="133" t="s">
        <v>348</v>
      </c>
    </row>
    <row r="648" spans="1:17" x14ac:dyDescent="0.2">
      <c r="A648" s="246">
        <v>2020</v>
      </c>
      <c r="B648" s="246">
        <v>8</v>
      </c>
      <c r="C648" s="246">
        <v>27</v>
      </c>
      <c r="D648" s="141">
        <f t="shared" si="24"/>
        <v>44070</v>
      </c>
      <c r="E648" s="275">
        <f t="shared" si="25"/>
        <v>44070</v>
      </c>
      <c r="F648" s="482" t="s">
        <v>140</v>
      </c>
      <c r="G648" s="247" t="s">
        <v>94</v>
      </c>
      <c r="H648" s="247" t="str" cm="1">
        <f t="array" ref="H648">IFERROR(INDEX(INVESTOR_LIST[INVESTOR NAME],MATCH(I648,INVESTOR_LIST[INVESTOR CODE],0),)," ")</f>
        <v xml:space="preserve"> </v>
      </c>
      <c r="I648" s="248" t="s">
        <v>348</v>
      </c>
      <c r="J648" s="249" t="s">
        <v>103</v>
      </c>
      <c r="K648" s="252">
        <v>729.17</v>
      </c>
      <c r="L648" s="252"/>
      <c r="M648" s="147">
        <v>0</v>
      </c>
      <c r="Q648" s="133" t="s">
        <v>348</v>
      </c>
    </row>
    <row r="649" spans="1:17" x14ac:dyDescent="0.2">
      <c r="A649" s="242">
        <v>2020</v>
      </c>
      <c r="B649" s="242">
        <v>8</v>
      </c>
      <c r="C649" s="242">
        <v>27</v>
      </c>
      <c r="D649" s="141">
        <f t="shared" si="24"/>
        <v>44070</v>
      </c>
      <c r="E649" s="275">
        <f t="shared" si="25"/>
        <v>44070</v>
      </c>
      <c r="F649" s="478"/>
      <c r="G649" s="243" t="s">
        <v>94</v>
      </c>
      <c r="H649" s="243" t="str" cm="1">
        <f t="array" ref="H649">IFERROR(INDEX(INVESTOR_LIST[INVESTOR NAME],MATCH(I649,INVESTOR_LIST[INVESTOR CODE],0),)," ")</f>
        <v xml:space="preserve"> </v>
      </c>
      <c r="I649" s="263" t="s">
        <v>348</v>
      </c>
      <c r="J649" s="244" t="s">
        <v>50</v>
      </c>
      <c r="K649" s="245"/>
      <c r="L649" s="245">
        <v>729.17</v>
      </c>
      <c r="M649" s="147">
        <v>0</v>
      </c>
      <c r="Q649" s="133" t="s">
        <v>348</v>
      </c>
    </row>
    <row r="650" spans="1:17" x14ac:dyDescent="0.2">
      <c r="A650" s="133">
        <v>2020</v>
      </c>
      <c r="B650" s="133">
        <v>8</v>
      </c>
      <c r="C650" s="133">
        <v>31</v>
      </c>
      <c r="D650" s="141">
        <f t="shared" si="24"/>
        <v>44074</v>
      </c>
      <c r="E650" s="275">
        <f t="shared" si="25"/>
        <v>44074</v>
      </c>
      <c r="F650" s="481" t="s">
        <v>141</v>
      </c>
      <c r="G650" s="174" t="s">
        <v>74</v>
      </c>
      <c r="H650" s="174" t="str" cm="1">
        <f t="array" ref="H650">IFERROR(INDEX(INVESTOR_LIST[INVESTOR NAME],MATCH(I650,INVESTOR_LIST[INVESTOR CODE],0),)," ")</f>
        <v xml:space="preserve"> </v>
      </c>
      <c r="I650" s="148" t="s">
        <v>348</v>
      </c>
      <c r="J650" s="149" t="s">
        <v>52</v>
      </c>
      <c r="K650" s="218">
        <v>177085</v>
      </c>
      <c r="L650" s="218"/>
      <c r="M650" s="147">
        <v>3</v>
      </c>
      <c r="Q650" s="133" t="s">
        <v>348</v>
      </c>
    </row>
    <row r="651" spans="1:17" x14ac:dyDescent="0.2">
      <c r="A651" s="163">
        <v>2020</v>
      </c>
      <c r="B651" s="163">
        <v>8</v>
      </c>
      <c r="C651" s="163">
        <v>31</v>
      </c>
      <c r="D651" s="141">
        <f t="shared" si="24"/>
        <v>44074</v>
      </c>
      <c r="E651" s="275">
        <f t="shared" si="25"/>
        <v>44074</v>
      </c>
      <c r="F651" s="480"/>
      <c r="G651" s="221" t="s">
        <v>74</v>
      </c>
      <c r="H651" s="221" t="str" cm="1">
        <f t="array" ref="H651">IFERROR(INDEX(INVESTOR_LIST[INVESTOR NAME],MATCH(I651,INVESTOR_LIST[INVESTOR CODE],0),)," ")</f>
        <v xml:space="preserve"> </v>
      </c>
      <c r="I651" s="145" t="s">
        <v>348</v>
      </c>
      <c r="J651" s="146" t="s">
        <v>60</v>
      </c>
      <c r="K651" s="219"/>
      <c r="L651" s="219">
        <v>177085</v>
      </c>
      <c r="M651" s="147">
        <v>0</v>
      </c>
      <c r="Q651" s="133" t="s">
        <v>348</v>
      </c>
    </row>
    <row r="652" spans="1:17" x14ac:dyDescent="0.2">
      <c r="A652" s="133">
        <v>2020</v>
      </c>
      <c r="B652" s="133">
        <v>8</v>
      </c>
      <c r="C652" s="133">
        <v>31</v>
      </c>
      <c r="D652" s="141">
        <f t="shared" si="24"/>
        <v>44074</v>
      </c>
      <c r="E652" s="275">
        <f t="shared" si="25"/>
        <v>44074</v>
      </c>
      <c r="F652" s="481" t="s">
        <v>178</v>
      </c>
      <c r="G652" s="174" t="s">
        <v>74</v>
      </c>
      <c r="H652" s="174" t="str" cm="1">
        <f t="array" ref="H652">IFERROR(INDEX(INVESTOR_LIST[INVESTOR NAME],MATCH(I652,INVESTOR_LIST[INVESTOR CODE],0),)," ")</f>
        <v xml:space="preserve"> </v>
      </c>
      <c r="I652" s="148" t="s">
        <v>348</v>
      </c>
      <c r="J652" s="149" t="s">
        <v>147</v>
      </c>
      <c r="K652" s="218">
        <v>1025865.64</v>
      </c>
      <c r="L652" s="218"/>
      <c r="M652" s="147">
        <v>0</v>
      </c>
      <c r="Q652" s="133" t="s">
        <v>348</v>
      </c>
    </row>
    <row r="653" spans="1:17" x14ac:dyDescent="0.2">
      <c r="A653" s="163">
        <v>2020</v>
      </c>
      <c r="B653" s="163">
        <v>8</v>
      </c>
      <c r="C653" s="163">
        <v>31</v>
      </c>
      <c r="D653" s="141">
        <f t="shared" ref="D653:D716" si="26">DATE(A653,B653,C653)</f>
        <v>44074</v>
      </c>
      <c r="E653" s="275">
        <f t="shared" si="25"/>
        <v>44074</v>
      </c>
      <c r="F653" s="480"/>
      <c r="G653" s="221" t="s">
        <v>74</v>
      </c>
      <c r="H653" s="221" t="str" cm="1">
        <f t="array" ref="H653">IFERROR(INDEX(INVESTOR_LIST[INVESTOR NAME],MATCH(I653,INVESTOR_LIST[INVESTOR CODE],0),)," ")</f>
        <v xml:space="preserve"> </v>
      </c>
      <c r="I653" s="145" t="s">
        <v>348</v>
      </c>
      <c r="J653" s="146" t="s">
        <v>52</v>
      </c>
      <c r="K653" s="219"/>
      <c r="L653" s="219">
        <v>1025865.64</v>
      </c>
      <c r="M653" s="147">
        <v>0</v>
      </c>
      <c r="Q653" s="133" t="s">
        <v>348</v>
      </c>
    </row>
    <row r="654" spans="1:17" x14ac:dyDescent="0.2">
      <c r="A654" s="133">
        <v>2020</v>
      </c>
      <c r="B654" s="133">
        <v>8</v>
      </c>
      <c r="C654" s="133">
        <v>31</v>
      </c>
      <c r="D654" s="141">
        <f t="shared" si="26"/>
        <v>44074</v>
      </c>
      <c r="E654" s="275">
        <f t="shared" ref="E654:E717" si="27">DATE(A654,B654,C654)</f>
        <v>44074</v>
      </c>
      <c r="F654" s="481" t="s">
        <v>268</v>
      </c>
      <c r="G654" s="174" t="s">
        <v>94</v>
      </c>
      <c r="H654" s="174" t="str" cm="1">
        <f t="array" ref="H654">IFERROR(INDEX(INVESTOR_LIST[INVESTOR NAME],MATCH(I654,INVESTOR_LIST[INVESTOR CODE],0),)," ")</f>
        <v xml:space="preserve"> </v>
      </c>
      <c r="I654" s="148" t="s">
        <v>348</v>
      </c>
      <c r="J654" s="149" t="s">
        <v>79</v>
      </c>
      <c r="K654" s="218">
        <v>2592500</v>
      </c>
      <c r="L654" s="218"/>
      <c r="M654" s="147">
        <v>0</v>
      </c>
      <c r="Q654" s="133" t="s">
        <v>348</v>
      </c>
    </row>
    <row r="655" spans="1:17" x14ac:dyDescent="0.2">
      <c r="A655" s="133">
        <v>2020</v>
      </c>
      <c r="B655" s="133">
        <v>8</v>
      </c>
      <c r="C655" s="133">
        <v>31</v>
      </c>
      <c r="D655" s="141">
        <f t="shared" si="26"/>
        <v>44074</v>
      </c>
      <c r="E655" s="275">
        <f t="shared" si="27"/>
        <v>44074</v>
      </c>
      <c r="F655" s="481"/>
      <c r="G655" s="174" t="s">
        <v>94</v>
      </c>
      <c r="H655" s="174" t="str" cm="1">
        <f t="array" ref="H655">IFERROR(INDEX(INVESTOR_LIST[INVESTOR NAME],MATCH(I655,INVESTOR_LIST[INVESTOR CODE],0),)," ")</f>
        <v xml:space="preserve"> </v>
      </c>
      <c r="I655" s="148" t="s">
        <v>348</v>
      </c>
      <c r="J655" s="149" t="s">
        <v>80</v>
      </c>
      <c r="K655" s="218">
        <v>4666.5</v>
      </c>
      <c r="L655" s="218"/>
      <c r="M655" s="147">
        <v>0</v>
      </c>
      <c r="Q655" s="133" t="s">
        <v>348</v>
      </c>
    </row>
    <row r="656" spans="1:17" x14ac:dyDescent="0.2">
      <c r="A656" s="163">
        <v>2020</v>
      </c>
      <c r="B656" s="163">
        <v>8</v>
      </c>
      <c r="C656" s="163">
        <v>31</v>
      </c>
      <c r="D656" s="141">
        <f t="shared" si="26"/>
        <v>44074</v>
      </c>
      <c r="E656" s="275">
        <f t="shared" si="27"/>
        <v>44074</v>
      </c>
      <c r="F656" s="480"/>
      <c r="G656" s="221" t="s">
        <v>94</v>
      </c>
      <c r="H656" s="221" t="str" cm="1">
        <f t="array" ref="H656">IFERROR(INDEX(INVESTOR_LIST[INVESTOR NAME],MATCH(I656,INVESTOR_LIST[INVESTOR CODE],0),)," ")</f>
        <v xml:space="preserve"> </v>
      </c>
      <c r="I656" s="145" t="s">
        <v>348</v>
      </c>
      <c r="J656" s="146" t="s">
        <v>147</v>
      </c>
      <c r="K656" s="219"/>
      <c r="L656" s="219">
        <f>SUM(K654:K655)</f>
        <v>2597166.5</v>
      </c>
      <c r="M656" s="147">
        <v>0</v>
      </c>
      <c r="Q656" s="133" t="s">
        <v>348</v>
      </c>
    </row>
    <row r="657" spans="1:17" x14ac:dyDescent="0.2">
      <c r="A657" s="133">
        <v>2020</v>
      </c>
      <c r="B657" s="133">
        <v>8</v>
      </c>
      <c r="C657" s="133">
        <v>31</v>
      </c>
      <c r="D657" s="141">
        <f t="shared" si="26"/>
        <v>44074</v>
      </c>
      <c r="E657" s="275">
        <f t="shared" si="27"/>
        <v>44074</v>
      </c>
      <c r="F657" s="481" t="s">
        <v>179</v>
      </c>
      <c r="G657" s="174" t="s">
        <v>74</v>
      </c>
      <c r="H657" s="174" t="str" cm="1">
        <f t="array" ref="H657">IFERROR(INDEX(INVESTOR_LIST[INVESTOR NAME],MATCH(I657,INVESTOR_LIST[INVESTOR CODE],0),)," ")</f>
        <v xml:space="preserve"> </v>
      </c>
      <c r="I657" s="148" t="s">
        <v>348</v>
      </c>
      <c r="J657" s="149" t="s">
        <v>79</v>
      </c>
      <c r="K657" s="218">
        <v>2735657</v>
      </c>
      <c r="L657" s="218"/>
      <c r="M657" s="147">
        <v>0</v>
      </c>
      <c r="Q657" s="133" t="s">
        <v>348</v>
      </c>
    </row>
    <row r="658" spans="1:17" x14ac:dyDescent="0.2">
      <c r="A658" s="133">
        <v>2020</v>
      </c>
      <c r="B658" s="133">
        <v>8</v>
      </c>
      <c r="C658" s="133">
        <v>31</v>
      </c>
      <c r="D658" s="141">
        <f t="shared" si="26"/>
        <v>44074</v>
      </c>
      <c r="E658" s="275">
        <f t="shared" si="27"/>
        <v>44074</v>
      </c>
      <c r="F658" s="481"/>
      <c r="G658" s="174" t="s">
        <v>74</v>
      </c>
      <c r="H658" s="174" t="str" cm="1">
        <f t="array" ref="H658">IFERROR(INDEX(INVESTOR_LIST[INVESTOR NAME],MATCH(I658,INVESTOR_LIST[INVESTOR CODE],0),)," ")</f>
        <v xml:space="preserve"> </v>
      </c>
      <c r="I658" s="148" t="s">
        <v>348</v>
      </c>
      <c r="J658" s="149" t="s">
        <v>80</v>
      </c>
      <c r="K658" s="218">
        <v>4924.18</v>
      </c>
      <c r="L658" s="218"/>
      <c r="M658" s="147">
        <v>0</v>
      </c>
      <c r="Q658" s="133" t="s">
        <v>348</v>
      </c>
    </row>
    <row r="659" spans="1:17" x14ac:dyDescent="0.2">
      <c r="A659" s="163">
        <v>2020</v>
      </c>
      <c r="B659" s="163">
        <v>8</v>
      </c>
      <c r="C659" s="163">
        <v>31</v>
      </c>
      <c r="D659" s="141">
        <f t="shared" si="26"/>
        <v>44074</v>
      </c>
      <c r="E659" s="275">
        <f t="shared" si="27"/>
        <v>44074</v>
      </c>
      <c r="F659" s="480"/>
      <c r="G659" s="221" t="s">
        <v>74</v>
      </c>
      <c r="H659" s="221" t="str" cm="1">
        <f t="array" ref="H659">IFERROR(INDEX(INVESTOR_LIST[INVESTOR NAME],MATCH(I659,INVESTOR_LIST[INVESTOR CODE],0),)," ")</f>
        <v xml:space="preserve"> </v>
      </c>
      <c r="I659" s="145" t="s">
        <v>348</v>
      </c>
      <c r="J659" s="146" t="s">
        <v>147</v>
      </c>
      <c r="K659" s="219"/>
      <c r="L659" s="219">
        <f>SUM(K657:K658)</f>
        <v>2740581.18</v>
      </c>
      <c r="M659" s="147">
        <v>0</v>
      </c>
      <c r="Q659" s="133" t="s">
        <v>348</v>
      </c>
    </row>
    <row r="660" spans="1:17" ht="22.5" x14ac:dyDescent="0.2">
      <c r="A660" s="133">
        <v>2020</v>
      </c>
      <c r="B660" s="133">
        <v>9</v>
      </c>
      <c r="C660" s="133">
        <v>1</v>
      </c>
      <c r="D660" s="141">
        <f t="shared" si="26"/>
        <v>44075</v>
      </c>
      <c r="E660" s="275">
        <f t="shared" si="27"/>
        <v>44075</v>
      </c>
      <c r="F660" s="479" t="s">
        <v>964</v>
      </c>
      <c r="G660" s="174" t="s">
        <v>74</v>
      </c>
      <c r="H660" s="174" t="str" cm="1">
        <f t="array" ref="H660">IFERROR(INDEX(INVESTOR_LIST[INVESTOR NAME],MATCH(I660,INVESTOR_LIST[INVESTOR CODE],0),)," ")</f>
        <v>SHIBBIR AHMED</v>
      </c>
      <c r="I660" s="148" t="s">
        <v>377</v>
      </c>
      <c r="J660" s="149" t="s">
        <v>52</v>
      </c>
      <c r="K660" s="218">
        <v>100000</v>
      </c>
      <c r="L660" s="218"/>
      <c r="M660" s="147">
        <v>0</v>
      </c>
      <c r="Q660" s="133" t="s">
        <v>377</v>
      </c>
    </row>
    <row r="661" spans="1:17" ht="22.5" x14ac:dyDescent="0.2">
      <c r="A661" s="133">
        <v>2020</v>
      </c>
      <c r="B661" s="133">
        <v>9</v>
      </c>
      <c r="C661" s="133">
        <v>1</v>
      </c>
      <c r="D661" s="141">
        <f t="shared" si="26"/>
        <v>44075</v>
      </c>
      <c r="E661" s="275">
        <f t="shared" si="27"/>
        <v>44075</v>
      </c>
      <c r="F661" s="481"/>
      <c r="G661" s="174" t="s">
        <v>74</v>
      </c>
      <c r="H661" s="174" t="str" cm="1">
        <f t="array" ref="H661">IFERROR(INDEX(INVESTOR_LIST[INVESTOR NAME],MATCH(I661,INVESTOR_LIST[INVESTOR CODE],0),)," ")</f>
        <v>SHIBBIR AHMED</v>
      </c>
      <c r="I661" s="148" t="s">
        <v>377</v>
      </c>
      <c r="J661" s="149" t="s">
        <v>13</v>
      </c>
      <c r="K661" s="218"/>
      <c r="L661" s="218">
        <v>89290</v>
      </c>
      <c r="M661" s="147">
        <v>0</v>
      </c>
      <c r="Q661" s="133" t="s">
        <v>377</v>
      </c>
    </row>
    <row r="662" spans="1:17" ht="22.5" x14ac:dyDescent="0.2">
      <c r="A662" s="163">
        <v>2020</v>
      </c>
      <c r="B662" s="163">
        <v>9</v>
      </c>
      <c r="C662" s="163">
        <v>1</v>
      </c>
      <c r="D662" s="141">
        <f t="shared" si="26"/>
        <v>44075</v>
      </c>
      <c r="E662" s="275">
        <f t="shared" si="27"/>
        <v>44075</v>
      </c>
      <c r="F662" s="480"/>
      <c r="G662" s="221" t="s">
        <v>74</v>
      </c>
      <c r="H662" s="221" t="str" cm="1">
        <f t="array" ref="H662">IFERROR(INDEX(INVESTOR_LIST[INVESTOR NAME],MATCH(I662,INVESTOR_LIST[INVESTOR CODE],0),)," ")</f>
        <v>SHIBBIR AHMED</v>
      </c>
      <c r="I662" s="145" t="s">
        <v>377</v>
      </c>
      <c r="J662" s="146" t="s">
        <v>53</v>
      </c>
      <c r="K662" s="219"/>
      <c r="L662" s="219">
        <f>K660-L661</f>
        <v>10710</v>
      </c>
      <c r="M662" s="147">
        <v>0</v>
      </c>
      <c r="Q662" s="133" t="s">
        <v>377</v>
      </c>
    </row>
    <row r="663" spans="1:17" x14ac:dyDescent="0.2">
      <c r="A663" s="133">
        <v>2020</v>
      </c>
      <c r="B663" s="133">
        <v>9</v>
      </c>
      <c r="C663" s="133">
        <v>1</v>
      </c>
      <c r="D663" s="141">
        <f t="shared" si="26"/>
        <v>44075</v>
      </c>
      <c r="E663" s="275">
        <f t="shared" si="27"/>
        <v>44075</v>
      </c>
      <c r="F663" s="481" t="s">
        <v>180</v>
      </c>
      <c r="G663" s="174" t="s">
        <v>74</v>
      </c>
      <c r="H663" s="174" t="str" cm="1">
        <f t="array" ref="H663">IFERROR(INDEX(INVESTOR_LIST[INVESTOR NAME],MATCH(I663,INVESTOR_LIST[INVESTOR CODE],0),)," ")</f>
        <v xml:space="preserve"> </v>
      </c>
      <c r="I663" s="148" t="s">
        <v>348</v>
      </c>
      <c r="J663" s="149" t="s">
        <v>163</v>
      </c>
      <c r="K663" s="218">
        <v>12000</v>
      </c>
      <c r="L663" s="218"/>
      <c r="M663" s="147">
        <v>0</v>
      </c>
      <c r="Q663" s="133" t="s">
        <v>348</v>
      </c>
    </row>
    <row r="664" spans="1:17" x14ac:dyDescent="0.2">
      <c r="A664" s="163">
        <v>2020</v>
      </c>
      <c r="B664" s="163">
        <v>9</v>
      </c>
      <c r="C664" s="163">
        <v>1</v>
      </c>
      <c r="D664" s="141">
        <f t="shared" si="26"/>
        <v>44075</v>
      </c>
      <c r="E664" s="275">
        <f t="shared" si="27"/>
        <v>44075</v>
      </c>
      <c r="F664" s="480"/>
      <c r="G664" s="221" t="s">
        <v>74</v>
      </c>
      <c r="H664" s="221" t="str" cm="1">
        <f t="array" ref="H664">IFERROR(INDEX(INVESTOR_LIST[INVESTOR NAME],MATCH(I664,INVESTOR_LIST[INVESTOR CODE],0),)," ")</f>
        <v xml:space="preserve"> </v>
      </c>
      <c r="I664" s="145" t="s">
        <v>348</v>
      </c>
      <c r="J664" s="146" t="s">
        <v>52</v>
      </c>
      <c r="K664" s="218"/>
      <c r="L664" s="219">
        <v>12000</v>
      </c>
      <c r="M664" s="147">
        <v>0</v>
      </c>
      <c r="Q664" s="133" t="s">
        <v>348</v>
      </c>
    </row>
    <row r="665" spans="1:17" x14ac:dyDescent="0.2">
      <c r="A665" s="133">
        <v>2020</v>
      </c>
      <c r="B665" s="133">
        <v>9</v>
      </c>
      <c r="C665" s="133">
        <v>1</v>
      </c>
      <c r="D665" s="141">
        <f t="shared" si="26"/>
        <v>44075</v>
      </c>
      <c r="E665" s="275">
        <f t="shared" si="27"/>
        <v>44075</v>
      </c>
      <c r="F665" s="479" t="s">
        <v>269</v>
      </c>
      <c r="G665" s="174" t="s">
        <v>74</v>
      </c>
      <c r="H665" s="174" t="str" cm="1">
        <f t="array" ref="H665">IFERROR(INDEX(INVESTOR_LIST[INVESTOR NAME],MATCH(I665,INVESTOR_LIST[INVESTOR CODE],0),)," ")</f>
        <v xml:space="preserve"> </v>
      </c>
      <c r="I665" s="148" t="s">
        <v>348</v>
      </c>
      <c r="J665" s="149" t="s">
        <v>147</v>
      </c>
      <c r="K665" s="218">
        <v>2740581.18</v>
      </c>
      <c r="L665" s="218"/>
      <c r="M665" s="147">
        <v>0</v>
      </c>
      <c r="Q665" s="133" t="s">
        <v>348</v>
      </c>
    </row>
    <row r="666" spans="1:17" x14ac:dyDescent="0.2">
      <c r="A666" s="133">
        <v>2020</v>
      </c>
      <c r="B666" s="133">
        <v>9</v>
      </c>
      <c r="C666" s="133">
        <v>1</v>
      </c>
      <c r="D666" s="141">
        <f t="shared" si="26"/>
        <v>44075</v>
      </c>
      <c r="E666" s="275">
        <f t="shared" si="27"/>
        <v>44075</v>
      </c>
      <c r="F666" s="481"/>
      <c r="G666" s="174" t="s">
        <v>74</v>
      </c>
      <c r="H666" s="174" t="str" cm="1">
        <f t="array" ref="H666">IFERROR(INDEX(INVESTOR_LIST[INVESTOR NAME],MATCH(I666,INVESTOR_LIST[INVESTOR CODE],0),)," ")</f>
        <v xml:space="preserve"> </v>
      </c>
      <c r="I666" s="148" t="s">
        <v>348</v>
      </c>
      <c r="J666" s="149" t="s">
        <v>52</v>
      </c>
      <c r="K666" s="218"/>
      <c r="L666" s="219">
        <v>2740581.18</v>
      </c>
      <c r="M666" s="147">
        <v>0</v>
      </c>
      <c r="Q666" s="133" t="s">
        <v>348</v>
      </c>
    </row>
    <row r="667" spans="1:17" x14ac:dyDescent="0.2">
      <c r="A667" s="168">
        <v>2020</v>
      </c>
      <c r="B667" s="168">
        <v>9</v>
      </c>
      <c r="C667" s="168">
        <v>1</v>
      </c>
      <c r="D667" s="141">
        <f t="shared" si="26"/>
        <v>44075</v>
      </c>
      <c r="E667" s="275">
        <f t="shared" si="27"/>
        <v>44075</v>
      </c>
      <c r="F667" s="479" t="s">
        <v>269</v>
      </c>
      <c r="G667" s="220" t="s">
        <v>74</v>
      </c>
      <c r="H667" s="220" t="str" cm="1">
        <f t="array" ref="H667">IFERROR(INDEX(INVESTOR_LIST[INVESTOR NAME],MATCH(I667,INVESTOR_LIST[INVESTOR CODE],0),)," ")</f>
        <v xml:space="preserve"> </v>
      </c>
      <c r="I667" s="142" t="s">
        <v>348</v>
      </c>
      <c r="J667" s="143" t="s">
        <v>147</v>
      </c>
      <c r="K667" s="218">
        <v>2597166.5</v>
      </c>
      <c r="L667" s="226"/>
      <c r="M667" s="147">
        <v>0</v>
      </c>
      <c r="Q667" s="133" t="s">
        <v>348</v>
      </c>
    </row>
    <row r="668" spans="1:17" x14ac:dyDescent="0.2">
      <c r="A668" s="163">
        <v>2020</v>
      </c>
      <c r="B668" s="163">
        <v>9</v>
      </c>
      <c r="C668" s="163">
        <v>1</v>
      </c>
      <c r="D668" s="141">
        <f t="shared" si="26"/>
        <v>44075</v>
      </c>
      <c r="E668" s="275">
        <f t="shared" si="27"/>
        <v>44075</v>
      </c>
      <c r="F668" s="480"/>
      <c r="G668" s="221" t="s">
        <v>74</v>
      </c>
      <c r="H668" s="221" t="str" cm="1">
        <f t="array" ref="H668">IFERROR(INDEX(INVESTOR_LIST[INVESTOR NAME],MATCH(I668,INVESTOR_LIST[INVESTOR CODE],0),)," ")</f>
        <v xml:space="preserve"> </v>
      </c>
      <c r="I668" s="145" t="s">
        <v>348</v>
      </c>
      <c r="J668" s="146" t="s">
        <v>52</v>
      </c>
      <c r="K668" s="219"/>
      <c r="L668" s="219">
        <v>2597166.5</v>
      </c>
      <c r="M668" s="147">
        <v>0</v>
      </c>
      <c r="Q668" s="133" t="s">
        <v>348</v>
      </c>
    </row>
    <row r="669" spans="1:17" x14ac:dyDescent="0.2">
      <c r="A669" s="168">
        <v>2020</v>
      </c>
      <c r="B669" s="168">
        <v>9</v>
      </c>
      <c r="C669" s="168">
        <v>1</v>
      </c>
      <c r="D669" s="141">
        <f t="shared" si="26"/>
        <v>44075</v>
      </c>
      <c r="E669" s="275">
        <f t="shared" si="27"/>
        <v>44075</v>
      </c>
      <c r="F669" s="479" t="s">
        <v>179</v>
      </c>
      <c r="G669" s="220" t="s">
        <v>94</v>
      </c>
      <c r="H669" s="220" t="str" cm="1">
        <f t="array" ref="H669">IFERROR(INDEX(INVESTOR_LIST[INVESTOR NAME],MATCH(I669,INVESTOR_LIST[INVESTOR CODE],0),)," ")</f>
        <v xml:space="preserve"> </v>
      </c>
      <c r="I669" s="142" t="s">
        <v>348</v>
      </c>
      <c r="J669" s="143" t="s">
        <v>79</v>
      </c>
      <c r="K669" s="226">
        <v>210123</v>
      </c>
      <c r="L669" s="226"/>
      <c r="M669" s="147">
        <v>0</v>
      </c>
      <c r="N669" s="156"/>
      <c r="Q669" s="133" t="s">
        <v>348</v>
      </c>
    </row>
    <row r="670" spans="1:17" x14ac:dyDescent="0.2">
      <c r="A670" s="133">
        <v>2020</v>
      </c>
      <c r="B670" s="133">
        <v>9</v>
      </c>
      <c r="C670" s="133">
        <v>1</v>
      </c>
      <c r="D670" s="141">
        <f t="shared" si="26"/>
        <v>44075</v>
      </c>
      <c r="E670" s="275">
        <f t="shared" si="27"/>
        <v>44075</v>
      </c>
      <c r="F670" s="481"/>
      <c r="G670" s="174" t="s">
        <v>94</v>
      </c>
      <c r="H670" s="174" t="str" cm="1">
        <f t="array" ref="H670">IFERROR(INDEX(INVESTOR_LIST[INVESTOR NAME],MATCH(I670,INVESTOR_LIST[INVESTOR CODE],0),)," ")</f>
        <v xml:space="preserve"> </v>
      </c>
      <c r="I670" s="148" t="s">
        <v>348</v>
      </c>
      <c r="J670" s="149" t="s">
        <v>80</v>
      </c>
      <c r="K670" s="218">
        <v>378.22</v>
      </c>
      <c r="L670" s="218"/>
      <c r="M670" s="147">
        <v>0</v>
      </c>
      <c r="Q670" s="133" t="s">
        <v>348</v>
      </c>
    </row>
    <row r="671" spans="1:17" x14ac:dyDescent="0.2">
      <c r="A671" s="163">
        <v>2020</v>
      </c>
      <c r="B671" s="163">
        <v>9</v>
      </c>
      <c r="C671" s="163">
        <v>1</v>
      </c>
      <c r="D671" s="141">
        <f t="shared" si="26"/>
        <v>44075</v>
      </c>
      <c r="E671" s="275">
        <f t="shared" si="27"/>
        <v>44075</v>
      </c>
      <c r="F671" s="480"/>
      <c r="G671" s="221" t="s">
        <v>94</v>
      </c>
      <c r="H671" s="221" t="str" cm="1">
        <f t="array" ref="H671">IFERROR(INDEX(INVESTOR_LIST[INVESTOR NAME],MATCH(I671,INVESTOR_LIST[INVESTOR CODE],0),)," ")</f>
        <v xml:space="preserve"> </v>
      </c>
      <c r="I671" s="145" t="s">
        <v>348</v>
      </c>
      <c r="J671" s="146" t="s">
        <v>147</v>
      </c>
      <c r="K671" s="218"/>
      <c r="L671" s="219">
        <f>SUM(K669:K670)</f>
        <v>210501.22</v>
      </c>
      <c r="M671" s="147">
        <v>3</v>
      </c>
      <c r="Q671" s="133" t="s">
        <v>348</v>
      </c>
    </row>
    <row r="672" spans="1:17" x14ac:dyDescent="0.2">
      <c r="A672" s="133">
        <v>2020</v>
      </c>
      <c r="B672" s="133">
        <v>9</v>
      </c>
      <c r="C672" s="133">
        <v>2</v>
      </c>
      <c r="D672" s="141">
        <f t="shared" si="26"/>
        <v>44076</v>
      </c>
      <c r="E672" s="275">
        <f t="shared" si="27"/>
        <v>44076</v>
      </c>
      <c r="F672" s="479" t="s">
        <v>267</v>
      </c>
      <c r="G672" s="174" t="s">
        <v>74</v>
      </c>
      <c r="H672" s="174" t="str" cm="1">
        <f t="array" ref="H672">IFERROR(INDEX(INVESTOR_LIST[INVESTOR NAME],MATCH(I672,INVESTOR_LIST[INVESTOR CODE],0),)," ")</f>
        <v xml:space="preserve"> </v>
      </c>
      <c r="I672" s="148" t="s">
        <v>348</v>
      </c>
      <c r="J672" s="149" t="s">
        <v>147</v>
      </c>
      <c r="K672" s="218">
        <v>210501.22</v>
      </c>
      <c r="L672" s="218"/>
      <c r="M672" s="147">
        <v>0</v>
      </c>
      <c r="Q672" s="133" t="s">
        <v>348</v>
      </c>
    </row>
    <row r="673" spans="1:17" x14ac:dyDescent="0.2">
      <c r="A673" s="133">
        <v>2020</v>
      </c>
      <c r="B673" s="133">
        <v>9</v>
      </c>
      <c r="C673" s="133">
        <v>2</v>
      </c>
      <c r="D673" s="141">
        <f t="shared" si="26"/>
        <v>44076</v>
      </c>
      <c r="E673" s="275">
        <f t="shared" si="27"/>
        <v>44076</v>
      </c>
      <c r="F673" s="481"/>
      <c r="G673" s="174" t="s">
        <v>74</v>
      </c>
      <c r="H673" s="174" t="str" cm="1">
        <f t="array" ref="H673">IFERROR(INDEX(INVESTOR_LIST[INVESTOR NAME],MATCH(I673,INVESTOR_LIST[INVESTOR CODE],0),)," ")</f>
        <v xml:space="preserve"> </v>
      </c>
      <c r="I673" s="148" t="s">
        <v>348</v>
      </c>
      <c r="J673" s="149" t="s">
        <v>52</v>
      </c>
      <c r="K673" s="218"/>
      <c r="L673" s="218">
        <v>210501.22</v>
      </c>
      <c r="M673" s="147">
        <v>0</v>
      </c>
      <c r="Q673" s="133" t="s">
        <v>348</v>
      </c>
    </row>
    <row r="674" spans="1:17" x14ac:dyDescent="0.2">
      <c r="A674" s="168">
        <v>2020</v>
      </c>
      <c r="B674" s="168">
        <v>9</v>
      </c>
      <c r="C674" s="168">
        <v>2</v>
      </c>
      <c r="D674" s="141">
        <f t="shared" si="26"/>
        <v>44076</v>
      </c>
      <c r="E674" s="275">
        <f t="shared" si="27"/>
        <v>44076</v>
      </c>
      <c r="F674" s="479" t="s">
        <v>179</v>
      </c>
      <c r="G674" s="220" t="s">
        <v>74</v>
      </c>
      <c r="H674" s="220" t="str" cm="1">
        <f t="array" ref="H674">IFERROR(INDEX(INVESTOR_LIST[INVESTOR NAME],MATCH(I674,INVESTOR_LIST[INVESTOR CODE],0),)," ")</f>
        <v xml:space="preserve"> </v>
      </c>
      <c r="I674" s="142" t="s">
        <v>348</v>
      </c>
      <c r="J674" s="143" t="s">
        <v>79</v>
      </c>
      <c r="K674" s="226">
        <v>902984</v>
      </c>
      <c r="L674" s="226"/>
      <c r="M674" s="147">
        <v>1</v>
      </c>
      <c r="N674" s="147"/>
      <c r="Q674" s="133" t="s">
        <v>348</v>
      </c>
    </row>
    <row r="675" spans="1:17" x14ac:dyDescent="0.2">
      <c r="A675" s="133">
        <v>2020</v>
      </c>
      <c r="B675" s="133">
        <v>9</v>
      </c>
      <c r="C675" s="133">
        <v>2</v>
      </c>
      <c r="D675" s="141">
        <f t="shared" si="26"/>
        <v>44076</v>
      </c>
      <c r="E675" s="275">
        <f t="shared" si="27"/>
        <v>44076</v>
      </c>
      <c r="F675" s="481"/>
      <c r="G675" s="174" t="s">
        <v>74</v>
      </c>
      <c r="H675" s="174" t="str" cm="1">
        <f t="array" ref="H675">IFERROR(INDEX(INVESTOR_LIST[INVESTOR NAME],MATCH(I675,INVESTOR_LIST[INVESTOR CODE],0),)," ")</f>
        <v xml:space="preserve"> </v>
      </c>
      <c r="I675" s="148" t="s">
        <v>348</v>
      </c>
      <c r="J675" s="149" t="s">
        <v>80</v>
      </c>
      <c r="K675" s="218">
        <v>1625.37</v>
      </c>
      <c r="L675" s="218"/>
      <c r="M675" s="147">
        <v>0</v>
      </c>
      <c r="N675" s="147"/>
      <c r="Q675" s="133" t="s">
        <v>348</v>
      </c>
    </row>
    <row r="676" spans="1:17" x14ac:dyDescent="0.2">
      <c r="A676" s="163">
        <v>2020</v>
      </c>
      <c r="B676" s="163">
        <v>9</v>
      </c>
      <c r="C676" s="163">
        <v>2</v>
      </c>
      <c r="D676" s="141">
        <f t="shared" si="26"/>
        <v>44076</v>
      </c>
      <c r="E676" s="275">
        <f t="shared" si="27"/>
        <v>44076</v>
      </c>
      <c r="F676" s="480"/>
      <c r="G676" s="221" t="s">
        <v>74</v>
      </c>
      <c r="H676" s="221" t="str" cm="1">
        <f t="array" ref="H676">IFERROR(INDEX(INVESTOR_LIST[INVESTOR NAME],MATCH(I676,INVESTOR_LIST[INVESTOR CODE],0),)," ")</f>
        <v xml:space="preserve"> </v>
      </c>
      <c r="I676" s="145" t="s">
        <v>348</v>
      </c>
      <c r="J676" s="146" t="s">
        <v>147</v>
      </c>
      <c r="K676" s="218"/>
      <c r="L676" s="219">
        <f>SUM(K674:K675)</f>
        <v>904609.37</v>
      </c>
      <c r="M676" s="147">
        <v>0</v>
      </c>
      <c r="N676" s="147"/>
      <c r="Q676" s="133" t="s">
        <v>348</v>
      </c>
    </row>
    <row r="677" spans="1:17" x14ac:dyDescent="0.2">
      <c r="A677" s="133">
        <v>2020</v>
      </c>
      <c r="B677" s="133">
        <v>9</v>
      </c>
      <c r="C677" s="133">
        <v>3</v>
      </c>
      <c r="D677" s="141">
        <f t="shared" si="26"/>
        <v>44077</v>
      </c>
      <c r="E677" s="275">
        <f t="shared" si="27"/>
        <v>44077</v>
      </c>
      <c r="F677" s="479" t="s">
        <v>267</v>
      </c>
      <c r="G677" s="174" t="s">
        <v>74</v>
      </c>
      <c r="H677" s="174" t="str" cm="1">
        <f t="array" ref="H677">IFERROR(INDEX(INVESTOR_LIST[INVESTOR NAME],MATCH(I677,INVESTOR_LIST[INVESTOR CODE],0),)," ")</f>
        <v xml:space="preserve"> </v>
      </c>
      <c r="I677" s="148" t="s">
        <v>348</v>
      </c>
      <c r="J677" s="149" t="s">
        <v>147</v>
      </c>
      <c r="K677" s="218">
        <v>904609.37</v>
      </c>
      <c r="L677" s="218"/>
      <c r="M677" s="147">
        <v>0</v>
      </c>
      <c r="Q677" s="133" t="s">
        <v>348</v>
      </c>
    </row>
    <row r="678" spans="1:17" x14ac:dyDescent="0.2">
      <c r="A678" s="133">
        <v>2020</v>
      </c>
      <c r="B678" s="133">
        <v>9</v>
      </c>
      <c r="C678" s="133">
        <v>3</v>
      </c>
      <c r="D678" s="141">
        <f t="shared" si="26"/>
        <v>44077</v>
      </c>
      <c r="E678" s="275">
        <f t="shared" si="27"/>
        <v>44077</v>
      </c>
      <c r="F678" s="481"/>
      <c r="G678" s="174" t="s">
        <v>74</v>
      </c>
      <c r="H678" s="174" t="str" cm="1">
        <f t="array" ref="H678">IFERROR(INDEX(INVESTOR_LIST[INVESTOR NAME],MATCH(I678,INVESTOR_LIST[INVESTOR CODE],0),)," ")</f>
        <v xml:space="preserve"> </v>
      </c>
      <c r="I678" s="148" t="s">
        <v>348</v>
      </c>
      <c r="J678" s="149" t="s">
        <v>52</v>
      </c>
      <c r="K678" s="218"/>
      <c r="L678" s="218">
        <v>904609.37</v>
      </c>
      <c r="M678" s="147">
        <v>0</v>
      </c>
      <c r="Q678" s="133" t="s">
        <v>348</v>
      </c>
    </row>
    <row r="679" spans="1:17" ht="11.25" customHeight="1" x14ac:dyDescent="0.2">
      <c r="A679" s="238">
        <v>2020</v>
      </c>
      <c r="B679" s="238">
        <v>9</v>
      </c>
      <c r="C679" s="238">
        <v>3</v>
      </c>
      <c r="D679" s="141">
        <f t="shared" si="26"/>
        <v>44077</v>
      </c>
      <c r="E679" s="275">
        <f t="shared" si="27"/>
        <v>44077</v>
      </c>
      <c r="F679" s="477" t="s">
        <v>105</v>
      </c>
      <c r="G679" s="239" t="s">
        <v>94</v>
      </c>
      <c r="H679" s="239" t="str" cm="1">
        <f t="array" ref="H679">IFERROR(INDEX(INVESTOR_LIST[INVESTOR NAME],MATCH(I679,INVESTOR_LIST[INVESTOR CODE],0),)," ")</f>
        <v xml:space="preserve"> </v>
      </c>
      <c r="I679" s="262" t="s">
        <v>348</v>
      </c>
      <c r="J679" s="240" t="s">
        <v>83</v>
      </c>
      <c r="K679" s="241">
        <v>552309</v>
      </c>
      <c r="L679" s="241"/>
      <c r="M679" s="147">
        <v>0</v>
      </c>
      <c r="Q679" s="133" t="s">
        <v>348</v>
      </c>
    </row>
    <row r="680" spans="1:17" x14ac:dyDescent="0.2">
      <c r="A680" s="242">
        <v>2020</v>
      </c>
      <c r="B680" s="242">
        <v>9</v>
      </c>
      <c r="C680" s="242">
        <v>3</v>
      </c>
      <c r="D680" s="141">
        <f t="shared" si="26"/>
        <v>44077</v>
      </c>
      <c r="E680" s="275">
        <f t="shared" si="27"/>
        <v>44077</v>
      </c>
      <c r="F680" s="478"/>
      <c r="G680" s="243" t="s">
        <v>94</v>
      </c>
      <c r="H680" s="243" t="str" cm="1">
        <f t="array" ref="H680">IFERROR(INDEX(INVESTOR_LIST[INVESTOR NAME],MATCH(I680,INVESTOR_LIST[INVESTOR CODE],0),)," ")</f>
        <v xml:space="preserve"> </v>
      </c>
      <c r="I680" s="263" t="s">
        <v>348</v>
      </c>
      <c r="J680" s="244" t="s">
        <v>108</v>
      </c>
      <c r="K680" s="245"/>
      <c r="L680" s="245">
        <v>552309</v>
      </c>
      <c r="M680" s="147">
        <v>1</v>
      </c>
      <c r="Q680" s="133" t="s">
        <v>348</v>
      </c>
    </row>
    <row r="681" spans="1:17" ht="22.5" x14ac:dyDescent="0.2">
      <c r="A681" s="246">
        <v>2020</v>
      </c>
      <c r="B681" s="246">
        <v>9</v>
      </c>
      <c r="C681" s="246">
        <v>3</v>
      </c>
      <c r="D681" s="141">
        <f t="shared" si="26"/>
        <v>44077</v>
      </c>
      <c r="E681" s="275">
        <f t="shared" si="27"/>
        <v>44077</v>
      </c>
      <c r="F681" s="482" t="s">
        <v>136</v>
      </c>
      <c r="G681" s="247" t="s">
        <v>94</v>
      </c>
      <c r="H681" s="247" t="str" cm="1">
        <f t="array" ref="H681">IFERROR(INDEX(INVESTOR_LIST[INVESTOR NAME],MATCH(I681,INVESTOR_LIST[INVESTOR CODE],0),)," ")</f>
        <v xml:space="preserve"> </v>
      </c>
      <c r="I681" s="248" t="s">
        <v>348</v>
      </c>
      <c r="J681" s="249" t="s">
        <v>95</v>
      </c>
      <c r="K681" s="252">
        <v>2747.25</v>
      </c>
      <c r="L681" s="252"/>
      <c r="M681" s="147">
        <v>0</v>
      </c>
      <c r="Q681" s="133" t="s">
        <v>348</v>
      </c>
    </row>
    <row r="682" spans="1:17" x14ac:dyDescent="0.2">
      <c r="A682" s="242">
        <v>2020</v>
      </c>
      <c r="B682" s="242">
        <v>9</v>
      </c>
      <c r="C682" s="242">
        <v>3</v>
      </c>
      <c r="D682" s="141">
        <f t="shared" si="26"/>
        <v>44077</v>
      </c>
      <c r="E682" s="275">
        <f t="shared" si="27"/>
        <v>44077</v>
      </c>
      <c r="F682" s="478"/>
      <c r="G682" s="243" t="s">
        <v>94</v>
      </c>
      <c r="H682" s="243" t="str" cm="1">
        <f t="array" ref="H682">IFERROR(INDEX(INVESTOR_LIST[INVESTOR NAME],MATCH(I682,INVESTOR_LIST[INVESTOR CODE],0),)," ")</f>
        <v xml:space="preserve"> </v>
      </c>
      <c r="I682" s="263" t="s">
        <v>348</v>
      </c>
      <c r="J682" s="244" t="s">
        <v>63</v>
      </c>
      <c r="K682" s="245"/>
      <c r="L682" s="245">
        <v>2747.25</v>
      </c>
      <c r="M682" s="147">
        <v>0</v>
      </c>
      <c r="Q682" s="133" t="s">
        <v>348</v>
      </c>
    </row>
    <row r="683" spans="1:17" x14ac:dyDescent="0.2">
      <c r="A683" s="246">
        <v>2020</v>
      </c>
      <c r="B683" s="246">
        <v>9</v>
      </c>
      <c r="C683" s="246">
        <v>3</v>
      </c>
      <c r="D683" s="141">
        <f t="shared" si="26"/>
        <v>44077</v>
      </c>
      <c r="E683" s="275">
        <f t="shared" si="27"/>
        <v>44077</v>
      </c>
      <c r="F683" s="482" t="s">
        <v>137</v>
      </c>
      <c r="G683" s="247" t="s">
        <v>94</v>
      </c>
      <c r="H683" s="247" t="str" cm="1">
        <f t="array" ref="H683">IFERROR(INDEX(INVESTOR_LIST[INVESTOR NAME],MATCH(I683,INVESTOR_LIST[INVESTOR CODE],0),)," ")</f>
        <v xml:space="preserve"> </v>
      </c>
      <c r="I683" s="248" t="s">
        <v>348</v>
      </c>
      <c r="J683" s="249" t="s">
        <v>97</v>
      </c>
      <c r="K683" s="252">
        <v>35580.230000000003</v>
      </c>
      <c r="L683" s="252"/>
      <c r="M683" s="147">
        <v>0</v>
      </c>
      <c r="Q683" s="133" t="s">
        <v>348</v>
      </c>
    </row>
    <row r="684" spans="1:17" x14ac:dyDescent="0.2">
      <c r="A684" s="242">
        <v>2020</v>
      </c>
      <c r="B684" s="242">
        <v>9</v>
      </c>
      <c r="C684" s="242">
        <v>3</v>
      </c>
      <c r="D684" s="141">
        <f t="shared" si="26"/>
        <v>44077</v>
      </c>
      <c r="E684" s="275">
        <f t="shared" si="27"/>
        <v>44077</v>
      </c>
      <c r="F684" s="478"/>
      <c r="G684" s="243" t="s">
        <v>94</v>
      </c>
      <c r="H684" s="243" t="str" cm="1">
        <f t="array" ref="H684">IFERROR(INDEX(INVESTOR_LIST[INVESTOR NAME],MATCH(I684,INVESTOR_LIST[INVESTOR CODE],0),)," ")</f>
        <v xml:space="preserve"> </v>
      </c>
      <c r="I684" s="263" t="s">
        <v>348</v>
      </c>
      <c r="J684" s="244" t="s">
        <v>47</v>
      </c>
      <c r="K684" s="245"/>
      <c r="L684" s="245">
        <v>35580.230000000003</v>
      </c>
      <c r="M684" s="147">
        <v>0</v>
      </c>
      <c r="Q684" s="133" t="s">
        <v>348</v>
      </c>
    </row>
    <row r="685" spans="1:17" x14ac:dyDescent="0.2">
      <c r="A685" s="246">
        <v>2020</v>
      </c>
      <c r="B685" s="246">
        <v>9</v>
      </c>
      <c r="C685" s="246">
        <v>3</v>
      </c>
      <c r="D685" s="141">
        <f t="shared" si="26"/>
        <v>44077</v>
      </c>
      <c r="E685" s="275">
        <f t="shared" si="27"/>
        <v>44077</v>
      </c>
      <c r="F685" s="482" t="s">
        <v>138</v>
      </c>
      <c r="G685" s="247" t="s">
        <v>94</v>
      </c>
      <c r="H685" s="247" t="str" cm="1">
        <f t="array" ref="H685">IFERROR(INDEX(INVESTOR_LIST[INVESTOR NAME],MATCH(I685,INVESTOR_LIST[INVESTOR CODE],0),)," ")</f>
        <v xml:space="preserve"> </v>
      </c>
      <c r="I685" s="248" t="s">
        <v>348</v>
      </c>
      <c r="J685" s="249" t="s">
        <v>100</v>
      </c>
      <c r="K685" s="252">
        <v>1537.94</v>
      </c>
      <c r="L685" s="252"/>
      <c r="M685" s="147">
        <v>0</v>
      </c>
      <c r="Q685" s="133" t="s">
        <v>348</v>
      </c>
    </row>
    <row r="686" spans="1:17" x14ac:dyDescent="0.2">
      <c r="A686" s="242">
        <v>2020</v>
      </c>
      <c r="B686" s="242">
        <v>9</v>
      </c>
      <c r="C686" s="242">
        <v>3</v>
      </c>
      <c r="D686" s="141">
        <f t="shared" si="26"/>
        <v>44077</v>
      </c>
      <c r="E686" s="275">
        <f t="shared" si="27"/>
        <v>44077</v>
      </c>
      <c r="F686" s="478"/>
      <c r="G686" s="243" t="s">
        <v>94</v>
      </c>
      <c r="H686" s="243" t="str" cm="1">
        <f t="array" ref="H686">IFERROR(INDEX(INVESTOR_LIST[INVESTOR NAME],MATCH(I686,INVESTOR_LIST[INVESTOR CODE],0),)," ")</f>
        <v xml:space="preserve"> </v>
      </c>
      <c r="I686" s="263" t="s">
        <v>348</v>
      </c>
      <c r="J686" s="244" t="s">
        <v>48</v>
      </c>
      <c r="K686" s="245"/>
      <c r="L686" s="245">
        <v>1537.94</v>
      </c>
      <c r="M686" s="147">
        <v>0</v>
      </c>
      <c r="Q686" s="133" t="s">
        <v>348</v>
      </c>
    </row>
    <row r="687" spans="1:17" ht="12.75" customHeight="1" x14ac:dyDescent="0.2">
      <c r="A687" s="246">
        <v>2020</v>
      </c>
      <c r="B687" s="246">
        <v>9</v>
      </c>
      <c r="C687" s="246">
        <v>3</v>
      </c>
      <c r="D687" s="141">
        <f t="shared" si="26"/>
        <v>44077</v>
      </c>
      <c r="E687" s="275">
        <f t="shared" si="27"/>
        <v>44077</v>
      </c>
      <c r="F687" s="482" t="s">
        <v>140</v>
      </c>
      <c r="G687" s="247" t="s">
        <v>94</v>
      </c>
      <c r="H687" s="247" t="str" cm="1">
        <f t="array" ref="H687">IFERROR(INDEX(INVESTOR_LIST[INVESTOR NAME],MATCH(I687,INVESTOR_LIST[INVESTOR CODE],0),)," ")</f>
        <v xml:space="preserve"> </v>
      </c>
      <c r="I687" s="248" t="s">
        <v>348</v>
      </c>
      <c r="J687" s="249" t="s">
        <v>103</v>
      </c>
      <c r="K687" s="252">
        <v>729.17</v>
      </c>
      <c r="L687" s="252"/>
      <c r="M687" s="147">
        <v>0</v>
      </c>
      <c r="Q687" s="133" t="s">
        <v>348</v>
      </c>
    </row>
    <row r="688" spans="1:17" ht="12.75" customHeight="1" x14ac:dyDescent="0.2">
      <c r="A688" s="242">
        <v>2020</v>
      </c>
      <c r="B688" s="242">
        <v>9</v>
      </c>
      <c r="C688" s="242">
        <v>3</v>
      </c>
      <c r="D688" s="141">
        <f t="shared" si="26"/>
        <v>44077</v>
      </c>
      <c r="E688" s="275">
        <f t="shared" si="27"/>
        <v>44077</v>
      </c>
      <c r="F688" s="478"/>
      <c r="G688" s="243" t="s">
        <v>94</v>
      </c>
      <c r="H688" s="243" t="str" cm="1">
        <f t="array" ref="H688">IFERROR(INDEX(INVESTOR_LIST[INVESTOR NAME],MATCH(I688,INVESTOR_LIST[INVESTOR CODE],0),)," ")</f>
        <v xml:space="preserve"> </v>
      </c>
      <c r="I688" s="263" t="s">
        <v>348</v>
      </c>
      <c r="J688" s="244" t="s">
        <v>50</v>
      </c>
      <c r="K688" s="245"/>
      <c r="L688" s="245">
        <v>729.17</v>
      </c>
      <c r="M688" s="147">
        <v>0</v>
      </c>
      <c r="Q688" s="133" t="s">
        <v>348</v>
      </c>
    </row>
    <row r="689" spans="1:17" ht="19.149999999999999" customHeight="1" x14ac:dyDescent="0.2">
      <c r="A689" s="133">
        <v>2020</v>
      </c>
      <c r="B689" s="133">
        <v>9</v>
      </c>
      <c r="C689" s="133">
        <v>6</v>
      </c>
      <c r="D689" s="141">
        <f t="shared" si="26"/>
        <v>44080</v>
      </c>
      <c r="E689" s="275">
        <f t="shared" si="27"/>
        <v>44080</v>
      </c>
      <c r="F689" s="479" t="s">
        <v>964</v>
      </c>
      <c r="G689" s="174" t="s">
        <v>74</v>
      </c>
      <c r="H689" s="174" t="str" cm="1">
        <f t="array" ref="H689">IFERROR(INDEX(INVESTOR_LIST[INVESTOR NAME],MATCH(I689,INVESTOR_LIST[INVESTOR CODE],0),)," ")</f>
        <v>JHARNA RANI SAHA</v>
      </c>
      <c r="I689" s="148" t="s">
        <v>445</v>
      </c>
      <c r="J689" s="149" t="s">
        <v>52</v>
      </c>
      <c r="K689" s="218">
        <v>100000</v>
      </c>
      <c r="L689" s="218"/>
      <c r="M689" s="147">
        <v>0</v>
      </c>
      <c r="Q689" s="133" t="s">
        <v>445</v>
      </c>
    </row>
    <row r="690" spans="1:17" ht="33.75" x14ac:dyDescent="0.2">
      <c r="A690" s="133">
        <v>2020</v>
      </c>
      <c r="B690" s="133">
        <v>9</v>
      </c>
      <c r="C690" s="133">
        <v>6</v>
      </c>
      <c r="D690" s="141">
        <f t="shared" si="26"/>
        <v>44080</v>
      </c>
      <c r="E690" s="275">
        <f t="shared" si="27"/>
        <v>44080</v>
      </c>
      <c r="F690" s="481"/>
      <c r="G690" s="174" t="s">
        <v>74</v>
      </c>
      <c r="H690" s="174" t="str" cm="1">
        <f t="array" ref="H690">IFERROR(INDEX(INVESTOR_LIST[INVESTOR NAME],MATCH(I690,INVESTOR_LIST[INVESTOR CODE],0),)," ")</f>
        <v>JHARNA RANI SAHA</v>
      </c>
      <c r="I690" s="148" t="s">
        <v>445</v>
      </c>
      <c r="J690" s="149" t="s">
        <v>13</v>
      </c>
      <c r="K690" s="218"/>
      <c r="L690" s="218">
        <v>89840</v>
      </c>
      <c r="M690" s="147">
        <v>0</v>
      </c>
      <c r="Q690" s="133" t="s">
        <v>445</v>
      </c>
    </row>
    <row r="691" spans="1:17" ht="33.75" x14ac:dyDescent="0.2">
      <c r="A691" s="163">
        <v>2020</v>
      </c>
      <c r="B691" s="163">
        <v>9</v>
      </c>
      <c r="C691" s="163">
        <v>6</v>
      </c>
      <c r="D691" s="141">
        <f t="shared" si="26"/>
        <v>44080</v>
      </c>
      <c r="E691" s="275">
        <f t="shared" si="27"/>
        <v>44080</v>
      </c>
      <c r="F691" s="480"/>
      <c r="G691" s="221" t="s">
        <v>74</v>
      </c>
      <c r="H691" s="221" t="str" cm="1">
        <f t="array" ref="H691">IFERROR(INDEX(INVESTOR_LIST[INVESTOR NAME],MATCH(I691,INVESTOR_LIST[INVESTOR CODE],0),)," ")</f>
        <v>JHARNA RANI SAHA</v>
      </c>
      <c r="I691" s="145" t="s">
        <v>445</v>
      </c>
      <c r="J691" s="146" t="s">
        <v>53</v>
      </c>
      <c r="K691" s="219"/>
      <c r="L691" s="219">
        <v>10160</v>
      </c>
      <c r="M691" s="147">
        <v>0</v>
      </c>
      <c r="Q691" s="133" t="s">
        <v>445</v>
      </c>
    </row>
    <row r="692" spans="1:17" x14ac:dyDescent="0.2">
      <c r="A692" s="133">
        <v>2020</v>
      </c>
      <c r="B692" s="133">
        <v>9</v>
      </c>
      <c r="C692" s="133">
        <v>6</v>
      </c>
      <c r="D692" s="141">
        <f t="shared" si="26"/>
        <v>44080</v>
      </c>
      <c r="E692" s="275">
        <f t="shared" si="27"/>
        <v>44080</v>
      </c>
      <c r="F692" s="479" t="s">
        <v>181</v>
      </c>
      <c r="G692" s="174" t="s">
        <v>74</v>
      </c>
      <c r="H692" s="174" t="str" cm="1">
        <f t="array" ref="H692">IFERROR(INDEX(INVESTOR_LIST[INVESTOR NAME],MATCH(I692,INVESTOR_LIST[INVESTOR CODE],0),)," ")</f>
        <v xml:space="preserve"> </v>
      </c>
      <c r="I692" s="148" t="s">
        <v>348</v>
      </c>
      <c r="J692" s="149" t="s">
        <v>79</v>
      </c>
      <c r="K692" s="218">
        <v>856000</v>
      </c>
      <c r="L692" s="218"/>
      <c r="M692" s="147">
        <v>0</v>
      </c>
      <c r="Q692" s="133" t="s">
        <v>348</v>
      </c>
    </row>
    <row r="693" spans="1:17" x14ac:dyDescent="0.2">
      <c r="A693" s="133">
        <v>2020</v>
      </c>
      <c r="B693" s="133">
        <v>9</v>
      </c>
      <c r="C693" s="133">
        <v>6</v>
      </c>
      <c r="D693" s="141">
        <f t="shared" si="26"/>
        <v>44080</v>
      </c>
      <c r="E693" s="275">
        <f t="shared" si="27"/>
        <v>44080</v>
      </c>
      <c r="F693" s="481"/>
      <c r="G693" s="174" t="s">
        <v>74</v>
      </c>
      <c r="H693" s="174" t="str" cm="1">
        <f t="array" ref="H693">IFERROR(INDEX(INVESTOR_LIST[INVESTOR NAME],MATCH(I693,INVESTOR_LIST[INVESTOR CODE],0),)," ")</f>
        <v xml:space="preserve"> </v>
      </c>
      <c r="I693" s="148" t="s">
        <v>348</v>
      </c>
      <c r="J693" s="149" t="s">
        <v>80</v>
      </c>
      <c r="K693" s="218">
        <v>1540.8</v>
      </c>
      <c r="L693" s="218"/>
      <c r="M693" s="147">
        <v>0</v>
      </c>
      <c r="Q693" s="133" t="s">
        <v>348</v>
      </c>
    </row>
    <row r="694" spans="1:17" x14ac:dyDescent="0.2">
      <c r="A694" s="163">
        <v>2020</v>
      </c>
      <c r="B694" s="163">
        <v>9</v>
      </c>
      <c r="C694" s="163">
        <v>6</v>
      </c>
      <c r="D694" s="141">
        <f t="shared" si="26"/>
        <v>44080</v>
      </c>
      <c r="E694" s="275">
        <f t="shared" si="27"/>
        <v>44080</v>
      </c>
      <c r="F694" s="480"/>
      <c r="G694" s="221" t="s">
        <v>74</v>
      </c>
      <c r="H694" s="221" t="str" cm="1">
        <f t="array" ref="H694">IFERROR(INDEX(INVESTOR_LIST[INVESTOR NAME],MATCH(I694,INVESTOR_LIST[INVESTOR CODE],0),)," ")</f>
        <v xml:space="preserve"> </v>
      </c>
      <c r="I694" s="145" t="s">
        <v>348</v>
      </c>
      <c r="J694" s="146" t="s">
        <v>147</v>
      </c>
      <c r="K694" s="219"/>
      <c r="L694" s="219">
        <v>857540.8</v>
      </c>
      <c r="M694" s="147">
        <v>0</v>
      </c>
      <c r="Q694" s="133" t="s">
        <v>348</v>
      </c>
    </row>
    <row r="695" spans="1:17" x14ac:dyDescent="0.2">
      <c r="A695" s="133">
        <v>2020</v>
      </c>
      <c r="B695" s="133">
        <v>9</v>
      </c>
      <c r="C695" s="133">
        <v>7</v>
      </c>
      <c r="D695" s="141">
        <f t="shared" si="26"/>
        <v>44081</v>
      </c>
      <c r="E695" s="275">
        <f t="shared" si="27"/>
        <v>44081</v>
      </c>
      <c r="F695" s="479" t="s">
        <v>172</v>
      </c>
      <c r="G695" s="174" t="s">
        <v>74</v>
      </c>
      <c r="H695" s="174" t="str" cm="1">
        <f t="array" ref="H695">IFERROR(INDEX(INVESTOR_LIST[INVESTOR NAME],MATCH(I695,INVESTOR_LIST[INVESTOR CODE],0),)," ")</f>
        <v xml:space="preserve"> </v>
      </c>
      <c r="I695" s="148" t="s">
        <v>348</v>
      </c>
      <c r="J695" s="149" t="s">
        <v>147</v>
      </c>
      <c r="K695" s="218">
        <v>857540.8</v>
      </c>
      <c r="L695" s="218"/>
      <c r="M695" s="147">
        <v>0</v>
      </c>
      <c r="Q695" s="133" t="s">
        <v>348</v>
      </c>
    </row>
    <row r="696" spans="1:17" x14ac:dyDescent="0.2">
      <c r="A696" s="133">
        <v>2020</v>
      </c>
      <c r="B696" s="133">
        <v>9</v>
      </c>
      <c r="C696" s="133">
        <v>7</v>
      </c>
      <c r="D696" s="141">
        <f t="shared" si="26"/>
        <v>44081</v>
      </c>
      <c r="E696" s="275">
        <f t="shared" si="27"/>
        <v>44081</v>
      </c>
      <c r="F696" s="481"/>
      <c r="G696" s="174" t="s">
        <v>74</v>
      </c>
      <c r="H696" s="174" t="str" cm="1">
        <f t="array" ref="H696">IFERROR(INDEX(INVESTOR_LIST[INVESTOR NAME],MATCH(I696,INVESTOR_LIST[INVESTOR CODE],0),)," ")</f>
        <v xml:space="preserve"> </v>
      </c>
      <c r="I696" s="148" t="s">
        <v>348</v>
      </c>
      <c r="J696" s="149" t="s">
        <v>52</v>
      </c>
      <c r="K696" s="218"/>
      <c r="L696" s="218">
        <v>857540.8</v>
      </c>
      <c r="M696" s="147">
        <v>0</v>
      </c>
      <c r="Q696" s="133" t="s">
        <v>348</v>
      </c>
    </row>
    <row r="697" spans="1:17" x14ac:dyDescent="0.2">
      <c r="A697" s="168">
        <v>2020</v>
      </c>
      <c r="B697" s="168">
        <v>9</v>
      </c>
      <c r="C697" s="168">
        <v>8</v>
      </c>
      <c r="D697" s="141">
        <f t="shared" si="26"/>
        <v>44082</v>
      </c>
      <c r="E697" s="275">
        <f t="shared" si="27"/>
        <v>44082</v>
      </c>
      <c r="F697" s="479" t="s">
        <v>233</v>
      </c>
      <c r="G697" s="220" t="s">
        <v>74</v>
      </c>
      <c r="H697" s="220" t="str" cm="1">
        <f t="array" ref="H697">IFERROR(INDEX(INVESTOR_LIST[INVESTOR NAME],MATCH(I697,INVESTOR_LIST[INVESTOR CODE],0),)," ")</f>
        <v xml:space="preserve"> </v>
      </c>
      <c r="I697" s="142" t="s">
        <v>348</v>
      </c>
      <c r="J697" s="143" t="s">
        <v>163</v>
      </c>
      <c r="K697" s="226">
        <v>26000</v>
      </c>
      <c r="L697" s="226"/>
      <c r="M697" s="147">
        <v>0</v>
      </c>
      <c r="Q697" s="133" t="s">
        <v>348</v>
      </c>
    </row>
    <row r="698" spans="1:17" x14ac:dyDescent="0.2">
      <c r="A698" s="163">
        <v>2020</v>
      </c>
      <c r="B698" s="163">
        <v>9</v>
      </c>
      <c r="C698" s="163">
        <v>8</v>
      </c>
      <c r="D698" s="141">
        <f t="shared" si="26"/>
        <v>44082</v>
      </c>
      <c r="E698" s="275">
        <f t="shared" si="27"/>
        <v>44082</v>
      </c>
      <c r="F698" s="480"/>
      <c r="G698" s="221" t="s">
        <v>74</v>
      </c>
      <c r="H698" s="221" t="str" cm="1">
        <f t="array" ref="H698">IFERROR(INDEX(INVESTOR_LIST[INVESTOR NAME],MATCH(I698,INVESTOR_LIST[INVESTOR CODE],0),)," ")</f>
        <v xml:space="preserve"> </v>
      </c>
      <c r="I698" s="145" t="s">
        <v>348</v>
      </c>
      <c r="J698" s="146" t="s">
        <v>52</v>
      </c>
      <c r="K698" s="219"/>
      <c r="L698" s="219">
        <v>26000</v>
      </c>
      <c r="M698" s="147">
        <v>0</v>
      </c>
      <c r="Q698" s="133" t="s">
        <v>348</v>
      </c>
    </row>
    <row r="699" spans="1:17" ht="22.5" x14ac:dyDescent="0.2">
      <c r="A699" s="133">
        <v>2020</v>
      </c>
      <c r="B699" s="133">
        <v>9</v>
      </c>
      <c r="C699" s="133">
        <v>10</v>
      </c>
      <c r="D699" s="141">
        <f t="shared" si="26"/>
        <v>44084</v>
      </c>
      <c r="E699" s="275">
        <f t="shared" si="27"/>
        <v>44084</v>
      </c>
      <c r="F699" s="479" t="s">
        <v>964</v>
      </c>
      <c r="G699" s="174" t="s">
        <v>74</v>
      </c>
      <c r="H699" s="174" t="str" cm="1">
        <f t="array" ref="H699">IFERROR(INDEX(INVESTOR_LIST[INVESTOR NAME],MATCH(I699,INVESTOR_LIST[INVESTOR CODE],0),)," ")</f>
        <v>KANKA SAHA</v>
      </c>
      <c r="I699" s="148" t="s">
        <v>428</v>
      </c>
      <c r="J699" s="149" t="s">
        <v>52</v>
      </c>
      <c r="K699" s="218">
        <v>200000</v>
      </c>
      <c r="L699" s="218"/>
      <c r="M699" s="147">
        <v>0</v>
      </c>
      <c r="Q699" s="133" t="s">
        <v>428</v>
      </c>
    </row>
    <row r="700" spans="1:17" ht="22.5" x14ac:dyDescent="0.2">
      <c r="A700" s="133">
        <v>2020</v>
      </c>
      <c r="B700" s="133">
        <v>9</v>
      </c>
      <c r="C700" s="133">
        <v>10</v>
      </c>
      <c r="D700" s="141">
        <f t="shared" si="26"/>
        <v>44084</v>
      </c>
      <c r="E700" s="275">
        <f t="shared" si="27"/>
        <v>44084</v>
      </c>
      <c r="F700" s="481"/>
      <c r="G700" s="174" t="s">
        <v>74</v>
      </c>
      <c r="H700" s="174" t="str" cm="1">
        <f t="array" ref="H700">IFERROR(INDEX(INVESTOR_LIST[INVESTOR NAME],MATCH(I700,INVESTOR_LIST[INVESTOR CODE],0),)," ")</f>
        <v>KANKA SAHA</v>
      </c>
      <c r="I700" s="148" t="s">
        <v>428</v>
      </c>
      <c r="J700" s="149" t="s">
        <v>13</v>
      </c>
      <c r="K700" s="218"/>
      <c r="L700" s="218">
        <v>179690</v>
      </c>
      <c r="M700" s="147">
        <v>0</v>
      </c>
      <c r="Q700" s="133" t="s">
        <v>428</v>
      </c>
    </row>
    <row r="701" spans="1:17" ht="22.5" x14ac:dyDescent="0.2">
      <c r="A701" s="163">
        <v>2020</v>
      </c>
      <c r="B701" s="163">
        <v>9</v>
      </c>
      <c r="C701" s="163">
        <v>10</v>
      </c>
      <c r="D701" s="141">
        <f t="shared" si="26"/>
        <v>44084</v>
      </c>
      <c r="E701" s="275">
        <f t="shared" si="27"/>
        <v>44084</v>
      </c>
      <c r="F701" s="480"/>
      <c r="G701" s="221" t="s">
        <v>74</v>
      </c>
      <c r="H701" s="221" t="str" cm="1">
        <f t="array" ref="H701">IFERROR(INDEX(INVESTOR_LIST[INVESTOR NAME],MATCH(I701,INVESTOR_LIST[INVESTOR CODE],0),)," ")</f>
        <v>KANKA SAHA</v>
      </c>
      <c r="I701" s="145" t="s">
        <v>428</v>
      </c>
      <c r="J701" s="146" t="s">
        <v>53</v>
      </c>
      <c r="K701" s="219"/>
      <c r="L701" s="219">
        <f>K699-L700</f>
        <v>20310</v>
      </c>
      <c r="M701" s="147">
        <v>0</v>
      </c>
      <c r="Q701" s="133" t="s">
        <v>428</v>
      </c>
    </row>
    <row r="702" spans="1:17" ht="67.5" x14ac:dyDescent="0.2">
      <c r="A702" s="133">
        <v>2020</v>
      </c>
      <c r="B702" s="133">
        <v>9</v>
      </c>
      <c r="C702" s="133">
        <v>10</v>
      </c>
      <c r="D702" s="141">
        <f t="shared" si="26"/>
        <v>44084</v>
      </c>
      <c r="E702" s="275">
        <f t="shared" si="27"/>
        <v>44084</v>
      </c>
      <c r="F702" s="479" t="s">
        <v>964</v>
      </c>
      <c r="G702" s="174" t="s">
        <v>74</v>
      </c>
      <c r="H702" s="174" t="str" cm="1">
        <f t="array" ref="H702">IFERROR(INDEX(INVESTOR_LIST[INVESTOR NAME],MATCH(I702,INVESTOR_LIST[INVESTOR CODE],0),)," ")</f>
        <v>COMMUNITY BANK BANGLADESH LIMITED</v>
      </c>
      <c r="I702" s="148" t="s">
        <v>449</v>
      </c>
      <c r="J702" s="149" t="s">
        <v>52</v>
      </c>
      <c r="K702" s="218">
        <v>4999996.68</v>
      </c>
      <c r="L702" s="218"/>
      <c r="M702" s="147">
        <v>0</v>
      </c>
      <c r="Q702" s="133" t="s">
        <v>449</v>
      </c>
    </row>
    <row r="703" spans="1:17" ht="67.5" x14ac:dyDescent="0.2">
      <c r="A703" s="133">
        <v>2020</v>
      </c>
      <c r="B703" s="133">
        <v>9</v>
      </c>
      <c r="C703" s="133">
        <v>10</v>
      </c>
      <c r="D703" s="141">
        <f t="shared" si="26"/>
        <v>44084</v>
      </c>
      <c r="E703" s="275">
        <f t="shared" si="27"/>
        <v>44084</v>
      </c>
      <c r="F703" s="481"/>
      <c r="G703" s="174" t="s">
        <v>74</v>
      </c>
      <c r="H703" s="174" t="str" cm="1">
        <f t="array" ref="H703">IFERROR(INDEX(INVESTOR_LIST[INVESTOR NAME],MATCH(I703,INVESTOR_LIST[INVESTOR CODE],0),)," ")</f>
        <v>COMMUNITY BANK BANGLADESH LIMITED</v>
      </c>
      <c r="I703" s="148" t="s">
        <v>449</v>
      </c>
      <c r="J703" s="149" t="s">
        <v>13</v>
      </c>
      <c r="K703" s="218"/>
      <c r="L703" s="218">
        <v>4492360</v>
      </c>
      <c r="M703" s="147">
        <v>0</v>
      </c>
      <c r="Q703" s="133" t="s">
        <v>449</v>
      </c>
    </row>
    <row r="704" spans="1:17" ht="67.5" x14ac:dyDescent="0.2">
      <c r="A704" s="163">
        <v>2020</v>
      </c>
      <c r="B704" s="163">
        <v>9</v>
      </c>
      <c r="C704" s="163">
        <v>10</v>
      </c>
      <c r="D704" s="141">
        <f t="shared" si="26"/>
        <v>44084</v>
      </c>
      <c r="E704" s="275">
        <f t="shared" si="27"/>
        <v>44084</v>
      </c>
      <c r="F704" s="480"/>
      <c r="G704" s="221" t="s">
        <v>74</v>
      </c>
      <c r="H704" s="221" t="str" cm="1">
        <f t="array" ref="H704">IFERROR(INDEX(INVESTOR_LIST[INVESTOR NAME],MATCH(I704,INVESTOR_LIST[INVESTOR CODE],0),)," ")</f>
        <v>COMMUNITY BANK BANGLADESH LIMITED</v>
      </c>
      <c r="I704" s="145" t="s">
        <v>449</v>
      </c>
      <c r="J704" s="146" t="s">
        <v>53</v>
      </c>
      <c r="K704" s="219"/>
      <c r="L704" s="219">
        <f>K702-L703</f>
        <v>507636.6799999997</v>
      </c>
      <c r="M704" s="147">
        <v>1</v>
      </c>
      <c r="Q704" s="133" t="s">
        <v>449</v>
      </c>
    </row>
    <row r="705" spans="1:17" x14ac:dyDescent="0.2">
      <c r="A705" s="133">
        <v>2020</v>
      </c>
      <c r="B705" s="133">
        <v>9</v>
      </c>
      <c r="C705" s="133">
        <v>10</v>
      </c>
      <c r="D705" s="141">
        <f t="shared" si="26"/>
        <v>44084</v>
      </c>
      <c r="E705" s="275">
        <f t="shared" si="27"/>
        <v>44084</v>
      </c>
      <c r="F705" s="479" t="s">
        <v>182</v>
      </c>
      <c r="G705" s="220" t="s">
        <v>94</v>
      </c>
      <c r="H705" s="220" t="str" cm="1">
        <f t="array" ref="H705">IFERROR(INDEX(INVESTOR_LIST[INVESTOR NAME],MATCH(I705,INVESTOR_LIST[INVESTOR CODE],0),)," ")</f>
        <v xml:space="preserve"> </v>
      </c>
      <c r="I705" s="142" t="s">
        <v>348</v>
      </c>
      <c r="J705" s="143" t="s">
        <v>168</v>
      </c>
      <c r="K705" s="226">
        <v>217500</v>
      </c>
      <c r="L705" s="226"/>
      <c r="M705" s="147">
        <v>0</v>
      </c>
      <c r="Q705" s="133" t="s">
        <v>348</v>
      </c>
    </row>
    <row r="706" spans="1:17" x14ac:dyDescent="0.2">
      <c r="A706" s="163">
        <v>2020</v>
      </c>
      <c r="B706" s="163">
        <v>9</v>
      </c>
      <c r="C706" s="163">
        <v>10</v>
      </c>
      <c r="D706" s="141">
        <f t="shared" si="26"/>
        <v>44084</v>
      </c>
      <c r="E706" s="275">
        <f t="shared" si="27"/>
        <v>44084</v>
      </c>
      <c r="F706" s="480"/>
      <c r="G706" s="221" t="s">
        <v>94</v>
      </c>
      <c r="H706" s="221" t="str" cm="1">
        <f t="array" ref="H706">IFERROR(INDEX(INVESTOR_LIST[INVESTOR NAME],MATCH(I706,INVESTOR_LIST[INVESTOR CODE],0),)," ")</f>
        <v xml:space="preserve"> </v>
      </c>
      <c r="I706" s="145" t="s">
        <v>348</v>
      </c>
      <c r="J706" s="146" t="s">
        <v>166</v>
      </c>
      <c r="K706" s="219"/>
      <c r="L706" s="219">
        <v>217500</v>
      </c>
      <c r="M706" s="147">
        <v>0</v>
      </c>
      <c r="Q706" s="133" t="s">
        <v>348</v>
      </c>
    </row>
    <row r="707" spans="1:17" x14ac:dyDescent="0.2">
      <c r="A707" s="133">
        <v>2020</v>
      </c>
      <c r="B707" s="133">
        <v>9</v>
      </c>
      <c r="C707" s="133">
        <v>10</v>
      </c>
      <c r="D707" s="141">
        <f t="shared" si="26"/>
        <v>44084</v>
      </c>
      <c r="E707" s="275">
        <f t="shared" si="27"/>
        <v>44084</v>
      </c>
      <c r="F707" s="479" t="s">
        <v>183</v>
      </c>
      <c r="G707" s="220" t="s">
        <v>94</v>
      </c>
      <c r="H707" s="220" t="str" cm="1">
        <f t="array" ref="H707">IFERROR(INDEX(INVESTOR_LIST[INVESTOR NAME],MATCH(I707,INVESTOR_LIST[INVESTOR CODE],0),)," ")</f>
        <v xml:space="preserve"> </v>
      </c>
      <c r="I707" s="142" t="s">
        <v>348</v>
      </c>
      <c r="J707" s="143" t="s">
        <v>168</v>
      </c>
      <c r="K707" s="226">
        <v>190000</v>
      </c>
      <c r="L707" s="226"/>
      <c r="M707" s="147">
        <v>5</v>
      </c>
      <c r="Q707" s="133" t="s">
        <v>348</v>
      </c>
    </row>
    <row r="708" spans="1:17" x14ac:dyDescent="0.2">
      <c r="A708" s="163">
        <v>2020</v>
      </c>
      <c r="B708" s="163">
        <v>9</v>
      </c>
      <c r="C708" s="163">
        <v>10</v>
      </c>
      <c r="D708" s="141">
        <f t="shared" si="26"/>
        <v>44084</v>
      </c>
      <c r="E708" s="275">
        <f t="shared" si="27"/>
        <v>44084</v>
      </c>
      <c r="F708" s="480"/>
      <c r="G708" s="221" t="s">
        <v>94</v>
      </c>
      <c r="H708" s="221" t="str" cm="1">
        <f t="array" ref="H708">IFERROR(INDEX(INVESTOR_LIST[INVESTOR NAME],MATCH(I708,INVESTOR_LIST[INVESTOR CODE],0),)," ")</f>
        <v xml:space="preserve"> </v>
      </c>
      <c r="I708" s="145" t="s">
        <v>348</v>
      </c>
      <c r="J708" s="146" t="s">
        <v>166</v>
      </c>
      <c r="K708" s="219"/>
      <c r="L708" s="219">
        <v>190000</v>
      </c>
      <c r="M708" s="147">
        <v>0</v>
      </c>
      <c r="Q708" s="133" t="s">
        <v>348</v>
      </c>
    </row>
    <row r="709" spans="1:17" ht="22.5" x14ac:dyDescent="0.2">
      <c r="A709" s="133">
        <v>2020</v>
      </c>
      <c r="B709" s="133">
        <v>9</v>
      </c>
      <c r="C709" s="133">
        <v>10</v>
      </c>
      <c r="D709" s="141">
        <f t="shared" si="26"/>
        <v>44084</v>
      </c>
      <c r="E709" s="275">
        <f t="shared" si="27"/>
        <v>44084</v>
      </c>
      <c r="F709" s="479" t="s">
        <v>964</v>
      </c>
      <c r="G709" s="174" t="s">
        <v>74</v>
      </c>
      <c r="H709" s="174" t="str" cm="1">
        <f t="array" ref="H709">IFERROR(INDEX(INVESTOR_LIST[INVESTOR NAME],MATCH(I709,INVESTOR_LIST[INVESTOR CODE],0),)," ")</f>
        <v>BILKISS ARA</v>
      </c>
      <c r="I709" s="148" t="s">
        <v>441</v>
      </c>
      <c r="J709" s="149" t="s">
        <v>52</v>
      </c>
      <c r="K709" s="218">
        <v>80000</v>
      </c>
      <c r="L709" s="218"/>
      <c r="M709" s="147">
        <v>0</v>
      </c>
      <c r="Q709" s="133" t="s">
        <v>441</v>
      </c>
    </row>
    <row r="710" spans="1:17" ht="22.5" x14ac:dyDescent="0.2">
      <c r="A710" s="133">
        <v>2020</v>
      </c>
      <c r="B710" s="133">
        <v>9</v>
      </c>
      <c r="C710" s="133">
        <v>10</v>
      </c>
      <c r="D710" s="141">
        <f t="shared" si="26"/>
        <v>44084</v>
      </c>
      <c r="E710" s="275">
        <f t="shared" si="27"/>
        <v>44084</v>
      </c>
      <c r="F710" s="481"/>
      <c r="G710" s="174" t="s">
        <v>74</v>
      </c>
      <c r="H710" s="174" t="str" cm="1">
        <f t="array" ref="H710">IFERROR(INDEX(INVESTOR_LIST[INVESTOR NAME],MATCH(I710,INVESTOR_LIST[INVESTOR CODE],0),)," ")</f>
        <v>BILKISS ARA</v>
      </c>
      <c r="I710" s="148" t="s">
        <v>441</v>
      </c>
      <c r="J710" s="149" t="s">
        <v>13</v>
      </c>
      <c r="K710" s="218"/>
      <c r="L710" s="218">
        <v>71880</v>
      </c>
      <c r="M710" s="147">
        <v>0</v>
      </c>
      <c r="Q710" s="133" t="s">
        <v>441</v>
      </c>
    </row>
    <row r="711" spans="1:17" ht="22.5" x14ac:dyDescent="0.2">
      <c r="A711" s="163">
        <v>2020</v>
      </c>
      <c r="B711" s="163">
        <v>9</v>
      </c>
      <c r="C711" s="163">
        <v>10</v>
      </c>
      <c r="D711" s="141">
        <f t="shared" si="26"/>
        <v>44084</v>
      </c>
      <c r="E711" s="275">
        <f t="shared" si="27"/>
        <v>44084</v>
      </c>
      <c r="F711" s="480"/>
      <c r="G711" s="221" t="s">
        <v>74</v>
      </c>
      <c r="H711" s="221" t="str" cm="1">
        <f t="array" ref="H711">IFERROR(INDEX(INVESTOR_LIST[INVESTOR NAME],MATCH(I711,INVESTOR_LIST[INVESTOR CODE],0),)," ")</f>
        <v>BILKISS ARA</v>
      </c>
      <c r="I711" s="145" t="s">
        <v>441</v>
      </c>
      <c r="J711" s="146" t="s">
        <v>53</v>
      </c>
      <c r="K711" s="219"/>
      <c r="L711" s="219">
        <f>K709-L710</f>
        <v>8120</v>
      </c>
      <c r="M711" s="147">
        <v>0</v>
      </c>
      <c r="Q711" s="133" t="s">
        <v>441</v>
      </c>
    </row>
    <row r="712" spans="1:17" x14ac:dyDescent="0.2">
      <c r="A712" s="238">
        <v>2020</v>
      </c>
      <c r="B712" s="238">
        <v>9</v>
      </c>
      <c r="C712" s="238">
        <v>10</v>
      </c>
      <c r="D712" s="141">
        <f t="shared" si="26"/>
        <v>44084</v>
      </c>
      <c r="E712" s="275">
        <f t="shared" si="27"/>
        <v>44084</v>
      </c>
      <c r="F712" s="477" t="s">
        <v>105</v>
      </c>
      <c r="G712" s="239" t="s">
        <v>94</v>
      </c>
      <c r="H712" s="247" t="str" cm="1">
        <f t="array" ref="H712">IFERROR(INDEX(INVESTOR_LIST[INVESTOR NAME],MATCH(I712,INVESTOR_LIST[INVESTOR CODE],0),)," ")</f>
        <v xml:space="preserve"> </v>
      </c>
      <c r="I712" s="248" t="s">
        <v>348</v>
      </c>
      <c r="J712" s="240" t="s">
        <v>108</v>
      </c>
      <c r="K712" s="252">
        <v>1999845</v>
      </c>
      <c r="L712" s="252"/>
      <c r="M712" s="147">
        <v>0</v>
      </c>
      <c r="Q712" s="133" t="s">
        <v>348</v>
      </c>
    </row>
    <row r="713" spans="1:17" x14ac:dyDescent="0.2">
      <c r="A713" s="242">
        <v>2020</v>
      </c>
      <c r="B713" s="242">
        <v>9</v>
      </c>
      <c r="C713" s="242">
        <v>10</v>
      </c>
      <c r="D713" s="141">
        <f t="shared" si="26"/>
        <v>44084</v>
      </c>
      <c r="E713" s="275">
        <f t="shared" si="27"/>
        <v>44084</v>
      </c>
      <c r="F713" s="478"/>
      <c r="G713" s="243" t="s">
        <v>94</v>
      </c>
      <c r="H713" s="243" t="str" cm="1">
        <f t="array" ref="H713">IFERROR(INDEX(INVESTOR_LIST[INVESTOR NAME],MATCH(I713,INVESTOR_LIST[INVESTOR CODE],0),)," ")</f>
        <v xml:space="preserve"> </v>
      </c>
      <c r="I713" s="263" t="s">
        <v>348</v>
      </c>
      <c r="J713" s="244" t="s">
        <v>82</v>
      </c>
      <c r="K713" s="245"/>
      <c r="L713" s="245">
        <v>1999845</v>
      </c>
      <c r="M713" s="147">
        <v>0</v>
      </c>
      <c r="Q713" s="133" t="s">
        <v>348</v>
      </c>
    </row>
    <row r="714" spans="1:17" ht="22.5" x14ac:dyDescent="0.2">
      <c r="A714" s="246">
        <v>2020</v>
      </c>
      <c r="B714" s="246">
        <v>9</v>
      </c>
      <c r="C714" s="246">
        <v>10</v>
      </c>
      <c r="D714" s="141">
        <f t="shared" si="26"/>
        <v>44084</v>
      </c>
      <c r="E714" s="275">
        <f t="shared" si="27"/>
        <v>44084</v>
      </c>
      <c r="F714" s="477" t="s">
        <v>136</v>
      </c>
      <c r="G714" s="239" t="s">
        <v>94</v>
      </c>
      <c r="H714" s="247" t="str" cm="1">
        <f t="array" ref="H714">IFERROR(INDEX(INVESTOR_LIST[INVESTOR NAME],MATCH(I714,INVESTOR_LIST[INVESTOR CODE],0),)," ")</f>
        <v xml:space="preserve"> </v>
      </c>
      <c r="I714" s="248" t="s">
        <v>348</v>
      </c>
      <c r="J714" s="240" t="s">
        <v>95</v>
      </c>
      <c r="K714" s="252">
        <v>2747.25</v>
      </c>
      <c r="L714" s="252"/>
      <c r="M714" s="147">
        <v>0</v>
      </c>
      <c r="Q714" s="133" t="s">
        <v>348</v>
      </c>
    </row>
    <row r="715" spans="1:17" x14ac:dyDescent="0.2">
      <c r="A715" s="242">
        <v>2020</v>
      </c>
      <c r="B715" s="242">
        <v>9</v>
      </c>
      <c r="C715" s="242">
        <v>10</v>
      </c>
      <c r="D715" s="141">
        <f t="shared" si="26"/>
        <v>44084</v>
      </c>
      <c r="E715" s="275">
        <f t="shared" si="27"/>
        <v>44084</v>
      </c>
      <c r="F715" s="478"/>
      <c r="G715" s="243" t="s">
        <v>94</v>
      </c>
      <c r="H715" s="243" t="str" cm="1">
        <f t="array" ref="H715">IFERROR(INDEX(INVESTOR_LIST[INVESTOR NAME],MATCH(I715,INVESTOR_LIST[INVESTOR CODE],0),)," ")</f>
        <v xml:space="preserve"> </v>
      </c>
      <c r="I715" s="263" t="s">
        <v>348</v>
      </c>
      <c r="J715" s="244" t="s">
        <v>63</v>
      </c>
      <c r="K715" s="245"/>
      <c r="L715" s="245">
        <v>2747.25</v>
      </c>
      <c r="M715" s="147">
        <v>0</v>
      </c>
      <c r="Q715" s="133" t="s">
        <v>348</v>
      </c>
    </row>
    <row r="716" spans="1:17" x14ac:dyDescent="0.2">
      <c r="A716" s="246">
        <v>2020</v>
      </c>
      <c r="B716" s="246">
        <v>9</v>
      </c>
      <c r="C716" s="246">
        <v>10</v>
      </c>
      <c r="D716" s="141">
        <f t="shared" si="26"/>
        <v>44084</v>
      </c>
      <c r="E716" s="275">
        <f t="shared" si="27"/>
        <v>44084</v>
      </c>
      <c r="F716" s="477" t="s">
        <v>137</v>
      </c>
      <c r="G716" s="239" t="s">
        <v>94</v>
      </c>
      <c r="H716" s="247" t="str" cm="1">
        <f t="array" ref="H716">IFERROR(INDEX(INVESTOR_LIST[INVESTOR NAME],MATCH(I716,INVESTOR_LIST[INVESTOR CODE],0),)," ")</f>
        <v xml:space="preserve"> </v>
      </c>
      <c r="I716" s="248" t="s">
        <v>348</v>
      </c>
      <c r="J716" s="240" t="s">
        <v>97</v>
      </c>
      <c r="K716" s="252">
        <v>38533.46</v>
      </c>
      <c r="L716" s="252"/>
      <c r="M716" s="147">
        <v>0</v>
      </c>
      <c r="N716" s="172"/>
      <c r="Q716" s="133" t="s">
        <v>348</v>
      </c>
    </row>
    <row r="717" spans="1:17" x14ac:dyDescent="0.2">
      <c r="A717" s="242">
        <v>2020</v>
      </c>
      <c r="B717" s="242">
        <v>9</v>
      </c>
      <c r="C717" s="242">
        <v>10</v>
      </c>
      <c r="D717" s="141">
        <f t="shared" ref="D717:D780" si="28">DATE(A717,B717,C717)</f>
        <v>44084</v>
      </c>
      <c r="E717" s="275">
        <f t="shared" si="27"/>
        <v>44084</v>
      </c>
      <c r="F717" s="478"/>
      <c r="G717" s="243" t="s">
        <v>94</v>
      </c>
      <c r="H717" s="243" t="str" cm="1">
        <f t="array" ref="H717">IFERROR(INDEX(INVESTOR_LIST[INVESTOR NAME],MATCH(I717,INVESTOR_LIST[INVESTOR CODE],0),)," ")</f>
        <v xml:space="preserve"> </v>
      </c>
      <c r="I717" s="263" t="s">
        <v>348</v>
      </c>
      <c r="J717" s="244" t="s">
        <v>47</v>
      </c>
      <c r="K717" s="245"/>
      <c r="L717" s="245">
        <v>38533.46</v>
      </c>
      <c r="M717" s="147">
        <v>0</v>
      </c>
      <c r="Q717" s="133" t="s">
        <v>348</v>
      </c>
    </row>
    <row r="718" spans="1:17" x14ac:dyDescent="0.2">
      <c r="A718" s="246">
        <v>2020</v>
      </c>
      <c r="B718" s="246">
        <v>9</v>
      </c>
      <c r="C718" s="246">
        <v>10</v>
      </c>
      <c r="D718" s="141">
        <f t="shared" si="28"/>
        <v>44084</v>
      </c>
      <c r="E718" s="275">
        <f t="shared" ref="E718:E781" si="29">DATE(A718,B718,C718)</f>
        <v>44084</v>
      </c>
      <c r="F718" s="477" t="s">
        <v>138</v>
      </c>
      <c r="G718" s="239" t="s">
        <v>94</v>
      </c>
      <c r="H718" s="247" t="str" cm="1">
        <f t="array" ref="H718">IFERROR(INDEX(INVESTOR_LIST[INVESTOR NAME],MATCH(I718,INVESTOR_LIST[INVESTOR CODE],0),)," ")</f>
        <v xml:space="preserve"> </v>
      </c>
      <c r="I718" s="248" t="s">
        <v>348</v>
      </c>
      <c r="J718" s="240" t="s">
        <v>100</v>
      </c>
      <c r="K718" s="252">
        <v>2149.63</v>
      </c>
      <c r="L718" s="252"/>
      <c r="M718" s="147">
        <v>0</v>
      </c>
      <c r="Q718" s="133" t="s">
        <v>348</v>
      </c>
    </row>
    <row r="719" spans="1:17" x14ac:dyDescent="0.2">
      <c r="A719" s="242">
        <v>2020</v>
      </c>
      <c r="B719" s="242">
        <v>9</v>
      </c>
      <c r="C719" s="242">
        <v>10</v>
      </c>
      <c r="D719" s="141">
        <f t="shared" si="28"/>
        <v>44084</v>
      </c>
      <c r="E719" s="275">
        <f t="shared" si="29"/>
        <v>44084</v>
      </c>
      <c r="F719" s="478"/>
      <c r="G719" s="243" t="s">
        <v>94</v>
      </c>
      <c r="H719" s="243" t="str" cm="1">
        <f t="array" ref="H719">IFERROR(INDEX(INVESTOR_LIST[INVESTOR NAME],MATCH(I719,INVESTOR_LIST[INVESTOR CODE],0),)," ")</f>
        <v xml:space="preserve"> </v>
      </c>
      <c r="I719" s="263" t="s">
        <v>348</v>
      </c>
      <c r="J719" s="244" t="s">
        <v>48</v>
      </c>
      <c r="K719" s="245"/>
      <c r="L719" s="245">
        <v>2149.63</v>
      </c>
      <c r="M719" s="147">
        <v>0</v>
      </c>
      <c r="N719" s="173"/>
      <c r="Q719" s="133" t="s">
        <v>348</v>
      </c>
    </row>
    <row r="720" spans="1:17" x14ac:dyDescent="0.2">
      <c r="A720" s="246">
        <v>2020</v>
      </c>
      <c r="B720" s="246">
        <v>9</v>
      </c>
      <c r="C720" s="246">
        <v>10</v>
      </c>
      <c r="D720" s="141">
        <f t="shared" si="28"/>
        <v>44084</v>
      </c>
      <c r="E720" s="275">
        <f t="shared" si="29"/>
        <v>44084</v>
      </c>
      <c r="F720" s="477" t="s">
        <v>140</v>
      </c>
      <c r="G720" s="239" t="s">
        <v>94</v>
      </c>
      <c r="H720" s="247" t="str" cm="1">
        <f t="array" ref="H720">IFERROR(INDEX(INVESTOR_LIST[INVESTOR NAME],MATCH(I720,INVESTOR_LIST[INVESTOR CODE],0),)," ")</f>
        <v xml:space="preserve"> </v>
      </c>
      <c r="I720" s="248" t="s">
        <v>348</v>
      </c>
      <c r="J720" s="240" t="s">
        <v>103</v>
      </c>
      <c r="K720" s="252">
        <v>729.17</v>
      </c>
      <c r="L720" s="252"/>
      <c r="M720" s="147">
        <v>0</v>
      </c>
      <c r="N720" s="173"/>
      <c r="Q720" s="133" t="s">
        <v>348</v>
      </c>
    </row>
    <row r="721" spans="1:17" x14ac:dyDescent="0.2">
      <c r="A721" s="242">
        <v>2020</v>
      </c>
      <c r="B721" s="242">
        <v>9</v>
      </c>
      <c r="C721" s="242">
        <v>10</v>
      </c>
      <c r="D721" s="141">
        <f t="shared" si="28"/>
        <v>44084</v>
      </c>
      <c r="E721" s="275">
        <f t="shared" si="29"/>
        <v>44084</v>
      </c>
      <c r="F721" s="478"/>
      <c r="G721" s="243" t="s">
        <v>94</v>
      </c>
      <c r="H721" s="243" t="str" cm="1">
        <f t="array" ref="H721">IFERROR(INDEX(INVESTOR_LIST[INVESTOR NAME],MATCH(I721,INVESTOR_LIST[INVESTOR CODE],0),)," ")</f>
        <v xml:space="preserve"> </v>
      </c>
      <c r="I721" s="263" t="s">
        <v>348</v>
      </c>
      <c r="J721" s="244" t="s">
        <v>50</v>
      </c>
      <c r="K721" s="245"/>
      <c r="L721" s="245">
        <v>729.17</v>
      </c>
      <c r="M721" s="147">
        <v>1</v>
      </c>
      <c r="Q721" s="133" t="s">
        <v>348</v>
      </c>
    </row>
    <row r="722" spans="1:17" x14ac:dyDescent="0.2">
      <c r="A722" s="133">
        <v>2020</v>
      </c>
      <c r="B722" s="133">
        <v>9</v>
      </c>
      <c r="C722" s="133">
        <v>10</v>
      </c>
      <c r="D722" s="141">
        <f t="shared" si="28"/>
        <v>44084</v>
      </c>
      <c r="E722" s="275">
        <f t="shared" si="29"/>
        <v>44084</v>
      </c>
      <c r="F722" s="479" t="s">
        <v>77</v>
      </c>
      <c r="G722" s="220" t="s">
        <v>74</v>
      </c>
      <c r="H722" s="174" t="str" cm="1">
        <f t="array" ref="H722">IFERROR(INDEX(INVESTOR_LIST[INVESTOR NAME],MATCH(I722,INVESTOR_LIST[INVESTOR CODE],0),)," ")</f>
        <v xml:space="preserve"> </v>
      </c>
      <c r="I722" s="148" t="s">
        <v>348</v>
      </c>
      <c r="J722" s="149" t="s">
        <v>61</v>
      </c>
      <c r="K722" s="218">
        <v>80</v>
      </c>
      <c r="L722" s="218"/>
      <c r="M722" s="147">
        <v>0</v>
      </c>
      <c r="Q722" s="133" t="s">
        <v>348</v>
      </c>
    </row>
    <row r="723" spans="1:17" x14ac:dyDescent="0.2">
      <c r="A723" s="163">
        <v>2020</v>
      </c>
      <c r="B723" s="163">
        <v>9</v>
      </c>
      <c r="C723" s="163">
        <v>10</v>
      </c>
      <c r="D723" s="141">
        <f t="shared" si="28"/>
        <v>44084</v>
      </c>
      <c r="E723" s="275">
        <f t="shared" si="29"/>
        <v>44084</v>
      </c>
      <c r="F723" s="480"/>
      <c r="G723" s="221" t="s">
        <v>74</v>
      </c>
      <c r="H723" s="221" t="str" cm="1">
        <f t="array" ref="H723">IFERROR(INDEX(INVESTOR_LIST[INVESTOR NAME],MATCH(I723,INVESTOR_LIST[INVESTOR CODE],0),)," ")</f>
        <v xml:space="preserve"> </v>
      </c>
      <c r="I723" s="145" t="s">
        <v>348</v>
      </c>
      <c r="J723" s="146" t="s">
        <v>52</v>
      </c>
      <c r="K723" s="219"/>
      <c r="L723" s="219">
        <v>80</v>
      </c>
      <c r="M723" s="147">
        <v>1</v>
      </c>
      <c r="Q723" s="133" t="s">
        <v>348</v>
      </c>
    </row>
    <row r="724" spans="1:17" ht="33.75" x14ac:dyDescent="0.2">
      <c r="A724" s="133">
        <v>2020</v>
      </c>
      <c r="B724" s="133">
        <v>9</v>
      </c>
      <c r="C724" s="133">
        <v>14</v>
      </c>
      <c r="D724" s="141">
        <f t="shared" si="28"/>
        <v>44088</v>
      </c>
      <c r="E724" s="275">
        <f t="shared" si="29"/>
        <v>44088</v>
      </c>
      <c r="F724" s="479" t="s">
        <v>964</v>
      </c>
      <c r="G724" s="174" t="s">
        <v>74</v>
      </c>
      <c r="H724" s="174" t="str" cm="1">
        <f t="array" ref="H724">IFERROR(INDEX(INVESTOR_LIST[INVESTOR NAME],MATCH(I724,INVESTOR_LIST[INVESTOR CODE],0),)," ")</f>
        <v>MD. KAMRUZZAMAN</v>
      </c>
      <c r="I724" s="148" t="s">
        <v>450</v>
      </c>
      <c r="J724" s="149" t="s">
        <v>52</v>
      </c>
      <c r="K724" s="218">
        <v>200000</v>
      </c>
      <c r="L724" s="218"/>
      <c r="M724" s="147">
        <v>0</v>
      </c>
      <c r="Q724" s="133" t="s">
        <v>450</v>
      </c>
    </row>
    <row r="725" spans="1:17" ht="33.75" x14ac:dyDescent="0.2">
      <c r="A725" s="133">
        <v>2020</v>
      </c>
      <c r="B725" s="133">
        <v>9</v>
      </c>
      <c r="C725" s="133">
        <v>14</v>
      </c>
      <c r="D725" s="141">
        <f t="shared" si="28"/>
        <v>44088</v>
      </c>
      <c r="E725" s="275">
        <f t="shared" si="29"/>
        <v>44088</v>
      </c>
      <c r="F725" s="481"/>
      <c r="G725" s="174" t="s">
        <v>74</v>
      </c>
      <c r="H725" s="174" t="str" cm="1">
        <f t="array" ref="H725">IFERROR(INDEX(INVESTOR_LIST[INVESTOR NAME],MATCH(I725,INVESTOR_LIST[INVESTOR CODE],0),)," ")</f>
        <v>MD. KAMRUZZAMAN</v>
      </c>
      <c r="I725" s="148" t="s">
        <v>450</v>
      </c>
      <c r="J725" s="149" t="s">
        <v>13</v>
      </c>
      <c r="K725" s="218"/>
      <c r="L725" s="218">
        <v>174830</v>
      </c>
      <c r="M725" s="147" t="e">
        <v>#REF!</v>
      </c>
      <c r="Q725" s="133" t="s">
        <v>450</v>
      </c>
    </row>
    <row r="726" spans="1:17" ht="33.75" x14ac:dyDescent="0.2">
      <c r="A726" s="163">
        <v>2020</v>
      </c>
      <c r="B726" s="163">
        <v>9</v>
      </c>
      <c r="C726" s="163">
        <v>14</v>
      </c>
      <c r="D726" s="141">
        <f t="shared" si="28"/>
        <v>44088</v>
      </c>
      <c r="E726" s="275">
        <f t="shared" si="29"/>
        <v>44088</v>
      </c>
      <c r="F726" s="480"/>
      <c r="G726" s="221" t="s">
        <v>74</v>
      </c>
      <c r="H726" s="221" t="str" cm="1">
        <f t="array" ref="H726">IFERROR(INDEX(INVESTOR_LIST[INVESTOR NAME],MATCH(I726,INVESTOR_LIST[INVESTOR CODE],0),)," ")</f>
        <v>MD. KAMRUZZAMAN</v>
      </c>
      <c r="I726" s="145" t="s">
        <v>450</v>
      </c>
      <c r="J726" s="146" t="s">
        <v>53</v>
      </c>
      <c r="K726" s="219"/>
      <c r="L726" s="219">
        <f>K724-L725</f>
        <v>25170</v>
      </c>
      <c r="M726" s="147" t="e">
        <v>#REF!</v>
      </c>
      <c r="Q726" s="133" t="s">
        <v>450</v>
      </c>
    </row>
    <row r="727" spans="1:17" x14ac:dyDescent="0.2">
      <c r="A727" s="133">
        <v>2020</v>
      </c>
      <c r="B727" s="133">
        <v>9</v>
      </c>
      <c r="C727" s="133">
        <v>14</v>
      </c>
      <c r="D727" s="141">
        <f t="shared" si="28"/>
        <v>44088</v>
      </c>
      <c r="E727" s="275">
        <f t="shared" si="29"/>
        <v>44088</v>
      </c>
      <c r="F727" s="479" t="s">
        <v>77</v>
      </c>
      <c r="G727" s="220" t="s">
        <v>74</v>
      </c>
      <c r="H727" s="174" t="str" cm="1">
        <f t="array" ref="H727">IFERROR(INDEX(INVESTOR_LIST[INVESTOR NAME],MATCH(I727,INVESTOR_LIST[INVESTOR CODE],0),)," ")</f>
        <v xml:space="preserve"> </v>
      </c>
      <c r="I727" s="148" t="s">
        <v>348</v>
      </c>
      <c r="J727" s="149" t="s">
        <v>61</v>
      </c>
      <c r="K727" s="218">
        <v>10</v>
      </c>
      <c r="L727" s="218"/>
      <c r="M727" s="147" t="e">
        <v>#REF!</v>
      </c>
      <c r="Q727" s="133" t="s">
        <v>348</v>
      </c>
    </row>
    <row r="728" spans="1:17" x14ac:dyDescent="0.2">
      <c r="A728" s="163">
        <v>2020</v>
      </c>
      <c r="B728" s="163">
        <v>9</v>
      </c>
      <c r="C728" s="163">
        <v>14</v>
      </c>
      <c r="D728" s="141">
        <f t="shared" si="28"/>
        <v>44088</v>
      </c>
      <c r="E728" s="275">
        <f t="shared" si="29"/>
        <v>44088</v>
      </c>
      <c r="F728" s="480"/>
      <c r="G728" s="221" t="s">
        <v>74</v>
      </c>
      <c r="H728" s="221" t="str" cm="1">
        <f t="array" ref="H728">IFERROR(INDEX(INVESTOR_LIST[INVESTOR NAME],MATCH(I728,INVESTOR_LIST[INVESTOR CODE],0),)," ")</f>
        <v xml:space="preserve"> </v>
      </c>
      <c r="I728" s="145" t="s">
        <v>348</v>
      </c>
      <c r="J728" s="146" t="s">
        <v>52</v>
      </c>
      <c r="K728" s="219"/>
      <c r="L728" s="219">
        <v>10</v>
      </c>
      <c r="M728" s="147">
        <v>0</v>
      </c>
      <c r="N728" s="156"/>
      <c r="Q728" s="133" t="s">
        <v>348</v>
      </c>
    </row>
    <row r="729" spans="1:17" x14ac:dyDescent="0.2">
      <c r="A729" s="133">
        <v>2020</v>
      </c>
      <c r="B729" s="133">
        <v>9</v>
      </c>
      <c r="C729" s="133">
        <v>14</v>
      </c>
      <c r="D729" s="141">
        <f t="shared" si="28"/>
        <v>44088</v>
      </c>
      <c r="E729" s="275">
        <f t="shared" si="29"/>
        <v>44088</v>
      </c>
      <c r="F729" s="479" t="s">
        <v>186</v>
      </c>
      <c r="G729" s="220" t="s">
        <v>74</v>
      </c>
      <c r="H729" s="220" t="str" cm="1">
        <f t="array" ref="H729">IFERROR(INDEX(INVESTOR_LIST[INVESTOR NAME],MATCH(I729,INVESTOR_LIST[INVESTOR CODE],0),)," ")</f>
        <v xml:space="preserve"> </v>
      </c>
      <c r="I729" s="142" t="s">
        <v>348</v>
      </c>
      <c r="J729" s="143" t="s">
        <v>184</v>
      </c>
      <c r="K729" s="226">
        <v>1200000</v>
      </c>
      <c r="L729" s="226"/>
      <c r="M729" s="147">
        <v>0</v>
      </c>
      <c r="N729" s="156"/>
      <c r="Q729" s="133" t="s">
        <v>348</v>
      </c>
    </row>
    <row r="730" spans="1:17" x14ac:dyDescent="0.2">
      <c r="A730" s="133">
        <v>2020</v>
      </c>
      <c r="B730" s="133">
        <v>9</v>
      </c>
      <c r="C730" s="133">
        <v>14</v>
      </c>
      <c r="D730" s="141">
        <f t="shared" si="28"/>
        <v>44088</v>
      </c>
      <c r="E730" s="275">
        <f t="shared" si="29"/>
        <v>44088</v>
      </c>
      <c r="F730" s="481"/>
      <c r="G730" s="174" t="s">
        <v>74</v>
      </c>
      <c r="H730" s="174" t="str" cm="1">
        <f t="array" ref="H730">IFERROR(INDEX(INVESTOR_LIST[INVESTOR NAME],MATCH(I730,INVESTOR_LIST[INVESTOR CODE],0),)," ")</f>
        <v xml:space="preserve"> </v>
      </c>
      <c r="I730" s="148" t="s">
        <v>348</v>
      </c>
      <c r="J730" s="149" t="s">
        <v>185</v>
      </c>
      <c r="K730" s="218">
        <v>3000</v>
      </c>
      <c r="L730" s="218"/>
      <c r="M730" s="147">
        <v>0</v>
      </c>
      <c r="N730" s="156"/>
      <c r="Q730" s="133" t="s">
        <v>348</v>
      </c>
    </row>
    <row r="731" spans="1:17" x14ac:dyDescent="0.2">
      <c r="A731" s="163">
        <v>2020</v>
      </c>
      <c r="B731" s="163">
        <v>9</v>
      </c>
      <c r="C731" s="163">
        <v>14</v>
      </c>
      <c r="D731" s="141">
        <f t="shared" si="28"/>
        <v>44088</v>
      </c>
      <c r="E731" s="275">
        <f t="shared" si="29"/>
        <v>44088</v>
      </c>
      <c r="F731" s="480"/>
      <c r="G731" s="221" t="s">
        <v>74</v>
      </c>
      <c r="H731" s="221" t="str" cm="1">
        <f t="array" ref="H731">IFERROR(INDEX(INVESTOR_LIST[INVESTOR NAME],MATCH(I731,INVESTOR_LIST[INVESTOR CODE],0),)," ")</f>
        <v xml:space="preserve"> </v>
      </c>
      <c r="I731" s="145" t="s">
        <v>348</v>
      </c>
      <c r="J731" s="146" t="s">
        <v>52</v>
      </c>
      <c r="K731" s="219"/>
      <c r="L731" s="219">
        <v>1203000</v>
      </c>
      <c r="M731" s="147">
        <v>0</v>
      </c>
      <c r="N731" s="156"/>
      <c r="Q731" s="133" t="s">
        <v>348</v>
      </c>
    </row>
    <row r="732" spans="1:17" x14ac:dyDescent="0.2">
      <c r="A732" s="133">
        <v>2020</v>
      </c>
      <c r="B732" s="133">
        <v>9</v>
      </c>
      <c r="C732" s="133">
        <v>14</v>
      </c>
      <c r="D732" s="141">
        <f t="shared" si="28"/>
        <v>44088</v>
      </c>
      <c r="E732" s="275">
        <f t="shared" si="29"/>
        <v>44088</v>
      </c>
      <c r="F732" s="479" t="s">
        <v>77</v>
      </c>
      <c r="G732" s="220" t="s">
        <v>74</v>
      </c>
      <c r="H732" s="174" t="str" cm="1">
        <f t="array" ref="H732">IFERROR(INDEX(INVESTOR_LIST[INVESTOR NAME],MATCH(I732,INVESTOR_LIST[INVESTOR CODE],0),)," ")</f>
        <v xml:space="preserve"> </v>
      </c>
      <c r="I732" s="148" t="s">
        <v>348</v>
      </c>
      <c r="J732" s="149" t="s">
        <v>61</v>
      </c>
      <c r="K732" s="218">
        <v>115</v>
      </c>
      <c r="L732" s="218"/>
      <c r="M732" s="147">
        <v>0</v>
      </c>
      <c r="Q732" s="133" t="s">
        <v>348</v>
      </c>
    </row>
    <row r="733" spans="1:17" x14ac:dyDescent="0.2">
      <c r="A733" s="163">
        <v>2020</v>
      </c>
      <c r="B733" s="163">
        <v>9</v>
      </c>
      <c r="C733" s="163">
        <v>14</v>
      </c>
      <c r="D733" s="141">
        <f t="shared" si="28"/>
        <v>44088</v>
      </c>
      <c r="E733" s="275">
        <f t="shared" si="29"/>
        <v>44088</v>
      </c>
      <c r="F733" s="480"/>
      <c r="G733" s="221" t="s">
        <v>74</v>
      </c>
      <c r="H733" s="221" t="str" cm="1">
        <f t="array" ref="H733">IFERROR(INDEX(INVESTOR_LIST[INVESTOR NAME],MATCH(I733,INVESTOR_LIST[INVESTOR CODE],0),)," ")</f>
        <v xml:space="preserve"> </v>
      </c>
      <c r="I733" s="145" t="s">
        <v>348</v>
      </c>
      <c r="J733" s="146" t="s">
        <v>52</v>
      </c>
      <c r="K733" s="219"/>
      <c r="L733" s="219">
        <v>115</v>
      </c>
      <c r="M733" s="147">
        <v>0</v>
      </c>
      <c r="Q733" s="133" t="s">
        <v>348</v>
      </c>
    </row>
    <row r="734" spans="1:17" ht="33.75" x14ac:dyDescent="0.2">
      <c r="A734" s="133">
        <v>2020</v>
      </c>
      <c r="B734" s="133">
        <v>9</v>
      </c>
      <c r="C734" s="133">
        <v>17</v>
      </c>
      <c r="D734" s="141">
        <f t="shared" si="28"/>
        <v>44091</v>
      </c>
      <c r="E734" s="275">
        <f t="shared" si="29"/>
        <v>44091</v>
      </c>
      <c r="F734" s="479" t="s">
        <v>964</v>
      </c>
      <c r="G734" s="174" t="s">
        <v>74</v>
      </c>
      <c r="H734" s="174" t="str" cm="1">
        <f t="array" ref="H734">IFERROR(INDEX(INVESTOR_LIST[INVESTOR NAME],MATCH(I734,INVESTOR_LIST[INVESTOR CODE],0),)," ")</f>
        <v>M A QUAYOOM</v>
      </c>
      <c r="I734" s="148" t="s">
        <v>412</v>
      </c>
      <c r="J734" s="149" t="s">
        <v>52</v>
      </c>
      <c r="K734" s="218">
        <v>228800</v>
      </c>
      <c r="L734" s="218"/>
      <c r="M734" s="147">
        <v>0</v>
      </c>
      <c r="Q734" s="133" t="s">
        <v>412</v>
      </c>
    </row>
    <row r="735" spans="1:17" ht="33.75" x14ac:dyDescent="0.2">
      <c r="A735" s="133">
        <v>2020</v>
      </c>
      <c r="B735" s="133">
        <v>9</v>
      </c>
      <c r="C735" s="133">
        <v>17</v>
      </c>
      <c r="D735" s="141">
        <f t="shared" si="28"/>
        <v>44091</v>
      </c>
      <c r="E735" s="275">
        <f t="shared" si="29"/>
        <v>44091</v>
      </c>
      <c r="F735" s="481"/>
      <c r="G735" s="174" t="s">
        <v>74</v>
      </c>
      <c r="H735" s="174" t="str" cm="1">
        <f t="array" ref="H735">IFERROR(INDEX(INVESTOR_LIST[INVESTOR NAME],MATCH(I735,INVESTOR_LIST[INVESTOR CODE],0),)," ")</f>
        <v>M A QUAYOOM</v>
      </c>
      <c r="I735" s="148" t="s">
        <v>412</v>
      </c>
      <c r="J735" s="149" t="s">
        <v>13</v>
      </c>
      <c r="K735" s="218"/>
      <c r="L735" s="218">
        <v>200000</v>
      </c>
      <c r="M735" s="147">
        <v>0</v>
      </c>
      <c r="Q735" s="133" t="s">
        <v>412</v>
      </c>
    </row>
    <row r="736" spans="1:17" ht="33.75" x14ac:dyDescent="0.2">
      <c r="A736" s="163">
        <v>2020</v>
      </c>
      <c r="B736" s="163">
        <v>9</v>
      </c>
      <c r="C736" s="163">
        <v>17</v>
      </c>
      <c r="D736" s="141">
        <f t="shared" si="28"/>
        <v>44091</v>
      </c>
      <c r="E736" s="275">
        <f t="shared" si="29"/>
        <v>44091</v>
      </c>
      <c r="F736" s="480"/>
      <c r="G736" s="221" t="s">
        <v>74</v>
      </c>
      <c r="H736" s="221" t="str" cm="1">
        <f t="array" ref="H736">IFERROR(INDEX(INVESTOR_LIST[INVESTOR NAME],MATCH(I736,INVESTOR_LIST[INVESTOR CODE],0),)," ")</f>
        <v>M A QUAYOOM</v>
      </c>
      <c r="I736" s="145" t="s">
        <v>412</v>
      </c>
      <c r="J736" s="146" t="s">
        <v>53</v>
      </c>
      <c r="K736" s="219"/>
      <c r="L736" s="219">
        <f>K734-L735</f>
        <v>28800</v>
      </c>
      <c r="M736" s="147">
        <v>0</v>
      </c>
      <c r="Q736" s="133" t="s">
        <v>412</v>
      </c>
    </row>
    <row r="737" spans="1:17" ht="33.75" x14ac:dyDescent="0.2">
      <c r="A737" s="133">
        <v>2020</v>
      </c>
      <c r="B737" s="133">
        <v>9</v>
      </c>
      <c r="C737" s="133">
        <v>17</v>
      </c>
      <c r="D737" s="141">
        <f t="shared" si="28"/>
        <v>44091</v>
      </c>
      <c r="E737" s="275">
        <f t="shared" si="29"/>
        <v>44091</v>
      </c>
      <c r="F737" s="479" t="s">
        <v>964</v>
      </c>
      <c r="G737" s="174" t="s">
        <v>74</v>
      </c>
      <c r="H737" s="174" t="str" cm="1">
        <f t="array" ref="H737">IFERROR(INDEX(INVESTOR_LIST[INVESTOR NAME],MATCH(I737,INVESTOR_LIST[INVESTOR CODE],0),)," ")</f>
        <v>LILY RANI PAUL</v>
      </c>
      <c r="I737" s="148" t="s">
        <v>451</v>
      </c>
      <c r="J737" s="149" t="s">
        <v>52</v>
      </c>
      <c r="K737" s="218">
        <v>500000</v>
      </c>
      <c r="L737" s="218"/>
      <c r="M737" s="147">
        <v>0</v>
      </c>
      <c r="Q737" s="133" t="s">
        <v>451</v>
      </c>
    </row>
    <row r="738" spans="1:17" ht="33.75" x14ac:dyDescent="0.2">
      <c r="A738" s="133">
        <v>2020</v>
      </c>
      <c r="B738" s="133">
        <v>9</v>
      </c>
      <c r="C738" s="133">
        <v>17</v>
      </c>
      <c r="D738" s="141">
        <f t="shared" si="28"/>
        <v>44091</v>
      </c>
      <c r="E738" s="275">
        <f t="shared" si="29"/>
        <v>44091</v>
      </c>
      <c r="F738" s="481"/>
      <c r="G738" s="174" t="s">
        <v>74</v>
      </c>
      <c r="H738" s="174" t="str" cm="1">
        <f t="array" ref="H738">IFERROR(INDEX(INVESTOR_LIST[INVESTOR NAME],MATCH(I738,INVESTOR_LIST[INVESTOR CODE],0),)," ")</f>
        <v>LILY RANI PAUL</v>
      </c>
      <c r="I738" s="148" t="s">
        <v>451</v>
      </c>
      <c r="J738" s="149" t="s">
        <v>13</v>
      </c>
      <c r="K738" s="218"/>
      <c r="L738" s="218">
        <v>437060</v>
      </c>
      <c r="M738" s="147">
        <v>0</v>
      </c>
      <c r="Q738" s="133" t="s">
        <v>451</v>
      </c>
    </row>
    <row r="739" spans="1:17" ht="33.75" x14ac:dyDescent="0.2">
      <c r="A739" s="163">
        <v>2020</v>
      </c>
      <c r="B739" s="163">
        <v>9</v>
      </c>
      <c r="C739" s="163">
        <v>17</v>
      </c>
      <c r="D739" s="141">
        <f t="shared" si="28"/>
        <v>44091</v>
      </c>
      <c r="E739" s="275">
        <f t="shared" si="29"/>
        <v>44091</v>
      </c>
      <c r="F739" s="480"/>
      <c r="G739" s="221" t="s">
        <v>74</v>
      </c>
      <c r="H739" s="221" t="str" cm="1">
        <f t="array" ref="H739">IFERROR(INDEX(INVESTOR_LIST[INVESTOR NAME],MATCH(I739,INVESTOR_LIST[INVESTOR CODE],0),)," ")</f>
        <v>LILY RANI PAUL</v>
      </c>
      <c r="I739" s="145" t="s">
        <v>451</v>
      </c>
      <c r="J739" s="146" t="s">
        <v>53</v>
      </c>
      <c r="K739" s="219"/>
      <c r="L739" s="219">
        <f>K737-L738</f>
        <v>62940</v>
      </c>
      <c r="M739" s="147">
        <v>0</v>
      </c>
      <c r="Q739" s="133" t="s">
        <v>451</v>
      </c>
    </row>
    <row r="740" spans="1:17" ht="22.5" x14ac:dyDescent="0.2">
      <c r="A740" s="133">
        <v>2020</v>
      </c>
      <c r="B740" s="133">
        <v>9</v>
      </c>
      <c r="C740" s="133">
        <v>17</v>
      </c>
      <c r="D740" s="141">
        <f t="shared" si="28"/>
        <v>44091</v>
      </c>
      <c r="E740" s="275">
        <f t="shared" si="29"/>
        <v>44091</v>
      </c>
      <c r="F740" s="479" t="s">
        <v>964</v>
      </c>
      <c r="G740" s="174" t="s">
        <v>74</v>
      </c>
      <c r="H740" s="174" t="str" cm="1">
        <f t="array" ref="H740">IFERROR(INDEX(INVESTOR_LIST[INVESTOR NAME],MATCH(I740,INVESTOR_LIST[INVESTOR CODE],0),)," ")</f>
        <v>SHIBBIR AHMED</v>
      </c>
      <c r="I740" s="148" t="s">
        <v>377</v>
      </c>
      <c r="J740" s="149" t="s">
        <v>52</v>
      </c>
      <c r="K740" s="218">
        <v>100000</v>
      </c>
      <c r="L740" s="218"/>
      <c r="M740" s="147">
        <v>0</v>
      </c>
      <c r="Q740" s="133" t="s">
        <v>377</v>
      </c>
    </row>
    <row r="741" spans="1:17" ht="22.5" x14ac:dyDescent="0.2">
      <c r="A741" s="133">
        <v>2020</v>
      </c>
      <c r="B741" s="133">
        <v>9</v>
      </c>
      <c r="C741" s="133">
        <v>17</v>
      </c>
      <c r="D741" s="141">
        <f t="shared" si="28"/>
        <v>44091</v>
      </c>
      <c r="E741" s="275">
        <f t="shared" si="29"/>
        <v>44091</v>
      </c>
      <c r="F741" s="481"/>
      <c r="G741" s="174" t="s">
        <v>74</v>
      </c>
      <c r="H741" s="174" t="str" cm="1">
        <f t="array" ref="H741">IFERROR(INDEX(INVESTOR_LIST[INVESTOR NAME],MATCH(I741,INVESTOR_LIST[INVESTOR CODE],0),)," ")</f>
        <v>SHIBBIR AHMED</v>
      </c>
      <c r="I741" s="148" t="s">
        <v>377</v>
      </c>
      <c r="J741" s="149" t="s">
        <v>13</v>
      </c>
      <c r="K741" s="218"/>
      <c r="L741" s="218">
        <v>87410</v>
      </c>
      <c r="M741" s="147">
        <v>0</v>
      </c>
      <c r="Q741" s="133" t="s">
        <v>377</v>
      </c>
    </row>
    <row r="742" spans="1:17" ht="22.5" x14ac:dyDescent="0.2">
      <c r="A742" s="163">
        <v>2020</v>
      </c>
      <c r="B742" s="163">
        <v>9</v>
      </c>
      <c r="C742" s="163">
        <v>17</v>
      </c>
      <c r="D742" s="141">
        <f t="shared" si="28"/>
        <v>44091</v>
      </c>
      <c r="E742" s="275">
        <f t="shared" si="29"/>
        <v>44091</v>
      </c>
      <c r="F742" s="480"/>
      <c r="G742" s="221" t="s">
        <v>74</v>
      </c>
      <c r="H742" s="221" t="str" cm="1">
        <f t="array" ref="H742">IFERROR(INDEX(INVESTOR_LIST[INVESTOR NAME],MATCH(I742,INVESTOR_LIST[INVESTOR CODE],0),)," ")</f>
        <v>SHIBBIR AHMED</v>
      </c>
      <c r="I742" s="145" t="s">
        <v>377</v>
      </c>
      <c r="J742" s="146" t="s">
        <v>53</v>
      </c>
      <c r="K742" s="219"/>
      <c r="L742" s="219">
        <f>K740-L741</f>
        <v>12590</v>
      </c>
      <c r="M742" s="147">
        <v>0</v>
      </c>
      <c r="Q742" s="133" t="s">
        <v>377</v>
      </c>
    </row>
    <row r="743" spans="1:17" x14ac:dyDescent="0.2">
      <c r="A743" s="133">
        <v>2020</v>
      </c>
      <c r="B743" s="133">
        <v>9</v>
      </c>
      <c r="C743" s="133">
        <v>17</v>
      </c>
      <c r="D743" s="141">
        <f t="shared" si="28"/>
        <v>44091</v>
      </c>
      <c r="E743" s="275">
        <f t="shared" si="29"/>
        <v>44091</v>
      </c>
      <c r="F743" s="479" t="s">
        <v>77</v>
      </c>
      <c r="G743" s="174" t="s">
        <v>74</v>
      </c>
      <c r="H743" s="174" t="str" cm="1">
        <f t="array" ref="H743">IFERROR(INDEX(INVESTOR_LIST[INVESTOR NAME],MATCH(I743,INVESTOR_LIST[INVESTOR CODE],0),)," ")</f>
        <v xml:space="preserve"> </v>
      </c>
      <c r="I743" s="148" t="s">
        <v>348</v>
      </c>
      <c r="J743" s="149" t="s">
        <v>61</v>
      </c>
      <c r="K743" s="218">
        <v>35</v>
      </c>
      <c r="L743" s="218"/>
      <c r="M743" s="147">
        <v>0</v>
      </c>
      <c r="Q743" s="133" t="s">
        <v>348</v>
      </c>
    </row>
    <row r="744" spans="1:17" x14ac:dyDescent="0.2">
      <c r="A744" s="133">
        <v>2020</v>
      </c>
      <c r="B744" s="133">
        <v>9</v>
      </c>
      <c r="C744" s="133">
        <v>17</v>
      </c>
      <c r="D744" s="141">
        <f t="shared" si="28"/>
        <v>44091</v>
      </c>
      <c r="E744" s="275">
        <f t="shared" si="29"/>
        <v>44091</v>
      </c>
      <c r="F744" s="480"/>
      <c r="G744" s="174" t="s">
        <v>74</v>
      </c>
      <c r="H744" s="221" t="str" cm="1">
        <f t="array" ref="H744">IFERROR(INDEX(INVESTOR_LIST[INVESTOR NAME],MATCH(I744,INVESTOR_LIST[INVESTOR CODE],0),)," ")</f>
        <v xml:space="preserve"> </v>
      </c>
      <c r="I744" s="145" t="s">
        <v>348</v>
      </c>
      <c r="J744" s="146" t="s">
        <v>52</v>
      </c>
      <c r="K744" s="219"/>
      <c r="L744" s="219">
        <v>35</v>
      </c>
      <c r="M744" s="147">
        <v>0</v>
      </c>
      <c r="Q744" s="133" t="s">
        <v>348</v>
      </c>
    </row>
    <row r="745" spans="1:17" x14ac:dyDescent="0.2">
      <c r="A745" s="238">
        <v>2020</v>
      </c>
      <c r="B745" s="238">
        <v>9</v>
      </c>
      <c r="C745" s="238">
        <v>17</v>
      </c>
      <c r="D745" s="141">
        <f t="shared" si="28"/>
        <v>44091</v>
      </c>
      <c r="E745" s="275">
        <f t="shared" si="29"/>
        <v>44091</v>
      </c>
      <c r="F745" s="477" t="s">
        <v>105</v>
      </c>
      <c r="G745" s="239" t="s">
        <v>94</v>
      </c>
      <c r="H745" s="247" t="str" cm="1">
        <f t="array" ref="H745">IFERROR(INDEX(INVESTOR_LIST[INVESTOR NAME],MATCH(I745,INVESTOR_LIST[INVESTOR CODE],0),)," ")</f>
        <v xml:space="preserve"> </v>
      </c>
      <c r="I745" s="248" t="s">
        <v>348</v>
      </c>
      <c r="J745" s="249" t="s">
        <v>108</v>
      </c>
      <c r="K745" s="252">
        <v>1211600</v>
      </c>
      <c r="L745" s="252"/>
      <c r="M745" s="147">
        <v>0</v>
      </c>
      <c r="Q745" s="133" t="s">
        <v>348</v>
      </c>
    </row>
    <row r="746" spans="1:17" x14ac:dyDescent="0.2">
      <c r="A746" s="242">
        <v>2020</v>
      </c>
      <c r="B746" s="242">
        <v>9</v>
      </c>
      <c r="C746" s="242">
        <v>17</v>
      </c>
      <c r="D746" s="141">
        <f t="shared" si="28"/>
        <v>44091</v>
      </c>
      <c r="E746" s="275">
        <f t="shared" si="29"/>
        <v>44091</v>
      </c>
      <c r="F746" s="478"/>
      <c r="G746" s="243" t="s">
        <v>94</v>
      </c>
      <c r="H746" s="243" t="str" cm="1">
        <f t="array" ref="H746">IFERROR(INDEX(INVESTOR_LIST[INVESTOR NAME],MATCH(I746,INVESTOR_LIST[INVESTOR CODE],0),)," ")</f>
        <v xml:space="preserve"> </v>
      </c>
      <c r="I746" s="263" t="s">
        <v>348</v>
      </c>
      <c r="J746" s="244" t="s">
        <v>82</v>
      </c>
      <c r="K746" s="245"/>
      <c r="L746" s="245">
        <v>1211600</v>
      </c>
      <c r="M746" s="147">
        <v>0</v>
      </c>
      <c r="Q746" s="133" t="s">
        <v>348</v>
      </c>
    </row>
    <row r="747" spans="1:17" ht="22.5" x14ac:dyDescent="0.2">
      <c r="A747" s="246">
        <v>2020</v>
      </c>
      <c r="B747" s="246">
        <v>9</v>
      </c>
      <c r="C747" s="246">
        <v>17</v>
      </c>
      <c r="D747" s="141">
        <f t="shared" si="28"/>
        <v>44091</v>
      </c>
      <c r="E747" s="275">
        <f t="shared" si="29"/>
        <v>44091</v>
      </c>
      <c r="F747" s="477" t="s">
        <v>136</v>
      </c>
      <c r="G747" s="239" t="s">
        <v>94</v>
      </c>
      <c r="H747" s="247" t="str" cm="1">
        <f t="array" ref="H747">IFERROR(INDEX(INVESTOR_LIST[INVESTOR NAME],MATCH(I747,INVESTOR_LIST[INVESTOR CODE],0),)," ")</f>
        <v xml:space="preserve"> </v>
      </c>
      <c r="I747" s="248" t="s">
        <v>348</v>
      </c>
      <c r="J747" s="240" t="s">
        <v>95</v>
      </c>
      <c r="K747" s="252">
        <v>2747.25</v>
      </c>
      <c r="L747" s="252"/>
      <c r="M747" s="147">
        <v>0</v>
      </c>
      <c r="Q747" s="133" t="s">
        <v>348</v>
      </c>
    </row>
    <row r="748" spans="1:17" x14ac:dyDescent="0.2">
      <c r="A748" s="242">
        <v>2020</v>
      </c>
      <c r="B748" s="242">
        <v>9</v>
      </c>
      <c r="C748" s="242">
        <v>17</v>
      </c>
      <c r="D748" s="141">
        <f t="shared" si="28"/>
        <v>44091</v>
      </c>
      <c r="E748" s="275">
        <f t="shared" si="29"/>
        <v>44091</v>
      </c>
      <c r="F748" s="478"/>
      <c r="G748" s="243" t="s">
        <v>94</v>
      </c>
      <c r="H748" s="243" t="str" cm="1">
        <f t="array" ref="H748">IFERROR(INDEX(INVESTOR_LIST[INVESTOR NAME],MATCH(I748,INVESTOR_LIST[INVESTOR CODE],0),)," ")</f>
        <v xml:space="preserve"> </v>
      </c>
      <c r="I748" s="263" t="s">
        <v>348</v>
      </c>
      <c r="J748" s="244" t="s">
        <v>63</v>
      </c>
      <c r="K748" s="245"/>
      <c r="L748" s="245">
        <v>2747.25</v>
      </c>
      <c r="M748" s="147">
        <v>0</v>
      </c>
      <c r="Q748" s="133" t="s">
        <v>348</v>
      </c>
    </row>
    <row r="749" spans="1:17" x14ac:dyDescent="0.2">
      <c r="A749" s="246">
        <v>2020</v>
      </c>
      <c r="B749" s="246">
        <v>9</v>
      </c>
      <c r="C749" s="246">
        <v>17</v>
      </c>
      <c r="D749" s="141">
        <f t="shared" si="28"/>
        <v>44091</v>
      </c>
      <c r="E749" s="275">
        <f t="shared" si="29"/>
        <v>44091</v>
      </c>
      <c r="F749" s="477" t="s">
        <v>137</v>
      </c>
      <c r="G749" s="239" t="s">
        <v>94</v>
      </c>
      <c r="H749" s="247" t="str" cm="1">
        <f t="array" ref="H749">IFERROR(INDEX(INVESTOR_LIST[INVESTOR NAME],MATCH(I749,INVESTOR_LIST[INVESTOR CODE],0),)," ")</f>
        <v xml:space="preserve"> </v>
      </c>
      <c r="I749" s="248" t="s">
        <v>348</v>
      </c>
      <c r="J749" s="240" t="s">
        <v>97</v>
      </c>
      <c r="K749" s="252">
        <v>39392</v>
      </c>
      <c r="L749" s="252"/>
      <c r="M749" s="147">
        <v>0</v>
      </c>
      <c r="Q749" s="133" t="s">
        <v>348</v>
      </c>
    </row>
    <row r="750" spans="1:17" x14ac:dyDescent="0.2">
      <c r="A750" s="242">
        <v>2020</v>
      </c>
      <c r="B750" s="242">
        <v>9</v>
      </c>
      <c r="C750" s="242">
        <v>17</v>
      </c>
      <c r="D750" s="141">
        <f t="shared" si="28"/>
        <v>44091</v>
      </c>
      <c r="E750" s="275">
        <f t="shared" si="29"/>
        <v>44091</v>
      </c>
      <c r="F750" s="478"/>
      <c r="G750" s="243" t="s">
        <v>94</v>
      </c>
      <c r="H750" s="243" t="str" cm="1">
        <f t="array" ref="H750">IFERROR(INDEX(INVESTOR_LIST[INVESTOR NAME],MATCH(I750,INVESTOR_LIST[INVESTOR CODE],0),)," ")</f>
        <v xml:space="preserve"> </v>
      </c>
      <c r="I750" s="263" t="s">
        <v>348</v>
      </c>
      <c r="J750" s="244" t="s">
        <v>47</v>
      </c>
      <c r="K750" s="245"/>
      <c r="L750" s="245">
        <v>39392</v>
      </c>
      <c r="M750" s="147">
        <v>0</v>
      </c>
      <c r="Q750" s="133" t="s">
        <v>348</v>
      </c>
    </row>
    <row r="751" spans="1:17" x14ac:dyDescent="0.2">
      <c r="A751" s="246">
        <v>2020</v>
      </c>
      <c r="B751" s="246">
        <v>9</v>
      </c>
      <c r="C751" s="246">
        <v>17</v>
      </c>
      <c r="D751" s="141">
        <f t="shared" si="28"/>
        <v>44091</v>
      </c>
      <c r="E751" s="275">
        <f t="shared" si="29"/>
        <v>44091</v>
      </c>
      <c r="F751" s="477" t="s">
        <v>138</v>
      </c>
      <c r="G751" s="239" t="s">
        <v>94</v>
      </c>
      <c r="H751" s="247" t="str" cm="1">
        <f t="array" ref="H751">IFERROR(INDEX(INVESTOR_LIST[INVESTOR NAME],MATCH(I751,INVESTOR_LIST[INVESTOR CODE],0),)," ")</f>
        <v xml:space="preserve"> </v>
      </c>
      <c r="I751" s="248" t="s">
        <v>348</v>
      </c>
      <c r="J751" s="240" t="s">
        <v>100</v>
      </c>
      <c r="K751" s="252">
        <v>1728.48</v>
      </c>
      <c r="L751" s="252"/>
      <c r="M751" s="147">
        <v>0</v>
      </c>
      <c r="Q751" s="133" t="s">
        <v>348</v>
      </c>
    </row>
    <row r="752" spans="1:17" x14ac:dyDescent="0.2">
      <c r="A752" s="242">
        <v>2020</v>
      </c>
      <c r="B752" s="242">
        <v>9</v>
      </c>
      <c r="C752" s="242">
        <v>17</v>
      </c>
      <c r="D752" s="141">
        <f t="shared" si="28"/>
        <v>44091</v>
      </c>
      <c r="E752" s="275">
        <f t="shared" si="29"/>
        <v>44091</v>
      </c>
      <c r="F752" s="478"/>
      <c r="G752" s="243" t="s">
        <v>94</v>
      </c>
      <c r="H752" s="243" t="str" cm="1">
        <f t="array" ref="H752">IFERROR(INDEX(INVESTOR_LIST[INVESTOR NAME],MATCH(I752,INVESTOR_LIST[INVESTOR CODE],0),)," ")</f>
        <v xml:space="preserve"> </v>
      </c>
      <c r="I752" s="263" t="s">
        <v>348</v>
      </c>
      <c r="J752" s="244" t="s">
        <v>48</v>
      </c>
      <c r="K752" s="245"/>
      <c r="L752" s="245">
        <v>1728.48</v>
      </c>
      <c r="M752" s="147" t="e">
        <v>#REF!</v>
      </c>
      <c r="Q752" s="133" t="s">
        <v>348</v>
      </c>
    </row>
    <row r="753" spans="1:17" x14ac:dyDescent="0.2">
      <c r="A753" s="246">
        <v>2020</v>
      </c>
      <c r="B753" s="246">
        <v>9</v>
      </c>
      <c r="C753" s="246">
        <v>17</v>
      </c>
      <c r="D753" s="141">
        <f t="shared" si="28"/>
        <v>44091</v>
      </c>
      <c r="E753" s="275">
        <f t="shared" si="29"/>
        <v>44091</v>
      </c>
      <c r="F753" s="477" t="s">
        <v>140</v>
      </c>
      <c r="G753" s="239" t="s">
        <v>94</v>
      </c>
      <c r="H753" s="247" t="str" cm="1">
        <f t="array" ref="H753">IFERROR(INDEX(INVESTOR_LIST[INVESTOR NAME],MATCH(I753,INVESTOR_LIST[INVESTOR CODE],0),)," ")</f>
        <v xml:space="preserve"> </v>
      </c>
      <c r="I753" s="248" t="s">
        <v>348</v>
      </c>
      <c r="J753" s="240" t="s">
        <v>103</v>
      </c>
      <c r="K753" s="252">
        <v>729.17</v>
      </c>
      <c r="L753" s="252"/>
      <c r="M753" s="147" t="e">
        <v>#REF!</v>
      </c>
      <c r="Q753" s="133" t="s">
        <v>348</v>
      </c>
    </row>
    <row r="754" spans="1:17" x14ac:dyDescent="0.2">
      <c r="A754" s="242">
        <v>2020</v>
      </c>
      <c r="B754" s="242">
        <v>9</v>
      </c>
      <c r="C754" s="242">
        <v>17</v>
      </c>
      <c r="D754" s="141">
        <f t="shared" si="28"/>
        <v>44091</v>
      </c>
      <c r="E754" s="275">
        <f t="shared" si="29"/>
        <v>44091</v>
      </c>
      <c r="F754" s="478"/>
      <c r="G754" s="243" t="s">
        <v>94</v>
      </c>
      <c r="H754" s="243" t="str" cm="1">
        <f t="array" ref="H754">IFERROR(INDEX(INVESTOR_LIST[INVESTOR NAME],MATCH(I754,INVESTOR_LIST[INVESTOR CODE],0),)," ")</f>
        <v xml:space="preserve"> </v>
      </c>
      <c r="I754" s="263" t="s">
        <v>348</v>
      </c>
      <c r="J754" s="244" t="s">
        <v>50</v>
      </c>
      <c r="K754" s="245"/>
      <c r="L754" s="245">
        <v>729.17</v>
      </c>
      <c r="M754" s="147" t="e">
        <v>#REF!</v>
      </c>
      <c r="Q754" s="133" t="s">
        <v>348</v>
      </c>
    </row>
    <row r="755" spans="1:17" ht="45" x14ac:dyDescent="0.2">
      <c r="A755" s="133">
        <v>2020</v>
      </c>
      <c r="B755" s="133">
        <v>9</v>
      </c>
      <c r="C755" s="133">
        <v>20</v>
      </c>
      <c r="D755" s="141">
        <f t="shared" si="28"/>
        <v>44094</v>
      </c>
      <c r="E755" s="275">
        <f t="shared" si="29"/>
        <v>44094</v>
      </c>
      <c r="F755" s="479" t="s">
        <v>964</v>
      </c>
      <c r="G755" s="174" t="s">
        <v>74</v>
      </c>
      <c r="H755" s="174" t="str" cm="1">
        <f t="array" ref="H755">IFERROR(INDEX(INVESTOR_LIST[INVESTOR NAME],MATCH(I755,INVESTOR_LIST[INVESTOR CODE],0),)," ")</f>
        <v>MD. SAJEDUL HUDA NOVEL</v>
      </c>
      <c r="I755" s="148" t="s">
        <v>416</v>
      </c>
      <c r="J755" s="149" t="s">
        <v>52</v>
      </c>
      <c r="K755" s="218">
        <v>149000</v>
      </c>
      <c r="L755" s="218"/>
      <c r="M755" s="147">
        <v>0</v>
      </c>
      <c r="Q755" s="133" t="s">
        <v>416</v>
      </c>
    </row>
    <row r="756" spans="1:17" ht="45" x14ac:dyDescent="0.2">
      <c r="A756" s="133">
        <v>2020</v>
      </c>
      <c r="B756" s="133">
        <v>9</v>
      </c>
      <c r="C756" s="133">
        <v>20</v>
      </c>
      <c r="D756" s="141">
        <f t="shared" si="28"/>
        <v>44094</v>
      </c>
      <c r="E756" s="275">
        <f t="shared" si="29"/>
        <v>44094</v>
      </c>
      <c r="F756" s="481"/>
      <c r="G756" s="174" t="s">
        <v>74</v>
      </c>
      <c r="H756" s="174" t="str" cm="1">
        <f t="array" ref="H756">IFERROR(INDEX(INVESTOR_LIST[INVESTOR NAME],MATCH(I756,INVESTOR_LIST[INVESTOR CODE],0),)," ")</f>
        <v>MD. SAJEDUL HUDA NOVEL</v>
      </c>
      <c r="I756" s="148" t="s">
        <v>416</v>
      </c>
      <c r="J756" s="149" t="s">
        <v>13</v>
      </c>
      <c r="K756" s="218"/>
      <c r="L756" s="218">
        <v>128560</v>
      </c>
      <c r="M756" s="147">
        <v>0</v>
      </c>
      <c r="Q756" s="133" t="s">
        <v>416</v>
      </c>
    </row>
    <row r="757" spans="1:17" ht="45" x14ac:dyDescent="0.2">
      <c r="A757" s="163">
        <v>2020</v>
      </c>
      <c r="B757" s="163">
        <v>9</v>
      </c>
      <c r="C757" s="163">
        <v>20</v>
      </c>
      <c r="D757" s="141">
        <f t="shared" si="28"/>
        <v>44094</v>
      </c>
      <c r="E757" s="275">
        <f t="shared" si="29"/>
        <v>44094</v>
      </c>
      <c r="F757" s="480"/>
      <c r="G757" s="221" t="s">
        <v>74</v>
      </c>
      <c r="H757" s="221" t="str" cm="1">
        <f t="array" ref="H757">IFERROR(INDEX(INVESTOR_LIST[INVESTOR NAME],MATCH(I757,INVESTOR_LIST[INVESTOR CODE],0),)," ")</f>
        <v>MD. SAJEDUL HUDA NOVEL</v>
      </c>
      <c r="I757" s="145" t="s">
        <v>416</v>
      </c>
      <c r="J757" s="146" t="s">
        <v>53</v>
      </c>
      <c r="K757" s="219"/>
      <c r="L757" s="219">
        <f>K755-L756</f>
        <v>20440</v>
      </c>
      <c r="M757" s="147">
        <v>0</v>
      </c>
      <c r="Q757" s="133" t="s">
        <v>416</v>
      </c>
    </row>
    <row r="758" spans="1:17" ht="22.5" x14ac:dyDescent="0.2">
      <c r="A758" s="133">
        <v>2020</v>
      </c>
      <c r="B758" s="133">
        <v>9</v>
      </c>
      <c r="C758" s="133">
        <v>21</v>
      </c>
      <c r="D758" s="141">
        <f t="shared" si="28"/>
        <v>44095</v>
      </c>
      <c r="E758" s="275">
        <f t="shared" si="29"/>
        <v>44095</v>
      </c>
      <c r="F758" s="479" t="s">
        <v>964</v>
      </c>
      <c r="G758" s="174" t="s">
        <v>74</v>
      </c>
      <c r="H758" s="174" t="str" cm="1">
        <f t="array" ref="H758">IFERROR(INDEX(INVESTOR_LIST[INVESTOR NAME],MATCH(I758,INVESTOR_LIST[INVESTOR CODE],0),)," ")</f>
        <v>TANIZA MAZED</v>
      </c>
      <c r="I758" s="148" t="s">
        <v>387</v>
      </c>
      <c r="J758" s="149" t="s">
        <v>52</v>
      </c>
      <c r="K758" s="218">
        <v>100000</v>
      </c>
      <c r="L758" s="218"/>
      <c r="M758" s="147">
        <v>0</v>
      </c>
      <c r="Q758" s="133" t="s">
        <v>387</v>
      </c>
    </row>
    <row r="759" spans="1:17" ht="22.5" x14ac:dyDescent="0.2">
      <c r="A759" s="133">
        <v>2020</v>
      </c>
      <c r="B759" s="133">
        <v>9</v>
      </c>
      <c r="C759" s="133">
        <v>21</v>
      </c>
      <c r="D759" s="141">
        <f t="shared" si="28"/>
        <v>44095</v>
      </c>
      <c r="E759" s="275">
        <f t="shared" si="29"/>
        <v>44095</v>
      </c>
      <c r="F759" s="481"/>
      <c r="G759" s="174" t="s">
        <v>74</v>
      </c>
      <c r="H759" s="174" t="str" cm="1">
        <f t="array" ref="H759">IFERROR(INDEX(INVESTOR_LIST[INVESTOR NAME],MATCH(I759,INVESTOR_LIST[INVESTOR CODE],0),)," ")</f>
        <v>TANIZA MAZED</v>
      </c>
      <c r="I759" s="148" t="s">
        <v>387</v>
      </c>
      <c r="J759" s="149" t="s">
        <v>13</v>
      </c>
      <c r="K759" s="218"/>
      <c r="L759" s="218">
        <v>86280</v>
      </c>
      <c r="M759" s="147">
        <v>0</v>
      </c>
      <c r="Q759" s="133" t="s">
        <v>387</v>
      </c>
    </row>
    <row r="760" spans="1:17" ht="22.5" x14ac:dyDescent="0.2">
      <c r="A760" s="163">
        <v>2020</v>
      </c>
      <c r="B760" s="163">
        <v>9</v>
      </c>
      <c r="C760" s="163">
        <v>21</v>
      </c>
      <c r="D760" s="141">
        <f t="shared" si="28"/>
        <v>44095</v>
      </c>
      <c r="E760" s="275">
        <f t="shared" si="29"/>
        <v>44095</v>
      </c>
      <c r="F760" s="480"/>
      <c r="G760" s="221" t="s">
        <v>74</v>
      </c>
      <c r="H760" s="221" t="str" cm="1">
        <f t="array" ref="H760">IFERROR(INDEX(INVESTOR_LIST[INVESTOR NAME],MATCH(I760,INVESTOR_LIST[INVESTOR CODE],0),)," ")</f>
        <v>TANIZA MAZED</v>
      </c>
      <c r="I760" s="145" t="s">
        <v>387</v>
      </c>
      <c r="J760" s="146" t="s">
        <v>53</v>
      </c>
      <c r="K760" s="219"/>
      <c r="L760" s="219">
        <f>K758-L759</f>
        <v>13720</v>
      </c>
      <c r="M760" s="147">
        <v>0</v>
      </c>
      <c r="Q760" s="133" t="s">
        <v>387</v>
      </c>
    </row>
    <row r="761" spans="1:17" ht="45" x14ac:dyDescent="0.2">
      <c r="A761" s="133">
        <v>2020</v>
      </c>
      <c r="B761" s="133">
        <v>9</v>
      </c>
      <c r="C761" s="133">
        <v>21</v>
      </c>
      <c r="D761" s="141">
        <f t="shared" si="28"/>
        <v>44095</v>
      </c>
      <c r="E761" s="275">
        <f t="shared" si="29"/>
        <v>44095</v>
      </c>
      <c r="F761" s="479" t="s">
        <v>964</v>
      </c>
      <c r="G761" s="174" t="s">
        <v>74</v>
      </c>
      <c r="H761" s="174" t="str" cm="1">
        <f t="array" ref="H761">IFERROR(INDEX(INVESTOR_LIST[INVESTOR NAME],MATCH(I761,INVESTOR_LIST[INVESTOR CODE],0),)," ")</f>
        <v>MD. SAJEDUL HUDA NOVEL</v>
      </c>
      <c r="I761" s="148" t="s">
        <v>416</v>
      </c>
      <c r="J761" s="149" t="s">
        <v>52</v>
      </c>
      <c r="K761" s="218">
        <v>23180</v>
      </c>
      <c r="L761" s="218"/>
      <c r="M761" s="147">
        <v>1</v>
      </c>
      <c r="Q761" s="133" t="s">
        <v>416</v>
      </c>
    </row>
    <row r="762" spans="1:17" ht="45" x14ac:dyDescent="0.2">
      <c r="A762" s="133">
        <v>2020</v>
      </c>
      <c r="B762" s="133">
        <v>9</v>
      </c>
      <c r="C762" s="133">
        <v>21</v>
      </c>
      <c r="D762" s="141">
        <f t="shared" si="28"/>
        <v>44095</v>
      </c>
      <c r="E762" s="275">
        <f t="shared" si="29"/>
        <v>44095</v>
      </c>
      <c r="F762" s="481"/>
      <c r="G762" s="174" t="s">
        <v>74</v>
      </c>
      <c r="H762" s="174" t="str" cm="1">
        <f t="array" ref="H762">IFERROR(INDEX(INVESTOR_LIST[INVESTOR NAME],MATCH(I762,INVESTOR_LIST[INVESTOR CODE],0),)," ")</f>
        <v>MD. SAJEDUL HUDA NOVEL</v>
      </c>
      <c r="I762" s="148" t="s">
        <v>416</v>
      </c>
      <c r="J762" s="149" t="s">
        <v>13</v>
      </c>
      <c r="K762" s="218"/>
      <c r="L762" s="218">
        <v>20000</v>
      </c>
      <c r="M762" s="147">
        <v>0</v>
      </c>
      <c r="Q762" s="133" t="s">
        <v>416</v>
      </c>
    </row>
    <row r="763" spans="1:17" ht="45" x14ac:dyDescent="0.2">
      <c r="A763" s="163">
        <v>2020</v>
      </c>
      <c r="B763" s="163">
        <v>9</v>
      </c>
      <c r="C763" s="163">
        <v>21</v>
      </c>
      <c r="D763" s="141">
        <f t="shared" si="28"/>
        <v>44095</v>
      </c>
      <c r="E763" s="275">
        <f t="shared" si="29"/>
        <v>44095</v>
      </c>
      <c r="F763" s="480"/>
      <c r="G763" s="221" t="s">
        <v>74</v>
      </c>
      <c r="H763" s="221" t="str" cm="1">
        <f t="array" ref="H763">IFERROR(INDEX(INVESTOR_LIST[INVESTOR NAME],MATCH(I763,INVESTOR_LIST[INVESTOR CODE],0),)," ")</f>
        <v>MD. SAJEDUL HUDA NOVEL</v>
      </c>
      <c r="I763" s="145" t="s">
        <v>416</v>
      </c>
      <c r="J763" s="146" t="s">
        <v>53</v>
      </c>
      <c r="K763" s="219"/>
      <c r="L763" s="219">
        <f>K761-L762</f>
        <v>3180</v>
      </c>
      <c r="M763" s="147">
        <v>0</v>
      </c>
      <c r="Q763" s="133" t="s">
        <v>416</v>
      </c>
    </row>
    <row r="764" spans="1:17" ht="56.25" x14ac:dyDescent="0.2">
      <c r="A764" s="133">
        <v>2020</v>
      </c>
      <c r="B764" s="133">
        <v>9</v>
      </c>
      <c r="C764" s="133">
        <v>22</v>
      </c>
      <c r="D764" s="141">
        <f t="shared" si="28"/>
        <v>44096</v>
      </c>
      <c r="E764" s="275">
        <f t="shared" si="29"/>
        <v>44096</v>
      </c>
      <c r="F764" s="479" t="s">
        <v>964</v>
      </c>
      <c r="G764" s="174" t="s">
        <v>74</v>
      </c>
      <c r="H764" s="174" t="str" cm="1">
        <f t="array" ref="H764">IFERROR(INDEX(INVESTOR_LIST[INVESTOR NAME],MATCH(I764,INVESTOR_LIST[INVESTOR CODE],0),)," ")</f>
        <v>EKUSH WEALTH MANAGEMENT LIMITED</v>
      </c>
      <c r="I764" s="148" t="s">
        <v>371</v>
      </c>
      <c r="J764" s="149" t="s">
        <v>52</v>
      </c>
      <c r="K764" s="218">
        <v>200000</v>
      </c>
      <c r="L764" s="218"/>
      <c r="M764" s="147">
        <v>0</v>
      </c>
      <c r="Q764" s="133" t="s">
        <v>371</v>
      </c>
    </row>
    <row r="765" spans="1:17" ht="56.25" x14ac:dyDescent="0.2">
      <c r="A765" s="133">
        <v>2020</v>
      </c>
      <c r="B765" s="133">
        <v>9</v>
      </c>
      <c r="C765" s="133">
        <v>22</v>
      </c>
      <c r="D765" s="141">
        <f t="shared" si="28"/>
        <v>44096</v>
      </c>
      <c r="E765" s="275">
        <f t="shared" si="29"/>
        <v>44096</v>
      </c>
      <c r="F765" s="481"/>
      <c r="G765" s="174" t="s">
        <v>74</v>
      </c>
      <c r="H765" s="174" t="str" cm="1">
        <f t="array" ref="H765">IFERROR(INDEX(INVESTOR_LIST[INVESTOR NAME],MATCH(I765,INVESTOR_LIST[INVESTOR CODE],0),)," ")</f>
        <v>EKUSH WEALTH MANAGEMENT LIMITED</v>
      </c>
      <c r="I765" s="148" t="s">
        <v>371</v>
      </c>
      <c r="J765" s="149" t="s">
        <v>13</v>
      </c>
      <c r="K765" s="218"/>
      <c r="L765" s="218">
        <v>172560</v>
      </c>
      <c r="M765" s="147">
        <v>0</v>
      </c>
      <c r="Q765" s="133" t="s">
        <v>371</v>
      </c>
    </row>
    <row r="766" spans="1:17" ht="56.25" x14ac:dyDescent="0.2">
      <c r="A766" s="163">
        <v>2020</v>
      </c>
      <c r="B766" s="163">
        <v>9</v>
      </c>
      <c r="C766" s="163">
        <v>22</v>
      </c>
      <c r="D766" s="141">
        <f t="shared" si="28"/>
        <v>44096</v>
      </c>
      <c r="E766" s="275">
        <f t="shared" si="29"/>
        <v>44096</v>
      </c>
      <c r="F766" s="480"/>
      <c r="G766" s="221" t="s">
        <v>74</v>
      </c>
      <c r="H766" s="221" t="str" cm="1">
        <f t="array" ref="H766">IFERROR(INDEX(INVESTOR_LIST[INVESTOR NAME],MATCH(I766,INVESTOR_LIST[INVESTOR CODE],0),)," ")</f>
        <v>EKUSH WEALTH MANAGEMENT LIMITED</v>
      </c>
      <c r="I766" s="145" t="s">
        <v>371</v>
      </c>
      <c r="J766" s="146" t="s">
        <v>53</v>
      </c>
      <c r="K766" s="219"/>
      <c r="L766" s="219">
        <f>K764-L765</f>
        <v>27440</v>
      </c>
      <c r="M766" s="147">
        <v>0</v>
      </c>
      <c r="Q766" s="133" t="s">
        <v>371</v>
      </c>
    </row>
    <row r="767" spans="1:17" ht="56.25" x14ac:dyDescent="0.2">
      <c r="A767" s="133">
        <v>2020</v>
      </c>
      <c r="B767" s="133">
        <v>9</v>
      </c>
      <c r="C767" s="133">
        <v>22</v>
      </c>
      <c r="D767" s="141">
        <f t="shared" si="28"/>
        <v>44096</v>
      </c>
      <c r="E767" s="275">
        <f t="shared" si="29"/>
        <v>44096</v>
      </c>
      <c r="F767" s="479" t="s">
        <v>964</v>
      </c>
      <c r="G767" s="174" t="s">
        <v>74</v>
      </c>
      <c r="H767" s="174" t="str" cm="1">
        <f t="array" ref="H767">IFERROR(INDEX(INVESTOR_LIST[INVESTOR NAME],MATCH(I767,INVESTOR_LIST[INVESTOR CODE],0),)," ")</f>
        <v>EKUSH WEALTH MANAGEMENT LIMITED</v>
      </c>
      <c r="I767" s="148" t="s">
        <v>371</v>
      </c>
      <c r="J767" s="149" t="s">
        <v>52</v>
      </c>
      <c r="K767" s="218">
        <v>5000</v>
      </c>
      <c r="L767" s="218"/>
      <c r="M767" s="147">
        <v>0</v>
      </c>
      <c r="Q767" s="133" t="s">
        <v>371</v>
      </c>
    </row>
    <row r="768" spans="1:17" ht="56.25" x14ac:dyDescent="0.2">
      <c r="A768" s="133">
        <v>2020</v>
      </c>
      <c r="B768" s="133">
        <v>9</v>
      </c>
      <c r="C768" s="133">
        <v>22</v>
      </c>
      <c r="D768" s="141">
        <f t="shared" si="28"/>
        <v>44096</v>
      </c>
      <c r="E768" s="275">
        <f t="shared" si="29"/>
        <v>44096</v>
      </c>
      <c r="F768" s="481"/>
      <c r="G768" s="174" t="s">
        <v>74</v>
      </c>
      <c r="H768" s="174" t="str" cm="1">
        <f t="array" ref="H768">IFERROR(INDEX(INVESTOR_LIST[INVESTOR NAME],MATCH(I768,INVESTOR_LIST[INVESTOR CODE],0),)," ")</f>
        <v>EKUSH WEALTH MANAGEMENT LIMITED</v>
      </c>
      <c r="I768" s="148" t="s">
        <v>371</v>
      </c>
      <c r="J768" s="149" t="s">
        <v>13</v>
      </c>
      <c r="K768" s="218"/>
      <c r="L768" s="218">
        <v>4310</v>
      </c>
      <c r="M768" s="147">
        <v>0</v>
      </c>
      <c r="Q768" s="133" t="s">
        <v>371</v>
      </c>
    </row>
    <row r="769" spans="1:22" ht="56.25" x14ac:dyDescent="0.2">
      <c r="A769" s="163">
        <v>2020</v>
      </c>
      <c r="B769" s="163">
        <v>9</v>
      </c>
      <c r="C769" s="163">
        <v>22</v>
      </c>
      <c r="D769" s="141">
        <f t="shared" si="28"/>
        <v>44096</v>
      </c>
      <c r="E769" s="275">
        <f t="shared" si="29"/>
        <v>44096</v>
      </c>
      <c r="F769" s="480"/>
      <c r="G769" s="221" t="s">
        <v>74</v>
      </c>
      <c r="H769" s="221" t="str" cm="1">
        <f t="array" ref="H769">IFERROR(INDEX(INVESTOR_LIST[INVESTOR NAME],MATCH(I769,INVESTOR_LIST[INVESTOR CODE],0),)," ")</f>
        <v>EKUSH WEALTH MANAGEMENT LIMITED</v>
      </c>
      <c r="I769" s="145" t="s">
        <v>371</v>
      </c>
      <c r="J769" s="146" t="s">
        <v>53</v>
      </c>
      <c r="K769" s="219"/>
      <c r="L769" s="219">
        <f>K767-L768</f>
        <v>690</v>
      </c>
      <c r="M769" s="147">
        <v>0</v>
      </c>
      <c r="Q769" s="133" t="s">
        <v>371</v>
      </c>
    </row>
    <row r="770" spans="1:22" x14ac:dyDescent="0.2">
      <c r="A770" s="133">
        <v>2020</v>
      </c>
      <c r="B770" s="133">
        <v>9</v>
      </c>
      <c r="C770" s="133">
        <v>22</v>
      </c>
      <c r="D770" s="141">
        <f t="shared" si="28"/>
        <v>44096</v>
      </c>
      <c r="E770" s="275">
        <f t="shared" si="29"/>
        <v>44096</v>
      </c>
      <c r="F770" s="479" t="s">
        <v>188</v>
      </c>
      <c r="G770" s="220" t="s">
        <v>74</v>
      </c>
      <c r="H770" s="220" t="str" cm="1">
        <f t="array" ref="H770">IFERROR(INDEX(INVESTOR_LIST[INVESTOR NAME],MATCH(I770,INVESTOR_LIST[INVESTOR CODE],0),)," ")</f>
        <v xml:space="preserve"> </v>
      </c>
      <c r="I770" s="142" t="s">
        <v>348</v>
      </c>
      <c r="J770" s="143" t="s">
        <v>184</v>
      </c>
      <c r="K770" s="226">
        <v>5000000</v>
      </c>
      <c r="L770" s="226"/>
      <c r="M770" s="147">
        <v>0</v>
      </c>
      <c r="Q770" s="133" t="s">
        <v>348</v>
      </c>
    </row>
    <row r="771" spans="1:22" x14ac:dyDescent="0.2">
      <c r="A771" s="133">
        <v>2020</v>
      </c>
      <c r="B771" s="133">
        <v>9</v>
      </c>
      <c r="C771" s="133">
        <v>22</v>
      </c>
      <c r="D771" s="141">
        <f t="shared" si="28"/>
        <v>44096</v>
      </c>
      <c r="E771" s="275">
        <f t="shared" si="29"/>
        <v>44096</v>
      </c>
      <c r="F771" s="481"/>
      <c r="G771" s="174" t="s">
        <v>74</v>
      </c>
      <c r="H771" s="174" t="str" cm="1">
        <f t="array" ref="H771">IFERROR(INDEX(INVESTOR_LIST[INVESTOR NAME],MATCH(I771,INVESTOR_LIST[INVESTOR CODE],0),)," ")</f>
        <v xml:space="preserve"> </v>
      </c>
      <c r="I771" s="148" t="s">
        <v>348</v>
      </c>
      <c r="J771" s="149" t="s">
        <v>185</v>
      </c>
      <c r="K771" s="218">
        <v>5000</v>
      </c>
      <c r="L771" s="218"/>
      <c r="M771" s="147">
        <v>2</v>
      </c>
      <c r="Q771" s="133" t="s">
        <v>348</v>
      </c>
    </row>
    <row r="772" spans="1:22" ht="16.5" customHeight="1" x14ac:dyDescent="0.2">
      <c r="A772" s="163">
        <v>2020</v>
      </c>
      <c r="B772" s="163">
        <v>9</v>
      </c>
      <c r="C772" s="163">
        <v>22</v>
      </c>
      <c r="D772" s="141">
        <f t="shared" si="28"/>
        <v>44096</v>
      </c>
      <c r="E772" s="275">
        <f t="shared" si="29"/>
        <v>44096</v>
      </c>
      <c r="F772" s="480"/>
      <c r="G772" s="221" t="s">
        <v>74</v>
      </c>
      <c r="H772" s="221" t="str" cm="1">
        <f t="array" ref="H772">IFERROR(INDEX(INVESTOR_LIST[INVESTOR NAME],MATCH(I772,INVESTOR_LIST[INVESTOR CODE],0),)," ")</f>
        <v xml:space="preserve"> </v>
      </c>
      <c r="I772" s="145" t="s">
        <v>348</v>
      </c>
      <c r="J772" s="146" t="s">
        <v>52</v>
      </c>
      <c r="K772" s="219"/>
      <c r="L772" s="219">
        <v>5005000</v>
      </c>
      <c r="M772" s="147">
        <v>0</v>
      </c>
      <c r="N772" s="168"/>
      <c r="O772" s="168"/>
      <c r="P772" s="168"/>
      <c r="Q772" s="133" t="s">
        <v>348</v>
      </c>
      <c r="R772" s="142"/>
      <c r="S772" s="148"/>
      <c r="T772" s="143"/>
      <c r="U772" s="173"/>
      <c r="V772" s="173"/>
    </row>
    <row r="773" spans="1:22" ht="15" customHeight="1" x14ac:dyDescent="0.2">
      <c r="A773" s="141">
        <v>2020</v>
      </c>
      <c r="B773" s="141">
        <v>9</v>
      </c>
      <c r="C773" s="141">
        <v>22</v>
      </c>
      <c r="D773" s="141">
        <f t="shared" si="28"/>
        <v>44096</v>
      </c>
      <c r="E773" s="275">
        <f t="shared" si="29"/>
        <v>44096</v>
      </c>
      <c r="F773" s="479" t="s">
        <v>77</v>
      </c>
      <c r="G773" s="220" t="s">
        <v>74</v>
      </c>
      <c r="H773" s="174" t="str" cm="1">
        <f t="array" ref="H773">IFERROR(INDEX(INVESTOR_LIST[INVESTOR NAME],MATCH(I773,INVESTOR_LIST[INVESTOR CODE],0),)," ")</f>
        <v xml:space="preserve"> </v>
      </c>
      <c r="I773" s="148" t="s">
        <v>348</v>
      </c>
      <c r="J773" s="143" t="s">
        <v>61</v>
      </c>
      <c r="K773" s="226">
        <v>115</v>
      </c>
      <c r="L773" s="226"/>
      <c r="M773" s="147">
        <v>1</v>
      </c>
      <c r="N773" s="163"/>
      <c r="O773" s="163"/>
      <c r="P773" s="163"/>
      <c r="Q773" s="133" t="s">
        <v>348</v>
      </c>
      <c r="R773" s="145"/>
      <c r="S773" s="148"/>
      <c r="T773" s="146"/>
      <c r="U773" s="165"/>
      <c r="V773" s="165"/>
    </row>
    <row r="774" spans="1:22" ht="17.25" customHeight="1" x14ac:dyDescent="0.2">
      <c r="A774" s="144">
        <v>2020</v>
      </c>
      <c r="B774" s="144">
        <v>9</v>
      </c>
      <c r="C774" s="144">
        <v>22</v>
      </c>
      <c r="D774" s="141">
        <f t="shared" si="28"/>
        <v>44096</v>
      </c>
      <c r="E774" s="275">
        <f t="shared" si="29"/>
        <v>44096</v>
      </c>
      <c r="F774" s="480"/>
      <c r="G774" s="221" t="s">
        <v>74</v>
      </c>
      <c r="H774" s="221" t="str" cm="1">
        <f t="array" ref="H774">IFERROR(INDEX(INVESTOR_LIST[INVESTOR NAME],MATCH(I774,INVESTOR_LIST[INVESTOR CODE],0),)," ")</f>
        <v xml:space="preserve"> </v>
      </c>
      <c r="I774" s="145" t="s">
        <v>348</v>
      </c>
      <c r="J774" s="146" t="s">
        <v>52</v>
      </c>
      <c r="K774" s="219"/>
      <c r="L774" s="219">
        <v>115</v>
      </c>
      <c r="M774" s="147">
        <v>0</v>
      </c>
      <c r="Q774" s="133" t="s">
        <v>348</v>
      </c>
      <c r="R774" s="148"/>
      <c r="S774" s="148"/>
      <c r="T774" s="149"/>
      <c r="U774" s="164"/>
      <c r="V774" s="164"/>
    </row>
    <row r="775" spans="1:22" ht="15.75" customHeight="1" x14ac:dyDescent="0.2">
      <c r="A775" s="147">
        <v>2020</v>
      </c>
      <c r="B775" s="147">
        <v>9</v>
      </c>
      <c r="C775" s="147">
        <v>22</v>
      </c>
      <c r="D775" s="141">
        <f t="shared" si="28"/>
        <v>44096</v>
      </c>
      <c r="E775" s="275">
        <f t="shared" si="29"/>
        <v>44096</v>
      </c>
      <c r="F775" s="479" t="s">
        <v>964</v>
      </c>
      <c r="G775" s="174" t="s">
        <v>201</v>
      </c>
      <c r="H775" s="174" t="str" cm="1">
        <f t="array" ref="H775">IFERROR(INDEX(INVESTOR_LIST[INVESTOR NAME],MATCH(I775,INVESTOR_LIST[INVESTOR CODE],0),)," ")</f>
        <v>EKUSH WEALTH MANAGEMENT LIMITED</v>
      </c>
      <c r="I775" s="148" t="s">
        <v>371</v>
      </c>
      <c r="J775" s="149" t="s">
        <v>184</v>
      </c>
      <c r="K775" s="218">
        <v>2000</v>
      </c>
      <c r="L775" s="218"/>
      <c r="M775" s="147">
        <v>0</v>
      </c>
      <c r="N775" s="163"/>
      <c r="O775" s="163"/>
      <c r="P775" s="163"/>
      <c r="Q775" s="133" t="s">
        <v>371</v>
      </c>
      <c r="R775" s="145"/>
      <c r="S775" s="148"/>
      <c r="T775" s="146"/>
      <c r="U775" s="165"/>
      <c r="V775" s="165"/>
    </row>
    <row r="776" spans="1:22" ht="15.75" customHeight="1" x14ac:dyDescent="0.2">
      <c r="A776" s="147">
        <v>2020</v>
      </c>
      <c r="B776" s="147">
        <v>9</v>
      </c>
      <c r="C776" s="147">
        <v>22</v>
      </c>
      <c r="D776" s="141">
        <f t="shared" si="28"/>
        <v>44096</v>
      </c>
      <c r="E776" s="275">
        <f t="shared" si="29"/>
        <v>44096</v>
      </c>
      <c r="F776" s="481"/>
      <c r="G776" s="174" t="s">
        <v>201</v>
      </c>
      <c r="H776" s="174" t="str" cm="1">
        <f t="array" ref="H776">IFERROR(INDEX(INVESTOR_LIST[INVESTOR NAME],MATCH(I776,INVESTOR_LIST[INVESTOR CODE],0),)," ")</f>
        <v>EKUSH WEALTH MANAGEMENT LIMITED</v>
      </c>
      <c r="I776" s="148" t="s">
        <v>371</v>
      </c>
      <c r="J776" s="149" t="s">
        <v>13</v>
      </c>
      <c r="K776" s="218"/>
      <c r="L776" s="218">
        <v>1730</v>
      </c>
      <c r="M776" s="147">
        <v>0</v>
      </c>
      <c r="Q776" s="133" t="s">
        <v>371</v>
      </c>
      <c r="R776" s="148"/>
      <c r="S776" s="148"/>
      <c r="T776" s="149"/>
      <c r="U776" s="166"/>
      <c r="V776" s="166"/>
    </row>
    <row r="777" spans="1:22" ht="15.75" customHeight="1" x14ac:dyDescent="0.2">
      <c r="A777" s="147">
        <v>2020</v>
      </c>
      <c r="B777" s="147">
        <v>9</v>
      </c>
      <c r="C777" s="147">
        <v>22</v>
      </c>
      <c r="D777" s="141">
        <f t="shared" si="28"/>
        <v>44096</v>
      </c>
      <c r="E777" s="275">
        <f t="shared" si="29"/>
        <v>44096</v>
      </c>
      <c r="F777" s="480"/>
      <c r="G777" s="174" t="s">
        <v>201</v>
      </c>
      <c r="H777" s="221" t="str" cm="1">
        <f t="array" ref="H777">IFERROR(INDEX(INVESTOR_LIST[INVESTOR NAME],MATCH(I777,INVESTOR_LIST[INVESTOR CODE],0),)," ")</f>
        <v>EKUSH WEALTH MANAGEMENT LIMITED</v>
      </c>
      <c r="I777" s="145" t="s">
        <v>371</v>
      </c>
      <c r="J777" s="149" t="s">
        <v>53</v>
      </c>
      <c r="K777" s="218"/>
      <c r="L777" s="218">
        <v>270</v>
      </c>
      <c r="M777" s="147">
        <v>0</v>
      </c>
      <c r="Q777" s="133" t="s">
        <v>371</v>
      </c>
      <c r="R777" s="148"/>
      <c r="S777" s="148"/>
      <c r="T777" s="149"/>
      <c r="U777" s="166"/>
      <c r="V777" s="166"/>
    </row>
    <row r="778" spans="1:22" ht="15.75" customHeight="1" x14ac:dyDescent="0.2">
      <c r="A778" s="238">
        <v>2020</v>
      </c>
      <c r="B778" s="238">
        <v>9</v>
      </c>
      <c r="C778" s="238">
        <v>22</v>
      </c>
      <c r="D778" s="141">
        <f t="shared" si="28"/>
        <v>44096</v>
      </c>
      <c r="E778" s="275">
        <f t="shared" si="29"/>
        <v>44096</v>
      </c>
      <c r="F778" s="477" t="s">
        <v>105</v>
      </c>
      <c r="G778" s="239" t="s">
        <v>94</v>
      </c>
      <c r="H778" s="247" t="str" cm="1">
        <f t="array" ref="H778">IFERROR(INDEX(INVESTOR_LIST[INVESTOR NAME],MATCH(I778,INVESTOR_LIST[INVESTOR CODE],0),)," ")</f>
        <v xml:space="preserve"> </v>
      </c>
      <c r="I778" s="248" t="s">
        <v>348</v>
      </c>
      <c r="J778" s="240" t="s">
        <v>83</v>
      </c>
      <c r="K778" s="241">
        <v>1687500</v>
      </c>
      <c r="L778" s="241"/>
      <c r="M778" s="147">
        <v>0</v>
      </c>
      <c r="Q778" s="133" t="s">
        <v>348</v>
      </c>
      <c r="R778" s="148"/>
      <c r="S778" s="148"/>
      <c r="T778" s="149"/>
      <c r="U778" s="166"/>
      <c r="V778" s="166"/>
    </row>
    <row r="779" spans="1:22" ht="15.75" customHeight="1" x14ac:dyDescent="0.2">
      <c r="A779" s="242">
        <v>2020</v>
      </c>
      <c r="B779" s="242">
        <v>9</v>
      </c>
      <c r="C779" s="242">
        <v>22</v>
      </c>
      <c r="D779" s="141">
        <f t="shared" si="28"/>
        <v>44096</v>
      </c>
      <c r="E779" s="275">
        <f t="shared" si="29"/>
        <v>44096</v>
      </c>
      <c r="F779" s="478"/>
      <c r="G779" s="243" t="s">
        <v>94</v>
      </c>
      <c r="H779" s="243" t="str" cm="1">
        <f t="array" ref="H779">IFERROR(INDEX(INVESTOR_LIST[INVESTOR NAME],MATCH(I779,INVESTOR_LIST[INVESTOR CODE],0),)," ")</f>
        <v xml:space="preserve"> </v>
      </c>
      <c r="I779" s="263" t="s">
        <v>348</v>
      </c>
      <c r="J779" s="244" t="s">
        <v>108</v>
      </c>
      <c r="K779" s="245"/>
      <c r="L779" s="245">
        <v>1687500</v>
      </c>
      <c r="M779" s="147">
        <v>0</v>
      </c>
      <c r="Q779" s="133" t="s">
        <v>348</v>
      </c>
      <c r="R779" s="148"/>
      <c r="S779" s="148"/>
      <c r="T779" s="149"/>
      <c r="U779" s="166"/>
      <c r="V779" s="166"/>
    </row>
    <row r="780" spans="1:22" ht="15.75" customHeight="1" x14ac:dyDescent="0.2">
      <c r="A780" s="246">
        <v>2020</v>
      </c>
      <c r="B780" s="246">
        <v>9</v>
      </c>
      <c r="C780" s="246">
        <v>22</v>
      </c>
      <c r="D780" s="141">
        <f t="shared" si="28"/>
        <v>44096</v>
      </c>
      <c r="E780" s="275">
        <f t="shared" si="29"/>
        <v>44096</v>
      </c>
      <c r="F780" s="482" t="s">
        <v>148</v>
      </c>
      <c r="G780" s="247" t="s">
        <v>94</v>
      </c>
      <c r="H780" s="247" t="str" cm="1">
        <f t="array" ref="H780">IFERROR(INDEX(INVESTOR_LIST[INVESTOR NAME],MATCH(I780,INVESTOR_LIST[INVESTOR CODE],0),)," ")</f>
        <v xml:space="preserve"> </v>
      </c>
      <c r="I780" s="248" t="s">
        <v>348</v>
      </c>
      <c r="J780" s="249" t="s">
        <v>95</v>
      </c>
      <c r="K780" s="252">
        <v>2747.25</v>
      </c>
      <c r="L780" s="252"/>
      <c r="M780" s="147">
        <v>0</v>
      </c>
      <c r="Q780" s="133" t="s">
        <v>348</v>
      </c>
      <c r="R780" s="148"/>
      <c r="S780" s="148"/>
      <c r="T780" s="149"/>
      <c r="U780" s="166"/>
      <c r="V780" s="166"/>
    </row>
    <row r="781" spans="1:22" ht="15" customHeight="1" x14ac:dyDescent="0.2">
      <c r="A781" s="242">
        <v>2020</v>
      </c>
      <c r="B781" s="242">
        <v>9</v>
      </c>
      <c r="C781" s="242">
        <v>22</v>
      </c>
      <c r="D781" s="141">
        <f t="shared" ref="D781:D844" si="30">DATE(A781,B781,C781)</f>
        <v>44096</v>
      </c>
      <c r="E781" s="275">
        <f t="shared" si="29"/>
        <v>44096</v>
      </c>
      <c r="F781" s="478"/>
      <c r="G781" s="243" t="s">
        <v>94</v>
      </c>
      <c r="H781" s="243" t="str" cm="1">
        <f t="array" ref="H781">IFERROR(INDEX(INVESTOR_LIST[INVESTOR NAME],MATCH(I781,INVESTOR_LIST[INVESTOR CODE],0),)," ")</f>
        <v xml:space="preserve"> </v>
      </c>
      <c r="I781" s="263" t="s">
        <v>348</v>
      </c>
      <c r="J781" s="244" t="s">
        <v>63</v>
      </c>
      <c r="K781" s="245"/>
      <c r="L781" s="245">
        <v>2747.25</v>
      </c>
      <c r="M781" s="147">
        <v>0</v>
      </c>
      <c r="N781" s="173"/>
      <c r="Q781" s="133" t="s">
        <v>348</v>
      </c>
    </row>
    <row r="782" spans="1:22" x14ac:dyDescent="0.2">
      <c r="A782" s="246">
        <v>2020</v>
      </c>
      <c r="B782" s="246">
        <v>9</v>
      </c>
      <c r="C782" s="246">
        <v>22</v>
      </c>
      <c r="D782" s="141">
        <f t="shared" si="30"/>
        <v>44096</v>
      </c>
      <c r="E782" s="275">
        <f t="shared" ref="E782:E845" si="31">DATE(A782,B782,C782)</f>
        <v>44096</v>
      </c>
      <c r="F782" s="482" t="s">
        <v>137</v>
      </c>
      <c r="G782" s="247" t="s">
        <v>94</v>
      </c>
      <c r="H782" s="247" t="str" cm="1">
        <f t="array" ref="H782">IFERROR(INDEX(INVESTOR_LIST[INVESTOR NAME],MATCH(I782,INVESTOR_LIST[INVESTOR CODE],0),)," ")</f>
        <v xml:space="preserve"> </v>
      </c>
      <c r="I782" s="248" t="s">
        <v>348</v>
      </c>
      <c r="J782" s="249" t="s">
        <v>97</v>
      </c>
      <c r="K782" s="252">
        <v>38853</v>
      </c>
      <c r="L782" s="252"/>
      <c r="M782" s="147">
        <v>0</v>
      </c>
      <c r="N782" s="165"/>
      <c r="Q782" s="133" t="s">
        <v>348</v>
      </c>
    </row>
    <row r="783" spans="1:22" ht="15" customHeight="1" x14ac:dyDescent="0.2">
      <c r="A783" s="242">
        <v>2020</v>
      </c>
      <c r="B783" s="242">
        <v>9</v>
      </c>
      <c r="C783" s="242">
        <v>22</v>
      </c>
      <c r="D783" s="141">
        <f t="shared" si="30"/>
        <v>44096</v>
      </c>
      <c r="E783" s="275">
        <f t="shared" si="31"/>
        <v>44096</v>
      </c>
      <c r="F783" s="478"/>
      <c r="G783" s="243" t="s">
        <v>94</v>
      </c>
      <c r="H783" s="243" t="str" cm="1">
        <f t="array" ref="H783">IFERROR(INDEX(INVESTOR_LIST[INVESTOR NAME],MATCH(I783,INVESTOR_LIST[INVESTOR CODE],0),)," ")</f>
        <v xml:space="preserve"> </v>
      </c>
      <c r="I783" s="263" t="s">
        <v>348</v>
      </c>
      <c r="J783" s="244" t="s">
        <v>47</v>
      </c>
      <c r="K783" s="245"/>
      <c r="L783" s="245">
        <v>38853</v>
      </c>
      <c r="M783" s="147">
        <v>0</v>
      </c>
      <c r="N783" s="164"/>
      <c r="Q783" s="133" t="s">
        <v>348</v>
      </c>
    </row>
    <row r="784" spans="1:22" x14ac:dyDescent="0.2">
      <c r="A784" s="246">
        <v>2020</v>
      </c>
      <c r="B784" s="246">
        <v>9</v>
      </c>
      <c r="C784" s="246">
        <v>22</v>
      </c>
      <c r="D784" s="141">
        <f t="shared" si="30"/>
        <v>44096</v>
      </c>
      <c r="E784" s="275">
        <f t="shared" si="31"/>
        <v>44096</v>
      </c>
      <c r="F784" s="482" t="s">
        <v>138</v>
      </c>
      <c r="G784" s="247" t="s">
        <v>94</v>
      </c>
      <c r="H784" s="247" t="str" cm="1">
        <f t="array" ref="H784">IFERROR(INDEX(INVESTOR_LIST[INVESTOR NAME],MATCH(I784,INVESTOR_LIST[INVESTOR CODE],0),)," ")</f>
        <v xml:space="preserve"> </v>
      </c>
      <c r="I784" s="248" t="s">
        <v>348</v>
      </c>
      <c r="J784" s="249" t="s">
        <v>100</v>
      </c>
      <c r="K784" s="252">
        <v>1702</v>
      </c>
      <c r="L784" s="252"/>
      <c r="M784" s="147">
        <v>0</v>
      </c>
      <c r="N784" s="165"/>
      <c r="Q784" s="133" t="s">
        <v>348</v>
      </c>
    </row>
    <row r="785" spans="1:19" ht="15" customHeight="1" x14ac:dyDescent="0.2">
      <c r="A785" s="242">
        <v>2020</v>
      </c>
      <c r="B785" s="242">
        <v>9</v>
      </c>
      <c r="C785" s="242">
        <v>22</v>
      </c>
      <c r="D785" s="141">
        <f t="shared" si="30"/>
        <v>44096</v>
      </c>
      <c r="E785" s="275">
        <f t="shared" si="31"/>
        <v>44096</v>
      </c>
      <c r="F785" s="478"/>
      <c r="G785" s="243" t="s">
        <v>94</v>
      </c>
      <c r="H785" s="243" t="str" cm="1">
        <f t="array" ref="H785">IFERROR(INDEX(INVESTOR_LIST[INVESTOR NAME],MATCH(I785,INVESTOR_LIST[INVESTOR CODE],0),)," ")</f>
        <v xml:space="preserve"> </v>
      </c>
      <c r="I785" s="263" t="s">
        <v>348</v>
      </c>
      <c r="J785" s="244" t="s">
        <v>48</v>
      </c>
      <c r="K785" s="245"/>
      <c r="L785" s="245">
        <v>1702</v>
      </c>
      <c r="M785" s="147">
        <v>0</v>
      </c>
      <c r="N785" s="173"/>
      <c r="Q785" s="133" t="s">
        <v>348</v>
      </c>
    </row>
    <row r="786" spans="1:19" x14ac:dyDescent="0.2">
      <c r="A786" s="246">
        <v>2020</v>
      </c>
      <c r="B786" s="246">
        <v>9</v>
      </c>
      <c r="C786" s="246">
        <v>22</v>
      </c>
      <c r="D786" s="141">
        <f t="shared" si="30"/>
        <v>44096</v>
      </c>
      <c r="E786" s="275">
        <f t="shared" si="31"/>
        <v>44096</v>
      </c>
      <c r="F786" s="482" t="s">
        <v>140</v>
      </c>
      <c r="G786" s="247" t="s">
        <v>94</v>
      </c>
      <c r="H786" s="247" t="str" cm="1">
        <f t="array" ref="H786">IFERROR(INDEX(INVESTOR_LIST[INVESTOR NAME],MATCH(I786,INVESTOR_LIST[INVESTOR CODE],0),)," ")</f>
        <v xml:space="preserve"> </v>
      </c>
      <c r="I786" s="248" t="s">
        <v>348</v>
      </c>
      <c r="J786" s="249" t="s">
        <v>103</v>
      </c>
      <c r="K786" s="252">
        <v>729.17</v>
      </c>
      <c r="L786" s="252"/>
      <c r="M786" s="147">
        <v>0</v>
      </c>
      <c r="N786" s="165"/>
      <c r="Q786" s="133" t="s">
        <v>348</v>
      </c>
    </row>
    <row r="787" spans="1:19" x14ac:dyDescent="0.2">
      <c r="A787" s="242">
        <v>2020</v>
      </c>
      <c r="B787" s="242">
        <v>9</v>
      </c>
      <c r="C787" s="242">
        <v>22</v>
      </c>
      <c r="D787" s="141">
        <f t="shared" si="30"/>
        <v>44096</v>
      </c>
      <c r="E787" s="275">
        <f t="shared" si="31"/>
        <v>44096</v>
      </c>
      <c r="F787" s="478"/>
      <c r="G787" s="243" t="s">
        <v>94</v>
      </c>
      <c r="H787" s="243" t="str" cm="1">
        <f t="array" ref="H787">IFERROR(INDEX(INVESTOR_LIST[INVESTOR NAME],MATCH(I787,INVESTOR_LIST[INVESTOR CODE],0),)," ")</f>
        <v xml:space="preserve"> </v>
      </c>
      <c r="I787" s="263" t="s">
        <v>348</v>
      </c>
      <c r="J787" s="244" t="s">
        <v>50</v>
      </c>
      <c r="K787" s="245"/>
      <c r="L787" s="245">
        <v>729.17</v>
      </c>
      <c r="M787" s="147">
        <v>0</v>
      </c>
      <c r="N787" s="173"/>
      <c r="Q787" s="133" t="s">
        <v>348</v>
      </c>
    </row>
    <row r="788" spans="1:19" ht="33.75" x14ac:dyDescent="0.2">
      <c r="A788" s="168">
        <v>2020</v>
      </c>
      <c r="B788" s="168">
        <v>9</v>
      </c>
      <c r="C788" s="168">
        <v>23</v>
      </c>
      <c r="D788" s="141">
        <f t="shared" si="30"/>
        <v>44097</v>
      </c>
      <c r="E788" s="275">
        <f t="shared" si="31"/>
        <v>44097</v>
      </c>
      <c r="F788" s="479" t="s">
        <v>965</v>
      </c>
      <c r="G788" s="220" t="s">
        <v>74</v>
      </c>
      <c r="H788" s="174" t="str" cm="1">
        <f t="array" ref="H788">IFERROR(INDEX(INVESTOR_LIST[INVESTOR NAME],MATCH(I788,INVESTOR_LIST[INVESTOR CODE],0),)," ")</f>
        <v>MD EMDAD HOSSAIN</v>
      </c>
      <c r="I788" s="148" t="s">
        <v>429</v>
      </c>
      <c r="J788" s="143" t="s">
        <v>13</v>
      </c>
      <c r="K788" s="226">
        <v>96150</v>
      </c>
      <c r="L788" s="226"/>
      <c r="M788" s="147">
        <v>0</v>
      </c>
      <c r="N788" s="165"/>
      <c r="Q788" s="133" t="s">
        <v>429</v>
      </c>
    </row>
    <row r="789" spans="1:19" ht="33.75" x14ac:dyDescent="0.2">
      <c r="A789" s="133">
        <v>2020</v>
      </c>
      <c r="B789" s="133">
        <v>9</v>
      </c>
      <c r="C789" s="133">
        <v>23</v>
      </c>
      <c r="D789" s="141">
        <f t="shared" si="30"/>
        <v>44097</v>
      </c>
      <c r="E789" s="275">
        <f t="shared" si="31"/>
        <v>44097</v>
      </c>
      <c r="F789" s="481"/>
      <c r="G789" s="174" t="s">
        <v>74</v>
      </c>
      <c r="H789" s="174" t="str" cm="1">
        <f t="array" ref="H789">IFERROR(INDEX(INVESTOR_LIST[INVESTOR NAME],MATCH(I789,INVESTOR_LIST[INVESTOR CODE],0),)," ")</f>
        <v>MD EMDAD HOSSAIN</v>
      </c>
      <c r="I789" s="148" t="s">
        <v>429</v>
      </c>
      <c r="J789" s="149" t="s">
        <v>53</v>
      </c>
      <c r="K789" s="218">
        <f>L790-K788</f>
        <v>15287.850000000006</v>
      </c>
      <c r="L789" s="218"/>
      <c r="M789" s="147">
        <v>0</v>
      </c>
      <c r="N789" s="164"/>
      <c r="Q789" s="133" t="s">
        <v>429</v>
      </c>
    </row>
    <row r="790" spans="1:19" ht="33.75" x14ac:dyDescent="0.2">
      <c r="A790" s="163">
        <v>2020</v>
      </c>
      <c r="B790" s="163">
        <v>9</v>
      </c>
      <c r="C790" s="163">
        <v>23</v>
      </c>
      <c r="D790" s="141">
        <f t="shared" si="30"/>
        <v>44097</v>
      </c>
      <c r="E790" s="275">
        <f t="shared" si="31"/>
        <v>44097</v>
      </c>
      <c r="F790" s="480"/>
      <c r="G790" s="221" t="s">
        <v>74</v>
      </c>
      <c r="H790" s="221" t="str" cm="1">
        <f t="array" ref="H790">IFERROR(INDEX(INVESTOR_LIST[INVESTOR NAME],MATCH(I790,INVESTOR_LIST[INVESTOR CODE],0),)," ")</f>
        <v>MD EMDAD HOSSAIN</v>
      </c>
      <c r="I790" s="145" t="s">
        <v>429</v>
      </c>
      <c r="J790" s="146" t="s">
        <v>52</v>
      </c>
      <c r="K790" s="219"/>
      <c r="L790" s="219">
        <v>111437.85</v>
      </c>
      <c r="M790" s="147">
        <v>0</v>
      </c>
      <c r="N790" s="165"/>
      <c r="Q790" s="133" t="s">
        <v>429</v>
      </c>
    </row>
    <row r="791" spans="1:19" x14ac:dyDescent="0.2">
      <c r="A791" s="133">
        <v>2020</v>
      </c>
      <c r="B791" s="133">
        <v>9</v>
      </c>
      <c r="C791" s="133">
        <v>28</v>
      </c>
      <c r="D791" s="141">
        <f t="shared" si="30"/>
        <v>44102</v>
      </c>
      <c r="E791" s="275">
        <f t="shared" si="31"/>
        <v>44102</v>
      </c>
      <c r="F791" s="479" t="s">
        <v>189</v>
      </c>
      <c r="G791" s="174" t="s">
        <v>74</v>
      </c>
      <c r="H791" s="174" t="str" cm="1">
        <f t="array" ref="H791">IFERROR(INDEX(INVESTOR_LIST[INVESTOR NAME],MATCH(I791,INVESTOR_LIST[INVESTOR CODE],0),)," ")</f>
        <v xml:space="preserve"> </v>
      </c>
      <c r="I791" s="148" t="s">
        <v>348</v>
      </c>
      <c r="J791" s="149" t="s">
        <v>190</v>
      </c>
      <c r="K791" s="218">
        <v>5005374.08</v>
      </c>
      <c r="L791" s="218"/>
      <c r="M791" s="147">
        <v>0</v>
      </c>
      <c r="Q791" s="133" t="s">
        <v>348</v>
      </c>
    </row>
    <row r="792" spans="1:19" x14ac:dyDescent="0.2">
      <c r="A792" s="133">
        <v>2020</v>
      </c>
      <c r="B792" s="133">
        <v>9</v>
      </c>
      <c r="C792" s="133">
        <v>28</v>
      </c>
      <c r="D792" s="141">
        <f t="shared" si="30"/>
        <v>44102</v>
      </c>
      <c r="E792" s="275">
        <f t="shared" si="31"/>
        <v>44102</v>
      </c>
      <c r="F792" s="481"/>
      <c r="G792" s="174" t="s">
        <v>74</v>
      </c>
      <c r="H792" s="174" t="str" cm="1">
        <f t="array" ref="H792">IFERROR(INDEX(INVESTOR_LIST[INVESTOR NAME],MATCH(I792,INVESTOR_LIST[INVESTOR CODE],0),)," ")</f>
        <v xml:space="preserve"> </v>
      </c>
      <c r="I792" s="148" t="s">
        <v>348</v>
      </c>
      <c r="J792" s="149" t="s">
        <v>80</v>
      </c>
      <c r="K792" s="218">
        <v>9025.92</v>
      </c>
      <c r="L792" s="218"/>
      <c r="M792" s="147">
        <v>0</v>
      </c>
      <c r="Q792" s="133" t="s">
        <v>348</v>
      </c>
    </row>
    <row r="793" spans="1:19" x14ac:dyDescent="0.2">
      <c r="A793" s="133">
        <v>2020</v>
      </c>
      <c r="B793" s="133">
        <v>9</v>
      </c>
      <c r="C793" s="133">
        <v>28</v>
      </c>
      <c r="D793" s="141">
        <f t="shared" si="30"/>
        <v>44102</v>
      </c>
      <c r="E793" s="275">
        <f t="shared" si="31"/>
        <v>44102</v>
      </c>
      <c r="F793" s="481"/>
      <c r="G793" s="174" t="s">
        <v>74</v>
      </c>
      <c r="H793" s="174" t="str" cm="1">
        <f t="array" ref="H793">IFERROR(INDEX(INVESTOR_LIST[INVESTOR NAME],MATCH(I793,INVESTOR_LIST[INVESTOR CODE],0),)," ")</f>
        <v xml:space="preserve"> </v>
      </c>
      <c r="I793" s="148" t="s">
        <v>348</v>
      </c>
      <c r="J793" s="149" t="s">
        <v>79</v>
      </c>
      <c r="K793" s="218"/>
      <c r="L793" s="218">
        <v>4162759.51</v>
      </c>
      <c r="M793" s="147">
        <v>0</v>
      </c>
      <c r="Q793" s="133" t="s">
        <v>348</v>
      </c>
      <c r="S793" s="164">
        <v>10000000</v>
      </c>
    </row>
    <row r="794" spans="1:19" x14ac:dyDescent="0.2">
      <c r="A794" s="163">
        <v>2020</v>
      </c>
      <c r="B794" s="163">
        <v>9</v>
      </c>
      <c r="C794" s="163">
        <v>28</v>
      </c>
      <c r="D794" s="141">
        <f t="shared" si="30"/>
        <v>44102</v>
      </c>
      <c r="E794" s="275">
        <f t="shared" si="31"/>
        <v>44102</v>
      </c>
      <c r="F794" s="480"/>
      <c r="G794" s="221" t="s">
        <v>74</v>
      </c>
      <c r="H794" s="221" t="str" cm="1">
        <f t="array" ref="H794">IFERROR(INDEX(INVESTOR_LIST[INVESTOR NAME],MATCH(I794,INVESTOR_LIST[INVESTOR CODE],0),)," ")</f>
        <v xml:space="preserve"> </v>
      </c>
      <c r="I794" s="145" t="s">
        <v>348</v>
      </c>
      <c r="J794" s="146" t="s">
        <v>191</v>
      </c>
      <c r="K794" s="219"/>
      <c r="L794" s="219">
        <v>851640.49</v>
      </c>
      <c r="M794" s="147">
        <v>0</v>
      </c>
      <c r="Q794" s="133" t="s">
        <v>348</v>
      </c>
    </row>
    <row r="795" spans="1:19" x14ac:dyDescent="0.2">
      <c r="A795" s="168">
        <v>2020</v>
      </c>
      <c r="B795" s="168">
        <v>9</v>
      </c>
      <c r="C795" s="168">
        <v>28</v>
      </c>
      <c r="D795" s="141">
        <f t="shared" si="30"/>
        <v>44102</v>
      </c>
      <c r="E795" s="275">
        <f t="shared" si="31"/>
        <v>44102</v>
      </c>
      <c r="F795" s="479" t="s">
        <v>192</v>
      </c>
      <c r="G795" s="220" t="s">
        <v>74</v>
      </c>
      <c r="H795" s="220" t="str" cm="1">
        <f t="array" ref="H795">IFERROR(INDEX(INVESTOR_LIST[INVESTOR NAME],MATCH(I795,INVESTOR_LIST[INVESTOR CODE],0),)," ")</f>
        <v xml:space="preserve"> </v>
      </c>
      <c r="I795" s="142" t="s">
        <v>348</v>
      </c>
      <c r="J795" s="143" t="s">
        <v>52</v>
      </c>
      <c r="K795" s="226">
        <v>190000</v>
      </c>
      <c r="L795" s="226"/>
      <c r="M795" s="147">
        <v>0</v>
      </c>
      <c r="Q795" s="133" t="s">
        <v>348</v>
      </c>
    </row>
    <row r="796" spans="1:19" x14ac:dyDescent="0.2">
      <c r="A796" s="163">
        <v>2020</v>
      </c>
      <c r="B796" s="163">
        <v>9</v>
      </c>
      <c r="C796" s="163">
        <v>28</v>
      </c>
      <c r="D796" s="141">
        <f t="shared" si="30"/>
        <v>44102</v>
      </c>
      <c r="E796" s="275">
        <f t="shared" si="31"/>
        <v>44102</v>
      </c>
      <c r="F796" s="480"/>
      <c r="G796" s="221" t="s">
        <v>74</v>
      </c>
      <c r="H796" s="221" t="str" cm="1">
        <f t="array" ref="H796">IFERROR(INDEX(INVESTOR_LIST[INVESTOR NAME],MATCH(I796,INVESTOR_LIST[INVESTOR CODE],0),)," ")</f>
        <v xml:space="preserve"> </v>
      </c>
      <c r="I796" s="145" t="s">
        <v>348</v>
      </c>
      <c r="J796" s="146" t="s">
        <v>168</v>
      </c>
      <c r="K796" s="219"/>
      <c r="L796" s="219">
        <v>190000</v>
      </c>
      <c r="M796" s="147">
        <v>0</v>
      </c>
      <c r="Q796" s="133" t="s">
        <v>348</v>
      </c>
    </row>
    <row r="797" spans="1:19" x14ac:dyDescent="0.2">
      <c r="A797" s="133">
        <v>2020</v>
      </c>
      <c r="B797" s="133">
        <v>9</v>
      </c>
      <c r="C797" s="133">
        <v>28</v>
      </c>
      <c r="D797" s="141">
        <f t="shared" si="30"/>
        <v>44102</v>
      </c>
      <c r="E797" s="275">
        <f t="shared" si="31"/>
        <v>44102</v>
      </c>
      <c r="F797" s="481" t="s">
        <v>193</v>
      </c>
      <c r="G797" s="174" t="s">
        <v>74</v>
      </c>
      <c r="H797" s="174" t="str" cm="1">
        <f t="array" ref="H797">IFERROR(INDEX(INVESTOR_LIST[INVESTOR NAME],MATCH(I797,INVESTOR_LIST[INVESTOR CODE],0),)," ")</f>
        <v xml:space="preserve"> </v>
      </c>
      <c r="I797" s="148" t="s">
        <v>348</v>
      </c>
      <c r="J797" s="143" t="s">
        <v>52</v>
      </c>
      <c r="K797" s="218">
        <v>217500</v>
      </c>
      <c r="L797" s="218"/>
      <c r="M797" s="147">
        <v>0</v>
      </c>
      <c r="Q797" s="133" t="s">
        <v>348</v>
      </c>
    </row>
    <row r="798" spans="1:19" x14ac:dyDescent="0.2">
      <c r="A798" s="163">
        <v>2020</v>
      </c>
      <c r="B798" s="163">
        <v>9</v>
      </c>
      <c r="C798" s="163">
        <v>28</v>
      </c>
      <c r="D798" s="141">
        <f t="shared" si="30"/>
        <v>44102</v>
      </c>
      <c r="E798" s="275">
        <f t="shared" si="31"/>
        <v>44102</v>
      </c>
      <c r="F798" s="480"/>
      <c r="G798" s="221" t="s">
        <v>74</v>
      </c>
      <c r="H798" s="221" t="str" cm="1">
        <f t="array" ref="H798">IFERROR(INDEX(INVESTOR_LIST[INVESTOR NAME],MATCH(I798,INVESTOR_LIST[INVESTOR CODE],0),)," ")</f>
        <v xml:space="preserve"> </v>
      </c>
      <c r="I798" s="145" t="s">
        <v>348</v>
      </c>
      <c r="J798" s="146" t="s">
        <v>168</v>
      </c>
      <c r="K798" s="219"/>
      <c r="L798" s="219">
        <v>217500</v>
      </c>
      <c r="M798" s="147">
        <v>3</v>
      </c>
      <c r="Q798" s="133" t="s">
        <v>348</v>
      </c>
    </row>
    <row r="799" spans="1:19" x14ac:dyDescent="0.2">
      <c r="A799" s="168">
        <v>2020</v>
      </c>
      <c r="B799" s="168">
        <v>9</v>
      </c>
      <c r="C799" s="168">
        <v>28</v>
      </c>
      <c r="D799" s="141">
        <f t="shared" si="30"/>
        <v>44102</v>
      </c>
      <c r="E799" s="275">
        <f t="shared" si="31"/>
        <v>44102</v>
      </c>
      <c r="F799" s="479" t="s">
        <v>194</v>
      </c>
      <c r="G799" s="220" t="s">
        <v>74</v>
      </c>
      <c r="H799" s="220" t="str" cm="1">
        <f t="array" ref="H799">IFERROR(INDEX(INVESTOR_LIST[INVESTOR NAME],MATCH(I799,INVESTOR_LIST[INVESTOR CODE],0),)," ")</f>
        <v xml:space="preserve"> </v>
      </c>
      <c r="I799" s="142" t="s">
        <v>348</v>
      </c>
      <c r="J799" s="143" t="s">
        <v>79</v>
      </c>
      <c r="K799" s="226">
        <f>L801-K800</f>
        <v>168540</v>
      </c>
      <c r="L799" s="226"/>
      <c r="M799" s="147">
        <v>0</v>
      </c>
      <c r="Q799" s="133" t="s">
        <v>348</v>
      </c>
    </row>
    <row r="800" spans="1:19" x14ac:dyDescent="0.2">
      <c r="A800" s="133">
        <v>2020</v>
      </c>
      <c r="B800" s="133">
        <v>9</v>
      </c>
      <c r="C800" s="133">
        <v>28</v>
      </c>
      <c r="D800" s="141">
        <f t="shared" si="30"/>
        <v>44102</v>
      </c>
      <c r="E800" s="275">
        <f t="shared" si="31"/>
        <v>44102</v>
      </c>
      <c r="F800" s="481"/>
      <c r="G800" s="174" t="s">
        <v>74</v>
      </c>
      <c r="H800" s="174" t="str" cm="1">
        <f t="array" ref="H800">IFERROR(INDEX(INVESTOR_LIST[INVESTOR NAME],MATCH(I800,INVESTOR_LIST[INVESTOR CODE],0),)," ")</f>
        <v xml:space="preserve"> </v>
      </c>
      <c r="I800" s="148" t="s">
        <v>348</v>
      </c>
      <c r="J800" s="149" t="s">
        <v>52</v>
      </c>
      <c r="K800" s="218">
        <v>1031460</v>
      </c>
      <c r="L800" s="218"/>
      <c r="M800" s="147">
        <v>1</v>
      </c>
      <c r="Q800" s="133" t="s">
        <v>348</v>
      </c>
    </row>
    <row r="801" spans="1:19" x14ac:dyDescent="0.2">
      <c r="A801" s="163">
        <v>2020</v>
      </c>
      <c r="B801" s="163">
        <v>9</v>
      </c>
      <c r="C801" s="163">
        <v>28</v>
      </c>
      <c r="D801" s="141">
        <f t="shared" si="30"/>
        <v>44102</v>
      </c>
      <c r="E801" s="275">
        <f t="shared" si="31"/>
        <v>44102</v>
      </c>
      <c r="F801" s="480"/>
      <c r="G801" s="221" t="s">
        <v>74</v>
      </c>
      <c r="H801" s="221" t="str" cm="1">
        <f t="array" ref="H801">IFERROR(INDEX(INVESTOR_LIST[INVESTOR NAME],MATCH(I801,INVESTOR_LIST[INVESTOR CODE],0),)," ")</f>
        <v xml:space="preserve"> </v>
      </c>
      <c r="I801" s="145" t="s">
        <v>348</v>
      </c>
      <c r="J801" s="146" t="s">
        <v>184</v>
      </c>
      <c r="K801" s="219"/>
      <c r="L801" s="219">
        <v>1200000</v>
      </c>
      <c r="M801" s="147">
        <v>0</v>
      </c>
      <c r="Q801" s="133" t="s">
        <v>348</v>
      </c>
    </row>
    <row r="802" spans="1:19" ht="33.75" x14ac:dyDescent="0.2">
      <c r="A802" s="168">
        <v>2020</v>
      </c>
      <c r="B802" s="168">
        <v>9</v>
      </c>
      <c r="C802" s="168">
        <v>28</v>
      </c>
      <c r="D802" s="141">
        <f t="shared" si="30"/>
        <v>44102</v>
      </c>
      <c r="E802" s="275">
        <f t="shared" si="31"/>
        <v>44102</v>
      </c>
      <c r="F802" s="479" t="s">
        <v>965</v>
      </c>
      <c r="G802" s="174" t="s">
        <v>74</v>
      </c>
      <c r="H802" s="174" t="str" cm="1">
        <f t="array" ref="H802">IFERROR(INDEX(INVESTOR_LIST[INVESTOR NAME],MATCH(I802,INVESTOR_LIST[INVESTOR CODE],0),)," ")</f>
        <v>ASHIT BARAN SAHA</v>
      </c>
      <c r="I802" s="148" t="s">
        <v>442</v>
      </c>
      <c r="J802" s="149" t="s">
        <v>13</v>
      </c>
      <c r="K802" s="218">
        <v>31550</v>
      </c>
      <c r="L802" s="218"/>
      <c r="M802" s="147">
        <v>0</v>
      </c>
      <c r="Q802" s="133" t="s">
        <v>442</v>
      </c>
    </row>
    <row r="803" spans="1:19" ht="33.75" x14ac:dyDescent="0.2">
      <c r="A803" s="133">
        <v>2020</v>
      </c>
      <c r="B803" s="133">
        <v>9</v>
      </c>
      <c r="C803" s="133">
        <v>28</v>
      </c>
      <c r="D803" s="141">
        <f t="shared" si="30"/>
        <v>44102</v>
      </c>
      <c r="E803" s="275">
        <f t="shared" si="31"/>
        <v>44102</v>
      </c>
      <c r="F803" s="481"/>
      <c r="G803" s="174" t="s">
        <v>74</v>
      </c>
      <c r="H803" s="174" t="str" cm="1">
        <f t="array" ref="H803">IFERROR(INDEX(INVESTOR_LIST[INVESTOR NAME],MATCH(I803,INVESTOR_LIST[INVESTOR CODE],0),)," ")</f>
        <v>ASHIT BARAN SAHA</v>
      </c>
      <c r="I803" s="148" t="s">
        <v>442</v>
      </c>
      <c r="J803" s="149" t="s">
        <v>53</v>
      </c>
      <c r="K803" s="218">
        <v>5020.6400000000003</v>
      </c>
      <c r="L803" s="218"/>
      <c r="M803" s="147">
        <v>0</v>
      </c>
      <c r="Q803" s="133" t="s">
        <v>442</v>
      </c>
    </row>
    <row r="804" spans="1:19" ht="33.75" x14ac:dyDescent="0.2">
      <c r="A804" s="163">
        <v>2020</v>
      </c>
      <c r="B804" s="163">
        <v>9</v>
      </c>
      <c r="C804" s="163">
        <v>28</v>
      </c>
      <c r="D804" s="141">
        <f t="shared" si="30"/>
        <v>44102</v>
      </c>
      <c r="E804" s="275">
        <f t="shared" si="31"/>
        <v>44102</v>
      </c>
      <c r="F804" s="480"/>
      <c r="G804" s="221" t="s">
        <v>74</v>
      </c>
      <c r="H804" s="221" t="str" cm="1">
        <f t="array" ref="H804">IFERROR(INDEX(INVESTOR_LIST[INVESTOR NAME],MATCH(I804,INVESTOR_LIST[INVESTOR CODE],0),)," ")</f>
        <v>ASHIT BARAN SAHA</v>
      </c>
      <c r="I804" s="145" t="s">
        <v>442</v>
      </c>
      <c r="J804" s="146" t="s">
        <v>52</v>
      </c>
      <c r="K804" s="219"/>
      <c r="L804" s="219">
        <v>36570.639999999999</v>
      </c>
      <c r="M804" s="147">
        <v>0</v>
      </c>
      <c r="O804" s="156">
        <f>L804/11.59</f>
        <v>3155.3615185504746</v>
      </c>
      <c r="Q804" s="133" t="s">
        <v>442</v>
      </c>
    </row>
    <row r="805" spans="1:19" x14ac:dyDescent="0.2">
      <c r="A805" s="168">
        <v>2020</v>
      </c>
      <c r="B805" s="168">
        <v>9</v>
      </c>
      <c r="C805" s="168">
        <v>29</v>
      </c>
      <c r="D805" s="141">
        <f t="shared" si="30"/>
        <v>44103</v>
      </c>
      <c r="E805" s="275">
        <f t="shared" si="31"/>
        <v>44103</v>
      </c>
      <c r="F805" s="479" t="s">
        <v>275</v>
      </c>
      <c r="G805" s="220" t="s">
        <v>74</v>
      </c>
      <c r="H805" s="174" t="str" cm="1">
        <f t="array" ref="H805">IFERROR(INDEX(INVESTOR_LIST[INVESTOR NAME],MATCH(I805,INVESTOR_LIST[INVESTOR CODE],0),)," ")</f>
        <v xml:space="preserve"> </v>
      </c>
      <c r="I805" s="148" t="s">
        <v>348</v>
      </c>
      <c r="J805" s="143" t="s">
        <v>163</v>
      </c>
      <c r="K805" s="226">
        <v>3150</v>
      </c>
      <c r="L805" s="226"/>
      <c r="M805" s="147">
        <v>0</v>
      </c>
      <c r="Q805" s="133" t="s">
        <v>348</v>
      </c>
    </row>
    <row r="806" spans="1:19" x14ac:dyDescent="0.2">
      <c r="A806" s="163">
        <v>2020</v>
      </c>
      <c r="B806" s="163">
        <v>9</v>
      </c>
      <c r="C806" s="163">
        <v>29</v>
      </c>
      <c r="D806" s="141">
        <f t="shared" si="30"/>
        <v>44103</v>
      </c>
      <c r="E806" s="275">
        <f t="shared" si="31"/>
        <v>44103</v>
      </c>
      <c r="F806" s="480"/>
      <c r="G806" s="221" t="s">
        <v>74</v>
      </c>
      <c r="H806" s="221" t="str" cm="1">
        <f t="array" ref="H806">IFERROR(INDEX(INVESTOR_LIST[INVESTOR NAME],MATCH(I806,INVESTOR_LIST[INVESTOR CODE],0),)," ")</f>
        <v xml:space="preserve"> </v>
      </c>
      <c r="I806" s="145" t="s">
        <v>348</v>
      </c>
      <c r="J806" s="146" t="s">
        <v>52</v>
      </c>
      <c r="K806" s="219"/>
      <c r="L806" s="219">
        <v>3150</v>
      </c>
      <c r="M806" s="147">
        <v>0</v>
      </c>
      <c r="Q806" s="133" t="s">
        <v>348</v>
      </c>
    </row>
    <row r="807" spans="1:19" x14ac:dyDescent="0.2">
      <c r="A807" s="168">
        <v>2020</v>
      </c>
      <c r="B807" s="168">
        <v>9</v>
      </c>
      <c r="C807" s="168">
        <v>30</v>
      </c>
      <c r="D807" s="141">
        <f t="shared" si="30"/>
        <v>44104</v>
      </c>
      <c r="E807" s="275">
        <f t="shared" si="31"/>
        <v>44104</v>
      </c>
      <c r="F807" s="479" t="s">
        <v>195</v>
      </c>
      <c r="G807" s="220" t="s">
        <v>74</v>
      </c>
      <c r="H807" s="220" t="str" cm="1">
        <f t="array" ref="H807">IFERROR(INDEX(INVESTOR_LIST[INVESTOR NAME],MATCH(I807,INVESTOR_LIST[INVESTOR CODE],0),)," ")</f>
        <v xml:space="preserve"> </v>
      </c>
      <c r="I807" s="142" t="s">
        <v>348</v>
      </c>
      <c r="J807" s="143" t="s">
        <v>52</v>
      </c>
      <c r="K807" s="226">
        <v>177085</v>
      </c>
      <c r="L807" s="226"/>
      <c r="M807" s="147">
        <v>0</v>
      </c>
      <c r="Q807" s="133" t="s">
        <v>348</v>
      </c>
    </row>
    <row r="808" spans="1:19" x14ac:dyDescent="0.2">
      <c r="A808" s="163">
        <v>2020</v>
      </c>
      <c r="B808" s="163">
        <v>9</v>
      </c>
      <c r="C808" s="163">
        <v>30</v>
      </c>
      <c r="D808" s="141">
        <f t="shared" si="30"/>
        <v>44104</v>
      </c>
      <c r="E808" s="275">
        <f t="shared" si="31"/>
        <v>44104</v>
      </c>
      <c r="F808" s="480"/>
      <c r="G808" s="221" t="s">
        <v>74</v>
      </c>
      <c r="H808" s="221" t="str" cm="1">
        <f t="array" ref="H808">IFERROR(INDEX(INVESTOR_LIST[INVESTOR NAME],MATCH(I808,INVESTOR_LIST[INVESTOR CODE],0),)," ")</f>
        <v xml:space="preserve"> </v>
      </c>
      <c r="I808" s="145" t="s">
        <v>348</v>
      </c>
      <c r="J808" s="146" t="s">
        <v>60</v>
      </c>
      <c r="K808" s="219"/>
      <c r="L808" s="219">
        <v>177085</v>
      </c>
      <c r="M808" s="147">
        <v>1</v>
      </c>
      <c r="Q808" s="133" t="s">
        <v>348</v>
      </c>
    </row>
    <row r="809" spans="1:19" ht="22.5" x14ac:dyDescent="0.2">
      <c r="A809" s="133">
        <v>2020</v>
      </c>
      <c r="B809" s="133">
        <v>10</v>
      </c>
      <c r="C809" s="133">
        <v>1</v>
      </c>
      <c r="D809" s="141">
        <f t="shared" si="30"/>
        <v>44105</v>
      </c>
      <c r="E809" s="275">
        <f t="shared" si="31"/>
        <v>44105</v>
      </c>
      <c r="F809" s="479" t="s">
        <v>964</v>
      </c>
      <c r="G809" s="174" t="s">
        <v>74</v>
      </c>
      <c r="H809" s="174" t="str" cm="1">
        <f t="array" ref="H809">IFERROR(INDEX(INVESTOR_LIST[INVESTOR NAME],MATCH(I809,INVESTOR_LIST[INVESTOR CODE],0),)," ")</f>
        <v>IFTEKHAR ALAM</v>
      </c>
      <c r="I809" s="148" t="s">
        <v>452</v>
      </c>
      <c r="J809" s="149" t="s">
        <v>52</v>
      </c>
      <c r="K809" s="218">
        <v>500000</v>
      </c>
      <c r="L809" s="218"/>
      <c r="M809" s="147">
        <v>1</v>
      </c>
      <c r="Q809" s="133" t="s">
        <v>452</v>
      </c>
      <c r="S809" s="164">
        <f>10000000/13.03</f>
        <v>767459.70836531091</v>
      </c>
    </row>
    <row r="810" spans="1:19" ht="22.5" x14ac:dyDescent="0.2">
      <c r="A810" s="133">
        <v>2020</v>
      </c>
      <c r="B810" s="133">
        <v>10</v>
      </c>
      <c r="C810" s="133">
        <v>1</v>
      </c>
      <c r="D810" s="141">
        <f t="shared" si="30"/>
        <v>44105</v>
      </c>
      <c r="E810" s="275">
        <f t="shared" si="31"/>
        <v>44105</v>
      </c>
      <c r="F810" s="481"/>
      <c r="G810" s="174" t="s">
        <v>74</v>
      </c>
      <c r="H810" s="174" t="str" cm="1">
        <f t="array" ref="H810">IFERROR(INDEX(INVESTOR_LIST[INVESTOR NAME],MATCH(I810,INVESTOR_LIST[INVESTOR CODE],0),)," ")</f>
        <v>IFTEKHAR ALAM</v>
      </c>
      <c r="I810" s="148" t="s">
        <v>452</v>
      </c>
      <c r="J810" s="149" t="s">
        <v>13</v>
      </c>
      <c r="K810" s="218"/>
      <c r="L810" s="218">
        <v>439760</v>
      </c>
      <c r="M810" s="147">
        <v>0</v>
      </c>
      <c r="Q810" s="133" t="s">
        <v>452</v>
      </c>
    </row>
    <row r="811" spans="1:19" ht="22.5" x14ac:dyDescent="0.2">
      <c r="A811" s="163">
        <v>2020</v>
      </c>
      <c r="B811" s="163">
        <v>10</v>
      </c>
      <c r="C811" s="163">
        <v>1</v>
      </c>
      <c r="D811" s="141">
        <f t="shared" si="30"/>
        <v>44105</v>
      </c>
      <c r="E811" s="275">
        <f t="shared" si="31"/>
        <v>44105</v>
      </c>
      <c r="F811" s="480"/>
      <c r="G811" s="221" t="s">
        <v>74</v>
      </c>
      <c r="H811" s="221" t="str" cm="1">
        <f t="array" ref="H811">IFERROR(INDEX(INVESTOR_LIST[INVESTOR NAME],MATCH(I811,INVESTOR_LIST[INVESTOR CODE],0),)," ")</f>
        <v>IFTEKHAR ALAM</v>
      </c>
      <c r="I811" s="145" t="s">
        <v>452</v>
      </c>
      <c r="J811" s="146" t="s">
        <v>53</v>
      </c>
      <c r="K811" s="219"/>
      <c r="L811" s="219">
        <f>K809-L810</f>
        <v>60240</v>
      </c>
      <c r="M811" s="147">
        <v>0</v>
      </c>
      <c r="Q811" s="133" t="s">
        <v>452</v>
      </c>
    </row>
    <row r="812" spans="1:19" ht="45" x14ac:dyDescent="0.2">
      <c r="A812" s="133">
        <v>2020</v>
      </c>
      <c r="B812" s="133">
        <v>10</v>
      </c>
      <c r="C812" s="133">
        <v>1</v>
      </c>
      <c r="D812" s="141">
        <f t="shared" si="30"/>
        <v>44105</v>
      </c>
      <c r="E812" s="275">
        <f t="shared" si="31"/>
        <v>44105</v>
      </c>
      <c r="F812" s="479" t="s">
        <v>964</v>
      </c>
      <c r="G812" s="174" t="s">
        <v>74</v>
      </c>
      <c r="H812" s="174" t="str" cm="1">
        <f t="array" ref="H812">IFERROR(INDEX(INVESTOR_LIST[INVESTOR NAME],MATCH(I812,INVESTOR_LIST[INVESTOR CODE],0),)," ")</f>
        <v>MOHAMMAD SHAHJAHAN</v>
      </c>
      <c r="I812" s="148" t="s">
        <v>453</v>
      </c>
      <c r="J812" s="149" t="s">
        <v>52</v>
      </c>
      <c r="K812" s="218">
        <v>100000</v>
      </c>
      <c r="L812" s="218"/>
      <c r="M812" s="147">
        <v>0</v>
      </c>
      <c r="Q812" s="133" t="s">
        <v>453</v>
      </c>
    </row>
    <row r="813" spans="1:19" ht="45" x14ac:dyDescent="0.2">
      <c r="A813" s="133">
        <v>2020</v>
      </c>
      <c r="B813" s="133">
        <v>10</v>
      </c>
      <c r="C813" s="133">
        <v>1</v>
      </c>
      <c r="D813" s="141">
        <f t="shared" si="30"/>
        <v>44105</v>
      </c>
      <c r="E813" s="275">
        <f t="shared" si="31"/>
        <v>44105</v>
      </c>
      <c r="F813" s="481"/>
      <c r="G813" s="174" t="s">
        <v>74</v>
      </c>
      <c r="H813" s="174" t="str" cm="1">
        <f t="array" ref="H813">IFERROR(INDEX(INVESTOR_LIST[INVESTOR NAME],MATCH(I813,INVESTOR_LIST[INVESTOR CODE],0),)," ")</f>
        <v>MOHAMMAD SHAHJAHAN</v>
      </c>
      <c r="I813" s="148" t="s">
        <v>453</v>
      </c>
      <c r="J813" s="149" t="s">
        <v>13</v>
      </c>
      <c r="K813" s="218"/>
      <c r="L813" s="218">
        <v>87950</v>
      </c>
      <c r="M813" s="147">
        <v>0</v>
      </c>
      <c r="Q813" s="133" t="s">
        <v>453</v>
      </c>
    </row>
    <row r="814" spans="1:19" ht="45" x14ac:dyDescent="0.2">
      <c r="A814" s="163">
        <v>2020</v>
      </c>
      <c r="B814" s="163">
        <v>10</v>
      </c>
      <c r="C814" s="163">
        <v>1</v>
      </c>
      <c r="D814" s="141">
        <f t="shared" si="30"/>
        <v>44105</v>
      </c>
      <c r="E814" s="275">
        <f t="shared" si="31"/>
        <v>44105</v>
      </c>
      <c r="F814" s="480"/>
      <c r="G814" s="221" t="s">
        <v>74</v>
      </c>
      <c r="H814" s="221" t="str" cm="1">
        <f t="array" ref="H814">IFERROR(INDEX(INVESTOR_LIST[INVESTOR NAME],MATCH(I814,INVESTOR_LIST[INVESTOR CODE],0),)," ")</f>
        <v>MOHAMMAD SHAHJAHAN</v>
      </c>
      <c r="I814" s="145" t="s">
        <v>453</v>
      </c>
      <c r="J814" s="146" t="s">
        <v>53</v>
      </c>
      <c r="K814" s="219"/>
      <c r="L814" s="219">
        <f>K812-L813</f>
        <v>12050</v>
      </c>
      <c r="M814" s="147">
        <v>0</v>
      </c>
      <c r="Q814" s="133" t="s">
        <v>453</v>
      </c>
    </row>
    <row r="815" spans="1:19" x14ac:dyDescent="0.2">
      <c r="A815" s="168">
        <v>2020</v>
      </c>
      <c r="B815" s="168">
        <v>10</v>
      </c>
      <c r="C815" s="168">
        <v>1</v>
      </c>
      <c r="D815" s="141">
        <f t="shared" si="30"/>
        <v>44105</v>
      </c>
      <c r="E815" s="275">
        <f t="shared" si="31"/>
        <v>44105</v>
      </c>
      <c r="F815" s="479" t="s">
        <v>77</v>
      </c>
      <c r="G815" s="220" t="s">
        <v>74</v>
      </c>
      <c r="H815" s="220" t="str" cm="1">
        <f t="array" ref="H815">IFERROR(INDEX(INVESTOR_LIST[INVESTOR NAME],MATCH(I815,INVESTOR_LIST[INVESTOR CODE],0),)," ")</f>
        <v xml:space="preserve"> </v>
      </c>
      <c r="I815" s="142" t="s">
        <v>348</v>
      </c>
      <c r="J815" s="143" t="s">
        <v>61</v>
      </c>
      <c r="K815" s="226">
        <v>60</v>
      </c>
      <c r="L815" s="226"/>
      <c r="M815" s="147">
        <v>0</v>
      </c>
      <c r="Q815" s="133" t="s">
        <v>348</v>
      </c>
    </row>
    <row r="816" spans="1:19" x14ac:dyDescent="0.2">
      <c r="A816" s="163">
        <v>2020</v>
      </c>
      <c r="B816" s="163">
        <v>10</v>
      </c>
      <c r="C816" s="163">
        <v>1</v>
      </c>
      <c r="D816" s="141">
        <f t="shared" si="30"/>
        <v>44105</v>
      </c>
      <c r="E816" s="275">
        <f t="shared" si="31"/>
        <v>44105</v>
      </c>
      <c r="F816" s="480"/>
      <c r="G816" s="221" t="s">
        <v>74</v>
      </c>
      <c r="H816" s="221" t="str" cm="1">
        <f t="array" ref="H816">IFERROR(INDEX(INVESTOR_LIST[INVESTOR NAME],MATCH(I816,INVESTOR_LIST[INVESTOR CODE],0),)," ")</f>
        <v xml:space="preserve"> </v>
      </c>
      <c r="I816" s="145" t="s">
        <v>348</v>
      </c>
      <c r="J816" s="146" t="s">
        <v>52</v>
      </c>
      <c r="K816" s="219"/>
      <c r="L816" s="219">
        <v>60</v>
      </c>
      <c r="M816" s="147">
        <v>0</v>
      </c>
      <c r="Q816" s="133" t="s">
        <v>348</v>
      </c>
    </row>
    <row r="817" spans="1:17" x14ac:dyDescent="0.2">
      <c r="A817" s="168">
        <v>2020</v>
      </c>
      <c r="B817" s="168">
        <v>10</v>
      </c>
      <c r="C817" s="168">
        <v>1</v>
      </c>
      <c r="D817" s="141">
        <f t="shared" si="30"/>
        <v>44105</v>
      </c>
      <c r="E817" s="275">
        <f t="shared" si="31"/>
        <v>44105</v>
      </c>
      <c r="F817" s="479" t="s">
        <v>261</v>
      </c>
      <c r="G817" s="220" t="s">
        <v>74</v>
      </c>
      <c r="H817" s="220" t="str" cm="1">
        <f t="array" ref="H817">IFERROR(INDEX(INVESTOR_LIST[INVESTOR NAME],MATCH(I817,INVESTOR_LIST[INVESTOR CODE],0),)," ")</f>
        <v xml:space="preserve"> </v>
      </c>
      <c r="I817" s="142" t="s">
        <v>348</v>
      </c>
      <c r="J817" s="143" t="s">
        <v>52</v>
      </c>
      <c r="K817" s="226">
        <v>5005289.07</v>
      </c>
      <c r="L817" s="226"/>
      <c r="M817" s="147">
        <v>0</v>
      </c>
      <c r="Q817" s="133" t="s">
        <v>348</v>
      </c>
    </row>
    <row r="818" spans="1:17" x14ac:dyDescent="0.2">
      <c r="A818" s="133">
        <v>2020</v>
      </c>
      <c r="B818" s="133">
        <v>10</v>
      </c>
      <c r="C818" s="133">
        <v>1</v>
      </c>
      <c r="D818" s="141">
        <f t="shared" si="30"/>
        <v>44105</v>
      </c>
      <c r="E818" s="275">
        <f t="shared" si="31"/>
        <v>44105</v>
      </c>
      <c r="F818" s="481"/>
      <c r="G818" s="174" t="s">
        <v>74</v>
      </c>
      <c r="H818" s="174" t="str" cm="1">
        <f t="array" ref="H818">IFERROR(INDEX(INVESTOR_LIST[INVESTOR NAME],MATCH(I818,INVESTOR_LIST[INVESTOR CODE],0),)," ")</f>
        <v xml:space="preserve"> </v>
      </c>
      <c r="I818" s="148" t="s">
        <v>348</v>
      </c>
      <c r="J818" s="149" t="s">
        <v>80</v>
      </c>
      <c r="K818" s="218">
        <f>L819-K817</f>
        <v>85.009999999776483</v>
      </c>
      <c r="L818" s="218"/>
      <c r="M818" s="147">
        <v>0</v>
      </c>
      <c r="N818" s="156"/>
      <c r="Q818" s="133" t="s">
        <v>348</v>
      </c>
    </row>
    <row r="819" spans="1:17" x14ac:dyDescent="0.2">
      <c r="A819" s="163">
        <v>2020</v>
      </c>
      <c r="B819" s="163">
        <v>10</v>
      </c>
      <c r="C819" s="163">
        <v>1</v>
      </c>
      <c r="D819" s="141">
        <f t="shared" si="30"/>
        <v>44105</v>
      </c>
      <c r="E819" s="275">
        <f t="shared" si="31"/>
        <v>44105</v>
      </c>
      <c r="F819" s="480"/>
      <c r="G819" s="221" t="s">
        <v>74</v>
      </c>
      <c r="H819" s="221" t="str" cm="1">
        <f t="array" ref="H819">IFERROR(INDEX(INVESTOR_LIST[INVESTOR NAME],MATCH(I819,INVESTOR_LIST[INVESTOR CODE],0),)," ")</f>
        <v xml:space="preserve"> </v>
      </c>
      <c r="I819" s="145" t="s">
        <v>348</v>
      </c>
      <c r="J819" s="146" t="s">
        <v>190</v>
      </c>
      <c r="K819" s="219"/>
      <c r="L819" s="219">
        <v>5005374.08</v>
      </c>
      <c r="M819" s="147">
        <v>1</v>
      </c>
      <c r="Q819" s="133" t="s">
        <v>348</v>
      </c>
    </row>
    <row r="820" spans="1:17" x14ac:dyDescent="0.2">
      <c r="A820" s="168">
        <v>2020</v>
      </c>
      <c r="B820" s="168">
        <v>10</v>
      </c>
      <c r="C820" s="168">
        <v>1</v>
      </c>
      <c r="D820" s="141">
        <f t="shared" si="30"/>
        <v>44105</v>
      </c>
      <c r="E820" s="275">
        <f t="shared" si="31"/>
        <v>44105</v>
      </c>
      <c r="F820" s="479" t="s">
        <v>198</v>
      </c>
      <c r="G820" s="220" t="s">
        <v>201</v>
      </c>
      <c r="H820" s="220" t="str" cm="1">
        <f t="array" ref="H820">IFERROR(INDEX(INVESTOR_LIST[INVESTOR NAME],MATCH(I820,INVESTOR_LIST[INVESTOR CODE],0),)," ")</f>
        <v xml:space="preserve"> </v>
      </c>
      <c r="I820" s="142" t="s">
        <v>348</v>
      </c>
      <c r="J820" s="143" t="s">
        <v>52</v>
      </c>
      <c r="K820" s="226">
        <v>390000</v>
      </c>
      <c r="L820" s="226"/>
      <c r="M820" s="147">
        <v>0</v>
      </c>
      <c r="Q820" s="133" t="s">
        <v>348</v>
      </c>
    </row>
    <row r="821" spans="1:17" x14ac:dyDescent="0.2">
      <c r="A821" s="163">
        <v>2020</v>
      </c>
      <c r="B821" s="163">
        <v>10</v>
      </c>
      <c r="C821" s="163">
        <v>1</v>
      </c>
      <c r="D821" s="141">
        <f t="shared" si="30"/>
        <v>44105</v>
      </c>
      <c r="E821" s="275">
        <f t="shared" si="31"/>
        <v>44105</v>
      </c>
      <c r="F821" s="480"/>
      <c r="G821" s="221" t="s">
        <v>201</v>
      </c>
      <c r="H821" s="221" t="str" cm="1">
        <f t="array" ref="H821">IFERROR(INDEX(INVESTOR_LIST[INVESTOR NAME],MATCH(I821,INVESTOR_LIST[INVESTOR CODE],0),)," ")</f>
        <v xml:space="preserve"> </v>
      </c>
      <c r="I821" s="145" t="s">
        <v>348</v>
      </c>
      <c r="J821" s="146" t="s">
        <v>168</v>
      </c>
      <c r="K821" s="219"/>
      <c r="L821" s="219">
        <v>390000</v>
      </c>
      <c r="M821" s="147">
        <v>0</v>
      </c>
      <c r="Q821" s="133" t="s">
        <v>348</v>
      </c>
    </row>
    <row r="822" spans="1:17" x14ac:dyDescent="0.2">
      <c r="A822" s="168">
        <v>2020</v>
      </c>
      <c r="B822" s="168">
        <v>10</v>
      </c>
      <c r="C822" s="168">
        <v>1</v>
      </c>
      <c r="D822" s="141">
        <f t="shared" si="30"/>
        <v>44105</v>
      </c>
      <c r="E822" s="275">
        <f t="shared" si="31"/>
        <v>44105</v>
      </c>
      <c r="F822" s="479" t="s">
        <v>77</v>
      </c>
      <c r="G822" s="220" t="s">
        <v>74</v>
      </c>
      <c r="H822" s="220" t="str" cm="1">
        <f t="array" ref="H822">IFERROR(INDEX(INVESTOR_LIST[INVESTOR NAME],MATCH(I822,INVESTOR_LIST[INVESTOR CODE],0),)," ")</f>
        <v xml:space="preserve"> </v>
      </c>
      <c r="I822" s="142" t="s">
        <v>348</v>
      </c>
      <c r="J822" s="143" t="s">
        <v>61</v>
      </c>
      <c r="K822" s="226">
        <v>20</v>
      </c>
      <c r="L822" s="226"/>
      <c r="M822" s="147">
        <v>0</v>
      </c>
      <c r="Q822" s="133" t="s">
        <v>348</v>
      </c>
    </row>
    <row r="823" spans="1:17" x14ac:dyDescent="0.2">
      <c r="A823" s="163">
        <v>2020</v>
      </c>
      <c r="B823" s="163">
        <v>10</v>
      </c>
      <c r="C823" s="163">
        <v>1</v>
      </c>
      <c r="D823" s="141">
        <f t="shared" si="30"/>
        <v>44105</v>
      </c>
      <c r="E823" s="275">
        <f t="shared" si="31"/>
        <v>44105</v>
      </c>
      <c r="F823" s="480"/>
      <c r="G823" s="221" t="s">
        <v>74</v>
      </c>
      <c r="H823" s="221" t="str" cm="1">
        <f t="array" ref="H823">IFERROR(INDEX(INVESTOR_LIST[INVESTOR NAME],MATCH(I823,INVESTOR_LIST[INVESTOR CODE],0),)," ")</f>
        <v xml:space="preserve"> </v>
      </c>
      <c r="I823" s="145" t="s">
        <v>348</v>
      </c>
      <c r="J823" s="146" t="s">
        <v>52</v>
      </c>
      <c r="K823" s="219"/>
      <c r="L823" s="219">
        <v>20</v>
      </c>
      <c r="M823" s="147">
        <v>0</v>
      </c>
      <c r="Q823" s="133" t="s">
        <v>348</v>
      </c>
    </row>
    <row r="824" spans="1:17" x14ac:dyDescent="0.2">
      <c r="A824" s="270">
        <v>2020</v>
      </c>
      <c r="B824" s="270">
        <v>10</v>
      </c>
      <c r="C824" s="270">
        <v>1</v>
      </c>
      <c r="D824" s="141">
        <f t="shared" si="30"/>
        <v>44105</v>
      </c>
      <c r="E824" s="275">
        <f t="shared" si="31"/>
        <v>44105</v>
      </c>
      <c r="F824" s="477" t="s">
        <v>105</v>
      </c>
      <c r="G824" s="239" t="s">
        <v>94</v>
      </c>
      <c r="H824" s="239" t="str" cm="1">
        <f t="array" ref="H824">IFERROR(INDEX(INVESTOR_LIST[INVESTOR NAME],MATCH(I824,INVESTOR_LIST[INVESTOR CODE],0),)," ")</f>
        <v xml:space="preserve"> </v>
      </c>
      <c r="I824" s="262" t="s">
        <v>348</v>
      </c>
      <c r="J824" s="240" t="s">
        <v>83</v>
      </c>
      <c r="K824" s="241">
        <v>347440.49</v>
      </c>
      <c r="L824" s="241"/>
      <c r="M824" s="147">
        <v>0</v>
      </c>
      <c r="O824" s="160"/>
      <c r="Q824" s="133" t="s">
        <v>348</v>
      </c>
    </row>
    <row r="825" spans="1:17" x14ac:dyDescent="0.2">
      <c r="A825" s="251">
        <v>2020</v>
      </c>
      <c r="B825" s="251">
        <v>10</v>
      </c>
      <c r="C825" s="251">
        <v>1</v>
      </c>
      <c r="D825" s="141">
        <f t="shared" si="30"/>
        <v>44105</v>
      </c>
      <c r="E825" s="275">
        <f t="shared" si="31"/>
        <v>44105</v>
      </c>
      <c r="F825" s="478"/>
      <c r="G825" s="243" t="s">
        <v>94</v>
      </c>
      <c r="H825" s="243" t="str" cm="1">
        <f t="array" ref="H825">IFERROR(INDEX(INVESTOR_LIST[INVESTOR NAME],MATCH(I825,INVESTOR_LIST[INVESTOR CODE],0),)," ")</f>
        <v xml:space="preserve"> </v>
      </c>
      <c r="I825" s="263" t="s">
        <v>348</v>
      </c>
      <c r="J825" s="244" t="s">
        <v>108</v>
      </c>
      <c r="K825" s="245"/>
      <c r="L825" s="245">
        <v>347440.49</v>
      </c>
      <c r="M825" s="147">
        <v>0</v>
      </c>
      <c r="Q825" s="133" t="s">
        <v>348</v>
      </c>
    </row>
    <row r="826" spans="1:17" ht="22.5" x14ac:dyDescent="0.2">
      <c r="A826" s="246">
        <v>2020</v>
      </c>
      <c r="B826" s="246">
        <v>10</v>
      </c>
      <c r="C826" s="246">
        <v>1</v>
      </c>
      <c r="D826" s="141">
        <f t="shared" si="30"/>
        <v>44105</v>
      </c>
      <c r="E826" s="275">
        <f t="shared" si="31"/>
        <v>44105</v>
      </c>
      <c r="F826" s="477" t="s">
        <v>148</v>
      </c>
      <c r="G826" s="247" t="s">
        <v>94</v>
      </c>
      <c r="H826" s="247" t="str" cm="1">
        <f t="array" ref="H826">IFERROR(INDEX(INVESTOR_LIST[INVESTOR NAME],MATCH(I826,INVESTOR_LIST[INVESTOR CODE],0),)," ")</f>
        <v xml:space="preserve"> </v>
      </c>
      <c r="I826" s="248" t="s">
        <v>348</v>
      </c>
      <c r="J826" s="249" t="s">
        <v>95</v>
      </c>
      <c r="K826" s="252">
        <v>2747.25</v>
      </c>
      <c r="L826" s="252"/>
      <c r="M826" s="147">
        <v>0</v>
      </c>
      <c r="Q826" s="133" t="s">
        <v>348</v>
      </c>
    </row>
    <row r="827" spans="1:17" x14ac:dyDescent="0.2">
      <c r="A827" s="242">
        <v>2020</v>
      </c>
      <c r="B827" s="242">
        <v>10</v>
      </c>
      <c r="C827" s="242">
        <v>1</v>
      </c>
      <c r="D827" s="141">
        <f t="shared" si="30"/>
        <v>44105</v>
      </c>
      <c r="E827" s="275">
        <f t="shared" si="31"/>
        <v>44105</v>
      </c>
      <c r="F827" s="478"/>
      <c r="G827" s="243" t="s">
        <v>94</v>
      </c>
      <c r="H827" s="243" t="str" cm="1">
        <f t="array" ref="H827">IFERROR(INDEX(INVESTOR_LIST[INVESTOR NAME],MATCH(I827,INVESTOR_LIST[INVESTOR CODE],0),)," ")</f>
        <v xml:space="preserve"> </v>
      </c>
      <c r="I827" s="263" t="s">
        <v>348</v>
      </c>
      <c r="J827" s="244" t="s">
        <v>63</v>
      </c>
      <c r="K827" s="245"/>
      <c r="L827" s="245">
        <v>2747.25</v>
      </c>
      <c r="M827" s="147">
        <v>0</v>
      </c>
      <c r="Q827" s="133" t="s">
        <v>348</v>
      </c>
    </row>
    <row r="828" spans="1:17" x14ac:dyDescent="0.2">
      <c r="A828" s="238">
        <v>2020</v>
      </c>
      <c r="B828" s="238">
        <v>10</v>
      </c>
      <c r="C828" s="238">
        <v>1</v>
      </c>
      <c r="D828" s="141">
        <f t="shared" si="30"/>
        <v>44105</v>
      </c>
      <c r="E828" s="275">
        <f t="shared" si="31"/>
        <v>44105</v>
      </c>
      <c r="F828" s="477" t="s">
        <v>137</v>
      </c>
      <c r="G828" s="239" t="s">
        <v>94</v>
      </c>
      <c r="H828" s="247" t="str" cm="1">
        <f t="array" ref="H828">IFERROR(INDEX(INVESTOR_LIST[INVESTOR NAME],MATCH(I828,INVESTOR_LIST[INVESTOR CODE],0),)," ")</f>
        <v xml:space="preserve"> </v>
      </c>
      <c r="I828" s="248" t="s">
        <v>348</v>
      </c>
      <c r="J828" s="240" t="s">
        <v>97</v>
      </c>
      <c r="K828" s="241">
        <v>39426.47</v>
      </c>
      <c r="L828" s="241"/>
      <c r="M828" s="147">
        <v>0</v>
      </c>
      <c r="Q828" s="133" t="s">
        <v>348</v>
      </c>
    </row>
    <row r="829" spans="1:17" x14ac:dyDescent="0.2">
      <c r="A829" s="242">
        <v>2020</v>
      </c>
      <c r="B829" s="242">
        <v>10</v>
      </c>
      <c r="C829" s="242">
        <v>1</v>
      </c>
      <c r="D829" s="141">
        <f t="shared" si="30"/>
        <v>44105</v>
      </c>
      <c r="E829" s="275">
        <f t="shared" si="31"/>
        <v>44105</v>
      </c>
      <c r="F829" s="478"/>
      <c r="G829" s="243" t="s">
        <v>94</v>
      </c>
      <c r="H829" s="243" t="str" cm="1">
        <f t="array" ref="H829">IFERROR(INDEX(INVESTOR_LIST[INVESTOR NAME],MATCH(I829,INVESTOR_LIST[INVESTOR CODE],0),)," ")</f>
        <v xml:space="preserve"> </v>
      </c>
      <c r="I829" s="263" t="s">
        <v>348</v>
      </c>
      <c r="J829" s="244" t="s">
        <v>47</v>
      </c>
      <c r="K829" s="245"/>
      <c r="L829" s="245">
        <v>39426.47</v>
      </c>
      <c r="M829" s="147">
        <v>0</v>
      </c>
      <c r="Q829" s="133" t="s">
        <v>348</v>
      </c>
    </row>
    <row r="830" spans="1:17" x14ac:dyDescent="0.2">
      <c r="A830" s="246">
        <v>2020</v>
      </c>
      <c r="B830" s="246">
        <v>10</v>
      </c>
      <c r="C830" s="246">
        <v>1</v>
      </c>
      <c r="D830" s="141">
        <f t="shared" si="30"/>
        <v>44105</v>
      </c>
      <c r="E830" s="275">
        <f t="shared" si="31"/>
        <v>44105</v>
      </c>
      <c r="F830" s="482" t="s">
        <v>138</v>
      </c>
      <c r="G830" s="247" t="s">
        <v>94</v>
      </c>
      <c r="H830" s="247" t="str" cm="1">
        <f t="array" ref="H830">IFERROR(INDEX(INVESTOR_LIST[INVESTOR NAME],MATCH(I830,INVESTOR_LIST[INVESTOR CODE],0),)," ")</f>
        <v xml:space="preserve"> </v>
      </c>
      <c r="I830" s="248" t="s">
        <v>348</v>
      </c>
      <c r="J830" s="249" t="s">
        <v>100</v>
      </c>
      <c r="K830" s="252">
        <v>1731</v>
      </c>
      <c r="L830" s="252"/>
      <c r="M830" s="147">
        <v>0</v>
      </c>
      <c r="Q830" s="133" t="s">
        <v>348</v>
      </c>
    </row>
    <row r="831" spans="1:17" x14ac:dyDescent="0.2">
      <c r="A831" s="242">
        <v>2020</v>
      </c>
      <c r="B831" s="242">
        <v>10</v>
      </c>
      <c r="C831" s="242">
        <v>1</v>
      </c>
      <c r="D831" s="141">
        <f t="shared" si="30"/>
        <v>44105</v>
      </c>
      <c r="E831" s="275">
        <f t="shared" si="31"/>
        <v>44105</v>
      </c>
      <c r="F831" s="478"/>
      <c r="G831" s="243" t="s">
        <v>94</v>
      </c>
      <c r="H831" s="243" t="str" cm="1">
        <f t="array" ref="H831">IFERROR(INDEX(INVESTOR_LIST[INVESTOR NAME],MATCH(I831,INVESTOR_LIST[INVESTOR CODE],0),)," ")</f>
        <v xml:space="preserve"> </v>
      </c>
      <c r="I831" s="263" t="s">
        <v>348</v>
      </c>
      <c r="J831" s="244" t="s">
        <v>48</v>
      </c>
      <c r="K831" s="245"/>
      <c r="L831" s="245">
        <v>1731</v>
      </c>
      <c r="M831" s="147">
        <v>0</v>
      </c>
      <c r="Q831" s="133" t="s">
        <v>348</v>
      </c>
    </row>
    <row r="832" spans="1:17" x14ac:dyDescent="0.2">
      <c r="A832" s="246">
        <v>2020</v>
      </c>
      <c r="B832" s="246">
        <v>10</v>
      </c>
      <c r="C832" s="246">
        <v>1</v>
      </c>
      <c r="D832" s="141">
        <f t="shared" si="30"/>
        <v>44105</v>
      </c>
      <c r="E832" s="275">
        <f t="shared" si="31"/>
        <v>44105</v>
      </c>
      <c r="F832" s="482" t="s">
        <v>140</v>
      </c>
      <c r="G832" s="247" t="s">
        <v>94</v>
      </c>
      <c r="H832" s="247" t="str" cm="1">
        <f t="array" ref="H832">IFERROR(INDEX(INVESTOR_LIST[INVESTOR NAME],MATCH(I832,INVESTOR_LIST[INVESTOR CODE],0),)," ")</f>
        <v xml:space="preserve"> </v>
      </c>
      <c r="I832" s="248" t="s">
        <v>348</v>
      </c>
      <c r="J832" s="249" t="s">
        <v>103</v>
      </c>
      <c r="K832" s="252">
        <v>729.17</v>
      </c>
      <c r="L832" s="252"/>
      <c r="M832" s="147">
        <v>0</v>
      </c>
      <c r="Q832" s="133" t="s">
        <v>348</v>
      </c>
    </row>
    <row r="833" spans="1:17" x14ac:dyDescent="0.2">
      <c r="A833" s="242">
        <v>2020</v>
      </c>
      <c r="B833" s="242">
        <v>10</v>
      </c>
      <c r="C833" s="242">
        <v>1</v>
      </c>
      <c r="D833" s="141">
        <f t="shared" si="30"/>
        <v>44105</v>
      </c>
      <c r="E833" s="275">
        <f t="shared" si="31"/>
        <v>44105</v>
      </c>
      <c r="F833" s="478"/>
      <c r="G833" s="243" t="s">
        <v>94</v>
      </c>
      <c r="H833" s="243" t="str" cm="1">
        <f t="array" ref="H833">IFERROR(INDEX(INVESTOR_LIST[INVESTOR NAME],MATCH(I833,INVESTOR_LIST[INVESTOR CODE],0),)," ")</f>
        <v xml:space="preserve"> </v>
      </c>
      <c r="I833" s="263" t="s">
        <v>348</v>
      </c>
      <c r="J833" s="244" t="s">
        <v>50</v>
      </c>
      <c r="K833" s="245"/>
      <c r="L833" s="245">
        <v>729.17</v>
      </c>
      <c r="M833" s="147">
        <v>0</v>
      </c>
      <c r="Q833" s="133" t="s">
        <v>348</v>
      </c>
    </row>
    <row r="834" spans="1:17" ht="67.5" x14ac:dyDescent="0.2">
      <c r="A834" s="133">
        <v>2020</v>
      </c>
      <c r="B834" s="133">
        <v>10</v>
      </c>
      <c r="C834" s="133">
        <v>4</v>
      </c>
      <c r="D834" s="141">
        <f t="shared" si="30"/>
        <v>44108</v>
      </c>
      <c r="E834" s="275">
        <f t="shared" si="31"/>
        <v>44108</v>
      </c>
      <c r="F834" s="479" t="s">
        <v>964</v>
      </c>
      <c r="G834" s="174" t="s">
        <v>74</v>
      </c>
      <c r="H834" s="174" t="str" cm="1">
        <f t="array" ref="H834">IFERROR(INDEX(INVESTOR_LIST[INVESTOR NAME],MATCH(I834,INVESTOR_LIST[INVESTOR CODE],0),)," ")</f>
        <v>KHAN SALAHUDDIN MOHAMMAD MINHAJ</v>
      </c>
      <c r="I834" s="148" t="s">
        <v>454</v>
      </c>
      <c r="J834" s="149" t="s">
        <v>52</v>
      </c>
      <c r="K834" s="218">
        <v>5000000</v>
      </c>
      <c r="L834" s="218"/>
      <c r="M834" s="147">
        <v>0</v>
      </c>
      <c r="Q834" s="133" t="s">
        <v>454</v>
      </c>
    </row>
    <row r="835" spans="1:17" ht="67.5" x14ac:dyDescent="0.2">
      <c r="A835" s="133">
        <v>2020</v>
      </c>
      <c r="B835" s="133">
        <v>10</v>
      </c>
      <c r="C835" s="133">
        <v>4</v>
      </c>
      <c r="D835" s="141">
        <f t="shared" si="30"/>
        <v>44108</v>
      </c>
      <c r="E835" s="275">
        <f t="shared" si="31"/>
        <v>44108</v>
      </c>
      <c r="F835" s="481"/>
      <c r="G835" s="174" t="s">
        <v>74</v>
      </c>
      <c r="H835" s="174" t="str" cm="1">
        <f t="array" ref="H835">IFERROR(INDEX(INVESTOR_LIST[INVESTOR NAME],MATCH(I835,INVESTOR_LIST[INVESTOR CODE],0),)," ")</f>
        <v>KHAN SALAHUDDIN MOHAMMAD MINHAJ</v>
      </c>
      <c r="I835" s="148" t="s">
        <v>454</v>
      </c>
      <c r="J835" s="149" t="s">
        <v>13</v>
      </c>
      <c r="K835" s="218"/>
      <c r="L835" s="218">
        <v>4397540</v>
      </c>
      <c r="M835" s="147">
        <v>0</v>
      </c>
      <c r="Q835" s="133" t="s">
        <v>454</v>
      </c>
    </row>
    <row r="836" spans="1:17" ht="67.5" x14ac:dyDescent="0.2">
      <c r="A836" s="163">
        <v>2020</v>
      </c>
      <c r="B836" s="163">
        <v>10</v>
      </c>
      <c r="C836" s="163">
        <v>4</v>
      </c>
      <c r="D836" s="141">
        <f t="shared" si="30"/>
        <v>44108</v>
      </c>
      <c r="E836" s="275">
        <f t="shared" si="31"/>
        <v>44108</v>
      </c>
      <c r="F836" s="480"/>
      <c r="G836" s="221" t="s">
        <v>74</v>
      </c>
      <c r="H836" s="221" t="str" cm="1">
        <f t="array" ref="H836">IFERROR(INDEX(INVESTOR_LIST[INVESTOR NAME],MATCH(I836,INVESTOR_LIST[INVESTOR CODE],0),)," ")</f>
        <v>KHAN SALAHUDDIN MOHAMMAD MINHAJ</v>
      </c>
      <c r="I836" s="145" t="s">
        <v>454</v>
      </c>
      <c r="J836" s="146" t="s">
        <v>53</v>
      </c>
      <c r="K836" s="219"/>
      <c r="L836" s="219">
        <f>K834-L835</f>
        <v>602460</v>
      </c>
      <c r="M836" s="147">
        <v>0</v>
      </c>
      <c r="Q836" s="133" t="s">
        <v>454</v>
      </c>
    </row>
    <row r="837" spans="1:17" x14ac:dyDescent="0.2">
      <c r="A837" s="133">
        <v>2020</v>
      </c>
      <c r="B837" s="133">
        <v>10</v>
      </c>
      <c r="C837" s="133">
        <v>4</v>
      </c>
      <c r="D837" s="141">
        <f t="shared" si="30"/>
        <v>44108</v>
      </c>
      <c r="E837" s="275">
        <f t="shared" si="31"/>
        <v>44108</v>
      </c>
      <c r="F837" s="479" t="s">
        <v>77</v>
      </c>
      <c r="G837" s="174" t="s">
        <v>74</v>
      </c>
      <c r="H837" s="174" t="str" cm="1">
        <f t="array" ref="H837">IFERROR(INDEX(INVESTOR_LIST[INVESTOR NAME],MATCH(I837,INVESTOR_LIST[INVESTOR CODE],0),)," ")</f>
        <v xml:space="preserve"> </v>
      </c>
      <c r="I837" s="148" t="s">
        <v>348</v>
      </c>
      <c r="J837" s="149" t="s">
        <v>61</v>
      </c>
      <c r="K837" s="218">
        <v>60</v>
      </c>
      <c r="L837" s="218"/>
      <c r="M837" s="147">
        <v>0</v>
      </c>
      <c r="Q837" s="133" t="s">
        <v>348</v>
      </c>
    </row>
    <row r="838" spans="1:17" x14ac:dyDescent="0.2">
      <c r="A838" s="133">
        <v>2020</v>
      </c>
      <c r="B838" s="133">
        <v>10</v>
      </c>
      <c r="C838" s="133">
        <v>4</v>
      </c>
      <c r="D838" s="141">
        <f t="shared" si="30"/>
        <v>44108</v>
      </c>
      <c r="E838" s="275">
        <f t="shared" si="31"/>
        <v>44108</v>
      </c>
      <c r="F838" s="480"/>
      <c r="G838" s="174" t="s">
        <v>74</v>
      </c>
      <c r="H838" s="174" t="str" cm="1">
        <f t="array" ref="H838">IFERROR(INDEX(INVESTOR_LIST[INVESTOR NAME],MATCH(I838,INVESTOR_LIST[INVESTOR CODE],0),)," ")</f>
        <v xml:space="preserve"> </v>
      </c>
      <c r="I838" s="148" t="s">
        <v>348</v>
      </c>
      <c r="J838" s="149" t="s">
        <v>52</v>
      </c>
      <c r="K838" s="218"/>
      <c r="L838" s="218">
        <v>60</v>
      </c>
      <c r="M838" s="147">
        <v>0</v>
      </c>
      <c r="Q838" s="133" t="s">
        <v>348</v>
      </c>
    </row>
    <row r="839" spans="1:17" x14ac:dyDescent="0.2">
      <c r="A839" s="168">
        <v>2020</v>
      </c>
      <c r="B839" s="168">
        <v>10</v>
      </c>
      <c r="C839" s="168">
        <v>4</v>
      </c>
      <c r="D839" s="141">
        <f t="shared" si="30"/>
        <v>44108</v>
      </c>
      <c r="E839" s="275">
        <f t="shared" si="31"/>
        <v>44108</v>
      </c>
      <c r="F839" s="479" t="s">
        <v>196</v>
      </c>
      <c r="G839" s="220" t="s">
        <v>74</v>
      </c>
      <c r="H839" s="220" t="str" cm="1">
        <f t="array" ref="H839">IFERROR(INDEX(INVESTOR_LIST[INVESTOR NAME],MATCH(I839,INVESTOR_LIST[INVESTOR CODE],0),)," ")</f>
        <v xml:space="preserve"> </v>
      </c>
      <c r="I839" s="142" t="s">
        <v>348</v>
      </c>
      <c r="J839" s="143" t="s">
        <v>52</v>
      </c>
      <c r="K839" s="226">
        <v>5002000</v>
      </c>
      <c r="L839" s="226"/>
      <c r="M839" s="147">
        <v>0</v>
      </c>
      <c r="Q839" s="133" t="s">
        <v>348</v>
      </c>
    </row>
    <row r="840" spans="1:17" x14ac:dyDescent="0.2">
      <c r="A840" s="163">
        <v>2020</v>
      </c>
      <c r="B840" s="163">
        <v>10</v>
      </c>
      <c r="C840" s="163">
        <v>4</v>
      </c>
      <c r="D840" s="141">
        <f t="shared" si="30"/>
        <v>44108</v>
      </c>
      <c r="E840" s="275">
        <f t="shared" si="31"/>
        <v>44108</v>
      </c>
      <c r="F840" s="480"/>
      <c r="G840" s="221" t="s">
        <v>74</v>
      </c>
      <c r="H840" s="221" t="str" cm="1">
        <f t="array" ref="H840">IFERROR(INDEX(INVESTOR_LIST[INVESTOR NAME],MATCH(I840,INVESTOR_LIST[INVESTOR CODE],0),)," ")</f>
        <v xml:space="preserve"> </v>
      </c>
      <c r="I840" s="145" t="s">
        <v>348</v>
      </c>
      <c r="J840" s="146" t="s">
        <v>184</v>
      </c>
      <c r="K840" s="219"/>
      <c r="L840" s="219">
        <v>5002000</v>
      </c>
      <c r="M840" s="147">
        <v>2</v>
      </c>
      <c r="Q840" s="133" t="s">
        <v>348</v>
      </c>
    </row>
    <row r="841" spans="1:17" ht="33.75" x14ac:dyDescent="0.2">
      <c r="A841" s="168">
        <v>2020</v>
      </c>
      <c r="B841" s="168">
        <v>10</v>
      </c>
      <c r="C841" s="168">
        <v>5</v>
      </c>
      <c r="D841" s="141">
        <f t="shared" si="30"/>
        <v>44109</v>
      </c>
      <c r="E841" s="275">
        <f t="shared" si="31"/>
        <v>44109</v>
      </c>
      <c r="F841" s="479" t="s">
        <v>965</v>
      </c>
      <c r="G841" s="174" t="s">
        <v>74</v>
      </c>
      <c r="H841" s="174" t="str" cm="1">
        <f t="array" ref="H841">IFERROR(INDEX(INVESTOR_LIST[INVESTOR NAME],MATCH(I841,INVESTOR_LIST[INVESTOR CODE],0),)," ")</f>
        <v>ASHIT BARAN SAHA</v>
      </c>
      <c r="I841" s="148" t="s">
        <v>442</v>
      </c>
      <c r="J841" s="149" t="s">
        <v>13</v>
      </c>
      <c r="K841" s="218">
        <v>431410</v>
      </c>
      <c r="L841" s="218"/>
      <c r="M841" s="147">
        <v>0</v>
      </c>
      <c r="Q841" s="133" t="s">
        <v>442</v>
      </c>
    </row>
    <row r="842" spans="1:17" ht="33.75" x14ac:dyDescent="0.2">
      <c r="A842" s="133">
        <v>2020</v>
      </c>
      <c r="B842" s="133">
        <v>10</v>
      </c>
      <c r="C842" s="133">
        <v>5</v>
      </c>
      <c r="D842" s="141">
        <f t="shared" si="30"/>
        <v>44109</v>
      </c>
      <c r="E842" s="275">
        <f t="shared" si="31"/>
        <v>44109</v>
      </c>
      <c r="F842" s="481"/>
      <c r="G842" s="174" t="s">
        <v>74</v>
      </c>
      <c r="H842" s="174" t="str" cm="1">
        <f t="array" ref="H842">IFERROR(INDEX(INVESTOR_LIST[INVESTOR NAME],MATCH(I842,INVESTOR_LIST[INVESTOR CODE],0),)," ")</f>
        <v>ASHIT BARAN SAHA</v>
      </c>
      <c r="I842" s="148" t="s">
        <v>442</v>
      </c>
      <c r="J842" s="149" t="s">
        <v>53</v>
      </c>
      <c r="K842" s="218">
        <f>L843-K841</f>
        <v>68590</v>
      </c>
      <c r="L842" s="218"/>
      <c r="M842" s="147">
        <v>2</v>
      </c>
      <c r="Q842" s="133" t="s">
        <v>442</v>
      </c>
    </row>
    <row r="843" spans="1:17" ht="33.75" x14ac:dyDescent="0.2">
      <c r="A843" s="163">
        <v>2020</v>
      </c>
      <c r="B843" s="163">
        <v>10</v>
      </c>
      <c r="C843" s="163">
        <v>5</v>
      </c>
      <c r="D843" s="141">
        <f t="shared" si="30"/>
        <v>44109</v>
      </c>
      <c r="E843" s="275">
        <f t="shared" si="31"/>
        <v>44109</v>
      </c>
      <c r="F843" s="480"/>
      <c r="G843" s="221" t="s">
        <v>74</v>
      </c>
      <c r="H843" s="221" t="str" cm="1">
        <f t="array" ref="H843">IFERROR(INDEX(INVESTOR_LIST[INVESTOR NAME],MATCH(I843,INVESTOR_LIST[INVESTOR CODE],0),)," ")</f>
        <v>ASHIT BARAN SAHA</v>
      </c>
      <c r="I843" s="145" t="s">
        <v>442</v>
      </c>
      <c r="J843" s="146" t="s">
        <v>52</v>
      </c>
      <c r="K843" s="219"/>
      <c r="L843" s="219">
        <v>500000</v>
      </c>
      <c r="M843" s="147">
        <v>0</v>
      </c>
      <c r="Q843" s="133" t="s">
        <v>442</v>
      </c>
    </row>
    <row r="844" spans="1:17" ht="33.75" x14ac:dyDescent="0.2">
      <c r="A844" s="133">
        <v>2020</v>
      </c>
      <c r="B844" s="133">
        <v>10</v>
      </c>
      <c r="C844" s="133">
        <v>5</v>
      </c>
      <c r="D844" s="141">
        <f t="shared" si="30"/>
        <v>44109</v>
      </c>
      <c r="E844" s="275">
        <f t="shared" si="31"/>
        <v>44109</v>
      </c>
      <c r="F844" s="479" t="s">
        <v>964</v>
      </c>
      <c r="G844" s="174" t="s">
        <v>74</v>
      </c>
      <c r="H844" s="174" t="str" cm="1">
        <f t="array" ref="H844">IFERROR(INDEX(INVESTOR_LIST[INVESTOR NAME],MATCH(I844,INVESTOR_LIST[INVESTOR CODE],0),)," ")</f>
        <v>ASHIT BARAN SAHA</v>
      </c>
      <c r="I844" s="148" t="s">
        <v>442</v>
      </c>
      <c r="J844" s="143" t="s">
        <v>52</v>
      </c>
      <c r="K844" s="218">
        <v>500000</v>
      </c>
      <c r="L844" s="218"/>
      <c r="M844" s="147">
        <v>0</v>
      </c>
      <c r="Q844" s="133" t="s">
        <v>442</v>
      </c>
    </row>
    <row r="845" spans="1:17" ht="33.75" x14ac:dyDescent="0.2">
      <c r="A845" s="133">
        <v>2020</v>
      </c>
      <c r="B845" s="133">
        <v>10</v>
      </c>
      <c r="C845" s="133">
        <v>5</v>
      </c>
      <c r="D845" s="141">
        <f t="shared" ref="D845:D908" si="32">DATE(A845,B845,C845)</f>
        <v>44109</v>
      </c>
      <c r="E845" s="275">
        <f t="shared" si="31"/>
        <v>44109</v>
      </c>
      <c r="F845" s="481"/>
      <c r="G845" s="174" t="s">
        <v>74</v>
      </c>
      <c r="H845" s="174" t="str" cm="1">
        <f t="array" ref="H845">IFERROR(INDEX(INVESTOR_LIST[INVESTOR NAME],MATCH(I845,INVESTOR_LIST[INVESTOR CODE],0),)," ")</f>
        <v>ASHIT BARAN SAHA</v>
      </c>
      <c r="I845" s="148" t="s">
        <v>442</v>
      </c>
      <c r="J845" s="149" t="s">
        <v>13</v>
      </c>
      <c r="K845" s="218"/>
      <c r="L845" s="218">
        <v>439750</v>
      </c>
      <c r="M845" s="147">
        <v>0</v>
      </c>
      <c r="Q845" s="133" t="s">
        <v>442</v>
      </c>
    </row>
    <row r="846" spans="1:17" ht="33.75" x14ac:dyDescent="0.2">
      <c r="A846" s="163">
        <v>2020</v>
      </c>
      <c r="B846" s="163">
        <v>10</v>
      </c>
      <c r="C846" s="163">
        <v>5</v>
      </c>
      <c r="D846" s="141">
        <f t="shared" si="32"/>
        <v>44109</v>
      </c>
      <c r="E846" s="275">
        <f t="shared" ref="E846:E909" si="33">DATE(A846,B846,C846)</f>
        <v>44109</v>
      </c>
      <c r="F846" s="480"/>
      <c r="G846" s="221" t="s">
        <v>74</v>
      </c>
      <c r="H846" s="174" t="str" cm="1">
        <f t="array" ref="H846">IFERROR(INDEX(INVESTOR_LIST[INVESTOR NAME],MATCH(I846,INVESTOR_LIST[INVESTOR CODE],0),)," ")</f>
        <v>ASHIT BARAN SAHA</v>
      </c>
      <c r="I846" s="148" t="s">
        <v>442</v>
      </c>
      <c r="J846" s="146" t="s">
        <v>53</v>
      </c>
      <c r="K846" s="219"/>
      <c r="L846" s="219">
        <f>K844-L845</f>
        <v>60250</v>
      </c>
      <c r="M846" s="147">
        <v>0</v>
      </c>
      <c r="Q846" s="133" t="s">
        <v>442</v>
      </c>
    </row>
    <row r="847" spans="1:17" x14ac:dyDescent="0.2">
      <c r="A847" s="168">
        <v>2020</v>
      </c>
      <c r="B847" s="168">
        <v>10</v>
      </c>
      <c r="C847" s="168">
        <v>5</v>
      </c>
      <c r="D847" s="141">
        <f t="shared" si="32"/>
        <v>44109</v>
      </c>
      <c r="E847" s="275">
        <f t="shared" si="33"/>
        <v>44109</v>
      </c>
      <c r="F847" s="479" t="s">
        <v>197</v>
      </c>
      <c r="G847" s="220" t="s">
        <v>74</v>
      </c>
      <c r="H847" s="220" t="str" cm="1">
        <f t="array" ref="H847">IFERROR(INDEX(INVESTOR_LIST[INVESTOR NAME],MATCH(I847,INVESTOR_LIST[INVESTOR CODE],0),)," ")</f>
        <v xml:space="preserve"> </v>
      </c>
      <c r="I847" s="142" t="s">
        <v>348</v>
      </c>
      <c r="J847" s="143" t="s">
        <v>184</v>
      </c>
      <c r="K847" s="226">
        <v>9500000</v>
      </c>
      <c r="L847" s="226"/>
      <c r="M847" s="147">
        <v>0</v>
      </c>
      <c r="Q847" s="133" t="s">
        <v>348</v>
      </c>
    </row>
    <row r="848" spans="1:17" x14ac:dyDescent="0.2">
      <c r="A848" s="133">
        <v>2020</v>
      </c>
      <c r="B848" s="133">
        <v>10</v>
      </c>
      <c r="C848" s="133">
        <v>5</v>
      </c>
      <c r="D848" s="141">
        <f t="shared" si="32"/>
        <v>44109</v>
      </c>
      <c r="E848" s="275">
        <f t="shared" si="33"/>
        <v>44109</v>
      </c>
      <c r="F848" s="481"/>
      <c r="G848" s="174" t="s">
        <v>74</v>
      </c>
      <c r="H848" s="174" t="str" cm="1">
        <f t="array" ref="H848">IFERROR(INDEX(INVESTOR_LIST[INVESTOR NAME],MATCH(I848,INVESTOR_LIST[INVESTOR CODE],0),)," ")</f>
        <v xml:space="preserve"> </v>
      </c>
      <c r="I848" s="148" t="s">
        <v>348</v>
      </c>
      <c r="J848" s="149" t="s">
        <v>185</v>
      </c>
      <c r="K848" s="218">
        <v>5000</v>
      </c>
      <c r="L848" s="218"/>
      <c r="M848" s="147">
        <v>0</v>
      </c>
      <c r="Q848" s="133" t="s">
        <v>348</v>
      </c>
    </row>
    <row r="849" spans="1:17" x14ac:dyDescent="0.2">
      <c r="A849" s="133">
        <v>2020</v>
      </c>
      <c r="B849" s="133">
        <v>10</v>
      </c>
      <c r="C849" s="133">
        <v>5</v>
      </c>
      <c r="D849" s="141">
        <f t="shared" si="32"/>
        <v>44109</v>
      </c>
      <c r="E849" s="275">
        <f t="shared" si="33"/>
        <v>44109</v>
      </c>
      <c r="F849" s="481"/>
      <c r="G849" s="174" t="s">
        <v>74</v>
      </c>
      <c r="H849" s="174" t="str" cm="1">
        <f t="array" ref="H849">IFERROR(INDEX(INVESTOR_LIST[INVESTOR NAME],MATCH(I849,INVESTOR_LIST[INVESTOR CODE],0),)," ")</f>
        <v xml:space="preserve"> </v>
      </c>
      <c r="I849" s="148" t="s">
        <v>348</v>
      </c>
      <c r="J849" s="149" t="s">
        <v>61</v>
      </c>
      <c r="K849" s="218">
        <v>115</v>
      </c>
      <c r="L849" s="218"/>
      <c r="M849" s="147">
        <v>0</v>
      </c>
      <c r="Q849" s="133" t="s">
        <v>348</v>
      </c>
    </row>
    <row r="850" spans="1:17" x14ac:dyDescent="0.2">
      <c r="A850" s="163">
        <v>2020</v>
      </c>
      <c r="B850" s="163">
        <v>10</v>
      </c>
      <c r="C850" s="163">
        <v>5</v>
      </c>
      <c r="D850" s="141">
        <f t="shared" si="32"/>
        <v>44109</v>
      </c>
      <c r="E850" s="275">
        <f t="shared" si="33"/>
        <v>44109</v>
      </c>
      <c r="F850" s="480"/>
      <c r="G850" s="221" t="s">
        <v>74</v>
      </c>
      <c r="H850" s="221" t="str" cm="1">
        <f t="array" ref="H850">IFERROR(INDEX(INVESTOR_LIST[INVESTOR NAME],MATCH(I850,INVESTOR_LIST[INVESTOR CODE],0),)," ")</f>
        <v xml:space="preserve"> </v>
      </c>
      <c r="I850" s="145" t="s">
        <v>348</v>
      </c>
      <c r="J850" s="146" t="s">
        <v>52</v>
      </c>
      <c r="K850" s="219"/>
      <c r="L850" s="219">
        <f>SUM(K847:K849)</f>
        <v>9505115</v>
      </c>
      <c r="M850" s="147">
        <v>0</v>
      </c>
      <c r="Q850" s="133" t="s">
        <v>348</v>
      </c>
    </row>
    <row r="851" spans="1:17" x14ac:dyDescent="0.2">
      <c r="A851" s="168">
        <v>2020</v>
      </c>
      <c r="B851" s="168">
        <v>10</v>
      </c>
      <c r="C851" s="168">
        <v>7</v>
      </c>
      <c r="D851" s="141">
        <f t="shared" si="32"/>
        <v>44111</v>
      </c>
      <c r="E851" s="275">
        <f t="shared" si="33"/>
        <v>44111</v>
      </c>
      <c r="F851" s="479" t="s">
        <v>290</v>
      </c>
      <c r="G851" s="220" t="s">
        <v>74</v>
      </c>
      <c r="H851" s="174" t="str" cm="1">
        <f t="array" ref="H851">IFERROR(INDEX(INVESTOR_LIST[INVESTOR NAME],MATCH(I851,INVESTOR_LIST[INVESTOR CODE],0),)," ")</f>
        <v xml:space="preserve"> </v>
      </c>
      <c r="I851" s="148" t="s">
        <v>348</v>
      </c>
      <c r="J851" s="143" t="s">
        <v>163</v>
      </c>
      <c r="K851" s="226">
        <v>7500</v>
      </c>
      <c r="L851" s="226"/>
      <c r="M851" s="147">
        <v>0</v>
      </c>
      <c r="Q851" s="133" t="s">
        <v>348</v>
      </c>
    </row>
    <row r="852" spans="1:17" x14ac:dyDescent="0.2">
      <c r="A852" s="163">
        <v>2020</v>
      </c>
      <c r="B852" s="163">
        <v>10</v>
      </c>
      <c r="C852" s="163">
        <v>7</v>
      </c>
      <c r="D852" s="141">
        <f t="shared" si="32"/>
        <v>44111</v>
      </c>
      <c r="E852" s="275">
        <f t="shared" si="33"/>
        <v>44111</v>
      </c>
      <c r="F852" s="480"/>
      <c r="G852" s="221" t="s">
        <v>74</v>
      </c>
      <c r="H852" s="221" t="str" cm="1">
        <f t="array" ref="H852">IFERROR(INDEX(INVESTOR_LIST[INVESTOR NAME],MATCH(I852,INVESTOR_LIST[INVESTOR CODE],0),)," ")</f>
        <v xml:space="preserve"> </v>
      </c>
      <c r="I852" s="145" t="s">
        <v>348</v>
      </c>
      <c r="J852" s="146" t="s">
        <v>52</v>
      </c>
      <c r="K852" s="219"/>
      <c r="L852" s="219">
        <v>7500</v>
      </c>
      <c r="M852" s="147">
        <v>0</v>
      </c>
      <c r="Q852" s="133" t="s">
        <v>348</v>
      </c>
    </row>
    <row r="853" spans="1:17" ht="33.75" x14ac:dyDescent="0.2">
      <c r="A853" s="133">
        <v>2020</v>
      </c>
      <c r="B853" s="133">
        <v>10</v>
      </c>
      <c r="C853" s="133">
        <v>8</v>
      </c>
      <c r="D853" s="141">
        <f t="shared" si="32"/>
        <v>44112</v>
      </c>
      <c r="E853" s="275">
        <f t="shared" si="33"/>
        <v>44112</v>
      </c>
      <c r="F853" s="479" t="s">
        <v>965</v>
      </c>
      <c r="G853" s="174" t="s">
        <v>74</v>
      </c>
      <c r="H853" s="174" t="str" cm="1">
        <f t="array" ref="H853">IFERROR(INDEX(INVESTOR_LIST[INVESTOR NAME],MATCH(I853,INVESTOR_LIST[INVESTOR CODE],0),)," ")</f>
        <v>MD. ARIFUL ISLAM</v>
      </c>
      <c r="I853" s="148" t="s">
        <v>455</v>
      </c>
      <c r="J853" s="149" t="s">
        <v>13</v>
      </c>
      <c r="K853" s="218">
        <v>99250</v>
      </c>
      <c r="L853" s="218"/>
      <c r="M853" s="147">
        <v>0</v>
      </c>
      <c r="N853" s="166"/>
      <c r="Q853" s="133" t="s">
        <v>455</v>
      </c>
    </row>
    <row r="854" spans="1:17" ht="33.75" x14ac:dyDescent="0.2">
      <c r="A854" s="133">
        <v>2020</v>
      </c>
      <c r="B854" s="133">
        <v>10</v>
      </c>
      <c r="C854" s="133">
        <v>8</v>
      </c>
      <c r="D854" s="141">
        <f t="shared" si="32"/>
        <v>44112</v>
      </c>
      <c r="E854" s="275">
        <f t="shared" si="33"/>
        <v>44112</v>
      </c>
      <c r="F854" s="481"/>
      <c r="G854" s="174" t="s">
        <v>74</v>
      </c>
      <c r="H854" s="174" t="str" cm="1">
        <f t="array" ref="H854">IFERROR(INDEX(INVESTOR_LIST[INVESTOR NAME],MATCH(I854,INVESTOR_LIST[INVESTOR CODE],0),)," ")</f>
        <v>MD. ARIFUL ISLAM</v>
      </c>
      <c r="I854" s="148" t="s">
        <v>455</v>
      </c>
      <c r="J854" s="149" t="s">
        <v>53</v>
      </c>
      <c r="K854" s="218">
        <f>L855-K853</f>
        <v>14791</v>
      </c>
      <c r="L854" s="218"/>
      <c r="M854" s="147">
        <v>0</v>
      </c>
      <c r="N854" s="166"/>
      <c r="Q854" s="133" t="s">
        <v>455</v>
      </c>
    </row>
    <row r="855" spans="1:17" ht="33.75" x14ac:dyDescent="0.2">
      <c r="A855" s="163">
        <v>2020</v>
      </c>
      <c r="B855" s="163">
        <v>10</v>
      </c>
      <c r="C855" s="163">
        <v>8</v>
      </c>
      <c r="D855" s="141">
        <f t="shared" si="32"/>
        <v>44112</v>
      </c>
      <c r="E855" s="275">
        <f t="shared" si="33"/>
        <v>44112</v>
      </c>
      <c r="F855" s="480"/>
      <c r="G855" s="221" t="s">
        <v>74</v>
      </c>
      <c r="H855" s="221" t="str" cm="1">
        <f t="array" ref="H855">IFERROR(INDEX(INVESTOR_LIST[INVESTOR NAME],MATCH(I855,INVESTOR_LIST[INVESTOR CODE],0),)," ")</f>
        <v>MD. ARIFUL ISLAM</v>
      </c>
      <c r="I855" s="145" t="s">
        <v>455</v>
      </c>
      <c r="J855" s="146" t="s">
        <v>52</v>
      </c>
      <c r="K855" s="219"/>
      <c r="L855" s="219">
        <v>114041</v>
      </c>
      <c r="M855" s="147">
        <v>0</v>
      </c>
      <c r="N855" s="166"/>
      <c r="Q855" s="133" t="s">
        <v>455</v>
      </c>
    </row>
    <row r="856" spans="1:17" x14ac:dyDescent="0.2">
      <c r="A856" s="133">
        <v>2020</v>
      </c>
      <c r="B856" s="133">
        <v>10</v>
      </c>
      <c r="C856" s="133">
        <v>8</v>
      </c>
      <c r="D856" s="141">
        <f t="shared" si="32"/>
        <v>44112</v>
      </c>
      <c r="E856" s="275">
        <f t="shared" si="33"/>
        <v>44112</v>
      </c>
      <c r="F856" s="479" t="s">
        <v>259</v>
      </c>
      <c r="G856" s="174" t="s">
        <v>74</v>
      </c>
      <c r="H856" s="174" t="str" cm="1">
        <f t="array" ref="H856">IFERROR(INDEX(INVESTOR_LIST[INVESTOR NAME],MATCH(I856,INVESTOR_LIST[INVESTOR CODE],0),)," ")</f>
        <v xml:space="preserve"> </v>
      </c>
      <c r="I856" s="148" t="s">
        <v>348</v>
      </c>
      <c r="J856" s="149" t="s">
        <v>190</v>
      </c>
      <c r="K856" s="218">
        <v>2853554.34</v>
      </c>
      <c r="L856" s="218"/>
      <c r="M856" s="147">
        <v>0</v>
      </c>
      <c r="N856" s="165"/>
      <c r="Q856" s="133" t="s">
        <v>348</v>
      </c>
    </row>
    <row r="857" spans="1:17" ht="15" customHeight="1" x14ac:dyDescent="0.2">
      <c r="A857" s="133">
        <v>2020</v>
      </c>
      <c r="B857" s="133">
        <v>10</v>
      </c>
      <c r="C857" s="133">
        <v>8</v>
      </c>
      <c r="D857" s="141">
        <f t="shared" si="32"/>
        <v>44112</v>
      </c>
      <c r="E857" s="275">
        <f t="shared" si="33"/>
        <v>44112</v>
      </c>
      <c r="F857" s="481"/>
      <c r="G857" s="174" t="s">
        <v>74</v>
      </c>
      <c r="H857" s="174" t="str" cm="1">
        <f t="array" ref="H857">IFERROR(INDEX(INVESTOR_LIST[INVESTOR NAME],MATCH(I857,INVESTOR_LIST[INVESTOR CODE],0),)," ")</f>
        <v xml:space="preserve"> </v>
      </c>
      <c r="I857" s="148" t="s">
        <v>348</v>
      </c>
      <c r="J857" s="149" t="s">
        <v>80</v>
      </c>
      <c r="K857" s="218">
        <v>5145.66</v>
      </c>
      <c r="L857" s="218"/>
      <c r="M857" s="147">
        <v>3</v>
      </c>
      <c r="N857" s="166"/>
      <c r="Q857" s="133" t="s">
        <v>348</v>
      </c>
    </row>
    <row r="858" spans="1:17" x14ac:dyDescent="0.2">
      <c r="A858" s="133">
        <v>2020</v>
      </c>
      <c r="B858" s="133">
        <v>10</v>
      </c>
      <c r="C858" s="133">
        <v>8</v>
      </c>
      <c r="D858" s="141">
        <f t="shared" si="32"/>
        <v>44112</v>
      </c>
      <c r="E858" s="275">
        <f t="shared" si="33"/>
        <v>44112</v>
      </c>
      <c r="F858" s="481"/>
      <c r="G858" s="174" t="s">
        <v>74</v>
      </c>
      <c r="H858" s="174" t="str" cm="1">
        <f t="array" ref="H858">IFERROR(INDEX(INVESTOR_LIST[INVESTOR NAME],MATCH(I858,INVESTOR_LIST[INVESTOR CODE],0),)," ")</f>
        <v xml:space="preserve"> </v>
      </c>
      <c r="I858" s="148" t="s">
        <v>348</v>
      </c>
      <c r="J858" s="149" t="s">
        <v>79</v>
      </c>
      <c r="K858" s="218"/>
      <c r="L858" s="218">
        <v>2181581.5299999998</v>
      </c>
      <c r="M858" s="147">
        <v>0</v>
      </c>
      <c r="N858" s="166"/>
      <c r="Q858" s="133" t="s">
        <v>348</v>
      </c>
    </row>
    <row r="859" spans="1:17" x14ac:dyDescent="0.2">
      <c r="A859" s="163">
        <v>2020</v>
      </c>
      <c r="B859" s="163">
        <v>10</v>
      </c>
      <c r="C859" s="163">
        <v>8</v>
      </c>
      <c r="D859" s="141">
        <f t="shared" si="32"/>
        <v>44112</v>
      </c>
      <c r="E859" s="275">
        <f t="shared" si="33"/>
        <v>44112</v>
      </c>
      <c r="F859" s="480"/>
      <c r="G859" s="221" t="s">
        <v>74</v>
      </c>
      <c r="H859" s="221" t="str" cm="1">
        <f t="array" ref="H859">IFERROR(INDEX(INVESTOR_LIST[INVESTOR NAME],MATCH(I859,INVESTOR_LIST[INVESTOR CODE],0),)," ")</f>
        <v xml:space="preserve"> </v>
      </c>
      <c r="I859" s="145" t="s">
        <v>348</v>
      </c>
      <c r="J859" s="146" t="s">
        <v>191</v>
      </c>
      <c r="K859" s="219"/>
      <c r="L859" s="219">
        <v>677118.47</v>
      </c>
      <c r="M859" s="147">
        <v>0</v>
      </c>
      <c r="N859" s="166"/>
      <c r="Q859" s="133" t="s">
        <v>348</v>
      </c>
    </row>
    <row r="860" spans="1:17" x14ac:dyDescent="0.2">
      <c r="A860" s="133">
        <v>2020</v>
      </c>
      <c r="B860" s="133">
        <v>10</v>
      </c>
      <c r="C860" s="133">
        <v>8</v>
      </c>
      <c r="D860" s="141">
        <f t="shared" si="32"/>
        <v>44112</v>
      </c>
      <c r="E860" s="275">
        <f t="shared" si="33"/>
        <v>44112</v>
      </c>
      <c r="F860" s="479" t="s">
        <v>260</v>
      </c>
      <c r="G860" s="174" t="s">
        <v>74</v>
      </c>
      <c r="H860" s="174" t="str" cm="1">
        <f t="array" ref="H860">IFERROR(INDEX(INVESTOR_LIST[INVESTOR NAME],MATCH(I860,INVESTOR_LIST[INVESTOR CODE],0),)," ")</f>
        <v xml:space="preserve"> </v>
      </c>
      <c r="I860" s="148" t="s">
        <v>348</v>
      </c>
      <c r="J860" s="149" t="s">
        <v>79</v>
      </c>
      <c r="K860" s="218">
        <v>3644090.8</v>
      </c>
      <c r="L860" s="218"/>
      <c r="M860" s="147">
        <v>0</v>
      </c>
      <c r="N860" s="165"/>
      <c r="Q860" s="133" t="s">
        <v>348</v>
      </c>
    </row>
    <row r="861" spans="1:17" x14ac:dyDescent="0.2">
      <c r="A861" s="133">
        <v>2020</v>
      </c>
      <c r="B861" s="133">
        <v>10</v>
      </c>
      <c r="C861" s="133">
        <v>8</v>
      </c>
      <c r="D861" s="141">
        <f t="shared" si="32"/>
        <v>44112</v>
      </c>
      <c r="E861" s="275">
        <f t="shared" si="33"/>
        <v>44112</v>
      </c>
      <c r="F861" s="481"/>
      <c r="G861" s="174" t="s">
        <v>74</v>
      </c>
      <c r="H861" s="174" t="str" cm="1">
        <f t="array" ref="H861">IFERROR(INDEX(INVESTOR_LIST[INVESTOR NAME],MATCH(I861,INVESTOR_LIST[INVESTOR CODE],0),)," ")</f>
        <v xml:space="preserve"> </v>
      </c>
      <c r="I861" s="148" t="s">
        <v>348</v>
      </c>
      <c r="J861" s="149" t="s">
        <v>80</v>
      </c>
      <c r="K861" s="218">
        <f>6559.36+4519.59</f>
        <v>11078.95</v>
      </c>
      <c r="L861" s="218"/>
      <c r="M861" s="147">
        <v>0</v>
      </c>
      <c r="N861" s="166"/>
      <c r="Q861" s="133" t="s">
        <v>348</v>
      </c>
    </row>
    <row r="862" spans="1:17" x14ac:dyDescent="0.2">
      <c r="A862" s="133">
        <v>2020</v>
      </c>
      <c r="B862" s="133">
        <v>10</v>
      </c>
      <c r="C862" s="133">
        <v>8</v>
      </c>
      <c r="D862" s="141">
        <f t="shared" si="32"/>
        <v>44112</v>
      </c>
      <c r="E862" s="275">
        <f t="shared" si="33"/>
        <v>44112</v>
      </c>
      <c r="F862" s="481"/>
      <c r="G862" s="174" t="s">
        <v>74</v>
      </c>
      <c r="H862" s="174" t="str" cm="1">
        <f t="array" ref="H862">IFERROR(INDEX(INVESTOR_LIST[INVESTOR NAME],MATCH(I862,INVESTOR_LIST[INVESTOR CODE],0),)," ")</f>
        <v xml:space="preserve"> </v>
      </c>
      <c r="I862" s="148" t="s">
        <v>348</v>
      </c>
      <c r="J862" s="149" t="s">
        <v>191</v>
      </c>
      <c r="K862" s="218"/>
      <c r="L862" s="218">
        <v>547454.63</v>
      </c>
      <c r="M862" s="147">
        <v>0</v>
      </c>
      <c r="N862" s="166"/>
      <c r="Q862" s="133" t="s">
        <v>348</v>
      </c>
    </row>
    <row r="863" spans="1:17" x14ac:dyDescent="0.2">
      <c r="A863" s="133">
        <v>2020</v>
      </c>
      <c r="B863" s="133">
        <v>10</v>
      </c>
      <c r="C863" s="133">
        <v>8</v>
      </c>
      <c r="D863" s="141">
        <f t="shared" si="32"/>
        <v>44112</v>
      </c>
      <c r="E863" s="275">
        <f t="shared" si="33"/>
        <v>44112</v>
      </c>
      <c r="F863" s="481"/>
      <c r="G863" s="174" t="s">
        <v>74</v>
      </c>
      <c r="H863" s="174" t="str" cm="1">
        <f t="array" ref="H863">IFERROR(INDEX(INVESTOR_LIST[INVESTOR NAME],MATCH(I863,INVESTOR_LIST[INVESTOR CODE],0),)," ")</f>
        <v xml:space="preserve"> </v>
      </c>
      <c r="I863" s="148" t="s">
        <v>348</v>
      </c>
      <c r="J863" s="149" t="s">
        <v>147</v>
      </c>
      <c r="K863" s="218"/>
      <c r="L863" s="218">
        <v>1144291.75</v>
      </c>
      <c r="M863" s="147">
        <v>0</v>
      </c>
      <c r="N863" s="166"/>
      <c r="Q863" s="133" t="s">
        <v>348</v>
      </c>
    </row>
    <row r="864" spans="1:17" x14ac:dyDescent="0.2">
      <c r="A864" s="163">
        <v>2020</v>
      </c>
      <c r="B864" s="163">
        <v>10</v>
      </c>
      <c r="C864" s="163">
        <v>8</v>
      </c>
      <c r="D864" s="141">
        <f t="shared" si="32"/>
        <v>44112</v>
      </c>
      <c r="E864" s="275">
        <f t="shared" si="33"/>
        <v>44112</v>
      </c>
      <c r="F864" s="480"/>
      <c r="G864" s="174" t="s">
        <v>74</v>
      </c>
      <c r="H864" s="221" t="str" cm="1">
        <f t="array" ref="H864">IFERROR(INDEX(INVESTOR_LIST[INVESTOR NAME],MATCH(I864,INVESTOR_LIST[INVESTOR CODE],0),)," ")</f>
        <v xml:space="preserve"> </v>
      </c>
      <c r="I864" s="145" t="s">
        <v>348</v>
      </c>
      <c r="J864" s="149" t="s">
        <v>79</v>
      </c>
      <c r="K864" s="219"/>
      <c r="L864" s="219">
        <v>1963423.37</v>
      </c>
      <c r="M864" s="147">
        <v>0</v>
      </c>
      <c r="Q864" s="133" t="s">
        <v>348</v>
      </c>
    </row>
    <row r="865" spans="1:17" x14ac:dyDescent="0.2">
      <c r="A865" s="238">
        <v>2020</v>
      </c>
      <c r="B865" s="238">
        <v>10</v>
      </c>
      <c r="C865" s="238">
        <v>8</v>
      </c>
      <c r="D865" s="141">
        <f t="shared" si="32"/>
        <v>44112</v>
      </c>
      <c r="E865" s="275">
        <f t="shared" si="33"/>
        <v>44112</v>
      </c>
      <c r="F865" s="477" t="s">
        <v>105</v>
      </c>
      <c r="G865" s="239" t="s">
        <v>94</v>
      </c>
      <c r="H865" s="247" t="str" cm="1">
        <f t="array" ref="H865">IFERROR(INDEX(INVESTOR_LIST[INVESTOR NAME],MATCH(I865,INVESTOR_LIST[INVESTOR CODE],0),)," ")</f>
        <v xml:space="preserve"> </v>
      </c>
      <c r="I865" s="248" t="s">
        <v>348</v>
      </c>
      <c r="J865" s="240" t="s">
        <v>83</v>
      </c>
      <c r="K865" s="252">
        <v>1354386.4699999951</v>
      </c>
      <c r="L865" s="252"/>
      <c r="M865" s="147">
        <v>2</v>
      </c>
      <c r="Q865" s="133" t="s">
        <v>348</v>
      </c>
    </row>
    <row r="866" spans="1:17" x14ac:dyDescent="0.2">
      <c r="A866" s="242">
        <v>2020</v>
      </c>
      <c r="B866" s="242">
        <v>10</v>
      </c>
      <c r="C866" s="242">
        <v>8</v>
      </c>
      <c r="D866" s="141">
        <f t="shared" si="32"/>
        <v>44112</v>
      </c>
      <c r="E866" s="275">
        <f t="shared" si="33"/>
        <v>44112</v>
      </c>
      <c r="F866" s="478"/>
      <c r="G866" s="243" t="s">
        <v>94</v>
      </c>
      <c r="H866" s="243" t="str" cm="1">
        <f t="array" ref="H866">IFERROR(INDEX(INVESTOR_LIST[INVESTOR NAME],MATCH(I866,INVESTOR_LIST[INVESTOR CODE],0),)," ")</f>
        <v xml:space="preserve"> </v>
      </c>
      <c r="I866" s="263" t="s">
        <v>348</v>
      </c>
      <c r="J866" s="244" t="s">
        <v>108</v>
      </c>
      <c r="K866" s="245"/>
      <c r="L866" s="245">
        <v>1354386.4699999951</v>
      </c>
      <c r="M866" s="147">
        <v>0</v>
      </c>
      <c r="Q866" s="133" t="s">
        <v>348</v>
      </c>
    </row>
    <row r="867" spans="1:17" ht="22.5" x14ac:dyDescent="0.2">
      <c r="A867" s="246">
        <v>2020</v>
      </c>
      <c r="B867" s="246">
        <v>10</v>
      </c>
      <c r="C867" s="246">
        <v>8</v>
      </c>
      <c r="D867" s="141">
        <f t="shared" si="32"/>
        <v>44112</v>
      </c>
      <c r="E867" s="275">
        <f t="shared" si="33"/>
        <v>44112</v>
      </c>
      <c r="F867" s="477" t="s">
        <v>148</v>
      </c>
      <c r="G867" s="247" t="s">
        <v>94</v>
      </c>
      <c r="H867" s="247" t="str" cm="1">
        <f t="array" ref="H867">IFERROR(INDEX(INVESTOR_LIST[INVESTOR NAME],MATCH(I867,INVESTOR_LIST[INVESTOR CODE],0),)," ")</f>
        <v xml:space="preserve"> </v>
      </c>
      <c r="I867" s="248" t="s">
        <v>348</v>
      </c>
      <c r="J867" s="249" t="s">
        <v>95</v>
      </c>
      <c r="K867" s="252">
        <v>2747</v>
      </c>
      <c r="L867" s="252"/>
      <c r="M867" s="147">
        <v>0</v>
      </c>
      <c r="Q867" s="133" t="s">
        <v>348</v>
      </c>
    </row>
    <row r="868" spans="1:17" x14ac:dyDescent="0.2">
      <c r="A868" s="242">
        <v>2020</v>
      </c>
      <c r="B868" s="242">
        <v>10</v>
      </c>
      <c r="C868" s="242">
        <v>8</v>
      </c>
      <c r="D868" s="141">
        <f t="shared" si="32"/>
        <v>44112</v>
      </c>
      <c r="E868" s="275">
        <f t="shared" si="33"/>
        <v>44112</v>
      </c>
      <c r="F868" s="478"/>
      <c r="G868" s="243" t="s">
        <v>94</v>
      </c>
      <c r="H868" s="243" t="str" cm="1">
        <f t="array" ref="H868">IFERROR(INDEX(INVESTOR_LIST[INVESTOR NAME],MATCH(I868,INVESTOR_LIST[INVESTOR CODE],0),)," ")</f>
        <v xml:space="preserve"> </v>
      </c>
      <c r="I868" s="263" t="s">
        <v>348</v>
      </c>
      <c r="J868" s="244" t="s">
        <v>63</v>
      </c>
      <c r="K868" s="245"/>
      <c r="L868" s="245">
        <v>2747</v>
      </c>
      <c r="M868" s="147">
        <v>1</v>
      </c>
      <c r="Q868" s="133" t="s">
        <v>348</v>
      </c>
    </row>
    <row r="869" spans="1:17" x14ac:dyDescent="0.2">
      <c r="A869" s="238">
        <v>2020</v>
      </c>
      <c r="B869" s="238">
        <v>10</v>
      </c>
      <c r="C869" s="238">
        <v>8</v>
      </c>
      <c r="D869" s="141">
        <f t="shared" si="32"/>
        <v>44112</v>
      </c>
      <c r="E869" s="275">
        <f t="shared" si="33"/>
        <v>44112</v>
      </c>
      <c r="F869" s="477" t="s">
        <v>137</v>
      </c>
      <c r="G869" s="239" t="s">
        <v>94</v>
      </c>
      <c r="H869" s="247" t="str" cm="1">
        <f t="array" ref="H869">IFERROR(INDEX(INVESTOR_LIST[INVESTOR NAME],MATCH(I869,INVESTOR_LIST[INVESTOR CODE],0),)," ")</f>
        <v xml:space="preserve"> </v>
      </c>
      <c r="I869" s="248" t="s">
        <v>348</v>
      </c>
      <c r="J869" s="240" t="s">
        <v>97</v>
      </c>
      <c r="K869" s="252">
        <v>39306.06</v>
      </c>
      <c r="L869" s="252"/>
      <c r="M869" s="147">
        <v>0</v>
      </c>
      <c r="Q869" s="133" t="s">
        <v>348</v>
      </c>
    </row>
    <row r="870" spans="1:17" x14ac:dyDescent="0.2">
      <c r="A870" s="242">
        <v>2020</v>
      </c>
      <c r="B870" s="242">
        <v>10</v>
      </c>
      <c r="C870" s="242">
        <v>8</v>
      </c>
      <c r="D870" s="141">
        <f t="shared" si="32"/>
        <v>44112</v>
      </c>
      <c r="E870" s="275">
        <f t="shared" si="33"/>
        <v>44112</v>
      </c>
      <c r="F870" s="478"/>
      <c r="G870" s="243" t="s">
        <v>94</v>
      </c>
      <c r="H870" s="243" t="str" cm="1">
        <f t="array" ref="H870">IFERROR(INDEX(INVESTOR_LIST[INVESTOR NAME],MATCH(I870,INVESTOR_LIST[INVESTOR CODE],0),)," ")</f>
        <v xml:space="preserve"> </v>
      </c>
      <c r="I870" s="263" t="s">
        <v>348</v>
      </c>
      <c r="J870" s="244" t="s">
        <v>47</v>
      </c>
      <c r="K870" s="245"/>
      <c r="L870" s="245">
        <v>39306.06</v>
      </c>
      <c r="M870" s="147">
        <v>1</v>
      </c>
      <c r="Q870" s="133" t="s">
        <v>348</v>
      </c>
    </row>
    <row r="871" spans="1:17" x14ac:dyDescent="0.2">
      <c r="A871" s="238">
        <v>2020</v>
      </c>
      <c r="B871" s="238">
        <v>10</v>
      </c>
      <c r="C871" s="238">
        <v>8</v>
      </c>
      <c r="D871" s="141">
        <f t="shared" si="32"/>
        <v>44112</v>
      </c>
      <c r="E871" s="275">
        <f t="shared" si="33"/>
        <v>44112</v>
      </c>
      <c r="F871" s="477" t="s">
        <v>138</v>
      </c>
      <c r="G871" s="239" t="s">
        <v>94</v>
      </c>
      <c r="H871" s="247" t="str" cm="1">
        <f t="array" ref="H871">IFERROR(INDEX(INVESTOR_LIST[INVESTOR NAME],MATCH(I871,INVESTOR_LIST[INVESTOR CODE],0),)," ")</f>
        <v xml:space="preserve"> </v>
      </c>
      <c r="I871" s="248" t="s">
        <v>348</v>
      </c>
      <c r="J871" s="240" t="s">
        <v>100</v>
      </c>
      <c r="K871" s="252">
        <v>1724.91</v>
      </c>
      <c r="L871" s="252"/>
      <c r="M871" s="147">
        <v>0</v>
      </c>
      <c r="Q871" s="133" t="s">
        <v>348</v>
      </c>
    </row>
    <row r="872" spans="1:17" x14ac:dyDescent="0.2">
      <c r="A872" s="242">
        <v>2020</v>
      </c>
      <c r="B872" s="242">
        <v>10</v>
      </c>
      <c r="C872" s="242">
        <v>8</v>
      </c>
      <c r="D872" s="141">
        <f t="shared" si="32"/>
        <v>44112</v>
      </c>
      <c r="E872" s="275">
        <f t="shared" si="33"/>
        <v>44112</v>
      </c>
      <c r="F872" s="478"/>
      <c r="G872" s="243" t="s">
        <v>94</v>
      </c>
      <c r="H872" s="243" t="str" cm="1">
        <f t="array" ref="H872">IFERROR(INDEX(INVESTOR_LIST[INVESTOR NAME],MATCH(I872,INVESTOR_LIST[INVESTOR CODE],0),)," ")</f>
        <v xml:space="preserve"> </v>
      </c>
      <c r="I872" s="263" t="s">
        <v>348</v>
      </c>
      <c r="J872" s="244" t="s">
        <v>48</v>
      </c>
      <c r="K872" s="245"/>
      <c r="L872" s="245">
        <v>1724.91</v>
      </c>
      <c r="M872" s="147">
        <v>0</v>
      </c>
      <c r="N872" s="166"/>
      <c r="Q872" s="133" t="s">
        <v>348</v>
      </c>
    </row>
    <row r="873" spans="1:17" x14ac:dyDescent="0.2">
      <c r="A873" s="246">
        <v>2020</v>
      </c>
      <c r="B873" s="246">
        <v>10</v>
      </c>
      <c r="C873" s="246">
        <v>8</v>
      </c>
      <c r="D873" s="141">
        <f t="shared" si="32"/>
        <v>44112</v>
      </c>
      <c r="E873" s="275">
        <f t="shared" si="33"/>
        <v>44112</v>
      </c>
      <c r="F873" s="477" t="s">
        <v>140</v>
      </c>
      <c r="G873" s="247" t="s">
        <v>94</v>
      </c>
      <c r="H873" s="247" t="str" cm="1">
        <f t="array" ref="H873">IFERROR(INDEX(INVESTOR_LIST[INVESTOR NAME],MATCH(I873,INVESTOR_LIST[INVESTOR CODE],0),)," ")</f>
        <v xml:space="preserve"> </v>
      </c>
      <c r="I873" s="248" t="s">
        <v>348</v>
      </c>
      <c r="J873" s="249" t="s">
        <v>103</v>
      </c>
      <c r="K873" s="252">
        <v>729.16</v>
      </c>
      <c r="L873" s="252"/>
      <c r="M873" s="147">
        <v>0</v>
      </c>
      <c r="N873" s="166"/>
      <c r="Q873" s="133" t="s">
        <v>348</v>
      </c>
    </row>
    <row r="874" spans="1:17" x14ac:dyDescent="0.2">
      <c r="A874" s="242">
        <v>2020</v>
      </c>
      <c r="B874" s="242">
        <v>10</v>
      </c>
      <c r="C874" s="242">
        <v>8</v>
      </c>
      <c r="D874" s="141">
        <f t="shared" si="32"/>
        <v>44112</v>
      </c>
      <c r="E874" s="275">
        <f t="shared" si="33"/>
        <v>44112</v>
      </c>
      <c r="F874" s="478"/>
      <c r="G874" s="243" t="s">
        <v>94</v>
      </c>
      <c r="H874" s="243" t="str" cm="1">
        <f t="array" ref="H874">IFERROR(INDEX(INVESTOR_LIST[INVESTOR NAME],MATCH(I874,INVESTOR_LIST[INVESTOR CODE],0),)," ")</f>
        <v xml:space="preserve"> </v>
      </c>
      <c r="I874" s="263" t="s">
        <v>348</v>
      </c>
      <c r="J874" s="244" t="s">
        <v>50</v>
      </c>
      <c r="K874" s="245"/>
      <c r="L874" s="245">
        <v>729.16</v>
      </c>
      <c r="M874" s="147">
        <v>0</v>
      </c>
      <c r="N874" s="170"/>
      <c r="Q874" s="133" t="s">
        <v>348</v>
      </c>
    </row>
    <row r="875" spans="1:17" ht="33.75" x14ac:dyDescent="0.2">
      <c r="A875" s="133">
        <v>2020</v>
      </c>
      <c r="B875" s="133">
        <v>10</v>
      </c>
      <c r="C875" s="133">
        <v>8</v>
      </c>
      <c r="D875" s="141">
        <f t="shared" si="32"/>
        <v>44112</v>
      </c>
      <c r="E875" s="275">
        <f t="shared" si="33"/>
        <v>44112</v>
      </c>
      <c r="F875" s="479" t="s">
        <v>964</v>
      </c>
      <c r="G875" s="174" t="s">
        <v>74</v>
      </c>
      <c r="H875" s="174" t="str" cm="1">
        <f t="array" ref="H875">IFERROR(INDEX(INVESTOR_LIST[INVESTOR NAME],MATCH(I875,INVESTOR_LIST[INVESTOR CODE],0),)," ")</f>
        <v>MAYA RANI SAHA</v>
      </c>
      <c r="I875" s="148" t="s">
        <v>456</v>
      </c>
      <c r="J875" s="149" t="s">
        <v>52</v>
      </c>
      <c r="K875" s="218">
        <v>100000</v>
      </c>
      <c r="L875" s="218"/>
      <c r="M875" s="147">
        <v>0</v>
      </c>
      <c r="N875" s="166"/>
      <c r="Q875" s="133" t="s">
        <v>456</v>
      </c>
    </row>
    <row r="876" spans="1:17" ht="33.75" x14ac:dyDescent="0.2">
      <c r="A876" s="133">
        <v>2020</v>
      </c>
      <c r="B876" s="133">
        <v>10</v>
      </c>
      <c r="C876" s="133">
        <v>8</v>
      </c>
      <c r="D876" s="141">
        <f t="shared" si="32"/>
        <v>44112</v>
      </c>
      <c r="E876" s="275">
        <f t="shared" si="33"/>
        <v>44112</v>
      </c>
      <c r="F876" s="481"/>
      <c r="G876" s="174" t="s">
        <v>74</v>
      </c>
      <c r="H876" s="174" t="str" cm="1">
        <f t="array" ref="H876">IFERROR(INDEX(INVESTOR_LIST[INVESTOR NAME],MATCH(I876,INVESTOR_LIST[INVESTOR CODE],0),)," ")</f>
        <v>MAYA RANI SAHA</v>
      </c>
      <c r="I876" s="148" t="s">
        <v>456</v>
      </c>
      <c r="J876" s="149" t="s">
        <v>13</v>
      </c>
      <c r="K876" s="218"/>
      <c r="L876" s="218">
        <v>87560</v>
      </c>
      <c r="M876" s="147">
        <v>0</v>
      </c>
      <c r="N876" s="165"/>
      <c r="Q876" s="133" t="s">
        <v>456</v>
      </c>
    </row>
    <row r="877" spans="1:17" ht="33.75" x14ac:dyDescent="0.2">
      <c r="A877" s="163">
        <v>2020</v>
      </c>
      <c r="B877" s="163">
        <v>10</v>
      </c>
      <c r="C877" s="163">
        <v>8</v>
      </c>
      <c r="D877" s="141">
        <f t="shared" si="32"/>
        <v>44112</v>
      </c>
      <c r="E877" s="275">
        <f t="shared" si="33"/>
        <v>44112</v>
      </c>
      <c r="F877" s="480"/>
      <c r="G877" s="221" t="s">
        <v>74</v>
      </c>
      <c r="H877" s="221" t="str" cm="1">
        <f t="array" ref="H877">IFERROR(INDEX(INVESTOR_LIST[INVESTOR NAME],MATCH(I877,INVESTOR_LIST[INVESTOR CODE],0),)," ")</f>
        <v>MAYA RANI SAHA</v>
      </c>
      <c r="I877" s="145" t="s">
        <v>456</v>
      </c>
      <c r="J877" s="146" t="s">
        <v>53</v>
      </c>
      <c r="K877" s="219"/>
      <c r="L877" s="219">
        <f>K875-L876</f>
        <v>12440</v>
      </c>
      <c r="M877" s="147">
        <v>0</v>
      </c>
      <c r="N877" s="166"/>
      <c r="Q877" s="133" t="s">
        <v>456</v>
      </c>
    </row>
    <row r="878" spans="1:17" x14ac:dyDescent="0.2">
      <c r="A878" s="141">
        <v>2020</v>
      </c>
      <c r="B878" s="141">
        <v>10</v>
      </c>
      <c r="C878" s="141">
        <v>11</v>
      </c>
      <c r="D878" s="141">
        <f t="shared" si="32"/>
        <v>44115</v>
      </c>
      <c r="E878" s="275">
        <f t="shared" si="33"/>
        <v>44115</v>
      </c>
      <c r="F878" s="479" t="s">
        <v>77</v>
      </c>
      <c r="G878" s="220" t="s">
        <v>74</v>
      </c>
      <c r="H878" s="174" t="str" cm="1">
        <f t="array" ref="H878">IFERROR(INDEX(INVESTOR_LIST[INVESTOR NAME],MATCH(I878,INVESTOR_LIST[INVESTOR CODE],0),)," ")</f>
        <v xml:space="preserve"> </v>
      </c>
      <c r="I878" s="148" t="s">
        <v>348</v>
      </c>
      <c r="J878" s="143" t="s">
        <v>61</v>
      </c>
      <c r="K878" s="226">
        <v>120</v>
      </c>
      <c r="L878" s="226"/>
      <c r="M878" s="147">
        <v>0</v>
      </c>
      <c r="N878" s="166"/>
      <c r="Q878" s="133" t="s">
        <v>348</v>
      </c>
    </row>
    <row r="879" spans="1:17" x14ac:dyDescent="0.2">
      <c r="A879" s="144">
        <v>2020</v>
      </c>
      <c r="B879" s="144">
        <v>10</v>
      </c>
      <c r="C879" s="144">
        <v>11</v>
      </c>
      <c r="D879" s="141">
        <f t="shared" si="32"/>
        <v>44115</v>
      </c>
      <c r="E879" s="275">
        <f t="shared" si="33"/>
        <v>44115</v>
      </c>
      <c r="F879" s="480"/>
      <c r="G879" s="221" t="s">
        <v>74</v>
      </c>
      <c r="H879" s="221" t="str" cm="1">
        <f t="array" ref="H879">IFERROR(INDEX(INVESTOR_LIST[INVESTOR NAME],MATCH(I879,INVESTOR_LIST[INVESTOR CODE],0),)," ")</f>
        <v xml:space="preserve"> </v>
      </c>
      <c r="I879" s="145" t="s">
        <v>348</v>
      </c>
      <c r="J879" s="146" t="s">
        <v>52</v>
      </c>
      <c r="K879" s="219"/>
      <c r="L879" s="219">
        <v>120</v>
      </c>
      <c r="M879" s="147">
        <v>0</v>
      </c>
      <c r="Q879" s="133" t="s">
        <v>348</v>
      </c>
    </row>
    <row r="880" spans="1:17" ht="22.5" x14ac:dyDescent="0.2">
      <c r="A880" s="133">
        <v>2020</v>
      </c>
      <c r="B880" s="133">
        <v>10</v>
      </c>
      <c r="C880" s="133">
        <v>12</v>
      </c>
      <c r="D880" s="141">
        <f t="shared" si="32"/>
        <v>44116</v>
      </c>
      <c r="E880" s="275">
        <f t="shared" si="33"/>
        <v>44116</v>
      </c>
      <c r="F880" s="479" t="s">
        <v>964</v>
      </c>
      <c r="G880" s="174" t="s">
        <v>74</v>
      </c>
      <c r="H880" s="174" t="str" cm="1">
        <f t="array" ref="H880">IFERROR(INDEX(INVESTOR_LIST[INVESTOR NAME],MATCH(I880,INVESTOR_LIST[INVESTOR CODE],0),)," ")</f>
        <v>NARGISH JAHAN</v>
      </c>
      <c r="I880" s="148" t="s">
        <v>457</v>
      </c>
      <c r="J880" s="149" t="s">
        <v>52</v>
      </c>
      <c r="K880" s="218">
        <v>500000</v>
      </c>
      <c r="L880" s="218"/>
      <c r="M880" s="147">
        <v>0</v>
      </c>
      <c r="Q880" s="133" t="s">
        <v>457</v>
      </c>
    </row>
    <row r="881" spans="1:17" ht="22.5" x14ac:dyDescent="0.2">
      <c r="A881" s="133">
        <v>2020</v>
      </c>
      <c r="B881" s="133">
        <v>10</v>
      </c>
      <c r="C881" s="133">
        <v>12</v>
      </c>
      <c r="D881" s="141">
        <f t="shared" si="32"/>
        <v>44116</v>
      </c>
      <c r="E881" s="275">
        <f t="shared" si="33"/>
        <v>44116</v>
      </c>
      <c r="F881" s="481"/>
      <c r="G881" s="174" t="s">
        <v>74</v>
      </c>
      <c r="H881" s="174" t="str" cm="1">
        <f t="array" ref="H881">IFERROR(INDEX(INVESTOR_LIST[INVESTOR NAME],MATCH(I881,INVESTOR_LIST[INVESTOR CODE],0),)," ")</f>
        <v>NARGISH JAHAN</v>
      </c>
      <c r="I881" s="148" t="s">
        <v>457</v>
      </c>
      <c r="J881" s="149" t="s">
        <v>13</v>
      </c>
      <c r="K881" s="218"/>
      <c r="L881" s="218">
        <v>437830</v>
      </c>
      <c r="M881" s="147">
        <v>0</v>
      </c>
      <c r="Q881" s="133" t="s">
        <v>457</v>
      </c>
    </row>
    <row r="882" spans="1:17" ht="22.5" x14ac:dyDescent="0.2">
      <c r="A882" s="163">
        <v>2020</v>
      </c>
      <c r="B882" s="163">
        <v>10</v>
      </c>
      <c r="C882" s="163">
        <v>12</v>
      </c>
      <c r="D882" s="141">
        <f t="shared" si="32"/>
        <v>44116</v>
      </c>
      <c r="E882" s="275">
        <f t="shared" si="33"/>
        <v>44116</v>
      </c>
      <c r="F882" s="480"/>
      <c r="G882" s="221" t="s">
        <v>74</v>
      </c>
      <c r="H882" s="221" t="str" cm="1">
        <f t="array" ref="H882">IFERROR(INDEX(INVESTOR_LIST[INVESTOR NAME],MATCH(I882,INVESTOR_LIST[INVESTOR CODE],0),)," ")</f>
        <v>NARGISH JAHAN</v>
      </c>
      <c r="I882" s="145" t="s">
        <v>457</v>
      </c>
      <c r="J882" s="146" t="s">
        <v>53</v>
      </c>
      <c r="K882" s="219"/>
      <c r="L882" s="219">
        <f>K880-L881</f>
        <v>62170</v>
      </c>
      <c r="M882" s="147">
        <v>0</v>
      </c>
      <c r="Q882" s="133" t="s">
        <v>457</v>
      </c>
    </row>
    <row r="883" spans="1:17" ht="33.75" x14ac:dyDescent="0.2">
      <c r="A883" s="133">
        <v>2020</v>
      </c>
      <c r="B883" s="133">
        <v>10</v>
      </c>
      <c r="C883" s="133">
        <v>12</v>
      </c>
      <c r="D883" s="141">
        <f t="shared" si="32"/>
        <v>44116</v>
      </c>
      <c r="E883" s="275">
        <f t="shared" si="33"/>
        <v>44116</v>
      </c>
      <c r="F883" s="479" t="s">
        <v>964</v>
      </c>
      <c r="G883" s="174" t="s">
        <v>74</v>
      </c>
      <c r="H883" s="174" t="str" cm="1">
        <f t="array" ref="H883">IFERROR(INDEX(INVESTOR_LIST[INVESTOR NAME],MATCH(I883,INVESTOR_LIST[INVESTOR CODE],0),)," ")</f>
        <v>MD. BADI-UZ-ZAMAN</v>
      </c>
      <c r="I883" s="148" t="s">
        <v>393</v>
      </c>
      <c r="J883" s="149" t="s">
        <v>52</v>
      </c>
      <c r="K883" s="218">
        <v>500000</v>
      </c>
      <c r="L883" s="218"/>
      <c r="M883" s="147">
        <v>0</v>
      </c>
      <c r="Q883" s="133" t="s">
        <v>393</v>
      </c>
    </row>
    <row r="884" spans="1:17" ht="33.75" x14ac:dyDescent="0.2">
      <c r="A884" s="133">
        <v>2020</v>
      </c>
      <c r="B884" s="133">
        <v>10</v>
      </c>
      <c r="C884" s="133">
        <v>12</v>
      </c>
      <c r="D884" s="141">
        <f t="shared" si="32"/>
        <v>44116</v>
      </c>
      <c r="E884" s="275">
        <f t="shared" si="33"/>
        <v>44116</v>
      </c>
      <c r="F884" s="481"/>
      <c r="G884" s="174" t="s">
        <v>74</v>
      </c>
      <c r="H884" s="174" t="str" cm="1">
        <f t="array" ref="H884">IFERROR(INDEX(INVESTOR_LIST[INVESTOR NAME],MATCH(I884,INVESTOR_LIST[INVESTOR CODE],0),)," ")</f>
        <v>MD. BADI-UZ-ZAMAN</v>
      </c>
      <c r="I884" s="148" t="s">
        <v>393</v>
      </c>
      <c r="J884" s="149" t="s">
        <v>13</v>
      </c>
      <c r="K884" s="218"/>
      <c r="L884" s="218">
        <v>437830</v>
      </c>
      <c r="M884" s="147">
        <v>0</v>
      </c>
      <c r="Q884" s="133" t="s">
        <v>393</v>
      </c>
    </row>
    <row r="885" spans="1:17" ht="33.75" x14ac:dyDescent="0.2">
      <c r="A885" s="163">
        <v>2020</v>
      </c>
      <c r="B885" s="163">
        <v>10</v>
      </c>
      <c r="C885" s="163">
        <v>12</v>
      </c>
      <c r="D885" s="141">
        <f t="shared" si="32"/>
        <v>44116</v>
      </c>
      <c r="E885" s="275">
        <f t="shared" si="33"/>
        <v>44116</v>
      </c>
      <c r="F885" s="480"/>
      <c r="G885" s="221" t="s">
        <v>74</v>
      </c>
      <c r="H885" s="221" t="str" cm="1">
        <f t="array" ref="H885">IFERROR(INDEX(INVESTOR_LIST[INVESTOR NAME],MATCH(I885,INVESTOR_LIST[INVESTOR CODE],0),)," ")</f>
        <v>MD. BADI-UZ-ZAMAN</v>
      </c>
      <c r="I885" s="145" t="s">
        <v>393</v>
      </c>
      <c r="J885" s="146" t="s">
        <v>53</v>
      </c>
      <c r="K885" s="219"/>
      <c r="L885" s="219">
        <f>K883-L884</f>
        <v>62170</v>
      </c>
      <c r="M885" s="147">
        <v>0</v>
      </c>
      <c r="Q885" s="133" t="s">
        <v>393</v>
      </c>
    </row>
    <row r="886" spans="1:17" x14ac:dyDescent="0.2">
      <c r="A886" s="141">
        <v>2020</v>
      </c>
      <c r="B886" s="141">
        <v>10</v>
      </c>
      <c r="C886" s="141">
        <v>12</v>
      </c>
      <c r="D886" s="141">
        <f t="shared" si="32"/>
        <v>44116</v>
      </c>
      <c r="E886" s="275">
        <f t="shared" si="33"/>
        <v>44116</v>
      </c>
      <c r="F886" s="479" t="s">
        <v>77</v>
      </c>
      <c r="G886" s="220" t="s">
        <v>74</v>
      </c>
      <c r="H886" s="174" t="str" cm="1">
        <f t="array" ref="H886">IFERROR(INDEX(INVESTOR_LIST[INVESTOR NAME],MATCH(I886,INVESTOR_LIST[INVESTOR CODE],0),)," ")</f>
        <v xml:space="preserve"> </v>
      </c>
      <c r="I886" s="148" t="s">
        <v>348</v>
      </c>
      <c r="J886" s="143" t="s">
        <v>61</v>
      </c>
      <c r="K886" s="226">
        <v>120</v>
      </c>
      <c r="L886" s="226"/>
      <c r="M886" s="147">
        <v>0</v>
      </c>
      <c r="Q886" s="133" t="s">
        <v>348</v>
      </c>
    </row>
    <row r="887" spans="1:17" x14ac:dyDescent="0.2">
      <c r="A887" s="144">
        <v>2020</v>
      </c>
      <c r="B887" s="144">
        <v>10</v>
      </c>
      <c r="C887" s="144">
        <v>12</v>
      </c>
      <c r="D887" s="141">
        <f t="shared" si="32"/>
        <v>44116</v>
      </c>
      <c r="E887" s="275">
        <f t="shared" si="33"/>
        <v>44116</v>
      </c>
      <c r="F887" s="480"/>
      <c r="G887" s="221" t="s">
        <v>74</v>
      </c>
      <c r="H887" s="221" t="str" cm="1">
        <f t="array" ref="H887">IFERROR(INDEX(INVESTOR_LIST[INVESTOR NAME],MATCH(I887,INVESTOR_LIST[INVESTOR CODE],0),)," ")</f>
        <v xml:space="preserve"> </v>
      </c>
      <c r="I887" s="145" t="s">
        <v>348</v>
      </c>
      <c r="J887" s="146" t="s">
        <v>52</v>
      </c>
      <c r="K887" s="219"/>
      <c r="L887" s="219">
        <v>120</v>
      </c>
      <c r="M887" s="147">
        <v>0</v>
      </c>
      <c r="Q887" s="133" t="s">
        <v>348</v>
      </c>
    </row>
    <row r="888" spans="1:17" x14ac:dyDescent="0.2">
      <c r="A888" s="133">
        <v>2020</v>
      </c>
      <c r="B888" s="133">
        <v>10</v>
      </c>
      <c r="C888" s="133">
        <v>13</v>
      </c>
      <c r="D888" s="141">
        <f t="shared" si="32"/>
        <v>44117</v>
      </c>
      <c r="E888" s="275">
        <f t="shared" si="33"/>
        <v>44117</v>
      </c>
      <c r="F888" s="479" t="s">
        <v>254</v>
      </c>
      <c r="G888" s="174" t="s">
        <v>74</v>
      </c>
      <c r="H888" s="174" t="str" cm="1">
        <f t="array" ref="H888">IFERROR(INDEX(INVESTOR_LIST[INVESTOR NAME],MATCH(I888,INVESTOR_LIST[INVESTOR CODE],0),)," ")</f>
        <v xml:space="preserve"> </v>
      </c>
      <c r="I888" s="148" t="s">
        <v>348</v>
      </c>
      <c r="J888" s="149" t="s">
        <v>52</v>
      </c>
      <c r="K888" s="218">
        <v>6000</v>
      </c>
      <c r="L888" s="218"/>
      <c r="M888" s="147">
        <v>0</v>
      </c>
      <c r="Q888" s="133" t="s">
        <v>348</v>
      </c>
    </row>
    <row r="889" spans="1:17" x14ac:dyDescent="0.2">
      <c r="A889" s="133">
        <v>2020</v>
      </c>
      <c r="B889" s="133">
        <v>10</v>
      </c>
      <c r="C889" s="133">
        <v>13</v>
      </c>
      <c r="D889" s="141">
        <f t="shared" si="32"/>
        <v>44117</v>
      </c>
      <c r="E889" s="275">
        <f t="shared" si="33"/>
        <v>44117</v>
      </c>
      <c r="F889" s="481"/>
      <c r="G889" s="174" t="s">
        <v>74</v>
      </c>
      <c r="H889" s="174" t="str" cm="1">
        <f t="array" ref="H889">IFERROR(INDEX(INVESTOR_LIST[INVESTOR NAME],MATCH(I889,INVESTOR_LIST[INVESTOR CODE],0),)," ")</f>
        <v xml:space="preserve"> </v>
      </c>
      <c r="I889" s="148" t="s">
        <v>348</v>
      </c>
      <c r="J889" s="149" t="s">
        <v>13</v>
      </c>
      <c r="K889" s="218"/>
      <c r="L889" s="218">
        <v>5260</v>
      </c>
      <c r="M889" s="147">
        <v>0</v>
      </c>
      <c r="Q889" s="133" t="s">
        <v>348</v>
      </c>
    </row>
    <row r="890" spans="1:17" x14ac:dyDescent="0.2">
      <c r="A890" s="163">
        <v>2020</v>
      </c>
      <c r="B890" s="163">
        <v>10</v>
      </c>
      <c r="C890" s="163">
        <v>13</v>
      </c>
      <c r="D890" s="141">
        <f t="shared" si="32"/>
        <v>44117</v>
      </c>
      <c r="E890" s="275">
        <f t="shared" si="33"/>
        <v>44117</v>
      </c>
      <c r="F890" s="480"/>
      <c r="G890" s="221" t="s">
        <v>74</v>
      </c>
      <c r="H890" s="221" t="str" cm="1">
        <f t="array" ref="H890">IFERROR(INDEX(INVESTOR_LIST[INVESTOR NAME],MATCH(I890,INVESTOR_LIST[INVESTOR CODE],0),)," ")</f>
        <v xml:space="preserve"> </v>
      </c>
      <c r="I890" s="145" t="s">
        <v>348</v>
      </c>
      <c r="J890" s="146" t="s">
        <v>53</v>
      </c>
      <c r="K890" s="219"/>
      <c r="L890" s="219">
        <f>K888-L889</f>
        <v>740</v>
      </c>
      <c r="M890" s="147">
        <v>0</v>
      </c>
      <c r="Q890" s="133" t="s">
        <v>348</v>
      </c>
    </row>
    <row r="891" spans="1:17" x14ac:dyDescent="0.2">
      <c r="A891" s="133">
        <v>2020</v>
      </c>
      <c r="B891" s="133">
        <v>10</v>
      </c>
      <c r="C891" s="133">
        <v>14</v>
      </c>
      <c r="D891" s="141">
        <f t="shared" si="32"/>
        <v>44118</v>
      </c>
      <c r="E891" s="275">
        <f t="shared" si="33"/>
        <v>44118</v>
      </c>
      <c r="F891" s="481" t="s">
        <v>239</v>
      </c>
      <c r="G891" s="174" t="s">
        <v>74</v>
      </c>
      <c r="H891" s="174" t="str" cm="1">
        <f t="array" ref="H891">IFERROR(INDEX(INVESTOR_LIST[INVESTOR NAME],MATCH(I891,INVESTOR_LIST[INVESTOR CODE],0),)," ")</f>
        <v xml:space="preserve"> </v>
      </c>
      <c r="I891" s="148" t="s">
        <v>348</v>
      </c>
      <c r="J891" s="149" t="s">
        <v>52</v>
      </c>
      <c r="K891" s="218">
        <v>6800</v>
      </c>
      <c r="L891" s="218"/>
      <c r="M891" s="147">
        <v>0</v>
      </c>
      <c r="O891" s="169"/>
      <c r="Q891" s="133" t="s">
        <v>348</v>
      </c>
    </row>
    <row r="892" spans="1:17" x14ac:dyDescent="0.2">
      <c r="A892" s="133">
        <v>2020</v>
      </c>
      <c r="B892" s="133">
        <v>10</v>
      </c>
      <c r="C892" s="133">
        <v>14</v>
      </c>
      <c r="D892" s="141">
        <f t="shared" si="32"/>
        <v>44118</v>
      </c>
      <c r="E892" s="275">
        <f t="shared" si="33"/>
        <v>44118</v>
      </c>
      <c r="F892" s="481"/>
      <c r="G892" s="174" t="s">
        <v>74</v>
      </c>
      <c r="H892" s="174" t="str" cm="1">
        <f t="array" ref="H892">IFERROR(INDEX(INVESTOR_LIST[INVESTOR NAME],MATCH(I892,INVESTOR_LIST[INVESTOR CODE],0),)," ")</f>
        <v xml:space="preserve"> </v>
      </c>
      <c r="I892" s="148" t="s">
        <v>348</v>
      </c>
      <c r="J892" s="149" t="s">
        <v>79</v>
      </c>
      <c r="K892" s="218">
        <v>9493200</v>
      </c>
      <c r="L892" s="218"/>
      <c r="M892" s="147">
        <v>0</v>
      </c>
      <c r="O892" s="160"/>
      <c r="Q892" s="133" t="s">
        <v>348</v>
      </c>
    </row>
    <row r="893" spans="1:17" x14ac:dyDescent="0.2">
      <c r="A893" s="163">
        <v>2020</v>
      </c>
      <c r="B893" s="163">
        <v>10</v>
      </c>
      <c r="C893" s="163">
        <v>14</v>
      </c>
      <c r="D893" s="141">
        <f t="shared" si="32"/>
        <v>44118</v>
      </c>
      <c r="E893" s="275">
        <f t="shared" si="33"/>
        <v>44118</v>
      </c>
      <c r="F893" s="480"/>
      <c r="G893" s="221" t="s">
        <v>74</v>
      </c>
      <c r="H893" s="221" t="str" cm="1">
        <f t="array" ref="H893">IFERROR(INDEX(INVESTOR_LIST[INVESTOR NAME],MATCH(I893,INVESTOR_LIST[INVESTOR CODE],0),)," ")</f>
        <v xml:space="preserve"> </v>
      </c>
      <c r="I893" s="145" t="s">
        <v>348</v>
      </c>
      <c r="J893" s="146" t="s">
        <v>184</v>
      </c>
      <c r="K893" s="219"/>
      <c r="L893" s="219">
        <v>9500000</v>
      </c>
      <c r="M893" s="147">
        <v>0</v>
      </c>
      <c r="Q893" s="133" t="s">
        <v>348</v>
      </c>
    </row>
    <row r="894" spans="1:17" x14ac:dyDescent="0.2">
      <c r="A894" s="168">
        <v>2020</v>
      </c>
      <c r="B894" s="168">
        <v>10</v>
      </c>
      <c r="C894" s="168">
        <v>14</v>
      </c>
      <c r="D894" s="141">
        <f t="shared" si="32"/>
        <v>44118</v>
      </c>
      <c r="E894" s="275">
        <f t="shared" si="33"/>
        <v>44118</v>
      </c>
      <c r="F894" s="479" t="s">
        <v>261</v>
      </c>
      <c r="G894" s="220" t="s">
        <v>74</v>
      </c>
      <c r="H894" s="220" t="str" cm="1">
        <f t="array" ref="H894">IFERROR(INDEX(INVESTOR_LIST[INVESTOR NAME],MATCH(I894,INVESTOR_LIST[INVESTOR CODE],0),)," ")</f>
        <v xml:space="preserve"> </v>
      </c>
      <c r="I894" s="142" t="s">
        <v>348</v>
      </c>
      <c r="J894" s="143" t="s">
        <v>52</v>
      </c>
      <c r="K894" s="226">
        <v>2853554.34</v>
      </c>
      <c r="L894" s="226"/>
      <c r="M894" s="147">
        <v>0</v>
      </c>
      <c r="Q894" s="133" t="s">
        <v>348</v>
      </c>
    </row>
    <row r="895" spans="1:17" x14ac:dyDescent="0.2">
      <c r="A895" s="163">
        <v>2020</v>
      </c>
      <c r="B895" s="163">
        <v>10</v>
      </c>
      <c r="C895" s="163">
        <v>14</v>
      </c>
      <c r="D895" s="141">
        <f t="shared" si="32"/>
        <v>44118</v>
      </c>
      <c r="E895" s="275">
        <f t="shared" si="33"/>
        <v>44118</v>
      </c>
      <c r="F895" s="480"/>
      <c r="G895" s="221" t="s">
        <v>74</v>
      </c>
      <c r="H895" s="221" t="str" cm="1">
        <f t="array" ref="H895">IFERROR(INDEX(INVESTOR_LIST[INVESTOR NAME],MATCH(I895,INVESTOR_LIST[INVESTOR CODE],0),)," ")</f>
        <v xml:space="preserve"> </v>
      </c>
      <c r="I895" s="145" t="s">
        <v>348</v>
      </c>
      <c r="J895" s="146" t="s">
        <v>190</v>
      </c>
      <c r="K895" s="219"/>
      <c r="L895" s="219">
        <v>2853554.34</v>
      </c>
      <c r="M895" s="147">
        <v>0</v>
      </c>
      <c r="Q895" s="133" t="s">
        <v>348</v>
      </c>
    </row>
    <row r="896" spans="1:17" x14ac:dyDescent="0.2">
      <c r="A896" s="168">
        <v>2020</v>
      </c>
      <c r="B896" s="168">
        <v>10</v>
      </c>
      <c r="C896" s="168">
        <v>14</v>
      </c>
      <c r="D896" s="141">
        <f t="shared" si="32"/>
        <v>44118</v>
      </c>
      <c r="E896" s="275">
        <f t="shared" si="33"/>
        <v>44118</v>
      </c>
      <c r="F896" s="479" t="s">
        <v>202</v>
      </c>
      <c r="G896" s="220" t="s">
        <v>74</v>
      </c>
      <c r="H896" s="220" t="str" cm="1">
        <f t="array" ref="H896">IFERROR(INDEX(INVESTOR_LIST[INVESTOR NAME],MATCH(I896,INVESTOR_LIST[INVESTOR CODE],0),)," ")</f>
        <v xml:space="preserve"> </v>
      </c>
      <c r="I896" s="142" t="s">
        <v>348</v>
      </c>
      <c r="J896" s="143" t="s">
        <v>147</v>
      </c>
      <c r="K896" s="226">
        <v>1144291.75</v>
      </c>
      <c r="L896" s="226"/>
      <c r="M896" s="147">
        <v>0</v>
      </c>
      <c r="Q896" s="133" t="s">
        <v>348</v>
      </c>
    </row>
    <row r="897" spans="1:17" x14ac:dyDescent="0.2">
      <c r="A897" s="163">
        <v>2020</v>
      </c>
      <c r="B897" s="163">
        <v>10</v>
      </c>
      <c r="C897" s="163">
        <v>14</v>
      </c>
      <c r="D897" s="141">
        <f t="shared" si="32"/>
        <v>44118</v>
      </c>
      <c r="E897" s="275">
        <f t="shared" si="33"/>
        <v>44118</v>
      </c>
      <c r="F897" s="480"/>
      <c r="G897" s="221" t="s">
        <v>74</v>
      </c>
      <c r="H897" s="221" t="str" cm="1">
        <f t="array" ref="H897">IFERROR(INDEX(INVESTOR_LIST[INVESTOR NAME],MATCH(I897,INVESTOR_LIST[INVESTOR CODE],0),)," ")</f>
        <v xml:space="preserve"> </v>
      </c>
      <c r="I897" s="145" t="s">
        <v>348</v>
      </c>
      <c r="J897" s="146" t="s">
        <v>52</v>
      </c>
      <c r="K897" s="219"/>
      <c r="L897" s="219">
        <v>1144291.75</v>
      </c>
      <c r="M897" s="147">
        <v>3</v>
      </c>
      <c r="Q897" s="133" t="s">
        <v>348</v>
      </c>
    </row>
    <row r="898" spans="1:17" ht="11.25" customHeight="1" x14ac:dyDescent="0.2">
      <c r="A898" s="133">
        <v>2020</v>
      </c>
      <c r="B898" s="133">
        <v>10</v>
      </c>
      <c r="C898" s="133">
        <v>14</v>
      </c>
      <c r="D898" s="141">
        <f t="shared" si="32"/>
        <v>44118</v>
      </c>
      <c r="E898" s="275">
        <f t="shared" si="33"/>
        <v>44118</v>
      </c>
      <c r="F898" s="479" t="s">
        <v>254</v>
      </c>
      <c r="G898" s="174" t="s">
        <v>74</v>
      </c>
      <c r="H898" s="174" t="str" cm="1">
        <f t="array" ref="H898">IFERROR(INDEX(INVESTOR_LIST[INVESTOR NAME],MATCH(I898,INVESTOR_LIST[INVESTOR CODE],0),)," ")</f>
        <v xml:space="preserve"> </v>
      </c>
      <c r="I898" s="148" t="s">
        <v>348</v>
      </c>
      <c r="J898" s="149" t="s">
        <v>52</v>
      </c>
      <c r="K898" s="218">
        <v>46000</v>
      </c>
      <c r="L898" s="218"/>
      <c r="M898" s="147">
        <v>0</v>
      </c>
      <c r="Q898" s="133" t="s">
        <v>348</v>
      </c>
    </row>
    <row r="899" spans="1:17" x14ac:dyDescent="0.2">
      <c r="A899" s="133">
        <v>2020</v>
      </c>
      <c r="B899" s="133">
        <v>10</v>
      </c>
      <c r="C899" s="133">
        <v>14</v>
      </c>
      <c r="D899" s="141">
        <f t="shared" si="32"/>
        <v>44118</v>
      </c>
      <c r="E899" s="275">
        <f t="shared" si="33"/>
        <v>44118</v>
      </c>
      <c r="F899" s="481"/>
      <c r="G899" s="174" t="s">
        <v>74</v>
      </c>
      <c r="H899" s="174" t="str" cm="1">
        <f t="array" ref="H899">IFERROR(INDEX(INVESTOR_LIST[INVESTOR NAME],MATCH(I899,INVESTOR_LIST[INVESTOR CODE],0),)," ")</f>
        <v xml:space="preserve"> </v>
      </c>
      <c r="I899" s="148" t="s">
        <v>348</v>
      </c>
      <c r="J899" s="149" t="s">
        <v>13</v>
      </c>
      <c r="K899" s="218"/>
      <c r="L899" s="218">
        <v>40280</v>
      </c>
      <c r="M899" s="147">
        <v>0</v>
      </c>
      <c r="Q899" s="133" t="s">
        <v>348</v>
      </c>
    </row>
    <row r="900" spans="1:17" x14ac:dyDescent="0.2">
      <c r="A900" s="163">
        <v>2020</v>
      </c>
      <c r="B900" s="163">
        <v>10</v>
      </c>
      <c r="C900" s="163">
        <v>14</v>
      </c>
      <c r="D900" s="141">
        <f t="shared" si="32"/>
        <v>44118</v>
      </c>
      <c r="E900" s="275">
        <f t="shared" si="33"/>
        <v>44118</v>
      </c>
      <c r="F900" s="480"/>
      <c r="G900" s="221" t="s">
        <v>74</v>
      </c>
      <c r="H900" s="221" t="str" cm="1">
        <f t="array" ref="H900">IFERROR(INDEX(INVESTOR_LIST[INVESTOR NAME],MATCH(I900,INVESTOR_LIST[INVESTOR CODE],0),)," ")</f>
        <v xml:space="preserve"> </v>
      </c>
      <c r="I900" s="145" t="s">
        <v>348</v>
      </c>
      <c r="J900" s="146" t="s">
        <v>53</v>
      </c>
      <c r="K900" s="219"/>
      <c r="L900" s="219">
        <f>K898-L899</f>
        <v>5720</v>
      </c>
      <c r="M900" s="147">
        <v>0</v>
      </c>
      <c r="Q900" s="133" t="s">
        <v>348</v>
      </c>
    </row>
    <row r="901" spans="1:17" x14ac:dyDescent="0.2">
      <c r="A901" s="133">
        <v>2020</v>
      </c>
      <c r="B901" s="133">
        <v>10</v>
      </c>
      <c r="C901" s="133">
        <v>15</v>
      </c>
      <c r="D901" s="141">
        <f t="shared" si="32"/>
        <v>44119</v>
      </c>
      <c r="E901" s="275">
        <f t="shared" si="33"/>
        <v>44119</v>
      </c>
      <c r="F901" s="479" t="s">
        <v>179</v>
      </c>
      <c r="G901" s="174" t="s">
        <v>74</v>
      </c>
      <c r="H901" s="174" t="str" cm="1">
        <f t="array" ref="H901">IFERROR(INDEX(INVESTOR_LIST[INVESTOR NAME],MATCH(I901,INVESTOR_LIST[INVESTOR CODE],0),)," ")</f>
        <v xml:space="preserve"> </v>
      </c>
      <c r="I901" s="148" t="s">
        <v>348</v>
      </c>
      <c r="J901" s="149" t="s">
        <v>79</v>
      </c>
      <c r="K901" s="218">
        <v>3126177.9</v>
      </c>
      <c r="L901" s="218"/>
      <c r="M901" s="147">
        <v>0</v>
      </c>
      <c r="Q901" s="133" t="s">
        <v>348</v>
      </c>
    </row>
    <row r="902" spans="1:17" x14ac:dyDescent="0.2">
      <c r="A902" s="133">
        <v>2020</v>
      </c>
      <c r="B902" s="133">
        <v>10</v>
      </c>
      <c r="C902" s="133">
        <v>15</v>
      </c>
      <c r="D902" s="141">
        <f t="shared" si="32"/>
        <v>44119</v>
      </c>
      <c r="E902" s="275">
        <f t="shared" si="33"/>
        <v>44119</v>
      </c>
      <c r="F902" s="481"/>
      <c r="G902" s="174" t="s">
        <v>74</v>
      </c>
      <c r="H902" s="174" t="str" cm="1">
        <f t="array" ref="H902">IFERROR(INDEX(INVESTOR_LIST[INVESTOR NAME],MATCH(I902,INVESTOR_LIST[INVESTOR CODE],0),)," ")</f>
        <v xml:space="preserve"> </v>
      </c>
      <c r="I902" s="148" t="s">
        <v>348</v>
      </c>
      <c r="J902" s="149" t="s">
        <v>80</v>
      </c>
      <c r="K902" s="218">
        <v>5627.12</v>
      </c>
      <c r="L902" s="218"/>
      <c r="M902" s="147">
        <v>0</v>
      </c>
      <c r="Q902" s="133" t="s">
        <v>348</v>
      </c>
    </row>
    <row r="903" spans="1:17" x14ac:dyDescent="0.2">
      <c r="A903" s="133">
        <v>2020</v>
      </c>
      <c r="B903" s="133">
        <v>10</v>
      </c>
      <c r="C903" s="133">
        <v>15</v>
      </c>
      <c r="D903" s="141">
        <f t="shared" si="32"/>
        <v>44119</v>
      </c>
      <c r="E903" s="275">
        <f t="shared" si="33"/>
        <v>44119</v>
      </c>
      <c r="F903" s="480"/>
      <c r="G903" s="174" t="s">
        <v>74</v>
      </c>
      <c r="H903" s="221" t="str" cm="1">
        <f t="array" ref="H903">IFERROR(INDEX(INVESTOR_LIST[INVESTOR NAME],MATCH(I903,INVESTOR_LIST[INVESTOR CODE],0),)," ")</f>
        <v xml:space="preserve"> </v>
      </c>
      <c r="I903" s="145" t="s">
        <v>348</v>
      </c>
      <c r="J903" s="146" t="s">
        <v>147</v>
      </c>
      <c r="K903" s="219"/>
      <c r="L903" s="219">
        <v>3131805.02</v>
      </c>
      <c r="M903" s="147">
        <v>0</v>
      </c>
      <c r="Q903" s="133" t="s">
        <v>348</v>
      </c>
    </row>
    <row r="904" spans="1:17" ht="11.25" customHeight="1" x14ac:dyDescent="0.2">
      <c r="A904" s="133">
        <v>2020</v>
      </c>
      <c r="B904" s="133">
        <v>10</v>
      </c>
      <c r="C904" s="133">
        <v>15</v>
      </c>
      <c r="D904" s="141">
        <f t="shared" si="32"/>
        <v>44119</v>
      </c>
      <c r="E904" s="275">
        <f t="shared" si="33"/>
        <v>44119</v>
      </c>
      <c r="F904" s="479" t="s">
        <v>254</v>
      </c>
      <c r="G904" s="174" t="s">
        <v>74</v>
      </c>
      <c r="H904" s="174" t="str" cm="1">
        <f t="array" ref="H904">IFERROR(INDEX(INVESTOR_LIST[INVESTOR NAME],MATCH(I904,INVESTOR_LIST[INVESTOR CODE],0),)," ")</f>
        <v xml:space="preserve"> </v>
      </c>
      <c r="I904" s="148" t="s">
        <v>348</v>
      </c>
      <c r="J904" s="149" t="s">
        <v>52</v>
      </c>
      <c r="K904" s="218">
        <v>54500</v>
      </c>
      <c r="L904" s="218"/>
      <c r="M904" s="147">
        <v>1</v>
      </c>
      <c r="Q904" s="133" t="s">
        <v>348</v>
      </c>
    </row>
    <row r="905" spans="1:17" x14ac:dyDescent="0.2">
      <c r="A905" s="133">
        <v>2020</v>
      </c>
      <c r="B905" s="133">
        <v>10</v>
      </c>
      <c r="C905" s="133">
        <v>15</v>
      </c>
      <c r="D905" s="141">
        <f t="shared" si="32"/>
        <v>44119</v>
      </c>
      <c r="E905" s="275">
        <f t="shared" si="33"/>
        <v>44119</v>
      </c>
      <c r="F905" s="481"/>
      <c r="G905" s="174" t="s">
        <v>74</v>
      </c>
      <c r="H905" s="174" t="str" cm="1">
        <f t="array" ref="H905">IFERROR(INDEX(INVESTOR_LIST[INVESTOR NAME],MATCH(I905,INVESTOR_LIST[INVESTOR CODE],0),)," ")</f>
        <v xml:space="preserve"> </v>
      </c>
      <c r="I905" s="148" t="s">
        <v>348</v>
      </c>
      <c r="J905" s="149" t="s">
        <v>13</v>
      </c>
      <c r="K905" s="218"/>
      <c r="L905" s="218">
        <v>47720</v>
      </c>
      <c r="M905" s="147">
        <v>0</v>
      </c>
      <c r="Q905" s="133" t="s">
        <v>348</v>
      </c>
    </row>
    <row r="906" spans="1:17" x14ac:dyDescent="0.2">
      <c r="A906" s="163">
        <v>2020</v>
      </c>
      <c r="B906" s="163">
        <v>10</v>
      </c>
      <c r="C906" s="163">
        <v>15</v>
      </c>
      <c r="D906" s="141">
        <f t="shared" si="32"/>
        <v>44119</v>
      </c>
      <c r="E906" s="275">
        <f t="shared" si="33"/>
        <v>44119</v>
      </c>
      <c r="F906" s="480"/>
      <c r="G906" s="221" t="s">
        <v>74</v>
      </c>
      <c r="H906" s="221" t="str" cm="1">
        <f t="array" ref="H906">IFERROR(INDEX(INVESTOR_LIST[INVESTOR NAME],MATCH(I906,INVESTOR_LIST[INVESTOR CODE],0),)," ")</f>
        <v xml:space="preserve"> </v>
      </c>
      <c r="I906" s="145" t="s">
        <v>348</v>
      </c>
      <c r="J906" s="146" t="s">
        <v>53</v>
      </c>
      <c r="K906" s="219"/>
      <c r="L906" s="219">
        <f>K904-L905</f>
        <v>6780</v>
      </c>
      <c r="M906" s="147">
        <v>0</v>
      </c>
      <c r="Q906" s="133" t="s">
        <v>348</v>
      </c>
    </row>
    <row r="907" spans="1:17" x14ac:dyDescent="0.2">
      <c r="A907" s="238">
        <v>2020</v>
      </c>
      <c r="B907" s="238">
        <v>10</v>
      </c>
      <c r="C907" s="238">
        <v>15</v>
      </c>
      <c r="D907" s="141">
        <f t="shared" si="32"/>
        <v>44119</v>
      </c>
      <c r="E907" s="275">
        <f t="shared" si="33"/>
        <v>44119</v>
      </c>
      <c r="F907" s="477" t="s">
        <v>105</v>
      </c>
      <c r="G907" s="239" t="s">
        <v>94</v>
      </c>
      <c r="H907" s="247" t="str" cm="1">
        <f t="array" ref="H907">IFERROR(INDEX(INVESTOR_LIST[INVESTOR NAME],MATCH(I907,INVESTOR_LIST[INVESTOR CODE],0),)," ")</f>
        <v xml:space="preserve"> </v>
      </c>
      <c r="I907" s="248" t="s">
        <v>348</v>
      </c>
      <c r="J907" s="249" t="s">
        <v>108</v>
      </c>
      <c r="K907" s="252">
        <v>220022.10000000615</v>
      </c>
      <c r="L907" s="252"/>
      <c r="M907" s="147">
        <v>0</v>
      </c>
      <c r="Q907" s="133" t="s">
        <v>348</v>
      </c>
    </row>
    <row r="908" spans="1:17" x14ac:dyDescent="0.2">
      <c r="A908" s="242">
        <v>2020</v>
      </c>
      <c r="B908" s="242">
        <v>10</v>
      </c>
      <c r="C908" s="242">
        <v>15</v>
      </c>
      <c r="D908" s="141">
        <f t="shared" si="32"/>
        <v>44119</v>
      </c>
      <c r="E908" s="275">
        <f t="shared" si="33"/>
        <v>44119</v>
      </c>
      <c r="F908" s="478"/>
      <c r="G908" s="243" t="s">
        <v>94</v>
      </c>
      <c r="H908" s="243" t="str" cm="1">
        <f t="array" ref="H908">IFERROR(INDEX(INVESTOR_LIST[INVESTOR NAME],MATCH(I908,INVESTOR_LIST[INVESTOR CODE],0),)," ")</f>
        <v xml:space="preserve"> </v>
      </c>
      <c r="I908" s="263" t="s">
        <v>348</v>
      </c>
      <c r="J908" s="244" t="s">
        <v>82</v>
      </c>
      <c r="K908" s="245"/>
      <c r="L908" s="245">
        <v>220022.10000000615</v>
      </c>
      <c r="M908" s="147">
        <v>0</v>
      </c>
      <c r="N908" s="169"/>
      <c r="Q908" s="133" t="s">
        <v>348</v>
      </c>
    </row>
    <row r="909" spans="1:17" ht="22.5" x14ac:dyDescent="0.2">
      <c r="A909" s="246">
        <v>2020</v>
      </c>
      <c r="B909" s="246">
        <v>10</v>
      </c>
      <c r="C909" s="246">
        <v>15</v>
      </c>
      <c r="D909" s="141">
        <f t="shared" ref="D909:D972" si="34">DATE(A909,B909,C909)</f>
        <v>44119</v>
      </c>
      <c r="E909" s="275">
        <f t="shared" si="33"/>
        <v>44119</v>
      </c>
      <c r="F909" s="482" t="s">
        <v>148</v>
      </c>
      <c r="G909" s="247" t="s">
        <v>94</v>
      </c>
      <c r="H909" s="247" t="str" cm="1">
        <f t="array" ref="H909">IFERROR(INDEX(INVESTOR_LIST[INVESTOR NAME],MATCH(I909,INVESTOR_LIST[INVESTOR CODE],0),)," ")</f>
        <v xml:space="preserve"> </v>
      </c>
      <c r="I909" s="248" t="s">
        <v>348</v>
      </c>
      <c r="J909" s="249" t="s">
        <v>95</v>
      </c>
      <c r="K909" s="252">
        <v>2747.25</v>
      </c>
      <c r="L909" s="252"/>
      <c r="M909" s="147">
        <v>0</v>
      </c>
      <c r="Q909" s="133" t="s">
        <v>348</v>
      </c>
    </row>
    <row r="910" spans="1:17" x14ac:dyDescent="0.2">
      <c r="A910" s="242">
        <v>2020</v>
      </c>
      <c r="B910" s="242">
        <v>10</v>
      </c>
      <c r="C910" s="242">
        <v>15</v>
      </c>
      <c r="D910" s="141">
        <f t="shared" si="34"/>
        <v>44119</v>
      </c>
      <c r="E910" s="275">
        <f t="shared" ref="E910:E973" si="35">DATE(A910,B910,C910)</f>
        <v>44119</v>
      </c>
      <c r="F910" s="478"/>
      <c r="G910" s="243" t="s">
        <v>94</v>
      </c>
      <c r="H910" s="243" t="str" cm="1">
        <f t="array" ref="H910">IFERROR(INDEX(INVESTOR_LIST[INVESTOR NAME],MATCH(I910,INVESTOR_LIST[INVESTOR CODE],0),)," ")</f>
        <v xml:space="preserve"> </v>
      </c>
      <c r="I910" s="263" t="s">
        <v>348</v>
      </c>
      <c r="J910" s="244" t="s">
        <v>63</v>
      </c>
      <c r="K910" s="245"/>
      <c r="L910" s="245">
        <v>2747.25</v>
      </c>
      <c r="M910" s="147">
        <v>0</v>
      </c>
      <c r="Q910" s="133" t="s">
        <v>348</v>
      </c>
    </row>
    <row r="911" spans="1:17" x14ac:dyDescent="0.2">
      <c r="A911" s="238">
        <v>2020</v>
      </c>
      <c r="B911" s="238">
        <v>10</v>
      </c>
      <c r="C911" s="238">
        <v>15</v>
      </c>
      <c r="D911" s="141">
        <f t="shared" si="34"/>
        <v>44119</v>
      </c>
      <c r="E911" s="275">
        <f t="shared" si="35"/>
        <v>44119</v>
      </c>
      <c r="F911" s="477" t="s">
        <v>137</v>
      </c>
      <c r="G911" s="239" t="s">
        <v>94</v>
      </c>
      <c r="H911" s="247" t="str" cm="1">
        <f t="array" ref="H911">IFERROR(INDEX(INVESTOR_LIST[INVESTOR NAME],MATCH(I911,INVESTOR_LIST[INVESTOR CODE],0),)," ")</f>
        <v xml:space="preserve"> </v>
      </c>
      <c r="I911" s="248" t="s">
        <v>348</v>
      </c>
      <c r="J911" s="240" t="s">
        <v>97</v>
      </c>
      <c r="K911" s="252">
        <v>41612.559999999998</v>
      </c>
      <c r="L911" s="252"/>
      <c r="M911" s="147">
        <v>0</v>
      </c>
      <c r="Q911" s="133" t="s">
        <v>348</v>
      </c>
    </row>
    <row r="912" spans="1:17" x14ac:dyDescent="0.2">
      <c r="A912" s="242">
        <v>2020</v>
      </c>
      <c r="B912" s="242">
        <v>10</v>
      </c>
      <c r="C912" s="242">
        <v>15</v>
      </c>
      <c r="D912" s="141">
        <f t="shared" si="34"/>
        <v>44119</v>
      </c>
      <c r="E912" s="275">
        <f t="shared" si="35"/>
        <v>44119</v>
      </c>
      <c r="F912" s="478"/>
      <c r="G912" s="243" t="s">
        <v>94</v>
      </c>
      <c r="H912" s="243" t="str" cm="1">
        <f t="array" ref="H912">IFERROR(INDEX(INVESTOR_LIST[INVESTOR NAME],MATCH(I912,INVESTOR_LIST[INVESTOR CODE],0),)," ")</f>
        <v xml:space="preserve"> </v>
      </c>
      <c r="I912" s="263" t="s">
        <v>348</v>
      </c>
      <c r="J912" s="244" t="s">
        <v>47</v>
      </c>
      <c r="K912" s="245"/>
      <c r="L912" s="245">
        <v>41612.559999999998</v>
      </c>
      <c r="M912" s="147">
        <v>0</v>
      </c>
      <c r="Q912" s="133" t="s">
        <v>348</v>
      </c>
    </row>
    <row r="913" spans="1:17" x14ac:dyDescent="0.2">
      <c r="A913" s="238">
        <v>2020</v>
      </c>
      <c r="B913" s="238">
        <v>10</v>
      </c>
      <c r="C913" s="238">
        <v>15</v>
      </c>
      <c r="D913" s="141">
        <f t="shared" si="34"/>
        <v>44119</v>
      </c>
      <c r="E913" s="275">
        <f t="shared" si="35"/>
        <v>44119</v>
      </c>
      <c r="F913" s="477" t="s">
        <v>138</v>
      </c>
      <c r="G913" s="239" t="s">
        <v>94</v>
      </c>
      <c r="H913" s="247" t="str" cm="1">
        <f t="array" ref="H913">IFERROR(INDEX(INVESTOR_LIST[INVESTOR NAME],MATCH(I913,INVESTOR_LIST[INVESTOR CODE],0),)," ")</f>
        <v xml:space="preserve"> </v>
      </c>
      <c r="I913" s="248" t="s">
        <v>348</v>
      </c>
      <c r="J913" s="240" t="s">
        <v>100</v>
      </c>
      <c r="K913" s="252">
        <v>1840.24</v>
      </c>
      <c r="L913" s="252"/>
      <c r="M913" s="147">
        <v>0</v>
      </c>
      <c r="Q913" s="133" t="s">
        <v>348</v>
      </c>
    </row>
    <row r="914" spans="1:17" x14ac:dyDescent="0.2">
      <c r="A914" s="242">
        <v>2020</v>
      </c>
      <c r="B914" s="242">
        <v>10</v>
      </c>
      <c r="C914" s="242">
        <v>15</v>
      </c>
      <c r="D914" s="141">
        <f t="shared" si="34"/>
        <v>44119</v>
      </c>
      <c r="E914" s="275">
        <f t="shared" si="35"/>
        <v>44119</v>
      </c>
      <c r="F914" s="478"/>
      <c r="G914" s="243" t="s">
        <v>94</v>
      </c>
      <c r="H914" s="243" t="str" cm="1">
        <f t="array" ref="H914">IFERROR(INDEX(INVESTOR_LIST[INVESTOR NAME],MATCH(I914,INVESTOR_LIST[INVESTOR CODE],0),)," ")</f>
        <v xml:space="preserve"> </v>
      </c>
      <c r="I914" s="263" t="s">
        <v>348</v>
      </c>
      <c r="J914" s="244" t="s">
        <v>48</v>
      </c>
      <c r="K914" s="245"/>
      <c r="L914" s="245">
        <v>1840.24</v>
      </c>
      <c r="M914" s="147">
        <v>0</v>
      </c>
      <c r="Q914" s="133" t="s">
        <v>348</v>
      </c>
    </row>
    <row r="915" spans="1:17" x14ac:dyDescent="0.2">
      <c r="A915" s="246">
        <v>2020</v>
      </c>
      <c r="B915" s="246">
        <v>10</v>
      </c>
      <c r="C915" s="246">
        <v>15</v>
      </c>
      <c r="D915" s="141">
        <f t="shared" si="34"/>
        <v>44119</v>
      </c>
      <c r="E915" s="275">
        <f t="shared" si="35"/>
        <v>44119</v>
      </c>
      <c r="F915" s="477" t="s">
        <v>140</v>
      </c>
      <c r="G915" s="247" t="s">
        <v>94</v>
      </c>
      <c r="H915" s="247" t="str" cm="1">
        <f t="array" ref="H915">IFERROR(INDEX(INVESTOR_LIST[INVESTOR NAME],MATCH(I915,INVESTOR_LIST[INVESTOR CODE],0),)," ")</f>
        <v xml:space="preserve"> </v>
      </c>
      <c r="I915" s="248" t="s">
        <v>348</v>
      </c>
      <c r="J915" s="249" t="s">
        <v>103</v>
      </c>
      <c r="K915" s="252">
        <v>729</v>
      </c>
      <c r="L915" s="252"/>
      <c r="M915" s="147">
        <v>0</v>
      </c>
      <c r="Q915" s="133" t="s">
        <v>348</v>
      </c>
    </row>
    <row r="916" spans="1:17" x14ac:dyDescent="0.2">
      <c r="A916" s="242">
        <v>2020</v>
      </c>
      <c r="B916" s="242">
        <v>10</v>
      </c>
      <c r="C916" s="242">
        <v>15</v>
      </c>
      <c r="D916" s="141">
        <f t="shared" si="34"/>
        <v>44119</v>
      </c>
      <c r="E916" s="275">
        <f t="shared" si="35"/>
        <v>44119</v>
      </c>
      <c r="F916" s="478"/>
      <c r="G916" s="243" t="s">
        <v>94</v>
      </c>
      <c r="H916" s="243" t="str" cm="1">
        <f t="array" ref="H916">IFERROR(INDEX(INVESTOR_LIST[INVESTOR NAME],MATCH(I916,INVESTOR_LIST[INVESTOR CODE],0),)," ")</f>
        <v xml:space="preserve"> </v>
      </c>
      <c r="I916" s="263" t="s">
        <v>348</v>
      </c>
      <c r="J916" s="244" t="s">
        <v>50</v>
      </c>
      <c r="K916" s="245"/>
      <c r="L916" s="245">
        <v>729</v>
      </c>
      <c r="M916" s="147">
        <v>0</v>
      </c>
      <c r="Q916" s="133" t="s">
        <v>348</v>
      </c>
    </row>
    <row r="917" spans="1:17" x14ac:dyDescent="0.2">
      <c r="A917" s="168">
        <v>2020</v>
      </c>
      <c r="B917" s="168">
        <v>10</v>
      </c>
      <c r="C917" s="168">
        <v>18</v>
      </c>
      <c r="D917" s="141">
        <f t="shared" si="34"/>
        <v>44122</v>
      </c>
      <c r="E917" s="275">
        <f t="shared" si="35"/>
        <v>44122</v>
      </c>
      <c r="F917" s="479" t="s">
        <v>178</v>
      </c>
      <c r="G917" s="220" t="s">
        <v>74</v>
      </c>
      <c r="H917" s="220" t="str" cm="1">
        <f t="array" ref="H917">IFERROR(INDEX(INVESTOR_LIST[INVESTOR NAME],MATCH(I917,INVESTOR_LIST[INVESTOR CODE],0),)," ")</f>
        <v xml:space="preserve"> </v>
      </c>
      <c r="I917" s="142" t="s">
        <v>348</v>
      </c>
      <c r="J917" s="143" t="s">
        <v>147</v>
      </c>
      <c r="K917" s="226">
        <v>3131805.02</v>
      </c>
      <c r="L917" s="226"/>
      <c r="M917" s="147">
        <v>0</v>
      </c>
      <c r="Q917" s="133" t="s">
        <v>348</v>
      </c>
    </row>
    <row r="918" spans="1:17" x14ac:dyDescent="0.2">
      <c r="A918" s="163">
        <v>2020</v>
      </c>
      <c r="B918" s="163">
        <v>10</v>
      </c>
      <c r="C918" s="163">
        <v>18</v>
      </c>
      <c r="D918" s="141">
        <f t="shared" si="34"/>
        <v>44122</v>
      </c>
      <c r="E918" s="275">
        <f t="shared" si="35"/>
        <v>44122</v>
      </c>
      <c r="F918" s="480"/>
      <c r="G918" s="221" t="s">
        <v>74</v>
      </c>
      <c r="H918" s="221" t="str" cm="1">
        <f t="array" ref="H918">IFERROR(INDEX(INVESTOR_LIST[INVESTOR NAME],MATCH(I918,INVESTOR_LIST[INVESTOR CODE],0),)," ")</f>
        <v xml:space="preserve"> </v>
      </c>
      <c r="I918" s="145" t="s">
        <v>348</v>
      </c>
      <c r="J918" s="146" t="s">
        <v>52</v>
      </c>
      <c r="K918" s="219"/>
      <c r="L918" s="219">
        <v>3131805.02</v>
      </c>
      <c r="M918" s="147">
        <v>0</v>
      </c>
      <c r="Q918" s="133" t="s">
        <v>348</v>
      </c>
    </row>
    <row r="919" spans="1:17" x14ac:dyDescent="0.2">
      <c r="A919" s="163">
        <v>2020</v>
      </c>
      <c r="B919" s="163">
        <v>10</v>
      </c>
      <c r="C919" s="163">
        <v>18</v>
      </c>
      <c r="D919" s="141">
        <f t="shared" si="34"/>
        <v>44122</v>
      </c>
      <c r="E919" s="275">
        <f t="shared" si="35"/>
        <v>44122</v>
      </c>
      <c r="F919" s="479" t="s">
        <v>77</v>
      </c>
      <c r="G919" s="174" t="s">
        <v>74</v>
      </c>
      <c r="H919" s="174" t="str" cm="1">
        <f t="array" ref="H919">IFERROR(INDEX(INVESTOR_LIST[INVESTOR NAME],MATCH(I919,INVESTOR_LIST[INVESTOR CODE],0),)," ")</f>
        <v xml:space="preserve"> </v>
      </c>
      <c r="I919" s="148" t="s">
        <v>348</v>
      </c>
      <c r="J919" s="149" t="s">
        <v>61</v>
      </c>
      <c r="K919" s="218">
        <v>10</v>
      </c>
      <c r="L919" s="218"/>
      <c r="M919" s="147">
        <v>0</v>
      </c>
      <c r="Q919" s="133" t="s">
        <v>348</v>
      </c>
    </row>
    <row r="920" spans="1:17" x14ac:dyDescent="0.2">
      <c r="A920" s="163">
        <v>2020</v>
      </c>
      <c r="B920" s="163">
        <v>10</v>
      </c>
      <c r="C920" s="163">
        <v>18</v>
      </c>
      <c r="D920" s="141">
        <f t="shared" si="34"/>
        <v>44122</v>
      </c>
      <c r="E920" s="275">
        <f t="shared" si="35"/>
        <v>44122</v>
      </c>
      <c r="F920" s="480"/>
      <c r="G920" s="221" t="s">
        <v>74</v>
      </c>
      <c r="H920" s="221" t="str" cm="1">
        <f t="array" ref="H920">IFERROR(INDEX(INVESTOR_LIST[INVESTOR NAME],MATCH(I920,INVESTOR_LIST[INVESTOR CODE],0),)," ")</f>
        <v xml:space="preserve"> </v>
      </c>
      <c r="I920" s="145" t="s">
        <v>348</v>
      </c>
      <c r="J920" s="146" t="s">
        <v>52</v>
      </c>
      <c r="K920" s="219"/>
      <c r="L920" s="219">
        <v>10</v>
      </c>
      <c r="M920" s="147">
        <v>0</v>
      </c>
      <c r="Q920" s="133" t="s">
        <v>348</v>
      </c>
    </row>
    <row r="921" spans="1:17" ht="33.75" x14ac:dyDescent="0.2">
      <c r="A921" s="133">
        <v>2020</v>
      </c>
      <c r="B921" s="133">
        <v>10</v>
      </c>
      <c r="C921" s="133">
        <v>18</v>
      </c>
      <c r="D921" s="141">
        <f t="shared" si="34"/>
        <v>44122</v>
      </c>
      <c r="E921" s="275">
        <f t="shared" si="35"/>
        <v>44122</v>
      </c>
      <c r="F921" s="479" t="s">
        <v>964</v>
      </c>
      <c r="G921" s="174" t="s">
        <v>74</v>
      </c>
      <c r="H921" s="174" t="str" cm="1">
        <f t="array" ref="H921">IFERROR(INDEX(INVESTOR_LIST[INVESTOR NAME],MATCH(I921,INVESTOR_LIST[INVESTOR CODE],0),)," ")</f>
        <v>FAKARUDDIN ALI AHMED</v>
      </c>
      <c r="I921" s="148" t="s">
        <v>458</v>
      </c>
      <c r="J921" s="149" t="s">
        <v>52</v>
      </c>
      <c r="K921" s="218">
        <v>56000</v>
      </c>
      <c r="L921" s="218"/>
      <c r="M921" s="147">
        <v>0</v>
      </c>
      <c r="Q921" s="133" t="s">
        <v>458</v>
      </c>
    </row>
    <row r="922" spans="1:17" ht="33.75" x14ac:dyDescent="0.2">
      <c r="A922" s="133">
        <v>2020</v>
      </c>
      <c r="B922" s="133">
        <v>10</v>
      </c>
      <c r="C922" s="133">
        <v>18</v>
      </c>
      <c r="D922" s="141">
        <f t="shared" si="34"/>
        <v>44122</v>
      </c>
      <c r="E922" s="275">
        <f t="shared" si="35"/>
        <v>44122</v>
      </c>
      <c r="F922" s="481"/>
      <c r="G922" s="174" t="s">
        <v>74</v>
      </c>
      <c r="H922" s="174" t="str" cm="1">
        <f t="array" ref="H922">IFERROR(INDEX(INVESTOR_LIST[INVESTOR NAME],MATCH(I922,INVESTOR_LIST[INVESTOR CODE],0),)," ")</f>
        <v>FAKARUDDIN ALI AHMED</v>
      </c>
      <c r="I922" s="148" t="s">
        <v>458</v>
      </c>
      <c r="J922" s="149" t="s">
        <v>13</v>
      </c>
      <c r="K922" s="218"/>
      <c r="L922" s="218">
        <v>48950</v>
      </c>
      <c r="M922" s="147">
        <v>0</v>
      </c>
      <c r="Q922" s="133" t="s">
        <v>458</v>
      </c>
    </row>
    <row r="923" spans="1:17" ht="14.45" customHeight="1" x14ac:dyDescent="0.2">
      <c r="A923" s="133">
        <v>2020</v>
      </c>
      <c r="B923" s="133">
        <v>10</v>
      </c>
      <c r="C923" s="133">
        <v>18</v>
      </c>
      <c r="D923" s="141">
        <f t="shared" si="34"/>
        <v>44122</v>
      </c>
      <c r="E923" s="275">
        <f t="shared" si="35"/>
        <v>44122</v>
      </c>
      <c r="F923" s="480"/>
      <c r="G923" s="174" t="s">
        <v>74</v>
      </c>
      <c r="H923" s="174" t="str" cm="1">
        <f t="array" ref="H923">IFERROR(INDEX(INVESTOR_LIST[INVESTOR NAME],MATCH(I923,INVESTOR_LIST[INVESTOR CODE],0),)," ")</f>
        <v>FAKARUDDIN ALI AHMED</v>
      </c>
      <c r="I923" s="148" t="s">
        <v>458</v>
      </c>
      <c r="J923" s="149" t="s">
        <v>53</v>
      </c>
      <c r="K923" s="218"/>
      <c r="L923" s="218">
        <f>K921-L922</f>
        <v>7050</v>
      </c>
      <c r="M923" s="147">
        <v>0</v>
      </c>
      <c r="Q923" s="133" t="s">
        <v>458</v>
      </c>
    </row>
    <row r="924" spans="1:17" x14ac:dyDescent="0.2">
      <c r="A924" s="168">
        <v>2020</v>
      </c>
      <c r="B924" s="168">
        <v>10</v>
      </c>
      <c r="C924" s="168">
        <v>20</v>
      </c>
      <c r="D924" s="141">
        <f t="shared" si="34"/>
        <v>44124</v>
      </c>
      <c r="E924" s="275">
        <f t="shared" si="35"/>
        <v>44124</v>
      </c>
      <c r="F924" s="479" t="s">
        <v>275</v>
      </c>
      <c r="G924" s="220" t="s">
        <v>74</v>
      </c>
      <c r="H924" s="220" t="str" cm="1">
        <f t="array" ref="H924">IFERROR(INDEX(INVESTOR_LIST[INVESTOR NAME],MATCH(I924,INVESTOR_LIST[INVESTOR CODE],0),)," ")</f>
        <v xml:space="preserve"> </v>
      </c>
      <c r="I924" s="142" t="s">
        <v>348</v>
      </c>
      <c r="J924" s="143" t="s">
        <v>163</v>
      </c>
      <c r="K924" s="226">
        <v>3150</v>
      </c>
      <c r="L924" s="226"/>
      <c r="M924" s="147">
        <v>0</v>
      </c>
      <c r="Q924" s="133" t="s">
        <v>348</v>
      </c>
    </row>
    <row r="925" spans="1:17" x14ac:dyDescent="0.2">
      <c r="A925" s="163">
        <v>2020</v>
      </c>
      <c r="B925" s="163">
        <v>10</v>
      </c>
      <c r="C925" s="163">
        <v>20</v>
      </c>
      <c r="D925" s="141">
        <f t="shared" si="34"/>
        <v>44124</v>
      </c>
      <c r="E925" s="275">
        <f t="shared" si="35"/>
        <v>44124</v>
      </c>
      <c r="F925" s="480"/>
      <c r="G925" s="221" t="s">
        <v>74</v>
      </c>
      <c r="H925" s="221" t="str" cm="1">
        <f t="array" ref="H925">IFERROR(INDEX(INVESTOR_LIST[INVESTOR NAME],MATCH(I925,INVESTOR_LIST[INVESTOR CODE],0),)," ")</f>
        <v xml:space="preserve"> </v>
      </c>
      <c r="I925" s="145" t="s">
        <v>348</v>
      </c>
      <c r="J925" s="146" t="s">
        <v>52</v>
      </c>
      <c r="K925" s="219"/>
      <c r="L925" s="219">
        <v>3150</v>
      </c>
      <c r="M925" s="147">
        <v>0</v>
      </c>
      <c r="Q925" s="133" t="s">
        <v>348</v>
      </c>
    </row>
    <row r="926" spans="1:17" x14ac:dyDescent="0.2">
      <c r="A926" s="168">
        <v>2020</v>
      </c>
      <c r="B926" s="168">
        <v>10</v>
      </c>
      <c r="C926" s="168">
        <v>20</v>
      </c>
      <c r="D926" s="141">
        <f t="shared" si="34"/>
        <v>44124</v>
      </c>
      <c r="E926" s="275">
        <f t="shared" si="35"/>
        <v>44124</v>
      </c>
      <c r="F926" s="479" t="s">
        <v>77</v>
      </c>
      <c r="G926" s="220" t="s">
        <v>74</v>
      </c>
      <c r="H926" s="220" t="str" cm="1">
        <f t="array" ref="H926">IFERROR(INDEX(INVESTOR_LIST[INVESTOR NAME],MATCH(I926,INVESTOR_LIST[INVESTOR CODE],0),)," ")</f>
        <v xml:space="preserve"> </v>
      </c>
      <c r="I926" s="142" t="s">
        <v>348</v>
      </c>
      <c r="J926" s="143" t="s">
        <v>61</v>
      </c>
      <c r="K926" s="226">
        <v>345</v>
      </c>
      <c r="L926" s="226"/>
      <c r="M926" s="147"/>
      <c r="Q926" s="133" t="s">
        <v>348</v>
      </c>
    </row>
    <row r="927" spans="1:17" x14ac:dyDescent="0.2">
      <c r="A927" s="163">
        <v>2020</v>
      </c>
      <c r="B927" s="163">
        <v>10</v>
      </c>
      <c r="C927" s="163">
        <v>20</v>
      </c>
      <c r="D927" s="141">
        <f t="shared" si="34"/>
        <v>44124</v>
      </c>
      <c r="E927" s="275">
        <f t="shared" si="35"/>
        <v>44124</v>
      </c>
      <c r="F927" s="480"/>
      <c r="G927" s="221" t="s">
        <v>74</v>
      </c>
      <c r="H927" s="221" t="str" cm="1">
        <f t="array" ref="H927">IFERROR(INDEX(INVESTOR_LIST[INVESTOR NAME],MATCH(I927,INVESTOR_LIST[INVESTOR CODE],0),)," ")</f>
        <v xml:space="preserve"> </v>
      </c>
      <c r="I927" s="145" t="s">
        <v>348</v>
      </c>
      <c r="J927" s="146" t="s">
        <v>52</v>
      </c>
      <c r="K927" s="219"/>
      <c r="L927" s="219">
        <v>345</v>
      </c>
      <c r="M927" s="147"/>
      <c r="Q927" s="133" t="s">
        <v>348</v>
      </c>
    </row>
    <row r="928" spans="1:17" x14ac:dyDescent="0.2">
      <c r="A928" s="246">
        <v>2020</v>
      </c>
      <c r="B928" s="246">
        <v>10</v>
      </c>
      <c r="C928" s="246">
        <v>22</v>
      </c>
      <c r="D928" s="141">
        <f t="shared" si="34"/>
        <v>44126</v>
      </c>
      <c r="E928" s="275">
        <f t="shared" si="35"/>
        <v>44126</v>
      </c>
      <c r="F928" s="482" t="s">
        <v>105</v>
      </c>
      <c r="G928" s="247" t="s">
        <v>94</v>
      </c>
      <c r="H928" s="247" t="str" cm="1">
        <f t="array" ref="H928">IFERROR(INDEX(INVESTOR_LIST[INVESTOR NAME],MATCH(I928,INVESTOR_LIST[INVESTOR CODE],0),)," ")</f>
        <v xml:space="preserve"> </v>
      </c>
      <c r="I928" s="248" t="s">
        <v>348</v>
      </c>
      <c r="J928" s="249" t="s">
        <v>108</v>
      </c>
      <c r="K928" s="250">
        <v>52600.2</v>
      </c>
      <c r="L928" s="250"/>
      <c r="M928" s="147">
        <v>0</v>
      </c>
      <c r="Q928" s="133" t="s">
        <v>348</v>
      </c>
    </row>
    <row r="929" spans="1:17" x14ac:dyDescent="0.2">
      <c r="A929" s="242">
        <v>2020</v>
      </c>
      <c r="B929" s="242">
        <v>10</v>
      </c>
      <c r="C929" s="242">
        <v>22</v>
      </c>
      <c r="D929" s="141">
        <f t="shared" si="34"/>
        <v>44126</v>
      </c>
      <c r="E929" s="275">
        <f t="shared" si="35"/>
        <v>44126</v>
      </c>
      <c r="F929" s="478"/>
      <c r="G929" s="243" t="s">
        <v>94</v>
      </c>
      <c r="H929" s="243" t="str" cm="1">
        <f t="array" ref="H929">IFERROR(INDEX(INVESTOR_LIST[INVESTOR NAME],MATCH(I929,INVESTOR_LIST[INVESTOR CODE],0),)," ")</f>
        <v xml:space="preserve"> </v>
      </c>
      <c r="I929" s="263" t="s">
        <v>348</v>
      </c>
      <c r="J929" s="244" t="s">
        <v>82</v>
      </c>
      <c r="K929" s="245"/>
      <c r="L929" s="245">
        <v>52600.2</v>
      </c>
      <c r="M929" s="147">
        <v>2</v>
      </c>
      <c r="Q929" s="133" t="s">
        <v>348</v>
      </c>
    </row>
    <row r="930" spans="1:17" ht="22.5" x14ac:dyDescent="0.2">
      <c r="A930" s="246">
        <v>2020</v>
      </c>
      <c r="B930" s="246">
        <v>10</v>
      </c>
      <c r="C930" s="246">
        <v>22</v>
      </c>
      <c r="D930" s="141">
        <f t="shared" si="34"/>
        <v>44126</v>
      </c>
      <c r="E930" s="275">
        <f t="shared" si="35"/>
        <v>44126</v>
      </c>
      <c r="F930" s="477" t="s">
        <v>148</v>
      </c>
      <c r="G930" s="247" t="s">
        <v>94</v>
      </c>
      <c r="H930" s="247" t="str" cm="1">
        <f t="array" ref="H930">IFERROR(INDEX(INVESTOR_LIST[INVESTOR NAME],MATCH(I930,INVESTOR_LIST[INVESTOR CODE],0),)," ")</f>
        <v xml:space="preserve"> </v>
      </c>
      <c r="I930" s="248" t="s">
        <v>348</v>
      </c>
      <c r="J930" s="249" t="s">
        <v>95</v>
      </c>
      <c r="K930" s="250">
        <v>2747.25</v>
      </c>
      <c r="L930" s="250"/>
      <c r="M930" s="147">
        <v>0</v>
      </c>
      <c r="Q930" s="133" t="s">
        <v>348</v>
      </c>
    </row>
    <row r="931" spans="1:17" x14ac:dyDescent="0.2">
      <c r="A931" s="242">
        <v>2020</v>
      </c>
      <c r="B931" s="242">
        <v>10</v>
      </c>
      <c r="C931" s="242">
        <v>22</v>
      </c>
      <c r="D931" s="141">
        <f t="shared" si="34"/>
        <v>44126</v>
      </c>
      <c r="E931" s="275">
        <f t="shared" si="35"/>
        <v>44126</v>
      </c>
      <c r="F931" s="478"/>
      <c r="G931" s="243" t="s">
        <v>94</v>
      </c>
      <c r="H931" s="243" t="str" cm="1">
        <f t="array" ref="H931">IFERROR(INDEX(INVESTOR_LIST[INVESTOR NAME],MATCH(I931,INVESTOR_LIST[INVESTOR CODE],0),)," ")</f>
        <v xml:space="preserve"> </v>
      </c>
      <c r="I931" s="263" t="s">
        <v>348</v>
      </c>
      <c r="J931" s="244" t="s">
        <v>63</v>
      </c>
      <c r="K931" s="245"/>
      <c r="L931" s="245">
        <v>2747.25</v>
      </c>
      <c r="M931" s="147">
        <v>0</v>
      </c>
      <c r="Q931" s="133" t="s">
        <v>348</v>
      </c>
    </row>
    <row r="932" spans="1:17" x14ac:dyDescent="0.2">
      <c r="A932" s="238">
        <v>2020</v>
      </c>
      <c r="B932" s="238">
        <v>10</v>
      </c>
      <c r="C932" s="238">
        <v>22</v>
      </c>
      <c r="D932" s="141">
        <f t="shared" si="34"/>
        <v>44126</v>
      </c>
      <c r="E932" s="275">
        <f t="shared" si="35"/>
        <v>44126</v>
      </c>
      <c r="F932" s="477" t="s">
        <v>137</v>
      </c>
      <c r="G932" s="239" t="s">
        <v>94</v>
      </c>
      <c r="H932" s="247" t="str" cm="1">
        <f t="array" ref="H932">IFERROR(INDEX(INVESTOR_LIST[INVESTOR NAME],MATCH(I932,INVESTOR_LIST[INVESTOR CODE],0),)," ")</f>
        <v xml:space="preserve"> </v>
      </c>
      <c r="I932" s="248" t="s">
        <v>348</v>
      </c>
      <c r="J932" s="240" t="s">
        <v>97</v>
      </c>
      <c r="K932" s="250">
        <v>41635.08</v>
      </c>
      <c r="L932" s="250"/>
      <c r="M932" s="147">
        <v>0</v>
      </c>
      <c r="Q932" s="133" t="s">
        <v>348</v>
      </c>
    </row>
    <row r="933" spans="1:17" x14ac:dyDescent="0.2">
      <c r="A933" s="242">
        <v>2020</v>
      </c>
      <c r="B933" s="242">
        <v>10</v>
      </c>
      <c r="C933" s="242">
        <v>22</v>
      </c>
      <c r="D933" s="141">
        <f t="shared" si="34"/>
        <v>44126</v>
      </c>
      <c r="E933" s="275">
        <f t="shared" si="35"/>
        <v>44126</v>
      </c>
      <c r="F933" s="478"/>
      <c r="G933" s="243" t="s">
        <v>94</v>
      </c>
      <c r="H933" s="243" t="str" cm="1">
        <f t="array" ref="H933">IFERROR(INDEX(INVESTOR_LIST[INVESTOR NAME],MATCH(I933,INVESTOR_LIST[INVESTOR CODE],0),)," ")</f>
        <v xml:space="preserve"> </v>
      </c>
      <c r="I933" s="263" t="s">
        <v>348</v>
      </c>
      <c r="J933" s="244" t="s">
        <v>47</v>
      </c>
      <c r="K933" s="245"/>
      <c r="L933" s="245">
        <v>41635.08</v>
      </c>
      <c r="M933" s="147">
        <v>0</v>
      </c>
      <c r="Q933" s="133" t="s">
        <v>348</v>
      </c>
    </row>
    <row r="934" spans="1:17" x14ac:dyDescent="0.2">
      <c r="A934" s="238">
        <v>2020</v>
      </c>
      <c r="B934" s="238">
        <v>10</v>
      </c>
      <c r="C934" s="238">
        <v>22</v>
      </c>
      <c r="D934" s="141">
        <f t="shared" si="34"/>
        <v>44126</v>
      </c>
      <c r="E934" s="275">
        <f t="shared" si="35"/>
        <v>44126</v>
      </c>
      <c r="F934" s="477" t="s">
        <v>138</v>
      </c>
      <c r="G934" s="239" t="s">
        <v>94</v>
      </c>
      <c r="H934" s="247" t="str" cm="1">
        <f t="array" ref="H934">IFERROR(INDEX(INVESTOR_LIST[INVESTOR NAME],MATCH(I934,INVESTOR_LIST[INVESTOR CODE],0),)," ")</f>
        <v xml:space="preserve"> </v>
      </c>
      <c r="I934" s="248" t="s">
        <v>348</v>
      </c>
      <c r="J934" s="240" t="s">
        <v>100</v>
      </c>
      <c r="K934" s="250">
        <v>1840.52</v>
      </c>
      <c r="L934" s="250"/>
      <c r="M934" s="147">
        <v>0</v>
      </c>
      <c r="Q934" s="133" t="s">
        <v>348</v>
      </c>
    </row>
    <row r="935" spans="1:17" x14ac:dyDescent="0.2">
      <c r="A935" s="242">
        <v>2020</v>
      </c>
      <c r="B935" s="242">
        <v>10</v>
      </c>
      <c r="C935" s="242">
        <v>22</v>
      </c>
      <c r="D935" s="141">
        <f t="shared" si="34"/>
        <v>44126</v>
      </c>
      <c r="E935" s="275">
        <f t="shared" si="35"/>
        <v>44126</v>
      </c>
      <c r="F935" s="478"/>
      <c r="G935" s="243" t="s">
        <v>94</v>
      </c>
      <c r="H935" s="243" t="str" cm="1">
        <f t="array" ref="H935">IFERROR(INDEX(INVESTOR_LIST[INVESTOR NAME],MATCH(I935,INVESTOR_LIST[INVESTOR CODE],0),)," ")</f>
        <v xml:space="preserve"> </v>
      </c>
      <c r="I935" s="263" t="s">
        <v>348</v>
      </c>
      <c r="J935" s="244" t="s">
        <v>48</v>
      </c>
      <c r="K935" s="245"/>
      <c r="L935" s="245">
        <v>1840.52</v>
      </c>
      <c r="M935" s="147">
        <v>0</v>
      </c>
      <c r="Q935" s="133" t="s">
        <v>348</v>
      </c>
    </row>
    <row r="936" spans="1:17" x14ac:dyDescent="0.2">
      <c r="A936" s="246">
        <v>2020</v>
      </c>
      <c r="B936" s="246">
        <v>10</v>
      </c>
      <c r="C936" s="246">
        <v>22</v>
      </c>
      <c r="D936" s="141">
        <f t="shared" si="34"/>
        <v>44126</v>
      </c>
      <c r="E936" s="275">
        <f t="shared" si="35"/>
        <v>44126</v>
      </c>
      <c r="F936" s="477" t="s">
        <v>140</v>
      </c>
      <c r="G936" s="247" t="s">
        <v>94</v>
      </c>
      <c r="H936" s="247" t="str" cm="1">
        <f t="array" ref="H936">IFERROR(INDEX(INVESTOR_LIST[INVESTOR NAME],MATCH(I936,INVESTOR_LIST[INVESTOR CODE],0),)," ")</f>
        <v xml:space="preserve"> </v>
      </c>
      <c r="I936" s="248" t="s">
        <v>348</v>
      </c>
      <c r="J936" s="249" t="s">
        <v>103</v>
      </c>
      <c r="K936" s="250">
        <v>729.17</v>
      </c>
      <c r="L936" s="250"/>
      <c r="M936" s="147">
        <v>0</v>
      </c>
      <c r="Q936" s="133" t="s">
        <v>348</v>
      </c>
    </row>
    <row r="937" spans="1:17" x14ac:dyDescent="0.2">
      <c r="A937" s="242">
        <v>2020</v>
      </c>
      <c r="B937" s="242">
        <v>10</v>
      </c>
      <c r="C937" s="242">
        <v>22</v>
      </c>
      <c r="D937" s="141">
        <f t="shared" si="34"/>
        <v>44126</v>
      </c>
      <c r="E937" s="275">
        <f t="shared" si="35"/>
        <v>44126</v>
      </c>
      <c r="F937" s="478"/>
      <c r="G937" s="243" t="s">
        <v>94</v>
      </c>
      <c r="H937" s="243" t="str" cm="1">
        <f t="array" ref="H937">IFERROR(INDEX(INVESTOR_LIST[INVESTOR NAME],MATCH(I937,INVESTOR_LIST[INVESTOR CODE],0),)," ")</f>
        <v xml:space="preserve"> </v>
      </c>
      <c r="I937" s="263" t="s">
        <v>348</v>
      </c>
      <c r="J937" s="244" t="s">
        <v>50</v>
      </c>
      <c r="K937" s="245"/>
      <c r="L937" s="245">
        <v>729.17</v>
      </c>
      <c r="M937" s="147">
        <v>1</v>
      </c>
      <c r="Q937" s="133" t="s">
        <v>348</v>
      </c>
    </row>
    <row r="938" spans="1:17" x14ac:dyDescent="0.2">
      <c r="A938" s="133">
        <v>2020</v>
      </c>
      <c r="B938" s="133">
        <v>10</v>
      </c>
      <c r="C938" s="133">
        <v>22</v>
      </c>
      <c r="D938" s="141">
        <f t="shared" si="34"/>
        <v>44126</v>
      </c>
      <c r="E938" s="275">
        <f t="shared" si="35"/>
        <v>44126</v>
      </c>
      <c r="F938" s="479" t="s">
        <v>204</v>
      </c>
      <c r="G938" s="220" t="s">
        <v>74</v>
      </c>
      <c r="H938" s="220" t="str" cm="1">
        <f t="array" ref="H938">IFERROR(INDEX(INVESTOR_LIST[INVESTOR NAME],MATCH(I938,INVESTOR_LIST[INVESTOR CODE],0),)," ")</f>
        <v xml:space="preserve"> </v>
      </c>
      <c r="I938" s="142" t="s">
        <v>348</v>
      </c>
      <c r="J938" s="143" t="s">
        <v>184</v>
      </c>
      <c r="K938" s="226">
        <v>2400000</v>
      </c>
      <c r="L938" s="226"/>
      <c r="M938" s="147">
        <v>0</v>
      </c>
      <c r="Q938" s="133" t="s">
        <v>348</v>
      </c>
    </row>
    <row r="939" spans="1:17" x14ac:dyDescent="0.2">
      <c r="A939" s="133">
        <v>2020</v>
      </c>
      <c r="B939" s="133">
        <v>10</v>
      </c>
      <c r="C939" s="133">
        <v>22</v>
      </c>
      <c r="D939" s="141">
        <f t="shared" si="34"/>
        <v>44126</v>
      </c>
      <c r="E939" s="275">
        <f t="shared" si="35"/>
        <v>44126</v>
      </c>
      <c r="F939" s="481"/>
      <c r="G939" s="174" t="s">
        <v>74</v>
      </c>
      <c r="H939" s="174" t="str" cm="1">
        <f t="array" ref="H939">IFERROR(INDEX(INVESTOR_LIST[INVESTOR NAME],MATCH(I939,INVESTOR_LIST[INVESTOR CODE],0),)," ")</f>
        <v xml:space="preserve"> </v>
      </c>
      <c r="I939" s="148" t="s">
        <v>348</v>
      </c>
      <c r="J939" s="149" t="s">
        <v>185</v>
      </c>
      <c r="K939" s="218">
        <v>3000</v>
      </c>
      <c r="L939" s="218"/>
      <c r="M939" s="147">
        <v>0</v>
      </c>
      <c r="N939" s="156"/>
      <c r="Q939" s="133" t="s">
        <v>348</v>
      </c>
    </row>
    <row r="940" spans="1:17" x14ac:dyDescent="0.2">
      <c r="A940" s="163">
        <v>2020</v>
      </c>
      <c r="B940" s="163">
        <v>10</v>
      </c>
      <c r="C940" s="163">
        <v>22</v>
      </c>
      <c r="D940" s="141">
        <f t="shared" si="34"/>
        <v>44126</v>
      </c>
      <c r="E940" s="275">
        <f t="shared" si="35"/>
        <v>44126</v>
      </c>
      <c r="F940" s="480"/>
      <c r="G940" s="221" t="s">
        <v>74</v>
      </c>
      <c r="H940" s="221" t="str" cm="1">
        <f t="array" ref="H940">IFERROR(INDEX(INVESTOR_LIST[INVESTOR NAME],MATCH(I940,INVESTOR_LIST[INVESTOR CODE],0),)," ")</f>
        <v xml:space="preserve"> </v>
      </c>
      <c r="I940" s="145" t="s">
        <v>348</v>
      </c>
      <c r="J940" s="146" t="s">
        <v>52</v>
      </c>
      <c r="K940" s="219"/>
      <c r="L940" s="219">
        <v>2403000</v>
      </c>
      <c r="M940" s="147">
        <v>0</v>
      </c>
      <c r="Q940" s="133" t="s">
        <v>348</v>
      </c>
    </row>
    <row r="941" spans="1:17" x14ac:dyDescent="0.2">
      <c r="A941" s="133">
        <v>2020</v>
      </c>
      <c r="B941" s="133">
        <v>10</v>
      </c>
      <c r="C941" s="133">
        <v>22</v>
      </c>
      <c r="D941" s="141">
        <f t="shared" si="34"/>
        <v>44126</v>
      </c>
      <c r="E941" s="275">
        <f t="shared" si="35"/>
        <v>44126</v>
      </c>
      <c r="F941" s="479" t="s">
        <v>77</v>
      </c>
      <c r="G941" s="220" t="s">
        <v>74</v>
      </c>
      <c r="H941" s="174" t="str" cm="1">
        <f t="array" ref="H941">IFERROR(INDEX(INVESTOR_LIST[INVESTOR NAME],MATCH(I941,INVESTOR_LIST[INVESTOR CODE],0),)," ")</f>
        <v xml:space="preserve"> </v>
      </c>
      <c r="I941" s="148" t="s">
        <v>348</v>
      </c>
      <c r="J941" s="149" t="s">
        <v>61</v>
      </c>
      <c r="K941" s="172">
        <v>115</v>
      </c>
      <c r="M941" s="147">
        <v>0</v>
      </c>
      <c r="Q941" s="133" t="s">
        <v>348</v>
      </c>
    </row>
    <row r="942" spans="1:17" x14ac:dyDescent="0.2">
      <c r="A942" s="163">
        <v>2020</v>
      </c>
      <c r="B942" s="163">
        <v>10</v>
      </c>
      <c r="C942" s="163">
        <v>22</v>
      </c>
      <c r="D942" s="141">
        <f t="shared" si="34"/>
        <v>44126</v>
      </c>
      <c r="E942" s="275">
        <f t="shared" si="35"/>
        <v>44126</v>
      </c>
      <c r="F942" s="480"/>
      <c r="G942" s="221" t="s">
        <v>74</v>
      </c>
      <c r="H942" s="221" t="str" cm="1">
        <f t="array" ref="H942">IFERROR(INDEX(INVESTOR_LIST[INVESTOR NAME],MATCH(I942,INVESTOR_LIST[INVESTOR CODE],0),)," ")</f>
        <v xml:space="preserve"> </v>
      </c>
      <c r="I942" s="145" t="s">
        <v>348</v>
      </c>
      <c r="J942" s="146" t="s">
        <v>52</v>
      </c>
      <c r="K942" s="219"/>
      <c r="L942" s="219">
        <v>115</v>
      </c>
      <c r="M942" s="147">
        <v>0</v>
      </c>
      <c r="Q942" s="133" t="s">
        <v>348</v>
      </c>
    </row>
    <row r="943" spans="1:17" x14ac:dyDescent="0.2">
      <c r="A943" s="133">
        <v>2020</v>
      </c>
      <c r="B943" s="133">
        <v>10</v>
      </c>
      <c r="C943" s="133">
        <v>25</v>
      </c>
      <c r="D943" s="141">
        <f t="shared" si="34"/>
        <v>44129</v>
      </c>
      <c r="E943" s="275">
        <f t="shared" si="35"/>
        <v>44129</v>
      </c>
      <c r="F943" s="479" t="s">
        <v>205</v>
      </c>
      <c r="G943" s="174" t="s">
        <v>74</v>
      </c>
      <c r="H943" s="174" t="str" cm="1">
        <f t="array" ref="H943">IFERROR(INDEX(INVESTOR_LIST[INVESTOR NAME],MATCH(I943,INVESTOR_LIST[INVESTOR CODE],0),)," ")</f>
        <v xml:space="preserve"> </v>
      </c>
      <c r="I943" s="148" t="s">
        <v>348</v>
      </c>
      <c r="J943" s="149" t="s">
        <v>190</v>
      </c>
      <c r="K943" s="218">
        <v>4883214.96</v>
      </c>
      <c r="L943" s="218"/>
      <c r="M943" s="147">
        <v>0</v>
      </c>
      <c r="Q943" s="133" t="s">
        <v>348</v>
      </c>
    </row>
    <row r="944" spans="1:17" x14ac:dyDescent="0.2">
      <c r="A944" s="133">
        <v>2020</v>
      </c>
      <c r="B944" s="133">
        <v>10</v>
      </c>
      <c r="C944" s="133">
        <v>25</v>
      </c>
      <c r="D944" s="141">
        <f t="shared" si="34"/>
        <v>44129</v>
      </c>
      <c r="E944" s="275">
        <f t="shared" si="35"/>
        <v>44129</v>
      </c>
      <c r="F944" s="481"/>
      <c r="G944" s="174" t="s">
        <v>74</v>
      </c>
      <c r="H944" s="174" t="str" cm="1">
        <f t="array" ref="H944">IFERROR(INDEX(INVESTOR_LIST[INVESTOR NAME],MATCH(I944,INVESTOR_LIST[INVESTOR CODE],0),)," ")</f>
        <v xml:space="preserve"> </v>
      </c>
      <c r="I944" s="148" t="s">
        <v>348</v>
      </c>
      <c r="J944" s="149" t="s">
        <v>80</v>
      </c>
      <c r="K944" s="218">
        <v>8805.64</v>
      </c>
      <c r="L944" s="218"/>
      <c r="M944" s="147">
        <v>0</v>
      </c>
      <c r="Q944" s="133" t="s">
        <v>348</v>
      </c>
    </row>
    <row r="945" spans="1:17" x14ac:dyDescent="0.2">
      <c r="A945" s="133">
        <v>2020</v>
      </c>
      <c r="B945" s="133">
        <v>10</v>
      </c>
      <c r="C945" s="133">
        <v>25</v>
      </c>
      <c r="D945" s="141">
        <f t="shared" si="34"/>
        <v>44129</v>
      </c>
      <c r="E945" s="275">
        <f t="shared" si="35"/>
        <v>44129</v>
      </c>
      <c r="F945" s="481"/>
      <c r="G945" s="174" t="s">
        <v>74</v>
      </c>
      <c r="H945" s="174" t="str" cm="1">
        <f t="array" ref="H945">IFERROR(INDEX(INVESTOR_LIST[INVESTOR NAME],MATCH(I945,INVESTOR_LIST[INVESTOR CODE],0),)," ")</f>
        <v xml:space="preserve"> </v>
      </c>
      <c r="I945" s="148" t="s">
        <v>348</v>
      </c>
      <c r="J945" s="149" t="s">
        <v>79</v>
      </c>
      <c r="K945" s="218"/>
      <c r="L945" s="218">
        <v>4371960.17</v>
      </c>
      <c r="M945" s="147">
        <v>0</v>
      </c>
      <c r="N945" s="164"/>
      <c r="Q945" s="133" t="s">
        <v>348</v>
      </c>
    </row>
    <row r="946" spans="1:17" x14ac:dyDescent="0.2">
      <c r="A946" s="163">
        <v>2020</v>
      </c>
      <c r="B946" s="163">
        <v>10</v>
      </c>
      <c r="C946" s="163">
        <v>25</v>
      </c>
      <c r="D946" s="141">
        <f t="shared" si="34"/>
        <v>44129</v>
      </c>
      <c r="E946" s="275">
        <f t="shared" si="35"/>
        <v>44129</v>
      </c>
      <c r="F946" s="480"/>
      <c r="G946" s="221" t="s">
        <v>74</v>
      </c>
      <c r="H946" s="221" t="str" cm="1">
        <f t="array" ref="H946">IFERROR(INDEX(INVESTOR_LIST[INVESTOR NAME],MATCH(I946,INVESTOR_LIST[INVESTOR CODE],0),)," ")</f>
        <v xml:space="preserve"> </v>
      </c>
      <c r="I946" s="145" t="s">
        <v>348</v>
      </c>
      <c r="J946" s="146" t="s">
        <v>191</v>
      </c>
      <c r="K946" s="219"/>
      <c r="L946" s="219">
        <v>520060.43</v>
      </c>
      <c r="M946" s="147">
        <v>0</v>
      </c>
      <c r="N946" s="165"/>
      <c r="Q946" s="133" t="s">
        <v>348</v>
      </c>
    </row>
    <row r="947" spans="1:17" x14ac:dyDescent="0.2">
      <c r="A947" s="133">
        <v>2020</v>
      </c>
      <c r="B947" s="133">
        <v>10</v>
      </c>
      <c r="C947" s="133">
        <v>25</v>
      </c>
      <c r="D947" s="141">
        <f t="shared" si="34"/>
        <v>44129</v>
      </c>
      <c r="E947" s="275">
        <f t="shared" si="35"/>
        <v>44129</v>
      </c>
      <c r="F947" s="479" t="s">
        <v>206</v>
      </c>
      <c r="G947" s="174" t="s">
        <v>74</v>
      </c>
      <c r="H947" s="174" t="str" cm="1">
        <f t="array" ref="H947">IFERROR(INDEX(INVESTOR_LIST[INVESTOR NAME],MATCH(I947,INVESTOR_LIST[INVESTOR CODE],0),)," ")</f>
        <v xml:space="preserve"> </v>
      </c>
      <c r="I947" s="148" t="s">
        <v>348</v>
      </c>
      <c r="J947" s="149" t="s">
        <v>190</v>
      </c>
      <c r="K947" s="218">
        <v>2645928.7400000002</v>
      </c>
      <c r="L947" s="218"/>
      <c r="M947" s="147">
        <v>0</v>
      </c>
      <c r="N947" s="164"/>
      <c r="Q947" s="133" t="s">
        <v>348</v>
      </c>
    </row>
    <row r="948" spans="1:17" x14ac:dyDescent="0.2">
      <c r="A948" s="133">
        <v>2020</v>
      </c>
      <c r="B948" s="133">
        <v>10</v>
      </c>
      <c r="C948" s="133">
        <v>25</v>
      </c>
      <c r="D948" s="141">
        <f t="shared" si="34"/>
        <v>44129</v>
      </c>
      <c r="E948" s="275">
        <f t="shared" si="35"/>
        <v>44129</v>
      </c>
      <c r="F948" s="481"/>
      <c r="G948" s="174" t="s">
        <v>74</v>
      </c>
      <c r="H948" s="174" t="str" cm="1">
        <f t="array" ref="H948">IFERROR(INDEX(INVESTOR_LIST[INVESTOR NAME],MATCH(I948,INVESTOR_LIST[INVESTOR CODE],0),)," ")</f>
        <v xml:space="preserve"> </v>
      </c>
      <c r="I948" s="148" t="s">
        <v>348</v>
      </c>
      <c r="J948" s="149" t="s">
        <v>80</v>
      </c>
      <c r="K948" s="218">
        <v>4771.26</v>
      </c>
      <c r="L948" s="218"/>
      <c r="M948" s="147">
        <v>0</v>
      </c>
      <c r="N948" s="165"/>
      <c r="Q948" s="133" t="s">
        <v>348</v>
      </c>
    </row>
    <row r="949" spans="1:17" x14ac:dyDescent="0.2">
      <c r="A949" s="133">
        <v>2020</v>
      </c>
      <c r="B949" s="133">
        <v>10</v>
      </c>
      <c r="C949" s="133">
        <v>25</v>
      </c>
      <c r="D949" s="141">
        <f t="shared" si="34"/>
        <v>44129</v>
      </c>
      <c r="E949" s="275">
        <f t="shared" si="35"/>
        <v>44129</v>
      </c>
      <c r="F949" s="481"/>
      <c r="G949" s="174" t="s">
        <v>74</v>
      </c>
      <c r="H949" s="174" t="str" cm="1">
        <f t="array" ref="H949">IFERROR(INDEX(INVESTOR_LIST[INVESTOR NAME],MATCH(I949,INVESTOR_LIST[INVESTOR CODE],0),)," ")</f>
        <v xml:space="preserve"> </v>
      </c>
      <c r="I949" s="148" t="s">
        <v>348</v>
      </c>
      <c r="J949" s="149" t="s">
        <v>79</v>
      </c>
      <c r="K949" s="218"/>
      <c r="L949" s="218">
        <v>2354099.2999999998</v>
      </c>
      <c r="M949" s="147">
        <v>0</v>
      </c>
      <c r="N949" s="164"/>
      <c r="Q949" s="133" t="s">
        <v>348</v>
      </c>
    </row>
    <row r="950" spans="1:17" x14ac:dyDescent="0.2">
      <c r="A950" s="163">
        <v>2020</v>
      </c>
      <c r="B950" s="163">
        <v>10</v>
      </c>
      <c r="C950" s="163">
        <v>25</v>
      </c>
      <c r="D950" s="141">
        <f t="shared" si="34"/>
        <v>44129</v>
      </c>
      <c r="E950" s="275">
        <f t="shared" si="35"/>
        <v>44129</v>
      </c>
      <c r="F950" s="480"/>
      <c r="G950" s="221" t="s">
        <v>74</v>
      </c>
      <c r="H950" s="221" t="str" cm="1">
        <f t="array" ref="H950">IFERROR(INDEX(INVESTOR_LIST[INVESTOR NAME],MATCH(I950,INVESTOR_LIST[INVESTOR CODE],0),)," ")</f>
        <v xml:space="preserve"> </v>
      </c>
      <c r="I950" s="145" t="s">
        <v>348</v>
      </c>
      <c r="J950" s="146" t="s">
        <v>191</v>
      </c>
      <c r="K950" s="219"/>
      <c r="L950" s="219">
        <v>296600.7</v>
      </c>
      <c r="M950" s="147">
        <v>0</v>
      </c>
      <c r="N950" s="165"/>
      <c r="Q950" s="133" t="s">
        <v>348</v>
      </c>
    </row>
    <row r="951" spans="1:17" ht="11.25" customHeight="1" x14ac:dyDescent="0.2">
      <c r="A951" s="163">
        <v>2020</v>
      </c>
      <c r="B951" s="163">
        <v>10</v>
      </c>
      <c r="C951" s="163">
        <v>27</v>
      </c>
      <c r="D951" s="141">
        <f t="shared" si="34"/>
        <v>44131</v>
      </c>
      <c r="E951" s="275">
        <f t="shared" si="35"/>
        <v>44131</v>
      </c>
      <c r="F951" s="479" t="s">
        <v>254</v>
      </c>
      <c r="G951" s="174" t="s">
        <v>74</v>
      </c>
      <c r="H951" s="174" t="str" cm="1">
        <f t="array" ref="H951">IFERROR(INDEX(INVESTOR_LIST[INVESTOR NAME],MATCH(I951,INVESTOR_LIST[INVESTOR CODE],0),)," ")</f>
        <v xml:space="preserve"> </v>
      </c>
      <c r="I951" s="148" t="s">
        <v>348</v>
      </c>
      <c r="J951" s="149" t="s">
        <v>52</v>
      </c>
      <c r="K951" s="218">
        <v>20000</v>
      </c>
      <c r="L951" s="218"/>
      <c r="M951" s="147">
        <v>0</v>
      </c>
      <c r="N951" s="164"/>
      <c r="Q951" s="133" t="s">
        <v>348</v>
      </c>
    </row>
    <row r="952" spans="1:17" x14ac:dyDescent="0.2">
      <c r="A952" s="163">
        <v>2020</v>
      </c>
      <c r="B952" s="163">
        <v>10</v>
      </c>
      <c r="C952" s="163">
        <v>27</v>
      </c>
      <c r="D952" s="141">
        <f t="shared" si="34"/>
        <v>44131</v>
      </c>
      <c r="E952" s="275">
        <f t="shared" si="35"/>
        <v>44131</v>
      </c>
      <c r="F952" s="481"/>
      <c r="G952" s="174" t="s">
        <v>74</v>
      </c>
      <c r="H952" s="174" t="str" cm="1">
        <f t="array" ref="H952">IFERROR(INDEX(INVESTOR_LIST[INVESTOR NAME],MATCH(I952,INVESTOR_LIST[INVESTOR CODE],0),)," ")</f>
        <v xml:space="preserve"> </v>
      </c>
      <c r="I952" s="148" t="s">
        <v>348</v>
      </c>
      <c r="J952" s="149" t="s">
        <v>13</v>
      </c>
      <c r="K952" s="218"/>
      <c r="L952" s="218">
        <v>17480</v>
      </c>
      <c r="M952" s="147">
        <v>0</v>
      </c>
      <c r="N952" s="165"/>
      <c r="Q952" s="133" t="s">
        <v>348</v>
      </c>
    </row>
    <row r="953" spans="1:17" x14ac:dyDescent="0.2">
      <c r="A953" s="163">
        <v>2020</v>
      </c>
      <c r="B953" s="163">
        <v>10</v>
      </c>
      <c r="C953" s="163">
        <v>27</v>
      </c>
      <c r="D953" s="141">
        <f t="shared" si="34"/>
        <v>44131</v>
      </c>
      <c r="E953" s="275">
        <f t="shared" si="35"/>
        <v>44131</v>
      </c>
      <c r="F953" s="480"/>
      <c r="G953" s="174" t="s">
        <v>74</v>
      </c>
      <c r="H953" s="174" t="str" cm="1">
        <f t="array" ref="H953">IFERROR(INDEX(INVESTOR_LIST[INVESTOR NAME],MATCH(I953,INVESTOR_LIST[INVESTOR CODE],0),)," ")</f>
        <v xml:space="preserve"> </v>
      </c>
      <c r="I953" s="148" t="s">
        <v>348</v>
      </c>
      <c r="J953" s="149" t="s">
        <v>232</v>
      </c>
      <c r="K953" s="218"/>
      <c r="L953" s="218">
        <v>2520</v>
      </c>
      <c r="M953" s="147">
        <v>0</v>
      </c>
      <c r="N953" s="164"/>
      <c r="Q953" s="133" t="s">
        <v>348</v>
      </c>
    </row>
    <row r="954" spans="1:17" x14ac:dyDescent="0.2">
      <c r="A954" s="168">
        <v>2020</v>
      </c>
      <c r="B954" s="168">
        <v>10</v>
      </c>
      <c r="C954" s="168">
        <v>28</v>
      </c>
      <c r="D954" s="141">
        <f t="shared" si="34"/>
        <v>44132</v>
      </c>
      <c r="E954" s="275">
        <f t="shared" si="35"/>
        <v>44132</v>
      </c>
      <c r="F954" s="479" t="s">
        <v>207</v>
      </c>
      <c r="G954" s="220" t="s">
        <v>74</v>
      </c>
      <c r="H954" s="220" t="str" cm="1">
        <f t="array" ref="H954">IFERROR(INDEX(INVESTOR_LIST[INVESTOR NAME],MATCH(I954,INVESTOR_LIST[INVESTOR CODE],0),)," ")</f>
        <v xml:space="preserve"> </v>
      </c>
      <c r="I954" s="142" t="s">
        <v>348</v>
      </c>
      <c r="J954" s="143" t="s">
        <v>52</v>
      </c>
      <c r="K954" s="226">
        <v>4883214.96</v>
      </c>
      <c r="L954" s="226"/>
      <c r="M954" s="147">
        <v>0</v>
      </c>
      <c r="N954" s="165"/>
      <c r="Q954" s="133" t="s">
        <v>348</v>
      </c>
    </row>
    <row r="955" spans="1:17" x14ac:dyDescent="0.2">
      <c r="A955" s="163">
        <v>2020</v>
      </c>
      <c r="B955" s="163">
        <v>10</v>
      </c>
      <c r="C955" s="163">
        <v>28</v>
      </c>
      <c r="D955" s="141">
        <f t="shared" si="34"/>
        <v>44132</v>
      </c>
      <c r="E955" s="275">
        <f t="shared" si="35"/>
        <v>44132</v>
      </c>
      <c r="F955" s="480"/>
      <c r="G955" s="221" t="s">
        <v>74</v>
      </c>
      <c r="H955" s="221" t="str" cm="1">
        <f t="array" ref="H955">IFERROR(INDEX(INVESTOR_LIST[INVESTOR NAME],MATCH(I955,INVESTOR_LIST[INVESTOR CODE],0),)," ")</f>
        <v xml:space="preserve"> </v>
      </c>
      <c r="I955" s="145" t="s">
        <v>348</v>
      </c>
      <c r="J955" s="146" t="s">
        <v>190</v>
      </c>
      <c r="K955" s="219"/>
      <c r="L955" s="219">
        <v>4883214.96</v>
      </c>
      <c r="M955" s="147">
        <v>0</v>
      </c>
      <c r="N955" s="166"/>
      <c r="Q955" s="133" t="s">
        <v>348</v>
      </c>
    </row>
    <row r="956" spans="1:17" ht="22.5" x14ac:dyDescent="0.2">
      <c r="A956" s="133">
        <v>2020</v>
      </c>
      <c r="B956" s="133">
        <v>10</v>
      </c>
      <c r="C956" s="133">
        <v>29</v>
      </c>
      <c r="D956" s="141">
        <f t="shared" si="34"/>
        <v>44133</v>
      </c>
      <c r="E956" s="275">
        <f t="shared" si="35"/>
        <v>44133</v>
      </c>
      <c r="F956" s="479" t="s">
        <v>964</v>
      </c>
      <c r="G956" s="174" t="s">
        <v>74</v>
      </c>
      <c r="H956" s="174" t="str" cm="1">
        <f t="array" ref="H956">IFERROR(INDEX(INVESTOR_LIST[INVESTOR NAME],MATCH(I956,INVESTOR_LIST[INVESTOR CODE],0),)," ")</f>
        <v>NANDINI SAHA</v>
      </c>
      <c r="I956" s="148" t="s">
        <v>463</v>
      </c>
      <c r="J956" s="149" t="s">
        <v>52</v>
      </c>
      <c r="K956" s="172">
        <v>300000</v>
      </c>
      <c r="M956" s="147">
        <v>0</v>
      </c>
      <c r="N956" s="166"/>
      <c r="Q956" s="133" t="s">
        <v>463</v>
      </c>
    </row>
    <row r="957" spans="1:17" ht="22.5" x14ac:dyDescent="0.2">
      <c r="A957" s="133">
        <v>2020</v>
      </c>
      <c r="B957" s="133">
        <v>10</v>
      </c>
      <c r="C957" s="133">
        <v>29</v>
      </c>
      <c r="D957" s="141">
        <f t="shared" si="34"/>
        <v>44133</v>
      </c>
      <c r="E957" s="275">
        <f t="shared" si="35"/>
        <v>44133</v>
      </c>
      <c r="F957" s="481"/>
      <c r="G957" s="174" t="s">
        <v>74</v>
      </c>
      <c r="H957" s="174" t="str" cm="1">
        <f t="array" ref="H957">IFERROR(INDEX(INVESTOR_LIST[INVESTOR NAME],MATCH(I957,INVESTOR_LIST[INVESTOR CODE],0),)," ")</f>
        <v>NANDINI SAHA</v>
      </c>
      <c r="I957" s="148" t="s">
        <v>463</v>
      </c>
      <c r="J957" s="149" t="s">
        <v>13</v>
      </c>
      <c r="L957" s="172">
        <v>262230</v>
      </c>
      <c r="M957" s="147">
        <v>0</v>
      </c>
      <c r="N957" s="166"/>
      <c r="Q957" s="133" t="s">
        <v>463</v>
      </c>
    </row>
    <row r="958" spans="1:17" ht="22.5" x14ac:dyDescent="0.2">
      <c r="A958" s="163">
        <v>2020</v>
      </c>
      <c r="B958" s="163">
        <v>10</v>
      </c>
      <c r="C958" s="163">
        <v>29</v>
      </c>
      <c r="D958" s="141">
        <f t="shared" si="34"/>
        <v>44133</v>
      </c>
      <c r="E958" s="275">
        <f t="shared" si="35"/>
        <v>44133</v>
      </c>
      <c r="F958" s="480"/>
      <c r="G958" s="221" t="s">
        <v>74</v>
      </c>
      <c r="H958" s="221" t="str" cm="1">
        <f t="array" ref="H958">IFERROR(INDEX(INVESTOR_LIST[INVESTOR NAME],MATCH(I958,INVESTOR_LIST[INVESTOR CODE],0),)," ")</f>
        <v>NANDINI SAHA</v>
      </c>
      <c r="I958" s="145" t="s">
        <v>463</v>
      </c>
      <c r="J958" s="146" t="s">
        <v>53</v>
      </c>
      <c r="K958" s="219"/>
      <c r="L958" s="219">
        <f>K956-L957</f>
        <v>37770</v>
      </c>
      <c r="M958" s="147">
        <v>0</v>
      </c>
      <c r="N958" s="166"/>
      <c r="Q958" s="133" t="s">
        <v>463</v>
      </c>
    </row>
    <row r="959" spans="1:17" ht="33.75" x14ac:dyDescent="0.2">
      <c r="A959" s="133">
        <v>2020</v>
      </c>
      <c r="B959" s="133">
        <v>10</v>
      </c>
      <c r="C959" s="133">
        <v>29</v>
      </c>
      <c r="D959" s="141">
        <f t="shared" si="34"/>
        <v>44133</v>
      </c>
      <c r="E959" s="275">
        <f t="shared" si="35"/>
        <v>44133</v>
      </c>
      <c r="F959" s="479" t="s">
        <v>964</v>
      </c>
      <c r="G959" s="174" t="s">
        <v>74</v>
      </c>
      <c r="H959" s="174" t="str" cm="1">
        <f t="array" ref="H959">IFERROR(INDEX(INVESTOR_LIST[INVESTOR NAME],MATCH(I959,INVESTOR_LIST[INVESTOR CODE],0),)," ")</f>
        <v>SHANJIDA SULTANA</v>
      </c>
      <c r="I959" s="148" t="s">
        <v>464</v>
      </c>
      <c r="J959" s="149" t="s">
        <v>52</v>
      </c>
      <c r="K959" s="172">
        <v>500000</v>
      </c>
      <c r="M959" s="147">
        <v>3</v>
      </c>
      <c r="Q959" s="133" t="s">
        <v>464</v>
      </c>
    </row>
    <row r="960" spans="1:17" ht="33.75" x14ac:dyDescent="0.2">
      <c r="A960" s="133">
        <v>2020</v>
      </c>
      <c r="B960" s="133">
        <v>10</v>
      </c>
      <c r="C960" s="133">
        <v>29</v>
      </c>
      <c r="D960" s="141">
        <f t="shared" si="34"/>
        <v>44133</v>
      </c>
      <c r="E960" s="275">
        <f t="shared" si="35"/>
        <v>44133</v>
      </c>
      <c r="F960" s="481"/>
      <c r="G960" s="174" t="s">
        <v>74</v>
      </c>
      <c r="H960" s="174" t="str" cm="1">
        <f t="array" ref="H960">IFERROR(INDEX(INVESTOR_LIST[INVESTOR NAME],MATCH(I960,INVESTOR_LIST[INVESTOR CODE],0),)," ")</f>
        <v>SHANJIDA SULTANA</v>
      </c>
      <c r="I960" s="148" t="s">
        <v>464</v>
      </c>
      <c r="J960" s="149" t="s">
        <v>13</v>
      </c>
      <c r="L960" s="172">
        <v>437060</v>
      </c>
      <c r="M960" s="147">
        <v>0</v>
      </c>
      <c r="Q960" s="133" t="s">
        <v>464</v>
      </c>
    </row>
    <row r="961" spans="1:17" ht="33.75" x14ac:dyDescent="0.2">
      <c r="A961" s="163">
        <v>2020</v>
      </c>
      <c r="B961" s="163">
        <v>10</v>
      </c>
      <c r="C961" s="163">
        <v>29</v>
      </c>
      <c r="D961" s="141">
        <f t="shared" si="34"/>
        <v>44133</v>
      </c>
      <c r="E961" s="275">
        <f t="shared" si="35"/>
        <v>44133</v>
      </c>
      <c r="F961" s="480"/>
      <c r="G961" s="221" t="s">
        <v>74</v>
      </c>
      <c r="H961" s="221" t="str" cm="1">
        <f t="array" ref="H961">IFERROR(INDEX(INVESTOR_LIST[INVESTOR NAME],MATCH(I961,INVESTOR_LIST[INVESTOR CODE],0),)," ")</f>
        <v>SHANJIDA SULTANA</v>
      </c>
      <c r="I961" s="145" t="s">
        <v>464</v>
      </c>
      <c r="J961" s="146" t="s">
        <v>53</v>
      </c>
      <c r="K961" s="219"/>
      <c r="L961" s="219">
        <f>K959-L960</f>
        <v>62940</v>
      </c>
      <c r="M961" s="147">
        <v>0</v>
      </c>
      <c r="Q961" s="133" t="s">
        <v>464</v>
      </c>
    </row>
    <row r="962" spans="1:17" x14ac:dyDescent="0.2">
      <c r="A962" s="133">
        <v>2020</v>
      </c>
      <c r="B962" s="133">
        <v>10</v>
      </c>
      <c r="C962" s="133">
        <v>29</v>
      </c>
      <c r="D962" s="141">
        <f t="shared" si="34"/>
        <v>44133</v>
      </c>
      <c r="E962" s="275">
        <f t="shared" si="35"/>
        <v>44133</v>
      </c>
      <c r="F962" s="479" t="s">
        <v>203</v>
      </c>
      <c r="G962" s="174" t="s">
        <v>74</v>
      </c>
      <c r="H962" s="174" t="str" cm="1">
        <f t="array" ref="H962">IFERROR(INDEX(INVESTOR_LIST[INVESTOR NAME],MATCH(I962,INVESTOR_LIST[INVESTOR CODE],0),)," ")</f>
        <v xml:space="preserve"> </v>
      </c>
      <c r="I962" s="148" t="s">
        <v>348</v>
      </c>
      <c r="J962" s="149" t="s">
        <v>79</v>
      </c>
      <c r="K962" s="172">
        <v>1220972.1000000001</v>
      </c>
      <c r="M962" s="147">
        <v>0</v>
      </c>
      <c r="Q962" s="133" t="s">
        <v>348</v>
      </c>
    </row>
    <row r="963" spans="1:17" x14ac:dyDescent="0.2">
      <c r="A963" s="133">
        <v>2020</v>
      </c>
      <c r="B963" s="133">
        <v>10</v>
      </c>
      <c r="C963" s="133">
        <v>29</v>
      </c>
      <c r="D963" s="141">
        <f t="shared" si="34"/>
        <v>44133</v>
      </c>
      <c r="E963" s="275">
        <f t="shared" si="35"/>
        <v>44133</v>
      </c>
      <c r="F963" s="481"/>
      <c r="G963" s="174" t="s">
        <v>74</v>
      </c>
      <c r="H963" s="174" t="str" cm="1">
        <f t="array" ref="H963">IFERROR(INDEX(INVESTOR_LIST[INVESTOR NAME],MATCH(I963,INVESTOR_LIST[INVESTOR CODE],0),)," ")</f>
        <v xml:space="preserve"> </v>
      </c>
      <c r="I963" s="148" t="s">
        <v>348</v>
      </c>
      <c r="J963" s="149" t="s">
        <v>80</v>
      </c>
      <c r="K963" s="172">
        <f>2197.75+10235.74</f>
        <v>12433.49</v>
      </c>
      <c r="M963" s="147">
        <v>0</v>
      </c>
      <c r="Q963" s="133" t="s">
        <v>348</v>
      </c>
    </row>
    <row r="964" spans="1:17" x14ac:dyDescent="0.2">
      <c r="A964" s="133">
        <v>2020</v>
      </c>
      <c r="B964" s="133">
        <v>10</v>
      </c>
      <c r="C964" s="133">
        <v>29</v>
      </c>
      <c r="D964" s="141">
        <f t="shared" si="34"/>
        <v>44133</v>
      </c>
      <c r="E964" s="275">
        <f t="shared" si="35"/>
        <v>44133</v>
      </c>
      <c r="F964" s="481"/>
      <c r="G964" s="174" t="s">
        <v>74</v>
      </c>
      <c r="H964" s="174" t="str" cm="1">
        <f t="array" ref="H964">IFERROR(INDEX(INVESTOR_LIST[INVESTOR NAME],MATCH(I964,INVESTOR_LIST[INVESTOR CODE],0),)," ")</f>
        <v xml:space="preserve"> </v>
      </c>
      <c r="I964" s="148" t="s">
        <v>348</v>
      </c>
      <c r="J964" s="149" t="s">
        <v>190</v>
      </c>
      <c r="K964" s="172">
        <v>4453118.3099999996</v>
      </c>
      <c r="M964" s="147">
        <v>0</v>
      </c>
      <c r="Q964" s="133" t="s">
        <v>348</v>
      </c>
    </row>
    <row r="965" spans="1:17" x14ac:dyDescent="0.2">
      <c r="A965" s="133">
        <v>2020</v>
      </c>
      <c r="B965" s="133">
        <v>10</v>
      </c>
      <c r="C965" s="133">
        <v>29</v>
      </c>
      <c r="D965" s="141">
        <f t="shared" si="34"/>
        <v>44133</v>
      </c>
      <c r="E965" s="275">
        <f t="shared" si="35"/>
        <v>44133</v>
      </c>
      <c r="F965" s="481"/>
      <c r="G965" s="174" t="s">
        <v>74</v>
      </c>
      <c r="H965" s="174" t="str" cm="1">
        <f t="array" ref="H965">IFERROR(INDEX(INVESTOR_LIST[INVESTOR NAME],MATCH(I965,INVESTOR_LIST[INVESTOR CODE],0),)," ")</f>
        <v xml:space="preserve"> </v>
      </c>
      <c r="I965" s="148" t="s">
        <v>348</v>
      </c>
      <c r="J965" s="149" t="s">
        <v>191</v>
      </c>
      <c r="L965" s="172">
        <v>641449.74</v>
      </c>
      <c r="M965" s="147">
        <v>0</v>
      </c>
      <c r="Q965" s="133" t="s">
        <v>348</v>
      </c>
    </row>
    <row r="966" spans="1:17" x14ac:dyDescent="0.2">
      <c r="A966" s="163">
        <v>2020</v>
      </c>
      <c r="B966" s="163">
        <v>10</v>
      </c>
      <c r="C966" s="163">
        <v>29</v>
      </c>
      <c r="D966" s="141">
        <f t="shared" si="34"/>
        <v>44133</v>
      </c>
      <c r="E966" s="275">
        <f t="shared" si="35"/>
        <v>44133</v>
      </c>
      <c r="F966" s="480"/>
      <c r="G966" s="221" t="s">
        <v>74</v>
      </c>
      <c r="H966" s="221" t="str" cm="1">
        <f t="array" ref="H966">IFERROR(INDEX(INVESTOR_LIST[INVESTOR NAME],MATCH(I966,INVESTOR_LIST[INVESTOR CODE],0),)," ")</f>
        <v xml:space="preserve"> </v>
      </c>
      <c r="I966" s="145" t="s">
        <v>348</v>
      </c>
      <c r="J966" s="146" t="s">
        <v>79</v>
      </c>
      <c r="K966" s="219"/>
      <c r="L966" s="219">
        <v>5045074.16</v>
      </c>
      <c r="M966" s="147">
        <v>0</v>
      </c>
      <c r="Q966" s="133" t="s">
        <v>348</v>
      </c>
    </row>
    <row r="967" spans="1:17" x14ac:dyDescent="0.2">
      <c r="A967" s="168">
        <v>2020</v>
      </c>
      <c r="B967" s="168">
        <v>10</v>
      </c>
      <c r="C967" s="168">
        <v>29</v>
      </c>
      <c r="D967" s="141">
        <f t="shared" si="34"/>
        <v>44133</v>
      </c>
      <c r="E967" s="275">
        <f t="shared" si="35"/>
        <v>44133</v>
      </c>
      <c r="F967" s="479" t="s">
        <v>77</v>
      </c>
      <c r="G967" s="220" t="s">
        <v>74</v>
      </c>
      <c r="H967" s="220" t="str" cm="1">
        <f t="array" ref="H967">IFERROR(INDEX(INVESTOR_LIST[INVESTOR NAME],MATCH(I967,INVESTOR_LIST[INVESTOR CODE],0),)," ")</f>
        <v xml:space="preserve"> </v>
      </c>
      <c r="I967" s="142" t="s">
        <v>348</v>
      </c>
      <c r="J967" s="143" t="s">
        <v>61</v>
      </c>
      <c r="K967" s="226">
        <v>60</v>
      </c>
      <c r="L967" s="226"/>
      <c r="M967" s="147">
        <v>0</v>
      </c>
      <c r="Q967" s="133" t="s">
        <v>348</v>
      </c>
    </row>
    <row r="968" spans="1:17" x14ac:dyDescent="0.2">
      <c r="A968" s="163">
        <v>2020</v>
      </c>
      <c r="B968" s="163">
        <v>10</v>
      </c>
      <c r="C968" s="163">
        <v>29</v>
      </c>
      <c r="D968" s="141">
        <f t="shared" si="34"/>
        <v>44133</v>
      </c>
      <c r="E968" s="275">
        <f t="shared" si="35"/>
        <v>44133</v>
      </c>
      <c r="F968" s="480"/>
      <c r="G968" s="221" t="s">
        <v>74</v>
      </c>
      <c r="H968" s="221" t="str" cm="1">
        <f t="array" ref="H968">IFERROR(INDEX(INVESTOR_LIST[INVESTOR NAME],MATCH(I968,INVESTOR_LIST[INVESTOR CODE],0),)," ")</f>
        <v xml:space="preserve"> </v>
      </c>
      <c r="I968" s="145" t="s">
        <v>348</v>
      </c>
      <c r="J968" s="146" t="s">
        <v>52</v>
      </c>
      <c r="K968" s="219"/>
      <c r="L968" s="219">
        <v>60</v>
      </c>
      <c r="M968" s="147">
        <v>0</v>
      </c>
      <c r="Q968" s="133" t="s">
        <v>348</v>
      </c>
    </row>
    <row r="969" spans="1:17" ht="15" customHeight="1" x14ac:dyDescent="0.2">
      <c r="A969" s="246">
        <v>2020</v>
      </c>
      <c r="B969" s="246">
        <v>10</v>
      </c>
      <c r="C969" s="246">
        <v>29</v>
      </c>
      <c r="D969" s="141">
        <f t="shared" si="34"/>
        <v>44133</v>
      </c>
      <c r="E969" s="275">
        <f t="shared" si="35"/>
        <v>44133</v>
      </c>
      <c r="F969" s="482" t="s">
        <v>105</v>
      </c>
      <c r="G969" s="247" t="s">
        <v>94</v>
      </c>
      <c r="H969" s="247" t="str" cm="1">
        <f t="array" ref="H969">IFERROR(INDEX(INVESTOR_LIST[INVESTOR NAME],MATCH(I969,INVESTOR_LIST[INVESTOR CODE],0),)," ")</f>
        <v xml:space="preserve"> </v>
      </c>
      <c r="I969" s="248" t="s">
        <v>348</v>
      </c>
      <c r="J969" s="249" t="s">
        <v>83</v>
      </c>
      <c r="K969" s="252">
        <v>1007156.0400000066</v>
      </c>
      <c r="L969" s="252"/>
      <c r="M969" s="147">
        <v>0</v>
      </c>
      <c r="Q969" s="133" t="s">
        <v>348</v>
      </c>
    </row>
    <row r="970" spans="1:17" x14ac:dyDescent="0.2">
      <c r="A970" s="242">
        <v>2020</v>
      </c>
      <c r="B970" s="242">
        <v>10</v>
      </c>
      <c r="C970" s="242">
        <v>29</v>
      </c>
      <c r="D970" s="141">
        <f t="shared" si="34"/>
        <v>44133</v>
      </c>
      <c r="E970" s="275">
        <f t="shared" si="35"/>
        <v>44133</v>
      </c>
      <c r="F970" s="478"/>
      <c r="G970" s="243" t="s">
        <v>94</v>
      </c>
      <c r="H970" s="243" t="str" cm="1">
        <f t="array" ref="H970">IFERROR(INDEX(INVESTOR_LIST[INVESTOR NAME],MATCH(I970,INVESTOR_LIST[INVESTOR CODE],0),)," ")</f>
        <v xml:space="preserve"> </v>
      </c>
      <c r="I970" s="263" t="s">
        <v>348</v>
      </c>
      <c r="J970" s="244" t="s">
        <v>108</v>
      </c>
      <c r="K970" s="245"/>
      <c r="L970" s="245">
        <v>1007156.0400000066</v>
      </c>
      <c r="M970" s="147">
        <v>0</v>
      </c>
      <c r="Q970" s="133" t="s">
        <v>348</v>
      </c>
    </row>
    <row r="971" spans="1:17" ht="22.5" x14ac:dyDescent="0.2">
      <c r="A971" s="246">
        <v>2020</v>
      </c>
      <c r="B971" s="246">
        <v>10</v>
      </c>
      <c r="C971" s="246">
        <v>29</v>
      </c>
      <c r="D971" s="141">
        <f t="shared" si="34"/>
        <v>44133</v>
      </c>
      <c r="E971" s="275">
        <f t="shared" si="35"/>
        <v>44133</v>
      </c>
      <c r="F971" s="477" t="s">
        <v>148</v>
      </c>
      <c r="G971" s="247" t="s">
        <v>94</v>
      </c>
      <c r="H971" s="247" t="str" cm="1">
        <f t="array" ref="H971">IFERROR(INDEX(INVESTOR_LIST[INVESTOR NAME],MATCH(I971,INVESTOR_LIST[INVESTOR CODE],0),)," ")</f>
        <v xml:space="preserve"> </v>
      </c>
      <c r="I971" s="248" t="s">
        <v>348</v>
      </c>
      <c r="J971" s="249" t="s">
        <v>95</v>
      </c>
      <c r="K971" s="252">
        <v>2747.25</v>
      </c>
      <c r="L971" s="252"/>
      <c r="M971" s="147">
        <v>2</v>
      </c>
      <c r="Q971" s="133" t="s">
        <v>348</v>
      </c>
    </row>
    <row r="972" spans="1:17" x14ac:dyDescent="0.2">
      <c r="A972" s="242">
        <v>2020</v>
      </c>
      <c r="B972" s="242">
        <v>10</v>
      </c>
      <c r="C972" s="242">
        <v>29</v>
      </c>
      <c r="D972" s="141">
        <f t="shared" si="34"/>
        <v>44133</v>
      </c>
      <c r="E972" s="275">
        <f t="shared" si="35"/>
        <v>44133</v>
      </c>
      <c r="F972" s="478"/>
      <c r="G972" s="243" t="s">
        <v>94</v>
      </c>
      <c r="H972" s="243" t="str" cm="1">
        <f t="array" ref="H972">IFERROR(INDEX(INVESTOR_LIST[INVESTOR NAME],MATCH(I972,INVESTOR_LIST[INVESTOR CODE],0),)," ")</f>
        <v xml:space="preserve"> </v>
      </c>
      <c r="I972" s="263" t="s">
        <v>348</v>
      </c>
      <c r="J972" s="244" t="s">
        <v>63</v>
      </c>
      <c r="K972" s="245"/>
      <c r="L972" s="245">
        <v>2747.25</v>
      </c>
      <c r="M972" s="147">
        <v>0</v>
      </c>
      <c r="Q972" s="133" t="s">
        <v>348</v>
      </c>
    </row>
    <row r="973" spans="1:17" x14ac:dyDescent="0.2">
      <c r="A973" s="242">
        <v>2020</v>
      </c>
      <c r="B973" s="242">
        <v>10</v>
      </c>
      <c r="C973" s="242">
        <v>29</v>
      </c>
      <c r="D973" s="141">
        <f t="shared" ref="D973:D1036" si="36">DATE(A973,B973,C973)</f>
        <v>44133</v>
      </c>
      <c r="E973" s="275">
        <f t="shared" si="35"/>
        <v>44133</v>
      </c>
      <c r="F973" s="477" t="s">
        <v>77</v>
      </c>
      <c r="G973" s="247" t="s">
        <v>74</v>
      </c>
      <c r="H973" s="247" t="str" cm="1">
        <f t="array" ref="H973">IFERROR(INDEX(INVESTOR_LIST[INVESTOR NAME],MATCH(I973,INVESTOR_LIST[INVESTOR CODE],0),)," ")</f>
        <v xml:space="preserve"> </v>
      </c>
      <c r="I973" s="248" t="s">
        <v>348</v>
      </c>
      <c r="J973" s="249" t="s">
        <v>61</v>
      </c>
      <c r="K973" s="252">
        <v>10</v>
      </c>
      <c r="L973" s="252"/>
      <c r="M973" s="147">
        <v>0</v>
      </c>
      <c r="Q973" s="133" t="s">
        <v>348</v>
      </c>
    </row>
    <row r="974" spans="1:17" x14ac:dyDescent="0.2">
      <c r="A974" s="242">
        <v>2020</v>
      </c>
      <c r="B974" s="242">
        <v>10</v>
      </c>
      <c r="C974" s="242">
        <v>29</v>
      </c>
      <c r="D974" s="141">
        <f t="shared" si="36"/>
        <v>44133</v>
      </c>
      <c r="E974" s="275">
        <f t="shared" ref="E974:E1037" si="37">DATE(A974,B974,C974)</f>
        <v>44133</v>
      </c>
      <c r="F974" s="478"/>
      <c r="G974" s="243" t="s">
        <v>74</v>
      </c>
      <c r="H974" s="243" t="str" cm="1">
        <f t="array" ref="H974">IFERROR(INDEX(INVESTOR_LIST[INVESTOR NAME],MATCH(I974,INVESTOR_LIST[INVESTOR CODE],0),)," ")</f>
        <v xml:space="preserve"> </v>
      </c>
      <c r="I974" s="263" t="s">
        <v>348</v>
      </c>
      <c r="J974" s="244" t="s">
        <v>52</v>
      </c>
      <c r="K974" s="245"/>
      <c r="L974" s="245">
        <v>10</v>
      </c>
      <c r="M974" s="147">
        <v>0</v>
      </c>
      <c r="Q974" s="133" t="s">
        <v>348</v>
      </c>
    </row>
    <row r="975" spans="1:17" x14ac:dyDescent="0.2">
      <c r="A975" s="246">
        <v>2020</v>
      </c>
      <c r="B975" s="246">
        <v>10</v>
      </c>
      <c r="C975" s="246">
        <v>29</v>
      </c>
      <c r="D975" s="141">
        <f t="shared" si="36"/>
        <v>44133</v>
      </c>
      <c r="E975" s="275">
        <f t="shared" si="37"/>
        <v>44133</v>
      </c>
      <c r="F975" s="482" t="s">
        <v>137</v>
      </c>
      <c r="G975" s="247" t="s">
        <v>94</v>
      </c>
      <c r="H975" s="247" t="str" cm="1">
        <f t="array" ref="H975">IFERROR(INDEX(INVESTOR_LIST[INVESTOR NAME],MATCH(I975,INVESTOR_LIST[INVESTOR CODE],0),)," ")</f>
        <v xml:space="preserve"> </v>
      </c>
      <c r="I975" s="248" t="s">
        <v>348</v>
      </c>
      <c r="J975" s="249" t="s">
        <v>97</v>
      </c>
      <c r="K975" s="252">
        <v>42434.55</v>
      </c>
      <c r="L975" s="252"/>
      <c r="M975" s="147">
        <v>0</v>
      </c>
      <c r="Q975" s="133" t="s">
        <v>348</v>
      </c>
    </row>
    <row r="976" spans="1:17" x14ac:dyDescent="0.2">
      <c r="A976" s="242">
        <v>2020</v>
      </c>
      <c r="B976" s="242">
        <v>10</v>
      </c>
      <c r="C976" s="242">
        <v>29</v>
      </c>
      <c r="D976" s="141">
        <f t="shared" si="36"/>
        <v>44133</v>
      </c>
      <c r="E976" s="275">
        <f t="shared" si="37"/>
        <v>44133</v>
      </c>
      <c r="F976" s="478"/>
      <c r="G976" s="243" t="s">
        <v>94</v>
      </c>
      <c r="H976" s="243" t="str" cm="1">
        <f t="array" ref="H976">IFERROR(INDEX(INVESTOR_LIST[INVESTOR NAME],MATCH(I976,INVESTOR_LIST[INVESTOR CODE],0),)," ")</f>
        <v xml:space="preserve"> </v>
      </c>
      <c r="I976" s="263" t="s">
        <v>348</v>
      </c>
      <c r="J976" s="244" t="s">
        <v>47</v>
      </c>
      <c r="K976" s="245"/>
      <c r="L976" s="245">
        <v>42434.55</v>
      </c>
      <c r="M976" s="147">
        <v>0</v>
      </c>
      <c r="Q976" s="133" t="s">
        <v>348</v>
      </c>
    </row>
    <row r="977" spans="1:17" x14ac:dyDescent="0.2">
      <c r="A977" s="238">
        <v>2020</v>
      </c>
      <c r="B977" s="238">
        <v>10</v>
      </c>
      <c r="C977" s="238">
        <v>29</v>
      </c>
      <c r="D977" s="141">
        <f t="shared" si="36"/>
        <v>44133</v>
      </c>
      <c r="E977" s="275">
        <f t="shared" si="37"/>
        <v>44133</v>
      </c>
      <c r="F977" s="477" t="s">
        <v>138</v>
      </c>
      <c r="G977" s="239" t="s">
        <v>94</v>
      </c>
      <c r="H977" s="247" t="str" cm="1">
        <f t="array" ref="H977">IFERROR(INDEX(INVESTOR_LIST[INVESTOR NAME],MATCH(I977,INVESTOR_LIST[INVESTOR CODE],0),)," ")</f>
        <v xml:space="preserve"> </v>
      </c>
      <c r="I977" s="248" t="s">
        <v>348</v>
      </c>
      <c r="J977" s="240" t="s">
        <v>100</v>
      </c>
      <c r="K977" s="252">
        <v>1880.53</v>
      </c>
      <c r="L977" s="252"/>
      <c r="M977" s="147">
        <v>0</v>
      </c>
      <c r="Q977" s="133" t="s">
        <v>348</v>
      </c>
    </row>
    <row r="978" spans="1:17" x14ac:dyDescent="0.2">
      <c r="A978" s="242">
        <v>2020</v>
      </c>
      <c r="B978" s="242">
        <v>10</v>
      </c>
      <c r="C978" s="242">
        <v>29</v>
      </c>
      <c r="D978" s="141">
        <f t="shared" si="36"/>
        <v>44133</v>
      </c>
      <c r="E978" s="275">
        <f t="shared" si="37"/>
        <v>44133</v>
      </c>
      <c r="F978" s="478"/>
      <c r="G978" s="243" t="s">
        <v>94</v>
      </c>
      <c r="H978" s="243" t="str" cm="1">
        <f t="array" ref="H978">IFERROR(INDEX(INVESTOR_LIST[INVESTOR NAME],MATCH(I978,INVESTOR_LIST[INVESTOR CODE],0),)," ")</f>
        <v xml:space="preserve"> </v>
      </c>
      <c r="I978" s="263" t="s">
        <v>348</v>
      </c>
      <c r="J978" s="244" t="s">
        <v>48</v>
      </c>
      <c r="K978" s="245"/>
      <c r="L978" s="245">
        <v>1880.53</v>
      </c>
      <c r="M978" s="147">
        <v>0</v>
      </c>
      <c r="Q978" s="133" t="s">
        <v>348</v>
      </c>
    </row>
    <row r="979" spans="1:17" x14ac:dyDescent="0.2">
      <c r="A979" s="246">
        <v>2020</v>
      </c>
      <c r="B979" s="246">
        <v>10</v>
      </c>
      <c r="C979" s="246">
        <v>29</v>
      </c>
      <c r="D979" s="141">
        <f t="shared" si="36"/>
        <v>44133</v>
      </c>
      <c r="E979" s="275">
        <f t="shared" si="37"/>
        <v>44133</v>
      </c>
      <c r="F979" s="477" t="s">
        <v>140</v>
      </c>
      <c r="G979" s="247" t="s">
        <v>94</v>
      </c>
      <c r="H979" s="247" t="str" cm="1">
        <f t="array" ref="H979">IFERROR(INDEX(INVESTOR_LIST[INVESTOR NAME],MATCH(I979,INVESTOR_LIST[INVESTOR CODE],0),)," ")</f>
        <v xml:space="preserve"> </v>
      </c>
      <c r="I979" s="248" t="s">
        <v>348</v>
      </c>
      <c r="J979" s="249" t="s">
        <v>103</v>
      </c>
      <c r="K979" s="252">
        <v>729.17</v>
      </c>
      <c r="L979" s="252"/>
      <c r="M979" s="147">
        <v>0</v>
      </c>
      <c r="Q979" s="133" t="s">
        <v>348</v>
      </c>
    </row>
    <row r="980" spans="1:17" x14ac:dyDescent="0.2">
      <c r="A980" s="242">
        <v>2020</v>
      </c>
      <c r="B980" s="242">
        <v>10</v>
      </c>
      <c r="C980" s="242">
        <v>29</v>
      </c>
      <c r="D980" s="141">
        <f t="shared" si="36"/>
        <v>44133</v>
      </c>
      <c r="E980" s="275">
        <f t="shared" si="37"/>
        <v>44133</v>
      </c>
      <c r="F980" s="478"/>
      <c r="G980" s="243" t="s">
        <v>94</v>
      </c>
      <c r="H980" s="243" t="str" cm="1">
        <f t="array" ref="H980">IFERROR(INDEX(INVESTOR_LIST[INVESTOR NAME],MATCH(I980,INVESTOR_LIST[INVESTOR CODE],0),)," ")</f>
        <v xml:space="preserve"> </v>
      </c>
      <c r="I980" s="263" t="s">
        <v>348</v>
      </c>
      <c r="J980" s="244" t="s">
        <v>50</v>
      </c>
      <c r="K980" s="245"/>
      <c r="L980" s="245">
        <v>729.17</v>
      </c>
      <c r="M980" s="147">
        <v>1</v>
      </c>
      <c r="Q980" s="133" t="s">
        <v>348</v>
      </c>
    </row>
    <row r="981" spans="1:17" x14ac:dyDescent="0.2">
      <c r="A981" s="133">
        <v>2020</v>
      </c>
      <c r="B981" s="133">
        <v>10</v>
      </c>
      <c r="C981" s="133">
        <v>29</v>
      </c>
      <c r="D981" s="141">
        <f t="shared" si="36"/>
        <v>44133</v>
      </c>
      <c r="E981" s="275">
        <f t="shared" si="37"/>
        <v>44133</v>
      </c>
      <c r="F981" s="479" t="s">
        <v>195</v>
      </c>
      <c r="G981" s="174" t="s">
        <v>74</v>
      </c>
      <c r="H981" s="174" t="str" cm="1">
        <f t="array" ref="H981">IFERROR(INDEX(INVESTOR_LIST[INVESTOR NAME],MATCH(I981,INVESTOR_LIST[INVESTOR CODE],0),)," ")</f>
        <v xml:space="preserve"> </v>
      </c>
      <c r="I981" s="148" t="s">
        <v>348</v>
      </c>
      <c r="J981" s="149" t="s">
        <v>52</v>
      </c>
      <c r="K981" s="218">
        <v>177085</v>
      </c>
      <c r="L981" s="218"/>
      <c r="M981" s="147">
        <v>0</v>
      </c>
      <c r="Q981" s="133" t="s">
        <v>348</v>
      </c>
    </row>
    <row r="982" spans="1:17" x14ac:dyDescent="0.2">
      <c r="A982" s="163">
        <v>2020</v>
      </c>
      <c r="B982" s="163">
        <v>10</v>
      </c>
      <c r="C982" s="163">
        <v>29</v>
      </c>
      <c r="D982" s="141">
        <f t="shared" si="36"/>
        <v>44133</v>
      </c>
      <c r="E982" s="275">
        <f t="shared" si="37"/>
        <v>44133</v>
      </c>
      <c r="F982" s="480"/>
      <c r="G982" s="221" t="s">
        <v>74</v>
      </c>
      <c r="H982" s="221" t="str" cm="1">
        <f t="array" ref="H982">IFERROR(INDEX(INVESTOR_LIST[INVESTOR NAME],MATCH(I982,INVESTOR_LIST[INVESTOR CODE],0),)," ")</f>
        <v xml:space="preserve"> </v>
      </c>
      <c r="I982" s="145" t="s">
        <v>348</v>
      </c>
      <c r="J982" s="146" t="s">
        <v>60</v>
      </c>
      <c r="K982" s="219"/>
      <c r="L982" s="219">
        <v>177085</v>
      </c>
      <c r="M982" s="147">
        <v>0</v>
      </c>
      <c r="Q982" s="133" t="s">
        <v>348</v>
      </c>
    </row>
    <row r="983" spans="1:17" ht="45" x14ac:dyDescent="0.2">
      <c r="A983" s="133">
        <v>2020</v>
      </c>
      <c r="B983" s="133">
        <v>11</v>
      </c>
      <c r="C983" s="133">
        <v>1</v>
      </c>
      <c r="D983" s="141">
        <f t="shared" si="36"/>
        <v>44136</v>
      </c>
      <c r="E983" s="275">
        <f t="shared" si="37"/>
        <v>44136</v>
      </c>
      <c r="F983" s="479" t="s">
        <v>964</v>
      </c>
      <c r="G983" s="174" t="s">
        <v>74</v>
      </c>
      <c r="H983" s="174" t="str" cm="1">
        <f t="array" ref="H983">IFERROR(INDEX(INVESTOR_LIST[INVESTOR NAME],MATCH(I983,INVESTOR_LIST[INVESTOR CODE],0),)," ")</f>
        <v>MOHAMMAD SAYDUZZAMAN</v>
      </c>
      <c r="I983" s="148" t="s">
        <v>444</v>
      </c>
      <c r="J983" s="149" t="s">
        <v>52</v>
      </c>
      <c r="K983" s="218">
        <v>800000</v>
      </c>
      <c r="L983" s="218"/>
      <c r="M983" s="147">
        <v>0</v>
      </c>
      <c r="Q983" s="133" t="s">
        <v>444</v>
      </c>
    </row>
    <row r="984" spans="1:17" ht="45" x14ac:dyDescent="0.2">
      <c r="A984" s="133">
        <v>2020</v>
      </c>
      <c r="B984" s="133">
        <v>11</v>
      </c>
      <c r="C984" s="133">
        <v>1</v>
      </c>
      <c r="D984" s="141">
        <f t="shared" si="36"/>
        <v>44136</v>
      </c>
      <c r="E984" s="275">
        <f t="shared" si="37"/>
        <v>44136</v>
      </c>
      <c r="F984" s="481"/>
      <c r="G984" s="174" t="s">
        <v>74</v>
      </c>
      <c r="H984" s="174" t="str" cm="1">
        <f t="array" ref="H984">IFERROR(INDEX(INVESTOR_LIST[INVESTOR NAME],MATCH(I984,INVESTOR_LIST[INVESTOR CODE],0),)," ")</f>
        <v>MOHAMMAD SAYDUZZAMAN</v>
      </c>
      <c r="I984" s="148" t="s">
        <v>444</v>
      </c>
      <c r="J984" s="149" t="s">
        <v>13</v>
      </c>
      <c r="K984" s="218"/>
      <c r="L984" s="218">
        <v>699300</v>
      </c>
      <c r="M984" s="147">
        <v>0</v>
      </c>
      <c r="Q984" s="133" t="s">
        <v>444</v>
      </c>
    </row>
    <row r="985" spans="1:17" ht="45" x14ac:dyDescent="0.2">
      <c r="A985" s="163">
        <v>2020</v>
      </c>
      <c r="B985" s="163">
        <v>11</v>
      </c>
      <c r="C985" s="163">
        <v>1</v>
      </c>
      <c r="D985" s="141">
        <f t="shared" si="36"/>
        <v>44136</v>
      </c>
      <c r="E985" s="275">
        <f t="shared" si="37"/>
        <v>44136</v>
      </c>
      <c r="F985" s="480"/>
      <c r="G985" s="221" t="s">
        <v>74</v>
      </c>
      <c r="H985" s="221" t="str" cm="1">
        <f t="array" ref="H985">IFERROR(INDEX(INVESTOR_LIST[INVESTOR NAME],MATCH(I985,INVESTOR_LIST[INVESTOR CODE],0),)," ")</f>
        <v>MOHAMMAD SAYDUZZAMAN</v>
      </c>
      <c r="I985" s="145" t="s">
        <v>444</v>
      </c>
      <c r="J985" s="146" t="s">
        <v>53</v>
      </c>
      <c r="K985" s="219"/>
      <c r="L985" s="219">
        <f>K983-L984</f>
        <v>100700</v>
      </c>
      <c r="M985" s="147">
        <v>0</v>
      </c>
      <c r="Q985" s="133" t="s">
        <v>444</v>
      </c>
    </row>
    <row r="986" spans="1:17" x14ac:dyDescent="0.2">
      <c r="A986" s="133">
        <v>2020</v>
      </c>
      <c r="B986" s="133">
        <v>11</v>
      </c>
      <c r="C986" s="133">
        <v>1</v>
      </c>
      <c r="D986" s="141">
        <f t="shared" si="36"/>
        <v>44136</v>
      </c>
      <c r="E986" s="275">
        <f t="shared" si="37"/>
        <v>44136</v>
      </c>
      <c r="F986" s="481" t="s">
        <v>77</v>
      </c>
      <c r="G986" s="174" t="s">
        <v>74</v>
      </c>
      <c r="H986" s="174" t="str" cm="1">
        <f t="array" ref="H986">IFERROR(INDEX(INVESTOR_LIST[INVESTOR NAME],MATCH(I986,INVESTOR_LIST[INVESTOR CODE],0),)," ")</f>
        <v xml:space="preserve"> </v>
      </c>
      <c r="I986" s="148" t="s">
        <v>348</v>
      </c>
      <c r="J986" s="149" t="s">
        <v>61</v>
      </c>
      <c r="K986" s="218">
        <v>25</v>
      </c>
      <c r="L986" s="218"/>
      <c r="M986" s="147">
        <v>0</v>
      </c>
      <c r="Q986" s="133" t="s">
        <v>348</v>
      </c>
    </row>
    <row r="987" spans="1:17" x14ac:dyDescent="0.2">
      <c r="A987" s="163">
        <v>2020</v>
      </c>
      <c r="B987" s="163">
        <v>11</v>
      </c>
      <c r="C987" s="163">
        <v>1</v>
      </c>
      <c r="D987" s="141">
        <f t="shared" si="36"/>
        <v>44136</v>
      </c>
      <c r="E987" s="275">
        <f t="shared" si="37"/>
        <v>44136</v>
      </c>
      <c r="F987" s="480"/>
      <c r="G987" s="221" t="s">
        <v>74</v>
      </c>
      <c r="H987" s="221" t="str" cm="1">
        <f t="array" ref="H987">IFERROR(INDEX(INVESTOR_LIST[INVESTOR NAME],MATCH(I987,INVESTOR_LIST[INVESTOR CODE],0),)," ")</f>
        <v xml:space="preserve"> </v>
      </c>
      <c r="I987" s="145" t="s">
        <v>348</v>
      </c>
      <c r="J987" s="146" t="s">
        <v>52</v>
      </c>
      <c r="K987" s="219"/>
      <c r="L987" s="219">
        <v>25</v>
      </c>
      <c r="M987" s="147">
        <v>0</v>
      </c>
      <c r="Q987" s="133" t="s">
        <v>348</v>
      </c>
    </row>
    <row r="988" spans="1:17" x14ac:dyDescent="0.2">
      <c r="A988" s="133">
        <v>2020</v>
      </c>
      <c r="B988" s="133">
        <v>11</v>
      </c>
      <c r="C988" s="133">
        <v>1</v>
      </c>
      <c r="D988" s="141">
        <f t="shared" si="36"/>
        <v>44136</v>
      </c>
      <c r="E988" s="275">
        <f t="shared" si="37"/>
        <v>44136</v>
      </c>
      <c r="F988" s="479" t="s">
        <v>213</v>
      </c>
      <c r="G988" s="174" t="s">
        <v>74</v>
      </c>
      <c r="H988" s="174" t="str" cm="1">
        <f t="array" ref="H988">IFERROR(INDEX(INVESTOR_LIST[INVESTOR NAME],MATCH(I988,INVESTOR_LIST[INVESTOR CODE],0),)," ")</f>
        <v xml:space="preserve"> </v>
      </c>
      <c r="I988" s="148" t="s">
        <v>348</v>
      </c>
      <c r="J988" s="149" t="s">
        <v>190</v>
      </c>
      <c r="K988" s="218">
        <v>501345.15</v>
      </c>
      <c r="L988" s="218"/>
      <c r="M988" s="147">
        <v>0</v>
      </c>
      <c r="Q988" s="133" t="s">
        <v>348</v>
      </c>
    </row>
    <row r="989" spans="1:17" x14ac:dyDescent="0.2">
      <c r="A989" s="133">
        <v>2020</v>
      </c>
      <c r="B989" s="133">
        <v>11</v>
      </c>
      <c r="C989" s="133">
        <v>1</v>
      </c>
      <c r="D989" s="141">
        <f t="shared" si="36"/>
        <v>44136</v>
      </c>
      <c r="E989" s="275">
        <f t="shared" si="37"/>
        <v>44136</v>
      </c>
      <c r="F989" s="481"/>
      <c r="G989" s="174" t="s">
        <v>74</v>
      </c>
      <c r="H989" s="174" t="str" cm="1">
        <f t="array" ref="H989">IFERROR(INDEX(INVESTOR_LIST[INVESTOR NAME],MATCH(I989,INVESTOR_LIST[INVESTOR CODE],0),)," ")</f>
        <v xml:space="preserve"> </v>
      </c>
      <c r="I989" s="148" t="s">
        <v>348</v>
      </c>
      <c r="J989" s="149" t="s">
        <v>80</v>
      </c>
      <c r="K989" s="218">
        <v>904.05</v>
      </c>
      <c r="L989" s="218"/>
      <c r="M989" s="147">
        <v>1</v>
      </c>
      <c r="Q989" s="133" t="s">
        <v>348</v>
      </c>
    </row>
    <row r="990" spans="1:17" x14ac:dyDescent="0.2">
      <c r="A990" s="133">
        <v>2020</v>
      </c>
      <c r="B990" s="133">
        <v>11</v>
      </c>
      <c r="C990" s="133">
        <v>1</v>
      </c>
      <c r="D990" s="141">
        <f t="shared" si="36"/>
        <v>44136</v>
      </c>
      <c r="E990" s="275">
        <f t="shared" si="37"/>
        <v>44136</v>
      </c>
      <c r="F990" s="481"/>
      <c r="G990" s="174" t="s">
        <v>74</v>
      </c>
      <c r="H990" s="174" t="str" cm="1">
        <f t="array" ref="H990">IFERROR(INDEX(INVESTOR_LIST[INVESTOR NAME],MATCH(I990,INVESTOR_LIST[INVESTOR CODE],0),)," ")</f>
        <v xml:space="preserve"> </v>
      </c>
      <c r="I990" s="148" t="s">
        <v>348</v>
      </c>
      <c r="J990" s="149" t="s">
        <v>79</v>
      </c>
      <c r="K990" s="218"/>
      <c r="L990" s="218">
        <v>168540</v>
      </c>
      <c r="M990" s="147">
        <v>0</v>
      </c>
      <c r="Q990" s="133" t="s">
        <v>348</v>
      </c>
    </row>
    <row r="991" spans="1:17" x14ac:dyDescent="0.2">
      <c r="A991" s="163">
        <v>2020</v>
      </c>
      <c r="B991" s="163">
        <v>11</v>
      </c>
      <c r="C991" s="163">
        <v>1</v>
      </c>
      <c r="D991" s="141">
        <f t="shared" si="36"/>
        <v>44136</v>
      </c>
      <c r="E991" s="275">
        <f t="shared" si="37"/>
        <v>44136</v>
      </c>
      <c r="F991" s="480"/>
      <c r="G991" s="221" t="s">
        <v>74</v>
      </c>
      <c r="H991" s="221" t="str" cm="1">
        <f t="array" ref="H991">IFERROR(INDEX(INVESTOR_LIST[INVESTOR NAME],MATCH(I991,INVESTOR_LIST[INVESTOR CODE],0),)," ")</f>
        <v xml:space="preserve"> </v>
      </c>
      <c r="I991" s="145" t="s">
        <v>348</v>
      </c>
      <c r="J991" s="146" t="s">
        <v>191</v>
      </c>
      <c r="K991" s="219"/>
      <c r="L991" s="219">
        <f>502249.2-L990</f>
        <v>333709.2</v>
      </c>
      <c r="M991" s="147">
        <v>0</v>
      </c>
      <c r="Q991" s="133" t="s">
        <v>348</v>
      </c>
    </row>
    <row r="992" spans="1:17" x14ac:dyDescent="0.2">
      <c r="A992" s="133">
        <v>2020</v>
      </c>
      <c r="B992" s="133">
        <v>11</v>
      </c>
      <c r="C992" s="133">
        <v>2</v>
      </c>
      <c r="D992" s="141">
        <f t="shared" si="36"/>
        <v>44137</v>
      </c>
      <c r="E992" s="275">
        <f t="shared" si="37"/>
        <v>44137</v>
      </c>
      <c r="F992" s="479" t="s">
        <v>214</v>
      </c>
      <c r="G992" s="174" t="s">
        <v>94</v>
      </c>
      <c r="H992" s="174" t="str" cm="1">
        <f t="array" ref="H992">IFERROR(INDEX(INVESTOR_LIST[INVESTOR NAME],MATCH(I992,INVESTOR_LIST[INVESTOR CODE],0),)," ")</f>
        <v xml:space="preserve"> </v>
      </c>
      <c r="I992" s="148" t="s">
        <v>348</v>
      </c>
      <c r="J992" s="149" t="s">
        <v>79</v>
      </c>
      <c r="K992" s="218">
        <v>3642826.9</v>
      </c>
      <c r="L992" s="218"/>
      <c r="M992" s="147">
        <v>0</v>
      </c>
      <c r="Q992" s="133" t="s">
        <v>348</v>
      </c>
    </row>
    <row r="993" spans="1:17" x14ac:dyDescent="0.2">
      <c r="A993" s="133">
        <v>2020</v>
      </c>
      <c r="B993" s="133">
        <v>11</v>
      </c>
      <c r="C993" s="133">
        <v>2</v>
      </c>
      <c r="D993" s="141">
        <f t="shared" si="36"/>
        <v>44137</v>
      </c>
      <c r="E993" s="275">
        <f t="shared" si="37"/>
        <v>44137</v>
      </c>
      <c r="F993" s="481"/>
      <c r="G993" s="174" t="s">
        <v>94</v>
      </c>
      <c r="H993" s="174" t="str" cm="1">
        <f t="array" ref="H993">IFERROR(INDEX(INVESTOR_LIST[INVESTOR NAME],MATCH(I993,INVESTOR_LIST[INVESTOR CODE],0),)," ")</f>
        <v xml:space="preserve"> </v>
      </c>
      <c r="I993" s="148" t="s">
        <v>348</v>
      </c>
      <c r="J993" s="149" t="s">
        <v>80</v>
      </c>
      <c r="K993" s="218">
        <f>6557.09+11757.78</f>
        <v>18314.870000000003</v>
      </c>
      <c r="L993" s="218"/>
      <c r="M993" s="147">
        <v>0</v>
      </c>
      <c r="Q993" s="133" t="s">
        <v>348</v>
      </c>
    </row>
    <row r="994" spans="1:17" x14ac:dyDescent="0.2">
      <c r="A994" s="133">
        <v>2020</v>
      </c>
      <c r="B994" s="133">
        <v>11</v>
      </c>
      <c r="C994" s="133">
        <v>2</v>
      </c>
      <c r="D994" s="141">
        <f t="shared" si="36"/>
        <v>44137</v>
      </c>
      <c r="E994" s="275">
        <f t="shared" si="37"/>
        <v>44137</v>
      </c>
      <c r="F994" s="481"/>
      <c r="G994" s="174" t="s">
        <v>94</v>
      </c>
      <c r="H994" s="174" t="str" cm="1">
        <f t="array" ref="H994">IFERROR(INDEX(INVESTOR_LIST[INVESTOR NAME],MATCH(I994,INVESTOR_LIST[INVESTOR CODE],0),)," ")</f>
        <v xml:space="preserve"> </v>
      </c>
      <c r="I994" s="148" t="s">
        <v>348</v>
      </c>
      <c r="J994" s="149" t="s">
        <v>190</v>
      </c>
      <c r="K994" s="218">
        <f>6520344.72-3649383.99</f>
        <v>2870960.7299999995</v>
      </c>
      <c r="L994" s="218"/>
      <c r="M994" s="147">
        <v>0</v>
      </c>
      <c r="Q994" s="133" t="s">
        <v>348</v>
      </c>
    </row>
    <row r="995" spans="1:17" x14ac:dyDescent="0.2">
      <c r="A995" s="133">
        <v>2020</v>
      </c>
      <c r="B995" s="133">
        <v>11</v>
      </c>
      <c r="C995" s="133">
        <v>2</v>
      </c>
      <c r="D995" s="141">
        <f t="shared" si="36"/>
        <v>44137</v>
      </c>
      <c r="E995" s="275">
        <f t="shared" si="37"/>
        <v>44137</v>
      </c>
      <c r="F995" s="481"/>
      <c r="G995" s="174" t="s">
        <v>94</v>
      </c>
      <c r="H995" s="174" t="str" cm="1">
        <f t="array" ref="H995">IFERROR(INDEX(INVESTOR_LIST[INVESTOR NAME],MATCH(I995,INVESTOR_LIST[INVESTOR CODE],0),)," ")</f>
        <v xml:space="preserve"> </v>
      </c>
      <c r="I995" s="148" t="s">
        <v>348</v>
      </c>
      <c r="J995" s="149" t="s">
        <v>79</v>
      </c>
      <c r="K995" s="218"/>
      <c r="L995" s="218">
        <v>5842029.9000000004</v>
      </c>
      <c r="M995" s="147">
        <v>0</v>
      </c>
      <c r="Q995" s="133" t="s">
        <v>348</v>
      </c>
    </row>
    <row r="996" spans="1:17" x14ac:dyDescent="0.2">
      <c r="A996" s="163">
        <v>2020</v>
      </c>
      <c r="B996" s="163">
        <v>11</v>
      </c>
      <c r="C996" s="163">
        <v>2</v>
      </c>
      <c r="D996" s="141">
        <f t="shared" si="36"/>
        <v>44137</v>
      </c>
      <c r="E996" s="275">
        <f t="shared" si="37"/>
        <v>44137</v>
      </c>
      <c r="F996" s="480"/>
      <c r="G996" s="221" t="s">
        <v>94</v>
      </c>
      <c r="H996" s="221" t="str" cm="1">
        <f t="array" ref="H996">IFERROR(INDEX(INVESTOR_LIST[INVESTOR NAME],MATCH(I996,INVESTOR_LIST[INVESTOR CODE],0),)," ")</f>
        <v xml:space="preserve"> </v>
      </c>
      <c r="I996" s="145" t="s">
        <v>348</v>
      </c>
      <c r="J996" s="146" t="s">
        <v>191</v>
      </c>
      <c r="K996" s="219"/>
      <c r="L996" s="219">
        <v>690072.6</v>
      </c>
      <c r="M996" s="147">
        <v>0</v>
      </c>
      <c r="Q996" s="133" t="s">
        <v>348</v>
      </c>
    </row>
    <row r="997" spans="1:17" ht="22.5" x14ac:dyDescent="0.2">
      <c r="A997" s="133">
        <v>2020</v>
      </c>
      <c r="B997" s="133">
        <v>11</v>
      </c>
      <c r="C997" s="133">
        <v>2</v>
      </c>
      <c r="D997" s="141">
        <f t="shared" si="36"/>
        <v>44137</v>
      </c>
      <c r="E997" s="275">
        <f t="shared" si="37"/>
        <v>44137</v>
      </c>
      <c r="F997" s="479" t="s">
        <v>965</v>
      </c>
      <c r="G997" s="174" t="s">
        <v>74</v>
      </c>
      <c r="H997" s="174" t="str" cm="1">
        <f t="array" ref="H997">IFERROR(INDEX(INVESTOR_LIST[INVESTOR NAME],MATCH(I997,INVESTOR_LIST[INVESTOR CODE],0),)," ")</f>
        <v>SHUVA SAHA</v>
      </c>
      <c r="I997" s="148" t="s">
        <v>421</v>
      </c>
      <c r="J997" s="149" t="s">
        <v>13</v>
      </c>
      <c r="K997" s="218">
        <v>139370</v>
      </c>
      <c r="L997" s="218"/>
      <c r="M997" s="147">
        <v>0</v>
      </c>
      <c r="Q997" s="133" t="s">
        <v>421</v>
      </c>
    </row>
    <row r="998" spans="1:17" ht="22.5" x14ac:dyDescent="0.2">
      <c r="A998" s="133">
        <v>2020</v>
      </c>
      <c r="B998" s="133">
        <v>11</v>
      </c>
      <c r="C998" s="133">
        <v>2</v>
      </c>
      <c r="D998" s="141">
        <f t="shared" si="36"/>
        <v>44137</v>
      </c>
      <c r="E998" s="275">
        <f t="shared" si="37"/>
        <v>44137</v>
      </c>
      <c r="F998" s="481"/>
      <c r="G998" s="174" t="s">
        <v>74</v>
      </c>
      <c r="H998" s="174" t="str" cm="1">
        <f t="array" ref="H998">IFERROR(INDEX(INVESTOR_LIST[INVESTOR NAME],MATCH(I998,INVESTOR_LIST[INVESTOR CODE],0),)," ")</f>
        <v>SHUVA SAHA</v>
      </c>
      <c r="I998" s="148" t="s">
        <v>421</v>
      </c>
      <c r="J998" s="149" t="s">
        <v>53</v>
      </c>
      <c r="K998" s="218">
        <f>L999-K997</f>
        <v>20626.760000000009</v>
      </c>
      <c r="L998" s="218"/>
      <c r="M998" s="147">
        <v>0</v>
      </c>
      <c r="Q998" s="133" t="s">
        <v>421</v>
      </c>
    </row>
    <row r="999" spans="1:17" ht="22.5" x14ac:dyDescent="0.2">
      <c r="A999" s="163">
        <v>2020</v>
      </c>
      <c r="B999" s="163">
        <v>11</v>
      </c>
      <c r="C999" s="163">
        <v>2</v>
      </c>
      <c r="D999" s="141">
        <f t="shared" si="36"/>
        <v>44137</v>
      </c>
      <c r="E999" s="275">
        <f t="shared" si="37"/>
        <v>44137</v>
      </c>
      <c r="F999" s="480"/>
      <c r="G999" s="221" t="s">
        <v>74</v>
      </c>
      <c r="H999" s="221" t="str" cm="1">
        <f t="array" ref="H999">IFERROR(INDEX(INVESTOR_LIST[INVESTOR NAME],MATCH(I999,INVESTOR_LIST[INVESTOR CODE],0),)," ")</f>
        <v>SHUVA SAHA</v>
      </c>
      <c r="I999" s="145" t="s">
        <v>421</v>
      </c>
      <c r="J999" s="146" t="s">
        <v>52</v>
      </c>
      <c r="K999" s="219"/>
      <c r="L999" s="219">
        <v>159996.76</v>
      </c>
      <c r="M999" s="147">
        <v>0</v>
      </c>
      <c r="Q999" s="133" t="s">
        <v>421</v>
      </c>
    </row>
    <row r="1000" spans="1:17" x14ac:dyDescent="0.2">
      <c r="A1000" s="168">
        <v>2020</v>
      </c>
      <c r="B1000" s="168">
        <v>11</v>
      </c>
      <c r="C1000" s="168">
        <v>2</v>
      </c>
      <c r="D1000" s="141">
        <f t="shared" si="36"/>
        <v>44137</v>
      </c>
      <c r="E1000" s="275">
        <f t="shared" si="37"/>
        <v>44137</v>
      </c>
      <c r="F1000" s="479" t="s">
        <v>77</v>
      </c>
      <c r="G1000" s="220" t="s">
        <v>74</v>
      </c>
      <c r="H1000" s="220" t="str" cm="1">
        <f t="array" ref="H1000">IFERROR(INDEX(INVESTOR_LIST[INVESTOR NAME],MATCH(I1000,INVESTOR_LIST[INVESTOR CODE],0),)," ")</f>
        <v xml:space="preserve"> </v>
      </c>
      <c r="I1000" s="142" t="s">
        <v>348</v>
      </c>
      <c r="J1000" s="143" t="s">
        <v>61</v>
      </c>
      <c r="K1000" s="226">
        <v>58</v>
      </c>
      <c r="L1000" s="226"/>
      <c r="M1000" s="147">
        <v>0</v>
      </c>
      <c r="Q1000" s="133" t="s">
        <v>348</v>
      </c>
    </row>
    <row r="1001" spans="1:17" x14ac:dyDescent="0.2">
      <c r="A1001" s="163">
        <v>2020</v>
      </c>
      <c r="B1001" s="163">
        <v>11</v>
      </c>
      <c r="C1001" s="163">
        <v>2</v>
      </c>
      <c r="D1001" s="141">
        <f t="shared" si="36"/>
        <v>44137</v>
      </c>
      <c r="E1001" s="275">
        <f t="shared" si="37"/>
        <v>44137</v>
      </c>
      <c r="F1001" s="480"/>
      <c r="G1001" s="221" t="s">
        <v>74</v>
      </c>
      <c r="H1001" s="221" t="str" cm="1">
        <f t="array" ref="H1001">IFERROR(INDEX(INVESTOR_LIST[INVESTOR NAME],MATCH(I1001,INVESTOR_LIST[INVESTOR CODE],0),)," ")</f>
        <v xml:space="preserve"> </v>
      </c>
      <c r="I1001" s="145" t="s">
        <v>348</v>
      </c>
      <c r="J1001" s="146" t="s">
        <v>52</v>
      </c>
      <c r="K1001" s="219"/>
      <c r="L1001" s="219">
        <v>58</v>
      </c>
      <c r="M1001" s="147">
        <v>0</v>
      </c>
      <c r="Q1001" s="133" t="s">
        <v>348</v>
      </c>
    </row>
    <row r="1002" spans="1:17" x14ac:dyDescent="0.2">
      <c r="A1002" s="133">
        <v>2020</v>
      </c>
      <c r="B1002" s="133">
        <v>11</v>
      </c>
      <c r="C1002" s="133">
        <v>2</v>
      </c>
      <c r="D1002" s="141">
        <f t="shared" si="36"/>
        <v>44137</v>
      </c>
      <c r="E1002" s="275">
        <f t="shared" si="37"/>
        <v>44137</v>
      </c>
      <c r="F1002" s="479" t="s">
        <v>208</v>
      </c>
      <c r="G1002" s="174" t="s">
        <v>74</v>
      </c>
      <c r="H1002" s="174" t="str" cm="1">
        <f t="array" ref="H1002">IFERROR(INDEX(INVESTOR_LIST[INVESTOR NAME],MATCH(I1002,INVESTOR_LIST[INVESTOR CODE],0),)," ")</f>
        <v xml:space="preserve"> </v>
      </c>
      <c r="I1002" s="148" t="s">
        <v>348</v>
      </c>
      <c r="J1002" s="149" t="s">
        <v>184</v>
      </c>
      <c r="K1002" s="218">
        <v>4500000</v>
      </c>
      <c r="L1002" s="218"/>
      <c r="M1002" s="147">
        <v>0</v>
      </c>
      <c r="Q1002" s="133" t="s">
        <v>348</v>
      </c>
    </row>
    <row r="1003" spans="1:17" x14ac:dyDescent="0.2">
      <c r="A1003" s="133">
        <v>2020</v>
      </c>
      <c r="B1003" s="133">
        <v>11</v>
      </c>
      <c r="C1003" s="133">
        <v>2</v>
      </c>
      <c r="D1003" s="141">
        <f t="shared" si="36"/>
        <v>44137</v>
      </c>
      <c r="E1003" s="275">
        <f t="shared" si="37"/>
        <v>44137</v>
      </c>
      <c r="F1003" s="481"/>
      <c r="G1003" s="174" t="s">
        <v>74</v>
      </c>
      <c r="H1003" s="174" t="str" cm="1">
        <f t="array" ref="H1003">IFERROR(INDEX(INVESTOR_LIST[INVESTOR NAME],MATCH(I1003,INVESTOR_LIST[INVESTOR CODE],0),)," ")</f>
        <v xml:space="preserve"> </v>
      </c>
      <c r="I1003" s="148" t="s">
        <v>348</v>
      </c>
      <c r="J1003" s="149" t="s">
        <v>185</v>
      </c>
      <c r="K1003" s="218">
        <v>5000</v>
      </c>
      <c r="L1003" s="218"/>
      <c r="M1003" s="147">
        <v>0</v>
      </c>
      <c r="Q1003" s="133" t="s">
        <v>348</v>
      </c>
    </row>
    <row r="1004" spans="1:17" x14ac:dyDescent="0.2">
      <c r="A1004" s="133">
        <v>2020</v>
      </c>
      <c r="B1004" s="133">
        <v>11</v>
      </c>
      <c r="C1004" s="133">
        <v>2</v>
      </c>
      <c r="D1004" s="141">
        <f t="shared" si="36"/>
        <v>44137</v>
      </c>
      <c r="E1004" s="275">
        <f t="shared" si="37"/>
        <v>44137</v>
      </c>
      <c r="F1004" s="481"/>
      <c r="G1004" s="174" t="s">
        <v>74</v>
      </c>
      <c r="H1004" s="174" t="str" cm="1">
        <f t="array" ref="H1004">IFERROR(INDEX(INVESTOR_LIST[INVESTOR NAME],MATCH(I1004,INVESTOR_LIST[INVESTOR CODE],0),)," ")</f>
        <v xml:space="preserve"> </v>
      </c>
      <c r="I1004" s="148" t="s">
        <v>348</v>
      </c>
      <c r="J1004" s="149" t="s">
        <v>61</v>
      </c>
      <c r="K1004" s="218">
        <v>115</v>
      </c>
      <c r="L1004" s="218"/>
      <c r="M1004" s="147">
        <v>0</v>
      </c>
      <c r="Q1004" s="133" t="s">
        <v>348</v>
      </c>
    </row>
    <row r="1005" spans="1:17" x14ac:dyDescent="0.2">
      <c r="A1005" s="163">
        <v>2020</v>
      </c>
      <c r="B1005" s="163">
        <v>11</v>
      </c>
      <c r="C1005" s="163">
        <v>2</v>
      </c>
      <c r="D1005" s="141">
        <f t="shared" si="36"/>
        <v>44137</v>
      </c>
      <c r="E1005" s="275">
        <f t="shared" si="37"/>
        <v>44137</v>
      </c>
      <c r="F1005" s="480"/>
      <c r="G1005" s="221" t="s">
        <v>74</v>
      </c>
      <c r="H1005" s="221" t="str" cm="1">
        <f t="array" ref="H1005">IFERROR(INDEX(INVESTOR_LIST[INVESTOR NAME],MATCH(I1005,INVESTOR_LIST[INVESTOR CODE],0),)," ")</f>
        <v xml:space="preserve"> </v>
      </c>
      <c r="I1005" s="145" t="s">
        <v>348</v>
      </c>
      <c r="J1005" s="146" t="s">
        <v>52</v>
      </c>
      <c r="K1005" s="219"/>
      <c r="L1005" s="219">
        <v>4505115</v>
      </c>
      <c r="M1005" s="147">
        <v>0</v>
      </c>
      <c r="Q1005" s="133" t="s">
        <v>348</v>
      </c>
    </row>
    <row r="1006" spans="1:17" x14ac:dyDescent="0.2">
      <c r="A1006" s="133">
        <v>2020</v>
      </c>
      <c r="B1006" s="133">
        <v>11</v>
      </c>
      <c r="C1006" s="133">
        <v>2</v>
      </c>
      <c r="D1006" s="141">
        <f t="shared" si="36"/>
        <v>44137</v>
      </c>
      <c r="E1006" s="275">
        <f t="shared" si="37"/>
        <v>44137</v>
      </c>
      <c r="F1006" s="479" t="s">
        <v>209</v>
      </c>
      <c r="G1006" s="174" t="s">
        <v>74</v>
      </c>
      <c r="H1006" s="174" t="str" cm="1">
        <f t="array" ref="H1006">IFERROR(INDEX(INVESTOR_LIST[INVESTOR NAME],MATCH(I1006,INVESTOR_LIST[INVESTOR CODE],0),)," ")</f>
        <v xml:space="preserve"> </v>
      </c>
      <c r="I1006" s="148" t="s">
        <v>348</v>
      </c>
      <c r="J1006" s="149" t="s">
        <v>52</v>
      </c>
      <c r="K1006" s="218">
        <v>2645928.7400000002</v>
      </c>
      <c r="L1006" s="218"/>
      <c r="M1006" s="147">
        <v>0</v>
      </c>
      <c r="Q1006" s="133" t="s">
        <v>348</v>
      </c>
    </row>
    <row r="1007" spans="1:17" x14ac:dyDescent="0.2">
      <c r="A1007" s="163">
        <v>2020</v>
      </c>
      <c r="B1007" s="163">
        <v>11</v>
      </c>
      <c r="C1007" s="163">
        <v>2</v>
      </c>
      <c r="D1007" s="141">
        <f t="shared" si="36"/>
        <v>44137</v>
      </c>
      <c r="E1007" s="275">
        <f t="shared" si="37"/>
        <v>44137</v>
      </c>
      <c r="F1007" s="480"/>
      <c r="G1007" s="221" t="s">
        <v>74</v>
      </c>
      <c r="H1007" s="221" t="str" cm="1">
        <f t="array" ref="H1007">IFERROR(INDEX(INVESTOR_LIST[INVESTOR NAME],MATCH(I1007,INVESTOR_LIST[INVESTOR CODE],0),)," ")</f>
        <v xml:space="preserve"> </v>
      </c>
      <c r="I1007" s="145" t="s">
        <v>348</v>
      </c>
      <c r="J1007" s="146" t="s">
        <v>190</v>
      </c>
      <c r="K1007" s="219"/>
      <c r="L1007" s="219">
        <v>2645928.7400000002</v>
      </c>
      <c r="M1007" s="147">
        <v>0</v>
      </c>
      <c r="Q1007" s="133" t="s">
        <v>348</v>
      </c>
    </row>
    <row r="1008" spans="1:17" x14ac:dyDescent="0.2">
      <c r="A1008" s="133">
        <v>2020</v>
      </c>
      <c r="B1008" s="133">
        <v>11</v>
      </c>
      <c r="C1008" s="133">
        <v>2</v>
      </c>
      <c r="D1008" s="141">
        <f t="shared" si="36"/>
        <v>44137</v>
      </c>
      <c r="E1008" s="275">
        <f t="shared" si="37"/>
        <v>44137</v>
      </c>
      <c r="F1008" s="479" t="s">
        <v>210</v>
      </c>
      <c r="G1008" s="174" t="s">
        <v>74</v>
      </c>
      <c r="H1008" s="174" t="str" cm="1">
        <f t="array" ref="H1008">IFERROR(INDEX(INVESTOR_LIST[INVESTOR NAME],MATCH(I1008,INVESTOR_LIST[INVESTOR CODE],0),)," ")</f>
        <v xml:space="preserve"> </v>
      </c>
      <c r="I1008" s="148" t="s">
        <v>348</v>
      </c>
      <c r="J1008" s="149" t="s">
        <v>52</v>
      </c>
      <c r="K1008" s="218">
        <v>4453118.3099999996</v>
      </c>
      <c r="L1008" s="218"/>
      <c r="M1008" s="147">
        <v>3</v>
      </c>
      <c r="Q1008" s="133" t="s">
        <v>348</v>
      </c>
    </row>
    <row r="1009" spans="1:17" x14ac:dyDescent="0.2">
      <c r="A1009" s="163">
        <v>2020</v>
      </c>
      <c r="B1009" s="163">
        <v>11</v>
      </c>
      <c r="C1009" s="163">
        <v>2</v>
      </c>
      <c r="D1009" s="141">
        <f t="shared" si="36"/>
        <v>44137</v>
      </c>
      <c r="E1009" s="275">
        <f t="shared" si="37"/>
        <v>44137</v>
      </c>
      <c r="F1009" s="480"/>
      <c r="G1009" s="221" t="s">
        <v>74</v>
      </c>
      <c r="H1009" s="221" t="str" cm="1">
        <f t="array" ref="H1009">IFERROR(INDEX(INVESTOR_LIST[INVESTOR NAME],MATCH(I1009,INVESTOR_LIST[INVESTOR CODE],0),)," ")</f>
        <v xml:space="preserve"> </v>
      </c>
      <c r="I1009" s="145" t="s">
        <v>348</v>
      </c>
      <c r="J1009" s="146" t="s">
        <v>190</v>
      </c>
      <c r="K1009" s="219"/>
      <c r="L1009" s="219">
        <v>4453118.3099999996</v>
      </c>
      <c r="M1009" s="147">
        <v>0</v>
      </c>
      <c r="Q1009" s="133" t="s">
        <v>348</v>
      </c>
    </row>
    <row r="1010" spans="1:17" x14ac:dyDescent="0.2">
      <c r="A1010" s="168">
        <v>2020</v>
      </c>
      <c r="B1010" s="168">
        <v>11</v>
      </c>
      <c r="C1010" s="168">
        <v>2</v>
      </c>
      <c r="D1010" s="141">
        <f t="shared" si="36"/>
        <v>44137</v>
      </c>
      <c r="E1010" s="275">
        <f t="shared" si="37"/>
        <v>44137</v>
      </c>
      <c r="F1010" s="479" t="s">
        <v>211</v>
      </c>
      <c r="G1010" s="220" t="s">
        <v>74</v>
      </c>
      <c r="H1010" s="220" t="str" cm="1">
        <f t="array" ref="H1010">IFERROR(INDEX(INVESTOR_LIST[INVESTOR NAME],MATCH(I1010,INVESTOR_LIST[INVESTOR CODE],0),)," ")</f>
        <v xml:space="preserve"> </v>
      </c>
      <c r="I1010" s="142" t="s">
        <v>348</v>
      </c>
      <c r="J1010" s="143" t="s">
        <v>79</v>
      </c>
      <c r="K1010" s="226">
        <f>L1012-K1011</f>
        <v>375000</v>
      </c>
      <c r="L1010" s="226"/>
      <c r="M1010" s="147">
        <v>0</v>
      </c>
      <c r="Q1010" s="133" t="s">
        <v>348</v>
      </c>
    </row>
    <row r="1011" spans="1:17" x14ac:dyDescent="0.2">
      <c r="A1011" s="133">
        <v>2020</v>
      </c>
      <c r="B1011" s="133">
        <v>11</v>
      </c>
      <c r="C1011" s="133">
        <v>2</v>
      </c>
      <c r="D1011" s="141">
        <f t="shared" si="36"/>
        <v>44137</v>
      </c>
      <c r="E1011" s="275">
        <f t="shared" si="37"/>
        <v>44137</v>
      </c>
      <c r="F1011" s="481"/>
      <c r="G1011" s="174" t="s">
        <v>74</v>
      </c>
      <c r="H1011" s="174" t="str" cm="1">
        <f t="array" ref="H1011">IFERROR(INDEX(INVESTOR_LIST[INVESTOR NAME],MATCH(I1011,INVESTOR_LIST[INVESTOR CODE],0),)," ")</f>
        <v xml:space="preserve"> </v>
      </c>
      <c r="I1011" s="148" t="s">
        <v>348</v>
      </c>
      <c r="J1011" s="149" t="s">
        <v>52</v>
      </c>
      <c r="K1011" s="218">
        <v>2025000</v>
      </c>
      <c r="L1011" s="218"/>
      <c r="M1011" s="147">
        <v>0</v>
      </c>
      <c r="Q1011" s="133" t="s">
        <v>348</v>
      </c>
    </row>
    <row r="1012" spans="1:17" x14ac:dyDescent="0.2">
      <c r="A1012" s="163">
        <v>2020</v>
      </c>
      <c r="B1012" s="163">
        <v>11</v>
      </c>
      <c r="C1012" s="163">
        <v>2</v>
      </c>
      <c r="D1012" s="141">
        <f t="shared" si="36"/>
        <v>44137</v>
      </c>
      <c r="E1012" s="275">
        <f t="shared" si="37"/>
        <v>44137</v>
      </c>
      <c r="F1012" s="480"/>
      <c r="G1012" s="221" t="s">
        <v>74</v>
      </c>
      <c r="H1012" s="221" t="str" cm="1">
        <f t="array" ref="H1012">IFERROR(INDEX(INVESTOR_LIST[INVESTOR NAME],MATCH(I1012,INVESTOR_LIST[INVESTOR CODE],0),)," ")</f>
        <v xml:space="preserve"> </v>
      </c>
      <c r="I1012" s="145" t="s">
        <v>348</v>
      </c>
      <c r="J1012" s="146" t="s">
        <v>184</v>
      </c>
      <c r="K1012" s="219"/>
      <c r="L1012" s="219">
        <v>2400000</v>
      </c>
      <c r="M1012" s="147">
        <v>0</v>
      </c>
      <c r="Q1012" s="133" t="s">
        <v>348</v>
      </c>
    </row>
    <row r="1013" spans="1:17" x14ac:dyDescent="0.2">
      <c r="A1013" s="133">
        <v>2020</v>
      </c>
      <c r="B1013" s="133">
        <v>11</v>
      </c>
      <c r="C1013" s="133">
        <v>4</v>
      </c>
      <c r="D1013" s="141">
        <f t="shared" si="36"/>
        <v>44139</v>
      </c>
      <c r="E1013" s="275">
        <f t="shared" si="37"/>
        <v>44139</v>
      </c>
      <c r="F1013" s="479" t="s">
        <v>212</v>
      </c>
      <c r="G1013" s="174" t="s">
        <v>74</v>
      </c>
      <c r="H1013" s="174" t="str" cm="1">
        <f t="array" ref="H1013">IFERROR(INDEX(INVESTOR_LIST[INVESTOR NAME],MATCH(I1013,INVESTOR_LIST[INVESTOR CODE],0),)," ")</f>
        <v xml:space="preserve"> </v>
      </c>
      <c r="I1013" s="148" t="s">
        <v>348</v>
      </c>
      <c r="J1013" s="149" t="s">
        <v>184</v>
      </c>
      <c r="K1013" s="218">
        <v>10000</v>
      </c>
      <c r="L1013" s="218"/>
      <c r="M1013" s="147">
        <v>0</v>
      </c>
      <c r="Q1013" s="133" t="s">
        <v>348</v>
      </c>
    </row>
    <row r="1014" spans="1:17" x14ac:dyDescent="0.2">
      <c r="A1014" s="133">
        <v>2020</v>
      </c>
      <c r="B1014" s="133">
        <v>11</v>
      </c>
      <c r="C1014" s="133">
        <v>4</v>
      </c>
      <c r="D1014" s="141">
        <f t="shared" si="36"/>
        <v>44139</v>
      </c>
      <c r="E1014" s="275">
        <f t="shared" si="37"/>
        <v>44139</v>
      </c>
      <c r="F1014" s="481"/>
      <c r="G1014" s="174" t="s">
        <v>74</v>
      </c>
      <c r="H1014" s="174" t="str" cm="1">
        <f t="array" ref="H1014">IFERROR(INDEX(INVESTOR_LIST[INVESTOR NAME],MATCH(I1014,INVESTOR_LIST[INVESTOR CODE],0),)," ")</f>
        <v xml:space="preserve"> </v>
      </c>
      <c r="I1014" s="148" t="s">
        <v>348</v>
      </c>
      <c r="J1014" s="149" t="s">
        <v>61</v>
      </c>
      <c r="K1014" s="218">
        <v>29</v>
      </c>
      <c r="L1014" s="218"/>
      <c r="M1014" s="147">
        <v>0</v>
      </c>
      <c r="N1014" s="175"/>
      <c r="Q1014" s="133" t="s">
        <v>348</v>
      </c>
    </row>
    <row r="1015" spans="1:17" x14ac:dyDescent="0.2">
      <c r="A1015" s="163">
        <v>2020</v>
      </c>
      <c r="B1015" s="163">
        <v>11</v>
      </c>
      <c r="C1015" s="163">
        <v>4</v>
      </c>
      <c r="D1015" s="141">
        <f t="shared" si="36"/>
        <v>44139</v>
      </c>
      <c r="E1015" s="275">
        <f t="shared" si="37"/>
        <v>44139</v>
      </c>
      <c r="F1015" s="480"/>
      <c r="G1015" s="221" t="s">
        <v>74</v>
      </c>
      <c r="H1015" s="221" t="str" cm="1">
        <f t="array" ref="H1015">IFERROR(INDEX(INVESTOR_LIST[INVESTOR NAME],MATCH(I1015,INVESTOR_LIST[INVESTOR CODE],0),)," ")</f>
        <v xml:space="preserve"> </v>
      </c>
      <c r="I1015" s="145" t="s">
        <v>348</v>
      </c>
      <c r="J1015" s="146" t="s">
        <v>52</v>
      </c>
      <c r="K1015" s="219"/>
      <c r="L1015" s="219">
        <v>10029</v>
      </c>
      <c r="M1015" s="147">
        <v>0</v>
      </c>
      <c r="Q1015" s="133" t="s">
        <v>348</v>
      </c>
    </row>
    <row r="1016" spans="1:17" ht="11.25" customHeight="1" x14ac:dyDescent="0.2">
      <c r="A1016" s="168">
        <v>2020</v>
      </c>
      <c r="B1016" s="168">
        <v>11</v>
      </c>
      <c r="C1016" s="168">
        <v>4</v>
      </c>
      <c r="D1016" s="141">
        <f t="shared" si="36"/>
        <v>44139</v>
      </c>
      <c r="E1016" s="275">
        <f t="shared" si="37"/>
        <v>44139</v>
      </c>
      <c r="F1016" s="479" t="s">
        <v>254</v>
      </c>
      <c r="G1016" s="220" t="s">
        <v>74</v>
      </c>
      <c r="H1016" s="220" t="str" cm="1">
        <f t="array" ref="H1016">IFERROR(INDEX(INVESTOR_LIST[INVESTOR NAME],MATCH(I1016,INVESTOR_LIST[INVESTOR CODE],0),)," ")</f>
        <v xml:space="preserve"> </v>
      </c>
      <c r="I1016" s="142" t="s">
        <v>348</v>
      </c>
      <c r="J1016" s="143" t="s">
        <v>52</v>
      </c>
      <c r="K1016" s="226">
        <v>57000</v>
      </c>
      <c r="L1016" s="226"/>
      <c r="M1016" s="147">
        <v>1</v>
      </c>
      <c r="Q1016" s="133" t="s">
        <v>348</v>
      </c>
    </row>
    <row r="1017" spans="1:17" x14ac:dyDescent="0.2">
      <c r="A1017" s="133">
        <v>2020</v>
      </c>
      <c r="B1017" s="133">
        <v>11</v>
      </c>
      <c r="C1017" s="133">
        <v>4</v>
      </c>
      <c r="D1017" s="141">
        <f t="shared" si="36"/>
        <v>44139</v>
      </c>
      <c r="E1017" s="275">
        <f t="shared" si="37"/>
        <v>44139</v>
      </c>
      <c r="F1017" s="481"/>
      <c r="G1017" s="174" t="s">
        <v>74</v>
      </c>
      <c r="H1017" s="174" t="str" cm="1">
        <f t="array" ref="H1017">IFERROR(INDEX(INVESTOR_LIST[INVESTOR NAME],MATCH(I1017,INVESTOR_LIST[INVESTOR CODE],0),)," ")</f>
        <v xml:space="preserve"> </v>
      </c>
      <c r="I1017" s="148" t="s">
        <v>348</v>
      </c>
      <c r="J1017" s="149" t="s">
        <v>13</v>
      </c>
      <c r="K1017" s="218"/>
      <c r="L1017" s="218">
        <v>49670</v>
      </c>
      <c r="M1017" s="147">
        <v>0</v>
      </c>
      <c r="Q1017" s="133" t="s">
        <v>348</v>
      </c>
    </row>
    <row r="1018" spans="1:17" x14ac:dyDescent="0.2">
      <c r="A1018" s="163">
        <v>2020</v>
      </c>
      <c r="B1018" s="163">
        <v>11</v>
      </c>
      <c r="C1018" s="163">
        <v>4</v>
      </c>
      <c r="D1018" s="141">
        <f t="shared" si="36"/>
        <v>44139</v>
      </c>
      <c r="E1018" s="275">
        <f t="shared" si="37"/>
        <v>44139</v>
      </c>
      <c r="F1018" s="480"/>
      <c r="G1018" s="221" t="s">
        <v>74</v>
      </c>
      <c r="H1018" s="221" t="str" cm="1">
        <f t="array" ref="H1018">IFERROR(INDEX(INVESTOR_LIST[INVESTOR NAME],MATCH(I1018,INVESTOR_LIST[INVESTOR CODE],0),)," ")</f>
        <v xml:space="preserve"> </v>
      </c>
      <c r="I1018" s="145" t="s">
        <v>348</v>
      </c>
      <c r="J1018" s="146" t="s">
        <v>53</v>
      </c>
      <c r="K1018" s="219"/>
      <c r="L1018" s="219">
        <f>K1016-L1017</f>
        <v>7330</v>
      </c>
      <c r="M1018" s="147">
        <v>0</v>
      </c>
      <c r="Q1018" s="133" t="s">
        <v>348</v>
      </c>
    </row>
    <row r="1019" spans="1:17" x14ac:dyDescent="0.2">
      <c r="A1019" s="133">
        <v>2020</v>
      </c>
      <c r="B1019" s="133">
        <v>11</v>
      </c>
      <c r="C1019" s="133">
        <v>4</v>
      </c>
      <c r="D1019" s="141">
        <f t="shared" si="36"/>
        <v>44139</v>
      </c>
      <c r="E1019" s="275">
        <f t="shared" si="37"/>
        <v>44139</v>
      </c>
      <c r="F1019" s="479" t="s">
        <v>215</v>
      </c>
      <c r="G1019" s="174" t="s">
        <v>74</v>
      </c>
      <c r="H1019" s="174" t="str" cm="1">
        <f t="array" ref="H1019">IFERROR(INDEX(INVESTOR_LIST[INVESTOR NAME],MATCH(I1019,INVESTOR_LIST[INVESTOR CODE],0),)," ")</f>
        <v xml:space="preserve"> </v>
      </c>
      <c r="I1019" s="148" t="s">
        <v>348</v>
      </c>
      <c r="J1019" s="149" t="s">
        <v>52</v>
      </c>
      <c r="K1019" s="218">
        <v>2870960.73</v>
      </c>
      <c r="L1019" s="218"/>
      <c r="M1019" s="147">
        <v>0</v>
      </c>
      <c r="Q1019" s="133" t="s">
        <v>348</v>
      </c>
    </row>
    <row r="1020" spans="1:17" x14ac:dyDescent="0.2">
      <c r="A1020" s="163">
        <v>2020</v>
      </c>
      <c r="B1020" s="163">
        <v>11</v>
      </c>
      <c r="C1020" s="163">
        <v>4</v>
      </c>
      <c r="D1020" s="141">
        <f t="shared" si="36"/>
        <v>44139</v>
      </c>
      <c r="E1020" s="275">
        <f t="shared" si="37"/>
        <v>44139</v>
      </c>
      <c r="F1020" s="480"/>
      <c r="G1020" s="221" t="s">
        <v>74</v>
      </c>
      <c r="H1020" s="221" t="str" cm="1">
        <f t="array" ref="H1020">IFERROR(INDEX(INVESTOR_LIST[INVESTOR NAME],MATCH(I1020,INVESTOR_LIST[INVESTOR CODE],0),)," ")</f>
        <v xml:space="preserve"> </v>
      </c>
      <c r="I1020" s="145" t="s">
        <v>348</v>
      </c>
      <c r="J1020" s="146" t="s">
        <v>190</v>
      </c>
      <c r="K1020" s="219"/>
      <c r="L1020" s="219">
        <v>2870960.73</v>
      </c>
      <c r="M1020" s="147">
        <v>0</v>
      </c>
      <c r="Q1020" s="133" t="s">
        <v>348</v>
      </c>
    </row>
    <row r="1021" spans="1:17" x14ac:dyDescent="0.2">
      <c r="A1021" s="133">
        <v>2020</v>
      </c>
      <c r="B1021" s="133">
        <v>11</v>
      </c>
      <c r="C1021" s="133">
        <v>5</v>
      </c>
      <c r="D1021" s="141">
        <f t="shared" si="36"/>
        <v>44140</v>
      </c>
      <c r="E1021" s="275">
        <f t="shared" si="37"/>
        <v>44140</v>
      </c>
      <c r="F1021" s="479" t="s">
        <v>244</v>
      </c>
      <c r="G1021" s="174" t="s">
        <v>74</v>
      </c>
      <c r="H1021" s="174" t="str" cm="1">
        <f t="array" ref="H1021">IFERROR(INDEX(INVESTOR_LIST[INVESTOR NAME],MATCH(I1021,INVESTOR_LIST[INVESTOR CODE],0),)," ")</f>
        <v xml:space="preserve"> </v>
      </c>
      <c r="I1021" s="148" t="s">
        <v>348</v>
      </c>
      <c r="J1021" s="149" t="s">
        <v>52</v>
      </c>
      <c r="K1021" s="218">
        <v>501345.15</v>
      </c>
      <c r="L1021" s="218"/>
      <c r="M1021" s="147">
        <v>0</v>
      </c>
      <c r="Q1021" s="133" t="s">
        <v>348</v>
      </c>
    </row>
    <row r="1022" spans="1:17" x14ac:dyDescent="0.2">
      <c r="A1022" s="163">
        <v>2020</v>
      </c>
      <c r="B1022" s="163">
        <v>11</v>
      </c>
      <c r="C1022" s="163">
        <v>5</v>
      </c>
      <c r="D1022" s="141">
        <f t="shared" si="36"/>
        <v>44140</v>
      </c>
      <c r="E1022" s="275">
        <f t="shared" si="37"/>
        <v>44140</v>
      </c>
      <c r="F1022" s="480"/>
      <c r="G1022" s="221" t="s">
        <v>74</v>
      </c>
      <c r="H1022" s="221" t="str" cm="1">
        <f t="array" ref="H1022">IFERROR(INDEX(INVESTOR_LIST[INVESTOR NAME],MATCH(I1022,INVESTOR_LIST[INVESTOR CODE],0),)," ")</f>
        <v xml:space="preserve"> </v>
      </c>
      <c r="I1022" s="145" t="s">
        <v>348</v>
      </c>
      <c r="J1022" s="146" t="s">
        <v>190</v>
      </c>
      <c r="K1022" s="219"/>
      <c r="L1022" s="219">
        <v>501345.15</v>
      </c>
      <c r="M1022" s="147">
        <v>0</v>
      </c>
      <c r="Q1022" s="133" t="s">
        <v>348</v>
      </c>
    </row>
    <row r="1023" spans="1:17" x14ac:dyDescent="0.2">
      <c r="A1023" s="133">
        <v>2020</v>
      </c>
      <c r="B1023" s="133">
        <v>11</v>
      </c>
      <c r="C1023" s="133">
        <v>5</v>
      </c>
      <c r="D1023" s="141">
        <f t="shared" si="36"/>
        <v>44140</v>
      </c>
      <c r="E1023" s="275">
        <f t="shared" si="37"/>
        <v>44140</v>
      </c>
      <c r="F1023" s="481" t="s">
        <v>216</v>
      </c>
      <c r="G1023" s="174" t="s">
        <v>94</v>
      </c>
      <c r="H1023" s="174" t="str" cm="1">
        <f t="array" ref="H1023">IFERROR(INDEX(INVESTOR_LIST[INVESTOR NAME],MATCH(I1023,INVESTOR_LIST[INVESTOR CODE],0),)," ")</f>
        <v xml:space="preserve"> </v>
      </c>
      <c r="I1023" s="148" t="s">
        <v>348</v>
      </c>
      <c r="J1023" s="149" t="s">
        <v>79</v>
      </c>
      <c r="K1023" s="218">
        <v>438000</v>
      </c>
      <c r="L1023" s="218"/>
      <c r="M1023" s="147">
        <v>0</v>
      </c>
      <c r="Q1023" s="133" t="s">
        <v>348</v>
      </c>
    </row>
    <row r="1024" spans="1:17" x14ac:dyDescent="0.2">
      <c r="A1024" s="133">
        <v>2020</v>
      </c>
      <c r="B1024" s="133">
        <v>11</v>
      </c>
      <c r="C1024" s="133">
        <v>5</v>
      </c>
      <c r="D1024" s="141">
        <f t="shared" si="36"/>
        <v>44140</v>
      </c>
      <c r="E1024" s="275">
        <f t="shared" si="37"/>
        <v>44140</v>
      </c>
      <c r="F1024" s="481"/>
      <c r="G1024" s="174" t="s">
        <v>94</v>
      </c>
      <c r="H1024" s="174" t="str" cm="1">
        <f t="array" ref="H1024">IFERROR(INDEX(INVESTOR_LIST[INVESTOR NAME],MATCH(I1024,INVESTOR_LIST[INVESTOR CODE],0),)," ")</f>
        <v xml:space="preserve"> </v>
      </c>
      <c r="I1024" s="148" t="s">
        <v>348</v>
      </c>
      <c r="J1024" s="149" t="s">
        <v>80</v>
      </c>
      <c r="K1024" s="218">
        <f>788.4+1934.21</f>
        <v>2722.61</v>
      </c>
      <c r="L1024" s="218"/>
      <c r="M1024" s="147">
        <v>0</v>
      </c>
      <c r="Q1024" s="133" t="s">
        <v>348</v>
      </c>
    </row>
    <row r="1025" spans="1:17" x14ac:dyDescent="0.2">
      <c r="A1025" s="133">
        <v>2020</v>
      </c>
      <c r="B1025" s="133">
        <v>11</v>
      </c>
      <c r="C1025" s="133">
        <v>5</v>
      </c>
      <c r="D1025" s="141">
        <f t="shared" si="36"/>
        <v>44140</v>
      </c>
      <c r="E1025" s="275">
        <f t="shared" si="37"/>
        <v>44140</v>
      </c>
      <c r="F1025" s="481"/>
      <c r="G1025" s="174" t="s">
        <v>94</v>
      </c>
      <c r="H1025" s="174" t="str" cm="1">
        <f t="array" ref="H1025">IFERROR(INDEX(INVESTOR_LIST[INVESTOR NAME],MATCH(I1025,INVESTOR_LIST[INVESTOR CODE],0),)," ")</f>
        <v xml:space="preserve"> </v>
      </c>
      <c r="I1025" s="148" t="s">
        <v>348</v>
      </c>
      <c r="J1025" s="149" t="s">
        <v>190</v>
      </c>
      <c r="K1025" s="218">
        <v>633840.18999999994</v>
      </c>
      <c r="L1025" s="218"/>
      <c r="M1025" s="147">
        <v>0</v>
      </c>
      <c r="Q1025" s="133" t="s">
        <v>348</v>
      </c>
    </row>
    <row r="1026" spans="1:17" x14ac:dyDescent="0.2">
      <c r="A1026" s="133">
        <v>2020</v>
      </c>
      <c r="B1026" s="133">
        <v>11</v>
      </c>
      <c r="C1026" s="133">
        <v>5</v>
      </c>
      <c r="D1026" s="141">
        <f t="shared" si="36"/>
        <v>44140</v>
      </c>
      <c r="E1026" s="275">
        <f t="shared" si="37"/>
        <v>44140</v>
      </c>
      <c r="F1026" s="481"/>
      <c r="G1026" s="174" t="s">
        <v>94</v>
      </c>
      <c r="H1026" s="174" t="str" cm="1">
        <f t="array" ref="H1026">IFERROR(INDEX(INVESTOR_LIST[INVESTOR NAME],MATCH(I1026,INVESTOR_LIST[INVESTOR CODE],0),)," ")</f>
        <v xml:space="preserve"> </v>
      </c>
      <c r="I1026" s="148" t="s">
        <v>348</v>
      </c>
      <c r="J1026" s="149" t="s">
        <v>79</v>
      </c>
      <c r="K1026" s="218"/>
      <c r="L1026" s="218">
        <v>977646.81</v>
      </c>
      <c r="M1026" s="147">
        <v>0</v>
      </c>
      <c r="Q1026" s="133" t="s">
        <v>348</v>
      </c>
    </row>
    <row r="1027" spans="1:17" x14ac:dyDescent="0.2">
      <c r="A1027" s="163">
        <v>2020</v>
      </c>
      <c r="B1027" s="163">
        <v>11</v>
      </c>
      <c r="C1027" s="163">
        <v>5</v>
      </c>
      <c r="D1027" s="141">
        <f t="shared" si="36"/>
        <v>44140</v>
      </c>
      <c r="E1027" s="275">
        <f t="shared" si="37"/>
        <v>44140</v>
      </c>
      <c r="F1027" s="480"/>
      <c r="G1027" s="221" t="s">
        <v>94</v>
      </c>
      <c r="H1027" s="221" t="str" cm="1">
        <f t="array" ref="H1027">IFERROR(INDEX(INVESTOR_LIST[INVESTOR NAME],MATCH(I1027,INVESTOR_LIST[INVESTOR CODE],0),)," ")</f>
        <v xml:space="preserve"> </v>
      </c>
      <c r="I1027" s="145" t="s">
        <v>348</v>
      </c>
      <c r="J1027" s="146" t="s">
        <v>191</v>
      </c>
      <c r="K1027" s="219"/>
      <c r="L1027" s="219">
        <f>96915.99</f>
        <v>96915.99</v>
      </c>
      <c r="M1027" s="147">
        <v>0</v>
      </c>
      <c r="Q1027" s="133" t="s">
        <v>348</v>
      </c>
    </row>
    <row r="1028" spans="1:17" x14ac:dyDescent="0.2">
      <c r="A1028" s="133">
        <v>2020</v>
      </c>
      <c r="B1028" s="133">
        <v>11</v>
      </c>
      <c r="C1028" s="133">
        <v>5</v>
      </c>
      <c r="D1028" s="141">
        <f t="shared" si="36"/>
        <v>44140</v>
      </c>
      <c r="E1028" s="275">
        <f t="shared" si="37"/>
        <v>44140</v>
      </c>
      <c r="F1028" s="479" t="s">
        <v>217</v>
      </c>
      <c r="G1028" s="174" t="s">
        <v>94</v>
      </c>
      <c r="H1028" s="174" t="str" cm="1">
        <f t="array" ref="H1028">IFERROR(INDEX(INVESTOR_LIST[INVESTOR NAME],MATCH(I1028,INVESTOR_LIST[INVESTOR CODE],0),)," ")</f>
        <v xml:space="preserve"> </v>
      </c>
      <c r="I1028" s="148" t="s">
        <v>348</v>
      </c>
      <c r="J1028" s="149" t="s">
        <v>79</v>
      </c>
      <c r="K1028" s="218">
        <v>2634000</v>
      </c>
      <c r="L1028" s="218"/>
      <c r="M1028" s="147">
        <v>0</v>
      </c>
      <c r="Q1028" s="133" t="s">
        <v>348</v>
      </c>
    </row>
    <row r="1029" spans="1:17" x14ac:dyDescent="0.2">
      <c r="A1029" s="133">
        <v>2020</v>
      </c>
      <c r="B1029" s="133">
        <v>11</v>
      </c>
      <c r="C1029" s="133">
        <v>5</v>
      </c>
      <c r="D1029" s="141">
        <f t="shared" si="36"/>
        <v>44140</v>
      </c>
      <c r="E1029" s="275">
        <f t="shared" si="37"/>
        <v>44140</v>
      </c>
      <c r="F1029" s="481"/>
      <c r="G1029" s="174" t="s">
        <v>94</v>
      </c>
      <c r="H1029" s="174" t="str" cm="1">
        <f t="array" ref="H1029">IFERROR(INDEX(INVESTOR_LIST[INVESTOR NAME],MATCH(I1029,INVESTOR_LIST[INVESTOR CODE],0),)," ")</f>
        <v xml:space="preserve"> </v>
      </c>
      <c r="I1029" s="148" t="s">
        <v>348</v>
      </c>
      <c r="J1029" s="149" t="s">
        <v>80</v>
      </c>
      <c r="K1029" s="218">
        <f>4741.2+5771.02</f>
        <v>10512.220000000001</v>
      </c>
      <c r="L1029" s="218"/>
      <c r="M1029" s="147">
        <v>0</v>
      </c>
      <c r="Q1029" s="133" t="s">
        <v>348</v>
      </c>
    </row>
    <row r="1030" spans="1:17" x14ac:dyDescent="0.2">
      <c r="A1030" s="133">
        <v>2020</v>
      </c>
      <c r="B1030" s="133">
        <v>11</v>
      </c>
      <c r="C1030" s="133">
        <v>5</v>
      </c>
      <c r="D1030" s="141">
        <f t="shared" si="36"/>
        <v>44140</v>
      </c>
      <c r="E1030" s="275">
        <f t="shared" si="37"/>
        <v>44140</v>
      </c>
      <c r="F1030" s="481"/>
      <c r="G1030" s="174" t="s">
        <v>94</v>
      </c>
      <c r="H1030" s="174" t="str" cm="1">
        <f t="array" ref="H1030">IFERROR(INDEX(INVESTOR_LIST[INVESTOR NAME],MATCH(I1030,INVESTOR_LIST[INVESTOR CODE],0),)," ")</f>
        <v xml:space="preserve"> </v>
      </c>
      <c r="I1030" s="148" t="s">
        <v>348</v>
      </c>
      <c r="J1030" s="149" t="s">
        <v>190</v>
      </c>
      <c r="K1030" s="218">
        <v>561607.78</v>
      </c>
      <c r="L1030" s="218"/>
      <c r="M1030" s="147">
        <v>0</v>
      </c>
      <c r="Q1030" s="133" t="s">
        <v>348</v>
      </c>
    </row>
    <row r="1031" spans="1:17" x14ac:dyDescent="0.2">
      <c r="A1031" s="133">
        <v>2020</v>
      </c>
      <c r="B1031" s="133">
        <v>11</v>
      </c>
      <c r="C1031" s="133">
        <v>5</v>
      </c>
      <c r="D1031" s="141">
        <f t="shared" si="36"/>
        <v>44140</v>
      </c>
      <c r="E1031" s="275">
        <f t="shared" si="37"/>
        <v>44140</v>
      </c>
      <c r="F1031" s="481"/>
      <c r="G1031" s="174" t="s">
        <v>94</v>
      </c>
      <c r="H1031" s="174" t="str" cm="1">
        <f t="array" ref="H1031">IFERROR(INDEX(INVESTOR_LIST[INVESTOR NAME],MATCH(I1031,INVESTOR_LIST[INVESTOR CODE],0),)," ")</f>
        <v xml:space="preserve"> </v>
      </c>
      <c r="I1031" s="148" t="s">
        <v>348</v>
      </c>
      <c r="J1031" s="149" t="s">
        <v>79</v>
      </c>
      <c r="K1031" s="218"/>
      <c r="L1031" s="218">
        <v>2932940.44</v>
      </c>
      <c r="M1031" s="147">
        <v>1</v>
      </c>
      <c r="Q1031" s="133" t="s">
        <v>348</v>
      </c>
    </row>
    <row r="1032" spans="1:17" x14ac:dyDescent="0.2">
      <c r="A1032" s="163">
        <v>2020</v>
      </c>
      <c r="B1032" s="163">
        <v>11</v>
      </c>
      <c r="C1032" s="163">
        <v>5</v>
      </c>
      <c r="D1032" s="141">
        <f t="shared" si="36"/>
        <v>44140</v>
      </c>
      <c r="E1032" s="275">
        <f t="shared" si="37"/>
        <v>44140</v>
      </c>
      <c r="F1032" s="480"/>
      <c r="G1032" s="221" t="s">
        <v>94</v>
      </c>
      <c r="H1032" s="221" t="str" cm="1">
        <f t="array" ref="H1032">IFERROR(INDEX(INVESTOR_LIST[INVESTOR NAME],MATCH(I1032,INVESTOR_LIST[INVESTOR CODE],0),)," ")</f>
        <v xml:space="preserve"> </v>
      </c>
      <c r="I1032" s="145" t="s">
        <v>348</v>
      </c>
      <c r="J1032" s="146" t="s">
        <v>191</v>
      </c>
      <c r="K1032" s="219"/>
      <c r="L1032" s="219">
        <f>273179.56</f>
        <v>273179.56</v>
      </c>
      <c r="M1032" s="147">
        <v>0</v>
      </c>
      <c r="Q1032" s="133" t="s">
        <v>348</v>
      </c>
    </row>
    <row r="1033" spans="1:17" x14ac:dyDescent="0.2">
      <c r="A1033" s="238">
        <v>2020</v>
      </c>
      <c r="B1033" s="238">
        <v>11</v>
      </c>
      <c r="C1033" s="238">
        <v>5</v>
      </c>
      <c r="D1033" s="141">
        <f t="shared" si="36"/>
        <v>44140</v>
      </c>
      <c r="E1033" s="275">
        <f t="shared" si="37"/>
        <v>44140</v>
      </c>
      <c r="F1033" s="477" t="s">
        <v>105</v>
      </c>
      <c r="G1033" s="239" t="s">
        <v>94</v>
      </c>
      <c r="H1033" s="247" t="str" cm="1">
        <f t="array" ref="H1033">IFERROR(INDEX(INVESTOR_LIST[INVESTOR NAME],MATCH(I1033,INVESTOR_LIST[INVESTOR CODE],0),)," ")</f>
        <v xml:space="preserve"> </v>
      </c>
      <c r="I1033" s="248" t="s">
        <v>348</v>
      </c>
      <c r="J1033" s="249" t="s">
        <v>83</v>
      </c>
      <c r="K1033" s="252">
        <v>1219083.03</v>
      </c>
      <c r="L1033" s="252"/>
      <c r="M1033" s="147">
        <v>0</v>
      </c>
      <c r="Q1033" s="133" t="s">
        <v>348</v>
      </c>
    </row>
    <row r="1034" spans="1:17" x14ac:dyDescent="0.2">
      <c r="A1034" s="242">
        <v>2020</v>
      </c>
      <c r="B1034" s="242">
        <v>11</v>
      </c>
      <c r="C1034" s="242">
        <v>5</v>
      </c>
      <c r="D1034" s="141">
        <f t="shared" si="36"/>
        <v>44140</v>
      </c>
      <c r="E1034" s="275">
        <f t="shared" si="37"/>
        <v>44140</v>
      </c>
      <c r="F1034" s="478"/>
      <c r="G1034" s="243" t="s">
        <v>94</v>
      </c>
      <c r="H1034" s="243" t="str" cm="1">
        <f t="array" ref="H1034">IFERROR(INDEX(INVESTOR_LIST[INVESTOR NAME],MATCH(I1034,INVESTOR_LIST[INVESTOR CODE],0),)," ")</f>
        <v xml:space="preserve"> </v>
      </c>
      <c r="I1034" s="263" t="s">
        <v>348</v>
      </c>
      <c r="J1034" s="244" t="s">
        <v>108</v>
      </c>
      <c r="K1034" s="245"/>
      <c r="L1034" s="245">
        <v>1219083.03</v>
      </c>
      <c r="M1034" s="147">
        <v>0</v>
      </c>
      <c r="Q1034" s="133" t="s">
        <v>348</v>
      </c>
    </row>
    <row r="1035" spans="1:17" ht="22.5" x14ac:dyDescent="0.2">
      <c r="A1035" s="246">
        <v>2020</v>
      </c>
      <c r="B1035" s="246">
        <v>11</v>
      </c>
      <c r="C1035" s="246">
        <v>5</v>
      </c>
      <c r="D1035" s="141">
        <f t="shared" si="36"/>
        <v>44140</v>
      </c>
      <c r="E1035" s="275">
        <f t="shared" si="37"/>
        <v>44140</v>
      </c>
      <c r="F1035" s="477" t="s">
        <v>148</v>
      </c>
      <c r="G1035" s="247" t="s">
        <v>94</v>
      </c>
      <c r="H1035" s="247" t="str" cm="1">
        <f t="array" ref="H1035">IFERROR(INDEX(INVESTOR_LIST[INVESTOR NAME],MATCH(I1035,INVESTOR_LIST[INVESTOR CODE],0),)," ")</f>
        <v xml:space="preserve"> </v>
      </c>
      <c r="I1035" s="248" t="s">
        <v>348</v>
      </c>
      <c r="J1035" s="249" t="s">
        <v>95</v>
      </c>
      <c r="K1035" s="252">
        <v>2747.25</v>
      </c>
      <c r="L1035" s="252"/>
      <c r="M1035" s="147">
        <v>0</v>
      </c>
      <c r="N1035" s="160"/>
      <c r="Q1035" s="133" t="s">
        <v>348</v>
      </c>
    </row>
    <row r="1036" spans="1:17" x14ac:dyDescent="0.2">
      <c r="A1036" s="242">
        <v>2020</v>
      </c>
      <c r="B1036" s="242">
        <v>11</v>
      </c>
      <c r="C1036" s="242">
        <v>5</v>
      </c>
      <c r="D1036" s="141">
        <f t="shared" si="36"/>
        <v>44140</v>
      </c>
      <c r="E1036" s="275">
        <f t="shared" si="37"/>
        <v>44140</v>
      </c>
      <c r="F1036" s="478"/>
      <c r="G1036" s="243" t="s">
        <v>94</v>
      </c>
      <c r="H1036" s="243" t="str" cm="1">
        <f t="array" ref="H1036">IFERROR(INDEX(INVESTOR_LIST[INVESTOR NAME],MATCH(I1036,INVESTOR_LIST[INVESTOR CODE],0),)," ")</f>
        <v xml:space="preserve"> </v>
      </c>
      <c r="I1036" s="263" t="s">
        <v>348</v>
      </c>
      <c r="J1036" s="244" t="s">
        <v>63</v>
      </c>
      <c r="K1036" s="245"/>
      <c r="L1036" s="245">
        <v>2747.25</v>
      </c>
      <c r="M1036" s="147">
        <v>0</v>
      </c>
      <c r="Q1036" s="133" t="s">
        <v>348</v>
      </c>
    </row>
    <row r="1037" spans="1:17" x14ac:dyDescent="0.2">
      <c r="A1037" s="238">
        <v>2020</v>
      </c>
      <c r="B1037" s="238">
        <v>11</v>
      </c>
      <c r="C1037" s="238">
        <v>5</v>
      </c>
      <c r="D1037" s="141">
        <f t="shared" ref="D1037:D1100" si="38">DATE(A1037,B1037,C1037)</f>
        <v>44140</v>
      </c>
      <c r="E1037" s="275">
        <f t="shared" si="37"/>
        <v>44140</v>
      </c>
      <c r="F1037" s="477" t="s">
        <v>137</v>
      </c>
      <c r="G1037" s="239" t="s">
        <v>94</v>
      </c>
      <c r="H1037" s="247" t="str" cm="1">
        <f t="array" ref="H1037">IFERROR(INDEX(INVESTOR_LIST[INVESTOR NAME],MATCH(I1037,INVESTOR_LIST[INVESTOR CODE],0),)," ")</f>
        <v xml:space="preserve"> </v>
      </c>
      <c r="I1037" s="248" t="s">
        <v>348</v>
      </c>
      <c r="J1037" s="240" t="s">
        <v>97</v>
      </c>
      <c r="K1037" s="252">
        <v>42495.45</v>
      </c>
      <c r="L1037" s="252"/>
      <c r="M1037" s="147">
        <v>0</v>
      </c>
      <c r="Q1037" s="133" t="s">
        <v>348</v>
      </c>
    </row>
    <row r="1038" spans="1:17" x14ac:dyDescent="0.2">
      <c r="A1038" s="242">
        <v>2020</v>
      </c>
      <c r="B1038" s="242">
        <v>11</v>
      </c>
      <c r="C1038" s="242">
        <v>5</v>
      </c>
      <c r="D1038" s="141">
        <f t="shared" si="38"/>
        <v>44140</v>
      </c>
      <c r="E1038" s="275">
        <f t="shared" ref="E1038:E1101" si="39">DATE(A1038,B1038,C1038)</f>
        <v>44140</v>
      </c>
      <c r="F1038" s="478"/>
      <c r="G1038" s="243" t="s">
        <v>94</v>
      </c>
      <c r="H1038" s="243" t="str" cm="1">
        <f t="array" ref="H1038">IFERROR(INDEX(INVESTOR_LIST[INVESTOR NAME],MATCH(I1038,INVESTOR_LIST[INVESTOR CODE],0),)," ")</f>
        <v xml:space="preserve"> </v>
      </c>
      <c r="I1038" s="263" t="s">
        <v>348</v>
      </c>
      <c r="J1038" s="244" t="s">
        <v>47</v>
      </c>
      <c r="K1038" s="245"/>
      <c r="L1038" s="245">
        <v>42495.45</v>
      </c>
      <c r="M1038" s="147">
        <v>0</v>
      </c>
      <c r="N1038" s="156"/>
      <c r="Q1038" s="133" t="s">
        <v>348</v>
      </c>
    </row>
    <row r="1039" spans="1:17" x14ac:dyDescent="0.2">
      <c r="A1039" s="238">
        <v>2020</v>
      </c>
      <c r="B1039" s="238">
        <v>11</v>
      </c>
      <c r="C1039" s="238">
        <v>5</v>
      </c>
      <c r="D1039" s="141">
        <f t="shared" si="38"/>
        <v>44140</v>
      </c>
      <c r="E1039" s="275">
        <f t="shared" si="39"/>
        <v>44140</v>
      </c>
      <c r="F1039" s="477" t="s">
        <v>138</v>
      </c>
      <c r="G1039" s="239" t="s">
        <v>94</v>
      </c>
      <c r="H1039" s="247" t="str" cm="1">
        <f t="array" ref="H1039">IFERROR(INDEX(INVESTOR_LIST[INVESTOR NAME],MATCH(I1039,INVESTOR_LIST[INVESTOR CODE],0),)," ")</f>
        <v xml:space="preserve"> </v>
      </c>
      <c r="I1039" s="248" t="s">
        <v>348</v>
      </c>
      <c r="J1039" s="240" t="s">
        <v>100</v>
      </c>
      <c r="K1039" s="252">
        <v>1883.57</v>
      </c>
      <c r="L1039" s="252"/>
      <c r="M1039" s="147">
        <v>0</v>
      </c>
      <c r="Q1039" s="133" t="s">
        <v>348</v>
      </c>
    </row>
    <row r="1040" spans="1:17" x14ac:dyDescent="0.2">
      <c r="A1040" s="242">
        <v>2020</v>
      </c>
      <c r="B1040" s="242">
        <v>11</v>
      </c>
      <c r="C1040" s="242">
        <v>5</v>
      </c>
      <c r="D1040" s="141">
        <f t="shared" si="38"/>
        <v>44140</v>
      </c>
      <c r="E1040" s="275">
        <f t="shared" si="39"/>
        <v>44140</v>
      </c>
      <c r="F1040" s="478"/>
      <c r="G1040" s="243" t="s">
        <v>94</v>
      </c>
      <c r="H1040" s="243" t="str" cm="1">
        <f t="array" ref="H1040">IFERROR(INDEX(INVESTOR_LIST[INVESTOR NAME],MATCH(I1040,INVESTOR_LIST[INVESTOR CODE],0),)," ")</f>
        <v xml:space="preserve"> </v>
      </c>
      <c r="I1040" s="263" t="s">
        <v>348</v>
      </c>
      <c r="J1040" s="244" t="s">
        <v>48</v>
      </c>
      <c r="K1040" s="245"/>
      <c r="L1040" s="245">
        <v>1883.57</v>
      </c>
      <c r="M1040" s="147">
        <v>0</v>
      </c>
      <c r="Q1040" s="133" t="s">
        <v>348</v>
      </c>
    </row>
    <row r="1041" spans="1:17" x14ac:dyDescent="0.2">
      <c r="A1041" s="246">
        <v>2020</v>
      </c>
      <c r="B1041" s="246">
        <v>11</v>
      </c>
      <c r="C1041" s="246">
        <v>5</v>
      </c>
      <c r="D1041" s="141">
        <f t="shared" si="38"/>
        <v>44140</v>
      </c>
      <c r="E1041" s="275">
        <f t="shared" si="39"/>
        <v>44140</v>
      </c>
      <c r="F1041" s="477" t="s">
        <v>140</v>
      </c>
      <c r="G1041" s="247" t="s">
        <v>94</v>
      </c>
      <c r="H1041" s="247" t="str" cm="1">
        <f t="array" ref="H1041">IFERROR(INDEX(INVESTOR_LIST[INVESTOR NAME],MATCH(I1041,INVESTOR_LIST[INVESTOR CODE],0),)," ")</f>
        <v xml:space="preserve"> </v>
      </c>
      <c r="I1041" s="248" t="s">
        <v>348</v>
      </c>
      <c r="J1041" s="249" t="s">
        <v>103</v>
      </c>
      <c r="K1041" s="252">
        <v>729.17</v>
      </c>
      <c r="L1041" s="252"/>
      <c r="M1041" s="147">
        <v>0</v>
      </c>
      <c r="Q1041" s="133" t="s">
        <v>348</v>
      </c>
    </row>
    <row r="1042" spans="1:17" x14ac:dyDescent="0.2">
      <c r="A1042" s="242">
        <v>2020</v>
      </c>
      <c r="B1042" s="242">
        <v>11</v>
      </c>
      <c r="C1042" s="242">
        <v>5</v>
      </c>
      <c r="D1042" s="141">
        <f t="shared" si="38"/>
        <v>44140</v>
      </c>
      <c r="E1042" s="275">
        <f t="shared" si="39"/>
        <v>44140</v>
      </c>
      <c r="F1042" s="478"/>
      <c r="G1042" s="243" t="s">
        <v>94</v>
      </c>
      <c r="H1042" s="243" t="str" cm="1">
        <f t="array" ref="H1042">IFERROR(INDEX(INVESTOR_LIST[INVESTOR NAME],MATCH(I1042,INVESTOR_LIST[INVESTOR CODE],0),)," ")</f>
        <v xml:space="preserve"> </v>
      </c>
      <c r="I1042" s="263" t="s">
        <v>348</v>
      </c>
      <c r="J1042" s="244" t="s">
        <v>50</v>
      </c>
      <c r="K1042" s="245"/>
      <c r="L1042" s="245">
        <v>729.17</v>
      </c>
      <c r="M1042" s="147">
        <v>0</v>
      </c>
      <c r="Q1042" s="133" t="s">
        <v>348</v>
      </c>
    </row>
    <row r="1043" spans="1:17" x14ac:dyDescent="0.2">
      <c r="A1043" s="168">
        <v>2020</v>
      </c>
      <c r="B1043" s="168">
        <v>11</v>
      </c>
      <c r="C1043" s="168">
        <v>8</v>
      </c>
      <c r="D1043" s="141">
        <f t="shared" si="38"/>
        <v>44143</v>
      </c>
      <c r="E1043" s="275">
        <f t="shared" si="39"/>
        <v>44143</v>
      </c>
      <c r="F1043" s="479" t="s">
        <v>189</v>
      </c>
      <c r="G1043" s="220" t="s">
        <v>94</v>
      </c>
      <c r="H1043" s="220" t="str" cm="1">
        <f t="array" ref="H1043">IFERROR(INDEX(INVESTOR_LIST[INVESTOR NAME],MATCH(I1043,INVESTOR_LIST[INVESTOR CODE],0),)," ")</f>
        <v xml:space="preserve"> </v>
      </c>
      <c r="I1043" s="142" t="s">
        <v>348</v>
      </c>
      <c r="J1043" s="143" t="s">
        <v>190</v>
      </c>
      <c r="K1043" s="226">
        <v>1087555.67</v>
      </c>
      <c r="L1043" s="226"/>
      <c r="M1043" s="147">
        <v>0</v>
      </c>
      <c r="Q1043" s="133" t="s">
        <v>348</v>
      </c>
    </row>
    <row r="1044" spans="1:17" x14ac:dyDescent="0.2">
      <c r="A1044" s="133">
        <v>2020</v>
      </c>
      <c r="B1044" s="133">
        <v>11</v>
      </c>
      <c r="C1044" s="133">
        <v>8</v>
      </c>
      <c r="D1044" s="141">
        <f t="shared" si="38"/>
        <v>44143</v>
      </c>
      <c r="E1044" s="275">
        <f t="shared" si="39"/>
        <v>44143</v>
      </c>
      <c r="F1044" s="481"/>
      <c r="G1044" s="174" t="s">
        <v>94</v>
      </c>
      <c r="H1044" s="174" t="str" cm="1">
        <f t="array" ref="H1044">IFERROR(INDEX(INVESTOR_LIST[INVESTOR NAME],MATCH(I1044,INVESTOR_LIST[INVESTOR CODE],0),)," ")</f>
        <v xml:space="preserve"> </v>
      </c>
      <c r="I1044" s="148" t="s">
        <v>348</v>
      </c>
      <c r="J1044" s="149" t="s">
        <v>80</v>
      </c>
      <c r="K1044" s="218">
        <v>1961.13</v>
      </c>
      <c r="L1044" s="218"/>
      <c r="M1044" s="147">
        <v>1</v>
      </c>
      <c r="Q1044" s="133" t="s">
        <v>348</v>
      </c>
    </row>
    <row r="1045" spans="1:17" x14ac:dyDescent="0.2">
      <c r="A1045" s="133">
        <v>2020</v>
      </c>
      <c r="B1045" s="133">
        <v>11</v>
      </c>
      <c r="C1045" s="133">
        <v>8</v>
      </c>
      <c r="D1045" s="141">
        <f t="shared" si="38"/>
        <v>44143</v>
      </c>
      <c r="E1045" s="275">
        <f t="shared" si="39"/>
        <v>44143</v>
      </c>
      <c r="F1045" s="481"/>
      <c r="G1045" s="174" t="s">
        <v>94</v>
      </c>
      <c r="H1045" s="174" t="str" cm="1">
        <f t="array" ref="H1045">IFERROR(INDEX(INVESTOR_LIST[INVESTOR NAME],MATCH(I1045,INVESTOR_LIST[INVESTOR CODE],0),)," ")</f>
        <v xml:space="preserve"> </v>
      </c>
      <c r="I1045" s="148" t="s">
        <v>348</v>
      </c>
      <c r="J1045" s="149" t="s">
        <v>79</v>
      </c>
      <c r="K1045" s="218"/>
      <c r="L1045" s="218">
        <v>977646.81</v>
      </c>
      <c r="M1045" s="147">
        <v>0</v>
      </c>
      <c r="Q1045" s="133" t="s">
        <v>348</v>
      </c>
    </row>
    <row r="1046" spans="1:17" x14ac:dyDescent="0.2">
      <c r="A1046" s="163">
        <v>2020</v>
      </c>
      <c r="B1046" s="163">
        <v>11</v>
      </c>
      <c r="C1046" s="163">
        <v>8</v>
      </c>
      <c r="D1046" s="141">
        <f t="shared" si="38"/>
        <v>44143</v>
      </c>
      <c r="E1046" s="275">
        <f t="shared" si="39"/>
        <v>44143</v>
      </c>
      <c r="F1046" s="480"/>
      <c r="G1046" s="221" t="s">
        <v>94</v>
      </c>
      <c r="H1046" s="221" t="str" cm="1">
        <f t="array" ref="H1046">IFERROR(INDEX(INVESTOR_LIST[INVESTOR NAME],MATCH(I1046,INVESTOR_LIST[INVESTOR CODE],0),)," ")</f>
        <v xml:space="preserve"> </v>
      </c>
      <c r="I1046" s="145" t="s">
        <v>348</v>
      </c>
      <c r="J1046" s="146" t="s">
        <v>191</v>
      </c>
      <c r="K1046" s="219"/>
      <c r="L1046" s="219">
        <v>111869.99</v>
      </c>
      <c r="M1046" s="147">
        <v>0</v>
      </c>
      <c r="Q1046" s="133" t="s">
        <v>348</v>
      </c>
    </row>
    <row r="1047" spans="1:17" x14ac:dyDescent="0.2">
      <c r="A1047" s="133">
        <v>2020</v>
      </c>
      <c r="B1047" s="133">
        <v>11</v>
      </c>
      <c r="C1047" s="133">
        <v>8</v>
      </c>
      <c r="D1047" s="141">
        <f t="shared" si="38"/>
        <v>44143</v>
      </c>
      <c r="E1047" s="275">
        <f t="shared" si="39"/>
        <v>44143</v>
      </c>
      <c r="F1047" s="479" t="s">
        <v>254</v>
      </c>
      <c r="G1047" s="174" t="s">
        <v>74</v>
      </c>
      <c r="H1047" s="174" t="str" cm="1">
        <f t="array" ref="H1047">IFERROR(INDEX(INVESTOR_LIST[INVESTOR NAME],MATCH(I1047,INVESTOR_LIST[INVESTOR CODE],0),)," ")</f>
        <v xml:space="preserve"> </v>
      </c>
      <c r="I1047" s="148" t="s">
        <v>348</v>
      </c>
      <c r="J1047" s="149" t="s">
        <v>52</v>
      </c>
      <c r="K1047" s="218">
        <v>116500</v>
      </c>
      <c r="L1047" s="218"/>
      <c r="M1047" s="147">
        <v>0</v>
      </c>
      <c r="O1047" s="160"/>
      <c r="Q1047" s="133" t="s">
        <v>348</v>
      </c>
    </row>
    <row r="1048" spans="1:17" x14ac:dyDescent="0.2">
      <c r="A1048" s="133">
        <v>2020</v>
      </c>
      <c r="B1048" s="133">
        <v>11</v>
      </c>
      <c r="C1048" s="133">
        <v>8</v>
      </c>
      <c r="D1048" s="141">
        <f t="shared" si="38"/>
        <v>44143</v>
      </c>
      <c r="E1048" s="275">
        <f t="shared" si="39"/>
        <v>44143</v>
      </c>
      <c r="F1048" s="481"/>
      <c r="G1048" s="174" t="s">
        <v>74</v>
      </c>
      <c r="H1048" s="174" t="str" cm="1">
        <f t="array" ref="H1048">IFERROR(INDEX(INVESTOR_LIST[INVESTOR NAME],MATCH(I1048,INVESTOR_LIST[INVESTOR CODE],0),)," ")</f>
        <v xml:space="preserve"> </v>
      </c>
      <c r="I1048" s="148" t="s">
        <v>348</v>
      </c>
      <c r="J1048" s="149" t="s">
        <v>13</v>
      </c>
      <c r="K1048" s="218"/>
      <c r="L1048" s="218">
        <v>101220</v>
      </c>
      <c r="M1048" s="147">
        <v>0</v>
      </c>
      <c r="Q1048" s="133" t="s">
        <v>348</v>
      </c>
    </row>
    <row r="1049" spans="1:17" x14ac:dyDescent="0.2">
      <c r="A1049" s="163">
        <v>2020</v>
      </c>
      <c r="B1049" s="163">
        <v>11</v>
      </c>
      <c r="C1049" s="163">
        <v>8</v>
      </c>
      <c r="D1049" s="141">
        <f t="shared" si="38"/>
        <v>44143</v>
      </c>
      <c r="E1049" s="275">
        <f t="shared" si="39"/>
        <v>44143</v>
      </c>
      <c r="F1049" s="480"/>
      <c r="G1049" s="221" t="s">
        <v>74</v>
      </c>
      <c r="H1049" s="221" t="str" cm="1">
        <f t="array" ref="H1049">IFERROR(INDEX(INVESTOR_LIST[INVESTOR NAME],MATCH(I1049,INVESTOR_LIST[INVESTOR CODE],0),)," ")</f>
        <v xml:space="preserve"> </v>
      </c>
      <c r="I1049" s="145" t="s">
        <v>348</v>
      </c>
      <c r="J1049" s="146" t="s">
        <v>53</v>
      </c>
      <c r="K1049" s="219"/>
      <c r="L1049" s="219">
        <f>K1047-L1048</f>
        <v>15280</v>
      </c>
      <c r="M1049" s="147">
        <v>0</v>
      </c>
      <c r="Q1049" s="133" t="s">
        <v>348</v>
      </c>
    </row>
    <row r="1050" spans="1:17" ht="33.75" x14ac:dyDescent="0.2">
      <c r="A1050" s="133">
        <v>2020</v>
      </c>
      <c r="B1050" s="133">
        <v>11</v>
      </c>
      <c r="C1050" s="133">
        <v>8</v>
      </c>
      <c r="D1050" s="141">
        <f t="shared" si="38"/>
        <v>44143</v>
      </c>
      <c r="E1050" s="275">
        <f t="shared" si="39"/>
        <v>44143</v>
      </c>
      <c r="F1050" s="479" t="s">
        <v>964</v>
      </c>
      <c r="G1050" s="174" t="s">
        <v>74</v>
      </c>
      <c r="H1050" s="174" t="str" cm="1">
        <f t="array" ref="H1050">IFERROR(INDEX(INVESTOR_LIST[INVESTOR NAME],MATCH(I1050,INVESTOR_LIST[INVESTOR CODE],0),)," ")</f>
        <v>ASHIT BARAN SAHA</v>
      </c>
      <c r="I1050" s="148" t="s">
        <v>442</v>
      </c>
      <c r="J1050" s="149" t="s">
        <v>52</v>
      </c>
      <c r="K1050" s="218">
        <v>500000</v>
      </c>
      <c r="L1050" s="218"/>
      <c r="M1050" s="147">
        <v>0</v>
      </c>
      <c r="Q1050" s="133" t="s">
        <v>442</v>
      </c>
    </row>
    <row r="1051" spans="1:17" ht="33.75" x14ac:dyDescent="0.2">
      <c r="A1051" s="133">
        <v>2020</v>
      </c>
      <c r="B1051" s="133">
        <v>11</v>
      </c>
      <c r="C1051" s="133">
        <v>8</v>
      </c>
      <c r="D1051" s="141">
        <f t="shared" si="38"/>
        <v>44143</v>
      </c>
      <c r="E1051" s="275">
        <f t="shared" si="39"/>
        <v>44143</v>
      </c>
      <c r="F1051" s="481"/>
      <c r="G1051" s="174" t="s">
        <v>74</v>
      </c>
      <c r="H1051" s="174" t="str" cm="1">
        <f t="array" ref="H1051">IFERROR(INDEX(INVESTOR_LIST[INVESTOR NAME],MATCH(I1051,INVESTOR_LIST[INVESTOR CODE],0),)," ")</f>
        <v>ASHIT BARAN SAHA</v>
      </c>
      <c r="I1051" s="148" t="s">
        <v>442</v>
      </c>
      <c r="J1051" s="149" t="s">
        <v>13</v>
      </c>
      <c r="K1051" s="218"/>
      <c r="L1051" s="218">
        <v>437060</v>
      </c>
      <c r="M1051" s="147">
        <v>0</v>
      </c>
      <c r="Q1051" s="133" t="s">
        <v>442</v>
      </c>
    </row>
    <row r="1052" spans="1:17" ht="33.75" x14ac:dyDescent="0.2">
      <c r="A1052" s="163">
        <v>2020</v>
      </c>
      <c r="B1052" s="163">
        <v>11</v>
      </c>
      <c r="C1052" s="163">
        <v>8</v>
      </c>
      <c r="D1052" s="141">
        <f t="shared" si="38"/>
        <v>44143</v>
      </c>
      <c r="E1052" s="275">
        <f t="shared" si="39"/>
        <v>44143</v>
      </c>
      <c r="F1052" s="480"/>
      <c r="G1052" s="221" t="s">
        <v>74</v>
      </c>
      <c r="H1052" s="221" t="str" cm="1">
        <f t="array" ref="H1052">IFERROR(INDEX(INVESTOR_LIST[INVESTOR NAME],MATCH(I1052,INVESTOR_LIST[INVESTOR CODE],0),)," ")</f>
        <v>ASHIT BARAN SAHA</v>
      </c>
      <c r="I1052" s="145" t="s">
        <v>442</v>
      </c>
      <c r="J1052" s="146" t="s">
        <v>53</v>
      </c>
      <c r="K1052" s="219"/>
      <c r="L1052" s="219">
        <f>K1050-L1051</f>
        <v>62940</v>
      </c>
      <c r="M1052" s="147">
        <v>0</v>
      </c>
      <c r="Q1052" s="133" t="s">
        <v>442</v>
      </c>
    </row>
    <row r="1053" spans="1:17" x14ac:dyDescent="0.2">
      <c r="A1053" s="133">
        <v>2020</v>
      </c>
      <c r="B1053" s="133">
        <v>11</v>
      </c>
      <c r="C1053" s="133">
        <v>8</v>
      </c>
      <c r="D1053" s="141">
        <f t="shared" si="38"/>
        <v>44143</v>
      </c>
      <c r="E1053" s="275">
        <f t="shared" si="39"/>
        <v>44143</v>
      </c>
      <c r="F1053" s="479" t="s">
        <v>77</v>
      </c>
      <c r="G1053" s="174" t="s">
        <v>74</v>
      </c>
      <c r="H1053" s="174" t="str" cm="1">
        <f t="array" ref="H1053">IFERROR(INDEX(INVESTOR_LIST[INVESTOR NAME],MATCH(I1053,INVESTOR_LIST[INVESTOR CODE],0),)," ")</f>
        <v xml:space="preserve"> </v>
      </c>
      <c r="I1053" s="148" t="s">
        <v>348</v>
      </c>
      <c r="J1053" s="149" t="s">
        <v>61</v>
      </c>
      <c r="K1053" s="218">
        <v>576</v>
      </c>
      <c r="L1053" s="218"/>
      <c r="M1053" s="147">
        <v>0</v>
      </c>
      <c r="Q1053" s="133" t="s">
        <v>348</v>
      </c>
    </row>
    <row r="1054" spans="1:17" x14ac:dyDescent="0.2">
      <c r="A1054" s="163">
        <v>2020</v>
      </c>
      <c r="B1054" s="163">
        <v>11</v>
      </c>
      <c r="C1054" s="163">
        <v>8</v>
      </c>
      <c r="D1054" s="141">
        <f t="shared" si="38"/>
        <v>44143</v>
      </c>
      <c r="E1054" s="275">
        <f t="shared" si="39"/>
        <v>44143</v>
      </c>
      <c r="F1054" s="480"/>
      <c r="G1054" s="221" t="s">
        <v>74</v>
      </c>
      <c r="H1054" s="221" t="str" cm="1">
        <f t="array" ref="H1054">IFERROR(INDEX(INVESTOR_LIST[INVESTOR NAME],MATCH(I1054,INVESTOR_LIST[INVESTOR CODE],0),)," ")</f>
        <v xml:space="preserve"> </v>
      </c>
      <c r="I1054" s="145" t="s">
        <v>348</v>
      </c>
      <c r="J1054" s="146" t="s">
        <v>52</v>
      </c>
      <c r="K1054" s="219"/>
      <c r="L1054" s="219">
        <v>576</v>
      </c>
      <c r="M1054" s="147">
        <v>0</v>
      </c>
      <c r="Q1054" s="133" t="s">
        <v>348</v>
      </c>
    </row>
    <row r="1055" spans="1:17" x14ac:dyDescent="0.2">
      <c r="A1055" s="133">
        <v>2020</v>
      </c>
      <c r="B1055" s="133">
        <v>11</v>
      </c>
      <c r="C1055" s="133">
        <v>10</v>
      </c>
      <c r="D1055" s="141">
        <f t="shared" si="38"/>
        <v>44145</v>
      </c>
      <c r="E1055" s="275">
        <f t="shared" si="39"/>
        <v>44145</v>
      </c>
      <c r="F1055" s="479" t="s">
        <v>220</v>
      </c>
      <c r="G1055" s="174" t="s">
        <v>74</v>
      </c>
      <c r="H1055" s="174" t="str" cm="1">
        <f t="array" ref="H1055">IFERROR(INDEX(INVESTOR_LIST[INVESTOR NAME],MATCH(I1055,INVESTOR_LIST[INVESTOR CODE],0),)," ")</f>
        <v xml:space="preserve"> </v>
      </c>
      <c r="I1055" s="148" t="s">
        <v>348</v>
      </c>
      <c r="J1055" s="149" t="s">
        <v>52</v>
      </c>
      <c r="K1055" s="218">
        <v>633840.18999999994</v>
      </c>
      <c r="L1055" s="218"/>
      <c r="M1055" s="147">
        <v>0</v>
      </c>
      <c r="Q1055" s="133" t="s">
        <v>348</v>
      </c>
    </row>
    <row r="1056" spans="1:17" x14ac:dyDescent="0.2">
      <c r="A1056" s="163">
        <v>2020</v>
      </c>
      <c r="B1056" s="163">
        <v>11</v>
      </c>
      <c r="C1056" s="163">
        <v>10</v>
      </c>
      <c r="D1056" s="141">
        <f t="shared" si="38"/>
        <v>44145</v>
      </c>
      <c r="E1056" s="275">
        <f t="shared" si="39"/>
        <v>44145</v>
      </c>
      <c r="F1056" s="480"/>
      <c r="G1056" s="221" t="s">
        <v>74</v>
      </c>
      <c r="H1056" s="221" t="str" cm="1">
        <f t="array" ref="H1056">IFERROR(INDEX(INVESTOR_LIST[INVESTOR NAME],MATCH(I1056,INVESTOR_LIST[INVESTOR CODE],0),)," ")</f>
        <v xml:space="preserve"> </v>
      </c>
      <c r="I1056" s="145" t="s">
        <v>348</v>
      </c>
      <c r="J1056" s="146" t="s">
        <v>190</v>
      </c>
      <c r="K1056" s="219"/>
      <c r="L1056" s="219">
        <v>633840.18999999994</v>
      </c>
      <c r="M1056" s="147">
        <v>0</v>
      </c>
      <c r="Q1056" s="133" t="s">
        <v>348</v>
      </c>
    </row>
    <row r="1057" spans="1:17" x14ac:dyDescent="0.2">
      <c r="A1057" s="133">
        <v>2020</v>
      </c>
      <c r="B1057" s="133">
        <v>11</v>
      </c>
      <c r="C1057" s="133">
        <v>10</v>
      </c>
      <c r="D1057" s="141">
        <f t="shared" si="38"/>
        <v>44145</v>
      </c>
      <c r="E1057" s="275">
        <f t="shared" si="39"/>
        <v>44145</v>
      </c>
      <c r="F1057" s="479" t="s">
        <v>218</v>
      </c>
      <c r="G1057" s="174" t="s">
        <v>74</v>
      </c>
      <c r="H1057" s="174" t="str" cm="1">
        <f t="array" ref="H1057">IFERROR(INDEX(INVESTOR_LIST[INVESTOR NAME],MATCH(I1057,INVESTOR_LIST[INVESTOR CODE],0),)," ")</f>
        <v xml:space="preserve"> </v>
      </c>
      <c r="I1057" s="148" t="s">
        <v>348</v>
      </c>
      <c r="J1057" s="149" t="s">
        <v>52</v>
      </c>
      <c r="K1057" s="218">
        <v>561607.78</v>
      </c>
      <c r="L1057" s="218"/>
      <c r="M1057" s="147">
        <v>0</v>
      </c>
      <c r="Q1057" s="133" t="s">
        <v>348</v>
      </c>
    </row>
    <row r="1058" spans="1:17" x14ac:dyDescent="0.2">
      <c r="A1058" s="163">
        <v>2020</v>
      </c>
      <c r="B1058" s="163">
        <v>11</v>
      </c>
      <c r="C1058" s="163">
        <v>10</v>
      </c>
      <c r="D1058" s="141">
        <f t="shared" si="38"/>
        <v>44145</v>
      </c>
      <c r="E1058" s="275">
        <f t="shared" si="39"/>
        <v>44145</v>
      </c>
      <c r="F1058" s="480"/>
      <c r="G1058" s="221" t="s">
        <v>74</v>
      </c>
      <c r="H1058" s="221" t="str" cm="1">
        <f t="array" ref="H1058">IFERROR(INDEX(INVESTOR_LIST[INVESTOR NAME],MATCH(I1058,INVESTOR_LIST[INVESTOR CODE],0),)," ")</f>
        <v xml:space="preserve"> </v>
      </c>
      <c r="I1058" s="145" t="s">
        <v>348</v>
      </c>
      <c r="J1058" s="146" t="s">
        <v>190</v>
      </c>
      <c r="K1058" s="219"/>
      <c r="L1058" s="219">
        <v>561607.78</v>
      </c>
      <c r="M1058" s="147">
        <v>0</v>
      </c>
      <c r="Q1058" s="133" t="s">
        <v>348</v>
      </c>
    </row>
    <row r="1059" spans="1:17" x14ac:dyDescent="0.2">
      <c r="A1059" s="133">
        <v>2020</v>
      </c>
      <c r="B1059" s="133">
        <v>11</v>
      </c>
      <c r="C1059" s="133">
        <v>10</v>
      </c>
      <c r="D1059" s="141">
        <f t="shared" si="38"/>
        <v>44145</v>
      </c>
      <c r="E1059" s="275">
        <f t="shared" si="39"/>
        <v>44145</v>
      </c>
      <c r="F1059" s="479" t="s">
        <v>217</v>
      </c>
      <c r="G1059" s="174" t="s">
        <v>94</v>
      </c>
      <c r="H1059" s="174" t="str" cm="1">
        <f t="array" ref="H1059">IFERROR(INDEX(INVESTOR_LIST[INVESTOR NAME],MATCH(I1059,INVESTOR_LIST[INVESTOR CODE],0),)," ")</f>
        <v xml:space="preserve"> </v>
      </c>
      <c r="I1059" s="148" t="s">
        <v>348</v>
      </c>
      <c r="J1059" s="149" t="s">
        <v>79</v>
      </c>
      <c r="K1059" s="218">
        <v>892000</v>
      </c>
      <c r="L1059" s="218"/>
      <c r="M1059" s="147">
        <v>0</v>
      </c>
      <c r="Q1059" s="133" t="s">
        <v>348</v>
      </c>
    </row>
    <row r="1060" spans="1:17" x14ac:dyDescent="0.2">
      <c r="A1060" s="133">
        <v>2020</v>
      </c>
      <c r="B1060" s="133">
        <v>11</v>
      </c>
      <c r="C1060" s="133">
        <v>10</v>
      </c>
      <c r="D1060" s="141">
        <f t="shared" si="38"/>
        <v>44145</v>
      </c>
      <c r="E1060" s="275">
        <f t="shared" si="39"/>
        <v>44145</v>
      </c>
      <c r="F1060" s="481"/>
      <c r="G1060" s="174" t="s">
        <v>94</v>
      </c>
      <c r="H1060" s="174" t="str" cm="1">
        <f t="array" ref="H1060">IFERROR(INDEX(INVESTOR_LIST[INVESTOR NAME],MATCH(I1060,INVESTOR_LIST[INVESTOR CODE],0),)," ")</f>
        <v xml:space="preserve"> </v>
      </c>
      <c r="I1060" s="148" t="s">
        <v>348</v>
      </c>
      <c r="J1060" s="149" t="s">
        <v>80</v>
      </c>
      <c r="K1060" s="218">
        <f>1605.6+2030.22</f>
        <v>3635.8199999999997</v>
      </c>
      <c r="L1060" s="218"/>
      <c r="M1060" s="147">
        <v>0</v>
      </c>
      <c r="Q1060" s="133" t="s">
        <v>348</v>
      </c>
    </row>
    <row r="1061" spans="1:17" x14ac:dyDescent="0.2">
      <c r="A1061" s="133">
        <v>2020</v>
      </c>
      <c r="B1061" s="133">
        <v>11</v>
      </c>
      <c r="C1061" s="133">
        <v>10</v>
      </c>
      <c r="D1061" s="141">
        <f t="shared" si="38"/>
        <v>44145</v>
      </c>
      <c r="E1061" s="275">
        <f t="shared" si="39"/>
        <v>44145</v>
      </c>
      <c r="F1061" s="481"/>
      <c r="G1061" s="174" t="s">
        <v>94</v>
      </c>
      <c r="H1061" s="174" t="str" cm="1">
        <f t="array" ref="H1061">IFERROR(INDEX(INVESTOR_LIST[INVESTOR NAME],MATCH(I1061,INVESTOR_LIST[INVESTOR CODE],0),)," ")</f>
        <v xml:space="preserve"> </v>
      </c>
      <c r="I1061" s="148" t="s">
        <v>348</v>
      </c>
      <c r="J1061" s="149" t="s">
        <v>190</v>
      </c>
      <c r="K1061" s="218">
        <v>232264.18</v>
      </c>
      <c r="L1061" s="218"/>
      <c r="M1061" s="147">
        <v>0</v>
      </c>
      <c r="Q1061" s="133" t="s">
        <v>348</v>
      </c>
    </row>
    <row r="1062" spans="1:17" x14ac:dyDescent="0.2">
      <c r="A1062" s="133">
        <v>2020</v>
      </c>
      <c r="B1062" s="133">
        <v>11</v>
      </c>
      <c r="C1062" s="133">
        <v>10</v>
      </c>
      <c r="D1062" s="141">
        <f t="shared" si="38"/>
        <v>44145</v>
      </c>
      <c r="E1062" s="275">
        <f t="shared" si="39"/>
        <v>44145</v>
      </c>
      <c r="F1062" s="481"/>
      <c r="G1062" s="174" t="s">
        <v>94</v>
      </c>
      <c r="H1062" s="174" t="str" cm="1">
        <f t="array" ref="H1062">IFERROR(INDEX(INVESTOR_LIST[INVESTOR NAME],MATCH(I1062,INVESTOR_LIST[INVESTOR CODE],0),)," ")</f>
        <v xml:space="preserve"> </v>
      </c>
      <c r="I1062" s="148" t="s">
        <v>348</v>
      </c>
      <c r="J1062" s="149" t="s">
        <v>79</v>
      </c>
      <c r="K1062" s="218"/>
      <c r="L1062" s="218">
        <f>977646.81</f>
        <v>977646.81</v>
      </c>
      <c r="M1062" s="147">
        <v>0</v>
      </c>
      <c r="Q1062" s="133" t="s">
        <v>348</v>
      </c>
    </row>
    <row r="1063" spans="1:17" x14ac:dyDescent="0.2">
      <c r="A1063" s="163">
        <v>2020</v>
      </c>
      <c r="B1063" s="163">
        <v>11</v>
      </c>
      <c r="C1063" s="163">
        <v>10</v>
      </c>
      <c r="D1063" s="141">
        <f t="shared" si="38"/>
        <v>44145</v>
      </c>
      <c r="E1063" s="275">
        <f t="shared" si="39"/>
        <v>44145</v>
      </c>
      <c r="F1063" s="480"/>
      <c r="G1063" s="221" t="s">
        <v>94</v>
      </c>
      <c r="H1063" s="221" t="str" cm="1">
        <f t="array" ref="H1063">IFERROR(INDEX(INVESTOR_LIST[INVESTOR NAME],MATCH(I1063,INVESTOR_LIST[INVESTOR CODE],0),)," ")</f>
        <v xml:space="preserve"> </v>
      </c>
      <c r="I1063" s="145" t="s">
        <v>348</v>
      </c>
      <c r="J1063" s="146" t="s">
        <v>191</v>
      </c>
      <c r="K1063" s="219"/>
      <c r="L1063" s="219">
        <f>150253.19</f>
        <v>150253.19</v>
      </c>
      <c r="M1063" s="147">
        <v>0</v>
      </c>
      <c r="Q1063" s="133" t="s">
        <v>348</v>
      </c>
    </row>
    <row r="1064" spans="1:17" x14ac:dyDescent="0.2">
      <c r="A1064" s="133">
        <v>2020</v>
      </c>
      <c r="B1064" s="133">
        <v>11</v>
      </c>
      <c r="C1064" s="133">
        <v>11</v>
      </c>
      <c r="D1064" s="141">
        <f t="shared" si="38"/>
        <v>44146</v>
      </c>
      <c r="E1064" s="275">
        <f t="shared" si="39"/>
        <v>44146</v>
      </c>
      <c r="F1064" s="479" t="s">
        <v>221</v>
      </c>
      <c r="G1064" s="174" t="s">
        <v>74</v>
      </c>
      <c r="H1064" s="174" t="str" cm="1">
        <f t="array" ref="H1064">IFERROR(INDEX(INVESTOR_LIST[INVESTOR NAME],MATCH(I1064,INVESTOR_LIST[INVESTOR CODE],0),)," ")</f>
        <v xml:space="preserve"> </v>
      </c>
      <c r="I1064" s="148" t="s">
        <v>348</v>
      </c>
      <c r="J1064" s="149" t="s">
        <v>52</v>
      </c>
      <c r="K1064" s="218">
        <v>1087555.67</v>
      </c>
      <c r="L1064" s="218"/>
      <c r="M1064" s="147">
        <v>0</v>
      </c>
      <c r="Q1064" s="133" t="s">
        <v>348</v>
      </c>
    </row>
    <row r="1065" spans="1:17" x14ac:dyDescent="0.2">
      <c r="A1065" s="163">
        <v>2020</v>
      </c>
      <c r="B1065" s="163">
        <v>11</v>
      </c>
      <c r="C1065" s="163">
        <v>11</v>
      </c>
      <c r="D1065" s="141">
        <f t="shared" si="38"/>
        <v>44146</v>
      </c>
      <c r="E1065" s="275">
        <f t="shared" si="39"/>
        <v>44146</v>
      </c>
      <c r="F1065" s="480"/>
      <c r="G1065" s="221" t="s">
        <v>74</v>
      </c>
      <c r="H1065" s="221" t="str" cm="1">
        <f t="array" ref="H1065">IFERROR(INDEX(INVESTOR_LIST[INVESTOR NAME],MATCH(I1065,INVESTOR_LIST[INVESTOR CODE],0),)," ")</f>
        <v xml:space="preserve"> </v>
      </c>
      <c r="I1065" s="145" t="s">
        <v>348</v>
      </c>
      <c r="J1065" s="146" t="s">
        <v>190</v>
      </c>
      <c r="K1065" s="219"/>
      <c r="L1065" s="219">
        <v>1087555.67</v>
      </c>
      <c r="M1065" s="147">
        <v>0</v>
      </c>
      <c r="Q1065" s="133" t="s">
        <v>348</v>
      </c>
    </row>
    <row r="1066" spans="1:17" x14ac:dyDescent="0.2">
      <c r="A1066" s="133">
        <v>2020</v>
      </c>
      <c r="B1066" s="133">
        <v>11</v>
      </c>
      <c r="C1066" s="133">
        <v>11</v>
      </c>
      <c r="D1066" s="141">
        <f t="shared" si="38"/>
        <v>44146</v>
      </c>
      <c r="E1066" s="275">
        <f t="shared" si="39"/>
        <v>44146</v>
      </c>
      <c r="F1066" s="481" t="s">
        <v>219</v>
      </c>
      <c r="G1066" s="174" t="s">
        <v>74</v>
      </c>
      <c r="H1066" s="174" t="str" cm="1">
        <f t="array" ref="H1066">IFERROR(INDEX(INVESTOR_LIST[INVESTOR NAME],MATCH(I1066,INVESTOR_LIST[INVESTOR CODE],0),)," ")</f>
        <v xml:space="preserve"> </v>
      </c>
      <c r="I1066" s="148" t="s">
        <v>348</v>
      </c>
      <c r="J1066" s="149" t="s">
        <v>52</v>
      </c>
      <c r="K1066" s="218">
        <v>27500</v>
      </c>
      <c r="L1066" s="218"/>
      <c r="M1066" s="147">
        <v>1</v>
      </c>
      <c r="Q1066" s="133" t="s">
        <v>348</v>
      </c>
    </row>
    <row r="1067" spans="1:17" x14ac:dyDescent="0.2">
      <c r="A1067" s="133">
        <v>2020</v>
      </c>
      <c r="B1067" s="133">
        <v>11</v>
      </c>
      <c r="C1067" s="133">
        <v>11</v>
      </c>
      <c r="D1067" s="141">
        <f t="shared" si="38"/>
        <v>44146</v>
      </c>
      <c r="E1067" s="275">
        <f t="shared" si="39"/>
        <v>44146</v>
      </c>
      <c r="F1067" s="481"/>
      <c r="G1067" s="174" t="s">
        <v>74</v>
      </c>
      <c r="H1067" s="174" t="str" cm="1">
        <f t="array" ref="H1067">IFERROR(INDEX(INVESTOR_LIST[INVESTOR NAME],MATCH(I1067,INVESTOR_LIST[INVESTOR CODE],0),)," ")</f>
        <v xml:space="preserve"> </v>
      </c>
      <c r="I1067" s="148" t="s">
        <v>348</v>
      </c>
      <c r="J1067" s="149" t="s">
        <v>13</v>
      </c>
      <c r="K1067" s="218"/>
      <c r="L1067" s="218">
        <v>23890</v>
      </c>
      <c r="M1067" s="147">
        <v>0</v>
      </c>
      <c r="Q1067" s="133" t="s">
        <v>348</v>
      </c>
    </row>
    <row r="1068" spans="1:17" x14ac:dyDescent="0.2">
      <c r="A1068" s="163">
        <v>2020</v>
      </c>
      <c r="B1068" s="163">
        <v>11</v>
      </c>
      <c r="C1068" s="163">
        <v>11</v>
      </c>
      <c r="D1068" s="141">
        <f t="shared" si="38"/>
        <v>44146</v>
      </c>
      <c r="E1068" s="275">
        <f t="shared" si="39"/>
        <v>44146</v>
      </c>
      <c r="F1068" s="480"/>
      <c r="G1068" s="221" t="s">
        <v>74</v>
      </c>
      <c r="H1068" s="221" t="str" cm="1">
        <f t="array" ref="H1068">IFERROR(INDEX(INVESTOR_LIST[INVESTOR NAME],MATCH(I1068,INVESTOR_LIST[INVESTOR CODE],0),)," ")</f>
        <v xml:space="preserve"> </v>
      </c>
      <c r="I1068" s="145" t="s">
        <v>348</v>
      </c>
      <c r="J1068" s="146" t="s">
        <v>53</v>
      </c>
      <c r="K1068" s="219"/>
      <c r="L1068" s="219">
        <f>K1066-L1067</f>
        <v>3610</v>
      </c>
      <c r="M1068" s="147">
        <v>0</v>
      </c>
      <c r="Q1068" s="133" t="s">
        <v>348</v>
      </c>
    </row>
    <row r="1069" spans="1:17" x14ac:dyDescent="0.2">
      <c r="A1069" s="133">
        <v>2020</v>
      </c>
      <c r="B1069" s="133">
        <v>11</v>
      </c>
      <c r="C1069" s="133">
        <v>11</v>
      </c>
      <c r="D1069" s="141">
        <f t="shared" si="38"/>
        <v>44146</v>
      </c>
      <c r="E1069" s="275">
        <f t="shared" si="39"/>
        <v>44146</v>
      </c>
      <c r="F1069" s="479" t="s">
        <v>222</v>
      </c>
      <c r="G1069" s="174" t="s">
        <v>74</v>
      </c>
      <c r="H1069" s="174" t="str" cm="1">
        <f t="array" ref="H1069">IFERROR(INDEX(INVESTOR_LIST[INVESTOR NAME],MATCH(I1069,INVESTOR_LIST[INVESTOR CODE],0),)," ")</f>
        <v xml:space="preserve"> </v>
      </c>
      <c r="I1069" s="148" t="s">
        <v>348</v>
      </c>
      <c r="J1069" s="149" t="s">
        <v>184</v>
      </c>
      <c r="K1069" s="218">
        <v>1280000</v>
      </c>
      <c r="L1069" s="218"/>
      <c r="M1069" s="147">
        <v>0</v>
      </c>
      <c r="Q1069" s="133" t="s">
        <v>348</v>
      </c>
    </row>
    <row r="1070" spans="1:17" x14ac:dyDescent="0.2">
      <c r="A1070" s="133">
        <v>2020</v>
      </c>
      <c r="B1070" s="133">
        <v>11</v>
      </c>
      <c r="C1070" s="133">
        <v>11</v>
      </c>
      <c r="D1070" s="141">
        <f t="shared" si="38"/>
        <v>44146</v>
      </c>
      <c r="E1070" s="275">
        <f t="shared" si="39"/>
        <v>44146</v>
      </c>
      <c r="F1070" s="481"/>
      <c r="G1070" s="174" t="s">
        <v>74</v>
      </c>
      <c r="H1070" s="174" t="str" cm="1">
        <f t="array" ref="H1070">IFERROR(INDEX(INVESTOR_LIST[INVESTOR NAME],MATCH(I1070,INVESTOR_LIST[INVESTOR CODE],0),)," ")</f>
        <v xml:space="preserve"> </v>
      </c>
      <c r="I1070" s="148" t="s">
        <v>348</v>
      </c>
      <c r="J1070" s="149" t="s">
        <v>185</v>
      </c>
      <c r="K1070" s="218">
        <v>3000</v>
      </c>
      <c r="L1070" s="218"/>
      <c r="M1070" s="147">
        <v>0</v>
      </c>
      <c r="Q1070" s="133" t="s">
        <v>348</v>
      </c>
    </row>
    <row r="1071" spans="1:17" x14ac:dyDescent="0.2">
      <c r="A1071" s="133">
        <v>2020</v>
      </c>
      <c r="B1071" s="133">
        <v>11</v>
      </c>
      <c r="C1071" s="133">
        <v>11</v>
      </c>
      <c r="D1071" s="141">
        <f t="shared" si="38"/>
        <v>44146</v>
      </c>
      <c r="E1071" s="275">
        <f t="shared" si="39"/>
        <v>44146</v>
      </c>
      <c r="F1071" s="481"/>
      <c r="G1071" s="174" t="s">
        <v>74</v>
      </c>
      <c r="H1071" s="174" t="str" cm="1">
        <f t="array" ref="H1071">IFERROR(INDEX(INVESTOR_LIST[INVESTOR NAME],MATCH(I1071,INVESTOR_LIST[INVESTOR CODE],0),)," ")</f>
        <v xml:space="preserve"> </v>
      </c>
      <c r="I1071" s="148" t="s">
        <v>348</v>
      </c>
      <c r="J1071" s="149" t="s">
        <v>61</v>
      </c>
      <c r="K1071" s="218">
        <v>115</v>
      </c>
      <c r="L1071" s="218"/>
      <c r="M1071" s="147">
        <v>0</v>
      </c>
      <c r="Q1071" s="133" t="s">
        <v>348</v>
      </c>
    </row>
    <row r="1072" spans="1:17" x14ac:dyDescent="0.2">
      <c r="A1072" s="163">
        <v>2020</v>
      </c>
      <c r="B1072" s="163">
        <v>11</v>
      </c>
      <c r="C1072" s="163">
        <v>11</v>
      </c>
      <c r="D1072" s="141">
        <f t="shared" si="38"/>
        <v>44146</v>
      </c>
      <c r="E1072" s="275">
        <f t="shared" si="39"/>
        <v>44146</v>
      </c>
      <c r="F1072" s="480"/>
      <c r="G1072" s="221" t="s">
        <v>74</v>
      </c>
      <c r="H1072" s="221" t="str" cm="1">
        <f t="array" ref="H1072">IFERROR(INDEX(INVESTOR_LIST[INVESTOR NAME],MATCH(I1072,INVESTOR_LIST[INVESTOR CODE],0),)," ")</f>
        <v xml:space="preserve"> </v>
      </c>
      <c r="I1072" s="145" t="s">
        <v>348</v>
      </c>
      <c r="J1072" s="146" t="s">
        <v>52</v>
      </c>
      <c r="K1072" s="219"/>
      <c r="L1072" s="219">
        <v>1283115</v>
      </c>
      <c r="M1072" s="147">
        <v>0</v>
      </c>
      <c r="Q1072" s="133" t="s">
        <v>348</v>
      </c>
    </row>
    <row r="1073" spans="1:17" ht="22.5" x14ac:dyDescent="0.2">
      <c r="A1073" s="133">
        <v>2020</v>
      </c>
      <c r="B1073" s="133">
        <v>11</v>
      </c>
      <c r="C1073" s="133">
        <v>12</v>
      </c>
      <c r="D1073" s="141">
        <f t="shared" si="38"/>
        <v>44147</v>
      </c>
      <c r="E1073" s="275">
        <f t="shared" si="39"/>
        <v>44147</v>
      </c>
      <c r="F1073" s="479" t="s">
        <v>964</v>
      </c>
      <c r="G1073" s="174" t="s">
        <v>74</v>
      </c>
      <c r="H1073" s="174" t="str" cm="1">
        <f t="array" ref="H1073">IFERROR(INDEX(INVESTOR_LIST[INVESTOR NAME],MATCH(I1073,INVESTOR_LIST[INVESTOR CODE],0),)," ")</f>
        <v>ARIFUR RAHMAN</v>
      </c>
      <c r="I1073" s="148" t="s">
        <v>469</v>
      </c>
      <c r="J1073" s="149" t="s">
        <v>52</v>
      </c>
      <c r="K1073" s="218">
        <v>50000</v>
      </c>
      <c r="L1073" s="218"/>
      <c r="M1073" s="147">
        <v>0</v>
      </c>
      <c r="Q1073" s="133" t="s">
        <v>469</v>
      </c>
    </row>
    <row r="1074" spans="1:17" ht="22.5" x14ac:dyDescent="0.2">
      <c r="A1074" s="133">
        <v>2020</v>
      </c>
      <c r="B1074" s="133">
        <v>11</v>
      </c>
      <c r="C1074" s="133">
        <v>12</v>
      </c>
      <c r="D1074" s="141">
        <f t="shared" si="38"/>
        <v>44147</v>
      </c>
      <c r="E1074" s="275">
        <f t="shared" si="39"/>
        <v>44147</v>
      </c>
      <c r="F1074" s="481"/>
      <c r="G1074" s="174" t="s">
        <v>74</v>
      </c>
      <c r="H1074" s="174" t="str" cm="1">
        <f t="array" ref="H1074">IFERROR(INDEX(INVESTOR_LIST[INVESTOR NAME],MATCH(I1074,INVESTOR_LIST[INVESTOR CODE],0),)," ")</f>
        <v>ARIFUR RAHMAN</v>
      </c>
      <c r="I1074" s="148" t="s">
        <v>469</v>
      </c>
      <c r="J1074" s="149" t="s">
        <v>13</v>
      </c>
      <c r="K1074" s="218"/>
      <c r="L1074" s="218">
        <v>43440</v>
      </c>
      <c r="M1074" s="147">
        <v>0</v>
      </c>
      <c r="Q1074" s="133" t="s">
        <v>469</v>
      </c>
    </row>
    <row r="1075" spans="1:17" ht="22.5" x14ac:dyDescent="0.2">
      <c r="A1075" s="163">
        <v>2020</v>
      </c>
      <c r="B1075" s="163">
        <v>11</v>
      </c>
      <c r="C1075" s="163">
        <v>12</v>
      </c>
      <c r="D1075" s="141">
        <f t="shared" si="38"/>
        <v>44147</v>
      </c>
      <c r="E1075" s="275">
        <f t="shared" si="39"/>
        <v>44147</v>
      </c>
      <c r="F1075" s="480"/>
      <c r="G1075" s="221" t="s">
        <v>74</v>
      </c>
      <c r="H1075" s="221" t="str" cm="1">
        <f t="array" ref="H1075">IFERROR(INDEX(INVESTOR_LIST[INVESTOR NAME],MATCH(I1075,INVESTOR_LIST[INVESTOR CODE],0),)," ")</f>
        <v>ARIFUR RAHMAN</v>
      </c>
      <c r="I1075" s="145" t="s">
        <v>469</v>
      </c>
      <c r="J1075" s="146" t="s">
        <v>53</v>
      </c>
      <c r="K1075" s="219"/>
      <c r="L1075" s="219">
        <f>K1073-L1074</f>
        <v>6560</v>
      </c>
      <c r="M1075" s="147">
        <v>0</v>
      </c>
      <c r="Q1075" s="133" t="s">
        <v>469</v>
      </c>
    </row>
    <row r="1076" spans="1:17" ht="11.25" customHeight="1" x14ac:dyDescent="0.2">
      <c r="A1076" s="133">
        <v>2020</v>
      </c>
      <c r="B1076" s="133">
        <v>11</v>
      </c>
      <c r="C1076" s="133">
        <v>12</v>
      </c>
      <c r="D1076" s="141">
        <f t="shared" si="38"/>
        <v>44147</v>
      </c>
      <c r="E1076" s="275">
        <f t="shared" si="39"/>
        <v>44147</v>
      </c>
      <c r="F1076" s="479" t="s">
        <v>254</v>
      </c>
      <c r="G1076" s="174" t="s">
        <v>74</v>
      </c>
      <c r="H1076" s="174" t="str" cm="1">
        <f t="array" ref="H1076">IFERROR(INDEX(INVESTOR_LIST[INVESTOR NAME],MATCH(I1076,INVESTOR_LIST[INVESTOR CODE],0),)," ")</f>
        <v xml:space="preserve"> </v>
      </c>
      <c r="I1076" s="148" t="s">
        <v>348</v>
      </c>
      <c r="J1076" s="149" t="s">
        <v>52</v>
      </c>
      <c r="K1076" s="218">
        <v>2000</v>
      </c>
      <c r="L1076" s="218"/>
      <c r="M1076" s="147">
        <v>0</v>
      </c>
      <c r="Q1076" s="133" t="s">
        <v>348</v>
      </c>
    </row>
    <row r="1077" spans="1:17" x14ac:dyDescent="0.2">
      <c r="A1077" s="133">
        <v>2020</v>
      </c>
      <c r="B1077" s="133">
        <v>11</v>
      </c>
      <c r="C1077" s="133">
        <v>12</v>
      </c>
      <c r="D1077" s="141">
        <f t="shared" si="38"/>
        <v>44147</v>
      </c>
      <c r="E1077" s="275">
        <f t="shared" si="39"/>
        <v>44147</v>
      </c>
      <c r="F1077" s="481"/>
      <c r="G1077" s="174" t="s">
        <v>74</v>
      </c>
      <c r="H1077" s="174" t="str" cm="1">
        <f t="array" ref="H1077">IFERROR(INDEX(INVESTOR_LIST[INVESTOR NAME],MATCH(I1077,INVESTOR_LIST[INVESTOR CODE],0),)," ")</f>
        <v xml:space="preserve"> </v>
      </c>
      <c r="I1077" s="148" t="s">
        <v>348</v>
      </c>
      <c r="J1077" s="149" t="s">
        <v>13</v>
      </c>
      <c r="K1077" s="218"/>
      <c r="L1077" s="218">
        <v>1740</v>
      </c>
      <c r="M1077" s="147">
        <v>0</v>
      </c>
      <c r="Q1077" s="133" t="s">
        <v>348</v>
      </c>
    </row>
    <row r="1078" spans="1:17" x14ac:dyDescent="0.2">
      <c r="A1078" s="163">
        <v>2020</v>
      </c>
      <c r="B1078" s="163">
        <v>11</v>
      </c>
      <c r="C1078" s="163">
        <v>12</v>
      </c>
      <c r="D1078" s="141">
        <f t="shared" si="38"/>
        <v>44147</v>
      </c>
      <c r="E1078" s="275">
        <f t="shared" si="39"/>
        <v>44147</v>
      </c>
      <c r="F1078" s="480"/>
      <c r="G1078" s="221" t="s">
        <v>74</v>
      </c>
      <c r="H1078" s="221" t="str" cm="1">
        <f t="array" ref="H1078">IFERROR(INDEX(INVESTOR_LIST[INVESTOR NAME],MATCH(I1078,INVESTOR_LIST[INVESTOR CODE],0),)," ")</f>
        <v xml:space="preserve"> </v>
      </c>
      <c r="I1078" s="145" t="s">
        <v>348</v>
      </c>
      <c r="J1078" s="146" t="s">
        <v>53</v>
      </c>
      <c r="K1078" s="219"/>
      <c r="L1078" s="219">
        <v>260</v>
      </c>
      <c r="M1078" s="147">
        <v>0</v>
      </c>
      <c r="Q1078" s="133" t="s">
        <v>348</v>
      </c>
    </row>
    <row r="1079" spans="1:17" x14ac:dyDescent="0.2">
      <c r="A1079" s="133">
        <v>2020</v>
      </c>
      <c r="B1079" s="133">
        <v>11</v>
      </c>
      <c r="C1079" s="133">
        <v>12</v>
      </c>
      <c r="D1079" s="141">
        <f t="shared" si="38"/>
        <v>44147</v>
      </c>
      <c r="E1079" s="275">
        <f t="shared" si="39"/>
        <v>44147</v>
      </c>
      <c r="F1079" s="479" t="s">
        <v>238</v>
      </c>
      <c r="G1079" s="174" t="s">
        <v>74</v>
      </c>
      <c r="H1079" s="174" t="str" cm="1">
        <f t="array" ref="H1079">IFERROR(INDEX(INVESTOR_LIST[INVESTOR NAME],MATCH(I1079,INVESTOR_LIST[INVESTOR CODE],0),)," ")</f>
        <v xml:space="preserve"> </v>
      </c>
      <c r="I1079" s="148" t="s">
        <v>348</v>
      </c>
      <c r="J1079" s="149" t="s">
        <v>52</v>
      </c>
      <c r="K1079" s="218">
        <v>2800</v>
      </c>
      <c r="L1079" s="218"/>
      <c r="M1079" s="147">
        <v>0</v>
      </c>
      <c r="Q1079" s="133" t="s">
        <v>348</v>
      </c>
    </row>
    <row r="1080" spans="1:17" x14ac:dyDescent="0.2">
      <c r="A1080" s="133">
        <v>2020</v>
      </c>
      <c r="B1080" s="133">
        <v>11</v>
      </c>
      <c r="C1080" s="133">
        <v>12</v>
      </c>
      <c r="D1080" s="141">
        <f t="shared" si="38"/>
        <v>44147</v>
      </c>
      <c r="E1080" s="275">
        <f t="shared" si="39"/>
        <v>44147</v>
      </c>
      <c r="F1080" s="481"/>
      <c r="G1080" s="174" t="s">
        <v>74</v>
      </c>
      <c r="H1080" s="174" t="str" cm="1">
        <f t="array" ref="H1080">IFERROR(INDEX(INVESTOR_LIST[INVESTOR NAME],MATCH(I1080,INVESTOR_LIST[INVESTOR CODE],0),)," ")</f>
        <v xml:space="preserve"> </v>
      </c>
      <c r="I1080" s="148" t="s">
        <v>348</v>
      </c>
      <c r="J1080" s="149" t="s">
        <v>79</v>
      </c>
      <c r="K1080" s="218">
        <v>4507200</v>
      </c>
      <c r="L1080" s="218"/>
      <c r="M1080" s="147">
        <v>0</v>
      </c>
      <c r="Q1080" s="133" t="s">
        <v>348</v>
      </c>
    </row>
    <row r="1081" spans="1:17" x14ac:dyDescent="0.2">
      <c r="A1081" s="163">
        <v>2020</v>
      </c>
      <c r="B1081" s="163">
        <v>11</v>
      </c>
      <c r="C1081" s="163">
        <v>12</v>
      </c>
      <c r="D1081" s="141">
        <f t="shared" si="38"/>
        <v>44147</v>
      </c>
      <c r="E1081" s="275">
        <f t="shared" si="39"/>
        <v>44147</v>
      </c>
      <c r="F1081" s="480"/>
      <c r="G1081" s="221" t="s">
        <v>74</v>
      </c>
      <c r="H1081" s="221" t="str" cm="1">
        <f t="array" ref="H1081">IFERROR(INDEX(INVESTOR_LIST[INVESTOR NAME],MATCH(I1081,INVESTOR_LIST[INVESTOR CODE],0),)," ")</f>
        <v xml:space="preserve"> </v>
      </c>
      <c r="I1081" s="145" t="s">
        <v>348</v>
      </c>
      <c r="J1081" s="146" t="s">
        <v>184</v>
      </c>
      <c r="K1081" s="219"/>
      <c r="L1081" s="219">
        <v>4510000</v>
      </c>
      <c r="M1081" s="147">
        <v>0</v>
      </c>
      <c r="Q1081" s="133" t="s">
        <v>348</v>
      </c>
    </row>
    <row r="1082" spans="1:17" x14ac:dyDescent="0.2">
      <c r="A1082" s="246">
        <v>2020</v>
      </c>
      <c r="B1082" s="246">
        <v>11</v>
      </c>
      <c r="C1082" s="246">
        <v>12</v>
      </c>
      <c r="D1082" s="141">
        <f t="shared" si="38"/>
        <v>44147</v>
      </c>
      <c r="E1082" s="275">
        <f t="shared" si="39"/>
        <v>44147</v>
      </c>
      <c r="F1082" s="477" t="s">
        <v>105</v>
      </c>
      <c r="G1082" s="247" t="s">
        <v>94</v>
      </c>
      <c r="H1082" s="247" t="str" cm="1">
        <f t="array" ref="H1082">IFERROR(INDEX(INVESTOR_LIST[INVESTOR NAME],MATCH(I1082,INVESTOR_LIST[INVESTOR CODE],0),)," ")</f>
        <v xml:space="preserve"> </v>
      </c>
      <c r="I1082" s="248" t="s">
        <v>348</v>
      </c>
      <c r="J1082" s="249" t="s">
        <v>83</v>
      </c>
      <c r="K1082" s="252">
        <v>65000.001849533059</v>
      </c>
      <c r="L1082" s="252"/>
      <c r="M1082" s="147">
        <v>0</v>
      </c>
      <c r="Q1082" s="133" t="s">
        <v>348</v>
      </c>
    </row>
    <row r="1083" spans="1:17" x14ac:dyDescent="0.2">
      <c r="A1083" s="242">
        <v>2020</v>
      </c>
      <c r="B1083" s="242">
        <v>11</v>
      </c>
      <c r="C1083" s="242">
        <v>12</v>
      </c>
      <c r="D1083" s="141">
        <f t="shared" si="38"/>
        <v>44147</v>
      </c>
      <c r="E1083" s="275">
        <f t="shared" si="39"/>
        <v>44147</v>
      </c>
      <c r="F1083" s="478"/>
      <c r="G1083" s="243" t="s">
        <v>94</v>
      </c>
      <c r="H1083" s="243" t="str" cm="1">
        <f t="array" ref="H1083">IFERROR(INDEX(INVESTOR_LIST[INVESTOR NAME],MATCH(I1083,INVESTOR_LIST[INVESTOR CODE],0),)," ")</f>
        <v xml:space="preserve"> </v>
      </c>
      <c r="I1083" s="263" t="s">
        <v>348</v>
      </c>
      <c r="J1083" s="244" t="s">
        <v>108</v>
      </c>
      <c r="K1083" s="245"/>
      <c r="L1083" s="245">
        <v>65000.001849533059</v>
      </c>
      <c r="M1083" s="147">
        <v>0</v>
      </c>
      <c r="Q1083" s="133" t="s">
        <v>348</v>
      </c>
    </row>
    <row r="1084" spans="1:17" ht="22.5" x14ac:dyDescent="0.2">
      <c r="A1084" s="246">
        <v>2020</v>
      </c>
      <c r="B1084" s="246">
        <v>11</v>
      </c>
      <c r="C1084" s="246">
        <v>12</v>
      </c>
      <c r="D1084" s="141">
        <f t="shared" si="38"/>
        <v>44147</v>
      </c>
      <c r="E1084" s="275">
        <f t="shared" si="39"/>
        <v>44147</v>
      </c>
      <c r="F1084" s="477" t="s">
        <v>148</v>
      </c>
      <c r="G1084" s="247" t="s">
        <v>94</v>
      </c>
      <c r="H1084" s="247" t="str" cm="1">
        <f t="array" ref="H1084">IFERROR(INDEX(INVESTOR_LIST[INVESTOR NAME],MATCH(I1084,INVESTOR_LIST[INVESTOR CODE],0),)," ")</f>
        <v xml:space="preserve"> </v>
      </c>
      <c r="I1084" s="248" t="s">
        <v>348</v>
      </c>
      <c r="J1084" s="249" t="s">
        <v>95</v>
      </c>
      <c r="K1084" s="252">
        <v>2747.25</v>
      </c>
      <c r="L1084" s="252"/>
      <c r="M1084" s="147">
        <v>0</v>
      </c>
      <c r="Q1084" s="133" t="s">
        <v>348</v>
      </c>
    </row>
    <row r="1085" spans="1:17" x14ac:dyDescent="0.2">
      <c r="A1085" s="242">
        <v>2020</v>
      </c>
      <c r="B1085" s="242">
        <v>11</v>
      </c>
      <c r="C1085" s="242">
        <v>12</v>
      </c>
      <c r="D1085" s="141">
        <f t="shared" si="38"/>
        <v>44147</v>
      </c>
      <c r="E1085" s="275">
        <f t="shared" si="39"/>
        <v>44147</v>
      </c>
      <c r="F1085" s="478"/>
      <c r="G1085" s="243" t="s">
        <v>94</v>
      </c>
      <c r="H1085" s="243" t="str" cm="1">
        <f t="array" ref="H1085">IFERROR(INDEX(INVESTOR_LIST[INVESTOR NAME],MATCH(I1085,INVESTOR_LIST[INVESTOR CODE],0),)," ")</f>
        <v xml:space="preserve"> </v>
      </c>
      <c r="I1085" s="263" t="s">
        <v>348</v>
      </c>
      <c r="J1085" s="244" t="s">
        <v>63</v>
      </c>
      <c r="K1085" s="245"/>
      <c r="L1085" s="245">
        <v>2747.25</v>
      </c>
      <c r="M1085" s="147">
        <v>0</v>
      </c>
      <c r="Q1085" s="133" t="s">
        <v>348</v>
      </c>
    </row>
    <row r="1086" spans="1:17" x14ac:dyDescent="0.2">
      <c r="A1086" s="238">
        <v>2020</v>
      </c>
      <c r="B1086" s="238">
        <v>11</v>
      </c>
      <c r="C1086" s="238">
        <v>12</v>
      </c>
      <c r="D1086" s="141">
        <f t="shared" si="38"/>
        <v>44147</v>
      </c>
      <c r="E1086" s="275">
        <f t="shared" si="39"/>
        <v>44147</v>
      </c>
      <c r="F1086" s="477" t="s">
        <v>137</v>
      </c>
      <c r="G1086" s="239" t="s">
        <v>94</v>
      </c>
      <c r="H1086" s="247" t="str" cm="1">
        <f t="array" ref="H1086">IFERROR(INDEX(INVESTOR_LIST[INVESTOR NAME],MATCH(I1086,INVESTOR_LIST[INVESTOR CODE],0),)," ")</f>
        <v xml:space="preserve"> </v>
      </c>
      <c r="I1086" s="248" t="s">
        <v>348</v>
      </c>
      <c r="J1086" s="240" t="s">
        <v>97</v>
      </c>
      <c r="K1086" s="252">
        <v>42794</v>
      </c>
      <c r="L1086" s="252"/>
      <c r="M1086" s="147">
        <v>0</v>
      </c>
      <c r="Q1086" s="133" t="s">
        <v>348</v>
      </c>
    </row>
    <row r="1087" spans="1:17" x14ac:dyDescent="0.2">
      <c r="A1087" s="242">
        <v>2020</v>
      </c>
      <c r="B1087" s="242">
        <v>11</v>
      </c>
      <c r="C1087" s="242">
        <v>12</v>
      </c>
      <c r="D1087" s="141">
        <f t="shared" si="38"/>
        <v>44147</v>
      </c>
      <c r="E1087" s="275">
        <f t="shared" si="39"/>
        <v>44147</v>
      </c>
      <c r="F1087" s="478"/>
      <c r="G1087" s="243" t="s">
        <v>94</v>
      </c>
      <c r="H1087" s="243" t="str" cm="1">
        <f t="array" ref="H1087">IFERROR(INDEX(INVESTOR_LIST[INVESTOR NAME],MATCH(I1087,INVESTOR_LIST[INVESTOR CODE],0),)," ")</f>
        <v xml:space="preserve"> </v>
      </c>
      <c r="I1087" s="263" t="s">
        <v>348</v>
      </c>
      <c r="J1087" s="244" t="s">
        <v>47</v>
      </c>
      <c r="K1087" s="245"/>
      <c r="L1087" s="245">
        <v>42794</v>
      </c>
      <c r="M1087" s="147">
        <v>4</v>
      </c>
      <c r="Q1087" s="133" t="s">
        <v>348</v>
      </c>
    </row>
    <row r="1088" spans="1:17" x14ac:dyDescent="0.2">
      <c r="A1088" s="238">
        <v>2020</v>
      </c>
      <c r="B1088" s="238">
        <v>11</v>
      </c>
      <c r="C1088" s="238">
        <v>12</v>
      </c>
      <c r="D1088" s="141">
        <f t="shared" si="38"/>
        <v>44147</v>
      </c>
      <c r="E1088" s="275">
        <f t="shared" si="39"/>
        <v>44147</v>
      </c>
      <c r="F1088" s="477" t="s">
        <v>138</v>
      </c>
      <c r="G1088" s="239" t="s">
        <v>94</v>
      </c>
      <c r="H1088" s="247" t="str" cm="1">
        <f t="array" ref="H1088">IFERROR(INDEX(INVESTOR_LIST[INVESTOR NAME],MATCH(I1088,INVESTOR_LIST[INVESTOR CODE],0),)," ")</f>
        <v xml:space="preserve"> </v>
      </c>
      <c r="I1088" s="248" t="s">
        <v>348</v>
      </c>
      <c r="J1088" s="240" t="s">
        <v>100</v>
      </c>
      <c r="K1088" s="252">
        <v>1899.31</v>
      </c>
      <c r="L1088" s="252"/>
      <c r="M1088" s="147">
        <v>0</v>
      </c>
      <c r="Q1088" s="133" t="s">
        <v>348</v>
      </c>
    </row>
    <row r="1089" spans="1:17" x14ac:dyDescent="0.2">
      <c r="A1089" s="242">
        <v>2020</v>
      </c>
      <c r="B1089" s="242">
        <v>11</v>
      </c>
      <c r="C1089" s="242">
        <v>12</v>
      </c>
      <c r="D1089" s="141">
        <f t="shared" si="38"/>
        <v>44147</v>
      </c>
      <c r="E1089" s="275">
        <f t="shared" si="39"/>
        <v>44147</v>
      </c>
      <c r="F1089" s="478"/>
      <c r="G1089" s="243" t="s">
        <v>94</v>
      </c>
      <c r="H1089" s="243" t="str" cm="1">
        <f t="array" ref="H1089">IFERROR(INDEX(INVESTOR_LIST[INVESTOR NAME],MATCH(I1089,INVESTOR_LIST[INVESTOR CODE],0),)," ")</f>
        <v xml:space="preserve"> </v>
      </c>
      <c r="I1089" s="263" t="s">
        <v>348</v>
      </c>
      <c r="J1089" s="244" t="s">
        <v>48</v>
      </c>
      <c r="K1089" s="245"/>
      <c r="L1089" s="245">
        <v>1899.31</v>
      </c>
      <c r="M1089" s="147">
        <v>0</v>
      </c>
      <c r="Q1089" s="133" t="s">
        <v>348</v>
      </c>
    </row>
    <row r="1090" spans="1:17" x14ac:dyDescent="0.2">
      <c r="A1090" s="246">
        <v>2020</v>
      </c>
      <c r="B1090" s="246">
        <v>11</v>
      </c>
      <c r="C1090" s="246">
        <v>12</v>
      </c>
      <c r="D1090" s="141">
        <f t="shared" si="38"/>
        <v>44147</v>
      </c>
      <c r="E1090" s="275">
        <f t="shared" si="39"/>
        <v>44147</v>
      </c>
      <c r="F1090" s="477" t="s">
        <v>140</v>
      </c>
      <c r="G1090" s="247" t="s">
        <v>94</v>
      </c>
      <c r="H1090" s="247" t="str" cm="1">
        <f t="array" ref="H1090">IFERROR(INDEX(INVESTOR_LIST[INVESTOR NAME],MATCH(I1090,INVESTOR_LIST[INVESTOR CODE],0),)," ")</f>
        <v xml:space="preserve"> </v>
      </c>
      <c r="I1090" s="248" t="s">
        <v>348</v>
      </c>
      <c r="J1090" s="249" t="s">
        <v>103</v>
      </c>
      <c r="K1090" s="252">
        <v>729.17</v>
      </c>
      <c r="L1090" s="252"/>
      <c r="M1090" s="147">
        <v>1</v>
      </c>
      <c r="Q1090" s="133" t="s">
        <v>348</v>
      </c>
    </row>
    <row r="1091" spans="1:17" x14ac:dyDescent="0.2">
      <c r="A1091" s="242">
        <v>2020</v>
      </c>
      <c r="B1091" s="242">
        <v>11</v>
      </c>
      <c r="C1091" s="242">
        <v>12</v>
      </c>
      <c r="D1091" s="141">
        <f t="shared" si="38"/>
        <v>44147</v>
      </c>
      <c r="E1091" s="275">
        <f t="shared" si="39"/>
        <v>44147</v>
      </c>
      <c r="F1091" s="478"/>
      <c r="G1091" s="243" t="s">
        <v>94</v>
      </c>
      <c r="H1091" s="243" t="str" cm="1">
        <f t="array" ref="H1091">IFERROR(INDEX(INVESTOR_LIST[INVESTOR NAME],MATCH(I1091,INVESTOR_LIST[INVESTOR CODE],0),)," ")</f>
        <v xml:space="preserve"> </v>
      </c>
      <c r="I1091" s="263" t="s">
        <v>348</v>
      </c>
      <c r="J1091" s="244" t="s">
        <v>50</v>
      </c>
      <c r="K1091" s="245"/>
      <c r="L1091" s="245">
        <v>729.17</v>
      </c>
      <c r="M1091" s="147">
        <v>0</v>
      </c>
      <c r="Q1091" s="133" t="s">
        <v>348</v>
      </c>
    </row>
    <row r="1092" spans="1:17" ht="33.75" x14ac:dyDescent="0.2">
      <c r="A1092" s="133">
        <v>2020</v>
      </c>
      <c r="B1092" s="133">
        <v>11</v>
      </c>
      <c r="C1092" s="133">
        <v>15</v>
      </c>
      <c r="D1092" s="141">
        <f t="shared" si="38"/>
        <v>44150</v>
      </c>
      <c r="E1092" s="275">
        <f t="shared" si="39"/>
        <v>44150</v>
      </c>
      <c r="F1092" s="479" t="s">
        <v>964</v>
      </c>
      <c r="G1092" s="174" t="s">
        <v>74</v>
      </c>
      <c r="H1092" s="174" t="str" cm="1">
        <f t="array" ref="H1092">IFERROR(INDEX(INVESTOR_LIST[INVESTOR NAME],MATCH(I1092,INVESTOR_LIST[INVESTOR CODE],0),)," ")</f>
        <v>AKASH DEEP PAUL</v>
      </c>
      <c r="I1092" s="148" t="s">
        <v>471</v>
      </c>
      <c r="J1092" s="149" t="s">
        <v>52</v>
      </c>
      <c r="K1092" s="218">
        <v>70000</v>
      </c>
      <c r="L1092" s="218"/>
      <c r="M1092" s="147">
        <v>0</v>
      </c>
      <c r="Q1092" s="133" t="s">
        <v>471</v>
      </c>
    </row>
    <row r="1093" spans="1:17" ht="33.75" x14ac:dyDescent="0.2">
      <c r="A1093" s="133">
        <v>2020</v>
      </c>
      <c r="B1093" s="133">
        <v>11</v>
      </c>
      <c r="C1093" s="133">
        <v>15</v>
      </c>
      <c r="D1093" s="141">
        <f t="shared" si="38"/>
        <v>44150</v>
      </c>
      <c r="E1093" s="275">
        <f t="shared" si="39"/>
        <v>44150</v>
      </c>
      <c r="F1093" s="481"/>
      <c r="G1093" s="174" t="s">
        <v>74</v>
      </c>
      <c r="H1093" s="174" t="str" cm="1">
        <f t="array" ref="H1093">IFERROR(INDEX(INVESTOR_LIST[INVESTOR NAME],MATCH(I1093,INVESTOR_LIST[INVESTOR CODE],0),)," ")</f>
        <v>AKASH DEEP PAUL</v>
      </c>
      <c r="I1093" s="148" t="s">
        <v>471</v>
      </c>
      <c r="J1093" s="149" t="s">
        <v>13</v>
      </c>
      <c r="K1093" s="218"/>
      <c r="L1093" s="218">
        <v>60710</v>
      </c>
      <c r="M1093" s="147">
        <v>0</v>
      </c>
      <c r="Q1093" s="133" t="s">
        <v>471</v>
      </c>
    </row>
    <row r="1094" spans="1:17" ht="33.75" x14ac:dyDescent="0.2">
      <c r="A1094" s="163">
        <v>2020</v>
      </c>
      <c r="B1094" s="163">
        <v>11</v>
      </c>
      <c r="C1094" s="163">
        <v>15</v>
      </c>
      <c r="D1094" s="141">
        <f t="shared" si="38"/>
        <v>44150</v>
      </c>
      <c r="E1094" s="275">
        <f t="shared" si="39"/>
        <v>44150</v>
      </c>
      <c r="F1094" s="480"/>
      <c r="G1094" s="221" t="s">
        <v>74</v>
      </c>
      <c r="H1094" s="221" t="str" cm="1">
        <f t="array" ref="H1094">IFERROR(INDEX(INVESTOR_LIST[INVESTOR NAME],MATCH(I1094,INVESTOR_LIST[INVESTOR CODE],0),)," ")</f>
        <v>AKASH DEEP PAUL</v>
      </c>
      <c r="I1094" s="145" t="s">
        <v>471</v>
      </c>
      <c r="J1094" s="146" t="s">
        <v>53</v>
      </c>
      <c r="K1094" s="219"/>
      <c r="L1094" s="219">
        <f>K1092-L1093</f>
        <v>9290</v>
      </c>
      <c r="M1094" s="147">
        <v>0</v>
      </c>
      <c r="Q1094" s="133" t="s">
        <v>471</v>
      </c>
    </row>
    <row r="1095" spans="1:17" ht="22.5" x14ac:dyDescent="0.2">
      <c r="A1095" s="133">
        <v>2020</v>
      </c>
      <c r="B1095" s="133">
        <v>11</v>
      </c>
      <c r="C1095" s="133">
        <v>15</v>
      </c>
      <c r="D1095" s="141">
        <f t="shared" si="38"/>
        <v>44150</v>
      </c>
      <c r="E1095" s="275">
        <f t="shared" si="39"/>
        <v>44150</v>
      </c>
      <c r="F1095" s="479" t="s">
        <v>964</v>
      </c>
      <c r="G1095" s="174" t="s">
        <v>74</v>
      </c>
      <c r="H1095" s="174" t="str" cm="1">
        <f t="array" ref="H1095">IFERROR(INDEX(INVESTOR_LIST[INVESTOR NAME],MATCH(I1095,INVESTOR_LIST[INVESTOR CODE],0),)," ")</f>
        <v>SHUVA SAHA</v>
      </c>
      <c r="I1095" s="148" t="s">
        <v>421</v>
      </c>
      <c r="J1095" s="149" t="s">
        <v>52</v>
      </c>
      <c r="K1095" s="218">
        <v>50000</v>
      </c>
      <c r="L1095" s="218"/>
      <c r="M1095" s="147">
        <v>1</v>
      </c>
      <c r="Q1095" s="133" t="s">
        <v>421</v>
      </c>
    </row>
    <row r="1096" spans="1:17" ht="22.5" x14ac:dyDescent="0.2">
      <c r="A1096" s="133">
        <v>2020</v>
      </c>
      <c r="B1096" s="133">
        <v>11</v>
      </c>
      <c r="C1096" s="133">
        <v>15</v>
      </c>
      <c r="D1096" s="141">
        <f t="shared" si="38"/>
        <v>44150</v>
      </c>
      <c r="E1096" s="275">
        <f t="shared" si="39"/>
        <v>44150</v>
      </c>
      <c r="F1096" s="481"/>
      <c r="G1096" s="174" t="s">
        <v>74</v>
      </c>
      <c r="H1096" s="174" t="str" cm="1">
        <f t="array" ref="H1096">IFERROR(INDEX(INVESTOR_LIST[INVESTOR NAME],MATCH(I1096,INVESTOR_LIST[INVESTOR CODE],0),)," ")</f>
        <v>SHUVA SAHA</v>
      </c>
      <c r="I1096" s="148" t="s">
        <v>421</v>
      </c>
      <c r="J1096" s="149" t="s">
        <v>13</v>
      </c>
      <c r="K1096" s="218"/>
      <c r="L1096" s="218">
        <v>43360</v>
      </c>
      <c r="M1096" s="147">
        <v>0</v>
      </c>
      <c r="N1096" s="156">
        <f>K1179/11.49</f>
        <v>26109.660574412534</v>
      </c>
      <c r="Q1096" s="133" t="s">
        <v>421</v>
      </c>
    </row>
    <row r="1097" spans="1:17" ht="22.5" x14ac:dyDescent="0.2">
      <c r="A1097" s="163">
        <v>2020</v>
      </c>
      <c r="B1097" s="163">
        <v>11</v>
      </c>
      <c r="C1097" s="163">
        <v>15</v>
      </c>
      <c r="D1097" s="141">
        <f t="shared" si="38"/>
        <v>44150</v>
      </c>
      <c r="E1097" s="275">
        <f t="shared" si="39"/>
        <v>44150</v>
      </c>
      <c r="F1097" s="480"/>
      <c r="G1097" s="221" t="s">
        <v>74</v>
      </c>
      <c r="H1097" s="221" t="str" cm="1">
        <f t="array" ref="H1097">IFERROR(INDEX(INVESTOR_LIST[INVESTOR NAME],MATCH(I1097,INVESTOR_LIST[INVESTOR CODE],0),)," ")</f>
        <v>SHUVA SAHA</v>
      </c>
      <c r="I1097" s="145" t="s">
        <v>421</v>
      </c>
      <c r="J1097" s="146" t="s">
        <v>53</v>
      </c>
      <c r="K1097" s="219"/>
      <c r="L1097" s="219">
        <f>K1095-L1096</f>
        <v>6640</v>
      </c>
      <c r="M1097" s="147">
        <v>0</v>
      </c>
      <c r="Q1097" s="133" t="s">
        <v>421</v>
      </c>
    </row>
    <row r="1098" spans="1:17" x14ac:dyDescent="0.2">
      <c r="A1098" s="133">
        <v>2020</v>
      </c>
      <c r="B1098" s="133">
        <v>11</v>
      </c>
      <c r="C1098" s="133">
        <v>15</v>
      </c>
      <c r="D1098" s="141">
        <f t="shared" si="38"/>
        <v>44150</v>
      </c>
      <c r="E1098" s="275">
        <f t="shared" si="39"/>
        <v>44150</v>
      </c>
      <c r="F1098" s="479" t="s">
        <v>223</v>
      </c>
      <c r="G1098" s="174" t="s">
        <v>74</v>
      </c>
      <c r="H1098" s="174" t="str" cm="1">
        <f t="array" ref="H1098">IFERROR(INDEX(INVESTOR_LIST[INVESTOR NAME],MATCH(I1098,INVESTOR_LIST[INVESTOR CODE],0),)," ")</f>
        <v xml:space="preserve"> </v>
      </c>
      <c r="I1098" s="148" t="s">
        <v>348</v>
      </c>
      <c r="J1098" s="149" t="s">
        <v>52</v>
      </c>
      <c r="K1098" s="218">
        <v>232264.18</v>
      </c>
      <c r="L1098" s="218"/>
      <c r="M1098" s="147">
        <v>0</v>
      </c>
      <c r="Q1098" s="133" t="s">
        <v>348</v>
      </c>
    </row>
    <row r="1099" spans="1:17" x14ac:dyDescent="0.2">
      <c r="A1099" s="163">
        <v>2020</v>
      </c>
      <c r="B1099" s="163">
        <v>11</v>
      </c>
      <c r="C1099" s="163">
        <v>15</v>
      </c>
      <c r="D1099" s="141">
        <f t="shared" si="38"/>
        <v>44150</v>
      </c>
      <c r="E1099" s="275">
        <f t="shared" si="39"/>
        <v>44150</v>
      </c>
      <c r="F1099" s="480"/>
      <c r="G1099" s="221" t="s">
        <v>74</v>
      </c>
      <c r="H1099" s="221" t="str" cm="1">
        <f t="array" ref="H1099">IFERROR(INDEX(INVESTOR_LIST[INVESTOR NAME],MATCH(I1099,INVESTOR_LIST[INVESTOR CODE],0),)," ")</f>
        <v xml:space="preserve"> </v>
      </c>
      <c r="I1099" s="145" t="s">
        <v>348</v>
      </c>
      <c r="J1099" s="146" t="s">
        <v>190</v>
      </c>
      <c r="K1099" s="219"/>
      <c r="L1099" s="219">
        <v>232264.18</v>
      </c>
      <c r="M1099" s="147">
        <v>0</v>
      </c>
      <c r="Q1099" s="133" t="s">
        <v>348</v>
      </c>
    </row>
    <row r="1100" spans="1:17" x14ac:dyDescent="0.2">
      <c r="A1100" s="133">
        <v>2020</v>
      </c>
      <c r="B1100" s="133">
        <v>11</v>
      </c>
      <c r="C1100" s="133">
        <v>16</v>
      </c>
      <c r="D1100" s="141">
        <f t="shared" si="38"/>
        <v>44151</v>
      </c>
      <c r="E1100" s="275">
        <f t="shared" si="39"/>
        <v>44151</v>
      </c>
      <c r="F1100" s="479" t="s">
        <v>224</v>
      </c>
      <c r="G1100" s="174" t="s">
        <v>94</v>
      </c>
      <c r="H1100" s="174" t="str" cm="1">
        <f t="array" ref="H1100">IFERROR(INDEX(INVESTOR_LIST[INVESTOR NAME],MATCH(I1100,INVESTOR_LIST[INVESTOR CODE],0),)," ")</f>
        <v xml:space="preserve"> </v>
      </c>
      <c r="I1100" s="148" t="s">
        <v>348</v>
      </c>
      <c r="J1100" s="149" t="s">
        <v>190</v>
      </c>
      <c r="K1100" s="218">
        <v>7482085.0599999996</v>
      </c>
      <c r="L1100" s="218"/>
      <c r="M1100" s="147">
        <v>0</v>
      </c>
      <c r="Q1100" s="133" t="s">
        <v>348</v>
      </c>
    </row>
    <row r="1101" spans="1:17" x14ac:dyDescent="0.2">
      <c r="A1101" s="133">
        <v>2020</v>
      </c>
      <c r="B1101" s="133">
        <v>11</v>
      </c>
      <c r="C1101" s="133">
        <v>16</v>
      </c>
      <c r="D1101" s="141">
        <f t="shared" ref="D1101:D1164" si="40">DATE(A1101,B1101,C1101)</f>
        <v>44151</v>
      </c>
      <c r="E1101" s="275">
        <f t="shared" si="39"/>
        <v>44151</v>
      </c>
      <c r="F1101" s="481"/>
      <c r="G1101" s="174" t="s">
        <v>94</v>
      </c>
      <c r="H1101" s="174" t="str" cm="1">
        <f t="array" ref="H1101">IFERROR(INDEX(INVESTOR_LIST[INVESTOR NAME],MATCH(I1101,INVESTOR_LIST[INVESTOR CODE],0),)," ")</f>
        <v xml:space="preserve"> </v>
      </c>
      <c r="I1101" s="148" t="s">
        <v>348</v>
      </c>
      <c r="J1101" s="149" t="s">
        <v>80</v>
      </c>
      <c r="K1101" s="218">
        <v>13492.04</v>
      </c>
      <c r="L1101" s="218"/>
      <c r="M1101" s="147">
        <v>0</v>
      </c>
      <c r="Q1101" s="133" t="s">
        <v>348</v>
      </c>
    </row>
    <row r="1102" spans="1:17" x14ac:dyDescent="0.2">
      <c r="A1102" s="133">
        <v>2020</v>
      </c>
      <c r="B1102" s="133">
        <v>11</v>
      </c>
      <c r="C1102" s="133">
        <v>16</v>
      </c>
      <c r="D1102" s="141">
        <f t="shared" si="40"/>
        <v>44151</v>
      </c>
      <c r="E1102" s="275">
        <f t="shared" ref="E1102:E1165" si="41">DATE(A1102,B1102,C1102)</f>
        <v>44151</v>
      </c>
      <c r="F1102" s="481"/>
      <c r="G1102" s="174" t="s">
        <v>94</v>
      </c>
      <c r="H1102" s="174" t="str" cm="1">
        <f t="array" ref="H1102">IFERROR(INDEX(INVESTOR_LIST[INVESTOR NAME],MATCH(I1102,INVESTOR_LIST[INVESTOR CODE],0),)," ")</f>
        <v xml:space="preserve"> </v>
      </c>
      <c r="I1102" s="148" t="s">
        <v>348</v>
      </c>
      <c r="J1102" s="149" t="s">
        <v>79</v>
      </c>
      <c r="K1102" s="218"/>
      <c r="L1102" s="218">
        <v>7486503.6399999997</v>
      </c>
      <c r="M1102" s="147">
        <v>0</v>
      </c>
      <c r="Q1102" s="133" t="s">
        <v>348</v>
      </c>
    </row>
    <row r="1103" spans="1:17" x14ac:dyDescent="0.2">
      <c r="A1103" s="163">
        <v>2020</v>
      </c>
      <c r="B1103" s="163">
        <v>11</v>
      </c>
      <c r="C1103" s="163">
        <v>16</v>
      </c>
      <c r="D1103" s="141">
        <f t="shared" si="40"/>
        <v>44151</v>
      </c>
      <c r="E1103" s="275">
        <f t="shared" si="41"/>
        <v>44151</v>
      </c>
      <c r="F1103" s="480"/>
      <c r="G1103" s="221" t="s">
        <v>94</v>
      </c>
      <c r="H1103" s="221" t="str" cm="1">
        <f t="array" ref="H1103">IFERROR(INDEX(INVESTOR_LIST[INVESTOR NAME],MATCH(I1103,INVESTOR_LIST[INVESTOR CODE],0),)," ")</f>
        <v xml:space="preserve"> </v>
      </c>
      <c r="I1103" s="145" t="s">
        <v>348</v>
      </c>
      <c r="J1103" s="146" t="s">
        <v>191</v>
      </c>
      <c r="K1103" s="219"/>
      <c r="L1103" s="219">
        <v>9073.4599999999991</v>
      </c>
      <c r="M1103" s="147">
        <v>0</v>
      </c>
      <c r="Q1103" s="133" t="s">
        <v>348</v>
      </c>
    </row>
    <row r="1104" spans="1:17" ht="33.75" x14ac:dyDescent="0.2">
      <c r="A1104" s="133">
        <v>2020</v>
      </c>
      <c r="B1104" s="133">
        <v>11</v>
      </c>
      <c r="C1104" s="133">
        <v>16</v>
      </c>
      <c r="D1104" s="141">
        <f t="shared" si="40"/>
        <v>44151</v>
      </c>
      <c r="E1104" s="275">
        <f t="shared" si="41"/>
        <v>44151</v>
      </c>
      <c r="F1104" s="479" t="s">
        <v>964</v>
      </c>
      <c r="G1104" s="174" t="s">
        <v>74</v>
      </c>
      <c r="H1104" s="174" t="str" cm="1">
        <f t="array" ref="H1104">IFERROR(INDEX(INVESTOR_LIST[INVESTOR NAME],MATCH(I1104,INVESTOR_LIST[INVESTOR CODE],0),)," ")</f>
        <v>SHAHIDA NAHRIN BUBLY</v>
      </c>
      <c r="I1104" s="148" t="s">
        <v>477</v>
      </c>
      <c r="J1104" s="149" t="s">
        <v>52</v>
      </c>
      <c r="K1104" s="218">
        <v>100000</v>
      </c>
      <c r="L1104" s="218"/>
      <c r="M1104" s="147">
        <v>0</v>
      </c>
      <c r="Q1104" s="133" t="s">
        <v>477</v>
      </c>
    </row>
    <row r="1105" spans="1:17" ht="33.75" x14ac:dyDescent="0.2">
      <c r="A1105" s="133">
        <v>2020</v>
      </c>
      <c r="B1105" s="133">
        <v>11</v>
      </c>
      <c r="C1105" s="133">
        <v>16</v>
      </c>
      <c r="D1105" s="141">
        <f t="shared" si="40"/>
        <v>44151</v>
      </c>
      <c r="E1105" s="275">
        <f t="shared" si="41"/>
        <v>44151</v>
      </c>
      <c r="F1105" s="481"/>
      <c r="G1105" s="174" t="s">
        <v>74</v>
      </c>
      <c r="H1105" s="174" t="str" cm="1">
        <f t="array" ref="H1105">IFERROR(INDEX(INVESTOR_LIST[INVESTOR NAME],MATCH(I1105,INVESTOR_LIST[INVESTOR CODE],0),)," ")</f>
        <v>SHAHIDA NAHRIN BUBLY</v>
      </c>
      <c r="I1105" s="148" t="s">
        <v>477</v>
      </c>
      <c r="J1105" s="149" t="s">
        <v>13</v>
      </c>
      <c r="K1105" s="218"/>
      <c r="L1105" s="218">
        <v>86730</v>
      </c>
      <c r="M1105" s="147">
        <v>0</v>
      </c>
      <c r="Q1105" s="133" t="s">
        <v>477</v>
      </c>
    </row>
    <row r="1106" spans="1:17" ht="33.75" x14ac:dyDescent="0.2">
      <c r="A1106" s="163">
        <v>2020</v>
      </c>
      <c r="B1106" s="163">
        <v>11</v>
      </c>
      <c r="C1106" s="163">
        <v>16</v>
      </c>
      <c r="D1106" s="141">
        <f t="shared" si="40"/>
        <v>44151</v>
      </c>
      <c r="E1106" s="275">
        <f t="shared" si="41"/>
        <v>44151</v>
      </c>
      <c r="F1106" s="480"/>
      <c r="G1106" s="221" t="s">
        <v>74</v>
      </c>
      <c r="H1106" s="221" t="str" cm="1">
        <f t="array" ref="H1106">IFERROR(INDEX(INVESTOR_LIST[INVESTOR NAME],MATCH(I1106,INVESTOR_LIST[INVESTOR CODE],0),)," ")</f>
        <v>SHAHIDA NAHRIN BUBLY</v>
      </c>
      <c r="I1106" s="145" t="s">
        <v>477</v>
      </c>
      <c r="J1106" s="146" t="s">
        <v>53</v>
      </c>
      <c r="K1106" s="219"/>
      <c r="L1106" s="219">
        <f>K1104-L1105</f>
        <v>13270</v>
      </c>
      <c r="M1106" s="147">
        <v>0</v>
      </c>
      <c r="Q1106" s="133" t="s">
        <v>477</v>
      </c>
    </row>
    <row r="1107" spans="1:17" ht="33.75" x14ac:dyDescent="0.2">
      <c r="A1107" s="133">
        <v>2020</v>
      </c>
      <c r="B1107" s="133">
        <v>11</v>
      </c>
      <c r="C1107" s="133">
        <v>16</v>
      </c>
      <c r="D1107" s="141">
        <f t="shared" si="40"/>
        <v>44151</v>
      </c>
      <c r="E1107" s="275">
        <f t="shared" si="41"/>
        <v>44151</v>
      </c>
      <c r="F1107" s="479" t="s">
        <v>964</v>
      </c>
      <c r="G1107" s="174" t="s">
        <v>74</v>
      </c>
      <c r="H1107" s="220" t="str" cm="1">
        <f t="array" ref="H1107">IFERROR(INDEX(INVESTOR_LIST[INVESTOR NAME],MATCH(I1107,INVESTOR_LIST[INVESTOR CODE],0),)," ")</f>
        <v>MD. ZAHID HOSSAIN</v>
      </c>
      <c r="I1107" s="142" t="s">
        <v>478</v>
      </c>
      <c r="J1107" s="149" t="s">
        <v>52</v>
      </c>
      <c r="K1107" s="218">
        <v>100000</v>
      </c>
      <c r="L1107" s="218"/>
      <c r="M1107" s="147">
        <v>0</v>
      </c>
      <c r="Q1107" s="133" t="s">
        <v>478</v>
      </c>
    </row>
    <row r="1108" spans="1:17" ht="33.75" x14ac:dyDescent="0.2">
      <c r="A1108" s="133">
        <v>2020</v>
      </c>
      <c r="B1108" s="133">
        <v>11</v>
      </c>
      <c r="C1108" s="133">
        <v>16</v>
      </c>
      <c r="D1108" s="141">
        <f t="shared" si="40"/>
        <v>44151</v>
      </c>
      <c r="E1108" s="275">
        <f t="shared" si="41"/>
        <v>44151</v>
      </c>
      <c r="F1108" s="481"/>
      <c r="G1108" s="174" t="s">
        <v>74</v>
      </c>
      <c r="H1108" s="174" t="str" cm="1">
        <f t="array" ref="H1108">IFERROR(INDEX(INVESTOR_LIST[INVESTOR NAME],MATCH(I1108,INVESTOR_LIST[INVESTOR CODE],0),)," ")</f>
        <v>MD. ZAHID HOSSAIN</v>
      </c>
      <c r="I1108" s="148" t="s">
        <v>478</v>
      </c>
      <c r="J1108" s="149" t="s">
        <v>13</v>
      </c>
      <c r="K1108" s="218"/>
      <c r="L1108" s="218">
        <v>86730</v>
      </c>
      <c r="M1108" s="147">
        <v>1</v>
      </c>
      <c r="Q1108" s="133" t="s">
        <v>478</v>
      </c>
    </row>
    <row r="1109" spans="1:17" ht="33.75" x14ac:dyDescent="0.2">
      <c r="A1109" s="163">
        <v>2020</v>
      </c>
      <c r="B1109" s="163">
        <v>11</v>
      </c>
      <c r="C1109" s="163">
        <v>16</v>
      </c>
      <c r="D1109" s="141">
        <f t="shared" si="40"/>
        <v>44151</v>
      </c>
      <c r="E1109" s="275">
        <f t="shared" si="41"/>
        <v>44151</v>
      </c>
      <c r="F1109" s="480"/>
      <c r="G1109" s="221" t="s">
        <v>74</v>
      </c>
      <c r="H1109" s="221" t="str" cm="1">
        <f t="array" ref="H1109">IFERROR(INDEX(INVESTOR_LIST[INVESTOR NAME],MATCH(I1109,INVESTOR_LIST[INVESTOR CODE],0),)," ")</f>
        <v>MD. ZAHID HOSSAIN</v>
      </c>
      <c r="I1109" s="145" t="s">
        <v>478</v>
      </c>
      <c r="J1109" s="146" t="s">
        <v>53</v>
      </c>
      <c r="K1109" s="219"/>
      <c r="L1109" s="219">
        <f>K1107-L1108</f>
        <v>13270</v>
      </c>
      <c r="M1109" s="147">
        <v>0</v>
      </c>
      <c r="Q1109" s="133" t="s">
        <v>478</v>
      </c>
    </row>
    <row r="1110" spans="1:17" ht="33.75" x14ac:dyDescent="0.2">
      <c r="A1110" s="133">
        <v>2020</v>
      </c>
      <c r="B1110" s="133">
        <v>11</v>
      </c>
      <c r="C1110" s="133">
        <v>16</v>
      </c>
      <c r="D1110" s="141">
        <f t="shared" si="40"/>
        <v>44151</v>
      </c>
      <c r="E1110" s="275">
        <f t="shared" si="41"/>
        <v>44151</v>
      </c>
      <c r="F1110" s="479" t="s">
        <v>964</v>
      </c>
      <c r="G1110" s="174" t="s">
        <v>74</v>
      </c>
      <c r="H1110" s="174" t="str" cm="1">
        <f t="array" ref="H1110">IFERROR(INDEX(INVESTOR_LIST[INVESTOR NAME],MATCH(I1110,INVESTOR_LIST[INVESTOR CODE],0),)," ")</f>
        <v>SUHAIEB CHOWDHURY</v>
      </c>
      <c r="I1110" s="148" t="s">
        <v>472</v>
      </c>
      <c r="J1110" s="149" t="s">
        <v>52</v>
      </c>
      <c r="K1110" s="218">
        <v>201775</v>
      </c>
      <c r="L1110" s="218"/>
      <c r="M1110" s="147">
        <v>0</v>
      </c>
      <c r="Q1110" s="133" t="s">
        <v>472</v>
      </c>
    </row>
    <row r="1111" spans="1:17" ht="33.75" x14ac:dyDescent="0.2">
      <c r="A1111" s="133">
        <v>2020</v>
      </c>
      <c r="B1111" s="133">
        <v>11</v>
      </c>
      <c r="C1111" s="133">
        <v>16</v>
      </c>
      <c r="D1111" s="141">
        <f t="shared" si="40"/>
        <v>44151</v>
      </c>
      <c r="E1111" s="275">
        <f t="shared" si="41"/>
        <v>44151</v>
      </c>
      <c r="F1111" s="481"/>
      <c r="G1111" s="174" t="s">
        <v>74</v>
      </c>
      <c r="H1111" s="174" t="str" cm="1">
        <f t="array" ref="H1111">IFERROR(INDEX(INVESTOR_LIST[INVESTOR NAME],MATCH(I1111,INVESTOR_LIST[INVESTOR CODE],0),)," ")</f>
        <v>SUHAIEB CHOWDHURY</v>
      </c>
      <c r="I1111" s="148" t="s">
        <v>472</v>
      </c>
      <c r="J1111" s="149" t="s">
        <v>13</v>
      </c>
      <c r="K1111" s="218"/>
      <c r="L1111" s="218">
        <v>175000</v>
      </c>
      <c r="M1111" s="147">
        <v>0</v>
      </c>
      <c r="Q1111" s="133" t="s">
        <v>472</v>
      </c>
    </row>
    <row r="1112" spans="1:17" ht="33.75" x14ac:dyDescent="0.2">
      <c r="A1112" s="163">
        <v>2020</v>
      </c>
      <c r="B1112" s="163">
        <v>11</v>
      </c>
      <c r="C1112" s="163">
        <v>16</v>
      </c>
      <c r="D1112" s="141">
        <f t="shared" si="40"/>
        <v>44151</v>
      </c>
      <c r="E1112" s="275">
        <f t="shared" si="41"/>
        <v>44151</v>
      </c>
      <c r="F1112" s="480"/>
      <c r="G1112" s="221" t="s">
        <v>74</v>
      </c>
      <c r="H1112" s="221" t="str" cm="1">
        <f t="array" ref="H1112">IFERROR(INDEX(INVESTOR_LIST[INVESTOR NAME],MATCH(I1112,INVESTOR_LIST[INVESTOR CODE],0),)," ")</f>
        <v>SUHAIEB CHOWDHURY</v>
      </c>
      <c r="I1112" s="145" t="s">
        <v>472</v>
      </c>
      <c r="J1112" s="146" t="s">
        <v>53</v>
      </c>
      <c r="K1112" s="219"/>
      <c r="L1112" s="219">
        <f>K1110-L1111</f>
        <v>26775</v>
      </c>
      <c r="M1112" s="147">
        <v>0</v>
      </c>
      <c r="Q1112" s="133" t="s">
        <v>472</v>
      </c>
    </row>
    <row r="1113" spans="1:17" x14ac:dyDescent="0.2">
      <c r="A1113" s="141">
        <v>2020</v>
      </c>
      <c r="B1113" s="141">
        <v>11</v>
      </c>
      <c r="C1113" s="141">
        <v>16</v>
      </c>
      <c r="D1113" s="141">
        <f t="shared" si="40"/>
        <v>44151</v>
      </c>
      <c r="E1113" s="275">
        <f t="shared" si="41"/>
        <v>44151</v>
      </c>
      <c r="F1113" s="479" t="s">
        <v>77</v>
      </c>
      <c r="G1113" s="220" t="s">
        <v>74</v>
      </c>
      <c r="H1113" s="174" t="str" cm="1">
        <f t="array" ref="H1113">IFERROR(INDEX(INVESTOR_LIST[INVESTOR NAME],MATCH(I1113,INVESTOR_LIST[INVESTOR CODE],0),)," ")</f>
        <v xml:space="preserve"> </v>
      </c>
      <c r="I1113" s="148" t="s">
        <v>348</v>
      </c>
      <c r="J1113" s="143" t="s">
        <v>61</v>
      </c>
      <c r="K1113" s="226">
        <v>10</v>
      </c>
      <c r="L1113" s="226"/>
      <c r="M1113" s="147">
        <v>0</v>
      </c>
      <c r="Q1113" s="133" t="s">
        <v>348</v>
      </c>
    </row>
    <row r="1114" spans="1:17" x14ac:dyDescent="0.2">
      <c r="A1114" s="144">
        <v>2020</v>
      </c>
      <c r="B1114" s="144">
        <v>11</v>
      </c>
      <c r="C1114" s="144">
        <v>16</v>
      </c>
      <c r="D1114" s="141">
        <f t="shared" si="40"/>
        <v>44151</v>
      </c>
      <c r="E1114" s="275">
        <f t="shared" si="41"/>
        <v>44151</v>
      </c>
      <c r="F1114" s="480"/>
      <c r="G1114" s="221" t="s">
        <v>74</v>
      </c>
      <c r="H1114" s="221" t="str" cm="1">
        <f t="array" ref="H1114">IFERROR(INDEX(INVESTOR_LIST[INVESTOR NAME],MATCH(I1114,INVESTOR_LIST[INVESTOR CODE],0),)," ")</f>
        <v xml:space="preserve"> </v>
      </c>
      <c r="I1114" s="145" t="s">
        <v>348</v>
      </c>
      <c r="J1114" s="146" t="s">
        <v>52</v>
      </c>
      <c r="K1114" s="219"/>
      <c r="L1114" s="219">
        <v>10</v>
      </c>
      <c r="M1114" s="147">
        <v>0</v>
      </c>
      <c r="Q1114" s="133" t="s">
        <v>348</v>
      </c>
    </row>
    <row r="1115" spans="1:17" ht="11.25" customHeight="1" x14ac:dyDescent="0.2">
      <c r="A1115" s="133">
        <v>2020</v>
      </c>
      <c r="B1115" s="133">
        <v>11</v>
      </c>
      <c r="C1115" s="133">
        <v>17</v>
      </c>
      <c r="D1115" s="141">
        <f t="shared" si="40"/>
        <v>44152</v>
      </c>
      <c r="E1115" s="275">
        <f t="shared" si="41"/>
        <v>44152</v>
      </c>
      <c r="F1115" s="479" t="s">
        <v>254</v>
      </c>
      <c r="G1115" s="174" t="s">
        <v>74</v>
      </c>
      <c r="H1115" s="174" t="str" cm="1">
        <f t="array" ref="H1115">IFERROR(INDEX(INVESTOR_LIST[INVESTOR NAME],MATCH(I1115,INVESTOR_LIST[INVESTOR CODE],0),)," ")</f>
        <v xml:space="preserve"> </v>
      </c>
      <c r="I1115" s="148" t="s">
        <v>348</v>
      </c>
      <c r="J1115" s="149" t="s">
        <v>52</v>
      </c>
      <c r="K1115" s="218">
        <v>27000</v>
      </c>
      <c r="L1115" s="218"/>
      <c r="M1115" s="147">
        <v>0</v>
      </c>
      <c r="Q1115" s="133" t="s">
        <v>348</v>
      </c>
    </row>
    <row r="1116" spans="1:17" x14ac:dyDescent="0.2">
      <c r="A1116" s="133">
        <v>2020</v>
      </c>
      <c r="B1116" s="133">
        <v>11</v>
      </c>
      <c r="C1116" s="133">
        <v>17</v>
      </c>
      <c r="D1116" s="141">
        <f t="shared" si="40"/>
        <v>44152</v>
      </c>
      <c r="E1116" s="275">
        <f t="shared" si="41"/>
        <v>44152</v>
      </c>
      <c r="F1116" s="481"/>
      <c r="G1116" s="174" t="s">
        <v>74</v>
      </c>
      <c r="H1116" s="174" t="str" cm="1">
        <f t="array" ref="H1116">IFERROR(INDEX(INVESTOR_LIST[INVESTOR NAME],MATCH(I1116,INVESTOR_LIST[INVESTOR CODE],0),)," ")</f>
        <v xml:space="preserve"> </v>
      </c>
      <c r="I1116" s="148" t="s">
        <v>348</v>
      </c>
      <c r="J1116" s="149" t="s">
        <v>13</v>
      </c>
      <c r="K1116" s="218"/>
      <c r="L1116" s="218">
        <v>23410</v>
      </c>
      <c r="M1116" s="147">
        <v>0</v>
      </c>
      <c r="Q1116" s="133" t="s">
        <v>348</v>
      </c>
    </row>
    <row r="1117" spans="1:17" x14ac:dyDescent="0.2">
      <c r="A1117" s="163">
        <v>2020</v>
      </c>
      <c r="B1117" s="163">
        <v>11</v>
      </c>
      <c r="C1117" s="163">
        <v>17</v>
      </c>
      <c r="D1117" s="141">
        <f t="shared" si="40"/>
        <v>44152</v>
      </c>
      <c r="E1117" s="275">
        <f t="shared" si="41"/>
        <v>44152</v>
      </c>
      <c r="F1117" s="480"/>
      <c r="G1117" s="221" t="s">
        <v>74</v>
      </c>
      <c r="H1117" s="221" t="str" cm="1">
        <f t="array" ref="H1117">IFERROR(INDEX(INVESTOR_LIST[INVESTOR NAME],MATCH(I1117,INVESTOR_LIST[INVESTOR CODE],0),)," ")</f>
        <v xml:space="preserve"> </v>
      </c>
      <c r="I1117" s="145" t="s">
        <v>348</v>
      </c>
      <c r="J1117" s="146" t="s">
        <v>53</v>
      </c>
      <c r="K1117" s="219"/>
      <c r="L1117" s="219">
        <f>K1115-L1116</f>
        <v>3590</v>
      </c>
      <c r="M1117" s="147">
        <v>0</v>
      </c>
      <c r="Q1117" s="133" t="s">
        <v>348</v>
      </c>
    </row>
    <row r="1118" spans="1:17" ht="33.75" x14ac:dyDescent="0.2">
      <c r="A1118" s="133">
        <v>2020</v>
      </c>
      <c r="B1118" s="133">
        <v>11</v>
      </c>
      <c r="C1118" s="133">
        <v>17</v>
      </c>
      <c r="D1118" s="141">
        <f t="shared" si="40"/>
        <v>44152</v>
      </c>
      <c r="E1118" s="275">
        <f t="shared" si="41"/>
        <v>44152</v>
      </c>
      <c r="F1118" s="479" t="s">
        <v>964</v>
      </c>
      <c r="G1118" s="174" t="s">
        <v>74</v>
      </c>
      <c r="H1118" s="174" t="str" cm="1">
        <f t="array" ref="H1118">IFERROR(INDEX(INVESTOR_LIST[INVESTOR NAME],MATCH(I1118,INVESTOR_LIST[INVESTOR CODE],0),)," ")</f>
        <v>MD. SAIFUR RAHMAN</v>
      </c>
      <c r="I1118" s="148" t="s">
        <v>474</v>
      </c>
      <c r="J1118" s="149" t="s">
        <v>52</v>
      </c>
      <c r="K1118" s="218">
        <v>100000</v>
      </c>
      <c r="L1118" s="218"/>
      <c r="M1118" s="147">
        <v>0</v>
      </c>
      <c r="Q1118" s="133" t="s">
        <v>474</v>
      </c>
    </row>
    <row r="1119" spans="1:17" ht="33.75" x14ac:dyDescent="0.2">
      <c r="A1119" s="133">
        <v>2020</v>
      </c>
      <c r="B1119" s="133">
        <v>11</v>
      </c>
      <c r="C1119" s="133">
        <v>17</v>
      </c>
      <c r="D1119" s="141">
        <f t="shared" si="40"/>
        <v>44152</v>
      </c>
      <c r="E1119" s="275">
        <f t="shared" si="41"/>
        <v>44152</v>
      </c>
      <c r="F1119" s="481"/>
      <c r="G1119" s="174" t="s">
        <v>74</v>
      </c>
      <c r="H1119" s="174" t="str" cm="1">
        <f t="array" ref="H1119">IFERROR(INDEX(INVESTOR_LIST[INVESTOR NAME],MATCH(I1119,INVESTOR_LIST[INVESTOR CODE],0),)," ")</f>
        <v>MD. SAIFUR RAHMAN</v>
      </c>
      <c r="I1119" s="148" t="s">
        <v>474</v>
      </c>
      <c r="J1119" s="149" t="s">
        <v>13</v>
      </c>
      <c r="K1119" s="218"/>
      <c r="L1119" s="218">
        <v>86730</v>
      </c>
      <c r="M1119" s="147">
        <v>0</v>
      </c>
      <c r="Q1119" s="133" t="s">
        <v>474</v>
      </c>
    </row>
    <row r="1120" spans="1:17" ht="33.75" x14ac:dyDescent="0.2">
      <c r="A1120" s="163">
        <v>2020</v>
      </c>
      <c r="B1120" s="163">
        <v>11</v>
      </c>
      <c r="C1120" s="163">
        <v>17</v>
      </c>
      <c r="D1120" s="141">
        <f t="shared" si="40"/>
        <v>44152</v>
      </c>
      <c r="E1120" s="275">
        <f t="shared" si="41"/>
        <v>44152</v>
      </c>
      <c r="F1120" s="480"/>
      <c r="G1120" s="221" t="s">
        <v>74</v>
      </c>
      <c r="H1120" s="221" t="str" cm="1">
        <f t="array" ref="H1120">IFERROR(INDEX(INVESTOR_LIST[INVESTOR NAME],MATCH(I1120,INVESTOR_LIST[INVESTOR CODE],0),)," ")</f>
        <v>MD. SAIFUR RAHMAN</v>
      </c>
      <c r="I1120" s="145" t="s">
        <v>474</v>
      </c>
      <c r="J1120" s="146" t="s">
        <v>53</v>
      </c>
      <c r="K1120" s="219"/>
      <c r="L1120" s="219">
        <f>K1118-L1119</f>
        <v>13270</v>
      </c>
      <c r="M1120" s="147">
        <v>0</v>
      </c>
      <c r="Q1120" s="133" t="s">
        <v>474</v>
      </c>
    </row>
    <row r="1121" spans="1:17" ht="22.5" x14ac:dyDescent="0.2">
      <c r="A1121" s="133">
        <v>2020</v>
      </c>
      <c r="B1121" s="133">
        <v>11</v>
      </c>
      <c r="C1121" s="133">
        <v>17</v>
      </c>
      <c r="D1121" s="141">
        <f t="shared" si="40"/>
        <v>44152</v>
      </c>
      <c r="E1121" s="275">
        <f t="shared" si="41"/>
        <v>44152</v>
      </c>
      <c r="F1121" s="479" t="s">
        <v>964</v>
      </c>
      <c r="G1121" s="174" t="s">
        <v>74</v>
      </c>
      <c r="H1121" s="174" t="str" cm="1">
        <f t="array" ref="H1121">IFERROR(INDEX(INVESTOR_LIST[INVESTOR NAME],MATCH(I1121,INVESTOR_LIST[INVESTOR CODE],0),)," ")</f>
        <v>NANDINI SAHA</v>
      </c>
      <c r="I1121" s="148" t="s">
        <v>463</v>
      </c>
      <c r="J1121" s="149" t="s">
        <v>52</v>
      </c>
      <c r="K1121" s="218">
        <v>200000</v>
      </c>
      <c r="L1121" s="218"/>
      <c r="M1121" s="147">
        <v>0</v>
      </c>
      <c r="Q1121" s="133" t="s">
        <v>463</v>
      </c>
    </row>
    <row r="1122" spans="1:17" ht="22.5" x14ac:dyDescent="0.2">
      <c r="A1122" s="133">
        <v>2020</v>
      </c>
      <c r="B1122" s="133">
        <v>11</v>
      </c>
      <c r="C1122" s="133">
        <v>17</v>
      </c>
      <c r="D1122" s="141">
        <f t="shared" si="40"/>
        <v>44152</v>
      </c>
      <c r="E1122" s="275">
        <f t="shared" si="41"/>
        <v>44152</v>
      </c>
      <c r="F1122" s="481"/>
      <c r="G1122" s="174" t="s">
        <v>74</v>
      </c>
      <c r="H1122" s="174" t="str" cm="1">
        <f t="array" ref="H1122">IFERROR(INDEX(INVESTOR_LIST[INVESTOR NAME],MATCH(I1122,INVESTOR_LIST[INVESTOR CODE],0),)," ")</f>
        <v>NANDINI SAHA</v>
      </c>
      <c r="I1122" s="148" t="s">
        <v>463</v>
      </c>
      <c r="J1122" s="149" t="s">
        <v>13</v>
      </c>
      <c r="K1122" s="218"/>
      <c r="L1122" s="218">
        <v>173460</v>
      </c>
      <c r="M1122" s="147">
        <v>0</v>
      </c>
      <c r="Q1122" s="133" t="s">
        <v>463</v>
      </c>
    </row>
    <row r="1123" spans="1:17" ht="22.5" x14ac:dyDescent="0.2">
      <c r="A1123" s="163">
        <v>2020</v>
      </c>
      <c r="B1123" s="163">
        <v>11</v>
      </c>
      <c r="C1123" s="163">
        <v>17</v>
      </c>
      <c r="D1123" s="141">
        <f t="shared" si="40"/>
        <v>44152</v>
      </c>
      <c r="E1123" s="275">
        <f t="shared" si="41"/>
        <v>44152</v>
      </c>
      <c r="F1123" s="480"/>
      <c r="G1123" s="221" t="s">
        <v>74</v>
      </c>
      <c r="H1123" s="221" t="str" cm="1">
        <f t="array" ref="H1123">IFERROR(INDEX(INVESTOR_LIST[INVESTOR NAME],MATCH(I1123,INVESTOR_LIST[INVESTOR CODE],0),)," ")</f>
        <v>NANDINI SAHA</v>
      </c>
      <c r="I1123" s="145" t="s">
        <v>463</v>
      </c>
      <c r="J1123" s="146" t="s">
        <v>53</v>
      </c>
      <c r="K1123" s="219"/>
      <c r="L1123" s="219">
        <f>K1121-L1122</f>
        <v>26540</v>
      </c>
      <c r="M1123" s="147">
        <v>0</v>
      </c>
      <c r="Q1123" s="133" t="s">
        <v>463</v>
      </c>
    </row>
    <row r="1124" spans="1:17" x14ac:dyDescent="0.2">
      <c r="A1124" s="141">
        <v>2020</v>
      </c>
      <c r="B1124" s="141">
        <v>11</v>
      </c>
      <c r="C1124" s="141">
        <v>17</v>
      </c>
      <c r="D1124" s="141">
        <f t="shared" si="40"/>
        <v>44152</v>
      </c>
      <c r="E1124" s="275">
        <f t="shared" si="41"/>
        <v>44152</v>
      </c>
      <c r="F1124" s="479" t="s">
        <v>77</v>
      </c>
      <c r="G1124" s="220" t="s">
        <v>74</v>
      </c>
      <c r="H1124" s="174" t="str" cm="1">
        <f t="array" ref="H1124">IFERROR(INDEX(INVESTOR_LIST[INVESTOR NAME],MATCH(I1124,INVESTOR_LIST[INVESTOR CODE],0),)," ")</f>
        <v xml:space="preserve"> </v>
      </c>
      <c r="I1124" s="148" t="s">
        <v>348</v>
      </c>
      <c r="J1124" s="143" t="s">
        <v>61</v>
      </c>
      <c r="K1124" s="226">
        <v>10</v>
      </c>
      <c r="L1124" s="226"/>
      <c r="M1124" s="147">
        <v>0</v>
      </c>
      <c r="Q1124" s="133" t="s">
        <v>348</v>
      </c>
    </row>
    <row r="1125" spans="1:17" x14ac:dyDescent="0.2">
      <c r="A1125" s="144">
        <v>2020</v>
      </c>
      <c r="B1125" s="144">
        <v>11</v>
      </c>
      <c r="C1125" s="144">
        <v>17</v>
      </c>
      <c r="D1125" s="141">
        <f t="shared" si="40"/>
        <v>44152</v>
      </c>
      <c r="E1125" s="275">
        <f t="shared" si="41"/>
        <v>44152</v>
      </c>
      <c r="F1125" s="480"/>
      <c r="G1125" s="221" t="s">
        <v>74</v>
      </c>
      <c r="H1125" s="221" t="str" cm="1">
        <f t="array" ref="H1125">IFERROR(INDEX(INVESTOR_LIST[INVESTOR NAME],MATCH(I1125,INVESTOR_LIST[INVESTOR CODE],0),)," ")</f>
        <v xml:space="preserve"> </v>
      </c>
      <c r="I1125" s="145" t="s">
        <v>348</v>
      </c>
      <c r="J1125" s="146" t="s">
        <v>52</v>
      </c>
      <c r="K1125" s="219"/>
      <c r="L1125" s="219">
        <v>10</v>
      </c>
      <c r="M1125" s="147">
        <v>0</v>
      </c>
      <c r="Q1125" s="133" t="s">
        <v>348</v>
      </c>
    </row>
    <row r="1126" spans="1:17" x14ac:dyDescent="0.2">
      <c r="A1126" s="147">
        <v>2020</v>
      </c>
      <c r="B1126" s="147">
        <v>11</v>
      </c>
      <c r="C1126" s="147">
        <v>17</v>
      </c>
      <c r="D1126" s="141">
        <f t="shared" si="40"/>
        <v>44152</v>
      </c>
      <c r="E1126" s="275">
        <f t="shared" si="41"/>
        <v>44152</v>
      </c>
      <c r="F1126" s="479" t="s">
        <v>225</v>
      </c>
      <c r="G1126" s="174" t="s">
        <v>94</v>
      </c>
      <c r="H1126" s="174" t="str" cm="1">
        <f t="array" ref="H1126">IFERROR(INDEX(INVESTOR_LIST[INVESTOR NAME],MATCH(I1126,INVESTOR_LIST[INVESTOR CODE],0),)," ")</f>
        <v xml:space="preserve"> </v>
      </c>
      <c r="I1126" s="148" t="s">
        <v>348</v>
      </c>
      <c r="J1126" s="149" t="s">
        <v>168</v>
      </c>
      <c r="K1126" s="218">
        <v>600000</v>
      </c>
      <c r="L1126" s="218"/>
      <c r="M1126" s="147">
        <v>3</v>
      </c>
      <c r="Q1126" s="133" t="s">
        <v>348</v>
      </c>
    </row>
    <row r="1127" spans="1:17" x14ac:dyDescent="0.2">
      <c r="A1127" s="144">
        <v>2020</v>
      </c>
      <c r="B1127" s="144">
        <v>11</v>
      </c>
      <c r="C1127" s="144">
        <v>17</v>
      </c>
      <c r="D1127" s="141">
        <f t="shared" si="40"/>
        <v>44152</v>
      </c>
      <c r="E1127" s="275">
        <f t="shared" si="41"/>
        <v>44152</v>
      </c>
      <c r="F1127" s="480"/>
      <c r="G1127" s="221" t="s">
        <v>94</v>
      </c>
      <c r="H1127" s="221" t="str" cm="1">
        <f t="array" ref="H1127">IFERROR(INDEX(INVESTOR_LIST[INVESTOR NAME],MATCH(I1127,INVESTOR_LIST[INVESTOR CODE],0),)," ")</f>
        <v xml:space="preserve"> </v>
      </c>
      <c r="I1127" s="145" t="s">
        <v>348</v>
      </c>
      <c r="J1127" s="146" t="s">
        <v>166</v>
      </c>
      <c r="K1127" s="219"/>
      <c r="L1127" s="219">
        <v>600000</v>
      </c>
      <c r="M1127" s="147">
        <v>0</v>
      </c>
      <c r="Q1127" s="133" t="s">
        <v>348</v>
      </c>
    </row>
    <row r="1128" spans="1:17" x14ac:dyDescent="0.2">
      <c r="A1128" s="147">
        <v>2020</v>
      </c>
      <c r="B1128" s="147">
        <v>11</v>
      </c>
      <c r="C1128" s="147">
        <v>18</v>
      </c>
      <c r="D1128" s="141">
        <f t="shared" si="40"/>
        <v>44153</v>
      </c>
      <c r="E1128" s="275">
        <f t="shared" si="41"/>
        <v>44153</v>
      </c>
      <c r="F1128" s="481" t="s">
        <v>275</v>
      </c>
      <c r="G1128" s="174" t="s">
        <v>74</v>
      </c>
      <c r="H1128" s="174" t="str" cm="1">
        <f t="array" ref="H1128">IFERROR(INDEX(INVESTOR_LIST[INVESTOR NAME],MATCH(I1128,INVESTOR_LIST[INVESTOR CODE],0),)," ")</f>
        <v xml:space="preserve"> </v>
      </c>
      <c r="I1128" s="148" t="s">
        <v>348</v>
      </c>
      <c r="J1128" s="149" t="s">
        <v>163</v>
      </c>
      <c r="K1128" s="218">
        <v>3150</v>
      </c>
      <c r="L1128" s="218"/>
      <c r="M1128" s="147">
        <v>0</v>
      </c>
      <c r="Q1128" s="133" t="s">
        <v>348</v>
      </c>
    </row>
    <row r="1129" spans="1:17" x14ac:dyDescent="0.2">
      <c r="A1129" s="144">
        <v>2020</v>
      </c>
      <c r="B1129" s="144">
        <v>11</v>
      </c>
      <c r="C1129" s="144">
        <v>18</v>
      </c>
      <c r="D1129" s="141">
        <f t="shared" si="40"/>
        <v>44153</v>
      </c>
      <c r="E1129" s="275">
        <f t="shared" si="41"/>
        <v>44153</v>
      </c>
      <c r="F1129" s="480"/>
      <c r="G1129" s="221" t="s">
        <v>74</v>
      </c>
      <c r="H1129" s="221" t="str" cm="1">
        <f t="array" ref="H1129">IFERROR(INDEX(INVESTOR_LIST[INVESTOR NAME],MATCH(I1129,INVESTOR_LIST[INVESTOR CODE],0),)," ")</f>
        <v xml:space="preserve"> </v>
      </c>
      <c r="I1129" s="145" t="s">
        <v>348</v>
      </c>
      <c r="J1129" s="146" t="s">
        <v>52</v>
      </c>
      <c r="K1129" s="219"/>
      <c r="L1129" s="219">
        <v>3150</v>
      </c>
      <c r="M1129" s="147">
        <v>0</v>
      </c>
      <c r="Q1129" s="133" t="s">
        <v>348</v>
      </c>
    </row>
    <row r="1130" spans="1:17" ht="33.75" x14ac:dyDescent="0.2">
      <c r="A1130" s="133">
        <v>2020</v>
      </c>
      <c r="B1130" s="133">
        <v>11</v>
      </c>
      <c r="C1130" s="133">
        <v>18</v>
      </c>
      <c r="D1130" s="141">
        <f t="shared" si="40"/>
        <v>44153</v>
      </c>
      <c r="E1130" s="275">
        <f t="shared" si="41"/>
        <v>44153</v>
      </c>
      <c r="F1130" s="479" t="s">
        <v>964</v>
      </c>
      <c r="G1130" s="174" t="s">
        <v>74</v>
      </c>
      <c r="H1130" s="174" t="str" cm="1">
        <f t="array" ref="H1130">IFERROR(INDEX(INVESTOR_LIST[INVESTOR NAME],MATCH(I1130,INVESTOR_LIST[INVESTOR CODE],0),)," ")</f>
        <v>MD. EMDAD HOSSAIN</v>
      </c>
      <c r="I1130" s="148" t="s">
        <v>475</v>
      </c>
      <c r="J1130" s="149" t="s">
        <v>52</v>
      </c>
      <c r="K1130" s="218">
        <v>200000</v>
      </c>
      <c r="L1130" s="218"/>
      <c r="M1130" s="147">
        <v>0</v>
      </c>
      <c r="Q1130" s="133" t="s">
        <v>475</v>
      </c>
    </row>
    <row r="1131" spans="1:17" ht="33.75" x14ac:dyDescent="0.2">
      <c r="A1131" s="133">
        <v>2020</v>
      </c>
      <c r="B1131" s="133">
        <v>11</v>
      </c>
      <c r="C1131" s="133">
        <v>18</v>
      </c>
      <c r="D1131" s="141">
        <f t="shared" si="40"/>
        <v>44153</v>
      </c>
      <c r="E1131" s="275">
        <f t="shared" si="41"/>
        <v>44153</v>
      </c>
      <c r="F1131" s="481"/>
      <c r="G1131" s="174" t="s">
        <v>74</v>
      </c>
      <c r="H1131" s="174" t="str" cm="1">
        <f t="array" ref="H1131">IFERROR(INDEX(INVESTOR_LIST[INVESTOR NAME],MATCH(I1131,INVESTOR_LIST[INVESTOR CODE],0),)," ")</f>
        <v>MD. EMDAD HOSSAIN</v>
      </c>
      <c r="I1131" s="148" t="s">
        <v>475</v>
      </c>
      <c r="J1131" s="149" t="s">
        <v>13</v>
      </c>
      <c r="K1131" s="218"/>
      <c r="L1131" s="218">
        <v>173600</v>
      </c>
      <c r="M1131" s="147">
        <v>1</v>
      </c>
      <c r="Q1131" s="133" t="s">
        <v>475</v>
      </c>
    </row>
    <row r="1132" spans="1:17" ht="33.75" x14ac:dyDescent="0.2">
      <c r="A1132" s="163">
        <v>2020</v>
      </c>
      <c r="B1132" s="163">
        <v>11</v>
      </c>
      <c r="C1132" s="163">
        <v>18</v>
      </c>
      <c r="D1132" s="141">
        <f t="shared" si="40"/>
        <v>44153</v>
      </c>
      <c r="E1132" s="275">
        <f t="shared" si="41"/>
        <v>44153</v>
      </c>
      <c r="F1132" s="480"/>
      <c r="G1132" s="221" t="s">
        <v>74</v>
      </c>
      <c r="H1132" s="221" t="str" cm="1">
        <f t="array" ref="H1132">IFERROR(INDEX(INVESTOR_LIST[INVESTOR NAME],MATCH(I1132,INVESTOR_LIST[INVESTOR CODE],0),)," ")</f>
        <v>MD. EMDAD HOSSAIN</v>
      </c>
      <c r="I1132" s="145" t="s">
        <v>475</v>
      </c>
      <c r="J1132" s="146" t="s">
        <v>53</v>
      </c>
      <c r="K1132" s="219"/>
      <c r="L1132" s="219">
        <f>K1130-L1131</f>
        <v>26400</v>
      </c>
      <c r="M1132" s="147">
        <v>0</v>
      </c>
      <c r="Q1132" s="133" t="s">
        <v>475</v>
      </c>
    </row>
    <row r="1133" spans="1:17" ht="45" x14ac:dyDescent="0.2">
      <c r="A1133" s="133">
        <v>2020</v>
      </c>
      <c r="B1133" s="133">
        <v>11</v>
      </c>
      <c r="C1133" s="133">
        <v>18</v>
      </c>
      <c r="D1133" s="141">
        <f t="shared" si="40"/>
        <v>44153</v>
      </c>
      <c r="E1133" s="275">
        <f t="shared" si="41"/>
        <v>44153</v>
      </c>
      <c r="F1133" s="479" t="s">
        <v>964</v>
      </c>
      <c r="G1133" s="174" t="s">
        <v>74</v>
      </c>
      <c r="H1133" s="174" t="str" cm="1">
        <f t="array" ref="H1133">IFERROR(INDEX(INVESTOR_LIST[INVESTOR NAME],MATCH(I1133,INVESTOR_LIST[INVESTOR CODE],0),)," ")</f>
        <v>SHAHRIAR MAHMOOD</v>
      </c>
      <c r="I1133" s="148" t="s">
        <v>476</v>
      </c>
      <c r="J1133" s="149" t="s">
        <v>52</v>
      </c>
      <c r="K1133" s="218">
        <v>200000</v>
      </c>
      <c r="L1133" s="218"/>
      <c r="M1133" s="147">
        <v>0</v>
      </c>
      <c r="Q1133" s="133" t="s">
        <v>476</v>
      </c>
    </row>
    <row r="1134" spans="1:17" ht="45" x14ac:dyDescent="0.2">
      <c r="A1134" s="133">
        <v>2020</v>
      </c>
      <c r="B1134" s="133">
        <v>11</v>
      </c>
      <c r="C1134" s="133">
        <v>18</v>
      </c>
      <c r="D1134" s="141">
        <f t="shared" si="40"/>
        <v>44153</v>
      </c>
      <c r="E1134" s="275">
        <f t="shared" si="41"/>
        <v>44153</v>
      </c>
      <c r="F1134" s="481"/>
      <c r="G1134" s="174" t="s">
        <v>74</v>
      </c>
      <c r="H1134" s="174" t="str" cm="1">
        <f t="array" ref="H1134">IFERROR(INDEX(INVESTOR_LIST[INVESTOR NAME],MATCH(I1134,INVESTOR_LIST[INVESTOR CODE],0),)," ")</f>
        <v>SHAHRIAR MAHMOOD</v>
      </c>
      <c r="I1134" s="148" t="s">
        <v>476</v>
      </c>
      <c r="J1134" s="149" t="s">
        <v>13</v>
      </c>
      <c r="K1134" s="218"/>
      <c r="L1134" s="218">
        <v>173600</v>
      </c>
      <c r="M1134" s="147">
        <v>0</v>
      </c>
      <c r="Q1134" s="133" t="s">
        <v>476</v>
      </c>
    </row>
    <row r="1135" spans="1:17" ht="45" x14ac:dyDescent="0.2">
      <c r="A1135" s="163">
        <v>2020</v>
      </c>
      <c r="B1135" s="163">
        <v>11</v>
      </c>
      <c r="C1135" s="163">
        <v>18</v>
      </c>
      <c r="D1135" s="141">
        <f t="shared" si="40"/>
        <v>44153</v>
      </c>
      <c r="E1135" s="275">
        <f t="shared" si="41"/>
        <v>44153</v>
      </c>
      <c r="F1135" s="480"/>
      <c r="G1135" s="221" t="s">
        <v>74</v>
      </c>
      <c r="H1135" s="221" t="str" cm="1">
        <f t="array" ref="H1135">IFERROR(INDEX(INVESTOR_LIST[INVESTOR NAME],MATCH(I1135,INVESTOR_LIST[INVESTOR CODE],0),)," ")</f>
        <v>SHAHRIAR MAHMOOD</v>
      </c>
      <c r="I1135" s="145" t="s">
        <v>476</v>
      </c>
      <c r="J1135" s="146" t="s">
        <v>53</v>
      </c>
      <c r="K1135" s="219"/>
      <c r="L1135" s="219">
        <f>K1133-L1134</f>
        <v>26400</v>
      </c>
      <c r="M1135" s="147">
        <v>0</v>
      </c>
      <c r="Q1135" s="133" t="s">
        <v>476</v>
      </c>
    </row>
    <row r="1136" spans="1:17" ht="33.75" x14ac:dyDescent="0.2">
      <c r="A1136" s="133">
        <v>2020</v>
      </c>
      <c r="B1136" s="133">
        <v>11</v>
      </c>
      <c r="C1136" s="133">
        <v>18</v>
      </c>
      <c r="D1136" s="141">
        <f t="shared" si="40"/>
        <v>44153</v>
      </c>
      <c r="E1136" s="275">
        <f t="shared" si="41"/>
        <v>44153</v>
      </c>
      <c r="F1136" s="479" t="s">
        <v>964</v>
      </c>
      <c r="G1136" s="174" t="s">
        <v>74</v>
      </c>
      <c r="H1136" s="174" t="str" cm="1">
        <f t="array" ref="H1136">IFERROR(INDEX(INVESTOR_LIST[INVESTOR NAME],MATCH(I1136,INVESTOR_LIST[INVESTOR CODE],0),)," ")</f>
        <v>M A QUAYOOM</v>
      </c>
      <c r="I1136" s="148" t="s">
        <v>412</v>
      </c>
      <c r="J1136" s="149" t="s">
        <v>52</v>
      </c>
      <c r="K1136" s="218">
        <v>402850</v>
      </c>
      <c r="L1136" s="218"/>
      <c r="M1136" s="147">
        <v>0</v>
      </c>
      <c r="Q1136" s="133" t="s">
        <v>412</v>
      </c>
    </row>
    <row r="1137" spans="1:17" ht="33.75" x14ac:dyDescent="0.2">
      <c r="A1137" s="133">
        <v>2020</v>
      </c>
      <c r="B1137" s="133">
        <v>11</v>
      </c>
      <c r="C1137" s="133">
        <v>18</v>
      </c>
      <c r="D1137" s="141">
        <f t="shared" si="40"/>
        <v>44153</v>
      </c>
      <c r="E1137" s="275">
        <f t="shared" si="41"/>
        <v>44153</v>
      </c>
      <c r="F1137" s="481"/>
      <c r="G1137" s="174" t="s">
        <v>74</v>
      </c>
      <c r="H1137" s="174" t="str" cm="1">
        <f t="array" ref="H1137">IFERROR(INDEX(INVESTOR_LIST[INVESTOR NAME],MATCH(I1137,INVESTOR_LIST[INVESTOR CODE],0),)," ")</f>
        <v>M A QUAYOOM</v>
      </c>
      <c r="I1137" s="148" t="s">
        <v>412</v>
      </c>
      <c r="J1137" s="149" t="s">
        <v>13</v>
      </c>
      <c r="K1137" s="218"/>
      <c r="L1137" s="218">
        <v>350000</v>
      </c>
      <c r="M1137" s="147">
        <v>0</v>
      </c>
      <c r="Q1137" s="133" t="s">
        <v>412</v>
      </c>
    </row>
    <row r="1138" spans="1:17" ht="33.75" x14ac:dyDescent="0.2">
      <c r="A1138" s="163">
        <v>2020</v>
      </c>
      <c r="B1138" s="163">
        <v>11</v>
      </c>
      <c r="C1138" s="163">
        <v>18</v>
      </c>
      <c r="D1138" s="141">
        <f t="shared" si="40"/>
        <v>44153</v>
      </c>
      <c r="E1138" s="275">
        <f t="shared" si="41"/>
        <v>44153</v>
      </c>
      <c r="F1138" s="480"/>
      <c r="G1138" s="221" t="s">
        <v>74</v>
      </c>
      <c r="H1138" s="221" t="str" cm="1">
        <f t="array" ref="H1138">IFERROR(INDEX(INVESTOR_LIST[INVESTOR NAME],MATCH(I1138,INVESTOR_LIST[INVESTOR CODE],0),)," ")</f>
        <v>M A QUAYOOM</v>
      </c>
      <c r="I1138" s="145" t="s">
        <v>412</v>
      </c>
      <c r="J1138" s="146" t="s">
        <v>53</v>
      </c>
      <c r="K1138" s="219"/>
      <c r="L1138" s="219">
        <f>K1136-L1137</f>
        <v>52850</v>
      </c>
      <c r="M1138" s="147">
        <v>1</v>
      </c>
      <c r="Q1138" s="133" t="s">
        <v>412</v>
      </c>
    </row>
    <row r="1139" spans="1:17" ht="33.75" x14ac:dyDescent="0.2">
      <c r="A1139" s="133">
        <v>2020</v>
      </c>
      <c r="B1139" s="133">
        <v>11</v>
      </c>
      <c r="C1139" s="133">
        <v>18</v>
      </c>
      <c r="D1139" s="141">
        <f t="shared" si="40"/>
        <v>44153</v>
      </c>
      <c r="E1139" s="275">
        <f t="shared" si="41"/>
        <v>44153</v>
      </c>
      <c r="F1139" s="479" t="s">
        <v>964</v>
      </c>
      <c r="G1139" s="174" t="s">
        <v>74</v>
      </c>
      <c r="H1139" s="174" t="str" cm="1">
        <f t="array" ref="H1139">IFERROR(INDEX(INVESTOR_LIST[INVESTOR NAME],MATCH(I1139,INVESTOR_LIST[INVESTOR CODE],0),)," ")</f>
        <v>RABEYA JAHAN SOAD</v>
      </c>
      <c r="I1139" s="148" t="s">
        <v>447</v>
      </c>
      <c r="J1139" s="149" t="s">
        <v>52</v>
      </c>
      <c r="K1139" s="218">
        <v>200000</v>
      </c>
      <c r="L1139" s="218"/>
      <c r="M1139" s="147">
        <v>0</v>
      </c>
      <c r="Q1139" s="133" t="s">
        <v>447</v>
      </c>
    </row>
    <row r="1140" spans="1:17" ht="33.75" x14ac:dyDescent="0.2">
      <c r="A1140" s="133">
        <v>2020</v>
      </c>
      <c r="B1140" s="133">
        <v>11</v>
      </c>
      <c r="C1140" s="133">
        <v>18</v>
      </c>
      <c r="D1140" s="141">
        <f t="shared" si="40"/>
        <v>44153</v>
      </c>
      <c r="E1140" s="275">
        <f t="shared" si="41"/>
        <v>44153</v>
      </c>
      <c r="F1140" s="481"/>
      <c r="G1140" s="174" t="s">
        <v>74</v>
      </c>
      <c r="H1140" s="174" t="str" cm="1">
        <f t="array" ref="H1140">IFERROR(INDEX(INVESTOR_LIST[INVESTOR NAME],MATCH(I1140,INVESTOR_LIST[INVESTOR CODE],0),)," ")</f>
        <v>RABEYA JAHAN SOAD</v>
      </c>
      <c r="I1140" s="148" t="s">
        <v>447</v>
      </c>
      <c r="J1140" s="149" t="s">
        <v>13</v>
      </c>
      <c r="K1140" s="218"/>
      <c r="L1140" s="218">
        <v>173600</v>
      </c>
      <c r="M1140" s="147">
        <v>0</v>
      </c>
      <c r="Q1140" s="133" t="s">
        <v>447</v>
      </c>
    </row>
    <row r="1141" spans="1:17" ht="33.75" x14ac:dyDescent="0.2">
      <c r="A1141" s="163">
        <v>2020</v>
      </c>
      <c r="B1141" s="163">
        <v>11</v>
      </c>
      <c r="C1141" s="163">
        <v>18</v>
      </c>
      <c r="D1141" s="141">
        <f t="shared" si="40"/>
        <v>44153</v>
      </c>
      <c r="E1141" s="275">
        <f t="shared" si="41"/>
        <v>44153</v>
      </c>
      <c r="F1141" s="480"/>
      <c r="G1141" s="221" t="s">
        <v>74</v>
      </c>
      <c r="H1141" s="221" t="str" cm="1">
        <f t="array" ref="H1141">IFERROR(INDEX(INVESTOR_LIST[INVESTOR NAME],MATCH(I1141,INVESTOR_LIST[INVESTOR CODE],0),)," ")</f>
        <v>RABEYA JAHAN SOAD</v>
      </c>
      <c r="I1141" s="145" t="s">
        <v>447</v>
      </c>
      <c r="J1141" s="146" t="s">
        <v>53</v>
      </c>
      <c r="K1141" s="219"/>
      <c r="L1141" s="219">
        <f>K1139-L1140</f>
        <v>26400</v>
      </c>
      <c r="M1141" s="147">
        <v>0</v>
      </c>
      <c r="Q1141" s="133" t="s">
        <v>447</v>
      </c>
    </row>
    <row r="1142" spans="1:17" x14ac:dyDescent="0.2">
      <c r="A1142" s="141">
        <v>2020</v>
      </c>
      <c r="B1142" s="141">
        <v>11</v>
      </c>
      <c r="C1142" s="141">
        <v>18</v>
      </c>
      <c r="D1142" s="141">
        <f t="shared" si="40"/>
        <v>44153</v>
      </c>
      <c r="E1142" s="275">
        <f t="shared" si="41"/>
        <v>44153</v>
      </c>
      <c r="F1142" s="479" t="s">
        <v>77</v>
      </c>
      <c r="G1142" s="220" t="s">
        <v>74</v>
      </c>
      <c r="H1142" s="174" t="str" cm="1">
        <f t="array" ref="H1142">IFERROR(INDEX(INVESTOR_LIST[INVESTOR NAME],MATCH(I1142,INVESTOR_LIST[INVESTOR CODE],0),)," ")</f>
        <v xml:space="preserve"> </v>
      </c>
      <c r="I1142" s="148" t="s">
        <v>348</v>
      </c>
      <c r="J1142" s="143" t="s">
        <v>61</v>
      </c>
      <c r="K1142" s="226">
        <v>30</v>
      </c>
      <c r="L1142" s="226"/>
      <c r="M1142" s="147">
        <v>0</v>
      </c>
      <c r="Q1142" s="133" t="s">
        <v>348</v>
      </c>
    </row>
    <row r="1143" spans="1:17" x14ac:dyDescent="0.2">
      <c r="A1143" s="144">
        <v>2020</v>
      </c>
      <c r="B1143" s="144">
        <v>11</v>
      </c>
      <c r="C1143" s="144">
        <v>18</v>
      </c>
      <c r="D1143" s="141">
        <f t="shared" si="40"/>
        <v>44153</v>
      </c>
      <c r="E1143" s="275">
        <f t="shared" si="41"/>
        <v>44153</v>
      </c>
      <c r="F1143" s="480"/>
      <c r="G1143" s="221" t="s">
        <v>74</v>
      </c>
      <c r="H1143" s="221" t="str" cm="1">
        <f t="array" ref="H1143">IFERROR(INDEX(INVESTOR_LIST[INVESTOR NAME],MATCH(I1143,INVESTOR_LIST[INVESTOR CODE],0),)," ")</f>
        <v xml:space="preserve"> </v>
      </c>
      <c r="I1143" s="145" t="s">
        <v>348</v>
      </c>
      <c r="J1143" s="146" t="s">
        <v>52</v>
      </c>
      <c r="K1143" s="219"/>
      <c r="L1143" s="219">
        <v>30</v>
      </c>
      <c r="M1143" s="147">
        <v>1</v>
      </c>
      <c r="Q1143" s="133" t="s">
        <v>348</v>
      </c>
    </row>
    <row r="1144" spans="1:17" x14ac:dyDescent="0.2">
      <c r="A1144" s="133">
        <v>2020</v>
      </c>
      <c r="B1144" s="133">
        <v>11</v>
      </c>
      <c r="C1144" s="133">
        <v>18</v>
      </c>
      <c r="D1144" s="141">
        <f t="shared" si="40"/>
        <v>44153</v>
      </c>
      <c r="E1144" s="275">
        <f t="shared" si="41"/>
        <v>44153</v>
      </c>
      <c r="F1144" s="481" t="s">
        <v>215</v>
      </c>
      <c r="G1144" s="174" t="s">
        <v>74</v>
      </c>
      <c r="H1144" s="174" t="str" cm="1">
        <f t="array" ref="H1144">IFERROR(INDEX(INVESTOR_LIST[INVESTOR NAME],MATCH(I1144,INVESTOR_LIST[INVESTOR CODE],0),)," ")</f>
        <v xml:space="preserve"> </v>
      </c>
      <c r="I1144" s="148" t="s">
        <v>348</v>
      </c>
      <c r="J1144" s="149" t="s">
        <v>52</v>
      </c>
      <c r="K1144" s="218">
        <v>7482085.0599999996</v>
      </c>
      <c r="L1144" s="218"/>
      <c r="M1144" s="147">
        <v>0</v>
      </c>
      <c r="Q1144" s="133" t="s">
        <v>348</v>
      </c>
    </row>
    <row r="1145" spans="1:17" x14ac:dyDescent="0.2">
      <c r="A1145" s="163">
        <v>2020</v>
      </c>
      <c r="B1145" s="163">
        <v>11</v>
      </c>
      <c r="C1145" s="163">
        <v>18</v>
      </c>
      <c r="D1145" s="141">
        <f t="shared" si="40"/>
        <v>44153</v>
      </c>
      <c r="E1145" s="275">
        <f t="shared" si="41"/>
        <v>44153</v>
      </c>
      <c r="F1145" s="480"/>
      <c r="G1145" s="221" t="s">
        <v>74</v>
      </c>
      <c r="H1145" s="221" t="str" cm="1">
        <f t="array" ref="H1145">IFERROR(INDEX(INVESTOR_LIST[INVESTOR NAME],MATCH(I1145,INVESTOR_LIST[INVESTOR CODE],0),)," ")</f>
        <v xml:space="preserve"> </v>
      </c>
      <c r="I1145" s="145" t="s">
        <v>348</v>
      </c>
      <c r="J1145" s="146" t="s">
        <v>190</v>
      </c>
      <c r="K1145" s="219"/>
      <c r="L1145" s="219">
        <v>7482085.0599999996</v>
      </c>
      <c r="M1145" s="147">
        <v>0</v>
      </c>
      <c r="Q1145" s="133" t="s">
        <v>348</v>
      </c>
    </row>
    <row r="1146" spans="1:17" x14ac:dyDescent="0.2">
      <c r="A1146" s="133">
        <v>2020</v>
      </c>
      <c r="B1146" s="133">
        <v>11</v>
      </c>
      <c r="C1146" s="133">
        <v>18</v>
      </c>
      <c r="D1146" s="141">
        <f t="shared" si="40"/>
        <v>44153</v>
      </c>
      <c r="E1146" s="275">
        <f t="shared" si="41"/>
        <v>44153</v>
      </c>
      <c r="F1146" s="479" t="s">
        <v>291</v>
      </c>
      <c r="G1146" s="174" t="s">
        <v>94</v>
      </c>
      <c r="H1146" s="174" t="str" cm="1">
        <f t="array" ref="H1146">IFERROR(INDEX(INVESTOR_LIST[INVESTOR NAME],MATCH(I1146,INVESTOR_LIST[INVESTOR CODE],0),)," ")</f>
        <v xml:space="preserve"> </v>
      </c>
      <c r="I1146" s="148" t="s">
        <v>348</v>
      </c>
      <c r="J1146" s="149" t="s">
        <v>190</v>
      </c>
      <c r="K1146" s="218">
        <v>2623589.8224999998</v>
      </c>
      <c r="L1146" s="218"/>
      <c r="M1146" s="147">
        <v>0</v>
      </c>
      <c r="Q1146" s="133" t="s">
        <v>348</v>
      </c>
    </row>
    <row r="1147" spans="1:17" x14ac:dyDescent="0.2">
      <c r="A1147" s="133">
        <v>2020</v>
      </c>
      <c r="B1147" s="133">
        <v>11</v>
      </c>
      <c r="C1147" s="133">
        <v>18</v>
      </c>
      <c r="D1147" s="141">
        <f t="shared" si="40"/>
        <v>44153</v>
      </c>
      <c r="E1147" s="275">
        <f t="shared" si="41"/>
        <v>44153</v>
      </c>
      <c r="F1147" s="481"/>
      <c r="G1147" s="174" t="s">
        <v>94</v>
      </c>
      <c r="H1147" s="174" t="str" cm="1">
        <f t="array" ref="H1147">IFERROR(INDEX(INVESTOR_LIST[INVESTOR NAME],MATCH(I1147,INVESTOR_LIST[INVESTOR CODE],0),)," ")</f>
        <v xml:space="preserve"> </v>
      </c>
      <c r="I1147" s="148" t="s">
        <v>348</v>
      </c>
      <c r="J1147" s="149" t="s">
        <v>80</v>
      </c>
      <c r="K1147" s="218">
        <v>4730.9775</v>
      </c>
      <c r="L1147" s="218"/>
      <c r="M1147" s="147">
        <v>0</v>
      </c>
      <c r="P1147" s="160"/>
      <c r="Q1147" s="133" t="s">
        <v>348</v>
      </c>
    </row>
    <row r="1148" spans="1:17" x14ac:dyDescent="0.2">
      <c r="A1148" s="133">
        <v>2020</v>
      </c>
      <c r="B1148" s="133">
        <v>11</v>
      </c>
      <c r="C1148" s="133">
        <v>18</v>
      </c>
      <c r="D1148" s="141">
        <f t="shared" si="40"/>
        <v>44153</v>
      </c>
      <c r="E1148" s="275">
        <f t="shared" si="41"/>
        <v>44153</v>
      </c>
      <c r="F1148" s="481"/>
      <c r="G1148" s="174" t="s">
        <v>94</v>
      </c>
      <c r="H1148" s="174" t="str" cm="1">
        <f t="array" ref="H1148">IFERROR(INDEX(INVESTOR_LIST[INVESTOR NAME],MATCH(I1148,INVESTOR_LIST[INVESTOR CODE],0),)," ")</f>
        <v xml:space="preserve"> </v>
      </c>
      <c r="I1148" s="148" t="s">
        <v>348</v>
      </c>
      <c r="J1148" s="149" t="s">
        <v>79</v>
      </c>
      <c r="K1148" s="218"/>
      <c r="L1148" s="218">
        <v>2620276.27</v>
      </c>
      <c r="M1148" s="147">
        <v>0</v>
      </c>
      <c r="Q1148" s="133" t="s">
        <v>348</v>
      </c>
    </row>
    <row r="1149" spans="1:17" x14ac:dyDescent="0.2">
      <c r="A1149" s="163">
        <v>2020</v>
      </c>
      <c r="B1149" s="163">
        <v>11</v>
      </c>
      <c r="C1149" s="163">
        <v>18</v>
      </c>
      <c r="D1149" s="141">
        <f t="shared" si="40"/>
        <v>44153</v>
      </c>
      <c r="E1149" s="275">
        <f t="shared" si="41"/>
        <v>44153</v>
      </c>
      <c r="F1149" s="480"/>
      <c r="G1149" s="221" t="s">
        <v>94</v>
      </c>
      <c r="H1149" s="221" t="str" cm="1">
        <f t="array" ref="H1149">IFERROR(INDEX(INVESTOR_LIST[INVESTOR NAME],MATCH(I1149,INVESTOR_LIST[INVESTOR CODE],0),)," ")</f>
        <v xml:space="preserve"> </v>
      </c>
      <c r="I1149" s="145" t="s">
        <v>348</v>
      </c>
      <c r="J1149" s="146" t="s">
        <v>191</v>
      </c>
      <c r="K1149" s="219"/>
      <c r="L1149" s="219">
        <v>8044.53</v>
      </c>
      <c r="M1149" s="147">
        <v>1</v>
      </c>
      <c r="N1149" s="156"/>
      <c r="Q1149" s="133" t="s">
        <v>348</v>
      </c>
    </row>
    <row r="1150" spans="1:17" ht="45" x14ac:dyDescent="0.2">
      <c r="A1150" s="133">
        <v>2020</v>
      </c>
      <c r="B1150" s="133">
        <v>11</v>
      </c>
      <c r="C1150" s="133">
        <v>19</v>
      </c>
      <c r="D1150" s="141">
        <f t="shared" si="40"/>
        <v>44154</v>
      </c>
      <c r="E1150" s="275">
        <f t="shared" si="41"/>
        <v>44154</v>
      </c>
      <c r="F1150" s="479" t="s">
        <v>964</v>
      </c>
      <c r="G1150" s="174" t="s">
        <v>74</v>
      </c>
      <c r="H1150" s="174" t="str" cm="1">
        <f t="array" ref="H1150">IFERROR(INDEX(INVESTOR_LIST[INVESTOR NAME],MATCH(I1150,INVESTOR_LIST[INVESTOR CODE],0),)," ")</f>
        <v>MOHAMMAD MONJUR ALAM</v>
      </c>
      <c r="I1150" s="148" t="s">
        <v>431</v>
      </c>
      <c r="J1150" s="149" t="s">
        <v>52</v>
      </c>
      <c r="K1150" s="218">
        <v>50000</v>
      </c>
      <c r="L1150" s="218"/>
      <c r="M1150" s="147">
        <v>0</v>
      </c>
      <c r="Q1150" s="133" t="s">
        <v>431</v>
      </c>
    </row>
    <row r="1151" spans="1:17" ht="45" x14ac:dyDescent="0.2">
      <c r="A1151" s="133">
        <v>2020</v>
      </c>
      <c r="B1151" s="133">
        <v>11</v>
      </c>
      <c r="C1151" s="133">
        <v>19</v>
      </c>
      <c r="D1151" s="141">
        <f t="shared" si="40"/>
        <v>44154</v>
      </c>
      <c r="E1151" s="275">
        <f t="shared" si="41"/>
        <v>44154</v>
      </c>
      <c r="F1151" s="481"/>
      <c r="G1151" s="174" t="s">
        <v>74</v>
      </c>
      <c r="H1151" s="174" t="str" cm="1">
        <f t="array" ref="H1151">IFERROR(INDEX(INVESTOR_LIST[INVESTOR NAME],MATCH(I1151,INVESTOR_LIST[INVESTOR CODE],0),)," ")</f>
        <v>MOHAMMAD MONJUR ALAM</v>
      </c>
      <c r="I1151" s="148" t="s">
        <v>431</v>
      </c>
      <c r="J1151" s="149" t="s">
        <v>13</v>
      </c>
      <c r="K1151" s="218"/>
      <c r="L1151" s="218">
        <v>43370</v>
      </c>
      <c r="M1151" s="147">
        <v>0</v>
      </c>
      <c r="Q1151" s="133" t="s">
        <v>431</v>
      </c>
    </row>
    <row r="1152" spans="1:17" ht="45" x14ac:dyDescent="0.2">
      <c r="A1152" s="163">
        <v>2020</v>
      </c>
      <c r="B1152" s="163">
        <v>11</v>
      </c>
      <c r="C1152" s="163">
        <v>19</v>
      </c>
      <c r="D1152" s="141">
        <f t="shared" si="40"/>
        <v>44154</v>
      </c>
      <c r="E1152" s="275">
        <f t="shared" si="41"/>
        <v>44154</v>
      </c>
      <c r="F1152" s="480"/>
      <c r="G1152" s="221" t="s">
        <v>74</v>
      </c>
      <c r="H1152" s="221" t="str" cm="1">
        <f t="array" ref="H1152">IFERROR(INDEX(INVESTOR_LIST[INVESTOR NAME],MATCH(I1152,INVESTOR_LIST[INVESTOR CODE],0),)," ")</f>
        <v>MOHAMMAD MONJUR ALAM</v>
      </c>
      <c r="I1152" s="145" t="s">
        <v>431</v>
      </c>
      <c r="J1152" s="146" t="s">
        <v>53</v>
      </c>
      <c r="K1152" s="219"/>
      <c r="L1152" s="219">
        <f>K1150-L1151</f>
        <v>6630</v>
      </c>
      <c r="M1152" s="147">
        <v>0</v>
      </c>
      <c r="Q1152" s="133" t="s">
        <v>431</v>
      </c>
    </row>
    <row r="1153" spans="1:17" x14ac:dyDescent="0.2">
      <c r="A1153" s="133">
        <v>2020</v>
      </c>
      <c r="B1153" s="133">
        <v>11</v>
      </c>
      <c r="C1153" s="133">
        <v>19</v>
      </c>
      <c r="D1153" s="141">
        <f t="shared" si="40"/>
        <v>44154</v>
      </c>
      <c r="E1153" s="275">
        <f t="shared" si="41"/>
        <v>44154</v>
      </c>
      <c r="F1153" s="479" t="s">
        <v>226</v>
      </c>
      <c r="G1153" s="174" t="s">
        <v>74</v>
      </c>
      <c r="H1153" s="174" t="str" cm="1">
        <f t="array" ref="H1153">IFERROR(INDEX(INVESTOR_LIST[INVESTOR NAME],MATCH(I1153,INVESTOR_LIST[INVESTOR CODE],0),)," ")</f>
        <v xml:space="preserve"> </v>
      </c>
      <c r="I1153" s="148" t="s">
        <v>348</v>
      </c>
      <c r="J1153" s="149" t="s">
        <v>184</v>
      </c>
      <c r="K1153" s="218">
        <v>31000000</v>
      </c>
      <c r="L1153" s="218"/>
      <c r="M1153" s="147">
        <v>0</v>
      </c>
      <c r="Q1153" s="133" t="s">
        <v>348</v>
      </c>
    </row>
    <row r="1154" spans="1:17" x14ac:dyDescent="0.2">
      <c r="A1154" s="133">
        <v>2020</v>
      </c>
      <c r="B1154" s="133">
        <v>11</v>
      </c>
      <c r="C1154" s="133">
        <v>19</v>
      </c>
      <c r="D1154" s="141">
        <f t="shared" si="40"/>
        <v>44154</v>
      </c>
      <c r="E1154" s="275">
        <f t="shared" si="41"/>
        <v>44154</v>
      </c>
      <c r="F1154" s="481"/>
      <c r="G1154" s="174" t="s">
        <v>74</v>
      </c>
      <c r="H1154" s="174" t="str" cm="1">
        <f t="array" ref="H1154">IFERROR(INDEX(INVESTOR_LIST[INVESTOR NAME],MATCH(I1154,INVESTOR_LIST[INVESTOR CODE],0),)," ")</f>
        <v xml:space="preserve"> </v>
      </c>
      <c r="I1154" s="148" t="s">
        <v>348</v>
      </c>
      <c r="J1154" s="149" t="s">
        <v>185</v>
      </c>
      <c r="K1154" s="218">
        <v>3000</v>
      </c>
      <c r="L1154" s="218"/>
      <c r="M1154" s="147">
        <v>0</v>
      </c>
      <c r="Q1154" s="133" t="s">
        <v>348</v>
      </c>
    </row>
    <row r="1155" spans="1:17" x14ac:dyDescent="0.2">
      <c r="A1155" s="133">
        <v>2020</v>
      </c>
      <c r="B1155" s="133">
        <v>11</v>
      </c>
      <c r="C1155" s="133">
        <v>19</v>
      </c>
      <c r="D1155" s="141">
        <f t="shared" si="40"/>
        <v>44154</v>
      </c>
      <c r="E1155" s="275">
        <f t="shared" si="41"/>
        <v>44154</v>
      </c>
      <c r="F1155" s="481"/>
      <c r="G1155" s="174" t="s">
        <v>74</v>
      </c>
      <c r="H1155" s="174" t="str" cm="1">
        <f t="array" ref="H1155">IFERROR(INDEX(INVESTOR_LIST[INVESTOR NAME],MATCH(I1155,INVESTOR_LIST[INVESTOR CODE],0),)," ")</f>
        <v xml:space="preserve"> </v>
      </c>
      <c r="I1155" s="148" t="s">
        <v>348</v>
      </c>
      <c r="J1155" s="149" t="s">
        <v>61</v>
      </c>
      <c r="K1155" s="218">
        <v>115</v>
      </c>
      <c r="L1155" s="218"/>
      <c r="M1155" s="147">
        <v>0</v>
      </c>
      <c r="Q1155" s="133" t="s">
        <v>348</v>
      </c>
    </row>
    <row r="1156" spans="1:17" x14ac:dyDescent="0.2">
      <c r="A1156" s="163">
        <v>2020</v>
      </c>
      <c r="B1156" s="163">
        <v>11</v>
      </c>
      <c r="C1156" s="163">
        <v>19</v>
      </c>
      <c r="D1156" s="141">
        <f t="shared" si="40"/>
        <v>44154</v>
      </c>
      <c r="E1156" s="275">
        <f t="shared" si="41"/>
        <v>44154</v>
      </c>
      <c r="F1156" s="480"/>
      <c r="G1156" s="221" t="s">
        <v>74</v>
      </c>
      <c r="H1156" s="221" t="str" cm="1">
        <f t="array" ref="H1156">IFERROR(INDEX(INVESTOR_LIST[INVESTOR NAME],MATCH(I1156,INVESTOR_LIST[INVESTOR CODE],0),)," ")</f>
        <v xml:space="preserve"> </v>
      </c>
      <c r="I1156" s="145" t="s">
        <v>348</v>
      </c>
      <c r="J1156" s="146" t="s">
        <v>52</v>
      </c>
      <c r="K1156" s="219"/>
      <c r="L1156" s="219">
        <v>31003115</v>
      </c>
      <c r="M1156" s="147">
        <v>0</v>
      </c>
      <c r="Q1156" s="133" t="s">
        <v>348</v>
      </c>
    </row>
    <row r="1157" spans="1:17" x14ac:dyDescent="0.2">
      <c r="A1157" s="246">
        <v>2020</v>
      </c>
      <c r="B1157" s="246">
        <v>11</v>
      </c>
      <c r="C1157" s="246">
        <v>19</v>
      </c>
      <c r="D1157" s="141">
        <f t="shared" si="40"/>
        <v>44154</v>
      </c>
      <c r="E1157" s="275">
        <f t="shared" si="41"/>
        <v>44154</v>
      </c>
      <c r="F1157" s="477" t="s">
        <v>105</v>
      </c>
      <c r="G1157" s="247" t="s">
        <v>94</v>
      </c>
      <c r="H1157" s="247" t="str" cm="1">
        <f t="array" ref="H1157">IFERROR(INDEX(INVESTOR_LIST[INVESTOR NAME],MATCH(I1157,INVESTOR_LIST[INVESTOR CODE],0),)," ")</f>
        <v xml:space="preserve"> </v>
      </c>
      <c r="I1157" s="248" t="s">
        <v>348</v>
      </c>
      <c r="J1157" s="249" t="s">
        <v>83</v>
      </c>
      <c r="K1157" s="252">
        <v>837011.95000000298</v>
      </c>
      <c r="L1157" s="252"/>
      <c r="M1157" s="147">
        <v>0</v>
      </c>
      <c r="Q1157" s="133" t="s">
        <v>348</v>
      </c>
    </row>
    <row r="1158" spans="1:17" x14ac:dyDescent="0.2">
      <c r="A1158" s="242">
        <v>2020</v>
      </c>
      <c r="B1158" s="242">
        <v>11</v>
      </c>
      <c r="C1158" s="242">
        <v>19</v>
      </c>
      <c r="D1158" s="141">
        <f t="shared" si="40"/>
        <v>44154</v>
      </c>
      <c r="E1158" s="275">
        <f t="shared" si="41"/>
        <v>44154</v>
      </c>
      <c r="F1158" s="478"/>
      <c r="G1158" s="243" t="s">
        <v>94</v>
      </c>
      <c r="H1158" s="243" t="str" cm="1">
        <f t="array" ref="H1158">IFERROR(INDEX(INVESTOR_LIST[INVESTOR NAME],MATCH(I1158,INVESTOR_LIST[INVESTOR CODE],0),)," ")</f>
        <v xml:space="preserve"> </v>
      </c>
      <c r="I1158" s="263" t="s">
        <v>348</v>
      </c>
      <c r="J1158" s="244" t="s">
        <v>108</v>
      </c>
      <c r="K1158" s="245"/>
      <c r="L1158" s="245">
        <v>837011.95000000298</v>
      </c>
      <c r="M1158" s="147">
        <v>0</v>
      </c>
      <c r="Q1158" s="133" t="s">
        <v>348</v>
      </c>
    </row>
    <row r="1159" spans="1:17" ht="22.5" x14ac:dyDescent="0.2">
      <c r="A1159" s="246">
        <v>2020</v>
      </c>
      <c r="B1159" s="246">
        <v>11</v>
      </c>
      <c r="C1159" s="246">
        <v>19</v>
      </c>
      <c r="D1159" s="141">
        <f t="shared" si="40"/>
        <v>44154</v>
      </c>
      <c r="E1159" s="275">
        <f t="shared" si="41"/>
        <v>44154</v>
      </c>
      <c r="F1159" s="477" t="s">
        <v>148</v>
      </c>
      <c r="G1159" s="247" t="s">
        <v>94</v>
      </c>
      <c r="H1159" s="247" t="str" cm="1">
        <f t="array" ref="H1159">IFERROR(INDEX(INVESTOR_LIST[INVESTOR NAME],MATCH(I1159,INVESTOR_LIST[INVESTOR CODE],0),)," ")</f>
        <v xml:space="preserve"> </v>
      </c>
      <c r="I1159" s="248" t="s">
        <v>348</v>
      </c>
      <c r="J1159" s="249" t="s">
        <v>95</v>
      </c>
      <c r="K1159" s="252">
        <v>2747.25</v>
      </c>
      <c r="L1159" s="252"/>
      <c r="M1159" s="147">
        <v>0</v>
      </c>
      <c r="Q1159" s="133" t="s">
        <v>348</v>
      </c>
    </row>
    <row r="1160" spans="1:17" x14ac:dyDescent="0.2">
      <c r="A1160" s="242">
        <v>2020</v>
      </c>
      <c r="B1160" s="242">
        <v>11</v>
      </c>
      <c r="C1160" s="242">
        <v>19</v>
      </c>
      <c r="D1160" s="141">
        <f t="shared" si="40"/>
        <v>44154</v>
      </c>
      <c r="E1160" s="275">
        <f t="shared" si="41"/>
        <v>44154</v>
      </c>
      <c r="F1160" s="478"/>
      <c r="G1160" s="243" t="s">
        <v>94</v>
      </c>
      <c r="H1160" s="243" t="str" cm="1">
        <f t="array" ref="H1160">IFERROR(INDEX(INVESTOR_LIST[INVESTOR NAME],MATCH(I1160,INVESTOR_LIST[INVESTOR CODE],0),)," ")</f>
        <v xml:space="preserve"> </v>
      </c>
      <c r="I1160" s="263" t="s">
        <v>348</v>
      </c>
      <c r="J1160" s="244" t="s">
        <v>63</v>
      </c>
      <c r="K1160" s="245"/>
      <c r="L1160" s="245">
        <v>2747.25</v>
      </c>
      <c r="M1160" s="147">
        <v>0</v>
      </c>
      <c r="Q1160" s="133" t="s">
        <v>348</v>
      </c>
    </row>
    <row r="1161" spans="1:17" x14ac:dyDescent="0.2">
      <c r="A1161" s="238">
        <v>2020</v>
      </c>
      <c r="B1161" s="238">
        <v>11</v>
      </c>
      <c r="C1161" s="238">
        <v>19</v>
      </c>
      <c r="D1161" s="141">
        <f t="shared" si="40"/>
        <v>44154</v>
      </c>
      <c r="E1161" s="275">
        <f t="shared" si="41"/>
        <v>44154</v>
      </c>
      <c r="F1161" s="477" t="s">
        <v>137</v>
      </c>
      <c r="G1161" s="239" t="s">
        <v>94</v>
      </c>
      <c r="H1161" s="247" t="str" cm="1">
        <f t="array" ref="H1161">IFERROR(INDEX(INVESTOR_LIST[INVESTOR NAME],MATCH(I1161,INVESTOR_LIST[INVESTOR CODE],0),)," ")</f>
        <v xml:space="preserve"> </v>
      </c>
      <c r="I1161" s="248" t="s">
        <v>348</v>
      </c>
      <c r="J1161" s="240" t="s">
        <v>97</v>
      </c>
      <c r="K1161" s="252">
        <v>43394.749249368346</v>
      </c>
      <c r="L1161" s="252"/>
      <c r="M1161" s="147">
        <v>0</v>
      </c>
      <c r="Q1161" s="133" t="s">
        <v>348</v>
      </c>
    </row>
    <row r="1162" spans="1:17" x14ac:dyDescent="0.2">
      <c r="A1162" s="242">
        <v>2020</v>
      </c>
      <c r="B1162" s="242">
        <v>11</v>
      </c>
      <c r="C1162" s="242">
        <v>19</v>
      </c>
      <c r="D1162" s="141">
        <f t="shared" si="40"/>
        <v>44154</v>
      </c>
      <c r="E1162" s="275">
        <f t="shared" si="41"/>
        <v>44154</v>
      </c>
      <c r="F1162" s="478"/>
      <c r="G1162" s="243" t="s">
        <v>94</v>
      </c>
      <c r="H1162" s="243" t="str" cm="1">
        <f t="array" ref="H1162">IFERROR(INDEX(INVESTOR_LIST[INVESTOR NAME],MATCH(I1162,INVESTOR_LIST[INVESTOR CODE],0),)," ")</f>
        <v xml:space="preserve"> </v>
      </c>
      <c r="I1162" s="263" t="s">
        <v>348</v>
      </c>
      <c r="J1162" s="244" t="s">
        <v>47</v>
      </c>
      <c r="K1162" s="245"/>
      <c r="L1162" s="271">
        <v>43394.749249368346</v>
      </c>
      <c r="M1162" s="147">
        <v>0</v>
      </c>
      <c r="Q1162" s="133" t="s">
        <v>348</v>
      </c>
    </row>
    <row r="1163" spans="1:17" x14ac:dyDescent="0.2">
      <c r="A1163" s="238">
        <v>2020</v>
      </c>
      <c r="B1163" s="238">
        <v>11</v>
      </c>
      <c r="C1163" s="238">
        <v>19</v>
      </c>
      <c r="D1163" s="141">
        <f t="shared" si="40"/>
        <v>44154</v>
      </c>
      <c r="E1163" s="275">
        <f t="shared" si="41"/>
        <v>44154</v>
      </c>
      <c r="F1163" s="477" t="s">
        <v>138</v>
      </c>
      <c r="G1163" s="239" t="s">
        <v>94</v>
      </c>
      <c r="H1163" s="247" t="str" cm="1">
        <f t="array" ref="H1163">IFERROR(INDEX(INVESTOR_LIST[INVESTOR NAME],MATCH(I1163,INVESTOR_LIST[INVESTOR CODE],0),)," ")</f>
        <v xml:space="preserve"> </v>
      </c>
      <c r="I1163" s="248" t="s">
        <v>348</v>
      </c>
      <c r="J1163" s="240" t="s">
        <v>100</v>
      </c>
      <c r="K1163" s="252">
        <v>1929.34</v>
      </c>
      <c r="L1163" s="252"/>
      <c r="M1163" s="147">
        <v>0</v>
      </c>
      <c r="Q1163" s="133" t="s">
        <v>348</v>
      </c>
    </row>
    <row r="1164" spans="1:17" x14ac:dyDescent="0.2">
      <c r="A1164" s="242">
        <v>2020</v>
      </c>
      <c r="B1164" s="242">
        <v>11</v>
      </c>
      <c r="C1164" s="242">
        <v>19</v>
      </c>
      <c r="D1164" s="141">
        <f t="shared" si="40"/>
        <v>44154</v>
      </c>
      <c r="E1164" s="275">
        <f t="shared" si="41"/>
        <v>44154</v>
      </c>
      <c r="F1164" s="478"/>
      <c r="G1164" s="243" t="s">
        <v>94</v>
      </c>
      <c r="H1164" s="243" t="str" cm="1">
        <f t="array" ref="H1164">IFERROR(INDEX(INVESTOR_LIST[INVESTOR NAME],MATCH(I1164,INVESTOR_LIST[INVESTOR CODE],0),)," ")</f>
        <v xml:space="preserve"> </v>
      </c>
      <c r="I1164" s="263" t="s">
        <v>348</v>
      </c>
      <c r="J1164" s="244" t="s">
        <v>48</v>
      </c>
      <c r="K1164" s="245"/>
      <c r="L1164" s="245">
        <v>1929.34</v>
      </c>
      <c r="M1164" s="147">
        <v>0</v>
      </c>
      <c r="Q1164" s="133" t="s">
        <v>348</v>
      </c>
    </row>
    <row r="1165" spans="1:17" x14ac:dyDescent="0.2">
      <c r="A1165" s="246">
        <v>2020</v>
      </c>
      <c r="B1165" s="246">
        <v>11</v>
      </c>
      <c r="C1165" s="246">
        <v>19</v>
      </c>
      <c r="D1165" s="141">
        <f t="shared" ref="D1165:D1228" si="42">DATE(A1165,B1165,C1165)</f>
        <v>44154</v>
      </c>
      <c r="E1165" s="275">
        <f t="shared" si="41"/>
        <v>44154</v>
      </c>
      <c r="F1165" s="477" t="s">
        <v>140</v>
      </c>
      <c r="G1165" s="247" t="s">
        <v>94</v>
      </c>
      <c r="H1165" s="247" t="str" cm="1">
        <f t="array" ref="H1165">IFERROR(INDEX(INVESTOR_LIST[INVESTOR NAME],MATCH(I1165,INVESTOR_LIST[INVESTOR CODE],0),)," ")</f>
        <v xml:space="preserve"> </v>
      </c>
      <c r="I1165" s="248" t="s">
        <v>348</v>
      </c>
      <c r="J1165" s="249" t="s">
        <v>103</v>
      </c>
      <c r="K1165" s="252">
        <v>729.17</v>
      </c>
      <c r="L1165" s="252"/>
      <c r="M1165" s="147">
        <v>0</v>
      </c>
      <c r="Q1165" s="133" t="s">
        <v>348</v>
      </c>
    </row>
    <row r="1166" spans="1:17" x14ac:dyDescent="0.2">
      <c r="A1166" s="242">
        <v>2020</v>
      </c>
      <c r="B1166" s="242">
        <v>11</v>
      </c>
      <c r="C1166" s="242">
        <v>19</v>
      </c>
      <c r="D1166" s="141">
        <f t="shared" si="42"/>
        <v>44154</v>
      </c>
      <c r="E1166" s="275">
        <f t="shared" ref="E1166:E1229" si="43">DATE(A1166,B1166,C1166)</f>
        <v>44154</v>
      </c>
      <c r="F1166" s="478"/>
      <c r="G1166" s="243" t="s">
        <v>94</v>
      </c>
      <c r="H1166" s="243" t="str" cm="1">
        <f t="array" ref="H1166">IFERROR(INDEX(INVESTOR_LIST[INVESTOR NAME],MATCH(I1166,INVESTOR_LIST[INVESTOR CODE],0),)," ")</f>
        <v xml:space="preserve"> </v>
      </c>
      <c r="I1166" s="263" t="s">
        <v>348</v>
      </c>
      <c r="J1166" s="244" t="s">
        <v>50</v>
      </c>
      <c r="K1166" s="245"/>
      <c r="L1166" s="245">
        <v>729.17</v>
      </c>
      <c r="M1166" s="147">
        <v>0</v>
      </c>
      <c r="Q1166" s="133" t="s">
        <v>348</v>
      </c>
    </row>
    <row r="1167" spans="1:17" x14ac:dyDescent="0.2">
      <c r="A1167" s="168">
        <v>2020</v>
      </c>
      <c r="B1167" s="168">
        <v>11</v>
      </c>
      <c r="C1167" s="168">
        <v>19</v>
      </c>
      <c r="D1167" s="141">
        <f t="shared" si="42"/>
        <v>44154</v>
      </c>
      <c r="E1167" s="275">
        <f t="shared" si="43"/>
        <v>44154</v>
      </c>
      <c r="F1167" s="479" t="s">
        <v>233</v>
      </c>
      <c r="G1167" s="220" t="s">
        <v>74</v>
      </c>
      <c r="H1167" s="220" t="str" cm="1">
        <f t="array" ref="H1167">IFERROR(INDEX(INVESTOR_LIST[INVESTOR NAME],MATCH(I1167,INVESTOR_LIST[INVESTOR CODE],0),)," ")</f>
        <v xml:space="preserve"> </v>
      </c>
      <c r="I1167" s="142" t="s">
        <v>348</v>
      </c>
      <c r="J1167" s="143" t="s">
        <v>163</v>
      </c>
      <c r="K1167" s="226">
        <v>8000</v>
      </c>
      <c r="L1167" s="226"/>
      <c r="M1167" s="147">
        <v>0</v>
      </c>
      <c r="Q1167" s="133" t="s">
        <v>348</v>
      </c>
    </row>
    <row r="1168" spans="1:17" x14ac:dyDescent="0.2">
      <c r="A1168" s="163">
        <v>2020</v>
      </c>
      <c r="B1168" s="163">
        <v>11</v>
      </c>
      <c r="C1168" s="163">
        <v>19</v>
      </c>
      <c r="D1168" s="141">
        <f t="shared" si="42"/>
        <v>44154</v>
      </c>
      <c r="E1168" s="275">
        <f t="shared" si="43"/>
        <v>44154</v>
      </c>
      <c r="F1168" s="480"/>
      <c r="G1168" s="221" t="s">
        <v>74</v>
      </c>
      <c r="H1168" s="221" t="str" cm="1">
        <f t="array" ref="H1168">IFERROR(INDEX(INVESTOR_LIST[INVESTOR NAME],MATCH(I1168,INVESTOR_LIST[INVESTOR CODE],0),)," ")</f>
        <v xml:space="preserve"> </v>
      </c>
      <c r="I1168" s="145" t="s">
        <v>348</v>
      </c>
      <c r="J1168" s="146" t="s">
        <v>52</v>
      </c>
      <c r="K1168" s="219"/>
      <c r="L1168" s="219">
        <v>8000</v>
      </c>
      <c r="M1168" s="147">
        <v>0</v>
      </c>
      <c r="Q1168" s="133" t="s">
        <v>348</v>
      </c>
    </row>
    <row r="1169" spans="1:17" x14ac:dyDescent="0.2">
      <c r="A1169" s="133">
        <v>2020</v>
      </c>
      <c r="B1169" s="133">
        <v>11</v>
      </c>
      <c r="C1169" s="133">
        <v>19</v>
      </c>
      <c r="D1169" s="141">
        <f t="shared" si="42"/>
        <v>44154</v>
      </c>
      <c r="E1169" s="275">
        <f t="shared" si="43"/>
        <v>44154</v>
      </c>
      <c r="F1169" s="479" t="s">
        <v>233</v>
      </c>
      <c r="G1169" s="220" t="s">
        <v>74</v>
      </c>
      <c r="H1169" s="220" t="str" cm="1">
        <f t="array" ref="H1169">IFERROR(INDEX(INVESTOR_LIST[INVESTOR NAME],MATCH(I1169,INVESTOR_LIST[INVESTOR CODE],0),)," ")</f>
        <v xml:space="preserve"> </v>
      </c>
      <c r="I1169" s="142" t="s">
        <v>348</v>
      </c>
      <c r="J1169" s="143" t="s">
        <v>163</v>
      </c>
      <c r="K1169" s="226">
        <v>8000</v>
      </c>
      <c r="L1169" s="226"/>
      <c r="M1169" s="147">
        <v>0</v>
      </c>
      <c r="Q1169" s="133" t="s">
        <v>348</v>
      </c>
    </row>
    <row r="1170" spans="1:17" x14ac:dyDescent="0.2">
      <c r="A1170" s="163">
        <v>2020</v>
      </c>
      <c r="B1170" s="163">
        <v>11</v>
      </c>
      <c r="C1170" s="163">
        <v>19</v>
      </c>
      <c r="D1170" s="141">
        <f t="shared" si="42"/>
        <v>44154</v>
      </c>
      <c r="E1170" s="275">
        <f t="shared" si="43"/>
        <v>44154</v>
      </c>
      <c r="F1170" s="480"/>
      <c r="G1170" s="221" t="s">
        <v>74</v>
      </c>
      <c r="H1170" s="221" t="str" cm="1">
        <f t="array" ref="H1170">IFERROR(INDEX(INVESTOR_LIST[INVESTOR NAME],MATCH(I1170,INVESTOR_LIST[INVESTOR CODE],0),)," ")</f>
        <v xml:space="preserve"> </v>
      </c>
      <c r="I1170" s="145" t="s">
        <v>348</v>
      </c>
      <c r="J1170" s="146" t="s">
        <v>52</v>
      </c>
      <c r="K1170" s="219"/>
      <c r="L1170" s="219">
        <v>8000</v>
      </c>
      <c r="M1170" s="147">
        <v>0</v>
      </c>
      <c r="Q1170" s="133" t="s">
        <v>348</v>
      </c>
    </row>
    <row r="1171" spans="1:17" x14ac:dyDescent="0.2">
      <c r="A1171" s="133">
        <v>2020</v>
      </c>
      <c r="B1171" s="133">
        <v>11</v>
      </c>
      <c r="C1171" s="133">
        <v>23</v>
      </c>
      <c r="D1171" s="141">
        <f t="shared" si="42"/>
        <v>44158</v>
      </c>
      <c r="E1171" s="275">
        <f t="shared" si="43"/>
        <v>44158</v>
      </c>
      <c r="F1171" s="481" t="s">
        <v>179</v>
      </c>
      <c r="G1171" s="174" t="s">
        <v>94</v>
      </c>
      <c r="H1171" s="174" t="str" cm="1">
        <f t="array" ref="H1171">IFERROR(INDEX(INVESTOR_LIST[INVESTOR NAME],MATCH(I1171,INVESTOR_LIST[INVESTOR CODE],0),)," ")</f>
        <v xml:space="preserve"> </v>
      </c>
      <c r="I1171" s="148" t="s">
        <v>348</v>
      </c>
      <c r="J1171" s="149" t="s">
        <v>79</v>
      </c>
      <c r="K1171" s="218">
        <v>860305</v>
      </c>
      <c r="L1171" s="218"/>
      <c r="M1171" s="147">
        <v>0</v>
      </c>
      <c r="Q1171" s="133" t="s">
        <v>348</v>
      </c>
    </row>
    <row r="1172" spans="1:17" x14ac:dyDescent="0.2">
      <c r="A1172" s="133">
        <v>2020</v>
      </c>
      <c r="B1172" s="133">
        <v>11</v>
      </c>
      <c r="C1172" s="133">
        <v>23</v>
      </c>
      <c r="D1172" s="141">
        <f t="shared" si="42"/>
        <v>44158</v>
      </c>
      <c r="E1172" s="275">
        <f t="shared" si="43"/>
        <v>44158</v>
      </c>
      <c r="F1172" s="481"/>
      <c r="G1172" s="174" t="s">
        <v>94</v>
      </c>
      <c r="H1172" s="174" t="str" cm="1">
        <f t="array" ref="H1172">IFERROR(INDEX(INVESTOR_LIST[INVESTOR NAME],MATCH(I1172,INVESTOR_LIST[INVESTOR CODE],0),)," ")</f>
        <v xml:space="preserve"> </v>
      </c>
      <c r="I1172" s="148" t="s">
        <v>348</v>
      </c>
      <c r="J1172" s="149" t="s">
        <v>80</v>
      </c>
      <c r="K1172" s="218">
        <v>1548.55</v>
      </c>
      <c r="L1172" s="218"/>
      <c r="M1172" s="147">
        <v>0</v>
      </c>
      <c r="Q1172" s="133" t="s">
        <v>348</v>
      </c>
    </row>
    <row r="1173" spans="1:17" x14ac:dyDescent="0.2">
      <c r="A1173" s="163">
        <v>2020</v>
      </c>
      <c r="B1173" s="163">
        <v>11</v>
      </c>
      <c r="C1173" s="163">
        <v>23</v>
      </c>
      <c r="D1173" s="141">
        <f t="shared" si="42"/>
        <v>44158</v>
      </c>
      <c r="E1173" s="275">
        <f t="shared" si="43"/>
        <v>44158</v>
      </c>
      <c r="F1173" s="480"/>
      <c r="G1173" s="221" t="s">
        <v>94</v>
      </c>
      <c r="H1173" s="221" t="str" cm="1">
        <f t="array" ref="H1173">IFERROR(INDEX(INVESTOR_LIST[INVESTOR NAME],MATCH(I1173,INVESTOR_LIST[INVESTOR CODE],0),)," ")</f>
        <v xml:space="preserve"> </v>
      </c>
      <c r="I1173" s="145" t="s">
        <v>348</v>
      </c>
      <c r="J1173" s="146" t="s">
        <v>147</v>
      </c>
      <c r="K1173" s="219"/>
      <c r="L1173" s="219">
        <v>861853.55</v>
      </c>
      <c r="M1173" s="147">
        <v>0</v>
      </c>
      <c r="Q1173" s="133" t="s">
        <v>348</v>
      </c>
    </row>
    <row r="1174" spans="1:17" x14ac:dyDescent="0.2">
      <c r="A1174" s="133">
        <v>2020</v>
      </c>
      <c r="B1174" s="133">
        <v>11</v>
      </c>
      <c r="C1174" s="133">
        <v>24</v>
      </c>
      <c r="D1174" s="141">
        <f t="shared" si="42"/>
        <v>44159</v>
      </c>
      <c r="E1174" s="275">
        <f t="shared" si="43"/>
        <v>44159</v>
      </c>
      <c r="F1174" s="479" t="s">
        <v>178</v>
      </c>
      <c r="G1174" s="174" t="s">
        <v>74</v>
      </c>
      <c r="H1174" s="174" t="str" cm="1">
        <f t="array" ref="H1174">IFERROR(INDEX(INVESTOR_LIST[INVESTOR NAME],MATCH(I1174,INVESTOR_LIST[INVESTOR CODE],0),)," ")</f>
        <v xml:space="preserve"> </v>
      </c>
      <c r="I1174" s="148" t="s">
        <v>348</v>
      </c>
      <c r="J1174" s="149" t="s">
        <v>147</v>
      </c>
      <c r="K1174" s="218">
        <v>861853.55</v>
      </c>
      <c r="L1174" s="218"/>
      <c r="M1174" s="147">
        <v>0</v>
      </c>
      <c r="Q1174" s="133" t="s">
        <v>348</v>
      </c>
    </row>
    <row r="1175" spans="1:17" x14ac:dyDescent="0.2">
      <c r="A1175" s="163">
        <v>2020</v>
      </c>
      <c r="B1175" s="163">
        <v>11</v>
      </c>
      <c r="C1175" s="163">
        <v>24</v>
      </c>
      <c r="D1175" s="141">
        <f t="shared" si="42"/>
        <v>44159</v>
      </c>
      <c r="E1175" s="275">
        <f t="shared" si="43"/>
        <v>44159</v>
      </c>
      <c r="F1175" s="480"/>
      <c r="G1175" s="221" t="s">
        <v>74</v>
      </c>
      <c r="H1175" s="221" t="str" cm="1">
        <f t="array" ref="H1175">IFERROR(INDEX(INVESTOR_LIST[INVESTOR NAME],MATCH(I1175,INVESTOR_LIST[INVESTOR CODE],0),)," ")</f>
        <v xml:space="preserve"> </v>
      </c>
      <c r="I1175" s="145" t="s">
        <v>348</v>
      </c>
      <c r="J1175" s="146" t="s">
        <v>52</v>
      </c>
      <c r="K1175" s="219"/>
      <c r="L1175" s="219">
        <v>861853.55</v>
      </c>
      <c r="M1175" s="147">
        <v>0</v>
      </c>
      <c r="Q1175" s="133" t="s">
        <v>348</v>
      </c>
    </row>
    <row r="1176" spans="1:17" x14ac:dyDescent="0.2">
      <c r="A1176" s="168">
        <v>2020</v>
      </c>
      <c r="B1176" s="168">
        <v>11</v>
      </c>
      <c r="C1176" s="168">
        <v>24</v>
      </c>
      <c r="D1176" s="141">
        <f t="shared" si="42"/>
        <v>44159</v>
      </c>
      <c r="E1176" s="275">
        <f t="shared" si="43"/>
        <v>44159</v>
      </c>
      <c r="F1176" s="479" t="s">
        <v>227</v>
      </c>
      <c r="G1176" s="220" t="s">
        <v>74</v>
      </c>
      <c r="H1176" s="220" t="str" cm="1">
        <f t="array" ref="H1176">IFERROR(INDEX(INVESTOR_LIST[INVESTOR NAME],MATCH(I1176,INVESTOR_LIST[INVESTOR CODE],0),)," ")</f>
        <v xml:space="preserve"> </v>
      </c>
      <c r="I1176" s="142" t="s">
        <v>348</v>
      </c>
      <c r="J1176" s="143" t="s">
        <v>79</v>
      </c>
      <c r="K1176" s="226">
        <f>L1178-K1177</f>
        <v>192780</v>
      </c>
      <c r="L1176" s="226"/>
      <c r="M1176" s="147">
        <v>0</v>
      </c>
      <c r="Q1176" s="133" t="s">
        <v>348</v>
      </c>
    </row>
    <row r="1177" spans="1:17" x14ac:dyDescent="0.2">
      <c r="A1177" s="133">
        <v>2020</v>
      </c>
      <c r="B1177" s="133">
        <v>11</v>
      </c>
      <c r="C1177" s="133">
        <v>24</v>
      </c>
      <c r="D1177" s="141">
        <f t="shared" si="42"/>
        <v>44159</v>
      </c>
      <c r="E1177" s="275">
        <f t="shared" si="43"/>
        <v>44159</v>
      </c>
      <c r="F1177" s="481"/>
      <c r="G1177" s="174" t="s">
        <v>74</v>
      </c>
      <c r="H1177" s="174" t="str" cm="1">
        <f t="array" ref="H1177">IFERROR(INDEX(INVESTOR_LIST[INVESTOR NAME],MATCH(I1177,INVESTOR_LIST[INVESTOR CODE],0),)," ")</f>
        <v xml:space="preserve"> </v>
      </c>
      <c r="I1177" s="148" t="s">
        <v>348</v>
      </c>
      <c r="J1177" s="149" t="s">
        <v>52</v>
      </c>
      <c r="K1177" s="218">
        <v>1087220</v>
      </c>
      <c r="L1177" s="218"/>
      <c r="M1177" s="147">
        <v>0</v>
      </c>
      <c r="Q1177" s="133" t="s">
        <v>348</v>
      </c>
    </row>
    <row r="1178" spans="1:17" x14ac:dyDescent="0.2">
      <c r="A1178" s="163">
        <v>2020</v>
      </c>
      <c r="B1178" s="163">
        <v>11</v>
      </c>
      <c r="C1178" s="163">
        <v>24</v>
      </c>
      <c r="D1178" s="141">
        <f t="shared" si="42"/>
        <v>44159</v>
      </c>
      <c r="E1178" s="275">
        <f t="shared" si="43"/>
        <v>44159</v>
      </c>
      <c r="F1178" s="480"/>
      <c r="G1178" s="221" t="s">
        <v>74</v>
      </c>
      <c r="H1178" s="221" t="str" cm="1">
        <f t="array" ref="H1178">IFERROR(INDEX(INVESTOR_LIST[INVESTOR NAME],MATCH(I1178,INVESTOR_LIST[INVESTOR CODE],0),)," ")</f>
        <v xml:space="preserve"> </v>
      </c>
      <c r="I1178" s="145" t="s">
        <v>348</v>
      </c>
      <c r="J1178" s="146" t="s">
        <v>184</v>
      </c>
      <c r="K1178" s="219"/>
      <c r="L1178" s="219">
        <v>1280000</v>
      </c>
      <c r="M1178" s="147">
        <v>0</v>
      </c>
      <c r="Q1178" s="133" t="s">
        <v>348</v>
      </c>
    </row>
    <row r="1179" spans="1:17" ht="33.75" x14ac:dyDescent="0.2">
      <c r="A1179" s="133">
        <v>2020</v>
      </c>
      <c r="B1179" s="133">
        <v>11</v>
      </c>
      <c r="C1179" s="133">
        <v>25</v>
      </c>
      <c r="D1179" s="141">
        <f t="shared" si="42"/>
        <v>44160</v>
      </c>
      <c r="E1179" s="275">
        <f t="shared" si="43"/>
        <v>44160</v>
      </c>
      <c r="F1179" s="479" t="s">
        <v>964</v>
      </c>
      <c r="G1179" s="174" t="s">
        <v>74</v>
      </c>
      <c r="H1179" s="174" t="str" cm="1">
        <f t="array" ref="H1179">IFERROR(INDEX(INVESTOR_LIST[INVESTOR NAME],MATCH(I1179,INVESTOR_LIST[INVESTOR CODE],0),)," ")</f>
        <v>ARZUN KUMAR SARKAR</v>
      </c>
      <c r="I1179" s="148" t="s">
        <v>479</v>
      </c>
      <c r="J1179" s="149" t="s">
        <v>52</v>
      </c>
      <c r="K1179" s="218">
        <v>300000</v>
      </c>
      <c r="L1179" s="218"/>
      <c r="M1179" s="147">
        <v>0</v>
      </c>
      <c r="Q1179" s="133" t="s">
        <v>479</v>
      </c>
    </row>
    <row r="1180" spans="1:17" ht="33.75" x14ac:dyDescent="0.2">
      <c r="A1180" s="133">
        <v>2020</v>
      </c>
      <c r="B1180" s="133">
        <v>11</v>
      </c>
      <c r="C1180" s="133">
        <v>25</v>
      </c>
      <c r="D1180" s="141">
        <f t="shared" si="42"/>
        <v>44160</v>
      </c>
      <c r="E1180" s="275">
        <f t="shared" si="43"/>
        <v>44160</v>
      </c>
      <c r="F1180" s="481"/>
      <c r="G1180" s="174" t="s">
        <v>74</v>
      </c>
      <c r="H1180" s="174" t="str" cm="1">
        <f t="array" ref="H1180">IFERROR(INDEX(INVESTOR_LIST[INVESTOR NAME],MATCH(I1180,INVESTOR_LIST[INVESTOR CODE],0),)," ")</f>
        <v>ARZUN KUMAR SARKAR</v>
      </c>
      <c r="I1180" s="148" t="s">
        <v>479</v>
      </c>
      <c r="J1180" s="149" t="s">
        <v>13</v>
      </c>
      <c r="K1180" s="218"/>
      <c r="L1180" s="218">
        <v>261100</v>
      </c>
      <c r="M1180" s="147">
        <v>0</v>
      </c>
      <c r="Q1180" s="133" t="s">
        <v>479</v>
      </c>
    </row>
    <row r="1181" spans="1:17" ht="33.75" x14ac:dyDescent="0.2">
      <c r="A1181" s="163">
        <v>2020</v>
      </c>
      <c r="B1181" s="163">
        <v>11</v>
      </c>
      <c r="C1181" s="163">
        <v>25</v>
      </c>
      <c r="D1181" s="141">
        <f t="shared" si="42"/>
        <v>44160</v>
      </c>
      <c r="E1181" s="275">
        <f t="shared" si="43"/>
        <v>44160</v>
      </c>
      <c r="F1181" s="480"/>
      <c r="G1181" s="221" t="s">
        <v>74</v>
      </c>
      <c r="H1181" s="221" t="str" cm="1">
        <f t="array" ref="H1181">IFERROR(INDEX(INVESTOR_LIST[INVESTOR NAME],MATCH(I1181,INVESTOR_LIST[INVESTOR CODE],0),)," ")</f>
        <v>ARZUN KUMAR SARKAR</v>
      </c>
      <c r="I1181" s="145" t="s">
        <v>479</v>
      </c>
      <c r="J1181" s="146" t="s">
        <v>53</v>
      </c>
      <c r="K1181" s="219"/>
      <c r="L1181" s="219">
        <f>K1179-L1180</f>
        <v>38900</v>
      </c>
      <c r="M1181" s="147">
        <v>0</v>
      </c>
      <c r="Q1181" s="133" t="s">
        <v>479</v>
      </c>
    </row>
    <row r="1182" spans="1:17" x14ac:dyDescent="0.2">
      <c r="A1182" s="141">
        <v>2020</v>
      </c>
      <c r="B1182" s="141">
        <v>11</v>
      </c>
      <c r="C1182" s="141">
        <v>25</v>
      </c>
      <c r="D1182" s="141">
        <f t="shared" si="42"/>
        <v>44160</v>
      </c>
      <c r="E1182" s="275">
        <f t="shared" si="43"/>
        <v>44160</v>
      </c>
      <c r="F1182" s="479" t="s">
        <v>77</v>
      </c>
      <c r="G1182" s="220" t="s">
        <v>74</v>
      </c>
      <c r="H1182" s="174" t="str" cm="1">
        <f t="array" ref="H1182">IFERROR(INDEX(INVESTOR_LIST[INVESTOR NAME],MATCH(I1182,INVESTOR_LIST[INVESTOR CODE],0),)," ")</f>
        <v xml:space="preserve"> </v>
      </c>
      <c r="I1182" s="148" t="s">
        <v>348</v>
      </c>
      <c r="J1182" s="143" t="s">
        <v>61</v>
      </c>
      <c r="K1182" s="226">
        <v>10</v>
      </c>
      <c r="L1182" s="226"/>
      <c r="M1182" s="147">
        <v>0</v>
      </c>
      <c r="N1182" s="160"/>
      <c r="Q1182" s="133" t="s">
        <v>348</v>
      </c>
    </row>
    <row r="1183" spans="1:17" x14ac:dyDescent="0.2">
      <c r="A1183" s="144">
        <v>2020</v>
      </c>
      <c r="B1183" s="144">
        <v>11</v>
      </c>
      <c r="C1183" s="144">
        <v>25</v>
      </c>
      <c r="D1183" s="141">
        <f t="shared" si="42"/>
        <v>44160</v>
      </c>
      <c r="E1183" s="275">
        <f t="shared" si="43"/>
        <v>44160</v>
      </c>
      <c r="F1183" s="480"/>
      <c r="G1183" s="221" t="s">
        <v>74</v>
      </c>
      <c r="H1183" s="221" t="str" cm="1">
        <f t="array" ref="H1183">IFERROR(INDEX(INVESTOR_LIST[INVESTOR NAME],MATCH(I1183,INVESTOR_LIST[INVESTOR CODE],0),)," ")</f>
        <v xml:space="preserve"> </v>
      </c>
      <c r="I1183" s="145" t="s">
        <v>348</v>
      </c>
      <c r="J1183" s="146" t="s">
        <v>52</v>
      </c>
      <c r="K1183" s="219"/>
      <c r="L1183" s="219">
        <v>10</v>
      </c>
      <c r="M1183" s="147">
        <v>0</v>
      </c>
      <c r="N1183" s="176"/>
      <c r="Q1183" s="133" t="s">
        <v>348</v>
      </c>
    </row>
    <row r="1184" spans="1:17" x14ac:dyDescent="0.2">
      <c r="A1184" s="168">
        <v>2020</v>
      </c>
      <c r="B1184" s="168">
        <v>11</v>
      </c>
      <c r="C1184" s="168">
        <v>25</v>
      </c>
      <c r="D1184" s="141">
        <f t="shared" si="42"/>
        <v>44160</v>
      </c>
      <c r="E1184" s="275">
        <f t="shared" si="43"/>
        <v>44160</v>
      </c>
      <c r="F1184" s="479" t="s">
        <v>228</v>
      </c>
      <c r="G1184" s="220" t="s">
        <v>74</v>
      </c>
      <c r="H1184" s="220" t="str" cm="1">
        <f t="array" ref="H1184">IFERROR(INDEX(INVESTOR_LIST[INVESTOR NAME],MATCH(I1184,INVESTOR_LIST[INVESTOR CODE],0),)," ")</f>
        <v xml:space="preserve"> </v>
      </c>
      <c r="I1184" s="142" t="s">
        <v>348</v>
      </c>
      <c r="J1184" s="143" t="s">
        <v>52</v>
      </c>
      <c r="K1184" s="226">
        <v>2623589.8199999998</v>
      </c>
      <c r="L1184" s="226"/>
      <c r="M1184" s="147">
        <v>0</v>
      </c>
      <c r="Q1184" s="133" t="s">
        <v>348</v>
      </c>
    </row>
    <row r="1185" spans="1:17" x14ac:dyDescent="0.2">
      <c r="A1185" s="163">
        <v>2020</v>
      </c>
      <c r="B1185" s="163">
        <v>11</v>
      </c>
      <c r="C1185" s="163">
        <v>25</v>
      </c>
      <c r="D1185" s="141">
        <f t="shared" si="42"/>
        <v>44160</v>
      </c>
      <c r="E1185" s="275">
        <f t="shared" si="43"/>
        <v>44160</v>
      </c>
      <c r="F1185" s="480"/>
      <c r="G1185" s="221" t="s">
        <v>74</v>
      </c>
      <c r="H1185" s="221" t="str" cm="1">
        <f t="array" ref="H1185">IFERROR(INDEX(INVESTOR_LIST[INVESTOR NAME],MATCH(I1185,INVESTOR_LIST[INVESTOR CODE],0),)," ")</f>
        <v xml:space="preserve"> </v>
      </c>
      <c r="I1185" s="145" t="s">
        <v>348</v>
      </c>
      <c r="J1185" s="146" t="s">
        <v>190</v>
      </c>
      <c r="K1185" s="219"/>
      <c r="L1185" s="219">
        <v>2623589.8199999998</v>
      </c>
      <c r="M1185" s="147">
        <v>3</v>
      </c>
      <c r="Q1185" s="133" t="s">
        <v>348</v>
      </c>
    </row>
    <row r="1186" spans="1:17" x14ac:dyDescent="0.2">
      <c r="A1186" s="133">
        <v>2020</v>
      </c>
      <c r="B1186" s="133">
        <v>11</v>
      </c>
      <c r="C1186" s="133">
        <v>25</v>
      </c>
      <c r="D1186" s="141">
        <f t="shared" si="42"/>
        <v>44160</v>
      </c>
      <c r="E1186" s="275">
        <f t="shared" si="43"/>
        <v>44160</v>
      </c>
      <c r="F1186" s="479" t="s">
        <v>179</v>
      </c>
      <c r="G1186" s="174" t="s">
        <v>94</v>
      </c>
      <c r="H1186" s="174" t="str" cm="1">
        <f t="array" ref="H1186">IFERROR(INDEX(INVESTOR_LIST[INVESTOR NAME],MATCH(I1186,INVESTOR_LIST[INVESTOR CODE],0),)," ")</f>
        <v xml:space="preserve"> </v>
      </c>
      <c r="I1186" s="148" t="s">
        <v>348</v>
      </c>
      <c r="J1186" s="149" t="s">
        <v>79</v>
      </c>
      <c r="K1186" s="218">
        <v>868300</v>
      </c>
      <c r="L1186" s="218"/>
      <c r="M1186" s="147">
        <v>0</v>
      </c>
      <c r="Q1186" s="133" t="s">
        <v>348</v>
      </c>
    </row>
    <row r="1187" spans="1:17" x14ac:dyDescent="0.2">
      <c r="A1187" s="133">
        <v>2020</v>
      </c>
      <c r="B1187" s="133">
        <v>11</v>
      </c>
      <c r="C1187" s="133">
        <v>25</v>
      </c>
      <c r="D1187" s="141">
        <f t="shared" si="42"/>
        <v>44160</v>
      </c>
      <c r="E1187" s="275">
        <f t="shared" si="43"/>
        <v>44160</v>
      </c>
      <c r="F1187" s="481"/>
      <c r="G1187" s="174" t="s">
        <v>94</v>
      </c>
      <c r="H1187" s="174" t="str" cm="1">
        <f t="array" ref="H1187">IFERROR(INDEX(INVESTOR_LIST[INVESTOR NAME],MATCH(I1187,INVESTOR_LIST[INVESTOR CODE],0),)," ")</f>
        <v xml:space="preserve"> </v>
      </c>
      <c r="I1187" s="148" t="s">
        <v>348</v>
      </c>
      <c r="J1187" s="149" t="s">
        <v>80</v>
      </c>
      <c r="K1187" s="218">
        <v>1562.94</v>
      </c>
      <c r="L1187" s="218"/>
      <c r="M1187" s="147">
        <v>0</v>
      </c>
      <c r="N1187" s="160"/>
      <c r="Q1187" s="133" t="s">
        <v>348</v>
      </c>
    </row>
    <row r="1188" spans="1:17" x14ac:dyDescent="0.2">
      <c r="A1188" s="163">
        <v>2020</v>
      </c>
      <c r="B1188" s="163">
        <v>11</v>
      </c>
      <c r="C1188" s="163">
        <v>25</v>
      </c>
      <c r="D1188" s="141">
        <f t="shared" si="42"/>
        <v>44160</v>
      </c>
      <c r="E1188" s="275">
        <f t="shared" si="43"/>
        <v>44160</v>
      </c>
      <c r="F1188" s="480"/>
      <c r="G1188" s="221" t="s">
        <v>94</v>
      </c>
      <c r="H1188" s="221" t="str" cm="1">
        <f t="array" ref="H1188">IFERROR(INDEX(INVESTOR_LIST[INVESTOR NAME],MATCH(I1188,INVESTOR_LIST[INVESTOR CODE],0),)," ")</f>
        <v xml:space="preserve"> </v>
      </c>
      <c r="I1188" s="145" t="s">
        <v>348</v>
      </c>
      <c r="J1188" s="146" t="s">
        <v>147</v>
      </c>
      <c r="K1188" s="219"/>
      <c r="L1188" s="219">
        <v>869862.94</v>
      </c>
      <c r="M1188" s="147">
        <v>0</v>
      </c>
      <c r="Q1188" s="133" t="s">
        <v>348</v>
      </c>
    </row>
    <row r="1189" spans="1:17" ht="11.25" customHeight="1" x14ac:dyDescent="0.2">
      <c r="A1189" s="133">
        <v>2020</v>
      </c>
      <c r="B1189" s="133">
        <v>11</v>
      </c>
      <c r="C1189" s="133">
        <v>25</v>
      </c>
      <c r="D1189" s="141">
        <f t="shared" si="42"/>
        <v>44160</v>
      </c>
      <c r="E1189" s="275">
        <f t="shared" si="43"/>
        <v>44160</v>
      </c>
      <c r="F1189" s="479" t="s">
        <v>254</v>
      </c>
      <c r="G1189" s="174" t="s">
        <v>74</v>
      </c>
      <c r="H1189" s="174" t="str" cm="1">
        <f t="array" ref="H1189">IFERROR(INDEX(INVESTOR_LIST[INVESTOR NAME],MATCH(I1189,INVESTOR_LIST[INVESTOR CODE],0),)," ")</f>
        <v xml:space="preserve"> </v>
      </c>
      <c r="I1189" s="148" t="s">
        <v>348</v>
      </c>
      <c r="J1189" s="149" t="s">
        <v>52</v>
      </c>
      <c r="K1189" s="218">
        <v>9000</v>
      </c>
      <c r="L1189" s="218"/>
      <c r="M1189" s="147">
        <v>0</v>
      </c>
      <c r="Q1189" s="133" t="s">
        <v>348</v>
      </c>
    </row>
    <row r="1190" spans="1:17" x14ac:dyDescent="0.2">
      <c r="A1190" s="133">
        <v>2020</v>
      </c>
      <c r="B1190" s="133">
        <v>11</v>
      </c>
      <c r="C1190" s="133">
        <v>25</v>
      </c>
      <c r="D1190" s="141">
        <f t="shared" si="42"/>
        <v>44160</v>
      </c>
      <c r="E1190" s="275">
        <f t="shared" si="43"/>
        <v>44160</v>
      </c>
      <c r="F1190" s="481"/>
      <c r="G1190" s="174" t="s">
        <v>74</v>
      </c>
      <c r="H1190" s="174" t="str" cm="1">
        <f t="array" ref="H1190">IFERROR(INDEX(INVESTOR_LIST[INVESTOR NAME],MATCH(I1190,INVESTOR_LIST[INVESTOR CODE],0),)," ")</f>
        <v xml:space="preserve"> </v>
      </c>
      <c r="I1190" s="148" t="s">
        <v>348</v>
      </c>
      <c r="J1190" s="149" t="s">
        <v>13</v>
      </c>
      <c r="K1190" s="218"/>
      <c r="L1190" s="218">
        <v>7830</v>
      </c>
      <c r="M1190" s="147">
        <v>0</v>
      </c>
      <c r="N1190" s="160"/>
      <c r="Q1190" s="133" t="s">
        <v>348</v>
      </c>
    </row>
    <row r="1191" spans="1:17" x14ac:dyDescent="0.2">
      <c r="A1191" s="163">
        <v>2020</v>
      </c>
      <c r="B1191" s="163">
        <v>11</v>
      </c>
      <c r="C1191" s="163">
        <v>25</v>
      </c>
      <c r="D1191" s="141">
        <f t="shared" si="42"/>
        <v>44160</v>
      </c>
      <c r="E1191" s="275">
        <f t="shared" si="43"/>
        <v>44160</v>
      </c>
      <c r="F1191" s="480"/>
      <c r="G1191" s="221" t="s">
        <v>74</v>
      </c>
      <c r="H1191" s="221" t="str" cm="1">
        <f t="array" ref="H1191">IFERROR(INDEX(INVESTOR_LIST[INVESTOR NAME],MATCH(I1191,INVESTOR_LIST[INVESTOR CODE],0),)," ")</f>
        <v xml:space="preserve"> </v>
      </c>
      <c r="I1191" s="145" t="s">
        <v>348</v>
      </c>
      <c r="J1191" s="146" t="s">
        <v>53</v>
      </c>
      <c r="K1191" s="219"/>
      <c r="L1191" s="219">
        <f>K1189-L1190</f>
        <v>1170</v>
      </c>
      <c r="M1191" s="147">
        <v>0</v>
      </c>
      <c r="Q1191" s="133" t="s">
        <v>348</v>
      </c>
    </row>
    <row r="1192" spans="1:17" x14ac:dyDescent="0.2">
      <c r="A1192" s="133">
        <v>2020</v>
      </c>
      <c r="B1192" s="133">
        <v>11</v>
      </c>
      <c r="C1192" s="133">
        <v>26</v>
      </c>
      <c r="D1192" s="141">
        <f t="shared" si="42"/>
        <v>44161</v>
      </c>
      <c r="E1192" s="275">
        <f t="shared" si="43"/>
        <v>44161</v>
      </c>
      <c r="F1192" s="479" t="s">
        <v>229</v>
      </c>
      <c r="G1192" s="174" t="s">
        <v>94</v>
      </c>
      <c r="H1192" s="174" t="str" cm="1">
        <f t="array" ref="H1192">IFERROR(INDEX(INVESTOR_LIST[INVESTOR NAME],MATCH(I1192,INVESTOR_LIST[INVESTOR CODE],0),)," ")</f>
        <v xml:space="preserve"> </v>
      </c>
      <c r="I1192" s="148" t="s">
        <v>348</v>
      </c>
      <c r="J1192" s="149" t="s">
        <v>79</v>
      </c>
      <c r="K1192" s="218">
        <v>475033</v>
      </c>
      <c r="L1192" s="218"/>
      <c r="M1192" s="147">
        <v>0</v>
      </c>
      <c r="Q1192" s="133" t="s">
        <v>348</v>
      </c>
    </row>
    <row r="1193" spans="1:17" s="177" customFormat="1" x14ac:dyDescent="0.2">
      <c r="A1193" s="133">
        <v>2020</v>
      </c>
      <c r="B1193" s="133">
        <v>11</v>
      </c>
      <c r="C1193" s="133">
        <v>26</v>
      </c>
      <c r="D1193" s="141">
        <f t="shared" si="42"/>
        <v>44161</v>
      </c>
      <c r="E1193" s="275">
        <f t="shared" si="43"/>
        <v>44161</v>
      </c>
      <c r="F1193" s="481"/>
      <c r="G1193" s="174" t="s">
        <v>94</v>
      </c>
      <c r="H1193" s="174" t="str" cm="1">
        <f t="array" ref="H1193">IFERROR(INDEX(INVESTOR_LIST[INVESTOR NAME],MATCH(I1193,INVESTOR_LIST[INVESTOR CODE],0),)," ")</f>
        <v xml:space="preserve"> </v>
      </c>
      <c r="I1193" s="148" t="s">
        <v>348</v>
      </c>
      <c r="J1193" s="149" t="s">
        <v>80</v>
      </c>
      <c r="K1193" s="218">
        <v>855.06</v>
      </c>
      <c r="L1193" s="218"/>
      <c r="M1193" s="147">
        <v>0</v>
      </c>
      <c r="Q1193" s="133" t="s">
        <v>348</v>
      </c>
    </row>
    <row r="1194" spans="1:17" x14ac:dyDescent="0.2">
      <c r="A1194" s="163">
        <v>2020</v>
      </c>
      <c r="B1194" s="163">
        <v>11</v>
      </c>
      <c r="C1194" s="163">
        <v>26</v>
      </c>
      <c r="D1194" s="141">
        <f t="shared" si="42"/>
        <v>44161</v>
      </c>
      <c r="E1194" s="275">
        <f t="shared" si="43"/>
        <v>44161</v>
      </c>
      <c r="F1194" s="480"/>
      <c r="G1194" s="221" t="s">
        <v>94</v>
      </c>
      <c r="H1194" s="221" t="str" cm="1">
        <f t="array" ref="H1194">IFERROR(INDEX(INVESTOR_LIST[INVESTOR NAME],MATCH(I1194,INVESTOR_LIST[INVESTOR CODE],0),)," ")</f>
        <v xml:space="preserve"> </v>
      </c>
      <c r="I1194" s="145" t="s">
        <v>348</v>
      </c>
      <c r="J1194" s="146" t="s">
        <v>147</v>
      </c>
      <c r="K1194" s="219"/>
      <c r="L1194" s="219">
        <v>475888.06</v>
      </c>
      <c r="M1194" s="147">
        <v>0</v>
      </c>
      <c r="Q1194" s="133" t="s">
        <v>348</v>
      </c>
    </row>
    <row r="1195" spans="1:17" ht="11.25" customHeight="1" x14ac:dyDescent="0.2">
      <c r="A1195" s="133">
        <v>2020</v>
      </c>
      <c r="B1195" s="133">
        <v>11</v>
      </c>
      <c r="C1195" s="133">
        <v>26</v>
      </c>
      <c r="D1195" s="141">
        <f t="shared" si="42"/>
        <v>44161</v>
      </c>
      <c r="E1195" s="275">
        <f t="shared" si="43"/>
        <v>44161</v>
      </c>
      <c r="F1195" s="479" t="s">
        <v>254</v>
      </c>
      <c r="G1195" s="174" t="s">
        <v>74</v>
      </c>
      <c r="H1195" s="174" t="str" cm="1">
        <f t="array" ref="H1195">IFERROR(INDEX(INVESTOR_LIST[INVESTOR NAME],MATCH(I1195,INVESTOR_LIST[INVESTOR CODE],0),)," ")</f>
        <v xml:space="preserve"> </v>
      </c>
      <c r="I1195" s="148" t="s">
        <v>348</v>
      </c>
      <c r="J1195" s="149" t="s">
        <v>52</v>
      </c>
      <c r="K1195" s="218">
        <v>156000</v>
      </c>
      <c r="L1195" s="218"/>
      <c r="M1195" s="147">
        <v>0</v>
      </c>
      <c r="Q1195" s="133" t="s">
        <v>348</v>
      </c>
    </row>
    <row r="1196" spans="1:17" x14ac:dyDescent="0.2">
      <c r="A1196" s="133">
        <v>2020</v>
      </c>
      <c r="B1196" s="133">
        <v>11</v>
      </c>
      <c r="C1196" s="133">
        <v>26</v>
      </c>
      <c r="D1196" s="141">
        <f t="shared" si="42"/>
        <v>44161</v>
      </c>
      <c r="E1196" s="275">
        <f t="shared" si="43"/>
        <v>44161</v>
      </c>
      <c r="F1196" s="481"/>
      <c r="G1196" s="174" t="s">
        <v>74</v>
      </c>
      <c r="H1196" s="174" t="str" cm="1">
        <f t="array" ref="H1196">IFERROR(INDEX(INVESTOR_LIST[INVESTOR NAME],MATCH(I1196,INVESTOR_LIST[INVESTOR CODE],0),)," ")</f>
        <v xml:space="preserve"> </v>
      </c>
      <c r="I1196" s="148" t="s">
        <v>348</v>
      </c>
      <c r="J1196" s="149" t="s">
        <v>13</v>
      </c>
      <c r="K1196" s="218"/>
      <c r="L1196" s="218">
        <v>135750</v>
      </c>
      <c r="M1196" s="147">
        <v>0</v>
      </c>
      <c r="Q1196" s="133" t="s">
        <v>348</v>
      </c>
    </row>
    <row r="1197" spans="1:17" x14ac:dyDescent="0.2">
      <c r="A1197" s="163">
        <v>2020</v>
      </c>
      <c r="B1197" s="163">
        <v>11</v>
      </c>
      <c r="C1197" s="163">
        <v>26</v>
      </c>
      <c r="D1197" s="141">
        <f t="shared" si="42"/>
        <v>44161</v>
      </c>
      <c r="E1197" s="275">
        <f t="shared" si="43"/>
        <v>44161</v>
      </c>
      <c r="F1197" s="480"/>
      <c r="G1197" s="221" t="s">
        <v>74</v>
      </c>
      <c r="H1197" s="221" t="str" cm="1">
        <f t="array" ref="H1197">IFERROR(INDEX(INVESTOR_LIST[INVESTOR NAME],MATCH(I1197,INVESTOR_LIST[INVESTOR CODE],0),)," ")</f>
        <v xml:space="preserve"> </v>
      </c>
      <c r="I1197" s="145" t="s">
        <v>348</v>
      </c>
      <c r="J1197" s="146" t="s">
        <v>53</v>
      </c>
      <c r="K1197" s="219"/>
      <c r="L1197" s="219">
        <f>K1195-L1196</f>
        <v>20250</v>
      </c>
      <c r="M1197" s="147">
        <v>0</v>
      </c>
      <c r="Q1197" s="133" t="s">
        <v>348</v>
      </c>
    </row>
    <row r="1198" spans="1:17" x14ac:dyDescent="0.2">
      <c r="A1198" s="133">
        <v>2020</v>
      </c>
      <c r="B1198" s="133">
        <v>11</v>
      </c>
      <c r="C1198" s="133">
        <v>26</v>
      </c>
      <c r="D1198" s="141">
        <f t="shared" si="42"/>
        <v>44161</v>
      </c>
      <c r="E1198" s="275">
        <f t="shared" si="43"/>
        <v>44161</v>
      </c>
      <c r="F1198" s="479" t="s">
        <v>178</v>
      </c>
      <c r="G1198" s="174" t="s">
        <v>74</v>
      </c>
      <c r="H1198" s="174" t="str" cm="1">
        <f t="array" ref="H1198">IFERROR(INDEX(INVESTOR_LIST[INVESTOR NAME],MATCH(I1198,INVESTOR_LIST[INVESTOR CODE],0),)," ")</f>
        <v xml:space="preserve"> </v>
      </c>
      <c r="I1198" s="148" t="s">
        <v>348</v>
      </c>
      <c r="J1198" s="149" t="s">
        <v>147</v>
      </c>
      <c r="K1198" s="218">
        <v>869862.94</v>
      </c>
      <c r="L1198" s="218"/>
      <c r="M1198" s="147">
        <v>0</v>
      </c>
      <c r="Q1198" s="133" t="s">
        <v>348</v>
      </c>
    </row>
    <row r="1199" spans="1:17" x14ac:dyDescent="0.2">
      <c r="A1199" s="163">
        <v>2020</v>
      </c>
      <c r="B1199" s="163">
        <v>11</v>
      </c>
      <c r="C1199" s="163">
        <v>26</v>
      </c>
      <c r="D1199" s="141">
        <f t="shared" si="42"/>
        <v>44161</v>
      </c>
      <c r="E1199" s="275">
        <f t="shared" si="43"/>
        <v>44161</v>
      </c>
      <c r="F1199" s="480"/>
      <c r="G1199" s="221" t="s">
        <v>74</v>
      </c>
      <c r="H1199" s="221" t="str" cm="1">
        <f t="array" ref="H1199">IFERROR(INDEX(INVESTOR_LIST[INVESTOR NAME],MATCH(I1199,INVESTOR_LIST[INVESTOR CODE],0),)," ")</f>
        <v xml:space="preserve"> </v>
      </c>
      <c r="I1199" s="145" t="s">
        <v>348</v>
      </c>
      <c r="J1199" s="146" t="s">
        <v>52</v>
      </c>
      <c r="K1199" s="219"/>
      <c r="L1199" s="219">
        <v>869862.94</v>
      </c>
      <c r="M1199" s="147">
        <v>0</v>
      </c>
      <c r="N1199" s="156"/>
      <c r="Q1199" s="133" t="s">
        <v>348</v>
      </c>
    </row>
    <row r="1200" spans="1:17" x14ac:dyDescent="0.2">
      <c r="A1200" s="246">
        <v>2020</v>
      </c>
      <c r="B1200" s="246">
        <v>11</v>
      </c>
      <c r="C1200" s="246">
        <v>26</v>
      </c>
      <c r="D1200" s="141">
        <f t="shared" si="42"/>
        <v>44161</v>
      </c>
      <c r="E1200" s="275">
        <f t="shared" si="43"/>
        <v>44161</v>
      </c>
      <c r="F1200" s="482" t="s">
        <v>105</v>
      </c>
      <c r="G1200" s="247" t="s">
        <v>94</v>
      </c>
      <c r="H1200" s="247" t="str" cm="1">
        <f t="array" ref="H1200">IFERROR(INDEX(INVESTOR_LIST[INVESTOR NAME],MATCH(I1200,INVESTOR_LIST[INVESTOR CODE],0),)," ")</f>
        <v xml:space="preserve"> </v>
      </c>
      <c r="I1200" s="248" t="s">
        <v>348</v>
      </c>
      <c r="J1200" s="249" t="s">
        <v>83</v>
      </c>
      <c r="K1200" s="252">
        <v>251938</v>
      </c>
      <c r="L1200" s="252"/>
      <c r="M1200" s="147">
        <v>0</v>
      </c>
      <c r="Q1200" s="133" t="s">
        <v>348</v>
      </c>
    </row>
    <row r="1201" spans="1:17" x14ac:dyDescent="0.2">
      <c r="A1201" s="242">
        <v>2020</v>
      </c>
      <c r="B1201" s="242">
        <v>11</v>
      </c>
      <c r="C1201" s="242">
        <v>26</v>
      </c>
      <c r="D1201" s="141">
        <f t="shared" si="42"/>
        <v>44161</v>
      </c>
      <c r="E1201" s="275">
        <f t="shared" si="43"/>
        <v>44161</v>
      </c>
      <c r="F1201" s="478"/>
      <c r="G1201" s="243" t="s">
        <v>94</v>
      </c>
      <c r="H1201" s="243" t="str" cm="1">
        <f t="array" ref="H1201">IFERROR(INDEX(INVESTOR_LIST[INVESTOR NAME],MATCH(I1201,INVESTOR_LIST[INVESTOR CODE],0),)," ")</f>
        <v xml:space="preserve"> </v>
      </c>
      <c r="I1201" s="263" t="s">
        <v>348</v>
      </c>
      <c r="J1201" s="244" t="s">
        <v>108</v>
      </c>
      <c r="K1201" s="245"/>
      <c r="L1201" s="245">
        <v>251938</v>
      </c>
      <c r="M1201" s="147">
        <v>0</v>
      </c>
      <c r="Q1201" s="133" t="s">
        <v>348</v>
      </c>
    </row>
    <row r="1202" spans="1:17" ht="22.5" x14ac:dyDescent="0.2">
      <c r="A1202" s="246">
        <v>2020</v>
      </c>
      <c r="B1202" s="246">
        <v>11</v>
      </c>
      <c r="C1202" s="246">
        <v>26</v>
      </c>
      <c r="D1202" s="141">
        <f t="shared" si="42"/>
        <v>44161</v>
      </c>
      <c r="E1202" s="275">
        <f t="shared" si="43"/>
        <v>44161</v>
      </c>
      <c r="F1202" s="477" t="s">
        <v>148</v>
      </c>
      <c r="G1202" s="247" t="s">
        <v>94</v>
      </c>
      <c r="H1202" s="247" t="str" cm="1">
        <f t="array" ref="H1202">IFERROR(INDEX(INVESTOR_LIST[INVESTOR NAME],MATCH(I1202,INVESTOR_LIST[INVESTOR CODE],0),)," ")</f>
        <v xml:space="preserve"> </v>
      </c>
      <c r="I1202" s="248" t="s">
        <v>348</v>
      </c>
      <c r="J1202" s="249" t="s">
        <v>95</v>
      </c>
      <c r="K1202" s="252">
        <v>2747.25</v>
      </c>
      <c r="L1202" s="252"/>
      <c r="M1202" s="147">
        <v>0</v>
      </c>
      <c r="N1202" s="156"/>
      <c r="Q1202" s="133" t="s">
        <v>348</v>
      </c>
    </row>
    <row r="1203" spans="1:17" x14ac:dyDescent="0.2">
      <c r="A1203" s="242">
        <v>2020</v>
      </c>
      <c r="B1203" s="242">
        <v>11</v>
      </c>
      <c r="C1203" s="242">
        <v>26</v>
      </c>
      <c r="D1203" s="141">
        <f t="shared" si="42"/>
        <v>44161</v>
      </c>
      <c r="E1203" s="275">
        <f t="shared" si="43"/>
        <v>44161</v>
      </c>
      <c r="F1203" s="478"/>
      <c r="G1203" s="243" t="s">
        <v>94</v>
      </c>
      <c r="H1203" s="243" t="str" cm="1">
        <f t="array" ref="H1203">IFERROR(INDEX(INVESTOR_LIST[INVESTOR NAME],MATCH(I1203,INVESTOR_LIST[INVESTOR CODE],0),)," ")</f>
        <v xml:space="preserve"> </v>
      </c>
      <c r="I1203" s="263" t="s">
        <v>348</v>
      </c>
      <c r="J1203" s="244" t="s">
        <v>63</v>
      </c>
      <c r="K1203" s="245"/>
      <c r="L1203" s="245">
        <v>2747.25</v>
      </c>
      <c r="M1203" s="147">
        <v>1</v>
      </c>
      <c r="Q1203" s="133" t="s">
        <v>348</v>
      </c>
    </row>
    <row r="1204" spans="1:17" x14ac:dyDescent="0.2">
      <c r="A1204" s="238">
        <v>2020</v>
      </c>
      <c r="B1204" s="238">
        <v>11</v>
      </c>
      <c r="C1204" s="238">
        <v>26</v>
      </c>
      <c r="D1204" s="141">
        <f t="shared" si="42"/>
        <v>44161</v>
      </c>
      <c r="E1204" s="275">
        <f t="shared" si="43"/>
        <v>44161</v>
      </c>
      <c r="F1204" s="477" t="s">
        <v>137</v>
      </c>
      <c r="G1204" s="239" t="s">
        <v>94</v>
      </c>
      <c r="H1204" s="247" t="str" cm="1">
        <f t="array" ref="H1204">IFERROR(INDEX(INVESTOR_LIST[INVESTOR NAME],MATCH(I1204,INVESTOR_LIST[INVESTOR CODE],0),)," ")</f>
        <v xml:space="preserve"> </v>
      </c>
      <c r="I1204" s="248" t="s">
        <v>348</v>
      </c>
      <c r="J1204" s="240" t="s">
        <v>97</v>
      </c>
      <c r="K1204" s="252">
        <v>43431</v>
      </c>
      <c r="L1204" s="252"/>
      <c r="M1204" s="147">
        <v>0</v>
      </c>
      <c r="Q1204" s="133" t="s">
        <v>348</v>
      </c>
    </row>
    <row r="1205" spans="1:17" x14ac:dyDescent="0.2">
      <c r="A1205" s="242">
        <v>2020</v>
      </c>
      <c r="B1205" s="242">
        <v>11</v>
      </c>
      <c r="C1205" s="242">
        <v>26</v>
      </c>
      <c r="D1205" s="141">
        <f t="shared" si="42"/>
        <v>44161</v>
      </c>
      <c r="E1205" s="275">
        <f t="shared" si="43"/>
        <v>44161</v>
      </c>
      <c r="F1205" s="478"/>
      <c r="G1205" s="243" t="s">
        <v>94</v>
      </c>
      <c r="H1205" s="243" t="str" cm="1">
        <f t="array" ref="H1205">IFERROR(INDEX(INVESTOR_LIST[INVESTOR NAME],MATCH(I1205,INVESTOR_LIST[INVESTOR CODE],0),)," ")</f>
        <v xml:space="preserve"> </v>
      </c>
      <c r="I1205" s="263" t="s">
        <v>348</v>
      </c>
      <c r="J1205" s="244" t="s">
        <v>47</v>
      </c>
      <c r="K1205" s="245"/>
      <c r="L1205" s="271">
        <v>43431</v>
      </c>
      <c r="M1205" s="147">
        <v>0</v>
      </c>
      <c r="Q1205" s="133" t="s">
        <v>348</v>
      </c>
    </row>
    <row r="1206" spans="1:17" x14ac:dyDescent="0.2">
      <c r="A1206" s="238">
        <v>2020</v>
      </c>
      <c r="B1206" s="238">
        <v>11</v>
      </c>
      <c r="C1206" s="238">
        <v>26</v>
      </c>
      <c r="D1206" s="141">
        <f t="shared" si="42"/>
        <v>44161</v>
      </c>
      <c r="E1206" s="275">
        <f t="shared" si="43"/>
        <v>44161</v>
      </c>
      <c r="F1206" s="477" t="s">
        <v>138</v>
      </c>
      <c r="G1206" s="239" t="s">
        <v>94</v>
      </c>
      <c r="H1206" s="247" t="str" cm="1">
        <f t="array" ref="H1206">IFERROR(INDEX(INVESTOR_LIST[INVESTOR NAME],MATCH(I1206,INVESTOR_LIST[INVESTOR CODE],0),)," ")</f>
        <v xml:space="preserve"> </v>
      </c>
      <c r="I1206" s="248" t="s">
        <v>348</v>
      </c>
      <c r="J1206" s="240" t="s">
        <v>100</v>
      </c>
      <c r="K1206" s="252">
        <v>1930</v>
      </c>
      <c r="L1206" s="252"/>
      <c r="M1206" s="147">
        <v>0</v>
      </c>
      <c r="Q1206" s="133" t="s">
        <v>348</v>
      </c>
    </row>
    <row r="1207" spans="1:17" x14ac:dyDescent="0.2">
      <c r="A1207" s="242">
        <v>2020</v>
      </c>
      <c r="B1207" s="242">
        <v>11</v>
      </c>
      <c r="C1207" s="242">
        <v>26</v>
      </c>
      <c r="D1207" s="141">
        <f t="shared" si="42"/>
        <v>44161</v>
      </c>
      <c r="E1207" s="275">
        <f t="shared" si="43"/>
        <v>44161</v>
      </c>
      <c r="F1207" s="478"/>
      <c r="G1207" s="243" t="s">
        <v>94</v>
      </c>
      <c r="H1207" s="243" t="str" cm="1">
        <f t="array" ref="H1207">IFERROR(INDEX(INVESTOR_LIST[INVESTOR NAME],MATCH(I1207,INVESTOR_LIST[INVESTOR CODE],0),)," ")</f>
        <v xml:space="preserve"> </v>
      </c>
      <c r="I1207" s="263" t="s">
        <v>348</v>
      </c>
      <c r="J1207" s="244" t="s">
        <v>48</v>
      </c>
      <c r="K1207" s="245"/>
      <c r="L1207" s="245">
        <v>1930</v>
      </c>
      <c r="M1207" s="147">
        <v>0</v>
      </c>
      <c r="Q1207" s="133" t="s">
        <v>348</v>
      </c>
    </row>
    <row r="1208" spans="1:17" x14ac:dyDescent="0.2">
      <c r="A1208" s="246">
        <v>2020</v>
      </c>
      <c r="B1208" s="246">
        <v>11</v>
      </c>
      <c r="C1208" s="246">
        <v>26</v>
      </c>
      <c r="D1208" s="141">
        <f t="shared" si="42"/>
        <v>44161</v>
      </c>
      <c r="E1208" s="275">
        <f t="shared" si="43"/>
        <v>44161</v>
      </c>
      <c r="F1208" s="477" t="s">
        <v>140</v>
      </c>
      <c r="G1208" s="247" t="s">
        <v>94</v>
      </c>
      <c r="H1208" s="247" t="str" cm="1">
        <f t="array" ref="H1208">IFERROR(INDEX(INVESTOR_LIST[INVESTOR NAME],MATCH(I1208,INVESTOR_LIST[INVESTOR CODE],0),)," ")</f>
        <v xml:space="preserve"> </v>
      </c>
      <c r="I1208" s="248" t="s">
        <v>348</v>
      </c>
      <c r="J1208" s="249" t="s">
        <v>103</v>
      </c>
      <c r="K1208" s="252">
        <v>729.17</v>
      </c>
      <c r="L1208" s="252"/>
      <c r="M1208" s="147">
        <v>0</v>
      </c>
      <c r="Q1208" s="133" t="s">
        <v>348</v>
      </c>
    </row>
    <row r="1209" spans="1:17" ht="15" customHeight="1" x14ac:dyDescent="0.2">
      <c r="A1209" s="242">
        <v>2020</v>
      </c>
      <c r="B1209" s="242">
        <v>11</v>
      </c>
      <c r="C1209" s="242">
        <v>26</v>
      </c>
      <c r="D1209" s="141">
        <f t="shared" si="42"/>
        <v>44161</v>
      </c>
      <c r="E1209" s="275">
        <f t="shared" si="43"/>
        <v>44161</v>
      </c>
      <c r="F1209" s="478"/>
      <c r="G1209" s="243" t="s">
        <v>94</v>
      </c>
      <c r="H1209" s="243" t="str" cm="1">
        <f t="array" ref="H1209">IFERROR(INDEX(INVESTOR_LIST[INVESTOR NAME],MATCH(I1209,INVESTOR_LIST[INVESTOR CODE],0),)," ")</f>
        <v xml:space="preserve"> </v>
      </c>
      <c r="I1209" s="263" t="s">
        <v>348</v>
      </c>
      <c r="J1209" s="244" t="s">
        <v>50</v>
      </c>
      <c r="K1209" s="245"/>
      <c r="L1209" s="245">
        <v>729.17</v>
      </c>
      <c r="M1209" s="147">
        <v>0</v>
      </c>
      <c r="Q1209" s="133" t="s">
        <v>348</v>
      </c>
    </row>
    <row r="1210" spans="1:17" x14ac:dyDescent="0.2">
      <c r="A1210" s="168">
        <v>2020</v>
      </c>
      <c r="B1210" s="168">
        <v>11</v>
      </c>
      <c r="C1210" s="168">
        <v>29</v>
      </c>
      <c r="D1210" s="141">
        <f t="shared" si="42"/>
        <v>44164</v>
      </c>
      <c r="E1210" s="275">
        <f t="shared" si="43"/>
        <v>44164</v>
      </c>
      <c r="F1210" s="479" t="s">
        <v>230</v>
      </c>
      <c r="G1210" s="220" t="s">
        <v>94</v>
      </c>
      <c r="H1210" s="220" t="str" cm="1">
        <f t="array" ref="H1210">IFERROR(INDEX(INVESTOR_LIST[INVESTOR NAME],MATCH(I1210,INVESTOR_LIST[INVESTOR CODE],0),)," ")</f>
        <v xml:space="preserve"> </v>
      </c>
      <c r="I1210" s="142" t="s">
        <v>348</v>
      </c>
      <c r="J1210" s="143" t="s">
        <v>79</v>
      </c>
      <c r="K1210" s="226">
        <v>1895411</v>
      </c>
      <c r="L1210" s="226"/>
      <c r="M1210" s="147">
        <v>0</v>
      </c>
      <c r="Q1210" s="133" t="s">
        <v>348</v>
      </c>
    </row>
    <row r="1211" spans="1:17" x14ac:dyDescent="0.2">
      <c r="A1211" s="133">
        <v>2020</v>
      </c>
      <c r="B1211" s="133">
        <v>11</v>
      </c>
      <c r="C1211" s="133">
        <v>29</v>
      </c>
      <c r="D1211" s="141">
        <f t="shared" si="42"/>
        <v>44164</v>
      </c>
      <c r="E1211" s="275">
        <f t="shared" si="43"/>
        <v>44164</v>
      </c>
      <c r="F1211" s="481"/>
      <c r="G1211" s="174" t="s">
        <v>94</v>
      </c>
      <c r="H1211" s="174" t="str" cm="1">
        <f t="array" ref="H1211">IFERROR(INDEX(INVESTOR_LIST[INVESTOR NAME],MATCH(I1211,INVESTOR_LIST[INVESTOR CODE],0),)," ")</f>
        <v xml:space="preserve"> </v>
      </c>
      <c r="I1211" s="148" t="s">
        <v>348</v>
      </c>
      <c r="J1211" s="149" t="s">
        <v>80</v>
      </c>
      <c r="K1211" s="218">
        <v>3411.74</v>
      </c>
      <c r="L1211" s="218"/>
      <c r="M1211" s="147">
        <v>0</v>
      </c>
      <c r="Q1211" s="133" t="s">
        <v>348</v>
      </c>
    </row>
    <row r="1212" spans="1:17" x14ac:dyDescent="0.2">
      <c r="A1212" s="163">
        <v>2020</v>
      </c>
      <c r="B1212" s="163">
        <v>11</v>
      </c>
      <c r="C1212" s="163">
        <v>29</v>
      </c>
      <c r="D1212" s="141">
        <f t="shared" si="42"/>
        <v>44164</v>
      </c>
      <c r="E1212" s="275">
        <f t="shared" si="43"/>
        <v>44164</v>
      </c>
      <c r="F1212" s="480"/>
      <c r="G1212" s="221" t="s">
        <v>94</v>
      </c>
      <c r="H1212" s="221" t="str" cm="1">
        <f t="array" ref="H1212">IFERROR(INDEX(INVESTOR_LIST[INVESTOR NAME],MATCH(I1212,INVESTOR_LIST[INVESTOR CODE],0),)," ")</f>
        <v xml:space="preserve"> </v>
      </c>
      <c r="I1212" s="145" t="s">
        <v>348</v>
      </c>
      <c r="J1212" s="146" t="s">
        <v>147</v>
      </c>
      <c r="K1212" s="219"/>
      <c r="L1212" s="219">
        <v>1898822.74</v>
      </c>
      <c r="M1212" s="147">
        <v>0</v>
      </c>
      <c r="Q1212" s="133" t="s">
        <v>348</v>
      </c>
    </row>
    <row r="1213" spans="1:17" x14ac:dyDescent="0.2">
      <c r="A1213" s="168">
        <v>2020</v>
      </c>
      <c r="B1213" s="168">
        <v>11</v>
      </c>
      <c r="C1213" s="168">
        <v>29</v>
      </c>
      <c r="D1213" s="141">
        <f t="shared" si="42"/>
        <v>44164</v>
      </c>
      <c r="E1213" s="275">
        <f t="shared" si="43"/>
        <v>44164</v>
      </c>
      <c r="F1213" s="479" t="s">
        <v>172</v>
      </c>
      <c r="G1213" s="220" t="s">
        <v>74</v>
      </c>
      <c r="H1213" s="220" t="str" cm="1">
        <f t="array" ref="H1213">IFERROR(INDEX(INVESTOR_LIST[INVESTOR NAME],MATCH(I1213,INVESTOR_LIST[INVESTOR CODE],0),)," ")</f>
        <v xml:space="preserve"> </v>
      </c>
      <c r="I1213" s="142" t="s">
        <v>348</v>
      </c>
      <c r="J1213" s="143" t="s">
        <v>147</v>
      </c>
      <c r="K1213" s="226">
        <v>475888.06</v>
      </c>
      <c r="L1213" s="226"/>
      <c r="M1213" s="147">
        <v>1</v>
      </c>
      <c r="Q1213" s="133" t="s">
        <v>348</v>
      </c>
    </row>
    <row r="1214" spans="1:17" x14ac:dyDescent="0.2">
      <c r="A1214" s="163">
        <v>2020</v>
      </c>
      <c r="B1214" s="163">
        <v>11</v>
      </c>
      <c r="C1214" s="163">
        <v>29</v>
      </c>
      <c r="D1214" s="141">
        <f t="shared" si="42"/>
        <v>44164</v>
      </c>
      <c r="E1214" s="275">
        <f t="shared" si="43"/>
        <v>44164</v>
      </c>
      <c r="F1214" s="480"/>
      <c r="G1214" s="221" t="s">
        <v>74</v>
      </c>
      <c r="H1214" s="221" t="str" cm="1">
        <f t="array" ref="H1214">IFERROR(INDEX(INVESTOR_LIST[INVESTOR NAME],MATCH(I1214,INVESTOR_LIST[INVESTOR CODE],0),)," ")</f>
        <v xml:space="preserve"> </v>
      </c>
      <c r="I1214" s="145" t="s">
        <v>348</v>
      </c>
      <c r="J1214" s="146" t="s">
        <v>52</v>
      </c>
      <c r="K1214" s="219"/>
      <c r="L1214" s="219">
        <v>475888.06</v>
      </c>
      <c r="M1214" s="147">
        <v>0</v>
      </c>
      <c r="Q1214" s="133" t="s">
        <v>348</v>
      </c>
    </row>
    <row r="1215" spans="1:17" x14ac:dyDescent="0.2">
      <c r="A1215" s="168">
        <v>2020</v>
      </c>
      <c r="B1215" s="168">
        <v>11</v>
      </c>
      <c r="C1215" s="168">
        <v>30</v>
      </c>
      <c r="D1215" s="141">
        <f t="shared" si="42"/>
        <v>44165</v>
      </c>
      <c r="E1215" s="275">
        <f t="shared" si="43"/>
        <v>44165</v>
      </c>
      <c r="F1215" s="479" t="s">
        <v>172</v>
      </c>
      <c r="G1215" s="220" t="s">
        <v>74</v>
      </c>
      <c r="H1215" s="220" t="str" cm="1">
        <f t="array" ref="H1215">IFERROR(INDEX(INVESTOR_LIST[INVESTOR NAME],MATCH(I1215,INVESTOR_LIST[INVESTOR CODE],0),)," ")</f>
        <v xml:space="preserve"> </v>
      </c>
      <c r="I1215" s="142" t="s">
        <v>348</v>
      </c>
      <c r="J1215" s="143" t="s">
        <v>147</v>
      </c>
      <c r="K1215" s="226">
        <v>1898822.74</v>
      </c>
      <c r="L1215" s="226"/>
      <c r="M1215" s="147">
        <v>0</v>
      </c>
      <c r="Q1215" s="133" t="s">
        <v>348</v>
      </c>
    </row>
    <row r="1216" spans="1:17" x14ac:dyDescent="0.2">
      <c r="A1216" s="163">
        <v>2020</v>
      </c>
      <c r="B1216" s="163">
        <v>11</v>
      </c>
      <c r="C1216" s="163">
        <v>30</v>
      </c>
      <c r="D1216" s="141">
        <f t="shared" si="42"/>
        <v>44165</v>
      </c>
      <c r="E1216" s="275">
        <f t="shared" si="43"/>
        <v>44165</v>
      </c>
      <c r="F1216" s="480"/>
      <c r="G1216" s="221" t="s">
        <v>74</v>
      </c>
      <c r="H1216" s="221" t="str" cm="1">
        <f t="array" ref="H1216">IFERROR(INDEX(INVESTOR_LIST[INVESTOR NAME],MATCH(I1216,INVESTOR_LIST[INVESTOR CODE],0),)," ")</f>
        <v xml:space="preserve"> </v>
      </c>
      <c r="I1216" s="145" t="s">
        <v>348</v>
      </c>
      <c r="J1216" s="146" t="s">
        <v>52</v>
      </c>
      <c r="K1216" s="219"/>
      <c r="L1216" s="219">
        <v>1898822.74</v>
      </c>
      <c r="M1216" s="147">
        <v>0</v>
      </c>
      <c r="Q1216" s="133" t="s">
        <v>348</v>
      </c>
    </row>
    <row r="1217" spans="1:17" x14ac:dyDescent="0.2">
      <c r="A1217" s="168">
        <v>2020</v>
      </c>
      <c r="B1217" s="168">
        <v>11</v>
      </c>
      <c r="C1217" s="168">
        <v>30</v>
      </c>
      <c r="D1217" s="141">
        <f t="shared" si="42"/>
        <v>44165</v>
      </c>
      <c r="E1217" s="275">
        <f t="shared" si="43"/>
        <v>44165</v>
      </c>
      <c r="F1217" s="479" t="s">
        <v>195</v>
      </c>
      <c r="G1217" s="220" t="s">
        <v>74</v>
      </c>
      <c r="H1217" s="220" t="str" cm="1">
        <f t="array" ref="H1217">IFERROR(INDEX(INVESTOR_LIST[INVESTOR NAME],MATCH(I1217,INVESTOR_LIST[INVESTOR CODE],0),)," ")</f>
        <v xml:space="preserve"> </v>
      </c>
      <c r="I1217" s="142" t="s">
        <v>348</v>
      </c>
      <c r="J1217" s="143" t="s">
        <v>52</v>
      </c>
      <c r="K1217" s="226">
        <v>177085</v>
      </c>
      <c r="L1217" s="226"/>
      <c r="M1217" s="147">
        <v>0</v>
      </c>
      <c r="N1217" s="160"/>
      <c r="Q1217" s="133" t="s">
        <v>348</v>
      </c>
    </row>
    <row r="1218" spans="1:17" x14ac:dyDescent="0.2">
      <c r="A1218" s="163">
        <v>2020</v>
      </c>
      <c r="B1218" s="163">
        <v>11</v>
      </c>
      <c r="C1218" s="163">
        <v>30</v>
      </c>
      <c r="D1218" s="141">
        <f t="shared" si="42"/>
        <v>44165</v>
      </c>
      <c r="E1218" s="275">
        <f t="shared" si="43"/>
        <v>44165</v>
      </c>
      <c r="F1218" s="480"/>
      <c r="G1218" s="221" t="s">
        <v>74</v>
      </c>
      <c r="H1218" s="221" t="str" cm="1">
        <f t="array" ref="H1218">IFERROR(INDEX(INVESTOR_LIST[INVESTOR NAME],MATCH(I1218,INVESTOR_LIST[INVESTOR CODE],0),)," ")</f>
        <v xml:space="preserve"> </v>
      </c>
      <c r="I1218" s="145" t="s">
        <v>348</v>
      </c>
      <c r="J1218" s="146" t="s">
        <v>60</v>
      </c>
      <c r="K1218" s="219"/>
      <c r="L1218" s="219">
        <v>177085</v>
      </c>
      <c r="M1218" s="147">
        <v>0</v>
      </c>
      <c r="Q1218" s="133" t="s">
        <v>348</v>
      </c>
    </row>
    <row r="1219" spans="1:17" x14ac:dyDescent="0.2">
      <c r="A1219" s="133">
        <v>2020</v>
      </c>
      <c r="B1219" s="133">
        <v>11</v>
      </c>
      <c r="C1219" s="133">
        <v>30</v>
      </c>
      <c r="D1219" s="141">
        <f t="shared" si="42"/>
        <v>44165</v>
      </c>
      <c r="E1219" s="275">
        <f t="shared" si="43"/>
        <v>44165</v>
      </c>
      <c r="F1219" s="479" t="s">
        <v>237</v>
      </c>
      <c r="G1219" s="174" t="s">
        <v>94</v>
      </c>
      <c r="H1219" s="174" t="str" cm="1">
        <f t="array" ref="H1219">IFERROR(INDEX(INVESTOR_LIST[INVESTOR NAME],MATCH(I1219,INVESTOR_LIST[INVESTOR CODE],0),)," ")</f>
        <v xml:space="preserve"> </v>
      </c>
      <c r="I1219" s="148" t="s">
        <v>348</v>
      </c>
      <c r="J1219" s="149" t="s">
        <v>79</v>
      </c>
      <c r="K1219" s="218">
        <v>740000</v>
      </c>
      <c r="L1219" s="218"/>
      <c r="M1219" s="147">
        <v>0</v>
      </c>
      <c r="Q1219" s="133" t="s">
        <v>348</v>
      </c>
    </row>
    <row r="1220" spans="1:17" x14ac:dyDescent="0.2">
      <c r="A1220" s="133">
        <v>2020</v>
      </c>
      <c r="B1220" s="133">
        <v>11</v>
      </c>
      <c r="C1220" s="133">
        <v>30</v>
      </c>
      <c r="D1220" s="141">
        <f t="shared" si="42"/>
        <v>44165</v>
      </c>
      <c r="E1220" s="275">
        <f t="shared" si="43"/>
        <v>44165</v>
      </c>
      <c r="F1220" s="481"/>
      <c r="G1220" s="174" t="s">
        <v>94</v>
      </c>
      <c r="H1220" s="174" t="str" cm="1">
        <f t="array" ref="H1220">IFERROR(INDEX(INVESTOR_LIST[INVESTOR NAME],MATCH(I1220,INVESTOR_LIST[INVESTOR CODE],0),)," ")</f>
        <v xml:space="preserve"> </v>
      </c>
      <c r="I1220" s="148" t="s">
        <v>348</v>
      </c>
      <c r="J1220" s="149" t="s">
        <v>80</v>
      </c>
      <c r="K1220" s="218">
        <v>1332</v>
      </c>
      <c r="L1220" s="218"/>
      <c r="M1220" s="147">
        <v>0</v>
      </c>
      <c r="N1220" s="160"/>
      <c r="Q1220" s="133" t="s">
        <v>348</v>
      </c>
    </row>
    <row r="1221" spans="1:17" x14ac:dyDescent="0.2">
      <c r="A1221" s="163">
        <v>2020</v>
      </c>
      <c r="B1221" s="163">
        <v>11</v>
      </c>
      <c r="C1221" s="163">
        <v>30</v>
      </c>
      <c r="D1221" s="141">
        <f t="shared" si="42"/>
        <v>44165</v>
      </c>
      <c r="E1221" s="275">
        <f t="shared" si="43"/>
        <v>44165</v>
      </c>
      <c r="F1221" s="480"/>
      <c r="G1221" s="221" t="s">
        <v>94</v>
      </c>
      <c r="H1221" s="221" t="str" cm="1">
        <f t="array" ref="H1221">IFERROR(INDEX(INVESTOR_LIST[INVESTOR NAME],MATCH(I1221,INVESTOR_LIST[INVESTOR CODE],0),)," ")</f>
        <v xml:space="preserve"> </v>
      </c>
      <c r="I1221" s="145" t="s">
        <v>348</v>
      </c>
      <c r="J1221" s="146" t="s">
        <v>147</v>
      </c>
      <c r="K1221" s="219"/>
      <c r="L1221" s="219">
        <v>741332</v>
      </c>
      <c r="M1221" s="147">
        <v>0</v>
      </c>
      <c r="Q1221" s="133" t="s">
        <v>348</v>
      </c>
    </row>
    <row r="1222" spans="1:17" x14ac:dyDescent="0.2">
      <c r="A1222" s="168">
        <v>2020</v>
      </c>
      <c r="B1222" s="168">
        <v>12</v>
      </c>
      <c r="C1222" s="168">
        <v>1</v>
      </c>
      <c r="D1222" s="141">
        <f t="shared" si="42"/>
        <v>44166</v>
      </c>
      <c r="E1222" s="275">
        <f t="shared" si="43"/>
        <v>44166</v>
      </c>
      <c r="F1222" s="479" t="s">
        <v>172</v>
      </c>
      <c r="G1222" s="220" t="s">
        <v>74</v>
      </c>
      <c r="H1222" s="220" t="str" cm="1">
        <f t="array" ref="H1222">IFERROR(INDEX(INVESTOR_LIST[INVESTOR NAME],MATCH(I1222,INVESTOR_LIST[INVESTOR CODE],0),)," ")</f>
        <v xml:space="preserve"> </v>
      </c>
      <c r="I1222" s="142" t="s">
        <v>348</v>
      </c>
      <c r="J1222" s="143" t="s">
        <v>147</v>
      </c>
      <c r="K1222" s="226">
        <v>741332</v>
      </c>
      <c r="L1222" s="226"/>
      <c r="M1222" s="147">
        <v>0</v>
      </c>
      <c r="Q1222" s="133" t="s">
        <v>348</v>
      </c>
    </row>
    <row r="1223" spans="1:17" x14ac:dyDescent="0.2">
      <c r="A1223" s="163">
        <v>2020</v>
      </c>
      <c r="B1223" s="163">
        <v>12</v>
      </c>
      <c r="C1223" s="163">
        <v>1</v>
      </c>
      <c r="D1223" s="141">
        <f t="shared" si="42"/>
        <v>44166</v>
      </c>
      <c r="E1223" s="275">
        <f t="shared" si="43"/>
        <v>44166</v>
      </c>
      <c r="F1223" s="480"/>
      <c r="G1223" s="221" t="s">
        <v>74</v>
      </c>
      <c r="H1223" s="221" t="str" cm="1">
        <f t="array" ref="H1223">IFERROR(INDEX(INVESTOR_LIST[INVESTOR NAME],MATCH(I1223,INVESTOR_LIST[INVESTOR CODE],0),)," ")</f>
        <v xml:space="preserve"> </v>
      </c>
      <c r="I1223" s="145" t="s">
        <v>348</v>
      </c>
      <c r="J1223" s="146" t="s">
        <v>52</v>
      </c>
      <c r="K1223" s="219"/>
      <c r="L1223" s="219">
        <v>741332</v>
      </c>
      <c r="M1223" s="147">
        <v>0</v>
      </c>
      <c r="N1223" s="156"/>
      <c r="Q1223" s="133" t="s">
        <v>348</v>
      </c>
    </row>
    <row r="1224" spans="1:17" x14ac:dyDescent="0.2">
      <c r="A1224" s="168">
        <v>2020</v>
      </c>
      <c r="B1224" s="168">
        <v>12</v>
      </c>
      <c r="C1224" s="168">
        <v>1</v>
      </c>
      <c r="D1224" s="141">
        <f t="shared" si="42"/>
        <v>44166</v>
      </c>
      <c r="E1224" s="275">
        <f t="shared" si="43"/>
        <v>44166</v>
      </c>
      <c r="F1224" s="479" t="s">
        <v>234</v>
      </c>
      <c r="G1224" s="220" t="s">
        <v>74</v>
      </c>
      <c r="H1224" s="220" t="str" cm="1">
        <f t="array" ref="H1224">IFERROR(INDEX(INVESTOR_LIST[INVESTOR NAME],MATCH(I1224,INVESTOR_LIST[INVESTOR CODE],0),)," ")</f>
        <v xml:space="preserve"> </v>
      </c>
      <c r="I1224" s="142" t="s">
        <v>348</v>
      </c>
      <c r="J1224" s="143" t="s">
        <v>79</v>
      </c>
      <c r="K1224" s="226">
        <v>4687930</v>
      </c>
      <c r="L1224" s="226"/>
      <c r="M1224" s="147">
        <v>0</v>
      </c>
      <c r="N1224" s="160"/>
      <c r="Q1224" s="133" t="s">
        <v>348</v>
      </c>
    </row>
    <row r="1225" spans="1:17" x14ac:dyDescent="0.2">
      <c r="A1225" s="133">
        <v>2020</v>
      </c>
      <c r="B1225" s="133">
        <v>12</v>
      </c>
      <c r="C1225" s="133">
        <v>1</v>
      </c>
      <c r="D1225" s="141">
        <f t="shared" si="42"/>
        <v>44166</v>
      </c>
      <c r="E1225" s="275">
        <f t="shared" si="43"/>
        <v>44166</v>
      </c>
      <c r="F1225" s="481"/>
      <c r="G1225" s="174" t="s">
        <v>74</v>
      </c>
      <c r="H1225" s="174" t="str" cm="1">
        <f t="array" ref="H1225">IFERROR(INDEX(INVESTOR_LIST[INVESTOR NAME],MATCH(I1225,INVESTOR_LIST[INVESTOR CODE],0),)," ")</f>
        <v xml:space="preserve"> </v>
      </c>
      <c r="I1225" s="148" t="s">
        <v>348</v>
      </c>
      <c r="J1225" s="149" t="s">
        <v>52</v>
      </c>
      <c r="K1225" s="218">
        <v>26312070</v>
      </c>
      <c r="L1225" s="218"/>
      <c r="M1225" s="147">
        <v>0</v>
      </c>
      <c r="N1225" s="156"/>
      <c r="Q1225" s="133" t="s">
        <v>348</v>
      </c>
    </row>
    <row r="1226" spans="1:17" x14ac:dyDescent="0.2">
      <c r="A1226" s="163">
        <v>2020</v>
      </c>
      <c r="B1226" s="163">
        <v>12</v>
      </c>
      <c r="C1226" s="163">
        <v>1</v>
      </c>
      <c r="D1226" s="141">
        <f t="shared" si="42"/>
        <v>44166</v>
      </c>
      <c r="E1226" s="275">
        <f t="shared" si="43"/>
        <v>44166</v>
      </c>
      <c r="F1226" s="480"/>
      <c r="G1226" s="221" t="s">
        <v>74</v>
      </c>
      <c r="H1226" s="221" t="str" cm="1">
        <f t="array" ref="H1226">IFERROR(INDEX(INVESTOR_LIST[INVESTOR NAME],MATCH(I1226,INVESTOR_LIST[INVESTOR CODE],0),)," ")</f>
        <v xml:space="preserve"> </v>
      </c>
      <c r="I1226" s="145" t="s">
        <v>348</v>
      </c>
      <c r="J1226" s="146" t="s">
        <v>184</v>
      </c>
      <c r="K1226" s="219"/>
      <c r="L1226" s="219">
        <v>31000000</v>
      </c>
      <c r="M1226" s="147">
        <v>0</v>
      </c>
      <c r="Q1226" s="133" t="s">
        <v>348</v>
      </c>
    </row>
    <row r="1227" spans="1:17" ht="11.25" customHeight="1" x14ac:dyDescent="0.2">
      <c r="A1227" s="168">
        <v>2020</v>
      </c>
      <c r="B1227" s="168">
        <v>12</v>
      </c>
      <c r="C1227" s="168">
        <v>2</v>
      </c>
      <c r="D1227" s="141">
        <f t="shared" si="42"/>
        <v>44167</v>
      </c>
      <c r="E1227" s="275">
        <f t="shared" si="43"/>
        <v>44167</v>
      </c>
      <c r="F1227" s="479" t="s">
        <v>254</v>
      </c>
      <c r="G1227" s="220" t="s">
        <v>74</v>
      </c>
      <c r="H1227" s="220" t="str" cm="1">
        <f t="array" ref="H1227">IFERROR(INDEX(INVESTOR_LIST[INVESTOR NAME],MATCH(I1227,INVESTOR_LIST[INVESTOR CODE],0),)," ")</f>
        <v xml:space="preserve"> </v>
      </c>
      <c r="I1227" s="142" t="s">
        <v>348</v>
      </c>
      <c r="J1227" s="143" t="s">
        <v>52</v>
      </c>
      <c r="K1227" s="226">
        <v>15000</v>
      </c>
      <c r="L1227" s="226"/>
      <c r="M1227" s="147">
        <v>0</v>
      </c>
      <c r="N1227" s="160"/>
      <c r="Q1227" s="133" t="s">
        <v>348</v>
      </c>
    </row>
    <row r="1228" spans="1:17" x14ac:dyDescent="0.2">
      <c r="A1228" s="133">
        <v>2020</v>
      </c>
      <c r="B1228" s="133">
        <v>12</v>
      </c>
      <c r="C1228" s="133">
        <v>2</v>
      </c>
      <c r="D1228" s="141">
        <f t="shared" si="42"/>
        <v>44167</v>
      </c>
      <c r="E1228" s="275">
        <f t="shared" si="43"/>
        <v>44167</v>
      </c>
      <c r="F1228" s="481"/>
      <c r="G1228" s="174" t="s">
        <v>74</v>
      </c>
      <c r="H1228" s="174" t="str" cm="1">
        <f t="array" ref="H1228">IFERROR(INDEX(INVESTOR_LIST[INVESTOR NAME],MATCH(I1228,INVESTOR_LIST[INVESTOR CODE],0),)," ")</f>
        <v xml:space="preserve"> </v>
      </c>
      <c r="I1228" s="148" t="s">
        <v>348</v>
      </c>
      <c r="J1228" s="149" t="s">
        <v>13</v>
      </c>
      <c r="K1228" s="218"/>
      <c r="L1228" s="218">
        <v>13090</v>
      </c>
      <c r="M1228" s="147">
        <v>0</v>
      </c>
      <c r="Q1228" s="133" t="s">
        <v>348</v>
      </c>
    </row>
    <row r="1229" spans="1:17" x14ac:dyDescent="0.2">
      <c r="A1229" s="163">
        <v>2020</v>
      </c>
      <c r="B1229" s="163">
        <v>12</v>
      </c>
      <c r="C1229" s="163">
        <v>2</v>
      </c>
      <c r="D1229" s="141">
        <f t="shared" ref="D1229:D1292" si="44">DATE(A1229,B1229,C1229)</f>
        <v>44167</v>
      </c>
      <c r="E1229" s="275">
        <f t="shared" si="43"/>
        <v>44167</v>
      </c>
      <c r="F1229" s="480"/>
      <c r="G1229" s="221" t="s">
        <v>74</v>
      </c>
      <c r="H1229" s="221" t="str" cm="1">
        <f t="array" ref="H1229">IFERROR(INDEX(INVESTOR_LIST[INVESTOR NAME],MATCH(I1229,INVESTOR_LIST[INVESTOR CODE],0),)," ")</f>
        <v xml:space="preserve"> </v>
      </c>
      <c r="I1229" s="145" t="s">
        <v>348</v>
      </c>
      <c r="J1229" s="146" t="s">
        <v>53</v>
      </c>
      <c r="K1229" s="219"/>
      <c r="L1229" s="219">
        <v>1910</v>
      </c>
      <c r="M1229" s="147">
        <v>0</v>
      </c>
      <c r="Q1229" s="133" t="s">
        <v>348</v>
      </c>
    </row>
    <row r="1230" spans="1:17" x14ac:dyDescent="0.2">
      <c r="A1230" s="133">
        <v>2020</v>
      </c>
      <c r="B1230" s="133">
        <v>12</v>
      </c>
      <c r="C1230" s="133">
        <v>2</v>
      </c>
      <c r="D1230" s="141">
        <f t="shared" si="44"/>
        <v>44167</v>
      </c>
      <c r="E1230" s="275">
        <f t="shared" ref="E1230:E1293" si="45">DATE(A1230,B1230,C1230)</f>
        <v>44167</v>
      </c>
      <c r="F1230" s="479" t="s">
        <v>236</v>
      </c>
      <c r="G1230" s="174" t="s">
        <v>94</v>
      </c>
      <c r="H1230" s="174" t="str" cm="1">
        <f t="array" ref="H1230">IFERROR(INDEX(INVESTOR_LIST[INVESTOR NAME],MATCH(I1230,INVESTOR_LIST[INVESTOR CODE],0),)," ")</f>
        <v xml:space="preserve"> </v>
      </c>
      <c r="I1230" s="148" t="s">
        <v>348</v>
      </c>
      <c r="J1230" s="149" t="s">
        <v>79</v>
      </c>
      <c r="K1230" s="218">
        <v>7131059.9000000004</v>
      </c>
      <c r="L1230" s="218"/>
      <c r="M1230" s="147">
        <v>0</v>
      </c>
      <c r="Q1230" s="133" t="s">
        <v>348</v>
      </c>
    </row>
    <row r="1231" spans="1:17" x14ac:dyDescent="0.2">
      <c r="A1231" s="133">
        <v>2020</v>
      </c>
      <c r="B1231" s="133">
        <v>12</v>
      </c>
      <c r="C1231" s="133">
        <v>2</v>
      </c>
      <c r="D1231" s="141">
        <f t="shared" si="44"/>
        <v>44167</v>
      </c>
      <c r="E1231" s="275">
        <f t="shared" si="45"/>
        <v>44167</v>
      </c>
      <c r="F1231" s="481"/>
      <c r="G1231" s="174" t="s">
        <v>94</v>
      </c>
      <c r="H1231" s="174" t="str" cm="1">
        <f t="array" ref="H1231">IFERROR(INDEX(INVESTOR_LIST[INVESTOR NAME],MATCH(I1231,INVESTOR_LIST[INVESTOR CODE],0),)," ")</f>
        <v xml:space="preserve"> </v>
      </c>
      <c r="I1231" s="148" t="s">
        <v>348</v>
      </c>
      <c r="J1231" s="149" t="s">
        <v>80</v>
      </c>
      <c r="K1231" s="218">
        <v>12835.91</v>
      </c>
      <c r="L1231" s="218"/>
      <c r="M1231" s="147">
        <v>0</v>
      </c>
      <c r="Q1231" s="133" t="s">
        <v>348</v>
      </c>
    </row>
    <row r="1232" spans="1:17" x14ac:dyDescent="0.2">
      <c r="A1232" s="163">
        <v>2020</v>
      </c>
      <c r="B1232" s="163">
        <v>12</v>
      </c>
      <c r="C1232" s="163">
        <v>2</v>
      </c>
      <c r="D1232" s="141">
        <f t="shared" si="44"/>
        <v>44167</v>
      </c>
      <c r="E1232" s="275">
        <f t="shared" si="45"/>
        <v>44167</v>
      </c>
      <c r="F1232" s="480"/>
      <c r="G1232" s="221" t="s">
        <v>94</v>
      </c>
      <c r="H1232" s="221" t="str" cm="1">
        <f t="array" ref="H1232">IFERROR(INDEX(INVESTOR_LIST[INVESTOR NAME],MATCH(I1232,INVESTOR_LIST[INVESTOR CODE],0),)," ")</f>
        <v xml:space="preserve"> </v>
      </c>
      <c r="I1232" s="145" t="s">
        <v>348</v>
      </c>
      <c r="J1232" s="146" t="s">
        <v>147</v>
      </c>
      <c r="K1232" s="219"/>
      <c r="L1232" s="219">
        <v>7143895.8099999996</v>
      </c>
      <c r="M1232" s="147">
        <v>0</v>
      </c>
      <c r="N1232" s="160"/>
      <c r="Q1232" s="133" t="s">
        <v>348</v>
      </c>
    </row>
    <row r="1233" spans="1:17" ht="45" x14ac:dyDescent="0.2">
      <c r="A1233" s="168">
        <v>2020</v>
      </c>
      <c r="B1233" s="168">
        <v>12</v>
      </c>
      <c r="C1233" s="168">
        <v>3</v>
      </c>
      <c r="D1233" s="141">
        <f t="shared" si="44"/>
        <v>44168</v>
      </c>
      <c r="E1233" s="275">
        <f t="shared" si="45"/>
        <v>44168</v>
      </c>
      <c r="F1233" s="479" t="s">
        <v>964</v>
      </c>
      <c r="G1233" s="220" t="s">
        <v>74</v>
      </c>
      <c r="H1233" s="220" t="str" cm="1">
        <f t="array" ref="H1233">IFERROR(INDEX(INVESTOR_LIST[INVESTOR NAME],MATCH(I1233,INVESTOR_LIST[INVESTOR CODE],0),)," ")</f>
        <v>MD. MOMINUL HOQUE</v>
      </c>
      <c r="I1233" s="142" t="s">
        <v>402</v>
      </c>
      <c r="J1233" s="143" t="s">
        <v>52</v>
      </c>
      <c r="K1233" s="226">
        <v>100000</v>
      </c>
      <c r="L1233" s="226"/>
      <c r="M1233" s="147">
        <v>0</v>
      </c>
      <c r="N1233" s="160"/>
      <c r="Q1233" s="133" t="s">
        <v>402</v>
      </c>
    </row>
    <row r="1234" spans="1:17" ht="45" x14ac:dyDescent="0.2">
      <c r="A1234" s="133">
        <v>2020</v>
      </c>
      <c r="B1234" s="133">
        <v>12</v>
      </c>
      <c r="C1234" s="133">
        <v>3</v>
      </c>
      <c r="D1234" s="141">
        <f t="shared" si="44"/>
        <v>44168</v>
      </c>
      <c r="E1234" s="275">
        <f t="shared" si="45"/>
        <v>44168</v>
      </c>
      <c r="F1234" s="481"/>
      <c r="G1234" s="174" t="s">
        <v>74</v>
      </c>
      <c r="H1234" s="174" t="str" cm="1">
        <f t="array" ref="H1234">IFERROR(INDEX(INVESTOR_LIST[INVESTOR NAME],MATCH(I1234,INVESTOR_LIST[INVESTOR CODE],0),)," ")</f>
        <v>MD. MOMINUL HOQUE</v>
      </c>
      <c r="I1234" s="148" t="s">
        <v>402</v>
      </c>
      <c r="J1234" s="149" t="s">
        <v>13</v>
      </c>
      <c r="K1234" s="218"/>
      <c r="L1234" s="218">
        <v>87260</v>
      </c>
      <c r="M1234" s="147">
        <v>1</v>
      </c>
      <c r="Q1234" s="133" t="s">
        <v>402</v>
      </c>
    </row>
    <row r="1235" spans="1:17" ht="45" x14ac:dyDescent="0.2">
      <c r="A1235" s="163">
        <v>2020</v>
      </c>
      <c r="B1235" s="163">
        <v>12</v>
      </c>
      <c r="C1235" s="163">
        <v>3</v>
      </c>
      <c r="D1235" s="141">
        <f t="shared" si="44"/>
        <v>44168</v>
      </c>
      <c r="E1235" s="275">
        <f t="shared" si="45"/>
        <v>44168</v>
      </c>
      <c r="F1235" s="480"/>
      <c r="G1235" s="221" t="s">
        <v>74</v>
      </c>
      <c r="H1235" s="221" t="str" cm="1">
        <f t="array" ref="H1235">IFERROR(INDEX(INVESTOR_LIST[INVESTOR NAME],MATCH(I1235,INVESTOR_LIST[INVESTOR CODE],0),)," ")</f>
        <v>MD. MOMINUL HOQUE</v>
      </c>
      <c r="I1235" s="145" t="s">
        <v>402</v>
      </c>
      <c r="J1235" s="146" t="s">
        <v>53</v>
      </c>
      <c r="K1235" s="219"/>
      <c r="L1235" s="219">
        <v>12740</v>
      </c>
      <c r="M1235" s="147">
        <v>0</v>
      </c>
      <c r="N1235" s="160"/>
      <c r="Q1235" s="133" t="s">
        <v>402</v>
      </c>
    </row>
    <row r="1236" spans="1:17" ht="56.25" x14ac:dyDescent="0.2">
      <c r="A1236" s="133">
        <v>2020</v>
      </c>
      <c r="B1236" s="133">
        <v>12</v>
      </c>
      <c r="C1236" s="133">
        <v>3</v>
      </c>
      <c r="D1236" s="141">
        <f t="shared" si="44"/>
        <v>44168</v>
      </c>
      <c r="E1236" s="275">
        <f t="shared" si="45"/>
        <v>44168</v>
      </c>
      <c r="F1236" s="479" t="s">
        <v>965</v>
      </c>
      <c r="G1236" s="174" t="s">
        <v>74</v>
      </c>
      <c r="H1236" s="174" t="str" cm="1">
        <f t="array" ref="H1236">IFERROR(INDEX(INVESTOR_LIST[INVESTOR NAME],MATCH(I1236,INVESTOR_LIST[INVESTOR CODE],0),)," ")</f>
        <v>AROORA SAMEERA CHOWDHURY</v>
      </c>
      <c r="I1236" s="148" t="s">
        <v>413</v>
      </c>
      <c r="J1236" s="149" t="s">
        <v>13</v>
      </c>
      <c r="K1236" s="218">
        <v>872600</v>
      </c>
      <c r="L1236" s="218"/>
      <c r="M1236" s="147">
        <v>0</v>
      </c>
      <c r="Q1236" s="133" t="s">
        <v>413</v>
      </c>
    </row>
    <row r="1237" spans="1:17" ht="56.25" x14ac:dyDescent="0.2">
      <c r="A1237" s="133">
        <v>2020</v>
      </c>
      <c r="B1237" s="133">
        <v>12</v>
      </c>
      <c r="C1237" s="133">
        <v>3</v>
      </c>
      <c r="D1237" s="141">
        <f t="shared" si="44"/>
        <v>44168</v>
      </c>
      <c r="E1237" s="275">
        <f t="shared" si="45"/>
        <v>44168</v>
      </c>
      <c r="F1237" s="481"/>
      <c r="G1237" s="174" t="s">
        <v>74</v>
      </c>
      <c r="H1237" s="174" t="str" cm="1">
        <f t="array" ref="H1237">IFERROR(INDEX(INVESTOR_LIST[INVESTOR NAME],MATCH(I1237,INVESTOR_LIST[INVESTOR CODE],0),)," ")</f>
        <v>AROORA SAMEERA CHOWDHURY</v>
      </c>
      <c r="I1237" s="148" t="s">
        <v>413</v>
      </c>
      <c r="J1237" s="149" t="s">
        <v>53</v>
      </c>
      <c r="K1237" s="218">
        <v>127400</v>
      </c>
      <c r="L1237" s="218"/>
      <c r="M1237" s="147">
        <v>0</v>
      </c>
      <c r="Q1237" s="133" t="s">
        <v>413</v>
      </c>
    </row>
    <row r="1238" spans="1:17" ht="56.25" x14ac:dyDescent="0.2">
      <c r="A1238" s="163">
        <v>2020</v>
      </c>
      <c r="B1238" s="163">
        <v>12</v>
      </c>
      <c r="C1238" s="163">
        <v>3</v>
      </c>
      <c r="D1238" s="141">
        <f t="shared" si="44"/>
        <v>44168</v>
      </c>
      <c r="E1238" s="275">
        <f t="shared" si="45"/>
        <v>44168</v>
      </c>
      <c r="F1238" s="480"/>
      <c r="G1238" s="221" t="s">
        <v>74</v>
      </c>
      <c r="H1238" s="221" t="str" cm="1">
        <f t="array" ref="H1238">IFERROR(INDEX(INVESTOR_LIST[INVESTOR NAME],MATCH(I1238,INVESTOR_LIST[INVESTOR CODE],0),)," ")</f>
        <v>AROORA SAMEERA CHOWDHURY</v>
      </c>
      <c r="I1238" s="145" t="s">
        <v>413</v>
      </c>
      <c r="J1238" s="146" t="s">
        <v>52</v>
      </c>
      <c r="K1238" s="219"/>
      <c r="L1238" s="219">
        <v>1000000</v>
      </c>
      <c r="M1238" s="147">
        <v>0</v>
      </c>
      <c r="N1238" s="156"/>
      <c r="Q1238" s="133" t="s">
        <v>413</v>
      </c>
    </row>
    <row r="1239" spans="1:17" x14ac:dyDescent="0.2">
      <c r="A1239" s="168">
        <v>2020</v>
      </c>
      <c r="B1239" s="168">
        <v>12</v>
      </c>
      <c r="C1239" s="168">
        <v>3</v>
      </c>
      <c r="D1239" s="141">
        <f t="shared" si="44"/>
        <v>44168</v>
      </c>
      <c r="E1239" s="275">
        <f t="shared" si="45"/>
        <v>44168</v>
      </c>
      <c r="F1239" s="479" t="s">
        <v>77</v>
      </c>
      <c r="G1239" s="220" t="s">
        <v>74</v>
      </c>
      <c r="H1239" s="220" t="str" cm="1">
        <f t="array" ref="H1239">IFERROR(INDEX(INVESTOR_LIST[INVESTOR NAME],MATCH(I1239,INVESTOR_LIST[INVESTOR CODE],0),)," ")</f>
        <v xml:space="preserve"> </v>
      </c>
      <c r="I1239" s="142" t="s">
        <v>348</v>
      </c>
      <c r="J1239" s="143" t="s">
        <v>61</v>
      </c>
      <c r="K1239" s="226">
        <v>100</v>
      </c>
      <c r="L1239" s="226"/>
      <c r="M1239" s="147">
        <v>0</v>
      </c>
      <c r="Q1239" s="133" t="s">
        <v>348</v>
      </c>
    </row>
    <row r="1240" spans="1:17" x14ac:dyDescent="0.2">
      <c r="A1240" s="163">
        <v>2020</v>
      </c>
      <c r="B1240" s="163">
        <v>12</v>
      </c>
      <c r="C1240" s="163">
        <v>3</v>
      </c>
      <c r="D1240" s="141">
        <f t="shared" si="44"/>
        <v>44168</v>
      </c>
      <c r="E1240" s="275">
        <f t="shared" si="45"/>
        <v>44168</v>
      </c>
      <c r="F1240" s="480"/>
      <c r="G1240" s="221" t="s">
        <v>74</v>
      </c>
      <c r="H1240" s="221" t="str" cm="1">
        <f t="array" ref="H1240">IFERROR(INDEX(INVESTOR_LIST[INVESTOR NAME],MATCH(I1240,INVESTOR_LIST[INVESTOR CODE],0),)," ")</f>
        <v xml:space="preserve"> </v>
      </c>
      <c r="I1240" s="145" t="s">
        <v>348</v>
      </c>
      <c r="J1240" s="146" t="s">
        <v>52</v>
      </c>
      <c r="K1240" s="219"/>
      <c r="L1240" s="219">
        <v>100</v>
      </c>
      <c r="M1240" s="147">
        <v>0</v>
      </c>
      <c r="Q1240" s="133" t="s">
        <v>348</v>
      </c>
    </row>
    <row r="1241" spans="1:17" ht="45" x14ac:dyDescent="0.2">
      <c r="A1241" s="168">
        <v>2020</v>
      </c>
      <c r="B1241" s="168">
        <v>12</v>
      </c>
      <c r="C1241" s="168">
        <v>3</v>
      </c>
      <c r="D1241" s="141">
        <f t="shared" si="44"/>
        <v>44168</v>
      </c>
      <c r="E1241" s="275">
        <f t="shared" si="45"/>
        <v>44168</v>
      </c>
      <c r="F1241" s="479" t="s">
        <v>964</v>
      </c>
      <c r="G1241" s="220" t="s">
        <v>74</v>
      </c>
      <c r="H1241" s="220" t="str" cm="1">
        <f t="array" ref="H1241">IFERROR(INDEX(INVESTOR_LIST[INVESTOR NAME],MATCH(I1241,INVESTOR_LIST[INVESTOR CODE],0),)," ")</f>
        <v>ASHUTOSH TALUKDER</v>
      </c>
      <c r="I1241" s="142" t="s">
        <v>483</v>
      </c>
      <c r="J1241" s="143" t="s">
        <v>52</v>
      </c>
      <c r="K1241" s="226">
        <v>200000</v>
      </c>
      <c r="L1241" s="226"/>
      <c r="M1241" s="147">
        <v>0</v>
      </c>
      <c r="Q1241" s="133" t="s">
        <v>483</v>
      </c>
    </row>
    <row r="1242" spans="1:17" ht="45" x14ac:dyDescent="0.2">
      <c r="A1242" s="133">
        <v>2020</v>
      </c>
      <c r="B1242" s="133">
        <v>12</v>
      </c>
      <c r="C1242" s="133">
        <v>3</v>
      </c>
      <c r="D1242" s="141">
        <f t="shared" si="44"/>
        <v>44168</v>
      </c>
      <c r="E1242" s="275">
        <f t="shared" si="45"/>
        <v>44168</v>
      </c>
      <c r="F1242" s="481"/>
      <c r="G1242" s="174" t="s">
        <v>74</v>
      </c>
      <c r="H1242" s="174" t="str" cm="1">
        <f t="array" ref="H1242">IFERROR(INDEX(INVESTOR_LIST[INVESTOR NAME],MATCH(I1242,INVESTOR_LIST[INVESTOR CODE],0),)," ")</f>
        <v>ASHUTOSH TALUKDER</v>
      </c>
      <c r="I1242" s="148" t="s">
        <v>483</v>
      </c>
      <c r="J1242" s="149" t="s">
        <v>13</v>
      </c>
      <c r="K1242" s="218"/>
      <c r="L1242" s="218">
        <v>174520</v>
      </c>
      <c r="M1242" s="147">
        <v>0</v>
      </c>
      <c r="Q1242" s="133" t="s">
        <v>483</v>
      </c>
    </row>
    <row r="1243" spans="1:17" ht="45" x14ac:dyDescent="0.2">
      <c r="A1243" s="163">
        <v>2020</v>
      </c>
      <c r="B1243" s="163">
        <v>12</v>
      </c>
      <c r="C1243" s="163">
        <v>3</v>
      </c>
      <c r="D1243" s="141">
        <f t="shared" si="44"/>
        <v>44168</v>
      </c>
      <c r="E1243" s="275">
        <f t="shared" si="45"/>
        <v>44168</v>
      </c>
      <c r="F1243" s="480"/>
      <c r="G1243" s="221" t="s">
        <v>74</v>
      </c>
      <c r="H1243" s="221" t="str" cm="1">
        <f t="array" ref="H1243">IFERROR(INDEX(INVESTOR_LIST[INVESTOR NAME],MATCH(I1243,INVESTOR_LIST[INVESTOR CODE],0),)," ")</f>
        <v>ASHUTOSH TALUKDER</v>
      </c>
      <c r="I1243" s="145" t="s">
        <v>483</v>
      </c>
      <c r="J1243" s="146" t="s">
        <v>53</v>
      </c>
      <c r="K1243" s="219"/>
      <c r="L1243" s="219">
        <v>25480</v>
      </c>
      <c r="M1243" s="147">
        <v>0</v>
      </c>
      <c r="Q1243" s="133" t="s">
        <v>483</v>
      </c>
    </row>
    <row r="1244" spans="1:17" ht="67.5" x14ac:dyDescent="0.2">
      <c r="A1244" s="168">
        <v>2020</v>
      </c>
      <c r="B1244" s="168">
        <v>12</v>
      </c>
      <c r="C1244" s="168">
        <v>3</v>
      </c>
      <c r="D1244" s="141">
        <f t="shared" si="44"/>
        <v>44168</v>
      </c>
      <c r="E1244" s="275">
        <f t="shared" si="45"/>
        <v>44168</v>
      </c>
      <c r="F1244" s="479" t="s">
        <v>964</v>
      </c>
      <c r="G1244" s="220" t="s">
        <v>74</v>
      </c>
      <c r="H1244" s="220" t="str" cm="1">
        <f t="array" ref="H1244">IFERROR(INDEX(INVESTOR_LIST[INVESTOR NAME],MATCH(I1244,INVESTOR_LIST[INVESTOR CODE],0),)," ")</f>
        <v>CWT EMERGING BD FIRST GROWTH FUND</v>
      </c>
      <c r="I1244" s="142" t="s">
        <v>485</v>
      </c>
      <c r="J1244" s="143" t="s">
        <v>52</v>
      </c>
      <c r="K1244" s="226">
        <v>2500000</v>
      </c>
      <c r="L1244" s="226"/>
      <c r="M1244" s="147">
        <v>0</v>
      </c>
      <c r="Q1244" s="133" t="s">
        <v>485</v>
      </c>
    </row>
    <row r="1245" spans="1:17" ht="67.5" x14ac:dyDescent="0.2">
      <c r="A1245" s="133">
        <v>2020</v>
      </c>
      <c r="B1245" s="133">
        <v>12</v>
      </c>
      <c r="C1245" s="133">
        <v>3</v>
      </c>
      <c r="D1245" s="141">
        <f t="shared" si="44"/>
        <v>44168</v>
      </c>
      <c r="E1245" s="275">
        <f t="shared" si="45"/>
        <v>44168</v>
      </c>
      <c r="F1245" s="481"/>
      <c r="G1245" s="174" t="s">
        <v>74</v>
      </c>
      <c r="H1245" s="174" t="str" cm="1">
        <f t="array" ref="H1245">IFERROR(INDEX(INVESTOR_LIST[INVESTOR NAME],MATCH(I1245,INVESTOR_LIST[INVESTOR CODE],0),)," ")</f>
        <v>CWT EMERGING BD FIRST GROWTH FUND</v>
      </c>
      <c r="I1245" s="148" t="s">
        <v>485</v>
      </c>
      <c r="J1245" s="149" t="s">
        <v>13</v>
      </c>
      <c r="K1245" s="218"/>
      <c r="L1245" s="218">
        <v>2181500</v>
      </c>
      <c r="M1245" s="147">
        <v>0</v>
      </c>
      <c r="Q1245" s="133" t="s">
        <v>485</v>
      </c>
    </row>
    <row r="1246" spans="1:17" ht="67.5" x14ac:dyDescent="0.2">
      <c r="A1246" s="163">
        <v>2020</v>
      </c>
      <c r="B1246" s="163">
        <v>12</v>
      </c>
      <c r="C1246" s="163">
        <v>3</v>
      </c>
      <c r="D1246" s="141">
        <f t="shared" si="44"/>
        <v>44168</v>
      </c>
      <c r="E1246" s="275">
        <f t="shared" si="45"/>
        <v>44168</v>
      </c>
      <c r="F1246" s="480"/>
      <c r="G1246" s="221" t="s">
        <v>74</v>
      </c>
      <c r="H1246" s="221" t="str" cm="1">
        <f t="array" ref="H1246">IFERROR(INDEX(INVESTOR_LIST[INVESTOR NAME],MATCH(I1246,INVESTOR_LIST[INVESTOR CODE],0),)," ")</f>
        <v>CWT EMERGING BD FIRST GROWTH FUND</v>
      </c>
      <c r="I1246" s="145" t="s">
        <v>485</v>
      </c>
      <c r="J1246" s="146" t="s">
        <v>53</v>
      </c>
      <c r="K1246" s="219"/>
      <c r="L1246" s="219">
        <v>318500</v>
      </c>
      <c r="M1246" s="147">
        <v>0</v>
      </c>
      <c r="N1246" s="160"/>
      <c r="Q1246" s="133" t="s">
        <v>485</v>
      </c>
    </row>
    <row r="1247" spans="1:17" ht="33.75" x14ac:dyDescent="0.2">
      <c r="A1247" s="168">
        <v>2020</v>
      </c>
      <c r="B1247" s="168">
        <v>12</v>
      </c>
      <c r="C1247" s="168">
        <v>3</v>
      </c>
      <c r="D1247" s="141">
        <f t="shared" si="44"/>
        <v>44168</v>
      </c>
      <c r="E1247" s="275">
        <f t="shared" si="45"/>
        <v>44168</v>
      </c>
      <c r="F1247" s="479" t="s">
        <v>964</v>
      </c>
      <c r="G1247" s="220" t="s">
        <v>74</v>
      </c>
      <c r="H1247" s="220" t="str" cm="1">
        <f t="array" ref="H1247">IFERROR(INDEX(INVESTOR_LIST[INVESTOR NAME],MATCH(I1247,INVESTOR_LIST[INVESTOR CODE],0),)," ")</f>
        <v>MD. TAREQ IBRAHIM</v>
      </c>
      <c r="I1247" s="142" t="s">
        <v>484</v>
      </c>
      <c r="J1247" s="143" t="s">
        <v>52</v>
      </c>
      <c r="K1247" s="226">
        <v>2500000</v>
      </c>
      <c r="L1247" s="226"/>
      <c r="M1247" s="147">
        <v>0</v>
      </c>
      <c r="Q1247" s="133" t="s">
        <v>484</v>
      </c>
    </row>
    <row r="1248" spans="1:17" ht="33.75" x14ac:dyDescent="0.2">
      <c r="A1248" s="133">
        <v>2020</v>
      </c>
      <c r="B1248" s="133">
        <v>12</v>
      </c>
      <c r="C1248" s="133">
        <v>3</v>
      </c>
      <c r="D1248" s="141">
        <f t="shared" si="44"/>
        <v>44168</v>
      </c>
      <c r="E1248" s="275">
        <f t="shared" si="45"/>
        <v>44168</v>
      </c>
      <c r="F1248" s="481"/>
      <c r="G1248" s="174" t="s">
        <v>74</v>
      </c>
      <c r="H1248" s="174" t="str" cm="1">
        <f t="array" ref="H1248">IFERROR(INDEX(INVESTOR_LIST[INVESTOR NAME],MATCH(I1248,INVESTOR_LIST[INVESTOR CODE],0),)," ")</f>
        <v>MD. TAREQ IBRAHIM</v>
      </c>
      <c r="I1248" s="148" t="s">
        <v>484</v>
      </c>
      <c r="J1248" s="149" t="s">
        <v>13</v>
      </c>
      <c r="K1248" s="218"/>
      <c r="L1248" s="218">
        <v>2181500</v>
      </c>
      <c r="M1248" s="147">
        <v>0</v>
      </c>
      <c r="Q1248" s="133" t="s">
        <v>484</v>
      </c>
    </row>
    <row r="1249" spans="1:17" ht="33.75" x14ac:dyDescent="0.2">
      <c r="A1249" s="163">
        <v>2020</v>
      </c>
      <c r="B1249" s="163">
        <v>12</v>
      </c>
      <c r="C1249" s="163">
        <v>3</v>
      </c>
      <c r="D1249" s="141">
        <f t="shared" si="44"/>
        <v>44168</v>
      </c>
      <c r="E1249" s="275">
        <f t="shared" si="45"/>
        <v>44168</v>
      </c>
      <c r="F1249" s="480"/>
      <c r="G1249" s="221" t="s">
        <v>74</v>
      </c>
      <c r="H1249" s="221" t="str" cm="1">
        <f t="array" ref="H1249">IFERROR(INDEX(INVESTOR_LIST[INVESTOR NAME],MATCH(I1249,INVESTOR_LIST[INVESTOR CODE],0),)," ")</f>
        <v>MD. TAREQ IBRAHIM</v>
      </c>
      <c r="I1249" s="145" t="s">
        <v>484</v>
      </c>
      <c r="J1249" s="146" t="s">
        <v>53</v>
      </c>
      <c r="K1249" s="219"/>
      <c r="L1249" s="219">
        <v>318500</v>
      </c>
      <c r="M1249" s="147">
        <v>0</v>
      </c>
      <c r="Q1249" s="133" t="s">
        <v>484</v>
      </c>
    </row>
    <row r="1250" spans="1:17" x14ac:dyDescent="0.2">
      <c r="A1250" s="133">
        <v>2020</v>
      </c>
      <c r="B1250" s="133">
        <v>12</v>
      </c>
      <c r="C1250" s="133">
        <v>3</v>
      </c>
      <c r="D1250" s="141">
        <f t="shared" si="44"/>
        <v>44168</v>
      </c>
      <c r="E1250" s="275">
        <f t="shared" si="45"/>
        <v>44168</v>
      </c>
      <c r="F1250" s="479" t="s">
        <v>172</v>
      </c>
      <c r="G1250" s="174" t="s">
        <v>74</v>
      </c>
      <c r="H1250" s="174" t="str" cm="1">
        <f t="array" ref="H1250">IFERROR(INDEX(INVESTOR_LIST[INVESTOR NAME],MATCH(I1250,INVESTOR_LIST[INVESTOR CODE],0),)," ")</f>
        <v xml:space="preserve"> </v>
      </c>
      <c r="I1250" s="148" t="s">
        <v>348</v>
      </c>
      <c r="J1250" s="149" t="s">
        <v>147</v>
      </c>
      <c r="K1250" s="218">
        <v>7143895.8099999996</v>
      </c>
      <c r="L1250" s="218"/>
      <c r="M1250" s="147">
        <v>0</v>
      </c>
      <c r="Q1250" s="133" t="s">
        <v>348</v>
      </c>
    </row>
    <row r="1251" spans="1:17" x14ac:dyDescent="0.2">
      <c r="A1251" s="163">
        <v>2020</v>
      </c>
      <c r="B1251" s="163">
        <v>12</v>
      </c>
      <c r="C1251" s="163">
        <v>3</v>
      </c>
      <c r="D1251" s="141">
        <f t="shared" si="44"/>
        <v>44168</v>
      </c>
      <c r="E1251" s="275">
        <f t="shared" si="45"/>
        <v>44168</v>
      </c>
      <c r="F1251" s="480"/>
      <c r="G1251" s="221" t="s">
        <v>74</v>
      </c>
      <c r="H1251" s="221" t="str" cm="1">
        <f t="array" ref="H1251">IFERROR(INDEX(INVESTOR_LIST[INVESTOR NAME],MATCH(I1251,INVESTOR_LIST[INVESTOR CODE],0),)," ")</f>
        <v xml:space="preserve"> </v>
      </c>
      <c r="I1251" s="145" t="s">
        <v>348</v>
      </c>
      <c r="J1251" s="146" t="s">
        <v>52</v>
      </c>
      <c r="K1251" s="219"/>
      <c r="L1251" s="219">
        <v>7143895.8099999996</v>
      </c>
      <c r="M1251" s="147">
        <v>0</v>
      </c>
      <c r="N1251" s="156"/>
      <c r="Q1251" s="133" t="s">
        <v>348</v>
      </c>
    </row>
    <row r="1252" spans="1:17" x14ac:dyDescent="0.2">
      <c r="A1252" s="133">
        <v>2020</v>
      </c>
      <c r="B1252" s="133">
        <v>12</v>
      </c>
      <c r="C1252" s="133">
        <v>3</v>
      </c>
      <c r="D1252" s="141">
        <f t="shared" si="44"/>
        <v>44168</v>
      </c>
      <c r="E1252" s="275">
        <f t="shared" si="45"/>
        <v>44168</v>
      </c>
      <c r="F1252" s="479" t="s">
        <v>235</v>
      </c>
      <c r="G1252" s="174" t="s">
        <v>94</v>
      </c>
      <c r="H1252" s="174" t="str" cm="1">
        <f t="array" ref="H1252">IFERROR(INDEX(INVESTOR_LIST[INVESTOR NAME],MATCH(I1252,INVESTOR_LIST[INVESTOR CODE],0),)," ")</f>
        <v xml:space="preserve"> </v>
      </c>
      <c r="I1252" s="148" t="s">
        <v>348</v>
      </c>
      <c r="J1252" s="149" t="s">
        <v>79</v>
      </c>
      <c r="K1252" s="218">
        <v>1260000</v>
      </c>
      <c r="L1252" s="218"/>
      <c r="M1252" s="147">
        <v>0</v>
      </c>
      <c r="N1252" s="160"/>
      <c r="Q1252" s="133" t="s">
        <v>348</v>
      </c>
    </row>
    <row r="1253" spans="1:17" x14ac:dyDescent="0.2">
      <c r="A1253" s="133">
        <v>2020</v>
      </c>
      <c r="B1253" s="133">
        <v>12</v>
      </c>
      <c r="C1253" s="133">
        <v>3</v>
      </c>
      <c r="D1253" s="141">
        <f t="shared" si="44"/>
        <v>44168</v>
      </c>
      <c r="E1253" s="275">
        <f t="shared" si="45"/>
        <v>44168</v>
      </c>
      <c r="F1253" s="481"/>
      <c r="G1253" s="174" t="s">
        <v>94</v>
      </c>
      <c r="H1253" s="174" t="str" cm="1">
        <f t="array" ref="H1253">IFERROR(INDEX(INVESTOR_LIST[INVESTOR NAME],MATCH(I1253,INVESTOR_LIST[INVESTOR CODE],0),)," ")</f>
        <v xml:space="preserve"> </v>
      </c>
      <c r="I1253" s="148" t="s">
        <v>348</v>
      </c>
      <c r="J1253" s="149" t="s">
        <v>80</v>
      </c>
      <c r="K1253" s="218">
        <v>2268</v>
      </c>
      <c r="L1253" s="218"/>
      <c r="M1253" s="147">
        <v>0</v>
      </c>
      <c r="Q1253" s="133" t="s">
        <v>348</v>
      </c>
    </row>
    <row r="1254" spans="1:17" x14ac:dyDescent="0.2">
      <c r="A1254" s="163">
        <v>2020</v>
      </c>
      <c r="B1254" s="163">
        <v>12</v>
      </c>
      <c r="C1254" s="163">
        <v>3</v>
      </c>
      <c r="D1254" s="141">
        <f t="shared" si="44"/>
        <v>44168</v>
      </c>
      <c r="E1254" s="275">
        <f t="shared" si="45"/>
        <v>44168</v>
      </c>
      <c r="F1254" s="480"/>
      <c r="G1254" s="221" t="s">
        <v>94</v>
      </c>
      <c r="H1254" s="221" t="str" cm="1">
        <f t="array" ref="H1254">IFERROR(INDEX(INVESTOR_LIST[INVESTOR NAME],MATCH(I1254,INVESTOR_LIST[INVESTOR CODE],0),)," ")</f>
        <v xml:space="preserve"> </v>
      </c>
      <c r="I1254" s="145" t="s">
        <v>348</v>
      </c>
      <c r="J1254" s="146" t="s">
        <v>147</v>
      </c>
      <c r="K1254" s="219"/>
      <c r="L1254" s="219">
        <v>1262268</v>
      </c>
      <c r="M1254" s="147">
        <v>0</v>
      </c>
      <c r="Q1254" s="133" t="s">
        <v>348</v>
      </c>
    </row>
    <row r="1255" spans="1:17" x14ac:dyDescent="0.2">
      <c r="A1255" s="246">
        <v>2020</v>
      </c>
      <c r="B1255" s="246">
        <v>12</v>
      </c>
      <c r="C1255" s="246">
        <v>3</v>
      </c>
      <c r="D1255" s="141">
        <f t="shared" si="44"/>
        <v>44168</v>
      </c>
      <c r="E1255" s="275">
        <f t="shared" si="45"/>
        <v>44168</v>
      </c>
      <c r="F1255" s="482" t="s">
        <v>105</v>
      </c>
      <c r="G1255" s="247" t="s">
        <v>94</v>
      </c>
      <c r="H1255" s="247" t="str" cm="1">
        <f t="array" ref="H1255">IFERROR(INDEX(INVESTOR_LIST[INVESTOR NAME],MATCH(I1255,INVESTOR_LIST[INVESTOR CODE],0),)," ")</f>
        <v xml:space="preserve"> </v>
      </c>
      <c r="I1255" s="248" t="s">
        <v>348</v>
      </c>
      <c r="J1255" s="249" t="s">
        <v>108</v>
      </c>
      <c r="K1255" s="252">
        <v>1004979.099999994</v>
      </c>
      <c r="L1255" s="252"/>
      <c r="M1255" s="147">
        <v>1</v>
      </c>
      <c r="N1255" s="156"/>
      <c r="Q1255" s="133" t="s">
        <v>348</v>
      </c>
    </row>
    <row r="1256" spans="1:17" x14ac:dyDescent="0.2">
      <c r="A1256" s="242">
        <v>2020</v>
      </c>
      <c r="B1256" s="242">
        <v>12</v>
      </c>
      <c r="C1256" s="242">
        <v>3</v>
      </c>
      <c r="D1256" s="141">
        <f t="shared" si="44"/>
        <v>44168</v>
      </c>
      <c r="E1256" s="275">
        <f t="shared" si="45"/>
        <v>44168</v>
      </c>
      <c r="F1256" s="478"/>
      <c r="G1256" s="243" t="s">
        <v>94</v>
      </c>
      <c r="H1256" s="243" t="str" cm="1">
        <f t="array" ref="H1256">IFERROR(INDEX(INVESTOR_LIST[INVESTOR NAME],MATCH(I1256,INVESTOR_LIST[INVESTOR CODE],0),)," ")</f>
        <v xml:space="preserve"> </v>
      </c>
      <c r="I1256" s="263" t="s">
        <v>348</v>
      </c>
      <c r="J1256" s="244" t="s">
        <v>82</v>
      </c>
      <c r="K1256" s="245"/>
      <c r="L1256" s="245">
        <v>1004979.099999994</v>
      </c>
      <c r="M1256" s="147">
        <v>0</v>
      </c>
      <c r="O1256" s="160">
        <f>L1340*2</f>
        <v>172720</v>
      </c>
      <c r="Q1256" s="133" t="s">
        <v>348</v>
      </c>
    </row>
    <row r="1257" spans="1:17" ht="22.5" x14ac:dyDescent="0.2">
      <c r="A1257" s="246">
        <v>2020</v>
      </c>
      <c r="B1257" s="246">
        <v>12</v>
      </c>
      <c r="C1257" s="246">
        <v>3</v>
      </c>
      <c r="D1257" s="141">
        <f t="shared" si="44"/>
        <v>44168</v>
      </c>
      <c r="E1257" s="275">
        <f t="shared" si="45"/>
        <v>44168</v>
      </c>
      <c r="F1257" s="477" t="s">
        <v>148</v>
      </c>
      <c r="G1257" s="247" t="s">
        <v>94</v>
      </c>
      <c r="H1257" s="247" t="str" cm="1">
        <f t="array" ref="H1257">IFERROR(INDEX(INVESTOR_LIST[INVESTOR NAME],MATCH(I1257,INVESTOR_LIST[INVESTOR CODE],0),)," ")</f>
        <v xml:space="preserve"> </v>
      </c>
      <c r="I1257" s="248" t="s">
        <v>348</v>
      </c>
      <c r="J1257" s="249" t="s">
        <v>95</v>
      </c>
      <c r="K1257" s="252">
        <v>2747.25</v>
      </c>
      <c r="L1257" s="252"/>
      <c r="M1257" s="147">
        <v>0</v>
      </c>
      <c r="N1257" s="156"/>
      <c r="Q1257" s="133" t="s">
        <v>348</v>
      </c>
    </row>
    <row r="1258" spans="1:17" x14ac:dyDescent="0.2">
      <c r="A1258" s="242">
        <v>2020</v>
      </c>
      <c r="B1258" s="242">
        <v>12</v>
      </c>
      <c r="C1258" s="242">
        <v>3</v>
      </c>
      <c r="D1258" s="141">
        <f t="shared" si="44"/>
        <v>44168</v>
      </c>
      <c r="E1258" s="275">
        <f t="shared" si="45"/>
        <v>44168</v>
      </c>
      <c r="F1258" s="478"/>
      <c r="G1258" s="243" t="s">
        <v>94</v>
      </c>
      <c r="H1258" s="243" t="str" cm="1">
        <f t="array" ref="H1258">IFERROR(INDEX(INVESTOR_LIST[INVESTOR NAME],MATCH(I1258,INVESTOR_LIST[INVESTOR CODE],0),)," ")</f>
        <v xml:space="preserve"> </v>
      </c>
      <c r="I1258" s="263" t="s">
        <v>348</v>
      </c>
      <c r="J1258" s="244" t="s">
        <v>63</v>
      </c>
      <c r="K1258" s="245"/>
      <c r="L1258" s="245">
        <v>2747.25</v>
      </c>
      <c r="M1258" s="147">
        <v>0</v>
      </c>
      <c r="N1258" s="160"/>
      <c r="Q1258" s="133" t="s">
        <v>348</v>
      </c>
    </row>
    <row r="1259" spans="1:17" x14ac:dyDescent="0.2">
      <c r="A1259" s="238">
        <v>2020</v>
      </c>
      <c r="B1259" s="238">
        <v>12</v>
      </c>
      <c r="C1259" s="238">
        <v>3</v>
      </c>
      <c r="D1259" s="141">
        <f t="shared" si="44"/>
        <v>44168</v>
      </c>
      <c r="E1259" s="275">
        <f t="shared" si="45"/>
        <v>44168</v>
      </c>
      <c r="F1259" s="477" t="s">
        <v>137</v>
      </c>
      <c r="G1259" s="239" t="s">
        <v>94</v>
      </c>
      <c r="H1259" s="247" t="str" cm="1">
        <f t="array" ref="H1259">IFERROR(INDEX(INVESTOR_LIST[INVESTOR NAME],MATCH(I1259,INVESTOR_LIST[INVESTOR CODE],0),)," ")</f>
        <v xml:space="preserve"> </v>
      </c>
      <c r="I1259" s="248" t="s">
        <v>348</v>
      </c>
      <c r="J1259" s="240" t="s">
        <v>97</v>
      </c>
      <c r="K1259" s="252">
        <v>45578</v>
      </c>
      <c r="L1259" s="252"/>
      <c r="M1259" s="147">
        <v>0</v>
      </c>
      <c r="N1259" s="160"/>
      <c r="Q1259" s="133" t="s">
        <v>348</v>
      </c>
    </row>
    <row r="1260" spans="1:17" x14ac:dyDescent="0.2">
      <c r="A1260" s="242">
        <v>2020</v>
      </c>
      <c r="B1260" s="242">
        <v>12</v>
      </c>
      <c r="C1260" s="242">
        <v>3</v>
      </c>
      <c r="D1260" s="141">
        <f t="shared" si="44"/>
        <v>44168</v>
      </c>
      <c r="E1260" s="275">
        <f t="shared" si="45"/>
        <v>44168</v>
      </c>
      <c r="F1260" s="478"/>
      <c r="G1260" s="243" t="s">
        <v>94</v>
      </c>
      <c r="H1260" s="243" t="str" cm="1">
        <f t="array" ref="H1260">IFERROR(INDEX(INVESTOR_LIST[INVESTOR NAME],MATCH(I1260,INVESTOR_LIST[INVESTOR CODE],0),)," ")</f>
        <v xml:space="preserve"> </v>
      </c>
      <c r="I1260" s="263" t="s">
        <v>348</v>
      </c>
      <c r="J1260" s="244" t="s">
        <v>47</v>
      </c>
      <c r="K1260" s="245"/>
      <c r="L1260" s="271">
        <v>45578</v>
      </c>
      <c r="M1260" s="147">
        <v>0</v>
      </c>
      <c r="N1260" s="156"/>
      <c r="Q1260" s="133" t="s">
        <v>348</v>
      </c>
    </row>
    <row r="1261" spans="1:17" x14ac:dyDescent="0.2">
      <c r="A1261" s="238">
        <v>2020</v>
      </c>
      <c r="B1261" s="238">
        <v>12</v>
      </c>
      <c r="C1261" s="238">
        <v>3</v>
      </c>
      <c r="D1261" s="141">
        <f t="shared" si="44"/>
        <v>44168</v>
      </c>
      <c r="E1261" s="275">
        <f t="shared" si="45"/>
        <v>44168</v>
      </c>
      <c r="F1261" s="477" t="s">
        <v>138</v>
      </c>
      <c r="G1261" s="239" t="s">
        <v>94</v>
      </c>
      <c r="H1261" s="247" t="str" cm="1">
        <f t="array" ref="H1261">IFERROR(INDEX(INVESTOR_LIST[INVESTOR NAME],MATCH(I1261,INVESTOR_LIST[INVESTOR CODE],0),)," ")</f>
        <v xml:space="preserve"> </v>
      </c>
      <c r="I1261" s="248" t="s">
        <v>348</v>
      </c>
      <c r="J1261" s="240" t="s">
        <v>100</v>
      </c>
      <c r="K1261" s="252">
        <v>2038.55</v>
      </c>
      <c r="L1261" s="252"/>
      <c r="M1261" s="147">
        <v>0</v>
      </c>
      <c r="Q1261" s="133" t="s">
        <v>348</v>
      </c>
    </row>
    <row r="1262" spans="1:17" x14ac:dyDescent="0.2">
      <c r="A1262" s="242">
        <v>2020</v>
      </c>
      <c r="B1262" s="242">
        <v>12</v>
      </c>
      <c r="C1262" s="242">
        <v>3</v>
      </c>
      <c r="D1262" s="141">
        <f t="shared" si="44"/>
        <v>44168</v>
      </c>
      <c r="E1262" s="275">
        <f t="shared" si="45"/>
        <v>44168</v>
      </c>
      <c r="F1262" s="478"/>
      <c r="G1262" s="243" t="s">
        <v>94</v>
      </c>
      <c r="H1262" s="243" t="str" cm="1">
        <f t="array" ref="H1262">IFERROR(INDEX(INVESTOR_LIST[INVESTOR NAME],MATCH(I1262,INVESTOR_LIST[INVESTOR CODE],0),)," ")</f>
        <v xml:space="preserve"> </v>
      </c>
      <c r="I1262" s="263" t="s">
        <v>348</v>
      </c>
      <c r="J1262" s="244" t="s">
        <v>48</v>
      </c>
      <c r="K1262" s="245"/>
      <c r="L1262" s="245">
        <v>2038.55</v>
      </c>
      <c r="M1262" s="147">
        <v>0</v>
      </c>
      <c r="Q1262" s="133" t="s">
        <v>348</v>
      </c>
    </row>
    <row r="1263" spans="1:17" x14ac:dyDescent="0.2">
      <c r="A1263" s="246">
        <v>2020</v>
      </c>
      <c r="B1263" s="246">
        <v>12</v>
      </c>
      <c r="C1263" s="246">
        <v>3</v>
      </c>
      <c r="D1263" s="141">
        <f t="shared" si="44"/>
        <v>44168</v>
      </c>
      <c r="E1263" s="275">
        <f t="shared" si="45"/>
        <v>44168</v>
      </c>
      <c r="F1263" s="477" t="s">
        <v>140</v>
      </c>
      <c r="G1263" s="247" t="s">
        <v>94</v>
      </c>
      <c r="H1263" s="247" t="str" cm="1">
        <f t="array" ref="H1263">IFERROR(INDEX(INVESTOR_LIST[INVESTOR NAME],MATCH(I1263,INVESTOR_LIST[INVESTOR CODE],0),)," ")</f>
        <v xml:space="preserve"> </v>
      </c>
      <c r="I1263" s="248" t="s">
        <v>348</v>
      </c>
      <c r="J1263" s="249" t="s">
        <v>103</v>
      </c>
      <c r="K1263" s="252">
        <v>729.17</v>
      </c>
      <c r="L1263" s="252"/>
      <c r="M1263" s="147">
        <v>0</v>
      </c>
      <c r="Q1263" s="133" t="s">
        <v>348</v>
      </c>
    </row>
    <row r="1264" spans="1:17" x14ac:dyDescent="0.2">
      <c r="A1264" s="242">
        <v>2020</v>
      </c>
      <c r="B1264" s="242">
        <v>12</v>
      </c>
      <c r="C1264" s="242">
        <v>3</v>
      </c>
      <c r="D1264" s="141">
        <f t="shared" si="44"/>
        <v>44168</v>
      </c>
      <c r="E1264" s="275">
        <f t="shared" si="45"/>
        <v>44168</v>
      </c>
      <c r="F1264" s="478"/>
      <c r="G1264" s="243" t="s">
        <v>94</v>
      </c>
      <c r="H1264" s="243" t="str" cm="1">
        <f t="array" ref="H1264">IFERROR(INDEX(INVESTOR_LIST[INVESTOR NAME],MATCH(I1264,INVESTOR_LIST[INVESTOR CODE],0),)," ")</f>
        <v xml:space="preserve"> </v>
      </c>
      <c r="I1264" s="263" t="s">
        <v>348</v>
      </c>
      <c r="J1264" s="244" t="s">
        <v>50</v>
      </c>
      <c r="K1264" s="245"/>
      <c r="L1264" s="245">
        <v>729.17</v>
      </c>
      <c r="M1264" s="147">
        <v>0</v>
      </c>
      <c r="Q1264" s="133" t="s">
        <v>348</v>
      </c>
    </row>
    <row r="1265" spans="1:17" x14ac:dyDescent="0.2">
      <c r="A1265" s="168">
        <v>2020</v>
      </c>
      <c r="B1265" s="168">
        <v>12</v>
      </c>
      <c r="C1265" s="168">
        <v>3</v>
      </c>
      <c r="D1265" s="141">
        <f t="shared" si="44"/>
        <v>44168</v>
      </c>
      <c r="E1265" s="275">
        <f t="shared" si="45"/>
        <v>44168</v>
      </c>
      <c r="F1265" s="479" t="s">
        <v>77</v>
      </c>
      <c r="G1265" s="220" t="s">
        <v>74</v>
      </c>
      <c r="H1265" s="220" t="str" cm="1">
        <f t="array" ref="H1265">IFERROR(INDEX(INVESTOR_LIST[INVESTOR NAME],MATCH(I1265,INVESTOR_LIST[INVESTOR CODE],0),)," ")</f>
        <v xml:space="preserve"> </v>
      </c>
      <c r="I1265" s="142" t="s">
        <v>348</v>
      </c>
      <c r="J1265" s="143" t="s">
        <v>61</v>
      </c>
      <c r="K1265" s="226">
        <v>60</v>
      </c>
      <c r="L1265" s="226"/>
      <c r="M1265" s="147">
        <v>0</v>
      </c>
      <c r="Q1265" s="133" t="s">
        <v>348</v>
      </c>
    </row>
    <row r="1266" spans="1:17" ht="15" customHeight="1" x14ac:dyDescent="0.2">
      <c r="A1266" s="163">
        <v>2020</v>
      </c>
      <c r="B1266" s="163">
        <v>12</v>
      </c>
      <c r="C1266" s="163">
        <v>3</v>
      </c>
      <c r="D1266" s="141">
        <f t="shared" si="44"/>
        <v>44168</v>
      </c>
      <c r="E1266" s="275">
        <f t="shared" si="45"/>
        <v>44168</v>
      </c>
      <c r="F1266" s="480"/>
      <c r="G1266" s="221" t="s">
        <v>74</v>
      </c>
      <c r="H1266" s="221" t="str" cm="1">
        <f t="array" ref="H1266">IFERROR(INDEX(INVESTOR_LIST[INVESTOR NAME],MATCH(I1266,INVESTOR_LIST[INVESTOR CODE],0),)," ")</f>
        <v xml:space="preserve"> </v>
      </c>
      <c r="I1266" s="145" t="s">
        <v>348</v>
      </c>
      <c r="J1266" s="146" t="s">
        <v>52</v>
      </c>
      <c r="K1266" s="219"/>
      <c r="L1266" s="219">
        <v>60</v>
      </c>
      <c r="M1266" s="147">
        <v>0</v>
      </c>
      <c r="Q1266" s="133" t="s">
        <v>348</v>
      </c>
    </row>
    <row r="1267" spans="1:17" x14ac:dyDescent="0.2">
      <c r="A1267" s="133">
        <v>2020</v>
      </c>
      <c r="B1267" s="133">
        <v>12</v>
      </c>
      <c r="C1267" s="133">
        <v>3</v>
      </c>
      <c r="D1267" s="141">
        <f t="shared" si="44"/>
        <v>44168</v>
      </c>
      <c r="E1267" s="275">
        <f t="shared" si="45"/>
        <v>44168</v>
      </c>
      <c r="F1267" s="481" t="s">
        <v>77</v>
      </c>
      <c r="G1267" s="174" t="s">
        <v>74</v>
      </c>
      <c r="H1267" s="174" t="str" cm="1">
        <f t="array" ref="H1267">IFERROR(INDEX(INVESTOR_LIST[INVESTOR NAME],MATCH(I1267,INVESTOR_LIST[INVESTOR CODE],0),)," ")</f>
        <v xml:space="preserve"> </v>
      </c>
      <c r="I1267" s="148" t="s">
        <v>348</v>
      </c>
      <c r="J1267" s="149" t="s">
        <v>61</v>
      </c>
      <c r="K1267" s="218">
        <v>60</v>
      </c>
      <c r="L1267" s="218"/>
      <c r="M1267" s="147">
        <v>0</v>
      </c>
      <c r="Q1267" s="133" t="s">
        <v>348</v>
      </c>
    </row>
    <row r="1268" spans="1:17" x14ac:dyDescent="0.2">
      <c r="A1268" s="133">
        <v>2020</v>
      </c>
      <c r="B1268" s="133">
        <v>12</v>
      </c>
      <c r="C1268" s="133">
        <v>3</v>
      </c>
      <c r="D1268" s="141">
        <f t="shared" si="44"/>
        <v>44168</v>
      </c>
      <c r="E1268" s="275">
        <f t="shared" si="45"/>
        <v>44168</v>
      </c>
      <c r="F1268" s="480"/>
      <c r="G1268" s="174" t="s">
        <v>74</v>
      </c>
      <c r="H1268" s="174" t="str" cm="1">
        <f t="array" ref="H1268">IFERROR(INDEX(INVESTOR_LIST[INVESTOR NAME],MATCH(I1268,INVESTOR_LIST[INVESTOR CODE],0),)," ")</f>
        <v xml:space="preserve"> </v>
      </c>
      <c r="I1268" s="148" t="s">
        <v>348</v>
      </c>
      <c r="J1268" s="149" t="s">
        <v>52</v>
      </c>
      <c r="K1268" s="218"/>
      <c r="L1268" s="218">
        <v>60</v>
      </c>
      <c r="M1268" s="147">
        <v>0</v>
      </c>
      <c r="Q1268" s="133" t="s">
        <v>348</v>
      </c>
    </row>
    <row r="1269" spans="1:17" ht="11.25" customHeight="1" x14ac:dyDescent="0.2">
      <c r="A1269" s="168">
        <v>2020</v>
      </c>
      <c r="B1269" s="168">
        <v>12</v>
      </c>
      <c r="C1269" s="168">
        <v>6</v>
      </c>
      <c r="D1269" s="141">
        <f t="shared" si="44"/>
        <v>44171</v>
      </c>
      <c r="E1269" s="275">
        <f t="shared" si="45"/>
        <v>44171</v>
      </c>
      <c r="F1269" s="479" t="s">
        <v>254</v>
      </c>
      <c r="G1269" s="220" t="s">
        <v>74</v>
      </c>
      <c r="H1269" s="220" t="str" cm="1">
        <f t="array" ref="H1269">IFERROR(INDEX(INVESTOR_LIST[INVESTOR NAME],MATCH(I1269,INVESTOR_LIST[INVESTOR CODE],0),)," ")</f>
        <v xml:space="preserve"> </v>
      </c>
      <c r="I1269" s="142" t="s">
        <v>348</v>
      </c>
      <c r="J1269" s="143" t="s">
        <v>52</v>
      </c>
      <c r="K1269" s="226">
        <v>25000</v>
      </c>
      <c r="L1269" s="226"/>
      <c r="M1269" s="147">
        <v>0</v>
      </c>
      <c r="N1269" s="156"/>
      <c r="Q1269" s="133" t="s">
        <v>348</v>
      </c>
    </row>
    <row r="1270" spans="1:17" x14ac:dyDescent="0.2">
      <c r="A1270" s="133">
        <v>2020</v>
      </c>
      <c r="B1270" s="133">
        <v>12</v>
      </c>
      <c r="C1270" s="133">
        <v>6</v>
      </c>
      <c r="D1270" s="141">
        <f t="shared" si="44"/>
        <v>44171</v>
      </c>
      <c r="E1270" s="275">
        <f t="shared" si="45"/>
        <v>44171</v>
      </c>
      <c r="F1270" s="481"/>
      <c r="G1270" s="174" t="s">
        <v>74</v>
      </c>
      <c r="H1270" s="174" t="str" cm="1">
        <f t="array" ref="H1270">IFERROR(INDEX(INVESTOR_LIST[INVESTOR NAME],MATCH(I1270,INVESTOR_LIST[INVESTOR CODE],0),)," ")</f>
        <v xml:space="preserve"> </v>
      </c>
      <c r="I1270" s="148" t="s">
        <v>348</v>
      </c>
      <c r="J1270" s="149" t="s">
        <v>13</v>
      </c>
      <c r="K1270" s="218"/>
      <c r="L1270" s="218">
        <v>21810</v>
      </c>
      <c r="M1270" s="147">
        <v>0</v>
      </c>
      <c r="N1270" s="160"/>
      <c r="Q1270" s="133" t="s">
        <v>348</v>
      </c>
    </row>
    <row r="1271" spans="1:17" x14ac:dyDescent="0.2">
      <c r="A1271" s="163">
        <v>2020</v>
      </c>
      <c r="B1271" s="163">
        <v>12</v>
      </c>
      <c r="C1271" s="163">
        <v>6</v>
      </c>
      <c r="D1271" s="141">
        <f t="shared" si="44"/>
        <v>44171</v>
      </c>
      <c r="E1271" s="275">
        <f t="shared" si="45"/>
        <v>44171</v>
      </c>
      <c r="F1271" s="480"/>
      <c r="G1271" s="221" t="s">
        <v>74</v>
      </c>
      <c r="H1271" s="221" t="str" cm="1">
        <f t="array" ref="H1271">IFERROR(INDEX(INVESTOR_LIST[INVESTOR NAME],MATCH(I1271,INVESTOR_LIST[INVESTOR CODE],0),)," ")</f>
        <v xml:space="preserve"> </v>
      </c>
      <c r="I1271" s="145" t="s">
        <v>348</v>
      </c>
      <c r="J1271" s="146" t="s">
        <v>53</v>
      </c>
      <c r="K1271" s="219"/>
      <c r="L1271" s="219">
        <v>3190</v>
      </c>
      <c r="M1271" s="147">
        <v>0</v>
      </c>
      <c r="N1271" s="156"/>
      <c r="Q1271" s="133" t="s">
        <v>348</v>
      </c>
    </row>
    <row r="1272" spans="1:17" x14ac:dyDescent="0.2">
      <c r="A1272" s="133">
        <v>2020</v>
      </c>
      <c r="B1272" s="133">
        <v>12</v>
      </c>
      <c r="C1272" s="133">
        <v>6</v>
      </c>
      <c r="D1272" s="141">
        <f t="shared" si="44"/>
        <v>44171</v>
      </c>
      <c r="E1272" s="275">
        <f t="shared" si="45"/>
        <v>44171</v>
      </c>
      <c r="F1272" s="479" t="s">
        <v>241</v>
      </c>
      <c r="G1272" s="174" t="s">
        <v>74</v>
      </c>
      <c r="H1272" s="174" t="str" cm="1">
        <f t="array" ref="H1272">IFERROR(INDEX(INVESTOR_LIST[INVESTOR NAME],MATCH(I1272,INVESTOR_LIST[INVESTOR CODE],0),)," ")</f>
        <v xml:space="preserve"> </v>
      </c>
      <c r="I1272" s="148" t="s">
        <v>348</v>
      </c>
      <c r="J1272" s="149" t="s">
        <v>79</v>
      </c>
      <c r="K1272" s="218">
        <v>6989207.2999999998</v>
      </c>
      <c r="L1272" s="218"/>
      <c r="M1272" s="147">
        <v>0</v>
      </c>
      <c r="Q1272" s="133" t="s">
        <v>348</v>
      </c>
    </row>
    <row r="1273" spans="1:17" x14ac:dyDescent="0.2">
      <c r="A1273" s="133">
        <v>2020</v>
      </c>
      <c r="B1273" s="133">
        <v>12</v>
      </c>
      <c r="C1273" s="133">
        <v>6</v>
      </c>
      <c r="D1273" s="141">
        <f t="shared" si="44"/>
        <v>44171</v>
      </c>
      <c r="E1273" s="275">
        <f t="shared" si="45"/>
        <v>44171</v>
      </c>
      <c r="F1273" s="481"/>
      <c r="G1273" s="174" t="s">
        <v>74</v>
      </c>
      <c r="H1273" s="174" t="str" cm="1">
        <f t="array" ref="H1273">IFERROR(INDEX(INVESTOR_LIST[INVESTOR NAME],MATCH(I1273,INVESTOR_LIST[INVESTOR CODE],0),)," ")</f>
        <v xml:space="preserve"> </v>
      </c>
      <c r="I1273" s="148" t="s">
        <v>348</v>
      </c>
      <c r="J1273" s="149" t="s">
        <v>80</v>
      </c>
      <c r="K1273" s="218">
        <v>12580.57</v>
      </c>
      <c r="L1273" s="218"/>
      <c r="M1273" s="147">
        <v>0</v>
      </c>
      <c r="Q1273" s="133" t="s">
        <v>348</v>
      </c>
    </row>
    <row r="1274" spans="1:17" x14ac:dyDescent="0.2">
      <c r="A1274" s="163">
        <v>2020</v>
      </c>
      <c r="B1274" s="163">
        <v>12</v>
      </c>
      <c r="C1274" s="163">
        <v>6</v>
      </c>
      <c r="D1274" s="141">
        <f t="shared" si="44"/>
        <v>44171</v>
      </c>
      <c r="E1274" s="275">
        <f t="shared" si="45"/>
        <v>44171</v>
      </c>
      <c r="F1274" s="480"/>
      <c r="G1274" s="221" t="s">
        <v>74</v>
      </c>
      <c r="H1274" s="221" t="str" cm="1">
        <f t="array" ref="H1274">IFERROR(INDEX(INVESTOR_LIST[INVESTOR NAME],MATCH(I1274,INVESTOR_LIST[INVESTOR CODE],0),)," ")</f>
        <v xml:space="preserve"> </v>
      </c>
      <c r="I1274" s="145" t="s">
        <v>348</v>
      </c>
      <c r="J1274" s="146" t="s">
        <v>147</v>
      </c>
      <c r="K1274" s="219"/>
      <c r="L1274" s="219">
        <v>7001787.8700000001</v>
      </c>
      <c r="M1274" s="147">
        <v>0</v>
      </c>
      <c r="N1274" s="156"/>
      <c r="Q1274" s="133" t="s">
        <v>348</v>
      </c>
    </row>
    <row r="1275" spans="1:17" ht="33.75" x14ac:dyDescent="0.2">
      <c r="A1275" s="133">
        <v>2020</v>
      </c>
      <c r="B1275" s="133">
        <v>12</v>
      </c>
      <c r="C1275" s="133">
        <v>6</v>
      </c>
      <c r="D1275" s="141">
        <f t="shared" si="44"/>
        <v>44171</v>
      </c>
      <c r="E1275" s="275">
        <f t="shared" si="45"/>
        <v>44171</v>
      </c>
      <c r="F1275" s="479" t="s">
        <v>964</v>
      </c>
      <c r="G1275" s="174" t="s">
        <v>74</v>
      </c>
      <c r="H1275" s="174" t="str" cm="1">
        <f t="array" ref="H1275">IFERROR(INDEX(INVESTOR_LIST[INVESTOR NAME],MATCH(I1275,INVESTOR_LIST[INVESTOR CODE],0),)," ")</f>
        <v>ASHISH KUMAR GHOSH</v>
      </c>
      <c r="I1275" s="148" t="s">
        <v>486</v>
      </c>
      <c r="J1275" s="149" t="s">
        <v>52</v>
      </c>
      <c r="K1275" s="218">
        <v>103140</v>
      </c>
      <c r="L1275" s="218"/>
      <c r="M1275" s="147">
        <v>0</v>
      </c>
      <c r="Q1275" s="133" t="s">
        <v>486</v>
      </c>
    </row>
    <row r="1276" spans="1:17" ht="33.75" x14ac:dyDescent="0.2">
      <c r="A1276" s="133">
        <v>2020</v>
      </c>
      <c r="B1276" s="133">
        <v>12</v>
      </c>
      <c r="C1276" s="133">
        <v>6</v>
      </c>
      <c r="D1276" s="141">
        <f t="shared" si="44"/>
        <v>44171</v>
      </c>
      <c r="E1276" s="275">
        <f t="shared" si="45"/>
        <v>44171</v>
      </c>
      <c r="F1276" s="481"/>
      <c r="G1276" s="174" t="s">
        <v>74</v>
      </c>
      <c r="H1276" s="174" t="str" cm="1">
        <f t="array" ref="H1276">IFERROR(INDEX(INVESTOR_LIST[INVESTOR NAME],MATCH(I1276,INVESTOR_LIST[INVESTOR CODE],0),)," ")</f>
        <v>ASHISH KUMAR GHOSH</v>
      </c>
      <c r="I1276" s="148" t="s">
        <v>486</v>
      </c>
      <c r="J1276" s="149" t="s">
        <v>13</v>
      </c>
      <c r="K1276" s="218"/>
      <c r="L1276" s="218">
        <v>90000</v>
      </c>
      <c r="M1276" s="147">
        <v>0</v>
      </c>
      <c r="Q1276" s="133" t="s">
        <v>486</v>
      </c>
    </row>
    <row r="1277" spans="1:17" ht="33.75" x14ac:dyDescent="0.2">
      <c r="A1277" s="163">
        <v>2020</v>
      </c>
      <c r="B1277" s="163">
        <v>12</v>
      </c>
      <c r="C1277" s="163">
        <v>6</v>
      </c>
      <c r="D1277" s="141">
        <f t="shared" si="44"/>
        <v>44171</v>
      </c>
      <c r="E1277" s="275">
        <f t="shared" si="45"/>
        <v>44171</v>
      </c>
      <c r="F1277" s="480"/>
      <c r="G1277" s="221" t="s">
        <v>74</v>
      </c>
      <c r="H1277" s="221" t="str" cm="1">
        <f t="array" ref="H1277">IFERROR(INDEX(INVESTOR_LIST[INVESTOR NAME],MATCH(I1277,INVESTOR_LIST[INVESTOR CODE],0),)," ")</f>
        <v>ASHISH KUMAR GHOSH</v>
      </c>
      <c r="I1277" s="145" t="s">
        <v>486</v>
      </c>
      <c r="J1277" s="146" t="s">
        <v>53</v>
      </c>
      <c r="K1277" s="219"/>
      <c r="L1277" s="219">
        <v>13140</v>
      </c>
      <c r="M1277" s="147">
        <v>0</v>
      </c>
      <c r="Q1277" s="133" t="s">
        <v>486</v>
      </c>
    </row>
    <row r="1278" spans="1:17" ht="22.5" x14ac:dyDescent="0.2">
      <c r="A1278" s="133">
        <v>2020</v>
      </c>
      <c r="B1278" s="133">
        <v>12</v>
      </c>
      <c r="C1278" s="133">
        <v>6</v>
      </c>
      <c r="D1278" s="141">
        <f t="shared" si="44"/>
        <v>44171</v>
      </c>
      <c r="E1278" s="275">
        <f t="shared" si="45"/>
        <v>44171</v>
      </c>
      <c r="F1278" s="479" t="s">
        <v>964</v>
      </c>
      <c r="G1278" s="174" t="s">
        <v>74</v>
      </c>
      <c r="H1278" s="174" t="str" cm="1">
        <f t="array" ref="H1278">IFERROR(INDEX(INVESTOR_LIST[INVESTOR NAME],MATCH(I1278,INVESTOR_LIST[INVESTOR CODE],0),)," ")</f>
        <v>EVANA YEASMIN</v>
      </c>
      <c r="I1278" s="148" t="s">
        <v>504</v>
      </c>
      <c r="J1278" s="149" t="s">
        <v>52</v>
      </c>
      <c r="K1278" s="218">
        <v>69480</v>
      </c>
      <c r="L1278" s="218"/>
      <c r="M1278" s="147">
        <v>0</v>
      </c>
      <c r="Q1278" s="133" t="s">
        <v>504</v>
      </c>
    </row>
    <row r="1279" spans="1:17" ht="22.5" x14ac:dyDescent="0.2">
      <c r="A1279" s="133">
        <v>2020</v>
      </c>
      <c r="B1279" s="133">
        <v>12</v>
      </c>
      <c r="C1279" s="133">
        <v>6</v>
      </c>
      <c r="D1279" s="141">
        <f t="shared" si="44"/>
        <v>44171</v>
      </c>
      <c r="E1279" s="275">
        <f t="shared" si="45"/>
        <v>44171</v>
      </c>
      <c r="F1279" s="481"/>
      <c r="G1279" s="174" t="s">
        <v>74</v>
      </c>
      <c r="H1279" s="174" t="str" cm="1">
        <f t="array" ref="H1279">IFERROR(INDEX(INVESTOR_LIST[INVESTOR NAME],MATCH(I1279,INVESTOR_LIST[INVESTOR CODE],0),)," ")</f>
        <v>EVANA YEASMIN</v>
      </c>
      <c r="I1279" s="148" t="s">
        <v>504</v>
      </c>
      <c r="J1279" s="149" t="s">
        <v>13</v>
      </c>
      <c r="K1279" s="218"/>
      <c r="L1279" s="218">
        <v>60000</v>
      </c>
      <c r="M1279" s="147">
        <v>0</v>
      </c>
      <c r="Q1279" s="133" t="s">
        <v>504</v>
      </c>
    </row>
    <row r="1280" spans="1:17" ht="22.5" x14ac:dyDescent="0.2">
      <c r="A1280" s="163">
        <v>2020</v>
      </c>
      <c r="B1280" s="163">
        <v>12</v>
      </c>
      <c r="C1280" s="163">
        <v>6</v>
      </c>
      <c r="D1280" s="141">
        <f t="shared" si="44"/>
        <v>44171</v>
      </c>
      <c r="E1280" s="275">
        <f t="shared" si="45"/>
        <v>44171</v>
      </c>
      <c r="F1280" s="480"/>
      <c r="G1280" s="221" t="s">
        <v>74</v>
      </c>
      <c r="H1280" s="221" t="str" cm="1">
        <f t="array" ref="H1280">IFERROR(INDEX(INVESTOR_LIST[INVESTOR NAME],MATCH(I1280,INVESTOR_LIST[INVESTOR CODE],0),)," ")</f>
        <v>EVANA YEASMIN</v>
      </c>
      <c r="I1280" s="145" t="s">
        <v>504</v>
      </c>
      <c r="J1280" s="146" t="s">
        <v>53</v>
      </c>
      <c r="K1280" s="219"/>
      <c r="L1280" s="219">
        <v>9480</v>
      </c>
      <c r="M1280" s="147">
        <v>0</v>
      </c>
      <c r="Q1280" s="133" t="s">
        <v>504</v>
      </c>
    </row>
    <row r="1281" spans="1:17" x14ac:dyDescent="0.2">
      <c r="A1281" s="177">
        <v>2020</v>
      </c>
      <c r="B1281" s="177">
        <v>12</v>
      </c>
      <c r="C1281" s="177">
        <v>6</v>
      </c>
      <c r="D1281" s="141">
        <f t="shared" si="44"/>
        <v>44171</v>
      </c>
      <c r="E1281" s="275">
        <f t="shared" si="45"/>
        <v>44171</v>
      </c>
      <c r="F1281" s="481" t="s">
        <v>86</v>
      </c>
      <c r="G1281" s="174" t="s">
        <v>74</v>
      </c>
      <c r="H1281" s="174" t="str" cm="1">
        <f t="array" ref="H1281">IFERROR(INDEX(INVESTOR_LIST[INVESTOR NAME],MATCH(I1281,INVESTOR_LIST[INVESTOR CODE],0),)," ")</f>
        <v xml:space="preserve"> </v>
      </c>
      <c r="I1281" s="174" t="s">
        <v>348</v>
      </c>
      <c r="J1281" s="178" t="s">
        <v>147</v>
      </c>
      <c r="K1281" s="234">
        <v>1262268</v>
      </c>
      <c r="L1281" s="234"/>
      <c r="M1281" s="147">
        <v>0</v>
      </c>
      <c r="Q1281" s="133" t="s">
        <v>348</v>
      </c>
    </row>
    <row r="1282" spans="1:17" x14ac:dyDescent="0.2">
      <c r="A1282" s="163">
        <v>2020</v>
      </c>
      <c r="B1282" s="163">
        <v>12</v>
      </c>
      <c r="C1282" s="163">
        <v>6</v>
      </c>
      <c r="D1282" s="141">
        <f t="shared" si="44"/>
        <v>44171</v>
      </c>
      <c r="E1282" s="275">
        <f t="shared" si="45"/>
        <v>44171</v>
      </c>
      <c r="F1282" s="480"/>
      <c r="G1282" s="221" t="s">
        <v>74</v>
      </c>
      <c r="H1282" s="221" t="str" cm="1">
        <f t="array" ref="H1282">IFERROR(INDEX(INVESTOR_LIST[INVESTOR NAME],MATCH(I1282,INVESTOR_LIST[INVESTOR CODE],0),)," ")</f>
        <v xml:space="preserve"> </v>
      </c>
      <c r="I1282" s="145" t="s">
        <v>348</v>
      </c>
      <c r="J1282" s="146" t="s">
        <v>52</v>
      </c>
      <c r="K1282" s="219"/>
      <c r="L1282" s="219">
        <v>1262268</v>
      </c>
      <c r="M1282" s="147">
        <v>0</v>
      </c>
      <c r="N1282" s="156">
        <f>K1365/11.58</f>
        <v>43177.892918825564</v>
      </c>
      <c r="Q1282" s="133" t="s">
        <v>348</v>
      </c>
    </row>
    <row r="1283" spans="1:17" x14ac:dyDescent="0.2">
      <c r="A1283" s="133">
        <v>2020</v>
      </c>
      <c r="B1283" s="133">
        <v>12</v>
      </c>
      <c r="C1283" s="133">
        <v>6</v>
      </c>
      <c r="D1283" s="141">
        <f t="shared" si="44"/>
        <v>44171</v>
      </c>
      <c r="E1283" s="275">
        <f t="shared" si="45"/>
        <v>44171</v>
      </c>
      <c r="F1283" s="481" t="s">
        <v>77</v>
      </c>
      <c r="G1283" s="174" t="s">
        <v>74</v>
      </c>
      <c r="H1283" s="174" t="str" cm="1">
        <f t="array" ref="H1283">IFERROR(INDEX(INVESTOR_LIST[INVESTOR NAME],MATCH(I1283,INVESTOR_LIST[INVESTOR CODE],0),)," ")</f>
        <v xml:space="preserve"> </v>
      </c>
      <c r="I1283" s="148" t="s">
        <v>348</v>
      </c>
      <c r="J1283" s="149" t="s">
        <v>61</v>
      </c>
      <c r="K1283" s="218">
        <v>10</v>
      </c>
      <c r="L1283" s="218"/>
      <c r="M1283" s="147">
        <v>0</v>
      </c>
      <c r="N1283" s="156"/>
      <c r="Q1283" s="133" t="s">
        <v>348</v>
      </c>
    </row>
    <row r="1284" spans="1:17" x14ac:dyDescent="0.2">
      <c r="A1284" s="163">
        <v>2020</v>
      </c>
      <c r="B1284" s="163">
        <v>12</v>
      </c>
      <c r="C1284" s="163">
        <v>6</v>
      </c>
      <c r="D1284" s="141">
        <f t="shared" si="44"/>
        <v>44171</v>
      </c>
      <c r="E1284" s="275">
        <f t="shared" si="45"/>
        <v>44171</v>
      </c>
      <c r="F1284" s="480"/>
      <c r="G1284" s="221" t="s">
        <v>74</v>
      </c>
      <c r="H1284" s="221" t="str" cm="1">
        <f t="array" ref="H1284">IFERROR(INDEX(INVESTOR_LIST[INVESTOR NAME],MATCH(I1284,INVESTOR_LIST[INVESTOR CODE],0),)," ")</f>
        <v xml:space="preserve"> </v>
      </c>
      <c r="I1284" s="145" t="s">
        <v>348</v>
      </c>
      <c r="J1284" s="146" t="s">
        <v>52</v>
      </c>
      <c r="K1284" s="219"/>
      <c r="L1284" s="219">
        <v>10</v>
      </c>
      <c r="M1284" s="147">
        <v>0</v>
      </c>
      <c r="N1284" s="156"/>
      <c r="Q1284" s="133" t="s">
        <v>348</v>
      </c>
    </row>
    <row r="1285" spans="1:17" x14ac:dyDescent="0.2">
      <c r="A1285" s="133">
        <v>2020</v>
      </c>
      <c r="B1285" s="133">
        <v>12</v>
      </c>
      <c r="C1285" s="133">
        <v>6</v>
      </c>
      <c r="D1285" s="141">
        <f t="shared" si="44"/>
        <v>44171</v>
      </c>
      <c r="E1285" s="275">
        <f t="shared" si="45"/>
        <v>44171</v>
      </c>
      <c r="F1285" s="481" t="s">
        <v>77</v>
      </c>
      <c r="G1285" s="174" t="s">
        <v>74</v>
      </c>
      <c r="H1285" s="174" t="str" cm="1">
        <f t="array" ref="H1285">IFERROR(INDEX(INVESTOR_LIST[INVESTOR NAME],MATCH(I1285,INVESTOR_LIST[INVESTOR CODE],0),)," ")</f>
        <v xml:space="preserve"> </v>
      </c>
      <c r="I1285" s="148" t="s">
        <v>348</v>
      </c>
      <c r="J1285" s="149" t="s">
        <v>61</v>
      </c>
      <c r="K1285" s="218">
        <v>10</v>
      </c>
      <c r="L1285" s="218"/>
      <c r="M1285" s="147">
        <v>0</v>
      </c>
      <c r="N1285" s="156"/>
      <c r="Q1285" s="133" t="s">
        <v>348</v>
      </c>
    </row>
    <row r="1286" spans="1:17" x14ac:dyDescent="0.2">
      <c r="A1286" s="163">
        <v>2020</v>
      </c>
      <c r="B1286" s="163">
        <v>12</v>
      </c>
      <c r="C1286" s="163">
        <v>6</v>
      </c>
      <c r="D1286" s="141">
        <f t="shared" si="44"/>
        <v>44171</v>
      </c>
      <c r="E1286" s="275">
        <f t="shared" si="45"/>
        <v>44171</v>
      </c>
      <c r="F1286" s="480"/>
      <c r="G1286" s="221" t="s">
        <v>74</v>
      </c>
      <c r="H1286" s="221" t="str" cm="1">
        <f t="array" ref="H1286">IFERROR(INDEX(INVESTOR_LIST[INVESTOR NAME],MATCH(I1286,INVESTOR_LIST[INVESTOR CODE],0),)," ")</f>
        <v xml:space="preserve"> </v>
      </c>
      <c r="I1286" s="145" t="s">
        <v>348</v>
      </c>
      <c r="J1286" s="146" t="s">
        <v>52</v>
      </c>
      <c r="K1286" s="219"/>
      <c r="L1286" s="219">
        <v>10</v>
      </c>
      <c r="M1286" s="147">
        <v>0</v>
      </c>
      <c r="N1286" s="156"/>
      <c r="Q1286" s="133" t="s">
        <v>348</v>
      </c>
    </row>
    <row r="1287" spans="1:17" ht="33.75" x14ac:dyDescent="0.2">
      <c r="A1287" s="133">
        <v>2020</v>
      </c>
      <c r="B1287" s="133">
        <v>12</v>
      </c>
      <c r="C1287" s="133">
        <v>7</v>
      </c>
      <c r="D1287" s="141">
        <f t="shared" si="44"/>
        <v>44172</v>
      </c>
      <c r="E1287" s="275">
        <f t="shared" si="45"/>
        <v>44172</v>
      </c>
      <c r="F1287" s="479" t="s">
        <v>964</v>
      </c>
      <c r="G1287" s="174" t="s">
        <v>74</v>
      </c>
      <c r="H1287" s="174" t="str" cm="1">
        <f t="array" ref="H1287">IFERROR(INDEX(INVESTOR_LIST[INVESTOR NAME],MATCH(I1287,INVESTOR_LIST[INVESTOR CODE],0),)," ")</f>
        <v>AKASH DEEP PAUL</v>
      </c>
      <c r="I1287" s="148" t="s">
        <v>471</v>
      </c>
      <c r="J1287" s="149" t="s">
        <v>52</v>
      </c>
      <c r="K1287" s="218">
        <v>95000</v>
      </c>
      <c r="L1287" s="218"/>
      <c r="M1287" s="147">
        <v>0</v>
      </c>
      <c r="N1287" s="156"/>
      <c r="Q1287" s="133" t="s">
        <v>471</v>
      </c>
    </row>
    <row r="1288" spans="1:17" ht="33.75" x14ac:dyDescent="0.2">
      <c r="A1288" s="133">
        <v>2020</v>
      </c>
      <c r="B1288" s="133">
        <v>12</v>
      </c>
      <c r="C1288" s="133">
        <v>7</v>
      </c>
      <c r="D1288" s="141">
        <f t="shared" si="44"/>
        <v>44172</v>
      </c>
      <c r="E1288" s="275">
        <f t="shared" si="45"/>
        <v>44172</v>
      </c>
      <c r="F1288" s="481"/>
      <c r="G1288" s="174" t="s">
        <v>74</v>
      </c>
      <c r="H1288" s="174" t="str" cm="1">
        <f t="array" ref="H1288">IFERROR(INDEX(INVESTOR_LIST[INVESTOR NAME],MATCH(I1288,INVESTOR_LIST[INVESTOR CODE],0),)," ")</f>
        <v>AKASH DEEP PAUL</v>
      </c>
      <c r="I1288" s="148" t="s">
        <v>471</v>
      </c>
      <c r="J1288" s="149" t="s">
        <v>13</v>
      </c>
      <c r="K1288" s="218"/>
      <c r="L1288" s="218">
        <v>82040</v>
      </c>
      <c r="M1288" s="147">
        <v>0</v>
      </c>
      <c r="N1288" s="156"/>
      <c r="Q1288" s="133" t="s">
        <v>471</v>
      </c>
    </row>
    <row r="1289" spans="1:17" ht="33.75" x14ac:dyDescent="0.2">
      <c r="A1289" s="163">
        <v>2020</v>
      </c>
      <c r="B1289" s="163">
        <v>12</v>
      </c>
      <c r="C1289" s="163">
        <v>7</v>
      </c>
      <c r="D1289" s="141">
        <f t="shared" si="44"/>
        <v>44172</v>
      </c>
      <c r="E1289" s="275">
        <f t="shared" si="45"/>
        <v>44172</v>
      </c>
      <c r="F1289" s="480"/>
      <c r="G1289" s="221" t="s">
        <v>74</v>
      </c>
      <c r="H1289" s="221" t="str" cm="1">
        <f t="array" ref="H1289">IFERROR(INDEX(INVESTOR_LIST[INVESTOR NAME],MATCH(I1289,INVESTOR_LIST[INVESTOR CODE],0),)," ")</f>
        <v>AKASH DEEP PAUL</v>
      </c>
      <c r="I1289" s="145" t="s">
        <v>471</v>
      </c>
      <c r="J1289" s="146" t="s">
        <v>53</v>
      </c>
      <c r="K1289" s="219"/>
      <c r="L1289" s="219">
        <v>12960</v>
      </c>
      <c r="M1289" s="147">
        <v>0</v>
      </c>
      <c r="N1289" s="156"/>
      <c r="Q1289" s="133" t="s">
        <v>471</v>
      </c>
    </row>
    <row r="1290" spans="1:17" ht="33.75" x14ac:dyDescent="0.2">
      <c r="A1290" s="133">
        <v>2020</v>
      </c>
      <c r="B1290" s="133">
        <v>12</v>
      </c>
      <c r="C1290" s="133">
        <v>7</v>
      </c>
      <c r="D1290" s="141">
        <f t="shared" si="44"/>
        <v>44172</v>
      </c>
      <c r="E1290" s="275">
        <f t="shared" si="45"/>
        <v>44172</v>
      </c>
      <c r="F1290" s="479" t="s">
        <v>964</v>
      </c>
      <c r="G1290" s="174" t="s">
        <v>74</v>
      </c>
      <c r="H1290" s="174" t="str" cm="1">
        <f t="array" ref="H1290">IFERROR(INDEX(INVESTOR_LIST[INVESTOR NAME],MATCH(I1290,INVESTOR_LIST[INVESTOR CODE],0),)," ")</f>
        <v>AKASH DEEP PAUL</v>
      </c>
      <c r="I1290" s="148" t="s">
        <v>471</v>
      </c>
      <c r="J1290" s="149" t="s">
        <v>52</v>
      </c>
      <c r="K1290" s="218">
        <v>77000</v>
      </c>
      <c r="L1290" s="218"/>
      <c r="M1290" s="147">
        <v>0</v>
      </c>
      <c r="N1290" s="156"/>
      <c r="Q1290" s="133" t="s">
        <v>471</v>
      </c>
    </row>
    <row r="1291" spans="1:17" ht="33.75" x14ac:dyDescent="0.2">
      <c r="A1291" s="133">
        <v>2020</v>
      </c>
      <c r="B1291" s="133">
        <v>12</v>
      </c>
      <c r="C1291" s="133">
        <v>7</v>
      </c>
      <c r="D1291" s="141">
        <f t="shared" si="44"/>
        <v>44172</v>
      </c>
      <c r="E1291" s="275">
        <f t="shared" si="45"/>
        <v>44172</v>
      </c>
      <c r="F1291" s="481"/>
      <c r="G1291" s="174" t="s">
        <v>74</v>
      </c>
      <c r="H1291" s="174" t="str" cm="1">
        <f t="array" ref="H1291">IFERROR(INDEX(INVESTOR_LIST[INVESTOR NAME],MATCH(I1291,INVESTOR_LIST[INVESTOR CODE],0),)," ")</f>
        <v>AKASH DEEP PAUL</v>
      </c>
      <c r="I1291" s="148" t="s">
        <v>471</v>
      </c>
      <c r="J1291" s="149" t="s">
        <v>13</v>
      </c>
      <c r="K1291" s="218"/>
      <c r="L1291" s="218">
        <v>66490</v>
      </c>
      <c r="M1291" s="147">
        <v>0</v>
      </c>
      <c r="N1291" s="156"/>
      <c r="Q1291" s="133" t="s">
        <v>471</v>
      </c>
    </row>
    <row r="1292" spans="1:17" ht="33.75" x14ac:dyDescent="0.2">
      <c r="A1292" s="163">
        <v>2020</v>
      </c>
      <c r="B1292" s="163">
        <v>12</v>
      </c>
      <c r="C1292" s="163">
        <v>7</v>
      </c>
      <c r="D1292" s="141">
        <f t="shared" si="44"/>
        <v>44172</v>
      </c>
      <c r="E1292" s="275">
        <f t="shared" si="45"/>
        <v>44172</v>
      </c>
      <c r="F1292" s="480"/>
      <c r="G1292" s="221" t="s">
        <v>74</v>
      </c>
      <c r="H1292" s="221" t="str" cm="1">
        <f t="array" ref="H1292">IFERROR(INDEX(INVESTOR_LIST[INVESTOR NAME],MATCH(I1292,INVESTOR_LIST[INVESTOR CODE],0),)," ")</f>
        <v>AKASH DEEP PAUL</v>
      </c>
      <c r="I1292" s="145" t="s">
        <v>471</v>
      </c>
      <c r="J1292" s="146" t="s">
        <v>53</v>
      </c>
      <c r="K1292" s="219"/>
      <c r="L1292" s="219">
        <v>10510</v>
      </c>
      <c r="M1292" s="147">
        <v>0</v>
      </c>
      <c r="N1292" s="156"/>
      <c r="Q1292" s="133" t="s">
        <v>471</v>
      </c>
    </row>
    <row r="1293" spans="1:17" x14ac:dyDescent="0.2">
      <c r="A1293" s="133">
        <v>2020</v>
      </c>
      <c r="B1293" s="133">
        <v>12</v>
      </c>
      <c r="C1293" s="133">
        <v>7</v>
      </c>
      <c r="D1293" s="141">
        <f t="shared" ref="D1293:D1356" si="46">DATE(A1293,B1293,C1293)</f>
        <v>44172</v>
      </c>
      <c r="E1293" s="275">
        <f t="shared" si="45"/>
        <v>44172</v>
      </c>
      <c r="F1293" s="481" t="s">
        <v>172</v>
      </c>
      <c r="G1293" s="174" t="s">
        <v>74</v>
      </c>
      <c r="H1293" s="174" t="str" cm="1">
        <f t="array" ref="H1293">IFERROR(INDEX(INVESTOR_LIST[INVESTOR NAME],MATCH(I1293,INVESTOR_LIST[INVESTOR CODE],0),)," ")</f>
        <v xml:space="preserve"> </v>
      </c>
      <c r="I1293" s="148" t="s">
        <v>348</v>
      </c>
      <c r="J1293" s="149" t="s">
        <v>147</v>
      </c>
      <c r="K1293" s="218">
        <v>7001787.8700000001</v>
      </c>
      <c r="L1293" s="218"/>
      <c r="M1293" s="147">
        <v>0</v>
      </c>
      <c r="N1293" s="156"/>
      <c r="Q1293" s="133" t="s">
        <v>348</v>
      </c>
    </row>
    <row r="1294" spans="1:17" x14ac:dyDescent="0.2">
      <c r="A1294" s="163">
        <v>2020</v>
      </c>
      <c r="B1294" s="163">
        <v>12</v>
      </c>
      <c r="C1294" s="163">
        <v>7</v>
      </c>
      <c r="D1294" s="141">
        <f t="shared" si="46"/>
        <v>44172</v>
      </c>
      <c r="E1294" s="275">
        <f t="shared" ref="E1294:E1357" si="47">DATE(A1294,B1294,C1294)</f>
        <v>44172</v>
      </c>
      <c r="F1294" s="480"/>
      <c r="G1294" s="221" t="s">
        <v>74</v>
      </c>
      <c r="H1294" s="221" t="str" cm="1">
        <f t="array" ref="H1294">IFERROR(INDEX(INVESTOR_LIST[INVESTOR NAME],MATCH(I1294,INVESTOR_LIST[INVESTOR CODE],0),)," ")</f>
        <v xml:space="preserve"> </v>
      </c>
      <c r="I1294" s="145" t="s">
        <v>348</v>
      </c>
      <c r="J1294" s="146" t="s">
        <v>52</v>
      </c>
      <c r="K1294" s="219"/>
      <c r="L1294" s="219">
        <v>7001787.8700000001</v>
      </c>
      <c r="M1294" s="147">
        <v>0</v>
      </c>
      <c r="N1294" s="156"/>
      <c r="Q1294" s="133" t="s">
        <v>348</v>
      </c>
    </row>
    <row r="1295" spans="1:17" x14ac:dyDescent="0.2">
      <c r="A1295" s="133">
        <v>2020</v>
      </c>
      <c r="B1295" s="133">
        <v>12</v>
      </c>
      <c r="C1295" s="133">
        <v>7</v>
      </c>
      <c r="D1295" s="141">
        <f t="shared" si="46"/>
        <v>44172</v>
      </c>
      <c r="E1295" s="275">
        <f t="shared" si="47"/>
        <v>44172</v>
      </c>
      <c r="F1295" s="481" t="s">
        <v>77</v>
      </c>
      <c r="G1295" s="174" t="s">
        <v>74</v>
      </c>
      <c r="H1295" s="174" t="str" cm="1">
        <f t="array" ref="H1295">IFERROR(INDEX(INVESTOR_LIST[INVESTOR NAME],MATCH(I1295,INVESTOR_LIST[INVESTOR CODE],0),)," ")</f>
        <v xml:space="preserve"> </v>
      </c>
      <c r="I1295" s="148" t="s">
        <v>348</v>
      </c>
      <c r="J1295" s="149" t="s">
        <v>61</v>
      </c>
      <c r="K1295" s="218">
        <v>10</v>
      </c>
      <c r="L1295" s="218"/>
      <c r="M1295" s="147">
        <v>0</v>
      </c>
      <c r="N1295" s="156"/>
      <c r="Q1295" s="133" t="s">
        <v>348</v>
      </c>
    </row>
    <row r="1296" spans="1:17" x14ac:dyDescent="0.2">
      <c r="A1296" s="163">
        <v>2020</v>
      </c>
      <c r="B1296" s="163">
        <v>12</v>
      </c>
      <c r="C1296" s="163">
        <v>7</v>
      </c>
      <c r="D1296" s="141">
        <f t="shared" si="46"/>
        <v>44172</v>
      </c>
      <c r="E1296" s="275">
        <f t="shared" si="47"/>
        <v>44172</v>
      </c>
      <c r="F1296" s="480"/>
      <c r="G1296" s="221" t="s">
        <v>74</v>
      </c>
      <c r="H1296" s="221" t="str" cm="1">
        <f t="array" ref="H1296">IFERROR(INDEX(INVESTOR_LIST[INVESTOR NAME],MATCH(I1296,INVESTOR_LIST[INVESTOR CODE],0),)," ")</f>
        <v xml:space="preserve"> </v>
      </c>
      <c r="I1296" s="145" t="s">
        <v>348</v>
      </c>
      <c r="J1296" s="146" t="s">
        <v>52</v>
      </c>
      <c r="K1296" s="219"/>
      <c r="L1296" s="219">
        <v>10</v>
      </c>
      <c r="M1296" s="147">
        <v>0</v>
      </c>
      <c r="Q1296" s="133" t="s">
        <v>348</v>
      </c>
    </row>
    <row r="1297" spans="1:17" x14ac:dyDescent="0.2">
      <c r="A1297" s="133">
        <v>2020</v>
      </c>
      <c r="B1297" s="133">
        <v>12</v>
      </c>
      <c r="C1297" s="133">
        <v>8</v>
      </c>
      <c r="D1297" s="141">
        <f t="shared" si="46"/>
        <v>44173</v>
      </c>
      <c r="E1297" s="275">
        <f t="shared" si="47"/>
        <v>44173</v>
      </c>
      <c r="F1297" s="481" t="s">
        <v>241</v>
      </c>
      <c r="G1297" s="174" t="s">
        <v>74</v>
      </c>
      <c r="H1297" s="174" t="str" cm="1">
        <f t="array" ref="H1297">IFERROR(INDEX(INVESTOR_LIST[INVESTOR NAME],MATCH(I1297,INVESTOR_LIST[INVESTOR CODE],0),)," ")</f>
        <v xml:space="preserve"> </v>
      </c>
      <c r="I1297" s="148" t="s">
        <v>348</v>
      </c>
      <c r="J1297" s="149" t="s">
        <v>79</v>
      </c>
      <c r="K1297" s="218">
        <v>4815338</v>
      </c>
      <c r="L1297" s="218"/>
      <c r="M1297" s="147">
        <v>0</v>
      </c>
      <c r="Q1297" s="133" t="s">
        <v>348</v>
      </c>
    </row>
    <row r="1298" spans="1:17" x14ac:dyDescent="0.2">
      <c r="A1298" s="133">
        <v>2020</v>
      </c>
      <c r="B1298" s="133">
        <v>12</v>
      </c>
      <c r="C1298" s="133">
        <v>8</v>
      </c>
      <c r="D1298" s="141">
        <f t="shared" si="46"/>
        <v>44173</v>
      </c>
      <c r="E1298" s="275">
        <f t="shared" si="47"/>
        <v>44173</v>
      </c>
      <c r="F1298" s="481"/>
      <c r="G1298" s="174" t="s">
        <v>74</v>
      </c>
      <c r="H1298" s="174" t="str" cm="1">
        <f t="array" ref="H1298">IFERROR(INDEX(INVESTOR_LIST[INVESTOR NAME],MATCH(I1298,INVESTOR_LIST[INVESTOR CODE],0),)," ")</f>
        <v xml:space="preserve"> </v>
      </c>
      <c r="I1298" s="148" t="s">
        <v>348</v>
      </c>
      <c r="J1298" s="149" t="s">
        <v>80</v>
      </c>
      <c r="K1298" s="218">
        <v>8667.61</v>
      </c>
      <c r="L1298" s="218"/>
      <c r="M1298" s="147">
        <v>0</v>
      </c>
      <c r="Q1298" s="133" t="s">
        <v>348</v>
      </c>
    </row>
    <row r="1299" spans="1:17" x14ac:dyDescent="0.2">
      <c r="A1299" s="163">
        <v>2020</v>
      </c>
      <c r="B1299" s="163">
        <v>12</v>
      </c>
      <c r="C1299" s="163">
        <v>8</v>
      </c>
      <c r="D1299" s="141">
        <f t="shared" si="46"/>
        <v>44173</v>
      </c>
      <c r="E1299" s="275">
        <f t="shared" si="47"/>
        <v>44173</v>
      </c>
      <c r="F1299" s="480"/>
      <c r="G1299" s="221" t="s">
        <v>74</v>
      </c>
      <c r="H1299" s="221" t="str" cm="1">
        <f t="array" ref="H1299">IFERROR(INDEX(INVESTOR_LIST[INVESTOR NAME],MATCH(I1299,INVESTOR_LIST[INVESTOR CODE],0),)," ")</f>
        <v xml:space="preserve"> </v>
      </c>
      <c r="I1299" s="145" t="s">
        <v>348</v>
      </c>
      <c r="J1299" s="146" t="s">
        <v>147</v>
      </c>
      <c r="K1299" s="219"/>
      <c r="L1299" s="219">
        <v>4824005.6100000003</v>
      </c>
      <c r="M1299" s="147">
        <v>0</v>
      </c>
      <c r="Q1299" s="133" t="s">
        <v>348</v>
      </c>
    </row>
    <row r="1300" spans="1:17" x14ac:dyDescent="0.2">
      <c r="A1300" s="133">
        <v>2020</v>
      </c>
      <c r="B1300" s="133">
        <v>12</v>
      </c>
      <c r="C1300" s="133">
        <v>8</v>
      </c>
      <c r="D1300" s="141">
        <f t="shared" si="46"/>
        <v>44173</v>
      </c>
      <c r="E1300" s="275">
        <f t="shared" si="47"/>
        <v>44173</v>
      </c>
      <c r="F1300" s="481" t="s">
        <v>242</v>
      </c>
      <c r="G1300" s="174" t="s">
        <v>74</v>
      </c>
      <c r="H1300" s="174" t="str" cm="1">
        <f t="array" ref="H1300">IFERROR(INDEX(INVESTOR_LIST[INVESTOR NAME],MATCH(I1300,INVESTOR_LIST[INVESTOR CODE],0),)," ")</f>
        <v xml:space="preserve"> </v>
      </c>
      <c r="I1300" s="148" t="s">
        <v>348</v>
      </c>
      <c r="J1300" s="149" t="s">
        <v>79</v>
      </c>
      <c r="K1300" s="218">
        <v>5000000</v>
      </c>
      <c r="L1300" s="218"/>
      <c r="M1300" s="147">
        <v>0</v>
      </c>
      <c r="Q1300" s="133" t="s">
        <v>348</v>
      </c>
    </row>
    <row r="1301" spans="1:17" x14ac:dyDescent="0.2">
      <c r="A1301" s="163">
        <v>2020</v>
      </c>
      <c r="B1301" s="163">
        <v>12</v>
      </c>
      <c r="C1301" s="163">
        <v>8</v>
      </c>
      <c r="D1301" s="141">
        <f t="shared" si="46"/>
        <v>44173</v>
      </c>
      <c r="E1301" s="275">
        <f t="shared" si="47"/>
        <v>44173</v>
      </c>
      <c r="F1301" s="480"/>
      <c r="G1301" s="221" t="s">
        <v>74</v>
      </c>
      <c r="H1301" s="221" t="str" cm="1">
        <f t="array" ref="H1301">IFERROR(INDEX(INVESTOR_LIST[INVESTOR NAME],MATCH(I1301,INVESTOR_LIST[INVESTOR CODE],0),)," ")</f>
        <v xml:space="preserve"> </v>
      </c>
      <c r="I1301" s="145" t="s">
        <v>348</v>
      </c>
      <c r="J1301" s="146" t="s">
        <v>52</v>
      </c>
      <c r="K1301" s="219"/>
      <c r="L1301" s="219">
        <v>5000000</v>
      </c>
      <c r="M1301" s="147">
        <v>0</v>
      </c>
      <c r="Q1301" s="133" t="s">
        <v>348</v>
      </c>
    </row>
    <row r="1302" spans="1:17" x14ac:dyDescent="0.2">
      <c r="A1302" s="133">
        <v>2020</v>
      </c>
      <c r="B1302" s="133">
        <v>12</v>
      </c>
      <c r="C1302" s="133">
        <v>8</v>
      </c>
      <c r="D1302" s="141">
        <f t="shared" si="46"/>
        <v>44173</v>
      </c>
      <c r="E1302" s="275">
        <f t="shared" si="47"/>
        <v>44173</v>
      </c>
      <c r="F1302" s="481" t="s">
        <v>240</v>
      </c>
      <c r="G1302" s="174" t="s">
        <v>74</v>
      </c>
      <c r="H1302" s="174" t="str" cm="1">
        <f t="array" ref="H1302">IFERROR(INDEX(INVESTOR_LIST[INVESTOR NAME],MATCH(I1302,INVESTOR_LIST[INVESTOR CODE],0),)," ")</f>
        <v xml:space="preserve"> </v>
      </c>
      <c r="I1302" s="148" t="s">
        <v>348</v>
      </c>
      <c r="J1302" s="149" t="s">
        <v>175</v>
      </c>
      <c r="K1302" s="218">
        <v>5100.6899999999996</v>
      </c>
      <c r="L1302" s="218"/>
      <c r="M1302" s="147">
        <v>0</v>
      </c>
      <c r="Q1302" s="133" t="s">
        <v>348</v>
      </c>
    </row>
    <row r="1303" spans="1:17" x14ac:dyDescent="0.2">
      <c r="A1303" s="163">
        <v>2020</v>
      </c>
      <c r="B1303" s="163">
        <v>12</v>
      </c>
      <c r="C1303" s="163">
        <v>8</v>
      </c>
      <c r="D1303" s="141">
        <f t="shared" si="46"/>
        <v>44173</v>
      </c>
      <c r="E1303" s="275">
        <f t="shared" si="47"/>
        <v>44173</v>
      </c>
      <c r="F1303" s="480"/>
      <c r="G1303" s="221" t="s">
        <v>74</v>
      </c>
      <c r="H1303" s="221" t="str" cm="1">
        <f t="array" ref="H1303">IFERROR(INDEX(INVESTOR_LIST[INVESTOR NAME],MATCH(I1303,INVESTOR_LIST[INVESTOR CODE],0),)," ")</f>
        <v xml:space="preserve"> </v>
      </c>
      <c r="I1303" s="145" t="s">
        <v>348</v>
      </c>
      <c r="J1303" s="146" t="s">
        <v>52</v>
      </c>
      <c r="K1303" s="219"/>
      <c r="L1303" s="219">
        <v>5100.6899999999996</v>
      </c>
      <c r="M1303" s="147">
        <v>0</v>
      </c>
      <c r="Q1303" s="133" t="s">
        <v>348</v>
      </c>
    </row>
    <row r="1304" spans="1:17" x14ac:dyDescent="0.2">
      <c r="A1304" s="133">
        <v>2020</v>
      </c>
      <c r="B1304" s="133">
        <v>12</v>
      </c>
      <c r="C1304" s="133">
        <v>8</v>
      </c>
      <c r="D1304" s="141">
        <f t="shared" si="46"/>
        <v>44173</v>
      </c>
      <c r="E1304" s="275">
        <f t="shared" si="47"/>
        <v>44173</v>
      </c>
      <c r="F1304" s="481" t="s">
        <v>77</v>
      </c>
      <c r="G1304" s="174" t="s">
        <v>74</v>
      </c>
      <c r="H1304" s="174" t="str" cm="1">
        <f t="array" ref="H1304">IFERROR(INDEX(INVESTOR_LIST[INVESTOR NAME],MATCH(I1304,INVESTOR_LIST[INVESTOR CODE],0),)," ")</f>
        <v xml:space="preserve"> </v>
      </c>
      <c r="I1304" s="148" t="s">
        <v>348</v>
      </c>
      <c r="J1304" s="149" t="s">
        <v>61</v>
      </c>
      <c r="K1304" s="218">
        <v>60</v>
      </c>
      <c r="L1304" s="218"/>
      <c r="M1304" s="147">
        <v>0</v>
      </c>
      <c r="Q1304" s="133" t="s">
        <v>348</v>
      </c>
    </row>
    <row r="1305" spans="1:17" x14ac:dyDescent="0.2">
      <c r="A1305" s="163">
        <v>2020</v>
      </c>
      <c r="B1305" s="163">
        <v>12</v>
      </c>
      <c r="C1305" s="163">
        <v>8</v>
      </c>
      <c r="D1305" s="141">
        <f t="shared" si="46"/>
        <v>44173</v>
      </c>
      <c r="E1305" s="275">
        <f t="shared" si="47"/>
        <v>44173</v>
      </c>
      <c r="F1305" s="480"/>
      <c r="G1305" s="221" t="s">
        <v>74</v>
      </c>
      <c r="H1305" s="221" t="str" cm="1">
        <f t="array" ref="H1305">IFERROR(INDEX(INVESTOR_LIST[INVESTOR NAME],MATCH(I1305,INVESTOR_LIST[INVESTOR CODE],0),)," ")</f>
        <v xml:space="preserve"> </v>
      </c>
      <c r="I1305" s="145" t="s">
        <v>348</v>
      </c>
      <c r="J1305" s="146" t="s">
        <v>52</v>
      </c>
      <c r="K1305" s="219"/>
      <c r="L1305" s="219">
        <v>60</v>
      </c>
      <c r="M1305" s="147">
        <v>0</v>
      </c>
      <c r="Q1305" s="133" t="s">
        <v>348</v>
      </c>
    </row>
    <row r="1306" spans="1:17" x14ac:dyDescent="0.2">
      <c r="A1306" s="133">
        <v>2020</v>
      </c>
      <c r="B1306" s="133">
        <v>12</v>
      </c>
      <c r="C1306" s="133">
        <v>8</v>
      </c>
      <c r="D1306" s="141">
        <f t="shared" si="46"/>
        <v>44173</v>
      </c>
      <c r="E1306" s="275">
        <f t="shared" si="47"/>
        <v>44173</v>
      </c>
      <c r="F1306" s="481" t="s">
        <v>77</v>
      </c>
      <c r="G1306" s="174" t="s">
        <v>74</v>
      </c>
      <c r="H1306" s="174" t="str" cm="1">
        <f t="array" ref="H1306">IFERROR(INDEX(INVESTOR_LIST[INVESTOR NAME],MATCH(I1306,INVESTOR_LIST[INVESTOR CODE],0),)," ")</f>
        <v xml:space="preserve"> </v>
      </c>
      <c r="I1306" s="148" t="s">
        <v>348</v>
      </c>
      <c r="J1306" s="149" t="s">
        <v>61</v>
      </c>
      <c r="K1306" s="218">
        <v>60</v>
      </c>
      <c r="L1306" s="218"/>
      <c r="M1306" s="147">
        <v>0</v>
      </c>
      <c r="Q1306" s="133" t="s">
        <v>348</v>
      </c>
    </row>
    <row r="1307" spans="1:17" x14ac:dyDescent="0.2">
      <c r="A1307" s="163">
        <v>2020</v>
      </c>
      <c r="B1307" s="163">
        <v>12</v>
      </c>
      <c r="C1307" s="163">
        <v>8</v>
      </c>
      <c r="D1307" s="141">
        <f t="shared" si="46"/>
        <v>44173</v>
      </c>
      <c r="E1307" s="275">
        <f t="shared" si="47"/>
        <v>44173</v>
      </c>
      <c r="F1307" s="480"/>
      <c r="G1307" s="221" t="s">
        <v>74</v>
      </c>
      <c r="H1307" s="221" t="str" cm="1">
        <f t="array" ref="H1307">IFERROR(INDEX(INVESTOR_LIST[INVESTOR NAME],MATCH(I1307,INVESTOR_LIST[INVESTOR CODE],0),)," ")</f>
        <v xml:space="preserve"> </v>
      </c>
      <c r="I1307" s="145" t="s">
        <v>348</v>
      </c>
      <c r="J1307" s="146" t="s">
        <v>52</v>
      </c>
      <c r="K1307" s="219"/>
      <c r="L1307" s="219">
        <v>60</v>
      </c>
      <c r="M1307" s="147">
        <v>0</v>
      </c>
      <c r="Q1307" s="133" t="s">
        <v>348</v>
      </c>
    </row>
    <row r="1308" spans="1:17" ht="33.75" x14ac:dyDescent="0.2">
      <c r="A1308" s="133">
        <v>2020</v>
      </c>
      <c r="B1308" s="133">
        <v>12</v>
      </c>
      <c r="C1308" s="133">
        <v>8</v>
      </c>
      <c r="D1308" s="141">
        <f t="shared" si="46"/>
        <v>44173</v>
      </c>
      <c r="E1308" s="275">
        <f t="shared" si="47"/>
        <v>44173</v>
      </c>
      <c r="F1308" s="479" t="s">
        <v>964</v>
      </c>
      <c r="G1308" s="174" t="s">
        <v>74</v>
      </c>
      <c r="H1308" s="174" t="str" cm="1">
        <f t="array" ref="H1308">IFERROR(INDEX(INVESTOR_LIST[INVESTOR NAME],MATCH(I1308,INVESTOR_LIST[INVESTOR CODE],0),)," ")</f>
        <v>NANI GOPAL DATTA</v>
      </c>
      <c r="I1308" s="148" t="s">
        <v>460</v>
      </c>
      <c r="J1308" s="149" t="s">
        <v>52</v>
      </c>
      <c r="K1308" s="218">
        <v>405300</v>
      </c>
      <c r="L1308" s="218"/>
      <c r="M1308" s="147">
        <v>0</v>
      </c>
      <c r="Q1308" s="133" t="s">
        <v>460</v>
      </c>
    </row>
    <row r="1309" spans="1:17" ht="33.75" x14ac:dyDescent="0.2">
      <c r="A1309" s="133">
        <v>2020</v>
      </c>
      <c r="B1309" s="133">
        <v>12</v>
      </c>
      <c r="C1309" s="133">
        <v>8</v>
      </c>
      <c r="D1309" s="141">
        <f t="shared" si="46"/>
        <v>44173</v>
      </c>
      <c r="E1309" s="275">
        <f t="shared" si="47"/>
        <v>44173</v>
      </c>
      <c r="F1309" s="481"/>
      <c r="G1309" s="174" t="s">
        <v>74</v>
      </c>
      <c r="H1309" s="174" t="str" cm="1">
        <f t="array" ref="H1309">IFERROR(INDEX(INVESTOR_LIST[INVESTOR NAME],MATCH(I1309,INVESTOR_LIST[INVESTOR CODE],0),)," ")</f>
        <v>NANI GOPAL DATTA</v>
      </c>
      <c r="I1309" s="148" t="s">
        <v>460</v>
      </c>
      <c r="J1309" s="149" t="s">
        <v>13</v>
      </c>
      <c r="K1309" s="218"/>
      <c r="L1309" s="218">
        <v>350000</v>
      </c>
      <c r="M1309" s="147">
        <v>0</v>
      </c>
      <c r="Q1309" s="133" t="s">
        <v>460</v>
      </c>
    </row>
    <row r="1310" spans="1:17" ht="33.75" x14ac:dyDescent="0.2">
      <c r="A1310" s="163">
        <v>2020</v>
      </c>
      <c r="B1310" s="163">
        <v>12</v>
      </c>
      <c r="C1310" s="163">
        <v>8</v>
      </c>
      <c r="D1310" s="141">
        <f t="shared" si="46"/>
        <v>44173</v>
      </c>
      <c r="E1310" s="275">
        <f t="shared" si="47"/>
        <v>44173</v>
      </c>
      <c r="F1310" s="480"/>
      <c r="G1310" s="221" t="s">
        <v>74</v>
      </c>
      <c r="H1310" s="221" t="str" cm="1">
        <f t="array" ref="H1310">IFERROR(INDEX(INVESTOR_LIST[INVESTOR NAME],MATCH(I1310,INVESTOR_LIST[INVESTOR CODE],0),)," ")</f>
        <v>NANI GOPAL DATTA</v>
      </c>
      <c r="I1310" s="145" t="s">
        <v>460</v>
      </c>
      <c r="J1310" s="146" t="s">
        <v>53</v>
      </c>
      <c r="K1310" s="219"/>
      <c r="L1310" s="219">
        <v>55300</v>
      </c>
      <c r="M1310" s="147">
        <v>0</v>
      </c>
      <c r="Q1310" s="133" t="s">
        <v>460</v>
      </c>
    </row>
    <row r="1311" spans="1:17" ht="11.25" customHeight="1" x14ac:dyDescent="0.2">
      <c r="A1311" s="133">
        <v>2020</v>
      </c>
      <c r="B1311" s="133">
        <v>12</v>
      </c>
      <c r="C1311" s="133">
        <v>8</v>
      </c>
      <c r="D1311" s="141">
        <f t="shared" si="46"/>
        <v>44173</v>
      </c>
      <c r="E1311" s="275">
        <f t="shared" si="47"/>
        <v>44173</v>
      </c>
      <c r="F1311" s="479" t="s">
        <v>254</v>
      </c>
      <c r="G1311" s="174" t="s">
        <v>74</v>
      </c>
      <c r="H1311" s="174" t="str" cm="1">
        <f t="array" ref="H1311">IFERROR(INDEX(INVESTOR_LIST[INVESTOR NAME],MATCH(I1311,INVESTOR_LIST[INVESTOR CODE],0),)," ")</f>
        <v xml:space="preserve"> </v>
      </c>
      <c r="I1311" s="148" t="s">
        <v>348</v>
      </c>
      <c r="J1311" s="149" t="s">
        <v>52</v>
      </c>
      <c r="K1311" s="218">
        <v>91000</v>
      </c>
      <c r="L1311" s="218"/>
      <c r="M1311" s="147">
        <v>0</v>
      </c>
      <c r="Q1311" s="133" t="s">
        <v>348</v>
      </c>
    </row>
    <row r="1312" spans="1:17" x14ac:dyDescent="0.2">
      <c r="A1312" s="133">
        <v>2020</v>
      </c>
      <c r="B1312" s="133">
        <v>12</v>
      </c>
      <c r="C1312" s="133">
        <v>8</v>
      </c>
      <c r="D1312" s="141">
        <f t="shared" si="46"/>
        <v>44173</v>
      </c>
      <c r="E1312" s="275">
        <f t="shared" si="47"/>
        <v>44173</v>
      </c>
      <c r="F1312" s="481"/>
      <c r="G1312" s="174" t="s">
        <v>74</v>
      </c>
      <c r="H1312" s="174" t="str" cm="1">
        <f t="array" ref="H1312">IFERROR(INDEX(INVESTOR_LIST[INVESTOR NAME],MATCH(I1312,INVESTOR_LIST[INVESTOR CODE],0),)," ")</f>
        <v xml:space="preserve"> </v>
      </c>
      <c r="I1312" s="148" t="s">
        <v>348</v>
      </c>
      <c r="J1312" s="149" t="s">
        <v>13</v>
      </c>
      <c r="K1312" s="218"/>
      <c r="L1312" s="218">
        <v>78760</v>
      </c>
      <c r="M1312" s="147">
        <v>0</v>
      </c>
      <c r="Q1312" s="133" t="s">
        <v>348</v>
      </c>
    </row>
    <row r="1313" spans="1:17" x14ac:dyDescent="0.2">
      <c r="A1313" s="163">
        <v>2020</v>
      </c>
      <c r="B1313" s="163">
        <v>12</v>
      </c>
      <c r="C1313" s="163">
        <v>8</v>
      </c>
      <c r="D1313" s="141">
        <f t="shared" si="46"/>
        <v>44173</v>
      </c>
      <c r="E1313" s="275">
        <f t="shared" si="47"/>
        <v>44173</v>
      </c>
      <c r="F1313" s="480"/>
      <c r="G1313" s="221" t="s">
        <v>74</v>
      </c>
      <c r="H1313" s="221" t="str" cm="1">
        <f t="array" ref="H1313">IFERROR(INDEX(INVESTOR_LIST[INVESTOR NAME],MATCH(I1313,INVESTOR_LIST[INVESTOR CODE],0),)," ")</f>
        <v xml:space="preserve"> </v>
      </c>
      <c r="I1313" s="145" t="s">
        <v>348</v>
      </c>
      <c r="J1313" s="146" t="s">
        <v>53</v>
      </c>
      <c r="K1313" s="219"/>
      <c r="L1313" s="219">
        <v>12240</v>
      </c>
      <c r="M1313" s="147">
        <v>0</v>
      </c>
      <c r="Q1313" s="133" t="s">
        <v>348</v>
      </c>
    </row>
    <row r="1314" spans="1:17" x14ac:dyDescent="0.2">
      <c r="A1314" s="133">
        <v>2020</v>
      </c>
      <c r="B1314" s="133">
        <v>12</v>
      </c>
      <c r="C1314" s="133">
        <v>8</v>
      </c>
      <c r="D1314" s="141">
        <f t="shared" si="46"/>
        <v>44173</v>
      </c>
      <c r="E1314" s="275">
        <f t="shared" si="47"/>
        <v>44173</v>
      </c>
      <c r="F1314" s="481" t="s">
        <v>77</v>
      </c>
      <c r="G1314" s="174" t="s">
        <v>74</v>
      </c>
      <c r="H1314" s="174" t="str" cm="1">
        <f t="array" ref="H1314">IFERROR(INDEX(INVESTOR_LIST[INVESTOR NAME],MATCH(I1314,INVESTOR_LIST[INVESTOR CODE],0),)," ")</f>
        <v xml:space="preserve"> </v>
      </c>
      <c r="I1314" s="148" t="s">
        <v>348</v>
      </c>
      <c r="J1314" s="149" t="s">
        <v>61</v>
      </c>
      <c r="K1314" s="218">
        <v>10</v>
      </c>
      <c r="L1314" s="218"/>
      <c r="M1314" s="147">
        <v>0</v>
      </c>
      <c r="Q1314" s="133" t="s">
        <v>348</v>
      </c>
    </row>
    <row r="1315" spans="1:17" x14ac:dyDescent="0.2">
      <c r="A1315" s="163">
        <v>2020</v>
      </c>
      <c r="B1315" s="163">
        <v>12</v>
      </c>
      <c r="C1315" s="163">
        <v>8</v>
      </c>
      <c r="D1315" s="141">
        <f t="shared" si="46"/>
        <v>44173</v>
      </c>
      <c r="E1315" s="275">
        <f t="shared" si="47"/>
        <v>44173</v>
      </c>
      <c r="F1315" s="480"/>
      <c r="G1315" s="221" t="s">
        <v>74</v>
      </c>
      <c r="H1315" s="221" t="str" cm="1">
        <f t="array" ref="H1315">IFERROR(INDEX(INVESTOR_LIST[INVESTOR NAME],MATCH(I1315,INVESTOR_LIST[INVESTOR CODE],0),)," ")</f>
        <v xml:space="preserve"> </v>
      </c>
      <c r="I1315" s="145" t="s">
        <v>348</v>
      </c>
      <c r="J1315" s="146" t="s">
        <v>52</v>
      </c>
      <c r="K1315" s="219"/>
      <c r="L1315" s="219">
        <v>10</v>
      </c>
      <c r="M1315" s="147">
        <v>0</v>
      </c>
      <c r="Q1315" s="133" t="s">
        <v>348</v>
      </c>
    </row>
    <row r="1316" spans="1:17" x14ac:dyDescent="0.2">
      <c r="A1316" s="133">
        <v>2020</v>
      </c>
      <c r="B1316" s="133">
        <v>12</v>
      </c>
      <c r="C1316" s="133">
        <v>8</v>
      </c>
      <c r="D1316" s="141">
        <f t="shared" si="46"/>
        <v>44173</v>
      </c>
      <c r="E1316" s="275">
        <f t="shared" si="47"/>
        <v>44173</v>
      </c>
      <c r="F1316" s="481" t="s">
        <v>77</v>
      </c>
      <c r="G1316" s="174" t="s">
        <v>74</v>
      </c>
      <c r="H1316" s="174" t="str" cm="1">
        <f t="array" ref="H1316">IFERROR(INDEX(INVESTOR_LIST[INVESTOR NAME],MATCH(I1316,INVESTOR_LIST[INVESTOR CODE],0),)," ")</f>
        <v xml:space="preserve"> </v>
      </c>
      <c r="I1316" s="148" t="s">
        <v>348</v>
      </c>
      <c r="J1316" s="149" t="s">
        <v>61</v>
      </c>
      <c r="K1316" s="218">
        <v>60</v>
      </c>
      <c r="L1316" s="218"/>
      <c r="M1316" s="147">
        <v>0</v>
      </c>
      <c r="Q1316" s="133" t="s">
        <v>348</v>
      </c>
    </row>
    <row r="1317" spans="1:17" x14ac:dyDescent="0.2">
      <c r="A1317" s="163">
        <v>2020</v>
      </c>
      <c r="B1317" s="163">
        <v>12</v>
      </c>
      <c r="C1317" s="163">
        <v>8</v>
      </c>
      <c r="D1317" s="141">
        <f t="shared" si="46"/>
        <v>44173</v>
      </c>
      <c r="E1317" s="275">
        <f t="shared" si="47"/>
        <v>44173</v>
      </c>
      <c r="F1317" s="480"/>
      <c r="G1317" s="221" t="s">
        <v>74</v>
      </c>
      <c r="H1317" s="221" t="str" cm="1">
        <f t="array" ref="H1317">IFERROR(INDEX(INVESTOR_LIST[INVESTOR NAME],MATCH(I1317,INVESTOR_LIST[INVESTOR CODE],0),)," ")</f>
        <v xml:space="preserve"> </v>
      </c>
      <c r="I1317" s="145" t="s">
        <v>348</v>
      </c>
      <c r="J1317" s="146" t="s">
        <v>52</v>
      </c>
      <c r="K1317" s="219"/>
      <c r="L1317" s="219">
        <v>60</v>
      </c>
      <c r="M1317" s="147">
        <v>3</v>
      </c>
      <c r="Q1317" s="133" t="s">
        <v>348</v>
      </c>
    </row>
    <row r="1318" spans="1:17" x14ac:dyDescent="0.2">
      <c r="A1318" s="133">
        <v>2020</v>
      </c>
      <c r="B1318" s="133">
        <v>12</v>
      </c>
      <c r="C1318" s="133">
        <v>9</v>
      </c>
      <c r="D1318" s="141">
        <f t="shared" si="46"/>
        <v>44174</v>
      </c>
      <c r="E1318" s="275">
        <f t="shared" si="47"/>
        <v>44174</v>
      </c>
      <c r="F1318" s="481" t="s">
        <v>241</v>
      </c>
      <c r="G1318" s="174" t="s">
        <v>74</v>
      </c>
      <c r="H1318" s="174" t="str" cm="1">
        <f t="array" ref="H1318">IFERROR(INDEX(INVESTOR_LIST[INVESTOR NAME],MATCH(I1318,INVESTOR_LIST[INVESTOR CODE],0),)," ")</f>
        <v xml:space="preserve"> </v>
      </c>
      <c r="I1318" s="148" t="s">
        <v>348</v>
      </c>
      <c r="J1318" s="149" t="s">
        <v>79</v>
      </c>
      <c r="K1318" s="218">
        <v>4923519.7</v>
      </c>
      <c r="L1318" s="218"/>
      <c r="M1318" s="147">
        <v>0</v>
      </c>
      <c r="Q1318" s="133" t="s">
        <v>348</v>
      </c>
    </row>
    <row r="1319" spans="1:17" x14ac:dyDescent="0.2">
      <c r="A1319" s="133">
        <v>2020</v>
      </c>
      <c r="B1319" s="133">
        <v>12</v>
      </c>
      <c r="C1319" s="133">
        <v>9</v>
      </c>
      <c r="D1319" s="141">
        <f t="shared" si="46"/>
        <v>44174</v>
      </c>
      <c r="E1319" s="275">
        <f t="shared" si="47"/>
        <v>44174</v>
      </c>
      <c r="F1319" s="481"/>
      <c r="G1319" s="174" t="s">
        <v>74</v>
      </c>
      <c r="H1319" s="174" t="str" cm="1">
        <f t="array" ref="H1319">IFERROR(INDEX(INVESTOR_LIST[INVESTOR NAME],MATCH(I1319,INVESTOR_LIST[INVESTOR CODE],0),)," ")</f>
        <v xml:space="preserve"> </v>
      </c>
      <c r="I1319" s="148" t="s">
        <v>348</v>
      </c>
      <c r="J1319" s="149" t="s">
        <v>80</v>
      </c>
      <c r="K1319" s="218">
        <v>8862.34</v>
      </c>
      <c r="L1319" s="218"/>
      <c r="M1319" s="147">
        <v>0</v>
      </c>
      <c r="Q1319" s="133" t="s">
        <v>348</v>
      </c>
    </row>
    <row r="1320" spans="1:17" x14ac:dyDescent="0.2">
      <c r="A1320" s="163">
        <v>2020</v>
      </c>
      <c r="B1320" s="163">
        <v>12</v>
      </c>
      <c r="C1320" s="163">
        <v>9</v>
      </c>
      <c r="D1320" s="141">
        <f t="shared" si="46"/>
        <v>44174</v>
      </c>
      <c r="E1320" s="275">
        <f t="shared" si="47"/>
        <v>44174</v>
      </c>
      <c r="F1320" s="480"/>
      <c r="G1320" s="221" t="s">
        <v>74</v>
      </c>
      <c r="H1320" s="221" t="str" cm="1">
        <f t="array" ref="H1320">IFERROR(INDEX(INVESTOR_LIST[INVESTOR NAME],MATCH(I1320,INVESTOR_LIST[INVESTOR CODE],0),)," ")</f>
        <v xml:space="preserve"> </v>
      </c>
      <c r="I1320" s="145" t="s">
        <v>348</v>
      </c>
      <c r="J1320" s="146" t="s">
        <v>147</v>
      </c>
      <c r="K1320" s="219"/>
      <c r="L1320" s="219">
        <v>4932382.04</v>
      </c>
      <c r="M1320" s="147">
        <v>0</v>
      </c>
      <c r="Q1320" s="133" t="s">
        <v>348</v>
      </c>
    </row>
    <row r="1321" spans="1:17" ht="33.75" x14ac:dyDescent="0.2">
      <c r="A1321" s="133">
        <v>2020</v>
      </c>
      <c r="B1321" s="133">
        <v>12</v>
      </c>
      <c r="C1321" s="133">
        <v>9</v>
      </c>
      <c r="D1321" s="141">
        <f t="shared" si="46"/>
        <v>44174</v>
      </c>
      <c r="E1321" s="275">
        <f t="shared" si="47"/>
        <v>44174</v>
      </c>
      <c r="F1321" s="479" t="s">
        <v>964</v>
      </c>
      <c r="G1321" s="174" t="s">
        <v>74</v>
      </c>
      <c r="H1321" s="174" t="str" cm="1">
        <f t="array" ref="H1321">IFERROR(INDEX(INVESTOR_LIST[INVESTOR NAME],MATCH(I1321,INVESTOR_LIST[INVESTOR CODE],0),)," ")</f>
        <v>SATINATH GHOSH</v>
      </c>
      <c r="I1321" s="148" t="s">
        <v>487</v>
      </c>
      <c r="J1321" s="149" t="s">
        <v>52</v>
      </c>
      <c r="K1321" s="218">
        <v>104220</v>
      </c>
      <c r="L1321" s="218"/>
      <c r="M1321" s="147">
        <v>0</v>
      </c>
      <c r="Q1321" s="133" t="s">
        <v>487</v>
      </c>
    </row>
    <row r="1322" spans="1:17" ht="33.75" x14ac:dyDescent="0.2">
      <c r="A1322" s="133">
        <v>2020</v>
      </c>
      <c r="B1322" s="133">
        <v>12</v>
      </c>
      <c r="C1322" s="133">
        <v>9</v>
      </c>
      <c r="D1322" s="141">
        <f t="shared" si="46"/>
        <v>44174</v>
      </c>
      <c r="E1322" s="275">
        <f t="shared" si="47"/>
        <v>44174</v>
      </c>
      <c r="F1322" s="481"/>
      <c r="G1322" s="174" t="s">
        <v>74</v>
      </c>
      <c r="H1322" s="174" t="str" cm="1">
        <f t="array" ref="H1322">IFERROR(INDEX(INVESTOR_LIST[INVESTOR NAME],MATCH(I1322,INVESTOR_LIST[INVESTOR CODE],0),)," ")</f>
        <v>SATINATH GHOSH</v>
      </c>
      <c r="I1322" s="148" t="s">
        <v>487</v>
      </c>
      <c r="J1322" s="149" t="s">
        <v>13</v>
      </c>
      <c r="K1322" s="218"/>
      <c r="L1322" s="218">
        <v>90000</v>
      </c>
      <c r="M1322" s="147">
        <v>0</v>
      </c>
      <c r="Q1322" s="133" t="s">
        <v>487</v>
      </c>
    </row>
    <row r="1323" spans="1:17" ht="33.75" x14ac:dyDescent="0.2">
      <c r="A1323" s="163">
        <v>2020</v>
      </c>
      <c r="B1323" s="163">
        <v>12</v>
      </c>
      <c r="C1323" s="163">
        <v>9</v>
      </c>
      <c r="D1323" s="141">
        <f t="shared" si="46"/>
        <v>44174</v>
      </c>
      <c r="E1323" s="275">
        <f t="shared" si="47"/>
        <v>44174</v>
      </c>
      <c r="F1323" s="480"/>
      <c r="G1323" s="221" t="s">
        <v>74</v>
      </c>
      <c r="H1323" s="221" t="str" cm="1">
        <f t="array" ref="H1323">IFERROR(INDEX(INVESTOR_LIST[INVESTOR NAME],MATCH(I1323,INVESTOR_LIST[INVESTOR CODE],0),)," ")</f>
        <v>SATINATH GHOSH</v>
      </c>
      <c r="I1323" s="145" t="s">
        <v>487</v>
      </c>
      <c r="J1323" s="146" t="s">
        <v>53</v>
      </c>
      <c r="K1323" s="219"/>
      <c r="L1323" s="219">
        <v>14220</v>
      </c>
      <c r="M1323" s="147">
        <v>0</v>
      </c>
      <c r="Q1323" s="133" t="s">
        <v>487</v>
      </c>
    </row>
    <row r="1324" spans="1:17" x14ac:dyDescent="0.2">
      <c r="A1324" s="133">
        <v>2020</v>
      </c>
      <c r="B1324" s="133">
        <v>12</v>
      </c>
      <c r="C1324" s="133">
        <v>9</v>
      </c>
      <c r="D1324" s="141">
        <f t="shared" si="46"/>
        <v>44174</v>
      </c>
      <c r="E1324" s="275">
        <f t="shared" si="47"/>
        <v>44174</v>
      </c>
      <c r="F1324" s="481" t="s">
        <v>172</v>
      </c>
      <c r="G1324" s="174" t="s">
        <v>74</v>
      </c>
      <c r="H1324" s="174" t="str" cm="1">
        <f t="array" ref="H1324">IFERROR(INDEX(INVESTOR_LIST[INVESTOR NAME],MATCH(I1324,INVESTOR_LIST[INVESTOR CODE],0),)," ")</f>
        <v xml:space="preserve"> </v>
      </c>
      <c r="I1324" s="148" t="s">
        <v>348</v>
      </c>
      <c r="J1324" s="149" t="s">
        <v>147</v>
      </c>
      <c r="K1324" s="218">
        <v>4824005.6100000003</v>
      </c>
      <c r="L1324" s="218"/>
      <c r="M1324" s="147">
        <v>0</v>
      </c>
      <c r="Q1324" s="133" t="s">
        <v>348</v>
      </c>
    </row>
    <row r="1325" spans="1:17" x14ac:dyDescent="0.2">
      <c r="A1325" s="163">
        <v>2020</v>
      </c>
      <c r="B1325" s="163">
        <v>12</v>
      </c>
      <c r="C1325" s="163">
        <v>9</v>
      </c>
      <c r="D1325" s="141">
        <f t="shared" si="46"/>
        <v>44174</v>
      </c>
      <c r="E1325" s="275">
        <f t="shared" si="47"/>
        <v>44174</v>
      </c>
      <c r="F1325" s="480"/>
      <c r="G1325" s="221" t="s">
        <v>74</v>
      </c>
      <c r="H1325" s="221" t="str" cm="1">
        <f t="array" ref="H1325">IFERROR(INDEX(INVESTOR_LIST[INVESTOR NAME],MATCH(I1325,INVESTOR_LIST[INVESTOR CODE],0),)," ")</f>
        <v xml:space="preserve"> </v>
      </c>
      <c r="I1325" s="145" t="s">
        <v>348</v>
      </c>
      <c r="J1325" s="146" t="s">
        <v>52</v>
      </c>
      <c r="K1325" s="219"/>
      <c r="L1325" s="219">
        <v>4824005.6100000003</v>
      </c>
      <c r="M1325" s="147">
        <v>0</v>
      </c>
      <c r="Q1325" s="133" t="s">
        <v>348</v>
      </c>
    </row>
    <row r="1326" spans="1:17" ht="33.75" x14ac:dyDescent="0.2">
      <c r="A1326" s="133">
        <v>2020</v>
      </c>
      <c r="B1326" s="133">
        <v>12</v>
      </c>
      <c r="C1326" s="133">
        <v>9</v>
      </c>
      <c r="D1326" s="141">
        <f t="shared" si="46"/>
        <v>44174</v>
      </c>
      <c r="E1326" s="275">
        <f t="shared" si="47"/>
        <v>44174</v>
      </c>
      <c r="F1326" s="479" t="s">
        <v>964</v>
      </c>
      <c r="G1326" s="174" t="s">
        <v>74</v>
      </c>
      <c r="H1326" s="174" t="str" cm="1">
        <f t="array" ref="H1326">IFERROR(INDEX(INVESTOR_LIST[INVESTOR NAME],MATCH(I1326,INVESTOR_LIST[INVESTOR CODE],0),)," ")</f>
        <v>JANATA BANK LIMITED</v>
      </c>
      <c r="I1326" s="148" t="s">
        <v>488</v>
      </c>
      <c r="J1326" s="149" t="s">
        <v>52</v>
      </c>
      <c r="K1326" s="218">
        <v>5000000</v>
      </c>
      <c r="L1326" s="218"/>
      <c r="M1326" s="147">
        <v>0</v>
      </c>
      <c r="O1326" s="160"/>
      <c r="Q1326" s="133" t="s">
        <v>488</v>
      </c>
    </row>
    <row r="1327" spans="1:17" ht="33.75" x14ac:dyDescent="0.2">
      <c r="A1327" s="133">
        <v>2020</v>
      </c>
      <c r="B1327" s="133">
        <v>12</v>
      </c>
      <c r="C1327" s="133">
        <v>9</v>
      </c>
      <c r="D1327" s="141">
        <f t="shared" si="46"/>
        <v>44174</v>
      </c>
      <c r="E1327" s="275">
        <f t="shared" si="47"/>
        <v>44174</v>
      </c>
      <c r="F1327" s="481"/>
      <c r="G1327" s="174" t="s">
        <v>74</v>
      </c>
      <c r="H1327" s="174" t="str" cm="1">
        <f t="array" ref="H1327">IFERROR(INDEX(INVESTOR_LIST[INVESTOR NAME],MATCH(I1327,INVESTOR_LIST[INVESTOR CODE],0),)," ")</f>
        <v>JANATA BANK LIMITED</v>
      </c>
      <c r="I1327" s="148" t="s">
        <v>488</v>
      </c>
      <c r="J1327" s="149" t="s">
        <v>13</v>
      </c>
      <c r="K1327" s="218"/>
      <c r="L1327" s="218">
        <v>4317790</v>
      </c>
      <c r="M1327" s="147">
        <v>1</v>
      </c>
      <c r="Q1327" s="133" t="s">
        <v>488</v>
      </c>
    </row>
    <row r="1328" spans="1:17" ht="33.75" x14ac:dyDescent="0.2">
      <c r="A1328" s="163">
        <v>2020</v>
      </c>
      <c r="B1328" s="163">
        <v>12</v>
      </c>
      <c r="C1328" s="163">
        <v>9</v>
      </c>
      <c r="D1328" s="141">
        <f t="shared" si="46"/>
        <v>44174</v>
      </c>
      <c r="E1328" s="275">
        <f t="shared" si="47"/>
        <v>44174</v>
      </c>
      <c r="F1328" s="480"/>
      <c r="G1328" s="221" t="s">
        <v>74</v>
      </c>
      <c r="H1328" s="221" t="str" cm="1">
        <f t="array" ref="H1328">IFERROR(INDEX(INVESTOR_LIST[INVESTOR NAME],MATCH(I1328,INVESTOR_LIST[INVESTOR CODE],0),)," ")</f>
        <v>JANATA BANK LIMITED</v>
      </c>
      <c r="I1328" s="145" t="s">
        <v>488</v>
      </c>
      <c r="J1328" s="146" t="s">
        <v>53</v>
      </c>
      <c r="K1328" s="219"/>
      <c r="L1328" s="219">
        <v>682210</v>
      </c>
      <c r="M1328" s="147">
        <v>0</v>
      </c>
      <c r="Q1328" s="133" t="s">
        <v>488</v>
      </c>
    </row>
    <row r="1329" spans="1:17" ht="22.5" x14ac:dyDescent="0.2">
      <c r="A1329" s="133">
        <v>2020</v>
      </c>
      <c r="B1329" s="133">
        <v>12</v>
      </c>
      <c r="C1329" s="133">
        <v>9</v>
      </c>
      <c r="D1329" s="141">
        <f t="shared" si="46"/>
        <v>44174</v>
      </c>
      <c r="E1329" s="275">
        <f t="shared" si="47"/>
        <v>44174</v>
      </c>
      <c r="F1329" s="479" t="s">
        <v>964</v>
      </c>
      <c r="G1329" s="174" t="s">
        <v>74</v>
      </c>
      <c r="H1329" s="174" t="str" cm="1">
        <f t="array" ref="H1329">IFERROR(INDEX(INVESTOR_LIST[INVESTOR NAME],MATCH(I1329,INVESTOR_LIST[INVESTOR CODE],0),)," ")</f>
        <v>SK FEROZ ALAM</v>
      </c>
      <c r="I1329" s="148" t="s">
        <v>462</v>
      </c>
      <c r="J1329" s="149" t="s">
        <v>52</v>
      </c>
      <c r="K1329" s="218">
        <v>521100</v>
      </c>
      <c r="L1329" s="218"/>
      <c r="M1329" s="147">
        <v>0</v>
      </c>
      <c r="Q1329" s="133" t="s">
        <v>462</v>
      </c>
    </row>
    <row r="1330" spans="1:17" ht="22.5" x14ac:dyDescent="0.2">
      <c r="A1330" s="133">
        <v>2020</v>
      </c>
      <c r="B1330" s="133">
        <v>12</v>
      </c>
      <c r="C1330" s="133">
        <v>9</v>
      </c>
      <c r="D1330" s="141">
        <f t="shared" si="46"/>
        <v>44174</v>
      </c>
      <c r="E1330" s="275">
        <f t="shared" si="47"/>
        <v>44174</v>
      </c>
      <c r="F1330" s="481"/>
      <c r="G1330" s="174" t="s">
        <v>74</v>
      </c>
      <c r="H1330" s="174" t="str" cm="1">
        <f t="array" ref="H1330">IFERROR(INDEX(INVESTOR_LIST[INVESTOR NAME],MATCH(I1330,INVESTOR_LIST[INVESTOR CODE],0),)," ")</f>
        <v>SK FEROZ ALAM</v>
      </c>
      <c r="I1330" s="148" t="s">
        <v>462</v>
      </c>
      <c r="J1330" s="149" t="s">
        <v>13</v>
      </c>
      <c r="K1330" s="218"/>
      <c r="L1330" s="218">
        <v>450000</v>
      </c>
      <c r="M1330" s="147">
        <v>0</v>
      </c>
      <c r="Q1330" s="133" t="s">
        <v>462</v>
      </c>
    </row>
    <row r="1331" spans="1:17" ht="22.5" x14ac:dyDescent="0.2">
      <c r="A1331" s="163">
        <v>2020</v>
      </c>
      <c r="B1331" s="163">
        <v>12</v>
      </c>
      <c r="C1331" s="163">
        <v>9</v>
      </c>
      <c r="D1331" s="141">
        <f t="shared" si="46"/>
        <v>44174</v>
      </c>
      <c r="E1331" s="275">
        <f t="shared" si="47"/>
        <v>44174</v>
      </c>
      <c r="F1331" s="480"/>
      <c r="G1331" s="221" t="s">
        <v>74</v>
      </c>
      <c r="H1331" s="221" t="str" cm="1">
        <f t="array" ref="H1331">IFERROR(INDEX(INVESTOR_LIST[INVESTOR NAME],MATCH(I1331,INVESTOR_LIST[INVESTOR CODE],0),)," ")</f>
        <v>SK FEROZ ALAM</v>
      </c>
      <c r="I1331" s="145" t="s">
        <v>462</v>
      </c>
      <c r="J1331" s="146" t="s">
        <v>53</v>
      </c>
      <c r="K1331" s="219"/>
      <c r="L1331" s="219">
        <v>71100</v>
      </c>
      <c r="M1331" s="147">
        <v>0</v>
      </c>
      <c r="Q1331" s="133" t="s">
        <v>462</v>
      </c>
    </row>
    <row r="1332" spans="1:17" ht="22.5" x14ac:dyDescent="0.2">
      <c r="A1332" s="133">
        <v>2020</v>
      </c>
      <c r="B1332" s="133">
        <v>12</v>
      </c>
      <c r="C1332" s="133">
        <v>9</v>
      </c>
      <c r="D1332" s="141">
        <f t="shared" si="46"/>
        <v>44174</v>
      </c>
      <c r="E1332" s="275">
        <f t="shared" si="47"/>
        <v>44174</v>
      </c>
      <c r="F1332" s="479" t="s">
        <v>964</v>
      </c>
      <c r="G1332" s="174" t="s">
        <v>74</v>
      </c>
      <c r="H1332" s="174" t="str" cm="1">
        <f t="array" ref="H1332">IFERROR(INDEX(INVESTOR_LIST[INVESTOR NAME],MATCH(I1332,INVESTOR_LIST[INVESTOR CODE],0),)," ")</f>
        <v>EVANA YEASMIN</v>
      </c>
      <c r="I1332" s="148" t="s">
        <v>504</v>
      </c>
      <c r="J1332" s="149" t="s">
        <v>52</v>
      </c>
      <c r="K1332" s="218">
        <v>23160</v>
      </c>
      <c r="L1332" s="218"/>
      <c r="M1332" s="147">
        <v>0</v>
      </c>
      <c r="Q1332" s="133" t="s">
        <v>504</v>
      </c>
    </row>
    <row r="1333" spans="1:17" ht="22.5" x14ac:dyDescent="0.2">
      <c r="A1333" s="133">
        <v>2020</v>
      </c>
      <c r="B1333" s="133">
        <v>12</v>
      </c>
      <c r="C1333" s="133">
        <v>9</v>
      </c>
      <c r="D1333" s="141">
        <f t="shared" si="46"/>
        <v>44174</v>
      </c>
      <c r="E1333" s="275">
        <f t="shared" si="47"/>
        <v>44174</v>
      </c>
      <c r="F1333" s="481"/>
      <c r="G1333" s="174" t="s">
        <v>74</v>
      </c>
      <c r="H1333" s="174" t="str" cm="1">
        <f t="array" ref="H1333">IFERROR(INDEX(INVESTOR_LIST[INVESTOR NAME],MATCH(I1333,INVESTOR_LIST[INVESTOR CODE],0),)," ")</f>
        <v>EVANA YEASMIN</v>
      </c>
      <c r="I1333" s="148" t="s">
        <v>504</v>
      </c>
      <c r="J1333" s="149" t="s">
        <v>13</v>
      </c>
      <c r="K1333" s="218"/>
      <c r="L1333" s="218">
        <v>20000</v>
      </c>
      <c r="M1333" s="147">
        <v>0</v>
      </c>
      <c r="Q1333" s="133" t="s">
        <v>504</v>
      </c>
    </row>
    <row r="1334" spans="1:17" ht="22.5" x14ac:dyDescent="0.2">
      <c r="A1334" s="163">
        <v>2020</v>
      </c>
      <c r="B1334" s="163">
        <v>12</v>
      </c>
      <c r="C1334" s="163">
        <v>9</v>
      </c>
      <c r="D1334" s="141">
        <f t="shared" si="46"/>
        <v>44174</v>
      </c>
      <c r="E1334" s="275">
        <f t="shared" si="47"/>
        <v>44174</v>
      </c>
      <c r="F1334" s="480"/>
      <c r="G1334" s="221" t="s">
        <v>74</v>
      </c>
      <c r="H1334" s="221" t="str" cm="1">
        <f t="array" ref="H1334">IFERROR(INDEX(INVESTOR_LIST[INVESTOR NAME],MATCH(I1334,INVESTOR_LIST[INVESTOR CODE],0),)," ")</f>
        <v>EVANA YEASMIN</v>
      </c>
      <c r="I1334" s="145" t="s">
        <v>504</v>
      </c>
      <c r="J1334" s="146" t="s">
        <v>53</v>
      </c>
      <c r="K1334" s="219"/>
      <c r="L1334" s="219">
        <v>3160</v>
      </c>
      <c r="M1334" s="147">
        <v>0</v>
      </c>
      <c r="Q1334" s="133" t="s">
        <v>504</v>
      </c>
    </row>
    <row r="1335" spans="1:17" x14ac:dyDescent="0.2">
      <c r="A1335" s="133">
        <v>2020</v>
      </c>
      <c r="B1335" s="133">
        <v>12</v>
      </c>
      <c r="C1335" s="133">
        <v>9</v>
      </c>
      <c r="D1335" s="141">
        <f t="shared" si="46"/>
        <v>44174</v>
      </c>
      <c r="E1335" s="275">
        <f t="shared" si="47"/>
        <v>44174</v>
      </c>
      <c r="F1335" s="481" t="s">
        <v>77</v>
      </c>
      <c r="G1335" s="174" t="s">
        <v>74</v>
      </c>
      <c r="H1335" s="174" t="str" cm="1">
        <f t="array" ref="H1335">IFERROR(INDEX(INVESTOR_LIST[INVESTOR NAME],MATCH(I1335,INVESTOR_LIST[INVESTOR CODE],0),)," ")</f>
        <v xml:space="preserve"> </v>
      </c>
      <c r="I1335" s="148" t="s">
        <v>348</v>
      </c>
      <c r="J1335" s="149" t="s">
        <v>61</v>
      </c>
      <c r="K1335" s="218">
        <v>60</v>
      </c>
      <c r="L1335" s="218"/>
      <c r="M1335" s="147">
        <v>0</v>
      </c>
      <c r="Q1335" s="133" t="s">
        <v>348</v>
      </c>
    </row>
    <row r="1336" spans="1:17" x14ac:dyDescent="0.2">
      <c r="A1336" s="163">
        <v>2020</v>
      </c>
      <c r="B1336" s="163">
        <v>12</v>
      </c>
      <c r="C1336" s="163">
        <v>9</v>
      </c>
      <c r="D1336" s="141">
        <f t="shared" si="46"/>
        <v>44174</v>
      </c>
      <c r="E1336" s="275">
        <f t="shared" si="47"/>
        <v>44174</v>
      </c>
      <c r="F1336" s="480"/>
      <c r="G1336" s="221" t="s">
        <v>74</v>
      </c>
      <c r="H1336" s="221" t="str" cm="1">
        <f t="array" ref="H1336">IFERROR(INDEX(INVESTOR_LIST[INVESTOR NAME],MATCH(I1336,INVESTOR_LIST[INVESTOR CODE],0),)," ")</f>
        <v xml:space="preserve"> </v>
      </c>
      <c r="I1336" s="145" t="s">
        <v>348</v>
      </c>
      <c r="J1336" s="146" t="s">
        <v>52</v>
      </c>
      <c r="K1336" s="219"/>
      <c r="L1336" s="219">
        <v>60</v>
      </c>
      <c r="M1336" s="147">
        <v>0</v>
      </c>
      <c r="Q1336" s="133" t="s">
        <v>348</v>
      </c>
    </row>
    <row r="1337" spans="1:17" x14ac:dyDescent="0.2">
      <c r="A1337" s="133">
        <v>2020</v>
      </c>
      <c r="B1337" s="133">
        <v>12</v>
      </c>
      <c r="C1337" s="133">
        <v>9</v>
      </c>
      <c r="D1337" s="141">
        <f t="shared" si="46"/>
        <v>44174</v>
      </c>
      <c r="E1337" s="275">
        <f t="shared" si="47"/>
        <v>44174</v>
      </c>
      <c r="F1337" s="481" t="s">
        <v>77</v>
      </c>
      <c r="G1337" s="174" t="s">
        <v>74</v>
      </c>
      <c r="H1337" s="174" t="str" cm="1">
        <f t="array" ref="H1337">IFERROR(INDEX(INVESTOR_LIST[INVESTOR NAME],MATCH(I1337,INVESTOR_LIST[INVESTOR CODE],0),)," ")</f>
        <v xml:space="preserve"> </v>
      </c>
      <c r="I1337" s="148" t="s">
        <v>348</v>
      </c>
      <c r="J1337" s="149" t="s">
        <v>61</v>
      </c>
      <c r="K1337" s="218">
        <v>60</v>
      </c>
      <c r="L1337" s="218"/>
      <c r="M1337" s="147">
        <v>0</v>
      </c>
      <c r="Q1337" s="133" t="s">
        <v>348</v>
      </c>
    </row>
    <row r="1338" spans="1:17" x14ac:dyDescent="0.2">
      <c r="A1338" s="163">
        <v>2020</v>
      </c>
      <c r="B1338" s="163">
        <v>12</v>
      </c>
      <c r="C1338" s="163">
        <v>9</v>
      </c>
      <c r="D1338" s="141">
        <f t="shared" si="46"/>
        <v>44174</v>
      </c>
      <c r="E1338" s="275">
        <f t="shared" si="47"/>
        <v>44174</v>
      </c>
      <c r="F1338" s="480"/>
      <c r="G1338" s="221" t="s">
        <v>74</v>
      </c>
      <c r="H1338" s="221" t="str" cm="1">
        <f t="array" ref="H1338">IFERROR(INDEX(INVESTOR_LIST[INVESTOR NAME],MATCH(I1338,INVESTOR_LIST[INVESTOR CODE],0),)," ")</f>
        <v xml:space="preserve"> </v>
      </c>
      <c r="I1338" s="145" t="s">
        <v>348</v>
      </c>
      <c r="J1338" s="146" t="s">
        <v>52</v>
      </c>
      <c r="K1338" s="219"/>
      <c r="L1338" s="219">
        <v>60</v>
      </c>
      <c r="M1338" s="147">
        <v>0</v>
      </c>
      <c r="Q1338" s="133" t="s">
        <v>348</v>
      </c>
    </row>
    <row r="1339" spans="1:17" ht="33.75" x14ac:dyDescent="0.2">
      <c r="A1339" s="133">
        <v>2020</v>
      </c>
      <c r="B1339" s="133">
        <v>12</v>
      </c>
      <c r="C1339" s="133">
        <v>10</v>
      </c>
      <c r="D1339" s="141">
        <f t="shared" si="46"/>
        <v>44175</v>
      </c>
      <c r="E1339" s="275">
        <f t="shared" si="47"/>
        <v>44175</v>
      </c>
      <c r="F1339" s="479" t="s">
        <v>964</v>
      </c>
      <c r="G1339" s="174" t="s">
        <v>74</v>
      </c>
      <c r="H1339" s="174" t="str" cm="1">
        <f t="array" ref="H1339">IFERROR(INDEX(INVESTOR_LIST[INVESTOR NAME],MATCH(I1339,INVESTOR_LIST[INVESTOR CODE],0),)," ")</f>
        <v>MD. SAIFUR RAHMAN</v>
      </c>
      <c r="I1339" s="148" t="s">
        <v>474</v>
      </c>
      <c r="J1339" s="149" t="s">
        <v>52</v>
      </c>
      <c r="K1339" s="218">
        <v>100000</v>
      </c>
      <c r="L1339" s="218"/>
      <c r="M1339" s="147">
        <v>0</v>
      </c>
      <c r="Q1339" s="133" t="s">
        <v>474</v>
      </c>
    </row>
    <row r="1340" spans="1:17" ht="33.75" x14ac:dyDescent="0.2">
      <c r="A1340" s="133">
        <v>2020</v>
      </c>
      <c r="B1340" s="133">
        <v>12</v>
      </c>
      <c r="C1340" s="133">
        <v>10</v>
      </c>
      <c r="D1340" s="141">
        <f t="shared" si="46"/>
        <v>44175</v>
      </c>
      <c r="E1340" s="275">
        <f t="shared" si="47"/>
        <v>44175</v>
      </c>
      <c r="F1340" s="481"/>
      <c r="G1340" s="174" t="s">
        <v>74</v>
      </c>
      <c r="H1340" s="174" t="str" cm="1">
        <f t="array" ref="H1340">IFERROR(INDEX(INVESTOR_LIST[INVESTOR NAME],MATCH(I1340,INVESTOR_LIST[INVESTOR CODE],0),)," ")</f>
        <v>MD. SAIFUR RAHMAN</v>
      </c>
      <c r="I1340" s="148" t="s">
        <v>474</v>
      </c>
      <c r="J1340" s="149" t="s">
        <v>13</v>
      </c>
      <c r="K1340" s="218"/>
      <c r="L1340" s="218">
        <v>86360</v>
      </c>
      <c r="M1340" s="147">
        <v>0</v>
      </c>
      <c r="Q1340" s="133" t="s">
        <v>474</v>
      </c>
    </row>
    <row r="1341" spans="1:17" ht="33.75" x14ac:dyDescent="0.2">
      <c r="A1341" s="163">
        <v>2020</v>
      </c>
      <c r="B1341" s="163">
        <v>12</v>
      </c>
      <c r="C1341" s="163">
        <v>10</v>
      </c>
      <c r="D1341" s="141">
        <f t="shared" si="46"/>
        <v>44175</v>
      </c>
      <c r="E1341" s="275">
        <f t="shared" si="47"/>
        <v>44175</v>
      </c>
      <c r="F1341" s="480"/>
      <c r="G1341" s="221" t="s">
        <v>74</v>
      </c>
      <c r="H1341" s="221" t="str" cm="1">
        <f t="array" ref="H1341">IFERROR(INDEX(INVESTOR_LIST[INVESTOR NAME],MATCH(I1341,INVESTOR_LIST[INVESTOR CODE],0),)," ")</f>
        <v>MD. SAIFUR RAHMAN</v>
      </c>
      <c r="I1341" s="145" t="s">
        <v>474</v>
      </c>
      <c r="J1341" s="146" t="s">
        <v>53</v>
      </c>
      <c r="K1341" s="219"/>
      <c r="L1341" s="219">
        <v>13640</v>
      </c>
      <c r="M1341" s="147">
        <v>0</v>
      </c>
      <c r="Q1341" s="133" t="s">
        <v>474</v>
      </c>
    </row>
    <row r="1342" spans="1:17" ht="33.75" x14ac:dyDescent="0.2">
      <c r="A1342" s="133">
        <v>2020</v>
      </c>
      <c r="B1342" s="133">
        <v>12</v>
      </c>
      <c r="C1342" s="133">
        <v>10</v>
      </c>
      <c r="D1342" s="141">
        <f t="shared" si="46"/>
        <v>44175</v>
      </c>
      <c r="E1342" s="275">
        <f t="shared" si="47"/>
        <v>44175</v>
      </c>
      <c r="F1342" s="479" t="s">
        <v>964</v>
      </c>
      <c r="G1342" s="174" t="s">
        <v>74</v>
      </c>
      <c r="H1342" s="174" t="str" cm="1">
        <f t="array" ref="H1342">IFERROR(INDEX(INVESTOR_LIST[INVESTOR NAME],MATCH(I1342,INVESTOR_LIST[INVESTOR CODE],0),)," ")</f>
        <v>MD. SAIFUR RAHMAN</v>
      </c>
      <c r="I1342" s="148" t="s">
        <v>474</v>
      </c>
      <c r="J1342" s="149" t="s">
        <v>52</v>
      </c>
      <c r="K1342" s="218">
        <v>100000</v>
      </c>
      <c r="L1342" s="218"/>
      <c r="M1342" s="147">
        <v>0</v>
      </c>
      <c r="Q1342" s="133" t="s">
        <v>474</v>
      </c>
    </row>
    <row r="1343" spans="1:17" ht="33.75" x14ac:dyDescent="0.2">
      <c r="A1343" s="133">
        <v>2020</v>
      </c>
      <c r="B1343" s="133">
        <v>12</v>
      </c>
      <c r="C1343" s="133">
        <v>10</v>
      </c>
      <c r="D1343" s="141">
        <f t="shared" si="46"/>
        <v>44175</v>
      </c>
      <c r="E1343" s="275">
        <f t="shared" si="47"/>
        <v>44175</v>
      </c>
      <c r="F1343" s="481"/>
      <c r="G1343" s="174" t="s">
        <v>74</v>
      </c>
      <c r="H1343" s="174" t="str" cm="1">
        <f t="array" ref="H1343">IFERROR(INDEX(INVESTOR_LIST[INVESTOR NAME],MATCH(I1343,INVESTOR_LIST[INVESTOR CODE],0),)," ")</f>
        <v>MD. SAIFUR RAHMAN</v>
      </c>
      <c r="I1343" s="148" t="s">
        <v>474</v>
      </c>
      <c r="J1343" s="149" t="s">
        <v>13</v>
      </c>
      <c r="K1343" s="218"/>
      <c r="L1343" s="218">
        <v>86360</v>
      </c>
      <c r="M1343" s="147">
        <v>0</v>
      </c>
      <c r="Q1343" s="133" t="s">
        <v>474</v>
      </c>
    </row>
    <row r="1344" spans="1:17" ht="33.75" x14ac:dyDescent="0.2">
      <c r="A1344" s="163">
        <v>2020</v>
      </c>
      <c r="B1344" s="163">
        <v>12</v>
      </c>
      <c r="C1344" s="163">
        <v>10</v>
      </c>
      <c r="D1344" s="141">
        <f t="shared" si="46"/>
        <v>44175</v>
      </c>
      <c r="E1344" s="275">
        <f t="shared" si="47"/>
        <v>44175</v>
      </c>
      <c r="F1344" s="480"/>
      <c r="G1344" s="221" t="s">
        <v>74</v>
      </c>
      <c r="H1344" s="221" t="str" cm="1">
        <f t="array" ref="H1344">IFERROR(INDEX(INVESTOR_LIST[INVESTOR NAME],MATCH(I1344,INVESTOR_LIST[INVESTOR CODE],0),)," ")</f>
        <v>MD. SAIFUR RAHMAN</v>
      </c>
      <c r="I1344" s="145" t="s">
        <v>474</v>
      </c>
      <c r="J1344" s="146" t="s">
        <v>53</v>
      </c>
      <c r="K1344" s="219"/>
      <c r="L1344" s="219">
        <v>13640</v>
      </c>
      <c r="M1344" s="147">
        <v>0</v>
      </c>
      <c r="Q1344" s="133" t="s">
        <v>474</v>
      </c>
    </row>
    <row r="1345" spans="1:17" ht="33.75" x14ac:dyDescent="0.2">
      <c r="A1345" s="133">
        <v>2020</v>
      </c>
      <c r="B1345" s="133">
        <v>12</v>
      </c>
      <c r="C1345" s="133">
        <v>10</v>
      </c>
      <c r="D1345" s="141">
        <f t="shared" si="46"/>
        <v>44175</v>
      </c>
      <c r="E1345" s="275">
        <f t="shared" si="47"/>
        <v>44175</v>
      </c>
      <c r="F1345" s="479" t="s">
        <v>964</v>
      </c>
      <c r="G1345" s="174" t="s">
        <v>74</v>
      </c>
      <c r="H1345" s="174" t="str" cm="1">
        <f t="array" ref="H1345">IFERROR(INDEX(INVESTOR_LIST[INVESTOR NAME],MATCH(I1345,INVESTOR_LIST[INVESTOR CODE],0),)," ")</f>
        <v>SHAHIDA NAHRIN BUBLY</v>
      </c>
      <c r="I1345" s="148" t="s">
        <v>477</v>
      </c>
      <c r="J1345" s="149" t="s">
        <v>52</v>
      </c>
      <c r="K1345" s="218">
        <v>200000</v>
      </c>
      <c r="L1345" s="218"/>
      <c r="M1345" s="147">
        <v>1</v>
      </c>
      <c r="Q1345" s="133" t="s">
        <v>477</v>
      </c>
    </row>
    <row r="1346" spans="1:17" ht="33.75" x14ac:dyDescent="0.2">
      <c r="A1346" s="133">
        <v>2020</v>
      </c>
      <c r="B1346" s="133">
        <v>12</v>
      </c>
      <c r="C1346" s="133">
        <v>10</v>
      </c>
      <c r="D1346" s="141">
        <f t="shared" si="46"/>
        <v>44175</v>
      </c>
      <c r="E1346" s="275">
        <f t="shared" si="47"/>
        <v>44175</v>
      </c>
      <c r="F1346" s="481"/>
      <c r="G1346" s="174" t="s">
        <v>74</v>
      </c>
      <c r="H1346" s="174" t="str" cm="1">
        <f t="array" ref="H1346">IFERROR(INDEX(INVESTOR_LIST[INVESTOR NAME],MATCH(I1346,INVESTOR_LIST[INVESTOR CODE],0),)," ")</f>
        <v>SHAHIDA NAHRIN BUBLY</v>
      </c>
      <c r="I1346" s="148" t="s">
        <v>477</v>
      </c>
      <c r="J1346" s="149" t="s">
        <v>13</v>
      </c>
      <c r="K1346" s="218"/>
      <c r="L1346" s="218">
        <v>172710</v>
      </c>
      <c r="M1346" s="147">
        <v>0</v>
      </c>
      <c r="Q1346" s="133" t="s">
        <v>477</v>
      </c>
    </row>
    <row r="1347" spans="1:17" ht="33.75" x14ac:dyDescent="0.2">
      <c r="A1347" s="163">
        <v>2020</v>
      </c>
      <c r="B1347" s="163">
        <v>12</v>
      </c>
      <c r="C1347" s="163">
        <v>10</v>
      </c>
      <c r="D1347" s="141">
        <f t="shared" si="46"/>
        <v>44175</v>
      </c>
      <c r="E1347" s="275">
        <f t="shared" si="47"/>
        <v>44175</v>
      </c>
      <c r="F1347" s="480"/>
      <c r="G1347" s="221" t="s">
        <v>74</v>
      </c>
      <c r="H1347" s="221" t="str" cm="1">
        <f t="array" ref="H1347">IFERROR(INDEX(INVESTOR_LIST[INVESTOR NAME],MATCH(I1347,INVESTOR_LIST[INVESTOR CODE],0),)," ")</f>
        <v>SHAHIDA NAHRIN BUBLY</v>
      </c>
      <c r="I1347" s="145" t="s">
        <v>477</v>
      </c>
      <c r="J1347" s="146" t="s">
        <v>53</v>
      </c>
      <c r="K1347" s="219"/>
      <c r="L1347" s="219">
        <v>27290</v>
      </c>
      <c r="M1347" s="147">
        <v>0</v>
      </c>
      <c r="Q1347" s="133" t="s">
        <v>477</v>
      </c>
    </row>
    <row r="1348" spans="1:17" ht="33.75" x14ac:dyDescent="0.2">
      <c r="A1348" s="133">
        <v>2020</v>
      </c>
      <c r="B1348" s="133">
        <v>12</v>
      </c>
      <c r="C1348" s="133">
        <v>10</v>
      </c>
      <c r="D1348" s="141">
        <f t="shared" si="46"/>
        <v>44175</v>
      </c>
      <c r="E1348" s="275">
        <f t="shared" si="47"/>
        <v>44175</v>
      </c>
      <c r="F1348" s="479" t="s">
        <v>964</v>
      </c>
      <c r="G1348" s="174" t="s">
        <v>74</v>
      </c>
      <c r="H1348" s="174" t="str" cm="1">
        <f t="array" ref="H1348">IFERROR(INDEX(INVESTOR_LIST[INVESTOR NAME],MATCH(I1348,INVESTOR_LIST[INVESTOR CODE],0),)," ")</f>
        <v>ASHIT BARAN SAHA</v>
      </c>
      <c r="I1348" s="148" t="s">
        <v>442</v>
      </c>
      <c r="J1348" s="149" t="s">
        <v>52</v>
      </c>
      <c r="K1348" s="218">
        <v>500000</v>
      </c>
      <c r="L1348" s="218"/>
      <c r="M1348" s="147">
        <v>0</v>
      </c>
      <c r="Q1348" s="133" t="s">
        <v>442</v>
      </c>
    </row>
    <row r="1349" spans="1:17" ht="33.75" x14ac:dyDescent="0.2">
      <c r="A1349" s="133">
        <v>2020</v>
      </c>
      <c r="B1349" s="133">
        <v>12</v>
      </c>
      <c r="C1349" s="133">
        <v>10</v>
      </c>
      <c r="D1349" s="141">
        <f t="shared" si="46"/>
        <v>44175</v>
      </c>
      <c r="E1349" s="275">
        <f t="shared" si="47"/>
        <v>44175</v>
      </c>
      <c r="F1349" s="481"/>
      <c r="G1349" s="174" t="s">
        <v>74</v>
      </c>
      <c r="H1349" s="174" t="str" cm="1">
        <f t="array" ref="H1349">IFERROR(INDEX(INVESTOR_LIST[INVESTOR NAME],MATCH(I1349,INVESTOR_LIST[INVESTOR CODE],0),)," ")</f>
        <v>ASHIT BARAN SAHA</v>
      </c>
      <c r="I1349" s="148" t="s">
        <v>442</v>
      </c>
      <c r="J1349" s="149" t="s">
        <v>13</v>
      </c>
      <c r="K1349" s="218"/>
      <c r="L1349" s="218">
        <v>431780</v>
      </c>
      <c r="M1349" s="147">
        <v>0</v>
      </c>
      <c r="Q1349" s="133" t="s">
        <v>442</v>
      </c>
    </row>
    <row r="1350" spans="1:17" ht="33.75" x14ac:dyDescent="0.2">
      <c r="A1350" s="163">
        <v>2020</v>
      </c>
      <c r="B1350" s="163">
        <v>12</v>
      </c>
      <c r="C1350" s="163">
        <v>10</v>
      </c>
      <c r="D1350" s="141">
        <f t="shared" si="46"/>
        <v>44175</v>
      </c>
      <c r="E1350" s="275">
        <f t="shared" si="47"/>
        <v>44175</v>
      </c>
      <c r="F1350" s="480"/>
      <c r="G1350" s="221" t="s">
        <v>74</v>
      </c>
      <c r="H1350" s="221" t="str" cm="1">
        <f t="array" ref="H1350">IFERROR(INDEX(INVESTOR_LIST[INVESTOR NAME],MATCH(I1350,INVESTOR_LIST[INVESTOR CODE],0),)," ")</f>
        <v>ASHIT BARAN SAHA</v>
      </c>
      <c r="I1350" s="145" t="s">
        <v>442</v>
      </c>
      <c r="J1350" s="146" t="s">
        <v>53</v>
      </c>
      <c r="K1350" s="219"/>
      <c r="L1350" s="219">
        <v>68220</v>
      </c>
      <c r="M1350" s="147">
        <v>0</v>
      </c>
      <c r="Q1350" s="133" t="s">
        <v>442</v>
      </c>
    </row>
    <row r="1351" spans="1:17" ht="33.75" x14ac:dyDescent="0.2">
      <c r="A1351" s="133">
        <v>2020</v>
      </c>
      <c r="B1351" s="133">
        <v>12</v>
      </c>
      <c r="C1351" s="133">
        <v>10</v>
      </c>
      <c r="D1351" s="141">
        <f t="shared" si="46"/>
        <v>44175</v>
      </c>
      <c r="E1351" s="275">
        <f t="shared" si="47"/>
        <v>44175</v>
      </c>
      <c r="F1351" s="479" t="s">
        <v>964</v>
      </c>
      <c r="G1351" s="174" t="s">
        <v>74</v>
      </c>
      <c r="H1351" s="174" t="str" cm="1">
        <f t="array" ref="H1351">IFERROR(INDEX(INVESTOR_LIST[INVESTOR NAME],MATCH(I1351,INVESTOR_LIST[INVESTOR CODE],0),)," ")</f>
        <v>ASHIT BARAN SAHA</v>
      </c>
      <c r="I1351" s="148" t="s">
        <v>442</v>
      </c>
      <c r="J1351" s="149" t="s">
        <v>52</v>
      </c>
      <c r="K1351" s="218">
        <v>500000</v>
      </c>
      <c r="L1351" s="218"/>
      <c r="M1351" s="147">
        <v>0</v>
      </c>
      <c r="N1351" s="156"/>
      <c r="Q1351" s="133" t="s">
        <v>442</v>
      </c>
    </row>
    <row r="1352" spans="1:17" ht="33.75" x14ac:dyDescent="0.2">
      <c r="A1352" s="133">
        <v>2020</v>
      </c>
      <c r="B1352" s="133">
        <v>12</v>
      </c>
      <c r="C1352" s="133">
        <v>10</v>
      </c>
      <c r="D1352" s="141">
        <f t="shared" si="46"/>
        <v>44175</v>
      </c>
      <c r="E1352" s="275">
        <f t="shared" si="47"/>
        <v>44175</v>
      </c>
      <c r="F1352" s="481"/>
      <c r="G1352" s="174" t="s">
        <v>74</v>
      </c>
      <c r="H1352" s="174" t="str" cm="1">
        <f t="array" ref="H1352">IFERROR(INDEX(INVESTOR_LIST[INVESTOR NAME],MATCH(I1352,INVESTOR_LIST[INVESTOR CODE],0),)," ")</f>
        <v>ASHIT BARAN SAHA</v>
      </c>
      <c r="I1352" s="148" t="s">
        <v>442</v>
      </c>
      <c r="J1352" s="149" t="s">
        <v>13</v>
      </c>
      <c r="K1352" s="218"/>
      <c r="L1352" s="218">
        <v>431780</v>
      </c>
      <c r="M1352" s="147">
        <v>0</v>
      </c>
      <c r="Q1352" s="133" t="s">
        <v>442</v>
      </c>
    </row>
    <row r="1353" spans="1:17" ht="33.75" x14ac:dyDescent="0.2">
      <c r="A1353" s="163">
        <v>2020</v>
      </c>
      <c r="B1353" s="163">
        <v>12</v>
      </c>
      <c r="C1353" s="163">
        <v>10</v>
      </c>
      <c r="D1353" s="141">
        <f t="shared" si="46"/>
        <v>44175</v>
      </c>
      <c r="E1353" s="275">
        <f t="shared" si="47"/>
        <v>44175</v>
      </c>
      <c r="F1353" s="480"/>
      <c r="G1353" s="221" t="s">
        <v>74</v>
      </c>
      <c r="H1353" s="221" t="str" cm="1">
        <f t="array" ref="H1353">IFERROR(INDEX(INVESTOR_LIST[INVESTOR NAME],MATCH(I1353,INVESTOR_LIST[INVESTOR CODE],0),)," ")</f>
        <v>ASHIT BARAN SAHA</v>
      </c>
      <c r="I1353" s="145" t="s">
        <v>442</v>
      </c>
      <c r="J1353" s="146" t="s">
        <v>53</v>
      </c>
      <c r="K1353" s="219"/>
      <c r="L1353" s="219">
        <v>68220</v>
      </c>
      <c r="M1353" s="147">
        <v>0</v>
      </c>
      <c r="Q1353" s="133" t="s">
        <v>442</v>
      </c>
    </row>
    <row r="1354" spans="1:17" x14ac:dyDescent="0.2">
      <c r="A1354" s="133">
        <v>2020</v>
      </c>
      <c r="B1354" s="133">
        <v>12</v>
      </c>
      <c r="C1354" s="133">
        <v>10</v>
      </c>
      <c r="D1354" s="141">
        <f t="shared" si="46"/>
        <v>44175</v>
      </c>
      <c r="E1354" s="275">
        <f t="shared" si="47"/>
        <v>44175</v>
      </c>
      <c r="F1354" s="481" t="s">
        <v>243</v>
      </c>
      <c r="G1354" s="174" t="s">
        <v>74</v>
      </c>
      <c r="H1354" s="174" t="str" cm="1">
        <f t="array" ref="H1354">IFERROR(INDEX(INVESTOR_LIST[INVESTOR NAME],MATCH(I1354,INVESTOR_LIST[INVESTOR CODE],0),)," ")</f>
        <v xml:space="preserve"> </v>
      </c>
      <c r="I1354" s="148" t="s">
        <v>348</v>
      </c>
      <c r="J1354" s="149" t="s">
        <v>79</v>
      </c>
      <c r="K1354" s="218">
        <v>6000000</v>
      </c>
      <c r="L1354" s="218"/>
      <c r="M1354" s="147">
        <v>0</v>
      </c>
      <c r="Q1354" s="133" t="s">
        <v>348</v>
      </c>
    </row>
    <row r="1355" spans="1:17" x14ac:dyDescent="0.2">
      <c r="A1355" s="163">
        <v>2020</v>
      </c>
      <c r="B1355" s="163">
        <v>12</v>
      </c>
      <c r="C1355" s="163">
        <v>10</v>
      </c>
      <c r="D1355" s="141">
        <f t="shared" si="46"/>
        <v>44175</v>
      </c>
      <c r="E1355" s="275">
        <f t="shared" si="47"/>
        <v>44175</v>
      </c>
      <c r="F1355" s="480"/>
      <c r="G1355" s="221" t="s">
        <v>74</v>
      </c>
      <c r="H1355" s="221" t="str" cm="1">
        <f t="array" ref="H1355">IFERROR(INDEX(INVESTOR_LIST[INVESTOR NAME],MATCH(I1355,INVESTOR_LIST[INVESTOR CODE],0),)," ")</f>
        <v xml:space="preserve"> </v>
      </c>
      <c r="I1355" s="145" t="s">
        <v>348</v>
      </c>
      <c r="J1355" s="146" t="s">
        <v>52</v>
      </c>
      <c r="K1355" s="219"/>
      <c r="L1355" s="219">
        <v>6000000</v>
      </c>
      <c r="M1355" s="147">
        <v>0</v>
      </c>
      <c r="Q1355" s="133" t="s">
        <v>348</v>
      </c>
    </row>
    <row r="1356" spans="1:17" ht="45" x14ac:dyDescent="0.2">
      <c r="A1356" s="133">
        <v>2020</v>
      </c>
      <c r="B1356" s="133">
        <v>12</v>
      </c>
      <c r="C1356" s="133">
        <v>10</v>
      </c>
      <c r="D1356" s="141">
        <f t="shared" si="46"/>
        <v>44175</v>
      </c>
      <c r="E1356" s="275">
        <f t="shared" si="47"/>
        <v>44175</v>
      </c>
      <c r="F1356" s="479" t="s">
        <v>964</v>
      </c>
      <c r="G1356" s="174" t="s">
        <v>74</v>
      </c>
      <c r="H1356" s="174" t="str" cm="1">
        <f t="array" ref="H1356">IFERROR(INDEX(INVESTOR_LIST[INVESTOR NAME],MATCH(I1356,INVESTOR_LIST[INVESTOR CODE],0),)," ")</f>
        <v>MD MIZANUR RAHMAN</v>
      </c>
      <c r="I1356" s="148" t="s">
        <v>482</v>
      </c>
      <c r="J1356" s="149" t="s">
        <v>52</v>
      </c>
      <c r="K1356" s="218">
        <v>100000</v>
      </c>
      <c r="L1356" s="218"/>
      <c r="M1356" s="147">
        <v>0</v>
      </c>
      <c r="Q1356" s="133" t="s">
        <v>482</v>
      </c>
    </row>
    <row r="1357" spans="1:17" ht="45" x14ac:dyDescent="0.2">
      <c r="A1357" s="133">
        <v>2020</v>
      </c>
      <c r="B1357" s="133">
        <v>12</v>
      </c>
      <c r="C1357" s="133">
        <v>10</v>
      </c>
      <c r="D1357" s="141">
        <f t="shared" ref="D1357:D1420" si="48">DATE(A1357,B1357,C1357)</f>
        <v>44175</v>
      </c>
      <c r="E1357" s="275">
        <f t="shared" si="47"/>
        <v>44175</v>
      </c>
      <c r="F1357" s="481"/>
      <c r="G1357" s="174" t="s">
        <v>74</v>
      </c>
      <c r="H1357" s="174" t="str" cm="1">
        <f t="array" ref="H1357">IFERROR(INDEX(INVESTOR_LIST[INVESTOR NAME],MATCH(I1357,INVESTOR_LIST[INVESTOR CODE],0),)," ")</f>
        <v>MD MIZANUR RAHMAN</v>
      </c>
      <c r="I1357" s="148" t="s">
        <v>482</v>
      </c>
      <c r="J1357" s="149" t="s">
        <v>13</v>
      </c>
      <c r="K1357" s="218"/>
      <c r="L1357" s="218">
        <v>86360</v>
      </c>
      <c r="M1357" s="147">
        <v>0</v>
      </c>
      <c r="Q1357" s="133" t="s">
        <v>482</v>
      </c>
    </row>
    <row r="1358" spans="1:17" ht="45" x14ac:dyDescent="0.2">
      <c r="A1358" s="163">
        <v>2020</v>
      </c>
      <c r="B1358" s="163">
        <v>12</v>
      </c>
      <c r="C1358" s="163">
        <v>10</v>
      </c>
      <c r="D1358" s="141">
        <f t="shared" si="48"/>
        <v>44175</v>
      </c>
      <c r="E1358" s="275">
        <f t="shared" ref="E1358:E1421" si="49">DATE(A1358,B1358,C1358)</f>
        <v>44175</v>
      </c>
      <c r="F1358" s="480"/>
      <c r="G1358" s="221" t="s">
        <v>74</v>
      </c>
      <c r="H1358" s="221" t="str" cm="1">
        <f t="array" ref="H1358">IFERROR(INDEX(INVESTOR_LIST[INVESTOR NAME],MATCH(I1358,INVESTOR_LIST[INVESTOR CODE],0),)," ")</f>
        <v>MD MIZANUR RAHMAN</v>
      </c>
      <c r="I1358" s="145" t="s">
        <v>482</v>
      </c>
      <c r="J1358" s="146" t="s">
        <v>53</v>
      </c>
      <c r="K1358" s="219"/>
      <c r="L1358" s="219">
        <v>13640</v>
      </c>
      <c r="M1358" s="147">
        <v>0</v>
      </c>
      <c r="N1358" s="156"/>
      <c r="Q1358" s="133" t="s">
        <v>482</v>
      </c>
    </row>
    <row r="1359" spans="1:17" ht="33.75" x14ac:dyDescent="0.2">
      <c r="A1359" s="133">
        <v>2020</v>
      </c>
      <c r="B1359" s="133">
        <v>12</v>
      </c>
      <c r="C1359" s="133">
        <v>10</v>
      </c>
      <c r="D1359" s="141">
        <f t="shared" si="48"/>
        <v>44175</v>
      </c>
      <c r="E1359" s="275">
        <f t="shared" si="49"/>
        <v>44175</v>
      </c>
      <c r="F1359" s="479" t="s">
        <v>964</v>
      </c>
      <c r="G1359" s="174" t="s">
        <v>74</v>
      </c>
      <c r="H1359" s="174" t="str" cm="1">
        <f t="array" ref="H1359">IFERROR(INDEX(INVESTOR_LIST[INVESTOR NAME],MATCH(I1359,INVESTOR_LIST[INVESTOR CODE],0),)," ")</f>
        <v>MD. JAHANGIR ALAM</v>
      </c>
      <c r="I1359" s="148" t="s">
        <v>374</v>
      </c>
      <c r="J1359" s="149" t="s">
        <v>52</v>
      </c>
      <c r="K1359" s="218">
        <v>50000</v>
      </c>
      <c r="L1359" s="218"/>
      <c r="M1359" s="147">
        <v>0</v>
      </c>
      <c r="Q1359" s="133" t="s">
        <v>374</v>
      </c>
    </row>
    <row r="1360" spans="1:17" ht="33.75" x14ac:dyDescent="0.2">
      <c r="A1360" s="133">
        <v>2020</v>
      </c>
      <c r="B1360" s="133">
        <v>12</v>
      </c>
      <c r="C1360" s="133">
        <v>10</v>
      </c>
      <c r="D1360" s="141">
        <f t="shared" si="48"/>
        <v>44175</v>
      </c>
      <c r="E1360" s="275">
        <f t="shared" si="49"/>
        <v>44175</v>
      </c>
      <c r="F1360" s="481"/>
      <c r="G1360" s="174" t="s">
        <v>74</v>
      </c>
      <c r="H1360" s="174" t="str" cm="1">
        <f t="array" ref="H1360">IFERROR(INDEX(INVESTOR_LIST[INVESTOR NAME],MATCH(I1360,INVESTOR_LIST[INVESTOR CODE],0),)," ")</f>
        <v>MD. JAHANGIR ALAM</v>
      </c>
      <c r="I1360" s="148" t="s">
        <v>374</v>
      </c>
      <c r="J1360" s="149" t="s">
        <v>13</v>
      </c>
      <c r="K1360" s="218"/>
      <c r="L1360" s="218">
        <v>43180</v>
      </c>
      <c r="M1360" s="147">
        <v>0</v>
      </c>
      <c r="Q1360" s="133" t="s">
        <v>374</v>
      </c>
    </row>
    <row r="1361" spans="1:17" ht="33.75" x14ac:dyDescent="0.2">
      <c r="A1361" s="163">
        <v>2020</v>
      </c>
      <c r="B1361" s="163">
        <v>12</v>
      </c>
      <c r="C1361" s="163">
        <v>10</v>
      </c>
      <c r="D1361" s="141">
        <f t="shared" si="48"/>
        <v>44175</v>
      </c>
      <c r="E1361" s="275">
        <f t="shared" si="49"/>
        <v>44175</v>
      </c>
      <c r="F1361" s="480"/>
      <c r="G1361" s="221" t="s">
        <v>74</v>
      </c>
      <c r="H1361" s="221" t="str" cm="1">
        <f t="array" ref="H1361">IFERROR(INDEX(INVESTOR_LIST[INVESTOR NAME],MATCH(I1361,INVESTOR_LIST[INVESTOR CODE],0),)," ")</f>
        <v>MD. JAHANGIR ALAM</v>
      </c>
      <c r="I1361" s="145" t="s">
        <v>374</v>
      </c>
      <c r="J1361" s="146" t="s">
        <v>53</v>
      </c>
      <c r="K1361" s="219"/>
      <c r="L1361" s="219">
        <v>6820</v>
      </c>
      <c r="M1361" s="147">
        <v>2</v>
      </c>
      <c r="N1361" s="156"/>
      <c r="Q1361" s="133" t="s">
        <v>374</v>
      </c>
    </row>
    <row r="1362" spans="1:17" ht="33.75" x14ac:dyDescent="0.2">
      <c r="A1362" s="133">
        <v>2020</v>
      </c>
      <c r="B1362" s="133">
        <v>12</v>
      </c>
      <c r="C1362" s="133">
        <v>10</v>
      </c>
      <c r="D1362" s="141">
        <f t="shared" si="48"/>
        <v>44175</v>
      </c>
      <c r="E1362" s="275">
        <f t="shared" si="49"/>
        <v>44175</v>
      </c>
      <c r="F1362" s="479" t="s">
        <v>964</v>
      </c>
      <c r="G1362" s="174" t="s">
        <v>74</v>
      </c>
      <c r="H1362" s="174" t="str" cm="1">
        <f t="array" ref="H1362">IFERROR(INDEX(INVESTOR_LIST[INVESTOR NAME],MATCH(I1362,INVESTOR_LIST[INVESTOR CODE],0),)," ")</f>
        <v>MD. MONIRUZZAMAN</v>
      </c>
      <c r="I1362" s="148" t="s">
        <v>468</v>
      </c>
      <c r="J1362" s="149" t="s">
        <v>52</v>
      </c>
      <c r="K1362" s="218">
        <v>200000</v>
      </c>
      <c r="L1362" s="218"/>
      <c r="M1362" s="147">
        <v>0</v>
      </c>
      <c r="Q1362" s="133" t="s">
        <v>468</v>
      </c>
    </row>
    <row r="1363" spans="1:17" ht="33.75" x14ac:dyDescent="0.2">
      <c r="A1363" s="133">
        <v>2020</v>
      </c>
      <c r="B1363" s="133">
        <v>12</v>
      </c>
      <c r="C1363" s="133">
        <v>10</v>
      </c>
      <c r="D1363" s="141">
        <f t="shared" si="48"/>
        <v>44175</v>
      </c>
      <c r="E1363" s="275">
        <f t="shared" si="49"/>
        <v>44175</v>
      </c>
      <c r="F1363" s="481"/>
      <c r="G1363" s="174" t="s">
        <v>74</v>
      </c>
      <c r="H1363" s="174" t="str" cm="1">
        <f t="array" ref="H1363">IFERROR(INDEX(INVESTOR_LIST[INVESTOR NAME],MATCH(I1363,INVESTOR_LIST[INVESTOR CODE],0),)," ")</f>
        <v>MD. MONIRUZZAMAN</v>
      </c>
      <c r="I1363" s="148" t="s">
        <v>468</v>
      </c>
      <c r="J1363" s="149" t="s">
        <v>13</v>
      </c>
      <c r="K1363" s="218"/>
      <c r="L1363" s="218">
        <v>172710</v>
      </c>
      <c r="M1363" s="147">
        <v>0</v>
      </c>
      <c r="Q1363" s="133" t="s">
        <v>468</v>
      </c>
    </row>
    <row r="1364" spans="1:17" ht="33.75" x14ac:dyDescent="0.2">
      <c r="A1364" s="163">
        <v>2020</v>
      </c>
      <c r="B1364" s="163">
        <v>12</v>
      </c>
      <c r="C1364" s="163">
        <v>10</v>
      </c>
      <c r="D1364" s="141">
        <f t="shared" si="48"/>
        <v>44175</v>
      </c>
      <c r="E1364" s="275">
        <f t="shared" si="49"/>
        <v>44175</v>
      </c>
      <c r="F1364" s="480"/>
      <c r="G1364" s="221" t="s">
        <v>74</v>
      </c>
      <c r="H1364" s="221" t="str" cm="1">
        <f t="array" ref="H1364">IFERROR(INDEX(INVESTOR_LIST[INVESTOR NAME],MATCH(I1364,INVESTOR_LIST[INVESTOR CODE],0),)," ")</f>
        <v>MD. MONIRUZZAMAN</v>
      </c>
      <c r="I1364" s="145" t="s">
        <v>468</v>
      </c>
      <c r="J1364" s="146" t="s">
        <v>53</v>
      </c>
      <c r="K1364" s="219"/>
      <c r="L1364" s="219">
        <v>27290</v>
      </c>
      <c r="M1364" s="147">
        <v>0</v>
      </c>
      <c r="N1364" s="156"/>
      <c r="Q1364" s="133" t="s">
        <v>468</v>
      </c>
    </row>
    <row r="1365" spans="1:17" ht="22.5" x14ac:dyDescent="0.2">
      <c r="A1365" s="133">
        <v>2020</v>
      </c>
      <c r="B1365" s="133">
        <v>12</v>
      </c>
      <c r="C1365" s="133">
        <v>10</v>
      </c>
      <c r="D1365" s="141">
        <f t="shared" si="48"/>
        <v>44175</v>
      </c>
      <c r="E1365" s="275">
        <f t="shared" si="49"/>
        <v>44175</v>
      </c>
      <c r="F1365" s="479" t="s">
        <v>964</v>
      </c>
      <c r="G1365" s="174" t="s">
        <v>74</v>
      </c>
      <c r="H1365" s="174" t="str" cm="1">
        <f t="array" ref="H1365">IFERROR(INDEX(INVESTOR_LIST[INVESTOR NAME],MATCH(I1365,INVESTOR_LIST[INVESTOR CODE],0),)," ")</f>
        <v>PRATIMA DEV</v>
      </c>
      <c r="I1365" s="148" t="s">
        <v>396</v>
      </c>
      <c r="J1365" s="149" t="s">
        <v>52</v>
      </c>
      <c r="K1365" s="218">
        <v>500000</v>
      </c>
      <c r="L1365" s="218"/>
      <c r="M1365" s="147">
        <v>0</v>
      </c>
      <c r="Q1365" s="133" t="s">
        <v>396</v>
      </c>
    </row>
    <row r="1366" spans="1:17" ht="22.5" x14ac:dyDescent="0.2">
      <c r="A1366" s="133">
        <v>2020</v>
      </c>
      <c r="B1366" s="133">
        <v>12</v>
      </c>
      <c r="C1366" s="133">
        <v>10</v>
      </c>
      <c r="D1366" s="141">
        <f t="shared" si="48"/>
        <v>44175</v>
      </c>
      <c r="E1366" s="275">
        <f t="shared" si="49"/>
        <v>44175</v>
      </c>
      <c r="F1366" s="481"/>
      <c r="G1366" s="174" t="s">
        <v>74</v>
      </c>
      <c r="H1366" s="174" t="str" cm="1">
        <f t="array" ref="H1366">IFERROR(INDEX(INVESTOR_LIST[INVESTOR NAME],MATCH(I1366,INVESTOR_LIST[INVESTOR CODE],0),)," ")</f>
        <v>PRATIMA DEV</v>
      </c>
      <c r="I1366" s="148" t="s">
        <v>396</v>
      </c>
      <c r="J1366" s="149" t="s">
        <v>13</v>
      </c>
      <c r="K1366" s="218"/>
      <c r="L1366" s="218">
        <v>431780</v>
      </c>
      <c r="M1366" s="147">
        <v>0</v>
      </c>
      <c r="N1366" s="160"/>
      <c r="Q1366" s="133" t="s">
        <v>396</v>
      </c>
    </row>
    <row r="1367" spans="1:17" ht="22.5" x14ac:dyDescent="0.2">
      <c r="A1367" s="163">
        <v>2020</v>
      </c>
      <c r="B1367" s="163">
        <v>12</v>
      </c>
      <c r="C1367" s="163">
        <v>10</v>
      </c>
      <c r="D1367" s="141">
        <f t="shared" si="48"/>
        <v>44175</v>
      </c>
      <c r="E1367" s="275">
        <f t="shared" si="49"/>
        <v>44175</v>
      </c>
      <c r="F1367" s="480"/>
      <c r="G1367" s="221" t="s">
        <v>74</v>
      </c>
      <c r="H1367" s="221" t="str" cm="1">
        <f t="array" ref="H1367">IFERROR(INDEX(INVESTOR_LIST[INVESTOR NAME],MATCH(I1367,INVESTOR_LIST[INVESTOR CODE],0),)," ")</f>
        <v>PRATIMA DEV</v>
      </c>
      <c r="I1367" s="145" t="s">
        <v>396</v>
      </c>
      <c r="J1367" s="146" t="s">
        <v>53</v>
      </c>
      <c r="K1367" s="219"/>
      <c r="L1367" s="219">
        <v>68220</v>
      </c>
      <c r="M1367" s="147">
        <v>0</v>
      </c>
      <c r="Q1367" s="133" t="s">
        <v>396</v>
      </c>
    </row>
    <row r="1368" spans="1:17" ht="22.5" x14ac:dyDescent="0.2">
      <c r="A1368" s="133">
        <v>2020</v>
      </c>
      <c r="B1368" s="133">
        <v>12</v>
      </c>
      <c r="C1368" s="133">
        <v>10</v>
      </c>
      <c r="D1368" s="141">
        <f t="shared" si="48"/>
        <v>44175</v>
      </c>
      <c r="E1368" s="275">
        <f t="shared" si="49"/>
        <v>44175</v>
      </c>
      <c r="F1368" s="479" t="s">
        <v>964</v>
      </c>
      <c r="G1368" s="174" t="s">
        <v>74</v>
      </c>
      <c r="H1368" s="174" t="str" cm="1">
        <f t="array" ref="H1368">IFERROR(INDEX(INVESTOR_LIST[INVESTOR NAME],MATCH(I1368,INVESTOR_LIST[INVESTOR CODE],0),)," ")</f>
        <v>ANISUL HAQUE</v>
      </c>
      <c r="I1368" s="148" t="s">
        <v>489</v>
      </c>
      <c r="J1368" s="149" t="s">
        <v>52</v>
      </c>
      <c r="K1368" s="218">
        <v>100000</v>
      </c>
      <c r="L1368" s="218"/>
      <c r="M1368" s="147">
        <v>0</v>
      </c>
      <c r="Q1368" s="133" t="s">
        <v>489</v>
      </c>
    </row>
    <row r="1369" spans="1:17" ht="22.5" x14ac:dyDescent="0.2">
      <c r="A1369" s="133">
        <v>2020</v>
      </c>
      <c r="B1369" s="133">
        <v>12</v>
      </c>
      <c r="C1369" s="133">
        <v>10</v>
      </c>
      <c r="D1369" s="141">
        <f t="shared" si="48"/>
        <v>44175</v>
      </c>
      <c r="E1369" s="275">
        <f t="shared" si="49"/>
        <v>44175</v>
      </c>
      <c r="F1369" s="481"/>
      <c r="G1369" s="174" t="s">
        <v>74</v>
      </c>
      <c r="H1369" s="174" t="str" cm="1">
        <f t="array" ref="H1369">IFERROR(INDEX(INVESTOR_LIST[INVESTOR NAME],MATCH(I1369,INVESTOR_LIST[INVESTOR CODE],0),)," ")</f>
        <v>ANISUL HAQUE</v>
      </c>
      <c r="I1369" s="148" t="s">
        <v>489</v>
      </c>
      <c r="J1369" s="149" t="s">
        <v>13</v>
      </c>
      <c r="K1369" s="218"/>
      <c r="L1369" s="218">
        <v>86360</v>
      </c>
      <c r="M1369" s="147">
        <v>0</v>
      </c>
      <c r="Q1369" s="133" t="s">
        <v>489</v>
      </c>
    </row>
    <row r="1370" spans="1:17" ht="22.5" x14ac:dyDescent="0.2">
      <c r="A1370" s="163">
        <v>2020</v>
      </c>
      <c r="B1370" s="163">
        <v>12</v>
      </c>
      <c r="C1370" s="163">
        <v>10</v>
      </c>
      <c r="D1370" s="141">
        <f t="shared" si="48"/>
        <v>44175</v>
      </c>
      <c r="E1370" s="275">
        <f t="shared" si="49"/>
        <v>44175</v>
      </c>
      <c r="F1370" s="480"/>
      <c r="G1370" s="221" t="s">
        <v>74</v>
      </c>
      <c r="H1370" s="221" t="str" cm="1">
        <f t="array" ref="H1370">IFERROR(INDEX(INVESTOR_LIST[INVESTOR NAME],MATCH(I1370,INVESTOR_LIST[INVESTOR CODE],0),)," ")</f>
        <v>ANISUL HAQUE</v>
      </c>
      <c r="I1370" s="145" t="s">
        <v>489</v>
      </c>
      <c r="J1370" s="146" t="s">
        <v>53</v>
      </c>
      <c r="K1370" s="219"/>
      <c r="L1370" s="219">
        <v>13640</v>
      </c>
      <c r="M1370" s="147">
        <v>0</v>
      </c>
      <c r="Q1370" s="133" t="s">
        <v>489</v>
      </c>
    </row>
    <row r="1371" spans="1:17" ht="33.75" x14ac:dyDescent="0.2">
      <c r="A1371" s="133">
        <v>2020</v>
      </c>
      <c r="B1371" s="133">
        <v>12</v>
      </c>
      <c r="C1371" s="133">
        <v>10</v>
      </c>
      <c r="D1371" s="141">
        <f t="shared" si="48"/>
        <v>44175</v>
      </c>
      <c r="E1371" s="275">
        <f t="shared" si="49"/>
        <v>44175</v>
      </c>
      <c r="F1371" s="479" t="s">
        <v>964</v>
      </c>
      <c r="G1371" s="174" t="s">
        <v>74</v>
      </c>
      <c r="H1371" s="174" t="str" cm="1">
        <f t="array" ref="H1371">IFERROR(INDEX(INVESTOR_LIST[INVESTOR NAME],MATCH(I1371,INVESTOR_LIST[INVESTOR CODE],0),)," ")</f>
        <v>MAYA RANI SAHA</v>
      </c>
      <c r="I1371" s="148" t="s">
        <v>456</v>
      </c>
      <c r="J1371" s="149" t="s">
        <v>52</v>
      </c>
      <c r="K1371" s="218">
        <v>800000</v>
      </c>
      <c r="L1371" s="218"/>
      <c r="M1371" s="147">
        <v>0</v>
      </c>
      <c r="Q1371" s="133" t="s">
        <v>456</v>
      </c>
    </row>
    <row r="1372" spans="1:17" ht="15" customHeight="1" x14ac:dyDescent="0.2">
      <c r="A1372" s="133">
        <v>2020</v>
      </c>
      <c r="B1372" s="133">
        <v>12</v>
      </c>
      <c r="C1372" s="133">
        <v>10</v>
      </c>
      <c r="D1372" s="141">
        <f t="shared" si="48"/>
        <v>44175</v>
      </c>
      <c r="E1372" s="275">
        <f t="shared" si="49"/>
        <v>44175</v>
      </c>
      <c r="F1372" s="481"/>
      <c r="G1372" s="174" t="s">
        <v>74</v>
      </c>
      <c r="H1372" s="174" t="str" cm="1">
        <f t="array" ref="H1372">IFERROR(INDEX(INVESTOR_LIST[INVESTOR NAME],MATCH(I1372,INVESTOR_LIST[INVESTOR CODE],0),)," ")</f>
        <v>MAYA RANI SAHA</v>
      </c>
      <c r="I1372" s="148" t="s">
        <v>456</v>
      </c>
      <c r="J1372" s="149" t="s">
        <v>13</v>
      </c>
      <c r="K1372" s="218"/>
      <c r="L1372" s="218">
        <v>690850</v>
      </c>
      <c r="M1372" s="147">
        <v>0</v>
      </c>
      <c r="Q1372" s="133" t="s">
        <v>456</v>
      </c>
    </row>
    <row r="1373" spans="1:17" ht="33.75" x14ac:dyDescent="0.2">
      <c r="A1373" s="163">
        <v>2020</v>
      </c>
      <c r="B1373" s="163">
        <v>12</v>
      </c>
      <c r="C1373" s="163">
        <v>10</v>
      </c>
      <c r="D1373" s="141">
        <f t="shared" si="48"/>
        <v>44175</v>
      </c>
      <c r="E1373" s="275">
        <f t="shared" si="49"/>
        <v>44175</v>
      </c>
      <c r="F1373" s="480"/>
      <c r="G1373" s="221" t="s">
        <v>74</v>
      </c>
      <c r="H1373" s="221" t="str" cm="1">
        <f t="array" ref="H1373">IFERROR(INDEX(INVESTOR_LIST[INVESTOR NAME],MATCH(I1373,INVESTOR_LIST[INVESTOR CODE],0),)," ")</f>
        <v>MAYA RANI SAHA</v>
      </c>
      <c r="I1373" s="145" t="s">
        <v>456</v>
      </c>
      <c r="J1373" s="146" t="s">
        <v>53</v>
      </c>
      <c r="K1373" s="219"/>
      <c r="L1373" s="219">
        <v>109150</v>
      </c>
      <c r="M1373" s="147">
        <v>0</v>
      </c>
      <c r="Q1373" s="133" t="s">
        <v>456</v>
      </c>
    </row>
    <row r="1374" spans="1:17" ht="56.25" x14ac:dyDescent="0.2">
      <c r="A1374" s="133">
        <v>2020</v>
      </c>
      <c r="B1374" s="133">
        <v>12</v>
      </c>
      <c r="C1374" s="133">
        <v>10</v>
      </c>
      <c r="D1374" s="141">
        <f t="shared" si="48"/>
        <v>44175</v>
      </c>
      <c r="E1374" s="275">
        <f t="shared" si="49"/>
        <v>44175</v>
      </c>
      <c r="F1374" s="479" t="s">
        <v>964</v>
      </c>
      <c r="G1374" s="174" t="s">
        <v>74</v>
      </c>
      <c r="H1374" s="174" t="str" cm="1">
        <f t="array" ref="H1374">IFERROR(INDEX(INVESTOR_LIST[INVESTOR NAME],MATCH(I1374,INVESTOR_LIST[INVESTOR CODE],0),)," ")</f>
        <v>EDGE BANGLADESH MUTUAL FUND</v>
      </c>
      <c r="I1374" s="148" t="s">
        <v>490</v>
      </c>
      <c r="J1374" s="149" t="s">
        <v>52</v>
      </c>
      <c r="K1374" s="218">
        <v>2895000</v>
      </c>
      <c r="L1374" s="218"/>
      <c r="M1374" s="147">
        <v>0</v>
      </c>
      <c r="Q1374" s="133" t="s">
        <v>490</v>
      </c>
    </row>
    <row r="1375" spans="1:17" ht="56.25" x14ac:dyDescent="0.2">
      <c r="A1375" s="133">
        <v>2020</v>
      </c>
      <c r="B1375" s="133">
        <v>12</v>
      </c>
      <c r="C1375" s="133">
        <v>10</v>
      </c>
      <c r="D1375" s="141">
        <f t="shared" si="48"/>
        <v>44175</v>
      </c>
      <c r="E1375" s="275">
        <f t="shared" si="49"/>
        <v>44175</v>
      </c>
      <c r="F1375" s="481"/>
      <c r="G1375" s="174" t="s">
        <v>74</v>
      </c>
      <c r="H1375" s="174" t="str" cm="1">
        <f t="array" ref="H1375">IFERROR(INDEX(INVESTOR_LIST[INVESTOR NAME],MATCH(I1375,INVESTOR_LIST[INVESTOR CODE],0),)," ")</f>
        <v>EDGE BANGLADESH MUTUAL FUND</v>
      </c>
      <c r="I1375" s="148" t="s">
        <v>490</v>
      </c>
      <c r="J1375" s="149" t="s">
        <v>13</v>
      </c>
      <c r="K1375" s="218"/>
      <c r="L1375" s="218">
        <v>2500000</v>
      </c>
      <c r="M1375" s="147">
        <v>0</v>
      </c>
      <c r="Q1375" s="133" t="s">
        <v>490</v>
      </c>
    </row>
    <row r="1376" spans="1:17" ht="56.25" x14ac:dyDescent="0.2">
      <c r="A1376" s="163">
        <v>2020</v>
      </c>
      <c r="B1376" s="163">
        <v>12</v>
      </c>
      <c r="C1376" s="163">
        <v>10</v>
      </c>
      <c r="D1376" s="141">
        <f t="shared" si="48"/>
        <v>44175</v>
      </c>
      <c r="E1376" s="275">
        <f t="shared" si="49"/>
        <v>44175</v>
      </c>
      <c r="F1376" s="480"/>
      <c r="G1376" s="221" t="s">
        <v>74</v>
      </c>
      <c r="H1376" s="221" t="str" cm="1">
        <f t="array" ref="H1376">IFERROR(INDEX(INVESTOR_LIST[INVESTOR NAME],MATCH(I1376,INVESTOR_LIST[INVESTOR CODE],0),)," ")</f>
        <v>EDGE BANGLADESH MUTUAL FUND</v>
      </c>
      <c r="I1376" s="145" t="s">
        <v>490</v>
      </c>
      <c r="J1376" s="146" t="s">
        <v>53</v>
      </c>
      <c r="K1376" s="219"/>
      <c r="L1376" s="219">
        <v>395000</v>
      </c>
      <c r="M1376" s="147">
        <v>0</v>
      </c>
      <c r="Q1376" s="133" t="s">
        <v>490</v>
      </c>
    </row>
    <row r="1377" spans="1:17" ht="45" x14ac:dyDescent="0.2">
      <c r="A1377" s="133">
        <v>2020</v>
      </c>
      <c r="B1377" s="133">
        <v>12</v>
      </c>
      <c r="C1377" s="133">
        <v>10</v>
      </c>
      <c r="D1377" s="141">
        <f t="shared" si="48"/>
        <v>44175</v>
      </c>
      <c r="E1377" s="275">
        <f t="shared" si="49"/>
        <v>44175</v>
      </c>
      <c r="F1377" s="479" t="s">
        <v>964</v>
      </c>
      <c r="G1377" s="174" t="s">
        <v>74</v>
      </c>
      <c r="H1377" s="174" t="str" cm="1">
        <f t="array" ref="H1377">IFERROR(INDEX(INVESTOR_LIST[INVESTOR NAME],MATCH(I1377,INVESTOR_LIST[INVESTOR CODE],0),)," ")</f>
        <v>EDGE AMC GROWTH FUND</v>
      </c>
      <c r="I1377" s="148" t="s">
        <v>491</v>
      </c>
      <c r="J1377" s="149" t="s">
        <v>52</v>
      </c>
      <c r="K1377" s="218">
        <v>2316000</v>
      </c>
      <c r="L1377" s="218"/>
      <c r="M1377" s="147">
        <v>0</v>
      </c>
      <c r="Q1377" s="133" t="s">
        <v>491</v>
      </c>
    </row>
    <row r="1378" spans="1:17" ht="45" x14ac:dyDescent="0.2">
      <c r="A1378" s="133">
        <v>2020</v>
      </c>
      <c r="B1378" s="133">
        <v>12</v>
      </c>
      <c r="C1378" s="133">
        <v>10</v>
      </c>
      <c r="D1378" s="141">
        <f t="shared" si="48"/>
        <v>44175</v>
      </c>
      <c r="E1378" s="275">
        <f t="shared" si="49"/>
        <v>44175</v>
      </c>
      <c r="F1378" s="481"/>
      <c r="G1378" s="174" t="s">
        <v>74</v>
      </c>
      <c r="H1378" s="174" t="str" cm="1">
        <f t="array" ref="H1378">IFERROR(INDEX(INVESTOR_LIST[INVESTOR NAME],MATCH(I1378,INVESTOR_LIST[INVESTOR CODE],0),)," ")</f>
        <v>EDGE AMC GROWTH FUND</v>
      </c>
      <c r="I1378" s="148" t="s">
        <v>491</v>
      </c>
      <c r="J1378" s="149" t="s">
        <v>13</v>
      </c>
      <c r="K1378" s="218"/>
      <c r="L1378" s="218">
        <v>2000000</v>
      </c>
      <c r="M1378" s="147">
        <v>0</v>
      </c>
      <c r="Q1378" s="133" t="s">
        <v>491</v>
      </c>
    </row>
    <row r="1379" spans="1:17" ht="45" x14ac:dyDescent="0.2">
      <c r="A1379" s="163">
        <v>2020</v>
      </c>
      <c r="B1379" s="163">
        <v>12</v>
      </c>
      <c r="C1379" s="163">
        <v>10</v>
      </c>
      <c r="D1379" s="141">
        <f t="shared" si="48"/>
        <v>44175</v>
      </c>
      <c r="E1379" s="275">
        <f t="shared" si="49"/>
        <v>44175</v>
      </c>
      <c r="F1379" s="480"/>
      <c r="G1379" s="221" t="s">
        <v>74</v>
      </c>
      <c r="H1379" s="221" t="str" cm="1">
        <f t="array" ref="H1379">IFERROR(INDEX(INVESTOR_LIST[INVESTOR NAME],MATCH(I1379,INVESTOR_LIST[INVESTOR CODE],0),)," ")</f>
        <v>EDGE AMC GROWTH FUND</v>
      </c>
      <c r="I1379" s="145" t="s">
        <v>491</v>
      </c>
      <c r="J1379" s="146" t="s">
        <v>53</v>
      </c>
      <c r="K1379" s="219"/>
      <c r="L1379" s="219">
        <v>316000</v>
      </c>
      <c r="M1379" s="147">
        <v>0</v>
      </c>
      <c r="Q1379" s="133" t="s">
        <v>491</v>
      </c>
    </row>
    <row r="1380" spans="1:17" ht="33.75" x14ac:dyDescent="0.2">
      <c r="A1380" s="133">
        <v>2020</v>
      </c>
      <c r="B1380" s="133">
        <v>12</v>
      </c>
      <c r="C1380" s="133">
        <v>10</v>
      </c>
      <c r="D1380" s="141">
        <f t="shared" si="48"/>
        <v>44175</v>
      </c>
      <c r="E1380" s="275">
        <f t="shared" si="49"/>
        <v>44175</v>
      </c>
      <c r="F1380" s="479" t="s">
        <v>964</v>
      </c>
      <c r="G1380" s="174" t="s">
        <v>74</v>
      </c>
      <c r="H1380" s="174" t="str" cm="1">
        <f t="array" ref="H1380">IFERROR(INDEX(INVESTOR_LIST[INVESTOR NAME],MATCH(I1380,INVESTOR_LIST[INVESTOR CODE],0),)," ")</f>
        <v>AKASH DEEP PAUL</v>
      </c>
      <c r="I1380" s="148" t="s">
        <v>471</v>
      </c>
      <c r="J1380" s="149" t="s">
        <v>52</v>
      </c>
      <c r="K1380" s="218">
        <v>555224</v>
      </c>
      <c r="L1380" s="218"/>
      <c r="M1380" s="147">
        <v>0</v>
      </c>
      <c r="Q1380" s="133" t="s">
        <v>471</v>
      </c>
    </row>
    <row r="1381" spans="1:17" ht="33.75" x14ac:dyDescent="0.2">
      <c r="A1381" s="133">
        <v>2020</v>
      </c>
      <c r="B1381" s="133">
        <v>12</v>
      </c>
      <c r="C1381" s="133">
        <v>10</v>
      </c>
      <c r="D1381" s="141">
        <f t="shared" si="48"/>
        <v>44175</v>
      </c>
      <c r="E1381" s="275">
        <f t="shared" si="49"/>
        <v>44175</v>
      </c>
      <c r="F1381" s="481"/>
      <c r="G1381" s="174" t="s">
        <v>74</v>
      </c>
      <c r="H1381" s="174" t="str" cm="1">
        <f t="array" ref="H1381">IFERROR(INDEX(INVESTOR_LIST[INVESTOR NAME],MATCH(I1381,INVESTOR_LIST[INVESTOR CODE],0),)," ")</f>
        <v>AKASH DEEP PAUL</v>
      </c>
      <c r="I1381" s="148" t="s">
        <v>471</v>
      </c>
      <c r="J1381" s="149" t="s">
        <v>13</v>
      </c>
      <c r="K1381" s="218"/>
      <c r="L1381" s="218">
        <v>479470</v>
      </c>
      <c r="M1381" s="147">
        <v>0</v>
      </c>
      <c r="Q1381" s="133" t="s">
        <v>471</v>
      </c>
    </row>
    <row r="1382" spans="1:17" ht="33.75" x14ac:dyDescent="0.2">
      <c r="A1382" s="163">
        <v>2020</v>
      </c>
      <c r="B1382" s="163">
        <v>12</v>
      </c>
      <c r="C1382" s="163">
        <v>10</v>
      </c>
      <c r="D1382" s="141">
        <f t="shared" si="48"/>
        <v>44175</v>
      </c>
      <c r="E1382" s="275">
        <f t="shared" si="49"/>
        <v>44175</v>
      </c>
      <c r="F1382" s="480"/>
      <c r="G1382" s="221" t="s">
        <v>74</v>
      </c>
      <c r="H1382" s="221" t="str" cm="1">
        <f t="array" ref="H1382">IFERROR(INDEX(INVESTOR_LIST[INVESTOR NAME],MATCH(I1382,INVESTOR_LIST[INVESTOR CODE],0),)," ")</f>
        <v>AKASH DEEP PAUL</v>
      </c>
      <c r="I1382" s="145" t="s">
        <v>471</v>
      </c>
      <c r="J1382" s="146" t="s">
        <v>53</v>
      </c>
      <c r="K1382" s="219"/>
      <c r="L1382" s="219">
        <v>75754</v>
      </c>
      <c r="M1382" s="147">
        <v>0</v>
      </c>
      <c r="Q1382" s="133" t="s">
        <v>471</v>
      </c>
    </row>
    <row r="1383" spans="1:17" ht="33.75" x14ac:dyDescent="0.2">
      <c r="A1383" s="133">
        <v>2020</v>
      </c>
      <c r="B1383" s="133">
        <v>12</v>
      </c>
      <c r="C1383" s="133">
        <v>10</v>
      </c>
      <c r="D1383" s="141">
        <f t="shared" si="48"/>
        <v>44175</v>
      </c>
      <c r="E1383" s="275">
        <f t="shared" si="49"/>
        <v>44175</v>
      </c>
      <c r="F1383" s="479" t="s">
        <v>964</v>
      </c>
      <c r="G1383" s="174" t="s">
        <v>74</v>
      </c>
      <c r="H1383" s="174" t="str" cm="1">
        <f t="array" ref="H1383">IFERROR(INDEX(INVESTOR_LIST[INVESTOR NAME],MATCH(I1383,INVESTOR_LIST[INVESTOR CODE],0),)," ")</f>
        <v>NANI GOPAL DATTA</v>
      </c>
      <c r="I1383" s="148" t="s">
        <v>460</v>
      </c>
      <c r="J1383" s="149" t="s">
        <v>52</v>
      </c>
      <c r="K1383" s="218">
        <v>405300</v>
      </c>
      <c r="L1383" s="218"/>
      <c r="M1383" s="147">
        <v>0</v>
      </c>
      <c r="Q1383" s="133" t="s">
        <v>460</v>
      </c>
    </row>
    <row r="1384" spans="1:17" ht="33.75" x14ac:dyDescent="0.2">
      <c r="A1384" s="133">
        <v>2020</v>
      </c>
      <c r="B1384" s="133">
        <v>12</v>
      </c>
      <c r="C1384" s="133">
        <v>10</v>
      </c>
      <c r="D1384" s="141">
        <f t="shared" si="48"/>
        <v>44175</v>
      </c>
      <c r="E1384" s="275">
        <f t="shared" si="49"/>
        <v>44175</v>
      </c>
      <c r="F1384" s="481"/>
      <c r="G1384" s="174" t="s">
        <v>74</v>
      </c>
      <c r="H1384" s="174" t="str" cm="1">
        <f t="array" ref="H1384">IFERROR(INDEX(INVESTOR_LIST[INVESTOR NAME],MATCH(I1384,INVESTOR_LIST[INVESTOR CODE],0),)," ")</f>
        <v>NANI GOPAL DATTA</v>
      </c>
      <c r="I1384" s="148" t="s">
        <v>460</v>
      </c>
      <c r="J1384" s="149" t="s">
        <v>13</v>
      </c>
      <c r="K1384" s="218"/>
      <c r="L1384" s="218">
        <v>350000</v>
      </c>
      <c r="M1384" s="147">
        <v>0</v>
      </c>
      <c r="N1384" s="133">
        <f>9606.91+2803.28</f>
        <v>12410.19</v>
      </c>
      <c r="Q1384" s="133" t="s">
        <v>460</v>
      </c>
    </row>
    <row r="1385" spans="1:17" ht="33.75" x14ac:dyDescent="0.2">
      <c r="A1385" s="163">
        <v>2020</v>
      </c>
      <c r="B1385" s="163">
        <v>12</v>
      </c>
      <c r="C1385" s="163">
        <v>10</v>
      </c>
      <c r="D1385" s="141">
        <f t="shared" si="48"/>
        <v>44175</v>
      </c>
      <c r="E1385" s="275">
        <f t="shared" si="49"/>
        <v>44175</v>
      </c>
      <c r="F1385" s="480"/>
      <c r="G1385" s="221" t="s">
        <v>74</v>
      </c>
      <c r="H1385" s="221" t="str" cm="1">
        <f t="array" ref="H1385">IFERROR(INDEX(INVESTOR_LIST[INVESTOR NAME],MATCH(I1385,INVESTOR_LIST[INVESTOR CODE],0),)," ")</f>
        <v>NANI GOPAL DATTA</v>
      </c>
      <c r="I1385" s="145" t="s">
        <v>460</v>
      </c>
      <c r="J1385" s="146" t="s">
        <v>53</v>
      </c>
      <c r="K1385" s="219"/>
      <c r="L1385" s="219">
        <v>55300</v>
      </c>
      <c r="M1385" s="147">
        <v>0</v>
      </c>
      <c r="N1385" s="160"/>
      <c r="Q1385" s="133" t="s">
        <v>460</v>
      </c>
    </row>
    <row r="1386" spans="1:17" x14ac:dyDescent="0.2">
      <c r="A1386" s="168">
        <v>2020</v>
      </c>
      <c r="B1386" s="168">
        <v>12</v>
      </c>
      <c r="C1386" s="168">
        <v>10</v>
      </c>
      <c r="D1386" s="141">
        <f t="shared" si="48"/>
        <v>44175</v>
      </c>
      <c r="E1386" s="275">
        <f t="shared" si="49"/>
        <v>44175</v>
      </c>
      <c r="F1386" s="479" t="s">
        <v>254</v>
      </c>
      <c r="G1386" s="220" t="s">
        <v>74</v>
      </c>
      <c r="H1386" s="220" t="str" cm="1">
        <f t="array" ref="H1386">IFERROR(INDEX(INVESTOR_LIST[INVESTOR NAME],MATCH(I1386,INVESTOR_LIST[INVESTOR CODE],0),)," ")</f>
        <v xml:space="preserve"> </v>
      </c>
      <c r="I1386" s="142" t="s">
        <v>348</v>
      </c>
      <c r="J1386" s="143" t="s">
        <v>52</v>
      </c>
      <c r="K1386" s="226">
        <v>10000</v>
      </c>
      <c r="L1386" s="226"/>
      <c r="M1386" s="147">
        <v>0</v>
      </c>
      <c r="Q1386" s="133" t="s">
        <v>348</v>
      </c>
    </row>
    <row r="1387" spans="1:17" x14ac:dyDescent="0.2">
      <c r="A1387" s="133">
        <v>2020</v>
      </c>
      <c r="B1387" s="133">
        <v>12</v>
      </c>
      <c r="C1387" s="133">
        <v>10</v>
      </c>
      <c r="D1387" s="141">
        <f t="shared" si="48"/>
        <v>44175</v>
      </c>
      <c r="E1387" s="275">
        <f t="shared" si="49"/>
        <v>44175</v>
      </c>
      <c r="F1387" s="481"/>
      <c r="G1387" s="174" t="s">
        <v>74</v>
      </c>
      <c r="H1387" s="174" t="str" cm="1">
        <f t="array" ref="H1387">IFERROR(INDEX(INVESTOR_LIST[INVESTOR NAME],MATCH(I1387,INVESTOR_LIST[INVESTOR CODE],0),)," ")</f>
        <v xml:space="preserve"> </v>
      </c>
      <c r="I1387" s="148" t="s">
        <v>348</v>
      </c>
      <c r="J1387" s="149" t="s">
        <v>13</v>
      </c>
      <c r="K1387" s="218"/>
      <c r="L1387" s="218">
        <v>8760</v>
      </c>
      <c r="M1387" s="147">
        <v>0</v>
      </c>
      <c r="Q1387" s="133" t="s">
        <v>348</v>
      </c>
    </row>
    <row r="1388" spans="1:17" x14ac:dyDescent="0.2">
      <c r="A1388" s="163">
        <v>2020</v>
      </c>
      <c r="B1388" s="163">
        <v>12</v>
      </c>
      <c r="C1388" s="163">
        <v>10</v>
      </c>
      <c r="D1388" s="141">
        <f t="shared" si="48"/>
        <v>44175</v>
      </c>
      <c r="E1388" s="275">
        <f t="shared" si="49"/>
        <v>44175</v>
      </c>
      <c r="F1388" s="480"/>
      <c r="G1388" s="221" t="s">
        <v>74</v>
      </c>
      <c r="H1388" s="221" t="str" cm="1">
        <f t="array" ref="H1388">IFERROR(INDEX(INVESTOR_LIST[INVESTOR NAME],MATCH(I1388,INVESTOR_LIST[INVESTOR CODE],0),)," ")</f>
        <v xml:space="preserve"> </v>
      </c>
      <c r="I1388" s="145" t="s">
        <v>348</v>
      </c>
      <c r="J1388" s="146" t="s">
        <v>53</v>
      </c>
      <c r="K1388" s="219"/>
      <c r="L1388" s="219">
        <v>1240</v>
      </c>
      <c r="M1388" s="147">
        <v>0</v>
      </c>
      <c r="N1388" s="156"/>
      <c r="Q1388" s="133" t="s">
        <v>348</v>
      </c>
    </row>
    <row r="1389" spans="1:17" x14ac:dyDescent="0.2">
      <c r="A1389" s="168">
        <v>2020</v>
      </c>
      <c r="B1389" s="168">
        <v>12</v>
      </c>
      <c r="C1389" s="168">
        <v>10</v>
      </c>
      <c r="D1389" s="141">
        <f t="shared" si="48"/>
        <v>44175</v>
      </c>
      <c r="E1389" s="275">
        <f t="shared" si="49"/>
        <v>44175</v>
      </c>
      <c r="F1389" s="479" t="s">
        <v>77</v>
      </c>
      <c r="G1389" s="220" t="s">
        <v>74</v>
      </c>
      <c r="H1389" s="220" t="str" cm="1">
        <f t="array" ref="H1389">IFERROR(INDEX(INVESTOR_LIST[INVESTOR NAME],MATCH(I1389,INVESTOR_LIST[INVESTOR CODE],0),)," ")</f>
        <v xml:space="preserve"> </v>
      </c>
      <c r="I1389" s="142" t="s">
        <v>348</v>
      </c>
      <c r="J1389" s="143" t="s">
        <v>61</v>
      </c>
      <c r="K1389" s="226">
        <v>250</v>
      </c>
      <c r="L1389" s="226"/>
      <c r="M1389" s="147">
        <v>0</v>
      </c>
      <c r="Q1389" s="133" t="s">
        <v>348</v>
      </c>
    </row>
    <row r="1390" spans="1:17" x14ac:dyDescent="0.2">
      <c r="A1390" s="163">
        <v>2020</v>
      </c>
      <c r="B1390" s="163">
        <v>12</v>
      </c>
      <c r="C1390" s="163">
        <v>10</v>
      </c>
      <c r="D1390" s="141">
        <f t="shared" si="48"/>
        <v>44175</v>
      </c>
      <c r="E1390" s="275">
        <f t="shared" si="49"/>
        <v>44175</v>
      </c>
      <c r="F1390" s="480"/>
      <c r="G1390" s="221" t="s">
        <v>74</v>
      </c>
      <c r="H1390" s="221" t="str" cm="1">
        <f t="array" ref="H1390">IFERROR(INDEX(INVESTOR_LIST[INVESTOR NAME],MATCH(I1390,INVESTOR_LIST[INVESTOR CODE],0),)," ")</f>
        <v xml:space="preserve"> </v>
      </c>
      <c r="I1390" s="145" t="s">
        <v>348</v>
      </c>
      <c r="J1390" s="146" t="s">
        <v>52</v>
      </c>
      <c r="K1390" s="219"/>
      <c r="L1390" s="219">
        <v>250</v>
      </c>
      <c r="M1390" s="147">
        <v>0</v>
      </c>
      <c r="Q1390" s="133" t="s">
        <v>348</v>
      </c>
    </row>
    <row r="1391" spans="1:17" x14ac:dyDescent="0.2">
      <c r="A1391" s="246">
        <v>2020</v>
      </c>
      <c r="B1391" s="246">
        <v>12</v>
      </c>
      <c r="C1391" s="246">
        <v>10</v>
      </c>
      <c r="D1391" s="141">
        <f t="shared" si="48"/>
        <v>44175</v>
      </c>
      <c r="E1391" s="275">
        <f t="shared" si="49"/>
        <v>44175</v>
      </c>
      <c r="F1391" s="482" t="s">
        <v>105</v>
      </c>
      <c r="G1391" s="247" t="s">
        <v>94</v>
      </c>
      <c r="H1391" s="247" t="str" cm="1">
        <f t="array" ref="H1391">IFERROR(INDEX(INVESTOR_LIST[INVESTOR NAME],MATCH(I1391,INVESTOR_LIST[INVESTOR CODE],0),)," ")</f>
        <v xml:space="preserve"> </v>
      </c>
      <c r="I1391" s="248" t="s">
        <v>348</v>
      </c>
      <c r="J1391" s="249" t="s">
        <v>108</v>
      </c>
      <c r="K1391" s="252">
        <v>1824875</v>
      </c>
      <c r="L1391" s="252"/>
      <c r="M1391" s="147">
        <v>0</v>
      </c>
      <c r="Q1391" s="133" t="s">
        <v>348</v>
      </c>
    </row>
    <row r="1392" spans="1:17" x14ac:dyDescent="0.2">
      <c r="A1392" s="242">
        <v>2020</v>
      </c>
      <c r="B1392" s="242">
        <v>12</v>
      </c>
      <c r="C1392" s="242">
        <v>10</v>
      </c>
      <c r="D1392" s="141">
        <f t="shared" si="48"/>
        <v>44175</v>
      </c>
      <c r="E1392" s="275">
        <f t="shared" si="49"/>
        <v>44175</v>
      </c>
      <c r="F1392" s="478"/>
      <c r="G1392" s="243" t="s">
        <v>94</v>
      </c>
      <c r="H1392" s="243" t="str" cm="1">
        <f t="array" ref="H1392">IFERROR(INDEX(INVESTOR_LIST[INVESTOR NAME],MATCH(I1392,INVESTOR_LIST[INVESTOR CODE],0),)," ")</f>
        <v xml:space="preserve"> </v>
      </c>
      <c r="I1392" s="263" t="s">
        <v>348</v>
      </c>
      <c r="J1392" s="244" t="s">
        <v>82</v>
      </c>
      <c r="K1392" s="245"/>
      <c r="L1392" s="245">
        <v>1824875</v>
      </c>
      <c r="M1392" s="147">
        <v>0</v>
      </c>
      <c r="Q1392" s="133" t="s">
        <v>348</v>
      </c>
    </row>
    <row r="1393" spans="1:17" ht="22.5" x14ac:dyDescent="0.2">
      <c r="A1393" s="246">
        <v>2020</v>
      </c>
      <c r="B1393" s="246">
        <v>12</v>
      </c>
      <c r="C1393" s="246">
        <v>10</v>
      </c>
      <c r="D1393" s="141">
        <f t="shared" si="48"/>
        <v>44175</v>
      </c>
      <c r="E1393" s="275">
        <f t="shared" si="49"/>
        <v>44175</v>
      </c>
      <c r="F1393" s="482" t="s">
        <v>148</v>
      </c>
      <c r="G1393" s="247" t="s">
        <v>94</v>
      </c>
      <c r="H1393" s="247" t="str" cm="1">
        <f t="array" ref="H1393">IFERROR(INDEX(INVESTOR_LIST[INVESTOR NAME],MATCH(I1393,INVESTOR_LIST[INVESTOR CODE],0),)," ")</f>
        <v xml:space="preserve"> </v>
      </c>
      <c r="I1393" s="248" t="s">
        <v>348</v>
      </c>
      <c r="J1393" s="249" t="s">
        <v>95</v>
      </c>
      <c r="K1393" s="250">
        <v>2747.25</v>
      </c>
      <c r="L1393" s="250"/>
      <c r="M1393" s="147">
        <v>0</v>
      </c>
      <c r="Q1393" s="133" t="s">
        <v>348</v>
      </c>
    </row>
    <row r="1394" spans="1:17" x14ac:dyDescent="0.2">
      <c r="A1394" s="242">
        <v>2020</v>
      </c>
      <c r="B1394" s="242">
        <v>12</v>
      </c>
      <c r="C1394" s="242">
        <v>10</v>
      </c>
      <c r="D1394" s="141">
        <f t="shared" si="48"/>
        <v>44175</v>
      </c>
      <c r="E1394" s="275">
        <f t="shared" si="49"/>
        <v>44175</v>
      </c>
      <c r="F1394" s="478"/>
      <c r="G1394" s="243" t="s">
        <v>94</v>
      </c>
      <c r="H1394" s="243" t="str" cm="1">
        <f t="array" ref="H1394">IFERROR(INDEX(INVESTOR_LIST[INVESTOR NAME],MATCH(I1394,INVESTOR_LIST[INVESTOR CODE],0),)," ")</f>
        <v xml:space="preserve"> </v>
      </c>
      <c r="I1394" s="263" t="s">
        <v>348</v>
      </c>
      <c r="J1394" s="244" t="s">
        <v>63</v>
      </c>
      <c r="K1394" s="245"/>
      <c r="L1394" s="245">
        <v>2747.25</v>
      </c>
      <c r="M1394" s="147">
        <v>0</v>
      </c>
      <c r="Q1394" s="133" t="s">
        <v>348</v>
      </c>
    </row>
    <row r="1395" spans="1:17" x14ac:dyDescent="0.2">
      <c r="A1395" s="238">
        <v>2020</v>
      </c>
      <c r="B1395" s="238">
        <v>12</v>
      </c>
      <c r="C1395" s="238">
        <v>10</v>
      </c>
      <c r="D1395" s="141">
        <f t="shared" si="48"/>
        <v>44175</v>
      </c>
      <c r="E1395" s="275">
        <f t="shared" si="49"/>
        <v>44175</v>
      </c>
      <c r="F1395" s="477" t="s">
        <v>137</v>
      </c>
      <c r="G1395" s="239" t="s">
        <v>94</v>
      </c>
      <c r="H1395" s="247" t="str" cm="1">
        <f t="array" ref="H1395">IFERROR(INDEX(INVESTOR_LIST[INVESTOR NAME],MATCH(I1395,INVESTOR_LIST[INVESTOR CODE],0),)," ")</f>
        <v xml:space="preserve"> </v>
      </c>
      <c r="I1395" s="248" t="s">
        <v>348</v>
      </c>
      <c r="J1395" s="240" t="s">
        <v>97</v>
      </c>
      <c r="K1395" s="250">
        <v>52324</v>
      </c>
      <c r="L1395" s="250"/>
      <c r="M1395" s="147">
        <v>0</v>
      </c>
      <c r="Q1395" s="133" t="s">
        <v>348</v>
      </c>
    </row>
    <row r="1396" spans="1:17" x14ac:dyDescent="0.2">
      <c r="A1396" s="242">
        <v>2020</v>
      </c>
      <c r="B1396" s="242">
        <v>12</v>
      </c>
      <c r="C1396" s="242">
        <v>10</v>
      </c>
      <c r="D1396" s="141">
        <f t="shared" si="48"/>
        <v>44175</v>
      </c>
      <c r="E1396" s="275">
        <f t="shared" si="49"/>
        <v>44175</v>
      </c>
      <c r="F1396" s="478"/>
      <c r="G1396" s="243" t="s">
        <v>94</v>
      </c>
      <c r="H1396" s="243" t="str" cm="1">
        <f t="array" ref="H1396">IFERROR(INDEX(INVESTOR_LIST[INVESTOR NAME],MATCH(I1396,INVESTOR_LIST[INVESTOR CODE],0),)," ")</f>
        <v xml:space="preserve"> </v>
      </c>
      <c r="I1396" s="263" t="s">
        <v>348</v>
      </c>
      <c r="J1396" s="244" t="s">
        <v>47</v>
      </c>
      <c r="K1396" s="245"/>
      <c r="L1396" s="271">
        <v>52324</v>
      </c>
      <c r="M1396" s="147">
        <v>0</v>
      </c>
      <c r="Q1396" s="133" t="s">
        <v>348</v>
      </c>
    </row>
    <row r="1397" spans="1:17" x14ac:dyDescent="0.2">
      <c r="A1397" s="238">
        <v>2020</v>
      </c>
      <c r="B1397" s="238">
        <v>12</v>
      </c>
      <c r="C1397" s="238">
        <v>10</v>
      </c>
      <c r="D1397" s="141">
        <f t="shared" si="48"/>
        <v>44175</v>
      </c>
      <c r="E1397" s="275">
        <f t="shared" si="49"/>
        <v>44175</v>
      </c>
      <c r="F1397" s="477" t="s">
        <v>138</v>
      </c>
      <c r="G1397" s="239" t="s">
        <v>94</v>
      </c>
      <c r="H1397" s="247" t="str" cm="1">
        <f t="array" ref="H1397">IFERROR(INDEX(INVESTOR_LIST[INVESTOR NAME],MATCH(I1397,INVESTOR_LIST[INVESTOR CODE],0),)," ")</f>
        <v xml:space="preserve"> </v>
      </c>
      <c r="I1397" s="248" t="s">
        <v>348</v>
      </c>
      <c r="J1397" s="240" t="s">
        <v>100</v>
      </c>
      <c r="K1397" s="250">
        <v>2375.6999999999998</v>
      </c>
      <c r="L1397" s="250"/>
      <c r="M1397" s="147">
        <v>0</v>
      </c>
      <c r="Q1397" s="133" t="s">
        <v>348</v>
      </c>
    </row>
    <row r="1398" spans="1:17" x14ac:dyDescent="0.2">
      <c r="A1398" s="242">
        <v>2020</v>
      </c>
      <c r="B1398" s="242">
        <v>12</v>
      </c>
      <c r="C1398" s="242">
        <v>10</v>
      </c>
      <c r="D1398" s="141">
        <f t="shared" si="48"/>
        <v>44175</v>
      </c>
      <c r="E1398" s="275">
        <f t="shared" si="49"/>
        <v>44175</v>
      </c>
      <c r="F1398" s="478"/>
      <c r="G1398" s="243" t="s">
        <v>94</v>
      </c>
      <c r="H1398" s="243" t="str" cm="1">
        <f t="array" ref="H1398">IFERROR(INDEX(INVESTOR_LIST[INVESTOR NAME],MATCH(I1398,INVESTOR_LIST[INVESTOR CODE],0),)," ")</f>
        <v xml:space="preserve"> </v>
      </c>
      <c r="I1398" s="263" t="s">
        <v>348</v>
      </c>
      <c r="J1398" s="244" t="s">
        <v>48</v>
      </c>
      <c r="K1398" s="245"/>
      <c r="L1398" s="245">
        <v>2375.6999999999998</v>
      </c>
      <c r="M1398" s="147">
        <v>0</v>
      </c>
      <c r="Q1398" s="133" t="s">
        <v>348</v>
      </c>
    </row>
    <row r="1399" spans="1:17" x14ac:dyDescent="0.2">
      <c r="A1399" s="246">
        <v>2020</v>
      </c>
      <c r="B1399" s="246">
        <v>12</v>
      </c>
      <c r="C1399" s="246">
        <v>10</v>
      </c>
      <c r="D1399" s="141">
        <f t="shared" si="48"/>
        <v>44175</v>
      </c>
      <c r="E1399" s="275">
        <f t="shared" si="49"/>
        <v>44175</v>
      </c>
      <c r="F1399" s="477" t="s">
        <v>140</v>
      </c>
      <c r="G1399" s="247" t="s">
        <v>94</v>
      </c>
      <c r="H1399" s="247" t="str" cm="1">
        <f t="array" ref="H1399">IFERROR(INDEX(INVESTOR_LIST[INVESTOR NAME],MATCH(I1399,INVESTOR_LIST[INVESTOR CODE],0),)," ")</f>
        <v xml:space="preserve"> </v>
      </c>
      <c r="I1399" s="248" t="s">
        <v>348</v>
      </c>
      <c r="J1399" s="249" t="s">
        <v>103</v>
      </c>
      <c r="K1399" s="250">
        <v>729.17</v>
      </c>
      <c r="L1399" s="250"/>
      <c r="M1399" s="147">
        <v>0</v>
      </c>
      <c r="Q1399" s="133" t="s">
        <v>348</v>
      </c>
    </row>
    <row r="1400" spans="1:17" x14ac:dyDescent="0.2">
      <c r="A1400" s="242">
        <v>2020</v>
      </c>
      <c r="B1400" s="242">
        <v>12</v>
      </c>
      <c r="C1400" s="242">
        <v>10</v>
      </c>
      <c r="D1400" s="141">
        <f t="shared" si="48"/>
        <v>44175</v>
      </c>
      <c r="E1400" s="275">
        <f t="shared" si="49"/>
        <v>44175</v>
      </c>
      <c r="F1400" s="478"/>
      <c r="G1400" s="243" t="s">
        <v>94</v>
      </c>
      <c r="H1400" s="243" t="str" cm="1">
        <f t="array" ref="H1400">IFERROR(INDEX(INVESTOR_LIST[INVESTOR NAME],MATCH(I1400,INVESTOR_LIST[INVESTOR CODE],0),)," ")</f>
        <v xml:space="preserve"> </v>
      </c>
      <c r="I1400" s="263" t="s">
        <v>348</v>
      </c>
      <c r="J1400" s="244" t="s">
        <v>50</v>
      </c>
      <c r="K1400" s="245"/>
      <c r="L1400" s="245">
        <v>729.17</v>
      </c>
      <c r="M1400" s="147">
        <v>0</v>
      </c>
      <c r="N1400" s="156"/>
      <c r="Q1400" s="133" t="s">
        <v>348</v>
      </c>
    </row>
    <row r="1401" spans="1:17" x14ac:dyDescent="0.2">
      <c r="A1401" s="168">
        <v>2020</v>
      </c>
      <c r="B1401" s="168">
        <v>12</v>
      </c>
      <c r="C1401" s="168">
        <v>13</v>
      </c>
      <c r="D1401" s="141">
        <f t="shared" si="48"/>
        <v>44178</v>
      </c>
      <c r="E1401" s="275">
        <f t="shared" si="49"/>
        <v>44178</v>
      </c>
      <c r="F1401" s="494" t="s">
        <v>246</v>
      </c>
      <c r="G1401" s="220" t="s">
        <v>74</v>
      </c>
      <c r="H1401" s="220" t="str" cm="1">
        <f t="array" ref="H1401">IFERROR(INDEX(INVESTOR_LIST[INVESTOR NAME],MATCH(I1401,INVESTOR_LIST[INVESTOR CODE],0),)," ")</f>
        <v xml:space="preserve"> </v>
      </c>
      <c r="I1401" s="142" t="s">
        <v>348</v>
      </c>
      <c r="J1401" s="143" t="s">
        <v>79</v>
      </c>
      <c r="K1401" s="226">
        <v>4000008.54</v>
      </c>
      <c r="L1401" s="226"/>
      <c r="M1401" s="147">
        <v>0</v>
      </c>
      <c r="Q1401" s="133" t="s">
        <v>348</v>
      </c>
    </row>
    <row r="1402" spans="1:17" x14ac:dyDescent="0.2">
      <c r="A1402" s="163">
        <v>2020</v>
      </c>
      <c r="B1402" s="163">
        <v>12</v>
      </c>
      <c r="C1402" s="163">
        <v>13</v>
      </c>
      <c r="D1402" s="141">
        <f t="shared" si="48"/>
        <v>44178</v>
      </c>
      <c r="E1402" s="275">
        <f t="shared" si="49"/>
        <v>44178</v>
      </c>
      <c r="F1402" s="495"/>
      <c r="G1402" s="221" t="s">
        <v>74</v>
      </c>
      <c r="H1402" s="221" t="str" cm="1">
        <f t="array" ref="H1402">IFERROR(INDEX(INVESTOR_LIST[INVESTOR NAME],MATCH(I1402,INVESTOR_LIST[INVESTOR CODE],0),)," ")</f>
        <v xml:space="preserve"> </v>
      </c>
      <c r="I1402" s="145" t="s">
        <v>348</v>
      </c>
      <c r="J1402" s="146" t="s">
        <v>52</v>
      </c>
      <c r="K1402" s="219"/>
      <c r="L1402" s="219">
        <v>4000008.54</v>
      </c>
      <c r="M1402" s="147">
        <v>0</v>
      </c>
      <c r="Q1402" s="133" t="s">
        <v>348</v>
      </c>
    </row>
    <row r="1403" spans="1:17" x14ac:dyDescent="0.2">
      <c r="A1403" s="133">
        <v>2020</v>
      </c>
      <c r="B1403" s="133">
        <v>12</v>
      </c>
      <c r="C1403" s="133">
        <v>13</v>
      </c>
      <c r="D1403" s="141">
        <f t="shared" si="48"/>
        <v>44178</v>
      </c>
      <c r="E1403" s="275">
        <f t="shared" si="49"/>
        <v>44178</v>
      </c>
      <c r="F1403" s="496" t="s">
        <v>247</v>
      </c>
      <c r="G1403" s="174" t="s">
        <v>74</v>
      </c>
      <c r="H1403" s="174" t="str" cm="1">
        <f t="array" ref="H1403">IFERROR(INDEX(INVESTOR_LIST[INVESTOR NAME],MATCH(I1403,INVESTOR_LIST[INVESTOR CODE],0),)," ")</f>
        <v xml:space="preserve"> </v>
      </c>
      <c r="I1403" s="148" t="s">
        <v>348</v>
      </c>
      <c r="J1403" s="149" t="s">
        <v>147</v>
      </c>
      <c r="K1403" s="218">
        <v>4932382.04</v>
      </c>
      <c r="L1403" s="218"/>
      <c r="M1403" s="147">
        <v>0</v>
      </c>
      <c r="Q1403" s="133" t="s">
        <v>348</v>
      </c>
    </row>
    <row r="1404" spans="1:17" x14ac:dyDescent="0.2">
      <c r="A1404" s="163">
        <v>2020</v>
      </c>
      <c r="B1404" s="163">
        <v>12</v>
      </c>
      <c r="C1404" s="163">
        <v>13</v>
      </c>
      <c r="D1404" s="141">
        <f t="shared" si="48"/>
        <v>44178</v>
      </c>
      <c r="E1404" s="275">
        <f t="shared" si="49"/>
        <v>44178</v>
      </c>
      <c r="F1404" s="495"/>
      <c r="G1404" s="221" t="s">
        <v>74</v>
      </c>
      <c r="H1404" s="221" t="str" cm="1">
        <f t="array" ref="H1404">IFERROR(INDEX(INVESTOR_LIST[INVESTOR NAME],MATCH(I1404,INVESTOR_LIST[INVESTOR CODE],0),)," ")</f>
        <v xml:space="preserve"> </v>
      </c>
      <c r="I1404" s="145" t="s">
        <v>348</v>
      </c>
      <c r="J1404" s="146" t="s">
        <v>52</v>
      </c>
      <c r="K1404" s="219"/>
      <c r="L1404" s="219">
        <v>4932382.04</v>
      </c>
      <c r="M1404" s="147">
        <v>0</v>
      </c>
      <c r="Q1404" s="133" t="s">
        <v>348</v>
      </c>
    </row>
    <row r="1405" spans="1:17" ht="33.75" x14ac:dyDescent="0.2">
      <c r="A1405" s="168">
        <v>2020</v>
      </c>
      <c r="B1405" s="168">
        <v>12</v>
      </c>
      <c r="C1405" s="168">
        <v>13</v>
      </c>
      <c r="D1405" s="141">
        <f t="shared" si="48"/>
        <v>44178</v>
      </c>
      <c r="E1405" s="275">
        <f t="shared" si="49"/>
        <v>44178</v>
      </c>
      <c r="F1405" s="479" t="s">
        <v>964</v>
      </c>
      <c r="G1405" s="220" t="s">
        <v>74</v>
      </c>
      <c r="H1405" s="220" t="str" cm="1">
        <f t="array" ref="H1405">IFERROR(INDEX(INVESTOR_LIST[INVESTOR NAME],MATCH(I1405,INVESTOR_LIST[INVESTOR CODE],0),)," ")</f>
        <v>MD. JAHANGIR ALAM</v>
      </c>
      <c r="I1405" s="142" t="s">
        <v>374</v>
      </c>
      <c r="J1405" s="143" t="s">
        <v>52</v>
      </c>
      <c r="K1405" s="226">
        <v>65800</v>
      </c>
      <c r="L1405" s="226"/>
      <c r="M1405" s="147">
        <v>0</v>
      </c>
      <c r="Q1405" s="133" t="s">
        <v>374</v>
      </c>
    </row>
    <row r="1406" spans="1:17" ht="33.75" x14ac:dyDescent="0.2">
      <c r="A1406" s="133">
        <v>2020</v>
      </c>
      <c r="B1406" s="133">
        <v>12</v>
      </c>
      <c r="C1406" s="133">
        <v>13</v>
      </c>
      <c r="D1406" s="141">
        <f t="shared" si="48"/>
        <v>44178</v>
      </c>
      <c r="E1406" s="275">
        <f t="shared" si="49"/>
        <v>44178</v>
      </c>
      <c r="F1406" s="481"/>
      <c r="G1406" s="174" t="s">
        <v>74</v>
      </c>
      <c r="H1406" s="174" t="str" cm="1">
        <f t="array" ref="H1406">IFERROR(INDEX(INVESTOR_LIST[INVESTOR NAME],MATCH(I1406,INVESTOR_LIST[INVESTOR CODE],0),)," ")</f>
        <v>MD. JAHANGIR ALAM</v>
      </c>
      <c r="I1406" s="148" t="s">
        <v>374</v>
      </c>
      <c r="J1406" s="149" t="s">
        <v>13</v>
      </c>
      <c r="K1406" s="218"/>
      <c r="L1406" s="218">
        <v>56820</v>
      </c>
      <c r="M1406" s="147">
        <v>0</v>
      </c>
      <c r="Q1406" s="133" t="s">
        <v>374</v>
      </c>
    </row>
    <row r="1407" spans="1:17" ht="33.75" x14ac:dyDescent="0.2">
      <c r="A1407" s="163">
        <v>2020</v>
      </c>
      <c r="B1407" s="163">
        <v>12</v>
      </c>
      <c r="C1407" s="163">
        <v>13</v>
      </c>
      <c r="D1407" s="141">
        <f t="shared" si="48"/>
        <v>44178</v>
      </c>
      <c r="E1407" s="275">
        <f t="shared" si="49"/>
        <v>44178</v>
      </c>
      <c r="F1407" s="480"/>
      <c r="G1407" s="221" t="s">
        <v>74</v>
      </c>
      <c r="H1407" s="221" t="str" cm="1">
        <f t="array" ref="H1407">IFERROR(INDEX(INVESTOR_LIST[INVESTOR NAME],MATCH(I1407,INVESTOR_LIST[INVESTOR CODE],0),)," ")</f>
        <v>MD. JAHANGIR ALAM</v>
      </c>
      <c r="I1407" s="145" t="s">
        <v>374</v>
      </c>
      <c r="J1407" s="146" t="s">
        <v>53</v>
      </c>
      <c r="K1407" s="219"/>
      <c r="L1407" s="219">
        <v>8980</v>
      </c>
      <c r="M1407" s="147">
        <v>0</v>
      </c>
      <c r="Q1407" s="133" t="s">
        <v>374</v>
      </c>
    </row>
    <row r="1408" spans="1:17" ht="11.25" customHeight="1" x14ac:dyDescent="0.2">
      <c r="A1408" s="168">
        <v>2020</v>
      </c>
      <c r="B1408" s="168">
        <v>12</v>
      </c>
      <c r="C1408" s="168">
        <v>13</v>
      </c>
      <c r="D1408" s="141">
        <f t="shared" si="48"/>
        <v>44178</v>
      </c>
      <c r="E1408" s="275">
        <f t="shared" si="49"/>
        <v>44178</v>
      </c>
      <c r="F1408" s="479" t="s">
        <v>254</v>
      </c>
      <c r="G1408" s="220" t="s">
        <v>74</v>
      </c>
      <c r="H1408" s="220" t="str" cm="1">
        <f t="array" ref="H1408">IFERROR(INDEX(INVESTOR_LIST[INVESTOR NAME],MATCH(I1408,INVESTOR_LIST[INVESTOR CODE],0),)," ")</f>
        <v xml:space="preserve"> </v>
      </c>
      <c r="I1408" s="142" t="s">
        <v>348</v>
      </c>
      <c r="J1408" s="143" t="s">
        <v>52</v>
      </c>
      <c r="K1408" s="226">
        <v>2500</v>
      </c>
      <c r="L1408" s="226"/>
      <c r="M1408" s="147">
        <v>0</v>
      </c>
      <c r="Q1408" s="133" t="s">
        <v>348</v>
      </c>
    </row>
    <row r="1409" spans="1:17" x14ac:dyDescent="0.2">
      <c r="A1409" s="133">
        <v>2020</v>
      </c>
      <c r="B1409" s="133">
        <v>12</v>
      </c>
      <c r="C1409" s="133">
        <v>13</v>
      </c>
      <c r="D1409" s="141">
        <f t="shared" si="48"/>
        <v>44178</v>
      </c>
      <c r="E1409" s="275">
        <f t="shared" si="49"/>
        <v>44178</v>
      </c>
      <c r="F1409" s="481"/>
      <c r="G1409" s="174" t="s">
        <v>74</v>
      </c>
      <c r="H1409" s="174" t="str" cm="1">
        <f t="array" ref="H1409">IFERROR(INDEX(INVESTOR_LIST[INVESTOR NAME],MATCH(I1409,INVESTOR_LIST[INVESTOR CODE],0),)," ")</f>
        <v xml:space="preserve"> </v>
      </c>
      <c r="I1409" s="148" t="s">
        <v>348</v>
      </c>
      <c r="J1409" s="149" t="s">
        <v>13</v>
      </c>
      <c r="K1409" s="218"/>
      <c r="L1409" s="218">
        <v>2130</v>
      </c>
      <c r="M1409" s="147">
        <v>0</v>
      </c>
      <c r="Q1409" s="133" t="s">
        <v>348</v>
      </c>
    </row>
    <row r="1410" spans="1:17" x14ac:dyDescent="0.2">
      <c r="A1410" s="163">
        <v>2020</v>
      </c>
      <c r="B1410" s="163">
        <v>12</v>
      </c>
      <c r="C1410" s="163">
        <v>13</v>
      </c>
      <c r="D1410" s="141">
        <f t="shared" si="48"/>
        <v>44178</v>
      </c>
      <c r="E1410" s="275">
        <f t="shared" si="49"/>
        <v>44178</v>
      </c>
      <c r="F1410" s="480"/>
      <c r="G1410" s="221" t="s">
        <v>74</v>
      </c>
      <c r="H1410" s="221" t="str" cm="1">
        <f t="array" ref="H1410">IFERROR(INDEX(INVESTOR_LIST[INVESTOR NAME],MATCH(I1410,INVESTOR_LIST[INVESTOR CODE],0),)," ")</f>
        <v xml:space="preserve"> </v>
      </c>
      <c r="I1410" s="145" t="s">
        <v>348</v>
      </c>
      <c r="J1410" s="146" t="s">
        <v>53</v>
      </c>
      <c r="K1410" s="219"/>
      <c r="L1410" s="219">
        <v>370</v>
      </c>
      <c r="M1410" s="147">
        <v>0</v>
      </c>
      <c r="Q1410" s="133" t="s">
        <v>348</v>
      </c>
    </row>
    <row r="1411" spans="1:17" ht="56.25" x14ac:dyDescent="0.2">
      <c r="A1411" s="168">
        <v>2020</v>
      </c>
      <c r="B1411" s="168">
        <v>12</v>
      </c>
      <c r="C1411" s="168">
        <v>14</v>
      </c>
      <c r="D1411" s="141">
        <f t="shared" si="48"/>
        <v>44179</v>
      </c>
      <c r="E1411" s="275">
        <f t="shared" si="49"/>
        <v>44179</v>
      </c>
      <c r="F1411" s="479" t="s">
        <v>964</v>
      </c>
      <c r="G1411" s="220" t="s">
        <v>74</v>
      </c>
      <c r="H1411" s="220" t="str" cm="1">
        <f t="array" ref="H1411">IFERROR(INDEX(INVESTOR_LIST[INVESTOR NAME],MATCH(I1411,INVESTOR_LIST[INVESTOR CODE],0),)," ")</f>
        <v>EDGE BANGLADESH MUTUAL FUND</v>
      </c>
      <c r="I1411" s="142" t="s">
        <v>490</v>
      </c>
      <c r="J1411" s="143" t="s">
        <v>52</v>
      </c>
      <c r="K1411" s="226">
        <v>9987500</v>
      </c>
      <c r="L1411" s="226"/>
      <c r="M1411" s="147">
        <v>0</v>
      </c>
      <c r="Q1411" s="133" t="s">
        <v>490</v>
      </c>
    </row>
    <row r="1412" spans="1:17" ht="56.25" x14ac:dyDescent="0.2">
      <c r="A1412" s="133">
        <v>2020</v>
      </c>
      <c r="B1412" s="133">
        <v>12</v>
      </c>
      <c r="C1412" s="133">
        <v>14</v>
      </c>
      <c r="D1412" s="141">
        <f t="shared" si="48"/>
        <v>44179</v>
      </c>
      <c r="E1412" s="275">
        <f t="shared" si="49"/>
        <v>44179</v>
      </c>
      <c r="F1412" s="481"/>
      <c r="G1412" s="174" t="s">
        <v>74</v>
      </c>
      <c r="H1412" s="174" t="str" cm="1">
        <f t="array" ref="H1412">IFERROR(INDEX(INVESTOR_LIST[INVESTOR NAME],MATCH(I1412,INVESTOR_LIST[INVESTOR CODE],0),)," ")</f>
        <v>EDGE BANGLADESH MUTUAL FUND</v>
      </c>
      <c r="I1412" s="148" t="s">
        <v>490</v>
      </c>
      <c r="J1412" s="149" t="s">
        <v>13</v>
      </c>
      <c r="K1412" s="218"/>
      <c r="L1412" s="218">
        <v>8500000</v>
      </c>
      <c r="M1412" s="147">
        <v>0</v>
      </c>
      <c r="Q1412" s="133" t="s">
        <v>490</v>
      </c>
    </row>
    <row r="1413" spans="1:17" ht="56.25" x14ac:dyDescent="0.2">
      <c r="A1413" s="163">
        <v>2020</v>
      </c>
      <c r="B1413" s="163">
        <v>12</v>
      </c>
      <c r="C1413" s="163">
        <v>14</v>
      </c>
      <c r="D1413" s="141">
        <f t="shared" si="48"/>
        <v>44179</v>
      </c>
      <c r="E1413" s="275">
        <f t="shared" si="49"/>
        <v>44179</v>
      </c>
      <c r="F1413" s="480"/>
      <c r="G1413" s="221" t="s">
        <v>74</v>
      </c>
      <c r="H1413" s="221" t="str" cm="1">
        <f t="array" ref="H1413">IFERROR(INDEX(INVESTOR_LIST[INVESTOR NAME],MATCH(I1413,INVESTOR_LIST[INVESTOR CODE],0),)," ")</f>
        <v>EDGE BANGLADESH MUTUAL FUND</v>
      </c>
      <c r="I1413" s="145" t="s">
        <v>490</v>
      </c>
      <c r="J1413" s="146" t="s">
        <v>53</v>
      </c>
      <c r="K1413" s="219"/>
      <c r="L1413" s="219">
        <v>1487500</v>
      </c>
      <c r="M1413" s="147">
        <v>0</v>
      </c>
      <c r="Q1413" s="133" t="s">
        <v>490</v>
      </c>
    </row>
    <row r="1414" spans="1:17" ht="45" x14ac:dyDescent="0.2">
      <c r="A1414" s="133">
        <v>2020</v>
      </c>
      <c r="B1414" s="133">
        <v>12</v>
      </c>
      <c r="C1414" s="133">
        <v>14</v>
      </c>
      <c r="D1414" s="141">
        <f t="shared" si="48"/>
        <v>44179</v>
      </c>
      <c r="E1414" s="275">
        <f t="shared" si="49"/>
        <v>44179</v>
      </c>
      <c r="F1414" s="479" t="s">
        <v>964</v>
      </c>
      <c r="G1414" s="174" t="s">
        <v>74</v>
      </c>
      <c r="H1414" s="174" t="str" cm="1">
        <f t="array" ref="H1414">IFERROR(INDEX(INVESTOR_LIST[INVESTOR NAME],MATCH(I1414,INVESTOR_LIST[INVESTOR CODE],0),)," ")</f>
        <v>EDGE AMC GROWTH FUND</v>
      </c>
      <c r="I1414" s="148" t="s">
        <v>491</v>
      </c>
      <c r="J1414" s="143" t="s">
        <v>52</v>
      </c>
      <c r="K1414" s="218">
        <v>9987500</v>
      </c>
      <c r="L1414" s="218"/>
      <c r="M1414" s="147">
        <v>0</v>
      </c>
      <c r="Q1414" s="133" t="s">
        <v>491</v>
      </c>
    </row>
    <row r="1415" spans="1:17" ht="45" x14ac:dyDescent="0.2">
      <c r="A1415" s="133">
        <v>2020</v>
      </c>
      <c r="B1415" s="133">
        <v>12</v>
      </c>
      <c r="C1415" s="133">
        <v>14</v>
      </c>
      <c r="D1415" s="141">
        <f t="shared" si="48"/>
        <v>44179</v>
      </c>
      <c r="E1415" s="275">
        <f t="shared" si="49"/>
        <v>44179</v>
      </c>
      <c r="F1415" s="481"/>
      <c r="G1415" s="174" t="s">
        <v>74</v>
      </c>
      <c r="H1415" s="174" t="str" cm="1">
        <f t="array" ref="H1415">IFERROR(INDEX(INVESTOR_LIST[INVESTOR NAME],MATCH(I1415,INVESTOR_LIST[INVESTOR CODE],0),)," ")</f>
        <v>EDGE AMC GROWTH FUND</v>
      </c>
      <c r="I1415" s="148" t="s">
        <v>491</v>
      </c>
      <c r="J1415" s="149" t="s">
        <v>13</v>
      </c>
      <c r="K1415" s="218"/>
      <c r="L1415" s="218">
        <v>8500000</v>
      </c>
      <c r="M1415" s="147">
        <v>0</v>
      </c>
      <c r="Q1415" s="133" t="s">
        <v>491</v>
      </c>
    </row>
    <row r="1416" spans="1:17" ht="45" x14ac:dyDescent="0.2">
      <c r="A1416" s="163">
        <v>2020</v>
      </c>
      <c r="B1416" s="163">
        <v>12</v>
      </c>
      <c r="C1416" s="163">
        <v>14</v>
      </c>
      <c r="D1416" s="141">
        <f t="shared" si="48"/>
        <v>44179</v>
      </c>
      <c r="E1416" s="275">
        <f t="shared" si="49"/>
        <v>44179</v>
      </c>
      <c r="F1416" s="480"/>
      <c r="G1416" s="221" t="s">
        <v>74</v>
      </c>
      <c r="H1416" s="221" t="str" cm="1">
        <f t="array" ref="H1416">IFERROR(INDEX(INVESTOR_LIST[INVESTOR NAME],MATCH(I1416,INVESTOR_LIST[INVESTOR CODE],0),)," ")</f>
        <v>EDGE AMC GROWTH FUND</v>
      </c>
      <c r="I1416" s="145" t="s">
        <v>491</v>
      </c>
      <c r="J1416" s="146" t="s">
        <v>53</v>
      </c>
      <c r="K1416" s="219"/>
      <c r="L1416" s="219">
        <v>1487500</v>
      </c>
      <c r="M1416" s="147">
        <v>0</v>
      </c>
      <c r="Q1416" s="133" t="s">
        <v>491</v>
      </c>
    </row>
    <row r="1417" spans="1:17" x14ac:dyDescent="0.2">
      <c r="A1417" s="133">
        <v>2020</v>
      </c>
      <c r="B1417" s="133">
        <v>12</v>
      </c>
      <c r="C1417" s="133">
        <v>14</v>
      </c>
      <c r="D1417" s="141">
        <f t="shared" si="48"/>
        <v>44179</v>
      </c>
      <c r="E1417" s="275">
        <f t="shared" si="49"/>
        <v>44179</v>
      </c>
      <c r="F1417" s="481" t="s">
        <v>235</v>
      </c>
      <c r="G1417" s="174" t="s">
        <v>94</v>
      </c>
      <c r="H1417" s="174" t="str" cm="1">
        <f t="array" ref="H1417">IFERROR(INDEX(INVESTOR_LIST[INVESTOR NAME],MATCH(I1417,INVESTOR_LIST[INVESTOR CODE],0),)," ")</f>
        <v xml:space="preserve"> </v>
      </c>
      <c r="I1417" s="148" t="s">
        <v>348</v>
      </c>
      <c r="J1417" s="149" t="s">
        <v>79</v>
      </c>
      <c r="K1417" s="218">
        <v>3545900</v>
      </c>
      <c r="L1417" s="218"/>
      <c r="M1417" s="147">
        <v>0</v>
      </c>
      <c r="N1417" s="264"/>
      <c r="Q1417" s="133" t="s">
        <v>348</v>
      </c>
    </row>
    <row r="1418" spans="1:17" x14ac:dyDescent="0.2">
      <c r="A1418" s="133">
        <v>2020</v>
      </c>
      <c r="B1418" s="133">
        <v>12</v>
      </c>
      <c r="C1418" s="133">
        <v>14</v>
      </c>
      <c r="D1418" s="141">
        <f t="shared" si="48"/>
        <v>44179</v>
      </c>
      <c r="E1418" s="275">
        <f t="shared" si="49"/>
        <v>44179</v>
      </c>
      <c r="F1418" s="481"/>
      <c r="G1418" s="174" t="s">
        <v>94</v>
      </c>
      <c r="H1418" s="174" t="str" cm="1">
        <f t="array" ref="H1418">IFERROR(INDEX(INVESTOR_LIST[INVESTOR NAME],MATCH(I1418,INVESTOR_LIST[INVESTOR CODE],0),)," ")</f>
        <v xml:space="preserve"> </v>
      </c>
      <c r="I1418" s="148" t="s">
        <v>348</v>
      </c>
      <c r="J1418" s="149" t="s">
        <v>80</v>
      </c>
      <c r="K1418" s="218">
        <v>6382.62</v>
      </c>
      <c r="L1418" s="218"/>
      <c r="M1418" s="147">
        <v>0</v>
      </c>
      <c r="N1418" s="264"/>
      <c r="Q1418" s="133" t="s">
        <v>348</v>
      </c>
    </row>
    <row r="1419" spans="1:17" x14ac:dyDescent="0.2">
      <c r="A1419" s="163">
        <v>2020</v>
      </c>
      <c r="B1419" s="163">
        <v>12</v>
      </c>
      <c r="C1419" s="163">
        <v>14</v>
      </c>
      <c r="D1419" s="141">
        <f t="shared" si="48"/>
        <v>44179</v>
      </c>
      <c r="E1419" s="275">
        <f t="shared" si="49"/>
        <v>44179</v>
      </c>
      <c r="F1419" s="480"/>
      <c r="G1419" s="221" t="s">
        <v>94</v>
      </c>
      <c r="H1419" s="221" t="str" cm="1">
        <f t="array" ref="H1419">IFERROR(INDEX(INVESTOR_LIST[INVESTOR NAME],MATCH(I1419,INVESTOR_LIST[INVESTOR CODE],0),)," ")</f>
        <v xml:space="preserve"> </v>
      </c>
      <c r="I1419" s="145" t="s">
        <v>348</v>
      </c>
      <c r="J1419" s="146" t="s">
        <v>147</v>
      </c>
      <c r="K1419" s="219"/>
      <c r="L1419" s="219">
        <v>3552282.62</v>
      </c>
      <c r="M1419" s="147">
        <v>0</v>
      </c>
      <c r="N1419" s="264"/>
      <c r="Q1419" s="133" t="s">
        <v>348</v>
      </c>
    </row>
    <row r="1420" spans="1:17" x14ac:dyDescent="0.2">
      <c r="A1420" s="133">
        <v>2020</v>
      </c>
      <c r="B1420" s="133">
        <v>12</v>
      </c>
      <c r="C1420" s="133">
        <v>14</v>
      </c>
      <c r="D1420" s="141">
        <f t="shared" si="48"/>
        <v>44179</v>
      </c>
      <c r="E1420" s="275">
        <f t="shared" si="49"/>
        <v>44179</v>
      </c>
      <c r="F1420" s="496" t="s">
        <v>251</v>
      </c>
      <c r="G1420" s="174" t="s">
        <v>94</v>
      </c>
      <c r="H1420" s="174" t="str" cm="1">
        <f t="array" ref="H1420">IFERROR(INDEX(INVESTOR_LIST[INVESTOR NAME],MATCH(I1420,INVESTOR_LIST[INVESTOR CODE],0),)," ")</f>
        <v xml:space="preserve"> </v>
      </c>
      <c r="I1420" s="148" t="s">
        <v>348</v>
      </c>
      <c r="J1420" s="149" t="s">
        <v>79</v>
      </c>
      <c r="K1420" s="218">
        <v>5485285</v>
      </c>
      <c r="L1420" s="218"/>
      <c r="M1420" s="147">
        <v>3</v>
      </c>
      <c r="Q1420" s="133" t="s">
        <v>348</v>
      </c>
    </row>
    <row r="1421" spans="1:17" x14ac:dyDescent="0.2">
      <c r="A1421" s="133">
        <v>2020</v>
      </c>
      <c r="B1421" s="133">
        <v>12</v>
      </c>
      <c r="C1421" s="133">
        <v>14</v>
      </c>
      <c r="D1421" s="141">
        <f t="shared" ref="D1421:D1484" si="50">DATE(A1421,B1421,C1421)</f>
        <v>44179</v>
      </c>
      <c r="E1421" s="275">
        <f t="shared" si="49"/>
        <v>44179</v>
      </c>
      <c r="F1421" s="496"/>
      <c r="G1421" s="174" t="s">
        <v>94</v>
      </c>
      <c r="H1421" s="174" t="str" cm="1">
        <f t="array" ref="H1421">IFERROR(INDEX(INVESTOR_LIST[INVESTOR NAME],MATCH(I1421,INVESTOR_LIST[INVESTOR CODE],0),)," ")</f>
        <v xml:space="preserve"> </v>
      </c>
      <c r="I1421" s="148" t="s">
        <v>348</v>
      </c>
      <c r="J1421" s="149" t="s">
        <v>80</v>
      </c>
      <c r="K1421" s="218">
        <v>9873.51</v>
      </c>
      <c r="L1421" s="218"/>
      <c r="M1421" s="147">
        <v>0</v>
      </c>
      <c r="N1421" s="156"/>
      <c r="Q1421" s="133" t="s">
        <v>348</v>
      </c>
    </row>
    <row r="1422" spans="1:17" x14ac:dyDescent="0.2">
      <c r="A1422" s="163">
        <v>2020</v>
      </c>
      <c r="B1422" s="163">
        <v>12</v>
      </c>
      <c r="C1422" s="163">
        <v>14</v>
      </c>
      <c r="D1422" s="141">
        <f t="shared" si="50"/>
        <v>44179</v>
      </c>
      <c r="E1422" s="275">
        <f t="shared" ref="E1422:E1485" si="51">DATE(A1422,B1422,C1422)</f>
        <v>44179</v>
      </c>
      <c r="F1422" s="495"/>
      <c r="G1422" s="221" t="s">
        <v>94</v>
      </c>
      <c r="H1422" s="221" t="str" cm="1">
        <f t="array" ref="H1422">IFERROR(INDEX(INVESTOR_LIST[INVESTOR NAME],MATCH(I1422,INVESTOR_LIST[INVESTOR CODE],0),)," ")</f>
        <v xml:space="preserve"> </v>
      </c>
      <c r="I1422" s="145" t="s">
        <v>348</v>
      </c>
      <c r="J1422" s="146" t="s">
        <v>147</v>
      </c>
      <c r="K1422" s="219"/>
      <c r="L1422" s="219">
        <v>5495158.5099999998</v>
      </c>
      <c r="M1422" s="147">
        <v>0</v>
      </c>
      <c r="Q1422" s="133" t="s">
        <v>348</v>
      </c>
    </row>
    <row r="1423" spans="1:17" x14ac:dyDescent="0.2">
      <c r="A1423" s="133">
        <v>2020</v>
      </c>
      <c r="B1423" s="133">
        <v>12</v>
      </c>
      <c r="C1423" s="133">
        <v>14</v>
      </c>
      <c r="D1423" s="141">
        <f t="shared" si="50"/>
        <v>44179</v>
      </c>
      <c r="E1423" s="275">
        <f t="shared" si="51"/>
        <v>44179</v>
      </c>
      <c r="F1423" s="479" t="s">
        <v>249</v>
      </c>
      <c r="G1423" s="174" t="s">
        <v>94</v>
      </c>
      <c r="H1423" s="174" t="str" cm="1">
        <f t="array" ref="H1423">IFERROR(INDEX(INVESTOR_LIST[INVESTOR NAME],MATCH(I1423,INVESTOR_LIST[INVESTOR CODE],0),)," ")</f>
        <v xml:space="preserve"> </v>
      </c>
      <c r="I1423" s="148" t="s">
        <v>348</v>
      </c>
      <c r="J1423" s="149" t="s">
        <v>79</v>
      </c>
      <c r="K1423" s="218">
        <v>4002650</v>
      </c>
      <c r="L1423" s="218"/>
      <c r="M1423" s="147">
        <v>0</v>
      </c>
      <c r="Q1423" s="133" t="s">
        <v>348</v>
      </c>
    </row>
    <row r="1424" spans="1:17" x14ac:dyDescent="0.2">
      <c r="A1424" s="133">
        <v>2020</v>
      </c>
      <c r="B1424" s="133">
        <v>12</v>
      </c>
      <c r="C1424" s="133">
        <v>14</v>
      </c>
      <c r="D1424" s="141">
        <f t="shared" si="50"/>
        <v>44179</v>
      </c>
      <c r="E1424" s="275">
        <f t="shared" si="51"/>
        <v>44179</v>
      </c>
      <c r="F1424" s="481"/>
      <c r="G1424" s="174" t="s">
        <v>94</v>
      </c>
      <c r="H1424" s="174" t="str" cm="1">
        <f t="array" ref="H1424">IFERROR(INDEX(INVESTOR_LIST[INVESTOR NAME],MATCH(I1424,INVESTOR_LIST[INVESTOR CODE],0),)," ")</f>
        <v xml:space="preserve"> </v>
      </c>
      <c r="I1424" s="148" t="s">
        <v>348</v>
      </c>
      <c r="J1424" s="149" t="s">
        <v>80</v>
      </c>
      <c r="K1424" s="218">
        <v>7204.74</v>
      </c>
      <c r="L1424" s="218"/>
      <c r="M1424" s="147">
        <v>0</v>
      </c>
      <c r="Q1424" s="133" t="s">
        <v>348</v>
      </c>
    </row>
    <row r="1425" spans="1:17" x14ac:dyDescent="0.2">
      <c r="A1425" s="133">
        <v>2020</v>
      </c>
      <c r="B1425" s="133">
        <v>12</v>
      </c>
      <c r="C1425" s="133">
        <v>14</v>
      </c>
      <c r="D1425" s="141">
        <f t="shared" si="50"/>
        <v>44179</v>
      </c>
      <c r="E1425" s="275">
        <f t="shared" si="51"/>
        <v>44179</v>
      </c>
      <c r="F1425" s="481"/>
      <c r="G1425" s="174" t="s">
        <v>94</v>
      </c>
      <c r="H1425" s="174" t="str" cm="1">
        <f t="array" ref="H1425">IFERROR(INDEX(INVESTOR_LIST[INVESTOR NAME],MATCH(I1425,INVESTOR_LIST[INVESTOR CODE],0),)," ")</f>
        <v xml:space="preserve"> </v>
      </c>
      <c r="I1425" s="148" t="s">
        <v>348</v>
      </c>
      <c r="J1425" s="149" t="s">
        <v>147</v>
      </c>
      <c r="K1425" s="218"/>
      <c r="L1425" s="218">
        <v>4009854.74</v>
      </c>
      <c r="M1425" s="147">
        <v>0</v>
      </c>
      <c r="Q1425" s="133" t="s">
        <v>348</v>
      </c>
    </row>
    <row r="1426" spans="1:17" x14ac:dyDescent="0.2">
      <c r="A1426" s="168">
        <v>2020</v>
      </c>
      <c r="B1426" s="168">
        <v>12</v>
      </c>
      <c r="C1426" s="168">
        <v>14</v>
      </c>
      <c r="D1426" s="141">
        <f t="shared" si="50"/>
        <v>44179</v>
      </c>
      <c r="E1426" s="275">
        <f t="shared" si="51"/>
        <v>44179</v>
      </c>
      <c r="F1426" s="479" t="s">
        <v>252</v>
      </c>
      <c r="G1426" s="220" t="s">
        <v>94</v>
      </c>
      <c r="H1426" s="220" t="str" cm="1">
        <f t="array" ref="H1426">IFERROR(INDEX(INVESTOR_LIST[INVESTOR NAME],MATCH(I1426,INVESTOR_LIST[INVESTOR CODE],0),)," ")</f>
        <v xml:space="preserve"> </v>
      </c>
      <c r="I1426" s="142" t="s">
        <v>348</v>
      </c>
      <c r="J1426" s="143" t="s">
        <v>79</v>
      </c>
      <c r="K1426" s="226">
        <v>6939693.2999999998</v>
      </c>
      <c r="L1426" s="226"/>
      <c r="M1426" s="147">
        <v>0</v>
      </c>
      <c r="Q1426" s="133" t="s">
        <v>348</v>
      </c>
    </row>
    <row r="1427" spans="1:17" x14ac:dyDescent="0.2">
      <c r="A1427" s="133">
        <v>2020</v>
      </c>
      <c r="B1427" s="133">
        <v>12</v>
      </c>
      <c r="C1427" s="133">
        <v>14</v>
      </c>
      <c r="D1427" s="141">
        <f t="shared" si="50"/>
        <v>44179</v>
      </c>
      <c r="E1427" s="275">
        <f t="shared" si="51"/>
        <v>44179</v>
      </c>
      <c r="F1427" s="481"/>
      <c r="G1427" s="174" t="s">
        <v>94</v>
      </c>
      <c r="H1427" s="174" t="str" cm="1">
        <f t="array" ref="H1427">IFERROR(INDEX(INVESTOR_LIST[INVESTOR NAME],MATCH(I1427,INVESTOR_LIST[INVESTOR CODE],0),)," ")</f>
        <v xml:space="preserve"> </v>
      </c>
      <c r="I1427" s="148" t="s">
        <v>348</v>
      </c>
      <c r="J1427" s="149" t="s">
        <v>80</v>
      </c>
      <c r="K1427" s="218">
        <v>12491.45</v>
      </c>
      <c r="L1427" s="218"/>
      <c r="M1427" s="147">
        <v>0</v>
      </c>
      <c r="Q1427" s="133" t="s">
        <v>348</v>
      </c>
    </row>
    <row r="1428" spans="1:17" x14ac:dyDescent="0.2">
      <c r="A1428" s="163">
        <v>2020</v>
      </c>
      <c r="B1428" s="163">
        <v>12</v>
      </c>
      <c r="C1428" s="163">
        <v>14</v>
      </c>
      <c r="D1428" s="141">
        <f t="shared" si="50"/>
        <v>44179</v>
      </c>
      <c r="E1428" s="275">
        <f t="shared" si="51"/>
        <v>44179</v>
      </c>
      <c r="F1428" s="480"/>
      <c r="G1428" s="221" t="s">
        <v>94</v>
      </c>
      <c r="H1428" s="221" t="str" cm="1">
        <f t="array" ref="H1428">IFERROR(INDEX(INVESTOR_LIST[INVESTOR NAME],MATCH(I1428,INVESTOR_LIST[INVESTOR CODE],0),)," ")</f>
        <v xml:space="preserve"> </v>
      </c>
      <c r="I1428" s="145" t="s">
        <v>348</v>
      </c>
      <c r="J1428" s="146" t="s">
        <v>147</v>
      </c>
      <c r="K1428" s="219"/>
      <c r="L1428" s="219">
        <v>6952184.75</v>
      </c>
      <c r="M1428" s="147">
        <v>0</v>
      </c>
      <c r="Q1428" s="133" t="s">
        <v>348</v>
      </c>
    </row>
    <row r="1429" spans="1:17" x14ac:dyDescent="0.2">
      <c r="A1429" s="168">
        <v>2020</v>
      </c>
      <c r="B1429" s="168">
        <v>12</v>
      </c>
      <c r="C1429" s="168">
        <v>15</v>
      </c>
      <c r="D1429" s="141">
        <f t="shared" si="50"/>
        <v>44180</v>
      </c>
      <c r="E1429" s="275">
        <f t="shared" si="51"/>
        <v>44180</v>
      </c>
      <c r="F1429" s="479" t="s">
        <v>248</v>
      </c>
      <c r="G1429" s="220" t="s">
        <v>74</v>
      </c>
      <c r="H1429" s="220" t="str" cm="1">
        <f t="array" ref="H1429">IFERROR(INDEX(INVESTOR_LIST[INVESTOR NAME],MATCH(I1429,INVESTOR_LIST[INVESTOR CODE],0),)," ")</f>
        <v xml:space="preserve"> </v>
      </c>
      <c r="I1429" s="142" t="s">
        <v>348</v>
      </c>
      <c r="J1429" s="143" t="s">
        <v>147</v>
      </c>
      <c r="K1429" s="226">
        <v>6952184.75</v>
      </c>
      <c r="L1429" s="226"/>
      <c r="M1429" s="147">
        <v>0</v>
      </c>
      <c r="Q1429" s="133" t="s">
        <v>348</v>
      </c>
    </row>
    <row r="1430" spans="1:17" x14ac:dyDescent="0.2">
      <c r="A1430" s="163">
        <v>2020</v>
      </c>
      <c r="B1430" s="163">
        <v>12</v>
      </c>
      <c r="C1430" s="163">
        <v>15</v>
      </c>
      <c r="D1430" s="141">
        <f t="shared" si="50"/>
        <v>44180</v>
      </c>
      <c r="E1430" s="275">
        <f t="shared" si="51"/>
        <v>44180</v>
      </c>
      <c r="F1430" s="480"/>
      <c r="G1430" s="221" t="s">
        <v>74</v>
      </c>
      <c r="H1430" s="221" t="str" cm="1">
        <f t="array" ref="H1430">IFERROR(INDEX(INVESTOR_LIST[INVESTOR NAME],MATCH(I1430,INVESTOR_LIST[INVESTOR CODE],0),)," ")</f>
        <v xml:space="preserve"> </v>
      </c>
      <c r="I1430" s="145" t="s">
        <v>348</v>
      </c>
      <c r="J1430" s="146" t="s">
        <v>52</v>
      </c>
      <c r="K1430" s="219"/>
      <c r="L1430" s="219">
        <v>6952184.75</v>
      </c>
      <c r="M1430" s="147">
        <v>0</v>
      </c>
      <c r="N1430" s="179"/>
      <c r="Q1430" s="133" t="s">
        <v>348</v>
      </c>
    </row>
    <row r="1431" spans="1:17" x14ac:dyDescent="0.2">
      <c r="A1431" s="133">
        <v>2020</v>
      </c>
      <c r="B1431" s="133">
        <v>12</v>
      </c>
      <c r="C1431" s="133">
        <v>15</v>
      </c>
      <c r="D1431" s="141">
        <f t="shared" si="50"/>
        <v>44180</v>
      </c>
      <c r="E1431" s="275">
        <f t="shared" si="51"/>
        <v>44180</v>
      </c>
      <c r="F1431" s="496" t="s">
        <v>247</v>
      </c>
      <c r="G1431" s="174" t="s">
        <v>74</v>
      </c>
      <c r="H1431" s="174" t="str" cm="1">
        <f t="array" ref="H1431">IFERROR(INDEX(INVESTOR_LIST[INVESTOR NAME],MATCH(I1431,INVESTOR_LIST[INVESTOR CODE],0),)," ")</f>
        <v xml:space="preserve"> </v>
      </c>
      <c r="I1431" s="148" t="s">
        <v>348</v>
      </c>
      <c r="J1431" s="149" t="s">
        <v>147</v>
      </c>
      <c r="K1431" s="218">
        <v>4009854.74</v>
      </c>
      <c r="L1431" s="218"/>
      <c r="M1431" s="147">
        <v>0</v>
      </c>
      <c r="Q1431" s="133" t="s">
        <v>348</v>
      </c>
    </row>
    <row r="1432" spans="1:17" ht="26.25" customHeight="1" x14ac:dyDescent="0.2">
      <c r="A1432" s="163">
        <v>2020</v>
      </c>
      <c r="B1432" s="163">
        <v>12</v>
      </c>
      <c r="C1432" s="163">
        <v>15</v>
      </c>
      <c r="D1432" s="141">
        <f t="shared" si="50"/>
        <v>44180</v>
      </c>
      <c r="E1432" s="275">
        <f t="shared" si="51"/>
        <v>44180</v>
      </c>
      <c r="F1432" s="495"/>
      <c r="G1432" s="221" t="s">
        <v>74</v>
      </c>
      <c r="H1432" s="221" t="str" cm="1">
        <f t="array" ref="H1432">IFERROR(INDEX(INVESTOR_LIST[INVESTOR NAME],MATCH(I1432,INVESTOR_LIST[INVESTOR CODE],0),)," ")</f>
        <v xml:space="preserve"> </v>
      </c>
      <c r="I1432" s="145" t="s">
        <v>348</v>
      </c>
      <c r="J1432" s="146" t="s">
        <v>52</v>
      </c>
      <c r="K1432" s="219"/>
      <c r="L1432" s="219">
        <v>4009854.74</v>
      </c>
      <c r="M1432" s="147">
        <v>1</v>
      </c>
      <c r="Q1432" s="133" t="s">
        <v>348</v>
      </c>
    </row>
    <row r="1433" spans="1:17" ht="26.25" customHeight="1" x14ac:dyDescent="0.2">
      <c r="A1433" s="133">
        <v>2020</v>
      </c>
      <c r="B1433" s="133">
        <v>12</v>
      </c>
      <c r="C1433" s="133">
        <v>15</v>
      </c>
      <c r="D1433" s="141">
        <f t="shared" si="50"/>
        <v>44180</v>
      </c>
      <c r="E1433" s="275">
        <f t="shared" si="51"/>
        <v>44180</v>
      </c>
      <c r="F1433" s="496" t="s">
        <v>253</v>
      </c>
      <c r="G1433" s="174" t="s">
        <v>74</v>
      </c>
      <c r="H1433" s="174" t="str" cm="1">
        <f t="array" ref="H1433">IFERROR(INDEX(INVESTOR_LIST[INVESTOR NAME],MATCH(I1433,INVESTOR_LIST[INVESTOR CODE],0),)," ")</f>
        <v xml:space="preserve"> </v>
      </c>
      <c r="I1433" s="148" t="s">
        <v>348</v>
      </c>
      <c r="J1433" s="149" t="s">
        <v>147</v>
      </c>
      <c r="K1433" s="218">
        <v>5495158.5099999998</v>
      </c>
      <c r="L1433" s="218"/>
      <c r="M1433" s="147">
        <v>0</v>
      </c>
      <c r="Q1433" s="133" t="s">
        <v>348</v>
      </c>
    </row>
    <row r="1434" spans="1:17" ht="22.5" customHeight="1" x14ac:dyDescent="0.2">
      <c r="A1434" s="163">
        <v>2020</v>
      </c>
      <c r="B1434" s="163">
        <v>12</v>
      </c>
      <c r="C1434" s="163">
        <v>15</v>
      </c>
      <c r="D1434" s="141">
        <f t="shared" si="50"/>
        <v>44180</v>
      </c>
      <c r="E1434" s="275">
        <f t="shared" si="51"/>
        <v>44180</v>
      </c>
      <c r="F1434" s="495"/>
      <c r="G1434" s="221" t="s">
        <v>74</v>
      </c>
      <c r="H1434" s="221" t="str" cm="1">
        <f t="array" ref="H1434">IFERROR(INDEX(INVESTOR_LIST[INVESTOR NAME],MATCH(I1434,INVESTOR_LIST[INVESTOR CODE],0),)," ")</f>
        <v xml:space="preserve"> </v>
      </c>
      <c r="I1434" s="145" t="s">
        <v>348</v>
      </c>
      <c r="J1434" s="146" t="s">
        <v>52</v>
      </c>
      <c r="K1434" s="219"/>
      <c r="L1434" s="219">
        <v>5495158.5099999998</v>
      </c>
      <c r="M1434" s="147">
        <v>0</v>
      </c>
      <c r="Q1434" s="133" t="s">
        <v>348</v>
      </c>
    </row>
    <row r="1435" spans="1:17" ht="22.5" customHeight="1" x14ac:dyDescent="0.2">
      <c r="A1435" s="168">
        <v>2020</v>
      </c>
      <c r="B1435" s="168">
        <v>12</v>
      </c>
      <c r="C1435" s="168">
        <v>15</v>
      </c>
      <c r="D1435" s="141">
        <f t="shared" si="50"/>
        <v>44180</v>
      </c>
      <c r="E1435" s="275">
        <f t="shared" si="51"/>
        <v>44180</v>
      </c>
      <c r="F1435" s="494" t="s">
        <v>181</v>
      </c>
      <c r="G1435" s="220" t="s">
        <v>94</v>
      </c>
      <c r="H1435" s="220" t="str" cm="1">
        <f t="array" ref="H1435">IFERROR(INDEX(INVESTOR_LIST[INVESTOR NAME],MATCH(I1435,INVESTOR_LIST[INVESTOR CODE],0),)," ")</f>
        <v xml:space="preserve"> </v>
      </c>
      <c r="I1435" s="142" t="s">
        <v>348</v>
      </c>
      <c r="J1435" s="143" t="s">
        <v>79</v>
      </c>
      <c r="K1435" s="226">
        <v>1495000</v>
      </c>
      <c r="L1435" s="226"/>
      <c r="M1435" s="147">
        <v>0</v>
      </c>
      <c r="Q1435" s="133" t="s">
        <v>348</v>
      </c>
    </row>
    <row r="1436" spans="1:17" x14ac:dyDescent="0.2">
      <c r="A1436" s="133">
        <v>2020</v>
      </c>
      <c r="B1436" s="133">
        <v>12</v>
      </c>
      <c r="C1436" s="133">
        <v>15</v>
      </c>
      <c r="D1436" s="141">
        <f t="shared" si="50"/>
        <v>44180</v>
      </c>
      <c r="E1436" s="275">
        <f t="shared" si="51"/>
        <v>44180</v>
      </c>
      <c r="F1436" s="496"/>
      <c r="G1436" s="174" t="s">
        <v>94</v>
      </c>
      <c r="H1436" s="174" t="str" cm="1">
        <f t="array" ref="H1436">IFERROR(INDEX(INVESTOR_LIST[INVESTOR NAME],MATCH(I1436,INVESTOR_LIST[INVESTOR CODE],0),)," ")</f>
        <v xml:space="preserve"> </v>
      </c>
      <c r="I1436" s="148" t="s">
        <v>348</v>
      </c>
      <c r="J1436" s="149" t="s">
        <v>80</v>
      </c>
      <c r="K1436" s="218">
        <v>2691</v>
      </c>
      <c r="L1436" s="218"/>
      <c r="M1436" s="147">
        <v>0</v>
      </c>
      <c r="Q1436" s="133" t="s">
        <v>348</v>
      </c>
    </row>
    <row r="1437" spans="1:17" x14ac:dyDescent="0.2">
      <c r="A1437" s="163">
        <v>2020</v>
      </c>
      <c r="B1437" s="163">
        <v>12</v>
      </c>
      <c r="C1437" s="163">
        <v>15</v>
      </c>
      <c r="D1437" s="141">
        <f t="shared" si="50"/>
        <v>44180</v>
      </c>
      <c r="E1437" s="275">
        <f t="shared" si="51"/>
        <v>44180</v>
      </c>
      <c r="F1437" s="495"/>
      <c r="G1437" s="221" t="s">
        <v>94</v>
      </c>
      <c r="H1437" s="221" t="str" cm="1">
        <f t="array" ref="H1437">IFERROR(INDEX(INVESTOR_LIST[INVESTOR NAME],MATCH(I1437,INVESTOR_LIST[INVESTOR CODE],0),)," ")</f>
        <v xml:space="preserve"> </v>
      </c>
      <c r="I1437" s="145" t="s">
        <v>348</v>
      </c>
      <c r="J1437" s="146" t="s">
        <v>147</v>
      </c>
      <c r="K1437" s="219"/>
      <c r="L1437" s="219">
        <v>1497691</v>
      </c>
      <c r="M1437" s="147">
        <v>0</v>
      </c>
      <c r="N1437" s="156"/>
      <c r="Q1437" s="133" t="s">
        <v>348</v>
      </c>
    </row>
    <row r="1438" spans="1:17" ht="22.5" x14ac:dyDescent="0.2">
      <c r="A1438" s="168">
        <v>2020</v>
      </c>
      <c r="B1438" s="168">
        <v>12</v>
      </c>
      <c r="C1438" s="168">
        <v>15</v>
      </c>
      <c r="D1438" s="141">
        <f t="shared" si="50"/>
        <v>44180</v>
      </c>
      <c r="E1438" s="275">
        <f t="shared" si="51"/>
        <v>44180</v>
      </c>
      <c r="F1438" s="479" t="s">
        <v>964</v>
      </c>
      <c r="G1438" s="220" t="s">
        <v>74</v>
      </c>
      <c r="H1438" s="220" t="str" cm="1">
        <f t="array" ref="H1438">IFERROR(INDEX(INVESTOR_LIST[INVESTOR NAME],MATCH(I1438,INVESTOR_LIST[INVESTOR CODE],0),)," ")</f>
        <v>MINHAJ UDDIN</v>
      </c>
      <c r="I1438" s="142" t="s">
        <v>390</v>
      </c>
      <c r="J1438" s="143" t="s">
        <v>52</v>
      </c>
      <c r="K1438" s="226">
        <v>300000</v>
      </c>
      <c r="L1438" s="226"/>
      <c r="M1438" s="147">
        <v>0</v>
      </c>
      <c r="Q1438" s="133" t="s">
        <v>390</v>
      </c>
    </row>
    <row r="1439" spans="1:17" ht="22.5" x14ac:dyDescent="0.2">
      <c r="A1439" s="133">
        <v>2020</v>
      </c>
      <c r="B1439" s="133">
        <v>12</v>
      </c>
      <c r="C1439" s="133">
        <v>15</v>
      </c>
      <c r="D1439" s="141">
        <f t="shared" si="50"/>
        <v>44180</v>
      </c>
      <c r="E1439" s="275">
        <f t="shared" si="51"/>
        <v>44180</v>
      </c>
      <c r="F1439" s="481"/>
      <c r="G1439" s="174" t="s">
        <v>74</v>
      </c>
      <c r="H1439" s="174" t="str" cm="1">
        <f t="array" ref="H1439">IFERROR(INDEX(INVESTOR_LIST[INVESTOR NAME],MATCH(I1439,INVESTOR_LIST[INVESTOR CODE],0),)," ")</f>
        <v>MINHAJ UDDIN</v>
      </c>
      <c r="I1439" s="148" t="s">
        <v>390</v>
      </c>
      <c r="J1439" s="149" t="s">
        <v>13</v>
      </c>
      <c r="K1439" s="218"/>
      <c r="L1439" s="218">
        <f>259070</f>
        <v>259070</v>
      </c>
      <c r="M1439" s="147">
        <v>0</v>
      </c>
      <c r="N1439" s="147"/>
      <c r="Q1439" s="133" t="s">
        <v>390</v>
      </c>
    </row>
    <row r="1440" spans="1:17" ht="22.5" x14ac:dyDescent="0.2">
      <c r="A1440" s="163">
        <v>2020</v>
      </c>
      <c r="B1440" s="163">
        <v>12</v>
      </c>
      <c r="C1440" s="163">
        <v>15</v>
      </c>
      <c r="D1440" s="141">
        <f t="shared" si="50"/>
        <v>44180</v>
      </c>
      <c r="E1440" s="275">
        <f t="shared" si="51"/>
        <v>44180</v>
      </c>
      <c r="F1440" s="480"/>
      <c r="G1440" s="221" t="s">
        <v>74</v>
      </c>
      <c r="H1440" s="221" t="str" cm="1">
        <f t="array" ref="H1440">IFERROR(INDEX(INVESTOR_LIST[INVESTOR NAME],MATCH(I1440,INVESTOR_LIST[INVESTOR CODE],0),)," ")</f>
        <v>MINHAJ UDDIN</v>
      </c>
      <c r="I1440" s="145" t="s">
        <v>390</v>
      </c>
      <c r="J1440" s="146" t="s">
        <v>53</v>
      </c>
      <c r="K1440" s="219"/>
      <c r="L1440" s="219">
        <v>40930</v>
      </c>
      <c r="M1440" s="147">
        <v>0</v>
      </c>
      <c r="Q1440" s="133" t="s">
        <v>390</v>
      </c>
    </row>
    <row r="1441" spans="1:17" x14ac:dyDescent="0.2">
      <c r="A1441" s="133">
        <v>2020</v>
      </c>
      <c r="B1441" s="133">
        <v>12</v>
      </c>
      <c r="C1441" s="133">
        <v>15</v>
      </c>
      <c r="D1441" s="141">
        <f t="shared" si="50"/>
        <v>44180</v>
      </c>
      <c r="E1441" s="275">
        <f t="shared" si="51"/>
        <v>44180</v>
      </c>
      <c r="F1441" s="479" t="s">
        <v>255</v>
      </c>
      <c r="G1441" s="174" t="s">
        <v>94</v>
      </c>
      <c r="H1441" s="174" t="str" cm="1">
        <f t="array" ref="H1441">IFERROR(INDEX(INVESTOR_LIST[INVESTOR NAME],MATCH(I1441,INVESTOR_LIST[INVESTOR CODE],0),)," ")</f>
        <v xml:space="preserve"> </v>
      </c>
      <c r="I1441" s="148" t="s">
        <v>348</v>
      </c>
      <c r="J1441" s="149" t="s">
        <v>168</v>
      </c>
      <c r="K1441" s="218">
        <v>7500</v>
      </c>
      <c r="L1441" s="218"/>
      <c r="M1441" s="147">
        <v>0</v>
      </c>
      <c r="Q1441" s="133" t="s">
        <v>348</v>
      </c>
    </row>
    <row r="1442" spans="1:17" x14ac:dyDescent="0.2">
      <c r="A1442" s="133">
        <v>2020</v>
      </c>
      <c r="B1442" s="133">
        <v>12</v>
      </c>
      <c r="C1442" s="133">
        <v>15</v>
      </c>
      <c r="D1442" s="141">
        <f t="shared" si="50"/>
        <v>44180</v>
      </c>
      <c r="E1442" s="275">
        <f t="shared" si="51"/>
        <v>44180</v>
      </c>
      <c r="F1442" s="480"/>
      <c r="G1442" s="174" t="s">
        <v>94</v>
      </c>
      <c r="H1442" s="174" t="str" cm="1">
        <f t="array" ref="H1442">IFERROR(INDEX(INVESTOR_LIST[INVESTOR NAME],MATCH(I1442,INVESTOR_LIST[INVESTOR CODE],0),)," ")</f>
        <v xml:space="preserve"> </v>
      </c>
      <c r="I1442" s="148" t="s">
        <v>348</v>
      </c>
      <c r="J1442" s="149" t="s">
        <v>166</v>
      </c>
      <c r="K1442" s="218"/>
      <c r="L1442" s="218">
        <v>7500</v>
      </c>
      <c r="M1442" s="147">
        <v>0</v>
      </c>
      <c r="Q1442" s="133" t="s">
        <v>348</v>
      </c>
    </row>
    <row r="1443" spans="1:17" x14ac:dyDescent="0.2">
      <c r="A1443" s="168">
        <v>2020</v>
      </c>
      <c r="B1443" s="168">
        <v>12</v>
      </c>
      <c r="C1443" s="168">
        <v>15</v>
      </c>
      <c r="D1443" s="141">
        <f t="shared" si="50"/>
        <v>44180</v>
      </c>
      <c r="E1443" s="275">
        <f t="shared" si="51"/>
        <v>44180</v>
      </c>
      <c r="F1443" s="479" t="s">
        <v>77</v>
      </c>
      <c r="G1443" s="220" t="s">
        <v>74</v>
      </c>
      <c r="H1443" s="220" t="str" cm="1">
        <f t="array" ref="H1443">IFERROR(INDEX(INVESTOR_LIST[INVESTOR NAME],MATCH(I1443,INVESTOR_LIST[INVESTOR CODE],0),)," ")</f>
        <v xml:space="preserve"> </v>
      </c>
      <c r="I1443" s="142" t="s">
        <v>348</v>
      </c>
      <c r="J1443" s="143" t="s">
        <v>61</v>
      </c>
      <c r="K1443" s="226">
        <v>10</v>
      </c>
      <c r="L1443" s="226"/>
      <c r="M1443" s="147">
        <v>0</v>
      </c>
      <c r="Q1443" s="133" t="s">
        <v>348</v>
      </c>
    </row>
    <row r="1444" spans="1:17" s="182" customFormat="1" x14ac:dyDescent="0.2">
      <c r="A1444" s="163">
        <v>2020</v>
      </c>
      <c r="B1444" s="163">
        <v>12</v>
      </c>
      <c r="C1444" s="163">
        <v>15</v>
      </c>
      <c r="D1444" s="141">
        <f t="shared" si="50"/>
        <v>44180</v>
      </c>
      <c r="E1444" s="275">
        <f t="shared" si="51"/>
        <v>44180</v>
      </c>
      <c r="F1444" s="480"/>
      <c r="G1444" s="221" t="s">
        <v>74</v>
      </c>
      <c r="H1444" s="221" t="str" cm="1">
        <f t="array" ref="H1444">IFERROR(INDEX(INVESTOR_LIST[INVESTOR NAME],MATCH(I1444,INVESTOR_LIST[INVESTOR CODE],0),)," ")</f>
        <v xml:space="preserve"> </v>
      </c>
      <c r="I1444" s="145" t="s">
        <v>348</v>
      </c>
      <c r="J1444" s="146" t="s">
        <v>52</v>
      </c>
      <c r="K1444" s="219"/>
      <c r="L1444" s="219">
        <v>10</v>
      </c>
      <c r="M1444" s="181">
        <v>1</v>
      </c>
      <c r="Q1444" s="133" t="s">
        <v>348</v>
      </c>
    </row>
    <row r="1445" spans="1:17" s="182" customFormat="1" ht="11.25" customHeight="1" x14ac:dyDescent="0.2">
      <c r="A1445" s="168">
        <v>2020</v>
      </c>
      <c r="B1445" s="168">
        <v>12</v>
      </c>
      <c r="C1445" s="168">
        <v>17</v>
      </c>
      <c r="D1445" s="141">
        <f t="shared" si="50"/>
        <v>44182</v>
      </c>
      <c r="E1445" s="275">
        <f t="shared" si="51"/>
        <v>44182</v>
      </c>
      <c r="F1445" s="479" t="s">
        <v>254</v>
      </c>
      <c r="G1445" s="220" t="s">
        <v>74</v>
      </c>
      <c r="H1445" s="220" t="str" cm="1">
        <f t="array" ref="H1445">IFERROR(INDEX(INVESTOR_LIST[INVESTOR NAME],MATCH(I1445,INVESTOR_LIST[INVESTOR CODE],0),)," ")</f>
        <v xml:space="preserve"> </v>
      </c>
      <c r="I1445" s="142" t="s">
        <v>348</v>
      </c>
      <c r="J1445" s="143" t="s">
        <v>52</v>
      </c>
      <c r="K1445" s="226">
        <v>27000</v>
      </c>
      <c r="L1445" s="226"/>
      <c r="M1445" s="181">
        <v>0</v>
      </c>
      <c r="Q1445" s="133" t="s">
        <v>348</v>
      </c>
    </row>
    <row r="1446" spans="1:17" s="182" customFormat="1" x14ac:dyDescent="0.2">
      <c r="A1446" s="133">
        <v>2020</v>
      </c>
      <c r="B1446" s="133">
        <v>12</v>
      </c>
      <c r="C1446" s="133">
        <v>17</v>
      </c>
      <c r="D1446" s="141">
        <f t="shared" si="50"/>
        <v>44182</v>
      </c>
      <c r="E1446" s="275">
        <f t="shared" si="51"/>
        <v>44182</v>
      </c>
      <c r="F1446" s="481"/>
      <c r="G1446" s="174" t="s">
        <v>74</v>
      </c>
      <c r="H1446" s="174" t="str" cm="1">
        <f t="array" ref="H1446">IFERROR(INDEX(INVESTOR_LIST[INVESTOR NAME],MATCH(I1446,INVESTOR_LIST[INVESTOR CODE],0),)," ")</f>
        <v xml:space="preserve"> </v>
      </c>
      <c r="I1446" s="148" t="s">
        <v>348</v>
      </c>
      <c r="J1446" s="149" t="s">
        <v>13</v>
      </c>
      <c r="K1446" s="218"/>
      <c r="L1446" s="218">
        <v>22980</v>
      </c>
      <c r="M1446" s="181">
        <v>0</v>
      </c>
      <c r="Q1446" s="133" t="s">
        <v>348</v>
      </c>
    </row>
    <row r="1447" spans="1:17" s="182" customFormat="1" x14ac:dyDescent="0.2">
      <c r="A1447" s="163">
        <v>2020</v>
      </c>
      <c r="B1447" s="163">
        <v>12</v>
      </c>
      <c r="C1447" s="163">
        <v>17</v>
      </c>
      <c r="D1447" s="141">
        <f t="shared" si="50"/>
        <v>44182</v>
      </c>
      <c r="E1447" s="275">
        <f t="shared" si="51"/>
        <v>44182</v>
      </c>
      <c r="F1447" s="480"/>
      <c r="G1447" s="221" t="s">
        <v>74</v>
      </c>
      <c r="H1447" s="221" t="str" cm="1">
        <f t="array" ref="H1447">IFERROR(INDEX(INVESTOR_LIST[INVESTOR NAME],MATCH(I1447,INVESTOR_LIST[INVESTOR CODE],0),)," ")</f>
        <v xml:space="preserve"> </v>
      </c>
      <c r="I1447" s="145" t="s">
        <v>348</v>
      </c>
      <c r="J1447" s="146" t="s">
        <v>53</v>
      </c>
      <c r="K1447" s="219"/>
      <c r="L1447" s="219">
        <v>4020</v>
      </c>
      <c r="M1447" s="181">
        <v>0</v>
      </c>
      <c r="Q1447" s="133" t="s">
        <v>348</v>
      </c>
    </row>
    <row r="1448" spans="1:17" s="182" customFormat="1" ht="22.5" x14ac:dyDescent="0.2">
      <c r="A1448" s="168">
        <v>2020</v>
      </c>
      <c r="B1448" s="168">
        <v>12</v>
      </c>
      <c r="C1448" s="168">
        <v>17</v>
      </c>
      <c r="D1448" s="141">
        <f t="shared" si="50"/>
        <v>44182</v>
      </c>
      <c r="E1448" s="275">
        <f t="shared" si="51"/>
        <v>44182</v>
      </c>
      <c r="F1448" s="479" t="s">
        <v>964</v>
      </c>
      <c r="G1448" s="220" t="s">
        <v>74</v>
      </c>
      <c r="H1448" s="220" t="str" cm="1">
        <f t="array" ref="H1448">IFERROR(INDEX(INVESTOR_LIST[INVESTOR NAME],MATCH(I1448,INVESTOR_LIST[INVESTOR CODE],0),)," ")</f>
        <v>MINHAJ UDDIN</v>
      </c>
      <c r="I1448" s="142" t="s">
        <v>390</v>
      </c>
      <c r="J1448" s="143" t="s">
        <v>52</v>
      </c>
      <c r="K1448" s="226">
        <v>1078</v>
      </c>
      <c r="L1448" s="226"/>
      <c r="M1448" s="181">
        <v>0</v>
      </c>
      <c r="Q1448" s="133" t="s">
        <v>390</v>
      </c>
    </row>
    <row r="1449" spans="1:17" s="182" customFormat="1" ht="22.5" x14ac:dyDescent="0.2">
      <c r="A1449" s="133">
        <v>2020</v>
      </c>
      <c r="B1449" s="133">
        <v>12</v>
      </c>
      <c r="C1449" s="133">
        <v>17</v>
      </c>
      <c r="D1449" s="141">
        <f t="shared" si="50"/>
        <v>44182</v>
      </c>
      <c r="E1449" s="275">
        <f t="shared" si="51"/>
        <v>44182</v>
      </c>
      <c r="F1449" s="481"/>
      <c r="G1449" s="174" t="s">
        <v>74</v>
      </c>
      <c r="H1449" s="174" t="str" cm="1">
        <f t="array" ref="H1449">IFERROR(INDEX(INVESTOR_LIST[INVESTOR NAME],MATCH(I1449,INVESTOR_LIST[INVESTOR CODE],0),)," ")</f>
        <v>MINHAJ UDDIN</v>
      </c>
      <c r="I1449" s="148" t="s">
        <v>390</v>
      </c>
      <c r="J1449" s="149" t="s">
        <v>13</v>
      </c>
      <c r="K1449" s="218"/>
      <c r="L1449" s="218">
        <v>930</v>
      </c>
      <c r="M1449" s="181">
        <v>0</v>
      </c>
      <c r="Q1449" s="133" t="s">
        <v>390</v>
      </c>
    </row>
    <row r="1450" spans="1:17" s="182" customFormat="1" ht="22.5" x14ac:dyDescent="0.2">
      <c r="A1450" s="163">
        <v>2020</v>
      </c>
      <c r="B1450" s="163">
        <v>12</v>
      </c>
      <c r="C1450" s="163">
        <v>17</v>
      </c>
      <c r="D1450" s="141">
        <f t="shared" si="50"/>
        <v>44182</v>
      </c>
      <c r="E1450" s="275">
        <f t="shared" si="51"/>
        <v>44182</v>
      </c>
      <c r="F1450" s="480"/>
      <c r="G1450" s="221" t="s">
        <v>74</v>
      </c>
      <c r="H1450" s="221" t="str" cm="1">
        <f t="array" ref="H1450">IFERROR(INDEX(INVESTOR_LIST[INVESTOR NAME],MATCH(I1450,INVESTOR_LIST[INVESTOR CODE],0),)," ")</f>
        <v>MINHAJ UDDIN</v>
      </c>
      <c r="I1450" s="145" t="s">
        <v>390</v>
      </c>
      <c r="J1450" s="146" t="s">
        <v>53</v>
      </c>
      <c r="K1450" s="219"/>
      <c r="L1450" s="219">
        <v>148</v>
      </c>
      <c r="M1450" s="181">
        <v>0</v>
      </c>
      <c r="Q1450" s="133" t="s">
        <v>390</v>
      </c>
    </row>
    <row r="1451" spans="1:17" s="182" customFormat="1" ht="33.75" x14ac:dyDescent="0.2">
      <c r="A1451" s="168">
        <v>2020</v>
      </c>
      <c r="B1451" s="168">
        <v>12</v>
      </c>
      <c r="C1451" s="168">
        <v>17</v>
      </c>
      <c r="D1451" s="141">
        <f t="shared" si="50"/>
        <v>44182</v>
      </c>
      <c r="E1451" s="275">
        <f t="shared" si="51"/>
        <v>44182</v>
      </c>
      <c r="F1451" s="479" t="s">
        <v>964</v>
      </c>
      <c r="G1451" s="220" t="s">
        <v>74</v>
      </c>
      <c r="H1451" s="220" t="str" cm="1">
        <f t="array" ref="H1451">IFERROR(INDEX(INVESTOR_LIST[INVESTOR NAME],MATCH(I1451,INVESTOR_LIST[INVESTOR CODE],0),)," ")</f>
        <v>RAHNUMA SANJANA</v>
      </c>
      <c r="I1451" s="142" t="s">
        <v>467</v>
      </c>
      <c r="J1451" s="143" t="s">
        <v>52</v>
      </c>
      <c r="K1451" s="226">
        <v>2000000</v>
      </c>
      <c r="L1451" s="226"/>
      <c r="M1451" s="181"/>
      <c r="N1451" s="255">
        <f>N1452*13.13</f>
        <v>6704690.0700000003</v>
      </c>
      <c r="Q1451" s="133" t="s">
        <v>467</v>
      </c>
    </row>
    <row r="1452" spans="1:17" s="182" customFormat="1" ht="33.75" x14ac:dyDescent="0.2">
      <c r="A1452" s="133">
        <v>2020</v>
      </c>
      <c r="B1452" s="133">
        <v>12</v>
      </c>
      <c r="C1452" s="133">
        <v>17</v>
      </c>
      <c r="D1452" s="141">
        <f t="shared" si="50"/>
        <v>44182</v>
      </c>
      <c r="E1452" s="275">
        <f t="shared" si="51"/>
        <v>44182</v>
      </c>
      <c r="F1452" s="481"/>
      <c r="G1452" s="174" t="s">
        <v>74</v>
      </c>
      <c r="H1452" s="174" t="str" cm="1">
        <f t="array" ref="H1452">IFERROR(INDEX(INVESTOR_LIST[INVESTOR NAME],MATCH(I1452,INVESTOR_LIST[INVESTOR CODE],0),)," ")</f>
        <v>RAHNUMA SANJANA</v>
      </c>
      <c r="I1452" s="148" t="s">
        <v>467</v>
      </c>
      <c r="J1452" s="149" t="s">
        <v>13</v>
      </c>
      <c r="K1452" s="218"/>
      <c r="L1452" s="218">
        <v>1702130</v>
      </c>
      <c r="M1452" s="181"/>
      <c r="N1452" s="182">
        <f>(L1452+L1455)/10</f>
        <v>510639</v>
      </c>
      <c r="O1452" s="183">
        <f>K1535/11.76</f>
        <v>8504</v>
      </c>
      <c r="Q1452" s="133" t="s">
        <v>467</v>
      </c>
    </row>
    <row r="1453" spans="1:17" s="182" customFormat="1" ht="33.75" x14ac:dyDescent="0.2">
      <c r="A1453" s="163">
        <v>2020</v>
      </c>
      <c r="B1453" s="163">
        <v>12</v>
      </c>
      <c r="C1453" s="163">
        <v>17</v>
      </c>
      <c r="D1453" s="141">
        <f t="shared" si="50"/>
        <v>44182</v>
      </c>
      <c r="E1453" s="275">
        <f t="shared" si="51"/>
        <v>44182</v>
      </c>
      <c r="F1453" s="480"/>
      <c r="G1453" s="221" t="s">
        <v>74</v>
      </c>
      <c r="H1453" s="174" t="str" cm="1">
        <f t="array" ref="H1453">IFERROR(INDEX(INVESTOR_LIST[INVESTOR NAME],MATCH(I1453,INVESTOR_LIST[INVESTOR CODE],0),)," ")</f>
        <v>RAHNUMA SANJANA</v>
      </c>
      <c r="I1453" s="148" t="s">
        <v>467</v>
      </c>
      <c r="J1453" s="146" t="s">
        <v>53</v>
      </c>
      <c r="K1453" s="219"/>
      <c r="L1453" s="219">
        <v>297870</v>
      </c>
      <c r="M1453" s="181"/>
      <c r="Q1453" s="133" t="s">
        <v>467</v>
      </c>
    </row>
    <row r="1454" spans="1:17" s="182" customFormat="1" ht="33.75" x14ac:dyDescent="0.2">
      <c r="A1454" s="168">
        <v>2020</v>
      </c>
      <c r="B1454" s="168">
        <v>12</v>
      </c>
      <c r="C1454" s="168">
        <v>17</v>
      </c>
      <c r="D1454" s="141">
        <f t="shared" si="50"/>
        <v>44182</v>
      </c>
      <c r="E1454" s="275">
        <f t="shared" si="51"/>
        <v>44182</v>
      </c>
      <c r="F1454" s="479" t="s">
        <v>964</v>
      </c>
      <c r="G1454" s="220" t="s">
        <v>74</v>
      </c>
      <c r="H1454" s="220" t="str" cm="1">
        <f t="array" ref="H1454">IFERROR(INDEX(INVESTOR_LIST[INVESTOR NAME],MATCH(I1454,INVESTOR_LIST[INVESTOR CODE],0),)," ")</f>
        <v>RAHNUMA SANJANA</v>
      </c>
      <c r="I1454" s="142" t="s">
        <v>467</v>
      </c>
      <c r="J1454" s="143" t="s">
        <v>52</v>
      </c>
      <c r="K1454" s="226">
        <v>4000000</v>
      </c>
      <c r="L1454" s="226"/>
      <c r="M1454" s="181">
        <v>0</v>
      </c>
      <c r="Q1454" s="133" t="s">
        <v>467</v>
      </c>
    </row>
    <row r="1455" spans="1:17" s="182" customFormat="1" ht="33.75" x14ac:dyDescent="0.2">
      <c r="A1455" s="133">
        <v>2020</v>
      </c>
      <c r="B1455" s="133">
        <v>12</v>
      </c>
      <c r="C1455" s="133">
        <v>17</v>
      </c>
      <c r="D1455" s="141">
        <f t="shared" si="50"/>
        <v>44182</v>
      </c>
      <c r="E1455" s="275">
        <f t="shared" si="51"/>
        <v>44182</v>
      </c>
      <c r="F1455" s="481"/>
      <c r="G1455" s="174" t="s">
        <v>74</v>
      </c>
      <c r="H1455" s="174" t="str" cm="1">
        <f t="array" ref="H1455">IFERROR(INDEX(INVESTOR_LIST[INVESTOR NAME],MATCH(I1455,INVESTOR_LIST[INVESTOR CODE],0),)," ")</f>
        <v>RAHNUMA SANJANA</v>
      </c>
      <c r="I1455" s="148" t="s">
        <v>467</v>
      </c>
      <c r="J1455" s="149" t="s">
        <v>13</v>
      </c>
      <c r="K1455" s="218"/>
      <c r="L1455" s="218">
        <v>3404260</v>
      </c>
      <c r="M1455" s="181">
        <v>0</v>
      </c>
      <c r="N1455" s="182">
        <f>100007.4/11.76</f>
        <v>8504.0306122448983</v>
      </c>
      <c r="O1455" s="183"/>
      <c r="Q1455" s="133" t="s">
        <v>467</v>
      </c>
    </row>
    <row r="1456" spans="1:17" s="182" customFormat="1" ht="33.75" x14ac:dyDescent="0.2">
      <c r="A1456" s="163">
        <v>2020</v>
      </c>
      <c r="B1456" s="163">
        <v>12</v>
      </c>
      <c r="C1456" s="163">
        <v>17</v>
      </c>
      <c r="D1456" s="141">
        <f t="shared" si="50"/>
        <v>44182</v>
      </c>
      <c r="E1456" s="275">
        <f t="shared" si="51"/>
        <v>44182</v>
      </c>
      <c r="F1456" s="480"/>
      <c r="G1456" s="221" t="s">
        <v>74</v>
      </c>
      <c r="H1456" s="174" t="str" cm="1">
        <f t="array" ref="H1456">IFERROR(INDEX(INVESTOR_LIST[INVESTOR NAME],MATCH(I1456,INVESTOR_LIST[INVESTOR CODE],0),)," ")</f>
        <v>RAHNUMA SANJANA</v>
      </c>
      <c r="I1456" s="148" t="s">
        <v>467</v>
      </c>
      <c r="J1456" s="146" t="s">
        <v>53</v>
      </c>
      <c r="K1456" s="219"/>
      <c r="L1456" s="219">
        <v>595740</v>
      </c>
      <c r="M1456" s="181">
        <v>0</v>
      </c>
      <c r="Q1456" s="133" t="s">
        <v>467</v>
      </c>
    </row>
    <row r="1457" spans="1:17" s="182" customFormat="1" ht="33.75" x14ac:dyDescent="0.2">
      <c r="A1457" s="168">
        <v>2020</v>
      </c>
      <c r="B1457" s="168">
        <v>12</v>
      </c>
      <c r="C1457" s="168">
        <v>17</v>
      </c>
      <c r="D1457" s="141">
        <f t="shared" si="50"/>
        <v>44182</v>
      </c>
      <c r="E1457" s="275">
        <f t="shared" si="51"/>
        <v>44182</v>
      </c>
      <c r="F1457" s="479" t="s">
        <v>964</v>
      </c>
      <c r="G1457" s="220" t="s">
        <v>74</v>
      </c>
      <c r="H1457" s="220" t="str" cm="1">
        <f t="array" ref="H1457">IFERROR(INDEX(INVESTOR_LIST[INVESTOR NAME],MATCH(I1457,INVESTOR_LIST[INVESTOR CODE],0),)," ")</f>
        <v>SATINATH GHOSH</v>
      </c>
      <c r="I1457" s="142" t="s">
        <v>487</v>
      </c>
      <c r="J1457" s="143" t="s">
        <v>52</v>
      </c>
      <c r="K1457" s="226">
        <v>395740</v>
      </c>
      <c r="L1457" s="226"/>
      <c r="M1457" s="181">
        <v>0</v>
      </c>
      <c r="Q1457" s="133" t="s">
        <v>487</v>
      </c>
    </row>
    <row r="1458" spans="1:17" s="182" customFormat="1" ht="33.75" x14ac:dyDescent="0.2">
      <c r="A1458" s="133">
        <v>2020</v>
      </c>
      <c r="B1458" s="133">
        <v>12</v>
      </c>
      <c r="C1458" s="133">
        <v>17</v>
      </c>
      <c r="D1458" s="141">
        <f t="shared" si="50"/>
        <v>44182</v>
      </c>
      <c r="E1458" s="275">
        <f t="shared" si="51"/>
        <v>44182</v>
      </c>
      <c r="F1458" s="481"/>
      <c r="G1458" s="174" t="s">
        <v>74</v>
      </c>
      <c r="H1458" s="174" t="str" cm="1">
        <f t="array" ref="H1458">IFERROR(INDEX(INVESTOR_LIST[INVESTOR NAME],MATCH(I1458,INVESTOR_LIST[INVESTOR CODE],0),)," ")</f>
        <v>SATINATH GHOSH</v>
      </c>
      <c r="I1458" s="148" t="s">
        <v>487</v>
      </c>
      <c r="J1458" s="149" t="s">
        <v>13</v>
      </c>
      <c r="K1458" s="218"/>
      <c r="L1458" s="218">
        <v>336800</v>
      </c>
      <c r="M1458" s="181">
        <v>0</v>
      </c>
      <c r="Q1458" s="133" t="s">
        <v>487</v>
      </c>
    </row>
    <row r="1459" spans="1:17" s="182" customFormat="1" ht="33.75" x14ac:dyDescent="0.2">
      <c r="A1459" s="163">
        <v>2020</v>
      </c>
      <c r="B1459" s="163">
        <v>12</v>
      </c>
      <c r="C1459" s="163">
        <v>17</v>
      </c>
      <c r="D1459" s="141">
        <f t="shared" si="50"/>
        <v>44182</v>
      </c>
      <c r="E1459" s="275">
        <f t="shared" si="51"/>
        <v>44182</v>
      </c>
      <c r="F1459" s="480"/>
      <c r="G1459" s="221" t="s">
        <v>74</v>
      </c>
      <c r="H1459" s="221" t="str" cm="1">
        <f t="array" ref="H1459">IFERROR(INDEX(INVESTOR_LIST[INVESTOR NAME],MATCH(I1459,INVESTOR_LIST[INVESTOR CODE],0),)," ")</f>
        <v>SATINATH GHOSH</v>
      </c>
      <c r="I1459" s="145" t="s">
        <v>487</v>
      </c>
      <c r="J1459" s="146" t="s">
        <v>53</v>
      </c>
      <c r="K1459" s="219"/>
      <c r="L1459" s="219">
        <v>58940</v>
      </c>
      <c r="M1459" s="181">
        <v>0</v>
      </c>
      <c r="Q1459" s="133" t="s">
        <v>487</v>
      </c>
    </row>
    <row r="1460" spans="1:17" s="182" customFormat="1" x14ac:dyDescent="0.2">
      <c r="A1460" s="133">
        <v>2020</v>
      </c>
      <c r="B1460" s="133">
        <v>12</v>
      </c>
      <c r="C1460" s="133">
        <v>17</v>
      </c>
      <c r="D1460" s="141">
        <f t="shared" si="50"/>
        <v>44182</v>
      </c>
      <c r="E1460" s="275">
        <f t="shared" si="51"/>
        <v>44182</v>
      </c>
      <c r="F1460" s="496" t="s">
        <v>250</v>
      </c>
      <c r="G1460" s="174" t="s">
        <v>74</v>
      </c>
      <c r="H1460" s="174" t="str" cm="1">
        <f t="array" ref="H1460">IFERROR(INDEX(INVESTOR_LIST[INVESTOR NAME],MATCH(I1460,INVESTOR_LIST[INVESTOR CODE],0),)," ")</f>
        <v xml:space="preserve"> </v>
      </c>
      <c r="I1460" s="148" t="s">
        <v>348</v>
      </c>
      <c r="J1460" s="149" t="s">
        <v>147</v>
      </c>
      <c r="K1460" s="218">
        <v>3552282.62</v>
      </c>
      <c r="L1460" s="218"/>
      <c r="M1460" s="181">
        <v>0</v>
      </c>
      <c r="Q1460" s="133" t="s">
        <v>348</v>
      </c>
    </row>
    <row r="1461" spans="1:17" s="182" customFormat="1" x14ac:dyDescent="0.2">
      <c r="A1461" s="163">
        <v>2020</v>
      </c>
      <c r="B1461" s="163">
        <v>12</v>
      </c>
      <c r="C1461" s="163">
        <v>17</v>
      </c>
      <c r="D1461" s="141">
        <f t="shared" si="50"/>
        <v>44182</v>
      </c>
      <c r="E1461" s="275">
        <f t="shared" si="51"/>
        <v>44182</v>
      </c>
      <c r="F1461" s="495"/>
      <c r="G1461" s="221" t="s">
        <v>74</v>
      </c>
      <c r="H1461" s="221" t="str" cm="1">
        <f t="array" ref="H1461">IFERROR(INDEX(INVESTOR_LIST[INVESTOR NAME],MATCH(I1461,INVESTOR_LIST[INVESTOR CODE],0),)," ")</f>
        <v xml:space="preserve"> </v>
      </c>
      <c r="I1461" s="145" t="s">
        <v>348</v>
      </c>
      <c r="J1461" s="146" t="s">
        <v>52</v>
      </c>
      <c r="K1461" s="219"/>
      <c r="L1461" s="219">
        <v>3552282.62</v>
      </c>
      <c r="M1461" s="181">
        <v>0</v>
      </c>
      <c r="Q1461" s="133" t="s">
        <v>348</v>
      </c>
    </row>
    <row r="1462" spans="1:17" s="182" customFormat="1" x14ac:dyDescent="0.2">
      <c r="A1462" s="133">
        <v>2020</v>
      </c>
      <c r="B1462" s="133">
        <v>12</v>
      </c>
      <c r="C1462" s="133">
        <v>17</v>
      </c>
      <c r="D1462" s="141">
        <f t="shared" si="50"/>
        <v>44182</v>
      </c>
      <c r="E1462" s="275">
        <f t="shared" si="51"/>
        <v>44182</v>
      </c>
      <c r="F1462" s="496" t="s">
        <v>250</v>
      </c>
      <c r="G1462" s="174" t="s">
        <v>74</v>
      </c>
      <c r="H1462" s="174" t="str" cm="1">
        <f t="array" ref="H1462">IFERROR(INDEX(INVESTOR_LIST[INVESTOR NAME],MATCH(I1462,INVESTOR_LIST[INVESTOR CODE],0),)," ")</f>
        <v xml:space="preserve"> </v>
      </c>
      <c r="I1462" s="148" t="s">
        <v>348</v>
      </c>
      <c r="J1462" s="149" t="s">
        <v>147</v>
      </c>
      <c r="K1462" s="218">
        <v>1497691</v>
      </c>
      <c r="L1462" s="218"/>
      <c r="M1462" s="181"/>
      <c r="Q1462" s="133" t="s">
        <v>348</v>
      </c>
    </row>
    <row r="1463" spans="1:17" s="182" customFormat="1" x14ac:dyDescent="0.2">
      <c r="A1463" s="163">
        <v>2020</v>
      </c>
      <c r="B1463" s="163">
        <v>12</v>
      </c>
      <c r="C1463" s="163">
        <v>17</v>
      </c>
      <c r="D1463" s="141">
        <f t="shared" si="50"/>
        <v>44182</v>
      </c>
      <c r="E1463" s="275">
        <f t="shared" si="51"/>
        <v>44182</v>
      </c>
      <c r="F1463" s="495"/>
      <c r="G1463" s="221" t="s">
        <v>74</v>
      </c>
      <c r="H1463" s="221" t="str" cm="1">
        <f t="array" ref="H1463">IFERROR(INDEX(INVESTOR_LIST[INVESTOR NAME],MATCH(I1463,INVESTOR_LIST[INVESTOR CODE],0),)," ")</f>
        <v xml:space="preserve"> </v>
      </c>
      <c r="I1463" s="145" t="s">
        <v>348</v>
      </c>
      <c r="J1463" s="146" t="s">
        <v>52</v>
      </c>
      <c r="K1463" s="219"/>
      <c r="L1463" s="219">
        <v>1497691</v>
      </c>
      <c r="M1463" s="181"/>
      <c r="Q1463" s="133" t="s">
        <v>348</v>
      </c>
    </row>
    <row r="1464" spans="1:17" x14ac:dyDescent="0.2">
      <c r="A1464" s="168">
        <v>2020</v>
      </c>
      <c r="B1464" s="168">
        <v>12</v>
      </c>
      <c r="C1464" s="168">
        <v>17</v>
      </c>
      <c r="D1464" s="141">
        <f t="shared" si="50"/>
        <v>44182</v>
      </c>
      <c r="E1464" s="275">
        <f t="shared" si="51"/>
        <v>44182</v>
      </c>
      <c r="F1464" s="479" t="s">
        <v>256</v>
      </c>
      <c r="G1464" s="220" t="s">
        <v>94</v>
      </c>
      <c r="H1464" s="220" t="str" cm="1">
        <f t="array" ref="H1464">IFERROR(INDEX(INVESTOR_LIST[INVESTOR NAME],MATCH(I1464,INVESTOR_LIST[INVESTOR CODE],0),)," ")</f>
        <v xml:space="preserve"> </v>
      </c>
      <c r="I1464" s="142" t="s">
        <v>348</v>
      </c>
      <c r="J1464" s="143" t="s">
        <v>79</v>
      </c>
      <c r="K1464" s="226">
        <v>3182810.8</v>
      </c>
      <c r="L1464" s="226"/>
      <c r="M1464" s="147">
        <v>1</v>
      </c>
      <c r="Q1464" s="133" t="s">
        <v>348</v>
      </c>
    </row>
    <row r="1465" spans="1:17" x14ac:dyDescent="0.2">
      <c r="A1465" s="133">
        <v>2020</v>
      </c>
      <c r="B1465" s="133">
        <v>12</v>
      </c>
      <c r="C1465" s="133">
        <v>17</v>
      </c>
      <c r="D1465" s="141">
        <f t="shared" si="50"/>
        <v>44182</v>
      </c>
      <c r="E1465" s="275">
        <f t="shared" si="51"/>
        <v>44182</v>
      </c>
      <c r="F1465" s="481"/>
      <c r="G1465" s="174" t="s">
        <v>94</v>
      </c>
      <c r="H1465" s="174" t="str" cm="1">
        <f t="array" ref="H1465">IFERROR(INDEX(INVESTOR_LIST[INVESTOR NAME],MATCH(I1465,INVESTOR_LIST[INVESTOR CODE],0),)," ")</f>
        <v xml:space="preserve"> </v>
      </c>
      <c r="I1465" s="148" t="s">
        <v>348</v>
      </c>
      <c r="J1465" s="149" t="s">
        <v>80</v>
      </c>
      <c r="K1465" s="218">
        <v>5729.06</v>
      </c>
      <c r="L1465" s="218"/>
      <c r="M1465" s="147">
        <v>0</v>
      </c>
      <c r="Q1465" s="133" t="s">
        <v>348</v>
      </c>
    </row>
    <row r="1466" spans="1:17" x14ac:dyDescent="0.2">
      <c r="A1466" s="163">
        <v>2020</v>
      </c>
      <c r="B1466" s="163">
        <v>12</v>
      </c>
      <c r="C1466" s="163">
        <v>17</v>
      </c>
      <c r="D1466" s="141">
        <f t="shared" si="50"/>
        <v>44182</v>
      </c>
      <c r="E1466" s="275">
        <f t="shared" si="51"/>
        <v>44182</v>
      </c>
      <c r="F1466" s="480"/>
      <c r="G1466" s="221" t="s">
        <v>94</v>
      </c>
      <c r="H1466" s="221" t="str" cm="1">
        <f t="array" ref="H1466">IFERROR(INDEX(INVESTOR_LIST[INVESTOR NAME],MATCH(I1466,INVESTOR_LIST[INVESTOR CODE],0),)," ")</f>
        <v xml:space="preserve"> </v>
      </c>
      <c r="I1466" s="145" t="s">
        <v>348</v>
      </c>
      <c r="J1466" s="146" t="s">
        <v>147</v>
      </c>
      <c r="K1466" s="219"/>
      <c r="L1466" s="219">
        <v>3188539.86</v>
      </c>
      <c r="M1466" s="147">
        <v>0</v>
      </c>
      <c r="Q1466" s="133" t="s">
        <v>348</v>
      </c>
    </row>
    <row r="1467" spans="1:17" x14ac:dyDescent="0.2">
      <c r="A1467" s="168">
        <v>2020</v>
      </c>
      <c r="B1467" s="168">
        <v>12</v>
      </c>
      <c r="C1467" s="168">
        <v>17</v>
      </c>
      <c r="D1467" s="141">
        <f t="shared" si="50"/>
        <v>44182</v>
      </c>
      <c r="E1467" s="275">
        <f t="shared" si="51"/>
        <v>44182</v>
      </c>
      <c r="F1467" s="479" t="s">
        <v>257</v>
      </c>
      <c r="G1467" s="220" t="s">
        <v>94</v>
      </c>
      <c r="H1467" s="220" t="str" cm="1">
        <f t="array" ref="H1467">IFERROR(INDEX(INVESTOR_LIST[INVESTOR NAME],MATCH(I1467,INVESTOR_LIST[INVESTOR CODE],0),)," ")</f>
        <v xml:space="preserve"> </v>
      </c>
      <c r="I1467" s="142" t="s">
        <v>348</v>
      </c>
      <c r="J1467" s="143" t="s">
        <v>79</v>
      </c>
      <c r="K1467" s="226">
        <v>5337173.7</v>
      </c>
      <c r="L1467" s="226"/>
      <c r="M1467" s="147">
        <v>0</v>
      </c>
      <c r="Q1467" s="133" t="s">
        <v>348</v>
      </c>
    </row>
    <row r="1468" spans="1:17" x14ac:dyDescent="0.2">
      <c r="A1468" s="133">
        <v>2020</v>
      </c>
      <c r="B1468" s="133">
        <v>12</v>
      </c>
      <c r="C1468" s="133">
        <v>17</v>
      </c>
      <c r="D1468" s="141">
        <f t="shared" si="50"/>
        <v>44182</v>
      </c>
      <c r="E1468" s="275">
        <f t="shared" si="51"/>
        <v>44182</v>
      </c>
      <c r="F1468" s="481"/>
      <c r="G1468" s="174" t="s">
        <v>94</v>
      </c>
      <c r="H1468" s="174" t="str" cm="1">
        <f t="array" ref="H1468">IFERROR(INDEX(INVESTOR_LIST[INVESTOR NAME],MATCH(I1468,INVESTOR_LIST[INVESTOR CODE],0),)," ")</f>
        <v xml:space="preserve"> </v>
      </c>
      <c r="I1468" s="148" t="s">
        <v>348</v>
      </c>
      <c r="J1468" s="149" t="s">
        <v>80</v>
      </c>
      <c r="K1468" s="218">
        <f>9606.91+2803.28</f>
        <v>12410.19</v>
      </c>
      <c r="L1468" s="218"/>
      <c r="M1468" s="147">
        <v>0</v>
      </c>
      <c r="Q1468" s="133" t="s">
        <v>348</v>
      </c>
    </row>
    <row r="1469" spans="1:17" x14ac:dyDescent="0.2">
      <c r="A1469" s="133">
        <v>2020</v>
      </c>
      <c r="B1469" s="133">
        <v>12</v>
      </c>
      <c r="C1469" s="133">
        <v>17</v>
      </c>
      <c r="D1469" s="141">
        <f t="shared" si="50"/>
        <v>44182</v>
      </c>
      <c r="E1469" s="275">
        <f t="shared" si="51"/>
        <v>44182</v>
      </c>
      <c r="F1469" s="481"/>
      <c r="G1469" s="174" t="s">
        <v>94</v>
      </c>
      <c r="H1469" s="174" t="str" cm="1">
        <f t="array" ref="H1469">IFERROR(INDEX(INVESTOR_LIST[INVESTOR NAME],MATCH(I1469,INVESTOR_LIST[INVESTOR CODE],0),)," ")</f>
        <v xml:space="preserve"> </v>
      </c>
      <c r="I1469" s="148" t="s">
        <v>348</v>
      </c>
      <c r="J1469" s="149" t="s">
        <v>79</v>
      </c>
      <c r="K1469" s="218"/>
      <c r="L1469" s="218">
        <v>347222.22222222225</v>
      </c>
      <c r="M1469" s="147">
        <v>0</v>
      </c>
      <c r="Q1469" s="133" t="s">
        <v>348</v>
      </c>
    </row>
    <row r="1470" spans="1:17" x14ac:dyDescent="0.2">
      <c r="A1470" s="133">
        <v>2020</v>
      </c>
      <c r="B1470" s="133">
        <v>12</v>
      </c>
      <c r="C1470" s="133">
        <v>17</v>
      </c>
      <c r="D1470" s="141">
        <f t="shared" si="50"/>
        <v>44182</v>
      </c>
      <c r="E1470" s="275">
        <f t="shared" si="51"/>
        <v>44182</v>
      </c>
      <c r="F1470" s="481"/>
      <c r="G1470" s="174" t="s">
        <v>94</v>
      </c>
      <c r="H1470" s="174" t="str" cm="1">
        <f t="array" ref="H1470">IFERROR(INDEX(INVESTOR_LIST[INVESTOR NAME],MATCH(I1470,INVESTOR_LIST[INVESTOR CODE],0),)," ")</f>
        <v xml:space="preserve"> </v>
      </c>
      <c r="I1470" s="148" t="s">
        <v>348</v>
      </c>
      <c r="J1470" s="149" t="s">
        <v>147</v>
      </c>
      <c r="K1470" s="218"/>
      <c r="L1470" s="218">
        <v>3792208.89</v>
      </c>
      <c r="M1470" s="147">
        <v>0</v>
      </c>
      <c r="N1470" s="156"/>
      <c r="Q1470" s="133" t="s">
        <v>348</v>
      </c>
    </row>
    <row r="1471" spans="1:17" x14ac:dyDescent="0.2">
      <c r="A1471" s="163">
        <v>2020</v>
      </c>
      <c r="B1471" s="163">
        <v>12</v>
      </c>
      <c r="C1471" s="163">
        <v>17</v>
      </c>
      <c r="D1471" s="141">
        <f t="shared" si="50"/>
        <v>44182</v>
      </c>
      <c r="E1471" s="275">
        <f t="shared" si="51"/>
        <v>44182</v>
      </c>
      <c r="F1471" s="480"/>
      <c r="G1471" s="221" t="s">
        <v>94</v>
      </c>
      <c r="H1471" s="221" t="str" cm="1">
        <f t="array" ref="H1471">IFERROR(INDEX(INVESTOR_LIST[INVESTOR NAME],MATCH(I1471,INVESTOR_LIST[INVESTOR CODE],0),)," ")</f>
        <v xml:space="preserve"> </v>
      </c>
      <c r="I1471" s="145" t="s">
        <v>348</v>
      </c>
      <c r="J1471" s="146" t="s">
        <v>191</v>
      </c>
      <c r="K1471" s="219"/>
      <c r="L1471" s="219">
        <v>1210152.7777777778</v>
      </c>
      <c r="M1471" s="147">
        <v>0</v>
      </c>
      <c r="Q1471" s="133" t="s">
        <v>348</v>
      </c>
    </row>
    <row r="1472" spans="1:17" ht="33.75" x14ac:dyDescent="0.2">
      <c r="A1472" s="168">
        <v>2020</v>
      </c>
      <c r="B1472" s="168">
        <v>12</v>
      </c>
      <c r="C1472" s="168">
        <v>17</v>
      </c>
      <c r="D1472" s="141">
        <f t="shared" si="50"/>
        <v>44182</v>
      </c>
      <c r="E1472" s="275">
        <f t="shared" si="51"/>
        <v>44182</v>
      </c>
      <c r="F1472" s="479" t="s">
        <v>964</v>
      </c>
      <c r="G1472" s="220" t="s">
        <v>74</v>
      </c>
      <c r="H1472" s="220" t="str" cm="1">
        <f t="array" ref="H1472">IFERROR(INDEX(INVESTOR_LIST[INVESTOR NAME],MATCH(I1472,INVESTOR_LIST[INVESTOR CODE],0),)," ")</f>
        <v>MD. MANAZIR KABIR</v>
      </c>
      <c r="I1472" s="142" t="s">
        <v>492</v>
      </c>
      <c r="J1472" s="143" t="s">
        <v>52</v>
      </c>
      <c r="K1472" s="226">
        <v>150540</v>
      </c>
      <c r="L1472" s="226"/>
      <c r="M1472" s="147">
        <v>0</v>
      </c>
      <c r="Q1472" s="133" t="s">
        <v>492</v>
      </c>
    </row>
    <row r="1473" spans="1:17" ht="33.75" x14ac:dyDescent="0.2">
      <c r="A1473" s="133">
        <v>2020</v>
      </c>
      <c r="B1473" s="133">
        <v>12</v>
      </c>
      <c r="C1473" s="133">
        <v>17</v>
      </c>
      <c r="D1473" s="141">
        <f t="shared" si="50"/>
        <v>44182</v>
      </c>
      <c r="E1473" s="275">
        <f t="shared" si="51"/>
        <v>44182</v>
      </c>
      <c r="F1473" s="481"/>
      <c r="G1473" s="174" t="s">
        <v>74</v>
      </c>
      <c r="H1473" s="174" t="str" cm="1">
        <f t="array" ref="H1473">IFERROR(INDEX(INVESTOR_LIST[INVESTOR NAME],MATCH(I1473,INVESTOR_LIST[INVESTOR CODE],0),)," ")</f>
        <v>MD. MANAZIR KABIR</v>
      </c>
      <c r="I1473" s="148" t="s">
        <v>492</v>
      </c>
      <c r="J1473" s="149" t="s">
        <v>13</v>
      </c>
      <c r="K1473" s="218"/>
      <c r="L1473" s="218">
        <v>130000</v>
      </c>
      <c r="M1473" s="147">
        <v>0</v>
      </c>
      <c r="Q1473" s="133" t="s">
        <v>492</v>
      </c>
    </row>
    <row r="1474" spans="1:17" ht="33.75" x14ac:dyDescent="0.2">
      <c r="A1474" s="163">
        <v>2020</v>
      </c>
      <c r="B1474" s="163">
        <v>12</v>
      </c>
      <c r="C1474" s="163">
        <v>17</v>
      </c>
      <c r="D1474" s="141">
        <f t="shared" si="50"/>
        <v>44182</v>
      </c>
      <c r="E1474" s="275">
        <f t="shared" si="51"/>
        <v>44182</v>
      </c>
      <c r="F1474" s="480"/>
      <c r="G1474" s="221" t="s">
        <v>74</v>
      </c>
      <c r="H1474" s="174" t="str" cm="1">
        <f t="array" ref="H1474">IFERROR(INDEX(INVESTOR_LIST[INVESTOR NAME],MATCH(I1474,INVESTOR_LIST[INVESTOR CODE],0),)," ")</f>
        <v>MD. MANAZIR KABIR</v>
      </c>
      <c r="I1474" s="148" t="s">
        <v>492</v>
      </c>
      <c r="J1474" s="146" t="s">
        <v>53</v>
      </c>
      <c r="K1474" s="219"/>
      <c r="L1474" s="219">
        <v>20540</v>
      </c>
      <c r="M1474" s="147">
        <v>1</v>
      </c>
      <c r="Q1474" s="133" t="s">
        <v>492</v>
      </c>
    </row>
    <row r="1475" spans="1:17" x14ac:dyDescent="0.2">
      <c r="A1475" s="168">
        <v>2020</v>
      </c>
      <c r="B1475" s="168">
        <v>12</v>
      </c>
      <c r="C1475" s="168">
        <v>17</v>
      </c>
      <c r="D1475" s="141">
        <f t="shared" si="50"/>
        <v>44182</v>
      </c>
      <c r="E1475" s="275">
        <f t="shared" si="51"/>
        <v>44182</v>
      </c>
      <c r="F1475" s="479" t="s">
        <v>262</v>
      </c>
      <c r="G1475" s="220" t="s">
        <v>74</v>
      </c>
      <c r="H1475" s="220" t="str" cm="1">
        <f t="array" ref="H1475">IFERROR(INDEX(INVESTOR_LIST[INVESTOR NAME],MATCH(I1475,INVESTOR_LIST[INVESTOR CODE],0),)," ")</f>
        <v xml:space="preserve"> </v>
      </c>
      <c r="I1475" s="142" t="s">
        <v>348</v>
      </c>
      <c r="J1475" s="143" t="s">
        <v>52</v>
      </c>
      <c r="K1475" s="226">
        <v>2000000</v>
      </c>
      <c r="L1475" s="226"/>
      <c r="M1475" s="147">
        <v>0</v>
      </c>
      <c r="Q1475" s="133" t="s">
        <v>348</v>
      </c>
    </row>
    <row r="1476" spans="1:17" x14ac:dyDescent="0.2">
      <c r="A1476" s="163">
        <v>2020</v>
      </c>
      <c r="B1476" s="163">
        <v>12</v>
      </c>
      <c r="C1476" s="163">
        <v>17</v>
      </c>
      <c r="D1476" s="141">
        <f t="shared" si="50"/>
        <v>44182</v>
      </c>
      <c r="E1476" s="275">
        <f t="shared" si="51"/>
        <v>44182</v>
      </c>
      <c r="F1476" s="480"/>
      <c r="G1476" s="221" t="s">
        <v>74</v>
      </c>
      <c r="H1476" s="221" t="str" cm="1">
        <f t="array" ref="H1476">IFERROR(INDEX(INVESTOR_LIST[INVESTOR NAME],MATCH(I1476,INVESTOR_LIST[INVESTOR CODE],0),)," ")</f>
        <v xml:space="preserve"> </v>
      </c>
      <c r="I1476" s="145" t="s">
        <v>348</v>
      </c>
      <c r="J1476" s="146" t="s">
        <v>96</v>
      </c>
      <c r="K1476" s="219"/>
      <c r="L1476" s="219">
        <v>2000000</v>
      </c>
      <c r="M1476" s="147">
        <v>0</v>
      </c>
      <c r="Q1476" s="133" t="s">
        <v>348</v>
      </c>
    </row>
    <row r="1477" spans="1:17" x14ac:dyDescent="0.2">
      <c r="A1477" s="133">
        <v>2020</v>
      </c>
      <c r="B1477" s="133">
        <v>12</v>
      </c>
      <c r="C1477" s="133">
        <v>17</v>
      </c>
      <c r="D1477" s="141">
        <f t="shared" si="50"/>
        <v>44182</v>
      </c>
      <c r="E1477" s="275">
        <f t="shared" si="51"/>
        <v>44182</v>
      </c>
      <c r="F1477" s="481" t="s">
        <v>262</v>
      </c>
      <c r="G1477" s="174" t="s">
        <v>74</v>
      </c>
      <c r="H1477" s="174" t="str" cm="1">
        <f t="array" ref="H1477">IFERROR(INDEX(INVESTOR_LIST[INVESTOR NAME],MATCH(I1477,INVESTOR_LIST[INVESTOR CODE],0),)," ")</f>
        <v xml:space="preserve"> </v>
      </c>
      <c r="I1477" s="148" t="s">
        <v>348</v>
      </c>
      <c r="J1477" s="149" t="s">
        <v>52</v>
      </c>
      <c r="K1477" s="218">
        <v>3000000</v>
      </c>
      <c r="L1477" s="218"/>
      <c r="M1477" s="147">
        <v>0</v>
      </c>
      <c r="Q1477" s="133" t="s">
        <v>348</v>
      </c>
    </row>
    <row r="1478" spans="1:17" x14ac:dyDescent="0.2">
      <c r="A1478" s="163">
        <v>2020</v>
      </c>
      <c r="B1478" s="163">
        <v>12</v>
      </c>
      <c r="C1478" s="163">
        <v>17</v>
      </c>
      <c r="D1478" s="141">
        <f t="shared" si="50"/>
        <v>44182</v>
      </c>
      <c r="E1478" s="275">
        <f t="shared" si="51"/>
        <v>44182</v>
      </c>
      <c r="F1478" s="480"/>
      <c r="G1478" s="221" t="s">
        <v>74</v>
      </c>
      <c r="H1478" s="221" t="str" cm="1">
        <f t="array" ref="H1478">IFERROR(INDEX(INVESTOR_LIST[INVESTOR NAME],MATCH(I1478,INVESTOR_LIST[INVESTOR CODE],0),)," ")</f>
        <v xml:space="preserve"> </v>
      </c>
      <c r="I1478" s="145" t="s">
        <v>348</v>
      </c>
      <c r="J1478" s="146" t="s">
        <v>96</v>
      </c>
      <c r="K1478" s="219"/>
      <c r="L1478" s="219">
        <v>3000000</v>
      </c>
      <c r="M1478" s="147">
        <v>0</v>
      </c>
      <c r="Q1478" s="133" t="s">
        <v>348</v>
      </c>
    </row>
    <row r="1479" spans="1:17" x14ac:dyDescent="0.2">
      <c r="A1479" s="133">
        <v>2020</v>
      </c>
      <c r="B1479" s="133">
        <v>12</v>
      </c>
      <c r="C1479" s="133">
        <v>17</v>
      </c>
      <c r="D1479" s="141">
        <f t="shared" si="50"/>
        <v>44182</v>
      </c>
      <c r="E1479" s="275">
        <f t="shared" si="51"/>
        <v>44182</v>
      </c>
      <c r="F1479" s="481" t="s">
        <v>262</v>
      </c>
      <c r="G1479" s="174" t="s">
        <v>74</v>
      </c>
      <c r="H1479" s="174" t="str" cm="1">
        <f t="array" ref="H1479">IFERROR(INDEX(INVESTOR_LIST[INVESTOR NAME],MATCH(I1479,INVESTOR_LIST[INVESTOR CODE],0),)," ")</f>
        <v xml:space="preserve"> </v>
      </c>
      <c r="I1479" s="148" t="s">
        <v>348</v>
      </c>
      <c r="J1479" s="149" t="s">
        <v>52</v>
      </c>
      <c r="K1479" s="218">
        <v>5000000</v>
      </c>
      <c r="L1479" s="218"/>
      <c r="M1479" s="147">
        <v>0</v>
      </c>
      <c r="Q1479" s="133" t="s">
        <v>348</v>
      </c>
    </row>
    <row r="1480" spans="1:17" x14ac:dyDescent="0.2">
      <c r="A1480" s="163">
        <v>2020</v>
      </c>
      <c r="B1480" s="163">
        <v>12</v>
      </c>
      <c r="C1480" s="163">
        <v>17</v>
      </c>
      <c r="D1480" s="141">
        <f t="shared" si="50"/>
        <v>44182</v>
      </c>
      <c r="E1480" s="275">
        <f t="shared" si="51"/>
        <v>44182</v>
      </c>
      <c r="F1480" s="480"/>
      <c r="G1480" s="221" t="s">
        <v>74</v>
      </c>
      <c r="H1480" s="221" t="str" cm="1">
        <f t="array" ref="H1480">IFERROR(INDEX(INVESTOR_LIST[INVESTOR NAME],MATCH(I1480,INVESTOR_LIST[INVESTOR CODE],0),)," ")</f>
        <v xml:space="preserve"> </v>
      </c>
      <c r="I1480" s="145" t="s">
        <v>348</v>
      </c>
      <c r="J1480" s="146" t="s">
        <v>96</v>
      </c>
      <c r="K1480" s="219"/>
      <c r="L1480" s="219">
        <v>5000000</v>
      </c>
      <c r="M1480" s="147">
        <v>0</v>
      </c>
      <c r="Q1480" s="133" t="s">
        <v>348</v>
      </c>
    </row>
    <row r="1481" spans="1:17" x14ac:dyDescent="0.2">
      <c r="A1481" s="133">
        <v>2020</v>
      </c>
      <c r="B1481" s="133">
        <v>12</v>
      </c>
      <c r="C1481" s="133">
        <v>17</v>
      </c>
      <c r="D1481" s="141">
        <f t="shared" si="50"/>
        <v>44182</v>
      </c>
      <c r="E1481" s="275">
        <f t="shared" si="51"/>
        <v>44182</v>
      </c>
      <c r="F1481" s="481" t="s">
        <v>195</v>
      </c>
      <c r="G1481" s="174" t="s">
        <v>74</v>
      </c>
      <c r="H1481" s="174" t="str" cm="1">
        <f t="array" ref="H1481">IFERROR(INDEX(INVESTOR_LIST[INVESTOR NAME],MATCH(I1481,INVESTOR_LIST[INVESTOR CODE],0),)," ")</f>
        <v xml:space="preserve"> </v>
      </c>
      <c r="I1481" s="148" t="s">
        <v>348</v>
      </c>
      <c r="J1481" s="149" t="s">
        <v>52</v>
      </c>
      <c r="K1481" s="218">
        <v>7071</v>
      </c>
      <c r="L1481" s="218"/>
      <c r="M1481" s="147">
        <v>0</v>
      </c>
      <c r="P1481" s="156"/>
      <c r="Q1481" s="133" t="s">
        <v>348</v>
      </c>
    </row>
    <row r="1482" spans="1:17" x14ac:dyDescent="0.2">
      <c r="A1482" s="163">
        <v>2020</v>
      </c>
      <c r="B1482" s="163">
        <v>12</v>
      </c>
      <c r="C1482" s="163">
        <v>17</v>
      </c>
      <c r="D1482" s="141">
        <f t="shared" si="50"/>
        <v>44182</v>
      </c>
      <c r="E1482" s="275">
        <f t="shared" si="51"/>
        <v>44182</v>
      </c>
      <c r="F1482" s="480"/>
      <c r="G1482" s="221" t="s">
        <v>74</v>
      </c>
      <c r="H1482" s="221" t="str" cm="1">
        <f t="array" ref="H1482">IFERROR(INDEX(INVESTOR_LIST[INVESTOR NAME],MATCH(I1482,INVESTOR_LIST[INVESTOR CODE],0),)," ")</f>
        <v xml:space="preserve"> </v>
      </c>
      <c r="I1482" s="145" t="s">
        <v>348</v>
      </c>
      <c r="J1482" s="146" t="s">
        <v>60</v>
      </c>
      <c r="K1482" s="219"/>
      <c r="L1482" s="219">
        <v>7071</v>
      </c>
      <c r="M1482" s="147">
        <v>0</v>
      </c>
      <c r="Q1482" s="133" t="s">
        <v>348</v>
      </c>
    </row>
    <row r="1483" spans="1:17" x14ac:dyDescent="0.2">
      <c r="A1483" s="133">
        <v>2020</v>
      </c>
      <c r="B1483" s="133">
        <v>12</v>
      </c>
      <c r="C1483" s="133">
        <v>17</v>
      </c>
      <c r="D1483" s="141">
        <f t="shared" si="50"/>
        <v>44182</v>
      </c>
      <c r="E1483" s="275">
        <f t="shared" si="51"/>
        <v>44182</v>
      </c>
      <c r="F1483" s="481" t="s">
        <v>195</v>
      </c>
      <c r="G1483" s="174" t="s">
        <v>74</v>
      </c>
      <c r="H1483" s="174" t="str" cm="1">
        <f t="array" ref="H1483">IFERROR(INDEX(INVESTOR_LIST[INVESTOR NAME],MATCH(I1483,INVESTOR_LIST[INVESTOR CODE],0),)," ")</f>
        <v xml:space="preserve"> </v>
      </c>
      <c r="I1483" s="148" t="s">
        <v>348</v>
      </c>
      <c r="J1483" s="149" t="s">
        <v>52</v>
      </c>
      <c r="K1483" s="218">
        <v>13786</v>
      </c>
      <c r="L1483" s="218"/>
      <c r="M1483" s="147">
        <v>0</v>
      </c>
      <c r="Q1483" s="133" t="s">
        <v>348</v>
      </c>
    </row>
    <row r="1484" spans="1:17" x14ac:dyDescent="0.2">
      <c r="A1484" s="163">
        <v>2020</v>
      </c>
      <c r="B1484" s="163">
        <v>12</v>
      </c>
      <c r="C1484" s="163">
        <v>17</v>
      </c>
      <c r="D1484" s="141">
        <f t="shared" si="50"/>
        <v>44182</v>
      </c>
      <c r="E1484" s="275">
        <f t="shared" si="51"/>
        <v>44182</v>
      </c>
      <c r="F1484" s="480"/>
      <c r="G1484" s="221" t="s">
        <v>74</v>
      </c>
      <c r="H1484" s="221" t="str" cm="1">
        <f t="array" ref="H1484">IFERROR(INDEX(INVESTOR_LIST[INVESTOR NAME],MATCH(I1484,INVESTOR_LIST[INVESTOR CODE],0),)," ")</f>
        <v xml:space="preserve"> </v>
      </c>
      <c r="I1484" s="145" t="s">
        <v>348</v>
      </c>
      <c r="J1484" s="146" t="s">
        <v>60</v>
      </c>
      <c r="K1484" s="219"/>
      <c r="L1484" s="219">
        <v>13786</v>
      </c>
      <c r="M1484" s="147">
        <v>0</v>
      </c>
      <c r="Q1484" s="133" t="s">
        <v>348</v>
      </c>
    </row>
    <row r="1485" spans="1:17" x14ac:dyDescent="0.2">
      <c r="A1485" s="133">
        <v>2020</v>
      </c>
      <c r="B1485" s="133">
        <v>12</v>
      </c>
      <c r="C1485" s="133">
        <v>17</v>
      </c>
      <c r="D1485" s="141">
        <f t="shared" ref="D1485:D1548" si="52">DATE(A1485,B1485,C1485)</f>
        <v>44182</v>
      </c>
      <c r="E1485" s="275">
        <f t="shared" si="51"/>
        <v>44182</v>
      </c>
      <c r="F1485" s="481" t="s">
        <v>195</v>
      </c>
      <c r="G1485" s="174" t="s">
        <v>74</v>
      </c>
      <c r="H1485" s="174" t="str" cm="1">
        <f t="array" ref="H1485">IFERROR(INDEX(INVESTOR_LIST[INVESTOR NAME],MATCH(I1485,INVESTOR_LIST[INVESTOR CODE],0),)," ")</f>
        <v xml:space="preserve"> </v>
      </c>
      <c r="I1485" s="148" t="s">
        <v>348</v>
      </c>
      <c r="J1485" s="149" t="s">
        <v>52</v>
      </c>
      <c r="K1485" s="218">
        <v>3714</v>
      </c>
      <c r="L1485" s="218"/>
      <c r="M1485" s="147">
        <v>0</v>
      </c>
      <c r="Q1485" s="133" t="s">
        <v>348</v>
      </c>
    </row>
    <row r="1486" spans="1:17" x14ac:dyDescent="0.2">
      <c r="A1486" s="163">
        <v>2020</v>
      </c>
      <c r="B1486" s="163">
        <v>12</v>
      </c>
      <c r="C1486" s="163">
        <v>17</v>
      </c>
      <c r="D1486" s="141">
        <f t="shared" si="52"/>
        <v>44182</v>
      </c>
      <c r="E1486" s="275">
        <f t="shared" ref="E1486:E1549" si="53">DATE(A1486,B1486,C1486)</f>
        <v>44182</v>
      </c>
      <c r="F1486" s="480"/>
      <c r="G1486" s="221" t="s">
        <v>74</v>
      </c>
      <c r="H1486" s="221" t="str" cm="1">
        <f t="array" ref="H1486">IFERROR(INDEX(INVESTOR_LIST[INVESTOR NAME],MATCH(I1486,INVESTOR_LIST[INVESTOR CODE],0),)," ")</f>
        <v xml:space="preserve"> </v>
      </c>
      <c r="I1486" s="145" t="s">
        <v>348</v>
      </c>
      <c r="J1486" s="146" t="s">
        <v>60</v>
      </c>
      <c r="K1486" s="219"/>
      <c r="L1486" s="219">
        <v>3714</v>
      </c>
      <c r="M1486" s="147">
        <v>0</v>
      </c>
      <c r="Q1486" s="133" t="s">
        <v>348</v>
      </c>
    </row>
    <row r="1487" spans="1:17" ht="33.75" x14ac:dyDescent="0.2">
      <c r="A1487" s="133">
        <v>2020</v>
      </c>
      <c r="B1487" s="133">
        <v>12</v>
      </c>
      <c r="C1487" s="133">
        <v>17</v>
      </c>
      <c r="D1487" s="141">
        <f t="shared" si="52"/>
        <v>44182</v>
      </c>
      <c r="E1487" s="275">
        <f t="shared" si="53"/>
        <v>44182</v>
      </c>
      <c r="F1487" s="479" t="s">
        <v>964</v>
      </c>
      <c r="G1487" s="174" t="s">
        <v>74</v>
      </c>
      <c r="H1487" s="174" t="str" cm="1">
        <f t="array" ref="H1487">IFERROR(INDEX(INVESTOR_LIST[INVESTOR NAME],MATCH(I1487,INVESTOR_LIST[INVESTOR CODE],0),)," ")</f>
        <v>AMIT KANTI SARKER</v>
      </c>
      <c r="I1487" s="148" t="s">
        <v>494</v>
      </c>
      <c r="J1487" s="149" t="s">
        <v>52</v>
      </c>
      <c r="K1487" s="218">
        <v>100000</v>
      </c>
      <c r="L1487" s="218"/>
      <c r="M1487" s="147">
        <v>0</v>
      </c>
      <c r="Q1487" s="133" t="s">
        <v>494</v>
      </c>
    </row>
    <row r="1488" spans="1:17" ht="33.75" x14ac:dyDescent="0.2">
      <c r="A1488" s="133">
        <v>2020</v>
      </c>
      <c r="B1488" s="133">
        <v>12</v>
      </c>
      <c r="C1488" s="133">
        <v>17</v>
      </c>
      <c r="D1488" s="141">
        <f t="shared" si="52"/>
        <v>44182</v>
      </c>
      <c r="E1488" s="275">
        <f t="shared" si="53"/>
        <v>44182</v>
      </c>
      <c r="F1488" s="481"/>
      <c r="G1488" s="174" t="s">
        <v>74</v>
      </c>
      <c r="H1488" s="174" t="str" cm="1">
        <f t="array" ref="H1488">IFERROR(INDEX(INVESTOR_LIST[INVESTOR NAME],MATCH(I1488,INVESTOR_LIST[INVESTOR CODE],0),)," ")</f>
        <v>AMIT KANTI SARKER</v>
      </c>
      <c r="I1488" s="148" t="s">
        <v>494</v>
      </c>
      <c r="J1488" s="149" t="s">
        <v>13</v>
      </c>
      <c r="K1488" s="218"/>
      <c r="L1488" s="218">
        <v>85110</v>
      </c>
      <c r="M1488" s="147">
        <v>0</v>
      </c>
      <c r="Q1488" s="133" t="s">
        <v>494</v>
      </c>
    </row>
    <row r="1489" spans="1:17" ht="33.75" x14ac:dyDescent="0.2">
      <c r="A1489" s="133">
        <v>2020</v>
      </c>
      <c r="B1489" s="133">
        <v>12</v>
      </c>
      <c r="C1489" s="133">
        <v>17</v>
      </c>
      <c r="D1489" s="141">
        <f t="shared" si="52"/>
        <v>44182</v>
      </c>
      <c r="E1489" s="275">
        <f t="shared" si="53"/>
        <v>44182</v>
      </c>
      <c r="F1489" s="480"/>
      <c r="G1489" s="174" t="s">
        <v>74</v>
      </c>
      <c r="H1489" s="174" t="str" cm="1">
        <f t="array" ref="H1489">IFERROR(INDEX(INVESTOR_LIST[INVESTOR NAME],MATCH(I1489,INVESTOR_LIST[INVESTOR CODE],0),)," ")</f>
        <v>AMIT KANTI SARKER</v>
      </c>
      <c r="I1489" s="148" t="s">
        <v>494</v>
      </c>
      <c r="J1489" s="149" t="s">
        <v>53</v>
      </c>
      <c r="K1489" s="218"/>
      <c r="L1489" s="218">
        <v>14890</v>
      </c>
      <c r="M1489" s="147">
        <v>0</v>
      </c>
      <c r="Q1489" s="133" t="s">
        <v>494</v>
      </c>
    </row>
    <row r="1490" spans="1:17" x14ac:dyDescent="0.2">
      <c r="A1490" s="168">
        <v>2020</v>
      </c>
      <c r="B1490" s="168">
        <v>12</v>
      </c>
      <c r="C1490" s="168">
        <v>17</v>
      </c>
      <c r="D1490" s="141">
        <f t="shared" si="52"/>
        <v>44182</v>
      </c>
      <c r="E1490" s="275">
        <f t="shared" si="53"/>
        <v>44182</v>
      </c>
      <c r="F1490" s="479" t="s">
        <v>77</v>
      </c>
      <c r="G1490" s="220" t="s">
        <v>74</v>
      </c>
      <c r="H1490" s="220" t="str" cm="1">
        <f t="array" ref="H1490">IFERROR(INDEX(INVESTOR_LIST[INVESTOR NAME],MATCH(I1490,INVESTOR_LIST[INVESTOR CODE],0),)," ")</f>
        <v xml:space="preserve"> </v>
      </c>
      <c r="I1490" s="142" t="s">
        <v>348</v>
      </c>
      <c r="J1490" s="143" t="s">
        <v>61</v>
      </c>
      <c r="K1490" s="226">
        <v>180</v>
      </c>
      <c r="L1490" s="226"/>
      <c r="M1490" s="147">
        <v>0</v>
      </c>
      <c r="Q1490" s="133" t="s">
        <v>348</v>
      </c>
    </row>
    <row r="1491" spans="1:17" x14ac:dyDescent="0.2">
      <c r="A1491" s="163">
        <v>2020</v>
      </c>
      <c r="B1491" s="163">
        <v>12</v>
      </c>
      <c r="C1491" s="163">
        <v>17</v>
      </c>
      <c r="D1491" s="141">
        <f t="shared" si="52"/>
        <v>44182</v>
      </c>
      <c r="E1491" s="275">
        <f t="shared" si="53"/>
        <v>44182</v>
      </c>
      <c r="F1491" s="480"/>
      <c r="G1491" s="221" t="s">
        <v>74</v>
      </c>
      <c r="H1491" s="221" t="str" cm="1">
        <f t="array" ref="H1491">IFERROR(INDEX(INVESTOR_LIST[INVESTOR NAME],MATCH(I1491,INVESTOR_LIST[INVESTOR CODE],0),)," ")</f>
        <v xml:space="preserve"> </v>
      </c>
      <c r="I1491" s="145" t="s">
        <v>348</v>
      </c>
      <c r="J1491" s="146" t="s">
        <v>52</v>
      </c>
      <c r="K1491" s="219"/>
      <c r="L1491" s="219">
        <v>180</v>
      </c>
      <c r="M1491" s="147">
        <v>0</v>
      </c>
      <c r="Q1491" s="133" t="s">
        <v>348</v>
      </c>
    </row>
    <row r="1492" spans="1:17" x14ac:dyDescent="0.2">
      <c r="A1492" s="168">
        <v>2020</v>
      </c>
      <c r="B1492" s="168">
        <v>12</v>
      </c>
      <c r="C1492" s="168">
        <v>17</v>
      </c>
      <c r="D1492" s="141">
        <f t="shared" si="52"/>
        <v>44182</v>
      </c>
      <c r="E1492" s="275">
        <f t="shared" si="53"/>
        <v>44182</v>
      </c>
      <c r="F1492" s="479" t="s">
        <v>77</v>
      </c>
      <c r="G1492" s="220" t="s">
        <v>74</v>
      </c>
      <c r="H1492" s="220" t="str" cm="1">
        <f t="array" ref="H1492">IFERROR(INDEX(INVESTOR_LIST[INVESTOR NAME],MATCH(I1492,INVESTOR_LIST[INVESTOR CODE],0),)," ")</f>
        <v xml:space="preserve"> </v>
      </c>
      <c r="I1492" s="142" t="s">
        <v>348</v>
      </c>
      <c r="J1492" s="143" t="s">
        <v>61</v>
      </c>
      <c r="K1492" s="226">
        <v>140</v>
      </c>
      <c r="L1492" s="226"/>
      <c r="M1492" s="147">
        <v>0</v>
      </c>
      <c r="N1492" s="156"/>
      <c r="Q1492" s="133" t="s">
        <v>348</v>
      </c>
    </row>
    <row r="1493" spans="1:17" x14ac:dyDescent="0.2">
      <c r="A1493" s="163">
        <v>2020</v>
      </c>
      <c r="B1493" s="163">
        <v>12</v>
      </c>
      <c r="C1493" s="163">
        <v>17</v>
      </c>
      <c r="D1493" s="141">
        <f t="shared" si="52"/>
        <v>44182</v>
      </c>
      <c r="E1493" s="275">
        <f t="shared" si="53"/>
        <v>44182</v>
      </c>
      <c r="F1493" s="480"/>
      <c r="G1493" s="221" t="s">
        <v>74</v>
      </c>
      <c r="H1493" s="221" t="str" cm="1">
        <f t="array" ref="H1493">IFERROR(INDEX(INVESTOR_LIST[INVESTOR NAME],MATCH(I1493,INVESTOR_LIST[INVESTOR CODE],0),)," ")</f>
        <v xml:space="preserve"> </v>
      </c>
      <c r="I1493" s="145" t="s">
        <v>348</v>
      </c>
      <c r="J1493" s="146" t="s">
        <v>52</v>
      </c>
      <c r="K1493" s="219"/>
      <c r="L1493" s="219">
        <v>140</v>
      </c>
      <c r="M1493" s="147">
        <v>0</v>
      </c>
      <c r="N1493" s="156">
        <v>732</v>
      </c>
      <c r="Q1493" s="133" t="s">
        <v>348</v>
      </c>
    </row>
    <row r="1494" spans="1:17" x14ac:dyDescent="0.2">
      <c r="A1494" s="238">
        <v>2020</v>
      </c>
      <c r="B1494" s="238">
        <v>12</v>
      </c>
      <c r="C1494" s="238">
        <v>17</v>
      </c>
      <c r="D1494" s="141">
        <f t="shared" si="52"/>
        <v>44182</v>
      </c>
      <c r="E1494" s="275">
        <f t="shared" si="53"/>
        <v>44182</v>
      </c>
      <c r="F1494" s="477" t="s">
        <v>105</v>
      </c>
      <c r="G1494" s="239" t="s">
        <v>94</v>
      </c>
      <c r="H1494" s="239" t="str" cm="1">
        <f t="array" ref="H1494">IFERROR(INDEX(INVESTOR_LIST[INVESTOR NAME],MATCH(I1494,INVESTOR_LIST[INVESTOR CODE],0),)," ")</f>
        <v xml:space="preserve"> </v>
      </c>
      <c r="I1494" s="262" t="s">
        <v>348</v>
      </c>
      <c r="J1494" s="240" t="s">
        <v>83</v>
      </c>
      <c r="K1494" s="241">
        <v>858923.67</v>
      </c>
      <c r="L1494" s="241"/>
      <c r="M1494" s="147">
        <v>0</v>
      </c>
      <c r="N1494" s="156">
        <v>732</v>
      </c>
      <c r="Q1494" s="133" t="s">
        <v>348</v>
      </c>
    </row>
    <row r="1495" spans="1:17" x14ac:dyDescent="0.2">
      <c r="A1495" s="242">
        <v>2020</v>
      </c>
      <c r="B1495" s="242">
        <v>12</v>
      </c>
      <c r="C1495" s="246">
        <v>17</v>
      </c>
      <c r="D1495" s="141">
        <f t="shared" si="52"/>
        <v>44182</v>
      </c>
      <c r="E1495" s="275">
        <f t="shared" si="53"/>
        <v>44182</v>
      </c>
      <c r="F1495" s="478"/>
      <c r="G1495" s="243" t="s">
        <v>94</v>
      </c>
      <c r="H1495" s="243" t="str" cm="1">
        <f t="array" ref="H1495">IFERROR(INDEX(INVESTOR_LIST[INVESTOR NAME],MATCH(I1495,INVESTOR_LIST[INVESTOR CODE],0),)," ")</f>
        <v xml:space="preserve"> </v>
      </c>
      <c r="I1495" s="263" t="s">
        <v>348</v>
      </c>
      <c r="J1495" s="244" t="s">
        <v>108</v>
      </c>
      <c r="K1495" s="245"/>
      <c r="L1495" s="245">
        <v>858923.67</v>
      </c>
      <c r="M1495" s="147">
        <v>0</v>
      </c>
      <c r="Q1495" s="133" t="s">
        <v>348</v>
      </c>
    </row>
    <row r="1496" spans="1:17" ht="22.5" x14ac:dyDescent="0.2">
      <c r="A1496" s="246">
        <v>2020</v>
      </c>
      <c r="B1496" s="246">
        <v>12</v>
      </c>
      <c r="C1496" s="246">
        <v>17</v>
      </c>
      <c r="D1496" s="141">
        <f t="shared" si="52"/>
        <v>44182</v>
      </c>
      <c r="E1496" s="275">
        <f t="shared" si="53"/>
        <v>44182</v>
      </c>
      <c r="F1496" s="482" t="s">
        <v>148</v>
      </c>
      <c r="G1496" s="247" t="s">
        <v>94</v>
      </c>
      <c r="H1496" s="247" t="str" cm="1">
        <f t="array" ref="H1496">IFERROR(INDEX(INVESTOR_LIST[INVESTOR NAME],MATCH(I1496,INVESTOR_LIST[INVESTOR CODE],0),)," ")</f>
        <v xml:space="preserve"> </v>
      </c>
      <c r="I1496" s="248" t="s">
        <v>348</v>
      </c>
      <c r="J1496" s="249" t="s">
        <v>95</v>
      </c>
      <c r="K1496" s="250">
        <v>2747.25</v>
      </c>
      <c r="L1496" s="250"/>
      <c r="M1496" s="147">
        <v>0</v>
      </c>
      <c r="Q1496" s="133" t="s">
        <v>348</v>
      </c>
    </row>
    <row r="1497" spans="1:17" x14ac:dyDescent="0.2">
      <c r="A1497" s="242">
        <v>2020</v>
      </c>
      <c r="B1497" s="242">
        <v>12</v>
      </c>
      <c r="C1497" s="246">
        <v>17</v>
      </c>
      <c r="D1497" s="141">
        <f t="shared" si="52"/>
        <v>44182</v>
      </c>
      <c r="E1497" s="275">
        <f t="shared" si="53"/>
        <v>44182</v>
      </c>
      <c r="F1497" s="478"/>
      <c r="G1497" s="243" t="s">
        <v>94</v>
      </c>
      <c r="H1497" s="243" t="str" cm="1">
        <f t="array" ref="H1497">IFERROR(INDEX(INVESTOR_LIST[INVESTOR NAME],MATCH(I1497,INVESTOR_LIST[INVESTOR CODE],0),)," ")</f>
        <v xml:space="preserve"> </v>
      </c>
      <c r="I1497" s="263" t="s">
        <v>348</v>
      </c>
      <c r="J1497" s="244" t="s">
        <v>63</v>
      </c>
      <c r="K1497" s="245"/>
      <c r="L1497" s="245">
        <v>2747.25</v>
      </c>
      <c r="M1497" s="147">
        <v>0</v>
      </c>
      <c r="Q1497" s="133" t="s">
        <v>348</v>
      </c>
    </row>
    <row r="1498" spans="1:17" x14ac:dyDescent="0.2">
      <c r="A1498" s="238">
        <v>2020</v>
      </c>
      <c r="B1498" s="238">
        <v>12</v>
      </c>
      <c r="C1498" s="246">
        <v>17</v>
      </c>
      <c r="D1498" s="141">
        <f t="shared" si="52"/>
        <v>44182</v>
      </c>
      <c r="E1498" s="275">
        <f t="shared" si="53"/>
        <v>44182</v>
      </c>
      <c r="F1498" s="477" t="s">
        <v>137</v>
      </c>
      <c r="G1498" s="239" t="s">
        <v>94</v>
      </c>
      <c r="H1498" s="247" t="str" cm="1">
        <f t="array" ref="H1498">IFERROR(INDEX(INVESTOR_LIST[INVESTOR NAME],MATCH(I1498,INVESTOR_LIST[INVESTOR CODE],0),)," ")</f>
        <v xml:space="preserve"> </v>
      </c>
      <c r="I1498" s="248" t="s">
        <v>348</v>
      </c>
      <c r="J1498" s="240" t="s">
        <v>97</v>
      </c>
      <c r="K1498" s="250">
        <v>62821.41545241273</v>
      </c>
      <c r="L1498" s="250"/>
      <c r="M1498" s="147">
        <v>0</v>
      </c>
      <c r="Q1498" s="133" t="s">
        <v>348</v>
      </c>
    </row>
    <row r="1499" spans="1:17" x14ac:dyDescent="0.2">
      <c r="A1499" s="242">
        <v>2020</v>
      </c>
      <c r="B1499" s="242">
        <v>12</v>
      </c>
      <c r="C1499" s="246">
        <v>17</v>
      </c>
      <c r="D1499" s="141">
        <f t="shared" si="52"/>
        <v>44182</v>
      </c>
      <c r="E1499" s="275">
        <f t="shared" si="53"/>
        <v>44182</v>
      </c>
      <c r="F1499" s="478"/>
      <c r="G1499" s="243" t="s">
        <v>94</v>
      </c>
      <c r="H1499" s="243" t="str" cm="1">
        <f t="array" ref="H1499">IFERROR(INDEX(INVESTOR_LIST[INVESTOR NAME],MATCH(I1499,INVESTOR_LIST[INVESTOR CODE],0),)," ")</f>
        <v xml:space="preserve"> </v>
      </c>
      <c r="I1499" s="263" t="s">
        <v>348</v>
      </c>
      <c r="J1499" s="244" t="s">
        <v>47</v>
      </c>
      <c r="K1499" s="245"/>
      <c r="L1499" s="245">
        <v>62821.41545241273</v>
      </c>
      <c r="M1499" s="147">
        <v>0</v>
      </c>
      <c r="Q1499" s="133" t="s">
        <v>348</v>
      </c>
    </row>
    <row r="1500" spans="1:17" x14ac:dyDescent="0.2">
      <c r="A1500" s="238">
        <v>2020</v>
      </c>
      <c r="B1500" s="238">
        <v>12</v>
      </c>
      <c r="C1500" s="246">
        <v>17</v>
      </c>
      <c r="D1500" s="141">
        <f t="shared" si="52"/>
        <v>44182</v>
      </c>
      <c r="E1500" s="275">
        <f t="shared" si="53"/>
        <v>44182</v>
      </c>
      <c r="F1500" s="477" t="s">
        <v>138</v>
      </c>
      <c r="G1500" s="239" t="s">
        <v>94</v>
      </c>
      <c r="H1500" s="247" t="str" cm="1">
        <f t="array" ref="H1500">IFERROR(INDEX(INVESTOR_LIST[INVESTOR NAME],MATCH(I1500,INVESTOR_LIST[INVESTOR CODE],0),)," ")</f>
        <v xml:space="preserve"> </v>
      </c>
      <c r="I1500" s="248" t="s">
        <v>348</v>
      </c>
      <c r="J1500" s="240" t="s">
        <v>100</v>
      </c>
      <c r="K1500" s="250">
        <v>2900.6870410275728</v>
      </c>
      <c r="L1500" s="250"/>
      <c r="M1500" s="147">
        <v>0</v>
      </c>
      <c r="Q1500" s="133" t="s">
        <v>348</v>
      </c>
    </row>
    <row r="1501" spans="1:17" x14ac:dyDescent="0.2">
      <c r="A1501" s="242">
        <v>2020</v>
      </c>
      <c r="B1501" s="242">
        <v>12</v>
      </c>
      <c r="C1501" s="246">
        <v>17</v>
      </c>
      <c r="D1501" s="141">
        <f t="shared" si="52"/>
        <v>44182</v>
      </c>
      <c r="E1501" s="275">
        <f t="shared" si="53"/>
        <v>44182</v>
      </c>
      <c r="F1501" s="478"/>
      <c r="G1501" s="243" t="s">
        <v>94</v>
      </c>
      <c r="H1501" s="243" t="str" cm="1">
        <f t="array" ref="H1501">IFERROR(INDEX(INVESTOR_LIST[INVESTOR NAME],MATCH(I1501,INVESTOR_LIST[INVESTOR CODE],0),)," ")</f>
        <v xml:space="preserve"> </v>
      </c>
      <c r="I1501" s="263" t="s">
        <v>348</v>
      </c>
      <c r="J1501" s="244" t="s">
        <v>48</v>
      </c>
      <c r="K1501" s="245"/>
      <c r="L1501" s="245">
        <v>2900.6870410275728</v>
      </c>
      <c r="M1501" s="147">
        <v>0</v>
      </c>
      <c r="Q1501" s="133" t="s">
        <v>348</v>
      </c>
    </row>
    <row r="1502" spans="1:17" x14ac:dyDescent="0.2">
      <c r="A1502" s="246">
        <v>2020</v>
      </c>
      <c r="B1502" s="246">
        <v>12</v>
      </c>
      <c r="C1502" s="246">
        <v>17</v>
      </c>
      <c r="D1502" s="141">
        <f t="shared" si="52"/>
        <v>44182</v>
      </c>
      <c r="E1502" s="275">
        <f t="shared" si="53"/>
        <v>44182</v>
      </c>
      <c r="F1502" s="477" t="s">
        <v>140</v>
      </c>
      <c r="G1502" s="247" t="s">
        <v>94</v>
      </c>
      <c r="H1502" s="247" t="str" cm="1">
        <f t="array" ref="H1502">IFERROR(INDEX(INVESTOR_LIST[INVESTOR NAME],MATCH(I1502,INVESTOR_LIST[INVESTOR CODE],0),)," ")</f>
        <v xml:space="preserve"> </v>
      </c>
      <c r="I1502" s="248" t="s">
        <v>348</v>
      </c>
      <c r="J1502" s="249" t="s">
        <v>103</v>
      </c>
      <c r="K1502" s="250">
        <v>729.17</v>
      </c>
      <c r="L1502" s="250"/>
      <c r="M1502" s="147">
        <v>0</v>
      </c>
      <c r="Q1502" s="133" t="s">
        <v>348</v>
      </c>
    </row>
    <row r="1503" spans="1:17" x14ac:dyDescent="0.2">
      <c r="A1503" s="242">
        <v>2020</v>
      </c>
      <c r="B1503" s="242">
        <v>12</v>
      </c>
      <c r="C1503" s="242">
        <v>17</v>
      </c>
      <c r="D1503" s="141">
        <f t="shared" si="52"/>
        <v>44182</v>
      </c>
      <c r="E1503" s="275">
        <f t="shared" si="53"/>
        <v>44182</v>
      </c>
      <c r="F1503" s="478"/>
      <c r="G1503" s="243" t="s">
        <v>94</v>
      </c>
      <c r="H1503" s="243" t="str" cm="1">
        <f t="array" ref="H1503">IFERROR(INDEX(INVESTOR_LIST[INVESTOR NAME],MATCH(I1503,INVESTOR_LIST[INVESTOR CODE],0),)," ")</f>
        <v xml:space="preserve"> </v>
      </c>
      <c r="I1503" s="263" t="s">
        <v>348</v>
      </c>
      <c r="J1503" s="244" t="s">
        <v>50</v>
      </c>
      <c r="K1503" s="245"/>
      <c r="L1503" s="245">
        <v>729.17</v>
      </c>
      <c r="M1503" s="147">
        <v>0</v>
      </c>
      <c r="Q1503" s="133" t="s">
        <v>348</v>
      </c>
    </row>
    <row r="1504" spans="1:17" s="186" customFormat="1" ht="33.75" x14ac:dyDescent="0.2">
      <c r="A1504" s="168">
        <v>2020</v>
      </c>
      <c r="B1504" s="168">
        <v>12</v>
      </c>
      <c r="C1504" s="168">
        <v>20</v>
      </c>
      <c r="D1504" s="141">
        <f t="shared" si="52"/>
        <v>44185</v>
      </c>
      <c r="E1504" s="275">
        <f t="shared" si="53"/>
        <v>44185</v>
      </c>
      <c r="F1504" s="479" t="s">
        <v>964</v>
      </c>
      <c r="G1504" s="220" t="s">
        <v>74</v>
      </c>
      <c r="H1504" s="220" t="str" cm="1">
        <f t="array" ref="H1504">IFERROR(INDEX(INVESTOR_LIST[INVESTOR NAME],MATCH(I1504,INVESTOR_LIST[INVESTOR CODE],0),)," ")</f>
        <v>RAFIQUL ANOWAR</v>
      </c>
      <c r="I1504" s="142" t="s">
        <v>493</v>
      </c>
      <c r="J1504" s="143" t="s">
        <v>52</v>
      </c>
      <c r="K1504" s="226">
        <v>2500000</v>
      </c>
      <c r="L1504" s="226"/>
      <c r="M1504" s="184">
        <v>0</v>
      </c>
      <c r="N1504" s="185">
        <f>L1588-241.886</f>
        <v>245.40400000000002</v>
      </c>
      <c r="Q1504" s="133" t="s">
        <v>493</v>
      </c>
    </row>
    <row r="1505" spans="1:17" ht="33.75" x14ac:dyDescent="0.2">
      <c r="A1505" s="133">
        <v>2020</v>
      </c>
      <c r="B1505" s="133">
        <v>12</v>
      </c>
      <c r="C1505" s="133">
        <v>20</v>
      </c>
      <c r="D1505" s="141">
        <f t="shared" si="52"/>
        <v>44185</v>
      </c>
      <c r="E1505" s="275">
        <f t="shared" si="53"/>
        <v>44185</v>
      </c>
      <c r="F1505" s="481"/>
      <c r="G1505" s="174" t="s">
        <v>74</v>
      </c>
      <c r="H1505" s="174" t="str" cm="1">
        <f t="array" ref="H1505">IFERROR(INDEX(INVESTOR_LIST[INVESTOR NAME],MATCH(I1505,INVESTOR_LIST[INVESTOR CODE],0),)," ")</f>
        <v>RAFIQUL ANOWAR</v>
      </c>
      <c r="I1505" s="148" t="s">
        <v>493</v>
      </c>
      <c r="J1505" s="149" t="s">
        <v>13</v>
      </c>
      <c r="K1505" s="218"/>
      <c r="L1505" s="218">
        <v>2127660</v>
      </c>
      <c r="M1505" s="147">
        <v>3</v>
      </c>
      <c r="Q1505" s="133" t="s">
        <v>493</v>
      </c>
    </row>
    <row r="1506" spans="1:17" ht="33.75" x14ac:dyDescent="0.2">
      <c r="A1506" s="163">
        <v>2020</v>
      </c>
      <c r="B1506" s="163">
        <v>12</v>
      </c>
      <c r="C1506" s="163">
        <v>20</v>
      </c>
      <c r="D1506" s="141">
        <f t="shared" si="52"/>
        <v>44185</v>
      </c>
      <c r="E1506" s="275">
        <f t="shared" si="53"/>
        <v>44185</v>
      </c>
      <c r="F1506" s="480"/>
      <c r="G1506" s="221" t="s">
        <v>74</v>
      </c>
      <c r="H1506" s="221" t="str" cm="1">
        <f t="array" ref="H1506">IFERROR(INDEX(INVESTOR_LIST[INVESTOR NAME],MATCH(I1506,INVESTOR_LIST[INVESTOR CODE],0),)," ")</f>
        <v>RAFIQUL ANOWAR</v>
      </c>
      <c r="I1506" s="145" t="s">
        <v>493</v>
      </c>
      <c r="J1506" s="146" t="s">
        <v>53</v>
      </c>
      <c r="K1506" s="219"/>
      <c r="L1506" s="219">
        <v>372340</v>
      </c>
      <c r="M1506" s="147">
        <v>0</v>
      </c>
      <c r="N1506" s="160"/>
      <c r="Q1506" s="133" t="s">
        <v>493</v>
      </c>
    </row>
    <row r="1507" spans="1:17" x14ac:dyDescent="0.2">
      <c r="A1507" s="168">
        <v>2020</v>
      </c>
      <c r="B1507" s="168">
        <v>12</v>
      </c>
      <c r="C1507" s="168">
        <v>20</v>
      </c>
      <c r="D1507" s="141">
        <f t="shared" si="52"/>
        <v>44185</v>
      </c>
      <c r="E1507" s="275">
        <f t="shared" si="53"/>
        <v>44185</v>
      </c>
      <c r="F1507" s="479" t="s">
        <v>77</v>
      </c>
      <c r="G1507" s="220" t="s">
        <v>74</v>
      </c>
      <c r="H1507" s="220" t="str" cm="1">
        <f t="array" ref="H1507">IFERROR(INDEX(INVESTOR_LIST[INVESTOR NAME],MATCH(I1507,INVESTOR_LIST[INVESTOR CODE],0),)," ")</f>
        <v xml:space="preserve"> </v>
      </c>
      <c r="I1507" s="142" t="s">
        <v>348</v>
      </c>
      <c r="J1507" s="143" t="s">
        <v>61</v>
      </c>
      <c r="K1507" s="226">
        <v>60</v>
      </c>
      <c r="L1507" s="226"/>
      <c r="M1507" s="147">
        <v>0</v>
      </c>
      <c r="Q1507" s="133" t="s">
        <v>348</v>
      </c>
    </row>
    <row r="1508" spans="1:17" x14ac:dyDescent="0.2">
      <c r="A1508" s="163">
        <v>2020</v>
      </c>
      <c r="B1508" s="163">
        <v>12</v>
      </c>
      <c r="C1508" s="163">
        <v>20</v>
      </c>
      <c r="D1508" s="141">
        <f t="shared" si="52"/>
        <v>44185</v>
      </c>
      <c r="E1508" s="275">
        <f t="shared" si="53"/>
        <v>44185</v>
      </c>
      <c r="F1508" s="480"/>
      <c r="G1508" s="221" t="s">
        <v>74</v>
      </c>
      <c r="H1508" s="221" t="str" cm="1">
        <f t="array" ref="H1508">IFERROR(INDEX(INVESTOR_LIST[INVESTOR NAME],MATCH(I1508,INVESTOR_LIST[INVESTOR CODE],0),)," ")</f>
        <v xml:space="preserve"> </v>
      </c>
      <c r="I1508" s="145" t="s">
        <v>348</v>
      </c>
      <c r="J1508" s="146" t="s">
        <v>52</v>
      </c>
      <c r="K1508" s="219"/>
      <c r="L1508" s="219">
        <v>60</v>
      </c>
      <c r="M1508" s="147">
        <v>1</v>
      </c>
      <c r="Q1508" s="133" t="s">
        <v>348</v>
      </c>
    </row>
    <row r="1509" spans="1:17" x14ac:dyDescent="0.2">
      <c r="A1509" s="168">
        <v>2020</v>
      </c>
      <c r="B1509" s="168">
        <v>12</v>
      </c>
      <c r="C1509" s="168">
        <v>20</v>
      </c>
      <c r="D1509" s="141">
        <f t="shared" si="52"/>
        <v>44185</v>
      </c>
      <c r="E1509" s="275">
        <f t="shared" si="53"/>
        <v>44185</v>
      </c>
      <c r="F1509" s="494" t="s">
        <v>246</v>
      </c>
      <c r="G1509" s="220" t="s">
        <v>74</v>
      </c>
      <c r="H1509" s="220" t="str" cm="1">
        <f t="array" ref="H1509">IFERROR(INDEX(INVESTOR_LIST[INVESTOR NAME],MATCH(I1509,INVESTOR_LIST[INVESTOR CODE],0),)," ")</f>
        <v xml:space="preserve"> </v>
      </c>
      <c r="I1509" s="142" t="s">
        <v>348</v>
      </c>
      <c r="J1509" s="143" t="s">
        <v>79</v>
      </c>
      <c r="K1509" s="226">
        <v>3000002.23</v>
      </c>
      <c r="L1509" s="226"/>
      <c r="M1509" s="147">
        <v>0</v>
      </c>
      <c r="Q1509" s="133" t="s">
        <v>348</v>
      </c>
    </row>
    <row r="1510" spans="1:17" x14ac:dyDescent="0.2">
      <c r="A1510" s="163">
        <v>2020</v>
      </c>
      <c r="B1510" s="163">
        <v>12</v>
      </c>
      <c r="C1510" s="163">
        <v>20</v>
      </c>
      <c r="D1510" s="141">
        <f t="shared" si="52"/>
        <v>44185</v>
      </c>
      <c r="E1510" s="275">
        <f t="shared" si="53"/>
        <v>44185</v>
      </c>
      <c r="F1510" s="495"/>
      <c r="G1510" s="221" t="s">
        <v>74</v>
      </c>
      <c r="H1510" s="221" t="str" cm="1">
        <f t="array" ref="H1510">IFERROR(INDEX(INVESTOR_LIST[INVESTOR NAME],MATCH(I1510,INVESTOR_LIST[INVESTOR CODE],0),)," ")</f>
        <v xml:space="preserve"> </v>
      </c>
      <c r="I1510" s="145" t="s">
        <v>348</v>
      </c>
      <c r="J1510" s="146" t="s">
        <v>52</v>
      </c>
      <c r="K1510" s="219"/>
      <c r="L1510" s="219">
        <v>3000002.23</v>
      </c>
      <c r="M1510" s="147">
        <v>0</v>
      </c>
      <c r="Q1510" s="133" t="s">
        <v>348</v>
      </c>
    </row>
    <row r="1511" spans="1:17" x14ac:dyDescent="0.2">
      <c r="A1511" s="133">
        <v>2020</v>
      </c>
      <c r="B1511" s="133">
        <v>12</v>
      </c>
      <c r="C1511" s="133">
        <v>20</v>
      </c>
      <c r="D1511" s="141">
        <f t="shared" si="52"/>
        <v>44185</v>
      </c>
      <c r="E1511" s="275">
        <f t="shared" si="53"/>
        <v>44185</v>
      </c>
      <c r="F1511" s="496" t="s">
        <v>269</v>
      </c>
      <c r="G1511" s="174" t="s">
        <v>74</v>
      </c>
      <c r="H1511" s="174" t="str" cm="1">
        <f t="array" ref="H1511">IFERROR(INDEX(INVESTOR_LIST[INVESTOR NAME],MATCH(I1511,INVESTOR_LIST[INVESTOR CODE],0),)," ")</f>
        <v xml:space="preserve"> </v>
      </c>
      <c r="I1511" s="148" t="s">
        <v>348</v>
      </c>
      <c r="J1511" s="149" t="s">
        <v>147</v>
      </c>
      <c r="K1511" s="218">
        <v>3792208.91</v>
      </c>
      <c r="L1511" s="218"/>
      <c r="M1511" s="147">
        <v>0</v>
      </c>
      <c r="Q1511" s="133" t="s">
        <v>348</v>
      </c>
    </row>
    <row r="1512" spans="1:17" x14ac:dyDescent="0.2">
      <c r="A1512" s="163">
        <v>2020</v>
      </c>
      <c r="B1512" s="163">
        <v>12</v>
      </c>
      <c r="C1512" s="163">
        <v>20</v>
      </c>
      <c r="D1512" s="141">
        <f t="shared" si="52"/>
        <v>44185</v>
      </c>
      <c r="E1512" s="275">
        <f t="shared" si="53"/>
        <v>44185</v>
      </c>
      <c r="F1512" s="495"/>
      <c r="G1512" s="221" t="s">
        <v>74</v>
      </c>
      <c r="H1512" s="221" t="str" cm="1">
        <f t="array" ref="H1512">IFERROR(INDEX(INVESTOR_LIST[INVESTOR NAME],MATCH(I1512,INVESTOR_LIST[INVESTOR CODE],0),)," ")</f>
        <v xml:space="preserve"> </v>
      </c>
      <c r="I1512" s="145" t="s">
        <v>348</v>
      </c>
      <c r="J1512" s="146" t="s">
        <v>52</v>
      </c>
      <c r="K1512" s="219"/>
      <c r="L1512" s="219">
        <v>3792208.91</v>
      </c>
      <c r="M1512" s="147">
        <v>0</v>
      </c>
      <c r="Q1512" s="133" t="s">
        <v>348</v>
      </c>
    </row>
    <row r="1513" spans="1:17" x14ac:dyDescent="0.2">
      <c r="A1513" s="168">
        <v>2020</v>
      </c>
      <c r="B1513" s="168">
        <v>12</v>
      </c>
      <c r="C1513" s="168">
        <v>20</v>
      </c>
      <c r="D1513" s="141">
        <f t="shared" si="52"/>
        <v>44185</v>
      </c>
      <c r="E1513" s="275">
        <f t="shared" si="53"/>
        <v>44185</v>
      </c>
      <c r="F1513" s="479" t="s">
        <v>273</v>
      </c>
      <c r="G1513" s="220" t="s">
        <v>94</v>
      </c>
      <c r="H1513" s="220" t="str" cm="1">
        <f t="array" ref="H1513">IFERROR(INDEX(INVESTOR_LIST[INVESTOR NAME],MATCH(I1513,INVESTOR_LIST[INVESTOR CODE],0),)," ")</f>
        <v xml:space="preserve"> </v>
      </c>
      <c r="I1513" s="142" t="s">
        <v>348</v>
      </c>
      <c r="J1513" s="143" t="s">
        <v>79</v>
      </c>
      <c r="K1513" s="226">
        <v>3694773.8</v>
      </c>
      <c r="L1513" s="226"/>
      <c r="M1513" s="147">
        <v>0</v>
      </c>
      <c r="Q1513" s="133" t="s">
        <v>348</v>
      </c>
    </row>
    <row r="1514" spans="1:17" x14ac:dyDescent="0.2">
      <c r="A1514" s="133">
        <v>2020</v>
      </c>
      <c r="B1514" s="133">
        <v>12</v>
      </c>
      <c r="C1514" s="133">
        <v>20</v>
      </c>
      <c r="D1514" s="141">
        <f t="shared" si="52"/>
        <v>44185</v>
      </c>
      <c r="E1514" s="275">
        <f t="shared" si="53"/>
        <v>44185</v>
      </c>
      <c r="F1514" s="481"/>
      <c r="G1514" s="174" t="s">
        <v>94</v>
      </c>
      <c r="H1514" s="174" t="str" cm="1">
        <f t="array" ref="H1514">IFERROR(INDEX(INVESTOR_LIST[INVESTOR NAME],MATCH(I1514,INVESTOR_LIST[INVESTOR CODE],0),)," ")</f>
        <v xml:space="preserve"> </v>
      </c>
      <c r="I1514" s="148" t="s">
        <v>348</v>
      </c>
      <c r="J1514" s="149" t="s">
        <v>80</v>
      </c>
      <c r="K1514" s="218">
        <v>6650.59</v>
      </c>
      <c r="L1514" s="218"/>
      <c r="M1514" s="147">
        <v>1</v>
      </c>
      <c r="Q1514" s="133" t="s">
        <v>348</v>
      </c>
    </row>
    <row r="1515" spans="1:17" x14ac:dyDescent="0.2">
      <c r="A1515" s="163">
        <v>2020</v>
      </c>
      <c r="B1515" s="163">
        <v>12</v>
      </c>
      <c r="C1515" s="163">
        <v>20</v>
      </c>
      <c r="D1515" s="141">
        <f t="shared" si="52"/>
        <v>44185</v>
      </c>
      <c r="E1515" s="275">
        <f t="shared" si="53"/>
        <v>44185</v>
      </c>
      <c r="F1515" s="480"/>
      <c r="G1515" s="221" t="s">
        <v>94</v>
      </c>
      <c r="H1515" s="221" t="str" cm="1">
        <f t="array" ref="H1515">IFERROR(INDEX(INVESTOR_LIST[INVESTOR NAME],MATCH(I1515,INVESTOR_LIST[INVESTOR CODE],0),)," ")</f>
        <v xml:space="preserve"> </v>
      </c>
      <c r="I1515" s="145" t="s">
        <v>348</v>
      </c>
      <c r="J1515" s="146" t="s">
        <v>147</v>
      </c>
      <c r="K1515" s="219"/>
      <c r="L1515" s="219">
        <v>3701424.39</v>
      </c>
      <c r="M1515" s="147">
        <v>0</v>
      </c>
      <c r="Q1515" s="133" t="s">
        <v>348</v>
      </c>
    </row>
    <row r="1516" spans="1:17" x14ac:dyDescent="0.2">
      <c r="A1516" s="177">
        <v>2020</v>
      </c>
      <c r="B1516" s="177">
        <v>12</v>
      </c>
      <c r="C1516" s="177">
        <v>21</v>
      </c>
      <c r="D1516" s="141">
        <f t="shared" si="52"/>
        <v>44186</v>
      </c>
      <c r="E1516" s="275">
        <f t="shared" si="53"/>
        <v>44186</v>
      </c>
      <c r="F1516" s="481" t="s">
        <v>272</v>
      </c>
      <c r="G1516" s="174" t="s">
        <v>74</v>
      </c>
      <c r="H1516" s="174" t="str" cm="1">
        <f t="array" ref="H1516">IFERROR(INDEX(INVESTOR_LIST[INVESTOR NAME],MATCH(I1516,INVESTOR_LIST[INVESTOR CODE],0),)," ")</f>
        <v xml:space="preserve"> </v>
      </c>
      <c r="I1516" s="148" t="s">
        <v>348</v>
      </c>
      <c r="J1516" s="149" t="s">
        <v>147</v>
      </c>
      <c r="K1516" s="218">
        <v>3188539.86</v>
      </c>
      <c r="L1516" s="218"/>
      <c r="M1516" s="147">
        <v>0</v>
      </c>
      <c r="Q1516" s="133" t="s">
        <v>348</v>
      </c>
    </row>
    <row r="1517" spans="1:17" x14ac:dyDescent="0.2">
      <c r="A1517" s="180">
        <v>2020</v>
      </c>
      <c r="B1517" s="180">
        <v>12</v>
      </c>
      <c r="C1517" s="180">
        <v>21</v>
      </c>
      <c r="D1517" s="141">
        <f t="shared" si="52"/>
        <v>44186</v>
      </c>
      <c r="E1517" s="275">
        <f t="shared" si="53"/>
        <v>44186</v>
      </c>
      <c r="F1517" s="480"/>
      <c r="G1517" s="221" t="s">
        <v>74</v>
      </c>
      <c r="H1517" s="221" t="str" cm="1">
        <f t="array" ref="H1517">IFERROR(INDEX(INVESTOR_LIST[INVESTOR NAME],MATCH(I1517,INVESTOR_LIST[INVESTOR CODE],0),)," ")</f>
        <v xml:space="preserve"> </v>
      </c>
      <c r="I1517" s="145" t="s">
        <v>348</v>
      </c>
      <c r="J1517" s="146" t="s">
        <v>52</v>
      </c>
      <c r="K1517" s="219"/>
      <c r="L1517" s="219">
        <v>3188539.86</v>
      </c>
      <c r="M1517" s="147">
        <v>0</v>
      </c>
      <c r="Q1517" s="133" t="s">
        <v>348</v>
      </c>
    </row>
    <row r="1518" spans="1:17" x14ac:dyDescent="0.2">
      <c r="A1518" s="222">
        <v>2020</v>
      </c>
      <c r="B1518" s="222">
        <v>12</v>
      </c>
      <c r="C1518" s="222">
        <v>21</v>
      </c>
      <c r="D1518" s="141">
        <f t="shared" si="52"/>
        <v>44186</v>
      </c>
      <c r="E1518" s="275">
        <f t="shared" si="53"/>
        <v>44186</v>
      </c>
      <c r="F1518" s="479" t="s">
        <v>272</v>
      </c>
      <c r="G1518" s="220" t="s">
        <v>74</v>
      </c>
      <c r="H1518" s="220" t="str" cm="1">
        <f t="array" ref="H1518">IFERROR(INDEX(INVESTOR_LIST[INVESTOR NAME],MATCH(I1518,INVESTOR_LIST[INVESTOR CODE],0),)," ")</f>
        <v xml:space="preserve"> </v>
      </c>
      <c r="I1518" s="142" t="s">
        <v>348</v>
      </c>
      <c r="J1518" s="143" t="s">
        <v>147</v>
      </c>
      <c r="K1518" s="226">
        <v>3701424.39</v>
      </c>
      <c r="L1518" s="226"/>
      <c r="M1518" s="147">
        <v>0</v>
      </c>
      <c r="Q1518" s="133" t="s">
        <v>348</v>
      </c>
    </row>
    <row r="1519" spans="1:17" x14ac:dyDescent="0.2">
      <c r="A1519" s="180">
        <v>2020</v>
      </c>
      <c r="B1519" s="180">
        <v>12</v>
      </c>
      <c r="C1519" s="180">
        <v>21</v>
      </c>
      <c r="D1519" s="141">
        <f t="shared" si="52"/>
        <v>44186</v>
      </c>
      <c r="E1519" s="275">
        <f t="shared" si="53"/>
        <v>44186</v>
      </c>
      <c r="F1519" s="480"/>
      <c r="G1519" s="221" t="s">
        <v>74</v>
      </c>
      <c r="H1519" s="221" t="str" cm="1">
        <f t="array" ref="H1519">IFERROR(INDEX(INVESTOR_LIST[INVESTOR NAME],MATCH(I1519,INVESTOR_LIST[INVESTOR CODE],0),)," ")</f>
        <v xml:space="preserve"> </v>
      </c>
      <c r="I1519" s="145" t="s">
        <v>348</v>
      </c>
      <c r="J1519" s="146" t="s">
        <v>52</v>
      </c>
      <c r="K1519" s="219"/>
      <c r="L1519" s="219">
        <v>3701424.39</v>
      </c>
      <c r="M1519" s="147">
        <v>0</v>
      </c>
      <c r="Q1519" s="133" t="s">
        <v>348</v>
      </c>
    </row>
    <row r="1520" spans="1:17" ht="15" customHeight="1" x14ac:dyDescent="0.2">
      <c r="A1520" s="168">
        <v>2020</v>
      </c>
      <c r="B1520" s="168">
        <v>12</v>
      </c>
      <c r="C1520" s="168">
        <v>21</v>
      </c>
      <c r="D1520" s="141">
        <f t="shared" si="52"/>
        <v>44186</v>
      </c>
      <c r="E1520" s="275">
        <f t="shared" si="53"/>
        <v>44186</v>
      </c>
      <c r="F1520" s="479" t="s">
        <v>964</v>
      </c>
      <c r="G1520" s="220" t="s">
        <v>74</v>
      </c>
      <c r="H1520" s="220" t="str" cm="1">
        <f t="array" ref="H1520">IFERROR(INDEX(INVESTOR_LIST[INVESTOR NAME],MATCH(I1520,INVESTOR_LIST[INVESTOR CODE],0),)," ")</f>
        <v>ARKO SAHA</v>
      </c>
      <c r="I1520" s="142" t="s">
        <v>480</v>
      </c>
      <c r="J1520" s="143" t="s">
        <v>52</v>
      </c>
      <c r="K1520" s="226">
        <v>100000</v>
      </c>
      <c r="L1520" s="226"/>
      <c r="M1520" s="147">
        <v>0</v>
      </c>
      <c r="Q1520" s="133" t="s">
        <v>480</v>
      </c>
    </row>
    <row r="1521" spans="1:17" ht="22.5" x14ac:dyDescent="0.2">
      <c r="A1521" s="133">
        <v>2020</v>
      </c>
      <c r="B1521" s="133">
        <v>12</v>
      </c>
      <c r="C1521" s="133">
        <v>21</v>
      </c>
      <c r="D1521" s="141">
        <f t="shared" si="52"/>
        <v>44186</v>
      </c>
      <c r="E1521" s="275">
        <f t="shared" si="53"/>
        <v>44186</v>
      </c>
      <c r="F1521" s="481"/>
      <c r="G1521" s="174" t="s">
        <v>74</v>
      </c>
      <c r="H1521" s="174" t="str" cm="1">
        <f t="array" ref="H1521">IFERROR(INDEX(INVESTOR_LIST[INVESTOR NAME],MATCH(I1521,INVESTOR_LIST[INVESTOR CODE],0),)," ")</f>
        <v>ARKO SAHA</v>
      </c>
      <c r="I1521" s="148" t="s">
        <v>480</v>
      </c>
      <c r="J1521" s="149" t="s">
        <v>13</v>
      </c>
      <c r="K1521" s="218"/>
      <c r="L1521" s="218">
        <v>85030</v>
      </c>
      <c r="M1521" s="147">
        <v>0</v>
      </c>
      <c r="Q1521" s="133" t="s">
        <v>480</v>
      </c>
    </row>
    <row r="1522" spans="1:17" ht="22.5" x14ac:dyDescent="0.2">
      <c r="A1522" s="163">
        <v>2020</v>
      </c>
      <c r="B1522" s="163">
        <v>12</v>
      </c>
      <c r="C1522" s="163">
        <v>21</v>
      </c>
      <c r="D1522" s="141">
        <f t="shared" si="52"/>
        <v>44186</v>
      </c>
      <c r="E1522" s="275">
        <f t="shared" si="53"/>
        <v>44186</v>
      </c>
      <c r="F1522" s="480"/>
      <c r="G1522" s="221" t="s">
        <v>74</v>
      </c>
      <c r="H1522" s="221" t="str" cm="1">
        <f t="array" ref="H1522">IFERROR(INDEX(INVESTOR_LIST[INVESTOR NAME],MATCH(I1522,INVESTOR_LIST[INVESTOR CODE],0),)," ")</f>
        <v>ARKO SAHA</v>
      </c>
      <c r="I1522" s="145" t="s">
        <v>480</v>
      </c>
      <c r="J1522" s="146" t="s">
        <v>53</v>
      </c>
      <c r="K1522" s="219"/>
      <c r="L1522" s="219">
        <v>14970</v>
      </c>
      <c r="M1522" s="147">
        <v>0</v>
      </c>
      <c r="Q1522" s="133" t="s">
        <v>480</v>
      </c>
    </row>
    <row r="1523" spans="1:17" x14ac:dyDescent="0.2">
      <c r="A1523" s="168">
        <v>2020</v>
      </c>
      <c r="B1523" s="168">
        <v>12</v>
      </c>
      <c r="C1523" s="168">
        <v>21</v>
      </c>
      <c r="D1523" s="141">
        <f t="shared" si="52"/>
        <v>44186</v>
      </c>
      <c r="E1523" s="275">
        <f t="shared" si="53"/>
        <v>44186</v>
      </c>
      <c r="F1523" s="479" t="s">
        <v>77</v>
      </c>
      <c r="G1523" s="220" t="s">
        <v>74</v>
      </c>
      <c r="H1523" s="220" t="str" cm="1">
        <f t="array" ref="H1523">IFERROR(INDEX(INVESTOR_LIST[INVESTOR NAME],MATCH(I1523,INVESTOR_LIST[INVESTOR CODE],0),)," ")</f>
        <v xml:space="preserve"> </v>
      </c>
      <c r="I1523" s="142" t="s">
        <v>348</v>
      </c>
      <c r="J1523" s="143" t="s">
        <v>61</v>
      </c>
      <c r="K1523" s="226">
        <v>10</v>
      </c>
      <c r="L1523" s="226"/>
      <c r="M1523" s="147">
        <v>0</v>
      </c>
      <c r="Q1523" s="133" t="s">
        <v>348</v>
      </c>
    </row>
    <row r="1524" spans="1:17" x14ac:dyDescent="0.2">
      <c r="A1524" s="163">
        <v>2020</v>
      </c>
      <c r="B1524" s="163">
        <v>12</v>
      </c>
      <c r="C1524" s="163">
        <v>21</v>
      </c>
      <c r="D1524" s="141">
        <f t="shared" si="52"/>
        <v>44186</v>
      </c>
      <c r="E1524" s="275">
        <f t="shared" si="53"/>
        <v>44186</v>
      </c>
      <c r="F1524" s="480"/>
      <c r="G1524" s="221" t="s">
        <v>74</v>
      </c>
      <c r="H1524" s="221" t="str" cm="1">
        <f t="array" ref="H1524">IFERROR(INDEX(INVESTOR_LIST[INVESTOR NAME],MATCH(I1524,INVESTOR_LIST[INVESTOR CODE],0),)," ")</f>
        <v xml:space="preserve"> </v>
      </c>
      <c r="I1524" s="145" t="s">
        <v>348</v>
      </c>
      <c r="J1524" s="146" t="s">
        <v>52</v>
      </c>
      <c r="K1524" s="219"/>
      <c r="L1524" s="219">
        <v>10</v>
      </c>
      <c r="M1524" s="147">
        <v>0</v>
      </c>
      <c r="Q1524" s="133" t="s">
        <v>348</v>
      </c>
    </row>
    <row r="1525" spans="1:17" x14ac:dyDescent="0.2">
      <c r="A1525" s="168">
        <v>2020</v>
      </c>
      <c r="B1525" s="168">
        <v>12</v>
      </c>
      <c r="C1525" s="168">
        <v>21</v>
      </c>
      <c r="D1525" s="141">
        <f t="shared" si="52"/>
        <v>44186</v>
      </c>
      <c r="E1525" s="275">
        <f t="shared" si="53"/>
        <v>44186</v>
      </c>
      <c r="F1525" s="479" t="s">
        <v>274</v>
      </c>
      <c r="G1525" s="220" t="s">
        <v>94</v>
      </c>
      <c r="H1525" s="220" t="str" cm="1">
        <f t="array" ref="H1525">IFERROR(INDEX(INVESTOR_LIST[INVESTOR NAME],MATCH(I1525,INVESTOR_LIST[INVESTOR CODE],0),)," ")</f>
        <v xml:space="preserve"> </v>
      </c>
      <c r="I1525" s="142" t="s">
        <v>348</v>
      </c>
      <c r="J1525" s="143" t="s">
        <v>79</v>
      </c>
      <c r="K1525" s="226">
        <v>5914124.5</v>
      </c>
      <c r="L1525" s="226"/>
      <c r="M1525" s="147">
        <v>0</v>
      </c>
      <c r="Q1525" s="133" t="s">
        <v>348</v>
      </c>
    </row>
    <row r="1526" spans="1:17" x14ac:dyDescent="0.2">
      <c r="A1526" s="133">
        <v>2020</v>
      </c>
      <c r="B1526" s="133">
        <v>12</v>
      </c>
      <c r="C1526" s="133">
        <v>21</v>
      </c>
      <c r="D1526" s="141">
        <f t="shared" si="52"/>
        <v>44186</v>
      </c>
      <c r="E1526" s="275">
        <f t="shared" si="53"/>
        <v>44186</v>
      </c>
      <c r="F1526" s="481"/>
      <c r="G1526" s="174" t="s">
        <v>94</v>
      </c>
      <c r="H1526" s="174" t="str" cm="1">
        <f t="array" ref="H1526">IFERROR(INDEX(INVESTOR_LIST[INVESTOR NAME],MATCH(I1526,INVESTOR_LIST[INVESTOR CODE],0),)," ")</f>
        <v xml:space="preserve"> </v>
      </c>
      <c r="I1526" s="148" t="s">
        <v>348</v>
      </c>
      <c r="J1526" s="149" t="s">
        <v>80</v>
      </c>
      <c r="K1526" s="218">
        <v>10645.42</v>
      </c>
      <c r="L1526" s="218"/>
      <c r="M1526" s="147">
        <v>0</v>
      </c>
      <c r="Q1526" s="133" t="s">
        <v>348</v>
      </c>
    </row>
    <row r="1527" spans="1:17" x14ac:dyDescent="0.2">
      <c r="A1527" s="163">
        <v>2020</v>
      </c>
      <c r="B1527" s="163">
        <v>12</v>
      </c>
      <c r="C1527" s="163">
        <v>21</v>
      </c>
      <c r="D1527" s="141">
        <f t="shared" si="52"/>
        <v>44186</v>
      </c>
      <c r="E1527" s="275">
        <f t="shared" si="53"/>
        <v>44186</v>
      </c>
      <c r="F1527" s="480"/>
      <c r="G1527" s="221" t="s">
        <v>94</v>
      </c>
      <c r="H1527" s="221" t="str" cm="1">
        <f t="array" ref="H1527">IFERROR(INDEX(INVESTOR_LIST[INVESTOR NAME],MATCH(I1527,INVESTOR_LIST[INVESTOR CODE],0),)," ")</f>
        <v xml:space="preserve"> </v>
      </c>
      <c r="I1527" s="145" t="s">
        <v>348</v>
      </c>
      <c r="J1527" s="146" t="s">
        <v>147</v>
      </c>
      <c r="K1527" s="219"/>
      <c r="L1527" s="219">
        <v>5924769.9199999999</v>
      </c>
      <c r="M1527" s="147">
        <v>0</v>
      </c>
      <c r="Q1527" s="133" t="s">
        <v>348</v>
      </c>
    </row>
    <row r="1528" spans="1:17" ht="33.75" x14ac:dyDescent="0.2">
      <c r="A1528" s="133">
        <v>2020</v>
      </c>
      <c r="B1528" s="133">
        <v>12</v>
      </c>
      <c r="C1528" s="133">
        <v>22</v>
      </c>
      <c r="D1528" s="141">
        <f t="shared" si="52"/>
        <v>44187</v>
      </c>
      <c r="E1528" s="275">
        <f t="shared" si="53"/>
        <v>44187</v>
      </c>
      <c r="F1528" s="479" t="s">
        <v>965</v>
      </c>
      <c r="G1528" s="174" t="s">
        <v>74</v>
      </c>
      <c r="H1528" s="220" t="str" cm="1">
        <f t="array" ref="H1528">IFERROR(INDEX(INVESTOR_LIST[INVESTOR NAME],MATCH(I1528,INVESTOR_LIST[INVESTOR CODE],0),)," ")</f>
        <v>NATIONAL BANK LTD</v>
      </c>
      <c r="I1528" s="142" t="s">
        <v>415</v>
      </c>
      <c r="J1528" s="149" t="s">
        <v>13</v>
      </c>
      <c r="K1528" s="218">
        <v>1000000</v>
      </c>
      <c r="L1528" s="218"/>
      <c r="M1528" s="147">
        <v>0</v>
      </c>
      <c r="Q1528" s="133" t="s">
        <v>415</v>
      </c>
    </row>
    <row r="1529" spans="1:17" ht="33.75" x14ac:dyDescent="0.2">
      <c r="A1529" s="133">
        <v>2020</v>
      </c>
      <c r="B1529" s="133">
        <v>12</v>
      </c>
      <c r="C1529" s="133">
        <v>22</v>
      </c>
      <c r="D1529" s="141">
        <f t="shared" si="52"/>
        <v>44187</v>
      </c>
      <c r="E1529" s="275">
        <f t="shared" si="53"/>
        <v>44187</v>
      </c>
      <c r="F1529" s="481"/>
      <c r="G1529" s="174" t="s">
        <v>74</v>
      </c>
      <c r="H1529" s="174" t="str" cm="1">
        <f t="array" ref="H1529">IFERROR(INDEX(INVESTOR_LIST[INVESTOR NAME],MATCH(I1529,INVESTOR_LIST[INVESTOR CODE],0),)," ")</f>
        <v>NATIONAL BANK LTD</v>
      </c>
      <c r="I1529" s="148" t="s">
        <v>415</v>
      </c>
      <c r="J1529" s="149" t="s">
        <v>53</v>
      </c>
      <c r="K1529" s="218">
        <v>176000</v>
      </c>
      <c r="L1529" s="218"/>
      <c r="M1529" s="147">
        <v>0</v>
      </c>
      <c r="Q1529" s="133" t="s">
        <v>415</v>
      </c>
    </row>
    <row r="1530" spans="1:17" ht="33.75" x14ac:dyDescent="0.2">
      <c r="A1530" s="133">
        <v>2020</v>
      </c>
      <c r="B1530" s="133">
        <v>12</v>
      </c>
      <c r="C1530" s="133">
        <v>22</v>
      </c>
      <c r="D1530" s="141">
        <f t="shared" si="52"/>
        <v>44187</v>
      </c>
      <c r="E1530" s="275">
        <f t="shared" si="53"/>
        <v>44187</v>
      </c>
      <c r="F1530" s="480"/>
      <c r="G1530" s="174" t="s">
        <v>74</v>
      </c>
      <c r="H1530" s="174" t="str" cm="1">
        <f t="array" ref="H1530">IFERROR(INDEX(INVESTOR_LIST[INVESTOR NAME],MATCH(I1530,INVESTOR_LIST[INVESTOR CODE],0),)," ")</f>
        <v>NATIONAL BANK LTD</v>
      </c>
      <c r="I1530" s="148" t="s">
        <v>415</v>
      </c>
      <c r="J1530" s="149" t="s">
        <v>52</v>
      </c>
      <c r="K1530" s="218"/>
      <c r="L1530" s="218">
        <v>1176000</v>
      </c>
      <c r="M1530" s="147">
        <v>0</v>
      </c>
      <c r="Q1530" s="133" t="s">
        <v>415</v>
      </c>
    </row>
    <row r="1531" spans="1:17" x14ac:dyDescent="0.2">
      <c r="A1531" s="168">
        <v>2020</v>
      </c>
      <c r="B1531" s="168">
        <v>12</v>
      </c>
      <c r="C1531" s="168">
        <v>22</v>
      </c>
      <c r="D1531" s="141">
        <f t="shared" si="52"/>
        <v>44187</v>
      </c>
      <c r="E1531" s="275">
        <f t="shared" si="53"/>
        <v>44187</v>
      </c>
      <c r="F1531" s="494" t="s">
        <v>269</v>
      </c>
      <c r="G1531" s="220" t="s">
        <v>74</v>
      </c>
      <c r="H1531" s="220" t="str" cm="1">
        <f t="array" ref="H1531">IFERROR(INDEX(INVESTOR_LIST[INVESTOR NAME],MATCH(I1531,INVESTOR_LIST[INVESTOR CODE],0),)," ")</f>
        <v xml:space="preserve"> </v>
      </c>
      <c r="I1531" s="142" t="s">
        <v>348</v>
      </c>
      <c r="J1531" s="143" t="s">
        <v>147</v>
      </c>
      <c r="K1531" s="226">
        <v>5924769.9199999999</v>
      </c>
      <c r="L1531" s="226"/>
      <c r="M1531" s="147">
        <v>0</v>
      </c>
      <c r="Q1531" s="133" t="s">
        <v>348</v>
      </c>
    </row>
    <row r="1532" spans="1:17" x14ac:dyDescent="0.2">
      <c r="A1532" s="163">
        <v>2020</v>
      </c>
      <c r="B1532" s="163">
        <v>12</v>
      </c>
      <c r="C1532" s="163">
        <v>22</v>
      </c>
      <c r="D1532" s="141">
        <f t="shared" si="52"/>
        <v>44187</v>
      </c>
      <c r="E1532" s="275">
        <f t="shared" si="53"/>
        <v>44187</v>
      </c>
      <c r="F1532" s="495"/>
      <c r="G1532" s="221" t="s">
        <v>74</v>
      </c>
      <c r="H1532" s="221" t="str" cm="1">
        <f t="array" ref="H1532">IFERROR(INDEX(INVESTOR_LIST[INVESTOR NAME],MATCH(I1532,INVESTOR_LIST[INVESTOR CODE],0),)," ")</f>
        <v xml:space="preserve"> </v>
      </c>
      <c r="I1532" s="145" t="s">
        <v>348</v>
      </c>
      <c r="J1532" s="146" t="s">
        <v>52</v>
      </c>
      <c r="K1532" s="219"/>
      <c r="L1532" s="219">
        <v>5924769.9199999999</v>
      </c>
      <c r="M1532" s="147">
        <v>0</v>
      </c>
      <c r="Q1532" s="133" t="s">
        <v>348</v>
      </c>
    </row>
    <row r="1533" spans="1:17" x14ac:dyDescent="0.2">
      <c r="A1533" s="133">
        <v>2020</v>
      </c>
      <c r="B1533" s="133">
        <v>12</v>
      </c>
      <c r="C1533" s="133">
        <v>22</v>
      </c>
      <c r="D1533" s="141">
        <f t="shared" si="52"/>
        <v>44187</v>
      </c>
      <c r="E1533" s="275">
        <f t="shared" si="53"/>
        <v>44187</v>
      </c>
      <c r="F1533" s="481" t="s">
        <v>275</v>
      </c>
      <c r="G1533" s="174" t="s">
        <v>74</v>
      </c>
      <c r="H1533" s="174" t="str" cm="1">
        <f t="array" ref="H1533">IFERROR(INDEX(INVESTOR_LIST[INVESTOR NAME],MATCH(I1533,INVESTOR_LIST[INVESTOR CODE],0),)," ")</f>
        <v xml:space="preserve"> </v>
      </c>
      <c r="I1533" s="148" t="s">
        <v>348</v>
      </c>
      <c r="J1533" s="149" t="s">
        <v>163</v>
      </c>
      <c r="K1533" s="218">
        <v>3150</v>
      </c>
      <c r="L1533" s="218"/>
      <c r="M1533" s="147">
        <v>0</v>
      </c>
      <c r="Q1533" s="133" t="s">
        <v>348</v>
      </c>
    </row>
    <row r="1534" spans="1:17" x14ac:dyDescent="0.2">
      <c r="A1534" s="163">
        <v>2020</v>
      </c>
      <c r="B1534" s="163">
        <v>12</v>
      </c>
      <c r="C1534" s="163">
        <v>22</v>
      </c>
      <c r="D1534" s="141">
        <f t="shared" si="52"/>
        <v>44187</v>
      </c>
      <c r="E1534" s="275">
        <f t="shared" si="53"/>
        <v>44187</v>
      </c>
      <c r="F1534" s="480"/>
      <c r="G1534" s="221" t="s">
        <v>74</v>
      </c>
      <c r="H1534" s="221" t="str" cm="1">
        <f t="array" ref="H1534">IFERROR(INDEX(INVESTOR_LIST[INVESTOR NAME],MATCH(I1534,INVESTOR_LIST[INVESTOR CODE],0),)," ")</f>
        <v xml:space="preserve"> </v>
      </c>
      <c r="I1534" s="145" t="s">
        <v>348</v>
      </c>
      <c r="J1534" s="146" t="s">
        <v>52</v>
      </c>
      <c r="K1534" s="219"/>
      <c r="L1534" s="219">
        <v>3150</v>
      </c>
      <c r="M1534" s="147">
        <v>0</v>
      </c>
      <c r="Q1534" s="133" t="s">
        <v>348</v>
      </c>
    </row>
    <row r="1535" spans="1:17" ht="15" customHeight="1" x14ac:dyDescent="0.2">
      <c r="A1535" s="133">
        <v>2020</v>
      </c>
      <c r="B1535" s="133">
        <v>12</v>
      </c>
      <c r="C1535" s="133">
        <v>22</v>
      </c>
      <c r="D1535" s="141">
        <f t="shared" si="52"/>
        <v>44187</v>
      </c>
      <c r="E1535" s="275">
        <f t="shared" si="53"/>
        <v>44187</v>
      </c>
      <c r="F1535" s="479" t="s">
        <v>964</v>
      </c>
      <c r="G1535" s="174" t="s">
        <v>74</v>
      </c>
      <c r="H1535" s="174" t="str" cm="1">
        <f t="array" ref="H1535">IFERROR(INDEX(INVESTOR_LIST[INVESTOR NAME],MATCH(I1535,INVESTOR_LIST[INVESTOR CODE],0),)," ")</f>
        <v>RAJIB ROY</v>
      </c>
      <c r="I1535" s="148" t="s">
        <v>409</v>
      </c>
      <c r="J1535" s="149" t="s">
        <v>52</v>
      </c>
      <c r="K1535" s="218">
        <v>100007.03999999999</v>
      </c>
      <c r="L1535" s="218"/>
      <c r="M1535" s="147">
        <v>0</v>
      </c>
      <c r="Q1535" s="133" t="s">
        <v>409</v>
      </c>
    </row>
    <row r="1536" spans="1:17" ht="22.5" x14ac:dyDescent="0.2">
      <c r="A1536" s="133">
        <v>2020</v>
      </c>
      <c r="B1536" s="133">
        <v>12</v>
      </c>
      <c r="C1536" s="133">
        <v>22</v>
      </c>
      <c r="D1536" s="141">
        <f t="shared" si="52"/>
        <v>44187</v>
      </c>
      <c r="E1536" s="275">
        <f t="shared" si="53"/>
        <v>44187</v>
      </c>
      <c r="F1536" s="481"/>
      <c r="G1536" s="174" t="s">
        <v>74</v>
      </c>
      <c r="H1536" s="174" t="str" cm="1">
        <f t="array" ref="H1536">IFERROR(INDEX(INVESTOR_LIST[INVESTOR NAME],MATCH(I1536,INVESTOR_LIST[INVESTOR CODE],0),)," ")</f>
        <v>RAJIB ROY</v>
      </c>
      <c r="I1536" s="148" t="s">
        <v>409</v>
      </c>
      <c r="J1536" s="149" t="s">
        <v>13</v>
      </c>
      <c r="K1536" s="218"/>
      <c r="L1536" s="218">
        <v>85040</v>
      </c>
      <c r="M1536" s="147">
        <v>0</v>
      </c>
      <c r="Q1536" s="133" t="s">
        <v>409</v>
      </c>
    </row>
    <row r="1537" spans="1:17" ht="22.5" x14ac:dyDescent="0.2">
      <c r="A1537" s="133">
        <v>2020</v>
      </c>
      <c r="B1537" s="133">
        <v>12</v>
      </c>
      <c r="C1537" s="133">
        <v>22</v>
      </c>
      <c r="D1537" s="141">
        <f t="shared" si="52"/>
        <v>44187</v>
      </c>
      <c r="E1537" s="275">
        <f t="shared" si="53"/>
        <v>44187</v>
      </c>
      <c r="F1537" s="480"/>
      <c r="G1537" s="174" t="s">
        <v>74</v>
      </c>
      <c r="H1537" s="174" t="str" cm="1">
        <f t="array" ref="H1537">IFERROR(INDEX(INVESTOR_LIST[INVESTOR NAME],MATCH(I1537,INVESTOR_LIST[INVESTOR CODE],0),)," ")</f>
        <v>RAJIB ROY</v>
      </c>
      <c r="I1537" s="148" t="s">
        <v>409</v>
      </c>
      <c r="J1537" s="149" t="s">
        <v>53</v>
      </c>
      <c r="K1537" s="218"/>
      <c r="L1537" s="218">
        <v>14967.04</v>
      </c>
      <c r="M1537" s="147">
        <v>0</v>
      </c>
      <c r="Q1537" s="133" t="s">
        <v>409</v>
      </c>
    </row>
    <row r="1538" spans="1:17" ht="22.5" x14ac:dyDescent="0.2">
      <c r="A1538" s="168">
        <v>2020</v>
      </c>
      <c r="B1538" s="168">
        <v>12</v>
      </c>
      <c r="C1538" s="168">
        <v>22</v>
      </c>
      <c r="D1538" s="141">
        <f t="shared" si="52"/>
        <v>44187</v>
      </c>
      <c r="E1538" s="275">
        <f t="shared" si="53"/>
        <v>44187</v>
      </c>
      <c r="F1538" s="479" t="s">
        <v>964</v>
      </c>
      <c r="G1538" s="220" t="s">
        <v>74</v>
      </c>
      <c r="H1538" s="220" t="str" cm="1">
        <f t="array" ref="H1538">IFERROR(INDEX(INVESTOR_LIST[INVESTOR NAME],MATCH(I1538,INVESTOR_LIST[INVESTOR CODE],0),)," ")</f>
        <v>ARKO SAHA</v>
      </c>
      <c r="I1538" s="142" t="s">
        <v>480</v>
      </c>
      <c r="J1538" s="143" t="s">
        <v>52</v>
      </c>
      <c r="K1538" s="226">
        <v>5840</v>
      </c>
      <c r="L1538" s="226"/>
      <c r="M1538" s="147">
        <v>0</v>
      </c>
      <c r="Q1538" s="133" t="s">
        <v>480</v>
      </c>
    </row>
    <row r="1539" spans="1:17" ht="22.5" x14ac:dyDescent="0.2">
      <c r="A1539" s="133">
        <v>2020</v>
      </c>
      <c r="B1539" s="133">
        <v>12</v>
      </c>
      <c r="C1539" s="133">
        <v>22</v>
      </c>
      <c r="D1539" s="141">
        <f t="shared" si="52"/>
        <v>44187</v>
      </c>
      <c r="E1539" s="275">
        <f t="shared" si="53"/>
        <v>44187</v>
      </c>
      <c r="F1539" s="481"/>
      <c r="G1539" s="174" t="s">
        <v>74</v>
      </c>
      <c r="H1539" s="174" t="str" cm="1">
        <f t="array" ref="H1539">IFERROR(INDEX(INVESTOR_LIST[INVESTOR NAME],MATCH(I1539,INVESTOR_LIST[INVESTOR CODE],0),)," ")</f>
        <v>ARKO SAHA</v>
      </c>
      <c r="I1539" s="148" t="s">
        <v>480</v>
      </c>
      <c r="J1539" s="149" t="s">
        <v>13</v>
      </c>
      <c r="K1539" s="218"/>
      <c r="L1539" s="218">
        <v>4970</v>
      </c>
      <c r="M1539" s="147">
        <v>0</v>
      </c>
      <c r="Q1539" s="133" t="s">
        <v>480</v>
      </c>
    </row>
    <row r="1540" spans="1:17" ht="22.5" x14ac:dyDescent="0.2">
      <c r="A1540" s="163">
        <v>2020</v>
      </c>
      <c r="B1540" s="163">
        <v>12</v>
      </c>
      <c r="C1540" s="163">
        <v>22</v>
      </c>
      <c r="D1540" s="141">
        <f t="shared" si="52"/>
        <v>44187</v>
      </c>
      <c r="E1540" s="275">
        <f t="shared" si="53"/>
        <v>44187</v>
      </c>
      <c r="F1540" s="480"/>
      <c r="G1540" s="221" t="s">
        <v>74</v>
      </c>
      <c r="H1540" s="221" t="str" cm="1">
        <f t="array" ref="H1540">IFERROR(INDEX(INVESTOR_LIST[INVESTOR NAME],MATCH(I1540,INVESTOR_LIST[INVESTOR CODE],0),)," ")</f>
        <v>ARKO SAHA</v>
      </c>
      <c r="I1540" s="145" t="s">
        <v>480</v>
      </c>
      <c r="J1540" s="146" t="s">
        <v>53</v>
      </c>
      <c r="K1540" s="219"/>
      <c r="L1540" s="219">
        <v>870</v>
      </c>
      <c r="M1540" s="147">
        <v>0</v>
      </c>
      <c r="Q1540" s="133" t="s">
        <v>480</v>
      </c>
    </row>
    <row r="1541" spans="1:17" x14ac:dyDescent="0.2">
      <c r="A1541" s="168">
        <v>2020</v>
      </c>
      <c r="B1541" s="168">
        <v>12</v>
      </c>
      <c r="C1541" s="168">
        <v>22</v>
      </c>
      <c r="D1541" s="141">
        <f t="shared" si="52"/>
        <v>44187</v>
      </c>
      <c r="E1541" s="275">
        <f t="shared" si="53"/>
        <v>44187</v>
      </c>
      <c r="F1541" s="479" t="s">
        <v>276</v>
      </c>
      <c r="G1541" s="220" t="s">
        <v>94</v>
      </c>
      <c r="H1541" s="220" t="str" cm="1">
        <f t="array" ref="H1541">IFERROR(INDEX(INVESTOR_LIST[INVESTOR NAME],MATCH(I1541,INVESTOR_LIST[INVESTOR CODE],0),)," ")</f>
        <v xml:space="preserve"> </v>
      </c>
      <c r="I1541" s="142" t="s">
        <v>348</v>
      </c>
      <c r="J1541" s="143" t="s">
        <v>79</v>
      </c>
      <c r="K1541" s="226">
        <v>5685981.2999999998</v>
      </c>
      <c r="L1541" s="226"/>
      <c r="M1541" s="147">
        <v>0</v>
      </c>
      <c r="Q1541" s="133" t="s">
        <v>348</v>
      </c>
    </row>
    <row r="1542" spans="1:17" x14ac:dyDescent="0.2">
      <c r="A1542" s="133">
        <v>2020</v>
      </c>
      <c r="B1542" s="133">
        <v>12</v>
      </c>
      <c r="C1542" s="133">
        <v>22</v>
      </c>
      <c r="D1542" s="141">
        <f t="shared" si="52"/>
        <v>44187</v>
      </c>
      <c r="E1542" s="275">
        <f t="shared" si="53"/>
        <v>44187</v>
      </c>
      <c r="F1542" s="481"/>
      <c r="G1542" s="174" t="s">
        <v>94</v>
      </c>
      <c r="H1542" s="174" t="str" cm="1">
        <f t="array" ref="H1542">IFERROR(INDEX(INVESTOR_LIST[INVESTOR NAME],MATCH(I1542,INVESTOR_LIST[INVESTOR CODE],0),)," ")</f>
        <v xml:space="preserve"> </v>
      </c>
      <c r="I1542" s="148" t="s">
        <v>348</v>
      </c>
      <c r="J1542" s="149" t="s">
        <v>80</v>
      </c>
      <c r="K1542" s="218">
        <f>10234.77+10684.11</f>
        <v>20918.88</v>
      </c>
      <c r="L1542" s="218"/>
      <c r="M1542" s="147">
        <v>0</v>
      </c>
      <c r="Q1542" s="133" t="s">
        <v>348</v>
      </c>
    </row>
    <row r="1543" spans="1:17" x14ac:dyDescent="0.2">
      <c r="A1543" s="133">
        <v>2020</v>
      </c>
      <c r="B1543" s="133">
        <v>12</v>
      </c>
      <c r="C1543" s="133">
        <v>22</v>
      </c>
      <c r="D1543" s="141">
        <f t="shared" si="52"/>
        <v>44187</v>
      </c>
      <c r="E1543" s="275">
        <f t="shared" si="53"/>
        <v>44187</v>
      </c>
      <c r="F1543" s="481"/>
      <c r="G1543" s="174" t="s">
        <v>94</v>
      </c>
      <c r="H1543" s="174" t="str" cm="1">
        <f t="array" ref="H1543">IFERROR(INDEX(INVESTOR_LIST[INVESTOR NAME],MATCH(I1543,INVESTOR_LIST[INVESTOR CODE],0),)," ")</f>
        <v xml:space="preserve"> </v>
      </c>
      <c r="I1543" s="148" t="s">
        <v>348</v>
      </c>
      <c r="J1543" s="149" t="s">
        <v>190</v>
      </c>
      <c r="K1543" s="218">
        <f>5924929.89-5696216.07</f>
        <v>228713.81999999937</v>
      </c>
      <c r="L1543" s="218"/>
      <c r="M1543" s="147">
        <v>1</v>
      </c>
      <c r="Q1543" s="133" t="s">
        <v>348</v>
      </c>
    </row>
    <row r="1544" spans="1:17" x14ac:dyDescent="0.2">
      <c r="A1544" s="133">
        <v>2020</v>
      </c>
      <c r="B1544" s="133">
        <v>12</v>
      </c>
      <c r="C1544" s="133">
        <v>22</v>
      </c>
      <c r="D1544" s="141">
        <f t="shared" si="52"/>
        <v>44187</v>
      </c>
      <c r="E1544" s="275">
        <f t="shared" si="53"/>
        <v>44187</v>
      </c>
      <c r="F1544" s="481"/>
      <c r="G1544" s="174" t="s">
        <v>94</v>
      </c>
      <c r="H1544" s="174" t="str" cm="1">
        <f t="array" ref="H1544">IFERROR(INDEX(INVESTOR_LIST[INVESTOR NAME],MATCH(I1544,INVESTOR_LIST[INVESTOR CODE],0),)," ")</f>
        <v xml:space="preserve"> </v>
      </c>
      <c r="I1544" s="148" t="s">
        <v>348</v>
      </c>
      <c r="J1544" s="149" t="s">
        <v>79</v>
      </c>
      <c r="K1544" s="218"/>
      <c r="L1544" s="218">
        <v>5607966.9870331325</v>
      </c>
      <c r="M1544" s="147">
        <v>0</v>
      </c>
      <c r="Q1544" s="133" t="s">
        <v>348</v>
      </c>
    </row>
    <row r="1545" spans="1:17" x14ac:dyDescent="0.2">
      <c r="A1545" s="163">
        <v>2020</v>
      </c>
      <c r="B1545" s="163">
        <v>12</v>
      </c>
      <c r="C1545" s="163">
        <v>22</v>
      </c>
      <c r="D1545" s="141">
        <f t="shared" si="52"/>
        <v>44187</v>
      </c>
      <c r="E1545" s="275">
        <f t="shared" si="53"/>
        <v>44187</v>
      </c>
      <c r="F1545" s="480"/>
      <c r="G1545" s="221" t="s">
        <v>94</v>
      </c>
      <c r="H1545" s="221" t="str" cm="1">
        <f t="array" ref="H1545">IFERROR(INDEX(INVESTOR_LIST[INVESTOR NAME],MATCH(I1545,INVESTOR_LIST[INVESTOR CODE],0),)," ")</f>
        <v xml:space="preserve"> </v>
      </c>
      <c r="I1545" s="145" t="s">
        <v>348</v>
      </c>
      <c r="J1545" s="146" t="s">
        <v>191</v>
      </c>
      <c r="K1545" s="219"/>
      <c r="L1545" s="219">
        <v>327647.01296686765</v>
      </c>
      <c r="M1545" s="147">
        <v>0</v>
      </c>
      <c r="Q1545" s="133" t="s">
        <v>348</v>
      </c>
    </row>
    <row r="1546" spans="1:17" x14ac:dyDescent="0.2">
      <c r="A1546" s="168">
        <v>2020</v>
      </c>
      <c r="B1546" s="168">
        <v>12</v>
      </c>
      <c r="C1546" s="168">
        <v>23</v>
      </c>
      <c r="D1546" s="141">
        <f t="shared" si="52"/>
        <v>44188</v>
      </c>
      <c r="E1546" s="275">
        <f t="shared" si="53"/>
        <v>44188</v>
      </c>
      <c r="F1546" s="479" t="s">
        <v>77</v>
      </c>
      <c r="G1546" s="220" t="s">
        <v>74</v>
      </c>
      <c r="H1546" s="220" t="str" cm="1">
        <f t="array" ref="H1546">IFERROR(INDEX(INVESTOR_LIST[INVESTOR NAME],MATCH(I1546,INVESTOR_LIST[INVESTOR CODE],0),)," ")</f>
        <v xml:space="preserve"> </v>
      </c>
      <c r="I1546" s="142" t="s">
        <v>348</v>
      </c>
      <c r="J1546" s="143" t="s">
        <v>61</v>
      </c>
      <c r="K1546" s="226">
        <v>10</v>
      </c>
      <c r="L1546" s="226"/>
      <c r="M1546" s="147">
        <v>0</v>
      </c>
      <c r="Q1546" s="133" t="s">
        <v>348</v>
      </c>
    </row>
    <row r="1547" spans="1:17" x14ac:dyDescent="0.2">
      <c r="A1547" s="163">
        <v>2020</v>
      </c>
      <c r="B1547" s="163">
        <v>12</v>
      </c>
      <c r="C1547" s="163">
        <v>23</v>
      </c>
      <c r="D1547" s="141">
        <f t="shared" si="52"/>
        <v>44188</v>
      </c>
      <c r="E1547" s="275">
        <f t="shared" si="53"/>
        <v>44188</v>
      </c>
      <c r="F1547" s="480"/>
      <c r="G1547" s="221" t="s">
        <v>74</v>
      </c>
      <c r="H1547" s="221" t="str" cm="1">
        <f t="array" ref="H1547">IFERROR(INDEX(INVESTOR_LIST[INVESTOR NAME],MATCH(I1547,INVESTOR_LIST[INVESTOR CODE],0),)," ")</f>
        <v xml:space="preserve"> </v>
      </c>
      <c r="I1547" s="145" t="s">
        <v>348</v>
      </c>
      <c r="J1547" s="146" t="s">
        <v>52</v>
      </c>
      <c r="K1547" s="219"/>
      <c r="L1547" s="219">
        <v>10</v>
      </c>
      <c r="M1547" s="147">
        <v>0</v>
      </c>
      <c r="Q1547" s="133" t="s">
        <v>348</v>
      </c>
    </row>
    <row r="1548" spans="1:17" x14ac:dyDescent="0.2">
      <c r="A1548" s="168">
        <v>2020</v>
      </c>
      <c r="B1548" s="168">
        <v>12</v>
      </c>
      <c r="C1548" s="168">
        <v>23</v>
      </c>
      <c r="D1548" s="141">
        <f t="shared" si="52"/>
        <v>44188</v>
      </c>
      <c r="E1548" s="275">
        <f t="shared" si="53"/>
        <v>44188</v>
      </c>
      <c r="F1548" s="479" t="s">
        <v>77</v>
      </c>
      <c r="G1548" s="220" t="s">
        <v>74</v>
      </c>
      <c r="H1548" s="220" t="str" cm="1">
        <f t="array" ref="H1548">IFERROR(INDEX(INVESTOR_LIST[INVESTOR NAME],MATCH(I1548,INVESTOR_LIST[INVESTOR CODE],0),)," ")</f>
        <v xml:space="preserve"> </v>
      </c>
      <c r="I1548" s="142" t="s">
        <v>348</v>
      </c>
      <c r="J1548" s="143" t="s">
        <v>61</v>
      </c>
      <c r="K1548" s="226">
        <v>60</v>
      </c>
      <c r="L1548" s="226"/>
      <c r="M1548" s="147">
        <v>0</v>
      </c>
      <c r="Q1548" s="133" t="s">
        <v>348</v>
      </c>
    </row>
    <row r="1549" spans="1:17" x14ac:dyDescent="0.2">
      <c r="A1549" s="163">
        <v>2020</v>
      </c>
      <c r="B1549" s="163">
        <v>12</v>
      </c>
      <c r="C1549" s="163">
        <v>23</v>
      </c>
      <c r="D1549" s="141">
        <f t="shared" ref="D1549:D1612" si="54">DATE(A1549,B1549,C1549)</f>
        <v>44188</v>
      </c>
      <c r="E1549" s="275">
        <f t="shared" si="53"/>
        <v>44188</v>
      </c>
      <c r="F1549" s="480"/>
      <c r="G1549" s="221" t="s">
        <v>74</v>
      </c>
      <c r="H1549" s="221" t="str" cm="1">
        <f t="array" ref="H1549">IFERROR(INDEX(INVESTOR_LIST[INVESTOR NAME],MATCH(I1549,INVESTOR_LIST[INVESTOR CODE],0),)," ")</f>
        <v xml:space="preserve"> </v>
      </c>
      <c r="I1549" s="145" t="s">
        <v>348</v>
      </c>
      <c r="J1549" s="146" t="s">
        <v>52</v>
      </c>
      <c r="K1549" s="219"/>
      <c r="L1549" s="219">
        <v>60</v>
      </c>
      <c r="M1549" s="147">
        <v>0</v>
      </c>
      <c r="N1549" s="133">
        <v>93</v>
      </c>
      <c r="Q1549" s="133" t="s">
        <v>348</v>
      </c>
    </row>
    <row r="1550" spans="1:17" x14ac:dyDescent="0.2">
      <c r="A1550" s="133">
        <v>2020</v>
      </c>
      <c r="B1550" s="133">
        <v>12</v>
      </c>
      <c r="C1550" s="133">
        <v>23</v>
      </c>
      <c r="D1550" s="141">
        <f t="shared" si="54"/>
        <v>44188</v>
      </c>
      <c r="E1550" s="275">
        <f t="shared" ref="E1550:E1613" si="55">DATE(A1550,B1550,C1550)</f>
        <v>44188</v>
      </c>
      <c r="F1550" s="481" t="s">
        <v>77</v>
      </c>
      <c r="G1550" s="174" t="s">
        <v>74</v>
      </c>
      <c r="H1550" s="174" t="str" cm="1">
        <f t="array" ref="H1550">IFERROR(INDEX(INVESTOR_LIST[INVESTOR NAME],MATCH(I1550,INVESTOR_LIST[INVESTOR CODE],0),)," ")</f>
        <v xml:space="preserve"> </v>
      </c>
      <c r="I1550" s="148" t="s">
        <v>348</v>
      </c>
      <c r="J1550" s="149" t="s">
        <v>61</v>
      </c>
      <c r="K1550" s="218">
        <v>60</v>
      </c>
      <c r="L1550" s="218"/>
      <c r="M1550" s="147">
        <v>0</v>
      </c>
      <c r="N1550" s="133">
        <v>93</v>
      </c>
      <c r="Q1550" s="133" t="s">
        <v>348</v>
      </c>
    </row>
    <row r="1551" spans="1:17" x14ac:dyDescent="0.2">
      <c r="A1551" s="163">
        <v>2020</v>
      </c>
      <c r="B1551" s="163">
        <v>12</v>
      </c>
      <c r="C1551" s="163">
        <v>23</v>
      </c>
      <c r="D1551" s="141">
        <f t="shared" si="54"/>
        <v>44188</v>
      </c>
      <c r="E1551" s="275">
        <f t="shared" si="55"/>
        <v>44188</v>
      </c>
      <c r="F1551" s="480"/>
      <c r="G1551" s="221" t="s">
        <v>74</v>
      </c>
      <c r="H1551" s="221" t="str" cm="1">
        <f t="array" ref="H1551">IFERROR(INDEX(INVESTOR_LIST[INVESTOR NAME],MATCH(I1551,INVESTOR_LIST[INVESTOR CODE],0),)," ")</f>
        <v xml:space="preserve"> </v>
      </c>
      <c r="I1551" s="145" t="s">
        <v>348</v>
      </c>
      <c r="J1551" s="146" t="s">
        <v>52</v>
      </c>
      <c r="K1551" s="219"/>
      <c r="L1551" s="219">
        <v>60</v>
      </c>
      <c r="M1551" s="147">
        <v>0</v>
      </c>
      <c r="Q1551" s="133" t="s">
        <v>348</v>
      </c>
    </row>
    <row r="1552" spans="1:17" ht="56.25" x14ac:dyDescent="0.2">
      <c r="A1552" s="168">
        <v>2020</v>
      </c>
      <c r="B1552" s="168">
        <v>12</v>
      </c>
      <c r="C1552" s="168">
        <v>23</v>
      </c>
      <c r="D1552" s="141">
        <f t="shared" si="54"/>
        <v>44188</v>
      </c>
      <c r="E1552" s="275">
        <f t="shared" si="55"/>
        <v>44188</v>
      </c>
      <c r="F1552" s="479" t="s">
        <v>964</v>
      </c>
      <c r="G1552" s="220" t="s">
        <v>74</v>
      </c>
      <c r="H1552" s="220" t="str" cm="1">
        <f t="array" ref="H1552">IFERROR(INDEX(INVESTOR_LIST[INVESTOR NAME],MATCH(I1552,INVESTOR_LIST[INVESTOR CODE],0),)," ")</f>
        <v>ABU NAYEEM MOHAMMAD MAHFUZ</v>
      </c>
      <c r="I1552" s="142" t="s">
        <v>495</v>
      </c>
      <c r="J1552" s="143" t="s">
        <v>52</v>
      </c>
      <c r="K1552" s="226">
        <v>1500000</v>
      </c>
      <c r="L1552" s="226"/>
      <c r="M1552" s="147">
        <v>0</v>
      </c>
      <c r="Q1552" s="133" t="s">
        <v>495</v>
      </c>
    </row>
    <row r="1553" spans="1:17" ht="56.25" x14ac:dyDescent="0.2">
      <c r="A1553" s="133">
        <v>2020</v>
      </c>
      <c r="B1553" s="133">
        <v>12</v>
      </c>
      <c r="C1553" s="133">
        <v>23</v>
      </c>
      <c r="D1553" s="141">
        <f t="shared" si="54"/>
        <v>44188</v>
      </c>
      <c r="E1553" s="275">
        <f t="shared" si="55"/>
        <v>44188</v>
      </c>
      <c r="F1553" s="481"/>
      <c r="G1553" s="174" t="s">
        <v>74</v>
      </c>
      <c r="H1553" s="174" t="str" cm="1">
        <f t="array" ref="H1553">IFERROR(INDEX(INVESTOR_LIST[INVESTOR NAME],MATCH(I1553,INVESTOR_LIST[INVESTOR CODE],0),)," ")</f>
        <v>ABU NAYEEM MOHAMMAD MAHFUZ</v>
      </c>
      <c r="I1553" s="148" t="s">
        <v>495</v>
      </c>
      <c r="J1553" s="149" t="s">
        <v>13</v>
      </c>
      <c r="K1553" s="218"/>
      <c r="L1553" s="218">
        <v>1275510</v>
      </c>
      <c r="M1553" s="147">
        <v>0</v>
      </c>
      <c r="Q1553" s="133" t="s">
        <v>495</v>
      </c>
    </row>
    <row r="1554" spans="1:17" ht="56.25" x14ac:dyDescent="0.2">
      <c r="A1554" s="163">
        <v>2020</v>
      </c>
      <c r="B1554" s="163">
        <v>12</v>
      </c>
      <c r="C1554" s="163">
        <v>23</v>
      </c>
      <c r="D1554" s="141">
        <f t="shared" si="54"/>
        <v>44188</v>
      </c>
      <c r="E1554" s="275">
        <f t="shared" si="55"/>
        <v>44188</v>
      </c>
      <c r="F1554" s="480"/>
      <c r="G1554" s="221" t="s">
        <v>74</v>
      </c>
      <c r="H1554" s="221" t="str" cm="1">
        <f t="array" ref="H1554">IFERROR(INDEX(INVESTOR_LIST[INVESTOR NAME],MATCH(I1554,INVESTOR_LIST[INVESTOR CODE],0),)," ")</f>
        <v>ABU NAYEEM MOHAMMAD MAHFUZ</v>
      </c>
      <c r="I1554" s="145" t="s">
        <v>495</v>
      </c>
      <c r="J1554" s="146" t="s">
        <v>53</v>
      </c>
      <c r="K1554" s="219"/>
      <c r="L1554" s="219">
        <v>224490</v>
      </c>
      <c r="M1554" s="147">
        <v>0</v>
      </c>
      <c r="Q1554" s="133" t="s">
        <v>495</v>
      </c>
    </row>
    <row r="1555" spans="1:17" ht="33.75" x14ac:dyDescent="0.2">
      <c r="A1555" s="168">
        <v>2020</v>
      </c>
      <c r="B1555" s="168">
        <v>12</v>
      </c>
      <c r="C1555" s="168">
        <v>23</v>
      </c>
      <c r="D1555" s="141">
        <f t="shared" si="54"/>
        <v>44188</v>
      </c>
      <c r="E1555" s="275">
        <f t="shared" si="55"/>
        <v>44188</v>
      </c>
      <c r="F1555" s="479" t="s">
        <v>964</v>
      </c>
      <c r="G1555" s="220" t="s">
        <v>74</v>
      </c>
      <c r="H1555" s="220" t="str" cm="1">
        <f t="array" ref="H1555">IFERROR(INDEX(INVESTOR_LIST[INVESTOR NAME],MATCH(I1555,INVESTOR_LIST[INVESTOR CODE],0),)," ")</f>
        <v>MUQIT-AL RAHMAN</v>
      </c>
      <c r="I1555" s="142" t="s">
        <v>473</v>
      </c>
      <c r="J1555" s="143" t="s">
        <v>52</v>
      </c>
      <c r="K1555" s="226">
        <v>705600</v>
      </c>
      <c r="L1555" s="226"/>
      <c r="M1555" s="147">
        <v>0</v>
      </c>
      <c r="Q1555" s="133" t="s">
        <v>473</v>
      </c>
    </row>
    <row r="1556" spans="1:17" ht="33.75" x14ac:dyDescent="0.2">
      <c r="A1556" s="133">
        <v>2020</v>
      </c>
      <c r="B1556" s="133">
        <v>12</v>
      </c>
      <c r="C1556" s="133">
        <v>23</v>
      </c>
      <c r="D1556" s="141">
        <f t="shared" si="54"/>
        <v>44188</v>
      </c>
      <c r="E1556" s="275">
        <f t="shared" si="55"/>
        <v>44188</v>
      </c>
      <c r="F1556" s="481"/>
      <c r="G1556" s="174" t="s">
        <v>74</v>
      </c>
      <c r="H1556" s="174" t="str" cm="1">
        <f t="array" ref="H1556">IFERROR(INDEX(INVESTOR_LIST[INVESTOR NAME],MATCH(I1556,INVESTOR_LIST[INVESTOR CODE],0),)," ")</f>
        <v>MUQIT-AL RAHMAN</v>
      </c>
      <c r="I1556" s="148" t="s">
        <v>473</v>
      </c>
      <c r="J1556" s="149" t="s">
        <v>13</v>
      </c>
      <c r="K1556" s="218"/>
      <c r="L1556" s="218">
        <v>600000</v>
      </c>
      <c r="M1556" s="147">
        <v>0</v>
      </c>
      <c r="Q1556" s="133" t="s">
        <v>473</v>
      </c>
    </row>
    <row r="1557" spans="1:17" ht="33.75" x14ac:dyDescent="0.2">
      <c r="A1557" s="163">
        <v>2020</v>
      </c>
      <c r="B1557" s="163">
        <v>12</v>
      </c>
      <c r="C1557" s="163">
        <v>23</v>
      </c>
      <c r="D1557" s="141">
        <f t="shared" si="54"/>
        <v>44188</v>
      </c>
      <c r="E1557" s="275">
        <f t="shared" si="55"/>
        <v>44188</v>
      </c>
      <c r="F1557" s="480"/>
      <c r="G1557" s="221" t="s">
        <v>74</v>
      </c>
      <c r="H1557" s="221" t="str" cm="1">
        <f t="array" ref="H1557">IFERROR(INDEX(INVESTOR_LIST[INVESTOR NAME],MATCH(I1557,INVESTOR_LIST[INVESTOR CODE],0),)," ")</f>
        <v>MUQIT-AL RAHMAN</v>
      </c>
      <c r="I1557" s="145" t="s">
        <v>473</v>
      </c>
      <c r="J1557" s="146" t="s">
        <v>53</v>
      </c>
      <c r="K1557" s="219"/>
      <c r="L1557" s="219">
        <v>105600</v>
      </c>
      <c r="M1557" s="147">
        <v>0</v>
      </c>
      <c r="Q1557" s="133" t="s">
        <v>473</v>
      </c>
    </row>
    <row r="1558" spans="1:17" ht="33.75" x14ac:dyDescent="0.2">
      <c r="A1558" s="168">
        <v>2020</v>
      </c>
      <c r="B1558" s="168">
        <v>12</v>
      </c>
      <c r="C1558" s="168">
        <v>24</v>
      </c>
      <c r="D1558" s="141">
        <f t="shared" si="54"/>
        <v>44189</v>
      </c>
      <c r="E1558" s="275">
        <f t="shared" si="55"/>
        <v>44189</v>
      </c>
      <c r="F1558" s="479" t="s">
        <v>965</v>
      </c>
      <c r="G1558" s="220" t="s">
        <v>74</v>
      </c>
      <c r="H1558" s="220" t="str" cm="1">
        <f t="array" ref="H1558">IFERROR(INDEX(INVESTOR_LIST[INVESTOR NAME],MATCH(I1558,INVESTOR_LIST[INVESTOR CODE],0),)," ")</f>
        <v>NUR HAIDAR SARKER</v>
      </c>
      <c r="I1558" s="142" t="s">
        <v>397</v>
      </c>
      <c r="J1558" s="143" t="s">
        <v>13</v>
      </c>
      <c r="K1558" s="226">
        <v>500000</v>
      </c>
      <c r="L1558" s="226"/>
      <c r="M1558" s="147">
        <v>0</v>
      </c>
      <c r="Q1558" s="133" t="s">
        <v>397</v>
      </c>
    </row>
    <row r="1559" spans="1:17" ht="33.75" x14ac:dyDescent="0.2">
      <c r="A1559" s="133">
        <v>2020</v>
      </c>
      <c r="B1559" s="133">
        <v>12</v>
      </c>
      <c r="C1559" s="133">
        <v>24</v>
      </c>
      <c r="D1559" s="141">
        <f t="shared" si="54"/>
        <v>44189</v>
      </c>
      <c r="E1559" s="275">
        <f t="shared" si="55"/>
        <v>44189</v>
      </c>
      <c r="F1559" s="481"/>
      <c r="G1559" s="174" t="s">
        <v>74</v>
      </c>
      <c r="H1559" s="174" t="str" cm="1">
        <f t="array" ref="H1559">IFERROR(INDEX(INVESTOR_LIST[INVESTOR NAME],MATCH(I1559,INVESTOR_LIST[INVESTOR CODE],0),)," ")</f>
        <v>NUR HAIDAR SARKER</v>
      </c>
      <c r="I1559" s="148" t="s">
        <v>397</v>
      </c>
      <c r="J1559" s="149" t="s">
        <v>53</v>
      </c>
      <c r="K1559" s="218">
        <v>88000</v>
      </c>
      <c r="L1559" s="218"/>
      <c r="M1559" s="147">
        <v>0</v>
      </c>
      <c r="Q1559" s="133" t="s">
        <v>397</v>
      </c>
    </row>
    <row r="1560" spans="1:17" ht="33.75" x14ac:dyDescent="0.2">
      <c r="A1560" s="163">
        <v>2020</v>
      </c>
      <c r="B1560" s="163">
        <v>12</v>
      </c>
      <c r="C1560" s="163">
        <v>24</v>
      </c>
      <c r="D1560" s="141">
        <f t="shared" si="54"/>
        <v>44189</v>
      </c>
      <c r="E1560" s="275">
        <f t="shared" si="55"/>
        <v>44189</v>
      </c>
      <c r="F1560" s="480"/>
      <c r="G1560" s="221" t="s">
        <v>74</v>
      </c>
      <c r="H1560" s="221" t="str" cm="1">
        <f t="array" ref="H1560">IFERROR(INDEX(INVESTOR_LIST[INVESTOR NAME],MATCH(I1560,INVESTOR_LIST[INVESTOR CODE],0),)," ")</f>
        <v>NUR HAIDAR SARKER</v>
      </c>
      <c r="I1560" s="145" t="s">
        <v>397</v>
      </c>
      <c r="J1560" s="146" t="s">
        <v>52</v>
      </c>
      <c r="K1560" s="219"/>
      <c r="L1560" s="219">
        <v>588000</v>
      </c>
      <c r="M1560" s="147">
        <v>0</v>
      </c>
      <c r="Q1560" s="133" t="s">
        <v>397</v>
      </c>
    </row>
    <row r="1561" spans="1:17" ht="33.75" x14ac:dyDescent="0.2">
      <c r="A1561" s="168">
        <v>2020</v>
      </c>
      <c r="B1561" s="168">
        <v>12</v>
      </c>
      <c r="C1561" s="168">
        <v>24</v>
      </c>
      <c r="D1561" s="141">
        <f t="shared" si="54"/>
        <v>44189</v>
      </c>
      <c r="E1561" s="275">
        <f t="shared" si="55"/>
        <v>44189</v>
      </c>
      <c r="F1561" s="479" t="s">
        <v>964</v>
      </c>
      <c r="G1561" s="220" t="s">
        <v>74</v>
      </c>
      <c r="H1561" s="220" t="str" cm="1">
        <f t="array" ref="H1561">IFERROR(INDEX(INVESTOR_LIST[INVESTOR NAME],MATCH(I1561,INVESTOR_LIST[INVESTOR CODE],0),)," ")</f>
        <v>NATIONAL BANK LTD</v>
      </c>
      <c r="I1561" s="142" t="s">
        <v>415</v>
      </c>
      <c r="J1561" s="143" t="s">
        <v>52</v>
      </c>
      <c r="K1561" s="226">
        <v>1500000</v>
      </c>
      <c r="L1561" s="226"/>
      <c r="M1561" s="147">
        <v>0</v>
      </c>
      <c r="Q1561" s="133" t="s">
        <v>415</v>
      </c>
    </row>
    <row r="1562" spans="1:17" ht="33.75" x14ac:dyDescent="0.2">
      <c r="A1562" s="133">
        <v>2020</v>
      </c>
      <c r="B1562" s="133">
        <v>12</v>
      </c>
      <c r="C1562" s="133">
        <v>24</v>
      </c>
      <c r="D1562" s="141">
        <f t="shared" si="54"/>
        <v>44189</v>
      </c>
      <c r="E1562" s="275">
        <f t="shared" si="55"/>
        <v>44189</v>
      </c>
      <c r="F1562" s="481"/>
      <c r="G1562" s="174" t="s">
        <v>74</v>
      </c>
      <c r="H1562" s="174" t="str" cm="1">
        <f t="array" ref="H1562">IFERROR(INDEX(INVESTOR_LIST[INVESTOR NAME],MATCH(I1562,INVESTOR_LIST[INVESTOR CODE],0),)," ")</f>
        <v>NATIONAL BANK LTD</v>
      </c>
      <c r="I1562" s="148" t="s">
        <v>415</v>
      </c>
      <c r="J1562" s="149" t="s">
        <v>13</v>
      </c>
      <c r="K1562" s="218"/>
      <c r="L1562" s="218">
        <v>1275510</v>
      </c>
      <c r="M1562" s="147">
        <v>0</v>
      </c>
      <c r="Q1562" s="133" t="s">
        <v>415</v>
      </c>
    </row>
    <row r="1563" spans="1:17" ht="33.75" x14ac:dyDescent="0.2">
      <c r="A1563" s="163">
        <v>2020</v>
      </c>
      <c r="B1563" s="163">
        <v>12</v>
      </c>
      <c r="C1563" s="163">
        <v>24</v>
      </c>
      <c r="D1563" s="141">
        <f t="shared" si="54"/>
        <v>44189</v>
      </c>
      <c r="E1563" s="275">
        <f t="shared" si="55"/>
        <v>44189</v>
      </c>
      <c r="F1563" s="480"/>
      <c r="G1563" s="221" t="s">
        <v>74</v>
      </c>
      <c r="H1563" s="174" t="str" cm="1">
        <f t="array" ref="H1563">IFERROR(INDEX(INVESTOR_LIST[INVESTOR NAME],MATCH(I1563,INVESTOR_LIST[INVESTOR CODE],0),)," ")</f>
        <v>NATIONAL BANK LTD</v>
      </c>
      <c r="I1563" s="148" t="s">
        <v>415</v>
      </c>
      <c r="J1563" s="146" t="s">
        <v>53</v>
      </c>
      <c r="K1563" s="219"/>
      <c r="L1563" s="219">
        <v>224490</v>
      </c>
      <c r="M1563" s="147">
        <v>0</v>
      </c>
      <c r="Q1563" s="133" t="s">
        <v>415</v>
      </c>
    </row>
    <row r="1564" spans="1:17" ht="33.75" x14ac:dyDescent="0.2">
      <c r="A1564" s="168">
        <v>2020</v>
      </c>
      <c r="B1564" s="168">
        <v>12</v>
      </c>
      <c r="C1564" s="168">
        <v>24</v>
      </c>
      <c r="D1564" s="141">
        <f t="shared" si="54"/>
        <v>44189</v>
      </c>
      <c r="E1564" s="275">
        <f t="shared" si="55"/>
        <v>44189</v>
      </c>
      <c r="F1564" s="479" t="s">
        <v>964</v>
      </c>
      <c r="G1564" s="220" t="s">
        <v>74</v>
      </c>
      <c r="H1564" s="220" t="str" cm="1">
        <f t="array" ref="H1564">IFERROR(INDEX(INVESTOR_LIST[INVESTOR NAME],MATCH(I1564,INVESTOR_LIST[INVESTOR CODE],0),)," ")</f>
        <v>FAIYEAD AHMEDUL HYE</v>
      </c>
      <c r="I1564" s="142" t="s">
        <v>496</v>
      </c>
      <c r="J1564" s="143" t="s">
        <v>52</v>
      </c>
      <c r="K1564" s="226">
        <v>100000</v>
      </c>
      <c r="L1564" s="226"/>
      <c r="M1564" s="147">
        <v>0</v>
      </c>
      <c r="Q1564" s="133" t="s">
        <v>496</v>
      </c>
    </row>
    <row r="1565" spans="1:17" ht="33.75" x14ac:dyDescent="0.2">
      <c r="A1565" s="133">
        <v>2020</v>
      </c>
      <c r="B1565" s="133">
        <v>12</v>
      </c>
      <c r="C1565" s="133">
        <v>24</v>
      </c>
      <c r="D1565" s="141">
        <f t="shared" si="54"/>
        <v>44189</v>
      </c>
      <c r="E1565" s="275">
        <f t="shared" si="55"/>
        <v>44189</v>
      </c>
      <c r="F1565" s="481"/>
      <c r="G1565" s="174" t="s">
        <v>74</v>
      </c>
      <c r="H1565" s="174" t="str" cm="1">
        <f t="array" ref="H1565">IFERROR(INDEX(INVESTOR_LIST[INVESTOR NAME],MATCH(I1565,INVESTOR_LIST[INVESTOR CODE],0),)," ")</f>
        <v>FAIYEAD AHMEDUL HYE</v>
      </c>
      <c r="I1565" s="148" t="s">
        <v>496</v>
      </c>
      <c r="J1565" s="149" t="s">
        <v>13</v>
      </c>
      <c r="K1565" s="218"/>
      <c r="L1565" s="218">
        <v>85110</v>
      </c>
      <c r="M1565" s="147">
        <v>0</v>
      </c>
      <c r="Q1565" s="133" t="s">
        <v>496</v>
      </c>
    </row>
    <row r="1566" spans="1:17" ht="33.75" x14ac:dyDescent="0.2">
      <c r="A1566" s="163">
        <v>2020</v>
      </c>
      <c r="B1566" s="163">
        <v>12</v>
      </c>
      <c r="C1566" s="163">
        <v>24</v>
      </c>
      <c r="D1566" s="141">
        <f t="shared" si="54"/>
        <v>44189</v>
      </c>
      <c r="E1566" s="275">
        <f t="shared" si="55"/>
        <v>44189</v>
      </c>
      <c r="F1566" s="480"/>
      <c r="G1566" s="221" t="s">
        <v>74</v>
      </c>
      <c r="H1566" s="221" t="str" cm="1">
        <f t="array" ref="H1566">IFERROR(INDEX(INVESTOR_LIST[INVESTOR NAME],MATCH(I1566,INVESTOR_LIST[INVESTOR CODE],0),)," ")</f>
        <v>FAIYEAD AHMEDUL HYE</v>
      </c>
      <c r="I1566" s="145" t="s">
        <v>496</v>
      </c>
      <c r="J1566" s="146" t="s">
        <v>53</v>
      </c>
      <c r="K1566" s="219"/>
      <c r="L1566" s="219">
        <v>14890</v>
      </c>
      <c r="M1566" s="147">
        <v>0</v>
      </c>
      <c r="Q1566" s="133" t="s">
        <v>496</v>
      </c>
    </row>
    <row r="1567" spans="1:17" x14ac:dyDescent="0.2">
      <c r="A1567" s="168">
        <v>2020</v>
      </c>
      <c r="B1567" s="168">
        <v>12</v>
      </c>
      <c r="C1567" s="168">
        <v>24</v>
      </c>
      <c r="D1567" s="141">
        <f t="shared" si="54"/>
        <v>44189</v>
      </c>
      <c r="E1567" s="275">
        <f t="shared" si="55"/>
        <v>44189</v>
      </c>
      <c r="F1567" s="479" t="s">
        <v>273</v>
      </c>
      <c r="G1567" s="220" t="s">
        <v>94</v>
      </c>
      <c r="H1567" s="220" t="str" cm="1">
        <f t="array" ref="H1567">IFERROR(INDEX(INVESTOR_LIST[INVESTOR NAME],MATCH(I1567,INVESTOR_LIST[INVESTOR CODE],0),)," ")</f>
        <v xml:space="preserve"> </v>
      </c>
      <c r="I1567" s="142" t="s">
        <v>348</v>
      </c>
      <c r="J1567" s="143" t="s">
        <v>79</v>
      </c>
      <c r="K1567" s="226">
        <v>6051025.9000000004</v>
      </c>
      <c r="L1567" s="226"/>
      <c r="M1567" s="147">
        <v>0</v>
      </c>
      <c r="Q1567" s="133" t="s">
        <v>348</v>
      </c>
    </row>
    <row r="1568" spans="1:17" x14ac:dyDescent="0.2">
      <c r="A1568" s="133">
        <v>2020</v>
      </c>
      <c r="B1568" s="133">
        <v>12</v>
      </c>
      <c r="C1568" s="133">
        <v>24</v>
      </c>
      <c r="D1568" s="141">
        <f t="shared" si="54"/>
        <v>44189</v>
      </c>
      <c r="E1568" s="275">
        <f t="shared" si="55"/>
        <v>44189</v>
      </c>
      <c r="F1568" s="481"/>
      <c r="G1568" s="174" t="s">
        <v>94</v>
      </c>
      <c r="H1568" s="174" t="str" cm="1">
        <f t="array" ref="H1568">IFERROR(INDEX(INVESTOR_LIST[INVESTOR NAME],MATCH(I1568,INVESTOR_LIST[INVESTOR CODE],0),)," ")</f>
        <v xml:space="preserve"> </v>
      </c>
      <c r="I1568" s="148" t="s">
        <v>348</v>
      </c>
      <c r="J1568" s="149" t="s">
        <v>80</v>
      </c>
      <c r="K1568" s="218">
        <v>10891.85</v>
      </c>
      <c r="L1568" s="218"/>
      <c r="M1568" s="147">
        <v>0</v>
      </c>
      <c r="Q1568" s="133" t="s">
        <v>348</v>
      </c>
    </row>
    <row r="1569" spans="1:17" x14ac:dyDescent="0.2">
      <c r="A1569" s="163">
        <v>2020</v>
      </c>
      <c r="B1569" s="163">
        <v>12</v>
      </c>
      <c r="C1569" s="163">
        <v>24</v>
      </c>
      <c r="D1569" s="141">
        <f t="shared" si="54"/>
        <v>44189</v>
      </c>
      <c r="E1569" s="275">
        <f t="shared" si="55"/>
        <v>44189</v>
      </c>
      <c r="F1569" s="480"/>
      <c r="G1569" s="221" t="s">
        <v>94</v>
      </c>
      <c r="H1569" s="221" t="str" cm="1">
        <f t="array" ref="H1569">IFERROR(INDEX(INVESTOR_LIST[INVESTOR NAME],MATCH(I1569,INVESTOR_LIST[INVESTOR CODE],0),)," ")</f>
        <v xml:space="preserve"> </v>
      </c>
      <c r="I1569" s="145" t="s">
        <v>348</v>
      </c>
      <c r="J1569" s="146" t="s">
        <v>147</v>
      </c>
      <c r="K1569" s="219"/>
      <c r="L1569" s="219">
        <v>6061917.75</v>
      </c>
      <c r="M1569" s="147">
        <v>0</v>
      </c>
      <c r="Q1569" s="133" t="s">
        <v>348</v>
      </c>
    </row>
    <row r="1570" spans="1:17" x14ac:dyDescent="0.2">
      <c r="A1570" s="168">
        <v>2020</v>
      </c>
      <c r="B1570" s="168">
        <v>12</v>
      </c>
      <c r="C1570" s="168">
        <v>24</v>
      </c>
      <c r="D1570" s="141">
        <f t="shared" si="54"/>
        <v>44189</v>
      </c>
      <c r="E1570" s="275">
        <f t="shared" si="55"/>
        <v>44189</v>
      </c>
      <c r="F1570" s="494" t="s">
        <v>278</v>
      </c>
      <c r="G1570" s="220" t="s">
        <v>74</v>
      </c>
      <c r="H1570" s="220" t="str" cm="1">
        <f t="array" ref="H1570">IFERROR(INDEX(INVESTOR_LIST[INVESTOR NAME],MATCH(I1570,INVESTOR_LIST[INVESTOR CODE],0),)," ")</f>
        <v xml:space="preserve"> </v>
      </c>
      <c r="I1570" s="142" t="s">
        <v>348</v>
      </c>
      <c r="J1570" s="143" t="s">
        <v>52</v>
      </c>
      <c r="K1570" s="226">
        <v>228713.82</v>
      </c>
      <c r="L1570" s="226"/>
      <c r="M1570" s="147">
        <v>0</v>
      </c>
      <c r="Q1570" s="133" t="s">
        <v>348</v>
      </c>
    </row>
    <row r="1571" spans="1:17" x14ac:dyDescent="0.2">
      <c r="A1571" s="163">
        <v>2020</v>
      </c>
      <c r="B1571" s="163">
        <v>12</v>
      </c>
      <c r="C1571" s="163">
        <v>24</v>
      </c>
      <c r="D1571" s="141">
        <f t="shared" si="54"/>
        <v>44189</v>
      </c>
      <c r="E1571" s="275">
        <f t="shared" si="55"/>
        <v>44189</v>
      </c>
      <c r="F1571" s="495"/>
      <c r="G1571" s="221" t="s">
        <v>74</v>
      </c>
      <c r="H1571" s="221" t="str" cm="1">
        <f t="array" ref="H1571">IFERROR(INDEX(INVESTOR_LIST[INVESTOR NAME],MATCH(I1571,INVESTOR_LIST[INVESTOR CODE],0),)," ")</f>
        <v xml:space="preserve"> </v>
      </c>
      <c r="I1571" s="145" t="s">
        <v>348</v>
      </c>
      <c r="J1571" s="146" t="s">
        <v>190</v>
      </c>
      <c r="K1571" s="219"/>
      <c r="L1571" s="219">
        <v>228713.82</v>
      </c>
      <c r="M1571" s="147">
        <v>0</v>
      </c>
      <c r="Q1571" s="133" t="s">
        <v>348</v>
      </c>
    </row>
    <row r="1572" spans="1:17" ht="11.25" customHeight="1" x14ac:dyDescent="0.2">
      <c r="A1572" s="168">
        <v>2020</v>
      </c>
      <c r="B1572" s="168">
        <v>12</v>
      </c>
      <c r="C1572" s="168">
        <v>24</v>
      </c>
      <c r="D1572" s="141">
        <f t="shared" si="54"/>
        <v>44189</v>
      </c>
      <c r="E1572" s="275">
        <f t="shared" si="55"/>
        <v>44189</v>
      </c>
      <c r="F1572" s="479" t="s">
        <v>254</v>
      </c>
      <c r="G1572" s="220" t="s">
        <v>74</v>
      </c>
      <c r="H1572" s="220" t="str" cm="1">
        <f t="array" ref="H1572">IFERROR(INDEX(INVESTOR_LIST[INVESTOR NAME],MATCH(I1572,INVESTOR_LIST[INVESTOR CODE],0),)," ")</f>
        <v xml:space="preserve"> </v>
      </c>
      <c r="I1572" s="142" t="s">
        <v>348</v>
      </c>
      <c r="J1572" s="143" t="s">
        <v>52</v>
      </c>
      <c r="K1572" s="226">
        <v>5000</v>
      </c>
      <c r="L1572" s="226"/>
      <c r="M1572" s="147">
        <v>0</v>
      </c>
      <c r="Q1572" s="133" t="s">
        <v>348</v>
      </c>
    </row>
    <row r="1573" spans="1:17" x14ac:dyDescent="0.2">
      <c r="A1573" s="133">
        <v>2020</v>
      </c>
      <c r="B1573" s="133">
        <v>12</v>
      </c>
      <c r="C1573" s="133">
        <v>24</v>
      </c>
      <c r="D1573" s="141">
        <f t="shared" si="54"/>
        <v>44189</v>
      </c>
      <c r="E1573" s="275">
        <f t="shared" si="55"/>
        <v>44189</v>
      </c>
      <c r="F1573" s="481"/>
      <c r="G1573" s="174" t="s">
        <v>74</v>
      </c>
      <c r="H1573" s="174" t="str" cm="1">
        <f t="array" ref="H1573">IFERROR(INDEX(INVESTOR_LIST[INVESTOR NAME],MATCH(I1573,INVESTOR_LIST[INVESTOR CODE],0),)," ")</f>
        <v xml:space="preserve"> </v>
      </c>
      <c r="I1573" s="148" t="s">
        <v>348</v>
      </c>
      <c r="J1573" s="149" t="s">
        <v>13</v>
      </c>
      <c r="K1573" s="218"/>
      <c r="L1573" s="218">
        <v>4250</v>
      </c>
      <c r="M1573" s="147">
        <v>0</v>
      </c>
      <c r="Q1573" s="133" t="s">
        <v>348</v>
      </c>
    </row>
    <row r="1574" spans="1:17" x14ac:dyDescent="0.2">
      <c r="A1574" s="163">
        <v>2020</v>
      </c>
      <c r="B1574" s="163">
        <v>12</v>
      </c>
      <c r="C1574" s="163">
        <v>24</v>
      </c>
      <c r="D1574" s="141">
        <f t="shared" si="54"/>
        <v>44189</v>
      </c>
      <c r="E1574" s="275">
        <f t="shared" si="55"/>
        <v>44189</v>
      </c>
      <c r="F1574" s="480"/>
      <c r="G1574" s="221" t="s">
        <v>74</v>
      </c>
      <c r="H1574" s="221" t="str" cm="1">
        <f t="array" ref="H1574">IFERROR(INDEX(INVESTOR_LIST[INVESTOR NAME],MATCH(I1574,INVESTOR_LIST[INVESTOR CODE],0),)," ")</f>
        <v xml:space="preserve"> </v>
      </c>
      <c r="I1574" s="145" t="s">
        <v>348</v>
      </c>
      <c r="J1574" s="146" t="s">
        <v>53</v>
      </c>
      <c r="K1574" s="219"/>
      <c r="L1574" s="219">
        <v>750</v>
      </c>
      <c r="M1574" s="147">
        <v>0</v>
      </c>
      <c r="Q1574" s="133" t="s">
        <v>348</v>
      </c>
    </row>
    <row r="1575" spans="1:17" x14ac:dyDescent="0.2">
      <c r="A1575" s="168">
        <v>2020</v>
      </c>
      <c r="B1575" s="168">
        <v>12</v>
      </c>
      <c r="C1575" s="168">
        <v>24</v>
      </c>
      <c r="D1575" s="141">
        <f t="shared" si="54"/>
        <v>44189</v>
      </c>
      <c r="E1575" s="275">
        <f t="shared" si="55"/>
        <v>44189</v>
      </c>
      <c r="F1575" s="479" t="s">
        <v>77</v>
      </c>
      <c r="G1575" s="220" t="s">
        <v>74</v>
      </c>
      <c r="H1575" s="220" t="str" cm="1">
        <f t="array" ref="H1575">IFERROR(INDEX(INVESTOR_LIST[INVESTOR NAME],MATCH(I1575,INVESTOR_LIST[INVESTOR CODE],0),)," ")</f>
        <v xml:space="preserve"> </v>
      </c>
      <c r="I1575" s="142" t="s">
        <v>348</v>
      </c>
      <c r="J1575" s="143" t="s">
        <v>61</v>
      </c>
      <c r="K1575" s="226">
        <v>60</v>
      </c>
      <c r="L1575" s="226"/>
      <c r="M1575" s="147">
        <v>0</v>
      </c>
      <c r="Q1575" s="133" t="s">
        <v>348</v>
      </c>
    </row>
    <row r="1576" spans="1:17" x14ac:dyDescent="0.2">
      <c r="A1576" s="163">
        <v>2020</v>
      </c>
      <c r="B1576" s="163">
        <v>12</v>
      </c>
      <c r="C1576" s="163">
        <v>24</v>
      </c>
      <c r="D1576" s="141">
        <f t="shared" si="54"/>
        <v>44189</v>
      </c>
      <c r="E1576" s="275">
        <f t="shared" si="55"/>
        <v>44189</v>
      </c>
      <c r="F1576" s="480"/>
      <c r="G1576" s="221" t="s">
        <v>74</v>
      </c>
      <c r="H1576" s="221" t="str" cm="1">
        <f t="array" ref="H1576">IFERROR(INDEX(INVESTOR_LIST[INVESTOR NAME],MATCH(I1576,INVESTOR_LIST[INVESTOR CODE],0),)," ")</f>
        <v xml:space="preserve"> </v>
      </c>
      <c r="I1576" s="145" t="s">
        <v>348</v>
      </c>
      <c r="J1576" s="146" t="s">
        <v>52</v>
      </c>
      <c r="K1576" s="219"/>
      <c r="L1576" s="219">
        <v>60</v>
      </c>
      <c r="M1576" s="147">
        <v>0</v>
      </c>
      <c r="Q1576" s="133" t="s">
        <v>348</v>
      </c>
    </row>
    <row r="1577" spans="1:17" x14ac:dyDescent="0.2">
      <c r="A1577" s="168">
        <v>2020</v>
      </c>
      <c r="B1577" s="168">
        <v>12</v>
      </c>
      <c r="C1577" s="168">
        <v>24</v>
      </c>
      <c r="D1577" s="141">
        <f t="shared" si="54"/>
        <v>44189</v>
      </c>
      <c r="E1577" s="275">
        <f t="shared" si="55"/>
        <v>44189</v>
      </c>
      <c r="F1577" s="479" t="s">
        <v>77</v>
      </c>
      <c r="G1577" s="220" t="s">
        <v>74</v>
      </c>
      <c r="H1577" s="220" t="str" cm="1">
        <f t="array" ref="H1577">IFERROR(INDEX(INVESTOR_LIST[INVESTOR NAME],MATCH(I1577,INVESTOR_LIST[INVESTOR CODE],0),)," ")</f>
        <v xml:space="preserve"> </v>
      </c>
      <c r="I1577" s="142" t="s">
        <v>348</v>
      </c>
      <c r="J1577" s="143" t="s">
        <v>61</v>
      </c>
      <c r="K1577" s="226">
        <v>10</v>
      </c>
      <c r="L1577" s="226"/>
      <c r="M1577" s="147">
        <v>0</v>
      </c>
      <c r="Q1577" s="133" t="s">
        <v>348</v>
      </c>
    </row>
    <row r="1578" spans="1:17" x14ac:dyDescent="0.2">
      <c r="A1578" s="163">
        <v>2020</v>
      </c>
      <c r="B1578" s="163">
        <v>12</v>
      </c>
      <c r="C1578" s="163">
        <v>24</v>
      </c>
      <c r="D1578" s="141">
        <f t="shared" si="54"/>
        <v>44189</v>
      </c>
      <c r="E1578" s="275">
        <f t="shared" si="55"/>
        <v>44189</v>
      </c>
      <c r="F1578" s="480"/>
      <c r="G1578" s="221" t="s">
        <v>74</v>
      </c>
      <c r="H1578" s="221" t="str" cm="1">
        <f t="array" ref="H1578">IFERROR(INDEX(INVESTOR_LIST[INVESTOR NAME],MATCH(I1578,INVESTOR_LIST[INVESTOR CODE],0),)," ")</f>
        <v xml:space="preserve"> </v>
      </c>
      <c r="I1578" s="145" t="s">
        <v>348</v>
      </c>
      <c r="J1578" s="146" t="s">
        <v>52</v>
      </c>
      <c r="K1578" s="219"/>
      <c r="L1578" s="219">
        <v>10</v>
      </c>
      <c r="M1578" s="147">
        <v>0</v>
      </c>
      <c r="Q1578" s="133" t="s">
        <v>348</v>
      </c>
    </row>
    <row r="1579" spans="1:17" x14ac:dyDescent="0.2">
      <c r="A1579" s="238">
        <v>2020</v>
      </c>
      <c r="B1579" s="238">
        <v>12</v>
      </c>
      <c r="C1579" s="238">
        <v>24</v>
      </c>
      <c r="D1579" s="141">
        <f t="shared" si="54"/>
        <v>44189</v>
      </c>
      <c r="E1579" s="275">
        <f t="shared" si="55"/>
        <v>44189</v>
      </c>
      <c r="F1579" s="477" t="s">
        <v>105</v>
      </c>
      <c r="G1579" s="239" t="s">
        <v>94</v>
      </c>
      <c r="H1579" s="239" t="str" cm="1">
        <f t="array" ref="H1579">IFERROR(INDEX(INVESTOR_LIST[INVESTOR NAME],MATCH(I1579,INVESTOR_LIST[INVESTOR CODE],0),)," ")</f>
        <v xml:space="preserve"> </v>
      </c>
      <c r="I1579" s="262" t="s">
        <v>348</v>
      </c>
      <c r="J1579" s="240" t="s">
        <v>108</v>
      </c>
      <c r="K1579" s="241">
        <v>1825566.1826633494</v>
      </c>
      <c r="L1579" s="241"/>
      <c r="M1579" s="147">
        <v>0</v>
      </c>
      <c r="Q1579" s="133" t="s">
        <v>348</v>
      </c>
    </row>
    <row r="1580" spans="1:17" x14ac:dyDescent="0.2">
      <c r="A1580" s="242">
        <v>2020</v>
      </c>
      <c r="B1580" s="242">
        <v>12</v>
      </c>
      <c r="C1580" s="242">
        <v>24</v>
      </c>
      <c r="D1580" s="141">
        <f t="shared" si="54"/>
        <v>44189</v>
      </c>
      <c r="E1580" s="275">
        <f t="shared" si="55"/>
        <v>44189</v>
      </c>
      <c r="F1580" s="478"/>
      <c r="G1580" s="243" t="s">
        <v>94</v>
      </c>
      <c r="H1580" s="243" t="str" cm="1">
        <f t="array" ref="H1580">IFERROR(INDEX(INVESTOR_LIST[INVESTOR NAME],MATCH(I1580,INVESTOR_LIST[INVESTOR CODE],0),)," ")</f>
        <v xml:space="preserve"> </v>
      </c>
      <c r="I1580" s="263" t="s">
        <v>348</v>
      </c>
      <c r="J1580" s="244" t="s">
        <v>82</v>
      </c>
      <c r="K1580" s="245"/>
      <c r="L1580" s="245">
        <v>1825566.1826633494</v>
      </c>
      <c r="M1580" s="147">
        <v>0</v>
      </c>
      <c r="Q1580" s="133" t="s">
        <v>348</v>
      </c>
    </row>
    <row r="1581" spans="1:17" ht="22.5" x14ac:dyDescent="0.2">
      <c r="A1581" s="246">
        <v>2020</v>
      </c>
      <c r="B1581" s="246">
        <v>12</v>
      </c>
      <c r="C1581" s="246">
        <v>24</v>
      </c>
      <c r="D1581" s="141">
        <f t="shared" si="54"/>
        <v>44189</v>
      </c>
      <c r="E1581" s="275">
        <f t="shared" si="55"/>
        <v>44189</v>
      </c>
      <c r="F1581" s="482" t="s">
        <v>148</v>
      </c>
      <c r="G1581" s="247" t="s">
        <v>94</v>
      </c>
      <c r="H1581" s="247" t="str" cm="1">
        <f t="array" ref="H1581">IFERROR(INDEX(INVESTOR_LIST[INVESTOR NAME],MATCH(I1581,INVESTOR_LIST[INVESTOR CODE],0),)," ")</f>
        <v xml:space="preserve"> </v>
      </c>
      <c r="I1581" s="248" t="s">
        <v>348</v>
      </c>
      <c r="J1581" s="249" t="s">
        <v>95</v>
      </c>
      <c r="K1581" s="252">
        <v>2747.25</v>
      </c>
      <c r="L1581" s="252"/>
      <c r="M1581" s="147">
        <v>0</v>
      </c>
      <c r="Q1581" s="133" t="s">
        <v>348</v>
      </c>
    </row>
    <row r="1582" spans="1:17" x14ac:dyDescent="0.2">
      <c r="A1582" s="242">
        <v>2020</v>
      </c>
      <c r="B1582" s="242">
        <v>12</v>
      </c>
      <c r="C1582" s="242">
        <v>24</v>
      </c>
      <c r="D1582" s="141">
        <f t="shared" si="54"/>
        <v>44189</v>
      </c>
      <c r="E1582" s="275">
        <f t="shared" si="55"/>
        <v>44189</v>
      </c>
      <c r="F1582" s="478"/>
      <c r="G1582" s="243" t="s">
        <v>94</v>
      </c>
      <c r="H1582" s="243" t="str" cm="1">
        <f t="array" ref="H1582">IFERROR(INDEX(INVESTOR_LIST[INVESTOR NAME],MATCH(I1582,INVESTOR_LIST[INVESTOR CODE],0),)," ")</f>
        <v xml:space="preserve"> </v>
      </c>
      <c r="I1582" s="263" t="s">
        <v>348</v>
      </c>
      <c r="J1582" s="244" t="s">
        <v>63</v>
      </c>
      <c r="K1582" s="245"/>
      <c r="L1582" s="245">
        <v>2747.25</v>
      </c>
      <c r="M1582" s="147">
        <v>0</v>
      </c>
      <c r="Q1582" s="133" t="s">
        <v>348</v>
      </c>
    </row>
    <row r="1583" spans="1:17" x14ac:dyDescent="0.2">
      <c r="A1583" s="246">
        <v>2020</v>
      </c>
      <c r="B1583" s="246">
        <v>12</v>
      </c>
      <c r="C1583" s="246">
        <v>24</v>
      </c>
      <c r="D1583" s="141">
        <f t="shared" si="54"/>
        <v>44189</v>
      </c>
      <c r="E1583" s="275">
        <f t="shared" si="55"/>
        <v>44189</v>
      </c>
      <c r="F1583" s="482" t="s">
        <v>137</v>
      </c>
      <c r="G1583" s="247" t="s">
        <v>94</v>
      </c>
      <c r="H1583" s="247" t="str" cm="1">
        <f t="array" ref="H1583">IFERROR(INDEX(INVESTOR_LIST[INVESTOR NAME],MATCH(I1583,INVESTOR_LIST[INVESTOR CODE],0),)," ")</f>
        <v xml:space="preserve"> </v>
      </c>
      <c r="I1583" s="248" t="s">
        <v>348</v>
      </c>
      <c r="J1583" s="249" t="s">
        <v>97</v>
      </c>
      <c r="K1583" s="252">
        <v>65430.63</v>
      </c>
      <c r="L1583" s="252"/>
      <c r="M1583" s="147">
        <v>0</v>
      </c>
      <c r="Q1583" s="133" t="s">
        <v>348</v>
      </c>
    </row>
    <row r="1584" spans="1:17" x14ac:dyDescent="0.2">
      <c r="A1584" s="242">
        <v>2020</v>
      </c>
      <c r="B1584" s="242">
        <v>12</v>
      </c>
      <c r="C1584" s="242">
        <v>24</v>
      </c>
      <c r="D1584" s="141">
        <f t="shared" si="54"/>
        <v>44189</v>
      </c>
      <c r="E1584" s="275">
        <f t="shared" si="55"/>
        <v>44189</v>
      </c>
      <c r="F1584" s="478"/>
      <c r="G1584" s="243" t="s">
        <v>94</v>
      </c>
      <c r="H1584" s="243" t="str" cm="1">
        <f t="array" ref="H1584">IFERROR(INDEX(INVESTOR_LIST[INVESTOR NAME],MATCH(I1584,INVESTOR_LIST[INVESTOR CODE],0),)," ")</f>
        <v xml:space="preserve"> </v>
      </c>
      <c r="I1584" s="263" t="s">
        <v>348</v>
      </c>
      <c r="J1584" s="244" t="s">
        <v>47</v>
      </c>
      <c r="K1584" s="245"/>
      <c r="L1584" s="245">
        <v>65430.63</v>
      </c>
      <c r="M1584" s="147">
        <v>0</v>
      </c>
      <c r="Q1584" s="133" t="s">
        <v>348</v>
      </c>
    </row>
    <row r="1585" spans="1:17" x14ac:dyDescent="0.2">
      <c r="A1585" s="246">
        <v>2020</v>
      </c>
      <c r="B1585" s="246">
        <v>12</v>
      </c>
      <c r="C1585" s="246">
        <v>24</v>
      </c>
      <c r="D1585" s="141">
        <f t="shared" si="54"/>
        <v>44189</v>
      </c>
      <c r="E1585" s="275">
        <f t="shared" si="55"/>
        <v>44189</v>
      </c>
      <c r="F1585" s="482" t="s">
        <v>138</v>
      </c>
      <c r="G1585" s="247" t="s">
        <v>94</v>
      </c>
      <c r="H1585" s="247" t="str" cm="1">
        <f t="array" ref="H1585">IFERROR(INDEX(INVESTOR_LIST[INVESTOR NAME],MATCH(I1585,INVESTOR_LIST[INVESTOR CODE],0),)," ")</f>
        <v xml:space="preserve"> </v>
      </c>
      <c r="I1585" s="248" t="s">
        <v>348</v>
      </c>
      <c r="J1585" s="249" t="s">
        <v>100</v>
      </c>
      <c r="K1585" s="252">
        <v>3031.14</v>
      </c>
      <c r="L1585" s="252"/>
      <c r="M1585" s="147">
        <v>0</v>
      </c>
      <c r="Q1585" s="133" t="s">
        <v>348</v>
      </c>
    </row>
    <row r="1586" spans="1:17" x14ac:dyDescent="0.2">
      <c r="A1586" s="242">
        <v>2020</v>
      </c>
      <c r="B1586" s="242">
        <v>12</v>
      </c>
      <c r="C1586" s="242">
        <v>24</v>
      </c>
      <c r="D1586" s="141">
        <f t="shared" si="54"/>
        <v>44189</v>
      </c>
      <c r="E1586" s="275">
        <f t="shared" si="55"/>
        <v>44189</v>
      </c>
      <c r="F1586" s="478"/>
      <c r="G1586" s="243" t="s">
        <v>94</v>
      </c>
      <c r="H1586" s="243" t="str" cm="1">
        <f t="array" ref="H1586">IFERROR(INDEX(INVESTOR_LIST[INVESTOR NAME],MATCH(I1586,INVESTOR_LIST[INVESTOR CODE],0),)," ")</f>
        <v xml:space="preserve"> </v>
      </c>
      <c r="I1586" s="263" t="s">
        <v>348</v>
      </c>
      <c r="J1586" s="244" t="s">
        <v>48</v>
      </c>
      <c r="K1586" s="245"/>
      <c r="L1586" s="245">
        <v>3031.14</v>
      </c>
      <c r="M1586" s="147">
        <v>0</v>
      </c>
      <c r="Q1586" s="133" t="s">
        <v>348</v>
      </c>
    </row>
    <row r="1587" spans="1:17" x14ac:dyDescent="0.2">
      <c r="A1587" s="246">
        <v>2020</v>
      </c>
      <c r="B1587" s="246">
        <v>12</v>
      </c>
      <c r="C1587" s="246">
        <v>24</v>
      </c>
      <c r="D1587" s="141">
        <f t="shared" si="54"/>
        <v>44189</v>
      </c>
      <c r="E1587" s="275">
        <f t="shared" si="55"/>
        <v>44189</v>
      </c>
      <c r="F1587" s="482" t="s">
        <v>140</v>
      </c>
      <c r="G1587" s="247" t="s">
        <v>94</v>
      </c>
      <c r="H1587" s="247" t="str" cm="1">
        <f t="array" ref="H1587">IFERROR(INDEX(INVESTOR_LIST[INVESTOR NAME],MATCH(I1587,INVESTOR_LIST[INVESTOR CODE],0),)," ")</f>
        <v xml:space="preserve"> </v>
      </c>
      <c r="I1587" s="248" t="s">
        <v>348</v>
      </c>
      <c r="J1587" s="249" t="s">
        <v>103</v>
      </c>
      <c r="K1587" s="252">
        <v>487.29</v>
      </c>
      <c r="L1587" s="252"/>
      <c r="M1587" s="147">
        <v>0</v>
      </c>
      <c r="Q1587" s="133" t="s">
        <v>348</v>
      </c>
    </row>
    <row r="1588" spans="1:17" x14ac:dyDescent="0.2">
      <c r="A1588" s="242">
        <v>2020</v>
      </c>
      <c r="B1588" s="242">
        <v>12</v>
      </c>
      <c r="C1588" s="242">
        <v>24</v>
      </c>
      <c r="D1588" s="141">
        <f t="shared" si="54"/>
        <v>44189</v>
      </c>
      <c r="E1588" s="275">
        <f t="shared" si="55"/>
        <v>44189</v>
      </c>
      <c r="F1588" s="478"/>
      <c r="G1588" s="243" t="s">
        <v>94</v>
      </c>
      <c r="H1588" s="243" t="str" cm="1">
        <f t="array" ref="H1588">IFERROR(INDEX(INVESTOR_LIST[INVESTOR NAME],MATCH(I1588,INVESTOR_LIST[INVESTOR CODE],0),)," ")</f>
        <v xml:space="preserve"> </v>
      </c>
      <c r="I1588" s="263" t="s">
        <v>348</v>
      </c>
      <c r="J1588" s="244" t="s">
        <v>50</v>
      </c>
      <c r="K1588" s="245"/>
      <c r="L1588" s="245">
        <v>487.29</v>
      </c>
      <c r="M1588" s="147">
        <v>0</v>
      </c>
      <c r="N1588" s="160"/>
      <c r="Q1588" s="133" t="s">
        <v>348</v>
      </c>
    </row>
    <row r="1589" spans="1:17" ht="11.25" customHeight="1" x14ac:dyDescent="0.2">
      <c r="A1589" s="133">
        <v>2020</v>
      </c>
      <c r="B1589" s="133">
        <v>12</v>
      </c>
      <c r="C1589" s="133">
        <v>27</v>
      </c>
      <c r="D1589" s="141">
        <f t="shared" si="54"/>
        <v>44192</v>
      </c>
      <c r="E1589" s="275">
        <f t="shared" si="55"/>
        <v>44192</v>
      </c>
      <c r="F1589" s="479" t="s">
        <v>254</v>
      </c>
      <c r="G1589" s="174" t="s">
        <v>74</v>
      </c>
      <c r="H1589" s="174" t="str" cm="1">
        <f t="array" ref="H1589">IFERROR(INDEX(INVESTOR_LIST[INVESTOR NAME],MATCH(I1589,INVESTOR_LIST[INVESTOR CODE],0),)," ")</f>
        <v xml:space="preserve"> </v>
      </c>
      <c r="I1589" s="148" t="s">
        <v>348</v>
      </c>
      <c r="J1589" s="149" t="s">
        <v>52</v>
      </c>
      <c r="K1589" s="218">
        <v>9000</v>
      </c>
      <c r="L1589" s="218"/>
      <c r="M1589" s="147">
        <v>0</v>
      </c>
      <c r="Q1589" s="133" t="s">
        <v>348</v>
      </c>
    </row>
    <row r="1590" spans="1:17" x14ac:dyDescent="0.2">
      <c r="A1590" s="133">
        <v>2020</v>
      </c>
      <c r="B1590" s="133">
        <v>12</v>
      </c>
      <c r="C1590" s="133">
        <v>27</v>
      </c>
      <c r="D1590" s="141">
        <f t="shared" si="54"/>
        <v>44192</v>
      </c>
      <c r="E1590" s="275">
        <f t="shared" si="55"/>
        <v>44192</v>
      </c>
      <c r="F1590" s="481"/>
      <c r="G1590" s="174" t="s">
        <v>74</v>
      </c>
      <c r="H1590" s="174" t="str" cm="1">
        <f t="array" ref="H1590">IFERROR(INDEX(INVESTOR_LIST[INVESTOR NAME],MATCH(I1590,INVESTOR_LIST[INVESTOR CODE],0),)," ")</f>
        <v xml:space="preserve"> </v>
      </c>
      <c r="I1590" s="148" t="s">
        <v>348</v>
      </c>
      <c r="J1590" s="149" t="s">
        <v>13</v>
      </c>
      <c r="K1590" s="218"/>
      <c r="L1590" s="218">
        <v>7550</v>
      </c>
      <c r="M1590" s="147">
        <v>0</v>
      </c>
      <c r="N1590" s="160"/>
      <c r="Q1590" s="133" t="s">
        <v>348</v>
      </c>
    </row>
    <row r="1591" spans="1:17" x14ac:dyDescent="0.2">
      <c r="A1591" s="133">
        <v>2020</v>
      </c>
      <c r="B1591" s="133">
        <v>12</v>
      </c>
      <c r="C1591" s="133">
        <v>27</v>
      </c>
      <c r="D1591" s="141">
        <f t="shared" si="54"/>
        <v>44192</v>
      </c>
      <c r="E1591" s="275">
        <f t="shared" si="55"/>
        <v>44192</v>
      </c>
      <c r="F1591" s="480"/>
      <c r="G1591" s="174" t="s">
        <v>74</v>
      </c>
      <c r="H1591" s="174" t="str" cm="1">
        <f t="array" ref="H1591">IFERROR(INDEX(INVESTOR_LIST[INVESTOR NAME],MATCH(I1591,INVESTOR_LIST[INVESTOR CODE],0),)," ")</f>
        <v xml:space="preserve"> </v>
      </c>
      <c r="I1591" s="148" t="s">
        <v>348</v>
      </c>
      <c r="J1591" s="149" t="s">
        <v>53</v>
      </c>
      <c r="K1591" s="218"/>
      <c r="L1591" s="218">
        <v>1450</v>
      </c>
      <c r="M1591" s="147">
        <v>0</v>
      </c>
      <c r="Q1591" s="133" t="s">
        <v>348</v>
      </c>
    </row>
    <row r="1592" spans="1:17" x14ac:dyDescent="0.2">
      <c r="A1592" s="168">
        <v>2020</v>
      </c>
      <c r="B1592" s="168">
        <v>12</v>
      </c>
      <c r="C1592" s="168">
        <v>28</v>
      </c>
      <c r="D1592" s="141">
        <f t="shared" si="54"/>
        <v>44193</v>
      </c>
      <c r="E1592" s="275">
        <f t="shared" si="55"/>
        <v>44193</v>
      </c>
      <c r="F1592" s="479" t="s">
        <v>279</v>
      </c>
      <c r="G1592" s="220" t="s">
        <v>94</v>
      </c>
      <c r="H1592" s="220" t="str" cm="1">
        <f t="array" ref="H1592">IFERROR(INDEX(INVESTOR_LIST[INVESTOR NAME],MATCH(I1592,INVESTOR_LIST[INVESTOR CODE],0),)," ")</f>
        <v xml:space="preserve"> </v>
      </c>
      <c r="I1592" s="142" t="s">
        <v>348</v>
      </c>
      <c r="J1592" s="143" t="s">
        <v>190</v>
      </c>
      <c r="K1592" s="226">
        <v>4931108</v>
      </c>
      <c r="L1592" s="226"/>
      <c r="M1592" s="147">
        <v>0</v>
      </c>
      <c r="Q1592" s="133" t="s">
        <v>348</v>
      </c>
    </row>
    <row r="1593" spans="1:17" x14ac:dyDescent="0.2">
      <c r="A1593" s="133">
        <v>2020</v>
      </c>
      <c r="B1593" s="133">
        <v>12</v>
      </c>
      <c r="C1593" s="133">
        <v>28</v>
      </c>
      <c r="D1593" s="141">
        <f t="shared" si="54"/>
        <v>44193</v>
      </c>
      <c r="E1593" s="275">
        <f t="shared" si="55"/>
        <v>44193</v>
      </c>
      <c r="F1593" s="481"/>
      <c r="G1593" s="174" t="s">
        <v>94</v>
      </c>
      <c r="H1593" s="174" t="str" cm="1">
        <f t="array" ref="H1593">IFERROR(INDEX(INVESTOR_LIST[INVESTOR NAME],MATCH(I1593,INVESTOR_LIST[INVESTOR CODE],0),)," ")</f>
        <v xml:space="preserve"> </v>
      </c>
      <c r="I1593" s="148" t="s">
        <v>348</v>
      </c>
      <c r="J1593" s="149" t="s">
        <v>80</v>
      </c>
      <c r="K1593" s="218">
        <v>8892</v>
      </c>
      <c r="L1593" s="218"/>
      <c r="M1593" s="147">
        <v>0</v>
      </c>
      <c r="Q1593" s="133" t="s">
        <v>348</v>
      </c>
    </row>
    <row r="1594" spans="1:17" ht="27" customHeight="1" x14ac:dyDescent="0.2">
      <c r="A1594" s="133">
        <v>2020</v>
      </c>
      <c r="B1594" s="133">
        <v>12</v>
      </c>
      <c r="C1594" s="133">
        <v>28</v>
      </c>
      <c r="D1594" s="141">
        <f t="shared" si="54"/>
        <v>44193</v>
      </c>
      <c r="E1594" s="275">
        <f t="shared" si="55"/>
        <v>44193</v>
      </c>
      <c r="F1594" s="481"/>
      <c r="G1594" s="174" t="s">
        <v>94</v>
      </c>
      <c r="H1594" s="174" t="str" cm="1">
        <f t="array" ref="H1594">IFERROR(INDEX(INVESTOR_LIST[INVESTOR NAME],MATCH(I1594,INVESTOR_LIST[INVESTOR CODE],0),)," ")</f>
        <v xml:space="preserve"> </v>
      </c>
      <c r="I1594" s="148" t="s">
        <v>348</v>
      </c>
      <c r="J1594" s="149" t="s">
        <v>79</v>
      </c>
      <c r="K1594" s="218"/>
      <c r="L1594" s="218">
        <v>2000000</v>
      </c>
      <c r="M1594" s="147">
        <v>0</v>
      </c>
      <c r="Q1594" s="133" t="s">
        <v>348</v>
      </c>
    </row>
    <row r="1595" spans="1:17" x14ac:dyDescent="0.2">
      <c r="A1595" s="163">
        <v>2020</v>
      </c>
      <c r="B1595" s="163">
        <v>12</v>
      </c>
      <c r="C1595" s="163">
        <v>28</v>
      </c>
      <c r="D1595" s="141">
        <f t="shared" si="54"/>
        <v>44193</v>
      </c>
      <c r="E1595" s="275">
        <f t="shared" si="55"/>
        <v>44193</v>
      </c>
      <c r="F1595" s="480"/>
      <c r="G1595" s="221" t="s">
        <v>94</v>
      </c>
      <c r="H1595" s="221" t="str" cm="1">
        <f t="array" ref="H1595">IFERROR(INDEX(INVESTOR_LIST[INVESTOR NAME],MATCH(I1595,INVESTOR_LIST[INVESTOR CODE],0),)," ")</f>
        <v xml:space="preserve"> </v>
      </c>
      <c r="I1595" s="145" t="s">
        <v>348</v>
      </c>
      <c r="J1595" s="146" t="s">
        <v>191</v>
      </c>
      <c r="K1595" s="219"/>
      <c r="L1595" s="219">
        <v>2940000</v>
      </c>
      <c r="M1595" s="147">
        <v>0</v>
      </c>
      <c r="Q1595" s="133" t="s">
        <v>348</v>
      </c>
    </row>
    <row r="1596" spans="1:17" x14ac:dyDescent="0.2">
      <c r="A1596" s="168">
        <v>2020</v>
      </c>
      <c r="B1596" s="168">
        <v>12</v>
      </c>
      <c r="C1596" s="168">
        <v>28</v>
      </c>
      <c r="D1596" s="141">
        <f t="shared" si="54"/>
        <v>44193</v>
      </c>
      <c r="E1596" s="275">
        <f t="shared" si="55"/>
        <v>44193</v>
      </c>
      <c r="F1596" s="494" t="s">
        <v>272</v>
      </c>
      <c r="G1596" s="220" t="s">
        <v>74</v>
      </c>
      <c r="H1596" s="220" t="str" cm="1">
        <f t="array" ref="H1596">IFERROR(INDEX(INVESTOR_LIST[INVESTOR NAME],MATCH(I1596,INVESTOR_LIST[INVESTOR CODE],0),)," ")</f>
        <v xml:space="preserve"> </v>
      </c>
      <c r="I1596" s="142" t="s">
        <v>348</v>
      </c>
      <c r="J1596" s="143" t="s">
        <v>147</v>
      </c>
      <c r="K1596" s="226">
        <v>6061917.75</v>
      </c>
      <c r="L1596" s="226"/>
      <c r="M1596" s="147">
        <v>0</v>
      </c>
      <c r="Q1596" s="133" t="s">
        <v>348</v>
      </c>
    </row>
    <row r="1597" spans="1:17" x14ac:dyDescent="0.2">
      <c r="A1597" s="163">
        <v>2020</v>
      </c>
      <c r="B1597" s="163">
        <v>12</v>
      </c>
      <c r="C1597" s="163">
        <v>28</v>
      </c>
      <c r="D1597" s="141">
        <f t="shared" si="54"/>
        <v>44193</v>
      </c>
      <c r="E1597" s="275">
        <f t="shared" si="55"/>
        <v>44193</v>
      </c>
      <c r="F1597" s="495"/>
      <c r="G1597" s="221" t="s">
        <v>74</v>
      </c>
      <c r="H1597" s="221" t="str" cm="1">
        <f t="array" ref="H1597">IFERROR(INDEX(INVESTOR_LIST[INVESTOR NAME],MATCH(I1597,INVESTOR_LIST[INVESTOR CODE],0),)," ")</f>
        <v xml:space="preserve"> </v>
      </c>
      <c r="I1597" s="145" t="s">
        <v>348</v>
      </c>
      <c r="J1597" s="146" t="s">
        <v>52</v>
      </c>
      <c r="K1597" s="219"/>
      <c r="L1597" s="219">
        <v>6061917.75</v>
      </c>
      <c r="M1597" s="147">
        <v>0</v>
      </c>
      <c r="Q1597" s="133" t="s">
        <v>348</v>
      </c>
    </row>
    <row r="1598" spans="1:17" x14ac:dyDescent="0.2">
      <c r="A1598" s="168">
        <v>2020</v>
      </c>
      <c r="B1598" s="168">
        <v>12</v>
      </c>
      <c r="C1598" s="168">
        <v>29</v>
      </c>
      <c r="D1598" s="141">
        <f t="shared" si="54"/>
        <v>44194</v>
      </c>
      <c r="E1598" s="275">
        <f t="shared" si="55"/>
        <v>44194</v>
      </c>
      <c r="F1598" s="479" t="s">
        <v>273</v>
      </c>
      <c r="G1598" s="220" t="s">
        <v>94</v>
      </c>
      <c r="H1598" s="220" t="str" cm="1">
        <f t="array" ref="H1598">IFERROR(INDEX(INVESTOR_LIST[INVESTOR NAME],MATCH(I1598,INVESTOR_LIST[INVESTOR CODE],0),)," ")</f>
        <v xml:space="preserve"> </v>
      </c>
      <c r="I1598" s="142" t="s">
        <v>348</v>
      </c>
      <c r="J1598" s="143" t="s">
        <v>79</v>
      </c>
      <c r="K1598" s="226">
        <v>1965335.2</v>
      </c>
      <c r="L1598" s="226"/>
      <c r="M1598" s="147">
        <v>0</v>
      </c>
      <c r="Q1598" s="133" t="s">
        <v>348</v>
      </c>
    </row>
    <row r="1599" spans="1:17" x14ac:dyDescent="0.2">
      <c r="A1599" s="133">
        <v>2020</v>
      </c>
      <c r="B1599" s="133">
        <v>12</v>
      </c>
      <c r="C1599" s="133">
        <v>29</v>
      </c>
      <c r="D1599" s="141">
        <f t="shared" si="54"/>
        <v>44194</v>
      </c>
      <c r="E1599" s="275">
        <f t="shared" si="55"/>
        <v>44194</v>
      </c>
      <c r="F1599" s="481"/>
      <c r="G1599" s="174" t="s">
        <v>94</v>
      </c>
      <c r="H1599" s="174" t="str" cm="1">
        <f t="array" ref="H1599">IFERROR(INDEX(INVESTOR_LIST[INVESTOR NAME],MATCH(I1599,INVESTOR_LIST[INVESTOR CODE],0),)," ")</f>
        <v xml:space="preserve"> </v>
      </c>
      <c r="I1599" s="148" t="s">
        <v>348</v>
      </c>
      <c r="J1599" s="149" t="s">
        <v>80</v>
      </c>
      <c r="K1599" s="218">
        <v>3537.6</v>
      </c>
      <c r="L1599" s="218"/>
      <c r="Q1599" s="133" t="s">
        <v>348</v>
      </c>
    </row>
    <row r="1600" spans="1:17" x14ac:dyDescent="0.2">
      <c r="A1600" s="163">
        <v>2020</v>
      </c>
      <c r="B1600" s="163">
        <v>12</v>
      </c>
      <c r="C1600" s="163">
        <v>29</v>
      </c>
      <c r="D1600" s="141">
        <f t="shared" si="54"/>
        <v>44194</v>
      </c>
      <c r="E1600" s="275">
        <f t="shared" si="55"/>
        <v>44194</v>
      </c>
      <c r="F1600" s="480"/>
      <c r="G1600" s="221" t="s">
        <v>94</v>
      </c>
      <c r="H1600" s="221" t="str" cm="1">
        <f t="array" ref="H1600">IFERROR(INDEX(INVESTOR_LIST[INVESTOR NAME],MATCH(I1600,INVESTOR_LIST[INVESTOR CODE],0),)," ")</f>
        <v xml:space="preserve"> </v>
      </c>
      <c r="I1600" s="145" t="s">
        <v>348</v>
      </c>
      <c r="J1600" s="146" t="s">
        <v>147</v>
      </c>
      <c r="K1600" s="219"/>
      <c r="L1600" s="219">
        <v>1968872.8</v>
      </c>
      <c r="Q1600" s="133" t="s">
        <v>348</v>
      </c>
    </row>
    <row r="1601" spans="1:15" ht="15" customHeight="1" x14ac:dyDescent="0.2">
      <c r="A1601" s="168">
        <v>2020</v>
      </c>
      <c r="B1601" s="168">
        <v>12</v>
      </c>
      <c r="C1601" s="168">
        <v>29</v>
      </c>
      <c r="D1601" s="141">
        <f t="shared" si="54"/>
        <v>44194</v>
      </c>
      <c r="E1601" s="275">
        <f t="shared" si="55"/>
        <v>44194</v>
      </c>
      <c r="F1601" s="479" t="s">
        <v>964</v>
      </c>
      <c r="G1601" s="220" t="s">
        <v>74</v>
      </c>
      <c r="H1601" s="220" t="str" cm="1">
        <f t="array" ref="H1601">IFERROR(INDEX(INVESTOR_LIST[INVESTOR NAME],MATCH(I1601,INVESTOR_LIST[INVESTOR CODE],0),)," ")</f>
        <v>TRIPTI BARUA</v>
      </c>
      <c r="I1601" s="142" t="s">
        <v>498</v>
      </c>
      <c r="J1601" s="143" t="s">
        <v>52</v>
      </c>
      <c r="K1601" s="226">
        <v>1800000</v>
      </c>
      <c r="L1601" s="226"/>
    </row>
    <row r="1602" spans="1:15" ht="22.5" x14ac:dyDescent="0.2">
      <c r="A1602" s="133">
        <v>2020</v>
      </c>
      <c r="B1602" s="133">
        <v>12</v>
      </c>
      <c r="C1602" s="133">
        <v>29</v>
      </c>
      <c r="D1602" s="141">
        <f t="shared" si="54"/>
        <v>44194</v>
      </c>
      <c r="E1602" s="275">
        <f t="shared" si="55"/>
        <v>44194</v>
      </c>
      <c r="F1602" s="481"/>
      <c r="G1602" s="174" t="s">
        <v>74</v>
      </c>
      <c r="H1602" s="174" t="str" cm="1">
        <f t="array" ref="H1602">IFERROR(INDEX(INVESTOR_LIST[INVESTOR NAME],MATCH(I1602,INVESTOR_LIST[INVESTOR CODE],0),)," ")</f>
        <v>TRIPTI BARUA</v>
      </c>
      <c r="I1602" s="148" t="s">
        <v>498</v>
      </c>
      <c r="J1602" s="149" t="s">
        <v>13</v>
      </c>
      <c r="K1602" s="218"/>
      <c r="L1602" s="218">
        <v>1510070</v>
      </c>
    </row>
    <row r="1603" spans="1:15" ht="22.5" x14ac:dyDescent="0.2">
      <c r="A1603" s="163">
        <v>2020</v>
      </c>
      <c r="B1603" s="163">
        <v>12</v>
      </c>
      <c r="C1603" s="163">
        <v>29</v>
      </c>
      <c r="D1603" s="141">
        <f t="shared" si="54"/>
        <v>44194</v>
      </c>
      <c r="E1603" s="275">
        <f t="shared" si="55"/>
        <v>44194</v>
      </c>
      <c r="F1603" s="480"/>
      <c r="G1603" s="221" t="s">
        <v>74</v>
      </c>
      <c r="H1603" s="221" t="str" cm="1">
        <f t="array" ref="H1603">IFERROR(INDEX(INVESTOR_LIST[INVESTOR NAME],MATCH(I1603,INVESTOR_LIST[INVESTOR CODE],0),)," ")</f>
        <v>TRIPTI BARUA</v>
      </c>
      <c r="I1603" s="145" t="s">
        <v>498</v>
      </c>
      <c r="J1603" s="146" t="s">
        <v>53</v>
      </c>
      <c r="K1603" s="219"/>
      <c r="L1603" s="219">
        <v>289930</v>
      </c>
    </row>
    <row r="1604" spans="1:15" ht="45" x14ac:dyDescent="0.2">
      <c r="A1604" s="168">
        <v>2020</v>
      </c>
      <c r="B1604" s="168">
        <v>12</v>
      </c>
      <c r="C1604" s="168">
        <v>29</v>
      </c>
      <c r="D1604" s="141">
        <f t="shared" si="54"/>
        <v>44194</v>
      </c>
      <c r="E1604" s="275">
        <f t="shared" si="55"/>
        <v>44194</v>
      </c>
      <c r="F1604" s="479" t="s">
        <v>964</v>
      </c>
      <c r="G1604" s="220" t="s">
        <v>74</v>
      </c>
      <c r="H1604" s="220" t="str" cm="1">
        <f t="array" ref="H1604">IFERROR(INDEX(INVESTOR_LIST[INVESTOR NAME],MATCH(I1604,INVESTOR_LIST[INVESTOR CODE],0),)," ")</f>
        <v>MD. MOMINUL HOQUE</v>
      </c>
      <c r="I1604" s="142" t="s">
        <v>402</v>
      </c>
      <c r="J1604" s="143" t="s">
        <v>52</v>
      </c>
      <c r="K1604" s="226">
        <v>16000</v>
      </c>
      <c r="L1604" s="226"/>
    </row>
    <row r="1605" spans="1:15" ht="45" x14ac:dyDescent="0.2">
      <c r="A1605" s="133">
        <v>2020</v>
      </c>
      <c r="B1605" s="133">
        <v>12</v>
      </c>
      <c r="C1605" s="133">
        <v>29</v>
      </c>
      <c r="D1605" s="141">
        <f t="shared" si="54"/>
        <v>44194</v>
      </c>
      <c r="E1605" s="275">
        <f t="shared" si="55"/>
        <v>44194</v>
      </c>
      <c r="F1605" s="481"/>
      <c r="G1605" s="174" t="s">
        <v>74</v>
      </c>
      <c r="H1605" s="174" t="str" cm="1">
        <f t="array" ref="H1605">IFERROR(INDEX(INVESTOR_LIST[INVESTOR NAME],MATCH(I1605,INVESTOR_LIST[INVESTOR CODE],0),)," ")</f>
        <v>MD. MOMINUL HOQUE</v>
      </c>
      <c r="I1605" s="148" t="s">
        <v>402</v>
      </c>
      <c r="J1605" s="149" t="s">
        <v>13</v>
      </c>
      <c r="K1605" s="218"/>
      <c r="L1605" s="218">
        <v>13420</v>
      </c>
    </row>
    <row r="1606" spans="1:15" ht="45" x14ac:dyDescent="0.2">
      <c r="A1606" s="163">
        <v>2020</v>
      </c>
      <c r="B1606" s="163">
        <v>12</v>
      </c>
      <c r="C1606" s="163">
        <v>29</v>
      </c>
      <c r="D1606" s="141">
        <f t="shared" si="54"/>
        <v>44194</v>
      </c>
      <c r="E1606" s="275">
        <f t="shared" si="55"/>
        <v>44194</v>
      </c>
      <c r="F1606" s="480"/>
      <c r="G1606" s="221" t="s">
        <v>74</v>
      </c>
      <c r="H1606" s="221" t="str" cm="1">
        <f t="array" ref="H1606">IFERROR(INDEX(INVESTOR_LIST[INVESTOR NAME],MATCH(I1606,INVESTOR_LIST[INVESTOR CODE],0),)," ")</f>
        <v>MD. MOMINUL HOQUE</v>
      </c>
      <c r="I1606" s="145" t="s">
        <v>402</v>
      </c>
      <c r="J1606" s="146" t="s">
        <v>53</v>
      </c>
      <c r="K1606" s="219"/>
      <c r="L1606" s="219">
        <f>K1604-L1605</f>
        <v>2580</v>
      </c>
    </row>
    <row r="1607" spans="1:15" ht="33.75" x14ac:dyDescent="0.2">
      <c r="A1607" s="168">
        <v>2020</v>
      </c>
      <c r="B1607" s="168">
        <v>12</v>
      </c>
      <c r="C1607" s="168">
        <v>29</v>
      </c>
      <c r="D1607" s="141">
        <f t="shared" si="54"/>
        <v>44194</v>
      </c>
      <c r="E1607" s="275">
        <f t="shared" si="55"/>
        <v>44194</v>
      </c>
      <c r="F1607" s="479" t="s">
        <v>964</v>
      </c>
      <c r="G1607" s="220" t="s">
        <v>74</v>
      </c>
      <c r="H1607" s="220" t="str" cm="1">
        <f t="array" ref="H1607">IFERROR(INDEX(INVESTOR_LIST[INVESTOR NAME],MATCH(I1607,INVESTOR_LIST[INVESTOR CODE],0),)," ")</f>
        <v>MD. SAIFUR RAHMAN</v>
      </c>
      <c r="I1607" s="142" t="s">
        <v>474</v>
      </c>
      <c r="J1607" s="143" t="s">
        <v>52</v>
      </c>
      <c r="K1607" s="226">
        <v>100000</v>
      </c>
      <c r="L1607" s="226"/>
    </row>
    <row r="1608" spans="1:15" ht="33.75" x14ac:dyDescent="0.2">
      <c r="A1608" s="133">
        <v>2020</v>
      </c>
      <c r="B1608" s="133">
        <v>12</v>
      </c>
      <c r="C1608" s="133">
        <v>29</v>
      </c>
      <c r="D1608" s="141">
        <f t="shared" si="54"/>
        <v>44194</v>
      </c>
      <c r="E1608" s="275">
        <f t="shared" si="55"/>
        <v>44194</v>
      </c>
      <c r="F1608" s="481"/>
      <c r="G1608" s="174" t="s">
        <v>74</v>
      </c>
      <c r="H1608" s="174" t="str" cm="1">
        <f t="array" ref="H1608">IFERROR(INDEX(INVESTOR_LIST[INVESTOR NAME],MATCH(I1608,INVESTOR_LIST[INVESTOR CODE],0),)," ")</f>
        <v>MD. SAIFUR RAHMAN</v>
      </c>
      <c r="I1608" s="148" t="s">
        <v>474</v>
      </c>
      <c r="J1608" s="149" t="s">
        <v>13</v>
      </c>
      <c r="K1608" s="218"/>
      <c r="L1608" s="218">
        <v>83890</v>
      </c>
    </row>
    <row r="1609" spans="1:15" ht="33.75" x14ac:dyDescent="0.2">
      <c r="A1609" s="163">
        <v>2020</v>
      </c>
      <c r="B1609" s="163">
        <v>12</v>
      </c>
      <c r="C1609" s="163">
        <v>29</v>
      </c>
      <c r="D1609" s="141">
        <f t="shared" si="54"/>
        <v>44194</v>
      </c>
      <c r="E1609" s="275">
        <f t="shared" si="55"/>
        <v>44194</v>
      </c>
      <c r="F1609" s="480"/>
      <c r="G1609" s="221" t="s">
        <v>74</v>
      </c>
      <c r="H1609" s="221" t="str" cm="1">
        <f t="array" ref="H1609">IFERROR(INDEX(INVESTOR_LIST[INVESTOR NAME],MATCH(I1609,INVESTOR_LIST[INVESTOR CODE],0),)," ")</f>
        <v>MD. SAIFUR RAHMAN</v>
      </c>
      <c r="I1609" s="145" t="s">
        <v>474</v>
      </c>
      <c r="J1609" s="146" t="s">
        <v>53</v>
      </c>
      <c r="K1609" s="219"/>
      <c r="L1609" s="219">
        <v>16110</v>
      </c>
    </row>
    <row r="1610" spans="1:15" ht="33.75" x14ac:dyDescent="0.2">
      <c r="A1610" s="168">
        <v>2020</v>
      </c>
      <c r="B1610" s="168">
        <v>12</v>
      </c>
      <c r="C1610" s="168">
        <v>29</v>
      </c>
      <c r="D1610" s="141">
        <f t="shared" si="54"/>
        <v>44194</v>
      </c>
      <c r="E1610" s="275">
        <f t="shared" si="55"/>
        <v>44194</v>
      </c>
      <c r="F1610" s="479" t="s">
        <v>964</v>
      </c>
      <c r="G1610" s="220" t="s">
        <v>74</v>
      </c>
      <c r="H1610" s="220" t="str" cm="1">
        <f t="array" ref="H1610">IFERROR(INDEX(INVESTOR_LIST[INVESTOR NAME],MATCH(I1610,INVESTOR_LIST[INVESTOR CODE],0),)," ")</f>
        <v>MD. SAIFUR RAHMAN</v>
      </c>
      <c r="I1610" s="142" t="s">
        <v>474</v>
      </c>
      <c r="J1610" s="143" t="s">
        <v>52</v>
      </c>
      <c r="K1610" s="226">
        <v>100000</v>
      </c>
      <c r="L1610" s="226"/>
    </row>
    <row r="1611" spans="1:15" ht="33.75" x14ac:dyDescent="0.2">
      <c r="A1611" s="133">
        <v>2020</v>
      </c>
      <c r="B1611" s="133">
        <v>12</v>
      </c>
      <c r="C1611" s="133">
        <v>29</v>
      </c>
      <c r="D1611" s="141">
        <f t="shared" si="54"/>
        <v>44194</v>
      </c>
      <c r="E1611" s="275">
        <f t="shared" si="55"/>
        <v>44194</v>
      </c>
      <c r="F1611" s="481"/>
      <c r="G1611" s="174" t="s">
        <v>74</v>
      </c>
      <c r="H1611" s="174" t="str" cm="1">
        <f t="array" ref="H1611">IFERROR(INDEX(INVESTOR_LIST[INVESTOR NAME],MATCH(I1611,INVESTOR_LIST[INVESTOR CODE],0),)," ")</f>
        <v>MD. SAIFUR RAHMAN</v>
      </c>
      <c r="I1611" s="148" t="s">
        <v>474</v>
      </c>
      <c r="J1611" s="149" t="s">
        <v>13</v>
      </c>
      <c r="K1611" s="218"/>
      <c r="L1611" s="218">
        <v>83890</v>
      </c>
    </row>
    <row r="1612" spans="1:15" ht="33.75" x14ac:dyDescent="0.2">
      <c r="A1612" s="163">
        <v>2020</v>
      </c>
      <c r="B1612" s="163">
        <v>12</v>
      </c>
      <c r="C1612" s="163">
        <v>29</v>
      </c>
      <c r="D1612" s="141">
        <f t="shared" si="54"/>
        <v>44194</v>
      </c>
      <c r="E1612" s="275">
        <f t="shared" si="55"/>
        <v>44194</v>
      </c>
      <c r="F1612" s="480"/>
      <c r="G1612" s="221" t="s">
        <v>74</v>
      </c>
      <c r="H1612" s="221" t="str" cm="1">
        <f t="array" ref="H1612">IFERROR(INDEX(INVESTOR_LIST[INVESTOR NAME],MATCH(I1612,INVESTOR_LIST[INVESTOR CODE],0),)," ")</f>
        <v>MD. SAIFUR RAHMAN</v>
      </c>
      <c r="I1612" s="145" t="s">
        <v>474</v>
      </c>
      <c r="J1612" s="146" t="s">
        <v>53</v>
      </c>
      <c r="K1612" s="219"/>
      <c r="L1612" s="219">
        <v>16110</v>
      </c>
    </row>
    <row r="1613" spans="1:15" ht="33.75" x14ac:dyDescent="0.2">
      <c r="A1613" s="168">
        <v>2020</v>
      </c>
      <c r="B1613" s="168">
        <v>12</v>
      </c>
      <c r="C1613" s="168">
        <v>29</v>
      </c>
      <c r="D1613" s="141">
        <f t="shared" ref="D1613:D1676" si="56">DATE(A1613,B1613,C1613)</f>
        <v>44194</v>
      </c>
      <c r="E1613" s="275">
        <f t="shared" si="55"/>
        <v>44194</v>
      </c>
      <c r="F1613" s="479" t="s">
        <v>964</v>
      </c>
      <c r="G1613" s="220" t="s">
        <v>74</v>
      </c>
      <c r="H1613" s="220" t="str" cm="1">
        <f t="array" ref="H1613">IFERROR(INDEX(INVESTOR_LIST[INVESTOR NAME],MATCH(I1613,INVESTOR_LIST[INVESTOR CODE],0),)," ")</f>
        <v>MD. SAIFUR RAHMAN</v>
      </c>
      <c r="I1613" s="142" t="s">
        <v>474</v>
      </c>
      <c r="J1613" s="143" t="s">
        <v>52</v>
      </c>
      <c r="K1613" s="226">
        <v>100000</v>
      </c>
      <c r="L1613" s="226"/>
    </row>
    <row r="1614" spans="1:15" ht="33.75" x14ac:dyDescent="0.2">
      <c r="A1614" s="133">
        <v>2020</v>
      </c>
      <c r="B1614" s="133">
        <v>12</v>
      </c>
      <c r="C1614" s="133">
        <v>29</v>
      </c>
      <c r="D1614" s="141">
        <f t="shared" si="56"/>
        <v>44194</v>
      </c>
      <c r="E1614" s="275">
        <f t="shared" ref="E1614:E1677" si="57">DATE(A1614,B1614,C1614)</f>
        <v>44194</v>
      </c>
      <c r="F1614" s="481"/>
      <c r="G1614" s="174" t="s">
        <v>74</v>
      </c>
      <c r="H1614" s="174" t="str" cm="1">
        <f t="array" ref="H1614">IFERROR(INDEX(INVESTOR_LIST[INVESTOR NAME],MATCH(I1614,INVESTOR_LIST[INVESTOR CODE],0),)," ")</f>
        <v>MD. SAIFUR RAHMAN</v>
      </c>
      <c r="I1614" s="148" t="s">
        <v>474</v>
      </c>
      <c r="J1614" s="149" t="s">
        <v>13</v>
      </c>
      <c r="K1614" s="218"/>
      <c r="L1614" s="218">
        <v>83890</v>
      </c>
      <c r="O1614" s="160"/>
    </row>
    <row r="1615" spans="1:15" ht="33.75" x14ac:dyDescent="0.2">
      <c r="A1615" s="163">
        <v>2020</v>
      </c>
      <c r="B1615" s="163">
        <v>12</v>
      </c>
      <c r="C1615" s="163">
        <v>29</v>
      </c>
      <c r="D1615" s="141">
        <f t="shared" si="56"/>
        <v>44194</v>
      </c>
      <c r="E1615" s="275">
        <f t="shared" si="57"/>
        <v>44194</v>
      </c>
      <c r="F1615" s="480"/>
      <c r="G1615" s="221" t="s">
        <v>74</v>
      </c>
      <c r="H1615" s="221" t="str" cm="1">
        <f t="array" ref="H1615">IFERROR(INDEX(INVESTOR_LIST[INVESTOR NAME],MATCH(I1615,INVESTOR_LIST[INVESTOR CODE],0),)," ")</f>
        <v>MD. SAIFUR RAHMAN</v>
      </c>
      <c r="I1615" s="145" t="s">
        <v>474</v>
      </c>
      <c r="J1615" s="146" t="s">
        <v>53</v>
      </c>
      <c r="K1615" s="219"/>
      <c r="L1615" s="219">
        <v>16110</v>
      </c>
    </row>
    <row r="1616" spans="1:15" ht="22.5" x14ac:dyDescent="0.2">
      <c r="A1616" s="168">
        <v>2020</v>
      </c>
      <c r="B1616" s="168">
        <v>12</v>
      </c>
      <c r="C1616" s="168">
        <v>29</v>
      </c>
      <c r="D1616" s="141">
        <f t="shared" si="56"/>
        <v>44194</v>
      </c>
      <c r="E1616" s="275">
        <f t="shared" si="57"/>
        <v>44194</v>
      </c>
      <c r="F1616" s="479" t="s">
        <v>964</v>
      </c>
      <c r="G1616" s="220" t="s">
        <v>74</v>
      </c>
      <c r="H1616" s="220" t="str" cm="1">
        <f t="array" ref="H1616">IFERROR(INDEX(INVESTOR_LIST[INVESTOR NAME],MATCH(I1616,INVESTOR_LIST[INVESTOR CODE],0),)," ")</f>
        <v>AL MAMUN</v>
      </c>
      <c r="I1616" s="142" t="s">
        <v>499</v>
      </c>
      <c r="J1616" s="143" t="s">
        <v>52</v>
      </c>
      <c r="K1616" s="226">
        <v>214000</v>
      </c>
      <c r="L1616" s="226"/>
    </row>
    <row r="1617" spans="1:12" ht="22.5" x14ac:dyDescent="0.2">
      <c r="A1617" s="133">
        <v>2020</v>
      </c>
      <c r="B1617" s="133">
        <v>12</v>
      </c>
      <c r="C1617" s="133">
        <v>29</v>
      </c>
      <c r="D1617" s="141">
        <f t="shared" si="56"/>
        <v>44194</v>
      </c>
      <c r="E1617" s="275">
        <f t="shared" si="57"/>
        <v>44194</v>
      </c>
      <c r="F1617" s="481"/>
      <c r="G1617" s="174" t="s">
        <v>74</v>
      </c>
      <c r="H1617" s="174" t="str" cm="1">
        <f t="array" ref="H1617">IFERROR(INDEX(INVESTOR_LIST[INVESTOR NAME],MATCH(I1617,INVESTOR_LIST[INVESTOR CODE],0),)," ")</f>
        <v>AL MAMUN</v>
      </c>
      <c r="I1617" s="148" t="s">
        <v>499</v>
      </c>
      <c r="J1617" s="149" t="s">
        <v>13</v>
      </c>
      <c r="K1617" s="235"/>
      <c r="L1617" s="218">
        <v>179530</v>
      </c>
    </row>
    <row r="1618" spans="1:12" ht="22.5" x14ac:dyDescent="0.2">
      <c r="A1618" s="163">
        <v>2020</v>
      </c>
      <c r="B1618" s="163">
        <v>12</v>
      </c>
      <c r="C1618" s="163">
        <v>29</v>
      </c>
      <c r="D1618" s="141">
        <f t="shared" si="56"/>
        <v>44194</v>
      </c>
      <c r="E1618" s="275">
        <f t="shared" si="57"/>
        <v>44194</v>
      </c>
      <c r="F1618" s="480"/>
      <c r="G1618" s="221" t="s">
        <v>74</v>
      </c>
      <c r="H1618" s="221" t="str" cm="1">
        <f t="array" ref="H1618">IFERROR(INDEX(INVESTOR_LIST[INVESTOR NAME],MATCH(I1618,INVESTOR_LIST[INVESTOR CODE],0),)," ")</f>
        <v>AL MAMUN</v>
      </c>
      <c r="I1618" s="145" t="s">
        <v>499</v>
      </c>
      <c r="J1618" s="146" t="s">
        <v>53</v>
      </c>
      <c r="K1618" s="219"/>
      <c r="L1618" s="219">
        <v>34470</v>
      </c>
    </row>
    <row r="1619" spans="1:12" ht="33.75" x14ac:dyDescent="0.2">
      <c r="A1619" s="168">
        <v>2020</v>
      </c>
      <c r="B1619" s="168">
        <v>12</v>
      </c>
      <c r="C1619" s="168">
        <v>29</v>
      </c>
      <c r="D1619" s="141">
        <f t="shared" si="56"/>
        <v>44194</v>
      </c>
      <c r="E1619" s="275">
        <f t="shared" si="57"/>
        <v>44194</v>
      </c>
      <c r="F1619" s="479" t="s">
        <v>964</v>
      </c>
      <c r="G1619" s="220" t="s">
        <v>74</v>
      </c>
      <c r="H1619" s="220" t="str" cm="1">
        <f t="array" ref="H1619">IFERROR(INDEX(INVESTOR_LIST[INVESTOR NAME],MATCH(I1619,INVESTOR_LIST[INVESTOR CODE],0),)," ")</f>
        <v>MD. ZAHID HOSSAIN</v>
      </c>
      <c r="I1619" s="142" t="s">
        <v>478</v>
      </c>
      <c r="J1619" s="143" t="s">
        <v>52</v>
      </c>
      <c r="K1619" s="226">
        <v>100000</v>
      </c>
      <c r="L1619" s="226"/>
    </row>
    <row r="1620" spans="1:12" ht="33.75" x14ac:dyDescent="0.2">
      <c r="A1620" s="133">
        <v>2020</v>
      </c>
      <c r="B1620" s="133">
        <v>12</v>
      </c>
      <c r="C1620" s="133">
        <v>29</v>
      </c>
      <c r="D1620" s="141">
        <f t="shared" si="56"/>
        <v>44194</v>
      </c>
      <c r="E1620" s="275">
        <f t="shared" si="57"/>
        <v>44194</v>
      </c>
      <c r="F1620" s="481"/>
      <c r="G1620" s="174" t="s">
        <v>74</v>
      </c>
      <c r="H1620" s="174" t="str" cm="1">
        <f t="array" ref="H1620">IFERROR(INDEX(INVESTOR_LIST[INVESTOR NAME],MATCH(I1620,INVESTOR_LIST[INVESTOR CODE],0),)," ")</f>
        <v>MD. ZAHID HOSSAIN</v>
      </c>
      <c r="I1620" s="148" t="s">
        <v>478</v>
      </c>
      <c r="J1620" s="149" t="s">
        <v>13</v>
      </c>
      <c r="K1620" s="218"/>
      <c r="L1620" s="218">
        <v>83890</v>
      </c>
    </row>
    <row r="1621" spans="1:12" ht="33.75" x14ac:dyDescent="0.2">
      <c r="A1621" s="163">
        <v>2020</v>
      </c>
      <c r="B1621" s="163">
        <v>12</v>
      </c>
      <c r="C1621" s="163">
        <v>29</v>
      </c>
      <c r="D1621" s="141">
        <f t="shared" si="56"/>
        <v>44194</v>
      </c>
      <c r="E1621" s="275">
        <f t="shared" si="57"/>
        <v>44194</v>
      </c>
      <c r="F1621" s="480"/>
      <c r="G1621" s="221" t="s">
        <v>74</v>
      </c>
      <c r="H1621" s="221" t="str" cm="1">
        <f t="array" ref="H1621">IFERROR(INDEX(INVESTOR_LIST[INVESTOR NAME],MATCH(I1621,INVESTOR_LIST[INVESTOR CODE],0),)," ")</f>
        <v>MD. ZAHID HOSSAIN</v>
      </c>
      <c r="I1621" s="145" t="s">
        <v>478</v>
      </c>
      <c r="J1621" s="146" t="s">
        <v>53</v>
      </c>
      <c r="K1621" s="219"/>
      <c r="L1621" s="219">
        <v>16110</v>
      </c>
    </row>
    <row r="1622" spans="1:12" x14ac:dyDescent="0.2">
      <c r="A1622" s="168">
        <v>2020</v>
      </c>
      <c r="B1622" s="168">
        <v>12</v>
      </c>
      <c r="C1622" s="168">
        <v>29</v>
      </c>
      <c r="D1622" s="141">
        <f t="shared" si="56"/>
        <v>44194</v>
      </c>
      <c r="E1622" s="275">
        <f t="shared" si="57"/>
        <v>44194</v>
      </c>
      <c r="F1622" s="494" t="s">
        <v>77</v>
      </c>
      <c r="G1622" s="220" t="s">
        <v>74</v>
      </c>
      <c r="H1622" s="220" t="str" cm="1">
        <f t="array" ref="H1622">IFERROR(INDEX(INVESTOR_LIST[INVESTOR NAME],MATCH(I1622,INVESTOR_LIST[INVESTOR CODE],0),)," ")</f>
        <v xml:space="preserve"> </v>
      </c>
      <c r="I1622" s="142" t="s">
        <v>348</v>
      </c>
      <c r="J1622" s="143" t="s">
        <v>61</v>
      </c>
      <c r="K1622" s="226">
        <v>10</v>
      </c>
      <c r="L1622" s="226"/>
    </row>
    <row r="1623" spans="1:12" x14ac:dyDescent="0.2">
      <c r="A1623" s="163">
        <v>2020</v>
      </c>
      <c r="B1623" s="163">
        <v>12</v>
      </c>
      <c r="C1623" s="163">
        <v>29</v>
      </c>
      <c r="D1623" s="141">
        <f t="shared" si="56"/>
        <v>44194</v>
      </c>
      <c r="E1623" s="275">
        <f t="shared" si="57"/>
        <v>44194</v>
      </c>
      <c r="F1623" s="495"/>
      <c r="G1623" s="221" t="s">
        <v>74</v>
      </c>
      <c r="H1623" s="221" t="str" cm="1">
        <f t="array" ref="H1623">IFERROR(INDEX(INVESTOR_LIST[INVESTOR NAME],MATCH(I1623,INVESTOR_LIST[INVESTOR CODE],0),)," ")</f>
        <v xml:space="preserve"> </v>
      </c>
      <c r="I1623" s="145" t="s">
        <v>348</v>
      </c>
      <c r="J1623" s="146" t="s">
        <v>52</v>
      </c>
      <c r="K1623" s="219"/>
      <c r="L1623" s="219">
        <v>10</v>
      </c>
    </row>
    <row r="1624" spans="1:12" ht="33.75" x14ac:dyDescent="0.2">
      <c r="A1624" s="168">
        <v>2020</v>
      </c>
      <c r="B1624" s="168">
        <v>12</v>
      </c>
      <c r="C1624" s="168">
        <v>29</v>
      </c>
      <c r="D1624" s="141">
        <f t="shared" si="56"/>
        <v>44194</v>
      </c>
      <c r="E1624" s="275">
        <f t="shared" si="57"/>
        <v>44194</v>
      </c>
      <c r="F1624" s="479" t="s">
        <v>964</v>
      </c>
      <c r="G1624" s="220" t="s">
        <v>74</v>
      </c>
      <c r="H1624" s="220" t="str" cm="1">
        <f t="array" ref="H1624">IFERROR(INDEX(INVESTOR_LIST[INVESTOR NAME],MATCH(I1624,INVESTOR_LIST[INVESTOR CODE],0),)," ")</f>
        <v>MD. ARIFUL ISLAM</v>
      </c>
      <c r="I1624" s="142" t="s">
        <v>455</v>
      </c>
      <c r="J1624" s="143" t="s">
        <v>52</v>
      </c>
      <c r="K1624" s="226">
        <v>100000</v>
      </c>
      <c r="L1624" s="226"/>
    </row>
    <row r="1625" spans="1:12" ht="33.75" x14ac:dyDescent="0.2">
      <c r="A1625" s="133">
        <v>2020</v>
      </c>
      <c r="B1625" s="133">
        <v>12</v>
      </c>
      <c r="C1625" s="133">
        <v>29</v>
      </c>
      <c r="D1625" s="141">
        <f t="shared" si="56"/>
        <v>44194</v>
      </c>
      <c r="E1625" s="275">
        <f t="shared" si="57"/>
        <v>44194</v>
      </c>
      <c r="F1625" s="481"/>
      <c r="G1625" s="174" t="s">
        <v>74</v>
      </c>
      <c r="H1625" s="174" t="str" cm="1">
        <f t="array" ref="H1625">IFERROR(INDEX(INVESTOR_LIST[INVESTOR NAME],MATCH(I1625,INVESTOR_LIST[INVESTOR CODE],0),)," ")</f>
        <v>MD. ARIFUL ISLAM</v>
      </c>
      <c r="I1625" s="148" t="s">
        <v>455</v>
      </c>
      <c r="J1625" s="149" t="s">
        <v>13</v>
      </c>
      <c r="K1625" s="218"/>
      <c r="L1625" s="218">
        <v>83890</v>
      </c>
    </row>
    <row r="1626" spans="1:12" ht="33.75" x14ac:dyDescent="0.2">
      <c r="A1626" s="163">
        <v>2020</v>
      </c>
      <c r="B1626" s="163">
        <v>12</v>
      </c>
      <c r="C1626" s="163">
        <v>29</v>
      </c>
      <c r="D1626" s="141">
        <f t="shared" si="56"/>
        <v>44194</v>
      </c>
      <c r="E1626" s="275">
        <f t="shared" si="57"/>
        <v>44194</v>
      </c>
      <c r="F1626" s="480"/>
      <c r="G1626" s="221" t="s">
        <v>74</v>
      </c>
      <c r="H1626" s="221" t="str" cm="1">
        <f t="array" ref="H1626">IFERROR(INDEX(INVESTOR_LIST[INVESTOR NAME],MATCH(I1626,INVESTOR_LIST[INVESTOR CODE],0),)," ")</f>
        <v>MD. ARIFUL ISLAM</v>
      </c>
      <c r="I1626" s="145" t="s">
        <v>455</v>
      </c>
      <c r="J1626" s="146" t="s">
        <v>53</v>
      </c>
      <c r="K1626" s="219"/>
      <c r="L1626" s="219">
        <v>16110</v>
      </c>
    </row>
    <row r="1627" spans="1:12" x14ac:dyDescent="0.2">
      <c r="A1627" s="168">
        <v>2020</v>
      </c>
      <c r="B1627" s="168">
        <v>12</v>
      </c>
      <c r="C1627" s="168">
        <v>30</v>
      </c>
      <c r="D1627" s="141">
        <f t="shared" si="56"/>
        <v>44195</v>
      </c>
      <c r="E1627" s="275">
        <f t="shared" si="57"/>
        <v>44195</v>
      </c>
      <c r="F1627" s="479" t="s">
        <v>195</v>
      </c>
      <c r="G1627" s="220" t="s">
        <v>74</v>
      </c>
      <c r="H1627" s="220" t="str" cm="1">
        <f t="array" ref="H1627">IFERROR(INDEX(INVESTOR_LIST[INVESTOR NAME],MATCH(I1627,INVESTOR_LIST[INVESTOR CODE],0),)," ")</f>
        <v xml:space="preserve"> </v>
      </c>
      <c r="I1627" s="142" t="s">
        <v>348</v>
      </c>
      <c r="J1627" s="143" t="s">
        <v>52</v>
      </c>
      <c r="K1627" s="226">
        <v>18750</v>
      </c>
      <c r="L1627" s="226"/>
    </row>
    <row r="1628" spans="1:12" x14ac:dyDescent="0.2">
      <c r="A1628" s="163">
        <v>2020</v>
      </c>
      <c r="B1628" s="163">
        <v>12</v>
      </c>
      <c r="C1628" s="163">
        <v>30</v>
      </c>
      <c r="D1628" s="141">
        <f t="shared" si="56"/>
        <v>44195</v>
      </c>
      <c r="E1628" s="275">
        <f t="shared" si="57"/>
        <v>44195</v>
      </c>
      <c r="F1628" s="480"/>
      <c r="G1628" s="221" t="s">
        <v>74</v>
      </c>
      <c r="H1628" s="221" t="str" cm="1">
        <f t="array" ref="H1628">IFERROR(INDEX(INVESTOR_LIST[INVESTOR NAME],MATCH(I1628,INVESTOR_LIST[INVESTOR CODE],0),)," ")</f>
        <v xml:space="preserve"> </v>
      </c>
      <c r="I1628" s="145" t="s">
        <v>348</v>
      </c>
      <c r="J1628" s="146" t="s">
        <v>60</v>
      </c>
      <c r="K1628" s="219"/>
      <c r="L1628" s="219">
        <v>18750</v>
      </c>
    </row>
    <row r="1629" spans="1:12" x14ac:dyDescent="0.2">
      <c r="A1629" s="168">
        <v>2020</v>
      </c>
      <c r="B1629" s="168">
        <v>12</v>
      </c>
      <c r="C1629" s="168">
        <v>30</v>
      </c>
      <c r="D1629" s="141">
        <f t="shared" si="56"/>
        <v>44195</v>
      </c>
      <c r="E1629" s="275">
        <f t="shared" si="57"/>
        <v>44195</v>
      </c>
      <c r="F1629" s="479" t="s">
        <v>195</v>
      </c>
      <c r="G1629" s="220" t="s">
        <v>74</v>
      </c>
      <c r="H1629" s="220" t="str" cm="1">
        <f t="array" ref="H1629">IFERROR(INDEX(INVESTOR_LIST[INVESTOR NAME],MATCH(I1629,INVESTOR_LIST[INVESTOR CODE],0),)," ")</f>
        <v xml:space="preserve"> </v>
      </c>
      <c r="I1629" s="142" t="s">
        <v>348</v>
      </c>
      <c r="J1629" s="143" t="s">
        <v>52</v>
      </c>
      <c r="K1629" s="226">
        <v>32917</v>
      </c>
      <c r="L1629" s="226"/>
    </row>
    <row r="1630" spans="1:12" x14ac:dyDescent="0.2">
      <c r="A1630" s="163">
        <v>2020</v>
      </c>
      <c r="B1630" s="163">
        <v>12</v>
      </c>
      <c r="C1630" s="163">
        <v>30</v>
      </c>
      <c r="D1630" s="141">
        <f t="shared" si="56"/>
        <v>44195</v>
      </c>
      <c r="E1630" s="275">
        <f t="shared" si="57"/>
        <v>44195</v>
      </c>
      <c r="F1630" s="480"/>
      <c r="G1630" s="221" t="s">
        <v>74</v>
      </c>
      <c r="H1630" s="221" t="str" cm="1">
        <f t="array" ref="H1630">IFERROR(INDEX(INVESTOR_LIST[INVESTOR NAME],MATCH(I1630,INVESTOR_LIST[INVESTOR CODE],0),)," ")</f>
        <v xml:space="preserve"> </v>
      </c>
      <c r="I1630" s="145" t="s">
        <v>348</v>
      </c>
      <c r="J1630" s="146" t="s">
        <v>60</v>
      </c>
      <c r="K1630" s="219"/>
      <c r="L1630" s="219">
        <v>32917</v>
      </c>
    </row>
    <row r="1631" spans="1:12" x14ac:dyDescent="0.2">
      <c r="A1631" s="168">
        <v>2020</v>
      </c>
      <c r="B1631" s="168">
        <v>12</v>
      </c>
      <c r="C1631" s="168">
        <v>30</v>
      </c>
      <c r="D1631" s="141">
        <f t="shared" si="56"/>
        <v>44195</v>
      </c>
      <c r="E1631" s="275">
        <f t="shared" si="57"/>
        <v>44195</v>
      </c>
      <c r="F1631" s="479" t="s">
        <v>195</v>
      </c>
      <c r="G1631" s="220" t="s">
        <v>74</v>
      </c>
      <c r="H1631" s="220" t="str" cm="1">
        <f t="array" ref="H1631">IFERROR(INDEX(INVESTOR_LIST[INVESTOR NAME],MATCH(I1631,INVESTOR_LIST[INVESTOR CODE],0),)," ")</f>
        <v xml:space="preserve"> </v>
      </c>
      <c r="I1631" s="142" t="s">
        <v>348</v>
      </c>
      <c r="J1631" s="143" t="s">
        <v>52</v>
      </c>
      <c r="K1631" s="226">
        <v>32917</v>
      </c>
      <c r="L1631" s="226"/>
    </row>
    <row r="1632" spans="1:12" x14ac:dyDescent="0.2">
      <c r="A1632" s="163">
        <v>2020</v>
      </c>
      <c r="B1632" s="163">
        <v>12</v>
      </c>
      <c r="C1632" s="163">
        <v>30</v>
      </c>
      <c r="D1632" s="141">
        <f t="shared" si="56"/>
        <v>44195</v>
      </c>
      <c r="E1632" s="275">
        <f t="shared" si="57"/>
        <v>44195</v>
      </c>
      <c r="F1632" s="480"/>
      <c r="G1632" s="221" t="s">
        <v>74</v>
      </c>
      <c r="H1632" s="221" t="str" cm="1">
        <f t="array" ref="H1632">IFERROR(INDEX(INVESTOR_LIST[INVESTOR NAME],MATCH(I1632,INVESTOR_LIST[INVESTOR CODE],0),)," ")</f>
        <v xml:space="preserve"> </v>
      </c>
      <c r="I1632" s="145" t="s">
        <v>348</v>
      </c>
      <c r="J1632" s="146" t="s">
        <v>60</v>
      </c>
      <c r="K1632" s="219"/>
      <c r="L1632" s="219">
        <v>32917</v>
      </c>
    </row>
    <row r="1633" spans="1:12" x14ac:dyDescent="0.2">
      <c r="A1633" s="168">
        <v>2020</v>
      </c>
      <c r="B1633" s="168">
        <v>12</v>
      </c>
      <c r="C1633" s="168">
        <v>30</v>
      </c>
      <c r="D1633" s="141">
        <f t="shared" si="56"/>
        <v>44195</v>
      </c>
      <c r="E1633" s="275">
        <f t="shared" si="57"/>
        <v>44195</v>
      </c>
      <c r="F1633" s="479" t="s">
        <v>195</v>
      </c>
      <c r="G1633" s="220" t="s">
        <v>74</v>
      </c>
      <c r="H1633" s="220" t="str" cm="1">
        <f t="array" ref="H1633">IFERROR(INDEX(INVESTOR_LIST[INVESTOR NAME],MATCH(I1633,INVESTOR_LIST[INVESTOR CODE],0),)," ")</f>
        <v xml:space="preserve"> </v>
      </c>
      <c r="I1633" s="142" t="s">
        <v>348</v>
      </c>
      <c r="J1633" s="143" t="s">
        <v>52</v>
      </c>
      <c r="K1633" s="226">
        <v>11667</v>
      </c>
      <c r="L1633" s="226"/>
    </row>
    <row r="1634" spans="1:12" x14ac:dyDescent="0.2">
      <c r="A1634" s="163">
        <v>2020</v>
      </c>
      <c r="B1634" s="163">
        <v>12</v>
      </c>
      <c r="C1634" s="163">
        <v>30</v>
      </c>
      <c r="D1634" s="141">
        <f t="shared" si="56"/>
        <v>44195</v>
      </c>
      <c r="E1634" s="275">
        <f t="shared" si="57"/>
        <v>44195</v>
      </c>
      <c r="F1634" s="480"/>
      <c r="G1634" s="221" t="s">
        <v>74</v>
      </c>
      <c r="H1634" s="221" t="str" cm="1">
        <f t="array" ref="H1634">IFERROR(INDEX(INVESTOR_LIST[INVESTOR NAME],MATCH(I1634,INVESTOR_LIST[INVESTOR CODE],0),)," ")</f>
        <v xml:space="preserve"> </v>
      </c>
      <c r="I1634" s="145" t="s">
        <v>348</v>
      </c>
      <c r="J1634" s="146" t="s">
        <v>60</v>
      </c>
      <c r="K1634" s="219"/>
      <c r="L1634" s="219">
        <v>11667</v>
      </c>
    </row>
    <row r="1635" spans="1:12" ht="11.25" customHeight="1" x14ac:dyDescent="0.2">
      <c r="A1635" s="168">
        <v>2020</v>
      </c>
      <c r="B1635" s="168">
        <v>12</v>
      </c>
      <c r="C1635" s="168">
        <v>30</v>
      </c>
      <c r="D1635" s="141">
        <f t="shared" si="56"/>
        <v>44195</v>
      </c>
      <c r="E1635" s="275">
        <f t="shared" si="57"/>
        <v>44195</v>
      </c>
      <c r="F1635" s="479" t="s">
        <v>254</v>
      </c>
      <c r="G1635" s="174" t="s">
        <v>74</v>
      </c>
      <c r="H1635" s="174" t="str" cm="1">
        <f t="array" ref="H1635">IFERROR(INDEX(INVESTOR_LIST[INVESTOR NAME],MATCH(I1635,INVESTOR_LIST[INVESTOR CODE],0),)," ")</f>
        <v xml:space="preserve"> </v>
      </c>
      <c r="I1635" s="148" t="s">
        <v>348</v>
      </c>
      <c r="J1635" s="149" t="s">
        <v>52</v>
      </c>
      <c r="K1635" s="218">
        <v>237500</v>
      </c>
      <c r="L1635" s="218"/>
    </row>
    <row r="1636" spans="1:12" x14ac:dyDescent="0.2">
      <c r="A1636" s="133">
        <v>2020</v>
      </c>
      <c r="B1636" s="133">
        <v>12</v>
      </c>
      <c r="C1636" s="133">
        <v>30</v>
      </c>
      <c r="D1636" s="141">
        <f t="shared" si="56"/>
        <v>44195</v>
      </c>
      <c r="E1636" s="275">
        <f t="shared" si="57"/>
        <v>44195</v>
      </c>
      <c r="F1636" s="481"/>
      <c r="G1636" s="174" t="s">
        <v>74</v>
      </c>
      <c r="H1636" s="174" t="str" cm="1">
        <f t="array" ref="H1636">IFERROR(INDEX(INVESTOR_LIST[INVESTOR NAME],MATCH(I1636,INVESTOR_LIST[INVESTOR CODE],0),)," ")</f>
        <v xml:space="preserve"> </v>
      </c>
      <c r="I1636" s="148" t="s">
        <v>348</v>
      </c>
      <c r="J1636" s="149" t="s">
        <v>13</v>
      </c>
      <c r="K1636" s="218"/>
      <c r="L1636" s="218">
        <v>199980</v>
      </c>
    </row>
    <row r="1637" spans="1:12" x14ac:dyDescent="0.2">
      <c r="A1637" s="163">
        <v>2020</v>
      </c>
      <c r="B1637" s="163">
        <v>12</v>
      </c>
      <c r="C1637" s="163">
        <v>30</v>
      </c>
      <c r="D1637" s="141">
        <f t="shared" si="56"/>
        <v>44195</v>
      </c>
      <c r="E1637" s="275">
        <f t="shared" si="57"/>
        <v>44195</v>
      </c>
      <c r="F1637" s="480"/>
      <c r="G1637" s="221" t="s">
        <v>74</v>
      </c>
      <c r="H1637" s="221" t="str" cm="1">
        <f t="array" ref="H1637">IFERROR(INDEX(INVESTOR_LIST[INVESTOR NAME],MATCH(I1637,INVESTOR_LIST[INVESTOR CODE],0),)," ")</f>
        <v xml:space="preserve"> </v>
      </c>
      <c r="I1637" s="145" t="s">
        <v>348</v>
      </c>
      <c r="J1637" s="146" t="s">
        <v>53</v>
      </c>
      <c r="K1637" s="219"/>
      <c r="L1637" s="219">
        <v>37520</v>
      </c>
    </row>
    <row r="1638" spans="1:12" ht="33.75" x14ac:dyDescent="0.2">
      <c r="A1638" s="168">
        <v>2020</v>
      </c>
      <c r="B1638" s="168">
        <v>12</v>
      </c>
      <c r="C1638" s="168">
        <v>30</v>
      </c>
      <c r="D1638" s="141">
        <f t="shared" si="56"/>
        <v>44195</v>
      </c>
      <c r="E1638" s="275">
        <f t="shared" si="57"/>
        <v>44195</v>
      </c>
      <c r="F1638" s="479" t="s">
        <v>964</v>
      </c>
      <c r="G1638" s="220" t="s">
        <v>74</v>
      </c>
      <c r="H1638" s="220" t="str" cm="1">
        <f t="array" ref="H1638">IFERROR(INDEX(INVESTOR_LIST[INVESTOR NAME],MATCH(I1638,INVESTOR_LIST[INVESTOR CODE],0),)," ")</f>
        <v>MD KAMRUL ISLAM</v>
      </c>
      <c r="I1638" s="142" t="s">
        <v>516</v>
      </c>
      <c r="J1638" s="143" t="s">
        <v>52</v>
      </c>
      <c r="K1638" s="226">
        <v>100000</v>
      </c>
      <c r="L1638" s="226"/>
    </row>
    <row r="1639" spans="1:12" ht="33.75" x14ac:dyDescent="0.2">
      <c r="A1639" s="133">
        <v>2020</v>
      </c>
      <c r="B1639" s="133">
        <v>12</v>
      </c>
      <c r="C1639" s="133">
        <v>30</v>
      </c>
      <c r="D1639" s="141">
        <f t="shared" si="56"/>
        <v>44195</v>
      </c>
      <c r="E1639" s="275">
        <f t="shared" si="57"/>
        <v>44195</v>
      </c>
      <c r="F1639" s="481"/>
      <c r="G1639" s="174" t="s">
        <v>74</v>
      </c>
      <c r="H1639" s="174" t="str" cm="1">
        <f t="array" ref="H1639">IFERROR(INDEX(INVESTOR_LIST[INVESTOR NAME],MATCH(I1639,INVESTOR_LIST[INVESTOR CODE],0),)," ")</f>
        <v>MD KAMRUL ISLAM</v>
      </c>
      <c r="I1639" s="148" t="s">
        <v>516</v>
      </c>
      <c r="J1639" s="149" t="s">
        <v>13</v>
      </c>
      <c r="K1639" s="218"/>
      <c r="L1639" s="218">
        <v>83890</v>
      </c>
    </row>
    <row r="1640" spans="1:12" ht="33.75" x14ac:dyDescent="0.2">
      <c r="A1640" s="163">
        <v>2020</v>
      </c>
      <c r="B1640" s="163">
        <v>12</v>
      </c>
      <c r="C1640" s="163">
        <v>30</v>
      </c>
      <c r="D1640" s="141">
        <f t="shared" si="56"/>
        <v>44195</v>
      </c>
      <c r="E1640" s="275">
        <f t="shared" si="57"/>
        <v>44195</v>
      </c>
      <c r="F1640" s="480"/>
      <c r="G1640" s="221" t="s">
        <v>74</v>
      </c>
      <c r="H1640" s="221" t="str" cm="1">
        <f t="array" ref="H1640">IFERROR(INDEX(INVESTOR_LIST[INVESTOR NAME],MATCH(I1640,INVESTOR_LIST[INVESTOR CODE],0),)," ")</f>
        <v>MD KAMRUL ISLAM</v>
      </c>
      <c r="I1640" s="145" t="s">
        <v>516</v>
      </c>
      <c r="J1640" s="146" t="s">
        <v>53</v>
      </c>
      <c r="K1640" s="219"/>
      <c r="L1640" s="219">
        <v>16110</v>
      </c>
    </row>
    <row r="1641" spans="1:12" ht="22.5" x14ac:dyDescent="0.2">
      <c r="A1641" s="168">
        <v>2020</v>
      </c>
      <c r="B1641" s="168">
        <v>12</v>
      </c>
      <c r="C1641" s="168">
        <v>30</v>
      </c>
      <c r="D1641" s="141">
        <f t="shared" si="56"/>
        <v>44195</v>
      </c>
      <c r="E1641" s="275">
        <f t="shared" si="57"/>
        <v>44195</v>
      </c>
      <c r="F1641" s="479" t="s">
        <v>964</v>
      </c>
      <c r="G1641" s="220" t="s">
        <v>74</v>
      </c>
      <c r="H1641" s="220" t="str" cm="1">
        <f t="array" ref="H1641">IFERROR(INDEX(INVESTOR_LIST[INVESTOR NAME],MATCH(I1641,INVESTOR_LIST[INVESTOR CODE],0),)," ")</f>
        <v>ADNAN RASHID</v>
      </c>
      <c r="I1641" s="142" t="s">
        <v>466</v>
      </c>
      <c r="J1641" s="143" t="s">
        <v>52</v>
      </c>
      <c r="K1641" s="226">
        <v>100000</v>
      </c>
      <c r="L1641" s="226"/>
    </row>
    <row r="1642" spans="1:12" ht="22.5" x14ac:dyDescent="0.2">
      <c r="A1642" s="133">
        <v>2020</v>
      </c>
      <c r="B1642" s="133">
        <v>12</v>
      </c>
      <c r="C1642" s="133">
        <v>30</v>
      </c>
      <c r="D1642" s="141">
        <f t="shared" si="56"/>
        <v>44195</v>
      </c>
      <c r="E1642" s="275">
        <f t="shared" si="57"/>
        <v>44195</v>
      </c>
      <c r="F1642" s="481"/>
      <c r="G1642" s="174" t="s">
        <v>74</v>
      </c>
      <c r="H1642" s="174" t="str" cm="1">
        <f t="array" ref="H1642">IFERROR(INDEX(INVESTOR_LIST[INVESTOR NAME],MATCH(I1642,INVESTOR_LIST[INVESTOR CODE],0),)," ")</f>
        <v>ADNAN RASHID</v>
      </c>
      <c r="I1642" s="148" t="s">
        <v>466</v>
      </c>
      <c r="J1642" s="149" t="s">
        <v>13</v>
      </c>
      <c r="K1642" s="218"/>
      <c r="L1642" s="218">
        <v>83890</v>
      </c>
    </row>
    <row r="1643" spans="1:12" ht="22.5" x14ac:dyDescent="0.2">
      <c r="A1643" s="163">
        <v>2020</v>
      </c>
      <c r="B1643" s="163">
        <v>12</v>
      </c>
      <c r="C1643" s="163">
        <v>30</v>
      </c>
      <c r="D1643" s="141">
        <f t="shared" si="56"/>
        <v>44195</v>
      </c>
      <c r="E1643" s="275">
        <f t="shared" si="57"/>
        <v>44195</v>
      </c>
      <c r="F1643" s="480"/>
      <c r="G1643" s="221" t="s">
        <v>74</v>
      </c>
      <c r="H1643" s="221" t="str" cm="1">
        <f t="array" ref="H1643">IFERROR(INDEX(INVESTOR_LIST[INVESTOR NAME],MATCH(I1643,INVESTOR_LIST[INVESTOR CODE],0),)," ")</f>
        <v>ADNAN RASHID</v>
      </c>
      <c r="I1643" s="145" t="s">
        <v>466</v>
      </c>
      <c r="J1643" s="146" t="s">
        <v>53</v>
      </c>
      <c r="K1643" s="219"/>
      <c r="L1643" s="219">
        <v>16110</v>
      </c>
    </row>
    <row r="1644" spans="1:12" ht="45" x14ac:dyDescent="0.2">
      <c r="A1644" s="168">
        <v>2020</v>
      </c>
      <c r="B1644" s="168">
        <v>12</v>
      </c>
      <c r="C1644" s="168">
        <v>30</v>
      </c>
      <c r="D1644" s="141">
        <f t="shared" si="56"/>
        <v>44195</v>
      </c>
      <c r="E1644" s="275">
        <f t="shared" si="57"/>
        <v>44195</v>
      </c>
      <c r="F1644" s="479" t="s">
        <v>964</v>
      </c>
      <c r="G1644" s="220" t="s">
        <v>74</v>
      </c>
      <c r="H1644" s="174" t="str" cm="1">
        <f t="array" ref="H1644">IFERROR(INDEX(INVESTOR_LIST[INVESTOR NAME],MATCH(I1644,INVESTOR_LIST[INVESTOR CODE],0),)," ")</f>
        <v>MD MIZANUR RAHMAN</v>
      </c>
      <c r="I1644" s="148" t="s">
        <v>482</v>
      </c>
      <c r="J1644" s="143" t="s">
        <v>52</v>
      </c>
      <c r="K1644" s="226">
        <v>100000</v>
      </c>
      <c r="L1644" s="226"/>
    </row>
    <row r="1645" spans="1:12" ht="45" x14ac:dyDescent="0.2">
      <c r="A1645" s="133">
        <v>2020</v>
      </c>
      <c r="B1645" s="133">
        <v>12</v>
      </c>
      <c r="C1645" s="133">
        <v>30</v>
      </c>
      <c r="D1645" s="141">
        <f t="shared" si="56"/>
        <v>44195</v>
      </c>
      <c r="E1645" s="275">
        <f t="shared" si="57"/>
        <v>44195</v>
      </c>
      <c r="F1645" s="481"/>
      <c r="G1645" s="174" t="s">
        <v>74</v>
      </c>
      <c r="H1645" s="174" t="str" cm="1">
        <f t="array" ref="H1645">IFERROR(INDEX(INVESTOR_LIST[INVESTOR NAME],MATCH(I1645,INVESTOR_LIST[INVESTOR CODE],0),)," ")</f>
        <v>MD MIZANUR RAHMAN</v>
      </c>
      <c r="I1645" s="148" t="s">
        <v>482</v>
      </c>
      <c r="J1645" s="149" t="s">
        <v>13</v>
      </c>
      <c r="K1645" s="218"/>
      <c r="L1645" s="218">
        <v>83890</v>
      </c>
    </row>
    <row r="1646" spans="1:12" ht="45" x14ac:dyDescent="0.2">
      <c r="A1646" s="163">
        <v>2020</v>
      </c>
      <c r="B1646" s="163">
        <v>12</v>
      </c>
      <c r="C1646" s="163">
        <v>30</v>
      </c>
      <c r="D1646" s="141">
        <f t="shared" si="56"/>
        <v>44195</v>
      </c>
      <c r="E1646" s="275">
        <f t="shared" si="57"/>
        <v>44195</v>
      </c>
      <c r="F1646" s="480"/>
      <c r="G1646" s="221" t="s">
        <v>74</v>
      </c>
      <c r="H1646" s="221" t="str" cm="1">
        <f t="array" ref="H1646">IFERROR(INDEX(INVESTOR_LIST[INVESTOR NAME],MATCH(I1646,INVESTOR_LIST[INVESTOR CODE],0),)," ")</f>
        <v>MD MIZANUR RAHMAN</v>
      </c>
      <c r="I1646" s="145" t="s">
        <v>482</v>
      </c>
      <c r="J1646" s="146" t="s">
        <v>53</v>
      </c>
      <c r="K1646" s="219"/>
      <c r="L1646" s="219">
        <v>16110</v>
      </c>
    </row>
    <row r="1647" spans="1:12" ht="33.75" x14ac:dyDescent="0.2">
      <c r="A1647" s="168">
        <v>2020</v>
      </c>
      <c r="B1647" s="168">
        <v>12</v>
      </c>
      <c r="C1647" s="168">
        <v>30</v>
      </c>
      <c r="D1647" s="141">
        <f t="shared" si="56"/>
        <v>44195</v>
      </c>
      <c r="E1647" s="275">
        <f t="shared" si="57"/>
        <v>44195</v>
      </c>
      <c r="F1647" s="479" t="s">
        <v>964</v>
      </c>
      <c r="G1647" s="220" t="s">
        <v>74</v>
      </c>
      <c r="H1647" s="220" t="str" cm="1">
        <f t="array" ref="H1647">IFERROR(INDEX(INVESTOR_LIST[INVESTOR NAME],MATCH(I1647,INVESTOR_LIST[INVESTOR CODE],0),)," ")</f>
        <v>ASHIT BARAN SAHA</v>
      </c>
      <c r="I1647" s="142" t="s">
        <v>442</v>
      </c>
      <c r="J1647" s="143" t="s">
        <v>52</v>
      </c>
      <c r="K1647" s="226">
        <v>500000</v>
      </c>
      <c r="L1647" s="226"/>
    </row>
    <row r="1648" spans="1:12" ht="33.75" x14ac:dyDescent="0.2">
      <c r="A1648" s="133">
        <v>2020</v>
      </c>
      <c r="B1648" s="133">
        <v>12</v>
      </c>
      <c r="C1648" s="133">
        <v>30</v>
      </c>
      <c r="D1648" s="141">
        <f t="shared" si="56"/>
        <v>44195</v>
      </c>
      <c r="E1648" s="275">
        <f t="shared" si="57"/>
        <v>44195</v>
      </c>
      <c r="F1648" s="481"/>
      <c r="G1648" s="174" t="s">
        <v>74</v>
      </c>
      <c r="H1648" s="174" t="str" cm="1">
        <f t="array" ref="H1648">IFERROR(INDEX(INVESTOR_LIST[INVESTOR NAME],MATCH(I1648,INVESTOR_LIST[INVESTOR CODE],0),)," ")</f>
        <v>ASHIT BARAN SAHA</v>
      </c>
      <c r="I1648" s="148" t="s">
        <v>442</v>
      </c>
      <c r="J1648" s="149" t="s">
        <v>13</v>
      </c>
      <c r="K1648" s="218"/>
      <c r="L1648" s="218">
        <v>419460</v>
      </c>
    </row>
    <row r="1649" spans="1:12" ht="33.75" x14ac:dyDescent="0.2">
      <c r="A1649" s="163">
        <v>2020</v>
      </c>
      <c r="B1649" s="163">
        <v>12</v>
      </c>
      <c r="C1649" s="163">
        <v>30</v>
      </c>
      <c r="D1649" s="141">
        <f t="shared" si="56"/>
        <v>44195</v>
      </c>
      <c r="E1649" s="275">
        <f t="shared" si="57"/>
        <v>44195</v>
      </c>
      <c r="F1649" s="480"/>
      <c r="G1649" s="221" t="s">
        <v>74</v>
      </c>
      <c r="H1649" s="221" t="str" cm="1">
        <f t="array" ref="H1649">IFERROR(INDEX(INVESTOR_LIST[INVESTOR NAME],MATCH(I1649,INVESTOR_LIST[INVESTOR CODE],0),)," ")</f>
        <v>ASHIT BARAN SAHA</v>
      </c>
      <c r="I1649" s="145" t="s">
        <v>442</v>
      </c>
      <c r="J1649" s="146" t="s">
        <v>53</v>
      </c>
      <c r="K1649" s="219"/>
      <c r="L1649" s="219">
        <v>80540</v>
      </c>
    </row>
    <row r="1650" spans="1:12" ht="22.5" x14ac:dyDescent="0.2">
      <c r="A1650" s="168">
        <v>2020</v>
      </c>
      <c r="B1650" s="168">
        <v>12</v>
      </c>
      <c r="C1650" s="168">
        <v>30</v>
      </c>
      <c r="D1650" s="141">
        <f t="shared" si="56"/>
        <v>44195</v>
      </c>
      <c r="E1650" s="275">
        <f t="shared" si="57"/>
        <v>44195</v>
      </c>
      <c r="F1650" s="479" t="s">
        <v>964</v>
      </c>
      <c r="G1650" s="220" t="s">
        <v>74</v>
      </c>
      <c r="H1650" s="220" t="str" cm="1">
        <f t="array" ref="H1650">IFERROR(INDEX(INVESTOR_LIST[INVESTOR NAME],MATCH(I1650,INVESTOR_LIST[INVESTOR CODE],0),)," ")</f>
        <v>SAILA SATTER</v>
      </c>
      <c r="I1650" s="142" t="s">
        <v>500</v>
      </c>
      <c r="J1650" s="143" t="s">
        <v>52</v>
      </c>
      <c r="K1650" s="226">
        <v>200000</v>
      </c>
      <c r="L1650" s="226"/>
    </row>
    <row r="1651" spans="1:12" ht="22.5" x14ac:dyDescent="0.2">
      <c r="A1651" s="133">
        <v>2020</v>
      </c>
      <c r="B1651" s="133">
        <v>12</v>
      </c>
      <c r="C1651" s="133">
        <v>30</v>
      </c>
      <c r="D1651" s="141">
        <f t="shared" si="56"/>
        <v>44195</v>
      </c>
      <c r="E1651" s="275">
        <f t="shared" si="57"/>
        <v>44195</v>
      </c>
      <c r="F1651" s="481"/>
      <c r="G1651" s="174" t="s">
        <v>74</v>
      </c>
      <c r="H1651" s="174" t="str" cm="1">
        <f t="array" ref="H1651">IFERROR(INDEX(INVESTOR_LIST[INVESTOR NAME],MATCH(I1651,INVESTOR_LIST[INVESTOR CODE],0),)," ")</f>
        <v>SAILA SATTER</v>
      </c>
      <c r="I1651" s="148" t="s">
        <v>500</v>
      </c>
      <c r="J1651" s="149" t="s">
        <v>13</v>
      </c>
      <c r="K1651" s="218"/>
      <c r="L1651" s="218">
        <v>167790</v>
      </c>
    </row>
    <row r="1652" spans="1:12" ht="22.5" x14ac:dyDescent="0.2">
      <c r="A1652" s="163">
        <v>2020</v>
      </c>
      <c r="B1652" s="163">
        <v>12</v>
      </c>
      <c r="C1652" s="163">
        <v>30</v>
      </c>
      <c r="D1652" s="141">
        <f t="shared" si="56"/>
        <v>44195</v>
      </c>
      <c r="E1652" s="275">
        <f t="shared" si="57"/>
        <v>44195</v>
      </c>
      <c r="F1652" s="480"/>
      <c r="G1652" s="221" t="s">
        <v>74</v>
      </c>
      <c r="H1652" s="221" t="str" cm="1">
        <f t="array" ref="H1652">IFERROR(INDEX(INVESTOR_LIST[INVESTOR NAME],MATCH(I1652,INVESTOR_LIST[INVESTOR CODE],0),)," ")</f>
        <v>SAILA SATTER</v>
      </c>
      <c r="I1652" s="145" t="s">
        <v>500</v>
      </c>
      <c r="J1652" s="146" t="s">
        <v>53</v>
      </c>
      <c r="K1652" s="219"/>
      <c r="L1652" s="219">
        <v>32210</v>
      </c>
    </row>
    <row r="1653" spans="1:12" ht="22.5" x14ac:dyDescent="0.2">
      <c r="A1653" s="168">
        <v>2020</v>
      </c>
      <c r="B1653" s="168">
        <v>12</v>
      </c>
      <c r="C1653" s="168">
        <v>30</v>
      </c>
      <c r="D1653" s="141">
        <f t="shared" si="56"/>
        <v>44195</v>
      </c>
      <c r="E1653" s="275">
        <f t="shared" si="57"/>
        <v>44195</v>
      </c>
      <c r="F1653" s="479" t="s">
        <v>964</v>
      </c>
      <c r="G1653" s="220" t="s">
        <v>74</v>
      </c>
      <c r="H1653" s="220" t="str" cm="1">
        <f t="array" ref="H1653">IFERROR(INDEX(INVESTOR_LIST[INVESTOR NAME],MATCH(I1653,INVESTOR_LIST[INVESTOR CODE],0),)," ")</f>
        <v>FAHMIDA HAQUE</v>
      </c>
      <c r="I1653" s="142" t="s">
        <v>394</v>
      </c>
      <c r="J1653" s="143" t="s">
        <v>52</v>
      </c>
      <c r="K1653" s="226">
        <v>80000</v>
      </c>
      <c r="L1653" s="226"/>
    </row>
    <row r="1654" spans="1:12" ht="22.5" x14ac:dyDescent="0.2">
      <c r="A1654" s="133">
        <v>2020</v>
      </c>
      <c r="B1654" s="133">
        <v>12</v>
      </c>
      <c r="C1654" s="133">
        <v>30</v>
      </c>
      <c r="D1654" s="141">
        <f t="shared" si="56"/>
        <v>44195</v>
      </c>
      <c r="E1654" s="275">
        <f t="shared" si="57"/>
        <v>44195</v>
      </c>
      <c r="F1654" s="481"/>
      <c r="G1654" s="174" t="s">
        <v>74</v>
      </c>
      <c r="H1654" s="174" t="str" cm="1">
        <f t="array" ref="H1654">IFERROR(INDEX(INVESTOR_LIST[INVESTOR NAME],MATCH(I1654,INVESTOR_LIST[INVESTOR CODE],0),)," ")</f>
        <v>FAHMIDA HAQUE</v>
      </c>
      <c r="I1654" s="148" t="s">
        <v>394</v>
      </c>
      <c r="J1654" s="149" t="s">
        <v>13</v>
      </c>
      <c r="K1654" s="218"/>
      <c r="L1654" s="218">
        <v>67110</v>
      </c>
    </row>
    <row r="1655" spans="1:12" ht="22.5" x14ac:dyDescent="0.2">
      <c r="A1655" s="163">
        <v>2020</v>
      </c>
      <c r="B1655" s="163">
        <v>12</v>
      </c>
      <c r="C1655" s="163">
        <v>30</v>
      </c>
      <c r="D1655" s="141">
        <f t="shared" si="56"/>
        <v>44195</v>
      </c>
      <c r="E1655" s="275">
        <f t="shared" si="57"/>
        <v>44195</v>
      </c>
      <c r="F1655" s="480"/>
      <c r="G1655" s="221" t="s">
        <v>74</v>
      </c>
      <c r="H1655" s="221" t="str" cm="1">
        <f t="array" ref="H1655">IFERROR(INDEX(INVESTOR_LIST[INVESTOR NAME],MATCH(I1655,INVESTOR_LIST[INVESTOR CODE],0),)," ")</f>
        <v>FAHMIDA HAQUE</v>
      </c>
      <c r="I1655" s="145" t="s">
        <v>394</v>
      </c>
      <c r="J1655" s="146" t="s">
        <v>53</v>
      </c>
      <c r="K1655" s="219"/>
      <c r="L1655" s="219">
        <v>12890</v>
      </c>
    </row>
    <row r="1656" spans="1:12" ht="45" x14ac:dyDescent="0.2">
      <c r="A1656" s="168">
        <v>2020</v>
      </c>
      <c r="B1656" s="168">
        <v>12</v>
      </c>
      <c r="C1656" s="168">
        <v>30</v>
      </c>
      <c r="D1656" s="141">
        <f t="shared" si="56"/>
        <v>44195</v>
      </c>
      <c r="E1656" s="275">
        <f t="shared" si="57"/>
        <v>44195</v>
      </c>
      <c r="F1656" s="479" t="s">
        <v>964</v>
      </c>
      <c r="G1656" s="220" t="s">
        <v>74</v>
      </c>
      <c r="H1656" s="220" t="str" cm="1">
        <f t="array" ref="H1656">IFERROR(INDEX(INVESTOR_LIST[INVESTOR NAME],MATCH(I1656,INVESTOR_LIST[INVESTOR CODE],0),)," ")</f>
        <v>MOHAMMAD ABDUL HANNAN</v>
      </c>
      <c r="I1656" s="142" t="s">
        <v>501</v>
      </c>
      <c r="J1656" s="143" t="s">
        <v>52</v>
      </c>
      <c r="K1656" s="226">
        <v>10000</v>
      </c>
      <c r="L1656" s="226"/>
    </row>
    <row r="1657" spans="1:12" ht="45" x14ac:dyDescent="0.2">
      <c r="A1657" s="133">
        <v>2020</v>
      </c>
      <c r="B1657" s="133">
        <v>12</v>
      </c>
      <c r="C1657" s="133">
        <v>30</v>
      </c>
      <c r="D1657" s="141">
        <f t="shared" si="56"/>
        <v>44195</v>
      </c>
      <c r="E1657" s="275">
        <f t="shared" si="57"/>
        <v>44195</v>
      </c>
      <c r="F1657" s="481"/>
      <c r="G1657" s="174" t="s">
        <v>74</v>
      </c>
      <c r="H1657" s="174" t="str" cm="1">
        <f t="array" ref="H1657">IFERROR(INDEX(INVESTOR_LIST[INVESTOR NAME],MATCH(I1657,INVESTOR_LIST[INVESTOR CODE],0),)," ")</f>
        <v>MOHAMMAD ABDUL HANNAN</v>
      </c>
      <c r="I1657" s="148" t="s">
        <v>501</v>
      </c>
      <c r="J1657" s="149" t="s">
        <v>13</v>
      </c>
      <c r="K1657" s="218"/>
      <c r="L1657" s="218">
        <v>8390</v>
      </c>
    </row>
    <row r="1658" spans="1:12" ht="45" x14ac:dyDescent="0.2">
      <c r="A1658" s="163">
        <v>2020</v>
      </c>
      <c r="B1658" s="163">
        <v>12</v>
      </c>
      <c r="C1658" s="163">
        <v>30</v>
      </c>
      <c r="D1658" s="141">
        <f t="shared" si="56"/>
        <v>44195</v>
      </c>
      <c r="E1658" s="275">
        <f t="shared" si="57"/>
        <v>44195</v>
      </c>
      <c r="F1658" s="480"/>
      <c r="G1658" s="221" t="s">
        <v>74</v>
      </c>
      <c r="H1658" s="221" t="str" cm="1">
        <f t="array" ref="H1658">IFERROR(INDEX(INVESTOR_LIST[INVESTOR NAME],MATCH(I1658,INVESTOR_LIST[INVESTOR CODE],0),)," ")</f>
        <v>MOHAMMAD ABDUL HANNAN</v>
      </c>
      <c r="I1658" s="145" t="s">
        <v>501</v>
      </c>
      <c r="J1658" s="146" t="s">
        <v>53</v>
      </c>
      <c r="K1658" s="219"/>
      <c r="L1658" s="219">
        <v>1610</v>
      </c>
    </row>
    <row r="1659" spans="1:12" ht="22.5" x14ac:dyDescent="0.2">
      <c r="A1659" s="168">
        <v>2020</v>
      </c>
      <c r="B1659" s="168">
        <v>12</v>
      </c>
      <c r="C1659" s="168">
        <v>30</v>
      </c>
      <c r="D1659" s="141">
        <f t="shared" si="56"/>
        <v>44195</v>
      </c>
      <c r="E1659" s="275">
        <f t="shared" si="57"/>
        <v>44195</v>
      </c>
      <c r="F1659" s="479" t="s">
        <v>964</v>
      </c>
      <c r="G1659" s="220" t="s">
        <v>74</v>
      </c>
      <c r="H1659" s="220" t="str" cm="1">
        <f t="array" ref="H1659">IFERROR(INDEX(INVESTOR_LIST[INVESTOR NAME],MATCH(I1659,INVESTOR_LIST[INVESTOR CODE],0),)," ")</f>
        <v>FAHMIDA HAQUE</v>
      </c>
      <c r="I1659" s="142" t="s">
        <v>394</v>
      </c>
      <c r="J1659" s="143" t="s">
        <v>52</v>
      </c>
      <c r="K1659" s="226">
        <v>200000</v>
      </c>
      <c r="L1659" s="226"/>
    </row>
    <row r="1660" spans="1:12" ht="22.5" x14ac:dyDescent="0.2">
      <c r="A1660" s="133">
        <v>2020</v>
      </c>
      <c r="B1660" s="133">
        <v>12</v>
      </c>
      <c r="C1660" s="133">
        <v>30</v>
      </c>
      <c r="D1660" s="141">
        <f t="shared" si="56"/>
        <v>44195</v>
      </c>
      <c r="E1660" s="275">
        <f t="shared" si="57"/>
        <v>44195</v>
      </c>
      <c r="F1660" s="481"/>
      <c r="G1660" s="174" t="s">
        <v>74</v>
      </c>
      <c r="H1660" s="174" t="str" cm="1">
        <f t="array" ref="H1660">IFERROR(INDEX(INVESTOR_LIST[INVESTOR NAME],MATCH(I1660,INVESTOR_LIST[INVESTOR CODE],0),)," ")</f>
        <v>FAHMIDA HAQUE</v>
      </c>
      <c r="I1660" s="148" t="s">
        <v>394</v>
      </c>
      <c r="J1660" s="149" t="s">
        <v>13</v>
      </c>
      <c r="K1660" s="218"/>
      <c r="L1660" s="218">
        <v>167790</v>
      </c>
    </row>
    <row r="1661" spans="1:12" ht="22.5" x14ac:dyDescent="0.2">
      <c r="A1661" s="163">
        <v>2020</v>
      </c>
      <c r="B1661" s="163">
        <v>12</v>
      </c>
      <c r="C1661" s="163">
        <v>30</v>
      </c>
      <c r="D1661" s="141">
        <f t="shared" si="56"/>
        <v>44195</v>
      </c>
      <c r="E1661" s="275">
        <f t="shared" si="57"/>
        <v>44195</v>
      </c>
      <c r="F1661" s="480"/>
      <c r="G1661" s="221" t="s">
        <v>74</v>
      </c>
      <c r="H1661" s="221" t="str" cm="1">
        <f t="array" ref="H1661">IFERROR(INDEX(INVESTOR_LIST[INVESTOR NAME],MATCH(I1661,INVESTOR_LIST[INVESTOR CODE],0),)," ")</f>
        <v>FAHMIDA HAQUE</v>
      </c>
      <c r="I1661" s="145" t="s">
        <v>394</v>
      </c>
      <c r="J1661" s="146" t="s">
        <v>53</v>
      </c>
      <c r="K1661" s="219"/>
      <c r="L1661" s="219">
        <v>32210</v>
      </c>
    </row>
    <row r="1662" spans="1:12" ht="33.75" x14ac:dyDescent="0.2">
      <c r="A1662" s="168">
        <v>2020</v>
      </c>
      <c r="B1662" s="168">
        <v>12</v>
      </c>
      <c r="C1662" s="168">
        <v>30</v>
      </c>
      <c r="D1662" s="141">
        <f t="shared" si="56"/>
        <v>44195</v>
      </c>
      <c r="E1662" s="275">
        <f t="shared" si="57"/>
        <v>44195</v>
      </c>
      <c r="F1662" s="479" t="s">
        <v>964</v>
      </c>
      <c r="G1662" s="220" t="s">
        <v>74</v>
      </c>
      <c r="H1662" s="220" t="str" cm="1">
        <f t="array" ref="H1662">IFERROR(INDEX(INVESTOR_LIST[INVESTOR NAME],MATCH(I1662,INVESTOR_LIST[INVESTOR CODE],0),)," ")</f>
        <v>FAKARUDDIN ALI AHMED</v>
      </c>
      <c r="I1662" s="142" t="s">
        <v>458</v>
      </c>
      <c r="J1662" s="143" t="s">
        <v>52</v>
      </c>
      <c r="K1662" s="226">
        <v>200000</v>
      </c>
      <c r="L1662" s="226"/>
    </row>
    <row r="1663" spans="1:12" ht="33.75" x14ac:dyDescent="0.2">
      <c r="A1663" s="133">
        <v>2020</v>
      </c>
      <c r="B1663" s="133">
        <v>12</v>
      </c>
      <c r="C1663" s="133">
        <v>30</v>
      </c>
      <c r="D1663" s="141">
        <f t="shared" si="56"/>
        <v>44195</v>
      </c>
      <c r="E1663" s="275">
        <f t="shared" si="57"/>
        <v>44195</v>
      </c>
      <c r="F1663" s="481"/>
      <c r="G1663" s="174" t="s">
        <v>74</v>
      </c>
      <c r="H1663" s="174" t="str" cm="1">
        <f t="array" ref="H1663">IFERROR(INDEX(INVESTOR_LIST[INVESTOR NAME],MATCH(I1663,INVESTOR_LIST[INVESTOR CODE],0),)," ")</f>
        <v>FAKARUDDIN ALI AHMED</v>
      </c>
      <c r="I1663" s="148" t="s">
        <v>458</v>
      </c>
      <c r="J1663" s="149" t="s">
        <v>13</v>
      </c>
      <c r="K1663" s="218"/>
      <c r="L1663" s="218">
        <v>167790</v>
      </c>
    </row>
    <row r="1664" spans="1:12" ht="33.75" x14ac:dyDescent="0.2">
      <c r="A1664" s="163">
        <v>2020</v>
      </c>
      <c r="B1664" s="163">
        <v>12</v>
      </c>
      <c r="C1664" s="163">
        <v>30</v>
      </c>
      <c r="D1664" s="141">
        <f t="shared" si="56"/>
        <v>44195</v>
      </c>
      <c r="E1664" s="275">
        <f t="shared" si="57"/>
        <v>44195</v>
      </c>
      <c r="F1664" s="480"/>
      <c r="G1664" s="221" t="s">
        <v>74</v>
      </c>
      <c r="H1664" s="221" t="str" cm="1">
        <f t="array" ref="H1664">IFERROR(INDEX(INVESTOR_LIST[INVESTOR NAME],MATCH(I1664,INVESTOR_LIST[INVESTOR CODE],0),)," ")</f>
        <v>FAKARUDDIN ALI AHMED</v>
      </c>
      <c r="I1664" s="145" t="s">
        <v>458</v>
      </c>
      <c r="J1664" s="146" t="s">
        <v>53</v>
      </c>
      <c r="K1664" s="219"/>
      <c r="L1664" s="219">
        <v>32210</v>
      </c>
    </row>
    <row r="1665" spans="1:12" ht="56.25" x14ac:dyDescent="0.2">
      <c r="A1665" s="168">
        <v>2020</v>
      </c>
      <c r="B1665" s="168">
        <v>12</v>
      </c>
      <c r="C1665" s="168">
        <v>30</v>
      </c>
      <c r="D1665" s="141">
        <f t="shared" si="56"/>
        <v>44195</v>
      </c>
      <c r="E1665" s="275">
        <f t="shared" si="57"/>
        <v>44195</v>
      </c>
      <c r="F1665" s="479" t="s">
        <v>964</v>
      </c>
      <c r="G1665" s="220" t="s">
        <v>74</v>
      </c>
      <c r="H1665" s="220" t="str" cm="1">
        <f t="array" ref="H1665">IFERROR(INDEX(INVESTOR_LIST[INVESTOR NAME],MATCH(I1665,INVESTOR_LIST[INVESTOR CODE],0),)," ")</f>
        <v>PHOENIX FINANCE &amp; INVESTMENTS LTD</v>
      </c>
      <c r="I1665" s="142" t="s">
        <v>502</v>
      </c>
      <c r="J1665" s="143" t="s">
        <v>52</v>
      </c>
      <c r="K1665" s="226">
        <v>1000000</v>
      </c>
      <c r="L1665" s="226"/>
    </row>
    <row r="1666" spans="1:12" ht="56.25" x14ac:dyDescent="0.2">
      <c r="A1666" s="133">
        <v>2020</v>
      </c>
      <c r="B1666" s="133">
        <v>12</v>
      </c>
      <c r="C1666" s="133">
        <v>30</v>
      </c>
      <c r="D1666" s="141">
        <f t="shared" si="56"/>
        <v>44195</v>
      </c>
      <c r="E1666" s="275">
        <f t="shared" si="57"/>
        <v>44195</v>
      </c>
      <c r="F1666" s="481"/>
      <c r="G1666" s="174" t="s">
        <v>74</v>
      </c>
      <c r="H1666" s="174" t="str" cm="1">
        <f t="array" ref="H1666">IFERROR(INDEX(INVESTOR_LIST[INVESTOR NAME],MATCH(I1666,INVESTOR_LIST[INVESTOR CODE],0),)," ")</f>
        <v>PHOENIX FINANCE &amp; INVESTMENTS LTD</v>
      </c>
      <c r="I1666" s="148" t="s">
        <v>502</v>
      </c>
      <c r="J1666" s="149" t="s">
        <v>13</v>
      </c>
      <c r="K1666" s="218"/>
      <c r="L1666" s="218">
        <v>838930</v>
      </c>
    </row>
    <row r="1667" spans="1:12" ht="56.25" x14ac:dyDescent="0.2">
      <c r="A1667" s="163">
        <v>2020</v>
      </c>
      <c r="B1667" s="163">
        <v>12</v>
      </c>
      <c r="C1667" s="163">
        <v>30</v>
      </c>
      <c r="D1667" s="141">
        <f t="shared" si="56"/>
        <v>44195</v>
      </c>
      <c r="E1667" s="275">
        <f t="shared" si="57"/>
        <v>44195</v>
      </c>
      <c r="F1667" s="480"/>
      <c r="G1667" s="221" t="s">
        <v>74</v>
      </c>
      <c r="H1667" s="221" t="str" cm="1">
        <f t="array" ref="H1667">IFERROR(INDEX(INVESTOR_LIST[INVESTOR NAME],MATCH(I1667,INVESTOR_LIST[INVESTOR CODE],0),)," ")</f>
        <v>PHOENIX FINANCE &amp; INVESTMENTS LTD</v>
      </c>
      <c r="I1667" s="145" t="s">
        <v>502</v>
      </c>
      <c r="J1667" s="146" t="s">
        <v>53</v>
      </c>
      <c r="K1667" s="219"/>
      <c r="L1667" s="219">
        <v>161070</v>
      </c>
    </row>
    <row r="1668" spans="1:12" ht="33.75" x14ac:dyDescent="0.2">
      <c r="A1668" s="168">
        <v>2020</v>
      </c>
      <c r="B1668" s="168">
        <v>12</v>
      </c>
      <c r="C1668" s="168">
        <v>30</v>
      </c>
      <c r="D1668" s="141">
        <f t="shared" si="56"/>
        <v>44195</v>
      </c>
      <c r="E1668" s="275">
        <f t="shared" si="57"/>
        <v>44195</v>
      </c>
      <c r="F1668" s="479" t="s">
        <v>964</v>
      </c>
      <c r="G1668" s="220" t="s">
        <v>74</v>
      </c>
      <c r="H1668" s="220" t="str" cm="1">
        <f t="array" ref="H1668">IFERROR(INDEX(INVESTOR_LIST[INVESTOR NAME],MATCH(I1668,INVESTOR_LIST[INVESTOR CODE],0),)," ")</f>
        <v>MADHURI KUNDU</v>
      </c>
      <c r="I1668" s="142" t="s">
        <v>503</v>
      </c>
      <c r="J1668" s="143" t="s">
        <v>52</v>
      </c>
      <c r="K1668" s="226">
        <v>500000</v>
      </c>
      <c r="L1668" s="226"/>
    </row>
    <row r="1669" spans="1:12" ht="33.75" x14ac:dyDescent="0.2">
      <c r="A1669" s="133">
        <v>2020</v>
      </c>
      <c r="B1669" s="133">
        <v>12</v>
      </c>
      <c r="C1669" s="133">
        <v>30</v>
      </c>
      <c r="D1669" s="141">
        <f t="shared" si="56"/>
        <v>44195</v>
      </c>
      <c r="E1669" s="275">
        <f t="shared" si="57"/>
        <v>44195</v>
      </c>
      <c r="F1669" s="481"/>
      <c r="G1669" s="174" t="s">
        <v>74</v>
      </c>
      <c r="H1669" s="174" t="str" cm="1">
        <f t="array" ref="H1669">IFERROR(INDEX(INVESTOR_LIST[INVESTOR NAME],MATCH(I1669,INVESTOR_LIST[INVESTOR CODE],0),)," ")</f>
        <v>MADHURI KUNDU</v>
      </c>
      <c r="I1669" s="148" t="s">
        <v>503</v>
      </c>
      <c r="J1669" s="149" t="s">
        <v>13</v>
      </c>
      <c r="K1669" s="218"/>
      <c r="L1669" s="218">
        <v>419460</v>
      </c>
    </row>
    <row r="1670" spans="1:12" ht="33.75" x14ac:dyDescent="0.2">
      <c r="A1670" s="163">
        <v>2020</v>
      </c>
      <c r="B1670" s="163">
        <v>12</v>
      </c>
      <c r="C1670" s="163">
        <v>30</v>
      </c>
      <c r="D1670" s="141">
        <f t="shared" si="56"/>
        <v>44195</v>
      </c>
      <c r="E1670" s="275">
        <f t="shared" si="57"/>
        <v>44195</v>
      </c>
      <c r="F1670" s="480"/>
      <c r="G1670" s="221" t="s">
        <v>74</v>
      </c>
      <c r="H1670" s="221" t="str" cm="1">
        <f t="array" ref="H1670">IFERROR(INDEX(INVESTOR_LIST[INVESTOR NAME],MATCH(I1670,INVESTOR_LIST[INVESTOR CODE],0),)," ")</f>
        <v>MADHURI KUNDU</v>
      </c>
      <c r="I1670" s="145" t="s">
        <v>503</v>
      </c>
      <c r="J1670" s="146" t="s">
        <v>53</v>
      </c>
      <c r="K1670" s="219"/>
      <c r="L1670" s="219">
        <v>80540</v>
      </c>
    </row>
    <row r="1671" spans="1:12" ht="45" x14ac:dyDescent="0.2">
      <c r="A1671" s="168">
        <v>2020</v>
      </c>
      <c r="B1671" s="168">
        <v>12</v>
      </c>
      <c r="C1671" s="168">
        <v>30</v>
      </c>
      <c r="D1671" s="141">
        <f t="shared" si="56"/>
        <v>44195</v>
      </c>
      <c r="E1671" s="275">
        <f t="shared" si="57"/>
        <v>44195</v>
      </c>
      <c r="F1671" s="479" t="s">
        <v>964</v>
      </c>
      <c r="G1671" s="220" t="s">
        <v>74</v>
      </c>
      <c r="H1671" s="220" t="str" cm="1">
        <f t="array" ref="H1671">IFERROR(INDEX(INVESTOR_LIST[INVESTOR NAME],MATCH(I1671,INVESTOR_LIST[INVESTOR CODE],0),)," ")</f>
        <v>MOHAMMAD NAZMUL HOSSAIN</v>
      </c>
      <c r="I1671" s="142" t="s">
        <v>381</v>
      </c>
      <c r="J1671" s="143" t="s">
        <v>52</v>
      </c>
      <c r="K1671" s="226">
        <v>100000</v>
      </c>
      <c r="L1671" s="226"/>
    </row>
    <row r="1672" spans="1:12" ht="45" x14ac:dyDescent="0.2">
      <c r="A1672" s="133">
        <v>2020</v>
      </c>
      <c r="B1672" s="133">
        <v>12</v>
      </c>
      <c r="C1672" s="133">
        <v>30</v>
      </c>
      <c r="D1672" s="141">
        <f t="shared" si="56"/>
        <v>44195</v>
      </c>
      <c r="E1672" s="275">
        <f t="shared" si="57"/>
        <v>44195</v>
      </c>
      <c r="F1672" s="481"/>
      <c r="G1672" s="174" t="s">
        <v>74</v>
      </c>
      <c r="H1672" s="174" t="str" cm="1">
        <f t="array" ref="H1672">IFERROR(INDEX(INVESTOR_LIST[INVESTOR NAME],MATCH(I1672,INVESTOR_LIST[INVESTOR CODE],0),)," ")</f>
        <v>MOHAMMAD NAZMUL HOSSAIN</v>
      </c>
      <c r="I1672" s="148" t="s">
        <v>381</v>
      </c>
      <c r="J1672" s="149" t="s">
        <v>13</v>
      </c>
      <c r="K1672" s="218"/>
      <c r="L1672" s="218">
        <v>83890</v>
      </c>
    </row>
    <row r="1673" spans="1:12" ht="45" x14ac:dyDescent="0.2">
      <c r="A1673" s="163">
        <v>2020</v>
      </c>
      <c r="B1673" s="163">
        <v>12</v>
      </c>
      <c r="C1673" s="163">
        <v>30</v>
      </c>
      <c r="D1673" s="141">
        <f t="shared" si="56"/>
        <v>44195</v>
      </c>
      <c r="E1673" s="275">
        <f t="shared" si="57"/>
        <v>44195</v>
      </c>
      <c r="F1673" s="480"/>
      <c r="G1673" s="221" t="s">
        <v>74</v>
      </c>
      <c r="H1673" s="221" t="str" cm="1">
        <f t="array" ref="H1673">IFERROR(INDEX(INVESTOR_LIST[INVESTOR NAME],MATCH(I1673,INVESTOR_LIST[INVESTOR CODE],0),)," ")</f>
        <v>MOHAMMAD NAZMUL HOSSAIN</v>
      </c>
      <c r="I1673" s="145" t="s">
        <v>381</v>
      </c>
      <c r="J1673" s="146" t="s">
        <v>53</v>
      </c>
      <c r="K1673" s="219"/>
      <c r="L1673" s="219">
        <v>16110</v>
      </c>
    </row>
    <row r="1674" spans="1:12" ht="33.75" x14ac:dyDescent="0.2">
      <c r="A1674" s="168">
        <v>2020</v>
      </c>
      <c r="B1674" s="168">
        <v>12</v>
      </c>
      <c r="C1674" s="168">
        <v>30</v>
      </c>
      <c r="D1674" s="141">
        <f t="shared" si="56"/>
        <v>44195</v>
      </c>
      <c r="E1674" s="275">
        <f t="shared" si="57"/>
        <v>44195</v>
      </c>
      <c r="F1674" s="479" t="s">
        <v>964</v>
      </c>
      <c r="G1674" s="220" t="s">
        <v>74</v>
      </c>
      <c r="H1674" s="220" t="str" cm="1">
        <f t="array" ref="H1674">IFERROR(INDEX(INVESTOR_LIST[INVESTOR NAME],MATCH(I1674,INVESTOR_LIST[INVESTOR CODE],0),)," ")</f>
        <v>BISWAS ARIFUR RAHMAN</v>
      </c>
      <c r="I1674" s="142" t="s">
        <v>375</v>
      </c>
      <c r="J1674" s="143" t="s">
        <v>52</v>
      </c>
      <c r="K1674" s="226">
        <v>200000</v>
      </c>
      <c r="L1674" s="226"/>
    </row>
    <row r="1675" spans="1:12" ht="33.75" x14ac:dyDescent="0.2">
      <c r="A1675" s="133">
        <v>2020</v>
      </c>
      <c r="B1675" s="133">
        <v>12</v>
      </c>
      <c r="C1675" s="133">
        <v>30</v>
      </c>
      <c r="D1675" s="141">
        <f t="shared" si="56"/>
        <v>44195</v>
      </c>
      <c r="E1675" s="275">
        <f t="shared" si="57"/>
        <v>44195</v>
      </c>
      <c r="F1675" s="481"/>
      <c r="G1675" s="174" t="s">
        <v>74</v>
      </c>
      <c r="H1675" s="174" t="str" cm="1">
        <f t="array" ref="H1675">IFERROR(INDEX(INVESTOR_LIST[INVESTOR NAME],MATCH(I1675,INVESTOR_LIST[INVESTOR CODE],0),)," ")</f>
        <v>BISWAS ARIFUR RAHMAN</v>
      </c>
      <c r="I1675" s="148" t="s">
        <v>375</v>
      </c>
      <c r="J1675" s="149" t="s">
        <v>13</v>
      </c>
      <c r="K1675" s="218"/>
      <c r="L1675" s="218">
        <v>167790</v>
      </c>
    </row>
    <row r="1676" spans="1:12" ht="33.75" x14ac:dyDescent="0.2">
      <c r="A1676" s="163">
        <v>2020</v>
      </c>
      <c r="B1676" s="163">
        <v>12</v>
      </c>
      <c r="C1676" s="163">
        <v>30</v>
      </c>
      <c r="D1676" s="141">
        <f t="shared" si="56"/>
        <v>44195</v>
      </c>
      <c r="E1676" s="275">
        <f t="shared" si="57"/>
        <v>44195</v>
      </c>
      <c r="F1676" s="480"/>
      <c r="G1676" s="221" t="s">
        <v>74</v>
      </c>
      <c r="H1676" s="221" t="str" cm="1">
        <f t="array" ref="H1676">IFERROR(INDEX(INVESTOR_LIST[INVESTOR NAME],MATCH(I1676,INVESTOR_LIST[INVESTOR CODE],0),)," ")</f>
        <v>BISWAS ARIFUR RAHMAN</v>
      </c>
      <c r="I1676" s="145" t="s">
        <v>375</v>
      </c>
      <c r="J1676" s="146" t="s">
        <v>53</v>
      </c>
      <c r="K1676" s="219"/>
      <c r="L1676" s="219">
        <v>32210</v>
      </c>
    </row>
    <row r="1677" spans="1:12" x14ac:dyDescent="0.2">
      <c r="A1677" s="168">
        <v>2020</v>
      </c>
      <c r="B1677" s="168">
        <v>12</v>
      </c>
      <c r="C1677" s="168">
        <v>30</v>
      </c>
      <c r="D1677" s="141">
        <f t="shared" ref="D1677:D1740" si="58">DATE(A1677,B1677,C1677)</f>
        <v>44195</v>
      </c>
      <c r="E1677" s="275">
        <f t="shared" si="57"/>
        <v>44195</v>
      </c>
      <c r="F1677" s="494" t="s">
        <v>280</v>
      </c>
      <c r="G1677" s="220" t="s">
        <v>74</v>
      </c>
      <c r="H1677" s="220" t="str" cm="1">
        <f t="array" ref="H1677">IFERROR(INDEX(INVESTOR_LIST[INVESTOR NAME],MATCH(I1677,INVESTOR_LIST[INVESTOR CODE],0),)," ")</f>
        <v xml:space="preserve"> </v>
      </c>
      <c r="I1677" s="142" t="s">
        <v>348</v>
      </c>
      <c r="J1677" s="143" t="s">
        <v>52</v>
      </c>
      <c r="K1677" s="226">
        <v>4931108</v>
      </c>
      <c r="L1677" s="226"/>
    </row>
    <row r="1678" spans="1:12" x14ac:dyDescent="0.2">
      <c r="A1678" s="163">
        <v>2020</v>
      </c>
      <c r="B1678" s="163">
        <v>12</v>
      </c>
      <c r="C1678" s="163">
        <v>30</v>
      </c>
      <c r="D1678" s="141">
        <f t="shared" si="58"/>
        <v>44195</v>
      </c>
      <c r="E1678" s="275">
        <f t="shared" ref="E1678:E1741" si="59">DATE(A1678,B1678,C1678)</f>
        <v>44195</v>
      </c>
      <c r="F1678" s="495"/>
      <c r="G1678" s="221" t="s">
        <v>74</v>
      </c>
      <c r="H1678" s="221" t="str" cm="1">
        <f t="array" ref="H1678">IFERROR(INDEX(INVESTOR_LIST[INVESTOR NAME],MATCH(I1678,INVESTOR_LIST[INVESTOR CODE],0),)," ")</f>
        <v xml:space="preserve"> </v>
      </c>
      <c r="I1678" s="145" t="s">
        <v>348</v>
      </c>
      <c r="J1678" s="146" t="s">
        <v>190</v>
      </c>
      <c r="K1678" s="219"/>
      <c r="L1678" s="219">
        <v>4931108</v>
      </c>
    </row>
    <row r="1679" spans="1:12" x14ac:dyDescent="0.2">
      <c r="A1679" s="168">
        <v>2020</v>
      </c>
      <c r="B1679" s="168">
        <v>12</v>
      </c>
      <c r="C1679" s="168">
        <v>30</v>
      </c>
      <c r="D1679" s="141">
        <f t="shared" si="58"/>
        <v>44195</v>
      </c>
      <c r="E1679" s="275">
        <f t="shared" si="59"/>
        <v>44195</v>
      </c>
      <c r="F1679" s="479" t="s">
        <v>77</v>
      </c>
      <c r="G1679" s="220" t="s">
        <v>74</v>
      </c>
      <c r="H1679" s="220" t="str" cm="1">
        <f t="array" ref="H1679">IFERROR(INDEX(INVESTOR_LIST[INVESTOR NAME],MATCH(I1679,INVESTOR_LIST[INVESTOR CODE],0),)," ")</f>
        <v xml:space="preserve"> </v>
      </c>
      <c r="I1679" s="142" t="s">
        <v>348</v>
      </c>
      <c r="J1679" s="143" t="s">
        <v>61</v>
      </c>
      <c r="K1679" s="226">
        <v>60</v>
      </c>
      <c r="L1679" s="226"/>
    </row>
    <row r="1680" spans="1:12" x14ac:dyDescent="0.2">
      <c r="A1680" s="163">
        <v>2020</v>
      </c>
      <c r="B1680" s="163">
        <v>12</v>
      </c>
      <c r="C1680" s="163">
        <v>30</v>
      </c>
      <c r="D1680" s="141">
        <f t="shared" si="58"/>
        <v>44195</v>
      </c>
      <c r="E1680" s="275">
        <f t="shared" si="59"/>
        <v>44195</v>
      </c>
      <c r="F1680" s="480"/>
      <c r="G1680" s="221" t="s">
        <v>74</v>
      </c>
      <c r="H1680" s="221" t="str" cm="1">
        <f t="array" ref="H1680">IFERROR(INDEX(INVESTOR_LIST[INVESTOR NAME],MATCH(I1680,INVESTOR_LIST[INVESTOR CODE],0),)," ")</f>
        <v xml:space="preserve"> </v>
      </c>
      <c r="I1680" s="145" t="s">
        <v>348</v>
      </c>
      <c r="J1680" s="146" t="s">
        <v>52</v>
      </c>
      <c r="K1680" s="219"/>
      <c r="L1680" s="219">
        <v>60</v>
      </c>
    </row>
    <row r="1681" spans="1:12" x14ac:dyDescent="0.2">
      <c r="A1681" s="168">
        <v>2020</v>
      </c>
      <c r="B1681" s="168">
        <v>12</v>
      </c>
      <c r="C1681" s="168">
        <v>30</v>
      </c>
      <c r="D1681" s="141">
        <f t="shared" si="58"/>
        <v>44195</v>
      </c>
      <c r="E1681" s="275">
        <f t="shared" si="59"/>
        <v>44195</v>
      </c>
      <c r="F1681" s="479" t="s">
        <v>77</v>
      </c>
      <c r="G1681" s="220" t="s">
        <v>74</v>
      </c>
      <c r="H1681" s="220" t="str" cm="1">
        <f t="array" ref="H1681">IFERROR(INDEX(INVESTOR_LIST[INVESTOR NAME],MATCH(I1681,INVESTOR_LIST[INVESTOR CODE],0),)," ")</f>
        <v xml:space="preserve"> </v>
      </c>
      <c r="I1681" s="142" t="s">
        <v>348</v>
      </c>
      <c r="J1681" s="143" t="s">
        <v>61</v>
      </c>
      <c r="K1681" s="226">
        <v>60</v>
      </c>
      <c r="L1681" s="226"/>
    </row>
    <row r="1682" spans="1:12" x14ac:dyDescent="0.2">
      <c r="A1682" s="163">
        <v>2020</v>
      </c>
      <c r="B1682" s="163">
        <v>12</v>
      </c>
      <c r="C1682" s="163">
        <v>30</v>
      </c>
      <c r="D1682" s="141">
        <f t="shared" si="58"/>
        <v>44195</v>
      </c>
      <c r="E1682" s="275">
        <f t="shared" si="59"/>
        <v>44195</v>
      </c>
      <c r="F1682" s="480"/>
      <c r="G1682" s="221" t="s">
        <v>74</v>
      </c>
      <c r="H1682" s="221" t="str" cm="1">
        <f t="array" ref="H1682">IFERROR(INDEX(INVESTOR_LIST[INVESTOR NAME],MATCH(I1682,INVESTOR_LIST[INVESTOR CODE],0),)," ")</f>
        <v xml:space="preserve"> </v>
      </c>
      <c r="I1682" s="145" t="s">
        <v>348</v>
      </c>
      <c r="J1682" s="146" t="s">
        <v>52</v>
      </c>
      <c r="K1682" s="219"/>
      <c r="L1682" s="219">
        <v>60</v>
      </c>
    </row>
    <row r="1683" spans="1:12" x14ac:dyDescent="0.2">
      <c r="A1683" s="168">
        <v>2020</v>
      </c>
      <c r="B1683" s="168">
        <v>12</v>
      </c>
      <c r="C1683" s="168">
        <v>30</v>
      </c>
      <c r="D1683" s="141">
        <f t="shared" si="58"/>
        <v>44195</v>
      </c>
      <c r="E1683" s="275">
        <f t="shared" si="59"/>
        <v>44195</v>
      </c>
      <c r="F1683" s="479" t="s">
        <v>77</v>
      </c>
      <c r="G1683" s="220" t="s">
        <v>74</v>
      </c>
      <c r="H1683" s="220" t="str" cm="1">
        <f t="array" ref="H1683">IFERROR(INDEX(INVESTOR_LIST[INVESTOR NAME],MATCH(I1683,INVESTOR_LIST[INVESTOR CODE],0),)," ")</f>
        <v xml:space="preserve"> </v>
      </c>
      <c r="I1683" s="142" t="s">
        <v>348</v>
      </c>
      <c r="J1683" s="143" t="s">
        <v>61</v>
      </c>
      <c r="K1683" s="226">
        <v>10</v>
      </c>
      <c r="L1683" s="226"/>
    </row>
    <row r="1684" spans="1:12" x14ac:dyDescent="0.2">
      <c r="A1684" s="163">
        <v>2020</v>
      </c>
      <c r="B1684" s="163">
        <v>12</v>
      </c>
      <c r="C1684" s="163">
        <v>30</v>
      </c>
      <c r="D1684" s="141">
        <f t="shared" si="58"/>
        <v>44195</v>
      </c>
      <c r="E1684" s="275">
        <f t="shared" si="59"/>
        <v>44195</v>
      </c>
      <c r="F1684" s="480"/>
      <c r="G1684" s="221" t="s">
        <v>74</v>
      </c>
      <c r="H1684" s="221" t="str" cm="1">
        <f t="array" ref="H1684">IFERROR(INDEX(INVESTOR_LIST[INVESTOR NAME],MATCH(I1684,INVESTOR_LIST[INVESTOR CODE],0),)," ")</f>
        <v xml:space="preserve"> </v>
      </c>
      <c r="I1684" s="145" t="s">
        <v>348</v>
      </c>
      <c r="J1684" s="146" t="s">
        <v>52</v>
      </c>
      <c r="K1684" s="219"/>
      <c r="L1684" s="219">
        <v>10</v>
      </c>
    </row>
    <row r="1685" spans="1:12" x14ac:dyDescent="0.2">
      <c r="A1685" s="168">
        <v>2020</v>
      </c>
      <c r="B1685" s="168">
        <v>12</v>
      </c>
      <c r="C1685" s="168">
        <v>30</v>
      </c>
      <c r="D1685" s="141">
        <f t="shared" si="58"/>
        <v>44195</v>
      </c>
      <c r="E1685" s="275">
        <f t="shared" si="59"/>
        <v>44195</v>
      </c>
      <c r="F1685" s="479" t="s">
        <v>77</v>
      </c>
      <c r="G1685" s="220" t="s">
        <v>74</v>
      </c>
      <c r="H1685" s="220" t="str" cm="1">
        <f t="array" ref="H1685">IFERROR(INDEX(INVESTOR_LIST[INVESTOR NAME],MATCH(I1685,INVESTOR_LIST[INVESTOR CODE],0),)," ")</f>
        <v xml:space="preserve"> </v>
      </c>
      <c r="I1685" s="142" t="s">
        <v>348</v>
      </c>
      <c r="J1685" s="143" t="s">
        <v>61</v>
      </c>
      <c r="K1685" s="226">
        <v>10</v>
      </c>
      <c r="L1685" s="226"/>
    </row>
    <row r="1686" spans="1:12" x14ac:dyDescent="0.2">
      <c r="A1686" s="163">
        <v>2020</v>
      </c>
      <c r="B1686" s="163">
        <v>12</v>
      </c>
      <c r="C1686" s="163">
        <v>30</v>
      </c>
      <c r="D1686" s="141">
        <f t="shared" si="58"/>
        <v>44195</v>
      </c>
      <c r="E1686" s="275">
        <f t="shared" si="59"/>
        <v>44195</v>
      </c>
      <c r="F1686" s="480"/>
      <c r="G1686" s="221" t="s">
        <v>74</v>
      </c>
      <c r="H1686" s="221" t="str" cm="1">
        <f t="array" ref="H1686">IFERROR(INDEX(INVESTOR_LIST[INVESTOR NAME],MATCH(I1686,INVESTOR_LIST[INVESTOR CODE],0),)," ")</f>
        <v xml:space="preserve"> </v>
      </c>
      <c r="I1686" s="145" t="s">
        <v>348</v>
      </c>
      <c r="J1686" s="146" t="s">
        <v>52</v>
      </c>
      <c r="K1686" s="219"/>
      <c r="L1686" s="219">
        <v>10</v>
      </c>
    </row>
    <row r="1687" spans="1:12" x14ac:dyDescent="0.2">
      <c r="A1687" s="133">
        <v>2020</v>
      </c>
      <c r="B1687" s="133">
        <v>12</v>
      </c>
      <c r="C1687" s="133">
        <v>30</v>
      </c>
      <c r="D1687" s="141">
        <f t="shared" si="58"/>
        <v>44195</v>
      </c>
      <c r="E1687" s="275">
        <f t="shared" si="59"/>
        <v>44195</v>
      </c>
      <c r="F1687" s="498" t="s">
        <v>266</v>
      </c>
      <c r="G1687" s="174" t="s">
        <v>94</v>
      </c>
      <c r="H1687" s="174" t="str" cm="1">
        <f t="array" ref="H1687">IFERROR(INDEX(INVESTOR_LIST[INVESTOR NAME],MATCH(I1687,INVESTOR_LIST[INVESTOR CODE],0),)," ")</f>
        <v xml:space="preserve"> </v>
      </c>
      <c r="I1687" s="148" t="s">
        <v>348</v>
      </c>
      <c r="J1687" s="149" t="s">
        <v>79</v>
      </c>
      <c r="K1687" s="218">
        <v>8083357</v>
      </c>
      <c r="L1687" s="218"/>
    </row>
    <row r="1688" spans="1:12" x14ac:dyDescent="0.2">
      <c r="A1688" s="133">
        <v>2020</v>
      </c>
      <c r="B1688" s="133">
        <v>12</v>
      </c>
      <c r="C1688" s="133">
        <v>30</v>
      </c>
      <c r="D1688" s="141">
        <f t="shared" si="58"/>
        <v>44195</v>
      </c>
      <c r="E1688" s="275">
        <f t="shared" si="59"/>
        <v>44195</v>
      </c>
      <c r="F1688" s="499"/>
      <c r="G1688" s="174" t="s">
        <v>94</v>
      </c>
      <c r="H1688" s="174" t="str" cm="1">
        <f t="array" ref="H1688">IFERROR(INDEX(INVESTOR_LIST[INVESTOR NAME],MATCH(I1688,INVESTOR_LIST[INVESTOR CODE],0),)," ")</f>
        <v xml:space="preserve"> </v>
      </c>
      <c r="I1688" s="148" t="s">
        <v>348</v>
      </c>
      <c r="J1688" s="149" t="s">
        <v>80</v>
      </c>
      <c r="K1688" s="218">
        <v>14550.04</v>
      </c>
      <c r="L1688" s="218"/>
    </row>
    <row r="1689" spans="1:12" x14ac:dyDescent="0.2">
      <c r="A1689" s="163">
        <v>2020</v>
      </c>
      <c r="B1689" s="163">
        <v>12</v>
      </c>
      <c r="C1689" s="163">
        <v>30</v>
      </c>
      <c r="D1689" s="141">
        <f t="shared" si="58"/>
        <v>44195</v>
      </c>
      <c r="E1689" s="275">
        <f t="shared" si="59"/>
        <v>44195</v>
      </c>
      <c r="F1689" s="500"/>
      <c r="G1689" s="221" t="s">
        <v>94</v>
      </c>
      <c r="H1689" s="221" t="str" cm="1">
        <f t="array" ref="H1689">IFERROR(INDEX(INVESTOR_LIST[INVESTOR NAME],MATCH(I1689,INVESTOR_LIST[INVESTOR CODE],0),)," ")</f>
        <v xml:space="preserve"> </v>
      </c>
      <c r="I1689" s="145" t="s">
        <v>348</v>
      </c>
      <c r="J1689" s="146" t="s">
        <v>147</v>
      </c>
      <c r="K1689" s="219"/>
      <c r="L1689" s="219">
        <v>8097907.04</v>
      </c>
    </row>
    <row r="1690" spans="1:12" x14ac:dyDescent="0.2">
      <c r="A1690" s="168">
        <v>2020</v>
      </c>
      <c r="B1690" s="168">
        <v>12</v>
      </c>
      <c r="C1690" s="168">
        <v>30</v>
      </c>
      <c r="D1690" s="141">
        <f t="shared" si="58"/>
        <v>44195</v>
      </c>
      <c r="E1690" s="275">
        <f t="shared" si="59"/>
        <v>44195</v>
      </c>
      <c r="F1690" s="479" t="s">
        <v>77</v>
      </c>
      <c r="G1690" s="220" t="s">
        <v>74</v>
      </c>
      <c r="H1690" s="220" t="str" cm="1">
        <f t="array" ref="H1690">IFERROR(INDEX(INVESTOR_LIST[INVESTOR NAME],MATCH(I1690,INVESTOR_LIST[INVESTOR CODE],0),)," ")</f>
        <v xml:space="preserve"> </v>
      </c>
      <c r="I1690" s="142" t="s">
        <v>348</v>
      </c>
      <c r="J1690" s="143" t="s">
        <v>61</v>
      </c>
      <c r="K1690" s="226">
        <v>40575</v>
      </c>
      <c r="L1690" s="226"/>
    </row>
    <row r="1691" spans="1:12" x14ac:dyDescent="0.2">
      <c r="A1691" s="163">
        <v>2020</v>
      </c>
      <c r="B1691" s="163">
        <v>12</v>
      </c>
      <c r="C1691" s="163">
        <v>30</v>
      </c>
      <c r="D1691" s="141">
        <f t="shared" si="58"/>
        <v>44195</v>
      </c>
      <c r="E1691" s="275">
        <f t="shared" si="59"/>
        <v>44195</v>
      </c>
      <c r="F1691" s="480"/>
      <c r="G1691" s="221" t="s">
        <v>74</v>
      </c>
      <c r="H1691" s="221" t="str" cm="1">
        <f t="array" ref="H1691">IFERROR(INDEX(INVESTOR_LIST[INVESTOR NAME],MATCH(I1691,INVESTOR_LIST[INVESTOR CODE],0),)," ")</f>
        <v xml:space="preserve"> </v>
      </c>
      <c r="I1691" s="145" t="s">
        <v>348</v>
      </c>
      <c r="J1691" s="146" t="s">
        <v>52</v>
      </c>
      <c r="K1691" s="219"/>
      <c r="L1691" s="219">
        <v>40575</v>
      </c>
    </row>
    <row r="1692" spans="1:12" x14ac:dyDescent="0.2">
      <c r="A1692" s="168">
        <v>2020</v>
      </c>
      <c r="B1692" s="168">
        <v>12</v>
      </c>
      <c r="C1692" s="168">
        <v>30</v>
      </c>
      <c r="D1692" s="141">
        <f t="shared" si="58"/>
        <v>44195</v>
      </c>
      <c r="E1692" s="275">
        <f t="shared" si="59"/>
        <v>44195</v>
      </c>
      <c r="F1692" s="479" t="s">
        <v>77</v>
      </c>
      <c r="G1692" s="220" t="s">
        <v>74</v>
      </c>
      <c r="H1692" s="220" t="str" cm="1">
        <f t="array" ref="H1692">IFERROR(INDEX(INVESTOR_LIST[INVESTOR NAME],MATCH(I1692,INVESTOR_LIST[INVESTOR CODE],0),)," ")</f>
        <v xml:space="preserve"> </v>
      </c>
      <c r="I1692" s="142" t="s">
        <v>348</v>
      </c>
      <c r="J1692" s="143" t="s">
        <v>61</v>
      </c>
      <c r="K1692" s="226">
        <v>15345</v>
      </c>
      <c r="L1692" s="226"/>
    </row>
    <row r="1693" spans="1:12" x14ac:dyDescent="0.2">
      <c r="A1693" s="163">
        <v>2020</v>
      </c>
      <c r="B1693" s="163">
        <v>12</v>
      </c>
      <c r="C1693" s="163">
        <v>30</v>
      </c>
      <c r="D1693" s="141">
        <f t="shared" si="58"/>
        <v>44195</v>
      </c>
      <c r="E1693" s="275">
        <f t="shared" si="59"/>
        <v>44195</v>
      </c>
      <c r="F1693" s="480"/>
      <c r="G1693" s="221" t="s">
        <v>74</v>
      </c>
      <c r="H1693" s="221" t="str" cm="1">
        <f t="array" ref="H1693">IFERROR(INDEX(INVESTOR_LIST[INVESTOR NAME],MATCH(I1693,INVESTOR_LIST[INVESTOR CODE],0),)," ")</f>
        <v xml:space="preserve"> </v>
      </c>
      <c r="I1693" s="145" t="s">
        <v>348</v>
      </c>
      <c r="J1693" s="146" t="s">
        <v>52</v>
      </c>
      <c r="K1693" s="219"/>
      <c r="L1693" s="219">
        <v>15345</v>
      </c>
    </row>
    <row r="1694" spans="1:12" x14ac:dyDescent="0.2">
      <c r="A1694" s="168">
        <v>2020</v>
      </c>
      <c r="B1694" s="168">
        <v>12</v>
      </c>
      <c r="C1694" s="168">
        <v>31</v>
      </c>
      <c r="D1694" s="141">
        <f t="shared" si="58"/>
        <v>44196</v>
      </c>
      <c r="E1694" s="275">
        <f t="shared" si="59"/>
        <v>44196</v>
      </c>
      <c r="F1694" s="479" t="s">
        <v>281</v>
      </c>
      <c r="G1694" s="220" t="s">
        <v>74</v>
      </c>
      <c r="H1694" s="220" t="str" cm="1">
        <f t="array" ref="H1694">IFERROR(INDEX(INVESTOR_LIST[INVESTOR NAME],MATCH(I1694,INVESTOR_LIST[INVESTOR CODE],0),)," ")</f>
        <v xml:space="preserve"> </v>
      </c>
      <c r="I1694" s="142" t="s">
        <v>348</v>
      </c>
      <c r="J1694" s="143" t="s">
        <v>52</v>
      </c>
      <c r="K1694" s="226">
        <v>164334</v>
      </c>
      <c r="L1694" s="226"/>
    </row>
    <row r="1695" spans="1:12" x14ac:dyDescent="0.2">
      <c r="A1695" s="163">
        <v>2020</v>
      </c>
      <c r="B1695" s="163">
        <v>12</v>
      </c>
      <c r="C1695" s="163">
        <v>31</v>
      </c>
      <c r="D1695" s="141">
        <f t="shared" si="58"/>
        <v>44196</v>
      </c>
      <c r="E1695" s="275">
        <f t="shared" si="59"/>
        <v>44196</v>
      </c>
      <c r="F1695" s="480"/>
      <c r="G1695" s="221" t="s">
        <v>74</v>
      </c>
      <c r="H1695" s="221" t="str" cm="1">
        <f t="array" ref="H1695">IFERROR(INDEX(INVESTOR_LIST[INVESTOR NAME],MATCH(I1695,INVESTOR_LIST[INVESTOR CODE],0),)," ")</f>
        <v xml:space="preserve"> </v>
      </c>
      <c r="I1695" s="145" t="s">
        <v>348</v>
      </c>
      <c r="J1695" s="146" t="s">
        <v>60</v>
      </c>
      <c r="K1695" s="219"/>
      <c r="L1695" s="219">
        <v>164334</v>
      </c>
    </row>
    <row r="1696" spans="1:12" x14ac:dyDescent="0.2">
      <c r="A1696" s="133">
        <v>2020</v>
      </c>
      <c r="B1696" s="133">
        <v>12</v>
      </c>
      <c r="C1696" s="133">
        <v>31</v>
      </c>
      <c r="D1696" s="141">
        <f t="shared" si="58"/>
        <v>44196</v>
      </c>
      <c r="E1696" s="275">
        <f t="shared" si="59"/>
        <v>44196</v>
      </c>
      <c r="F1696" s="481" t="s">
        <v>281</v>
      </c>
      <c r="G1696" s="174" t="s">
        <v>74</v>
      </c>
      <c r="H1696" s="174" t="str" cm="1">
        <f t="array" ref="H1696">IFERROR(INDEX(INVESTOR_LIST[INVESTOR NAME],MATCH(I1696,INVESTOR_LIST[INVESTOR CODE],0),)," ")</f>
        <v xml:space="preserve"> </v>
      </c>
      <c r="I1696" s="148" t="s">
        <v>348</v>
      </c>
      <c r="J1696" s="149" t="s">
        <v>52</v>
      </c>
      <c r="K1696" s="218">
        <v>74309</v>
      </c>
      <c r="L1696" s="218"/>
    </row>
    <row r="1697" spans="1:17" x14ac:dyDescent="0.2">
      <c r="A1697" s="133">
        <v>2020</v>
      </c>
      <c r="B1697" s="133">
        <v>12</v>
      </c>
      <c r="C1697" s="133">
        <v>31</v>
      </c>
      <c r="D1697" s="141">
        <f t="shared" si="58"/>
        <v>44196</v>
      </c>
      <c r="E1697" s="275">
        <f t="shared" si="59"/>
        <v>44196</v>
      </c>
      <c r="F1697" s="481"/>
      <c r="G1697" s="174" t="s">
        <v>74</v>
      </c>
      <c r="H1697" s="174" t="str" cm="1">
        <f t="array" ref="H1697">IFERROR(INDEX(INVESTOR_LIST[INVESTOR NAME],MATCH(I1697,INVESTOR_LIST[INVESTOR CODE],0),)," ")</f>
        <v xml:space="preserve"> </v>
      </c>
      <c r="I1697" s="148" t="s">
        <v>348</v>
      </c>
      <c r="J1697" s="149" t="s">
        <v>60</v>
      </c>
      <c r="K1697" s="218"/>
      <c r="L1697" s="218">
        <v>74309</v>
      </c>
    </row>
    <row r="1698" spans="1:17" x14ac:dyDescent="0.2">
      <c r="A1698" s="168">
        <v>2020</v>
      </c>
      <c r="B1698" s="168">
        <v>12</v>
      </c>
      <c r="C1698" s="168">
        <v>31</v>
      </c>
      <c r="D1698" s="141">
        <f t="shared" si="58"/>
        <v>44196</v>
      </c>
      <c r="E1698" s="275">
        <f t="shared" si="59"/>
        <v>44196</v>
      </c>
      <c r="F1698" s="479" t="s">
        <v>77</v>
      </c>
      <c r="G1698" s="220" t="s">
        <v>74</v>
      </c>
      <c r="H1698" s="220" t="str" cm="1">
        <f t="array" ref="H1698">IFERROR(INDEX(INVESTOR_LIST[INVESTOR NAME],MATCH(I1698,INVESTOR_LIST[INVESTOR CODE],0),)," ")</f>
        <v xml:space="preserve"> </v>
      </c>
      <c r="I1698" s="142" t="s">
        <v>348</v>
      </c>
      <c r="J1698" s="143" t="s">
        <v>61</v>
      </c>
      <c r="K1698" s="226">
        <v>115</v>
      </c>
      <c r="L1698" s="226"/>
    </row>
    <row r="1699" spans="1:17" x14ac:dyDescent="0.2">
      <c r="A1699" s="163">
        <v>2020</v>
      </c>
      <c r="B1699" s="163">
        <v>12</v>
      </c>
      <c r="C1699" s="163">
        <v>31</v>
      </c>
      <c r="D1699" s="141">
        <f t="shared" si="58"/>
        <v>44196</v>
      </c>
      <c r="E1699" s="275">
        <f t="shared" si="59"/>
        <v>44196</v>
      </c>
      <c r="F1699" s="480"/>
      <c r="G1699" s="221" t="s">
        <v>74</v>
      </c>
      <c r="H1699" s="221" t="str" cm="1">
        <f t="array" ref="H1699">IFERROR(INDEX(INVESTOR_LIST[INVESTOR NAME],MATCH(I1699,INVESTOR_LIST[INVESTOR CODE],0),)," ")</f>
        <v xml:space="preserve"> </v>
      </c>
      <c r="I1699" s="145" t="s">
        <v>348</v>
      </c>
      <c r="J1699" s="146" t="s">
        <v>52</v>
      </c>
      <c r="K1699" s="219"/>
      <c r="L1699" s="219">
        <v>115</v>
      </c>
    </row>
    <row r="1700" spans="1:17" x14ac:dyDescent="0.2">
      <c r="A1700" s="133">
        <v>2020</v>
      </c>
      <c r="B1700" s="133">
        <v>12</v>
      </c>
      <c r="C1700" s="133">
        <v>31</v>
      </c>
      <c r="D1700" s="141">
        <f t="shared" si="58"/>
        <v>44196</v>
      </c>
      <c r="E1700" s="275">
        <f t="shared" si="59"/>
        <v>44196</v>
      </c>
      <c r="F1700" s="481" t="s">
        <v>340</v>
      </c>
      <c r="G1700" s="174" t="s">
        <v>74</v>
      </c>
      <c r="H1700" s="174" t="str" cm="1">
        <f t="array" ref="H1700">IFERROR(INDEX(INVESTOR_LIST[INVESTOR NAME],MATCH(I1700,INVESTOR_LIST[INVESTOR CODE],0),)," ")</f>
        <v xml:space="preserve"> </v>
      </c>
      <c r="I1700" s="148" t="s">
        <v>348</v>
      </c>
      <c r="J1700" s="149" t="s">
        <v>52</v>
      </c>
      <c r="K1700" s="218">
        <v>66.06</v>
      </c>
      <c r="L1700" s="218"/>
    </row>
    <row r="1701" spans="1:17" x14ac:dyDescent="0.2">
      <c r="A1701" s="133">
        <v>2020</v>
      </c>
      <c r="B1701" s="133">
        <v>12</v>
      </c>
      <c r="C1701" s="133">
        <v>31</v>
      </c>
      <c r="D1701" s="141">
        <f t="shared" si="58"/>
        <v>44196</v>
      </c>
      <c r="E1701" s="275">
        <f t="shared" si="59"/>
        <v>44196</v>
      </c>
      <c r="F1701" s="481"/>
      <c r="G1701" s="174" t="s">
        <v>74</v>
      </c>
      <c r="H1701" s="174" t="str" cm="1">
        <f t="array" ref="H1701">IFERROR(INDEX(INVESTOR_LIST[INVESTOR NAME],MATCH(I1701,INVESTOR_LIST[INVESTOR CODE],0),)," ")</f>
        <v xml:space="preserve"> </v>
      </c>
      <c r="I1701" s="148" t="s">
        <v>348</v>
      </c>
      <c r="J1701" s="149" t="s">
        <v>60</v>
      </c>
      <c r="K1701" s="218"/>
      <c r="L1701" s="218">
        <v>66.06</v>
      </c>
    </row>
    <row r="1702" spans="1:17" x14ac:dyDescent="0.2">
      <c r="A1702" s="238">
        <v>2020</v>
      </c>
      <c r="B1702" s="238">
        <v>12</v>
      </c>
      <c r="C1702" s="238">
        <v>31</v>
      </c>
      <c r="D1702" s="141">
        <f t="shared" si="58"/>
        <v>44196</v>
      </c>
      <c r="E1702" s="275">
        <f t="shared" si="59"/>
        <v>44196</v>
      </c>
      <c r="F1702" s="477" t="s">
        <v>105</v>
      </c>
      <c r="G1702" s="239" t="s">
        <v>94</v>
      </c>
      <c r="H1702" s="239" t="str" cm="1">
        <f t="array" ref="H1702">IFERROR(INDEX(INVESTOR_LIST[INVESTOR NAME],MATCH(I1702,INVESTOR_LIST[INVESTOR CODE],0),)," ")</f>
        <v xml:space="preserve"> </v>
      </c>
      <c r="I1702" s="262" t="s">
        <v>348</v>
      </c>
      <c r="J1702" s="240" t="s">
        <v>108</v>
      </c>
      <c r="K1702" s="241">
        <v>7117500.6584415287</v>
      </c>
      <c r="L1702" s="241"/>
    </row>
    <row r="1703" spans="1:17" x14ac:dyDescent="0.2">
      <c r="A1703" s="242">
        <v>2020</v>
      </c>
      <c r="B1703" s="242">
        <v>12</v>
      </c>
      <c r="C1703" s="242">
        <v>31</v>
      </c>
      <c r="D1703" s="141">
        <f t="shared" si="58"/>
        <v>44196</v>
      </c>
      <c r="E1703" s="275">
        <f t="shared" si="59"/>
        <v>44196</v>
      </c>
      <c r="F1703" s="478"/>
      <c r="G1703" s="243" t="s">
        <v>94</v>
      </c>
      <c r="H1703" s="243" t="str" cm="1">
        <f t="array" ref="H1703">IFERROR(INDEX(INVESTOR_LIST[INVESTOR NAME],MATCH(I1703,INVESTOR_LIST[INVESTOR CODE],0),)," ")</f>
        <v xml:space="preserve"> </v>
      </c>
      <c r="I1703" s="263" t="s">
        <v>348</v>
      </c>
      <c r="J1703" s="244" t="s">
        <v>82</v>
      </c>
      <c r="K1703" s="245"/>
      <c r="L1703" s="245">
        <v>7117500.6584415287</v>
      </c>
    </row>
    <row r="1704" spans="1:17" ht="22.5" x14ac:dyDescent="0.2">
      <c r="A1704" s="246">
        <v>2020</v>
      </c>
      <c r="B1704" s="246">
        <v>12</v>
      </c>
      <c r="C1704" s="246">
        <v>31</v>
      </c>
      <c r="D1704" s="141">
        <f t="shared" si="58"/>
        <v>44196</v>
      </c>
      <c r="E1704" s="275">
        <f t="shared" si="59"/>
        <v>44196</v>
      </c>
      <c r="F1704" s="482" t="s">
        <v>148</v>
      </c>
      <c r="G1704" s="247" t="s">
        <v>94</v>
      </c>
      <c r="H1704" s="247" t="str" cm="1">
        <f t="array" ref="H1704">IFERROR(INDEX(INVESTOR_LIST[INVESTOR NAME],MATCH(I1704,INVESTOR_LIST[INVESTOR CODE],0),)," ")</f>
        <v xml:space="preserve"> </v>
      </c>
      <c r="I1704" s="248" t="s">
        <v>348</v>
      </c>
      <c r="J1704" s="249" t="s">
        <v>95</v>
      </c>
      <c r="K1704" s="252">
        <v>2747.2527472527472</v>
      </c>
      <c r="L1704" s="252"/>
    </row>
    <row r="1705" spans="1:17" x14ac:dyDescent="0.2">
      <c r="A1705" s="242">
        <v>2020</v>
      </c>
      <c r="B1705" s="242">
        <v>12</v>
      </c>
      <c r="C1705" s="242">
        <v>31</v>
      </c>
      <c r="D1705" s="141">
        <f t="shared" si="58"/>
        <v>44196</v>
      </c>
      <c r="E1705" s="275">
        <f t="shared" si="59"/>
        <v>44196</v>
      </c>
      <c r="F1705" s="478"/>
      <c r="G1705" s="243" t="s">
        <v>94</v>
      </c>
      <c r="H1705" s="243" t="str" cm="1">
        <f t="array" ref="H1705">IFERROR(INDEX(INVESTOR_LIST[INVESTOR NAME],MATCH(I1705,INVESTOR_LIST[INVESTOR CODE],0),)," ")</f>
        <v xml:space="preserve"> </v>
      </c>
      <c r="I1705" s="263" t="s">
        <v>348</v>
      </c>
      <c r="J1705" s="244" t="s">
        <v>63</v>
      </c>
      <c r="K1705" s="245"/>
      <c r="L1705" s="245">
        <v>2747.2527472527472</v>
      </c>
    </row>
    <row r="1706" spans="1:17" x14ac:dyDescent="0.2">
      <c r="A1706" s="246">
        <v>2020</v>
      </c>
      <c r="B1706" s="246">
        <v>12</v>
      </c>
      <c r="C1706" s="246">
        <v>31</v>
      </c>
      <c r="D1706" s="141">
        <f t="shared" si="58"/>
        <v>44196</v>
      </c>
      <c r="E1706" s="275">
        <f t="shared" si="59"/>
        <v>44196</v>
      </c>
      <c r="F1706" s="482" t="s">
        <v>137</v>
      </c>
      <c r="G1706" s="247" t="s">
        <v>94</v>
      </c>
      <c r="H1706" s="247" t="str" cm="1">
        <f t="array" ref="H1706">IFERROR(INDEX(INVESTOR_LIST[INVESTOR NAME],MATCH(I1706,INVESTOR_LIST[INVESTOR CODE],0),)," ")</f>
        <v xml:space="preserve"> </v>
      </c>
      <c r="I1706" s="248" t="s">
        <v>348</v>
      </c>
      <c r="J1706" s="249" t="s">
        <v>97</v>
      </c>
      <c r="K1706" s="252">
        <v>71750.955942544184</v>
      </c>
      <c r="L1706" s="252"/>
    </row>
    <row r="1707" spans="1:17" x14ac:dyDescent="0.2">
      <c r="A1707" s="242">
        <v>2020</v>
      </c>
      <c r="B1707" s="242">
        <v>12</v>
      </c>
      <c r="C1707" s="242">
        <v>31</v>
      </c>
      <c r="D1707" s="141">
        <f t="shared" si="58"/>
        <v>44196</v>
      </c>
      <c r="E1707" s="275">
        <f t="shared" si="59"/>
        <v>44196</v>
      </c>
      <c r="F1707" s="478"/>
      <c r="G1707" s="243" t="s">
        <v>94</v>
      </c>
      <c r="H1707" s="243" t="str" cm="1">
        <f t="array" ref="H1707">IFERROR(INDEX(INVESTOR_LIST[INVESTOR NAME],MATCH(I1707,INVESTOR_LIST[INVESTOR CODE],0),)," ")</f>
        <v xml:space="preserve"> </v>
      </c>
      <c r="I1707" s="263" t="s">
        <v>348</v>
      </c>
      <c r="J1707" s="244" t="s">
        <v>47</v>
      </c>
      <c r="K1707" s="245"/>
      <c r="L1707" s="245">
        <v>71750.955942544184</v>
      </c>
    </row>
    <row r="1708" spans="1:17" x14ac:dyDescent="0.2">
      <c r="A1708" s="246">
        <v>2020</v>
      </c>
      <c r="B1708" s="246">
        <v>12</v>
      </c>
      <c r="C1708" s="246">
        <v>31</v>
      </c>
      <c r="D1708" s="141">
        <f t="shared" si="58"/>
        <v>44196</v>
      </c>
      <c r="E1708" s="275">
        <f t="shared" si="59"/>
        <v>44196</v>
      </c>
      <c r="F1708" s="482" t="s">
        <v>138</v>
      </c>
      <c r="G1708" s="247" t="s">
        <v>94</v>
      </c>
      <c r="H1708" s="247" t="str" cm="1">
        <f t="array" ref="H1708">IFERROR(INDEX(INVESTOR_LIST[INVESTOR NAME],MATCH(I1708,INVESTOR_LIST[INVESTOR CODE],0),)," ")</f>
        <v xml:space="preserve"> </v>
      </c>
      <c r="I1708" s="248" t="s">
        <v>348</v>
      </c>
      <c r="J1708" s="249" t="s">
        <v>100</v>
      </c>
      <c r="K1708" s="252">
        <v>3347.1631817425941</v>
      </c>
      <c r="L1708" s="252"/>
    </row>
    <row r="1709" spans="1:17" x14ac:dyDescent="0.2">
      <c r="A1709" s="242">
        <v>2020</v>
      </c>
      <c r="B1709" s="242">
        <v>12</v>
      </c>
      <c r="C1709" s="242">
        <v>31</v>
      </c>
      <c r="D1709" s="141">
        <f t="shared" si="58"/>
        <v>44196</v>
      </c>
      <c r="E1709" s="275">
        <f t="shared" si="59"/>
        <v>44196</v>
      </c>
      <c r="F1709" s="478"/>
      <c r="G1709" s="243" t="s">
        <v>94</v>
      </c>
      <c r="H1709" s="243" t="str" cm="1">
        <f t="array" ref="H1709">IFERROR(INDEX(INVESTOR_LIST[INVESTOR NAME],MATCH(I1709,INVESTOR_LIST[INVESTOR CODE],0),)," ")</f>
        <v xml:space="preserve"> </v>
      </c>
      <c r="I1709" s="263" t="s">
        <v>348</v>
      </c>
      <c r="J1709" s="244" t="s">
        <v>48</v>
      </c>
      <c r="K1709" s="245"/>
      <c r="L1709" s="245">
        <v>3347.1631817425941</v>
      </c>
    </row>
    <row r="1710" spans="1:17" x14ac:dyDescent="0.2">
      <c r="A1710" s="133">
        <v>2020</v>
      </c>
      <c r="B1710" s="133">
        <v>12</v>
      </c>
      <c r="C1710" s="133">
        <v>31</v>
      </c>
      <c r="D1710" s="141">
        <f t="shared" si="58"/>
        <v>44196</v>
      </c>
      <c r="E1710" s="275">
        <f t="shared" si="59"/>
        <v>44196</v>
      </c>
      <c r="F1710" s="479" t="s">
        <v>356</v>
      </c>
      <c r="G1710" s="174" t="s">
        <v>94</v>
      </c>
      <c r="H1710" s="174" t="str" cm="1">
        <f t="array" ref="H1710">IFERROR(INDEX(INVESTOR_LIST[INVESTOR NAME],MATCH(I1710,INVESTOR_LIST[INVESTOR CODE],0),)," ")</f>
        <v xml:space="preserve"> </v>
      </c>
      <c r="I1710" s="148" t="s">
        <v>348</v>
      </c>
      <c r="J1710" s="149" t="s">
        <v>359</v>
      </c>
      <c r="K1710" s="218">
        <v>150000</v>
      </c>
      <c r="L1710" s="218"/>
      <c r="Q1710" s="133" t="s">
        <v>348</v>
      </c>
    </row>
    <row r="1711" spans="1:17" x14ac:dyDescent="0.2">
      <c r="A1711" s="163">
        <v>2020</v>
      </c>
      <c r="B1711" s="163">
        <v>12</v>
      </c>
      <c r="C1711" s="163">
        <v>31</v>
      </c>
      <c r="D1711" s="141">
        <f t="shared" si="58"/>
        <v>44196</v>
      </c>
      <c r="E1711" s="275">
        <f t="shared" si="59"/>
        <v>44196</v>
      </c>
      <c r="F1711" s="480"/>
      <c r="G1711" s="221" t="s">
        <v>94</v>
      </c>
      <c r="H1711" s="221" t="str" cm="1">
        <f t="array" ref="H1711">IFERROR(INDEX(INVESTOR_LIST[INVESTOR NAME],MATCH(I1711,INVESTOR_LIST[INVESTOR CODE],0),)," ")</f>
        <v xml:space="preserve"> </v>
      </c>
      <c r="I1711" s="145" t="s">
        <v>348</v>
      </c>
      <c r="J1711" s="146" t="s">
        <v>353</v>
      </c>
      <c r="K1711" s="219"/>
      <c r="L1711" s="219">
        <v>150000</v>
      </c>
      <c r="Q1711" s="133" t="s">
        <v>348</v>
      </c>
    </row>
    <row r="1712" spans="1:17" x14ac:dyDescent="0.2">
      <c r="A1712" s="133">
        <v>2021</v>
      </c>
      <c r="B1712" s="133">
        <v>1</v>
      </c>
      <c r="C1712" s="133">
        <v>1</v>
      </c>
      <c r="D1712" s="141">
        <f t="shared" si="58"/>
        <v>44197</v>
      </c>
      <c r="E1712" s="275">
        <f t="shared" si="59"/>
        <v>44197</v>
      </c>
      <c r="F1712" s="479" t="s">
        <v>540</v>
      </c>
      <c r="G1712" s="174" t="s">
        <v>94</v>
      </c>
      <c r="H1712" s="174" t="str" cm="1">
        <f t="array" ref="H1712">IFERROR(INDEX(INVESTOR_LIST[INVESTOR NAME],MATCH(I1712,INVESTOR_LIST[INVESTOR CODE],0),)," ")</f>
        <v xml:space="preserve"> </v>
      </c>
      <c r="I1712" s="148" t="s">
        <v>348</v>
      </c>
      <c r="J1712" s="149" t="s">
        <v>359</v>
      </c>
      <c r="K1712" s="218">
        <v>10988217.280000003</v>
      </c>
      <c r="L1712" s="218"/>
      <c r="Q1712" s="133" t="s">
        <v>348</v>
      </c>
    </row>
    <row r="1713" spans="1:17" x14ac:dyDescent="0.2">
      <c r="A1713" s="163">
        <v>2021</v>
      </c>
      <c r="B1713" s="163">
        <v>1</v>
      </c>
      <c r="C1713" s="163">
        <v>1</v>
      </c>
      <c r="D1713" s="141">
        <f t="shared" si="58"/>
        <v>44197</v>
      </c>
      <c r="E1713" s="275">
        <f t="shared" si="59"/>
        <v>44197</v>
      </c>
      <c r="F1713" s="480"/>
      <c r="G1713" s="221" t="s">
        <v>94</v>
      </c>
      <c r="H1713" s="221" t="str" cm="1">
        <f t="array" ref="H1713">IFERROR(INDEX(INVESTOR_LIST[INVESTOR NAME],MATCH(I1713,INVESTOR_LIST[INVESTOR CODE],0),)," ")</f>
        <v xml:space="preserve"> </v>
      </c>
      <c r="I1713" s="145" t="s">
        <v>348</v>
      </c>
      <c r="J1713" s="146" t="s">
        <v>358</v>
      </c>
      <c r="K1713" s="219"/>
      <c r="L1713" s="219">
        <v>10988217.280000003</v>
      </c>
      <c r="Q1713" s="133" t="s">
        <v>348</v>
      </c>
    </row>
    <row r="1714" spans="1:17" ht="56.25" x14ac:dyDescent="0.2">
      <c r="A1714" s="133">
        <v>2021</v>
      </c>
      <c r="B1714" s="133">
        <v>1</v>
      </c>
      <c r="C1714" s="133">
        <v>1</v>
      </c>
      <c r="D1714" s="141">
        <f t="shared" si="58"/>
        <v>44197</v>
      </c>
      <c r="E1714" s="275">
        <f t="shared" si="59"/>
        <v>44197</v>
      </c>
      <c r="F1714" s="479" t="s">
        <v>966</v>
      </c>
      <c r="G1714" s="174" t="s">
        <v>94</v>
      </c>
      <c r="H1714" s="174" t="str" cm="1">
        <f t="array" ref="H1714">IFERROR(INDEX(INVESTOR_LIST[INVESTOR NAME],MATCH(I1714,INVESTOR_LIST[INVESTOR CODE],0),)," ")</f>
        <v>AROORA SAMEERA CHOWDHURY</v>
      </c>
      <c r="I1714" s="148" t="s">
        <v>413</v>
      </c>
      <c r="J1714" s="149" t="s">
        <v>358</v>
      </c>
      <c r="K1714" s="218">
        <v>850192</v>
      </c>
      <c r="L1714" s="218"/>
    </row>
    <row r="1715" spans="1:17" ht="56.25" x14ac:dyDescent="0.2">
      <c r="A1715" s="133">
        <v>2021</v>
      </c>
      <c r="B1715" s="133">
        <v>1</v>
      </c>
      <c r="C1715" s="133">
        <v>1</v>
      </c>
      <c r="D1715" s="141">
        <f t="shared" si="58"/>
        <v>44197</v>
      </c>
      <c r="E1715" s="275">
        <f t="shared" si="59"/>
        <v>44197</v>
      </c>
      <c r="F1715" s="481"/>
      <c r="G1715" s="174" t="s">
        <v>94</v>
      </c>
      <c r="H1715" s="174" t="str" cm="1">
        <f t="array" ref="H1715">IFERROR(INDEX(INVESTOR_LIST[INVESTOR NAME],MATCH(I1715,INVESTOR_LIST[INVESTOR CODE],0),)," ")</f>
        <v>AROORA SAMEERA CHOWDHURY</v>
      </c>
      <c r="I1715" s="148" t="s">
        <v>413</v>
      </c>
      <c r="J1715" s="149" t="s">
        <v>13</v>
      </c>
      <c r="K1715" s="218"/>
      <c r="L1715" s="172">
        <v>612490</v>
      </c>
      <c r="M1715" s="156">
        <v>61249.005059021918</v>
      </c>
      <c r="N1715" s="160"/>
    </row>
    <row r="1716" spans="1:17" ht="56.25" x14ac:dyDescent="0.2">
      <c r="A1716" s="133">
        <v>2021</v>
      </c>
      <c r="B1716" s="133">
        <v>1</v>
      </c>
      <c r="C1716" s="133">
        <v>1</v>
      </c>
      <c r="D1716" s="141">
        <f t="shared" si="58"/>
        <v>44197</v>
      </c>
      <c r="E1716" s="275">
        <f t="shared" si="59"/>
        <v>44197</v>
      </c>
      <c r="F1716" s="481"/>
      <c r="G1716" s="174" t="s">
        <v>94</v>
      </c>
      <c r="H1716" s="174" t="str" cm="1">
        <f t="array" ref="H1716">IFERROR(INDEX(INVESTOR_LIST[INVESTOR NAME],MATCH(I1716,INVESTOR_LIST[INVESTOR CODE],0),)," ")</f>
        <v>AROORA SAMEERA CHOWDHURY</v>
      </c>
      <c r="I1716" s="148" t="s">
        <v>413</v>
      </c>
      <c r="J1716" s="149" t="s">
        <v>53</v>
      </c>
      <c r="K1716" s="218"/>
      <c r="L1716" s="172">
        <v>113923.2</v>
      </c>
      <c r="N1716" s="160"/>
    </row>
    <row r="1717" spans="1:17" ht="56.25" x14ac:dyDescent="0.2">
      <c r="A1717" s="163">
        <v>2021</v>
      </c>
      <c r="B1717" s="163">
        <v>1</v>
      </c>
      <c r="C1717" s="163">
        <v>1</v>
      </c>
      <c r="D1717" s="141">
        <f t="shared" si="58"/>
        <v>44197</v>
      </c>
      <c r="E1717" s="275">
        <f t="shared" si="59"/>
        <v>44197</v>
      </c>
      <c r="F1717" s="480"/>
      <c r="G1717" s="221" t="s">
        <v>94</v>
      </c>
      <c r="H1717" s="221" t="str" cm="1">
        <f t="array" ref="H1717">IFERROR(INDEX(INVESTOR_LIST[INVESTOR NAME],MATCH(I1717,INVESTOR_LIST[INVESTOR CODE],0),)," ")</f>
        <v>AROORA SAMEERA CHOWDHURY</v>
      </c>
      <c r="I1717" s="145" t="s">
        <v>413</v>
      </c>
      <c r="J1717" s="146" t="s">
        <v>534</v>
      </c>
      <c r="K1717" s="219"/>
      <c r="L1717" s="219">
        <v>123778.79999999999</v>
      </c>
    </row>
    <row r="1718" spans="1:17" ht="11.25" customHeight="1" x14ac:dyDescent="0.2">
      <c r="A1718" s="133">
        <v>2021</v>
      </c>
      <c r="B1718" s="133">
        <v>1</v>
      </c>
      <c r="C1718" s="133">
        <v>1</v>
      </c>
      <c r="D1718" s="141">
        <f t="shared" si="58"/>
        <v>44197</v>
      </c>
      <c r="E1718" s="275">
        <f t="shared" si="59"/>
        <v>44197</v>
      </c>
      <c r="F1718" s="479" t="s">
        <v>966</v>
      </c>
      <c r="G1718" s="174" t="s">
        <v>94</v>
      </c>
      <c r="H1718" s="174" t="str" cm="1">
        <f t="array" ref="H1718">IFERROR(INDEX(INVESTOR_LIST[INVESTOR NAME],MATCH(I1718,INVESTOR_LIST[INVESTOR CODE],0),)," ")</f>
        <v>EKUSH WEALTH MANAGEMENT LIMITED</v>
      </c>
      <c r="I1718" s="148" t="s">
        <v>371</v>
      </c>
      <c r="J1718" s="149" t="s">
        <v>358</v>
      </c>
      <c r="K1718" s="218">
        <v>814288.08000000007</v>
      </c>
      <c r="L1718" s="218"/>
      <c r="N1718" s="172"/>
    </row>
    <row r="1719" spans="1:17" ht="56.25" x14ac:dyDescent="0.2">
      <c r="A1719" s="133">
        <v>2021</v>
      </c>
      <c r="B1719" s="133">
        <v>1</v>
      </c>
      <c r="C1719" s="133">
        <v>1</v>
      </c>
      <c r="D1719" s="141">
        <f t="shared" si="58"/>
        <v>44197</v>
      </c>
      <c r="E1719" s="275">
        <f t="shared" si="59"/>
        <v>44197</v>
      </c>
      <c r="F1719" s="481"/>
      <c r="G1719" s="174" t="s">
        <v>94</v>
      </c>
      <c r="H1719" s="174" t="str" cm="1">
        <f t="array" ref="H1719">IFERROR(INDEX(INVESTOR_LIST[INVESTOR NAME],MATCH(I1719,INVESTOR_LIST[INVESTOR CODE],0),)," ")</f>
        <v>EKUSH WEALTH MANAGEMENT LIMITED</v>
      </c>
      <c r="I1719" s="148" t="s">
        <v>371</v>
      </c>
      <c r="J1719" s="149" t="s">
        <v>13</v>
      </c>
      <c r="K1719" s="218"/>
      <c r="L1719" s="218">
        <v>518510</v>
      </c>
      <c r="M1719" s="156">
        <v>55348.268465430025</v>
      </c>
      <c r="N1719" s="164"/>
    </row>
    <row r="1720" spans="1:17" ht="56.25" x14ac:dyDescent="0.2">
      <c r="A1720" s="133">
        <v>2021</v>
      </c>
      <c r="B1720" s="133">
        <v>1</v>
      </c>
      <c r="C1720" s="133">
        <v>1</v>
      </c>
      <c r="D1720" s="141">
        <f t="shared" si="58"/>
        <v>44197</v>
      </c>
      <c r="E1720" s="275">
        <f t="shared" si="59"/>
        <v>44197</v>
      </c>
      <c r="F1720" s="481"/>
      <c r="G1720" s="174" t="s">
        <v>94</v>
      </c>
      <c r="H1720" s="174" t="str" cm="1">
        <f t="array" ref="H1720">IFERROR(INDEX(INVESTOR_LIST[INVESTOR NAME],MATCH(I1720,INVESTOR_LIST[INVESTOR CODE],0),)," ")</f>
        <v>EKUSH WEALTH MANAGEMENT LIMITED</v>
      </c>
      <c r="I1720" s="148" t="s">
        <v>371</v>
      </c>
      <c r="J1720" s="149" t="s">
        <v>53</v>
      </c>
      <c r="K1720" s="218"/>
      <c r="L1720" s="172">
        <v>137920.46400000004</v>
      </c>
      <c r="N1720" s="160"/>
    </row>
    <row r="1721" spans="1:17" ht="56.25" x14ac:dyDescent="0.2">
      <c r="A1721" s="163">
        <v>2021</v>
      </c>
      <c r="B1721" s="163">
        <v>1</v>
      </c>
      <c r="C1721" s="163">
        <v>1</v>
      </c>
      <c r="D1721" s="141">
        <f t="shared" si="58"/>
        <v>44197</v>
      </c>
      <c r="E1721" s="275">
        <f t="shared" si="59"/>
        <v>44197</v>
      </c>
      <c r="F1721" s="480"/>
      <c r="G1721" s="221" t="s">
        <v>94</v>
      </c>
      <c r="H1721" s="221" t="str" cm="1">
        <f t="array" ref="H1721">IFERROR(INDEX(INVESTOR_LIST[INVESTOR NAME],MATCH(I1721,INVESTOR_LIST[INVESTOR CODE],0),)," ")</f>
        <v>EKUSH WEALTH MANAGEMENT LIMITED</v>
      </c>
      <c r="I1721" s="145" t="s">
        <v>371</v>
      </c>
      <c r="J1721" s="146" t="s">
        <v>534</v>
      </c>
      <c r="K1721" s="219"/>
      <c r="L1721" s="219">
        <v>157857.61600000004</v>
      </c>
      <c r="M1721" s="160"/>
      <c r="N1721" s="160"/>
      <c r="O1721" s="160"/>
      <c r="P1721" s="156"/>
    </row>
    <row r="1722" spans="1:17" ht="11.25" customHeight="1" x14ac:dyDescent="0.2">
      <c r="A1722" s="133">
        <v>2021</v>
      </c>
      <c r="B1722" s="133">
        <v>1</v>
      </c>
      <c r="C1722" s="133">
        <v>1</v>
      </c>
      <c r="D1722" s="141">
        <f t="shared" si="58"/>
        <v>44197</v>
      </c>
      <c r="E1722" s="275">
        <f t="shared" si="59"/>
        <v>44197</v>
      </c>
      <c r="F1722" s="479" t="s">
        <v>966</v>
      </c>
      <c r="G1722" s="174" t="s">
        <v>94</v>
      </c>
      <c r="H1722" s="174" t="str" cm="1">
        <f t="array" ref="H1722">IFERROR(INDEX(INVESTOR_LIST[INVESTOR NAME],MATCH(I1722,INVESTOR_LIST[INVESTOR CODE],0),)," ")</f>
        <v>RAHNUMA SANJANA</v>
      </c>
      <c r="I1722" s="148" t="s">
        <v>467</v>
      </c>
      <c r="J1722" s="149" t="s">
        <v>358</v>
      </c>
      <c r="K1722" s="218">
        <v>409897.60000000003</v>
      </c>
      <c r="L1722" s="218"/>
    </row>
    <row r="1723" spans="1:17" ht="33.75" x14ac:dyDescent="0.2">
      <c r="A1723" s="133">
        <v>2021</v>
      </c>
      <c r="B1723" s="133">
        <v>1</v>
      </c>
      <c r="C1723" s="133">
        <v>1</v>
      </c>
      <c r="D1723" s="141">
        <f t="shared" si="58"/>
        <v>44197</v>
      </c>
      <c r="E1723" s="275">
        <f t="shared" si="59"/>
        <v>44197</v>
      </c>
      <c r="F1723" s="481"/>
      <c r="G1723" s="174" t="s">
        <v>94</v>
      </c>
      <c r="H1723" s="174" t="str" cm="1">
        <f t="array" ref="H1723">IFERROR(INDEX(INVESTOR_LIST[INVESTOR NAME],MATCH(I1723,INVESTOR_LIST[INVESTOR CODE],0),)," ")</f>
        <v>RAHNUMA SANJANA</v>
      </c>
      <c r="I1723" s="148" t="s">
        <v>467</v>
      </c>
      <c r="J1723" s="149" t="s">
        <v>13</v>
      </c>
      <c r="K1723" s="218"/>
      <c r="L1723" s="218">
        <v>313160</v>
      </c>
      <c r="M1723" s="156">
        <v>31316.006745362567</v>
      </c>
      <c r="N1723" s="160"/>
    </row>
    <row r="1724" spans="1:17" ht="33.75" x14ac:dyDescent="0.2">
      <c r="A1724" s="133">
        <v>2021</v>
      </c>
      <c r="B1724" s="133">
        <v>1</v>
      </c>
      <c r="C1724" s="133">
        <v>1</v>
      </c>
      <c r="D1724" s="141">
        <f t="shared" si="58"/>
        <v>44197</v>
      </c>
      <c r="E1724" s="275">
        <f t="shared" si="59"/>
        <v>44197</v>
      </c>
      <c r="F1724" s="481"/>
      <c r="G1724" s="174" t="s">
        <v>94</v>
      </c>
      <c r="H1724" s="174" t="str" cm="1">
        <f t="array" ref="H1724">IFERROR(INDEX(INVESTOR_LIST[INVESTOR NAME],MATCH(I1724,INVESTOR_LIST[INVESTOR CODE],0),)," ")</f>
        <v>RAHNUMA SANJANA</v>
      </c>
      <c r="I1724" s="148" t="s">
        <v>467</v>
      </c>
      <c r="J1724" s="149" t="s">
        <v>53</v>
      </c>
      <c r="K1724" s="218"/>
      <c r="L1724" s="172">
        <v>58247.839999999997</v>
      </c>
    </row>
    <row r="1725" spans="1:17" ht="33.75" x14ac:dyDescent="0.2">
      <c r="A1725" s="163">
        <v>2021</v>
      </c>
      <c r="B1725" s="163">
        <v>1</v>
      </c>
      <c r="C1725" s="163">
        <v>1</v>
      </c>
      <c r="D1725" s="141">
        <f t="shared" si="58"/>
        <v>44197</v>
      </c>
      <c r="E1725" s="275">
        <f t="shared" si="59"/>
        <v>44197</v>
      </c>
      <c r="F1725" s="480"/>
      <c r="G1725" s="221" t="s">
        <v>94</v>
      </c>
      <c r="H1725" s="221" t="str" cm="1">
        <f t="array" ref="H1725">IFERROR(INDEX(INVESTOR_LIST[INVESTOR NAME],MATCH(I1725,INVESTOR_LIST[INVESTOR CODE],0),)," ")</f>
        <v>RAHNUMA SANJANA</v>
      </c>
      <c r="I1725" s="145" t="s">
        <v>467</v>
      </c>
      <c r="J1725" s="146" t="s">
        <v>534</v>
      </c>
      <c r="K1725" s="219"/>
      <c r="L1725" s="219">
        <v>38489.760000000002</v>
      </c>
    </row>
    <row r="1726" spans="1:17" ht="11.25" customHeight="1" x14ac:dyDescent="0.2">
      <c r="A1726" s="133">
        <v>2021</v>
      </c>
      <c r="B1726" s="133">
        <v>1</v>
      </c>
      <c r="C1726" s="133">
        <v>1</v>
      </c>
      <c r="D1726" s="141">
        <f t="shared" si="58"/>
        <v>44197</v>
      </c>
      <c r="E1726" s="275">
        <f t="shared" si="59"/>
        <v>44197</v>
      </c>
      <c r="F1726" s="479" t="s">
        <v>966</v>
      </c>
      <c r="G1726" s="174" t="s">
        <v>94</v>
      </c>
      <c r="H1726" s="174" t="str" cm="1">
        <f t="array" ref="H1726">IFERROR(INDEX(INVESTOR_LIST[INVESTOR NAME],MATCH(I1726,INVESTOR_LIST[INVESTOR CODE],0),)," ")</f>
        <v>MAYA RANI SAHA</v>
      </c>
      <c r="I1726" s="148" t="s">
        <v>456</v>
      </c>
      <c r="J1726" s="149" t="s">
        <v>358</v>
      </c>
      <c r="K1726" s="218">
        <v>66408.800000000003</v>
      </c>
      <c r="L1726" s="218"/>
    </row>
    <row r="1727" spans="1:17" ht="33.75" x14ac:dyDescent="0.2">
      <c r="A1727" s="133">
        <v>2021</v>
      </c>
      <c r="B1727" s="133">
        <v>1</v>
      </c>
      <c r="C1727" s="133">
        <v>1</v>
      </c>
      <c r="D1727" s="141">
        <f t="shared" si="58"/>
        <v>44197</v>
      </c>
      <c r="E1727" s="275">
        <f t="shared" si="59"/>
        <v>44197</v>
      </c>
      <c r="F1727" s="481"/>
      <c r="G1727" s="174" t="s">
        <v>94</v>
      </c>
      <c r="H1727" s="174" t="str" cm="1">
        <f t="array" ref="H1727">IFERROR(INDEX(INVESTOR_LIST[INVESTOR NAME],MATCH(I1727,INVESTOR_LIST[INVESTOR CODE],0),)," ")</f>
        <v>MAYA RANI SAHA</v>
      </c>
      <c r="I1727" s="148" t="s">
        <v>456</v>
      </c>
      <c r="J1727" s="149" t="s">
        <v>13</v>
      </c>
      <c r="K1727" s="218"/>
      <c r="L1727" s="218">
        <v>52500</v>
      </c>
      <c r="M1727" s="156">
        <v>5250.2462057335588</v>
      </c>
      <c r="N1727" s="160"/>
    </row>
    <row r="1728" spans="1:17" ht="33.75" x14ac:dyDescent="0.2">
      <c r="A1728" s="133">
        <v>2021</v>
      </c>
      <c r="B1728" s="133">
        <v>1</v>
      </c>
      <c r="C1728" s="133">
        <v>1</v>
      </c>
      <c r="D1728" s="141">
        <f t="shared" si="58"/>
        <v>44197</v>
      </c>
      <c r="E1728" s="275">
        <f t="shared" si="59"/>
        <v>44197</v>
      </c>
      <c r="F1728" s="481"/>
      <c r="G1728" s="174" t="s">
        <v>94</v>
      </c>
      <c r="H1728" s="174" t="str" cm="1">
        <f t="array" ref="H1728">IFERROR(INDEX(INVESTOR_LIST[INVESTOR NAME],MATCH(I1728,INVESTOR_LIST[INVESTOR CODE],0),)," ")</f>
        <v>MAYA RANI SAHA</v>
      </c>
      <c r="I1728" s="148" t="s">
        <v>456</v>
      </c>
      <c r="J1728" s="149" t="s">
        <v>53</v>
      </c>
      <c r="K1728" s="218"/>
      <c r="L1728" s="172">
        <v>9767.92</v>
      </c>
      <c r="N1728" s="160"/>
    </row>
    <row r="1729" spans="1:17" ht="33.75" x14ac:dyDescent="0.2">
      <c r="A1729" s="163">
        <v>2021</v>
      </c>
      <c r="B1729" s="163">
        <v>1</v>
      </c>
      <c r="C1729" s="163">
        <v>1</v>
      </c>
      <c r="D1729" s="141">
        <f t="shared" si="58"/>
        <v>44197</v>
      </c>
      <c r="E1729" s="275">
        <f t="shared" si="59"/>
        <v>44197</v>
      </c>
      <c r="F1729" s="480"/>
      <c r="G1729" s="221" t="s">
        <v>94</v>
      </c>
      <c r="H1729" s="221" t="str" cm="1">
        <f t="array" ref="H1729">IFERROR(INDEX(INVESTOR_LIST[INVESTOR NAME],MATCH(I1729,INVESTOR_LIST[INVESTOR CODE],0),)," ")</f>
        <v>MAYA RANI SAHA</v>
      </c>
      <c r="I1729" s="145" t="s">
        <v>456</v>
      </c>
      <c r="J1729" s="146" t="s">
        <v>534</v>
      </c>
      <c r="K1729" s="219"/>
      <c r="L1729" s="219">
        <v>4140.88</v>
      </c>
    </row>
    <row r="1730" spans="1:17" ht="11.25" customHeight="1" x14ac:dyDescent="0.2">
      <c r="A1730" s="133">
        <v>2021</v>
      </c>
      <c r="B1730" s="133">
        <v>1</v>
      </c>
      <c r="C1730" s="133">
        <v>1</v>
      </c>
      <c r="D1730" s="141">
        <f t="shared" si="58"/>
        <v>44197</v>
      </c>
      <c r="E1730" s="275">
        <f t="shared" si="59"/>
        <v>44197</v>
      </c>
      <c r="F1730" s="479" t="s">
        <v>966</v>
      </c>
      <c r="G1730" s="174" t="s">
        <v>94</v>
      </c>
      <c r="H1730" s="174" t="str" cm="1">
        <f t="array" ref="H1730">IFERROR(INDEX(INVESTOR_LIST[INVESTOR NAME],MATCH(I1730,INVESTOR_LIST[INVESTOR CODE],0),)," ")</f>
        <v>MUQIT-AL RAHMAN</v>
      </c>
      <c r="I1730" s="148" t="s">
        <v>473</v>
      </c>
      <c r="J1730" s="149" t="s">
        <v>358</v>
      </c>
      <c r="K1730" s="218">
        <v>51436.800000000003</v>
      </c>
      <c r="L1730" s="218"/>
    </row>
    <row r="1731" spans="1:17" ht="33.75" x14ac:dyDescent="0.2">
      <c r="A1731" s="133">
        <v>2021</v>
      </c>
      <c r="B1731" s="133">
        <v>1</v>
      </c>
      <c r="C1731" s="133">
        <v>1</v>
      </c>
      <c r="D1731" s="141">
        <f t="shared" si="58"/>
        <v>44197</v>
      </c>
      <c r="E1731" s="275">
        <f t="shared" si="59"/>
        <v>44197</v>
      </c>
      <c r="F1731" s="481"/>
      <c r="G1731" s="174" t="s">
        <v>94</v>
      </c>
      <c r="H1731" s="174" t="str" cm="1">
        <f t="array" ref="H1731">IFERROR(INDEX(INVESTOR_LIST[INVESTOR NAME],MATCH(I1731,INVESTOR_LIST[INVESTOR CODE],0),)," ")</f>
        <v>MUQIT-AL RAHMAN</v>
      </c>
      <c r="I1731" s="148" t="s">
        <v>473</v>
      </c>
      <c r="J1731" s="149" t="s">
        <v>13</v>
      </c>
      <c r="K1731" s="218"/>
      <c r="L1731" s="218">
        <v>41140</v>
      </c>
      <c r="M1731" s="156">
        <v>4114.0910623946038</v>
      </c>
      <c r="N1731" s="160"/>
    </row>
    <row r="1732" spans="1:17" ht="33.75" x14ac:dyDescent="0.2">
      <c r="A1732" s="133">
        <v>2021</v>
      </c>
      <c r="B1732" s="133">
        <v>1</v>
      </c>
      <c r="C1732" s="133">
        <v>1</v>
      </c>
      <c r="D1732" s="141">
        <f t="shared" si="58"/>
        <v>44197</v>
      </c>
      <c r="E1732" s="275">
        <f t="shared" si="59"/>
        <v>44197</v>
      </c>
      <c r="F1732" s="481"/>
      <c r="G1732" s="174" t="s">
        <v>94</v>
      </c>
      <c r="H1732" s="174" t="str" cm="1">
        <f t="array" ref="H1732">IFERROR(INDEX(INVESTOR_LIST[INVESTOR NAME],MATCH(I1732,INVESTOR_LIST[INVESTOR CODE],0),)," ")</f>
        <v>MUQIT-AL RAHMAN</v>
      </c>
      <c r="I1732" s="148" t="s">
        <v>473</v>
      </c>
      <c r="J1732" s="149" t="s">
        <v>53</v>
      </c>
      <c r="K1732" s="218"/>
      <c r="L1732" s="172">
        <v>7653.12</v>
      </c>
    </row>
    <row r="1733" spans="1:17" ht="33.75" x14ac:dyDescent="0.2">
      <c r="A1733" s="163">
        <v>2021</v>
      </c>
      <c r="B1733" s="163">
        <v>1</v>
      </c>
      <c r="C1733" s="163">
        <v>1</v>
      </c>
      <c r="D1733" s="141">
        <f t="shared" si="58"/>
        <v>44197</v>
      </c>
      <c r="E1733" s="275">
        <f t="shared" si="59"/>
        <v>44197</v>
      </c>
      <c r="F1733" s="480"/>
      <c r="G1733" s="221" t="s">
        <v>94</v>
      </c>
      <c r="H1733" s="221" t="str" cm="1">
        <f t="array" ref="H1733">IFERROR(INDEX(INVESTOR_LIST[INVESTOR NAME],MATCH(I1733,INVESTOR_LIST[INVESTOR CODE],0),)," ")</f>
        <v>MUQIT-AL RAHMAN</v>
      </c>
      <c r="I1733" s="145" t="s">
        <v>473</v>
      </c>
      <c r="J1733" s="146" t="s">
        <v>534</v>
      </c>
      <c r="K1733" s="219"/>
      <c r="L1733" s="219">
        <v>2643.6800000000003</v>
      </c>
    </row>
    <row r="1734" spans="1:17" ht="11.25" customHeight="1" x14ac:dyDescent="0.2">
      <c r="A1734" s="133">
        <v>2021</v>
      </c>
      <c r="B1734" s="133">
        <v>1</v>
      </c>
      <c r="C1734" s="133">
        <v>1</v>
      </c>
      <c r="D1734" s="141">
        <f t="shared" si="58"/>
        <v>44197</v>
      </c>
      <c r="E1734" s="275">
        <f t="shared" si="59"/>
        <v>44197</v>
      </c>
      <c r="F1734" s="479" t="s">
        <v>966</v>
      </c>
      <c r="G1734" s="174" t="s">
        <v>94</v>
      </c>
      <c r="H1734" s="174" t="str" cm="1">
        <f t="array" ref="H1734">IFERROR(INDEX(INVESTOR_LIST[INVESTOR NAME],MATCH(I1734,INVESTOR_LIST[INVESTOR CODE],0),)," ")</f>
        <v>HARI PADA SAHA</v>
      </c>
      <c r="I1734" s="148" t="s">
        <v>370</v>
      </c>
      <c r="J1734" s="149" t="s">
        <v>358</v>
      </c>
      <c r="K1734" s="218">
        <v>40000</v>
      </c>
      <c r="L1734" s="218"/>
    </row>
    <row r="1735" spans="1:17" ht="33.75" x14ac:dyDescent="0.2">
      <c r="A1735" s="133">
        <v>2021</v>
      </c>
      <c r="B1735" s="133">
        <v>1</v>
      </c>
      <c r="C1735" s="133">
        <v>1</v>
      </c>
      <c r="D1735" s="141">
        <f t="shared" si="58"/>
        <v>44197</v>
      </c>
      <c r="E1735" s="275">
        <f t="shared" si="59"/>
        <v>44197</v>
      </c>
      <c r="F1735" s="481"/>
      <c r="G1735" s="174" t="s">
        <v>94</v>
      </c>
      <c r="H1735" s="174" t="str" cm="1">
        <f t="array" ref="H1735">IFERROR(INDEX(INVESTOR_LIST[INVESTOR NAME],MATCH(I1735,INVESTOR_LIST[INVESTOR CODE],0),)," ")</f>
        <v>HARI PADA SAHA</v>
      </c>
      <c r="I1735" s="148" t="s">
        <v>370</v>
      </c>
      <c r="J1735" s="149" t="s">
        <v>13</v>
      </c>
      <c r="K1735" s="218"/>
      <c r="L1735" s="218">
        <v>31830</v>
      </c>
      <c r="M1735" s="156">
        <v>3182.9679595278249</v>
      </c>
      <c r="N1735" s="160"/>
    </row>
    <row r="1736" spans="1:17" ht="33.75" x14ac:dyDescent="0.2">
      <c r="A1736" s="133">
        <v>2021</v>
      </c>
      <c r="B1736" s="133">
        <v>1</v>
      </c>
      <c r="C1736" s="133">
        <v>1</v>
      </c>
      <c r="D1736" s="141">
        <f t="shared" si="58"/>
        <v>44197</v>
      </c>
      <c r="E1736" s="275">
        <f t="shared" si="59"/>
        <v>44197</v>
      </c>
      <c r="F1736" s="481"/>
      <c r="G1736" s="174" t="s">
        <v>94</v>
      </c>
      <c r="H1736" s="174" t="str" cm="1">
        <f t="array" ref="H1736">IFERROR(INDEX(INVESTOR_LIST[INVESTOR NAME],MATCH(I1736,INVESTOR_LIST[INVESTOR CODE],0),)," ")</f>
        <v>HARI PADA SAHA</v>
      </c>
      <c r="I1736" s="148" t="s">
        <v>370</v>
      </c>
      <c r="J1736" s="149" t="s">
        <v>53</v>
      </c>
      <c r="K1736" s="218"/>
      <c r="L1736" s="172">
        <v>5920</v>
      </c>
    </row>
    <row r="1737" spans="1:17" ht="33.75" x14ac:dyDescent="0.2">
      <c r="A1737" s="163">
        <v>2021</v>
      </c>
      <c r="B1737" s="163">
        <v>1</v>
      </c>
      <c r="C1737" s="163">
        <v>1</v>
      </c>
      <c r="D1737" s="141">
        <f t="shared" si="58"/>
        <v>44197</v>
      </c>
      <c r="E1737" s="275">
        <f t="shared" si="59"/>
        <v>44197</v>
      </c>
      <c r="F1737" s="480"/>
      <c r="G1737" s="221" t="s">
        <v>94</v>
      </c>
      <c r="H1737" s="221" t="str" cm="1">
        <f t="array" ref="H1737">IFERROR(INDEX(INVESTOR_LIST[INVESTOR NAME],MATCH(I1737,INVESTOR_LIST[INVESTOR CODE],0),)," ")</f>
        <v>HARI PADA SAHA</v>
      </c>
      <c r="I1737" s="145" t="s">
        <v>370</v>
      </c>
      <c r="J1737" s="146" t="s">
        <v>534</v>
      </c>
      <c r="K1737" s="219"/>
      <c r="L1737" s="219">
        <v>2250</v>
      </c>
    </row>
    <row r="1738" spans="1:17" ht="11.25" customHeight="1" x14ac:dyDescent="0.2">
      <c r="A1738" s="133">
        <v>2021</v>
      </c>
      <c r="B1738" s="133">
        <v>1</v>
      </c>
      <c r="C1738" s="133">
        <v>1</v>
      </c>
      <c r="D1738" s="141">
        <f t="shared" si="58"/>
        <v>44197</v>
      </c>
      <c r="E1738" s="275">
        <f t="shared" si="59"/>
        <v>44197</v>
      </c>
      <c r="F1738" s="479" t="s">
        <v>966</v>
      </c>
      <c r="G1738" s="174" t="s">
        <v>94</v>
      </c>
      <c r="H1738" s="174" t="str" cm="1">
        <f t="array" ref="H1738">IFERROR(INDEX(INVESTOR_LIST[INVESTOR NAME],MATCH(I1738,INVESTOR_LIST[INVESTOR CODE],0),)," ")</f>
        <v>MINHAJ UDDIN</v>
      </c>
      <c r="I1738" s="148" t="s">
        <v>390</v>
      </c>
      <c r="J1738" s="149" t="s">
        <v>358</v>
      </c>
      <c r="K1738" s="226">
        <v>38400</v>
      </c>
      <c r="L1738" s="226"/>
      <c r="P1738" s="133">
        <v>38400</v>
      </c>
    </row>
    <row r="1739" spans="1:17" ht="22.5" x14ac:dyDescent="0.2">
      <c r="A1739" s="133">
        <v>2021</v>
      </c>
      <c r="B1739" s="133">
        <v>1</v>
      </c>
      <c r="C1739" s="133">
        <v>1</v>
      </c>
      <c r="D1739" s="141">
        <f t="shared" si="58"/>
        <v>44197</v>
      </c>
      <c r="E1739" s="275">
        <f t="shared" si="59"/>
        <v>44197</v>
      </c>
      <c r="F1739" s="481"/>
      <c r="G1739" s="174" t="s">
        <v>94</v>
      </c>
      <c r="H1739" s="174" t="str" cm="1">
        <f t="array" ref="H1739">IFERROR(INDEX(INVESTOR_LIST[INVESTOR NAME],MATCH(I1739,INVESTOR_LIST[INVESTOR CODE],0),)," ")</f>
        <v>MINHAJ UDDIN</v>
      </c>
      <c r="I1739" s="148" t="s">
        <v>390</v>
      </c>
      <c r="J1739" s="149" t="s">
        <v>13</v>
      </c>
      <c r="K1739" s="218"/>
      <c r="L1739" s="218">
        <v>31250</v>
      </c>
      <c r="M1739" s="156">
        <v>3124.789207419899</v>
      </c>
      <c r="N1739" s="160"/>
      <c r="Q1739" s="133">
        <v>31250</v>
      </c>
    </row>
    <row r="1740" spans="1:17" ht="22.5" x14ac:dyDescent="0.2">
      <c r="A1740" s="133">
        <v>2021</v>
      </c>
      <c r="B1740" s="133">
        <v>1</v>
      </c>
      <c r="C1740" s="133">
        <v>1</v>
      </c>
      <c r="D1740" s="141">
        <f t="shared" si="58"/>
        <v>44197</v>
      </c>
      <c r="E1740" s="275">
        <f t="shared" si="59"/>
        <v>44197</v>
      </c>
      <c r="F1740" s="481"/>
      <c r="G1740" s="174" t="s">
        <v>94</v>
      </c>
      <c r="H1740" s="174" t="str" cm="1">
        <f t="array" ref="H1740">IFERROR(INDEX(INVESTOR_LIST[INVESTOR NAME],MATCH(I1740,INVESTOR_LIST[INVESTOR CODE],0),)," ")</f>
        <v>MINHAJ UDDIN</v>
      </c>
      <c r="I1740" s="148" t="s">
        <v>390</v>
      </c>
      <c r="J1740" s="149" t="s">
        <v>53</v>
      </c>
      <c r="K1740" s="218"/>
      <c r="L1740" s="218">
        <v>5810</v>
      </c>
      <c r="Q1740" s="133">
        <v>5810</v>
      </c>
    </row>
    <row r="1741" spans="1:17" ht="22.5" x14ac:dyDescent="0.2">
      <c r="A1741" s="163">
        <v>2021</v>
      </c>
      <c r="B1741" s="163">
        <v>1</v>
      </c>
      <c r="C1741" s="163">
        <v>1</v>
      </c>
      <c r="D1741" s="141">
        <f t="shared" ref="D1741:D1804" si="60">DATE(A1741,B1741,C1741)</f>
        <v>44197</v>
      </c>
      <c r="E1741" s="275">
        <f t="shared" si="59"/>
        <v>44197</v>
      </c>
      <c r="F1741" s="480"/>
      <c r="G1741" s="221" t="s">
        <v>94</v>
      </c>
      <c r="H1741" s="221" t="str" cm="1">
        <f t="array" ref="H1741">IFERROR(INDEX(INVESTOR_LIST[INVESTOR NAME],MATCH(I1741,INVESTOR_LIST[INVESTOR CODE],0),)," ")</f>
        <v>MINHAJ UDDIN</v>
      </c>
      <c r="I1741" s="145" t="s">
        <v>390</v>
      </c>
      <c r="J1741" s="146" t="s">
        <v>534</v>
      </c>
      <c r="K1741" s="219"/>
      <c r="L1741" s="219">
        <v>1340</v>
      </c>
      <c r="Q1741" s="133">
        <v>1340</v>
      </c>
    </row>
    <row r="1742" spans="1:17" ht="11.25" customHeight="1" x14ac:dyDescent="0.2">
      <c r="A1742" s="133">
        <v>2021</v>
      </c>
      <c r="B1742" s="133">
        <v>1</v>
      </c>
      <c r="C1742" s="133">
        <v>1</v>
      </c>
      <c r="D1742" s="141">
        <f t="shared" si="60"/>
        <v>44197</v>
      </c>
      <c r="E1742" s="275">
        <f t="shared" ref="E1742:E1805" si="61">DATE(A1742,B1742,C1742)</f>
        <v>44197</v>
      </c>
      <c r="F1742" s="479" t="s">
        <v>966</v>
      </c>
      <c r="G1742" s="174" t="s">
        <v>94</v>
      </c>
      <c r="H1742" s="174" t="str" cm="1">
        <f t="array" ref="H1742">IFERROR(INDEX(INVESTOR_LIST[INVESTOR NAME],MATCH(I1742,INVESTOR_LIST[INVESTOR CODE],0),)," ")</f>
        <v>SATINATH GHOSH</v>
      </c>
      <c r="I1742" s="148" t="s">
        <v>487</v>
      </c>
      <c r="J1742" s="149" t="s">
        <v>358</v>
      </c>
      <c r="K1742" s="218">
        <v>34144</v>
      </c>
      <c r="L1742" s="218"/>
    </row>
    <row r="1743" spans="1:17" ht="33.75" x14ac:dyDescent="0.2">
      <c r="A1743" s="133">
        <v>2021</v>
      </c>
      <c r="B1743" s="133">
        <v>1</v>
      </c>
      <c r="C1743" s="133">
        <v>1</v>
      </c>
      <c r="D1743" s="141">
        <f t="shared" si="60"/>
        <v>44197</v>
      </c>
      <c r="E1743" s="275">
        <f t="shared" si="61"/>
        <v>44197</v>
      </c>
      <c r="F1743" s="481"/>
      <c r="G1743" s="174" t="s">
        <v>94</v>
      </c>
      <c r="H1743" s="174" t="str" cm="1">
        <f t="array" ref="H1743">IFERROR(INDEX(INVESTOR_LIST[INVESTOR NAME],MATCH(I1743,INVESTOR_LIST[INVESTOR CODE],0),)," ")</f>
        <v>SATINATH GHOSH</v>
      </c>
      <c r="I1743" s="148" t="s">
        <v>487</v>
      </c>
      <c r="J1743" s="149" t="s">
        <v>13</v>
      </c>
      <c r="K1743" s="218"/>
      <c r="L1743" s="218">
        <v>28020</v>
      </c>
      <c r="M1743" s="156">
        <v>2801.8212478920741</v>
      </c>
      <c r="N1743" s="160"/>
    </row>
    <row r="1744" spans="1:17" ht="33.75" x14ac:dyDescent="0.2">
      <c r="A1744" s="133">
        <v>2021</v>
      </c>
      <c r="B1744" s="133">
        <v>1</v>
      </c>
      <c r="C1744" s="133">
        <v>1</v>
      </c>
      <c r="D1744" s="141">
        <f t="shared" si="60"/>
        <v>44197</v>
      </c>
      <c r="E1744" s="275">
        <f t="shared" si="61"/>
        <v>44197</v>
      </c>
      <c r="F1744" s="481"/>
      <c r="G1744" s="174" t="s">
        <v>94</v>
      </c>
      <c r="H1744" s="174" t="str" cm="1">
        <f t="array" ref="H1744">IFERROR(INDEX(INVESTOR_LIST[INVESTOR NAME],MATCH(I1744,INVESTOR_LIST[INVESTOR CODE],0),)," ")</f>
        <v>SATINATH GHOSH</v>
      </c>
      <c r="I1744" s="148" t="s">
        <v>487</v>
      </c>
      <c r="J1744" s="149" t="s">
        <v>53</v>
      </c>
      <c r="K1744" s="218"/>
      <c r="L1744" s="172">
        <v>5209.6000000000004</v>
      </c>
      <c r="N1744" s="160"/>
    </row>
    <row r="1745" spans="1:17" ht="33.75" x14ac:dyDescent="0.2">
      <c r="A1745" s="163">
        <v>2021</v>
      </c>
      <c r="B1745" s="163">
        <v>1</v>
      </c>
      <c r="C1745" s="163">
        <v>1</v>
      </c>
      <c r="D1745" s="141">
        <f t="shared" si="60"/>
        <v>44197</v>
      </c>
      <c r="E1745" s="275">
        <f t="shared" si="61"/>
        <v>44197</v>
      </c>
      <c r="F1745" s="480"/>
      <c r="G1745" s="221" t="s">
        <v>94</v>
      </c>
      <c r="H1745" s="221" t="str" cm="1">
        <f t="array" ref="H1745">IFERROR(INDEX(INVESTOR_LIST[INVESTOR NAME],MATCH(I1745,INVESTOR_LIST[INVESTOR CODE],0),)," ")</f>
        <v>SATINATH GHOSH</v>
      </c>
      <c r="I1745" s="145" t="s">
        <v>487</v>
      </c>
      <c r="J1745" s="146" t="s">
        <v>534</v>
      </c>
      <c r="K1745" s="219"/>
      <c r="L1745" s="219">
        <v>914.40000000000009</v>
      </c>
      <c r="Q1745" s="133" t="s">
        <v>348</v>
      </c>
    </row>
    <row r="1746" spans="1:17" ht="11.25" customHeight="1" x14ac:dyDescent="0.2">
      <c r="A1746" s="133">
        <v>2021</v>
      </c>
      <c r="B1746" s="133">
        <v>1</v>
      </c>
      <c r="C1746" s="133">
        <v>1</v>
      </c>
      <c r="D1746" s="141">
        <f t="shared" si="60"/>
        <v>44197</v>
      </c>
      <c r="E1746" s="275">
        <f t="shared" si="61"/>
        <v>44197</v>
      </c>
      <c r="F1746" s="479" t="s">
        <v>966</v>
      </c>
      <c r="G1746" s="174" t="s">
        <v>94</v>
      </c>
      <c r="H1746" s="174" t="str" cm="1">
        <f t="array" ref="H1746">IFERROR(INDEX(INVESTOR_LIST[INVESTOR NAME],MATCH(I1746,INVESTOR_LIST[INVESTOR CODE],0),)," ")</f>
        <v>SHUVA SAHA</v>
      </c>
      <c r="I1746" s="148" t="s">
        <v>421</v>
      </c>
      <c r="J1746" s="149" t="s">
        <v>358</v>
      </c>
      <c r="K1746" s="218">
        <v>31828</v>
      </c>
      <c r="L1746" s="218"/>
      <c r="Q1746" s="133" t="s">
        <v>348</v>
      </c>
    </row>
    <row r="1747" spans="1:17" ht="22.5" x14ac:dyDescent="0.2">
      <c r="A1747" s="133">
        <v>2021</v>
      </c>
      <c r="B1747" s="133">
        <v>1</v>
      </c>
      <c r="C1747" s="133">
        <v>1</v>
      </c>
      <c r="D1747" s="141">
        <f t="shared" si="60"/>
        <v>44197</v>
      </c>
      <c r="E1747" s="275">
        <f t="shared" si="61"/>
        <v>44197</v>
      </c>
      <c r="F1747" s="481"/>
      <c r="G1747" s="174" t="s">
        <v>94</v>
      </c>
      <c r="H1747" s="174" t="str" cm="1">
        <f t="array" ref="H1747">IFERROR(INDEX(INVESTOR_LIST[INVESTOR NAME],MATCH(I1747,INVESTOR_LIST[INVESTOR CODE],0),)," ")</f>
        <v>SHUVA SAHA</v>
      </c>
      <c r="I1747" s="148" t="s">
        <v>421</v>
      </c>
      <c r="J1747" s="149" t="s">
        <v>13</v>
      </c>
      <c r="K1747" s="218"/>
      <c r="L1747" s="218">
        <v>26260</v>
      </c>
      <c r="M1747" s="156">
        <v>2626.0708263069141</v>
      </c>
      <c r="N1747" s="160"/>
      <c r="Q1747" s="133" t="s">
        <v>348</v>
      </c>
    </row>
    <row r="1748" spans="1:17" ht="22.5" x14ac:dyDescent="0.2">
      <c r="A1748" s="133">
        <v>2021</v>
      </c>
      <c r="B1748" s="133">
        <v>1</v>
      </c>
      <c r="C1748" s="133">
        <v>1</v>
      </c>
      <c r="D1748" s="141">
        <f t="shared" si="60"/>
        <v>44197</v>
      </c>
      <c r="E1748" s="275">
        <f t="shared" si="61"/>
        <v>44197</v>
      </c>
      <c r="F1748" s="481"/>
      <c r="G1748" s="174" t="s">
        <v>94</v>
      </c>
      <c r="H1748" s="174" t="str" cm="1">
        <f t="array" ref="H1748">IFERROR(INDEX(INVESTOR_LIST[INVESTOR NAME],MATCH(I1748,INVESTOR_LIST[INVESTOR CODE],0),)," ")</f>
        <v>SHUVA SAHA</v>
      </c>
      <c r="I1748" s="148" t="s">
        <v>421</v>
      </c>
      <c r="J1748" s="149" t="s">
        <v>53</v>
      </c>
      <c r="K1748" s="218"/>
      <c r="L1748" s="172">
        <v>4885.2</v>
      </c>
      <c r="Q1748" s="133" t="s">
        <v>348</v>
      </c>
    </row>
    <row r="1749" spans="1:17" ht="22.5" x14ac:dyDescent="0.2">
      <c r="A1749" s="163">
        <v>2021</v>
      </c>
      <c r="B1749" s="163">
        <v>1</v>
      </c>
      <c r="C1749" s="163">
        <v>1</v>
      </c>
      <c r="D1749" s="141">
        <f t="shared" si="60"/>
        <v>44197</v>
      </c>
      <c r="E1749" s="275">
        <f t="shared" si="61"/>
        <v>44197</v>
      </c>
      <c r="F1749" s="480"/>
      <c r="G1749" s="221" t="s">
        <v>94</v>
      </c>
      <c r="H1749" s="221" t="str" cm="1">
        <f t="array" ref="H1749">IFERROR(INDEX(INVESTOR_LIST[INVESTOR NAME],MATCH(I1749,INVESTOR_LIST[INVESTOR CODE],0),)," ")</f>
        <v>SHUVA SAHA</v>
      </c>
      <c r="I1749" s="145" t="s">
        <v>421</v>
      </c>
      <c r="J1749" s="146" t="s">
        <v>534</v>
      </c>
      <c r="K1749" s="219"/>
      <c r="L1749" s="219">
        <v>682.80000000000007</v>
      </c>
      <c r="Q1749" s="133" t="s">
        <v>348</v>
      </c>
    </row>
    <row r="1750" spans="1:17" ht="22.5" x14ac:dyDescent="0.2">
      <c r="A1750" s="168">
        <v>2021</v>
      </c>
      <c r="B1750" s="168">
        <v>1</v>
      </c>
      <c r="C1750" s="168">
        <v>1</v>
      </c>
      <c r="D1750" s="141">
        <f t="shared" si="60"/>
        <v>44197</v>
      </c>
      <c r="E1750" s="275">
        <f t="shared" si="61"/>
        <v>44197</v>
      </c>
      <c r="F1750" s="479" t="s">
        <v>966</v>
      </c>
      <c r="G1750" s="220" t="s">
        <v>94</v>
      </c>
      <c r="H1750" s="220" t="str" cm="1">
        <f t="array" ref="H1750">IFERROR(INDEX(INVESTOR_LIST[INVESTOR NAME],MATCH(I1750,INVESTOR_LIST[INVESTOR CODE],0),)," ")</f>
        <v>SHIBBIR AHMED</v>
      </c>
      <c r="I1750" s="142" t="s">
        <v>377</v>
      </c>
      <c r="J1750" s="143" t="s">
        <v>358</v>
      </c>
      <c r="K1750" s="226">
        <v>22136</v>
      </c>
      <c r="L1750" s="226"/>
      <c r="Q1750" s="133" t="s">
        <v>348</v>
      </c>
    </row>
    <row r="1751" spans="1:17" ht="22.5" x14ac:dyDescent="0.2">
      <c r="A1751" s="133">
        <v>2021</v>
      </c>
      <c r="B1751" s="133">
        <v>1</v>
      </c>
      <c r="C1751" s="133">
        <v>1</v>
      </c>
      <c r="D1751" s="141">
        <f t="shared" si="60"/>
        <v>44197</v>
      </c>
      <c r="E1751" s="275">
        <f t="shared" si="61"/>
        <v>44197</v>
      </c>
      <c r="F1751" s="481"/>
      <c r="G1751" s="174" t="s">
        <v>94</v>
      </c>
      <c r="H1751" s="174" t="str" cm="1">
        <f t="array" ref="H1751">IFERROR(INDEX(INVESTOR_LIST[INVESTOR NAME],MATCH(I1751,INVESTOR_LIST[INVESTOR CODE],0),)," ")</f>
        <v>SHIBBIR AHMED</v>
      </c>
      <c r="I1751" s="148" t="s">
        <v>377</v>
      </c>
      <c r="J1751" s="149" t="s">
        <v>13</v>
      </c>
      <c r="K1751" s="218"/>
      <c r="L1751" s="218">
        <v>18660</v>
      </c>
      <c r="M1751" s="156">
        <v>1866.4418212478922</v>
      </c>
      <c r="Q1751" s="133" t="s">
        <v>348</v>
      </c>
    </row>
    <row r="1752" spans="1:17" ht="22.5" x14ac:dyDescent="0.2">
      <c r="A1752" s="163">
        <v>2021</v>
      </c>
      <c r="B1752" s="163">
        <v>1</v>
      </c>
      <c r="C1752" s="163">
        <v>1</v>
      </c>
      <c r="D1752" s="141">
        <f t="shared" si="60"/>
        <v>44197</v>
      </c>
      <c r="E1752" s="275">
        <f t="shared" si="61"/>
        <v>44197</v>
      </c>
      <c r="F1752" s="480"/>
      <c r="G1752" s="221" t="s">
        <v>94</v>
      </c>
      <c r="H1752" s="221" t="str" cm="1">
        <f t="array" ref="H1752">IFERROR(INDEX(INVESTOR_LIST[INVESTOR NAME],MATCH(I1752,INVESTOR_LIST[INVESTOR CODE],0),)," ")</f>
        <v>SHIBBIR AHMED</v>
      </c>
      <c r="I1752" s="145" t="s">
        <v>377</v>
      </c>
      <c r="J1752" s="146" t="s">
        <v>53</v>
      </c>
      <c r="K1752" s="219"/>
      <c r="L1752" s="219">
        <v>3476</v>
      </c>
      <c r="Q1752" s="133" t="s">
        <v>348</v>
      </c>
    </row>
    <row r="1753" spans="1:17" ht="11.25" customHeight="1" x14ac:dyDescent="0.2">
      <c r="A1753" s="168">
        <v>2021</v>
      </c>
      <c r="B1753" s="168">
        <v>1</v>
      </c>
      <c r="C1753" s="168">
        <v>1</v>
      </c>
      <c r="D1753" s="141">
        <f t="shared" si="60"/>
        <v>44197</v>
      </c>
      <c r="E1753" s="275">
        <f t="shared" si="61"/>
        <v>44197</v>
      </c>
      <c r="F1753" s="479" t="s">
        <v>966</v>
      </c>
      <c r="G1753" s="220" t="s">
        <v>94</v>
      </c>
      <c r="H1753" s="220" t="str" cm="1">
        <f t="array" ref="H1753">IFERROR(INDEX(INVESTOR_LIST[INVESTOR NAME],MATCH(I1753,INVESTOR_LIST[INVESTOR CODE],0),)," ")</f>
        <v>BABITA RANI BARMAN</v>
      </c>
      <c r="I1753" s="142" t="s">
        <v>438</v>
      </c>
      <c r="J1753" s="143" t="s">
        <v>358</v>
      </c>
      <c r="K1753" s="226">
        <v>16000</v>
      </c>
      <c r="L1753" s="226"/>
      <c r="Q1753" s="133" t="s">
        <v>348</v>
      </c>
    </row>
    <row r="1754" spans="1:17" ht="33.75" x14ac:dyDescent="0.2">
      <c r="A1754" s="133">
        <v>2021</v>
      </c>
      <c r="B1754" s="133">
        <v>1</v>
      </c>
      <c r="C1754" s="133">
        <v>1</v>
      </c>
      <c r="D1754" s="141">
        <f t="shared" si="60"/>
        <v>44197</v>
      </c>
      <c r="E1754" s="275">
        <f t="shared" si="61"/>
        <v>44197</v>
      </c>
      <c r="F1754" s="481"/>
      <c r="G1754" s="174" t="s">
        <v>94</v>
      </c>
      <c r="H1754" s="174" t="str" cm="1">
        <f t="array" ref="H1754">IFERROR(INDEX(INVESTOR_LIST[INVESTOR NAME],MATCH(I1754,INVESTOR_LIST[INVESTOR CODE],0),)," ")</f>
        <v>BABITA RANI BARMAN</v>
      </c>
      <c r="I1754" s="148" t="s">
        <v>438</v>
      </c>
      <c r="J1754" s="149" t="s">
        <v>13</v>
      </c>
      <c r="K1754" s="218"/>
      <c r="L1754" s="218">
        <v>13490</v>
      </c>
      <c r="M1754" s="156">
        <v>1349.072512647555</v>
      </c>
      <c r="Q1754" s="133" t="s">
        <v>348</v>
      </c>
    </row>
    <row r="1755" spans="1:17" ht="33.75" x14ac:dyDescent="0.2">
      <c r="A1755" s="163">
        <v>2021</v>
      </c>
      <c r="B1755" s="163">
        <v>1</v>
      </c>
      <c r="C1755" s="163">
        <v>1</v>
      </c>
      <c r="D1755" s="141">
        <f t="shared" si="60"/>
        <v>44197</v>
      </c>
      <c r="E1755" s="275">
        <f t="shared" si="61"/>
        <v>44197</v>
      </c>
      <c r="F1755" s="480"/>
      <c r="G1755" s="221" t="s">
        <v>94</v>
      </c>
      <c r="H1755" s="221" t="str" cm="1">
        <f t="array" ref="H1755">IFERROR(INDEX(INVESTOR_LIST[INVESTOR NAME],MATCH(I1755,INVESTOR_LIST[INVESTOR CODE],0),)," ")</f>
        <v>BABITA RANI BARMAN</v>
      </c>
      <c r="I1755" s="145" t="s">
        <v>438</v>
      </c>
      <c r="J1755" s="146" t="s">
        <v>53</v>
      </c>
      <c r="K1755" s="219"/>
      <c r="L1755" s="219">
        <v>2510</v>
      </c>
      <c r="P1755" s="156"/>
      <c r="Q1755" s="133" t="s">
        <v>348</v>
      </c>
    </row>
    <row r="1756" spans="1:17" ht="11.25" customHeight="1" x14ac:dyDescent="0.2">
      <c r="A1756" s="168">
        <v>2021</v>
      </c>
      <c r="B1756" s="168">
        <v>1</v>
      </c>
      <c r="C1756" s="168">
        <v>1</v>
      </c>
      <c r="D1756" s="141">
        <f t="shared" si="60"/>
        <v>44197</v>
      </c>
      <c r="E1756" s="275">
        <f t="shared" si="61"/>
        <v>44197</v>
      </c>
      <c r="F1756" s="479" t="s">
        <v>966</v>
      </c>
      <c r="G1756" s="220" t="s">
        <v>94</v>
      </c>
      <c r="H1756" s="220" t="str" cm="1">
        <f t="array" ref="H1756">IFERROR(INDEX(INVESTOR_LIST[INVESTOR NAME],MATCH(I1756,INVESTOR_LIST[INVESTOR CODE],0),)," ")</f>
        <v>MD. MONIRUZZAMAN</v>
      </c>
      <c r="I1756" s="142" t="s">
        <v>468</v>
      </c>
      <c r="J1756" s="143" t="s">
        <v>358</v>
      </c>
      <c r="K1756" s="226">
        <v>14509.6</v>
      </c>
      <c r="L1756" s="226"/>
      <c r="P1756" s="156"/>
    </row>
    <row r="1757" spans="1:17" ht="33.75" x14ac:dyDescent="0.2">
      <c r="A1757" s="133">
        <v>2021</v>
      </c>
      <c r="B1757" s="133">
        <v>1</v>
      </c>
      <c r="C1757" s="133">
        <v>1</v>
      </c>
      <c r="D1757" s="141">
        <f t="shared" si="60"/>
        <v>44197</v>
      </c>
      <c r="E1757" s="275">
        <f t="shared" si="61"/>
        <v>44197</v>
      </c>
      <c r="F1757" s="481"/>
      <c r="G1757" s="174" t="s">
        <v>94</v>
      </c>
      <c r="H1757" s="174" t="str" cm="1">
        <f t="array" ref="H1757">IFERROR(INDEX(INVESTOR_LIST[INVESTOR NAME],MATCH(I1757,INVESTOR_LIST[INVESTOR CODE],0),)," ")</f>
        <v>MD. MONIRUZZAMAN</v>
      </c>
      <c r="I1757" s="148" t="s">
        <v>468</v>
      </c>
      <c r="J1757" s="149" t="s">
        <v>13</v>
      </c>
      <c r="K1757" s="218"/>
      <c r="L1757" s="218">
        <v>12230</v>
      </c>
      <c r="M1757" s="156">
        <v>1223.4064080944352</v>
      </c>
      <c r="Q1757" s="133" t="s">
        <v>348</v>
      </c>
    </row>
    <row r="1758" spans="1:17" ht="33.75" x14ac:dyDescent="0.2">
      <c r="A1758" s="163">
        <v>2021</v>
      </c>
      <c r="B1758" s="163">
        <v>1</v>
      </c>
      <c r="C1758" s="163">
        <v>1</v>
      </c>
      <c r="D1758" s="141">
        <f t="shared" si="60"/>
        <v>44197</v>
      </c>
      <c r="E1758" s="275">
        <f t="shared" si="61"/>
        <v>44197</v>
      </c>
      <c r="F1758" s="480"/>
      <c r="G1758" s="221" t="s">
        <v>94</v>
      </c>
      <c r="H1758" s="221" t="str" cm="1">
        <f t="array" ref="H1758">IFERROR(INDEX(INVESTOR_LIST[INVESTOR NAME],MATCH(I1758,INVESTOR_LIST[INVESTOR CODE],0),)," ")</f>
        <v>MD. MONIRUZZAMAN</v>
      </c>
      <c r="I1758" s="145" t="s">
        <v>468</v>
      </c>
      <c r="J1758" s="146" t="s">
        <v>53</v>
      </c>
      <c r="K1758" s="219"/>
      <c r="L1758" s="219">
        <v>2279.6</v>
      </c>
      <c r="Q1758" s="133" t="s">
        <v>348</v>
      </c>
    </row>
    <row r="1759" spans="1:17" ht="11.25" customHeight="1" x14ac:dyDescent="0.2">
      <c r="A1759" s="168">
        <v>2021</v>
      </c>
      <c r="B1759" s="168">
        <v>1</v>
      </c>
      <c r="C1759" s="168">
        <v>1</v>
      </c>
      <c r="D1759" s="141">
        <f t="shared" si="60"/>
        <v>44197</v>
      </c>
      <c r="E1759" s="275">
        <f t="shared" si="61"/>
        <v>44197</v>
      </c>
      <c r="F1759" s="479" t="s">
        <v>966</v>
      </c>
      <c r="G1759" s="220" t="s">
        <v>94</v>
      </c>
      <c r="H1759" s="220" t="str" cm="1">
        <f t="array" ref="H1759">IFERROR(INDEX(INVESTOR_LIST[INVESTOR NAME],MATCH(I1759,INVESTOR_LIST[INVESTOR CODE],0),)," ")</f>
        <v>SUHAIEB CHOWDHURY</v>
      </c>
      <c r="I1759" s="142" t="s">
        <v>472</v>
      </c>
      <c r="J1759" s="143" t="s">
        <v>358</v>
      </c>
      <c r="K1759" s="226">
        <v>14000</v>
      </c>
      <c r="L1759" s="226"/>
      <c r="Q1759" s="133" t="s">
        <v>348</v>
      </c>
    </row>
    <row r="1760" spans="1:17" ht="33.75" x14ac:dyDescent="0.2">
      <c r="A1760" s="133">
        <v>2021</v>
      </c>
      <c r="B1760" s="133">
        <v>1</v>
      </c>
      <c r="C1760" s="133">
        <v>1</v>
      </c>
      <c r="D1760" s="141">
        <f t="shared" si="60"/>
        <v>44197</v>
      </c>
      <c r="E1760" s="275">
        <f t="shared" si="61"/>
        <v>44197</v>
      </c>
      <c r="F1760" s="481"/>
      <c r="G1760" s="174" t="s">
        <v>94</v>
      </c>
      <c r="H1760" s="174" t="str" cm="1">
        <f t="array" ref="H1760">IFERROR(INDEX(INVESTOR_LIST[INVESTOR NAME],MATCH(I1760,INVESTOR_LIST[INVESTOR CODE],0),)," ")</f>
        <v>SUHAIEB CHOWDHURY</v>
      </c>
      <c r="I1760" s="148" t="s">
        <v>472</v>
      </c>
      <c r="J1760" s="149" t="s">
        <v>13</v>
      </c>
      <c r="K1760" s="218"/>
      <c r="L1760" s="218">
        <v>11800</v>
      </c>
      <c r="M1760" s="156">
        <v>1180.4384485666105</v>
      </c>
      <c r="N1760" s="160"/>
      <c r="Q1760" s="133" t="s">
        <v>348</v>
      </c>
    </row>
    <row r="1761" spans="1:17" ht="33.75" x14ac:dyDescent="0.2">
      <c r="A1761" s="163">
        <v>2021</v>
      </c>
      <c r="B1761" s="163">
        <v>1</v>
      </c>
      <c r="C1761" s="163">
        <v>1</v>
      </c>
      <c r="D1761" s="141">
        <f t="shared" si="60"/>
        <v>44197</v>
      </c>
      <c r="E1761" s="275">
        <f t="shared" si="61"/>
        <v>44197</v>
      </c>
      <c r="F1761" s="480"/>
      <c r="G1761" s="221" t="s">
        <v>94</v>
      </c>
      <c r="H1761" s="221" t="str" cm="1">
        <f t="array" ref="H1761">IFERROR(INDEX(INVESTOR_LIST[INVESTOR NAME],MATCH(I1761,INVESTOR_LIST[INVESTOR CODE],0),)," ")</f>
        <v>SUHAIEB CHOWDHURY</v>
      </c>
      <c r="I1761" s="145" t="s">
        <v>472</v>
      </c>
      <c r="J1761" s="146" t="s">
        <v>53</v>
      </c>
      <c r="K1761" s="219"/>
      <c r="L1761" s="219">
        <v>2200</v>
      </c>
      <c r="Q1761" s="133" t="s">
        <v>348</v>
      </c>
    </row>
    <row r="1762" spans="1:17" ht="11.25" customHeight="1" x14ac:dyDescent="0.2">
      <c r="A1762" s="168">
        <v>2021</v>
      </c>
      <c r="B1762" s="168">
        <v>1</v>
      </c>
      <c r="C1762" s="168">
        <v>1</v>
      </c>
      <c r="D1762" s="141">
        <f t="shared" si="60"/>
        <v>44197</v>
      </c>
      <c r="E1762" s="275">
        <f t="shared" si="61"/>
        <v>44197</v>
      </c>
      <c r="F1762" s="479" t="s">
        <v>966</v>
      </c>
      <c r="G1762" s="220" t="s">
        <v>94</v>
      </c>
      <c r="H1762" s="220" t="str" cm="1">
        <f t="array" ref="H1762">IFERROR(INDEX(INVESTOR_LIST[INVESTOR NAME],MATCH(I1762,INVESTOR_LIST[INVESTOR CODE],0),)," ")</f>
        <v>SAKIN AMIN KHAN</v>
      </c>
      <c r="I1762" s="142" t="s">
        <v>448</v>
      </c>
      <c r="J1762" s="143" t="s">
        <v>358</v>
      </c>
      <c r="K1762" s="226">
        <v>12856.800000000001</v>
      </c>
      <c r="L1762" s="226"/>
      <c r="Q1762" s="133" t="s">
        <v>348</v>
      </c>
    </row>
    <row r="1763" spans="1:17" ht="33.75" x14ac:dyDescent="0.2">
      <c r="A1763" s="133">
        <v>2021</v>
      </c>
      <c r="B1763" s="133">
        <v>1</v>
      </c>
      <c r="C1763" s="133">
        <v>1</v>
      </c>
      <c r="D1763" s="141">
        <f t="shared" si="60"/>
        <v>44197</v>
      </c>
      <c r="E1763" s="275">
        <f t="shared" si="61"/>
        <v>44197</v>
      </c>
      <c r="F1763" s="481"/>
      <c r="G1763" s="174" t="s">
        <v>94</v>
      </c>
      <c r="H1763" s="174" t="str" cm="1">
        <f t="array" ref="H1763">IFERROR(INDEX(INVESTOR_LIST[INVESTOR NAME],MATCH(I1763,INVESTOR_LIST[INVESTOR CODE],0),)," ")</f>
        <v>SAKIN AMIN KHAN</v>
      </c>
      <c r="I1763" s="148" t="s">
        <v>448</v>
      </c>
      <c r="J1763" s="149" t="s">
        <v>13</v>
      </c>
      <c r="K1763" s="218"/>
      <c r="L1763" s="218">
        <v>10840</v>
      </c>
      <c r="M1763" s="156">
        <v>1084.0472175379427</v>
      </c>
      <c r="N1763" s="160"/>
      <c r="Q1763" s="133" t="s">
        <v>348</v>
      </c>
    </row>
    <row r="1764" spans="1:17" ht="11.25" customHeight="1" x14ac:dyDescent="0.2">
      <c r="A1764" s="163">
        <v>2021</v>
      </c>
      <c r="B1764" s="163">
        <v>1</v>
      </c>
      <c r="C1764" s="163">
        <v>1</v>
      </c>
      <c r="D1764" s="141">
        <f t="shared" si="60"/>
        <v>44197</v>
      </c>
      <c r="E1764" s="275">
        <f t="shared" si="61"/>
        <v>44197</v>
      </c>
      <c r="F1764" s="480"/>
      <c r="G1764" s="221" t="s">
        <v>94</v>
      </c>
      <c r="H1764" s="221" t="str" cm="1">
        <f t="array" ref="H1764">IFERROR(INDEX(INVESTOR_LIST[INVESTOR NAME],MATCH(I1764,INVESTOR_LIST[INVESTOR CODE],0),)," ")</f>
        <v>SAKIN AMIN KHAN</v>
      </c>
      <c r="I1764" s="145" t="s">
        <v>448</v>
      </c>
      <c r="J1764" s="146" t="s">
        <v>53</v>
      </c>
      <c r="K1764" s="219"/>
      <c r="L1764" s="219">
        <v>2016.8</v>
      </c>
      <c r="M1764" s="160"/>
      <c r="N1764" s="160"/>
      <c r="Q1764" s="133" t="s">
        <v>348</v>
      </c>
    </row>
    <row r="1765" spans="1:17" ht="11.25" customHeight="1" x14ac:dyDescent="0.2">
      <c r="A1765" s="168">
        <v>2021</v>
      </c>
      <c r="B1765" s="168">
        <v>1</v>
      </c>
      <c r="C1765" s="168">
        <v>1</v>
      </c>
      <c r="D1765" s="141">
        <f t="shared" si="60"/>
        <v>44197</v>
      </c>
      <c r="E1765" s="275">
        <f t="shared" si="61"/>
        <v>44197</v>
      </c>
      <c r="F1765" s="479" t="s">
        <v>966</v>
      </c>
      <c r="G1765" s="220" t="s">
        <v>94</v>
      </c>
      <c r="H1765" s="220" t="str" cm="1">
        <f t="array" ref="H1765">IFERROR(INDEX(INVESTOR_LIST[INVESTOR NAME],MATCH(I1765,INVESTOR_LIST[INVESTOR CODE],0),)," ")</f>
        <v>ASIF AHMED</v>
      </c>
      <c r="I1765" s="142" t="s">
        <v>430</v>
      </c>
      <c r="J1765" s="143" t="s">
        <v>358</v>
      </c>
      <c r="K1765" s="226">
        <v>11904.800000000001</v>
      </c>
      <c r="L1765" s="226"/>
      <c r="Q1765" s="133" t="s">
        <v>348</v>
      </c>
    </row>
    <row r="1766" spans="1:17" ht="22.5" x14ac:dyDescent="0.2">
      <c r="A1766" s="133">
        <v>2021</v>
      </c>
      <c r="B1766" s="133">
        <v>1</v>
      </c>
      <c r="C1766" s="133">
        <v>1</v>
      </c>
      <c r="D1766" s="141">
        <f t="shared" si="60"/>
        <v>44197</v>
      </c>
      <c r="E1766" s="275">
        <f t="shared" si="61"/>
        <v>44197</v>
      </c>
      <c r="F1766" s="481"/>
      <c r="G1766" s="174" t="s">
        <v>94</v>
      </c>
      <c r="H1766" s="174" t="str" cm="1">
        <f t="array" ref="H1766">IFERROR(INDEX(INVESTOR_LIST[INVESTOR NAME],MATCH(I1766,INVESTOR_LIST[INVESTOR CODE],0),)," ")</f>
        <v>ASIF AHMED</v>
      </c>
      <c r="I1766" s="148" t="s">
        <v>430</v>
      </c>
      <c r="J1766" s="149" t="s">
        <v>13</v>
      </c>
      <c r="K1766" s="218"/>
      <c r="L1766" s="218">
        <v>10040</v>
      </c>
      <c r="M1766" s="156">
        <v>1003.7774030354133</v>
      </c>
      <c r="Q1766" s="133" t="s">
        <v>348</v>
      </c>
    </row>
    <row r="1767" spans="1:17" ht="22.5" x14ac:dyDescent="0.2">
      <c r="A1767" s="163">
        <v>2021</v>
      </c>
      <c r="B1767" s="163">
        <v>1</v>
      </c>
      <c r="C1767" s="163">
        <v>1</v>
      </c>
      <c r="D1767" s="141">
        <f t="shared" si="60"/>
        <v>44197</v>
      </c>
      <c r="E1767" s="275">
        <f t="shared" si="61"/>
        <v>44197</v>
      </c>
      <c r="F1767" s="480"/>
      <c r="G1767" s="221" t="s">
        <v>94</v>
      </c>
      <c r="H1767" s="221" t="str" cm="1">
        <f t="array" ref="H1767">IFERROR(INDEX(INVESTOR_LIST[INVESTOR NAME],MATCH(I1767,INVESTOR_LIST[INVESTOR CODE],0),)," ")</f>
        <v>ASIF AHMED</v>
      </c>
      <c r="I1767" s="145" t="s">
        <v>430</v>
      </c>
      <c r="J1767" s="146" t="s">
        <v>53</v>
      </c>
      <c r="K1767" s="219"/>
      <c r="L1767" s="219">
        <v>1864.8</v>
      </c>
      <c r="Q1767" s="133" t="s">
        <v>348</v>
      </c>
    </row>
    <row r="1768" spans="1:17" ht="11.25" customHeight="1" x14ac:dyDescent="0.2">
      <c r="A1768" s="168">
        <v>2021</v>
      </c>
      <c r="B1768" s="168">
        <v>1</v>
      </c>
      <c r="C1768" s="168">
        <v>1</v>
      </c>
      <c r="D1768" s="141">
        <f t="shared" si="60"/>
        <v>44197</v>
      </c>
      <c r="E1768" s="275">
        <f t="shared" si="61"/>
        <v>44197</v>
      </c>
      <c r="F1768" s="479" t="s">
        <v>966</v>
      </c>
      <c r="G1768" s="220" t="s">
        <v>94</v>
      </c>
      <c r="H1768" s="220" t="str" cm="1">
        <f t="array" ref="H1768">IFERROR(INDEX(INVESTOR_LIST[INVESTOR NAME],MATCH(I1768,INVESTOR_LIST[INVESTOR CODE],0),)," ")</f>
        <v>SWADESH RANJAN SAHA</v>
      </c>
      <c r="I1768" s="142" t="s">
        <v>461</v>
      </c>
      <c r="J1768" s="143" t="s">
        <v>358</v>
      </c>
      <c r="K1768" s="226">
        <v>10333.6</v>
      </c>
      <c r="L1768" s="226"/>
      <c r="Q1768" s="133" t="s">
        <v>348</v>
      </c>
    </row>
    <row r="1769" spans="1:17" ht="11.25" customHeight="1" x14ac:dyDescent="0.2">
      <c r="A1769" s="133">
        <v>2021</v>
      </c>
      <c r="B1769" s="133">
        <v>1</v>
      </c>
      <c r="C1769" s="133">
        <v>1</v>
      </c>
      <c r="D1769" s="141">
        <f t="shared" si="60"/>
        <v>44197</v>
      </c>
      <c r="E1769" s="275">
        <f t="shared" si="61"/>
        <v>44197</v>
      </c>
      <c r="F1769" s="481"/>
      <c r="G1769" s="174" t="s">
        <v>94</v>
      </c>
      <c r="H1769" s="174" t="str" cm="1">
        <f t="array" ref="H1769">IFERROR(INDEX(INVESTOR_LIST[INVESTOR NAME],MATCH(I1769,INVESTOR_LIST[INVESTOR CODE],0),)," ")</f>
        <v>SWADESH RANJAN SAHA</v>
      </c>
      <c r="I1769" s="148" t="s">
        <v>461</v>
      </c>
      <c r="J1769" s="149" t="s">
        <v>13</v>
      </c>
      <c r="K1769" s="218"/>
      <c r="L1769" s="218">
        <v>8710</v>
      </c>
      <c r="M1769" s="156">
        <v>871.29848229342338</v>
      </c>
      <c r="Q1769" s="133" t="s">
        <v>348</v>
      </c>
    </row>
    <row r="1770" spans="1:17" ht="11.25" customHeight="1" x14ac:dyDescent="0.2">
      <c r="A1770" s="163">
        <v>2021</v>
      </c>
      <c r="B1770" s="163">
        <v>1</v>
      </c>
      <c r="C1770" s="163">
        <v>1</v>
      </c>
      <c r="D1770" s="141">
        <f t="shared" si="60"/>
        <v>44197</v>
      </c>
      <c r="E1770" s="275">
        <f t="shared" si="61"/>
        <v>44197</v>
      </c>
      <c r="F1770" s="480"/>
      <c r="G1770" s="221" t="s">
        <v>94</v>
      </c>
      <c r="H1770" s="221" t="str" cm="1">
        <f t="array" ref="H1770">IFERROR(INDEX(INVESTOR_LIST[INVESTOR NAME],MATCH(I1770,INVESTOR_LIST[INVESTOR CODE],0),)," ")</f>
        <v>SWADESH RANJAN SAHA</v>
      </c>
      <c r="I1770" s="145" t="s">
        <v>461</v>
      </c>
      <c r="J1770" s="146" t="s">
        <v>53</v>
      </c>
      <c r="K1770" s="219"/>
      <c r="L1770" s="219">
        <v>1623.6</v>
      </c>
      <c r="Q1770" s="133" t="s">
        <v>348</v>
      </c>
    </row>
    <row r="1771" spans="1:17" ht="11.25" customHeight="1" x14ac:dyDescent="0.2">
      <c r="A1771" s="168">
        <v>2021</v>
      </c>
      <c r="B1771" s="168">
        <v>1</v>
      </c>
      <c r="C1771" s="168">
        <v>1</v>
      </c>
      <c r="D1771" s="141">
        <f t="shared" si="60"/>
        <v>44197</v>
      </c>
      <c r="E1771" s="275">
        <f t="shared" si="61"/>
        <v>44197</v>
      </c>
      <c r="F1771" s="479" t="s">
        <v>966</v>
      </c>
      <c r="G1771" s="220" t="s">
        <v>94</v>
      </c>
      <c r="H1771" s="220" t="str" cm="1">
        <f t="array" ref="H1771">IFERROR(INDEX(INVESTOR_LIST[INVESTOR NAME],MATCH(I1771,INVESTOR_LIST[INVESTOR CODE],0),)," ")</f>
        <v>ABDUL HAI BHUYAN</v>
      </c>
      <c r="I1771" s="142" t="s">
        <v>383</v>
      </c>
      <c r="J1771" s="143" t="s">
        <v>358</v>
      </c>
      <c r="K1771" s="226">
        <v>8000</v>
      </c>
      <c r="L1771" s="226"/>
      <c r="Q1771" s="133" t="s">
        <v>348</v>
      </c>
    </row>
    <row r="1772" spans="1:17" ht="33.75" x14ac:dyDescent="0.2">
      <c r="A1772" s="133">
        <v>2021</v>
      </c>
      <c r="B1772" s="133">
        <v>1</v>
      </c>
      <c r="C1772" s="133">
        <v>1</v>
      </c>
      <c r="D1772" s="141">
        <f t="shared" si="60"/>
        <v>44197</v>
      </c>
      <c r="E1772" s="275">
        <f t="shared" si="61"/>
        <v>44197</v>
      </c>
      <c r="F1772" s="481"/>
      <c r="G1772" s="174" t="s">
        <v>94</v>
      </c>
      <c r="H1772" s="174" t="str" cm="1">
        <f t="array" ref="H1772">IFERROR(INDEX(INVESTOR_LIST[INVESTOR NAME],MATCH(I1772,INVESTOR_LIST[INVESTOR CODE],0),)," ")</f>
        <v>ABDUL HAI BHUYAN</v>
      </c>
      <c r="I1772" s="148" t="s">
        <v>383</v>
      </c>
      <c r="J1772" s="149" t="s">
        <v>13</v>
      </c>
      <c r="K1772" s="218"/>
      <c r="L1772" s="218">
        <v>6750</v>
      </c>
      <c r="M1772" s="156">
        <v>674.53625632377748</v>
      </c>
      <c r="Q1772" s="133" t="s">
        <v>348</v>
      </c>
    </row>
    <row r="1773" spans="1:17" ht="33.75" x14ac:dyDescent="0.2">
      <c r="A1773" s="163">
        <v>2021</v>
      </c>
      <c r="B1773" s="163">
        <v>1</v>
      </c>
      <c r="C1773" s="163">
        <v>1</v>
      </c>
      <c r="D1773" s="141">
        <f t="shared" si="60"/>
        <v>44197</v>
      </c>
      <c r="E1773" s="275">
        <f t="shared" si="61"/>
        <v>44197</v>
      </c>
      <c r="F1773" s="480"/>
      <c r="G1773" s="221" t="s">
        <v>94</v>
      </c>
      <c r="H1773" s="221" t="str" cm="1">
        <f t="array" ref="H1773">IFERROR(INDEX(INVESTOR_LIST[INVESTOR NAME],MATCH(I1773,INVESTOR_LIST[INVESTOR CODE],0),)," ")</f>
        <v>ABDUL HAI BHUYAN</v>
      </c>
      <c r="I1773" s="145" t="s">
        <v>383</v>
      </c>
      <c r="J1773" s="146" t="s">
        <v>53</v>
      </c>
      <c r="K1773" s="219"/>
      <c r="L1773" s="219">
        <v>1250</v>
      </c>
      <c r="Q1773" s="133" t="s">
        <v>348</v>
      </c>
    </row>
    <row r="1774" spans="1:17" ht="11.25" customHeight="1" x14ac:dyDescent="0.2">
      <c r="A1774" s="168">
        <v>2021</v>
      </c>
      <c r="B1774" s="168">
        <v>1</v>
      </c>
      <c r="C1774" s="168">
        <v>1</v>
      </c>
      <c r="D1774" s="141">
        <f t="shared" si="60"/>
        <v>44197</v>
      </c>
      <c r="E1774" s="275">
        <f t="shared" si="61"/>
        <v>44197</v>
      </c>
      <c r="F1774" s="479" t="s">
        <v>966</v>
      </c>
      <c r="G1774" s="220" t="s">
        <v>94</v>
      </c>
      <c r="H1774" s="220" t="str" cm="1">
        <f t="array" ref="H1774">IFERROR(INDEX(INVESTOR_LIST[INVESTOR NAME],MATCH(I1774,INVESTOR_LIST[INVESTOR CODE],0),)," ")</f>
        <v>MRIDUL KUMAR DEY</v>
      </c>
      <c r="I1774" s="142" t="s">
        <v>388</v>
      </c>
      <c r="J1774" s="143" t="s">
        <v>358</v>
      </c>
      <c r="K1774" s="226">
        <v>8000</v>
      </c>
      <c r="L1774" s="226"/>
      <c r="Q1774" s="133" t="s">
        <v>348</v>
      </c>
    </row>
    <row r="1775" spans="1:17" ht="33.75" x14ac:dyDescent="0.2">
      <c r="A1775" s="133">
        <v>2021</v>
      </c>
      <c r="B1775" s="133">
        <v>1</v>
      </c>
      <c r="C1775" s="133">
        <v>1</v>
      </c>
      <c r="D1775" s="141">
        <f t="shared" si="60"/>
        <v>44197</v>
      </c>
      <c r="E1775" s="275">
        <f t="shared" si="61"/>
        <v>44197</v>
      </c>
      <c r="F1775" s="481"/>
      <c r="G1775" s="174" t="s">
        <v>94</v>
      </c>
      <c r="H1775" s="174" t="str" cm="1">
        <f t="array" ref="H1775">IFERROR(INDEX(INVESTOR_LIST[INVESTOR NAME],MATCH(I1775,INVESTOR_LIST[INVESTOR CODE],0),)," ")</f>
        <v>MRIDUL KUMAR DEY</v>
      </c>
      <c r="I1775" s="148" t="s">
        <v>388</v>
      </c>
      <c r="J1775" s="149" t="s">
        <v>13</v>
      </c>
      <c r="K1775" s="218"/>
      <c r="L1775" s="218">
        <v>6750</v>
      </c>
      <c r="Q1775" s="133" t="s">
        <v>348</v>
      </c>
    </row>
    <row r="1776" spans="1:17" ht="33.75" x14ac:dyDescent="0.2">
      <c r="A1776" s="163">
        <v>2021</v>
      </c>
      <c r="B1776" s="163">
        <v>1</v>
      </c>
      <c r="C1776" s="163">
        <v>1</v>
      </c>
      <c r="D1776" s="141">
        <f t="shared" si="60"/>
        <v>44197</v>
      </c>
      <c r="E1776" s="275">
        <f t="shared" si="61"/>
        <v>44197</v>
      </c>
      <c r="F1776" s="480"/>
      <c r="G1776" s="221" t="s">
        <v>94</v>
      </c>
      <c r="H1776" s="221" t="str" cm="1">
        <f t="array" ref="H1776">IFERROR(INDEX(INVESTOR_LIST[INVESTOR NAME],MATCH(I1776,INVESTOR_LIST[INVESTOR CODE],0),)," ")</f>
        <v>MRIDUL KUMAR DEY</v>
      </c>
      <c r="I1776" s="145" t="s">
        <v>388</v>
      </c>
      <c r="J1776" s="146" t="s">
        <v>53</v>
      </c>
      <c r="K1776" s="219"/>
      <c r="L1776" s="219">
        <v>1250</v>
      </c>
      <c r="N1776" s="160"/>
      <c r="Q1776" s="133" t="s">
        <v>348</v>
      </c>
    </row>
    <row r="1777" spans="1:17" ht="11.25" customHeight="1" x14ac:dyDescent="0.2">
      <c r="A1777" s="168">
        <v>2021</v>
      </c>
      <c r="B1777" s="168">
        <v>1</v>
      </c>
      <c r="C1777" s="168">
        <v>1</v>
      </c>
      <c r="D1777" s="141">
        <f t="shared" si="60"/>
        <v>44197</v>
      </c>
      <c r="E1777" s="275">
        <f t="shared" si="61"/>
        <v>44197</v>
      </c>
      <c r="F1777" s="479" t="s">
        <v>966</v>
      </c>
      <c r="G1777" s="220" t="s">
        <v>94</v>
      </c>
      <c r="H1777" s="220" t="str" cm="1">
        <f t="array" ref="H1777">IFERROR(INDEX(INVESTOR_LIST[INVESTOR NAME],MATCH(I1777,INVESTOR_LIST[INVESTOR CODE],0),)," ")</f>
        <v>JHARNA RANI SAHA</v>
      </c>
      <c r="I1777" s="142" t="s">
        <v>445</v>
      </c>
      <c r="J1777" s="143" t="s">
        <v>358</v>
      </c>
      <c r="K1777" s="226">
        <v>7187.2000000000007</v>
      </c>
      <c r="L1777" s="226"/>
      <c r="Q1777" s="133" t="s">
        <v>348</v>
      </c>
    </row>
    <row r="1778" spans="1:17" ht="33.75" x14ac:dyDescent="0.2">
      <c r="A1778" s="133">
        <v>2021</v>
      </c>
      <c r="B1778" s="133">
        <v>1</v>
      </c>
      <c r="C1778" s="133">
        <v>1</v>
      </c>
      <c r="D1778" s="141">
        <f t="shared" si="60"/>
        <v>44197</v>
      </c>
      <c r="E1778" s="275">
        <f t="shared" si="61"/>
        <v>44197</v>
      </c>
      <c r="F1778" s="481"/>
      <c r="G1778" s="174" t="s">
        <v>94</v>
      </c>
      <c r="H1778" s="174" t="str" cm="1">
        <f t="array" ref="H1778">IFERROR(INDEX(INVESTOR_LIST[INVESTOR NAME],MATCH(I1778,INVESTOR_LIST[INVESTOR CODE],0),)," ")</f>
        <v>JHARNA RANI SAHA</v>
      </c>
      <c r="I1778" s="148" t="s">
        <v>445</v>
      </c>
      <c r="J1778" s="149" t="s">
        <v>13</v>
      </c>
      <c r="K1778" s="218"/>
      <c r="L1778" s="218">
        <v>6060</v>
      </c>
      <c r="M1778" s="156">
        <v>606.00337268128169</v>
      </c>
      <c r="Q1778" s="133" t="s">
        <v>348</v>
      </c>
    </row>
    <row r="1779" spans="1:17" ht="33.75" x14ac:dyDescent="0.2">
      <c r="A1779" s="163">
        <v>2021</v>
      </c>
      <c r="B1779" s="163">
        <v>1</v>
      </c>
      <c r="C1779" s="163">
        <v>1</v>
      </c>
      <c r="D1779" s="141">
        <f t="shared" si="60"/>
        <v>44197</v>
      </c>
      <c r="E1779" s="275">
        <f t="shared" si="61"/>
        <v>44197</v>
      </c>
      <c r="F1779" s="480"/>
      <c r="G1779" s="221" t="s">
        <v>94</v>
      </c>
      <c r="H1779" s="221" t="str" cm="1">
        <f t="array" ref="H1779">IFERROR(INDEX(INVESTOR_LIST[INVESTOR NAME],MATCH(I1779,INVESTOR_LIST[INVESTOR CODE],0),)," ")</f>
        <v>JHARNA RANI SAHA</v>
      </c>
      <c r="I1779" s="145" t="s">
        <v>445</v>
      </c>
      <c r="J1779" s="146" t="s">
        <v>53</v>
      </c>
      <c r="K1779" s="219"/>
      <c r="L1779" s="219">
        <v>1127.2</v>
      </c>
      <c r="Q1779" s="133" t="s">
        <v>348</v>
      </c>
    </row>
    <row r="1780" spans="1:17" s="186" customFormat="1" ht="11.25" customHeight="1" x14ac:dyDescent="0.2">
      <c r="A1780" s="168">
        <v>2021</v>
      </c>
      <c r="B1780" s="168">
        <v>1</v>
      </c>
      <c r="C1780" s="168">
        <v>1</v>
      </c>
      <c r="D1780" s="141">
        <f t="shared" si="60"/>
        <v>44197</v>
      </c>
      <c r="E1780" s="275">
        <f t="shared" si="61"/>
        <v>44197</v>
      </c>
      <c r="F1780" s="479" t="s">
        <v>966</v>
      </c>
      <c r="G1780" s="220" t="s">
        <v>94</v>
      </c>
      <c r="H1780" s="220" t="str" cm="1">
        <f t="array" ref="H1780">IFERROR(INDEX(INVESTOR_LIST[INVESTOR NAME],MATCH(I1780,INVESTOR_LIST[INVESTOR CODE],0),)," ")</f>
        <v>MORSHEDA MIM</v>
      </c>
      <c r="I1780" s="142" t="s">
        <v>373</v>
      </c>
      <c r="J1780" s="143" t="s">
        <v>358</v>
      </c>
      <c r="K1780" s="226">
        <v>4400</v>
      </c>
      <c r="L1780" s="226"/>
      <c r="Q1780" s="133" t="s">
        <v>348</v>
      </c>
    </row>
    <row r="1781" spans="1:17" s="186" customFormat="1" ht="22.5" x14ac:dyDescent="0.2">
      <c r="A1781" s="133">
        <v>2021</v>
      </c>
      <c r="B1781" s="133">
        <v>1</v>
      </c>
      <c r="C1781" s="133">
        <v>1</v>
      </c>
      <c r="D1781" s="141">
        <f t="shared" si="60"/>
        <v>44197</v>
      </c>
      <c r="E1781" s="275">
        <f t="shared" si="61"/>
        <v>44197</v>
      </c>
      <c r="F1781" s="481"/>
      <c r="G1781" s="174" t="s">
        <v>94</v>
      </c>
      <c r="H1781" s="174" t="str" cm="1">
        <f t="array" ref="H1781">IFERROR(INDEX(INVESTOR_LIST[INVESTOR NAME],MATCH(I1781,INVESTOR_LIST[INVESTOR CODE],0),)," ")</f>
        <v>MORSHEDA MIM</v>
      </c>
      <c r="I1781" s="148" t="s">
        <v>373</v>
      </c>
      <c r="J1781" s="149" t="s">
        <v>13</v>
      </c>
      <c r="K1781" s="218"/>
      <c r="L1781" s="218">
        <v>3710</v>
      </c>
      <c r="M1781" s="256">
        <v>370.99494097807758</v>
      </c>
      <c r="Q1781" s="133" t="s">
        <v>348</v>
      </c>
    </row>
    <row r="1782" spans="1:17" s="186" customFormat="1" ht="22.5" x14ac:dyDescent="0.2">
      <c r="A1782" s="163">
        <v>2021</v>
      </c>
      <c r="B1782" s="163">
        <v>1</v>
      </c>
      <c r="C1782" s="163">
        <v>1</v>
      </c>
      <c r="D1782" s="141">
        <f t="shared" si="60"/>
        <v>44197</v>
      </c>
      <c r="E1782" s="275">
        <f t="shared" si="61"/>
        <v>44197</v>
      </c>
      <c r="F1782" s="480"/>
      <c r="G1782" s="221" t="s">
        <v>94</v>
      </c>
      <c r="H1782" s="221" t="str" cm="1">
        <f t="array" ref="H1782">IFERROR(INDEX(INVESTOR_LIST[INVESTOR NAME],MATCH(I1782,INVESTOR_LIST[INVESTOR CODE],0),)," ")</f>
        <v>MORSHEDA MIM</v>
      </c>
      <c r="I1782" s="145" t="s">
        <v>373</v>
      </c>
      <c r="J1782" s="146" t="s">
        <v>53</v>
      </c>
      <c r="K1782" s="219"/>
      <c r="L1782" s="219">
        <v>690</v>
      </c>
      <c r="Q1782" s="133" t="s">
        <v>348</v>
      </c>
    </row>
    <row r="1783" spans="1:17" s="186" customFormat="1" ht="11.25" customHeight="1" x14ac:dyDescent="0.2">
      <c r="A1783" s="168">
        <v>2021</v>
      </c>
      <c r="B1783" s="168">
        <v>1</v>
      </c>
      <c r="C1783" s="168">
        <v>1</v>
      </c>
      <c r="D1783" s="141">
        <f t="shared" si="60"/>
        <v>44197</v>
      </c>
      <c r="E1783" s="275">
        <f t="shared" si="61"/>
        <v>44197</v>
      </c>
      <c r="F1783" s="479" t="s">
        <v>966</v>
      </c>
      <c r="G1783" s="220" t="s">
        <v>94</v>
      </c>
      <c r="H1783" s="220" t="str" cm="1">
        <f t="array" ref="H1783">IFERROR(INDEX(INVESTOR_LIST[INVESTOR NAME],MATCH(I1783,INVESTOR_LIST[INVESTOR CODE],0),)," ")</f>
        <v>ARIFUR RAHMAN</v>
      </c>
      <c r="I1783" s="142" t="s">
        <v>469</v>
      </c>
      <c r="J1783" s="143" t="s">
        <v>358</v>
      </c>
      <c r="K1783" s="226">
        <v>3475.2000000000003</v>
      </c>
      <c r="L1783" s="226"/>
      <c r="Q1783" s="133" t="s">
        <v>348</v>
      </c>
    </row>
    <row r="1784" spans="1:17" s="186" customFormat="1" ht="22.5" x14ac:dyDescent="0.2">
      <c r="A1784" s="133">
        <v>2021</v>
      </c>
      <c r="B1784" s="133">
        <v>1</v>
      </c>
      <c r="C1784" s="133">
        <v>1</v>
      </c>
      <c r="D1784" s="141">
        <f t="shared" si="60"/>
        <v>44197</v>
      </c>
      <c r="E1784" s="275">
        <f t="shared" si="61"/>
        <v>44197</v>
      </c>
      <c r="F1784" s="481"/>
      <c r="G1784" s="174" t="s">
        <v>94</v>
      </c>
      <c r="H1784" s="174" t="str" cm="1">
        <f t="array" ref="H1784">IFERROR(INDEX(INVESTOR_LIST[INVESTOR NAME],MATCH(I1784,INVESTOR_LIST[INVESTOR CODE],0),)," ")</f>
        <v>ARIFUR RAHMAN</v>
      </c>
      <c r="I1784" s="148" t="s">
        <v>469</v>
      </c>
      <c r="J1784" s="149" t="s">
        <v>13</v>
      </c>
      <c r="K1784" s="218"/>
      <c r="L1784" s="218">
        <v>2930</v>
      </c>
      <c r="M1784" s="256">
        <v>293.01854974704895</v>
      </c>
      <c r="Q1784" s="133" t="s">
        <v>348</v>
      </c>
    </row>
    <row r="1785" spans="1:17" s="186" customFormat="1" ht="22.5" x14ac:dyDescent="0.2">
      <c r="A1785" s="163">
        <v>2021</v>
      </c>
      <c r="B1785" s="163">
        <v>1</v>
      </c>
      <c r="C1785" s="163">
        <v>1</v>
      </c>
      <c r="D1785" s="141">
        <f t="shared" si="60"/>
        <v>44197</v>
      </c>
      <c r="E1785" s="275">
        <f t="shared" si="61"/>
        <v>44197</v>
      </c>
      <c r="F1785" s="480"/>
      <c r="G1785" s="221" t="s">
        <v>94</v>
      </c>
      <c r="H1785" s="221" t="str" cm="1">
        <f t="array" ref="H1785">IFERROR(INDEX(INVESTOR_LIST[INVESTOR NAME],MATCH(I1785,INVESTOR_LIST[INVESTOR CODE],0),)," ")</f>
        <v>ARIFUR RAHMAN</v>
      </c>
      <c r="I1785" s="145" t="s">
        <v>469</v>
      </c>
      <c r="J1785" s="146" t="s">
        <v>53</v>
      </c>
      <c r="K1785" s="219"/>
      <c r="L1785" s="219">
        <v>545.20000000000005</v>
      </c>
      <c r="Q1785" s="133" t="s">
        <v>348</v>
      </c>
    </row>
    <row r="1786" spans="1:17" s="186" customFormat="1" ht="11.25" customHeight="1" x14ac:dyDescent="0.2">
      <c r="A1786" s="168">
        <v>2021</v>
      </c>
      <c r="B1786" s="168">
        <v>1</v>
      </c>
      <c r="C1786" s="168">
        <v>1</v>
      </c>
      <c r="D1786" s="141">
        <f t="shared" si="60"/>
        <v>44197</v>
      </c>
      <c r="E1786" s="275">
        <f t="shared" si="61"/>
        <v>44197</v>
      </c>
      <c r="F1786" s="479" t="s">
        <v>966</v>
      </c>
      <c r="G1786" s="220" t="s">
        <v>94</v>
      </c>
      <c r="H1786" s="220" t="str" cm="1">
        <f t="array" ref="H1786">IFERROR(INDEX(INVESTOR_LIST[INVESTOR NAME],MATCH(I1786,INVESTOR_LIST[INVESTOR CODE],0),)," ")</f>
        <v>SHAMSUZZAMAN</v>
      </c>
      <c r="I1786" s="142" t="s">
        <v>465</v>
      </c>
      <c r="J1786" s="143" t="s">
        <v>358</v>
      </c>
      <c r="K1786" s="226">
        <v>2068.8000000000002</v>
      </c>
      <c r="L1786" s="226"/>
      <c r="N1786" s="204"/>
      <c r="Q1786" s="133" t="s">
        <v>348</v>
      </c>
    </row>
    <row r="1787" spans="1:17" s="186" customFormat="1" ht="22.5" x14ac:dyDescent="0.2">
      <c r="A1787" s="133">
        <v>2021</v>
      </c>
      <c r="B1787" s="133">
        <v>1</v>
      </c>
      <c r="C1787" s="133">
        <v>1</v>
      </c>
      <c r="D1787" s="141">
        <f t="shared" si="60"/>
        <v>44197</v>
      </c>
      <c r="E1787" s="275">
        <f t="shared" si="61"/>
        <v>44197</v>
      </c>
      <c r="F1787" s="481"/>
      <c r="G1787" s="174" t="s">
        <v>94</v>
      </c>
      <c r="H1787" s="174" t="str" cm="1">
        <f t="array" ref="H1787">IFERROR(INDEX(INVESTOR_LIST[INVESTOR NAME],MATCH(I1787,INVESTOR_LIST[INVESTOR CODE],0),)," ")</f>
        <v>SHAMSUZZAMAN</v>
      </c>
      <c r="I1787" s="148" t="s">
        <v>465</v>
      </c>
      <c r="J1787" s="149" t="s">
        <v>13</v>
      </c>
      <c r="K1787" s="218"/>
      <c r="L1787" s="218">
        <v>1740</v>
      </c>
      <c r="M1787" s="256">
        <v>174.43507588532887</v>
      </c>
      <c r="N1787" s="204"/>
      <c r="Q1787" s="133" t="s">
        <v>348</v>
      </c>
    </row>
    <row r="1788" spans="1:17" s="186" customFormat="1" ht="22.5" x14ac:dyDescent="0.2">
      <c r="A1788" s="163">
        <v>2021</v>
      </c>
      <c r="B1788" s="163">
        <v>1</v>
      </c>
      <c r="C1788" s="163">
        <v>1</v>
      </c>
      <c r="D1788" s="141">
        <f t="shared" si="60"/>
        <v>44197</v>
      </c>
      <c r="E1788" s="275">
        <f t="shared" si="61"/>
        <v>44197</v>
      </c>
      <c r="F1788" s="480"/>
      <c r="G1788" s="221" t="s">
        <v>94</v>
      </c>
      <c r="H1788" s="221" t="str" cm="1">
        <f t="array" ref="H1788">IFERROR(INDEX(INVESTOR_LIST[INVESTOR NAME],MATCH(I1788,INVESTOR_LIST[INVESTOR CODE],0),)," ")</f>
        <v>SHAMSUZZAMAN</v>
      </c>
      <c r="I1788" s="145" t="s">
        <v>465</v>
      </c>
      <c r="J1788" s="146" t="s">
        <v>53</v>
      </c>
      <c r="K1788" s="219"/>
      <c r="L1788" s="219">
        <v>328.8</v>
      </c>
      <c r="N1788" s="204"/>
      <c r="Q1788" s="133" t="s">
        <v>348</v>
      </c>
    </row>
    <row r="1789" spans="1:17" s="186" customFormat="1" ht="11.25" customHeight="1" x14ac:dyDescent="0.2">
      <c r="A1789" s="168">
        <v>2021</v>
      </c>
      <c r="B1789" s="168">
        <v>1</v>
      </c>
      <c r="C1789" s="168">
        <v>1</v>
      </c>
      <c r="D1789" s="141">
        <f t="shared" si="60"/>
        <v>44197</v>
      </c>
      <c r="E1789" s="275">
        <f t="shared" si="61"/>
        <v>44197</v>
      </c>
      <c r="F1789" s="479" t="s">
        <v>966</v>
      </c>
      <c r="G1789" s="220" t="s">
        <v>94</v>
      </c>
      <c r="H1789" s="220" t="str" cm="1">
        <f t="array" ref="H1789">IFERROR(INDEX(INVESTOR_LIST[INVESTOR NAME],MATCH(I1789,INVESTOR_LIST[INVESTOR CODE],0),)," ")</f>
        <v>N M AL HOSSAIN</v>
      </c>
      <c r="I1789" s="142" t="s">
        <v>470</v>
      </c>
      <c r="J1789" s="143" t="s">
        <v>358</v>
      </c>
      <c r="K1789" s="226">
        <v>1386.4</v>
      </c>
      <c r="L1789" s="226"/>
      <c r="Q1789" s="133" t="s">
        <v>348</v>
      </c>
    </row>
    <row r="1790" spans="1:17" s="186" customFormat="1" ht="22.5" x14ac:dyDescent="0.2">
      <c r="A1790" s="133">
        <v>2021</v>
      </c>
      <c r="B1790" s="133">
        <v>1</v>
      </c>
      <c r="C1790" s="133">
        <v>1</v>
      </c>
      <c r="D1790" s="141">
        <f t="shared" si="60"/>
        <v>44197</v>
      </c>
      <c r="E1790" s="275">
        <f t="shared" si="61"/>
        <v>44197</v>
      </c>
      <c r="F1790" s="481"/>
      <c r="G1790" s="174" t="s">
        <v>94</v>
      </c>
      <c r="H1790" s="174" t="str" cm="1">
        <f t="array" ref="H1790">IFERROR(INDEX(INVESTOR_LIST[INVESTOR NAME],MATCH(I1790,INVESTOR_LIST[INVESTOR CODE],0),)," ")</f>
        <v>N M AL HOSSAIN</v>
      </c>
      <c r="I1790" s="148" t="s">
        <v>470</v>
      </c>
      <c r="J1790" s="149" t="s">
        <v>13</v>
      </c>
      <c r="K1790" s="218"/>
      <c r="L1790" s="218">
        <v>1170</v>
      </c>
      <c r="M1790" s="256">
        <v>116.89713322091063</v>
      </c>
      <c r="Q1790" s="133" t="s">
        <v>348</v>
      </c>
    </row>
    <row r="1791" spans="1:17" ht="22.5" x14ac:dyDescent="0.2">
      <c r="A1791" s="163">
        <v>2021</v>
      </c>
      <c r="B1791" s="163">
        <v>1</v>
      </c>
      <c r="C1791" s="163">
        <v>1</v>
      </c>
      <c r="D1791" s="141">
        <f t="shared" si="60"/>
        <v>44197</v>
      </c>
      <c r="E1791" s="275">
        <f t="shared" si="61"/>
        <v>44197</v>
      </c>
      <c r="F1791" s="480"/>
      <c r="G1791" s="221" t="s">
        <v>94</v>
      </c>
      <c r="H1791" s="221" t="str" cm="1">
        <f t="array" ref="H1791">IFERROR(INDEX(INVESTOR_LIST[INVESTOR NAME],MATCH(I1791,INVESTOR_LIST[INVESTOR CODE],0),)," ")</f>
        <v>N M AL HOSSAIN</v>
      </c>
      <c r="I1791" s="145" t="s">
        <v>470</v>
      </c>
      <c r="J1791" s="146" t="s">
        <v>53</v>
      </c>
      <c r="K1791" s="219"/>
      <c r="L1791" s="219">
        <v>216.4</v>
      </c>
      <c r="Q1791" s="133" t="s">
        <v>348</v>
      </c>
    </row>
    <row r="1792" spans="1:17" ht="11.25" customHeight="1" x14ac:dyDescent="0.2">
      <c r="A1792" s="168">
        <v>2021</v>
      </c>
      <c r="B1792" s="168">
        <v>1</v>
      </c>
      <c r="C1792" s="168">
        <v>1</v>
      </c>
      <c r="D1792" s="141">
        <f t="shared" si="60"/>
        <v>44197</v>
      </c>
      <c r="E1792" s="275">
        <f t="shared" si="61"/>
        <v>44197</v>
      </c>
      <c r="F1792" s="479" t="s">
        <v>966</v>
      </c>
      <c r="G1792" s="220" t="s">
        <v>94</v>
      </c>
      <c r="H1792" s="220" t="str" cm="1">
        <f t="array" ref="H1792">IFERROR(INDEX(INVESTOR_LIST[INVESTOR NAME],MATCH(I1792,INVESTOR_LIST[INVESTOR CODE],0),)," ")</f>
        <v>JNANDIP PAUL</v>
      </c>
      <c r="I1792" s="142" t="s">
        <v>459</v>
      </c>
      <c r="J1792" s="143" t="s">
        <v>358</v>
      </c>
      <c r="K1792" s="226">
        <v>521.6</v>
      </c>
      <c r="L1792" s="226"/>
      <c r="N1792" s="156"/>
      <c r="Q1792" s="133" t="s">
        <v>348</v>
      </c>
    </row>
    <row r="1793" spans="1:17" ht="22.5" x14ac:dyDescent="0.2">
      <c r="A1793" s="133">
        <v>2021</v>
      </c>
      <c r="B1793" s="133">
        <v>1</v>
      </c>
      <c r="C1793" s="133">
        <v>1</v>
      </c>
      <c r="D1793" s="141">
        <f t="shared" si="60"/>
        <v>44197</v>
      </c>
      <c r="E1793" s="275">
        <f t="shared" si="61"/>
        <v>44197</v>
      </c>
      <c r="F1793" s="481"/>
      <c r="G1793" s="174" t="s">
        <v>94</v>
      </c>
      <c r="H1793" s="174" t="str" cm="1">
        <f t="array" ref="H1793">IFERROR(INDEX(INVESTOR_LIST[INVESTOR NAME],MATCH(I1793,INVESTOR_LIST[INVESTOR CODE],0),)," ")</f>
        <v>JNANDIP PAUL</v>
      </c>
      <c r="I1793" s="148" t="s">
        <v>459</v>
      </c>
      <c r="J1793" s="149" t="s">
        <v>13</v>
      </c>
      <c r="K1793" s="218"/>
      <c r="L1793" s="218">
        <v>440</v>
      </c>
      <c r="M1793" s="156">
        <v>43.97976391231029</v>
      </c>
      <c r="Q1793" s="133" t="s">
        <v>348</v>
      </c>
    </row>
    <row r="1794" spans="1:17" ht="11.25" customHeight="1" x14ac:dyDescent="0.2">
      <c r="A1794" s="163">
        <v>2021</v>
      </c>
      <c r="B1794" s="163">
        <v>1</v>
      </c>
      <c r="C1794" s="163">
        <v>1</v>
      </c>
      <c r="D1794" s="141">
        <f t="shared" si="60"/>
        <v>44197</v>
      </c>
      <c r="E1794" s="275">
        <f t="shared" si="61"/>
        <v>44197</v>
      </c>
      <c r="F1794" s="480"/>
      <c r="G1794" s="221" t="s">
        <v>94</v>
      </c>
      <c r="H1794" s="221" t="str" cm="1">
        <f t="array" ref="H1794">IFERROR(INDEX(INVESTOR_LIST[INVESTOR NAME],MATCH(I1794,INVESTOR_LIST[INVESTOR CODE],0),)," ")</f>
        <v>JNANDIP PAUL</v>
      </c>
      <c r="I1794" s="145" t="s">
        <v>459</v>
      </c>
      <c r="J1794" s="146" t="s">
        <v>53</v>
      </c>
      <c r="K1794" s="219"/>
      <c r="L1794" s="219">
        <v>81.599999999999994</v>
      </c>
      <c r="Q1794" s="133" t="s">
        <v>348</v>
      </c>
    </row>
    <row r="1795" spans="1:17" x14ac:dyDescent="0.2">
      <c r="A1795" s="133">
        <v>2021</v>
      </c>
      <c r="B1795" s="133">
        <v>1</v>
      </c>
      <c r="C1795" s="133">
        <v>3</v>
      </c>
      <c r="D1795" s="141">
        <f t="shared" si="60"/>
        <v>44199</v>
      </c>
      <c r="E1795" s="275">
        <f t="shared" si="61"/>
        <v>44199</v>
      </c>
      <c r="F1795" s="481" t="s">
        <v>277</v>
      </c>
      <c r="G1795" s="174" t="s">
        <v>74</v>
      </c>
      <c r="H1795" s="174" t="str" cm="1">
        <f t="array" ref="H1795">IFERROR(INDEX(INVESTOR_LIST[INVESTOR NAME],MATCH(I1795,INVESTOR_LIST[INVESTOR CODE],0),)," ")</f>
        <v xml:space="preserve"> </v>
      </c>
      <c r="I1795" s="148" t="s">
        <v>348</v>
      </c>
      <c r="J1795" s="149" t="s">
        <v>147</v>
      </c>
      <c r="K1795" s="218">
        <v>1968872.8</v>
      </c>
      <c r="L1795" s="218"/>
      <c r="Q1795" s="133" t="s">
        <v>471</v>
      </c>
    </row>
    <row r="1796" spans="1:17" ht="11.25" customHeight="1" x14ac:dyDescent="0.2">
      <c r="A1796" s="133">
        <v>2021</v>
      </c>
      <c r="B1796" s="133">
        <v>1</v>
      </c>
      <c r="C1796" s="133">
        <v>3</v>
      </c>
      <c r="D1796" s="141">
        <f t="shared" si="60"/>
        <v>44199</v>
      </c>
      <c r="E1796" s="275">
        <f t="shared" si="61"/>
        <v>44199</v>
      </c>
      <c r="F1796" s="480"/>
      <c r="G1796" s="174" t="s">
        <v>74</v>
      </c>
      <c r="H1796" s="174" t="str" cm="1">
        <f t="array" ref="H1796">IFERROR(INDEX(INVESTOR_LIST[INVESTOR NAME],MATCH(I1796,INVESTOR_LIST[INVESTOR CODE],0),)," ")</f>
        <v xml:space="preserve"> </v>
      </c>
      <c r="I1796" s="148" t="s">
        <v>348</v>
      </c>
      <c r="J1796" s="149" t="s">
        <v>52</v>
      </c>
      <c r="K1796" s="218"/>
      <c r="L1796" s="218">
        <v>1968872.8</v>
      </c>
      <c r="Q1796" s="133" t="s">
        <v>471</v>
      </c>
    </row>
    <row r="1797" spans="1:17" x14ac:dyDescent="0.2">
      <c r="A1797" s="168">
        <v>2021</v>
      </c>
      <c r="B1797" s="168">
        <v>1</v>
      </c>
      <c r="C1797" s="168">
        <v>3</v>
      </c>
      <c r="D1797" s="141">
        <f t="shared" si="60"/>
        <v>44199</v>
      </c>
      <c r="E1797" s="275">
        <f t="shared" si="61"/>
        <v>44199</v>
      </c>
      <c r="F1797" s="479" t="s">
        <v>343</v>
      </c>
      <c r="G1797" s="220" t="s">
        <v>94</v>
      </c>
      <c r="H1797" s="220" t="str" cm="1">
        <f t="array" ref="H1797">IFERROR(INDEX(INVESTOR_LIST[INVESTOR NAME],MATCH(I1797,INVESTOR_LIST[INVESTOR CODE],0),)," ")</f>
        <v xml:space="preserve"> </v>
      </c>
      <c r="I1797" s="142" t="s">
        <v>348</v>
      </c>
      <c r="J1797" s="143" t="s">
        <v>79</v>
      </c>
      <c r="K1797" s="226">
        <v>7360845.2000000002</v>
      </c>
      <c r="L1797" s="226"/>
      <c r="N1797" s="156">
        <f>K1849/(12.66-0.8)</f>
        <v>5025.2951096121415</v>
      </c>
      <c r="Q1797" s="133" t="s">
        <v>471</v>
      </c>
    </row>
    <row r="1798" spans="1:17" x14ac:dyDescent="0.2">
      <c r="A1798" s="133">
        <v>2021</v>
      </c>
      <c r="B1798" s="133">
        <v>1</v>
      </c>
      <c r="C1798" s="133">
        <v>3</v>
      </c>
      <c r="D1798" s="141">
        <f t="shared" si="60"/>
        <v>44199</v>
      </c>
      <c r="E1798" s="275">
        <f t="shared" si="61"/>
        <v>44199</v>
      </c>
      <c r="F1798" s="481"/>
      <c r="G1798" s="174" t="s">
        <v>94</v>
      </c>
      <c r="H1798" s="174" t="str" cm="1">
        <f t="array" ref="H1798">IFERROR(INDEX(INVESTOR_LIST[INVESTOR NAME],MATCH(I1798,INVESTOR_LIST[INVESTOR CODE],0),)," ")</f>
        <v xml:space="preserve"> </v>
      </c>
      <c r="I1798" s="148" t="s">
        <v>348</v>
      </c>
      <c r="J1798" s="149" t="s">
        <v>80</v>
      </c>
      <c r="K1798" s="218">
        <f>13249.52+13773.64</f>
        <v>27023.16</v>
      </c>
      <c r="L1798" s="218"/>
      <c r="M1798" s="160"/>
      <c r="Q1798" s="133" t="s">
        <v>471</v>
      </c>
    </row>
    <row r="1799" spans="1:17" ht="11.25" customHeight="1" x14ac:dyDescent="0.2">
      <c r="A1799" s="133">
        <v>2021</v>
      </c>
      <c r="B1799" s="133">
        <v>1</v>
      </c>
      <c r="C1799" s="133">
        <v>3</v>
      </c>
      <c r="D1799" s="141">
        <f t="shared" si="60"/>
        <v>44199</v>
      </c>
      <c r="E1799" s="275">
        <f t="shared" si="61"/>
        <v>44199</v>
      </c>
      <c r="F1799" s="481"/>
      <c r="G1799" s="174" t="s">
        <v>94</v>
      </c>
      <c r="H1799" s="174" t="str" cm="1">
        <f t="array" ref="H1799">IFERROR(INDEX(INVESTOR_LIST[INVESTOR NAME],MATCH(I1799,INVESTOR_LIST[INVESTOR CODE],0),)," ")</f>
        <v xml:space="preserve"> </v>
      </c>
      <c r="I1799" s="148" t="s">
        <v>348</v>
      </c>
      <c r="J1799" s="149" t="s">
        <v>190</v>
      </c>
      <c r="K1799" s="218">
        <v>264153.13999999955</v>
      </c>
      <c r="L1799" s="218"/>
      <c r="Q1799" s="133" t="s">
        <v>505</v>
      </c>
    </row>
    <row r="1800" spans="1:17" x14ac:dyDescent="0.2">
      <c r="A1800" s="133">
        <v>2021</v>
      </c>
      <c r="B1800" s="133">
        <v>1</v>
      </c>
      <c r="C1800" s="133">
        <v>3</v>
      </c>
      <c r="D1800" s="141">
        <f t="shared" si="60"/>
        <v>44199</v>
      </c>
      <c r="E1800" s="275">
        <f t="shared" si="61"/>
        <v>44199</v>
      </c>
      <c r="F1800" s="481"/>
      <c r="G1800" s="174" t="s">
        <v>94</v>
      </c>
      <c r="H1800" s="174" t="str" cm="1">
        <f t="array" ref="H1800">IFERROR(INDEX(INVESTOR_LIST[INVESTOR NAME],MATCH(I1800,INVESTOR_LIST[INVESTOR CODE],0),)," ")</f>
        <v xml:space="preserve"> </v>
      </c>
      <c r="I1800" s="148" t="s">
        <v>348</v>
      </c>
      <c r="J1800" s="149" t="s">
        <v>79</v>
      </c>
      <c r="K1800" s="218"/>
      <c r="L1800" s="218">
        <v>7398259.7000000002</v>
      </c>
      <c r="N1800" s="208">
        <f>K1852/11.86</f>
        <v>16863.406408094437</v>
      </c>
      <c r="Q1800" s="133" t="s">
        <v>505</v>
      </c>
    </row>
    <row r="1801" spans="1:17" x14ac:dyDescent="0.2">
      <c r="A1801" s="163">
        <v>2021</v>
      </c>
      <c r="B1801" s="163">
        <v>1</v>
      </c>
      <c r="C1801" s="163">
        <v>3</v>
      </c>
      <c r="D1801" s="141">
        <f t="shared" si="60"/>
        <v>44199</v>
      </c>
      <c r="E1801" s="275">
        <f t="shared" si="61"/>
        <v>44199</v>
      </c>
      <c r="F1801" s="480"/>
      <c r="G1801" s="221" t="s">
        <v>94</v>
      </c>
      <c r="H1801" s="221" t="str" cm="1">
        <f t="array" ref="H1801">IFERROR(INDEX(INVESTOR_LIST[INVESTOR NAME],MATCH(I1801,INVESTOR_LIST[INVESTOR CODE],0),)," ")</f>
        <v xml:space="preserve"> </v>
      </c>
      <c r="I1801" s="145" t="s">
        <v>348</v>
      </c>
      <c r="J1801" s="146" t="s">
        <v>191</v>
      </c>
      <c r="K1801" s="219"/>
      <c r="L1801" s="219">
        <v>253761.8</v>
      </c>
      <c r="Q1801" s="133" t="s">
        <v>505</v>
      </c>
    </row>
    <row r="1802" spans="1:17" ht="11.25" customHeight="1" x14ac:dyDescent="0.2">
      <c r="A1802" s="168">
        <v>2021</v>
      </c>
      <c r="B1802" s="168">
        <v>1</v>
      </c>
      <c r="C1802" s="168">
        <v>3</v>
      </c>
      <c r="D1802" s="141">
        <f t="shared" si="60"/>
        <v>44199</v>
      </c>
      <c r="E1802" s="275">
        <f t="shared" si="61"/>
        <v>44199</v>
      </c>
      <c r="F1802" s="479" t="s">
        <v>342</v>
      </c>
      <c r="G1802" s="220" t="s">
        <v>94</v>
      </c>
      <c r="H1802" s="220" t="str" cm="1">
        <f t="array" ref="H1802">IFERROR(INDEX(INVESTOR_LIST[INVESTOR NAME],MATCH(I1802,INVESTOR_LIST[INVESTOR CODE],0),)," ")</f>
        <v xml:space="preserve"> </v>
      </c>
      <c r="I1802" s="142" t="s">
        <v>348</v>
      </c>
      <c r="J1802" s="143" t="s">
        <v>79</v>
      </c>
      <c r="K1802" s="226">
        <v>3542153.7</v>
      </c>
      <c r="L1802" s="226"/>
      <c r="M1802" s="264"/>
      <c r="Q1802" s="133" t="s">
        <v>496</v>
      </c>
    </row>
    <row r="1803" spans="1:17" x14ac:dyDescent="0.2">
      <c r="A1803" s="133">
        <v>2021</v>
      </c>
      <c r="B1803" s="133">
        <v>1</v>
      </c>
      <c r="C1803" s="133">
        <v>3</v>
      </c>
      <c r="D1803" s="141">
        <f t="shared" si="60"/>
        <v>44199</v>
      </c>
      <c r="E1803" s="275">
        <f t="shared" si="61"/>
        <v>44199</v>
      </c>
      <c r="F1803" s="481"/>
      <c r="G1803" s="174" t="s">
        <v>94</v>
      </c>
      <c r="H1803" s="174" t="str" cm="1">
        <f t="array" ref="H1803">IFERROR(INDEX(INVESTOR_LIST[INVESTOR NAME],MATCH(I1803,INVESTOR_LIST[INVESTOR CODE],0),)," ")</f>
        <v xml:space="preserve"> </v>
      </c>
      <c r="I1803" s="148" t="s">
        <v>348</v>
      </c>
      <c r="J1803" s="149" t="s">
        <v>80</v>
      </c>
      <c r="K1803" s="218">
        <f>6375.8766+6451.8633</f>
        <v>12827.7399</v>
      </c>
      <c r="L1803" s="218"/>
      <c r="M1803" s="264"/>
      <c r="N1803" s="156">
        <f>K1855/11.86</f>
        <v>8431.7032040472186</v>
      </c>
      <c r="Q1803" s="133" t="s">
        <v>496</v>
      </c>
    </row>
    <row r="1804" spans="1:17" x14ac:dyDescent="0.2">
      <c r="A1804" s="133">
        <v>2021</v>
      </c>
      <c r="B1804" s="133">
        <v>1</v>
      </c>
      <c r="C1804" s="133">
        <v>3</v>
      </c>
      <c r="D1804" s="141">
        <f t="shared" si="60"/>
        <v>44199</v>
      </c>
      <c r="E1804" s="275">
        <f t="shared" si="61"/>
        <v>44199</v>
      </c>
      <c r="F1804" s="481"/>
      <c r="G1804" s="174" t="s">
        <v>94</v>
      </c>
      <c r="H1804" s="174" t="str" cm="1">
        <f t="array" ref="H1804">IFERROR(INDEX(INVESTOR_LIST[INVESTOR NAME],MATCH(I1804,INVESTOR_LIST[INVESTOR CODE],0),)," ")</f>
        <v xml:space="preserve"> </v>
      </c>
      <c r="I1804" s="148" t="s">
        <v>348</v>
      </c>
      <c r="J1804" s="149" t="s">
        <v>190</v>
      </c>
      <c r="K1804" s="254">
        <v>29387.060099999915</v>
      </c>
      <c r="L1804" s="218"/>
      <c r="M1804" s="264"/>
      <c r="Q1804" s="133" t="s">
        <v>496</v>
      </c>
    </row>
    <row r="1805" spans="1:17" x14ac:dyDescent="0.2">
      <c r="A1805" s="133">
        <v>2021</v>
      </c>
      <c r="B1805" s="133">
        <v>1</v>
      </c>
      <c r="C1805" s="133">
        <v>3</v>
      </c>
      <c r="D1805" s="141">
        <f t="shared" ref="D1805:D1868" si="62">DATE(A1805,B1805,C1805)</f>
        <v>44199</v>
      </c>
      <c r="E1805" s="275">
        <f t="shared" si="61"/>
        <v>44199</v>
      </c>
      <c r="F1805" s="481"/>
      <c r="G1805" s="174" t="s">
        <v>94</v>
      </c>
      <c r="H1805" s="174" t="str" cm="1">
        <f t="array" ref="H1805">IFERROR(INDEX(INVESTOR_LIST[INVESTOR NAME],MATCH(I1805,INVESTOR_LIST[INVESTOR CODE],0),)," ")</f>
        <v xml:space="preserve"> </v>
      </c>
      <c r="I1805" s="148" t="s">
        <v>348</v>
      </c>
      <c r="J1805" s="149" t="s">
        <v>79</v>
      </c>
      <c r="K1805" s="218"/>
      <c r="L1805" s="218">
        <v>3415475.2</v>
      </c>
      <c r="M1805" s="264"/>
      <c r="N1805" s="156"/>
      <c r="Q1805" s="133" t="s">
        <v>461</v>
      </c>
    </row>
    <row r="1806" spans="1:17" x14ac:dyDescent="0.2">
      <c r="A1806" s="133">
        <v>2021</v>
      </c>
      <c r="B1806" s="133">
        <v>1</v>
      </c>
      <c r="C1806" s="133">
        <v>3</v>
      </c>
      <c r="D1806" s="141">
        <f t="shared" si="62"/>
        <v>44199</v>
      </c>
      <c r="E1806" s="275">
        <f t="shared" ref="E1806:E1869" si="63">DATE(A1806,B1806,C1806)</f>
        <v>44199</v>
      </c>
      <c r="F1806" s="480"/>
      <c r="G1806" s="221" t="s">
        <v>94</v>
      </c>
      <c r="H1806" s="221" t="str" cm="1">
        <f t="array" ref="H1806">IFERROR(INDEX(INVESTOR_LIST[INVESTOR NAME],MATCH(I1806,INVESTOR_LIST[INVESTOR CODE],0),)," ")</f>
        <v xml:space="preserve"> </v>
      </c>
      <c r="I1806" s="145" t="s">
        <v>348</v>
      </c>
      <c r="J1806" s="146" t="s">
        <v>191</v>
      </c>
      <c r="K1806" s="219"/>
      <c r="L1806" s="219">
        <v>168893.3</v>
      </c>
      <c r="M1806" s="264"/>
      <c r="N1806" s="156">
        <f>K1858/11.86</f>
        <v>16863.406408094437</v>
      </c>
      <c r="Q1806" s="133" t="s">
        <v>461</v>
      </c>
    </row>
    <row r="1807" spans="1:17" x14ac:dyDescent="0.2">
      <c r="A1807" s="168">
        <v>2021</v>
      </c>
      <c r="B1807" s="168">
        <v>1</v>
      </c>
      <c r="C1807" s="168">
        <v>3</v>
      </c>
      <c r="D1807" s="141">
        <f t="shared" si="62"/>
        <v>44199</v>
      </c>
      <c r="E1807" s="275">
        <f t="shared" si="63"/>
        <v>44199</v>
      </c>
      <c r="F1807" s="479" t="s">
        <v>86</v>
      </c>
      <c r="G1807" s="220" t="s">
        <v>74</v>
      </c>
      <c r="H1807" s="220" t="str" cm="1">
        <f t="array" ref="H1807">IFERROR(INDEX(INVESTOR_LIST[INVESTOR NAME],MATCH(I1807,INVESTOR_LIST[INVESTOR CODE],0),)," ")</f>
        <v xml:space="preserve"> </v>
      </c>
      <c r="I1807" s="142" t="s">
        <v>348</v>
      </c>
      <c r="J1807" s="143" t="s">
        <v>147</v>
      </c>
      <c r="K1807" s="226">
        <v>8097907.04</v>
      </c>
      <c r="L1807" s="226"/>
      <c r="Q1807" s="133" t="s">
        <v>461</v>
      </c>
    </row>
    <row r="1808" spans="1:17" x14ac:dyDescent="0.2">
      <c r="A1808" s="163">
        <v>2021</v>
      </c>
      <c r="B1808" s="163">
        <v>1</v>
      </c>
      <c r="C1808" s="163">
        <v>3</v>
      </c>
      <c r="D1808" s="141">
        <f t="shared" si="62"/>
        <v>44199</v>
      </c>
      <c r="E1808" s="275">
        <f t="shared" si="63"/>
        <v>44199</v>
      </c>
      <c r="F1808" s="480"/>
      <c r="G1808" s="221" t="s">
        <v>74</v>
      </c>
      <c r="H1808" s="221" t="str" cm="1">
        <f t="array" ref="H1808">IFERROR(INDEX(INVESTOR_LIST[INVESTOR NAME],MATCH(I1808,INVESTOR_LIST[INVESTOR CODE],0),)," ")</f>
        <v xml:space="preserve"> </v>
      </c>
      <c r="I1808" s="145" t="s">
        <v>348</v>
      </c>
      <c r="J1808" s="146" t="s">
        <v>52</v>
      </c>
      <c r="K1808" s="219"/>
      <c r="L1808" s="219">
        <v>8097907.04</v>
      </c>
      <c r="Q1808" s="133" t="s">
        <v>479</v>
      </c>
    </row>
    <row r="1809" spans="1:17" x14ac:dyDescent="0.2">
      <c r="A1809" s="168">
        <v>2021</v>
      </c>
      <c r="B1809" s="168">
        <v>1</v>
      </c>
      <c r="C1809" s="168">
        <v>4</v>
      </c>
      <c r="D1809" s="141">
        <f t="shared" si="62"/>
        <v>44200</v>
      </c>
      <c r="E1809" s="275">
        <f t="shared" si="63"/>
        <v>44200</v>
      </c>
      <c r="F1809" s="503" t="s">
        <v>344</v>
      </c>
      <c r="G1809" s="174" t="s">
        <v>74</v>
      </c>
      <c r="H1809" s="174" t="str" cm="1">
        <f t="array" ref="H1809">IFERROR(INDEX(INVESTOR_LIST[INVESTOR NAME],MATCH(I1809,INVESTOR_LIST[INVESTOR CODE],0),)," ")</f>
        <v xml:space="preserve"> </v>
      </c>
      <c r="I1809" s="148" t="s">
        <v>348</v>
      </c>
      <c r="J1809" s="149" t="s">
        <v>184</v>
      </c>
      <c r="K1809" s="218">
        <v>2400000</v>
      </c>
      <c r="L1809" s="218"/>
      <c r="N1809" s="156">
        <f>K1861/11.86</f>
        <v>7588.532883642496</v>
      </c>
      <c r="Q1809" s="133" t="s">
        <v>479</v>
      </c>
    </row>
    <row r="1810" spans="1:17" x14ac:dyDescent="0.2">
      <c r="A1810" s="133">
        <v>2021</v>
      </c>
      <c r="B1810" s="133">
        <v>1</v>
      </c>
      <c r="C1810" s="133">
        <v>4</v>
      </c>
      <c r="D1810" s="141">
        <f t="shared" si="62"/>
        <v>44200</v>
      </c>
      <c r="E1810" s="275">
        <f t="shared" si="63"/>
        <v>44200</v>
      </c>
      <c r="F1810" s="504"/>
      <c r="G1810" s="174" t="s">
        <v>74</v>
      </c>
      <c r="H1810" s="174" t="str" cm="1">
        <f t="array" ref="H1810">IFERROR(INDEX(INVESTOR_LIST[INVESTOR NAME],MATCH(I1810,INVESTOR_LIST[INVESTOR CODE],0),)," ")</f>
        <v xml:space="preserve"> </v>
      </c>
      <c r="I1810" s="148" t="s">
        <v>348</v>
      </c>
      <c r="J1810" s="149" t="s">
        <v>185</v>
      </c>
      <c r="K1810" s="218">
        <v>3000</v>
      </c>
      <c r="L1810" s="218"/>
      <c r="Q1810" s="133" t="s">
        <v>479</v>
      </c>
    </row>
    <row r="1811" spans="1:17" x14ac:dyDescent="0.2">
      <c r="A1811" s="133">
        <v>2021</v>
      </c>
      <c r="B1811" s="133">
        <v>1</v>
      </c>
      <c r="C1811" s="133">
        <v>4</v>
      </c>
      <c r="D1811" s="141">
        <f t="shared" si="62"/>
        <v>44200</v>
      </c>
      <c r="E1811" s="275">
        <f t="shared" si="63"/>
        <v>44200</v>
      </c>
      <c r="F1811" s="504"/>
      <c r="G1811" s="174" t="s">
        <v>74</v>
      </c>
      <c r="H1811" s="174" t="str" cm="1">
        <f t="array" ref="H1811">IFERROR(INDEX(INVESTOR_LIST[INVESTOR NAME],MATCH(I1811,INVESTOR_LIST[INVESTOR CODE],0),)," ")</f>
        <v xml:space="preserve"> </v>
      </c>
      <c r="I1811" s="148" t="s">
        <v>348</v>
      </c>
      <c r="J1811" s="149" t="s">
        <v>61</v>
      </c>
      <c r="K1811" s="218">
        <v>115</v>
      </c>
      <c r="L1811" s="218"/>
      <c r="Q1811" s="133" t="s">
        <v>423</v>
      </c>
    </row>
    <row r="1812" spans="1:17" x14ac:dyDescent="0.2">
      <c r="A1812" s="163">
        <v>2021</v>
      </c>
      <c r="B1812" s="163">
        <v>1</v>
      </c>
      <c r="C1812" s="163">
        <v>4</v>
      </c>
      <c r="D1812" s="141">
        <f t="shared" si="62"/>
        <v>44200</v>
      </c>
      <c r="E1812" s="275">
        <f t="shared" si="63"/>
        <v>44200</v>
      </c>
      <c r="F1812" s="505"/>
      <c r="G1812" s="174" t="s">
        <v>74</v>
      </c>
      <c r="H1812" s="174" t="str" cm="1">
        <f t="array" ref="H1812">IFERROR(INDEX(INVESTOR_LIST[INVESTOR NAME],MATCH(I1812,INVESTOR_LIST[INVESTOR CODE],0),)," ")</f>
        <v xml:space="preserve"> </v>
      </c>
      <c r="I1812" s="148" t="s">
        <v>348</v>
      </c>
      <c r="J1812" s="149" t="s">
        <v>52</v>
      </c>
      <c r="K1812" s="218"/>
      <c r="L1812" s="218">
        <v>2403115</v>
      </c>
      <c r="N1812" s="156">
        <f>K1864/11.86</f>
        <v>63237.774030354136</v>
      </c>
      <c r="O1812" s="156"/>
      <c r="Q1812" s="133" t="s">
        <v>423</v>
      </c>
    </row>
    <row r="1813" spans="1:17" x14ac:dyDescent="0.2">
      <c r="A1813" s="133">
        <v>2021</v>
      </c>
      <c r="B1813" s="133">
        <v>1</v>
      </c>
      <c r="C1813" s="133">
        <v>4</v>
      </c>
      <c r="D1813" s="141">
        <f t="shared" si="62"/>
        <v>44200</v>
      </c>
      <c r="E1813" s="275">
        <f t="shared" si="63"/>
        <v>44200</v>
      </c>
      <c r="F1813" s="479" t="s">
        <v>343</v>
      </c>
      <c r="G1813" s="220" t="s">
        <v>94</v>
      </c>
      <c r="H1813" s="220" t="str" cm="1">
        <f t="array" ref="H1813">IFERROR(INDEX(INVESTOR_LIST[INVESTOR NAME],MATCH(I1813,INVESTOR_LIST[INVESTOR CODE],0),)," ")</f>
        <v xml:space="preserve"> </v>
      </c>
      <c r="I1813" s="142" t="s">
        <v>348</v>
      </c>
      <c r="J1813" s="143" t="s">
        <v>79</v>
      </c>
      <c r="K1813" s="226">
        <v>12482962</v>
      </c>
      <c r="L1813" s="226"/>
      <c r="Q1813" s="133" t="s">
        <v>423</v>
      </c>
    </row>
    <row r="1814" spans="1:17" x14ac:dyDescent="0.2">
      <c r="A1814" s="133">
        <v>2021</v>
      </c>
      <c r="B1814" s="133">
        <v>1</v>
      </c>
      <c r="C1814" s="133">
        <v>4</v>
      </c>
      <c r="D1814" s="141">
        <f t="shared" si="62"/>
        <v>44200</v>
      </c>
      <c r="E1814" s="275">
        <f t="shared" si="63"/>
        <v>44200</v>
      </c>
      <c r="F1814" s="481"/>
      <c r="G1814" s="174" t="s">
        <v>94</v>
      </c>
      <c r="H1814" s="174" t="str" cm="1">
        <f t="array" ref="H1814">IFERROR(INDEX(INVESTOR_LIST[INVESTOR NAME],MATCH(I1814,INVESTOR_LIST[INVESTOR CODE],0),)," ")</f>
        <v xml:space="preserve"> </v>
      </c>
      <c r="I1814" s="148" t="s">
        <v>348</v>
      </c>
      <c r="J1814" s="149" t="s">
        <v>80</v>
      </c>
      <c r="K1814" s="218">
        <f>11979+22469.33+14997.25</f>
        <v>49445.58</v>
      </c>
      <c r="L1814" s="218"/>
      <c r="Q1814" s="133" t="s">
        <v>506</v>
      </c>
    </row>
    <row r="1815" spans="1:17" x14ac:dyDescent="0.2">
      <c r="A1815" s="133">
        <v>2021</v>
      </c>
      <c r="B1815" s="133">
        <v>1</v>
      </c>
      <c r="C1815" s="133">
        <v>4</v>
      </c>
      <c r="D1815" s="141">
        <f t="shared" si="62"/>
        <v>44200</v>
      </c>
      <c r="E1815" s="275">
        <f t="shared" si="63"/>
        <v>44200</v>
      </c>
      <c r="F1815" s="481"/>
      <c r="G1815" s="174" t="s">
        <v>94</v>
      </c>
      <c r="H1815" s="174" t="str" cm="1">
        <f t="array" ref="H1815">IFERROR(INDEX(INVESTOR_LIST[INVESTOR NAME],MATCH(I1815,INVESTOR_LIST[INVESTOR CODE],0),)," ")</f>
        <v xml:space="preserve"> </v>
      </c>
      <c r="I1815" s="148" t="s">
        <v>348</v>
      </c>
      <c r="J1815" s="149" t="s">
        <v>190</v>
      </c>
      <c r="K1815" s="218">
        <v>2454398.0200000005</v>
      </c>
      <c r="L1815" s="218"/>
      <c r="N1815" s="156">
        <f>K1867/11.86</f>
        <v>8431.7032040472186</v>
      </c>
      <c r="Q1815" s="133" t="s">
        <v>506</v>
      </c>
    </row>
    <row r="1816" spans="1:17" x14ac:dyDescent="0.2">
      <c r="A1816" s="133">
        <v>2021</v>
      </c>
      <c r="B1816" s="133">
        <v>1</v>
      </c>
      <c r="C1816" s="133">
        <v>4</v>
      </c>
      <c r="D1816" s="141">
        <f t="shared" si="62"/>
        <v>44200</v>
      </c>
      <c r="E1816" s="275">
        <f t="shared" si="63"/>
        <v>44200</v>
      </c>
      <c r="F1816" s="481"/>
      <c r="G1816" s="174" t="s">
        <v>94</v>
      </c>
      <c r="H1816" s="174" t="str" cm="1">
        <f t="array" ref="H1816">IFERROR(INDEX(INVESTOR_LIST[INVESTOR NAME],MATCH(I1816,INVESTOR_LIST[INVESTOR CODE],0),)," ")</f>
        <v xml:space="preserve"> </v>
      </c>
      <c r="I1816" s="148" t="s">
        <v>348</v>
      </c>
      <c r="J1816" s="149" t="s">
        <v>79</v>
      </c>
      <c r="K1816" s="218"/>
      <c r="L1816" s="218">
        <v>11714676.66</v>
      </c>
      <c r="Q1816" s="133" t="s">
        <v>506</v>
      </c>
    </row>
    <row r="1817" spans="1:17" ht="11.25" customHeight="1" x14ac:dyDescent="0.2">
      <c r="A1817" s="163">
        <v>2021</v>
      </c>
      <c r="B1817" s="163">
        <v>1</v>
      </c>
      <c r="C1817" s="163">
        <v>4</v>
      </c>
      <c r="D1817" s="141">
        <f t="shared" si="62"/>
        <v>44200</v>
      </c>
      <c r="E1817" s="275">
        <f t="shared" si="63"/>
        <v>44200</v>
      </c>
      <c r="F1817" s="480"/>
      <c r="G1817" s="221" t="s">
        <v>94</v>
      </c>
      <c r="H1817" s="221" t="str" cm="1">
        <f t="array" ref="H1817">IFERROR(INDEX(INVESTOR_LIST[INVESTOR NAME],MATCH(I1817,INVESTOR_LIST[INVESTOR CODE],0),)," ")</f>
        <v xml:space="preserve"> </v>
      </c>
      <c r="I1817" s="145" t="s">
        <v>348</v>
      </c>
      <c r="J1817" s="146" t="s">
        <v>191</v>
      </c>
      <c r="K1817" s="219"/>
      <c r="L1817" s="219">
        <v>3272128.94</v>
      </c>
      <c r="O1817" s="160"/>
      <c r="Q1817" s="133" t="s">
        <v>384</v>
      </c>
    </row>
    <row r="1818" spans="1:17" x14ac:dyDescent="0.2">
      <c r="A1818" s="133">
        <v>2021</v>
      </c>
      <c r="B1818" s="133">
        <v>1</v>
      </c>
      <c r="C1818" s="133">
        <v>5</v>
      </c>
      <c r="D1818" s="141">
        <f t="shared" si="62"/>
        <v>44201</v>
      </c>
      <c r="E1818" s="275">
        <f t="shared" si="63"/>
        <v>44201</v>
      </c>
      <c r="F1818" s="481" t="s">
        <v>279</v>
      </c>
      <c r="G1818" s="174" t="s">
        <v>94</v>
      </c>
      <c r="H1818" s="174" t="str" cm="1">
        <f t="array" ref="H1818">IFERROR(INDEX(INVESTOR_LIST[INVESTOR NAME],MATCH(I1818,INVESTOR_LIST[INVESTOR CODE],0),)," ")</f>
        <v xml:space="preserve"> </v>
      </c>
      <c r="I1818" s="148" t="s">
        <v>348</v>
      </c>
      <c r="J1818" s="149" t="s">
        <v>190</v>
      </c>
      <c r="K1818" s="218">
        <v>7865816</v>
      </c>
      <c r="L1818" s="218"/>
      <c r="N1818" s="156">
        <f>K1870/11.86</f>
        <v>84317.032040472186</v>
      </c>
      <c r="Q1818" s="133" t="s">
        <v>384</v>
      </c>
    </row>
    <row r="1819" spans="1:17" x14ac:dyDescent="0.2">
      <c r="A1819" s="133">
        <v>2021</v>
      </c>
      <c r="B1819" s="133">
        <v>1</v>
      </c>
      <c r="C1819" s="133">
        <v>5</v>
      </c>
      <c r="D1819" s="141">
        <f t="shared" si="62"/>
        <v>44201</v>
      </c>
      <c r="E1819" s="275">
        <f t="shared" si="63"/>
        <v>44201</v>
      </c>
      <c r="F1819" s="481"/>
      <c r="G1819" s="174" t="s">
        <v>94</v>
      </c>
      <c r="H1819" s="174" t="str" cm="1">
        <f t="array" ref="H1819">IFERROR(INDEX(INVESTOR_LIST[INVESTOR NAME],MATCH(I1819,INVESTOR_LIST[INVESTOR CODE],0),)," ")</f>
        <v xml:space="preserve"> </v>
      </c>
      <c r="I1819" s="148" t="s">
        <v>348</v>
      </c>
      <c r="J1819" s="149" t="s">
        <v>80</v>
      </c>
      <c r="K1819" s="218">
        <v>14184</v>
      </c>
      <c r="L1819" s="218"/>
      <c r="Q1819" s="133" t="s">
        <v>384</v>
      </c>
    </row>
    <row r="1820" spans="1:17" ht="11.25" customHeight="1" x14ac:dyDescent="0.2">
      <c r="A1820" s="133">
        <v>2021</v>
      </c>
      <c r="B1820" s="133">
        <v>1</v>
      </c>
      <c r="C1820" s="133">
        <v>5</v>
      </c>
      <c r="D1820" s="141">
        <f t="shared" si="62"/>
        <v>44201</v>
      </c>
      <c r="E1820" s="275">
        <f t="shared" si="63"/>
        <v>44201</v>
      </c>
      <c r="F1820" s="481"/>
      <c r="G1820" s="174" t="s">
        <v>94</v>
      </c>
      <c r="H1820" s="174" t="str" cm="1">
        <f t="array" ref="H1820">IFERROR(INDEX(INVESTOR_LIST[INVESTOR NAME],MATCH(I1820,INVESTOR_LIST[INVESTOR CODE],0),)," ")</f>
        <v xml:space="preserve"> </v>
      </c>
      <c r="I1820" s="148" t="s">
        <v>348</v>
      </c>
      <c r="J1820" s="149" t="s">
        <v>79</v>
      </c>
      <c r="K1820" s="218"/>
      <c r="L1820" s="218">
        <v>2000000</v>
      </c>
      <c r="Q1820" s="133" t="s">
        <v>507</v>
      </c>
    </row>
    <row r="1821" spans="1:17" x14ac:dyDescent="0.2">
      <c r="A1821" s="163">
        <v>2021</v>
      </c>
      <c r="B1821" s="163">
        <v>1</v>
      </c>
      <c r="C1821" s="163">
        <v>5</v>
      </c>
      <c r="D1821" s="141">
        <f t="shared" si="62"/>
        <v>44201</v>
      </c>
      <c r="E1821" s="275">
        <f t="shared" si="63"/>
        <v>44201</v>
      </c>
      <c r="F1821" s="480"/>
      <c r="G1821" s="221" t="s">
        <v>94</v>
      </c>
      <c r="H1821" s="221" t="str" cm="1">
        <f t="array" ref="H1821">IFERROR(INDEX(INVESTOR_LIST[INVESTOR NAME],MATCH(I1821,INVESTOR_LIST[INVESTOR CODE],0),)," ")</f>
        <v xml:space="preserve"> </v>
      </c>
      <c r="I1821" s="145" t="s">
        <v>348</v>
      </c>
      <c r="J1821" s="146" t="s">
        <v>191</v>
      </c>
      <c r="K1821" s="219"/>
      <c r="L1821" s="219">
        <v>5880000</v>
      </c>
      <c r="N1821" s="156">
        <f>K1873/11.86</f>
        <v>1096.1214165261383</v>
      </c>
      <c r="Q1821" s="133" t="s">
        <v>507</v>
      </c>
    </row>
    <row r="1822" spans="1:17" x14ac:dyDescent="0.2">
      <c r="A1822" s="168">
        <v>2021</v>
      </c>
      <c r="B1822" s="168">
        <v>1</v>
      </c>
      <c r="C1822" s="168">
        <v>5</v>
      </c>
      <c r="D1822" s="141">
        <f t="shared" si="62"/>
        <v>44201</v>
      </c>
      <c r="E1822" s="275">
        <f t="shared" si="63"/>
        <v>44201</v>
      </c>
      <c r="F1822" s="479" t="s">
        <v>345</v>
      </c>
      <c r="G1822" s="220" t="s">
        <v>74</v>
      </c>
      <c r="H1822" s="220" t="str" cm="1">
        <f t="array" ref="H1822">IFERROR(INDEX(INVESTOR_LIST[INVESTOR NAME],MATCH(I1822,INVESTOR_LIST[INVESTOR CODE],0),)," ")</f>
        <v xml:space="preserve"> </v>
      </c>
      <c r="I1822" s="142" t="s">
        <v>348</v>
      </c>
      <c r="J1822" s="143" t="s">
        <v>52</v>
      </c>
      <c r="K1822" s="226">
        <v>264153.14</v>
      </c>
      <c r="L1822" s="226"/>
      <c r="O1822" s="160"/>
      <c r="Q1822" s="133" t="s">
        <v>507</v>
      </c>
    </row>
    <row r="1823" spans="1:17" ht="11.25" customHeight="1" x14ac:dyDescent="0.2">
      <c r="A1823" s="163">
        <v>2021</v>
      </c>
      <c r="B1823" s="163">
        <v>1</v>
      </c>
      <c r="C1823" s="163">
        <v>5</v>
      </c>
      <c r="D1823" s="141">
        <f t="shared" si="62"/>
        <v>44201</v>
      </c>
      <c r="E1823" s="275">
        <f t="shared" si="63"/>
        <v>44201</v>
      </c>
      <c r="F1823" s="480"/>
      <c r="G1823" s="221" t="s">
        <v>74</v>
      </c>
      <c r="H1823" s="221" t="str" cm="1">
        <f t="array" ref="H1823">IFERROR(INDEX(INVESTOR_LIST[INVESTOR NAME],MATCH(I1823,INVESTOR_LIST[INVESTOR CODE],0),)," ")</f>
        <v xml:space="preserve"> </v>
      </c>
      <c r="I1823" s="145" t="s">
        <v>348</v>
      </c>
      <c r="J1823" s="146" t="s">
        <v>190</v>
      </c>
      <c r="K1823" s="219"/>
      <c r="L1823" s="219">
        <v>264153.14</v>
      </c>
      <c r="Q1823" s="133" t="s">
        <v>409</v>
      </c>
    </row>
    <row r="1824" spans="1:17" ht="11.25" customHeight="1" x14ac:dyDescent="0.2">
      <c r="A1824" s="133">
        <v>2021</v>
      </c>
      <c r="B1824" s="133">
        <v>1</v>
      </c>
      <c r="C1824" s="133">
        <v>5</v>
      </c>
      <c r="D1824" s="141">
        <f t="shared" si="62"/>
        <v>44201</v>
      </c>
      <c r="E1824" s="275">
        <f t="shared" si="63"/>
        <v>44201</v>
      </c>
      <c r="F1824" s="479" t="s">
        <v>254</v>
      </c>
      <c r="G1824" s="174" t="s">
        <v>74</v>
      </c>
      <c r="H1824" s="174" t="str" cm="1">
        <f t="array" ref="H1824">IFERROR(INDEX(INVESTOR_LIST[INVESTOR NAME],MATCH(I1824,INVESTOR_LIST[INVESTOR CODE],0),)," ")</f>
        <v xml:space="preserve"> </v>
      </c>
      <c r="I1824" s="148" t="s">
        <v>348</v>
      </c>
      <c r="J1824" s="149" t="s">
        <v>52</v>
      </c>
      <c r="K1824" s="218">
        <v>5000</v>
      </c>
      <c r="L1824" s="218"/>
      <c r="N1824" s="156">
        <f>K1876/11.86</f>
        <v>5337.2681281618889</v>
      </c>
      <c r="Q1824" s="133" t="s">
        <v>409</v>
      </c>
    </row>
    <row r="1825" spans="1:17" x14ac:dyDescent="0.2">
      <c r="A1825" s="133">
        <v>2021</v>
      </c>
      <c r="B1825" s="133">
        <v>1</v>
      </c>
      <c r="C1825" s="133">
        <v>5</v>
      </c>
      <c r="D1825" s="141">
        <f t="shared" si="62"/>
        <v>44201</v>
      </c>
      <c r="E1825" s="275">
        <f t="shared" si="63"/>
        <v>44201</v>
      </c>
      <c r="F1825" s="481"/>
      <c r="G1825" s="174" t="s">
        <v>74</v>
      </c>
      <c r="H1825" s="174" t="str" cm="1">
        <f t="array" ref="H1825">IFERROR(INDEX(INVESTOR_LIST[INVESTOR NAME],MATCH(I1825,INVESTOR_LIST[INVESTOR CODE],0),)," ")</f>
        <v xml:space="preserve"> </v>
      </c>
      <c r="I1825" s="148" t="s">
        <v>348</v>
      </c>
      <c r="J1825" s="149" t="s">
        <v>13</v>
      </c>
      <c r="K1825" s="218"/>
      <c r="L1825" s="218">
        <v>4220</v>
      </c>
      <c r="Q1825" s="133" t="s">
        <v>409</v>
      </c>
    </row>
    <row r="1826" spans="1:17" ht="11.25" customHeight="1" x14ac:dyDescent="0.2">
      <c r="A1826" s="133">
        <v>2021</v>
      </c>
      <c r="B1826" s="133">
        <v>1</v>
      </c>
      <c r="C1826" s="133">
        <v>5</v>
      </c>
      <c r="D1826" s="141">
        <f t="shared" si="62"/>
        <v>44201</v>
      </c>
      <c r="E1826" s="275">
        <f t="shared" si="63"/>
        <v>44201</v>
      </c>
      <c r="F1826" s="480"/>
      <c r="G1826" s="174" t="s">
        <v>74</v>
      </c>
      <c r="H1826" s="174" t="str" cm="1">
        <f t="array" ref="H1826">IFERROR(INDEX(INVESTOR_LIST[INVESTOR NAME],MATCH(I1826,INVESTOR_LIST[INVESTOR CODE],0),)," ")</f>
        <v xml:space="preserve"> </v>
      </c>
      <c r="I1826" s="148" t="s">
        <v>348</v>
      </c>
      <c r="J1826" s="149" t="s">
        <v>53</v>
      </c>
      <c r="K1826" s="218"/>
      <c r="L1826" s="218">
        <v>780</v>
      </c>
      <c r="Q1826" s="133" t="s">
        <v>508</v>
      </c>
    </row>
    <row r="1827" spans="1:17" x14ac:dyDescent="0.2">
      <c r="A1827" s="168">
        <v>2021</v>
      </c>
      <c r="B1827" s="168">
        <v>1</v>
      </c>
      <c r="C1827" s="168">
        <v>5</v>
      </c>
      <c r="D1827" s="141">
        <f t="shared" si="62"/>
        <v>44201</v>
      </c>
      <c r="E1827" s="275">
        <f t="shared" si="63"/>
        <v>44201</v>
      </c>
      <c r="F1827" s="479" t="s">
        <v>77</v>
      </c>
      <c r="G1827" s="220" t="s">
        <v>74</v>
      </c>
      <c r="H1827" s="220" t="str" cm="1">
        <f t="array" ref="H1827">IFERROR(INDEX(INVESTOR_LIST[INVESTOR NAME],MATCH(I1827,INVESTOR_LIST[INVESTOR CODE],0),)," ")</f>
        <v xml:space="preserve"> </v>
      </c>
      <c r="I1827" s="142" t="s">
        <v>348</v>
      </c>
      <c r="J1827" s="143" t="s">
        <v>61</v>
      </c>
      <c r="K1827" s="226">
        <v>10</v>
      </c>
      <c r="L1827" s="226"/>
      <c r="N1827" s="156">
        <f>K1879/11.86</f>
        <v>8431.7032040472186</v>
      </c>
      <c r="Q1827" s="133" t="s">
        <v>508</v>
      </c>
    </row>
    <row r="1828" spans="1:17" x14ac:dyDescent="0.2">
      <c r="A1828" s="163">
        <v>2021</v>
      </c>
      <c r="B1828" s="163">
        <v>1</v>
      </c>
      <c r="C1828" s="163">
        <v>5</v>
      </c>
      <c r="D1828" s="141">
        <f t="shared" si="62"/>
        <v>44201</v>
      </c>
      <c r="E1828" s="275">
        <f t="shared" si="63"/>
        <v>44201</v>
      </c>
      <c r="F1828" s="480"/>
      <c r="G1828" s="221" t="s">
        <v>74</v>
      </c>
      <c r="H1828" s="221" t="str" cm="1">
        <f t="array" ref="H1828">IFERROR(INDEX(INVESTOR_LIST[INVESTOR NAME],MATCH(I1828,INVESTOR_LIST[INVESTOR CODE],0),)," ")</f>
        <v xml:space="preserve"> </v>
      </c>
      <c r="I1828" s="145" t="s">
        <v>348</v>
      </c>
      <c r="J1828" s="146" t="s">
        <v>52</v>
      </c>
      <c r="K1828" s="219"/>
      <c r="L1828" s="219">
        <v>10</v>
      </c>
      <c r="Q1828" s="133" t="s">
        <v>508</v>
      </c>
    </row>
    <row r="1829" spans="1:17" ht="11.25" customHeight="1" x14ac:dyDescent="0.2">
      <c r="A1829" s="168">
        <v>2021</v>
      </c>
      <c r="B1829" s="168">
        <v>1</v>
      </c>
      <c r="C1829" s="168">
        <v>6</v>
      </c>
      <c r="D1829" s="141">
        <f t="shared" si="62"/>
        <v>44202</v>
      </c>
      <c r="E1829" s="275">
        <f t="shared" si="63"/>
        <v>44202</v>
      </c>
      <c r="F1829" s="479" t="s">
        <v>343</v>
      </c>
      <c r="G1829" s="220" t="s">
        <v>94</v>
      </c>
      <c r="H1829" s="220" t="str" cm="1">
        <f t="array" ref="H1829">IFERROR(INDEX(INVESTOR_LIST[INVESTOR NAME],MATCH(I1829,INVESTOR_LIST[INVESTOR CODE],0),)," ")</f>
        <v xml:space="preserve"> </v>
      </c>
      <c r="I1829" s="142" t="s">
        <v>348</v>
      </c>
      <c r="J1829" s="143" t="s">
        <v>79</v>
      </c>
      <c r="K1829" s="226">
        <v>949500</v>
      </c>
      <c r="L1829" s="226"/>
      <c r="Q1829" s="133" t="s">
        <v>509</v>
      </c>
    </row>
    <row r="1830" spans="1:17" x14ac:dyDescent="0.2">
      <c r="A1830" s="133">
        <v>2021</v>
      </c>
      <c r="B1830" s="133">
        <v>1</v>
      </c>
      <c r="C1830" s="133">
        <v>6</v>
      </c>
      <c r="D1830" s="141">
        <f t="shared" si="62"/>
        <v>44202</v>
      </c>
      <c r="E1830" s="275">
        <f t="shared" si="63"/>
        <v>44202</v>
      </c>
      <c r="F1830" s="481"/>
      <c r="G1830" s="174" t="s">
        <v>94</v>
      </c>
      <c r="H1830" s="174" t="str" cm="1">
        <f t="array" ref="H1830">IFERROR(INDEX(INVESTOR_LIST[INVESTOR NAME],MATCH(I1830,INVESTOR_LIST[INVESTOR CODE],0),)," ")</f>
        <v xml:space="preserve"> </v>
      </c>
      <c r="I1830" s="148" t="s">
        <v>348</v>
      </c>
      <c r="J1830" s="149" t="s">
        <v>80</v>
      </c>
      <c r="K1830" s="218">
        <f>1709.1+1785.24</f>
        <v>3494.34</v>
      </c>
      <c r="L1830" s="218"/>
      <c r="N1830" s="156">
        <f>K1882/11.86</f>
        <v>168634.06408094437</v>
      </c>
      <c r="Q1830" s="133" t="s">
        <v>509</v>
      </c>
    </row>
    <row r="1831" spans="1:17" x14ac:dyDescent="0.2">
      <c r="A1831" s="133">
        <v>2021</v>
      </c>
      <c r="B1831" s="133">
        <v>1</v>
      </c>
      <c r="C1831" s="133">
        <v>6</v>
      </c>
      <c r="D1831" s="141">
        <f t="shared" si="62"/>
        <v>44202</v>
      </c>
      <c r="E1831" s="275">
        <f t="shared" si="63"/>
        <v>44202</v>
      </c>
      <c r="F1831" s="481"/>
      <c r="G1831" s="174" t="s">
        <v>94</v>
      </c>
      <c r="H1831" s="174" t="str" cm="1">
        <f t="array" ref="H1831">IFERROR(INDEX(INVESTOR_LIST[INVESTOR NAME],MATCH(I1831,INVESTOR_LIST[INVESTOR CODE],0),)," ")</f>
        <v xml:space="preserve"> </v>
      </c>
      <c r="I1831" s="148" t="s">
        <v>348</v>
      </c>
      <c r="J1831" s="149" t="s">
        <v>190</v>
      </c>
      <c r="K1831" s="254">
        <v>38805.660000000033</v>
      </c>
      <c r="L1831" s="218"/>
      <c r="Q1831" s="133" t="s">
        <v>509</v>
      </c>
    </row>
    <row r="1832" spans="1:17" ht="11.25" customHeight="1" x14ac:dyDescent="0.2">
      <c r="A1832" s="133">
        <v>2021</v>
      </c>
      <c r="B1832" s="133">
        <v>1</v>
      </c>
      <c r="C1832" s="133">
        <v>6</v>
      </c>
      <c r="D1832" s="141">
        <f t="shared" si="62"/>
        <v>44202</v>
      </c>
      <c r="E1832" s="275">
        <f t="shared" si="63"/>
        <v>44202</v>
      </c>
      <c r="F1832" s="481"/>
      <c r="G1832" s="174" t="s">
        <v>94</v>
      </c>
      <c r="H1832" s="174" t="str" cm="1">
        <f t="array" ref="H1832">IFERROR(INDEX(INVESTOR_LIST[INVESTOR NAME],MATCH(I1832,INVESTOR_LIST[INVESTOR CODE],0),)," ")</f>
        <v xml:space="preserve"> </v>
      </c>
      <c r="I1832" s="148" t="s">
        <v>348</v>
      </c>
      <c r="J1832" s="149" t="s">
        <v>79</v>
      </c>
      <c r="K1832" s="218"/>
      <c r="L1832" s="218">
        <v>190000</v>
      </c>
      <c r="Q1832" s="133" t="s">
        <v>486</v>
      </c>
    </row>
    <row r="1833" spans="1:17" x14ac:dyDescent="0.2">
      <c r="A1833" s="163">
        <v>2021</v>
      </c>
      <c r="B1833" s="163">
        <v>1</v>
      </c>
      <c r="C1833" s="163">
        <v>6</v>
      </c>
      <c r="D1833" s="141">
        <f t="shared" si="62"/>
        <v>44202</v>
      </c>
      <c r="E1833" s="275">
        <f t="shared" si="63"/>
        <v>44202</v>
      </c>
      <c r="F1833" s="480"/>
      <c r="G1833" s="221" t="s">
        <v>94</v>
      </c>
      <c r="H1833" s="221" t="str" cm="1">
        <f t="array" ref="H1833">IFERROR(INDEX(INVESTOR_LIST[INVESTOR NAME],MATCH(I1833,INVESTOR_LIST[INVESTOR CODE],0),)," ")</f>
        <v xml:space="preserve"> </v>
      </c>
      <c r="I1833" s="145" t="s">
        <v>348</v>
      </c>
      <c r="J1833" s="146" t="s">
        <v>191</v>
      </c>
      <c r="K1833" s="219"/>
      <c r="L1833" s="219">
        <v>801800</v>
      </c>
      <c r="M1833" s="264"/>
      <c r="N1833" s="156">
        <f>K1885/11.86</f>
        <v>16011.804384485667</v>
      </c>
      <c r="Q1833" s="133" t="s">
        <v>486</v>
      </c>
    </row>
    <row r="1834" spans="1:17" x14ac:dyDescent="0.2">
      <c r="A1834" s="168">
        <v>2021</v>
      </c>
      <c r="B1834" s="168">
        <v>1</v>
      </c>
      <c r="C1834" s="168">
        <v>6</v>
      </c>
      <c r="D1834" s="141">
        <f t="shared" si="62"/>
        <v>44202</v>
      </c>
      <c r="E1834" s="275">
        <f t="shared" si="63"/>
        <v>44202</v>
      </c>
      <c r="F1834" s="479" t="s">
        <v>77</v>
      </c>
      <c r="G1834" s="220" t="s">
        <v>74</v>
      </c>
      <c r="H1834" s="220" t="str" cm="1">
        <f t="array" ref="H1834">IFERROR(INDEX(INVESTOR_LIST[INVESTOR NAME],MATCH(I1834,INVESTOR_LIST[INVESTOR CODE],0),)," ")</f>
        <v xml:space="preserve"> </v>
      </c>
      <c r="I1834" s="142" t="s">
        <v>348</v>
      </c>
      <c r="J1834" s="143" t="s">
        <v>61</v>
      </c>
      <c r="K1834" s="226">
        <v>60</v>
      </c>
      <c r="L1834" s="226"/>
      <c r="M1834" s="264"/>
      <c r="Q1834" s="133" t="s">
        <v>486</v>
      </c>
    </row>
    <row r="1835" spans="1:17" x14ac:dyDescent="0.2">
      <c r="A1835" s="163">
        <v>2021</v>
      </c>
      <c r="B1835" s="163">
        <v>1</v>
      </c>
      <c r="C1835" s="163">
        <v>6</v>
      </c>
      <c r="D1835" s="141">
        <f t="shared" si="62"/>
        <v>44202</v>
      </c>
      <c r="E1835" s="275">
        <f t="shared" si="63"/>
        <v>44202</v>
      </c>
      <c r="F1835" s="480"/>
      <c r="G1835" s="221" t="s">
        <v>74</v>
      </c>
      <c r="H1835" s="221" t="str" cm="1">
        <f t="array" ref="H1835">IFERROR(INDEX(INVESTOR_LIST[INVESTOR NAME],MATCH(I1835,INVESTOR_LIST[INVESTOR CODE],0),)," ")</f>
        <v xml:space="preserve"> </v>
      </c>
      <c r="I1835" s="145" t="s">
        <v>348</v>
      </c>
      <c r="J1835" s="149" t="s">
        <v>52</v>
      </c>
      <c r="K1835" s="219"/>
      <c r="L1835" s="219">
        <v>60</v>
      </c>
      <c r="Q1835" s="133" t="s">
        <v>348</v>
      </c>
    </row>
    <row r="1836" spans="1:17" x14ac:dyDescent="0.2">
      <c r="A1836" s="133">
        <v>2021</v>
      </c>
      <c r="B1836" s="133">
        <v>1</v>
      </c>
      <c r="C1836" s="133">
        <v>6</v>
      </c>
      <c r="D1836" s="141">
        <f t="shared" si="62"/>
        <v>44202</v>
      </c>
      <c r="E1836" s="275">
        <f t="shared" si="63"/>
        <v>44202</v>
      </c>
      <c r="F1836" s="479" t="s">
        <v>346</v>
      </c>
      <c r="G1836" s="174" t="s">
        <v>74</v>
      </c>
      <c r="H1836" s="174" t="str" cm="1">
        <f t="array" ref="H1836">IFERROR(INDEX(INVESTOR_LIST[INVESTOR NAME],MATCH(I1836,INVESTOR_LIST[INVESTOR CODE],0),)," ")</f>
        <v xml:space="preserve"> </v>
      </c>
      <c r="I1836" s="148" t="s">
        <v>348</v>
      </c>
      <c r="J1836" s="143" t="s">
        <v>48</v>
      </c>
      <c r="K1836" s="218">
        <v>64617.74</v>
      </c>
      <c r="L1836" s="218"/>
      <c r="Q1836" s="133" t="s">
        <v>348</v>
      </c>
    </row>
    <row r="1837" spans="1:17" x14ac:dyDescent="0.2">
      <c r="A1837" s="133">
        <v>2021</v>
      </c>
      <c r="B1837" s="133">
        <v>1</v>
      </c>
      <c r="C1837" s="133">
        <v>6</v>
      </c>
      <c r="D1837" s="141">
        <f t="shared" si="62"/>
        <v>44202</v>
      </c>
      <c r="E1837" s="275">
        <f t="shared" si="63"/>
        <v>44202</v>
      </c>
      <c r="F1837" s="481"/>
      <c r="G1837" s="174" t="s">
        <v>74</v>
      </c>
      <c r="H1837" s="174" t="str" cm="1">
        <f t="array" ref="H1837">IFERROR(INDEX(INVESTOR_LIST[INVESTOR NAME],MATCH(I1837,INVESTOR_LIST[INVESTOR CODE],0),)," ")</f>
        <v xml:space="preserve"> </v>
      </c>
      <c r="I1837" s="148" t="s">
        <v>348</v>
      </c>
      <c r="J1837" s="149" t="s">
        <v>52</v>
      </c>
      <c r="K1837" s="218"/>
      <c r="L1837" s="218">
        <v>64617.74</v>
      </c>
      <c r="Q1837" s="133" t="s">
        <v>348</v>
      </c>
    </row>
    <row r="1838" spans="1:17" x14ac:dyDescent="0.2">
      <c r="A1838" s="168">
        <v>2021</v>
      </c>
      <c r="B1838" s="168">
        <v>1</v>
      </c>
      <c r="C1838" s="168">
        <v>6</v>
      </c>
      <c r="D1838" s="141">
        <f t="shared" si="62"/>
        <v>44202</v>
      </c>
      <c r="E1838" s="275">
        <f t="shared" si="63"/>
        <v>44202</v>
      </c>
      <c r="F1838" s="479" t="s">
        <v>345</v>
      </c>
      <c r="G1838" s="220" t="s">
        <v>74</v>
      </c>
      <c r="H1838" s="220" t="str" cm="1">
        <f t="array" ref="H1838">IFERROR(INDEX(INVESTOR_LIST[INVESTOR NAME],MATCH(I1838,INVESTOR_LIST[INVESTOR CODE],0),)," ")</f>
        <v xml:space="preserve"> </v>
      </c>
      <c r="I1838" s="142" t="s">
        <v>348</v>
      </c>
      <c r="J1838" s="143" t="s">
        <v>52</v>
      </c>
      <c r="K1838" s="226">
        <v>2454398.02</v>
      </c>
      <c r="L1838" s="226"/>
      <c r="Q1838" s="133" t="s">
        <v>348</v>
      </c>
    </row>
    <row r="1839" spans="1:17" x14ac:dyDescent="0.2">
      <c r="A1839" s="163">
        <v>2021</v>
      </c>
      <c r="B1839" s="163">
        <v>1</v>
      </c>
      <c r="C1839" s="163">
        <v>6</v>
      </c>
      <c r="D1839" s="141">
        <f t="shared" si="62"/>
        <v>44202</v>
      </c>
      <c r="E1839" s="275">
        <f t="shared" si="63"/>
        <v>44202</v>
      </c>
      <c r="F1839" s="480"/>
      <c r="G1839" s="221" t="s">
        <v>74</v>
      </c>
      <c r="H1839" s="221" t="str" cm="1">
        <f t="array" ref="H1839">IFERROR(INDEX(INVESTOR_LIST[INVESTOR NAME],MATCH(I1839,INVESTOR_LIST[INVESTOR CODE],0),)," ")</f>
        <v xml:space="preserve"> </v>
      </c>
      <c r="I1839" s="145" t="s">
        <v>348</v>
      </c>
      <c r="J1839" s="146" t="s">
        <v>190</v>
      </c>
      <c r="K1839" s="219"/>
      <c r="L1839" s="219">
        <v>2454398.02</v>
      </c>
      <c r="M1839" s="264"/>
      <c r="Q1839" s="133" t="s">
        <v>348</v>
      </c>
    </row>
    <row r="1840" spans="1:17" x14ac:dyDescent="0.2">
      <c r="A1840" s="168">
        <v>2021</v>
      </c>
      <c r="B1840" s="168">
        <v>1</v>
      </c>
      <c r="C1840" s="168">
        <v>7</v>
      </c>
      <c r="D1840" s="141">
        <f t="shared" si="62"/>
        <v>44203</v>
      </c>
      <c r="E1840" s="275">
        <f t="shared" si="63"/>
        <v>44203</v>
      </c>
      <c r="F1840" s="479" t="s">
        <v>350</v>
      </c>
      <c r="G1840" s="220" t="s">
        <v>94</v>
      </c>
      <c r="H1840" s="220" t="str" cm="1">
        <f t="array" ref="H1840">IFERROR(INDEX(INVESTOR_LIST[INVESTOR NAME],MATCH(I1840,INVESTOR_LIST[INVESTOR CODE],0),)," ")</f>
        <v xml:space="preserve"> </v>
      </c>
      <c r="I1840" s="142" t="s">
        <v>348</v>
      </c>
      <c r="J1840" s="143" t="s">
        <v>79</v>
      </c>
      <c r="K1840" s="226">
        <v>8925750</v>
      </c>
      <c r="L1840" s="226"/>
      <c r="M1840" s="264"/>
      <c r="Q1840" s="133" t="s">
        <v>348</v>
      </c>
    </row>
    <row r="1841" spans="1:17" x14ac:dyDescent="0.2">
      <c r="A1841" s="133">
        <v>2021</v>
      </c>
      <c r="B1841" s="133">
        <v>1</v>
      </c>
      <c r="C1841" s="133">
        <v>7</v>
      </c>
      <c r="D1841" s="141">
        <f t="shared" si="62"/>
        <v>44203</v>
      </c>
      <c r="E1841" s="275">
        <f t="shared" si="63"/>
        <v>44203</v>
      </c>
      <c r="F1841" s="481"/>
      <c r="G1841" s="174" t="s">
        <v>94</v>
      </c>
      <c r="H1841" s="174" t="str" cm="1">
        <f t="array" ref="H1841">IFERROR(INDEX(INVESTOR_LIST[INVESTOR NAME],MATCH(I1841,INVESTOR_LIST[INVESTOR CODE],0),)," ")</f>
        <v xml:space="preserve"> </v>
      </c>
      <c r="I1841" s="148" t="s">
        <v>348</v>
      </c>
      <c r="J1841" s="149" t="s">
        <v>80</v>
      </c>
      <c r="K1841" s="218">
        <v>16066.35</v>
      </c>
      <c r="L1841" s="218"/>
      <c r="M1841" s="264"/>
      <c r="Q1841" s="133" t="s">
        <v>348</v>
      </c>
    </row>
    <row r="1842" spans="1:17" x14ac:dyDescent="0.2">
      <c r="A1842" s="163">
        <v>2021</v>
      </c>
      <c r="B1842" s="163">
        <v>1</v>
      </c>
      <c r="C1842" s="163">
        <v>7</v>
      </c>
      <c r="D1842" s="141">
        <f t="shared" si="62"/>
        <v>44203</v>
      </c>
      <c r="E1842" s="275">
        <f t="shared" si="63"/>
        <v>44203</v>
      </c>
      <c r="F1842" s="480"/>
      <c r="G1842" s="221" t="s">
        <v>94</v>
      </c>
      <c r="H1842" s="221" t="str" cm="1">
        <f t="array" ref="H1842">IFERROR(INDEX(INVESTOR_LIST[INVESTOR NAME],MATCH(I1842,INVESTOR_LIST[INVESTOR CODE],0),)," ")</f>
        <v xml:space="preserve"> </v>
      </c>
      <c r="I1842" s="145" t="s">
        <v>348</v>
      </c>
      <c r="J1842" s="146" t="s">
        <v>147</v>
      </c>
      <c r="K1842" s="219"/>
      <c r="L1842" s="219">
        <v>8941816.3499999996</v>
      </c>
      <c r="M1842" s="264"/>
      <c r="Q1842" s="133" t="s">
        <v>348</v>
      </c>
    </row>
    <row r="1843" spans="1:17" ht="11.25" customHeight="1" x14ac:dyDescent="0.2">
      <c r="A1843" s="168">
        <v>2021</v>
      </c>
      <c r="B1843" s="168">
        <v>1</v>
      </c>
      <c r="C1843" s="168">
        <v>7</v>
      </c>
      <c r="D1843" s="141">
        <f t="shared" si="62"/>
        <v>44203</v>
      </c>
      <c r="E1843" s="275">
        <f t="shared" si="63"/>
        <v>44203</v>
      </c>
      <c r="F1843" s="479" t="s">
        <v>254</v>
      </c>
      <c r="G1843" s="220" t="s">
        <v>74</v>
      </c>
      <c r="H1843" s="220" t="str" cm="1">
        <f t="array" ref="H1843">IFERROR(INDEX(INVESTOR_LIST[INVESTOR NAME],MATCH(I1843,INVESTOR_LIST[INVESTOR CODE],0),)," ")</f>
        <v xml:space="preserve"> </v>
      </c>
      <c r="I1843" s="142" t="s">
        <v>348</v>
      </c>
      <c r="J1843" s="143" t="s">
        <v>52</v>
      </c>
      <c r="K1843" s="226">
        <v>134500</v>
      </c>
      <c r="L1843" s="226"/>
      <c r="Q1843" s="133" t="s">
        <v>348</v>
      </c>
    </row>
    <row r="1844" spans="1:17" x14ac:dyDescent="0.2">
      <c r="A1844" s="133">
        <v>2021</v>
      </c>
      <c r="B1844" s="133">
        <v>1</v>
      </c>
      <c r="C1844" s="133">
        <v>7</v>
      </c>
      <c r="D1844" s="141">
        <f t="shared" si="62"/>
        <v>44203</v>
      </c>
      <c r="E1844" s="275">
        <f t="shared" si="63"/>
        <v>44203</v>
      </c>
      <c r="F1844" s="481"/>
      <c r="G1844" s="174" t="s">
        <v>74</v>
      </c>
      <c r="H1844" s="174" t="str" cm="1">
        <f t="array" ref="H1844">IFERROR(INDEX(INVESTOR_LIST[INVESTOR NAME],MATCH(I1844,INVESTOR_LIST[INVESTOR CODE],0),)," ")</f>
        <v xml:space="preserve"> </v>
      </c>
      <c r="I1844" s="148" t="s">
        <v>348</v>
      </c>
      <c r="J1844" s="149" t="s">
        <v>13</v>
      </c>
      <c r="K1844" s="218"/>
      <c r="L1844" s="218">
        <v>113410</v>
      </c>
      <c r="M1844" s="160"/>
      <c r="N1844" s="160"/>
      <c r="Q1844" s="133" t="s">
        <v>348</v>
      </c>
    </row>
    <row r="1845" spans="1:17" x14ac:dyDescent="0.2">
      <c r="A1845" s="163">
        <v>2021</v>
      </c>
      <c r="B1845" s="163">
        <v>1</v>
      </c>
      <c r="C1845" s="163">
        <v>7</v>
      </c>
      <c r="D1845" s="141">
        <f t="shared" si="62"/>
        <v>44203</v>
      </c>
      <c r="E1845" s="275">
        <f t="shared" si="63"/>
        <v>44203</v>
      </c>
      <c r="F1845" s="480"/>
      <c r="G1845" s="221" t="s">
        <v>74</v>
      </c>
      <c r="H1845" s="221" t="str" cm="1">
        <f t="array" ref="H1845">IFERROR(INDEX(INVESTOR_LIST[INVESTOR NAME],MATCH(I1845,INVESTOR_LIST[INVESTOR CODE],0),)," ")</f>
        <v xml:space="preserve"> </v>
      </c>
      <c r="I1845" s="145" t="s">
        <v>348</v>
      </c>
      <c r="J1845" s="146" t="s">
        <v>53</v>
      </c>
      <c r="K1845" s="219"/>
      <c r="L1845" s="219">
        <v>21090</v>
      </c>
      <c r="Q1845" s="133" t="s">
        <v>348</v>
      </c>
    </row>
    <row r="1846" spans="1:17" ht="11.25" customHeight="1" x14ac:dyDescent="0.2">
      <c r="A1846" s="168">
        <v>2021</v>
      </c>
      <c r="B1846" s="168">
        <v>1</v>
      </c>
      <c r="C1846" s="168">
        <v>7</v>
      </c>
      <c r="D1846" s="141">
        <f t="shared" si="62"/>
        <v>44203</v>
      </c>
      <c r="E1846" s="275">
        <f t="shared" si="63"/>
        <v>44203</v>
      </c>
      <c r="F1846" s="479" t="s">
        <v>964</v>
      </c>
      <c r="G1846" s="220" t="s">
        <v>74</v>
      </c>
      <c r="H1846" s="220" t="str" cm="1">
        <f t="array" ref="H1846">IFERROR(INDEX(INVESTOR_LIST[INVESTOR NAME],MATCH(I1846,INVESTOR_LIST[INVESTOR CODE],0),)," ")</f>
        <v>AKASH DEEP PAUL</v>
      </c>
      <c r="I1846" s="142" t="s">
        <v>471</v>
      </c>
      <c r="J1846" s="143" t="s">
        <v>52</v>
      </c>
      <c r="K1846" s="226">
        <v>119</v>
      </c>
      <c r="L1846" s="226"/>
      <c r="Q1846" s="133" t="s">
        <v>348</v>
      </c>
    </row>
    <row r="1847" spans="1:17" ht="33.75" x14ac:dyDescent="0.2">
      <c r="A1847" s="133">
        <v>2021</v>
      </c>
      <c r="B1847" s="133">
        <v>1</v>
      </c>
      <c r="C1847" s="133">
        <v>7</v>
      </c>
      <c r="D1847" s="141">
        <f t="shared" si="62"/>
        <v>44203</v>
      </c>
      <c r="E1847" s="275">
        <f t="shared" si="63"/>
        <v>44203</v>
      </c>
      <c r="F1847" s="481"/>
      <c r="G1847" s="174" t="s">
        <v>74</v>
      </c>
      <c r="H1847" s="174" t="str" cm="1">
        <f t="array" ref="H1847">IFERROR(INDEX(INVESTOR_LIST[INVESTOR NAME],MATCH(I1847,INVESTOR_LIST[INVESTOR CODE],0),)," ")</f>
        <v>AKASH DEEP PAUL</v>
      </c>
      <c r="I1847" s="148" t="s">
        <v>471</v>
      </c>
      <c r="J1847" s="149" t="s">
        <v>13</v>
      </c>
      <c r="K1847" s="218"/>
      <c r="L1847" s="218">
        <v>100</v>
      </c>
      <c r="Q1847" s="133" t="s">
        <v>348</v>
      </c>
    </row>
    <row r="1848" spans="1:17" ht="33.75" x14ac:dyDescent="0.2">
      <c r="A1848" s="163">
        <v>2021</v>
      </c>
      <c r="B1848" s="163">
        <v>1</v>
      </c>
      <c r="C1848" s="163">
        <v>7</v>
      </c>
      <c r="D1848" s="141">
        <f t="shared" si="62"/>
        <v>44203</v>
      </c>
      <c r="E1848" s="275">
        <f t="shared" si="63"/>
        <v>44203</v>
      </c>
      <c r="F1848" s="480"/>
      <c r="G1848" s="221" t="s">
        <v>74</v>
      </c>
      <c r="H1848" s="174" t="str" cm="1">
        <f t="array" ref="H1848">IFERROR(INDEX(INVESTOR_LIST[INVESTOR NAME],MATCH(I1848,INVESTOR_LIST[INVESTOR CODE],0),)," ")</f>
        <v>AKASH DEEP PAUL</v>
      </c>
      <c r="I1848" s="148" t="s">
        <v>471</v>
      </c>
      <c r="J1848" s="146" t="s">
        <v>53</v>
      </c>
      <c r="K1848" s="219"/>
      <c r="L1848" s="219">
        <v>19</v>
      </c>
      <c r="Q1848" s="133" t="s">
        <v>348</v>
      </c>
    </row>
    <row r="1849" spans="1:17" ht="11.25" customHeight="1" x14ac:dyDescent="0.2">
      <c r="A1849" s="168">
        <v>2021</v>
      </c>
      <c r="B1849" s="168">
        <v>1</v>
      </c>
      <c r="C1849" s="168">
        <v>7</v>
      </c>
      <c r="D1849" s="141">
        <f t="shared" si="62"/>
        <v>44203</v>
      </c>
      <c r="E1849" s="275">
        <f t="shared" si="63"/>
        <v>44203</v>
      </c>
      <c r="F1849" s="479" t="s">
        <v>964</v>
      </c>
      <c r="G1849" s="220" t="s">
        <v>74</v>
      </c>
      <c r="H1849" s="220" t="str" cm="1">
        <f t="array" ref="H1849">IFERROR(INDEX(INVESTOR_LIST[INVESTOR NAME],MATCH(I1849,INVESTOR_LIST[INVESTOR CODE],0),)," ")</f>
        <v>AKASH DEEP PAUL</v>
      </c>
      <c r="I1849" s="142" t="s">
        <v>471</v>
      </c>
      <c r="J1849" s="143" t="s">
        <v>52</v>
      </c>
      <c r="K1849" s="226">
        <v>59600</v>
      </c>
      <c r="L1849" s="226"/>
      <c r="Q1849" s="133" t="s">
        <v>348</v>
      </c>
    </row>
    <row r="1850" spans="1:17" ht="33.75" x14ac:dyDescent="0.2">
      <c r="A1850" s="133">
        <v>2021</v>
      </c>
      <c r="B1850" s="133">
        <v>1</v>
      </c>
      <c r="C1850" s="133">
        <v>7</v>
      </c>
      <c r="D1850" s="141">
        <f t="shared" si="62"/>
        <v>44203</v>
      </c>
      <c r="E1850" s="275">
        <f t="shared" si="63"/>
        <v>44203</v>
      </c>
      <c r="F1850" s="481"/>
      <c r="G1850" s="174" t="s">
        <v>74</v>
      </c>
      <c r="H1850" s="174" t="str" cm="1">
        <f t="array" ref="H1850">IFERROR(INDEX(INVESTOR_LIST[INVESTOR NAME],MATCH(I1850,INVESTOR_LIST[INVESTOR CODE],0),)," ")</f>
        <v>AKASH DEEP PAUL</v>
      </c>
      <c r="I1850" s="148" t="s">
        <v>471</v>
      </c>
      <c r="J1850" s="149" t="s">
        <v>13</v>
      </c>
      <c r="K1850" s="218"/>
      <c r="L1850" s="218">
        <v>50250</v>
      </c>
      <c r="Q1850" s="133" t="s">
        <v>348</v>
      </c>
    </row>
    <row r="1851" spans="1:17" ht="33.75" x14ac:dyDescent="0.2">
      <c r="A1851" s="163">
        <v>2021</v>
      </c>
      <c r="B1851" s="163">
        <v>1</v>
      </c>
      <c r="C1851" s="163">
        <v>7</v>
      </c>
      <c r="D1851" s="141">
        <f t="shared" si="62"/>
        <v>44203</v>
      </c>
      <c r="E1851" s="275">
        <f t="shared" si="63"/>
        <v>44203</v>
      </c>
      <c r="F1851" s="480"/>
      <c r="G1851" s="221" t="s">
        <v>74</v>
      </c>
      <c r="H1851" s="174" t="str" cm="1">
        <f t="array" ref="H1851">IFERROR(INDEX(INVESTOR_LIST[INVESTOR NAME],MATCH(I1851,INVESTOR_LIST[INVESTOR CODE],0),)," ")</f>
        <v>AKASH DEEP PAUL</v>
      </c>
      <c r="I1851" s="148" t="s">
        <v>471</v>
      </c>
      <c r="J1851" s="146" t="s">
        <v>53</v>
      </c>
      <c r="K1851" s="219"/>
      <c r="L1851" s="219">
        <v>9350</v>
      </c>
      <c r="Q1851" s="133" t="s">
        <v>348</v>
      </c>
    </row>
    <row r="1852" spans="1:17" ht="11.25" customHeight="1" x14ac:dyDescent="0.2">
      <c r="A1852" s="168">
        <v>2021</v>
      </c>
      <c r="B1852" s="168">
        <v>1</v>
      </c>
      <c r="C1852" s="168">
        <v>7</v>
      </c>
      <c r="D1852" s="141">
        <f t="shared" si="62"/>
        <v>44203</v>
      </c>
      <c r="E1852" s="275">
        <f t="shared" si="63"/>
        <v>44203</v>
      </c>
      <c r="F1852" s="479" t="s">
        <v>964</v>
      </c>
      <c r="G1852" s="220" t="s">
        <v>74</v>
      </c>
      <c r="H1852" s="220" t="str" cm="1">
        <f t="array" ref="H1852">IFERROR(INDEX(INVESTOR_LIST[INVESTOR NAME],MATCH(I1852,INVESTOR_LIST[INVESTOR CODE],0),)," ")</f>
        <v>MANABENDRA KUMAR DAS</v>
      </c>
      <c r="I1852" s="142" t="s">
        <v>505</v>
      </c>
      <c r="J1852" s="143" t="s">
        <v>52</v>
      </c>
      <c r="K1852" s="226">
        <v>200000</v>
      </c>
      <c r="L1852" s="226"/>
      <c r="Q1852" s="133" t="s">
        <v>348</v>
      </c>
    </row>
    <row r="1853" spans="1:17" ht="45" x14ac:dyDescent="0.2">
      <c r="A1853" s="133">
        <v>2021</v>
      </c>
      <c r="B1853" s="133">
        <v>1</v>
      </c>
      <c r="C1853" s="133">
        <v>7</v>
      </c>
      <c r="D1853" s="141">
        <f t="shared" si="62"/>
        <v>44203</v>
      </c>
      <c r="E1853" s="275">
        <f t="shared" si="63"/>
        <v>44203</v>
      </c>
      <c r="F1853" s="481"/>
      <c r="G1853" s="174" t="s">
        <v>74</v>
      </c>
      <c r="H1853" s="174" t="str" cm="1">
        <f t="array" ref="H1853">IFERROR(INDEX(INVESTOR_LIST[INVESTOR NAME],MATCH(I1853,INVESTOR_LIST[INVESTOR CODE],0),)," ")</f>
        <v>MANABENDRA KUMAR DAS</v>
      </c>
      <c r="I1853" s="148" t="s">
        <v>505</v>
      </c>
      <c r="J1853" s="149" t="s">
        <v>13</v>
      </c>
      <c r="K1853" s="218"/>
      <c r="L1853" s="218">
        <v>168630</v>
      </c>
      <c r="Q1853" s="133" t="s">
        <v>348</v>
      </c>
    </row>
    <row r="1854" spans="1:17" ht="45" x14ac:dyDescent="0.2">
      <c r="A1854" s="163">
        <v>2021</v>
      </c>
      <c r="B1854" s="163">
        <v>1</v>
      </c>
      <c r="C1854" s="163">
        <v>7</v>
      </c>
      <c r="D1854" s="141">
        <f t="shared" si="62"/>
        <v>44203</v>
      </c>
      <c r="E1854" s="275">
        <f t="shared" si="63"/>
        <v>44203</v>
      </c>
      <c r="F1854" s="480"/>
      <c r="G1854" s="221" t="s">
        <v>74</v>
      </c>
      <c r="H1854" s="221" t="str" cm="1">
        <f t="array" ref="H1854">IFERROR(INDEX(INVESTOR_LIST[INVESTOR NAME],MATCH(I1854,INVESTOR_LIST[INVESTOR CODE],0),)," ")</f>
        <v>MANABENDRA KUMAR DAS</v>
      </c>
      <c r="I1854" s="145" t="s">
        <v>505</v>
      </c>
      <c r="J1854" s="146" t="s">
        <v>53</v>
      </c>
      <c r="K1854" s="219"/>
      <c r="L1854" s="219">
        <v>31370</v>
      </c>
      <c r="Q1854" s="133" t="s">
        <v>348</v>
      </c>
    </row>
    <row r="1855" spans="1:17" ht="11.25" customHeight="1" x14ac:dyDescent="0.2">
      <c r="A1855" s="168">
        <v>2021</v>
      </c>
      <c r="B1855" s="168">
        <v>1</v>
      </c>
      <c r="C1855" s="168">
        <v>7</v>
      </c>
      <c r="D1855" s="141">
        <f t="shared" si="62"/>
        <v>44203</v>
      </c>
      <c r="E1855" s="275">
        <f t="shared" si="63"/>
        <v>44203</v>
      </c>
      <c r="F1855" s="479" t="s">
        <v>964</v>
      </c>
      <c r="G1855" s="220" t="s">
        <v>74</v>
      </c>
      <c r="H1855" s="220" t="str" cm="1">
        <f t="array" ref="H1855">IFERROR(INDEX(INVESTOR_LIST[INVESTOR NAME],MATCH(I1855,INVESTOR_LIST[INVESTOR CODE],0),)," ")</f>
        <v>FAIYEAD AHMEDUL HYE</v>
      </c>
      <c r="I1855" s="142" t="s">
        <v>496</v>
      </c>
      <c r="J1855" s="143" t="s">
        <v>52</v>
      </c>
      <c r="K1855" s="226">
        <v>100000</v>
      </c>
      <c r="L1855" s="226"/>
      <c r="Q1855" s="133" t="s">
        <v>348</v>
      </c>
    </row>
    <row r="1856" spans="1:17" ht="33.75" x14ac:dyDescent="0.2">
      <c r="A1856" s="133">
        <v>2021</v>
      </c>
      <c r="B1856" s="133">
        <v>1</v>
      </c>
      <c r="C1856" s="133">
        <v>7</v>
      </c>
      <c r="D1856" s="141">
        <f t="shared" si="62"/>
        <v>44203</v>
      </c>
      <c r="E1856" s="275">
        <f t="shared" si="63"/>
        <v>44203</v>
      </c>
      <c r="F1856" s="481"/>
      <c r="G1856" s="174" t="s">
        <v>74</v>
      </c>
      <c r="H1856" s="174" t="str" cm="1">
        <f t="array" ref="H1856">IFERROR(INDEX(INVESTOR_LIST[INVESTOR NAME],MATCH(I1856,INVESTOR_LIST[INVESTOR CODE],0),)," ")</f>
        <v>FAIYEAD AHMEDUL HYE</v>
      </c>
      <c r="I1856" s="148" t="s">
        <v>496</v>
      </c>
      <c r="J1856" s="149" t="s">
        <v>13</v>
      </c>
      <c r="K1856" s="218"/>
      <c r="L1856" s="218">
        <v>84320</v>
      </c>
      <c r="Q1856" s="133" t="s">
        <v>348</v>
      </c>
    </row>
    <row r="1857" spans="1:17" ht="33.75" x14ac:dyDescent="0.2">
      <c r="A1857" s="163">
        <v>2021</v>
      </c>
      <c r="B1857" s="163">
        <v>1</v>
      </c>
      <c r="C1857" s="163">
        <v>7</v>
      </c>
      <c r="D1857" s="141">
        <f t="shared" si="62"/>
        <v>44203</v>
      </c>
      <c r="E1857" s="275">
        <f t="shared" si="63"/>
        <v>44203</v>
      </c>
      <c r="F1857" s="480"/>
      <c r="G1857" s="221" t="s">
        <v>74</v>
      </c>
      <c r="H1857" s="174" t="str" cm="1">
        <f t="array" ref="H1857">IFERROR(INDEX(INVESTOR_LIST[INVESTOR NAME],MATCH(I1857,INVESTOR_LIST[INVESTOR CODE],0),)," ")</f>
        <v>FAIYEAD AHMEDUL HYE</v>
      </c>
      <c r="I1857" s="148" t="s">
        <v>496</v>
      </c>
      <c r="J1857" s="146" t="s">
        <v>53</v>
      </c>
      <c r="K1857" s="219"/>
      <c r="L1857" s="219">
        <v>15680</v>
      </c>
      <c r="Q1857" s="133" t="s">
        <v>348</v>
      </c>
    </row>
    <row r="1858" spans="1:17" ht="11.25" customHeight="1" x14ac:dyDescent="0.2">
      <c r="A1858" s="168">
        <v>2021</v>
      </c>
      <c r="B1858" s="168">
        <v>1</v>
      </c>
      <c r="C1858" s="168">
        <v>7</v>
      </c>
      <c r="D1858" s="141">
        <f t="shared" si="62"/>
        <v>44203</v>
      </c>
      <c r="E1858" s="275">
        <f t="shared" si="63"/>
        <v>44203</v>
      </c>
      <c r="F1858" s="479" t="s">
        <v>964</v>
      </c>
      <c r="G1858" s="220" t="s">
        <v>74</v>
      </c>
      <c r="H1858" s="220" t="str" cm="1">
        <f t="array" ref="H1858">IFERROR(INDEX(INVESTOR_LIST[INVESTOR NAME],MATCH(I1858,INVESTOR_LIST[INVESTOR CODE],0),)," ")</f>
        <v>SWADESH RANJAN SAHA</v>
      </c>
      <c r="I1858" s="142" t="s">
        <v>461</v>
      </c>
      <c r="J1858" s="143" t="s">
        <v>52</v>
      </c>
      <c r="K1858" s="226">
        <v>200000</v>
      </c>
      <c r="L1858" s="226"/>
      <c r="Q1858" s="133" t="s">
        <v>348</v>
      </c>
    </row>
    <row r="1859" spans="1:17" ht="45" x14ac:dyDescent="0.2">
      <c r="A1859" s="133">
        <v>2021</v>
      </c>
      <c r="B1859" s="133">
        <v>1</v>
      </c>
      <c r="C1859" s="133">
        <v>7</v>
      </c>
      <c r="D1859" s="141">
        <f t="shared" si="62"/>
        <v>44203</v>
      </c>
      <c r="E1859" s="275">
        <f t="shared" si="63"/>
        <v>44203</v>
      </c>
      <c r="F1859" s="481"/>
      <c r="G1859" s="174" t="s">
        <v>74</v>
      </c>
      <c r="H1859" s="174" t="str" cm="1">
        <f t="array" ref="H1859">IFERROR(INDEX(INVESTOR_LIST[INVESTOR NAME],MATCH(I1859,INVESTOR_LIST[INVESTOR CODE],0),)," ")</f>
        <v>SWADESH RANJAN SAHA</v>
      </c>
      <c r="I1859" s="148" t="s">
        <v>461</v>
      </c>
      <c r="J1859" s="149" t="s">
        <v>13</v>
      </c>
      <c r="K1859" s="218"/>
      <c r="L1859" s="218">
        <v>168630</v>
      </c>
      <c r="Q1859" s="133" t="s">
        <v>348</v>
      </c>
    </row>
    <row r="1860" spans="1:17" ht="45" x14ac:dyDescent="0.2">
      <c r="A1860" s="163">
        <v>2021</v>
      </c>
      <c r="B1860" s="163">
        <v>1</v>
      </c>
      <c r="C1860" s="163">
        <v>7</v>
      </c>
      <c r="D1860" s="141">
        <f t="shared" si="62"/>
        <v>44203</v>
      </c>
      <c r="E1860" s="275">
        <f t="shared" si="63"/>
        <v>44203</v>
      </c>
      <c r="F1860" s="480"/>
      <c r="G1860" s="221" t="s">
        <v>74</v>
      </c>
      <c r="H1860" s="174" t="str" cm="1">
        <f t="array" ref="H1860">IFERROR(INDEX(INVESTOR_LIST[INVESTOR NAME],MATCH(I1860,INVESTOR_LIST[INVESTOR CODE],0),)," ")</f>
        <v>SWADESH RANJAN SAHA</v>
      </c>
      <c r="I1860" s="148" t="s">
        <v>461</v>
      </c>
      <c r="J1860" s="146" t="s">
        <v>53</v>
      </c>
      <c r="K1860" s="219"/>
      <c r="L1860" s="219">
        <v>31370</v>
      </c>
      <c r="Q1860" s="133" t="s">
        <v>348</v>
      </c>
    </row>
    <row r="1861" spans="1:17" ht="11.25" customHeight="1" x14ac:dyDescent="0.2">
      <c r="A1861" s="168">
        <v>2021</v>
      </c>
      <c r="B1861" s="168">
        <v>1</v>
      </c>
      <c r="C1861" s="168">
        <v>7</v>
      </c>
      <c r="D1861" s="141">
        <f t="shared" si="62"/>
        <v>44203</v>
      </c>
      <c r="E1861" s="275">
        <f t="shared" si="63"/>
        <v>44203</v>
      </c>
      <c r="F1861" s="479" t="s">
        <v>964</v>
      </c>
      <c r="G1861" s="220" t="s">
        <v>74</v>
      </c>
      <c r="H1861" s="220" t="str" cm="1">
        <f t="array" ref="H1861">IFERROR(INDEX(INVESTOR_LIST[INVESTOR NAME],MATCH(I1861,INVESTOR_LIST[INVESTOR CODE],0),)," ")</f>
        <v>ARZUN KUMAR SARKAR</v>
      </c>
      <c r="I1861" s="142" t="s">
        <v>479</v>
      </c>
      <c r="J1861" s="143" t="s">
        <v>52</v>
      </c>
      <c r="K1861" s="226">
        <v>90000</v>
      </c>
      <c r="L1861" s="226"/>
      <c r="Q1861" s="133" t="s">
        <v>348</v>
      </c>
    </row>
    <row r="1862" spans="1:17" ht="33.75" x14ac:dyDescent="0.2">
      <c r="A1862" s="133">
        <v>2021</v>
      </c>
      <c r="B1862" s="133">
        <v>1</v>
      </c>
      <c r="C1862" s="133">
        <v>7</v>
      </c>
      <c r="D1862" s="141">
        <f t="shared" si="62"/>
        <v>44203</v>
      </c>
      <c r="E1862" s="275">
        <f t="shared" si="63"/>
        <v>44203</v>
      </c>
      <c r="F1862" s="481"/>
      <c r="G1862" s="174" t="s">
        <v>74</v>
      </c>
      <c r="H1862" s="174" t="str" cm="1">
        <f t="array" ref="H1862">IFERROR(INDEX(INVESTOR_LIST[INVESTOR NAME],MATCH(I1862,INVESTOR_LIST[INVESTOR CODE],0),)," ")</f>
        <v>ARZUN KUMAR SARKAR</v>
      </c>
      <c r="I1862" s="148" t="s">
        <v>479</v>
      </c>
      <c r="J1862" s="149" t="s">
        <v>13</v>
      </c>
      <c r="K1862" s="218"/>
      <c r="L1862" s="218">
        <v>75890</v>
      </c>
      <c r="Q1862" s="133" t="s">
        <v>348</v>
      </c>
    </row>
    <row r="1863" spans="1:17" ht="11.25" customHeight="1" x14ac:dyDescent="0.2">
      <c r="A1863" s="163">
        <v>2021</v>
      </c>
      <c r="B1863" s="163">
        <v>1</v>
      </c>
      <c r="C1863" s="163">
        <v>7</v>
      </c>
      <c r="D1863" s="141">
        <f t="shared" si="62"/>
        <v>44203</v>
      </c>
      <c r="E1863" s="275">
        <f t="shared" si="63"/>
        <v>44203</v>
      </c>
      <c r="F1863" s="480"/>
      <c r="G1863" s="221" t="s">
        <v>74</v>
      </c>
      <c r="H1863" s="174" t="str" cm="1">
        <f t="array" ref="H1863">IFERROR(INDEX(INVESTOR_LIST[INVESTOR NAME],MATCH(I1863,INVESTOR_LIST[INVESTOR CODE],0),)," ")</f>
        <v>ARZUN KUMAR SARKAR</v>
      </c>
      <c r="I1863" s="148" t="s">
        <v>479</v>
      </c>
      <c r="J1863" s="146" t="s">
        <v>53</v>
      </c>
      <c r="K1863" s="219"/>
      <c r="L1863" s="219">
        <v>14110</v>
      </c>
      <c r="N1863" s="156"/>
      <c r="Q1863" s="133" t="s">
        <v>486</v>
      </c>
    </row>
    <row r="1864" spans="1:17" ht="11.25" customHeight="1" x14ac:dyDescent="0.2">
      <c r="A1864" s="168">
        <v>2021</v>
      </c>
      <c r="B1864" s="168">
        <v>1</v>
      </c>
      <c r="C1864" s="168">
        <v>7</v>
      </c>
      <c r="D1864" s="141">
        <f t="shared" si="62"/>
        <v>44203</v>
      </c>
      <c r="E1864" s="275">
        <f t="shared" si="63"/>
        <v>44203</v>
      </c>
      <c r="F1864" s="479" t="s">
        <v>964</v>
      </c>
      <c r="G1864" s="220" t="s">
        <v>74</v>
      </c>
      <c r="H1864" s="220" t="str" cm="1">
        <f t="array" ref="H1864">IFERROR(INDEX(INVESTOR_LIST[INVESTOR NAME],MATCH(I1864,INVESTOR_LIST[INVESTOR CODE],0),)," ")</f>
        <v>KAZI AHSAN MARUF</v>
      </c>
      <c r="I1864" s="142" t="s">
        <v>423</v>
      </c>
      <c r="J1864" s="143" t="s">
        <v>52</v>
      </c>
      <c r="K1864" s="226">
        <v>750000</v>
      </c>
      <c r="L1864" s="226"/>
      <c r="N1864" s="156">
        <f>K1919/11.86</f>
        <v>8431.7032040472186</v>
      </c>
      <c r="Q1864" s="133" t="s">
        <v>486</v>
      </c>
    </row>
    <row r="1865" spans="1:17" ht="33.75" x14ac:dyDescent="0.2">
      <c r="A1865" s="133">
        <v>2021</v>
      </c>
      <c r="B1865" s="133">
        <v>1</v>
      </c>
      <c r="C1865" s="133">
        <v>7</v>
      </c>
      <c r="D1865" s="141">
        <f t="shared" si="62"/>
        <v>44203</v>
      </c>
      <c r="E1865" s="275">
        <f t="shared" si="63"/>
        <v>44203</v>
      </c>
      <c r="F1865" s="481"/>
      <c r="G1865" s="174" t="s">
        <v>74</v>
      </c>
      <c r="H1865" s="174" t="str" cm="1">
        <f t="array" ref="H1865">IFERROR(INDEX(INVESTOR_LIST[INVESTOR NAME],MATCH(I1865,INVESTOR_LIST[INVESTOR CODE],0),)," ")</f>
        <v>KAZI AHSAN MARUF</v>
      </c>
      <c r="I1865" s="148" t="s">
        <v>423</v>
      </c>
      <c r="J1865" s="149" t="s">
        <v>13</v>
      </c>
      <c r="K1865" s="218"/>
      <c r="L1865" s="218">
        <v>632380</v>
      </c>
      <c r="Q1865" s="133" t="s">
        <v>486</v>
      </c>
    </row>
    <row r="1866" spans="1:17" ht="33.75" x14ac:dyDescent="0.2">
      <c r="A1866" s="163">
        <v>2021</v>
      </c>
      <c r="B1866" s="163">
        <v>1</v>
      </c>
      <c r="C1866" s="163">
        <v>7</v>
      </c>
      <c r="D1866" s="141">
        <f t="shared" si="62"/>
        <v>44203</v>
      </c>
      <c r="E1866" s="275">
        <f t="shared" si="63"/>
        <v>44203</v>
      </c>
      <c r="F1866" s="480"/>
      <c r="G1866" s="221" t="s">
        <v>74</v>
      </c>
      <c r="H1866" s="221" t="str" cm="1">
        <f t="array" ref="H1866">IFERROR(INDEX(INVESTOR_LIST[INVESTOR NAME],MATCH(I1866,INVESTOR_LIST[INVESTOR CODE],0),)," ")</f>
        <v>KAZI AHSAN MARUF</v>
      </c>
      <c r="I1866" s="145" t="s">
        <v>423</v>
      </c>
      <c r="J1866" s="146" t="s">
        <v>53</v>
      </c>
      <c r="K1866" s="219"/>
      <c r="L1866" s="219">
        <v>117620</v>
      </c>
      <c r="N1866" s="160"/>
      <c r="Q1866" s="133" t="s">
        <v>348</v>
      </c>
    </row>
    <row r="1867" spans="1:17" ht="11.25" customHeight="1" x14ac:dyDescent="0.2">
      <c r="A1867" s="168">
        <v>2021</v>
      </c>
      <c r="B1867" s="168">
        <v>1</v>
      </c>
      <c r="C1867" s="168">
        <v>7</v>
      </c>
      <c r="D1867" s="141">
        <f t="shared" si="62"/>
        <v>44203</v>
      </c>
      <c r="E1867" s="275">
        <f t="shared" si="63"/>
        <v>44203</v>
      </c>
      <c r="F1867" s="479" t="s">
        <v>964</v>
      </c>
      <c r="G1867" s="220" t="s">
        <v>74</v>
      </c>
      <c r="H1867" s="220" t="str" cm="1">
        <f t="array" ref="H1867">IFERROR(INDEX(INVESTOR_LIST[INVESTOR NAME],MATCH(I1867,INVESTOR_LIST[INVESTOR CODE],0),)," ")</f>
        <v>KHANDAKER MAHAMADUR AZAD</v>
      </c>
      <c r="I1867" s="142" t="s">
        <v>506</v>
      </c>
      <c r="J1867" s="143" t="s">
        <v>52</v>
      </c>
      <c r="K1867" s="226">
        <v>100000</v>
      </c>
      <c r="L1867" s="226"/>
      <c r="Q1867" s="133" t="s">
        <v>348</v>
      </c>
    </row>
    <row r="1868" spans="1:17" ht="56.25" x14ac:dyDescent="0.2">
      <c r="A1868" s="133">
        <v>2021</v>
      </c>
      <c r="B1868" s="133">
        <v>1</v>
      </c>
      <c r="C1868" s="133">
        <v>7</v>
      </c>
      <c r="D1868" s="141">
        <f t="shared" si="62"/>
        <v>44203</v>
      </c>
      <c r="E1868" s="275">
        <f t="shared" si="63"/>
        <v>44203</v>
      </c>
      <c r="F1868" s="481"/>
      <c r="G1868" s="174" t="s">
        <v>74</v>
      </c>
      <c r="H1868" s="174" t="str" cm="1">
        <f t="array" ref="H1868">IFERROR(INDEX(INVESTOR_LIST[INVESTOR NAME],MATCH(I1868,INVESTOR_LIST[INVESTOR CODE],0),)," ")</f>
        <v>KHANDAKER MAHAMADUR AZAD</v>
      </c>
      <c r="I1868" s="148" t="s">
        <v>506</v>
      </c>
      <c r="J1868" s="149" t="s">
        <v>13</v>
      </c>
      <c r="K1868" s="218"/>
      <c r="L1868" s="218">
        <v>84320</v>
      </c>
      <c r="Q1868" s="133" t="s">
        <v>510</v>
      </c>
    </row>
    <row r="1869" spans="1:17" ht="56.25" x14ac:dyDescent="0.2">
      <c r="A1869" s="163">
        <v>2021</v>
      </c>
      <c r="B1869" s="163">
        <v>1</v>
      </c>
      <c r="C1869" s="163">
        <v>7</v>
      </c>
      <c r="D1869" s="141">
        <f t="shared" ref="D1869:D1932" si="64">DATE(A1869,B1869,C1869)</f>
        <v>44203</v>
      </c>
      <c r="E1869" s="275">
        <f t="shared" si="63"/>
        <v>44203</v>
      </c>
      <c r="F1869" s="480"/>
      <c r="G1869" s="221" t="s">
        <v>74</v>
      </c>
      <c r="H1869" s="174" t="str" cm="1">
        <f t="array" ref="H1869">IFERROR(INDEX(INVESTOR_LIST[INVESTOR NAME],MATCH(I1869,INVESTOR_LIST[INVESTOR CODE],0),)," ")</f>
        <v>KHANDAKER MAHAMADUR AZAD</v>
      </c>
      <c r="I1869" s="148" t="s">
        <v>506</v>
      </c>
      <c r="J1869" s="146" t="s">
        <v>53</v>
      </c>
      <c r="K1869" s="219"/>
      <c r="L1869" s="219">
        <v>15680</v>
      </c>
      <c r="N1869" s="147">
        <f>K1924/(13.13-0.8)</f>
        <v>532.44120032441197</v>
      </c>
      <c r="Q1869" s="133" t="s">
        <v>510</v>
      </c>
    </row>
    <row r="1870" spans="1:17" ht="11.25" customHeight="1" x14ac:dyDescent="0.2">
      <c r="A1870" s="168">
        <v>2021</v>
      </c>
      <c r="B1870" s="168">
        <v>1</v>
      </c>
      <c r="C1870" s="168">
        <v>7</v>
      </c>
      <c r="D1870" s="141">
        <f t="shared" si="64"/>
        <v>44203</v>
      </c>
      <c r="E1870" s="275">
        <f t="shared" ref="E1870:E1933" si="65">DATE(A1870,B1870,C1870)</f>
        <v>44203</v>
      </c>
      <c r="F1870" s="479" t="s">
        <v>964</v>
      </c>
      <c r="G1870" s="220" t="s">
        <v>74</v>
      </c>
      <c r="H1870" s="220" t="str" cm="1">
        <f t="array" ref="H1870">IFERROR(INDEX(INVESTOR_LIST[INVESTOR NAME],MATCH(I1870,INVESTOR_LIST[INVESTOR CODE],0),)," ")</f>
        <v>ALI IMAM</v>
      </c>
      <c r="I1870" s="142" t="s">
        <v>384</v>
      </c>
      <c r="J1870" s="143" t="s">
        <v>52</v>
      </c>
      <c r="K1870" s="226">
        <v>1000000</v>
      </c>
      <c r="L1870" s="226"/>
      <c r="Q1870" s="133" t="s">
        <v>510</v>
      </c>
    </row>
    <row r="1871" spans="1:17" ht="22.5" x14ac:dyDescent="0.2">
      <c r="A1871" s="133">
        <v>2021</v>
      </c>
      <c r="B1871" s="133">
        <v>1</v>
      </c>
      <c r="C1871" s="133">
        <v>7</v>
      </c>
      <c r="D1871" s="141">
        <f t="shared" si="64"/>
        <v>44203</v>
      </c>
      <c r="E1871" s="275">
        <f t="shared" si="65"/>
        <v>44203</v>
      </c>
      <c r="F1871" s="481"/>
      <c r="G1871" s="174" t="s">
        <v>74</v>
      </c>
      <c r="H1871" s="174" t="str" cm="1">
        <f t="array" ref="H1871">IFERROR(INDEX(INVESTOR_LIST[INVESTOR NAME],MATCH(I1871,INVESTOR_LIST[INVESTOR CODE],0),)," ")</f>
        <v>ALI IMAM</v>
      </c>
      <c r="I1871" s="148" t="s">
        <v>384</v>
      </c>
      <c r="J1871" s="149" t="s">
        <v>13</v>
      </c>
      <c r="K1871" s="218"/>
      <c r="L1871" s="218">
        <v>843170</v>
      </c>
      <c r="N1871" s="156"/>
      <c r="Q1871" s="133" t="s">
        <v>348</v>
      </c>
    </row>
    <row r="1872" spans="1:17" ht="22.5" x14ac:dyDescent="0.2">
      <c r="A1872" s="163">
        <v>2021</v>
      </c>
      <c r="B1872" s="163">
        <v>1</v>
      </c>
      <c r="C1872" s="163">
        <v>7</v>
      </c>
      <c r="D1872" s="141">
        <f t="shared" si="64"/>
        <v>44203</v>
      </c>
      <c r="E1872" s="275">
        <f t="shared" si="65"/>
        <v>44203</v>
      </c>
      <c r="F1872" s="480"/>
      <c r="G1872" s="221" t="s">
        <v>74</v>
      </c>
      <c r="H1872" s="174" t="str" cm="1">
        <f t="array" ref="H1872">IFERROR(INDEX(INVESTOR_LIST[INVESTOR NAME],MATCH(I1872,INVESTOR_LIST[INVESTOR CODE],0),)," ")</f>
        <v>ALI IMAM</v>
      </c>
      <c r="I1872" s="148" t="s">
        <v>384</v>
      </c>
      <c r="J1872" s="146" t="s">
        <v>53</v>
      </c>
      <c r="K1872" s="219"/>
      <c r="L1872" s="219">
        <v>156830</v>
      </c>
      <c r="Q1872" s="133" t="s">
        <v>348</v>
      </c>
    </row>
    <row r="1873" spans="1:23" ht="11.25" customHeight="1" x14ac:dyDescent="0.2">
      <c r="A1873" s="168">
        <v>2021</v>
      </c>
      <c r="B1873" s="168">
        <v>1</v>
      </c>
      <c r="C1873" s="168">
        <v>7</v>
      </c>
      <c r="D1873" s="141">
        <f t="shared" si="64"/>
        <v>44203</v>
      </c>
      <c r="E1873" s="275">
        <f t="shared" si="65"/>
        <v>44203</v>
      </c>
      <c r="F1873" s="479" t="s">
        <v>964</v>
      </c>
      <c r="G1873" s="220" t="s">
        <v>74</v>
      </c>
      <c r="H1873" s="220" t="str" cm="1">
        <f t="array" ref="H1873">IFERROR(INDEX(INVESTOR_LIST[INVESTOR NAME],MATCH(I1873,INVESTOR_LIST[INVESTOR CODE],0),)," ")</f>
        <v>FAZLE RABBI PATHAN</v>
      </c>
      <c r="I1873" s="142" t="s">
        <v>507</v>
      </c>
      <c r="J1873" s="143" t="s">
        <v>52</v>
      </c>
      <c r="K1873" s="226">
        <v>13000</v>
      </c>
      <c r="L1873" s="226"/>
      <c r="Q1873" s="133" t="s">
        <v>372</v>
      </c>
    </row>
    <row r="1874" spans="1:23" ht="33.75" x14ac:dyDescent="0.2">
      <c r="A1874" s="133">
        <v>2021</v>
      </c>
      <c r="B1874" s="133">
        <v>1</v>
      </c>
      <c r="C1874" s="133">
        <v>7</v>
      </c>
      <c r="D1874" s="141">
        <f t="shared" si="64"/>
        <v>44203</v>
      </c>
      <c r="E1874" s="275">
        <f t="shared" si="65"/>
        <v>44203</v>
      </c>
      <c r="F1874" s="481"/>
      <c r="G1874" s="174" t="s">
        <v>74</v>
      </c>
      <c r="H1874" s="174" t="str" cm="1">
        <f t="array" ref="H1874">IFERROR(INDEX(INVESTOR_LIST[INVESTOR NAME],MATCH(I1874,INVESTOR_LIST[INVESTOR CODE],0),)," ")</f>
        <v>FAZLE RABBI PATHAN</v>
      </c>
      <c r="I1874" s="148" t="s">
        <v>507</v>
      </c>
      <c r="J1874" s="149" t="s">
        <v>13</v>
      </c>
      <c r="K1874" s="218"/>
      <c r="L1874" s="218">
        <v>10960</v>
      </c>
      <c r="N1874" s="156">
        <f>K1929/12.33</f>
        <v>40551.500405515006</v>
      </c>
      <c r="Q1874" s="133" t="s">
        <v>372</v>
      </c>
    </row>
    <row r="1875" spans="1:23" ht="33.75" x14ac:dyDescent="0.2">
      <c r="A1875" s="163">
        <v>2021</v>
      </c>
      <c r="B1875" s="163">
        <v>1</v>
      </c>
      <c r="C1875" s="163">
        <v>7</v>
      </c>
      <c r="D1875" s="141">
        <f t="shared" si="64"/>
        <v>44203</v>
      </c>
      <c r="E1875" s="275">
        <f t="shared" si="65"/>
        <v>44203</v>
      </c>
      <c r="F1875" s="480"/>
      <c r="G1875" s="221" t="s">
        <v>74</v>
      </c>
      <c r="H1875" s="174" t="str" cm="1">
        <f t="array" ref="H1875">IFERROR(INDEX(INVESTOR_LIST[INVESTOR NAME],MATCH(I1875,INVESTOR_LIST[INVESTOR CODE],0),)," ")</f>
        <v>FAZLE RABBI PATHAN</v>
      </c>
      <c r="I1875" s="148" t="s">
        <v>507</v>
      </c>
      <c r="J1875" s="146" t="s">
        <v>53</v>
      </c>
      <c r="K1875" s="219"/>
      <c r="L1875" s="219">
        <v>2040</v>
      </c>
      <c r="N1875" s="160"/>
      <c r="Q1875" s="133" t="s">
        <v>372</v>
      </c>
    </row>
    <row r="1876" spans="1:23" ht="11.25" customHeight="1" x14ac:dyDescent="0.2">
      <c r="A1876" s="168">
        <v>2021</v>
      </c>
      <c r="B1876" s="168">
        <v>1</v>
      </c>
      <c r="C1876" s="168">
        <v>7</v>
      </c>
      <c r="D1876" s="141">
        <f t="shared" si="64"/>
        <v>44203</v>
      </c>
      <c r="E1876" s="275">
        <f t="shared" si="65"/>
        <v>44203</v>
      </c>
      <c r="F1876" s="479" t="s">
        <v>964</v>
      </c>
      <c r="G1876" s="220" t="s">
        <v>74</v>
      </c>
      <c r="H1876" s="220" t="str" cm="1">
        <f t="array" ref="H1876">IFERROR(INDEX(INVESTOR_LIST[INVESTOR NAME],MATCH(I1876,INVESTOR_LIST[INVESTOR CODE],0),)," ")</f>
        <v>RAJIB ROY</v>
      </c>
      <c r="I1876" s="142" t="s">
        <v>409</v>
      </c>
      <c r="J1876" s="143" t="s">
        <v>52</v>
      </c>
      <c r="K1876" s="226">
        <v>63300</v>
      </c>
      <c r="L1876" s="226"/>
      <c r="Q1876" s="133" t="s">
        <v>501</v>
      </c>
    </row>
    <row r="1877" spans="1:23" ht="22.5" x14ac:dyDescent="0.2">
      <c r="A1877" s="133">
        <v>2021</v>
      </c>
      <c r="B1877" s="133">
        <v>1</v>
      </c>
      <c r="C1877" s="133">
        <v>7</v>
      </c>
      <c r="D1877" s="141">
        <f t="shared" si="64"/>
        <v>44203</v>
      </c>
      <c r="E1877" s="275">
        <f t="shared" si="65"/>
        <v>44203</v>
      </c>
      <c r="F1877" s="481"/>
      <c r="G1877" s="174" t="s">
        <v>74</v>
      </c>
      <c r="H1877" s="174" t="str" cm="1">
        <f t="array" ref="H1877">IFERROR(INDEX(INVESTOR_LIST[INVESTOR NAME],MATCH(I1877,INVESTOR_LIST[INVESTOR CODE],0),)," ")</f>
        <v>RAJIB ROY</v>
      </c>
      <c r="I1877" s="148" t="s">
        <v>409</v>
      </c>
      <c r="J1877" s="149" t="s">
        <v>13</v>
      </c>
      <c r="K1877" s="218"/>
      <c r="L1877" s="218">
        <v>53370</v>
      </c>
      <c r="N1877" s="156">
        <f>K1932/12.33</f>
        <v>8110.3000811030006</v>
      </c>
      <c r="Q1877" s="133" t="s">
        <v>501</v>
      </c>
      <c r="T1877" s="160"/>
    </row>
    <row r="1878" spans="1:23" ht="22.5" x14ac:dyDescent="0.2">
      <c r="A1878" s="163">
        <v>2021</v>
      </c>
      <c r="B1878" s="163">
        <v>1</v>
      </c>
      <c r="C1878" s="163">
        <v>7</v>
      </c>
      <c r="D1878" s="141">
        <f t="shared" si="64"/>
        <v>44203</v>
      </c>
      <c r="E1878" s="275">
        <f t="shared" si="65"/>
        <v>44203</v>
      </c>
      <c r="F1878" s="480"/>
      <c r="G1878" s="221" t="s">
        <v>74</v>
      </c>
      <c r="H1878" s="174" t="str" cm="1">
        <f t="array" ref="H1878">IFERROR(INDEX(INVESTOR_LIST[INVESTOR NAME],MATCH(I1878,INVESTOR_LIST[INVESTOR CODE],0),)," ")</f>
        <v>RAJIB ROY</v>
      </c>
      <c r="I1878" s="148" t="s">
        <v>409</v>
      </c>
      <c r="J1878" s="146" t="s">
        <v>53</v>
      </c>
      <c r="K1878" s="219"/>
      <c r="L1878" s="219">
        <v>9930</v>
      </c>
      <c r="Q1878" s="133" t="s">
        <v>501</v>
      </c>
      <c r="T1878" s="160">
        <f>T1881*U1881</f>
        <v>4140.25304136255</v>
      </c>
      <c r="U1878" s="160"/>
    </row>
    <row r="1879" spans="1:23" ht="11.25" customHeight="1" x14ac:dyDescent="0.2">
      <c r="A1879" s="168">
        <v>2021</v>
      </c>
      <c r="B1879" s="168">
        <v>1</v>
      </c>
      <c r="C1879" s="168">
        <v>7</v>
      </c>
      <c r="D1879" s="141">
        <f t="shared" si="64"/>
        <v>44203</v>
      </c>
      <c r="E1879" s="275">
        <f t="shared" si="65"/>
        <v>44203</v>
      </c>
      <c r="F1879" s="479" t="s">
        <v>964</v>
      </c>
      <c r="G1879" s="220" t="s">
        <v>74</v>
      </c>
      <c r="H1879" s="220" t="str" cm="1">
        <f t="array" ref="H1879">IFERROR(INDEX(INVESTOR_LIST[INVESTOR NAME],MATCH(I1879,INVESTOR_LIST[INVESTOR CODE],0),)," ")</f>
        <v>SABRIA ISLAM TALUKDER</v>
      </c>
      <c r="I1879" s="142" t="s">
        <v>508</v>
      </c>
      <c r="J1879" s="143" t="s">
        <v>52</v>
      </c>
      <c r="K1879" s="226">
        <v>100000</v>
      </c>
      <c r="L1879" s="226"/>
      <c r="Q1879" s="133" t="s">
        <v>372</v>
      </c>
      <c r="S1879" s="147"/>
    </row>
    <row r="1880" spans="1:23" ht="45.75" thickBot="1" x14ac:dyDescent="0.25">
      <c r="A1880" s="133">
        <v>2021</v>
      </c>
      <c r="B1880" s="133">
        <v>1</v>
      </c>
      <c r="C1880" s="133">
        <v>7</v>
      </c>
      <c r="D1880" s="141">
        <f t="shared" si="64"/>
        <v>44203</v>
      </c>
      <c r="E1880" s="275">
        <f t="shared" si="65"/>
        <v>44203</v>
      </c>
      <c r="F1880" s="481"/>
      <c r="G1880" s="174" t="s">
        <v>74</v>
      </c>
      <c r="H1880" s="174" t="str" cm="1">
        <f t="array" ref="H1880">IFERROR(INDEX(INVESTOR_LIST[INVESTOR NAME],MATCH(I1880,INVESTOR_LIST[INVESTOR CODE],0),)," ")</f>
        <v>SABRIA ISLAM TALUKDER</v>
      </c>
      <c r="I1880" s="148" t="s">
        <v>508</v>
      </c>
      <c r="J1880" s="149" t="s">
        <v>13</v>
      </c>
      <c r="K1880" s="218"/>
      <c r="L1880" s="218">
        <v>84320</v>
      </c>
      <c r="N1880" s="147">
        <f>K1935/12.33</f>
        <v>24330.900243309003</v>
      </c>
      <c r="Q1880" s="133" t="s">
        <v>372</v>
      </c>
    </row>
    <row r="1881" spans="1:23" ht="45" x14ac:dyDescent="0.2">
      <c r="A1881" s="163">
        <v>2021</v>
      </c>
      <c r="B1881" s="163">
        <v>1</v>
      </c>
      <c r="C1881" s="163">
        <v>7</v>
      </c>
      <c r="D1881" s="141">
        <f t="shared" si="64"/>
        <v>44203</v>
      </c>
      <c r="E1881" s="275">
        <f t="shared" si="65"/>
        <v>44203</v>
      </c>
      <c r="F1881" s="480"/>
      <c r="G1881" s="221" t="s">
        <v>74</v>
      </c>
      <c r="H1881" s="174" t="str" cm="1">
        <f t="array" ref="H1881">IFERROR(INDEX(INVESTOR_LIST[INVESTOR NAME],MATCH(I1881,INVESTOR_LIST[INVESTOR CODE],0),)," ")</f>
        <v>SABRIA ISLAM TALUKDER</v>
      </c>
      <c r="I1881" s="148" t="s">
        <v>508</v>
      </c>
      <c r="J1881" s="146" t="s">
        <v>53</v>
      </c>
      <c r="K1881" s="219"/>
      <c r="L1881" s="219">
        <v>15680</v>
      </c>
      <c r="N1881" s="160"/>
      <c r="Q1881" s="133" t="s">
        <v>372</v>
      </c>
      <c r="S1881" s="133">
        <v>19048</v>
      </c>
      <c r="T1881" s="209">
        <f>S1881-N1882</f>
        <v>394.3098134631</v>
      </c>
      <c r="U1881" s="210">
        <v>10.5</v>
      </c>
      <c r="V1881" s="211">
        <f>T1881/($T$1881+$T$1882)</f>
        <v>9.6299230690002589E-3</v>
      </c>
      <c r="W1881" s="212">
        <f>U1881*V1881</f>
        <v>0.10111419222450271</v>
      </c>
    </row>
    <row r="1882" spans="1:23" ht="11.25" customHeight="1" x14ac:dyDescent="0.2">
      <c r="A1882" s="168">
        <v>2021</v>
      </c>
      <c r="B1882" s="168">
        <v>1</v>
      </c>
      <c r="C1882" s="168">
        <v>7</v>
      </c>
      <c r="D1882" s="141">
        <f t="shared" si="64"/>
        <v>44203</v>
      </c>
      <c r="E1882" s="275">
        <f t="shared" si="65"/>
        <v>44203</v>
      </c>
      <c r="F1882" s="479" t="s">
        <v>964</v>
      </c>
      <c r="G1882" s="220" t="s">
        <v>74</v>
      </c>
      <c r="H1882" s="220" t="str" cm="1">
        <f t="array" ref="H1882">IFERROR(INDEX(INVESTOR_LIST[INVESTOR NAME],MATCH(I1882,INVESTOR_LIST[INVESTOR CODE],0),)," ")</f>
        <v>KABIR AHMED TALUKDER</v>
      </c>
      <c r="I1882" s="142" t="s">
        <v>509</v>
      </c>
      <c r="J1882" s="143" t="s">
        <v>52</v>
      </c>
      <c r="K1882" s="226">
        <v>2000000</v>
      </c>
      <c r="L1882" s="226"/>
      <c r="N1882" s="156">
        <f>L1940/12.33</f>
        <v>18653.6901865369</v>
      </c>
      <c r="Q1882" s="133" t="s">
        <v>440</v>
      </c>
      <c r="T1882" s="213">
        <f>L2009/10</f>
        <v>40552</v>
      </c>
      <c r="U1882" s="133">
        <f>12.33</f>
        <v>12.33</v>
      </c>
      <c r="V1882" s="160">
        <f>T1882/($T$1881+$T$1882)</f>
        <v>0.99037007693099977</v>
      </c>
      <c r="W1882" s="214">
        <f>U1882*V1882</f>
        <v>12.211263048559227</v>
      </c>
    </row>
    <row r="1883" spans="1:23" ht="45.75" thickBot="1" x14ac:dyDescent="0.25">
      <c r="A1883" s="133">
        <v>2021</v>
      </c>
      <c r="B1883" s="133">
        <v>1</v>
      </c>
      <c r="C1883" s="133">
        <v>7</v>
      </c>
      <c r="D1883" s="141">
        <f t="shared" si="64"/>
        <v>44203</v>
      </c>
      <c r="E1883" s="275">
        <f t="shared" si="65"/>
        <v>44203</v>
      </c>
      <c r="F1883" s="481"/>
      <c r="G1883" s="174" t="s">
        <v>74</v>
      </c>
      <c r="H1883" s="174" t="str" cm="1">
        <f t="array" ref="H1883">IFERROR(INDEX(INVESTOR_LIST[INVESTOR NAME],MATCH(I1883,INVESTOR_LIST[INVESTOR CODE],0),)," ")</f>
        <v>KABIR AHMED TALUKDER</v>
      </c>
      <c r="I1883" s="148" t="s">
        <v>509</v>
      </c>
      <c r="J1883" s="149" t="s">
        <v>13</v>
      </c>
      <c r="K1883" s="218"/>
      <c r="L1883" s="218">
        <v>1686340</v>
      </c>
      <c r="Q1883" s="133" t="s">
        <v>440</v>
      </c>
      <c r="T1883" s="215"/>
      <c r="U1883" s="216"/>
      <c r="V1883" s="216"/>
      <c r="W1883" s="217">
        <f>SUM(W1881:W1882)</f>
        <v>12.312377240783729</v>
      </c>
    </row>
    <row r="1884" spans="1:23" ht="45" x14ac:dyDescent="0.2">
      <c r="A1884" s="163">
        <v>2021</v>
      </c>
      <c r="B1884" s="163">
        <v>1</v>
      </c>
      <c r="C1884" s="163">
        <v>7</v>
      </c>
      <c r="D1884" s="141">
        <f t="shared" si="64"/>
        <v>44203</v>
      </c>
      <c r="E1884" s="275">
        <f t="shared" si="65"/>
        <v>44203</v>
      </c>
      <c r="F1884" s="480"/>
      <c r="G1884" s="221" t="s">
        <v>74</v>
      </c>
      <c r="H1884" s="174" t="str" cm="1">
        <f t="array" ref="H1884">IFERROR(INDEX(INVESTOR_LIST[INVESTOR NAME],MATCH(I1884,INVESTOR_LIST[INVESTOR CODE],0),)," ")</f>
        <v>KABIR AHMED TALUKDER</v>
      </c>
      <c r="I1884" s="148" t="s">
        <v>509</v>
      </c>
      <c r="J1884" s="146" t="s">
        <v>53</v>
      </c>
      <c r="K1884" s="219"/>
      <c r="L1884" s="219">
        <v>313660</v>
      </c>
      <c r="O1884" s="156"/>
      <c r="Q1884" s="133" t="s">
        <v>440</v>
      </c>
    </row>
    <row r="1885" spans="1:23" ht="11.25" customHeight="1" x14ac:dyDescent="0.2">
      <c r="A1885" s="168">
        <v>2021</v>
      </c>
      <c r="B1885" s="168">
        <v>1</v>
      </c>
      <c r="C1885" s="168">
        <v>7</v>
      </c>
      <c r="D1885" s="141">
        <f t="shared" si="64"/>
        <v>44203</v>
      </c>
      <c r="E1885" s="275">
        <f t="shared" si="65"/>
        <v>44203</v>
      </c>
      <c r="F1885" s="479" t="s">
        <v>964</v>
      </c>
      <c r="G1885" s="220" t="s">
        <v>74</v>
      </c>
      <c r="H1885" s="220" t="str" cm="1">
        <f t="array" ref="H1885">IFERROR(INDEX(INVESTOR_LIST[INVESTOR NAME],MATCH(I1885,INVESTOR_LIST[INVESTOR CODE],0),)," ")</f>
        <v>ASHISH KUMAR GHOSH</v>
      </c>
      <c r="I1885" s="142" t="s">
        <v>486</v>
      </c>
      <c r="J1885" s="143" t="s">
        <v>52</v>
      </c>
      <c r="K1885" s="226">
        <v>189900</v>
      </c>
      <c r="L1885" s="226"/>
      <c r="Q1885" s="133" t="s">
        <v>511</v>
      </c>
    </row>
    <row r="1886" spans="1:23" ht="33.75" x14ac:dyDescent="0.2">
      <c r="A1886" s="133">
        <v>2021</v>
      </c>
      <c r="B1886" s="133">
        <v>1</v>
      </c>
      <c r="C1886" s="133">
        <v>7</v>
      </c>
      <c r="D1886" s="141">
        <f t="shared" si="64"/>
        <v>44203</v>
      </c>
      <c r="E1886" s="275">
        <f t="shared" si="65"/>
        <v>44203</v>
      </c>
      <c r="F1886" s="481"/>
      <c r="G1886" s="174" t="s">
        <v>74</v>
      </c>
      <c r="H1886" s="174" t="str" cm="1">
        <f t="array" ref="H1886">IFERROR(INDEX(INVESTOR_LIST[INVESTOR NAME],MATCH(I1886,INVESTOR_LIST[INVESTOR CODE],0),)," ")</f>
        <v>ASHISH KUMAR GHOSH</v>
      </c>
      <c r="I1886" s="148" t="s">
        <v>486</v>
      </c>
      <c r="J1886" s="149" t="s">
        <v>13</v>
      </c>
      <c r="K1886" s="218"/>
      <c r="L1886" s="218">
        <v>160120</v>
      </c>
      <c r="N1886" s="156">
        <f>K1941/12.33</f>
        <v>64882.400648824005</v>
      </c>
      <c r="Q1886" s="133" t="s">
        <v>511</v>
      </c>
    </row>
    <row r="1887" spans="1:23" ht="33.75" x14ac:dyDescent="0.2">
      <c r="A1887" s="163">
        <v>2021</v>
      </c>
      <c r="B1887" s="163">
        <v>1</v>
      </c>
      <c r="C1887" s="163">
        <v>7</v>
      </c>
      <c r="D1887" s="141">
        <f t="shared" si="64"/>
        <v>44203</v>
      </c>
      <c r="E1887" s="275">
        <f t="shared" si="65"/>
        <v>44203</v>
      </c>
      <c r="F1887" s="480"/>
      <c r="G1887" s="221" t="s">
        <v>74</v>
      </c>
      <c r="H1887" s="221" t="str" cm="1">
        <f t="array" ref="H1887">IFERROR(INDEX(INVESTOR_LIST[INVESTOR NAME],MATCH(I1887,INVESTOR_LIST[INVESTOR CODE],0),)," ")</f>
        <v>ASHISH KUMAR GHOSH</v>
      </c>
      <c r="I1887" s="145" t="s">
        <v>486</v>
      </c>
      <c r="J1887" s="146" t="s">
        <v>53</v>
      </c>
      <c r="K1887" s="219"/>
      <c r="L1887" s="219">
        <v>29780</v>
      </c>
      <c r="Q1887" s="133" t="s">
        <v>511</v>
      </c>
    </row>
    <row r="1888" spans="1:23" x14ac:dyDescent="0.2">
      <c r="A1888" s="168">
        <v>2021</v>
      </c>
      <c r="B1888" s="168">
        <v>1</v>
      </c>
      <c r="C1888" s="168">
        <v>7</v>
      </c>
      <c r="D1888" s="141">
        <f t="shared" si="64"/>
        <v>44203</v>
      </c>
      <c r="E1888" s="275">
        <f t="shared" si="65"/>
        <v>44203</v>
      </c>
      <c r="F1888" s="479" t="s">
        <v>77</v>
      </c>
      <c r="G1888" s="220" t="s">
        <v>74</v>
      </c>
      <c r="H1888" s="220" t="str" cm="1">
        <f t="array" ref="H1888">IFERROR(INDEX(INVESTOR_LIST[INVESTOR NAME],MATCH(I1888,INVESTOR_LIST[INVESTOR CODE],0),)," ")</f>
        <v xml:space="preserve"> </v>
      </c>
      <c r="I1888" s="142" t="s">
        <v>348</v>
      </c>
      <c r="J1888" s="143" t="s">
        <v>61</v>
      </c>
      <c r="K1888" s="226">
        <v>60</v>
      </c>
      <c r="L1888" s="226"/>
      <c r="Q1888" s="133" t="s">
        <v>466</v>
      </c>
    </row>
    <row r="1889" spans="1:17" x14ac:dyDescent="0.2">
      <c r="A1889" s="163">
        <v>2021</v>
      </c>
      <c r="B1889" s="163">
        <v>1</v>
      </c>
      <c r="C1889" s="163">
        <v>7</v>
      </c>
      <c r="D1889" s="141">
        <f t="shared" si="64"/>
        <v>44203</v>
      </c>
      <c r="E1889" s="275">
        <f t="shared" si="65"/>
        <v>44203</v>
      </c>
      <c r="F1889" s="480"/>
      <c r="G1889" s="221" t="s">
        <v>74</v>
      </c>
      <c r="H1889" s="221" t="str" cm="1">
        <f t="array" ref="H1889">IFERROR(INDEX(INVESTOR_LIST[INVESTOR NAME],MATCH(I1889,INVESTOR_LIST[INVESTOR CODE],0),)," ")</f>
        <v xml:space="preserve"> </v>
      </c>
      <c r="I1889" s="145" t="s">
        <v>348</v>
      </c>
      <c r="J1889" s="146" t="s">
        <v>52</v>
      </c>
      <c r="K1889" s="219"/>
      <c r="L1889" s="219">
        <v>60</v>
      </c>
      <c r="N1889" s="147">
        <f>K1944/12.33</f>
        <v>8110.3000811030006</v>
      </c>
      <c r="Q1889" s="133" t="s">
        <v>466</v>
      </c>
    </row>
    <row r="1890" spans="1:17" x14ac:dyDescent="0.2">
      <c r="A1890" s="168">
        <v>2021</v>
      </c>
      <c r="B1890" s="168">
        <v>1</v>
      </c>
      <c r="C1890" s="168">
        <v>7</v>
      </c>
      <c r="D1890" s="141">
        <f t="shared" si="64"/>
        <v>44203</v>
      </c>
      <c r="E1890" s="275">
        <f t="shared" si="65"/>
        <v>44203</v>
      </c>
      <c r="F1890" s="479" t="s">
        <v>77</v>
      </c>
      <c r="G1890" s="220" t="s">
        <v>74</v>
      </c>
      <c r="H1890" s="220" t="str" cm="1">
        <f t="array" ref="H1890">IFERROR(INDEX(INVESTOR_LIST[INVESTOR NAME],MATCH(I1890,INVESTOR_LIST[INVESTOR CODE],0),)," ")</f>
        <v xml:space="preserve"> </v>
      </c>
      <c r="I1890" s="142" t="s">
        <v>348</v>
      </c>
      <c r="J1890" s="143" t="s">
        <v>61</v>
      </c>
      <c r="K1890" s="226">
        <v>10</v>
      </c>
      <c r="L1890" s="226"/>
      <c r="Q1890" s="133" t="s">
        <v>466</v>
      </c>
    </row>
    <row r="1891" spans="1:17" x14ac:dyDescent="0.2">
      <c r="A1891" s="163">
        <v>2021</v>
      </c>
      <c r="B1891" s="163">
        <v>1</v>
      </c>
      <c r="C1891" s="163">
        <v>7</v>
      </c>
      <c r="D1891" s="141">
        <f t="shared" si="64"/>
        <v>44203</v>
      </c>
      <c r="E1891" s="275">
        <f t="shared" si="65"/>
        <v>44203</v>
      </c>
      <c r="F1891" s="480"/>
      <c r="G1891" s="221" t="s">
        <v>74</v>
      </c>
      <c r="H1891" s="221" t="str" cm="1">
        <f t="array" ref="H1891">IFERROR(INDEX(INVESTOR_LIST[INVESTOR NAME],MATCH(I1891,INVESTOR_LIST[INVESTOR CODE],0),)," ")</f>
        <v xml:space="preserve"> </v>
      </c>
      <c r="I1891" s="145" t="s">
        <v>348</v>
      </c>
      <c r="J1891" s="146" t="s">
        <v>52</v>
      </c>
      <c r="K1891" s="219"/>
      <c r="L1891" s="219">
        <v>10</v>
      </c>
      <c r="Q1891" s="133" t="s">
        <v>466</v>
      </c>
    </row>
    <row r="1892" spans="1:17" x14ac:dyDescent="0.2">
      <c r="A1892" s="168">
        <v>2021</v>
      </c>
      <c r="B1892" s="168">
        <v>1</v>
      </c>
      <c r="C1892" s="168">
        <v>7</v>
      </c>
      <c r="D1892" s="141">
        <f t="shared" si="64"/>
        <v>44203</v>
      </c>
      <c r="E1892" s="275">
        <f t="shared" si="65"/>
        <v>44203</v>
      </c>
      <c r="F1892" s="479" t="s">
        <v>77</v>
      </c>
      <c r="G1892" s="220" t="s">
        <v>74</v>
      </c>
      <c r="H1892" s="220" t="str" cm="1">
        <f t="array" ref="H1892">IFERROR(INDEX(INVESTOR_LIST[INVESTOR NAME],MATCH(I1892,INVESTOR_LIST[INVESTOR CODE],0),)," ")</f>
        <v xml:space="preserve"> </v>
      </c>
      <c r="I1892" s="142" t="s">
        <v>348</v>
      </c>
      <c r="J1892" s="143" t="s">
        <v>61</v>
      </c>
      <c r="K1892" s="226">
        <v>10</v>
      </c>
      <c r="L1892" s="226"/>
      <c r="N1892" s="147"/>
      <c r="Q1892" s="133" t="s">
        <v>466</v>
      </c>
    </row>
    <row r="1893" spans="1:17" x14ac:dyDescent="0.2">
      <c r="A1893" s="163">
        <v>2021</v>
      </c>
      <c r="B1893" s="163">
        <v>1</v>
      </c>
      <c r="C1893" s="163">
        <v>7</v>
      </c>
      <c r="D1893" s="141">
        <f t="shared" si="64"/>
        <v>44203</v>
      </c>
      <c r="E1893" s="275">
        <f t="shared" si="65"/>
        <v>44203</v>
      </c>
      <c r="F1893" s="480"/>
      <c r="G1893" s="221" t="s">
        <v>74</v>
      </c>
      <c r="H1893" s="221" t="str" cm="1">
        <f t="array" ref="H1893">IFERROR(INDEX(INVESTOR_LIST[INVESTOR NAME],MATCH(I1893,INVESTOR_LIST[INVESTOR CODE],0),)," ")</f>
        <v xml:space="preserve"> </v>
      </c>
      <c r="I1893" s="145" t="s">
        <v>348</v>
      </c>
      <c r="J1893" s="146" t="s">
        <v>52</v>
      </c>
      <c r="K1893" s="219"/>
      <c r="L1893" s="219">
        <v>10</v>
      </c>
      <c r="Q1893" s="133" t="s">
        <v>466</v>
      </c>
    </row>
    <row r="1894" spans="1:17" x14ac:dyDescent="0.2">
      <c r="A1894" s="168">
        <v>2021</v>
      </c>
      <c r="B1894" s="168">
        <v>1</v>
      </c>
      <c r="C1894" s="168">
        <v>7</v>
      </c>
      <c r="D1894" s="141">
        <f t="shared" si="64"/>
        <v>44203</v>
      </c>
      <c r="E1894" s="275">
        <f t="shared" si="65"/>
        <v>44203</v>
      </c>
      <c r="F1894" s="494" t="s">
        <v>233</v>
      </c>
      <c r="G1894" s="220" t="s">
        <v>74</v>
      </c>
      <c r="H1894" s="220" t="str" cm="1">
        <f t="array" ref="H1894">IFERROR(INDEX(INVESTOR_LIST[INVESTOR NAME],MATCH(I1894,INVESTOR_LIST[INVESTOR CODE],0),)," ")</f>
        <v xml:space="preserve"> </v>
      </c>
      <c r="I1894" s="142" t="s">
        <v>348</v>
      </c>
      <c r="J1894" s="143" t="s">
        <v>163</v>
      </c>
      <c r="K1894" s="226">
        <v>10000</v>
      </c>
      <c r="L1894" s="226"/>
      <c r="Q1894" s="133" t="s">
        <v>514</v>
      </c>
    </row>
    <row r="1895" spans="1:17" x14ac:dyDescent="0.2">
      <c r="A1895" s="163">
        <v>2021</v>
      </c>
      <c r="B1895" s="163">
        <v>1</v>
      </c>
      <c r="C1895" s="163">
        <v>7</v>
      </c>
      <c r="D1895" s="141">
        <f t="shared" si="64"/>
        <v>44203</v>
      </c>
      <c r="E1895" s="275">
        <f t="shared" si="65"/>
        <v>44203</v>
      </c>
      <c r="F1895" s="495"/>
      <c r="G1895" s="221" t="s">
        <v>74</v>
      </c>
      <c r="H1895" s="221" t="str" cm="1">
        <f t="array" ref="H1895">IFERROR(INDEX(INVESTOR_LIST[INVESTOR NAME],MATCH(I1895,INVESTOR_LIST[INVESTOR CODE],0),)," ")</f>
        <v xml:space="preserve"> </v>
      </c>
      <c r="I1895" s="145" t="s">
        <v>348</v>
      </c>
      <c r="J1895" s="146" t="s">
        <v>52</v>
      </c>
      <c r="K1895" s="219"/>
      <c r="L1895" s="219">
        <v>10000</v>
      </c>
      <c r="N1895" s="156">
        <f>K1950/12.33</f>
        <v>16220.600162206001</v>
      </c>
      <c r="Q1895" s="133" t="s">
        <v>514</v>
      </c>
    </row>
    <row r="1896" spans="1:17" x14ac:dyDescent="0.2">
      <c r="A1896" s="168">
        <v>2021</v>
      </c>
      <c r="B1896" s="168">
        <v>1</v>
      </c>
      <c r="C1896" s="168">
        <v>7</v>
      </c>
      <c r="D1896" s="141">
        <f t="shared" si="64"/>
        <v>44203</v>
      </c>
      <c r="E1896" s="275">
        <f t="shared" si="65"/>
        <v>44203</v>
      </c>
      <c r="F1896" s="494" t="s">
        <v>345</v>
      </c>
      <c r="G1896" s="220" t="s">
        <v>74</v>
      </c>
      <c r="H1896" s="220" t="str" cm="1">
        <f t="array" ref="H1896">IFERROR(INDEX(INVESTOR_LIST[INVESTOR NAME],MATCH(I1896,INVESTOR_LIST[INVESTOR CODE],0),)," ")</f>
        <v xml:space="preserve"> </v>
      </c>
      <c r="I1896" s="142" t="s">
        <v>348</v>
      </c>
      <c r="J1896" s="143" t="s">
        <v>52</v>
      </c>
      <c r="K1896" s="226">
        <v>7865816</v>
      </c>
      <c r="L1896" s="226"/>
      <c r="Q1896" s="133" t="s">
        <v>514</v>
      </c>
    </row>
    <row r="1897" spans="1:17" x14ac:dyDescent="0.2">
      <c r="A1897" s="163">
        <v>2021</v>
      </c>
      <c r="B1897" s="163">
        <v>1</v>
      </c>
      <c r="C1897" s="163">
        <v>7</v>
      </c>
      <c r="D1897" s="141">
        <f t="shared" si="64"/>
        <v>44203</v>
      </c>
      <c r="E1897" s="275">
        <f t="shared" si="65"/>
        <v>44203</v>
      </c>
      <c r="F1897" s="495"/>
      <c r="G1897" s="221" t="s">
        <v>74</v>
      </c>
      <c r="H1897" s="221" t="str" cm="1">
        <f t="array" ref="H1897">IFERROR(INDEX(INVESTOR_LIST[INVESTOR NAME],MATCH(I1897,INVESTOR_LIST[INVESTOR CODE],0),)," ")</f>
        <v xml:space="preserve"> </v>
      </c>
      <c r="I1897" s="145" t="s">
        <v>348</v>
      </c>
      <c r="J1897" s="146" t="s">
        <v>190</v>
      </c>
      <c r="K1897" s="219"/>
      <c r="L1897" s="219">
        <v>7865816</v>
      </c>
      <c r="Q1897" s="133" t="s">
        <v>515</v>
      </c>
    </row>
    <row r="1898" spans="1:17" x14ac:dyDescent="0.2">
      <c r="A1898" s="238">
        <v>2021</v>
      </c>
      <c r="B1898" s="238">
        <v>1</v>
      </c>
      <c r="C1898" s="238">
        <v>7</v>
      </c>
      <c r="D1898" s="141">
        <f t="shared" si="64"/>
        <v>44203</v>
      </c>
      <c r="E1898" s="275">
        <f t="shared" si="65"/>
        <v>44203</v>
      </c>
      <c r="F1898" s="509" t="s">
        <v>347</v>
      </c>
      <c r="G1898" s="239" t="s">
        <v>94</v>
      </c>
      <c r="H1898" s="239" t="str" cm="1">
        <f t="array" ref="H1898">IFERROR(INDEX(INVESTOR_LIST[INVESTOR NAME],MATCH(I1898,INVESTOR_LIST[INVESTOR CODE],0),)," ")</f>
        <v xml:space="preserve"> </v>
      </c>
      <c r="I1898" s="262" t="s">
        <v>348</v>
      </c>
      <c r="J1898" s="240" t="s">
        <v>83</v>
      </c>
      <c r="K1898" s="241">
        <v>3202945.2786628623</v>
      </c>
      <c r="L1898" s="241"/>
      <c r="N1898" s="156">
        <f>K1953/12.33</f>
        <v>8110.3000811030006</v>
      </c>
      <c r="Q1898" s="133" t="s">
        <v>515</v>
      </c>
    </row>
    <row r="1899" spans="1:17" x14ac:dyDescent="0.2">
      <c r="A1899" s="242">
        <v>2021</v>
      </c>
      <c r="B1899" s="242">
        <v>1</v>
      </c>
      <c r="C1899" s="242">
        <v>7</v>
      </c>
      <c r="D1899" s="141">
        <f t="shared" si="64"/>
        <v>44203</v>
      </c>
      <c r="E1899" s="275">
        <f t="shared" si="65"/>
        <v>44203</v>
      </c>
      <c r="F1899" s="510"/>
      <c r="G1899" s="243" t="s">
        <v>94</v>
      </c>
      <c r="H1899" s="243" t="str" cm="1">
        <f t="array" ref="H1899">IFERROR(INDEX(INVESTOR_LIST[INVESTOR NAME],MATCH(I1899,INVESTOR_LIST[INVESTOR CODE],0),)," ")</f>
        <v xml:space="preserve"> </v>
      </c>
      <c r="I1899" s="263" t="s">
        <v>348</v>
      </c>
      <c r="J1899" s="244" t="s">
        <v>108</v>
      </c>
      <c r="K1899" s="245"/>
      <c r="L1899" s="245">
        <v>3202945.2786628623</v>
      </c>
      <c r="Q1899" s="133" t="s">
        <v>515</v>
      </c>
    </row>
    <row r="1900" spans="1:17" ht="22.5" x14ac:dyDescent="0.2">
      <c r="A1900" s="246">
        <v>2021</v>
      </c>
      <c r="B1900" s="246">
        <v>1</v>
      </c>
      <c r="C1900" s="246">
        <v>7</v>
      </c>
      <c r="D1900" s="141">
        <f t="shared" si="64"/>
        <v>44203</v>
      </c>
      <c r="E1900" s="275">
        <f t="shared" si="65"/>
        <v>44203</v>
      </c>
      <c r="F1900" s="482" t="s">
        <v>148</v>
      </c>
      <c r="G1900" s="247" t="s">
        <v>94</v>
      </c>
      <c r="H1900" s="247" t="str" cm="1">
        <f t="array" ref="H1900">IFERROR(INDEX(INVESTOR_LIST[INVESTOR NAME],MATCH(I1900,INVESTOR_LIST[INVESTOR CODE],0),)," ")</f>
        <v xml:space="preserve"> </v>
      </c>
      <c r="I1900" s="248" t="s">
        <v>348</v>
      </c>
      <c r="J1900" s="249" t="s">
        <v>95</v>
      </c>
      <c r="K1900" s="250">
        <v>2747.2527472527472</v>
      </c>
      <c r="L1900" s="241"/>
      <c r="M1900" s="133">
        <v>2747.2527472527472</v>
      </c>
      <c r="Q1900" s="133" t="s">
        <v>512</v>
      </c>
    </row>
    <row r="1901" spans="1:17" x14ac:dyDescent="0.2">
      <c r="A1901" s="242">
        <v>2021</v>
      </c>
      <c r="B1901" s="242">
        <v>1</v>
      </c>
      <c r="C1901" s="242">
        <v>7</v>
      </c>
      <c r="D1901" s="141">
        <f t="shared" si="64"/>
        <v>44203</v>
      </c>
      <c r="E1901" s="275">
        <f t="shared" si="65"/>
        <v>44203</v>
      </c>
      <c r="F1901" s="478"/>
      <c r="G1901" s="243" t="s">
        <v>94</v>
      </c>
      <c r="H1901" s="243" t="str" cm="1">
        <f t="array" ref="H1901">IFERROR(INDEX(INVESTOR_LIST[INVESTOR NAME],MATCH(I1901,INVESTOR_LIST[INVESTOR CODE],0),)," ")</f>
        <v xml:space="preserve"> </v>
      </c>
      <c r="I1901" s="263" t="s">
        <v>348</v>
      </c>
      <c r="J1901" s="244" t="s">
        <v>63</v>
      </c>
      <c r="K1901" s="245"/>
      <c r="L1901" s="245">
        <v>2747.2527472527472</v>
      </c>
      <c r="M1901" s="133">
        <v>72921.901760758774</v>
      </c>
      <c r="Q1901" s="133" t="s">
        <v>512</v>
      </c>
    </row>
    <row r="1902" spans="1:17" x14ac:dyDescent="0.2">
      <c r="A1902" s="246">
        <v>2021</v>
      </c>
      <c r="B1902" s="246">
        <v>1</v>
      </c>
      <c r="C1902" s="246">
        <v>7</v>
      </c>
      <c r="D1902" s="141">
        <f t="shared" si="64"/>
        <v>44203</v>
      </c>
      <c r="E1902" s="275">
        <f t="shared" si="65"/>
        <v>44203</v>
      </c>
      <c r="F1902" s="482" t="s">
        <v>137</v>
      </c>
      <c r="G1902" s="247" t="s">
        <v>94</v>
      </c>
      <c r="H1902" s="247" t="str" cm="1">
        <f t="array" ref="H1902">IFERROR(INDEX(INVESTOR_LIST[INVESTOR NAME],MATCH(I1902,INVESTOR_LIST[INVESTOR CODE],0),)," ")</f>
        <v xml:space="preserve"> </v>
      </c>
      <c r="I1902" s="248" t="s">
        <v>348</v>
      </c>
      <c r="J1902" s="249" t="s">
        <v>97</v>
      </c>
      <c r="K1902" s="250">
        <v>72921.901760758774</v>
      </c>
      <c r="L1902" s="252"/>
      <c r="M1902" s="133">
        <v>3405.7104726533234</v>
      </c>
      <c r="Q1902" s="133" t="s">
        <v>512</v>
      </c>
    </row>
    <row r="1903" spans="1:17" x14ac:dyDescent="0.2">
      <c r="A1903" s="242">
        <v>2021</v>
      </c>
      <c r="B1903" s="242">
        <v>1</v>
      </c>
      <c r="C1903" s="242">
        <v>7</v>
      </c>
      <c r="D1903" s="141">
        <f t="shared" si="64"/>
        <v>44203</v>
      </c>
      <c r="E1903" s="275">
        <f t="shared" si="65"/>
        <v>44203</v>
      </c>
      <c r="F1903" s="478"/>
      <c r="G1903" s="243" t="s">
        <v>94</v>
      </c>
      <c r="H1903" s="243" t="str" cm="1">
        <f t="array" ref="H1903">IFERROR(INDEX(INVESTOR_LIST[INVESTOR NAME],MATCH(I1903,INVESTOR_LIST[INVESTOR CODE],0),)," ")</f>
        <v xml:space="preserve"> </v>
      </c>
      <c r="I1903" s="263" t="s">
        <v>348</v>
      </c>
      <c r="J1903" s="244" t="s">
        <v>47</v>
      </c>
      <c r="K1903" s="245"/>
      <c r="L1903" s="245">
        <v>72921.901760758774</v>
      </c>
      <c r="Q1903" s="133" t="s">
        <v>513</v>
      </c>
    </row>
    <row r="1904" spans="1:17" x14ac:dyDescent="0.2">
      <c r="A1904" s="246">
        <v>2021</v>
      </c>
      <c r="B1904" s="246">
        <v>1</v>
      </c>
      <c r="C1904" s="246">
        <v>7</v>
      </c>
      <c r="D1904" s="141">
        <f t="shared" si="64"/>
        <v>44203</v>
      </c>
      <c r="E1904" s="275">
        <f t="shared" si="65"/>
        <v>44203</v>
      </c>
      <c r="F1904" s="482" t="s">
        <v>138</v>
      </c>
      <c r="G1904" s="247" t="s">
        <v>94</v>
      </c>
      <c r="H1904" s="247" t="str" cm="1">
        <f t="array" ref="H1904">IFERROR(INDEX(INVESTOR_LIST[INVESTOR NAME],MATCH(I1904,INVESTOR_LIST[INVESTOR CODE],0),)," ")</f>
        <v xml:space="preserve"> </v>
      </c>
      <c r="I1904" s="248" t="s">
        <v>348</v>
      </c>
      <c r="J1904" s="249" t="s">
        <v>100</v>
      </c>
      <c r="K1904" s="250">
        <v>3405.7104726533234</v>
      </c>
      <c r="L1904" s="252"/>
      <c r="N1904" s="156">
        <f>K1959/12.33</f>
        <v>4055.1500405515003</v>
      </c>
      <c r="Q1904" s="133" t="s">
        <v>513</v>
      </c>
    </row>
    <row r="1905" spans="1:17" x14ac:dyDescent="0.2">
      <c r="A1905" s="242">
        <v>2021</v>
      </c>
      <c r="B1905" s="242">
        <v>1</v>
      </c>
      <c r="C1905" s="242">
        <v>7</v>
      </c>
      <c r="D1905" s="141">
        <f t="shared" si="64"/>
        <v>44203</v>
      </c>
      <c r="E1905" s="275">
        <f t="shared" si="65"/>
        <v>44203</v>
      </c>
      <c r="F1905" s="478"/>
      <c r="G1905" s="243" t="s">
        <v>94</v>
      </c>
      <c r="H1905" s="243" t="str" cm="1">
        <f t="array" ref="H1905">IFERROR(INDEX(INVESTOR_LIST[INVESTOR NAME],MATCH(I1905,INVESTOR_LIST[INVESTOR CODE],0),)," ")</f>
        <v xml:space="preserve"> </v>
      </c>
      <c r="I1905" s="263" t="s">
        <v>348</v>
      </c>
      <c r="J1905" s="244" t="s">
        <v>48</v>
      </c>
      <c r="K1905" s="245"/>
      <c r="L1905" s="245">
        <v>3405.7104726533234</v>
      </c>
      <c r="Q1905" s="133" t="s">
        <v>513</v>
      </c>
    </row>
    <row r="1906" spans="1:17" ht="11.25" customHeight="1" x14ac:dyDescent="0.2">
      <c r="A1906" s="133">
        <v>2021</v>
      </c>
      <c r="B1906" s="133">
        <v>1</v>
      </c>
      <c r="C1906" s="133">
        <v>10</v>
      </c>
      <c r="D1906" s="141">
        <f t="shared" si="64"/>
        <v>44206</v>
      </c>
      <c r="E1906" s="275">
        <f t="shared" si="65"/>
        <v>44206</v>
      </c>
      <c r="F1906" s="479" t="s">
        <v>254</v>
      </c>
      <c r="G1906" s="174" t="s">
        <v>74</v>
      </c>
      <c r="H1906" s="174" t="str" cm="1">
        <f t="array" ref="H1906">IFERROR(INDEX(INVESTOR_LIST[INVESTOR NAME],MATCH(I1906,INVESTOR_LIST[INVESTOR CODE],0),)," ")</f>
        <v xml:space="preserve"> </v>
      </c>
      <c r="J1906" s="149" t="s">
        <v>52</v>
      </c>
      <c r="K1906" s="218">
        <v>7000</v>
      </c>
      <c r="L1906" s="218"/>
    </row>
    <row r="1907" spans="1:17" x14ac:dyDescent="0.2">
      <c r="A1907" s="133">
        <v>2021</v>
      </c>
      <c r="B1907" s="133">
        <v>1</v>
      </c>
      <c r="C1907" s="133">
        <v>10</v>
      </c>
      <c r="D1907" s="141">
        <f t="shared" si="64"/>
        <v>44206</v>
      </c>
      <c r="E1907" s="275">
        <f t="shared" si="65"/>
        <v>44206</v>
      </c>
      <c r="F1907" s="481"/>
      <c r="G1907" s="174" t="s">
        <v>74</v>
      </c>
      <c r="H1907" s="174" t="str" cm="1">
        <f t="array" ref="H1907">IFERROR(INDEX(INVESTOR_LIST[INVESTOR NAME],MATCH(I1907,INVESTOR_LIST[INVESTOR CODE],0),)," ")</f>
        <v xml:space="preserve"> </v>
      </c>
      <c r="J1907" s="149" t="s">
        <v>13</v>
      </c>
      <c r="K1907" s="218"/>
      <c r="L1907" s="218">
        <v>5680</v>
      </c>
      <c r="N1907" s="160"/>
    </row>
    <row r="1908" spans="1:17" x14ac:dyDescent="0.2">
      <c r="A1908" s="133">
        <v>2021</v>
      </c>
      <c r="B1908" s="133">
        <v>1</v>
      </c>
      <c r="C1908" s="133">
        <v>10</v>
      </c>
      <c r="D1908" s="141">
        <f t="shared" si="64"/>
        <v>44206</v>
      </c>
      <c r="E1908" s="275">
        <f t="shared" si="65"/>
        <v>44206</v>
      </c>
      <c r="F1908" s="480"/>
      <c r="G1908" s="174" t="s">
        <v>74</v>
      </c>
      <c r="H1908" s="174" t="str" cm="1">
        <f t="array" ref="H1908">IFERROR(INDEX(INVESTOR_LIST[INVESTOR NAME],MATCH(I1908,INVESTOR_LIST[INVESTOR CODE],0),)," ")</f>
        <v xml:space="preserve"> </v>
      </c>
      <c r="J1908" s="149" t="s">
        <v>53</v>
      </c>
      <c r="K1908" s="218"/>
      <c r="L1908" s="218">
        <v>1320</v>
      </c>
    </row>
    <row r="1909" spans="1:17" x14ac:dyDescent="0.2">
      <c r="A1909" s="168">
        <v>2021</v>
      </c>
      <c r="B1909" s="168">
        <v>1</v>
      </c>
      <c r="C1909" s="168">
        <v>10</v>
      </c>
      <c r="D1909" s="141">
        <f t="shared" si="64"/>
        <v>44206</v>
      </c>
      <c r="E1909" s="275">
        <f t="shared" si="65"/>
        <v>44206</v>
      </c>
      <c r="F1909" s="479" t="s">
        <v>349</v>
      </c>
      <c r="G1909" s="220" t="s">
        <v>74</v>
      </c>
      <c r="H1909" s="220" t="str" cm="1">
        <f t="array" ref="H1909">IFERROR(INDEX(INVESTOR_LIST[INVESTOR NAME],MATCH(I1909,INVESTOR_LIST[INVESTOR CODE],0),)," ")</f>
        <v xml:space="preserve"> </v>
      </c>
      <c r="I1909" s="142" t="s">
        <v>348</v>
      </c>
      <c r="J1909" s="143" t="s">
        <v>52</v>
      </c>
      <c r="K1909" s="226">
        <v>600000</v>
      </c>
      <c r="L1909" s="226"/>
      <c r="N1909" s="156"/>
      <c r="Q1909" s="133" t="s">
        <v>381</v>
      </c>
    </row>
    <row r="1910" spans="1:17" x14ac:dyDescent="0.2">
      <c r="A1910" s="163">
        <v>2021</v>
      </c>
      <c r="B1910" s="163">
        <v>1</v>
      </c>
      <c r="C1910" s="163">
        <v>10</v>
      </c>
      <c r="D1910" s="141">
        <f t="shared" si="64"/>
        <v>44206</v>
      </c>
      <c r="E1910" s="275">
        <f t="shared" si="65"/>
        <v>44206</v>
      </c>
      <c r="F1910" s="480"/>
      <c r="G1910" s="221" t="s">
        <v>74</v>
      </c>
      <c r="H1910" s="221" t="str" cm="1">
        <f t="array" ref="H1910">IFERROR(INDEX(INVESTOR_LIST[INVESTOR NAME],MATCH(I1910,INVESTOR_LIST[INVESTOR CODE],0),)," ")</f>
        <v xml:space="preserve"> </v>
      </c>
      <c r="I1910" s="145" t="s">
        <v>348</v>
      </c>
      <c r="J1910" s="146" t="s">
        <v>168</v>
      </c>
      <c r="K1910" s="219"/>
      <c r="L1910" s="219">
        <v>600000</v>
      </c>
      <c r="N1910" s="156">
        <f>K1962/12.33</f>
        <v>81103.000811030011</v>
      </c>
      <c r="Q1910" s="133" t="s">
        <v>381</v>
      </c>
    </row>
    <row r="1911" spans="1:17" x14ac:dyDescent="0.2">
      <c r="A1911" s="222">
        <v>2021</v>
      </c>
      <c r="B1911" s="222">
        <v>1</v>
      </c>
      <c r="C1911" s="222">
        <v>12</v>
      </c>
      <c r="D1911" s="141">
        <f t="shared" si="64"/>
        <v>44208</v>
      </c>
      <c r="E1911" s="275">
        <f t="shared" si="65"/>
        <v>44208</v>
      </c>
      <c r="F1911" s="479" t="s">
        <v>233</v>
      </c>
      <c r="G1911" s="220" t="s">
        <v>74</v>
      </c>
      <c r="H1911" s="220" t="str" cm="1">
        <f t="array" ref="H1911">IFERROR(INDEX(INVESTOR_LIST[INVESTOR NAME],MATCH(I1911,INVESTOR_LIST[INVESTOR CODE],0),)," ")</f>
        <v xml:space="preserve"> </v>
      </c>
      <c r="I1911" s="220" t="s">
        <v>348</v>
      </c>
      <c r="J1911" s="202" t="s">
        <v>163</v>
      </c>
      <c r="K1911" s="236">
        <v>8000</v>
      </c>
      <c r="L1911" s="236"/>
      <c r="N1911" s="160"/>
      <c r="Q1911" s="133" t="s">
        <v>381</v>
      </c>
    </row>
    <row r="1912" spans="1:17" x14ac:dyDescent="0.2">
      <c r="A1912" s="180">
        <v>2021</v>
      </c>
      <c r="B1912" s="180">
        <v>1</v>
      </c>
      <c r="C1912" s="180">
        <v>12</v>
      </c>
      <c r="D1912" s="141">
        <f t="shared" si="64"/>
        <v>44208</v>
      </c>
      <c r="E1912" s="275">
        <f t="shared" si="65"/>
        <v>44208</v>
      </c>
      <c r="F1912" s="480"/>
      <c r="G1912" s="221" t="s">
        <v>74</v>
      </c>
      <c r="H1912" s="221" t="str" cm="1">
        <f t="array" ref="H1912">IFERROR(INDEX(INVESTOR_LIST[INVESTOR NAME],MATCH(I1912,INVESTOR_LIST[INVESTOR CODE],0),)," ")</f>
        <v xml:space="preserve"> </v>
      </c>
      <c r="I1912" s="221" t="s">
        <v>348</v>
      </c>
      <c r="J1912" s="203" t="s">
        <v>52</v>
      </c>
      <c r="K1912" s="237"/>
      <c r="L1912" s="237">
        <v>8000</v>
      </c>
      <c r="N1912" s="156"/>
      <c r="Q1912" s="133" t="s">
        <v>516</v>
      </c>
    </row>
    <row r="1913" spans="1:17" x14ac:dyDescent="0.2">
      <c r="A1913" s="222">
        <v>2021</v>
      </c>
      <c r="B1913" s="222">
        <v>1</v>
      </c>
      <c r="C1913" s="222">
        <v>12</v>
      </c>
      <c r="D1913" s="141">
        <f t="shared" si="64"/>
        <v>44208</v>
      </c>
      <c r="E1913" s="275">
        <f t="shared" si="65"/>
        <v>44208</v>
      </c>
      <c r="F1913" s="479" t="s">
        <v>86</v>
      </c>
      <c r="G1913" s="220" t="s">
        <v>74</v>
      </c>
      <c r="H1913" s="220" t="str" cm="1">
        <f t="array" ref="H1913">IFERROR(INDEX(INVESTOR_LIST[INVESTOR NAME],MATCH(I1913,INVESTOR_LIST[INVESTOR CODE],0),)," ")</f>
        <v xml:space="preserve"> </v>
      </c>
      <c r="I1913" s="220" t="s">
        <v>348</v>
      </c>
      <c r="J1913" s="202" t="s">
        <v>147</v>
      </c>
      <c r="K1913" s="236">
        <v>8941816.3499999996</v>
      </c>
      <c r="L1913" s="236"/>
      <c r="N1913" s="147">
        <f>K1965/12.33</f>
        <v>48661.800486618005</v>
      </c>
      <c r="Q1913" s="133" t="s">
        <v>516</v>
      </c>
    </row>
    <row r="1914" spans="1:17" x14ac:dyDescent="0.2">
      <c r="A1914" s="180">
        <v>2021</v>
      </c>
      <c r="B1914" s="180">
        <v>1</v>
      </c>
      <c r="C1914" s="180">
        <v>12</v>
      </c>
      <c r="D1914" s="141">
        <f t="shared" si="64"/>
        <v>44208</v>
      </c>
      <c r="E1914" s="275">
        <f t="shared" si="65"/>
        <v>44208</v>
      </c>
      <c r="F1914" s="480"/>
      <c r="G1914" s="221" t="s">
        <v>74</v>
      </c>
      <c r="H1914" s="221" t="str" cm="1">
        <f t="array" ref="H1914">IFERROR(INDEX(INVESTOR_LIST[INVESTOR NAME],MATCH(I1914,INVESTOR_LIST[INVESTOR CODE],0),)," ")</f>
        <v xml:space="preserve"> </v>
      </c>
      <c r="I1914" s="221" t="s">
        <v>348</v>
      </c>
      <c r="J1914" s="203" t="s">
        <v>52</v>
      </c>
      <c r="K1914" s="237"/>
      <c r="L1914" s="237">
        <v>8941816.3499999996</v>
      </c>
      <c r="N1914" s="156"/>
      <c r="Q1914" s="133" t="s">
        <v>516</v>
      </c>
    </row>
    <row r="1915" spans="1:17" x14ac:dyDescent="0.2">
      <c r="A1915" s="168">
        <v>2021</v>
      </c>
      <c r="B1915" s="168">
        <v>1</v>
      </c>
      <c r="C1915" s="168">
        <v>12</v>
      </c>
      <c r="D1915" s="141">
        <f t="shared" si="64"/>
        <v>44208</v>
      </c>
      <c r="E1915" s="275">
        <f t="shared" si="65"/>
        <v>44208</v>
      </c>
      <c r="F1915" s="479" t="s">
        <v>77</v>
      </c>
      <c r="G1915" s="220" t="s">
        <v>74</v>
      </c>
      <c r="H1915" s="220" t="str" cm="1">
        <f t="array" ref="H1915">IFERROR(INDEX(INVESTOR_LIST[INVESTOR NAME],MATCH(I1915,INVESTOR_LIST[INVESTOR CODE],0),)," ")</f>
        <v xml:space="preserve"> </v>
      </c>
      <c r="I1915" s="142" t="s">
        <v>348</v>
      </c>
      <c r="J1915" s="143" t="s">
        <v>61</v>
      </c>
      <c r="K1915" s="226">
        <v>10</v>
      </c>
      <c r="L1915" s="226"/>
      <c r="N1915" s="147"/>
      <c r="Q1915" s="133" t="s">
        <v>431</v>
      </c>
    </row>
    <row r="1916" spans="1:17" x14ac:dyDescent="0.2">
      <c r="A1916" s="163">
        <v>2021</v>
      </c>
      <c r="B1916" s="163">
        <v>1</v>
      </c>
      <c r="C1916" s="163">
        <v>12</v>
      </c>
      <c r="D1916" s="141">
        <f t="shared" si="64"/>
        <v>44208</v>
      </c>
      <c r="E1916" s="275">
        <f t="shared" si="65"/>
        <v>44208</v>
      </c>
      <c r="F1916" s="480"/>
      <c r="G1916" s="221" t="s">
        <v>74</v>
      </c>
      <c r="H1916" s="221" t="str" cm="1">
        <f t="array" ref="H1916">IFERROR(INDEX(INVESTOR_LIST[INVESTOR NAME],MATCH(I1916,INVESTOR_LIST[INVESTOR CODE],0),)," ")</f>
        <v xml:space="preserve"> </v>
      </c>
      <c r="I1916" s="145" t="s">
        <v>348</v>
      </c>
      <c r="J1916" s="146" t="s">
        <v>52</v>
      </c>
      <c r="K1916" s="219"/>
      <c r="L1916" s="219">
        <v>10</v>
      </c>
      <c r="N1916" s="156">
        <f>K1968/12.33</f>
        <v>16220.600162206001</v>
      </c>
      <c r="Q1916" s="133" t="s">
        <v>431</v>
      </c>
    </row>
    <row r="1917" spans="1:17" x14ac:dyDescent="0.2">
      <c r="A1917" s="133">
        <v>2021</v>
      </c>
      <c r="B1917" s="133">
        <v>1</v>
      </c>
      <c r="C1917" s="133">
        <v>12</v>
      </c>
      <c r="D1917" s="141">
        <f t="shared" si="64"/>
        <v>44208</v>
      </c>
      <c r="E1917" s="275">
        <f t="shared" si="65"/>
        <v>44208</v>
      </c>
      <c r="F1917" s="479" t="s">
        <v>243</v>
      </c>
      <c r="G1917" s="174" t="s">
        <v>74</v>
      </c>
      <c r="H1917" s="174" t="str" cm="1">
        <f t="array" ref="H1917">IFERROR(INDEX(INVESTOR_LIST[INVESTOR NAME],MATCH(I1917,INVESTOR_LIST[INVESTOR CODE],0),)," ")</f>
        <v xml:space="preserve"> </v>
      </c>
      <c r="I1917" s="148" t="s">
        <v>348</v>
      </c>
      <c r="J1917" s="149" t="s">
        <v>79</v>
      </c>
      <c r="K1917" s="218">
        <v>2000000</v>
      </c>
      <c r="L1917" s="218"/>
      <c r="Q1917" s="133" t="s">
        <v>431</v>
      </c>
    </row>
    <row r="1918" spans="1:17" x14ac:dyDescent="0.2">
      <c r="A1918" s="133">
        <v>2021</v>
      </c>
      <c r="B1918" s="133">
        <v>1</v>
      </c>
      <c r="C1918" s="133">
        <v>12</v>
      </c>
      <c r="D1918" s="141">
        <f t="shared" si="64"/>
        <v>44208</v>
      </c>
      <c r="E1918" s="275">
        <f t="shared" si="65"/>
        <v>44208</v>
      </c>
      <c r="F1918" s="480"/>
      <c r="G1918" s="174" t="s">
        <v>74</v>
      </c>
      <c r="H1918" s="174" t="str" cm="1">
        <f t="array" ref="H1918">IFERROR(INDEX(INVESTOR_LIST[INVESTOR NAME],MATCH(I1918,INVESTOR_LIST[INVESTOR CODE],0),)," ")</f>
        <v xml:space="preserve"> </v>
      </c>
      <c r="I1918" s="148" t="s">
        <v>348</v>
      </c>
      <c r="J1918" s="149" t="s">
        <v>52</v>
      </c>
      <c r="K1918" s="218"/>
      <c r="L1918" s="218">
        <v>2000000</v>
      </c>
      <c r="Q1918" s="133" t="s">
        <v>497</v>
      </c>
    </row>
    <row r="1919" spans="1:17" ht="33.75" x14ac:dyDescent="0.2">
      <c r="A1919" s="168">
        <v>2021</v>
      </c>
      <c r="B1919" s="168">
        <v>1</v>
      </c>
      <c r="C1919" s="168">
        <v>12</v>
      </c>
      <c r="D1919" s="141">
        <f t="shared" si="64"/>
        <v>44208</v>
      </c>
      <c r="E1919" s="275">
        <f t="shared" si="65"/>
        <v>44208</v>
      </c>
      <c r="F1919" s="479" t="s">
        <v>964</v>
      </c>
      <c r="G1919" s="220" t="s">
        <v>74</v>
      </c>
      <c r="H1919" s="220" t="str" cm="1">
        <f t="array" ref="H1919">IFERROR(INDEX(INVESTOR_LIST[INVESTOR NAME],MATCH(I1919,INVESTOR_LIST[INVESTOR CODE],0),)," ")</f>
        <v>ASHISH KUMAR GHOSH</v>
      </c>
      <c r="I1919" s="142" t="s">
        <v>486</v>
      </c>
      <c r="J1919" s="143" t="s">
        <v>52</v>
      </c>
      <c r="K1919" s="226">
        <v>100000</v>
      </c>
      <c r="L1919" s="226"/>
      <c r="N1919" s="156">
        <f>K1971/12.33</f>
        <v>24330.900243309003</v>
      </c>
      <c r="Q1919" s="133" t="s">
        <v>497</v>
      </c>
    </row>
    <row r="1920" spans="1:17" ht="33.75" x14ac:dyDescent="0.2">
      <c r="A1920" s="133">
        <v>2021</v>
      </c>
      <c r="B1920" s="133">
        <v>1</v>
      </c>
      <c r="C1920" s="133">
        <v>12</v>
      </c>
      <c r="D1920" s="141">
        <f t="shared" si="64"/>
        <v>44208</v>
      </c>
      <c r="E1920" s="275">
        <f t="shared" si="65"/>
        <v>44208</v>
      </c>
      <c r="F1920" s="481"/>
      <c r="G1920" s="174" t="s">
        <v>74</v>
      </c>
      <c r="H1920" s="174" t="str" cm="1">
        <f t="array" ref="H1920">IFERROR(INDEX(INVESTOR_LIST[INVESTOR NAME],MATCH(I1920,INVESTOR_LIST[INVESTOR CODE],0),)," ")</f>
        <v>ASHISH KUMAR GHOSH</v>
      </c>
      <c r="I1920" s="148" t="s">
        <v>486</v>
      </c>
      <c r="J1920" s="149" t="s">
        <v>13</v>
      </c>
      <c r="K1920" s="218"/>
      <c r="L1920" s="218">
        <v>84320</v>
      </c>
      <c r="Q1920" s="133" t="s">
        <v>497</v>
      </c>
    </row>
    <row r="1921" spans="1:54" ht="33.75" x14ac:dyDescent="0.2">
      <c r="A1921" s="163">
        <v>2021</v>
      </c>
      <c r="B1921" s="163">
        <v>1</v>
      </c>
      <c r="C1921" s="163">
        <v>12</v>
      </c>
      <c r="D1921" s="141">
        <f t="shared" si="64"/>
        <v>44208</v>
      </c>
      <c r="E1921" s="275">
        <f t="shared" si="65"/>
        <v>44208</v>
      </c>
      <c r="F1921" s="480"/>
      <c r="G1921" s="221" t="s">
        <v>74</v>
      </c>
      <c r="H1921" s="221" t="str" cm="1">
        <f t="array" ref="H1921">IFERROR(INDEX(INVESTOR_LIST[INVESTOR NAME],MATCH(I1921,INVESTOR_LIST[INVESTOR CODE],0),)," ")</f>
        <v>ASHISH KUMAR GHOSH</v>
      </c>
      <c r="I1921" s="145" t="s">
        <v>486</v>
      </c>
      <c r="J1921" s="146" t="s">
        <v>53</v>
      </c>
      <c r="K1921" s="219"/>
      <c r="L1921" s="219">
        <v>15680</v>
      </c>
      <c r="Q1921" s="133" t="s">
        <v>458</v>
      </c>
    </row>
    <row r="1922" spans="1:54" x14ac:dyDescent="0.2">
      <c r="A1922" s="168">
        <v>2021</v>
      </c>
      <c r="B1922" s="168">
        <v>1</v>
      </c>
      <c r="C1922" s="168">
        <v>13</v>
      </c>
      <c r="D1922" s="141">
        <f t="shared" si="64"/>
        <v>44209</v>
      </c>
      <c r="E1922" s="275">
        <f t="shared" si="65"/>
        <v>44209</v>
      </c>
      <c r="F1922" s="479" t="s">
        <v>351</v>
      </c>
      <c r="G1922" s="220" t="s">
        <v>74</v>
      </c>
      <c r="H1922" s="220" t="str" cm="1">
        <f t="array" ref="H1922">IFERROR(INDEX(INVESTOR_LIST[INVESTOR NAME],MATCH(I1922,INVESTOR_LIST[INVESTOR CODE],0),)," ")</f>
        <v xml:space="preserve"> </v>
      </c>
      <c r="I1922" s="142" t="s">
        <v>348</v>
      </c>
      <c r="J1922" s="143" t="s">
        <v>79</v>
      </c>
      <c r="K1922" s="226">
        <v>2000010.24</v>
      </c>
      <c r="L1922" s="226"/>
      <c r="N1922" s="147">
        <f>K1974/12.33</f>
        <v>38523.92538523925</v>
      </c>
      <c r="Q1922" s="133" t="s">
        <v>458</v>
      </c>
    </row>
    <row r="1923" spans="1:54" x14ac:dyDescent="0.2">
      <c r="A1923" s="163">
        <v>2021</v>
      </c>
      <c r="B1923" s="163">
        <v>1</v>
      </c>
      <c r="C1923" s="163">
        <v>13</v>
      </c>
      <c r="D1923" s="141">
        <f t="shared" si="64"/>
        <v>44209</v>
      </c>
      <c r="E1923" s="275">
        <f t="shared" si="65"/>
        <v>44209</v>
      </c>
      <c r="F1923" s="480"/>
      <c r="G1923" s="221" t="s">
        <v>74</v>
      </c>
      <c r="H1923" s="221" t="str" cm="1">
        <f t="array" ref="H1923">IFERROR(INDEX(INVESTOR_LIST[INVESTOR NAME],MATCH(I1923,INVESTOR_LIST[INVESTOR CODE],0),)," ")</f>
        <v xml:space="preserve"> </v>
      </c>
      <c r="I1923" s="145" t="s">
        <v>348</v>
      </c>
      <c r="J1923" s="146" t="s">
        <v>52</v>
      </c>
      <c r="K1923" s="219"/>
      <c r="L1923" s="219">
        <v>2000010.24</v>
      </c>
      <c r="Q1923" s="133" t="s">
        <v>458</v>
      </c>
    </row>
    <row r="1924" spans="1:54" ht="45" x14ac:dyDescent="0.2">
      <c r="A1924" s="168">
        <v>2021</v>
      </c>
      <c r="B1924" s="168">
        <v>1</v>
      </c>
      <c r="C1924" s="168">
        <v>13</v>
      </c>
      <c r="D1924" s="141">
        <f t="shared" si="64"/>
        <v>44209</v>
      </c>
      <c r="E1924" s="275">
        <f t="shared" si="65"/>
        <v>44209</v>
      </c>
      <c r="F1924" s="479" t="s">
        <v>964</v>
      </c>
      <c r="G1924" s="220" t="s">
        <v>74</v>
      </c>
      <c r="H1924" s="220" t="str" cm="1">
        <f t="array" ref="H1924">IFERROR(INDEX(INVESTOR_LIST[INVESTOR NAME],MATCH(I1924,INVESTOR_LIST[INVESTOR CODE],0),)," ")</f>
        <v>MOHAMMAD ENAMUR RAHMAN</v>
      </c>
      <c r="I1924" s="142" t="s">
        <v>510</v>
      </c>
      <c r="J1924" s="143" t="s">
        <v>52</v>
      </c>
      <c r="K1924" s="226">
        <v>6565</v>
      </c>
      <c r="L1924" s="226"/>
      <c r="Q1924" s="133" t="s">
        <v>348</v>
      </c>
    </row>
    <row r="1925" spans="1:54" ht="45" x14ac:dyDescent="0.2">
      <c r="A1925" s="133">
        <v>2021</v>
      </c>
      <c r="B1925" s="133">
        <v>1</v>
      </c>
      <c r="C1925" s="133">
        <v>13</v>
      </c>
      <c r="D1925" s="141">
        <f t="shared" si="64"/>
        <v>44209</v>
      </c>
      <c r="E1925" s="275">
        <f t="shared" si="65"/>
        <v>44209</v>
      </c>
      <c r="F1925" s="481"/>
      <c r="G1925" s="174" t="s">
        <v>74</v>
      </c>
      <c r="H1925" s="174" t="str" cm="1">
        <f t="array" ref="H1925">IFERROR(INDEX(INVESTOR_LIST[INVESTOR NAME],MATCH(I1925,INVESTOR_LIST[INVESTOR CODE],0),)," ")</f>
        <v>MOHAMMAD ENAMUR RAHMAN</v>
      </c>
      <c r="I1925" s="148" t="s">
        <v>510</v>
      </c>
      <c r="J1925" s="149" t="s">
        <v>13</v>
      </c>
      <c r="K1925" s="218"/>
      <c r="L1925" s="218">
        <v>5320</v>
      </c>
      <c r="Q1925" s="133" t="s">
        <v>348</v>
      </c>
    </row>
    <row r="1926" spans="1:54" ht="45" x14ac:dyDescent="0.2">
      <c r="A1926" s="163">
        <v>2021</v>
      </c>
      <c r="B1926" s="163">
        <v>1</v>
      </c>
      <c r="C1926" s="163">
        <v>13</v>
      </c>
      <c r="D1926" s="141">
        <f t="shared" si="64"/>
        <v>44209</v>
      </c>
      <c r="E1926" s="275">
        <f t="shared" si="65"/>
        <v>44209</v>
      </c>
      <c r="F1926" s="480"/>
      <c r="G1926" s="221" t="s">
        <v>74</v>
      </c>
      <c r="H1926" s="221" t="str" cm="1">
        <f t="array" ref="H1926">IFERROR(INDEX(INVESTOR_LIST[INVESTOR NAME],MATCH(I1926,INVESTOR_LIST[INVESTOR CODE],0),)," ")</f>
        <v>MOHAMMAD ENAMUR RAHMAN</v>
      </c>
      <c r="I1926" s="145" t="s">
        <v>510</v>
      </c>
      <c r="J1926" s="146" t="s">
        <v>53</v>
      </c>
      <c r="K1926" s="219"/>
      <c r="L1926" s="219">
        <v>1245</v>
      </c>
      <c r="Q1926" s="133" t="s">
        <v>348</v>
      </c>
    </row>
    <row r="1927" spans="1:54" x14ac:dyDescent="0.2">
      <c r="A1927" s="168">
        <v>2021</v>
      </c>
      <c r="B1927" s="168">
        <v>1</v>
      </c>
      <c r="C1927" s="168">
        <v>13</v>
      </c>
      <c r="D1927" s="141">
        <f t="shared" si="64"/>
        <v>44209</v>
      </c>
      <c r="E1927" s="275">
        <f t="shared" si="65"/>
        <v>44209</v>
      </c>
      <c r="F1927" s="479" t="s">
        <v>77</v>
      </c>
      <c r="G1927" s="220" t="s">
        <v>74</v>
      </c>
      <c r="H1927" s="220" t="str" cm="1">
        <f t="array" ref="H1927">IFERROR(INDEX(INVESTOR_LIST[INVESTOR NAME],MATCH(I1927,INVESTOR_LIST[INVESTOR CODE],0),)," ")</f>
        <v xml:space="preserve"> </v>
      </c>
      <c r="I1927" s="142" t="s">
        <v>348</v>
      </c>
      <c r="J1927" s="143" t="s">
        <v>61</v>
      </c>
      <c r="K1927" s="226">
        <v>60</v>
      </c>
      <c r="L1927" s="226"/>
      <c r="Q1927" s="133" t="s">
        <v>348</v>
      </c>
    </row>
    <row r="1928" spans="1:54" x14ac:dyDescent="0.2">
      <c r="A1928" s="163">
        <v>2021</v>
      </c>
      <c r="B1928" s="163">
        <v>1</v>
      </c>
      <c r="C1928" s="163">
        <v>13</v>
      </c>
      <c r="D1928" s="141">
        <f t="shared" si="64"/>
        <v>44209</v>
      </c>
      <c r="E1928" s="275">
        <f t="shared" si="65"/>
        <v>44209</v>
      </c>
      <c r="F1928" s="480"/>
      <c r="G1928" s="221" t="s">
        <v>74</v>
      </c>
      <c r="H1928" s="221" t="str" cm="1">
        <f t="array" ref="H1928">IFERROR(INDEX(INVESTOR_LIST[INVESTOR NAME],MATCH(I1928,INVESTOR_LIST[INVESTOR CODE],0),)," ")</f>
        <v xml:space="preserve"> </v>
      </c>
      <c r="I1928" s="145" t="s">
        <v>348</v>
      </c>
      <c r="J1928" s="146" t="s">
        <v>52</v>
      </c>
      <c r="K1928" s="219"/>
      <c r="L1928" s="219">
        <v>60</v>
      </c>
      <c r="Q1928" s="133" t="s">
        <v>348</v>
      </c>
    </row>
    <row r="1929" spans="1:54" ht="22.5" x14ac:dyDescent="0.2">
      <c r="A1929" s="168">
        <v>2021</v>
      </c>
      <c r="B1929" s="168">
        <v>1</v>
      </c>
      <c r="C1929" s="168">
        <v>13</v>
      </c>
      <c r="D1929" s="141">
        <f t="shared" si="64"/>
        <v>44209</v>
      </c>
      <c r="E1929" s="275">
        <f t="shared" si="65"/>
        <v>44209</v>
      </c>
      <c r="F1929" s="479" t="s">
        <v>964</v>
      </c>
      <c r="G1929" s="220" t="s">
        <v>74</v>
      </c>
      <c r="H1929" s="220" t="str" cm="1">
        <f t="array" ref="H1929">IFERROR(INDEX(INVESTOR_LIST[INVESTOR NAME],MATCH(I1929,INVESTOR_LIST[INVESTOR CODE],0),)," ")</f>
        <v>SADIA AHMED</v>
      </c>
      <c r="I1929" s="142" t="s">
        <v>372</v>
      </c>
      <c r="J1929" s="143" t="s">
        <v>52</v>
      </c>
      <c r="K1929" s="226">
        <v>500000</v>
      </c>
      <c r="L1929" s="226"/>
      <c r="Q1929" s="133" t="s">
        <v>348</v>
      </c>
    </row>
    <row r="1930" spans="1:54" ht="12.75" customHeight="1" x14ac:dyDescent="0.2">
      <c r="A1930" s="133">
        <v>2021</v>
      </c>
      <c r="B1930" s="133">
        <v>1</v>
      </c>
      <c r="C1930" s="133">
        <v>13</v>
      </c>
      <c r="D1930" s="141">
        <f t="shared" si="64"/>
        <v>44209</v>
      </c>
      <c r="E1930" s="275">
        <f t="shared" si="65"/>
        <v>44209</v>
      </c>
      <c r="F1930" s="481"/>
      <c r="G1930" s="174" t="s">
        <v>74</v>
      </c>
      <c r="H1930" s="174" t="str" cm="1">
        <f t="array" ref="H1930">IFERROR(INDEX(INVESTOR_LIST[INVESTOR NAME],MATCH(I1930,INVESTOR_LIST[INVESTOR CODE],0),)," ")</f>
        <v>SADIA AHMED</v>
      </c>
      <c r="I1930" s="148" t="s">
        <v>372</v>
      </c>
      <c r="J1930" s="149" t="s">
        <v>13</v>
      </c>
      <c r="K1930" s="218"/>
      <c r="L1930" s="218">
        <v>405520</v>
      </c>
      <c r="Q1930" s="133" t="s">
        <v>348</v>
      </c>
      <c r="AQ1930" s="133">
        <v>2021</v>
      </c>
      <c r="AR1930" s="133">
        <v>1</v>
      </c>
      <c r="AS1930" s="133">
        <v>14</v>
      </c>
      <c r="AT1930" s="133">
        <f>DATE(AQ1930,AR1930,AS1930)</f>
        <v>44210</v>
      </c>
      <c r="AU1930" s="503">
        <f>DATE(AQ1930,AR1930,AS1930)</f>
        <v>44210</v>
      </c>
      <c r="AV1930" s="501" t="s">
        <v>352</v>
      </c>
      <c r="AW1930" s="174" t="s">
        <v>74</v>
      </c>
      <c r="AX1930" s="148"/>
      <c r="AY1930" s="148"/>
      <c r="AZ1930" s="149" t="s">
        <v>52</v>
      </c>
      <c r="BA1930" s="172">
        <v>2073910</v>
      </c>
      <c r="BB1930" s="172"/>
    </row>
    <row r="1931" spans="1:54" ht="12.75" customHeight="1" x14ac:dyDescent="0.2">
      <c r="A1931" s="163">
        <v>2021</v>
      </c>
      <c r="B1931" s="163">
        <v>1</v>
      </c>
      <c r="C1931" s="163">
        <v>13</v>
      </c>
      <c r="D1931" s="141">
        <f t="shared" si="64"/>
        <v>44209</v>
      </c>
      <c r="E1931" s="275">
        <f t="shared" si="65"/>
        <v>44209</v>
      </c>
      <c r="F1931" s="480"/>
      <c r="G1931" s="221" t="s">
        <v>74</v>
      </c>
      <c r="H1931" s="221" t="str" cm="1">
        <f t="array" ref="H1931">IFERROR(INDEX(INVESTOR_LIST[INVESTOR NAME],MATCH(I1931,INVESTOR_LIST[INVESTOR CODE],0),)," ")</f>
        <v>SADIA AHMED</v>
      </c>
      <c r="I1931" s="145" t="s">
        <v>372</v>
      </c>
      <c r="J1931" s="146" t="s">
        <v>53</v>
      </c>
      <c r="K1931" s="219"/>
      <c r="L1931" s="219">
        <v>94480</v>
      </c>
      <c r="Q1931" s="133" t="s">
        <v>348</v>
      </c>
      <c r="AQ1931" s="133">
        <v>2021</v>
      </c>
      <c r="AR1931" s="133">
        <v>1</v>
      </c>
      <c r="AS1931" s="133">
        <v>14</v>
      </c>
      <c r="AT1931" s="133">
        <f>DATE(AQ1931,AR1931,AS1931)</f>
        <v>44210</v>
      </c>
      <c r="AU1931" s="504"/>
      <c r="AV1931" s="502"/>
      <c r="AW1931" s="174" t="s">
        <v>74</v>
      </c>
      <c r="AX1931" s="148"/>
      <c r="AY1931" s="148"/>
      <c r="AZ1931" s="149" t="s">
        <v>79</v>
      </c>
      <c r="BA1931" s="172">
        <v>326090</v>
      </c>
      <c r="BB1931" s="172"/>
    </row>
    <row r="1932" spans="1:54" ht="12.75" customHeight="1" x14ac:dyDescent="0.2">
      <c r="A1932" s="168">
        <v>2021</v>
      </c>
      <c r="B1932" s="168">
        <v>1</v>
      </c>
      <c r="C1932" s="168">
        <v>13</v>
      </c>
      <c r="D1932" s="141">
        <f t="shared" si="64"/>
        <v>44209</v>
      </c>
      <c r="E1932" s="275">
        <f t="shared" si="65"/>
        <v>44209</v>
      </c>
      <c r="F1932" s="479" t="s">
        <v>964</v>
      </c>
      <c r="G1932" s="220" t="s">
        <v>74</v>
      </c>
      <c r="H1932" s="220" t="str" cm="1">
        <f t="array" ref="H1932">IFERROR(INDEX(INVESTOR_LIST[INVESTOR NAME],MATCH(I1932,INVESTOR_LIST[INVESTOR CODE],0),)," ")</f>
        <v>MOHAMMAD ABDUL HANNAN</v>
      </c>
      <c r="I1932" s="142" t="s">
        <v>501</v>
      </c>
      <c r="J1932" s="143" t="s">
        <v>52</v>
      </c>
      <c r="K1932" s="226">
        <v>100000</v>
      </c>
      <c r="L1932" s="226"/>
      <c r="Q1932" s="133" t="s">
        <v>348</v>
      </c>
      <c r="AQ1932" s="133">
        <v>2021</v>
      </c>
      <c r="AR1932" s="133">
        <v>1</v>
      </c>
      <c r="AS1932" s="133">
        <v>14</v>
      </c>
      <c r="AT1932" s="133">
        <f>DATE(AQ1932,AR1932,AS1932)</f>
        <v>44210</v>
      </c>
      <c r="AU1932" s="504"/>
      <c r="AV1932" s="502"/>
      <c r="AW1932" s="174" t="s">
        <v>74</v>
      </c>
      <c r="AX1932" s="148"/>
      <c r="AY1932" s="148"/>
      <c r="AZ1932" s="149" t="s">
        <v>184</v>
      </c>
      <c r="BA1932" s="172"/>
      <c r="BB1932" s="172">
        <v>2400000</v>
      </c>
    </row>
    <row r="1933" spans="1:54" ht="45" x14ac:dyDescent="0.2">
      <c r="A1933" s="133">
        <v>2021</v>
      </c>
      <c r="B1933" s="133">
        <v>1</v>
      </c>
      <c r="C1933" s="133">
        <v>13</v>
      </c>
      <c r="D1933" s="141">
        <f t="shared" ref="D1933:D1996" si="66">DATE(A1933,B1933,C1933)</f>
        <v>44209</v>
      </c>
      <c r="E1933" s="275">
        <f t="shared" si="65"/>
        <v>44209</v>
      </c>
      <c r="F1933" s="481"/>
      <c r="G1933" s="174" t="s">
        <v>74</v>
      </c>
      <c r="H1933" s="174" t="str" cm="1">
        <f t="array" ref="H1933">IFERROR(INDEX(INVESTOR_LIST[INVESTOR NAME],MATCH(I1933,INVESTOR_LIST[INVESTOR CODE],0),)," ")</f>
        <v>MOHAMMAD ABDUL HANNAN</v>
      </c>
      <c r="I1933" s="148" t="s">
        <v>501</v>
      </c>
      <c r="J1933" s="149" t="s">
        <v>13</v>
      </c>
      <c r="K1933" s="218"/>
      <c r="L1933" s="218">
        <v>81100</v>
      </c>
      <c r="Q1933" s="133" t="s">
        <v>348</v>
      </c>
    </row>
    <row r="1934" spans="1:54" ht="45" x14ac:dyDescent="0.2">
      <c r="A1934" s="163">
        <v>2021</v>
      </c>
      <c r="B1934" s="163">
        <v>1</v>
      </c>
      <c r="C1934" s="163">
        <v>13</v>
      </c>
      <c r="D1934" s="141">
        <f t="shared" si="66"/>
        <v>44209</v>
      </c>
      <c r="E1934" s="275">
        <f t="shared" ref="E1934:E1997" si="67">DATE(A1934,B1934,C1934)</f>
        <v>44209</v>
      </c>
      <c r="F1934" s="480"/>
      <c r="G1934" s="221" t="s">
        <v>74</v>
      </c>
      <c r="H1934" s="221" t="str" cm="1">
        <f t="array" ref="H1934">IFERROR(INDEX(INVESTOR_LIST[INVESTOR NAME],MATCH(I1934,INVESTOR_LIST[INVESTOR CODE],0),)," ")</f>
        <v>MOHAMMAD ABDUL HANNAN</v>
      </c>
      <c r="I1934" s="145" t="s">
        <v>501</v>
      </c>
      <c r="J1934" s="146" t="s">
        <v>53</v>
      </c>
      <c r="K1934" s="219"/>
      <c r="L1934" s="219">
        <v>18900</v>
      </c>
      <c r="Q1934" s="133" t="s">
        <v>348</v>
      </c>
    </row>
    <row r="1935" spans="1:54" ht="22.5" x14ac:dyDescent="0.2">
      <c r="A1935" s="168">
        <v>2021</v>
      </c>
      <c r="B1935" s="168">
        <v>1</v>
      </c>
      <c r="C1935" s="168">
        <v>14</v>
      </c>
      <c r="D1935" s="141">
        <f t="shared" si="66"/>
        <v>44210</v>
      </c>
      <c r="E1935" s="275">
        <f t="shared" si="67"/>
        <v>44210</v>
      </c>
      <c r="F1935" s="479" t="s">
        <v>964</v>
      </c>
      <c r="G1935" s="220" t="s">
        <v>74</v>
      </c>
      <c r="H1935" s="220" t="str" cm="1">
        <f t="array" ref="H1935">IFERROR(INDEX(INVESTOR_LIST[INVESTOR NAME],MATCH(I1935,INVESTOR_LIST[INVESTOR CODE],0),)," ")</f>
        <v>SADIA AHMED</v>
      </c>
      <c r="I1935" s="142" t="s">
        <v>372</v>
      </c>
      <c r="J1935" s="143" t="s">
        <v>52</v>
      </c>
      <c r="K1935" s="226">
        <v>300000</v>
      </c>
      <c r="L1935" s="226"/>
      <c r="Q1935" s="133" t="s">
        <v>348</v>
      </c>
    </row>
    <row r="1936" spans="1:54" ht="22.5" x14ac:dyDescent="0.2">
      <c r="A1936" s="133">
        <v>2021</v>
      </c>
      <c r="B1936" s="133">
        <v>1</v>
      </c>
      <c r="C1936" s="133">
        <v>14</v>
      </c>
      <c r="D1936" s="141">
        <f t="shared" si="66"/>
        <v>44210</v>
      </c>
      <c r="E1936" s="275">
        <f t="shared" si="67"/>
        <v>44210</v>
      </c>
      <c r="F1936" s="481"/>
      <c r="G1936" s="174" t="s">
        <v>74</v>
      </c>
      <c r="H1936" s="174" t="str" cm="1">
        <f t="array" ref="H1936">IFERROR(INDEX(INVESTOR_LIST[INVESTOR NAME],MATCH(I1936,INVESTOR_LIST[INVESTOR CODE],0),)," ")</f>
        <v>SADIA AHMED</v>
      </c>
      <c r="I1936" s="148" t="s">
        <v>372</v>
      </c>
      <c r="J1936" s="149" t="s">
        <v>13</v>
      </c>
      <c r="K1936" s="218"/>
      <c r="L1936" s="218">
        <v>243310</v>
      </c>
      <c r="Q1936" s="133" t="s">
        <v>348</v>
      </c>
    </row>
    <row r="1937" spans="1:17" ht="22.5" x14ac:dyDescent="0.2">
      <c r="A1937" s="163">
        <v>2021</v>
      </c>
      <c r="B1937" s="163">
        <v>1</v>
      </c>
      <c r="C1937" s="163">
        <v>14</v>
      </c>
      <c r="D1937" s="141">
        <f t="shared" si="66"/>
        <v>44210</v>
      </c>
      <c r="E1937" s="275">
        <f t="shared" si="67"/>
        <v>44210</v>
      </c>
      <c r="F1937" s="480"/>
      <c r="G1937" s="221" t="s">
        <v>74</v>
      </c>
      <c r="H1937" s="221" t="str" cm="1">
        <f t="array" ref="H1937">IFERROR(INDEX(INVESTOR_LIST[INVESTOR NAME],MATCH(I1937,INVESTOR_LIST[INVESTOR CODE],0),)," ")</f>
        <v>SADIA AHMED</v>
      </c>
      <c r="I1937" s="145" t="s">
        <v>372</v>
      </c>
      <c r="J1937" s="146" t="s">
        <v>53</v>
      </c>
      <c r="K1937" s="219"/>
      <c r="L1937" s="219">
        <v>56690</v>
      </c>
      <c r="Q1937" s="133" t="s">
        <v>348</v>
      </c>
    </row>
    <row r="1938" spans="1:17" ht="33.75" x14ac:dyDescent="0.2">
      <c r="A1938" s="168">
        <v>2021</v>
      </c>
      <c r="B1938" s="168">
        <v>1</v>
      </c>
      <c r="C1938" s="168">
        <v>14</v>
      </c>
      <c r="D1938" s="141">
        <f t="shared" si="66"/>
        <v>44210</v>
      </c>
      <c r="E1938" s="275">
        <f t="shared" si="67"/>
        <v>44210</v>
      </c>
      <c r="F1938" s="479" t="s">
        <v>965</v>
      </c>
      <c r="G1938" s="220" t="s">
        <v>74</v>
      </c>
      <c r="H1938" s="220" t="str" cm="1">
        <f t="array" ref="H1938">IFERROR(INDEX(INVESTOR_LIST[INVESTOR NAME],MATCH(I1938,INVESTOR_LIST[INVESTOR CODE],0),)," ")</f>
        <v>MD. SHAIFUL AZAM</v>
      </c>
      <c r="I1938" s="142" t="s">
        <v>440</v>
      </c>
      <c r="J1938" s="143" t="s">
        <v>13</v>
      </c>
      <c r="K1938" s="226">
        <v>186540</v>
      </c>
      <c r="L1938" s="226"/>
      <c r="Q1938" s="133" t="s">
        <v>348</v>
      </c>
    </row>
    <row r="1939" spans="1:17" ht="33.75" x14ac:dyDescent="0.2">
      <c r="A1939" s="133">
        <v>2021</v>
      </c>
      <c r="B1939" s="133">
        <v>1</v>
      </c>
      <c r="C1939" s="133">
        <v>14</v>
      </c>
      <c r="D1939" s="141">
        <f t="shared" si="66"/>
        <v>44210</v>
      </c>
      <c r="E1939" s="275">
        <f t="shared" si="67"/>
        <v>44210</v>
      </c>
      <c r="F1939" s="481"/>
      <c r="G1939" s="174" t="s">
        <v>74</v>
      </c>
      <c r="H1939" s="174" t="str" cm="1">
        <f t="array" ref="H1939">IFERROR(INDEX(INVESTOR_LIST[INVESTOR NAME],MATCH(I1939,INVESTOR_LIST[INVESTOR CODE],0),)," ")</f>
        <v>MD. SHAIFUL AZAM</v>
      </c>
      <c r="I1939" s="148" t="s">
        <v>440</v>
      </c>
      <c r="J1939" s="149" t="s">
        <v>53</v>
      </c>
      <c r="K1939" s="218">
        <v>43460</v>
      </c>
      <c r="L1939" s="218"/>
      <c r="Q1939" s="133" t="s">
        <v>348</v>
      </c>
    </row>
    <row r="1940" spans="1:17" ht="33.75" x14ac:dyDescent="0.2">
      <c r="A1940" s="163">
        <v>2021</v>
      </c>
      <c r="B1940" s="163">
        <v>1</v>
      </c>
      <c r="C1940" s="163">
        <v>14</v>
      </c>
      <c r="D1940" s="141">
        <f t="shared" si="66"/>
        <v>44210</v>
      </c>
      <c r="E1940" s="275">
        <f t="shared" si="67"/>
        <v>44210</v>
      </c>
      <c r="F1940" s="480"/>
      <c r="G1940" s="221" t="s">
        <v>74</v>
      </c>
      <c r="H1940" s="221" t="str" cm="1">
        <f t="array" ref="H1940">IFERROR(INDEX(INVESTOR_LIST[INVESTOR NAME],MATCH(I1940,INVESTOR_LIST[INVESTOR CODE],0),)," ")</f>
        <v>MD. SHAIFUL AZAM</v>
      </c>
      <c r="I1940" s="145" t="s">
        <v>440</v>
      </c>
      <c r="J1940" s="146" t="s">
        <v>52</v>
      </c>
      <c r="K1940" s="219"/>
      <c r="L1940" s="219">
        <v>230000</v>
      </c>
      <c r="Q1940" s="133" t="s">
        <v>348</v>
      </c>
    </row>
    <row r="1941" spans="1:17" ht="45" x14ac:dyDescent="0.2">
      <c r="A1941" s="168">
        <v>2021</v>
      </c>
      <c r="B1941" s="168">
        <v>1</v>
      </c>
      <c r="C1941" s="168">
        <v>14</v>
      </c>
      <c r="D1941" s="141">
        <f t="shared" si="66"/>
        <v>44210</v>
      </c>
      <c r="E1941" s="275">
        <f t="shared" si="67"/>
        <v>44210</v>
      </c>
      <c r="F1941" s="479" t="s">
        <v>964</v>
      </c>
      <c r="G1941" s="220" t="s">
        <v>74</v>
      </c>
      <c r="H1941" s="220" t="str" cm="1">
        <f t="array" ref="H1941">IFERROR(INDEX(INVESTOR_LIST[INVESTOR NAME],MATCH(I1941,INVESTOR_LIST[INVESTOR CODE],0),)," ")</f>
        <v>RAIHAN RASHID MAJUMDAR</v>
      </c>
      <c r="I1941" s="142" t="s">
        <v>511</v>
      </c>
      <c r="J1941" s="143" t="s">
        <v>52</v>
      </c>
      <c r="K1941" s="226">
        <v>800000</v>
      </c>
      <c r="L1941" s="226"/>
      <c r="Q1941" s="133" t="s">
        <v>348</v>
      </c>
    </row>
    <row r="1942" spans="1:17" ht="45" x14ac:dyDescent="0.2">
      <c r="A1942" s="133">
        <v>2021</v>
      </c>
      <c r="B1942" s="133">
        <v>1</v>
      </c>
      <c r="C1942" s="133">
        <v>14</v>
      </c>
      <c r="D1942" s="141">
        <f t="shared" si="66"/>
        <v>44210</v>
      </c>
      <c r="E1942" s="275">
        <f t="shared" si="67"/>
        <v>44210</v>
      </c>
      <c r="F1942" s="481"/>
      <c r="G1942" s="174" t="s">
        <v>74</v>
      </c>
      <c r="H1942" s="174" t="str" cm="1">
        <f t="array" ref="H1942">IFERROR(INDEX(INVESTOR_LIST[INVESTOR NAME],MATCH(I1942,INVESTOR_LIST[INVESTOR CODE],0),)," ")</f>
        <v>RAIHAN RASHID MAJUMDAR</v>
      </c>
      <c r="I1942" s="148" t="s">
        <v>511</v>
      </c>
      <c r="J1942" s="149" t="s">
        <v>13</v>
      </c>
      <c r="K1942" s="218"/>
      <c r="L1942" s="218">
        <v>648820</v>
      </c>
      <c r="Q1942" s="133" t="s">
        <v>348</v>
      </c>
    </row>
    <row r="1943" spans="1:17" ht="45" x14ac:dyDescent="0.2">
      <c r="A1943" s="163">
        <v>2021</v>
      </c>
      <c r="B1943" s="163">
        <v>1</v>
      </c>
      <c r="C1943" s="163">
        <v>14</v>
      </c>
      <c r="D1943" s="141">
        <f t="shared" si="66"/>
        <v>44210</v>
      </c>
      <c r="E1943" s="275">
        <f t="shared" si="67"/>
        <v>44210</v>
      </c>
      <c r="F1943" s="480"/>
      <c r="G1943" s="221" t="s">
        <v>74</v>
      </c>
      <c r="H1943" s="221" t="str" cm="1">
        <f t="array" ref="H1943">IFERROR(INDEX(INVESTOR_LIST[INVESTOR NAME],MATCH(I1943,INVESTOR_LIST[INVESTOR CODE],0),)," ")</f>
        <v>RAIHAN RASHID MAJUMDAR</v>
      </c>
      <c r="I1943" s="145" t="s">
        <v>511</v>
      </c>
      <c r="J1943" s="146" t="s">
        <v>53</v>
      </c>
      <c r="K1943" s="219"/>
      <c r="L1943" s="219">
        <v>151180</v>
      </c>
      <c r="P1943" s="147"/>
      <c r="Q1943" s="133" t="s">
        <v>348</v>
      </c>
    </row>
    <row r="1944" spans="1:17" ht="22.5" x14ac:dyDescent="0.2">
      <c r="A1944" s="168">
        <v>2021</v>
      </c>
      <c r="B1944" s="168">
        <v>1</v>
      </c>
      <c r="C1944" s="168">
        <v>14</v>
      </c>
      <c r="D1944" s="141">
        <f t="shared" si="66"/>
        <v>44210</v>
      </c>
      <c r="E1944" s="275">
        <f t="shared" si="67"/>
        <v>44210</v>
      </c>
      <c r="F1944" s="479" t="s">
        <v>964</v>
      </c>
      <c r="G1944" s="220" t="s">
        <v>74</v>
      </c>
      <c r="H1944" s="220" t="str" cm="1">
        <f t="array" ref="H1944">IFERROR(INDEX(INVESTOR_LIST[INVESTOR NAME],MATCH(I1944,INVESTOR_LIST[INVESTOR CODE],0),)," ")</f>
        <v>ADNAN RASHID</v>
      </c>
      <c r="I1944" s="142" t="s">
        <v>466</v>
      </c>
      <c r="J1944" s="143" t="s">
        <v>52</v>
      </c>
      <c r="K1944" s="226">
        <v>100000</v>
      </c>
      <c r="L1944" s="226"/>
      <c r="N1944" s="179"/>
      <c r="P1944" s="147"/>
      <c r="Q1944" s="133" t="s">
        <v>457</v>
      </c>
    </row>
    <row r="1945" spans="1:17" ht="22.5" x14ac:dyDescent="0.2">
      <c r="A1945" s="133">
        <v>2021</v>
      </c>
      <c r="B1945" s="133">
        <v>1</v>
      </c>
      <c r="C1945" s="133">
        <v>14</v>
      </c>
      <c r="D1945" s="141">
        <f t="shared" si="66"/>
        <v>44210</v>
      </c>
      <c r="E1945" s="275">
        <f t="shared" si="67"/>
        <v>44210</v>
      </c>
      <c r="F1945" s="481"/>
      <c r="G1945" s="174" t="s">
        <v>74</v>
      </c>
      <c r="H1945" s="174" t="str" cm="1">
        <f t="array" ref="H1945">IFERROR(INDEX(INVESTOR_LIST[INVESTOR NAME],MATCH(I1945,INVESTOR_LIST[INVESTOR CODE],0),)," ")</f>
        <v>ADNAN RASHID</v>
      </c>
      <c r="I1945" s="148" t="s">
        <v>466</v>
      </c>
      <c r="J1945" s="149" t="s">
        <v>13</v>
      </c>
      <c r="K1945" s="218"/>
      <c r="L1945" s="218">
        <v>81100</v>
      </c>
      <c r="P1945" s="147"/>
      <c r="Q1945" s="133" t="s">
        <v>457</v>
      </c>
    </row>
    <row r="1946" spans="1:17" ht="22.5" x14ac:dyDescent="0.2">
      <c r="A1946" s="163">
        <v>2021</v>
      </c>
      <c r="B1946" s="163">
        <v>1</v>
      </c>
      <c r="C1946" s="163">
        <v>14</v>
      </c>
      <c r="D1946" s="141">
        <f t="shared" si="66"/>
        <v>44210</v>
      </c>
      <c r="E1946" s="275">
        <f t="shared" si="67"/>
        <v>44210</v>
      </c>
      <c r="F1946" s="480"/>
      <c r="G1946" s="221" t="s">
        <v>74</v>
      </c>
      <c r="H1946" s="221" t="str" cm="1">
        <f t="array" ref="H1946">IFERROR(INDEX(INVESTOR_LIST[INVESTOR NAME],MATCH(I1946,INVESTOR_LIST[INVESTOR CODE],0),)," ")</f>
        <v>ADNAN RASHID</v>
      </c>
      <c r="I1946" s="145" t="s">
        <v>466</v>
      </c>
      <c r="J1946" s="146" t="s">
        <v>53</v>
      </c>
      <c r="K1946" s="219"/>
      <c r="L1946" s="219">
        <v>18900</v>
      </c>
      <c r="N1946" s="160"/>
      <c r="P1946" s="147"/>
      <c r="Q1946" s="133" t="s">
        <v>457</v>
      </c>
    </row>
    <row r="1947" spans="1:17" ht="22.5" x14ac:dyDescent="0.2">
      <c r="A1947" s="168">
        <v>2021</v>
      </c>
      <c r="B1947" s="168">
        <v>1</v>
      </c>
      <c r="C1947" s="168">
        <v>14</v>
      </c>
      <c r="D1947" s="141">
        <f t="shared" si="66"/>
        <v>44210</v>
      </c>
      <c r="E1947" s="275">
        <f t="shared" si="67"/>
        <v>44210</v>
      </c>
      <c r="F1947" s="479" t="s">
        <v>964</v>
      </c>
      <c r="G1947" s="220" t="s">
        <v>74</v>
      </c>
      <c r="H1947" s="220" t="str" cm="1">
        <f t="array" ref="H1947">IFERROR(INDEX(INVESTOR_LIST[INVESTOR NAME],MATCH(I1947,INVESTOR_LIST[INVESTOR CODE],0),)," ")</f>
        <v>ADNAN RASHID</v>
      </c>
      <c r="I1947" s="142" t="s">
        <v>466</v>
      </c>
      <c r="J1947" s="143" t="s">
        <v>52</v>
      </c>
      <c r="K1947" s="226">
        <v>100000</v>
      </c>
      <c r="L1947" s="226"/>
      <c r="P1947" s="147"/>
      <c r="Q1947" s="133" t="s">
        <v>457</v>
      </c>
    </row>
    <row r="1948" spans="1:17" ht="22.5" x14ac:dyDescent="0.2">
      <c r="A1948" s="133">
        <v>2021</v>
      </c>
      <c r="B1948" s="133">
        <v>1</v>
      </c>
      <c r="C1948" s="133">
        <v>14</v>
      </c>
      <c r="D1948" s="141">
        <f t="shared" si="66"/>
        <v>44210</v>
      </c>
      <c r="E1948" s="275">
        <f t="shared" si="67"/>
        <v>44210</v>
      </c>
      <c r="F1948" s="481"/>
      <c r="G1948" s="174" t="s">
        <v>74</v>
      </c>
      <c r="H1948" s="174" t="str" cm="1">
        <f t="array" ref="H1948">IFERROR(INDEX(INVESTOR_LIST[INVESTOR NAME],MATCH(I1948,INVESTOR_LIST[INVESTOR CODE],0),)," ")</f>
        <v>ADNAN RASHID</v>
      </c>
      <c r="I1948" s="148" t="s">
        <v>466</v>
      </c>
      <c r="J1948" s="149" t="s">
        <v>13</v>
      </c>
      <c r="K1948" s="218"/>
      <c r="L1948" s="218">
        <v>81100</v>
      </c>
      <c r="N1948" s="147">
        <f>K2002/13</f>
        <v>7692.3076923076924</v>
      </c>
      <c r="P1948" s="147"/>
      <c r="Q1948" s="133" t="s">
        <v>457</v>
      </c>
    </row>
    <row r="1949" spans="1:17" ht="22.5" x14ac:dyDescent="0.2">
      <c r="A1949" s="163">
        <v>2021</v>
      </c>
      <c r="B1949" s="163">
        <v>1</v>
      </c>
      <c r="C1949" s="163">
        <v>14</v>
      </c>
      <c r="D1949" s="141">
        <f t="shared" si="66"/>
        <v>44210</v>
      </c>
      <c r="E1949" s="275">
        <f t="shared" si="67"/>
        <v>44210</v>
      </c>
      <c r="F1949" s="480"/>
      <c r="G1949" s="221" t="s">
        <v>74</v>
      </c>
      <c r="H1949" s="221" t="str" cm="1">
        <f t="array" ref="H1949">IFERROR(INDEX(INVESTOR_LIST[INVESTOR NAME],MATCH(I1949,INVESTOR_LIST[INVESTOR CODE],0),)," ")</f>
        <v>ADNAN RASHID</v>
      </c>
      <c r="I1949" s="145" t="s">
        <v>466</v>
      </c>
      <c r="J1949" s="146" t="s">
        <v>53</v>
      </c>
      <c r="K1949" s="219"/>
      <c r="L1949" s="219">
        <v>18900</v>
      </c>
      <c r="P1949" s="147"/>
      <c r="Q1949" s="133" t="s">
        <v>457</v>
      </c>
    </row>
    <row r="1950" spans="1:17" ht="33.75" x14ac:dyDescent="0.2">
      <c r="A1950" s="168">
        <v>2021</v>
      </c>
      <c r="B1950" s="168">
        <v>1</v>
      </c>
      <c r="C1950" s="168">
        <v>14</v>
      </c>
      <c r="D1950" s="141">
        <f t="shared" si="66"/>
        <v>44210</v>
      </c>
      <c r="E1950" s="275">
        <f t="shared" si="67"/>
        <v>44210</v>
      </c>
      <c r="F1950" s="479" t="s">
        <v>964</v>
      </c>
      <c r="G1950" s="220" t="s">
        <v>74</v>
      </c>
      <c r="H1950" s="220" t="str" cm="1">
        <f t="array" ref="H1950">IFERROR(INDEX(INVESTOR_LIST[INVESTOR NAME],MATCH(I1950,INVESTOR_LIST[INVESTOR CODE],0),)," ")</f>
        <v>KAZI MD. ANISUR RAHMAN</v>
      </c>
      <c r="I1950" s="142" t="s">
        <v>514</v>
      </c>
      <c r="J1950" s="143" t="s">
        <v>52</v>
      </c>
      <c r="K1950" s="226">
        <v>200000</v>
      </c>
      <c r="L1950" s="226"/>
      <c r="N1950" s="156"/>
      <c r="P1950" s="147"/>
      <c r="Q1950" s="133" t="s">
        <v>517</v>
      </c>
    </row>
    <row r="1951" spans="1:17" ht="33.75" x14ac:dyDescent="0.2">
      <c r="A1951" s="133">
        <v>2021</v>
      </c>
      <c r="B1951" s="133">
        <v>1</v>
      </c>
      <c r="C1951" s="133">
        <v>14</v>
      </c>
      <c r="D1951" s="141">
        <f t="shared" si="66"/>
        <v>44210</v>
      </c>
      <c r="E1951" s="275">
        <f t="shared" si="67"/>
        <v>44210</v>
      </c>
      <c r="F1951" s="481"/>
      <c r="G1951" s="174" t="s">
        <v>74</v>
      </c>
      <c r="H1951" s="174" t="str" cm="1">
        <f t="array" ref="H1951">IFERROR(INDEX(INVESTOR_LIST[INVESTOR NAME],MATCH(I1951,INVESTOR_LIST[INVESTOR CODE],0),)," ")</f>
        <v>KAZI MD. ANISUR RAHMAN</v>
      </c>
      <c r="I1951" s="148" t="s">
        <v>514</v>
      </c>
      <c r="J1951" s="149" t="s">
        <v>13</v>
      </c>
      <c r="K1951" s="218"/>
      <c r="L1951" s="218">
        <v>162210</v>
      </c>
      <c r="P1951" s="147"/>
      <c r="Q1951" s="133" t="s">
        <v>517</v>
      </c>
    </row>
    <row r="1952" spans="1:17" ht="33.75" x14ac:dyDescent="0.2">
      <c r="A1952" s="163">
        <v>2021</v>
      </c>
      <c r="B1952" s="163">
        <v>1</v>
      </c>
      <c r="C1952" s="163">
        <v>14</v>
      </c>
      <c r="D1952" s="141">
        <f t="shared" si="66"/>
        <v>44210</v>
      </c>
      <c r="E1952" s="275">
        <f t="shared" si="67"/>
        <v>44210</v>
      </c>
      <c r="F1952" s="480"/>
      <c r="G1952" s="221" t="s">
        <v>74</v>
      </c>
      <c r="H1952" s="221" t="str" cm="1">
        <f t="array" ref="H1952">IFERROR(INDEX(INVESTOR_LIST[INVESTOR NAME],MATCH(I1952,INVESTOR_LIST[INVESTOR CODE],0),)," ")</f>
        <v>KAZI MD. ANISUR RAHMAN</v>
      </c>
      <c r="I1952" s="145" t="s">
        <v>514</v>
      </c>
      <c r="J1952" s="146" t="s">
        <v>53</v>
      </c>
      <c r="K1952" s="219"/>
      <c r="L1952" s="219">
        <v>37790</v>
      </c>
      <c r="P1952" s="147"/>
      <c r="Q1952" s="133" t="s">
        <v>517</v>
      </c>
    </row>
    <row r="1953" spans="1:17" ht="45" x14ac:dyDescent="0.2">
      <c r="A1953" s="168">
        <v>2021</v>
      </c>
      <c r="B1953" s="168">
        <v>1</v>
      </c>
      <c r="C1953" s="168">
        <v>14</v>
      </c>
      <c r="D1953" s="141">
        <f t="shared" si="66"/>
        <v>44210</v>
      </c>
      <c r="E1953" s="275">
        <f t="shared" si="67"/>
        <v>44210</v>
      </c>
      <c r="F1953" s="479" t="s">
        <v>964</v>
      </c>
      <c r="G1953" s="220" t="s">
        <v>74</v>
      </c>
      <c r="H1953" s="220" t="str" cm="1">
        <f t="array" ref="H1953">IFERROR(INDEX(INVESTOR_LIST[INVESTOR NAME],MATCH(I1953,INVESTOR_LIST[INVESTOR CODE],0),)," ")</f>
        <v>FARUK-E AZAM bIN HAIDER</v>
      </c>
      <c r="I1953" s="142" t="s">
        <v>515</v>
      </c>
      <c r="J1953" s="143" t="s">
        <v>52</v>
      </c>
      <c r="K1953" s="226">
        <v>100000</v>
      </c>
      <c r="L1953" s="226"/>
      <c r="P1953" s="147"/>
      <c r="Q1953" s="133" t="s">
        <v>440</v>
      </c>
    </row>
    <row r="1954" spans="1:17" ht="45" x14ac:dyDescent="0.2">
      <c r="A1954" s="133">
        <v>2021</v>
      </c>
      <c r="B1954" s="133">
        <v>1</v>
      </c>
      <c r="C1954" s="133">
        <v>14</v>
      </c>
      <c r="D1954" s="141">
        <f t="shared" si="66"/>
        <v>44210</v>
      </c>
      <c r="E1954" s="275">
        <f t="shared" si="67"/>
        <v>44210</v>
      </c>
      <c r="F1954" s="481"/>
      <c r="G1954" s="174" t="s">
        <v>74</v>
      </c>
      <c r="H1954" s="174" t="str" cm="1">
        <f t="array" ref="H1954">IFERROR(INDEX(INVESTOR_LIST[INVESTOR NAME],MATCH(I1954,INVESTOR_LIST[INVESTOR CODE],0),)," ")</f>
        <v>FARUK-E AZAM bIN HAIDER</v>
      </c>
      <c r="I1954" s="148" t="s">
        <v>515</v>
      </c>
      <c r="J1954" s="149" t="s">
        <v>13</v>
      </c>
      <c r="K1954" s="218"/>
      <c r="L1954" s="218">
        <v>81100</v>
      </c>
      <c r="N1954" s="156">
        <f>K2008/12.33</f>
        <v>40551.500405515006</v>
      </c>
      <c r="P1954" s="147"/>
      <c r="Q1954" s="133" t="s">
        <v>440</v>
      </c>
    </row>
    <row r="1955" spans="1:17" ht="45" x14ac:dyDescent="0.2">
      <c r="A1955" s="163">
        <v>2021</v>
      </c>
      <c r="B1955" s="163">
        <v>1</v>
      </c>
      <c r="C1955" s="163">
        <v>14</v>
      </c>
      <c r="D1955" s="141">
        <f t="shared" si="66"/>
        <v>44210</v>
      </c>
      <c r="E1955" s="275">
        <f t="shared" si="67"/>
        <v>44210</v>
      </c>
      <c r="F1955" s="480"/>
      <c r="G1955" s="221" t="s">
        <v>74</v>
      </c>
      <c r="H1955" s="221" t="str" cm="1">
        <f t="array" ref="H1955">IFERROR(INDEX(INVESTOR_LIST[INVESTOR NAME],MATCH(I1955,INVESTOR_LIST[INVESTOR CODE],0),)," ")</f>
        <v>FARUK-E AZAM bIN HAIDER</v>
      </c>
      <c r="I1955" s="145" t="s">
        <v>515</v>
      </c>
      <c r="J1955" s="146" t="s">
        <v>53</v>
      </c>
      <c r="K1955" s="219"/>
      <c r="L1955" s="219">
        <v>18900</v>
      </c>
      <c r="P1955" s="147"/>
      <c r="Q1955" s="133" t="s">
        <v>440</v>
      </c>
    </row>
    <row r="1956" spans="1:17" ht="45" x14ac:dyDescent="0.2">
      <c r="A1956" s="168">
        <v>2021</v>
      </c>
      <c r="B1956" s="168">
        <v>1</v>
      </c>
      <c r="C1956" s="168">
        <v>14</v>
      </c>
      <c r="D1956" s="141">
        <f t="shared" si="66"/>
        <v>44210</v>
      </c>
      <c r="E1956" s="275">
        <f t="shared" si="67"/>
        <v>44210</v>
      </c>
      <c r="F1956" s="479" t="s">
        <v>964</v>
      </c>
      <c r="G1956" s="220" t="s">
        <v>74</v>
      </c>
      <c r="H1956" s="220" t="str" cm="1">
        <f t="array" ref="H1956">IFERROR(INDEX(INVESTOR_LIST[INVESTOR NAME],MATCH(I1956,INVESTOR_LIST[INVESTOR CODE],0),)," ")</f>
        <v>RABITA RASHID MAJUMDER</v>
      </c>
      <c r="I1956" s="142" t="s">
        <v>512</v>
      </c>
      <c r="J1956" s="143" t="s">
        <v>52</v>
      </c>
      <c r="K1956" s="226">
        <v>100000</v>
      </c>
      <c r="L1956" s="226"/>
      <c r="P1956" s="147"/>
      <c r="Q1956" s="133" t="s">
        <v>348</v>
      </c>
    </row>
    <row r="1957" spans="1:17" ht="45" x14ac:dyDescent="0.2">
      <c r="A1957" s="133">
        <v>2021</v>
      </c>
      <c r="B1957" s="133">
        <v>1</v>
      </c>
      <c r="C1957" s="133">
        <v>14</v>
      </c>
      <c r="D1957" s="141">
        <f t="shared" si="66"/>
        <v>44210</v>
      </c>
      <c r="E1957" s="275">
        <f t="shared" si="67"/>
        <v>44210</v>
      </c>
      <c r="F1957" s="481"/>
      <c r="G1957" s="174" t="s">
        <v>74</v>
      </c>
      <c r="H1957" s="174" t="str" cm="1">
        <f t="array" ref="H1957">IFERROR(INDEX(INVESTOR_LIST[INVESTOR NAME],MATCH(I1957,INVESTOR_LIST[INVESTOR CODE],0),)," ")</f>
        <v>RABITA RASHID MAJUMDER</v>
      </c>
      <c r="I1957" s="148" t="s">
        <v>512</v>
      </c>
      <c r="J1957" s="149" t="s">
        <v>13</v>
      </c>
      <c r="K1957" s="218"/>
      <c r="L1957" s="218">
        <v>81100</v>
      </c>
      <c r="P1957" s="147"/>
      <c r="Q1957" s="133" t="s">
        <v>348</v>
      </c>
    </row>
    <row r="1958" spans="1:17" ht="45" x14ac:dyDescent="0.2">
      <c r="A1958" s="163">
        <v>2021</v>
      </c>
      <c r="B1958" s="163">
        <v>1</v>
      </c>
      <c r="C1958" s="163">
        <v>14</v>
      </c>
      <c r="D1958" s="141">
        <f t="shared" si="66"/>
        <v>44210</v>
      </c>
      <c r="E1958" s="275">
        <f t="shared" si="67"/>
        <v>44210</v>
      </c>
      <c r="F1958" s="480"/>
      <c r="G1958" s="221" t="s">
        <v>74</v>
      </c>
      <c r="H1958" s="221" t="str" cm="1">
        <f t="array" ref="H1958">IFERROR(INDEX(INVESTOR_LIST[INVESTOR NAME],MATCH(I1958,INVESTOR_LIST[INVESTOR CODE],0),)," ")</f>
        <v>RABITA RASHID MAJUMDER</v>
      </c>
      <c r="I1958" s="145" t="s">
        <v>512</v>
      </c>
      <c r="J1958" s="146" t="s">
        <v>53</v>
      </c>
      <c r="K1958" s="219"/>
      <c r="L1958" s="219">
        <v>18900</v>
      </c>
      <c r="P1958" s="147"/>
      <c r="Q1958" s="133" t="s">
        <v>348</v>
      </c>
    </row>
    <row r="1959" spans="1:17" ht="56.25" x14ac:dyDescent="0.2">
      <c r="A1959" s="168">
        <v>2021</v>
      </c>
      <c r="B1959" s="168">
        <v>1</v>
      </c>
      <c r="C1959" s="168">
        <v>14</v>
      </c>
      <c r="D1959" s="141">
        <f t="shared" si="66"/>
        <v>44210</v>
      </c>
      <c r="E1959" s="275">
        <f t="shared" si="67"/>
        <v>44210</v>
      </c>
      <c r="F1959" s="479" t="s">
        <v>964</v>
      </c>
      <c r="G1959" s="220" t="s">
        <v>74</v>
      </c>
      <c r="H1959" s="220" t="str" cm="1">
        <f t="array" ref="H1959">IFERROR(INDEX(INVESTOR_LIST[INVESTOR NAME],MATCH(I1959,INVESTOR_LIST[INVESTOR CODE],0),)," ")</f>
        <v>REZWAN UR RASHID MAJUMDAR</v>
      </c>
      <c r="I1959" s="142" t="s">
        <v>513</v>
      </c>
      <c r="J1959" s="143" t="s">
        <v>52</v>
      </c>
      <c r="K1959" s="226">
        <v>50000</v>
      </c>
      <c r="L1959" s="226"/>
      <c r="P1959" s="147"/>
      <c r="Q1959" s="133" t="s">
        <v>348</v>
      </c>
    </row>
    <row r="1960" spans="1:17" ht="56.25" x14ac:dyDescent="0.2">
      <c r="A1960" s="133">
        <v>2021</v>
      </c>
      <c r="B1960" s="133">
        <v>1</v>
      </c>
      <c r="C1960" s="133">
        <v>14</v>
      </c>
      <c r="D1960" s="141">
        <f t="shared" si="66"/>
        <v>44210</v>
      </c>
      <c r="E1960" s="275">
        <f t="shared" si="67"/>
        <v>44210</v>
      </c>
      <c r="F1960" s="481"/>
      <c r="G1960" s="174" t="s">
        <v>74</v>
      </c>
      <c r="H1960" s="174" t="str" cm="1">
        <f t="array" ref="H1960">IFERROR(INDEX(INVESTOR_LIST[INVESTOR NAME],MATCH(I1960,INVESTOR_LIST[INVESTOR CODE],0),)," ")</f>
        <v>REZWAN UR RASHID MAJUMDAR</v>
      </c>
      <c r="I1960" s="148" t="s">
        <v>513</v>
      </c>
      <c r="J1960" s="149" t="s">
        <v>13</v>
      </c>
      <c r="K1960" s="218"/>
      <c r="L1960" s="218">
        <v>40550</v>
      </c>
      <c r="P1960" s="147"/>
      <c r="Q1960" s="133" t="s">
        <v>348</v>
      </c>
    </row>
    <row r="1961" spans="1:17" ht="56.25" x14ac:dyDescent="0.2">
      <c r="A1961" s="163">
        <v>2021</v>
      </c>
      <c r="B1961" s="163">
        <v>1</v>
      </c>
      <c r="C1961" s="163">
        <v>14</v>
      </c>
      <c r="D1961" s="141">
        <f t="shared" si="66"/>
        <v>44210</v>
      </c>
      <c r="E1961" s="275">
        <f t="shared" si="67"/>
        <v>44210</v>
      </c>
      <c r="F1961" s="480"/>
      <c r="G1961" s="221" t="s">
        <v>74</v>
      </c>
      <c r="H1961" s="221" t="str" cm="1">
        <f t="array" ref="H1961">IFERROR(INDEX(INVESTOR_LIST[INVESTOR NAME],MATCH(I1961,INVESTOR_LIST[INVESTOR CODE],0),)," ")</f>
        <v>REZWAN UR RASHID MAJUMDAR</v>
      </c>
      <c r="I1961" s="145" t="s">
        <v>513</v>
      </c>
      <c r="J1961" s="146" t="s">
        <v>53</v>
      </c>
      <c r="K1961" s="219"/>
      <c r="L1961" s="219">
        <v>9450</v>
      </c>
      <c r="N1961" s="156">
        <f>K2022/12.66</f>
        <v>63191.153238546605</v>
      </c>
      <c r="P1961" s="147"/>
      <c r="Q1961" s="133" t="s">
        <v>348</v>
      </c>
    </row>
    <row r="1962" spans="1:17" ht="45" x14ac:dyDescent="0.2">
      <c r="A1962" s="168">
        <v>2021</v>
      </c>
      <c r="B1962" s="168">
        <v>1</v>
      </c>
      <c r="C1962" s="168">
        <v>14</v>
      </c>
      <c r="D1962" s="141">
        <f t="shared" si="66"/>
        <v>44210</v>
      </c>
      <c r="E1962" s="275">
        <f t="shared" si="67"/>
        <v>44210</v>
      </c>
      <c r="F1962" s="479" t="s">
        <v>964</v>
      </c>
      <c r="G1962" s="220" t="s">
        <v>74</v>
      </c>
      <c r="H1962" s="220" t="str" cm="1">
        <f t="array" ref="H1962">IFERROR(INDEX(INVESTOR_LIST[INVESTOR NAME],MATCH(I1962,INVESTOR_LIST[INVESTOR CODE],0),)," ")</f>
        <v>MOHAMMAD NAZMUL HOSSAIN</v>
      </c>
      <c r="I1962" s="142" t="s">
        <v>381</v>
      </c>
      <c r="J1962" s="143" t="s">
        <v>52</v>
      </c>
      <c r="K1962" s="226">
        <v>1000000</v>
      </c>
      <c r="L1962" s="226"/>
      <c r="P1962" s="147"/>
      <c r="Q1962" s="133" t="s">
        <v>348</v>
      </c>
    </row>
    <row r="1963" spans="1:17" ht="45" x14ac:dyDescent="0.2">
      <c r="A1963" s="133">
        <v>2021</v>
      </c>
      <c r="B1963" s="133">
        <v>1</v>
      </c>
      <c r="C1963" s="133">
        <v>14</v>
      </c>
      <c r="D1963" s="141">
        <f t="shared" si="66"/>
        <v>44210</v>
      </c>
      <c r="E1963" s="275">
        <f t="shared" si="67"/>
        <v>44210</v>
      </c>
      <c r="F1963" s="481"/>
      <c r="G1963" s="174" t="s">
        <v>74</v>
      </c>
      <c r="H1963" s="174" t="str" cm="1">
        <f t="array" ref="H1963">IFERROR(INDEX(INVESTOR_LIST[INVESTOR NAME],MATCH(I1963,INVESTOR_LIST[INVESTOR CODE],0),)," ")</f>
        <v>MOHAMMAD NAZMUL HOSSAIN</v>
      </c>
      <c r="I1963" s="148" t="s">
        <v>381</v>
      </c>
      <c r="J1963" s="149" t="s">
        <v>13</v>
      </c>
      <c r="K1963" s="218"/>
      <c r="L1963" s="218">
        <v>811030</v>
      </c>
      <c r="N1963" s="160"/>
      <c r="P1963" s="147"/>
      <c r="Q1963" s="133" t="s">
        <v>348</v>
      </c>
    </row>
    <row r="1964" spans="1:17" ht="45" x14ac:dyDescent="0.2">
      <c r="A1964" s="163">
        <v>2021</v>
      </c>
      <c r="B1964" s="163">
        <v>1</v>
      </c>
      <c r="C1964" s="163">
        <v>14</v>
      </c>
      <c r="D1964" s="141">
        <f t="shared" si="66"/>
        <v>44210</v>
      </c>
      <c r="E1964" s="275">
        <f t="shared" si="67"/>
        <v>44210</v>
      </c>
      <c r="F1964" s="480"/>
      <c r="G1964" s="221" t="s">
        <v>74</v>
      </c>
      <c r="H1964" s="221" t="str" cm="1">
        <f t="array" ref="H1964">IFERROR(INDEX(INVESTOR_LIST[INVESTOR NAME],MATCH(I1964,INVESTOR_LIST[INVESTOR CODE],0),)," ")</f>
        <v>MOHAMMAD NAZMUL HOSSAIN</v>
      </c>
      <c r="I1964" s="145" t="s">
        <v>381</v>
      </c>
      <c r="J1964" s="146" t="s">
        <v>53</v>
      </c>
      <c r="K1964" s="219"/>
      <c r="L1964" s="219">
        <v>188970</v>
      </c>
      <c r="N1964" s="156">
        <f>K2025/12.66</f>
        <v>78988.941548183255</v>
      </c>
      <c r="P1964" s="147"/>
      <c r="Q1964" s="133" t="s">
        <v>348</v>
      </c>
    </row>
    <row r="1965" spans="1:17" ht="33.75" x14ac:dyDescent="0.2">
      <c r="A1965" s="168">
        <v>2021</v>
      </c>
      <c r="B1965" s="168">
        <v>1</v>
      </c>
      <c r="C1965" s="168">
        <v>14</v>
      </c>
      <c r="D1965" s="141">
        <f t="shared" si="66"/>
        <v>44210</v>
      </c>
      <c r="E1965" s="275">
        <f t="shared" si="67"/>
        <v>44210</v>
      </c>
      <c r="F1965" s="479" t="s">
        <v>964</v>
      </c>
      <c r="G1965" s="220" t="s">
        <v>74</v>
      </c>
      <c r="H1965" s="220" t="str" cm="1">
        <f t="array" ref="H1965">IFERROR(INDEX(INVESTOR_LIST[INVESTOR NAME],MATCH(I1965,INVESTOR_LIST[INVESTOR CODE],0),)," ")</f>
        <v>MD KAMRUL ISLAM</v>
      </c>
      <c r="I1965" s="142" t="s">
        <v>516</v>
      </c>
      <c r="J1965" s="143" t="s">
        <v>52</v>
      </c>
      <c r="K1965" s="226">
        <v>600000</v>
      </c>
      <c r="L1965" s="226"/>
      <c r="P1965" s="147"/>
      <c r="Q1965" s="133" t="s">
        <v>348</v>
      </c>
    </row>
    <row r="1966" spans="1:17" ht="33.75" x14ac:dyDescent="0.2">
      <c r="A1966" s="133">
        <v>2021</v>
      </c>
      <c r="B1966" s="133">
        <v>1</v>
      </c>
      <c r="C1966" s="133">
        <v>14</v>
      </c>
      <c r="D1966" s="141">
        <f t="shared" si="66"/>
        <v>44210</v>
      </c>
      <c r="E1966" s="275">
        <f t="shared" si="67"/>
        <v>44210</v>
      </c>
      <c r="F1966" s="481"/>
      <c r="G1966" s="174" t="s">
        <v>74</v>
      </c>
      <c r="H1966" s="174" t="str" cm="1">
        <f t="array" ref="H1966">IFERROR(INDEX(INVESTOR_LIST[INVESTOR NAME],MATCH(I1966,INVESTOR_LIST[INVESTOR CODE],0),)," ")</f>
        <v>MD KAMRUL ISLAM</v>
      </c>
      <c r="I1966" s="148" t="s">
        <v>516</v>
      </c>
      <c r="J1966" s="149" t="s">
        <v>13</v>
      </c>
      <c r="K1966" s="218"/>
      <c r="L1966" s="218">
        <v>486620</v>
      </c>
      <c r="P1966" s="147"/>
      <c r="Q1966" s="133" t="s">
        <v>348</v>
      </c>
    </row>
    <row r="1967" spans="1:17" ht="33.75" x14ac:dyDescent="0.2">
      <c r="A1967" s="163">
        <v>2021</v>
      </c>
      <c r="B1967" s="163">
        <v>1</v>
      </c>
      <c r="C1967" s="163">
        <v>14</v>
      </c>
      <c r="D1967" s="141">
        <f t="shared" si="66"/>
        <v>44210</v>
      </c>
      <c r="E1967" s="275">
        <f t="shared" si="67"/>
        <v>44210</v>
      </c>
      <c r="F1967" s="480"/>
      <c r="G1967" s="221" t="s">
        <v>74</v>
      </c>
      <c r="H1967" s="221" t="str" cm="1">
        <f t="array" ref="H1967">IFERROR(INDEX(INVESTOR_LIST[INVESTOR NAME],MATCH(I1967,INVESTOR_LIST[INVESTOR CODE],0),)," ")</f>
        <v>MD KAMRUL ISLAM</v>
      </c>
      <c r="I1967" s="145" t="s">
        <v>516</v>
      </c>
      <c r="J1967" s="146" t="s">
        <v>53</v>
      </c>
      <c r="K1967" s="219"/>
      <c r="L1967" s="219">
        <v>113380</v>
      </c>
      <c r="P1967" s="147"/>
      <c r="Q1967" s="133" t="s">
        <v>518</v>
      </c>
    </row>
    <row r="1968" spans="1:17" ht="45" x14ac:dyDescent="0.2">
      <c r="A1968" s="168">
        <v>2021</v>
      </c>
      <c r="B1968" s="168">
        <v>1</v>
      </c>
      <c r="C1968" s="168">
        <v>14</v>
      </c>
      <c r="D1968" s="141">
        <f t="shared" si="66"/>
        <v>44210</v>
      </c>
      <c r="E1968" s="275">
        <f t="shared" si="67"/>
        <v>44210</v>
      </c>
      <c r="F1968" s="479" t="s">
        <v>964</v>
      </c>
      <c r="G1968" s="220" t="s">
        <v>74</v>
      </c>
      <c r="H1968" s="220" t="str" cm="1">
        <f t="array" ref="H1968">IFERROR(INDEX(INVESTOR_LIST[INVESTOR NAME],MATCH(I1968,INVESTOR_LIST[INVESTOR CODE],0),)," ")</f>
        <v>MOHAMMAD MONJUR ALAM</v>
      </c>
      <c r="I1968" s="142" t="s">
        <v>431</v>
      </c>
      <c r="J1968" s="143" t="s">
        <v>52</v>
      </c>
      <c r="K1968" s="226">
        <v>200000</v>
      </c>
      <c r="L1968" s="226"/>
      <c r="N1968" s="156">
        <f>K2022/11.86</f>
        <v>67453.625632377749</v>
      </c>
      <c r="P1968" s="147"/>
      <c r="Q1968" s="133" t="s">
        <v>518</v>
      </c>
    </row>
    <row r="1969" spans="1:17" ht="45" x14ac:dyDescent="0.2">
      <c r="A1969" s="133">
        <v>2021</v>
      </c>
      <c r="B1969" s="133">
        <v>1</v>
      </c>
      <c r="C1969" s="133">
        <v>14</v>
      </c>
      <c r="D1969" s="141">
        <f t="shared" si="66"/>
        <v>44210</v>
      </c>
      <c r="E1969" s="275">
        <f t="shared" si="67"/>
        <v>44210</v>
      </c>
      <c r="F1969" s="481"/>
      <c r="G1969" s="174" t="s">
        <v>74</v>
      </c>
      <c r="H1969" s="174" t="str" cm="1">
        <f t="array" ref="H1969">IFERROR(INDEX(INVESTOR_LIST[INVESTOR NAME],MATCH(I1969,INVESTOR_LIST[INVESTOR CODE],0),)," ")</f>
        <v>MOHAMMAD MONJUR ALAM</v>
      </c>
      <c r="I1969" s="148" t="s">
        <v>431</v>
      </c>
      <c r="J1969" s="149" t="s">
        <v>13</v>
      </c>
      <c r="K1969" s="218"/>
      <c r="L1969" s="218">
        <v>162210</v>
      </c>
      <c r="P1969" s="147"/>
      <c r="Q1969" s="133" t="s">
        <v>518</v>
      </c>
    </row>
    <row r="1970" spans="1:17" ht="45" x14ac:dyDescent="0.2">
      <c r="A1970" s="163">
        <v>2021</v>
      </c>
      <c r="B1970" s="163">
        <v>1</v>
      </c>
      <c r="C1970" s="163">
        <v>14</v>
      </c>
      <c r="D1970" s="141">
        <f t="shared" si="66"/>
        <v>44210</v>
      </c>
      <c r="E1970" s="275">
        <f t="shared" si="67"/>
        <v>44210</v>
      </c>
      <c r="F1970" s="480"/>
      <c r="G1970" s="221" t="s">
        <v>74</v>
      </c>
      <c r="H1970" s="221" t="str" cm="1">
        <f t="array" ref="H1970">IFERROR(INDEX(INVESTOR_LIST[INVESTOR NAME],MATCH(I1970,INVESTOR_LIST[INVESTOR CODE],0),)," ")</f>
        <v>MOHAMMAD MONJUR ALAM</v>
      </c>
      <c r="I1970" s="145" t="s">
        <v>431</v>
      </c>
      <c r="J1970" s="146" t="s">
        <v>53</v>
      </c>
      <c r="K1970" s="219"/>
      <c r="L1970" s="219">
        <v>37790</v>
      </c>
      <c r="P1970" s="147"/>
      <c r="Q1970" s="133" t="s">
        <v>518</v>
      </c>
    </row>
    <row r="1971" spans="1:17" ht="33.75" x14ac:dyDescent="0.2">
      <c r="A1971" s="168">
        <v>2021</v>
      </c>
      <c r="B1971" s="168">
        <v>1</v>
      </c>
      <c r="C1971" s="168">
        <v>14</v>
      </c>
      <c r="D1971" s="141">
        <f t="shared" si="66"/>
        <v>44210</v>
      </c>
      <c r="E1971" s="275">
        <f t="shared" si="67"/>
        <v>44210</v>
      </c>
      <c r="F1971" s="479" t="s">
        <v>964</v>
      </c>
      <c r="G1971" s="220" t="s">
        <v>74</v>
      </c>
      <c r="H1971" s="220" t="str" cm="1">
        <f t="array" ref="H1971">IFERROR(INDEX(INVESTOR_LIST[INVESTOR NAME],MATCH(I1971,INVESTOR_LIST[INVESTOR CODE],0),)," ")</f>
        <v>ISTIAK AHMED PROBAL</v>
      </c>
      <c r="I1971" s="142" t="s">
        <v>497</v>
      </c>
      <c r="J1971" s="143" t="s">
        <v>52</v>
      </c>
      <c r="K1971" s="226">
        <v>300000</v>
      </c>
      <c r="L1971" s="226"/>
      <c r="N1971" s="156">
        <f>K2025/11.86</f>
        <v>84317.032040472186</v>
      </c>
      <c r="P1971" s="147"/>
      <c r="Q1971" s="133" t="s">
        <v>518</v>
      </c>
    </row>
    <row r="1972" spans="1:17" ht="33.75" x14ac:dyDescent="0.2">
      <c r="A1972" s="133">
        <v>2021</v>
      </c>
      <c r="B1972" s="133">
        <v>1</v>
      </c>
      <c r="C1972" s="133">
        <v>14</v>
      </c>
      <c r="D1972" s="141">
        <f t="shared" si="66"/>
        <v>44210</v>
      </c>
      <c r="E1972" s="275">
        <f t="shared" si="67"/>
        <v>44210</v>
      </c>
      <c r="F1972" s="481"/>
      <c r="G1972" s="174" t="s">
        <v>74</v>
      </c>
      <c r="H1972" s="174" t="str" cm="1">
        <f t="array" ref="H1972">IFERROR(INDEX(INVESTOR_LIST[INVESTOR NAME],MATCH(I1972,INVESTOR_LIST[INVESTOR CODE],0),)," ")</f>
        <v>ISTIAK AHMED PROBAL</v>
      </c>
      <c r="I1972" s="148" t="s">
        <v>497</v>
      </c>
      <c r="J1972" s="149" t="s">
        <v>13</v>
      </c>
      <c r="K1972" s="218"/>
      <c r="L1972" s="218">
        <v>243310</v>
      </c>
      <c r="P1972" s="147"/>
      <c r="Q1972" s="133" t="s">
        <v>518</v>
      </c>
    </row>
    <row r="1973" spans="1:17" ht="33.75" x14ac:dyDescent="0.2">
      <c r="A1973" s="163">
        <v>2021</v>
      </c>
      <c r="B1973" s="163">
        <v>1</v>
      </c>
      <c r="C1973" s="163">
        <v>14</v>
      </c>
      <c r="D1973" s="141">
        <f t="shared" si="66"/>
        <v>44210</v>
      </c>
      <c r="E1973" s="275">
        <f t="shared" si="67"/>
        <v>44210</v>
      </c>
      <c r="F1973" s="480"/>
      <c r="G1973" s="221" t="s">
        <v>74</v>
      </c>
      <c r="H1973" s="221" t="str" cm="1">
        <f t="array" ref="H1973">IFERROR(INDEX(INVESTOR_LIST[INVESTOR NAME],MATCH(I1973,INVESTOR_LIST[INVESTOR CODE],0),)," ")</f>
        <v>ISTIAK AHMED PROBAL</v>
      </c>
      <c r="I1973" s="145" t="s">
        <v>497</v>
      </c>
      <c r="J1973" s="146" t="s">
        <v>53</v>
      </c>
      <c r="K1973" s="219"/>
      <c r="L1973" s="219">
        <v>56690</v>
      </c>
      <c r="P1973" s="147"/>
      <c r="Q1973" s="133" t="s">
        <v>348</v>
      </c>
    </row>
    <row r="1974" spans="1:17" ht="33.75" x14ac:dyDescent="0.2">
      <c r="A1974" s="168">
        <v>2021</v>
      </c>
      <c r="B1974" s="168">
        <v>1</v>
      </c>
      <c r="C1974" s="168">
        <v>14</v>
      </c>
      <c r="D1974" s="141">
        <f t="shared" si="66"/>
        <v>44210</v>
      </c>
      <c r="E1974" s="275">
        <f t="shared" si="67"/>
        <v>44210</v>
      </c>
      <c r="F1974" s="479" t="s">
        <v>964</v>
      </c>
      <c r="G1974" s="220" t="s">
        <v>74</v>
      </c>
      <c r="H1974" s="220" t="str" cm="1">
        <f t="array" ref="H1974">IFERROR(INDEX(INVESTOR_LIST[INVESTOR NAME],MATCH(I1974,INVESTOR_LIST[INVESTOR CODE],0),)," ")</f>
        <v>FAKARUDDIN ALI AHMED</v>
      </c>
      <c r="I1974" s="142" t="s">
        <v>458</v>
      </c>
      <c r="J1974" s="143" t="s">
        <v>52</v>
      </c>
      <c r="K1974" s="226">
        <v>475000</v>
      </c>
      <c r="L1974" s="226"/>
      <c r="N1974" s="156">
        <f>K2037/13.8</f>
        <v>10869.565217391304</v>
      </c>
      <c r="P1974" s="147"/>
      <c r="Q1974" s="133" t="s">
        <v>348</v>
      </c>
    </row>
    <row r="1975" spans="1:17" ht="33.75" x14ac:dyDescent="0.2">
      <c r="A1975" s="133">
        <v>2021</v>
      </c>
      <c r="B1975" s="133">
        <v>1</v>
      </c>
      <c r="C1975" s="133">
        <v>14</v>
      </c>
      <c r="D1975" s="141">
        <f t="shared" si="66"/>
        <v>44210</v>
      </c>
      <c r="E1975" s="275">
        <f t="shared" si="67"/>
        <v>44210</v>
      </c>
      <c r="F1975" s="481"/>
      <c r="G1975" s="174" t="s">
        <v>74</v>
      </c>
      <c r="H1975" s="174" t="str" cm="1">
        <f t="array" ref="H1975">IFERROR(INDEX(INVESTOR_LIST[INVESTOR NAME],MATCH(I1975,INVESTOR_LIST[INVESTOR CODE],0),)," ")</f>
        <v>FAKARUDDIN ALI AHMED</v>
      </c>
      <c r="I1975" s="148" t="s">
        <v>458</v>
      </c>
      <c r="J1975" s="149" t="s">
        <v>13</v>
      </c>
      <c r="K1975" s="218"/>
      <c r="L1975" s="218">
        <v>385240</v>
      </c>
      <c r="P1975" s="147"/>
      <c r="Q1975" s="133" t="s">
        <v>348</v>
      </c>
    </row>
    <row r="1976" spans="1:17" ht="33.75" x14ac:dyDescent="0.2">
      <c r="A1976" s="163">
        <v>2021</v>
      </c>
      <c r="B1976" s="163">
        <v>1</v>
      </c>
      <c r="C1976" s="163">
        <v>14</v>
      </c>
      <c r="D1976" s="141">
        <f t="shared" si="66"/>
        <v>44210</v>
      </c>
      <c r="E1976" s="275">
        <f t="shared" si="67"/>
        <v>44210</v>
      </c>
      <c r="F1976" s="480"/>
      <c r="G1976" s="221" t="s">
        <v>74</v>
      </c>
      <c r="H1976" s="221" t="str" cm="1">
        <f t="array" ref="H1976">IFERROR(INDEX(INVESTOR_LIST[INVESTOR NAME],MATCH(I1976,INVESTOR_LIST[INVESTOR CODE],0),)," ")</f>
        <v>FAKARUDDIN ALI AHMED</v>
      </c>
      <c r="I1976" s="145" t="s">
        <v>458</v>
      </c>
      <c r="J1976" s="146" t="s">
        <v>53</v>
      </c>
      <c r="K1976" s="219"/>
      <c r="L1976" s="219">
        <v>89760</v>
      </c>
      <c r="P1976" s="147"/>
      <c r="Q1976" s="133" t="s">
        <v>348</v>
      </c>
    </row>
    <row r="1977" spans="1:17" x14ac:dyDescent="0.2">
      <c r="A1977" s="168">
        <v>2021</v>
      </c>
      <c r="B1977" s="168">
        <v>1</v>
      </c>
      <c r="C1977" s="168">
        <v>14</v>
      </c>
      <c r="D1977" s="141">
        <f t="shared" si="66"/>
        <v>44210</v>
      </c>
      <c r="E1977" s="275">
        <f t="shared" si="67"/>
        <v>44210</v>
      </c>
      <c r="F1977" s="479" t="s">
        <v>77</v>
      </c>
      <c r="G1977" s="220" t="s">
        <v>74</v>
      </c>
      <c r="H1977" s="220" t="str" cm="1">
        <f t="array" ref="H1977">IFERROR(INDEX(INVESTOR_LIST[INVESTOR NAME],MATCH(I1977,INVESTOR_LIST[INVESTOR CODE],0),)," ")</f>
        <v xml:space="preserve"> </v>
      </c>
      <c r="I1977" s="142" t="s">
        <v>348</v>
      </c>
      <c r="J1977" s="143" t="s">
        <v>61</v>
      </c>
      <c r="K1977" s="226">
        <v>60</v>
      </c>
      <c r="L1977" s="226"/>
      <c r="P1977" s="147"/>
      <c r="Q1977" s="133" t="s">
        <v>348</v>
      </c>
    </row>
    <row r="1978" spans="1:17" x14ac:dyDescent="0.2">
      <c r="A1978" s="163">
        <v>2021</v>
      </c>
      <c r="B1978" s="163">
        <v>1</v>
      </c>
      <c r="C1978" s="163">
        <v>14</v>
      </c>
      <c r="D1978" s="141">
        <f t="shared" si="66"/>
        <v>44210</v>
      </c>
      <c r="E1978" s="275">
        <f t="shared" si="67"/>
        <v>44210</v>
      </c>
      <c r="F1978" s="480"/>
      <c r="G1978" s="221" t="s">
        <v>74</v>
      </c>
      <c r="H1978" s="221" t="str" cm="1">
        <f t="array" ref="H1978">IFERROR(INDEX(INVESTOR_LIST[INVESTOR NAME],MATCH(I1978,INVESTOR_LIST[INVESTOR CODE],0),)," ")</f>
        <v xml:space="preserve"> </v>
      </c>
      <c r="I1978" s="145" t="s">
        <v>348</v>
      </c>
      <c r="J1978" s="146" t="s">
        <v>52</v>
      </c>
      <c r="K1978" s="219"/>
      <c r="L1978" s="219">
        <v>60</v>
      </c>
      <c r="P1978" s="147"/>
      <c r="Q1978" s="133" t="s">
        <v>348</v>
      </c>
    </row>
    <row r="1979" spans="1:17" x14ac:dyDescent="0.2">
      <c r="A1979" s="168">
        <v>2021</v>
      </c>
      <c r="B1979" s="168">
        <v>1</v>
      </c>
      <c r="C1979" s="168">
        <v>14</v>
      </c>
      <c r="D1979" s="141">
        <f t="shared" si="66"/>
        <v>44210</v>
      </c>
      <c r="E1979" s="275">
        <f t="shared" si="67"/>
        <v>44210</v>
      </c>
      <c r="F1979" s="479" t="s">
        <v>77</v>
      </c>
      <c r="G1979" s="220" t="s">
        <v>74</v>
      </c>
      <c r="H1979" s="220" t="str" cm="1">
        <f t="array" ref="H1979">IFERROR(INDEX(INVESTOR_LIST[INVESTOR NAME],MATCH(I1979,INVESTOR_LIST[INVESTOR CODE],0),)," ")</f>
        <v xml:space="preserve"> </v>
      </c>
      <c r="I1979" s="142" t="s">
        <v>348</v>
      </c>
      <c r="J1979" s="143" t="s">
        <v>61</v>
      </c>
      <c r="K1979" s="226">
        <v>60</v>
      </c>
      <c r="L1979" s="226"/>
      <c r="P1979" s="147"/>
      <c r="Q1979" s="133" t="s">
        <v>348</v>
      </c>
    </row>
    <row r="1980" spans="1:17" x14ac:dyDescent="0.2">
      <c r="A1980" s="163">
        <v>2021</v>
      </c>
      <c r="B1980" s="163">
        <v>1</v>
      </c>
      <c r="C1980" s="163">
        <v>14</v>
      </c>
      <c r="D1980" s="141">
        <f t="shared" si="66"/>
        <v>44210</v>
      </c>
      <c r="E1980" s="275">
        <f t="shared" si="67"/>
        <v>44210</v>
      </c>
      <c r="F1980" s="480"/>
      <c r="G1980" s="221" t="s">
        <v>74</v>
      </c>
      <c r="H1980" s="221" t="str" cm="1">
        <f t="array" ref="H1980">IFERROR(INDEX(INVESTOR_LIST[INVESTOR NAME],MATCH(I1980,INVESTOR_LIST[INVESTOR CODE],0),)," ")</f>
        <v xml:space="preserve"> </v>
      </c>
      <c r="I1980" s="145" t="s">
        <v>348</v>
      </c>
      <c r="J1980" s="146" t="s">
        <v>52</v>
      </c>
      <c r="K1980" s="219"/>
      <c r="L1980" s="219">
        <v>60</v>
      </c>
      <c r="N1980" s="156">
        <f>K2034/13</f>
        <v>2076.9230769230771</v>
      </c>
      <c r="P1980" s="147"/>
      <c r="Q1980" s="133" t="s">
        <v>348</v>
      </c>
    </row>
    <row r="1981" spans="1:17" x14ac:dyDescent="0.2">
      <c r="A1981" s="168">
        <v>2021</v>
      </c>
      <c r="B1981" s="168">
        <v>1</v>
      </c>
      <c r="C1981" s="168">
        <v>14</v>
      </c>
      <c r="D1981" s="141">
        <f t="shared" si="66"/>
        <v>44210</v>
      </c>
      <c r="E1981" s="275">
        <f t="shared" si="67"/>
        <v>44210</v>
      </c>
      <c r="F1981" s="479" t="s">
        <v>77</v>
      </c>
      <c r="G1981" s="220" t="s">
        <v>74</v>
      </c>
      <c r="H1981" s="220" t="str" cm="1">
        <f t="array" ref="H1981">IFERROR(INDEX(INVESTOR_LIST[INVESTOR NAME],MATCH(I1981,INVESTOR_LIST[INVESTOR CODE],0),)," ")</f>
        <v xml:space="preserve"> </v>
      </c>
      <c r="I1981" s="142" t="s">
        <v>348</v>
      </c>
      <c r="J1981" s="143" t="s">
        <v>61</v>
      </c>
      <c r="K1981" s="226">
        <v>10</v>
      </c>
      <c r="L1981" s="226"/>
      <c r="P1981" s="147"/>
      <c r="Q1981" s="133" t="s">
        <v>348</v>
      </c>
    </row>
    <row r="1982" spans="1:17" x14ac:dyDescent="0.2">
      <c r="A1982" s="163">
        <v>2021</v>
      </c>
      <c r="B1982" s="163">
        <v>1</v>
      </c>
      <c r="C1982" s="163">
        <v>14</v>
      </c>
      <c r="D1982" s="141">
        <f t="shared" si="66"/>
        <v>44210</v>
      </c>
      <c r="E1982" s="275">
        <f t="shared" si="67"/>
        <v>44210</v>
      </c>
      <c r="F1982" s="480"/>
      <c r="G1982" s="221" t="s">
        <v>74</v>
      </c>
      <c r="H1982" s="221" t="str" cm="1">
        <f t="array" ref="H1982">IFERROR(INDEX(INVESTOR_LIST[INVESTOR NAME],MATCH(I1982,INVESTOR_LIST[INVESTOR CODE],0),)," ")</f>
        <v xml:space="preserve"> </v>
      </c>
      <c r="I1982" s="145" t="s">
        <v>348</v>
      </c>
      <c r="J1982" s="146" t="s">
        <v>52</v>
      </c>
      <c r="K1982" s="219"/>
      <c r="L1982" s="219">
        <v>10</v>
      </c>
      <c r="N1982" s="156"/>
      <c r="P1982" s="147"/>
      <c r="Q1982" s="133" t="s">
        <v>519</v>
      </c>
    </row>
    <row r="1983" spans="1:17" x14ac:dyDescent="0.2">
      <c r="A1983" s="168">
        <v>2021</v>
      </c>
      <c r="B1983" s="168">
        <v>1</v>
      </c>
      <c r="C1983" s="168">
        <v>14</v>
      </c>
      <c r="D1983" s="141">
        <f t="shared" si="66"/>
        <v>44210</v>
      </c>
      <c r="E1983" s="275">
        <f t="shared" si="67"/>
        <v>44210</v>
      </c>
      <c r="F1983" s="479" t="s">
        <v>77</v>
      </c>
      <c r="G1983" s="220" t="s">
        <v>74</v>
      </c>
      <c r="H1983" s="220" t="str" cm="1">
        <f t="array" ref="H1983">IFERROR(INDEX(INVESTOR_LIST[INVESTOR NAME],MATCH(I1983,INVESTOR_LIST[INVESTOR CODE],0),)," ")</f>
        <v xml:space="preserve"> </v>
      </c>
      <c r="I1983" s="142" t="s">
        <v>348</v>
      </c>
      <c r="J1983" s="143" t="s">
        <v>61</v>
      </c>
      <c r="K1983" s="226">
        <v>10</v>
      </c>
      <c r="L1983" s="226"/>
      <c r="N1983" s="156">
        <f>K2037/13</f>
        <v>11538.461538461539</v>
      </c>
      <c r="P1983" s="147"/>
      <c r="Q1983" s="133" t="s">
        <v>519</v>
      </c>
    </row>
    <row r="1984" spans="1:17" x14ac:dyDescent="0.2">
      <c r="A1984" s="163">
        <v>2021</v>
      </c>
      <c r="B1984" s="163">
        <v>1</v>
      </c>
      <c r="C1984" s="163">
        <v>14</v>
      </c>
      <c r="D1984" s="141">
        <f t="shared" si="66"/>
        <v>44210</v>
      </c>
      <c r="E1984" s="275">
        <f t="shared" si="67"/>
        <v>44210</v>
      </c>
      <c r="F1984" s="480"/>
      <c r="G1984" s="221" t="s">
        <v>74</v>
      </c>
      <c r="H1984" s="221" t="str" cm="1">
        <f t="array" ref="H1984">IFERROR(INDEX(INVESTOR_LIST[INVESTOR NAME],MATCH(I1984,INVESTOR_LIST[INVESTOR CODE],0),)," ")</f>
        <v xml:space="preserve"> </v>
      </c>
      <c r="I1984" s="145" t="s">
        <v>348</v>
      </c>
      <c r="J1984" s="146" t="s">
        <v>52</v>
      </c>
      <c r="K1984" s="219"/>
      <c r="L1984" s="219">
        <v>10</v>
      </c>
      <c r="P1984" s="147"/>
      <c r="Q1984" s="133" t="s">
        <v>519</v>
      </c>
    </row>
    <row r="1985" spans="1:17" x14ac:dyDescent="0.2">
      <c r="A1985" s="168">
        <v>2021</v>
      </c>
      <c r="B1985" s="168">
        <v>1</v>
      </c>
      <c r="C1985" s="168">
        <v>14</v>
      </c>
      <c r="D1985" s="141">
        <f t="shared" si="66"/>
        <v>44210</v>
      </c>
      <c r="E1985" s="275">
        <f t="shared" si="67"/>
        <v>44210</v>
      </c>
      <c r="F1985" s="479" t="s">
        <v>77</v>
      </c>
      <c r="G1985" s="220" t="s">
        <v>74</v>
      </c>
      <c r="H1985" s="220" t="str" cm="1">
        <f t="array" ref="H1985">IFERROR(INDEX(INVESTOR_LIST[INVESTOR NAME],MATCH(I1985,INVESTOR_LIST[INVESTOR CODE],0),)," ")</f>
        <v xml:space="preserve"> </v>
      </c>
      <c r="I1985" s="142" t="s">
        <v>348</v>
      </c>
      <c r="J1985" s="143" t="s">
        <v>61</v>
      </c>
      <c r="K1985" s="226">
        <v>288</v>
      </c>
      <c r="L1985" s="226"/>
      <c r="P1985" s="147"/>
      <c r="Q1985" s="133" t="s">
        <v>475</v>
      </c>
    </row>
    <row r="1986" spans="1:17" x14ac:dyDescent="0.2">
      <c r="A1986" s="163">
        <v>2021</v>
      </c>
      <c r="B1986" s="163">
        <v>1</v>
      </c>
      <c r="C1986" s="163">
        <v>14</v>
      </c>
      <c r="D1986" s="141">
        <f t="shared" si="66"/>
        <v>44210</v>
      </c>
      <c r="E1986" s="275">
        <f t="shared" si="67"/>
        <v>44210</v>
      </c>
      <c r="F1986" s="480"/>
      <c r="G1986" s="221" t="s">
        <v>74</v>
      </c>
      <c r="H1986" s="221" t="str" cm="1">
        <f t="array" ref="H1986">IFERROR(INDEX(INVESTOR_LIST[INVESTOR NAME],MATCH(I1986,INVESTOR_LIST[INVESTOR CODE],0),)," ")</f>
        <v xml:space="preserve"> </v>
      </c>
      <c r="I1986" s="145" t="s">
        <v>348</v>
      </c>
      <c r="J1986" s="146" t="s">
        <v>52</v>
      </c>
      <c r="K1986" s="219"/>
      <c r="L1986" s="219">
        <v>288</v>
      </c>
      <c r="P1986" s="147"/>
      <c r="Q1986" s="133" t="s">
        <v>475</v>
      </c>
    </row>
    <row r="1987" spans="1:17" x14ac:dyDescent="0.2">
      <c r="A1987" s="168">
        <v>2021</v>
      </c>
      <c r="B1987" s="168">
        <v>1</v>
      </c>
      <c r="C1987" s="168">
        <v>14</v>
      </c>
      <c r="D1987" s="141">
        <f t="shared" si="66"/>
        <v>44210</v>
      </c>
      <c r="E1987" s="275">
        <f t="shared" si="67"/>
        <v>44210</v>
      </c>
      <c r="F1987" s="479" t="s">
        <v>77</v>
      </c>
      <c r="G1987" s="220" t="s">
        <v>74</v>
      </c>
      <c r="H1987" s="220" t="str" cm="1">
        <f t="array" ref="H1987">IFERROR(INDEX(INVESTOR_LIST[INVESTOR NAME],MATCH(I1987,INVESTOR_LIST[INVESTOR CODE],0),)," ")</f>
        <v xml:space="preserve"> </v>
      </c>
      <c r="I1987" s="142" t="s">
        <v>348</v>
      </c>
      <c r="J1987" s="143" t="s">
        <v>61</v>
      </c>
      <c r="K1987" s="226">
        <v>288</v>
      </c>
      <c r="L1987" s="226"/>
      <c r="N1987" s="160"/>
      <c r="P1987" s="147"/>
      <c r="Q1987" s="133" t="s">
        <v>475</v>
      </c>
    </row>
    <row r="1988" spans="1:17" x14ac:dyDescent="0.2">
      <c r="A1988" s="163">
        <v>2021</v>
      </c>
      <c r="B1988" s="163">
        <v>1</v>
      </c>
      <c r="C1988" s="163">
        <v>14</v>
      </c>
      <c r="D1988" s="141">
        <f t="shared" si="66"/>
        <v>44210</v>
      </c>
      <c r="E1988" s="275">
        <f t="shared" si="67"/>
        <v>44210</v>
      </c>
      <c r="F1988" s="480"/>
      <c r="G1988" s="221" t="s">
        <v>74</v>
      </c>
      <c r="H1988" s="221" t="str" cm="1">
        <f t="array" ref="H1988">IFERROR(INDEX(INVESTOR_LIST[INVESTOR NAME],MATCH(I1988,INVESTOR_LIST[INVESTOR CODE],0),)," ")</f>
        <v xml:space="preserve"> </v>
      </c>
      <c r="I1988" s="145" t="s">
        <v>348</v>
      </c>
      <c r="J1988" s="146" t="s">
        <v>52</v>
      </c>
      <c r="K1988" s="219"/>
      <c r="L1988" s="219">
        <v>288</v>
      </c>
      <c r="N1988" s="156">
        <f>L2045/13</f>
        <v>9342.6153846153848</v>
      </c>
      <c r="O1988" s="160">
        <f>L2045/13</f>
        <v>9342.6153846153848</v>
      </c>
      <c r="P1988" s="147"/>
      <c r="Q1988" s="133" t="s">
        <v>499</v>
      </c>
    </row>
    <row r="1989" spans="1:17" x14ac:dyDescent="0.2">
      <c r="A1989" s="238">
        <v>2021</v>
      </c>
      <c r="B1989" s="238">
        <v>1</v>
      </c>
      <c r="C1989" s="238">
        <v>14</v>
      </c>
      <c r="D1989" s="270">
        <f t="shared" si="66"/>
        <v>44210</v>
      </c>
      <c r="E1989" s="279">
        <f t="shared" si="67"/>
        <v>44210</v>
      </c>
      <c r="F1989" s="477" t="s">
        <v>347</v>
      </c>
      <c r="G1989" s="239" t="s">
        <v>94</v>
      </c>
      <c r="H1989" s="239" t="str" cm="1">
        <f t="array" ref="H1989">IFERROR(INDEX(INVESTOR_LIST[INVESTOR NAME],MATCH(I1989,INVESTOR_LIST[INVESTOR CODE],0),)," ")</f>
        <v xml:space="preserve"> </v>
      </c>
      <c r="I1989" s="262" t="s">
        <v>348</v>
      </c>
      <c r="J1989" s="240" t="s">
        <v>108</v>
      </c>
      <c r="K1989" s="241">
        <v>9824494.8800000008</v>
      </c>
      <c r="L1989" s="241"/>
      <c r="N1989" s="160"/>
      <c r="P1989" s="147"/>
      <c r="Q1989" s="133" t="s">
        <v>499</v>
      </c>
    </row>
    <row r="1990" spans="1:17" x14ac:dyDescent="0.2">
      <c r="A1990" s="242">
        <v>2021</v>
      </c>
      <c r="B1990" s="242">
        <v>1</v>
      </c>
      <c r="C1990" s="242">
        <v>14</v>
      </c>
      <c r="D1990" s="270">
        <f t="shared" si="66"/>
        <v>44210</v>
      </c>
      <c r="E1990" s="279">
        <f t="shared" si="67"/>
        <v>44210</v>
      </c>
      <c r="F1990" s="478"/>
      <c r="G1990" s="243" t="s">
        <v>94</v>
      </c>
      <c r="H1990" s="243" t="str" cm="1">
        <f t="array" ref="H1990">IFERROR(INDEX(INVESTOR_LIST[INVESTOR NAME],MATCH(I1990,INVESTOR_LIST[INVESTOR CODE],0),)," ")</f>
        <v xml:space="preserve"> </v>
      </c>
      <c r="I1990" s="263" t="s">
        <v>348</v>
      </c>
      <c r="J1990" s="244" t="s">
        <v>82</v>
      </c>
      <c r="K1990" s="245"/>
      <c r="L1990" s="245">
        <v>9824494.8800000008</v>
      </c>
      <c r="P1990" s="147"/>
      <c r="Q1990" s="133" t="s">
        <v>499</v>
      </c>
    </row>
    <row r="1991" spans="1:17" ht="22.5" x14ac:dyDescent="0.2">
      <c r="A1991" s="246">
        <v>2021</v>
      </c>
      <c r="B1991" s="246">
        <v>1</v>
      </c>
      <c r="C1991" s="246">
        <v>14</v>
      </c>
      <c r="D1991" s="270">
        <f t="shared" si="66"/>
        <v>44210</v>
      </c>
      <c r="E1991" s="279">
        <f t="shared" si="67"/>
        <v>44210</v>
      </c>
      <c r="F1991" s="482" t="s">
        <v>148</v>
      </c>
      <c r="G1991" s="247" t="s">
        <v>94</v>
      </c>
      <c r="H1991" s="247" t="str" cm="1">
        <f t="array" ref="H1991">IFERROR(INDEX(INVESTOR_LIST[INVESTOR NAME],MATCH(I1991,INVESTOR_LIST[INVESTOR CODE],0),)," ")</f>
        <v xml:space="preserve"> </v>
      </c>
      <c r="I1991" s="248" t="s">
        <v>348</v>
      </c>
      <c r="J1991" s="249" t="s">
        <v>95</v>
      </c>
      <c r="K1991" s="250">
        <v>2747.2527472527472</v>
      </c>
      <c r="L1991" s="241"/>
      <c r="M1991" s="133">
        <v>2747.2527472527472</v>
      </c>
      <c r="P1991" s="147"/>
      <c r="Q1991" s="133" t="s">
        <v>482</v>
      </c>
    </row>
    <row r="1992" spans="1:17" x14ac:dyDescent="0.2">
      <c r="A1992" s="242">
        <v>2021</v>
      </c>
      <c r="B1992" s="242">
        <v>1</v>
      </c>
      <c r="C1992" s="242">
        <v>14</v>
      </c>
      <c r="D1992" s="270">
        <f t="shared" si="66"/>
        <v>44210</v>
      </c>
      <c r="E1992" s="279">
        <f t="shared" si="67"/>
        <v>44210</v>
      </c>
      <c r="F1992" s="478"/>
      <c r="G1992" s="243" t="s">
        <v>94</v>
      </c>
      <c r="H1992" s="243" t="str" cm="1">
        <f t="array" ref="H1992">IFERROR(INDEX(INVESTOR_LIST[INVESTOR NAME],MATCH(I1992,INVESTOR_LIST[INVESTOR CODE],0),)," ")</f>
        <v xml:space="preserve"> </v>
      </c>
      <c r="I1992" s="263" t="s">
        <v>348</v>
      </c>
      <c r="J1992" s="244" t="s">
        <v>63</v>
      </c>
      <c r="K1992" s="245"/>
      <c r="L1992" s="245">
        <v>2747.2527472527472</v>
      </c>
      <c r="M1992" s="133">
        <v>78516.209074227736</v>
      </c>
      <c r="N1992" s="156">
        <f>K2046/13</f>
        <v>8230.7692307692305</v>
      </c>
      <c r="P1992" s="147"/>
      <c r="Q1992" s="133" t="s">
        <v>482</v>
      </c>
    </row>
    <row r="1993" spans="1:17" x14ac:dyDescent="0.2">
      <c r="A1993" s="246">
        <v>2021</v>
      </c>
      <c r="B1993" s="246">
        <v>1</v>
      </c>
      <c r="C1993" s="246">
        <v>14</v>
      </c>
      <c r="D1993" s="270">
        <f t="shared" si="66"/>
        <v>44210</v>
      </c>
      <c r="E1993" s="279">
        <f t="shared" si="67"/>
        <v>44210</v>
      </c>
      <c r="F1993" s="482" t="s">
        <v>137</v>
      </c>
      <c r="G1993" s="247" t="s">
        <v>94</v>
      </c>
      <c r="H1993" s="247" t="str" cm="1">
        <f t="array" ref="H1993">IFERROR(INDEX(INVESTOR_LIST[INVESTOR NAME],MATCH(I1993,INVESTOR_LIST[INVESTOR CODE],0),)," ")</f>
        <v xml:space="preserve"> </v>
      </c>
      <c r="I1993" s="248" t="s">
        <v>348</v>
      </c>
      <c r="J1993" s="249" t="s">
        <v>97</v>
      </c>
      <c r="K1993" s="250">
        <v>78516.209074227736</v>
      </c>
      <c r="L1993" s="252"/>
      <c r="M1993" s="133">
        <v>3685.4258383267716</v>
      </c>
      <c r="P1993" s="147"/>
      <c r="Q1993" s="133" t="s">
        <v>482</v>
      </c>
    </row>
    <row r="1994" spans="1:17" x14ac:dyDescent="0.2">
      <c r="A1994" s="242">
        <v>2021</v>
      </c>
      <c r="B1994" s="242">
        <v>1</v>
      </c>
      <c r="C1994" s="242">
        <v>14</v>
      </c>
      <c r="D1994" s="270">
        <f t="shared" si="66"/>
        <v>44210</v>
      </c>
      <c r="E1994" s="279">
        <f t="shared" si="67"/>
        <v>44210</v>
      </c>
      <c r="F1994" s="478"/>
      <c r="G1994" s="243" t="s">
        <v>94</v>
      </c>
      <c r="H1994" s="243" t="str" cm="1">
        <f t="array" ref="H1994">IFERROR(INDEX(INVESTOR_LIST[INVESTOR NAME],MATCH(I1994,INVESTOR_LIST[INVESTOR CODE],0),)," ")</f>
        <v xml:space="preserve"> </v>
      </c>
      <c r="I1994" s="263" t="s">
        <v>348</v>
      </c>
      <c r="J1994" s="244" t="s">
        <v>47</v>
      </c>
      <c r="K1994" s="245"/>
      <c r="L1994" s="245">
        <v>78516.209074227736</v>
      </c>
      <c r="N1994" s="156">
        <f>L2051/13</f>
        <v>81445.476923076916</v>
      </c>
      <c r="Q1994" s="133" t="s">
        <v>384</v>
      </c>
    </row>
    <row r="1995" spans="1:17" x14ac:dyDescent="0.2">
      <c r="A1995" s="246">
        <v>2021</v>
      </c>
      <c r="B1995" s="246">
        <v>1</v>
      </c>
      <c r="C1995" s="246">
        <v>14</v>
      </c>
      <c r="D1995" s="270">
        <f t="shared" si="66"/>
        <v>44210</v>
      </c>
      <c r="E1995" s="279">
        <f t="shared" si="67"/>
        <v>44210</v>
      </c>
      <c r="F1995" s="482" t="s">
        <v>138</v>
      </c>
      <c r="G1995" s="247" t="s">
        <v>94</v>
      </c>
      <c r="H1995" s="247" t="str" cm="1">
        <f t="array" ref="H1995">IFERROR(INDEX(INVESTOR_LIST[INVESTOR NAME],MATCH(I1995,INVESTOR_LIST[INVESTOR CODE],0),)," ")</f>
        <v xml:space="preserve"> </v>
      </c>
      <c r="I1995" s="248" t="s">
        <v>348</v>
      </c>
      <c r="J1995" s="249" t="s">
        <v>100</v>
      </c>
      <c r="K1995" s="250">
        <v>3685.4258383267716</v>
      </c>
      <c r="L1995" s="252"/>
      <c r="Q1995" s="133" t="s">
        <v>384</v>
      </c>
    </row>
    <row r="1996" spans="1:17" x14ac:dyDescent="0.2">
      <c r="A1996" s="242">
        <v>2021</v>
      </c>
      <c r="B1996" s="242">
        <v>1</v>
      </c>
      <c r="C1996" s="242">
        <v>14</v>
      </c>
      <c r="D1996" s="270">
        <f t="shared" si="66"/>
        <v>44210</v>
      </c>
      <c r="E1996" s="279">
        <f t="shared" si="67"/>
        <v>44210</v>
      </c>
      <c r="F1996" s="478"/>
      <c r="G1996" s="243" t="s">
        <v>94</v>
      </c>
      <c r="H1996" s="243" t="str" cm="1">
        <f t="array" ref="H1996">IFERROR(INDEX(INVESTOR_LIST[INVESTOR NAME],MATCH(I1996,INVESTOR_LIST[INVESTOR CODE],0),)," ")</f>
        <v xml:space="preserve"> </v>
      </c>
      <c r="I1996" s="263" t="s">
        <v>348</v>
      </c>
      <c r="J1996" s="244" t="s">
        <v>48</v>
      </c>
      <c r="K1996" s="245"/>
      <c r="L1996" s="245">
        <v>3685.4258383267716</v>
      </c>
      <c r="Q1996" s="133" t="s">
        <v>384</v>
      </c>
    </row>
    <row r="1997" spans="1:17" ht="22.5" x14ac:dyDescent="0.2">
      <c r="A1997" s="168">
        <v>2021</v>
      </c>
      <c r="B1997" s="168">
        <v>1</v>
      </c>
      <c r="C1997" s="168">
        <v>17</v>
      </c>
      <c r="D1997" s="141">
        <f t="shared" ref="D1997:D2060" si="68">DATE(A1997,B1997,C1997)</f>
        <v>44213</v>
      </c>
      <c r="E1997" s="275">
        <f t="shared" si="67"/>
        <v>44213</v>
      </c>
      <c r="F1997" s="479" t="s">
        <v>967</v>
      </c>
      <c r="G1997" s="220" t="s">
        <v>74</v>
      </c>
      <c r="H1997" s="220" t="str" cm="1">
        <f t="array" ref="H1997">IFERROR(INDEX(INVESTOR_LIST[INVESTOR NAME],MATCH(I1997,INVESTOR_LIST[INVESTOR CODE],0),)," ")</f>
        <v>NARGISH JAHAN</v>
      </c>
      <c r="I1997" s="142" t="s">
        <v>457</v>
      </c>
      <c r="J1997" s="143" t="s">
        <v>13</v>
      </c>
      <c r="K1997" s="226">
        <v>411870</v>
      </c>
      <c r="L1997" s="226"/>
      <c r="M1997" s="147"/>
      <c r="Q1997" s="133" t="s">
        <v>520</v>
      </c>
    </row>
    <row r="1998" spans="1:17" ht="22.5" x14ac:dyDescent="0.2">
      <c r="A1998" s="133">
        <v>2021</v>
      </c>
      <c r="B1998" s="133">
        <v>1</v>
      </c>
      <c r="C1998" s="133">
        <v>17</v>
      </c>
      <c r="D1998" s="141">
        <f t="shared" si="68"/>
        <v>44213</v>
      </c>
      <c r="E1998" s="275">
        <f t="shared" ref="E1998:E2061" si="69">DATE(A1998,B1998,C1998)</f>
        <v>44213</v>
      </c>
      <c r="F1998" s="481"/>
      <c r="G1998" s="174" t="s">
        <v>74</v>
      </c>
      <c r="H1998" s="174" t="str" cm="1">
        <f t="array" ref="H1998">IFERROR(INDEX(INVESTOR_LIST[INVESTOR NAME],MATCH(I1998,INVESTOR_LIST[INVESTOR CODE],0),)," ")</f>
        <v>NARGISH JAHAN</v>
      </c>
      <c r="I1998" s="148" t="s">
        <v>457</v>
      </c>
      <c r="J1998" s="149" t="s">
        <v>53</v>
      </c>
      <c r="K1998" s="218">
        <v>128916.23999999999</v>
      </c>
      <c r="L1998" s="218"/>
      <c r="M1998" s="147"/>
      <c r="N1998" s="156">
        <f>K2052/13</f>
        <v>30769.23076923077</v>
      </c>
      <c r="Q1998" s="133" t="s">
        <v>520</v>
      </c>
    </row>
    <row r="1999" spans="1:17" ht="22.5" x14ac:dyDescent="0.2">
      <c r="A1999" s="133">
        <v>2021</v>
      </c>
      <c r="B1999" s="133">
        <v>1</v>
      </c>
      <c r="C1999" s="133">
        <v>17</v>
      </c>
      <c r="D1999" s="141">
        <f t="shared" si="68"/>
        <v>44213</v>
      </c>
      <c r="E1999" s="275">
        <f t="shared" si="69"/>
        <v>44213</v>
      </c>
      <c r="F1999" s="481"/>
      <c r="G1999" s="174" t="s">
        <v>74</v>
      </c>
      <c r="H1999" s="174" t="str" cm="1">
        <f t="array" ref="H1999">IFERROR(INDEX(INVESTOR_LIST[INVESTOR NAME],MATCH(I1999,INVESTOR_LIST[INVESTOR CODE],0),)," ")</f>
        <v>NARGISH JAHAN</v>
      </c>
      <c r="I1999" s="148" t="s">
        <v>457</v>
      </c>
      <c r="J1999" s="149" t="s">
        <v>358</v>
      </c>
      <c r="K1999" s="218">
        <v>35026.400000000001</v>
      </c>
      <c r="L1999" s="218"/>
      <c r="N1999" s="156"/>
    </row>
    <row r="2000" spans="1:17" ht="22.5" x14ac:dyDescent="0.2">
      <c r="A2000" s="133">
        <v>2021</v>
      </c>
      <c r="B2000" s="133">
        <v>1</v>
      </c>
      <c r="C2000" s="133">
        <v>17</v>
      </c>
      <c r="D2000" s="141">
        <f t="shared" si="68"/>
        <v>44213</v>
      </c>
      <c r="E2000" s="275">
        <f t="shared" si="69"/>
        <v>44213</v>
      </c>
      <c r="F2000" s="481"/>
      <c r="G2000" s="174" t="s">
        <v>74</v>
      </c>
      <c r="H2000" s="174" t="str" cm="1">
        <f t="array" ref="H2000">IFERROR(INDEX(INVESTOR_LIST[INVESTOR NAME],MATCH(I2000,INVESTOR_LIST[INVESTOR CODE],0),)," ")</f>
        <v>NARGISH JAHAN</v>
      </c>
      <c r="I2000" s="148" t="s">
        <v>457</v>
      </c>
      <c r="J2000" s="149" t="s">
        <v>52</v>
      </c>
      <c r="K2000" s="218"/>
      <c r="L2000" s="218">
        <v>574810</v>
      </c>
      <c r="M2000" s="160"/>
      <c r="N2000" s="156"/>
    </row>
    <row r="2001" spans="1:17" ht="22.5" x14ac:dyDescent="0.2">
      <c r="A2001" s="163">
        <v>2021</v>
      </c>
      <c r="B2001" s="163">
        <v>1</v>
      </c>
      <c r="C2001" s="163">
        <v>17</v>
      </c>
      <c r="D2001" s="141">
        <f t="shared" si="68"/>
        <v>44213</v>
      </c>
      <c r="E2001" s="275">
        <f t="shared" si="69"/>
        <v>44213</v>
      </c>
      <c r="F2001" s="480"/>
      <c r="G2001" s="221" t="s">
        <v>74</v>
      </c>
      <c r="H2001" s="221" t="str" cm="1">
        <f t="array" ref="H2001">IFERROR(INDEX(INVESTOR_LIST[INVESTOR NAME],MATCH(I2001,INVESTOR_LIST[INVESTOR CODE],0),)," ")</f>
        <v>NARGISH JAHAN</v>
      </c>
      <c r="I2001" s="145" t="s">
        <v>457</v>
      </c>
      <c r="J2001" s="146" t="s">
        <v>534</v>
      </c>
      <c r="K2001" s="219"/>
      <c r="L2001" s="219">
        <v>1002.64</v>
      </c>
      <c r="Q2001" s="133" t="s">
        <v>520</v>
      </c>
    </row>
    <row r="2002" spans="1:17" ht="22.5" x14ac:dyDescent="0.2">
      <c r="A2002" s="168">
        <v>2021</v>
      </c>
      <c r="B2002" s="168">
        <v>1</v>
      </c>
      <c r="C2002" s="168">
        <v>17</v>
      </c>
      <c r="D2002" s="141">
        <f t="shared" si="68"/>
        <v>44213</v>
      </c>
      <c r="E2002" s="275">
        <f t="shared" si="69"/>
        <v>44213</v>
      </c>
      <c r="F2002" s="479" t="s">
        <v>964</v>
      </c>
      <c r="G2002" s="220" t="s">
        <v>74</v>
      </c>
      <c r="H2002" s="220" t="str" cm="1">
        <f t="array" ref="H2002">IFERROR(INDEX(INVESTOR_LIST[INVESTOR NAME],MATCH(I2002,INVESTOR_LIST[INVESTOR CODE],0),)," ")</f>
        <v>NARGISH JAHAN</v>
      </c>
      <c r="I2002" s="142" t="s">
        <v>457</v>
      </c>
      <c r="J2002" s="143" t="s">
        <v>52</v>
      </c>
      <c r="K2002" s="226">
        <v>100000</v>
      </c>
      <c r="L2002" s="226"/>
      <c r="Q2002" s="133" t="s">
        <v>348</v>
      </c>
    </row>
    <row r="2003" spans="1:17" ht="22.5" x14ac:dyDescent="0.2">
      <c r="A2003" s="133">
        <v>2021</v>
      </c>
      <c r="B2003" s="133">
        <v>1</v>
      </c>
      <c r="C2003" s="133">
        <v>17</v>
      </c>
      <c r="D2003" s="141">
        <f t="shared" si="68"/>
        <v>44213</v>
      </c>
      <c r="E2003" s="275">
        <f t="shared" si="69"/>
        <v>44213</v>
      </c>
      <c r="F2003" s="481"/>
      <c r="G2003" s="174" t="s">
        <v>74</v>
      </c>
      <c r="H2003" s="174" t="str" cm="1">
        <f t="array" ref="H2003">IFERROR(INDEX(INVESTOR_LIST[INVESTOR NAME],MATCH(I2003,INVESTOR_LIST[INVESTOR CODE],0),)," ")</f>
        <v>NARGISH JAHAN</v>
      </c>
      <c r="I2003" s="148" t="s">
        <v>457</v>
      </c>
      <c r="J2003" s="149" t="s">
        <v>13</v>
      </c>
      <c r="K2003" s="218"/>
      <c r="L2003" s="218">
        <v>76920</v>
      </c>
      <c r="Q2003" s="133" t="s">
        <v>348</v>
      </c>
    </row>
    <row r="2004" spans="1:17" ht="22.5" x14ac:dyDescent="0.2">
      <c r="A2004" s="163">
        <v>2021</v>
      </c>
      <c r="B2004" s="163">
        <v>1</v>
      </c>
      <c r="C2004" s="163">
        <v>17</v>
      </c>
      <c r="D2004" s="141">
        <f t="shared" si="68"/>
        <v>44213</v>
      </c>
      <c r="E2004" s="275">
        <f t="shared" si="69"/>
        <v>44213</v>
      </c>
      <c r="F2004" s="480"/>
      <c r="G2004" s="221" t="s">
        <v>74</v>
      </c>
      <c r="H2004" s="221" t="str" cm="1">
        <f t="array" ref="H2004">IFERROR(INDEX(INVESTOR_LIST[INVESTOR NAME],MATCH(I2004,INVESTOR_LIST[INVESTOR CODE],0),)," ")</f>
        <v>NARGISH JAHAN</v>
      </c>
      <c r="I2004" s="145" t="s">
        <v>457</v>
      </c>
      <c r="J2004" s="146" t="s">
        <v>53</v>
      </c>
      <c r="K2004" s="219"/>
      <c r="L2004" s="219">
        <v>23080</v>
      </c>
      <c r="Q2004" s="133" t="s">
        <v>348</v>
      </c>
    </row>
    <row r="2005" spans="1:17" ht="45" x14ac:dyDescent="0.2">
      <c r="A2005" s="168">
        <v>2021</v>
      </c>
      <c r="B2005" s="168">
        <v>1</v>
      </c>
      <c r="C2005" s="168">
        <v>17</v>
      </c>
      <c r="D2005" s="141">
        <f t="shared" si="68"/>
        <v>44213</v>
      </c>
      <c r="E2005" s="275">
        <f t="shared" si="69"/>
        <v>44213</v>
      </c>
      <c r="F2005" s="479" t="s">
        <v>964</v>
      </c>
      <c r="G2005" s="220" t="s">
        <v>74</v>
      </c>
      <c r="H2005" s="220" t="str" cm="1">
        <f t="array" ref="H2005">IFERROR(INDEX(INVESTOR_LIST[INVESTOR NAME],MATCH(I2005,INVESTOR_LIST[INVESTOR CODE],0),)," ")</f>
        <v>KAMRUL HASAN MAHMUD</v>
      </c>
      <c r="I2005" s="142" t="s">
        <v>517</v>
      </c>
      <c r="J2005" s="143" t="s">
        <v>52</v>
      </c>
      <c r="K2005" s="226">
        <v>100000</v>
      </c>
      <c r="L2005" s="226"/>
      <c r="Q2005" s="133" t="s">
        <v>348</v>
      </c>
    </row>
    <row r="2006" spans="1:17" ht="45" x14ac:dyDescent="0.2">
      <c r="A2006" s="133">
        <v>2021</v>
      </c>
      <c r="B2006" s="133">
        <v>1</v>
      </c>
      <c r="C2006" s="133">
        <v>17</v>
      </c>
      <c r="D2006" s="141">
        <f t="shared" si="68"/>
        <v>44213</v>
      </c>
      <c r="E2006" s="275">
        <f t="shared" si="69"/>
        <v>44213</v>
      </c>
      <c r="F2006" s="481"/>
      <c r="G2006" s="174" t="s">
        <v>74</v>
      </c>
      <c r="H2006" s="174" t="str" cm="1">
        <f t="array" ref="H2006">IFERROR(INDEX(INVESTOR_LIST[INVESTOR NAME],MATCH(I2006,INVESTOR_LIST[INVESTOR CODE],0),)," ")</f>
        <v>KAMRUL HASAN MAHMUD</v>
      </c>
      <c r="I2006" s="148" t="s">
        <v>517</v>
      </c>
      <c r="J2006" s="149" t="s">
        <v>13</v>
      </c>
      <c r="K2006" s="218"/>
      <c r="L2006" s="218">
        <v>76920</v>
      </c>
      <c r="Q2006" s="133" t="s">
        <v>348</v>
      </c>
    </row>
    <row r="2007" spans="1:17" ht="45" x14ac:dyDescent="0.2">
      <c r="A2007" s="163">
        <v>2021</v>
      </c>
      <c r="B2007" s="163">
        <v>1</v>
      </c>
      <c r="C2007" s="163">
        <v>17</v>
      </c>
      <c r="D2007" s="141">
        <f t="shared" si="68"/>
        <v>44213</v>
      </c>
      <c r="E2007" s="275">
        <f t="shared" si="69"/>
        <v>44213</v>
      </c>
      <c r="F2007" s="480"/>
      <c r="G2007" s="221" t="s">
        <v>74</v>
      </c>
      <c r="H2007" s="221" t="str" cm="1">
        <f t="array" ref="H2007">IFERROR(INDEX(INVESTOR_LIST[INVESTOR NAME],MATCH(I2007,INVESTOR_LIST[INVESTOR CODE],0),)," ")</f>
        <v>KAMRUL HASAN MAHMUD</v>
      </c>
      <c r="I2007" s="145" t="s">
        <v>517</v>
      </c>
      <c r="J2007" s="146" t="s">
        <v>53</v>
      </c>
      <c r="K2007" s="219"/>
      <c r="L2007" s="219">
        <v>23080</v>
      </c>
      <c r="Q2007" s="133" t="s">
        <v>348</v>
      </c>
    </row>
    <row r="2008" spans="1:17" ht="33.75" x14ac:dyDescent="0.2">
      <c r="A2008" s="168">
        <v>2021</v>
      </c>
      <c r="B2008" s="168">
        <v>1</v>
      </c>
      <c r="C2008" s="168">
        <v>17</v>
      </c>
      <c r="D2008" s="141">
        <f t="shared" si="68"/>
        <v>44213</v>
      </c>
      <c r="E2008" s="275">
        <f t="shared" si="69"/>
        <v>44213</v>
      </c>
      <c r="F2008" s="479" t="s">
        <v>964</v>
      </c>
      <c r="G2008" s="220" t="s">
        <v>74</v>
      </c>
      <c r="H2008" s="220" t="str" cm="1">
        <f t="array" ref="H2008">IFERROR(INDEX(INVESTOR_LIST[INVESTOR NAME],MATCH(I2008,INVESTOR_LIST[INVESTOR CODE],0),)," ")</f>
        <v>MD. SHAIFUL AZAM</v>
      </c>
      <c r="I2008" s="142" t="s">
        <v>440</v>
      </c>
      <c r="J2008" s="143" t="s">
        <v>52</v>
      </c>
      <c r="K2008" s="226">
        <v>500000</v>
      </c>
      <c r="L2008" s="226"/>
      <c r="Q2008" s="133" t="s">
        <v>348</v>
      </c>
    </row>
    <row r="2009" spans="1:17" ht="33.75" x14ac:dyDescent="0.2">
      <c r="A2009" s="133">
        <v>2021</v>
      </c>
      <c r="B2009" s="133">
        <v>1</v>
      </c>
      <c r="C2009" s="133">
        <v>17</v>
      </c>
      <c r="D2009" s="141">
        <f t="shared" si="68"/>
        <v>44213</v>
      </c>
      <c r="E2009" s="275">
        <f t="shared" si="69"/>
        <v>44213</v>
      </c>
      <c r="F2009" s="481"/>
      <c r="G2009" s="174" t="s">
        <v>74</v>
      </c>
      <c r="H2009" s="174" t="str" cm="1">
        <f t="array" ref="H2009">IFERROR(INDEX(INVESTOR_LIST[INVESTOR NAME],MATCH(I2009,INVESTOR_LIST[INVESTOR CODE],0),)," ")</f>
        <v>MD. SHAIFUL AZAM</v>
      </c>
      <c r="I2009" s="148" t="s">
        <v>440</v>
      </c>
      <c r="J2009" s="149" t="s">
        <v>13</v>
      </c>
      <c r="K2009" s="218"/>
      <c r="L2009" s="218">
        <v>405520</v>
      </c>
      <c r="Q2009" s="133" t="s">
        <v>348</v>
      </c>
    </row>
    <row r="2010" spans="1:17" ht="33.75" x14ac:dyDescent="0.2">
      <c r="A2010" s="163">
        <v>2021</v>
      </c>
      <c r="B2010" s="163">
        <v>1</v>
      </c>
      <c r="C2010" s="163">
        <v>17</v>
      </c>
      <c r="D2010" s="141">
        <f t="shared" si="68"/>
        <v>44213</v>
      </c>
      <c r="E2010" s="275">
        <f t="shared" si="69"/>
        <v>44213</v>
      </c>
      <c r="F2010" s="480"/>
      <c r="G2010" s="221" t="s">
        <v>74</v>
      </c>
      <c r="H2010" s="221" t="str" cm="1">
        <f t="array" ref="H2010">IFERROR(INDEX(INVESTOR_LIST[INVESTOR NAME],MATCH(I2010,INVESTOR_LIST[INVESTOR CODE],0),)," ")</f>
        <v>MD. SHAIFUL AZAM</v>
      </c>
      <c r="I2010" s="145" t="s">
        <v>440</v>
      </c>
      <c r="J2010" s="146" t="s">
        <v>53</v>
      </c>
      <c r="K2010" s="219"/>
      <c r="L2010" s="219">
        <v>94480</v>
      </c>
      <c r="Q2010" s="133" t="s">
        <v>348</v>
      </c>
    </row>
    <row r="2011" spans="1:17" x14ac:dyDescent="0.2">
      <c r="A2011" s="168">
        <v>2021</v>
      </c>
      <c r="B2011" s="168">
        <v>1</v>
      </c>
      <c r="C2011" s="168">
        <v>17</v>
      </c>
      <c r="D2011" s="141">
        <f t="shared" si="68"/>
        <v>44213</v>
      </c>
      <c r="E2011" s="275">
        <f t="shared" si="69"/>
        <v>44213</v>
      </c>
      <c r="F2011" s="479" t="s">
        <v>77</v>
      </c>
      <c r="G2011" s="220" t="s">
        <v>74</v>
      </c>
      <c r="H2011" s="220" t="str" cm="1">
        <f t="array" ref="H2011">IFERROR(INDEX(INVESTOR_LIST[INVESTOR NAME],MATCH(I2011,INVESTOR_LIST[INVESTOR CODE],0),)," ")</f>
        <v xml:space="preserve"> </v>
      </c>
      <c r="I2011" s="142" t="s">
        <v>348</v>
      </c>
      <c r="J2011" s="143" t="s">
        <v>61</v>
      </c>
      <c r="K2011" s="226">
        <v>10</v>
      </c>
      <c r="L2011" s="226"/>
      <c r="Q2011" s="133" t="s">
        <v>348</v>
      </c>
    </row>
    <row r="2012" spans="1:17" x14ac:dyDescent="0.2">
      <c r="A2012" s="163">
        <v>2021</v>
      </c>
      <c r="B2012" s="163">
        <v>1</v>
      </c>
      <c r="C2012" s="163">
        <v>17</v>
      </c>
      <c r="D2012" s="141">
        <f t="shared" si="68"/>
        <v>44213</v>
      </c>
      <c r="E2012" s="275">
        <f t="shared" si="69"/>
        <v>44213</v>
      </c>
      <c r="F2012" s="480"/>
      <c r="G2012" s="221" t="s">
        <v>74</v>
      </c>
      <c r="H2012" s="221" t="str" cm="1">
        <f t="array" ref="H2012">IFERROR(INDEX(INVESTOR_LIST[INVESTOR NAME],MATCH(I2012,INVESTOR_LIST[INVESTOR CODE],0),)," ")</f>
        <v xml:space="preserve"> </v>
      </c>
      <c r="I2012" s="145" t="s">
        <v>348</v>
      </c>
      <c r="J2012" s="146" t="s">
        <v>52</v>
      </c>
      <c r="K2012" s="219"/>
      <c r="L2012" s="219">
        <v>10</v>
      </c>
      <c r="Q2012" s="133" t="s">
        <v>348</v>
      </c>
    </row>
    <row r="2013" spans="1:17" x14ac:dyDescent="0.2">
      <c r="A2013" s="168">
        <v>2021</v>
      </c>
      <c r="B2013" s="168">
        <v>1</v>
      </c>
      <c r="C2013" s="168">
        <v>17</v>
      </c>
      <c r="D2013" s="141">
        <f t="shared" si="68"/>
        <v>44213</v>
      </c>
      <c r="E2013" s="275">
        <f t="shared" si="69"/>
        <v>44213</v>
      </c>
      <c r="F2013" s="479" t="s">
        <v>77</v>
      </c>
      <c r="G2013" s="220" t="s">
        <v>74</v>
      </c>
      <c r="H2013" s="220" t="str" cm="1">
        <f t="array" ref="H2013">IFERROR(INDEX(INVESTOR_LIST[INVESTOR NAME],MATCH(I2013,INVESTOR_LIST[INVESTOR CODE],0),)," ")</f>
        <v xml:space="preserve"> </v>
      </c>
      <c r="I2013" s="142" t="s">
        <v>348</v>
      </c>
      <c r="J2013" s="143" t="s">
        <v>61</v>
      </c>
      <c r="K2013" s="226">
        <v>25</v>
      </c>
      <c r="L2013" s="226"/>
      <c r="Q2013" s="133" t="s">
        <v>348</v>
      </c>
    </row>
    <row r="2014" spans="1:17" x14ac:dyDescent="0.2">
      <c r="A2014" s="163">
        <v>2021</v>
      </c>
      <c r="B2014" s="163">
        <v>1</v>
      </c>
      <c r="C2014" s="163">
        <v>17</v>
      </c>
      <c r="D2014" s="141">
        <f t="shared" si="68"/>
        <v>44213</v>
      </c>
      <c r="E2014" s="275">
        <f t="shared" si="69"/>
        <v>44213</v>
      </c>
      <c r="F2014" s="480"/>
      <c r="G2014" s="221" t="s">
        <v>74</v>
      </c>
      <c r="H2014" s="221" t="str" cm="1">
        <f t="array" ref="H2014">IFERROR(INDEX(INVESTOR_LIST[INVESTOR NAME],MATCH(I2014,INVESTOR_LIST[INVESTOR CODE],0),)," ")</f>
        <v xml:space="preserve"> </v>
      </c>
      <c r="I2014" s="145" t="s">
        <v>348</v>
      </c>
      <c r="J2014" s="146" t="s">
        <v>52</v>
      </c>
      <c r="K2014" s="219"/>
      <c r="L2014" s="219">
        <v>25</v>
      </c>
      <c r="Q2014" s="133" t="s">
        <v>348</v>
      </c>
    </row>
    <row r="2015" spans="1:17" x14ac:dyDescent="0.2">
      <c r="A2015" s="168">
        <v>2021</v>
      </c>
      <c r="B2015" s="168">
        <v>1</v>
      </c>
      <c r="C2015" s="168">
        <v>17</v>
      </c>
      <c r="D2015" s="141">
        <f t="shared" si="68"/>
        <v>44213</v>
      </c>
      <c r="E2015" s="275">
        <f t="shared" si="69"/>
        <v>44213</v>
      </c>
      <c r="F2015" s="479" t="s">
        <v>354</v>
      </c>
      <c r="G2015" s="220" t="s">
        <v>74</v>
      </c>
      <c r="H2015" s="220" t="str" cm="1">
        <f t="array" ref="H2015">IFERROR(INDEX(INVESTOR_LIST[INVESTOR NAME],MATCH(I2015,INVESTOR_LIST[INVESTOR CODE],0),)," ")</f>
        <v xml:space="preserve"> </v>
      </c>
      <c r="I2015" s="142" t="s">
        <v>348</v>
      </c>
      <c r="J2015" s="143" t="s">
        <v>184</v>
      </c>
      <c r="K2015" s="226">
        <v>1200000</v>
      </c>
      <c r="L2015" s="226"/>
      <c r="Q2015" s="133" t="s">
        <v>348</v>
      </c>
    </row>
    <row r="2016" spans="1:17" x14ac:dyDescent="0.2">
      <c r="A2016" s="133">
        <v>2021</v>
      </c>
      <c r="B2016" s="133">
        <v>1</v>
      </c>
      <c r="C2016" s="133">
        <v>17</v>
      </c>
      <c r="D2016" s="141">
        <f t="shared" si="68"/>
        <v>44213</v>
      </c>
      <c r="E2016" s="275">
        <f t="shared" si="69"/>
        <v>44213</v>
      </c>
      <c r="F2016" s="481"/>
      <c r="G2016" s="174" t="s">
        <v>74</v>
      </c>
      <c r="H2016" s="174" t="str" cm="1">
        <f t="array" ref="H2016">IFERROR(INDEX(INVESTOR_LIST[INVESTOR NAME],MATCH(I2016,INVESTOR_LIST[INVESTOR CODE],0),)," ")</f>
        <v xml:space="preserve"> </v>
      </c>
      <c r="I2016" s="148" t="s">
        <v>348</v>
      </c>
      <c r="J2016" s="149" t="s">
        <v>185</v>
      </c>
      <c r="K2016" s="218">
        <v>3000</v>
      </c>
      <c r="L2016" s="218"/>
      <c r="Q2016" s="133" t="s">
        <v>514</v>
      </c>
    </row>
    <row r="2017" spans="1:17" x14ac:dyDescent="0.2">
      <c r="A2017" s="133">
        <v>2021</v>
      </c>
      <c r="B2017" s="133">
        <v>1</v>
      </c>
      <c r="C2017" s="133">
        <v>17</v>
      </c>
      <c r="D2017" s="141">
        <f t="shared" si="68"/>
        <v>44213</v>
      </c>
      <c r="E2017" s="275">
        <f t="shared" si="69"/>
        <v>44213</v>
      </c>
      <c r="F2017" s="481"/>
      <c r="G2017" s="174" t="s">
        <v>74</v>
      </c>
      <c r="H2017" s="174" t="str" cm="1">
        <f t="array" ref="H2017">IFERROR(INDEX(INVESTOR_LIST[INVESTOR NAME],MATCH(I2017,INVESTOR_LIST[INVESTOR CODE],0),)," ")</f>
        <v xml:space="preserve"> </v>
      </c>
      <c r="I2017" s="148" t="s">
        <v>348</v>
      </c>
      <c r="J2017" s="149" t="s">
        <v>61</v>
      </c>
      <c r="K2017" s="218">
        <v>115</v>
      </c>
      <c r="L2017" s="218"/>
      <c r="N2017" s="160"/>
      <c r="Q2017" s="133" t="s">
        <v>514</v>
      </c>
    </row>
    <row r="2018" spans="1:17" x14ac:dyDescent="0.2">
      <c r="A2018" s="163">
        <v>2021</v>
      </c>
      <c r="B2018" s="163">
        <v>1</v>
      </c>
      <c r="C2018" s="163">
        <v>17</v>
      </c>
      <c r="D2018" s="141">
        <f t="shared" si="68"/>
        <v>44213</v>
      </c>
      <c r="E2018" s="275">
        <f t="shared" si="69"/>
        <v>44213</v>
      </c>
      <c r="F2018" s="480"/>
      <c r="G2018" s="221" t="s">
        <v>74</v>
      </c>
      <c r="H2018" s="221" t="str" cm="1">
        <f t="array" ref="H2018">IFERROR(INDEX(INVESTOR_LIST[INVESTOR NAME],MATCH(I2018,INVESTOR_LIST[INVESTOR CODE],0),)," ")</f>
        <v xml:space="preserve"> </v>
      </c>
      <c r="I2018" s="145" t="s">
        <v>348</v>
      </c>
      <c r="J2018" s="146" t="s">
        <v>52</v>
      </c>
      <c r="K2018" s="219"/>
      <c r="L2018" s="219">
        <v>1203115</v>
      </c>
      <c r="N2018" s="160"/>
      <c r="Q2018" s="133" t="s">
        <v>514</v>
      </c>
    </row>
    <row r="2019" spans="1:17" x14ac:dyDescent="0.2">
      <c r="A2019" s="133">
        <v>2021</v>
      </c>
      <c r="B2019" s="133">
        <v>1</v>
      </c>
      <c r="C2019" s="133">
        <v>17</v>
      </c>
      <c r="D2019" s="141">
        <f t="shared" si="68"/>
        <v>44213</v>
      </c>
      <c r="E2019" s="275">
        <f t="shared" si="69"/>
        <v>44213</v>
      </c>
      <c r="F2019" s="481" t="s">
        <v>355</v>
      </c>
      <c r="G2019" s="174" t="s">
        <v>74</v>
      </c>
      <c r="H2019" s="174" t="str" cm="1">
        <f t="array" ref="H2019">IFERROR(INDEX(INVESTOR_LIST[INVESTOR NAME],MATCH(I2019,INVESTOR_LIST[INVESTOR CODE],0),)," ")</f>
        <v xml:space="preserve"> </v>
      </c>
      <c r="I2019" s="148" t="s">
        <v>348</v>
      </c>
      <c r="J2019" s="149" t="s">
        <v>52</v>
      </c>
      <c r="K2019" s="218">
        <v>2073910</v>
      </c>
      <c r="L2019" s="218"/>
      <c r="Q2019" s="133" t="s">
        <v>348</v>
      </c>
    </row>
    <row r="2020" spans="1:17" x14ac:dyDescent="0.2">
      <c r="A2020" s="133">
        <v>2021</v>
      </c>
      <c r="B2020" s="133">
        <v>1</v>
      </c>
      <c r="C2020" s="133">
        <v>17</v>
      </c>
      <c r="D2020" s="141">
        <f t="shared" si="68"/>
        <v>44213</v>
      </c>
      <c r="E2020" s="275">
        <f t="shared" si="69"/>
        <v>44213</v>
      </c>
      <c r="F2020" s="481"/>
      <c r="G2020" s="174" t="s">
        <v>74</v>
      </c>
      <c r="H2020" s="174" t="str" cm="1">
        <f t="array" ref="H2020">IFERROR(INDEX(INVESTOR_LIST[INVESTOR NAME],MATCH(I2020,INVESTOR_LIST[INVESTOR CODE],0),)," ")</f>
        <v xml:space="preserve"> </v>
      </c>
      <c r="I2020" s="148" t="s">
        <v>348</v>
      </c>
      <c r="J2020" s="149" t="s">
        <v>79</v>
      </c>
      <c r="K2020" s="218">
        <v>326090</v>
      </c>
      <c r="L2020" s="218"/>
      <c r="Q2020" s="133" t="s">
        <v>348</v>
      </c>
    </row>
    <row r="2021" spans="1:17" x14ac:dyDescent="0.2">
      <c r="A2021" s="163">
        <v>2021</v>
      </c>
      <c r="B2021" s="163">
        <v>1</v>
      </c>
      <c r="C2021" s="163">
        <v>17</v>
      </c>
      <c r="D2021" s="141">
        <f t="shared" si="68"/>
        <v>44213</v>
      </c>
      <c r="E2021" s="275">
        <f t="shared" si="69"/>
        <v>44213</v>
      </c>
      <c r="F2021" s="480"/>
      <c r="G2021" s="221" t="s">
        <v>74</v>
      </c>
      <c r="H2021" s="221" t="str" cm="1">
        <f t="array" ref="H2021">IFERROR(INDEX(INVESTOR_LIST[INVESTOR NAME],MATCH(I2021,INVESTOR_LIST[INVESTOR CODE],0),)," ")</f>
        <v xml:space="preserve"> </v>
      </c>
      <c r="I2021" s="145" t="s">
        <v>348</v>
      </c>
      <c r="J2021" s="146" t="s">
        <v>184</v>
      </c>
      <c r="K2021" s="219"/>
      <c r="L2021" s="219">
        <v>2400000</v>
      </c>
      <c r="Q2021" s="133" t="s">
        <v>348</v>
      </c>
    </row>
    <row r="2022" spans="1:17" ht="45" x14ac:dyDescent="0.2">
      <c r="A2022" s="168">
        <v>2021</v>
      </c>
      <c r="B2022" s="168">
        <v>1</v>
      </c>
      <c r="C2022" s="168">
        <v>18</v>
      </c>
      <c r="D2022" s="141">
        <f t="shared" si="68"/>
        <v>44214</v>
      </c>
      <c r="E2022" s="275">
        <f t="shared" si="69"/>
        <v>44214</v>
      </c>
      <c r="F2022" s="479" t="s">
        <v>964</v>
      </c>
      <c r="G2022" s="220" t="s">
        <v>74</v>
      </c>
      <c r="H2022" s="220" t="str" cm="1">
        <f t="array" ref="H2022">IFERROR(INDEX(INVESTOR_LIST[INVESTOR NAME],MATCH(I2022,INVESTOR_LIST[INVESTOR CODE],0),)," ")</f>
        <v>MD. ALAMGIR HOSSAIN</v>
      </c>
      <c r="I2022" s="142" t="s">
        <v>518</v>
      </c>
      <c r="J2022" s="143" t="s">
        <v>52</v>
      </c>
      <c r="K2022" s="226">
        <v>800000</v>
      </c>
      <c r="L2022" s="226"/>
      <c r="Q2022" s="133" t="s">
        <v>348</v>
      </c>
    </row>
    <row r="2023" spans="1:17" ht="45" x14ac:dyDescent="0.2">
      <c r="A2023" s="133">
        <v>2021</v>
      </c>
      <c r="B2023" s="133">
        <v>1</v>
      </c>
      <c r="C2023" s="133">
        <v>18</v>
      </c>
      <c r="D2023" s="141">
        <f t="shared" si="68"/>
        <v>44214</v>
      </c>
      <c r="E2023" s="275">
        <f t="shared" si="69"/>
        <v>44214</v>
      </c>
      <c r="F2023" s="481"/>
      <c r="G2023" s="174" t="s">
        <v>74</v>
      </c>
      <c r="H2023" s="174" t="str" cm="1">
        <f t="array" ref="H2023">IFERROR(INDEX(INVESTOR_LIST[INVESTOR NAME],MATCH(I2023,INVESTOR_LIST[INVESTOR CODE],0),)," ")</f>
        <v>MD. ALAMGIR HOSSAIN</v>
      </c>
      <c r="I2023" s="148" t="s">
        <v>518</v>
      </c>
      <c r="J2023" s="149" t="s">
        <v>13</v>
      </c>
      <c r="K2023" s="218"/>
      <c r="L2023" s="218">
        <v>674540</v>
      </c>
      <c r="Q2023" s="133" t="s">
        <v>348</v>
      </c>
    </row>
    <row r="2024" spans="1:17" ht="45" x14ac:dyDescent="0.2">
      <c r="A2024" s="163">
        <v>2021</v>
      </c>
      <c r="B2024" s="163">
        <v>1</v>
      </c>
      <c r="C2024" s="163">
        <v>18</v>
      </c>
      <c r="D2024" s="141">
        <f t="shared" si="68"/>
        <v>44214</v>
      </c>
      <c r="E2024" s="275">
        <f t="shared" si="69"/>
        <v>44214</v>
      </c>
      <c r="F2024" s="480"/>
      <c r="G2024" s="221" t="s">
        <v>74</v>
      </c>
      <c r="H2024" s="221" t="str" cm="1">
        <f t="array" ref="H2024">IFERROR(INDEX(INVESTOR_LIST[INVESTOR NAME],MATCH(I2024,INVESTOR_LIST[INVESTOR CODE],0),)," ")</f>
        <v>MD. ALAMGIR HOSSAIN</v>
      </c>
      <c r="I2024" s="145" t="s">
        <v>518</v>
      </c>
      <c r="J2024" s="146" t="s">
        <v>53</v>
      </c>
      <c r="K2024" s="219"/>
      <c r="L2024" s="219">
        <v>125460</v>
      </c>
      <c r="N2024" s="160"/>
      <c r="Q2024" s="133" t="s">
        <v>348</v>
      </c>
    </row>
    <row r="2025" spans="1:17" ht="45" x14ac:dyDescent="0.2">
      <c r="A2025" s="168">
        <v>2021</v>
      </c>
      <c r="B2025" s="168">
        <v>1</v>
      </c>
      <c r="C2025" s="168">
        <v>18</v>
      </c>
      <c r="D2025" s="141">
        <f t="shared" si="68"/>
        <v>44214</v>
      </c>
      <c r="E2025" s="275">
        <f t="shared" si="69"/>
        <v>44214</v>
      </c>
      <c r="F2025" s="479" t="s">
        <v>964</v>
      </c>
      <c r="G2025" s="220" t="s">
        <v>74</v>
      </c>
      <c r="H2025" s="220" t="str" cm="1">
        <f t="array" ref="H2025">IFERROR(INDEX(INVESTOR_LIST[INVESTOR NAME],MATCH(I2025,INVESTOR_LIST[INVESTOR CODE],0),)," ")</f>
        <v>MD. ALAMGIR HOSSAIN</v>
      </c>
      <c r="I2025" s="142" t="s">
        <v>518</v>
      </c>
      <c r="J2025" s="143" t="s">
        <v>52</v>
      </c>
      <c r="K2025" s="226">
        <v>1000000</v>
      </c>
      <c r="L2025" s="226"/>
      <c r="Q2025" s="133" t="s">
        <v>348</v>
      </c>
    </row>
    <row r="2026" spans="1:17" ht="45" x14ac:dyDescent="0.2">
      <c r="A2026" s="133">
        <v>2021</v>
      </c>
      <c r="B2026" s="133">
        <v>1</v>
      </c>
      <c r="C2026" s="133">
        <v>18</v>
      </c>
      <c r="D2026" s="141">
        <f t="shared" si="68"/>
        <v>44214</v>
      </c>
      <c r="E2026" s="275">
        <f t="shared" si="69"/>
        <v>44214</v>
      </c>
      <c r="F2026" s="481"/>
      <c r="G2026" s="174" t="s">
        <v>74</v>
      </c>
      <c r="H2026" s="174" t="str" cm="1">
        <f t="array" ref="H2026">IFERROR(INDEX(INVESTOR_LIST[INVESTOR NAME],MATCH(I2026,INVESTOR_LIST[INVESTOR CODE],0),)," ")</f>
        <v>MD. ALAMGIR HOSSAIN</v>
      </c>
      <c r="I2026" s="148" t="s">
        <v>518</v>
      </c>
      <c r="J2026" s="149" t="s">
        <v>13</v>
      </c>
      <c r="K2026" s="218"/>
      <c r="L2026" s="218">
        <v>843170</v>
      </c>
      <c r="Q2026" s="133" t="s">
        <v>521</v>
      </c>
    </row>
    <row r="2027" spans="1:17" ht="45" x14ac:dyDescent="0.2">
      <c r="A2027" s="163">
        <v>2021</v>
      </c>
      <c r="B2027" s="163">
        <v>1</v>
      </c>
      <c r="C2027" s="163">
        <v>18</v>
      </c>
      <c r="D2027" s="141">
        <f t="shared" si="68"/>
        <v>44214</v>
      </c>
      <c r="E2027" s="275">
        <f t="shared" si="69"/>
        <v>44214</v>
      </c>
      <c r="F2027" s="480"/>
      <c r="G2027" s="221" t="s">
        <v>74</v>
      </c>
      <c r="H2027" s="221" t="str" cm="1">
        <f t="array" ref="H2027">IFERROR(INDEX(INVESTOR_LIST[INVESTOR NAME],MATCH(I2027,INVESTOR_LIST[INVESTOR CODE],0),)," ")</f>
        <v>MD. ALAMGIR HOSSAIN</v>
      </c>
      <c r="I2027" s="145" t="s">
        <v>518</v>
      </c>
      <c r="J2027" s="146" t="s">
        <v>53</v>
      </c>
      <c r="K2027" s="219"/>
      <c r="L2027" s="219">
        <v>156830</v>
      </c>
      <c r="N2027" s="156">
        <f>K2079/12.99</f>
        <v>15396.458814472671</v>
      </c>
      <c r="Q2027" s="133" t="s">
        <v>521</v>
      </c>
    </row>
    <row r="2028" spans="1:17" x14ac:dyDescent="0.2">
      <c r="A2028" s="168">
        <v>2021</v>
      </c>
      <c r="B2028" s="168">
        <v>1</v>
      </c>
      <c r="C2028" s="168">
        <v>18</v>
      </c>
      <c r="D2028" s="141">
        <f t="shared" si="68"/>
        <v>44214</v>
      </c>
      <c r="E2028" s="275">
        <f t="shared" si="69"/>
        <v>44214</v>
      </c>
      <c r="F2028" s="479" t="s">
        <v>77</v>
      </c>
      <c r="G2028" s="220" t="s">
        <v>74</v>
      </c>
      <c r="H2028" s="220" t="str" cm="1">
        <f t="array" ref="H2028">IFERROR(INDEX(INVESTOR_LIST[INVESTOR NAME],MATCH(I2028,INVESTOR_LIST[INVESTOR CODE],0),)," ")</f>
        <v xml:space="preserve"> </v>
      </c>
      <c r="I2028" s="142" t="s">
        <v>348</v>
      </c>
      <c r="J2028" s="143" t="s">
        <v>61</v>
      </c>
      <c r="K2028" s="226">
        <v>60</v>
      </c>
      <c r="L2028" s="226"/>
      <c r="Q2028" s="133" t="s">
        <v>521</v>
      </c>
    </row>
    <row r="2029" spans="1:17" x14ac:dyDescent="0.2">
      <c r="A2029" s="163">
        <v>2021</v>
      </c>
      <c r="B2029" s="163">
        <v>1</v>
      </c>
      <c r="C2029" s="163">
        <v>18</v>
      </c>
      <c r="D2029" s="141">
        <f t="shared" si="68"/>
        <v>44214</v>
      </c>
      <c r="E2029" s="275">
        <f t="shared" si="69"/>
        <v>44214</v>
      </c>
      <c r="F2029" s="480"/>
      <c r="G2029" s="221" t="s">
        <v>74</v>
      </c>
      <c r="H2029" s="221" t="str" cm="1">
        <f t="array" ref="H2029">IFERROR(INDEX(INVESTOR_LIST[INVESTOR NAME],MATCH(I2029,INVESTOR_LIST[INVESTOR CODE],0),)," ")</f>
        <v xml:space="preserve"> </v>
      </c>
      <c r="I2029" s="145" t="s">
        <v>348</v>
      </c>
      <c r="J2029" s="146" t="s">
        <v>52</v>
      </c>
      <c r="K2029" s="219"/>
      <c r="L2029" s="219">
        <v>60</v>
      </c>
      <c r="Q2029" s="133" t="s">
        <v>348</v>
      </c>
    </row>
    <row r="2030" spans="1:17" x14ac:dyDescent="0.2">
      <c r="A2030" s="168">
        <v>2021</v>
      </c>
      <c r="B2030" s="168">
        <v>1</v>
      </c>
      <c r="C2030" s="168">
        <v>18</v>
      </c>
      <c r="D2030" s="141">
        <f t="shared" si="68"/>
        <v>44214</v>
      </c>
      <c r="E2030" s="275">
        <f t="shared" si="69"/>
        <v>44214</v>
      </c>
      <c r="F2030" s="479" t="s">
        <v>77</v>
      </c>
      <c r="G2030" s="220" t="s">
        <v>74</v>
      </c>
      <c r="H2030" s="220" t="str" cm="1">
        <f t="array" ref="H2030">IFERROR(INDEX(INVESTOR_LIST[INVESTOR NAME],MATCH(I2030,INVESTOR_LIST[INVESTOR CODE],0),)," ")</f>
        <v xml:space="preserve"> </v>
      </c>
      <c r="I2030" s="142" t="s">
        <v>348</v>
      </c>
      <c r="J2030" s="143" t="s">
        <v>61</v>
      </c>
      <c r="K2030" s="226">
        <v>60</v>
      </c>
      <c r="L2030" s="226"/>
      <c r="Q2030" s="133" t="s">
        <v>348</v>
      </c>
    </row>
    <row r="2031" spans="1:17" x14ac:dyDescent="0.2">
      <c r="A2031" s="163">
        <v>2021</v>
      </c>
      <c r="B2031" s="163">
        <v>1</v>
      </c>
      <c r="C2031" s="163">
        <v>18</v>
      </c>
      <c r="D2031" s="141">
        <f t="shared" si="68"/>
        <v>44214</v>
      </c>
      <c r="E2031" s="275">
        <f t="shared" si="69"/>
        <v>44214</v>
      </c>
      <c r="F2031" s="480"/>
      <c r="G2031" s="221" t="s">
        <v>74</v>
      </c>
      <c r="H2031" s="221" t="str" cm="1">
        <f t="array" ref="H2031">IFERROR(INDEX(INVESTOR_LIST[INVESTOR NAME],MATCH(I2031,INVESTOR_LIST[INVESTOR CODE],0),)," ")</f>
        <v xml:space="preserve"> </v>
      </c>
      <c r="I2031" s="145" t="s">
        <v>348</v>
      </c>
      <c r="J2031" s="146" t="s">
        <v>52</v>
      </c>
      <c r="K2031" s="219"/>
      <c r="L2031" s="219">
        <v>60</v>
      </c>
      <c r="Q2031" s="133" t="s">
        <v>348</v>
      </c>
    </row>
    <row r="2032" spans="1:17" x14ac:dyDescent="0.2">
      <c r="A2032" s="133">
        <v>2021</v>
      </c>
      <c r="B2032" s="133">
        <v>1</v>
      </c>
      <c r="C2032" s="133">
        <v>18</v>
      </c>
      <c r="D2032" s="141">
        <f t="shared" si="68"/>
        <v>44214</v>
      </c>
      <c r="E2032" s="275">
        <f t="shared" si="69"/>
        <v>44214</v>
      </c>
      <c r="F2032" s="481" t="s">
        <v>275</v>
      </c>
      <c r="G2032" s="174" t="s">
        <v>74</v>
      </c>
      <c r="H2032" s="174" t="str" cm="1">
        <f t="array" ref="H2032">IFERROR(INDEX(INVESTOR_LIST[INVESTOR NAME],MATCH(I2032,INVESTOR_LIST[INVESTOR CODE],0),)," ")</f>
        <v xml:space="preserve"> </v>
      </c>
      <c r="I2032" s="148" t="s">
        <v>348</v>
      </c>
      <c r="J2032" s="149" t="s">
        <v>163</v>
      </c>
      <c r="K2032" s="218">
        <v>3150</v>
      </c>
      <c r="L2032" s="218"/>
      <c r="Q2032" s="133" t="s">
        <v>348</v>
      </c>
    </row>
    <row r="2033" spans="1:17" x14ac:dyDescent="0.2">
      <c r="A2033" s="163">
        <v>2021</v>
      </c>
      <c r="B2033" s="163">
        <v>1</v>
      </c>
      <c r="C2033" s="163">
        <v>18</v>
      </c>
      <c r="D2033" s="141">
        <f t="shared" si="68"/>
        <v>44214</v>
      </c>
      <c r="E2033" s="275">
        <f t="shared" si="69"/>
        <v>44214</v>
      </c>
      <c r="F2033" s="480"/>
      <c r="G2033" s="221" t="s">
        <v>74</v>
      </c>
      <c r="H2033" s="221" t="str" cm="1">
        <f t="array" ref="H2033">IFERROR(INDEX(INVESTOR_LIST[INVESTOR NAME],MATCH(I2033,INVESTOR_LIST[INVESTOR CODE],0),)," ")</f>
        <v xml:space="preserve"> </v>
      </c>
      <c r="I2033" s="145" t="s">
        <v>348</v>
      </c>
      <c r="J2033" s="146" t="s">
        <v>52</v>
      </c>
      <c r="K2033" s="219"/>
      <c r="L2033" s="219">
        <v>3150</v>
      </c>
      <c r="Q2033" s="133" t="s">
        <v>348</v>
      </c>
    </row>
    <row r="2034" spans="1:17" x14ac:dyDescent="0.2">
      <c r="A2034" s="168">
        <v>2021</v>
      </c>
      <c r="B2034" s="168">
        <v>1</v>
      </c>
      <c r="C2034" s="168">
        <v>19</v>
      </c>
      <c r="D2034" s="141">
        <f t="shared" si="68"/>
        <v>44215</v>
      </c>
      <c r="E2034" s="275">
        <f t="shared" si="69"/>
        <v>44215</v>
      </c>
      <c r="F2034" s="479" t="s">
        <v>254</v>
      </c>
      <c r="G2034" s="220" t="s">
        <v>74</v>
      </c>
      <c r="H2034" s="220" t="str" cm="1">
        <f t="array" ref="H2034">IFERROR(INDEX(INVESTOR_LIST[INVESTOR NAME],MATCH(I2034,INVESTOR_LIST[INVESTOR CODE],0),)," ")</f>
        <v xml:space="preserve"> </v>
      </c>
      <c r="I2034" s="142" t="s">
        <v>348</v>
      </c>
      <c r="J2034" s="143" t="s">
        <v>52</v>
      </c>
      <c r="K2034" s="226">
        <v>27000</v>
      </c>
      <c r="L2034" s="226"/>
      <c r="Q2034" s="133" t="s">
        <v>348</v>
      </c>
    </row>
    <row r="2035" spans="1:17" x14ac:dyDescent="0.2">
      <c r="A2035" s="133">
        <v>2021</v>
      </c>
      <c r="B2035" s="133">
        <v>1</v>
      </c>
      <c r="C2035" s="133">
        <v>19</v>
      </c>
      <c r="D2035" s="141">
        <f t="shared" si="68"/>
        <v>44215</v>
      </c>
      <c r="E2035" s="275">
        <f t="shared" si="69"/>
        <v>44215</v>
      </c>
      <c r="F2035" s="481"/>
      <c r="G2035" s="174" t="s">
        <v>74</v>
      </c>
      <c r="H2035" s="174" t="str" cm="1">
        <f t="array" ref="H2035">IFERROR(INDEX(INVESTOR_LIST[INVESTOR NAME],MATCH(I2035,INVESTOR_LIST[INVESTOR CODE],0),)," ")</f>
        <v xml:space="preserve"> </v>
      </c>
      <c r="I2035" s="148" t="s">
        <v>348</v>
      </c>
      <c r="J2035" s="149" t="s">
        <v>13</v>
      </c>
      <c r="K2035" s="218"/>
      <c r="L2035" s="218">
        <v>20770</v>
      </c>
      <c r="Q2035" s="133" t="s">
        <v>348</v>
      </c>
    </row>
    <row r="2036" spans="1:17" x14ac:dyDescent="0.2">
      <c r="A2036" s="163">
        <v>2021</v>
      </c>
      <c r="B2036" s="163">
        <v>1</v>
      </c>
      <c r="C2036" s="163">
        <v>19</v>
      </c>
      <c r="D2036" s="141">
        <f t="shared" si="68"/>
        <v>44215</v>
      </c>
      <c r="E2036" s="275">
        <f t="shared" si="69"/>
        <v>44215</v>
      </c>
      <c r="F2036" s="480"/>
      <c r="G2036" s="221" t="s">
        <v>74</v>
      </c>
      <c r="H2036" s="221" t="str" cm="1">
        <f t="array" ref="H2036">IFERROR(INDEX(INVESTOR_LIST[INVESTOR NAME],MATCH(I2036,INVESTOR_LIST[INVESTOR CODE],0),)," ")</f>
        <v xml:space="preserve"> </v>
      </c>
      <c r="I2036" s="145" t="s">
        <v>348</v>
      </c>
      <c r="J2036" s="146" t="s">
        <v>53</v>
      </c>
      <c r="K2036" s="219"/>
      <c r="L2036" s="219">
        <v>6230</v>
      </c>
      <c r="Q2036" s="133" t="s">
        <v>348</v>
      </c>
    </row>
    <row r="2037" spans="1:17" ht="45" x14ac:dyDescent="0.2">
      <c r="A2037" s="168">
        <v>2021</v>
      </c>
      <c r="B2037" s="168">
        <v>1</v>
      </c>
      <c r="C2037" s="168">
        <v>19</v>
      </c>
      <c r="D2037" s="141">
        <f t="shared" si="68"/>
        <v>44215</v>
      </c>
      <c r="E2037" s="275">
        <f t="shared" si="69"/>
        <v>44215</v>
      </c>
      <c r="F2037" s="479" t="s">
        <v>964</v>
      </c>
      <c r="G2037" s="220" t="s">
        <v>74</v>
      </c>
      <c r="H2037" s="220" t="str" cm="1">
        <f t="array" ref="H2037">IFERROR(INDEX(INVESTOR_LIST[INVESTOR NAME],MATCH(I2037,INVESTOR_LIST[INVESTOR CODE],0),)," ")</f>
        <v>MD. SAJID SAADAT ALI</v>
      </c>
      <c r="I2037" s="142" t="s">
        <v>519</v>
      </c>
      <c r="J2037" s="143" t="s">
        <v>52</v>
      </c>
      <c r="K2037" s="226">
        <v>150000</v>
      </c>
      <c r="L2037" s="226"/>
      <c r="Q2037" s="133" t="s">
        <v>348</v>
      </c>
    </row>
    <row r="2038" spans="1:17" ht="45" x14ac:dyDescent="0.2">
      <c r="A2038" s="133">
        <v>2021</v>
      </c>
      <c r="B2038" s="133">
        <v>1</v>
      </c>
      <c r="C2038" s="133">
        <v>19</v>
      </c>
      <c r="D2038" s="141">
        <f t="shared" si="68"/>
        <v>44215</v>
      </c>
      <c r="E2038" s="275">
        <f t="shared" si="69"/>
        <v>44215</v>
      </c>
      <c r="F2038" s="481"/>
      <c r="G2038" s="174" t="s">
        <v>74</v>
      </c>
      <c r="H2038" s="174" t="str" cm="1">
        <f t="array" ref="H2038">IFERROR(INDEX(INVESTOR_LIST[INVESTOR NAME],MATCH(I2038,INVESTOR_LIST[INVESTOR CODE],0),)," ")</f>
        <v>MD. SAJID SAADAT ALI</v>
      </c>
      <c r="I2038" s="148" t="s">
        <v>519</v>
      </c>
      <c r="J2038" s="149" t="s">
        <v>13</v>
      </c>
      <c r="K2038" s="218"/>
      <c r="L2038" s="218">
        <v>115380</v>
      </c>
      <c r="Q2038" s="133" t="s">
        <v>348</v>
      </c>
    </row>
    <row r="2039" spans="1:17" ht="45" x14ac:dyDescent="0.2">
      <c r="A2039" s="163">
        <v>2021</v>
      </c>
      <c r="B2039" s="163">
        <v>1</v>
      </c>
      <c r="C2039" s="163">
        <v>19</v>
      </c>
      <c r="D2039" s="141">
        <f t="shared" si="68"/>
        <v>44215</v>
      </c>
      <c r="E2039" s="275">
        <f t="shared" si="69"/>
        <v>44215</v>
      </c>
      <c r="F2039" s="480"/>
      <c r="G2039" s="221" t="s">
        <v>74</v>
      </c>
      <c r="H2039" s="221" t="str" cm="1">
        <f t="array" ref="H2039">IFERROR(INDEX(INVESTOR_LIST[INVESTOR NAME],MATCH(I2039,INVESTOR_LIST[INVESTOR CODE],0),)," ")</f>
        <v>MD. SAJID SAADAT ALI</v>
      </c>
      <c r="I2039" s="145" t="s">
        <v>519</v>
      </c>
      <c r="J2039" s="146" t="s">
        <v>53</v>
      </c>
      <c r="K2039" s="219"/>
      <c r="L2039" s="219">
        <v>34620</v>
      </c>
      <c r="Q2039" s="133" t="s">
        <v>348</v>
      </c>
    </row>
    <row r="2040" spans="1:17" ht="33.75" x14ac:dyDescent="0.2">
      <c r="A2040" s="168">
        <v>2021</v>
      </c>
      <c r="B2040" s="168">
        <v>1</v>
      </c>
      <c r="C2040" s="168">
        <v>20</v>
      </c>
      <c r="D2040" s="141">
        <f t="shared" si="68"/>
        <v>44216</v>
      </c>
      <c r="E2040" s="275">
        <f t="shared" si="69"/>
        <v>44216</v>
      </c>
      <c r="F2040" s="479" t="s">
        <v>965</v>
      </c>
      <c r="G2040" s="220" t="s">
        <v>74</v>
      </c>
      <c r="H2040" s="174" t="str" cm="1">
        <f t="array" ref="H2040">IFERROR(INDEX(INVESTOR_LIST[INVESTOR NAME],MATCH(I2040,INVESTOR_LIST[INVESTOR CODE],0),)," ")</f>
        <v>MD. EMDAD HOSSAIN</v>
      </c>
      <c r="I2040" s="148" t="s">
        <v>475</v>
      </c>
      <c r="J2040" s="143" t="s">
        <v>13</v>
      </c>
      <c r="K2040" s="226">
        <v>173600</v>
      </c>
      <c r="L2040" s="226"/>
      <c r="Q2040" s="133" t="s">
        <v>348</v>
      </c>
    </row>
    <row r="2041" spans="1:17" ht="33.75" x14ac:dyDescent="0.2">
      <c r="A2041" s="133">
        <v>2021</v>
      </c>
      <c r="B2041" s="133">
        <v>1</v>
      </c>
      <c r="C2041" s="133">
        <v>20</v>
      </c>
      <c r="D2041" s="141">
        <f t="shared" si="68"/>
        <v>44216</v>
      </c>
      <c r="E2041" s="275">
        <f t="shared" si="69"/>
        <v>44216</v>
      </c>
      <c r="F2041" s="481"/>
      <c r="G2041" s="174" t="s">
        <v>74</v>
      </c>
      <c r="H2041" s="174" t="str" cm="1">
        <f t="array" ref="H2041">IFERROR(INDEX(INVESTOR_LIST[INVESTOR NAME],MATCH(I2041,INVESTOR_LIST[INVESTOR CODE],0),)," ")</f>
        <v>MD. EMDAD HOSSAIN</v>
      </c>
      <c r="I2041" s="148" t="s">
        <v>475</v>
      </c>
      <c r="J2041" s="149" t="s">
        <v>53</v>
      </c>
      <c r="K2041" s="218">
        <v>65916.58</v>
      </c>
      <c r="L2041" s="218"/>
      <c r="Q2041" s="133" t="s">
        <v>348</v>
      </c>
    </row>
    <row r="2042" spans="1:17" ht="33.75" x14ac:dyDescent="0.2">
      <c r="A2042" s="163">
        <v>2021</v>
      </c>
      <c r="B2042" s="163">
        <v>1</v>
      </c>
      <c r="C2042" s="163">
        <v>20</v>
      </c>
      <c r="D2042" s="141">
        <f t="shared" si="68"/>
        <v>44216</v>
      </c>
      <c r="E2042" s="275">
        <f t="shared" si="69"/>
        <v>44216</v>
      </c>
      <c r="F2042" s="480"/>
      <c r="G2042" s="221" t="s">
        <v>74</v>
      </c>
      <c r="H2042" s="221" t="str" cm="1">
        <f t="array" ref="H2042">IFERROR(INDEX(INVESTOR_LIST[INVESTOR NAME],MATCH(I2042,INVESTOR_LIST[INVESTOR CODE],0),)," ")</f>
        <v>MD. EMDAD HOSSAIN</v>
      </c>
      <c r="I2042" s="145" t="s">
        <v>475</v>
      </c>
      <c r="J2042" s="146" t="s">
        <v>52</v>
      </c>
      <c r="K2042" s="219"/>
      <c r="L2042" s="219">
        <v>239516.58</v>
      </c>
      <c r="Q2042" s="133" t="s">
        <v>348</v>
      </c>
    </row>
    <row r="2043" spans="1:17" ht="22.5" x14ac:dyDescent="0.2">
      <c r="A2043" s="168">
        <v>2021</v>
      </c>
      <c r="B2043" s="168">
        <v>1</v>
      </c>
      <c r="C2043" s="168">
        <v>20</v>
      </c>
      <c r="D2043" s="141">
        <f t="shared" si="68"/>
        <v>44216</v>
      </c>
      <c r="E2043" s="275">
        <f t="shared" si="69"/>
        <v>44216</v>
      </c>
      <c r="F2043" s="479" t="s">
        <v>965</v>
      </c>
      <c r="G2043" s="220" t="s">
        <v>74</v>
      </c>
      <c r="H2043" s="220" t="str" cm="1">
        <f t="array" ref="H2043">IFERROR(INDEX(INVESTOR_LIST[INVESTOR NAME],MATCH(I2043,INVESTOR_LIST[INVESTOR CODE],0),)," ")</f>
        <v>AL MAMUN</v>
      </c>
      <c r="I2043" s="142" t="s">
        <v>499</v>
      </c>
      <c r="J2043" s="143" t="s">
        <v>13</v>
      </c>
      <c r="K2043" s="226">
        <v>93430</v>
      </c>
      <c r="L2043" s="226"/>
      <c r="Q2043" s="133" t="s">
        <v>348</v>
      </c>
    </row>
    <row r="2044" spans="1:17" ht="22.5" x14ac:dyDescent="0.2">
      <c r="A2044" s="133">
        <v>2021</v>
      </c>
      <c r="B2044" s="133">
        <v>1</v>
      </c>
      <c r="C2044" s="133">
        <v>20</v>
      </c>
      <c r="D2044" s="141">
        <f t="shared" si="68"/>
        <v>44216</v>
      </c>
      <c r="E2044" s="275">
        <f t="shared" si="69"/>
        <v>44216</v>
      </c>
      <c r="F2044" s="481"/>
      <c r="G2044" s="174" t="s">
        <v>74</v>
      </c>
      <c r="H2044" s="174" t="str" cm="1">
        <f t="array" ref="H2044">IFERROR(INDEX(INVESTOR_LIST[INVESTOR NAME],MATCH(I2044,INVESTOR_LIST[INVESTOR CODE],0),)," ")</f>
        <v>AL MAMUN</v>
      </c>
      <c r="I2044" s="148" t="s">
        <v>499</v>
      </c>
      <c r="J2044" s="149" t="s">
        <v>53</v>
      </c>
      <c r="K2044" s="218">
        <v>28024</v>
      </c>
      <c r="L2044" s="218"/>
      <c r="Q2044" s="133" t="s">
        <v>507</v>
      </c>
    </row>
    <row r="2045" spans="1:17" ht="22.5" x14ac:dyDescent="0.2">
      <c r="A2045" s="163">
        <v>2021</v>
      </c>
      <c r="B2045" s="163">
        <v>1</v>
      </c>
      <c r="C2045" s="163">
        <v>20</v>
      </c>
      <c r="D2045" s="141">
        <f t="shared" si="68"/>
        <v>44216</v>
      </c>
      <c r="E2045" s="275">
        <f t="shared" si="69"/>
        <v>44216</v>
      </c>
      <c r="F2045" s="480"/>
      <c r="G2045" s="221" t="s">
        <v>74</v>
      </c>
      <c r="H2045" s="221" t="str" cm="1">
        <f t="array" ref="H2045">IFERROR(INDEX(INVESTOR_LIST[INVESTOR NAME],MATCH(I2045,INVESTOR_LIST[INVESTOR CODE],0),)," ")</f>
        <v>AL MAMUN</v>
      </c>
      <c r="I2045" s="145" t="s">
        <v>499</v>
      </c>
      <c r="J2045" s="146" t="s">
        <v>52</v>
      </c>
      <c r="K2045" s="219"/>
      <c r="L2045" s="219">
        <v>121454</v>
      </c>
      <c r="Q2045" s="133" t="s">
        <v>507</v>
      </c>
    </row>
    <row r="2046" spans="1:17" ht="45" x14ac:dyDescent="0.2">
      <c r="A2046" s="168">
        <v>2021</v>
      </c>
      <c r="B2046" s="168">
        <v>1</v>
      </c>
      <c r="C2046" s="168">
        <v>21</v>
      </c>
      <c r="D2046" s="141">
        <f t="shared" si="68"/>
        <v>44217</v>
      </c>
      <c r="E2046" s="275">
        <f t="shared" si="69"/>
        <v>44217</v>
      </c>
      <c r="F2046" s="479" t="s">
        <v>964</v>
      </c>
      <c r="G2046" s="220" t="s">
        <v>74</v>
      </c>
      <c r="H2046" s="220" t="str" cm="1">
        <f t="array" ref="H2046">IFERROR(INDEX(INVESTOR_LIST[INVESTOR NAME],MATCH(I2046,INVESTOR_LIST[INVESTOR CODE],0),)," ")</f>
        <v>MD MIZANUR RAHMAN</v>
      </c>
      <c r="I2046" s="142" t="s">
        <v>482</v>
      </c>
      <c r="J2046" s="143" t="s">
        <v>52</v>
      </c>
      <c r="K2046" s="226">
        <v>107000</v>
      </c>
      <c r="L2046" s="226"/>
      <c r="Q2046" s="133" t="s">
        <v>507</v>
      </c>
    </row>
    <row r="2047" spans="1:17" ht="45" x14ac:dyDescent="0.2">
      <c r="A2047" s="133">
        <v>2021</v>
      </c>
      <c r="B2047" s="133">
        <v>1</v>
      </c>
      <c r="C2047" s="133">
        <v>21</v>
      </c>
      <c r="D2047" s="141">
        <f t="shared" si="68"/>
        <v>44217</v>
      </c>
      <c r="E2047" s="275">
        <f t="shared" si="69"/>
        <v>44217</v>
      </c>
      <c r="F2047" s="481"/>
      <c r="G2047" s="174" t="s">
        <v>74</v>
      </c>
      <c r="H2047" s="174" t="str" cm="1">
        <f t="array" ref="H2047">IFERROR(INDEX(INVESTOR_LIST[INVESTOR NAME],MATCH(I2047,INVESTOR_LIST[INVESTOR CODE],0),)," ")</f>
        <v>MD MIZANUR RAHMAN</v>
      </c>
      <c r="I2047" s="148" t="s">
        <v>482</v>
      </c>
      <c r="J2047" s="149" t="s">
        <v>13</v>
      </c>
      <c r="K2047" s="218"/>
      <c r="L2047" s="218">
        <v>82310</v>
      </c>
      <c r="Q2047" s="133" t="s">
        <v>348</v>
      </c>
    </row>
    <row r="2048" spans="1:17" ht="45" x14ac:dyDescent="0.2">
      <c r="A2048" s="163">
        <v>2021</v>
      </c>
      <c r="B2048" s="163">
        <v>1</v>
      </c>
      <c r="C2048" s="163">
        <v>21</v>
      </c>
      <c r="D2048" s="141">
        <f t="shared" si="68"/>
        <v>44217</v>
      </c>
      <c r="E2048" s="275">
        <f t="shared" si="69"/>
        <v>44217</v>
      </c>
      <c r="F2048" s="480"/>
      <c r="G2048" s="221" t="s">
        <v>74</v>
      </c>
      <c r="H2048" s="221" t="str" cm="1">
        <f t="array" ref="H2048">IFERROR(INDEX(INVESTOR_LIST[INVESTOR NAME],MATCH(I2048,INVESTOR_LIST[INVESTOR CODE],0),)," ")</f>
        <v>MD MIZANUR RAHMAN</v>
      </c>
      <c r="I2048" s="145" t="s">
        <v>482</v>
      </c>
      <c r="J2048" s="146" t="s">
        <v>53</v>
      </c>
      <c r="K2048" s="219"/>
      <c r="L2048" s="219">
        <v>24690</v>
      </c>
      <c r="Q2048" s="133" t="s">
        <v>348</v>
      </c>
    </row>
    <row r="2049" spans="1:18" ht="22.5" x14ac:dyDescent="0.2">
      <c r="A2049" s="168">
        <v>2021</v>
      </c>
      <c r="B2049" s="168">
        <v>1</v>
      </c>
      <c r="C2049" s="168">
        <v>21</v>
      </c>
      <c r="D2049" s="141">
        <f t="shared" si="68"/>
        <v>44217</v>
      </c>
      <c r="E2049" s="275">
        <f t="shared" si="69"/>
        <v>44217</v>
      </c>
      <c r="F2049" s="479" t="s">
        <v>965</v>
      </c>
      <c r="G2049" s="220" t="s">
        <v>74</v>
      </c>
      <c r="H2049" s="220" t="str" cm="1">
        <f t="array" ref="H2049">IFERROR(INDEX(INVESTOR_LIST[INVESTOR NAME],MATCH(I2049,INVESTOR_LIST[INVESTOR CODE],0),)," ")</f>
        <v>ALI IMAM</v>
      </c>
      <c r="I2049" s="142" t="s">
        <v>384</v>
      </c>
      <c r="J2049" s="143" t="s">
        <v>13</v>
      </c>
      <c r="K2049" s="226">
        <v>814450</v>
      </c>
      <c r="L2049" s="226"/>
      <c r="Q2049" s="133" t="s">
        <v>348</v>
      </c>
    </row>
    <row r="2050" spans="1:18" ht="22.5" x14ac:dyDescent="0.2">
      <c r="A2050" s="133">
        <v>2021</v>
      </c>
      <c r="B2050" s="133">
        <v>1</v>
      </c>
      <c r="C2050" s="133">
        <v>21</v>
      </c>
      <c r="D2050" s="141">
        <f t="shared" si="68"/>
        <v>44217</v>
      </c>
      <c r="E2050" s="275">
        <f t="shared" si="69"/>
        <v>44217</v>
      </c>
      <c r="F2050" s="481"/>
      <c r="G2050" s="174" t="s">
        <v>74</v>
      </c>
      <c r="H2050" s="174" t="str" cm="1">
        <f t="array" ref="H2050">IFERROR(INDEX(INVESTOR_LIST[INVESTOR NAME],MATCH(I2050,INVESTOR_LIST[INVESTOR CODE],0),)," ")</f>
        <v>ALI IMAM</v>
      </c>
      <c r="I2050" s="148" t="s">
        <v>384</v>
      </c>
      <c r="J2050" s="149" t="s">
        <v>53</v>
      </c>
      <c r="K2050" s="218">
        <v>244341.2</v>
      </c>
      <c r="L2050" s="218"/>
      <c r="Q2050" s="133" t="s">
        <v>348</v>
      </c>
    </row>
    <row r="2051" spans="1:18" ht="22.5" x14ac:dyDescent="0.2">
      <c r="A2051" s="163">
        <v>2021</v>
      </c>
      <c r="B2051" s="163">
        <v>1</v>
      </c>
      <c r="C2051" s="163">
        <v>21</v>
      </c>
      <c r="D2051" s="141">
        <f t="shared" si="68"/>
        <v>44217</v>
      </c>
      <c r="E2051" s="275">
        <f t="shared" si="69"/>
        <v>44217</v>
      </c>
      <c r="F2051" s="480"/>
      <c r="G2051" s="221" t="s">
        <v>74</v>
      </c>
      <c r="H2051" s="221" t="str" cm="1">
        <f t="array" ref="H2051">IFERROR(INDEX(INVESTOR_LIST[INVESTOR NAME],MATCH(I2051,INVESTOR_LIST[INVESTOR CODE],0),)," ")</f>
        <v>ALI IMAM</v>
      </c>
      <c r="I2051" s="145" t="s">
        <v>384</v>
      </c>
      <c r="J2051" s="146" t="s">
        <v>52</v>
      </c>
      <c r="K2051" s="219"/>
      <c r="L2051" s="219">
        <v>1058791.2</v>
      </c>
      <c r="Q2051" s="133" t="s">
        <v>348</v>
      </c>
    </row>
    <row r="2052" spans="1:18" ht="22.5" x14ac:dyDescent="0.2">
      <c r="A2052" s="168">
        <v>2021</v>
      </c>
      <c r="B2052" s="168">
        <v>1</v>
      </c>
      <c r="C2052" s="168">
        <v>21</v>
      </c>
      <c r="D2052" s="141">
        <f t="shared" si="68"/>
        <v>44217</v>
      </c>
      <c r="E2052" s="275">
        <f t="shared" si="69"/>
        <v>44217</v>
      </c>
      <c r="F2052" s="479" t="s">
        <v>964</v>
      </c>
      <c r="G2052" s="220" t="s">
        <v>74</v>
      </c>
      <c r="H2052" s="220" t="str" cm="1">
        <f t="array" ref="H2052">IFERROR(INDEX(INVESTOR_LIST[INVESTOR NAME],MATCH(I2052,INVESTOR_LIST[INVESTOR CODE],0),)," ")</f>
        <v>LUNA AKTHER</v>
      </c>
      <c r="I2052" s="142" t="s">
        <v>520</v>
      </c>
      <c r="J2052" s="143" t="s">
        <v>52</v>
      </c>
      <c r="K2052" s="226">
        <v>400000</v>
      </c>
      <c r="L2052" s="226"/>
      <c r="Q2052" s="133" t="s">
        <v>348</v>
      </c>
    </row>
    <row r="2053" spans="1:18" ht="22.5" x14ac:dyDescent="0.2">
      <c r="A2053" s="133">
        <v>2021</v>
      </c>
      <c r="B2053" s="133">
        <v>1</v>
      </c>
      <c r="C2053" s="133">
        <v>21</v>
      </c>
      <c r="D2053" s="141">
        <f t="shared" si="68"/>
        <v>44217</v>
      </c>
      <c r="E2053" s="275">
        <f t="shared" si="69"/>
        <v>44217</v>
      </c>
      <c r="F2053" s="481"/>
      <c r="G2053" s="174" t="s">
        <v>74</v>
      </c>
      <c r="H2053" s="174" t="str" cm="1">
        <f t="array" ref="H2053">IFERROR(INDEX(INVESTOR_LIST[INVESTOR NAME],MATCH(I2053,INVESTOR_LIST[INVESTOR CODE],0),)," ")</f>
        <v>LUNA AKTHER</v>
      </c>
      <c r="I2053" s="148" t="s">
        <v>520</v>
      </c>
      <c r="J2053" s="149" t="s">
        <v>13</v>
      </c>
      <c r="K2053" s="218"/>
      <c r="L2053" s="218">
        <v>307690</v>
      </c>
      <c r="Q2053" s="133" t="s">
        <v>348</v>
      </c>
    </row>
    <row r="2054" spans="1:18" ht="22.5" x14ac:dyDescent="0.2">
      <c r="A2054" s="163">
        <v>2021</v>
      </c>
      <c r="B2054" s="163">
        <v>1</v>
      </c>
      <c r="C2054" s="163">
        <v>21</v>
      </c>
      <c r="D2054" s="141">
        <f t="shared" si="68"/>
        <v>44217</v>
      </c>
      <c r="E2054" s="275">
        <f t="shared" si="69"/>
        <v>44217</v>
      </c>
      <c r="F2054" s="480"/>
      <c r="G2054" s="221" t="s">
        <v>74</v>
      </c>
      <c r="H2054" s="221" t="str" cm="1">
        <f t="array" ref="H2054">IFERROR(INDEX(INVESTOR_LIST[INVESTOR NAME],MATCH(I2054,INVESTOR_LIST[INVESTOR CODE],0),)," ")</f>
        <v>LUNA AKTHER</v>
      </c>
      <c r="I2054" s="145" t="s">
        <v>520</v>
      </c>
      <c r="J2054" s="146" t="s">
        <v>53</v>
      </c>
      <c r="K2054" s="219"/>
      <c r="L2054" s="219">
        <v>92310</v>
      </c>
      <c r="Q2054" s="133" t="s">
        <v>348</v>
      </c>
    </row>
    <row r="2055" spans="1:18" x14ac:dyDescent="0.2">
      <c r="A2055" s="168">
        <v>2021</v>
      </c>
      <c r="B2055" s="168">
        <v>1</v>
      </c>
      <c r="C2055" s="168">
        <v>21</v>
      </c>
      <c r="D2055" s="141">
        <f t="shared" si="68"/>
        <v>44217</v>
      </c>
      <c r="E2055" s="275">
        <f t="shared" si="69"/>
        <v>44217</v>
      </c>
      <c r="F2055" s="479" t="s">
        <v>77</v>
      </c>
      <c r="G2055" s="220" t="s">
        <v>74</v>
      </c>
      <c r="H2055" s="220" t="str" cm="1">
        <f t="array" ref="H2055">IFERROR(INDEX(INVESTOR_LIST[INVESTOR NAME],MATCH(I2055,INVESTOR_LIST[INVESTOR CODE],0),)," ")</f>
        <v xml:space="preserve"> </v>
      </c>
      <c r="I2055" s="142" t="s">
        <v>348</v>
      </c>
      <c r="J2055" s="143" t="s">
        <v>61</v>
      </c>
      <c r="K2055" s="226">
        <v>10</v>
      </c>
      <c r="L2055" s="226"/>
      <c r="Q2055" s="133" t="s">
        <v>348</v>
      </c>
    </row>
    <row r="2056" spans="1:18" x14ac:dyDescent="0.2">
      <c r="A2056" s="163">
        <v>2021</v>
      </c>
      <c r="B2056" s="163">
        <v>1</v>
      </c>
      <c r="C2056" s="163">
        <v>21</v>
      </c>
      <c r="D2056" s="141">
        <f t="shared" si="68"/>
        <v>44217</v>
      </c>
      <c r="E2056" s="275">
        <f t="shared" si="69"/>
        <v>44217</v>
      </c>
      <c r="F2056" s="480"/>
      <c r="G2056" s="221" t="s">
        <v>74</v>
      </c>
      <c r="H2056" s="221" t="str" cm="1">
        <f t="array" ref="H2056">IFERROR(INDEX(INVESTOR_LIST[INVESTOR NAME],MATCH(I2056,INVESTOR_LIST[INVESTOR CODE],0),)," ")</f>
        <v xml:space="preserve"> </v>
      </c>
      <c r="I2056" s="145" t="s">
        <v>348</v>
      </c>
      <c r="J2056" s="146" t="s">
        <v>52</v>
      </c>
      <c r="K2056" s="219"/>
      <c r="L2056" s="219">
        <v>10</v>
      </c>
      <c r="Q2056" s="133" t="s">
        <v>348</v>
      </c>
    </row>
    <row r="2057" spans="1:18" x14ac:dyDescent="0.2">
      <c r="A2057" s="238">
        <v>2021</v>
      </c>
      <c r="B2057" s="238">
        <v>1</v>
      </c>
      <c r="C2057" s="238">
        <v>21</v>
      </c>
      <c r="D2057" s="270">
        <f t="shared" si="68"/>
        <v>44217</v>
      </c>
      <c r="E2057" s="279">
        <f t="shared" si="69"/>
        <v>44217</v>
      </c>
      <c r="F2057" s="477" t="s">
        <v>347</v>
      </c>
      <c r="G2057" s="239" t="s">
        <v>94</v>
      </c>
      <c r="H2057" s="239" t="str" cm="1">
        <f t="array" ref="H2057">IFERROR(INDEX(INVESTOR_LIST[INVESTOR NAME],MATCH(I2057,INVESTOR_LIST[INVESTOR CODE],0),)," ")</f>
        <v xml:space="preserve"> </v>
      </c>
      <c r="I2057" s="262" t="s">
        <v>348</v>
      </c>
      <c r="J2057" s="240" t="s">
        <v>108</v>
      </c>
      <c r="K2057" s="241">
        <v>68063.699999950826</v>
      </c>
      <c r="L2057" s="241"/>
      <c r="Q2057" s="133" t="s">
        <v>348</v>
      </c>
    </row>
    <row r="2058" spans="1:18" x14ac:dyDescent="0.2">
      <c r="A2058" s="242">
        <v>2021</v>
      </c>
      <c r="B2058" s="242">
        <v>1</v>
      </c>
      <c r="C2058" s="242">
        <v>21</v>
      </c>
      <c r="D2058" s="270">
        <f t="shared" si="68"/>
        <v>44217</v>
      </c>
      <c r="E2058" s="279">
        <f t="shared" si="69"/>
        <v>44217</v>
      </c>
      <c r="F2058" s="478"/>
      <c r="G2058" s="243" t="s">
        <v>94</v>
      </c>
      <c r="H2058" s="243" t="str" cm="1">
        <f t="array" ref="H2058">IFERROR(INDEX(INVESTOR_LIST[INVESTOR NAME],MATCH(I2058,INVESTOR_LIST[INVESTOR CODE],0),)," ")</f>
        <v xml:space="preserve"> </v>
      </c>
      <c r="I2058" s="263" t="s">
        <v>348</v>
      </c>
      <c r="J2058" s="244" t="s">
        <v>82</v>
      </c>
      <c r="K2058" s="245"/>
      <c r="L2058" s="245">
        <v>68063.699999950826</v>
      </c>
      <c r="Q2058" s="133" t="s">
        <v>522</v>
      </c>
    </row>
    <row r="2059" spans="1:18" ht="22.5" x14ac:dyDescent="0.2">
      <c r="A2059" s="246">
        <v>2021</v>
      </c>
      <c r="B2059" s="246">
        <v>1</v>
      </c>
      <c r="C2059" s="246">
        <v>21</v>
      </c>
      <c r="D2059" s="270">
        <f t="shared" si="68"/>
        <v>44217</v>
      </c>
      <c r="E2059" s="279">
        <f t="shared" si="69"/>
        <v>44217</v>
      </c>
      <c r="F2059" s="482" t="s">
        <v>148</v>
      </c>
      <c r="G2059" s="247" t="s">
        <v>94</v>
      </c>
      <c r="H2059" s="247" t="str" cm="1">
        <f t="array" ref="H2059">IFERROR(INDEX(INVESTOR_LIST[INVESTOR NAME],MATCH(I2059,INVESTOR_LIST[INVESTOR CODE],0),)," ")</f>
        <v xml:space="preserve"> </v>
      </c>
      <c r="I2059" s="248" t="s">
        <v>348</v>
      </c>
      <c r="J2059" s="249" t="s">
        <v>95</v>
      </c>
      <c r="K2059" s="250">
        <v>2747.2527472527472</v>
      </c>
      <c r="L2059" s="241"/>
      <c r="M2059" s="133">
        <v>2747.2527472527472</v>
      </c>
      <c r="N2059" s="160">
        <f>K2111/12.99</f>
        <v>14000</v>
      </c>
      <c r="Q2059" s="133" t="s">
        <v>522</v>
      </c>
    </row>
    <row r="2060" spans="1:18" x14ac:dyDescent="0.2">
      <c r="A2060" s="242">
        <v>2021</v>
      </c>
      <c r="B2060" s="242">
        <v>1</v>
      </c>
      <c r="C2060" s="242">
        <v>21</v>
      </c>
      <c r="D2060" s="270">
        <f t="shared" si="68"/>
        <v>44217</v>
      </c>
      <c r="E2060" s="279">
        <f t="shared" si="69"/>
        <v>44217</v>
      </c>
      <c r="F2060" s="478"/>
      <c r="G2060" s="243" t="s">
        <v>94</v>
      </c>
      <c r="H2060" s="243" t="str" cm="1">
        <f t="array" ref="H2060">IFERROR(INDEX(INVESTOR_LIST[INVESTOR NAME],MATCH(I2060,INVESTOR_LIST[INVESTOR CODE],0),)," ")</f>
        <v xml:space="preserve"> </v>
      </c>
      <c r="I2060" s="263" t="s">
        <v>348</v>
      </c>
      <c r="J2060" s="244" t="s">
        <v>63</v>
      </c>
      <c r="K2060" s="245"/>
      <c r="L2060" s="245">
        <v>2747.2527472527472</v>
      </c>
      <c r="M2060" s="133">
        <v>78977.800148204726</v>
      </c>
      <c r="Q2060" s="133" t="s">
        <v>522</v>
      </c>
    </row>
    <row r="2061" spans="1:18" x14ac:dyDescent="0.2">
      <c r="A2061" s="246">
        <v>2021</v>
      </c>
      <c r="B2061" s="246">
        <v>1</v>
      </c>
      <c r="C2061" s="246">
        <v>21</v>
      </c>
      <c r="D2061" s="270">
        <f t="shared" ref="D2061:D2124" si="70">DATE(A2061,B2061,C2061)</f>
        <v>44217</v>
      </c>
      <c r="E2061" s="279">
        <f t="shared" si="69"/>
        <v>44217</v>
      </c>
      <c r="F2061" s="482" t="s">
        <v>137</v>
      </c>
      <c r="G2061" s="247" t="s">
        <v>94</v>
      </c>
      <c r="H2061" s="247" t="str" cm="1">
        <f t="array" ref="H2061">IFERROR(INDEX(INVESTOR_LIST[INVESTOR NAME],MATCH(I2061,INVESTOR_LIST[INVESTOR CODE],0),)," ")</f>
        <v xml:space="preserve"> </v>
      </c>
      <c r="I2061" s="248" t="s">
        <v>348</v>
      </c>
      <c r="J2061" s="249" t="s">
        <v>97</v>
      </c>
      <c r="K2061" s="250">
        <v>78977.800148204726</v>
      </c>
      <c r="L2061" s="252"/>
      <c r="M2061" s="133">
        <v>3708.5053920256209</v>
      </c>
      <c r="Q2061" s="133" t="s">
        <v>348</v>
      </c>
      <c r="R2061" s="172"/>
    </row>
    <row r="2062" spans="1:18" x14ac:dyDescent="0.2">
      <c r="A2062" s="242">
        <v>2021</v>
      </c>
      <c r="B2062" s="242">
        <v>1</v>
      </c>
      <c r="C2062" s="242">
        <v>21</v>
      </c>
      <c r="D2062" s="270">
        <f t="shared" si="70"/>
        <v>44217</v>
      </c>
      <c r="E2062" s="279">
        <f t="shared" ref="E2062:E2125" si="71">DATE(A2062,B2062,C2062)</f>
        <v>44217</v>
      </c>
      <c r="F2062" s="478"/>
      <c r="G2062" s="243" t="s">
        <v>94</v>
      </c>
      <c r="H2062" s="243" t="str" cm="1">
        <f t="array" ref="H2062">IFERROR(INDEX(INVESTOR_LIST[INVESTOR NAME],MATCH(I2062,INVESTOR_LIST[INVESTOR CODE],0),)," ")</f>
        <v xml:space="preserve"> </v>
      </c>
      <c r="I2062" s="263" t="s">
        <v>348</v>
      </c>
      <c r="J2062" s="244" t="s">
        <v>47</v>
      </c>
      <c r="K2062" s="245"/>
      <c r="L2062" s="245">
        <v>78977.800148204726</v>
      </c>
      <c r="Q2062" s="133" t="s">
        <v>348</v>
      </c>
      <c r="R2062" s="172"/>
    </row>
    <row r="2063" spans="1:18" x14ac:dyDescent="0.2">
      <c r="A2063" s="246">
        <v>2021</v>
      </c>
      <c r="B2063" s="246">
        <v>1</v>
      </c>
      <c r="C2063" s="246">
        <v>21</v>
      </c>
      <c r="D2063" s="270">
        <f t="shared" si="70"/>
        <v>44217</v>
      </c>
      <c r="E2063" s="279">
        <f t="shared" si="71"/>
        <v>44217</v>
      </c>
      <c r="F2063" s="482" t="s">
        <v>138</v>
      </c>
      <c r="G2063" s="247" t="s">
        <v>94</v>
      </c>
      <c r="H2063" s="247" t="str" cm="1">
        <f t="array" ref="H2063">IFERROR(INDEX(INVESTOR_LIST[INVESTOR NAME],MATCH(I2063,INVESTOR_LIST[INVESTOR CODE],0),)," ")</f>
        <v xml:space="preserve"> </v>
      </c>
      <c r="I2063" s="248" t="s">
        <v>348</v>
      </c>
      <c r="J2063" s="249" t="s">
        <v>100</v>
      </c>
      <c r="K2063" s="250">
        <v>3708.5053920256209</v>
      </c>
      <c r="L2063" s="252"/>
      <c r="Q2063" s="133" t="s">
        <v>348</v>
      </c>
      <c r="R2063" s="172"/>
    </row>
    <row r="2064" spans="1:18" x14ac:dyDescent="0.2">
      <c r="A2064" s="242">
        <v>2021</v>
      </c>
      <c r="B2064" s="242">
        <v>1</v>
      </c>
      <c r="C2064" s="242">
        <v>21</v>
      </c>
      <c r="D2064" s="270">
        <f t="shared" si="70"/>
        <v>44217</v>
      </c>
      <c r="E2064" s="279">
        <f t="shared" si="71"/>
        <v>44217</v>
      </c>
      <c r="F2064" s="478"/>
      <c r="G2064" s="243" t="s">
        <v>94</v>
      </c>
      <c r="H2064" s="243" t="str" cm="1">
        <f t="array" ref="H2064">IFERROR(INDEX(INVESTOR_LIST[INVESTOR NAME],MATCH(I2064,INVESTOR_LIST[INVESTOR CODE],0),)," ")</f>
        <v xml:space="preserve"> </v>
      </c>
      <c r="I2064" s="263" t="s">
        <v>348</v>
      </c>
      <c r="J2064" s="244" t="s">
        <v>48</v>
      </c>
      <c r="K2064" s="245"/>
      <c r="L2064" s="245">
        <v>3708.5053920256209</v>
      </c>
      <c r="Q2064" s="133" t="s">
        <v>348</v>
      </c>
      <c r="R2064" s="160"/>
    </row>
    <row r="2065" spans="1:18" x14ac:dyDescent="0.2">
      <c r="A2065" s="133">
        <v>2021</v>
      </c>
      <c r="B2065" s="133">
        <v>1</v>
      </c>
      <c r="C2065" s="133">
        <v>24</v>
      </c>
      <c r="D2065" s="141">
        <f t="shared" si="70"/>
        <v>44220</v>
      </c>
      <c r="E2065" s="275">
        <f t="shared" si="71"/>
        <v>44220</v>
      </c>
      <c r="F2065" s="479" t="s">
        <v>360</v>
      </c>
      <c r="G2065" s="174" t="s">
        <v>94</v>
      </c>
      <c r="H2065" s="174" t="str" cm="1">
        <f t="array" ref="H2065">IFERROR(INDEX(INVESTOR_LIST[INVESTOR NAME],MATCH(I2065,INVESTOR_LIST[INVESTOR CODE],0),)," ")</f>
        <v xml:space="preserve"> </v>
      </c>
      <c r="I2065" s="148" t="s">
        <v>348</v>
      </c>
      <c r="J2065" s="149" t="s">
        <v>190</v>
      </c>
      <c r="K2065" s="172">
        <v>908362</v>
      </c>
      <c r="Q2065" s="133" t="s">
        <v>348</v>
      </c>
      <c r="R2065" s="172"/>
    </row>
    <row r="2066" spans="1:18" ht="11.25" customHeight="1" x14ac:dyDescent="0.2">
      <c r="A2066" s="133">
        <v>2021</v>
      </c>
      <c r="B2066" s="133">
        <v>1</v>
      </c>
      <c r="C2066" s="133">
        <v>24</v>
      </c>
      <c r="D2066" s="141">
        <f t="shared" si="70"/>
        <v>44220</v>
      </c>
      <c r="E2066" s="275">
        <f t="shared" si="71"/>
        <v>44220</v>
      </c>
      <c r="F2066" s="481"/>
      <c r="G2066" s="174" t="s">
        <v>94</v>
      </c>
      <c r="H2066" s="174" t="str" cm="1">
        <f t="array" ref="H2066">IFERROR(INDEX(INVESTOR_LIST[INVESTOR NAME],MATCH(I2066,INVESTOR_LIST[INVESTOR CODE],0),)," ")</f>
        <v xml:space="preserve"> </v>
      </c>
      <c r="I2066" s="148" t="s">
        <v>348</v>
      </c>
      <c r="J2066" s="149" t="s">
        <v>80</v>
      </c>
      <c r="K2066" s="172">
        <v>1638</v>
      </c>
      <c r="Q2066" s="133" t="s">
        <v>348</v>
      </c>
    </row>
    <row r="2067" spans="1:18" x14ac:dyDescent="0.2">
      <c r="A2067" s="133">
        <v>2021</v>
      </c>
      <c r="B2067" s="133">
        <v>1</v>
      </c>
      <c r="C2067" s="133">
        <v>24</v>
      </c>
      <c r="D2067" s="141">
        <f t="shared" si="70"/>
        <v>44220</v>
      </c>
      <c r="E2067" s="275">
        <f t="shared" si="71"/>
        <v>44220</v>
      </c>
      <c r="F2067" s="481"/>
      <c r="G2067" s="174" t="s">
        <v>94</v>
      </c>
      <c r="H2067" s="174" t="str" cm="1">
        <f t="array" ref="H2067">IFERROR(INDEX(INVESTOR_LIST[INVESTOR NAME],MATCH(I2067,INVESTOR_LIST[INVESTOR CODE],0),)," ")</f>
        <v xml:space="preserve"> </v>
      </c>
      <c r="I2067" s="148" t="s">
        <v>348</v>
      </c>
      <c r="J2067" s="149" t="s">
        <v>79</v>
      </c>
      <c r="L2067" s="172">
        <v>663788.98</v>
      </c>
      <c r="Q2067" s="133" t="s">
        <v>348</v>
      </c>
    </row>
    <row r="2068" spans="1:18" x14ac:dyDescent="0.2">
      <c r="A2068" s="163">
        <v>2021</v>
      </c>
      <c r="B2068" s="163">
        <v>1</v>
      </c>
      <c r="C2068" s="163">
        <v>24</v>
      </c>
      <c r="D2068" s="141">
        <f t="shared" si="70"/>
        <v>44220</v>
      </c>
      <c r="E2068" s="275">
        <f t="shared" si="71"/>
        <v>44220</v>
      </c>
      <c r="F2068" s="480"/>
      <c r="G2068" s="221" t="s">
        <v>94</v>
      </c>
      <c r="H2068" s="221" t="str" cm="1">
        <f t="array" ref="H2068">IFERROR(INDEX(INVESTOR_LIST[INVESTOR NAME],MATCH(I2068,INVESTOR_LIST[INVESTOR CODE],0),)," ")</f>
        <v xml:space="preserve"> </v>
      </c>
      <c r="I2068" s="145" t="s">
        <v>348</v>
      </c>
      <c r="J2068" s="146" t="s">
        <v>191</v>
      </c>
      <c r="K2068" s="219"/>
      <c r="L2068" s="219">
        <v>246211.02</v>
      </c>
      <c r="Q2068" s="133" t="s">
        <v>348</v>
      </c>
    </row>
    <row r="2069" spans="1:18" ht="33.75" x14ac:dyDescent="0.2">
      <c r="A2069" s="133">
        <v>2021</v>
      </c>
      <c r="B2069" s="133">
        <v>1</v>
      </c>
      <c r="C2069" s="133">
        <v>24</v>
      </c>
      <c r="D2069" s="141">
        <f t="shared" si="70"/>
        <v>44220</v>
      </c>
      <c r="E2069" s="275">
        <f t="shared" si="71"/>
        <v>44220</v>
      </c>
      <c r="F2069" s="479" t="s">
        <v>965</v>
      </c>
      <c r="G2069" s="174" t="s">
        <v>74</v>
      </c>
      <c r="H2069" s="174" t="str" cm="1">
        <f t="array" ref="H2069">IFERROR(INDEX(INVESTOR_LIST[INVESTOR NAME],MATCH(I2069,INVESTOR_LIST[INVESTOR CODE],0),)," ")</f>
        <v>KAZI MD. ANISUR RAHMAN</v>
      </c>
      <c r="I2069" s="148" t="s">
        <v>514</v>
      </c>
      <c r="J2069" s="149" t="s">
        <v>13</v>
      </c>
      <c r="K2069" s="218">
        <v>162210</v>
      </c>
      <c r="L2069" s="218"/>
      <c r="Q2069" s="133" t="s">
        <v>348</v>
      </c>
    </row>
    <row r="2070" spans="1:18" ht="33.75" x14ac:dyDescent="0.2">
      <c r="A2070" s="133">
        <v>2021</v>
      </c>
      <c r="B2070" s="133">
        <v>1</v>
      </c>
      <c r="C2070" s="133">
        <v>24</v>
      </c>
      <c r="D2070" s="141">
        <f t="shared" si="70"/>
        <v>44220</v>
      </c>
      <c r="E2070" s="275">
        <f t="shared" si="71"/>
        <v>44220</v>
      </c>
      <c r="F2070" s="481"/>
      <c r="G2070" s="174" t="s">
        <v>74</v>
      </c>
      <c r="H2070" s="174" t="str" cm="1">
        <f t="array" ref="H2070">IFERROR(INDEX(INVESTOR_LIST[INVESTOR NAME],MATCH(I2070,INVESTOR_LIST[INVESTOR CODE],0),)," ")</f>
        <v>KAZI MD. ANISUR RAHMAN</v>
      </c>
      <c r="I2070" s="148" t="s">
        <v>514</v>
      </c>
      <c r="J2070" s="149" t="s">
        <v>53</v>
      </c>
      <c r="K2070" s="218">
        <v>47946.48</v>
      </c>
      <c r="L2070" s="218"/>
      <c r="N2070" s="133">
        <v>18825</v>
      </c>
      <c r="Q2070" s="133" t="s">
        <v>348</v>
      </c>
    </row>
    <row r="2071" spans="1:18" ht="33.75" x14ac:dyDescent="0.2">
      <c r="A2071" s="163">
        <v>2021</v>
      </c>
      <c r="B2071" s="163">
        <v>1</v>
      </c>
      <c r="C2071" s="163">
        <v>24</v>
      </c>
      <c r="D2071" s="141">
        <f t="shared" si="70"/>
        <v>44220</v>
      </c>
      <c r="E2071" s="275">
        <f t="shared" si="71"/>
        <v>44220</v>
      </c>
      <c r="F2071" s="480"/>
      <c r="G2071" s="221" t="s">
        <v>74</v>
      </c>
      <c r="H2071" s="221" t="str" cm="1">
        <f t="array" ref="H2071">IFERROR(INDEX(INVESTOR_LIST[INVESTOR NAME],MATCH(I2071,INVESTOR_LIST[INVESTOR CODE],0),)," ")</f>
        <v>KAZI MD. ANISUR RAHMAN</v>
      </c>
      <c r="I2071" s="145" t="s">
        <v>514</v>
      </c>
      <c r="J2071" s="146" t="s">
        <v>52</v>
      </c>
      <c r="K2071" s="219"/>
      <c r="L2071" s="219">
        <v>210156.48</v>
      </c>
      <c r="Q2071" s="133" t="s">
        <v>348</v>
      </c>
    </row>
    <row r="2072" spans="1:18" x14ac:dyDescent="0.2">
      <c r="A2072" s="133">
        <v>2021</v>
      </c>
      <c r="B2072" s="133">
        <v>1</v>
      </c>
      <c r="C2072" s="133">
        <v>25</v>
      </c>
      <c r="D2072" s="141">
        <f t="shared" si="70"/>
        <v>44221</v>
      </c>
      <c r="E2072" s="275">
        <f t="shared" si="71"/>
        <v>44221</v>
      </c>
      <c r="F2072" s="481" t="s">
        <v>360</v>
      </c>
      <c r="G2072" s="174" t="s">
        <v>94</v>
      </c>
      <c r="H2072" s="174" t="str" cm="1">
        <f t="array" ref="H2072">IFERROR(INDEX(INVESTOR_LIST[INVESTOR NAME],MATCH(I2072,INVESTOR_LIST[INVESTOR CODE],0),)," ")</f>
        <v xml:space="preserve"> </v>
      </c>
      <c r="I2072" s="148" t="s">
        <v>348</v>
      </c>
      <c r="J2072" s="149" t="s">
        <v>190</v>
      </c>
      <c r="K2072" s="172">
        <v>4598707.4000000004</v>
      </c>
      <c r="Q2072" s="133" t="s">
        <v>348</v>
      </c>
    </row>
    <row r="2073" spans="1:18" x14ac:dyDescent="0.2">
      <c r="A2073" s="133">
        <v>2021</v>
      </c>
      <c r="B2073" s="133">
        <v>1</v>
      </c>
      <c r="C2073" s="133">
        <v>25</v>
      </c>
      <c r="D2073" s="141">
        <f t="shared" si="70"/>
        <v>44221</v>
      </c>
      <c r="E2073" s="275">
        <f t="shared" si="71"/>
        <v>44221</v>
      </c>
      <c r="F2073" s="481"/>
      <c r="G2073" s="174" t="s">
        <v>94</v>
      </c>
      <c r="H2073" s="174" t="str" cm="1">
        <f t="array" ref="H2073">IFERROR(INDEX(INVESTOR_LIST[INVESTOR NAME],MATCH(I2073,INVESTOR_LIST[INVESTOR CODE],0),)," ")</f>
        <v xml:space="preserve"> </v>
      </c>
      <c r="I2073" s="148" t="s">
        <v>348</v>
      </c>
      <c r="J2073" s="149" t="s">
        <v>80</v>
      </c>
      <c r="K2073" s="172">
        <v>8292.6</v>
      </c>
      <c r="Q2073" s="133" t="s">
        <v>348</v>
      </c>
    </row>
    <row r="2074" spans="1:18" x14ac:dyDescent="0.2">
      <c r="A2074" s="133">
        <v>2021</v>
      </c>
      <c r="B2074" s="133">
        <v>1</v>
      </c>
      <c r="C2074" s="133">
        <v>25</v>
      </c>
      <c r="D2074" s="141">
        <f t="shared" si="70"/>
        <v>44221</v>
      </c>
      <c r="E2074" s="275">
        <f t="shared" si="71"/>
        <v>44221</v>
      </c>
      <c r="F2074" s="481"/>
      <c r="G2074" s="174" t="s">
        <v>94</v>
      </c>
      <c r="H2074" s="174" t="str" cm="1">
        <f t="array" ref="H2074">IFERROR(INDEX(INVESTOR_LIST[INVESTOR NAME],MATCH(I2074,INVESTOR_LIST[INVESTOR CODE],0),)," ")</f>
        <v xml:space="preserve"> </v>
      </c>
      <c r="I2074" s="148" t="s">
        <v>348</v>
      </c>
      <c r="J2074" s="149" t="s">
        <v>79</v>
      </c>
      <c r="L2074" s="172">
        <v>3375068.92</v>
      </c>
      <c r="Q2074" s="133" t="s">
        <v>348</v>
      </c>
    </row>
    <row r="2075" spans="1:18" x14ac:dyDescent="0.2">
      <c r="A2075" s="163">
        <v>2021</v>
      </c>
      <c r="B2075" s="163">
        <v>1</v>
      </c>
      <c r="C2075" s="163">
        <v>25</v>
      </c>
      <c r="D2075" s="141">
        <f t="shared" si="70"/>
        <v>44221</v>
      </c>
      <c r="E2075" s="275">
        <f t="shared" si="71"/>
        <v>44221</v>
      </c>
      <c r="F2075" s="480"/>
      <c r="G2075" s="221" t="s">
        <v>94</v>
      </c>
      <c r="H2075" s="221" t="str" cm="1">
        <f t="array" ref="H2075">IFERROR(INDEX(INVESTOR_LIST[INVESTOR NAME],MATCH(I2075,INVESTOR_LIST[INVESTOR CODE],0),)," ")</f>
        <v xml:space="preserve"> </v>
      </c>
      <c r="I2075" s="145" t="s">
        <v>348</v>
      </c>
      <c r="J2075" s="146" t="s">
        <v>191</v>
      </c>
      <c r="K2075" s="219"/>
      <c r="L2075" s="219">
        <v>1231931.08</v>
      </c>
      <c r="Q2075" s="133" t="s">
        <v>348</v>
      </c>
    </row>
    <row r="2076" spans="1:18" x14ac:dyDescent="0.2">
      <c r="A2076" s="168">
        <v>2021</v>
      </c>
      <c r="B2076" s="168">
        <v>1</v>
      </c>
      <c r="C2076" s="168">
        <v>26</v>
      </c>
      <c r="D2076" s="141">
        <f t="shared" si="70"/>
        <v>44222</v>
      </c>
      <c r="E2076" s="275">
        <f t="shared" si="71"/>
        <v>44222</v>
      </c>
      <c r="F2076" s="479" t="s">
        <v>254</v>
      </c>
      <c r="G2076" s="220" t="s">
        <v>74</v>
      </c>
      <c r="H2076" s="220" t="str" cm="1">
        <f t="array" ref="H2076">IFERROR(INDEX(INVESTOR_LIST[INVESTOR NAME],MATCH(I2076,INVESTOR_LIST[INVESTOR CODE],0),)," ")</f>
        <v xml:space="preserve"> </v>
      </c>
      <c r="I2076" s="142" t="s">
        <v>348</v>
      </c>
      <c r="J2076" s="143" t="s">
        <v>52</v>
      </c>
      <c r="K2076" s="226">
        <v>29000</v>
      </c>
      <c r="L2076" s="226"/>
      <c r="Q2076" s="133" t="s">
        <v>348</v>
      </c>
    </row>
    <row r="2077" spans="1:18" x14ac:dyDescent="0.2">
      <c r="A2077" s="133">
        <v>2021</v>
      </c>
      <c r="B2077" s="133">
        <v>1</v>
      </c>
      <c r="C2077" s="133">
        <v>26</v>
      </c>
      <c r="D2077" s="141">
        <f t="shared" si="70"/>
        <v>44222</v>
      </c>
      <c r="E2077" s="275">
        <f t="shared" si="71"/>
        <v>44222</v>
      </c>
      <c r="F2077" s="481"/>
      <c r="G2077" s="174" t="s">
        <v>74</v>
      </c>
      <c r="H2077" s="174" t="str" cm="1">
        <f t="array" ref="H2077">IFERROR(INDEX(INVESTOR_LIST[INVESTOR NAME],MATCH(I2077,INVESTOR_LIST[INVESTOR CODE],0),)," ")</f>
        <v xml:space="preserve"> </v>
      </c>
      <c r="I2077" s="148" t="s">
        <v>348</v>
      </c>
      <c r="J2077" s="149" t="s">
        <v>13</v>
      </c>
      <c r="K2077" s="218"/>
      <c r="L2077" s="218">
        <v>22330</v>
      </c>
      <c r="Q2077" s="133" t="s">
        <v>348</v>
      </c>
    </row>
    <row r="2078" spans="1:18" x14ac:dyDescent="0.2">
      <c r="A2078" s="163">
        <v>2021</v>
      </c>
      <c r="B2078" s="163">
        <v>1</v>
      </c>
      <c r="C2078" s="163">
        <v>26</v>
      </c>
      <c r="D2078" s="141">
        <f t="shared" si="70"/>
        <v>44222</v>
      </c>
      <c r="E2078" s="275">
        <f t="shared" si="71"/>
        <v>44222</v>
      </c>
      <c r="F2078" s="480"/>
      <c r="G2078" s="221" t="s">
        <v>74</v>
      </c>
      <c r="H2078" s="221" t="str" cm="1">
        <f t="array" ref="H2078">IFERROR(INDEX(INVESTOR_LIST[INVESTOR NAME],MATCH(I2078,INVESTOR_LIST[INVESTOR CODE],0),)," ")</f>
        <v xml:space="preserve"> </v>
      </c>
      <c r="I2078" s="145" t="s">
        <v>348</v>
      </c>
      <c r="J2078" s="146" t="s">
        <v>53</v>
      </c>
      <c r="K2078" s="219"/>
      <c r="L2078" s="219">
        <v>6670</v>
      </c>
      <c r="Q2078" s="133" t="s">
        <v>348</v>
      </c>
    </row>
    <row r="2079" spans="1:18" ht="11.25" customHeight="1" x14ac:dyDescent="0.2">
      <c r="A2079" s="168">
        <v>2021</v>
      </c>
      <c r="B2079" s="168">
        <v>1</v>
      </c>
      <c r="C2079" s="168">
        <v>26</v>
      </c>
      <c r="D2079" s="141">
        <f t="shared" si="70"/>
        <v>44222</v>
      </c>
      <c r="E2079" s="275">
        <f t="shared" si="71"/>
        <v>44222</v>
      </c>
      <c r="F2079" s="479" t="s">
        <v>964</v>
      </c>
      <c r="G2079" s="220" t="s">
        <v>74</v>
      </c>
      <c r="H2079" s="220" t="str" cm="1">
        <f t="array" ref="H2079">IFERROR(INDEX(INVESTOR_LIST[INVESTOR NAME],MATCH(I2079,INVESTOR_LIST[INVESTOR CODE],0),)," ")</f>
        <v>HASIB MUSTABSIR</v>
      </c>
      <c r="I2079" s="142" t="s">
        <v>521</v>
      </c>
      <c r="J2079" s="143" t="s">
        <v>52</v>
      </c>
      <c r="K2079" s="226">
        <v>200000</v>
      </c>
      <c r="L2079" s="226"/>
      <c r="Q2079" s="133" t="s">
        <v>348</v>
      </c>
    </row>
    <row r="2080" spans="1:18" ht="33.75" x14ac:dyDescent="0.2">
      <c r="A2080" s="133">
        <v>2021</v>
      </c>
      <c r="B2080" s="133">
        <v>1</v>
      </c>
      <c r="C2080" s="133">
        <v>26</v>
      </c>
      <c r="D2080" s="141">
        <f t="shared" si="70"/>
        <v>44222</v>
      </c>
      <c r="E2080" s="275">
        <f t="shared" si="71"/>
        <v>44222</v>
      </c>
      <c r="F2080" s="481"/>
      <c r="G2080" s="174" t="s">
        <v>74</v>
      </c>
      <c r="H2080" s="174" t="str" cm="1">
        <f t="array" ref="H2080">IFERROR(INDEX(INVESTOR_LIST[INVESTOR NAME],MATCH(I2080,INVESTOR_LIST[INVESTOR CODE],0),)," ")</f>
        <v>HASIB MUSTABSIR</v>
      </c>
      <c r="I2080" s="148" t="s">
        <v>521</v>
      </c>
      <c r="J2080" s="149" t="s">
        <v>13</v>
      </c>
      <c r="K2080" s="218"/>
      <c r="L2080" s="218">
        <v>153960</v>
      </c>
      <c r="Q2080" s="133" t="s">
        <v>348</v>
      </c>
    </row>
    <row r="2081" spans="1:17" ht="33.75" x14ac:dyDescent="0.2">
      <c r="A2081" s="163">
        <v>2021</v>
      </c>
      <c r="B2081" s="163">
        <v>1</v>
      </c>
      <c r="C2081" s="163">
        <v>26</v>
      </c>
      <c r="D2081" s="141">
        <f t="shared" si="70"/>
        <v>44222</v>
      </c>
      <c r="E2081" s="275">
        <f t="shared" si="71"/>
        <v>44222</v>
      </c>
      <c r="F2081" s="480"/>
      <c r="G2081" s="221" t="s">
        <v>74</v>
      </c>
      <c r="H2081" s="221" t="str" cm="1">
        <f t="array" ref="H2081">IFERROR(INDEX(INVESTOR_LIST[INVESTOR NAME],MATCH(I2081,INVESTOR_LIST[INVESTOR CODE],0),)," ")</f>
        <v>HASIB MUSTABSIR</v>
      </c>
      <c r="I2081" s="145" t="s">
        <v>521</v>
      </c>
      <c r="J2081" s="146" t="s">
        <v>53</v>
      </c>
      <c r="K2081" s="219"/>
      <c r="L2081" s="219">
        <v>46040</v>
      </c>
      <c r="Q2081" s="133" t="s">
        <v>348</v>
      </c>
    </row>
    <row r="2082" spans="1:17" x14ac:dyDescent="0.2">
      <c r="A2082" s="168">
        <v>2021</v>
      </c>
      <c r="B2082" s="168">
        <v>1</v>
      </c>
      <c r="C2082" s="168">
        <v>26</v>
      </c>
      <c r="D2082" s="141">
        <f t="shared" si="70"/>
        <v>44222</v>
      </c>
      <c r="E2082" s="275">
        <f t="shared" si="71"/>
        <v>44222</v>
      </c>
      <c r="F2082" s="479" t="s">
        <v>361</v>
      </c>
      <c r="G2082" s="220" t="s">
        <v>94</v>
      </c>
      <c r="H2082" s="220" t="str" cm="1">
        <f t="array" ref="H2082">IFERROR(INDEX(INVESTOR_LIST[INVESTOR NAME],MATCH(I2082,INVESTOR_LIST[INVESTOR CODE],0),)," ")</f>
        <v xml:space="preserve"> </v>
      </c>
      <c r="I2082" s="142" t="s">
        <v>348</v>
      </c>
      <c r="J2082" s="143" t="s">
        <v>79</v>
      </c>
      <c r="K2082" s="226">
        <v>4036300</v>
      </c>
      <c r="L2082" s="226"/>
    </row>
    <row r="2083" spans="1:17" x14ac:dyDescent="0.2">
      <c r="A2083" s="133">
        <v>2021</v>
      </c>
      <c r="B2083" s="133">
        <v>1</v>
      </c>
      <c r="C2083" s="133">
        <v>26</v>
      </c>
      <c r="D2083" s="141">
        <f t="shared" si="70"/>
        <v>44222</v>
      </c>
      <c r="E2083" s="275">
        <f t="shared" si="71"/>
        <v>44222</v>
      </c>
      <c r="F2083" s="481"/>
      <c r="G2083" s="174" t="s">
        <v>94</v>
      </c>
      <c r="H2083" s="174" t="str" cm="1">
        <f t="array" ref="H2083">IFERROR(INDEX(INVESTOR_LIST[INVESTOR NAME],MATCH(I2083,INVESTOR_LIST[INVESTOR CODE],0),)," ")</f>
        <v xml:space="preserve"> </v>
      </c>
      <c r="I2083" s="148" t="s">
        <v>348</v>
      </c>
      <c r="J2083" s="149" t="s">
        <v>190</v>
      </c>
      <c r="K2083" s="218">
        <v>7986103.4100000001</v>
      </c>
      <c r="L2083" s="218"/>
    </row>
    <row r="2084" spans="1:17" ht="11.25" customHeight="1" x14ac:dyDescent="0.2">
      <c r="A2084" s="133">
        <v>2021</v>
      </c>
      <c r="B2084" s="133">
        <v>1</v>
      </c>
      <c r="C2084" s="133">
        <v>26</v>
      </c>
      <c r="D2084" s="141">
        <f t="shared" si="70"/>
        <v>44222</v>
      </c>
      <c r="E2084" s="275">
        <f t="shared" si="71"/>
        <v>44222</v>
      </c>
      <c r="F2084" s="481"/>
      <c r="G2084" s="174" t="s">
        <v>94</v>
      </c>
      <c r="H2084" s="174" t="str" cm="1">
        <f t="array" ref="H2084">IFERROR(INDEX(INVESTOR_LIST[INVESTOR NAME],MATCH(I2084,INVESTOR_LIST[INVESTOR CODE],0),)," ")</f>
        <v xml:space="preserve"> </v>
      </c>
      <c r="I2084" s="148" t="s">
        <v>348</v>
      </c>
      <c r="J2084" s="149" t="s">
        <v>80</v>
      </c>
      <c r="K2084" s="218">
        <f>7265.34+21692.45</f>
        <v>28957.79</v>
      </c>
      <c r="L2084" s="218"/>
    </row>
    <row r="2085" spans="1:17" x14ac:dyDescent="0.2">
      <c r="A2085" s="133">
        <v>2021</v>
      </c>
      <c r="B2085" s="133">
        <v>1</v>
      </c>
      <c r="C2085" s="133">
        <v>26</v>
      </c>
      <c r="D2085" s="141">
        <f t="shared" si="70"/>
        <v>44222</v>
      </c>
      <c r="E2085" s="275">
        <f t="shared" si="71"/>
        <v>44222</v>
      </c>
      <c r="F2085" s="481"/>
      <c r="G2085" s="174" t="s">
        <v>94</v>
      </c>
      <c r="H2085" s="174" t="str" cm="1">
        <f t="array" ref="H2085">IFERROR(INDEX(INVESTOR_LIST[INVESTOR NAME],MATCH(I2085,INVESTOR_LIST[INVESTOR CODE],0),)," ")</f>
        <v xml:space="preserve"> </v>
      </c>
      <c r="I2085" s="148" t="s">
        <v>348</v>
      </c>
      <c r="J2085" s="149" t="s">
        <v>79</v>
      </c>
      <c r="K2085" s="218"/>
      <c r="L2085" s="218">
        <v>9025985.7599999998</v>
      </c>
    </row>
    <row r="2086" spans="1:17" x14ac:dyDescent="0.2">
      <c r="A2086" s="163">
        <v>2021</v>
      </c>
      <c r="B2086" s="163">
        <v>1</v>
      </c>
      <c r="C2086" s="163">
        <v>26</v>
      </c>
      <c r="D2086" s="141">
        <f t="shared" si="70"/>
        <v>44222</v>
      </c>
      <c r="E2086" s="275">
        <f t="shared" si="71"/>
        <v>44222</v>
      </c>
      <c r="F2086" s="480"/>
      <c r="G2086" s="221" t="s">
        <v>94</v>
      </c>
      <c r="H2086" s="221" t="str" cm="1">
        <f t="array" ref="H2086">IFERROR(INDEX(INVESTOR_LIST[INVESTOR NAME],MATCH(I2086,INVESTOR_LIST[INVESTOR CODE],0),)," ")</f>
        <v xml:space="preserve"> </v>
      </c>
      <c r="I2086" s="145" t="s">
        <v>348</v>
      </c>
      <c r="J2086" s="146" t="s">
        <v>191</v>
      </c>
      <c r="K2086" s="219"/>
      <c r="L2086" s="219">
        <v>3025375.44</v>
      </c>
    </row>
    <row r="2087" spans="1:17" x14ac:dyDescent="0.2">
      <c r="A2087" s="168">
        <v>2021</v>
      </c>
      <c r="B2087" s="168">
        <v>1</v>
      </c>
      <c r="C2087" s="168">
        <v>26</v>
      </c>
      <c r="D2087" s="141">
        <f t="shared" si="70"/>
        <v>44222</v>
      </c>
      <c r="E2087" s="275">
        <f t="shared" si="71"/>
        <v>44222</v>
      </c>
      <c r="F2087" s="479" t="s">
        <v>362</v>
      </c>
      <c r="G2087" s="220" t="s">
        <v>74</v>
      </c>
      <c r="H2087" s="220" t="str" cm="1">
        <f t="array" ref="H2087">IFERROR(INDEX(INVESTOR_LIST[INVESTOR NAME],MATCH(I2087,INVESTOR_LIST[INVESTOR CODE],0),)," ")</f>
        <v xml:space="preserve"> </v>
      </c>
      <c r="I2087" s="142" t="s">
        <v>348</v>
      </c>
      <c r="J2087" s="143" t="s">
        <v>104</v>
      </c>
      <c r="K2087" s="226">
        <v>20983.56</v>
      </c>
      <c r="L2087" s="226"/>
    </row>
    <row r="2088" spans="1:17" x14ac:dyDescent="0.2">
      <c r="A2088" s="163">
        <v>2021</v>
      </c>
      <c r="B2088" s="163">
        <v>1</v>
      </c>
      <c r="C2088" s="163">
        <v>26</v>
      </c>
      <c r="D2088" s="141">
        <f t="shared" si="70"/>
        <v>44222</v>
      </c>
      <c r="E2088" s="275">
        <f t="shared" si="71"/>
        <v>44222</v>
      </c>
      <c r="F2088" s="480"/>
      <c r="G2088" s="221" t="s">
        <v>74</v>
      </c>
      <c r="H2088" s="221" t="str" cm="1">
        <f t="array" ref="H2088">IFERROR(INDEX(INVESTOR_LIST[INVESTOR NAME],MATCH(I2088,INVESTOR_LIST[INVESTOR CODE],0),)," ")</f>
        <v xml:space="preserve"> </v>
      </c>
      <c r="I2088" s="145" t="s">
        <v>348</v>
      </c>
      <c r="J2088" s="146" t="s">
        <v>52</v>
      </c>
      <c r="K2088" s="219"/>
      <c r="L2088" s="219">
        <v>20983.56</v>
      </c>
    </row>
    <row r="2089" spans="1:17" x14ac:dyDescent="0.2">
      <c r="A2089" s="168">
        <v>2021</v>
      </c>
      <c r="B2089" s="168">
        <v>1</v>
      </c>
      <c r="C2089" s="168">
        <v>26</v>
      </c>
      <c r="D2089" s="141">
        <f t="shared" si="70"/>
        <v>44222</v>
      </c>
      <c r="E2089" s="275">
        <f t="shared" si="71"/>
        <v>44222</v>
      </c>
      <c r="F2089" s="494" t="s">
        <v>363</v>
      </c>
      <c r="G2089" s="220" t="s">
        <v>74</v>
      </c>
      <c r="H2089" s="220" t="str" cm="1">
        <f t="array" ref="H2089">IFERROR(INDEX(INVESTOR_LIST[INVESTOR NAME],MATCH(I2089,INVESTOR_LIST[INVESTOR CODE],0),)," ")</f>
        <v xml:space="preserve"> </v>
      </c>
      <c r="I2089" s="142" t="s">
        <v>348</v>
      </c>
      <c r="J2089" s="143" t="s">
        <v>52</v>
      </c>
      <c r="K2089" s="226">
        <v>908362</v>
      </c>
      <c r="L2089" s="226"/>
      <c r="N2089" s="156">
        <f>K2150/13.03</f>
        <v>7674.5970836531087</v>
      </c>
    </row>
    <row r="2090" spans="1:17" x14ac:dyDescent="0.2">
      <c r="A2090" s="163">
        <v>2021</v>
      </c>
      <c r="B2090" s="163">
        <v>1</v>
      </c>
      <c r="C2090" s="163">
        <v>26</v>
      </c>
      <c r="D2090" s="141">
        <f t="shared" si="70"/>
        <v>44222</v>
      </c>
      <c r="E2090" s="275">
        <f t="shared" si="71"/>
        <v>44222</v>
      </c>
      <c r="F2090" s="495"/>
      <c r="G2090" s="221" t="s">
        <v>74</v>
      </c>
      <c r="H2090" s="221" t="str" cm="1">
        <f t="array" ref="H2090">IFERROR(INDEX(INVESTOR_LIST[INVESTOR NAME],MATCH(I2090,INVESTOR_LIST[INVESTOR CODE],0),)," ")</f>
        <v xml:space="preserve"> </v>
      </c>
      <c r="I2090" s="145" t="s">
        <v>348</v>
      </c>
      <c r="J2090" s="146" t="s">
        <v>190</v>
      </c>
      <c r="K2090" s="219"/>
      <c r="L2090" s="219">
        <v>908362</v>
      </c>
    </row>
    <row r="2091" spans="1:17" x14ac:dyDescent="0.2">
      <c r="A2091" s="168">
        <v>2021</v>
      </c>
      <c r="B2091" s="168">
        <v>1</v>
      </c>
      <c r="C2091" s="168">
        <v>26</v>
      </c>
      <c r="D2091" s="141">
        <f t="shared" si="70"/>
        <v>44222</v>
      </c>
      <c r="E2091" s="275">
        <f t="shared" si="71"/>
        <v>44222</v>
      </c>
      <c r="F2091" s="479" t="s">
        <v>77</v>
      </c>
      <c r="G2091" s="220" t="s">
        <v>74</v>
      </c>
      <c r="H2091" s="220" t="str" cm="1">
        <f t="array" ref="H2091">IFERROR(INDEX(INVESTOR_LIST[INVESTOR NAME],MATCH(I2091,INVESTOR_LIST[INVESTOR CODE],0),)," ")</f>
        <v xml:space="preserve"> </v>
      </c>
      <c r="I2091" s="142" t="s">
        <v>348</v>
      </c>
      <c r="J2091" s="143" t="s">
        <v>61</v>
      </c>
      <c r="K2091" s="226">
        <v>10</v>
      </c>
      <c r="L2091" s="226"/>
    </row>
    <row r="2092" spans="1:17" x14ac:dyDescent="0.2">
      <c r="A2092" s="163">
        <v>2021</v>
      </c>
      <c r="B2092" s="163">
        <v>1</v>
      </c>
      <c r="C2092" s="163">
        <v>26</v>
      </c>
      <c r="D2092" s="141">
        <f t="shared" si="70"/>
        <v>44222</v>
      </c>
      <c r="E2092" s="275">
        <f t="shared" si="71"/>
        <v>44222</v>
      </c>
      <c r="F2092" s="480"/>
      <c r="G2092" s="221" t="s">
        <v>74</v>
      </c>
      <c r="H2092" s="221" t="str" cm="1">
        <f t="array" ref="H2092">IFERROR(INDEX(INVESTOR_LIST[INVESTOR NAME],MATCH(I2092,INVESTOR_LIST[INVESTOR CODE],0),)," ")</f>
        <v xml:space="preserve"> </v>
      </c>
      <c r="I2092" s="145" t="s">
        <v>348</v>
      </c>
      <c r="J2092" s="146" t="s">
        <v>52</v>
      </c>
      <c r="K2092" s="219"/>
      <c r="L2092" s="219">
        <v>10</v>
      </c>
    </row>
    <row r="2093" spans="1:17" x14ac:dyDescent="0.2">
      <c r="A2093" s="168">
        <v>2021</v>
      </c>
      <c r="B2093" s="168">
        <v>1</v>
      </c>
      <c r="C2093" s="168">
        <v>27</v>
      </c>
      <c r="D2093" s="141">
        <f t="shared" si="70"/>
        <v>44223</v>
      </c>
      <c r="E2093" s="275">
        <f t="shared" si="71"/>
        <v>44223</v>
      </c>
      <c r="F2093" s="494" t="s">
        <v>364</v>
      </c>
      <c r="G2093" s="220" t="s">
        <v>74</v>
      </c>
      <c r="H2093" s="220" t="str" cm="1">
        <f t="array" ref="H2093">IFERROR(INDEX(INVESTOR_LIST[INVESTOR NAME],MATCH(I2093,INVESTOR_LIST[INVESTOR CODE],0),)," ")</f>
        <v xml:space="preserve"> </v>
      </c>
      <c r="I2093" s="142" t="s">
        <v>348</v>
      </c>
      <c r="J2093" s="143" t="s">
        <v>52</v>
      </c>
      <c r="K2093" s="226">
        <v>7500</v>
      </c>
      <c r="L2093" s="226"/>
    </row>
    <row r="2094" spans="1:17" x14ac:dyDescent="0.2">
      <c r="A2094" s="163">
        <v>2021</v>
      </c>
      <c r="B2094" s="163">
        <v>1</v>
      </c>
      <c r="C2094" s="163">
        <v>27</v>
      </c>
      <c r="D2094" s="141">
        <f t="shared" si="70"/>
        <v>44223</v>
      </c>
      <c r="E2094" s="275">
        <f t="shared" si="71"/>
        <v>44223</v>
      </c>
      <c r="F2094" s="495"/>
      <c r="G2094" s="221" t="s">
        <v>74</v>
      </c>
      <c r="H2094" s="221" t="str" cm="1">
        <f t="array" ref="H2094">IFERROR(INDEX(INVESTOR_LIST[INVESTOR NAME],MATCH(I2094,INVESTOR_LIST[INVESTOR CODE],0),)," ")</f>
        <v xml:space="preserve"> </v>
      </c>
      <c r="I2094" s="145" t="s">
        <v>348</v>
      </c>
      <c r="J2094" s="146" t="s">
        <v>168</v>
      </c>
      <c r="K2094" s="219"/>
      <c r="L2094" s="219">
        <v>7500</v>
      </c>
      <c r="N2094" s="156">
        <f>K2147/13.03</f>
        <v>38372.98541826554</v>
      </c>
    </row>
    <row r="2095" spans="1:17" x14ac:dyDescent="0.2">
      <c r="A2095" s="168">
        <v>2021</v>
      </c>
      <c r="B2095" s="168">
        <v>1</v>
      </c>
      <c r="C2095" s="168">
        <v>27</v>
      </c>
      <c r="D2095" s="141">
        <f t="shared" si="70"/>
        <v>44223</v>
      </c>
      <c r="E2095" s="275">
        <f t="shared" si="71"/>
        <v>44223</v>
      </c>
      <c r="F2095" s="494" t="s">
        <v>363</v>
      </c>
      <c r="G2095" s="220" t="s">
        <v>74</v>
      </c>
      <c r="H2095" s="220" t="str" cm="1">
        <f t="array" ref="H2095">IFERROR(INDEX(INVESTOR_LIST[INVESTOR NAME],MATCH(I2095,INVESTOR_LIST[INVESTOR CODE],0),)," ")</f>
        <v xml:space="preserve"> </v>
      </c>
      <c r="I2095" s="142" t="s">
        <v>348</v>
      </c>
      <c r="J2095" s="143" t="s">
        <v>52</v>
      </c>
      <c r="K2095" s="226">
        <v>4598707.4000000004</v>
      </c>
      <c r="L2095" s="226"/>
    </row>
    <row r="2096" spans="1:17" x14ac:dyDescent="0.2">
      <c r="A2096" s="163">
        <v>2021</v>
      </c>
      <c r="B2096" s="163">
        <v>1</v>
      </c>
      <c r="C2096" s="163">
        <v>27</v>
      </c>
      <c r="D2096" s="141">
        <f t="shared" si="70"/>
        <v>44223</v>
      </c>
      <c r="E2096" s="275">
        <f t="shared" si="71"/>
        <v>44223</v>
      </c>
      <c r="F2096" s="495"/>
      <c r="G2096" s="221" t="s">
        <v>74</v>
      </c>
      <c r="H2096" s="221" t="str" cm="1">
        <f t="array" ref="H2096">IFERROR(INDEX(INVESTOR_LIST[INVESTOR NAME],MATCH(I2096,INVESTOR_LIST[INVESTOR CODE],0),)," ")</f>
        <v xml:space="preserve"> </v>
      </c>
      <c r="I2096" s="145" t="s">
        <v>348</v>
      </c>
      <c r="J2096" s="146" t="s">
        <v>190</v>
      </c>
      <c r="K2096" s="219"/>
      <c r="L2096" s="219">
        <v>4598707.4000000004</v>
      </c>
    </row>
    <row r="2097" spans="1:17" ht="33.75" x14ac:dyDescent="0.2">
      <c r="A2097" s="133">
        <v>2021</v>
      </c>
      <c r="B2097" s="133">
        <v>1</v>
      </c>
      <c r="C2097" s="133">
        <v>27</v>
      </c>
      <c r="D2097" s="141">
        <f t="shared" si="70"/>
        <v>44223</v>
      </c>
      <c r="E2097" s="275">
        <f t="shared" si="71"/>
        <v>44223</v>
      </c>
      <c r="F2097" s="479" t="s">
        <v>965</v>
      </c>
      <c r="G2097" s="174" t="s">
        <v>74</v>
      </c>
      <c r="H2097" s="174" t="str" cm="1">
        <f t="array" ref="H2097">IFERROR(INDEX(INVESTOR_LIST[INVESTOR NAME],MATCH(I2097,INVESTOR_LIST[INVESTOR CODE],0),)," ")</f>
        <v>FAZLE RABBI PATHAN</v>
      </c>
      <c r="I2097" s="148" t="s">
        <v>507</v>
      </c>
      <c r="J2097" s="149" t="s">
        <v>13</v>
      </c>
      <c r="K2097" s="218">
        <v>10960</v>
      </c>
      <c r="L2097" s="218"/>
      <c r="N2097" s="160">
        <f>L2164/12.99</f>
        <v>153964</v>
      </c>
      <c r="Q2097" s="133" t="s">
        <v>442</v>
      </c>
    </row>
    <row r="2098" spans="1:17" ht="33.75" x14ac:dyDescent="0.2">
      <c r="A2098" s="133">
        <v>2021</v>
      </c>
      <c r="B2098" s="133">
        <v>1</v>
      </c>
      <c r="C2098" s="133">
        <v>27</v>
      </c>
      <c r="D2098" s="141">
        <f t="shared" si="70"/>
        <v>44223</v>
      </c>
      <c r="E2098" s="275">
        <f t="shared" si="71"/>
        <v>44223</v>
      </c>
      <c r="F2098" s="481"/>
      <c r="G2098" s="174" t="s">
        <v>74</v>
      </c>
      <c r="H2098" s="174" t="str" cm="1">
        <f t="array" ref="H2098">IFERROR(INDEX(INVESTOR_LIST[INVESTOR NAME],MATCH(I2098,INVESTOR_LIST[INVESTOR CODE],0),)," ")</f>
        <v>FAZLE RABBI PATHAN</v>
      </c>
      <c r="I2098" s="148" t="s">
        <v>507</v>
      </c>
      <c r="J2098" s="149" t="s">
        <v>53</v>
      </c>
      <c r="K2098" s="218">
        <v>3277.04</v>
      </c>
      <c r="L2098" s="218"/>
    </row>
    <row r="2099" spans="1:17" ht="33.75" x14ac:dyDescent="0.2">
      <c r="A2099" s="163">
        <v>2021</v>
      </c>
      <c r="B2099" s="163">
        <v>1</v>
      </c>
      <c r="C2099" s="163">
        <v>27</v>
      </c>
      <c r="D2099" s="141">
        <f t="shared" si="70"/>
        <v>44223</v>
      </c>
      <c r="E2099" s="275">
        <f t="shared" si="71"/>
        <v>44223</v>
      </c>
      <c r="F2099" s="480"/>
      <c r="G2099" s="221" t="s">
        <v>74</v>
      </c>
      <c r="H2099" s="221" t="str" cm="1">
        <f t="array" ref="H2099">IFERROR(INDEX(INVESTOR_LIST[INVESTOR NAME],MATCH(I2099,INVESTOR_LIST[INVESTOR CODE],0),)," ")</f>
        <v>FAZLE RABBI PATHAN</v>
      </c>
      <c r="I2099" s="145" t="s">
        <v>507</v>
      </c>
      <c r="J2099" s="146" t="s">
        <v>52</v>
      </c>
      <c r="K2099" s="219"/>
      <c r="L2099" s="219">
        <v>14237.04</v>
      </c>
    </row>
    <row r="2100" spans="1:17" x14ac:dyDescent="0.2">
      <c r="A2100" s="168">
        <v>2021</v>
      </c>
      <c r="B2100" s="168">
        <v>1</v>
      </c>
      <c r="C2100" s="168">
        <v>27</v>
      </c>
      <c r="D2100" s="141">
        <f t="shared" si="70"/>
        <v>44223</v>
      </c>
      <c r="E2100" s="275">
        <f t="shared" si="71"/>
        <v>44223</v>
      </c>
      <c r="F2100" s="479" t="s">
        <v>366</v>
      </c>
      <c r="G2100" s="220" t="s">
        <v>74</v>
      </c>
      <c r="H2100" s="220" t="str" cm="1">
        <f t="array" ref="H2100">IFERROR(INDEX(INVESTOR_LIST[INVESTOR NAME],MATCH(I2100,INVESTOR_LIST[INVESTOR CODE],0),)," ")</f>
        <v xml:space="preserve"> </v>
      </c>
      <c r="I2100" s="142" t="s">
        <v>348</v>
      </c>
      <c r="J2100" s="143" t="s">
        <v>358</v>
      </c>
      <c r="K2100" s="226">
        <v>13423.2</v>
      </c>
      <c r="L2100" s="226"/>
    </row>
    <row r="2101" spans="1:17" x14ac:dyDescent="0.2">
      <c r="A2101" s="163">
        <v>2021</v>
      </c>
      <c r="B2101" s="163">
        <v>1</v>
      </c>
      <c r="C2101" s="163">
        <v>27</v>
      </c>
      <c r="D2101" s="141">
        <f t="shared" si="70"/>
        <v>44223</v>
      </c>
      <c r="E2101" s="275">
        <f t="shared" si="71"/>
        <v>44223</v>
      </c>
      <c r="F2101" s="480"/>
      <c r="G2101" s="221" t="s">
        <v>74</v>
      </c>
      <c r="H2101" s="221" t="str" cm="1">
        <f t="array" ref="H2101">IFERROR(INDEX(INVESTOR_LIST[INVESTOR NAME],MATCH(I2101,INVESTOR_LIST[INVESTOR CODE],0),)," ")</f>
        <v xml:space="preserve"> </v>
      </c>
      <c r="I2101" s="145" t="s">
        <v>348</v>
      </c>
      <c r="J2101" s="146" t="s">
        <v>52</v>
      </c>
      <c r="K2101" s="219"/>
      <c r="L2101" s="219">
        <v>13423.2</v>
      </c>
    </row>
    <row r="2102" spans="1:17" x14ac:dyDescent="0.2">
      <c r="A2102" s="133">
        <v>2021</v>
      </c>
      <c r="B2102" s="133">
        <v>1</v>
      </c>
      <c r="C2102" s="133">
        <v>27</v>
      </c>
      <c r="D2102" s="141">
        <f t="shared" si="70"/>
        <v>44223</v>
      </c>
      <c r="E2102" s="275">
        <f t="shared" si="71"/>
        <v>44223</v>
      </c>
      <c r="F2102" s="479" t="s">
        <v>367</v>
      </c>
      <c r="G2102" s="174" t="s">
        <v>74</v>
      </c>
      <c r="H2102" s="174" t="str" cm="1">
        <f t="array" ref="H2102">IFERROR(INDEX(INVESTOR_LIST[INVESTOR NAME],MATCH(I2102,INVESTOR_LIST[INVESTOR CODE],0),)," ")</f>
        <v xml:space="preserve"> </v>
      </c>
      <c r="I2102" s="148" t="s">
        <v>348</v>
      </c>
      <c r="J2102" s="143" t="s">
        <v>358</v>
      </c>
      <c r="K2102" s="226">
        <v>15238.4</v>
      </c>
      <c r="L2102" s="226"/>
    </row>
    <row r="2103" spans="1:17" x14ac:dyDescent="0.2">
      <c r="A2103" s="133">
        <v>2021</v>
      </c>
      <c r="B2103" s="133">
        <v>1</v>
      </c>
      <c r="C2103" s="133">
        <v>27</v>
      </c>
      <c r="D2103" s="141">
        <f t="shared" si="70"/>
        <v>44223</v>
      </c>
      <c r="E2103" s="275">
        <f t="shared" si="71"/>
        <v>44223</v>
      </c>
      <c r="F2103" s="480"/>
      <c r="G2103" s="174" t="s">
        <v>74</v>
      </c>
      <c r="H2103" s="174" t="str" cm="1">
        <f t="array" ref="H2103">IFERROR(INDEX(INVESTOR_LIST[INVESTOR NAME],MATCH(I2103,INVESTOR_LIST[INVESTOR CODE],0),)," ")</f>
        <v xml:space="preserve"> </v>
      </c>
      <c r="I2103" s="148" t="s">
        <v>348</v>
      </c>
      <c r="J2103" s="146" t="s">
        <v>52</v>
      </c>
      <c r="K2103" s="219"/>
      <c r="L2103" s="219">
        <v>15238.4</v>
      </c>
    </row>
    <row r="2104" spans="1:17" x14ac:dyDescent="0.2">
      <c r="A2104" s="168">
        <v>2021</v>
      </c>
      <c r="B2104" s="168">
        <v>1</v>
      </c>
      <c r="C2104" s="168">
        <v>28</v>
      </c>
      <c r="D2104" s="141">
        <f t="shared" si="70"/>
        <v>44224</v>
      </c>
      <c r="E2104" s="275">
        <f t="shared" si="71"/>
        <v>44224</v>
      </c>
      <c r="F2104" s="479" t="s">
        <v>365</v>
      </c>
      <c r="G2104" s="220" t="s">
        <v>74</v>
      </c>
      <c r="H2104" s="220" t="str" cm="1">
        <f t="array" ref="H2104">IFERROR(INDEX(INVESTOR_LIST[INVESTOR NAME],MATCH(I2104,INVESTOR_LIST[INVESTOR CODE],0),)," ")</f>
        <v xml:space="preserve"> </v>
      </c>
      <c r="I2104" s="142" t="s">
        <v>348</v>
      </c>
      <c r="J2104" s="143" t="s">
        <v>79</v>
      </c>
      <c r="K2104" s="226">
        <v>156250</v>
      </c>
      <c r="L2104" s="226"/>
    </row>
    <row r="2105" spans="1:17" x14ac:dyDescent="0.2">
      <c r="A2105" s="133">
        <v>2021</v>
      </c>
      <c r="B2105" s="133">
        <v>1</v>
      </c>
      <c r="C2105" s="133">
        <v>28</v>
      </c>
      <c r="D2105" s="141">
        <f t="shared" si="70"/>
        <v>44224</v>
      </c>
      <c r="E2105" s="275">
        <f t="shared" si="71"/>
        <v>44224</v>
      </c>
      <c r="F2105" s="481"/>
      <c r="G2105" s="174" t="s">
        <v>74</v>
      </c>
      <c r="H2105" s="174" t="str" cm="1">
        <f t="array" ref="H2105">IFERROR(INDEX(INVESTOR_LIST[INVESTOR NAME],MATCH(I2105,INVESTOR_LIST[INVESTOR CODE],0),)," ")</f>
        <v xml:space="preserve"> </v>
      </c>
      <c r="I2105" s="148" t="s">
        <v>348</v>
      </c>
      <c r="J2105" s="149" t="s">
        <v>52</v>
      </c>
      <c r="K2105" s="218">
        <v>1043750</v>
      </c>
      <c r="L2105" s="218"/>
      <c r="N2105" s="156">
        <f>L2164/13.03</f>
        <v>153491.35533384499</v>
      </c>
    </row>
    <row r="2106" spans="1:17" x14ac:dyDescent="0.2">
      <c r="A2106" s="163">
        <v>2021</v>
      </c>
      <c r="B2106" s="163">
        <v>1</v>
      </c>
      <c r="C2106" s="163">
        <v>28</v>
      </c>
      <c r="D2106" s="141">
        <f t="shared" si="70"/>
        <v>44224</v>
      </c>
      <c r="E2106" s="275">
        <f t="shared" si="71"/>
        <v>44224</v>
      </c>
      <c r="F2106" s="480"/>
      <c r="G2106" s="221" t="s">
        <v>74</v>
      </c>
      <c r="H2106" s="221" t="str" cm="1">
        <f t="array" ref="H2106">IFERROR(INDEX(INVESTOR_LIST[INVESTOR NAME],MATCH(I2106,INVESTOR_LIST[INVESTOR CODE],0),)," ")</f>
        <v xml:space="preserve"> </v>
      </c>
      <c r="I2106" s="145" t="s">
        <v>348</v>
      </c>
      <c r="J2106" s="146" t="s">
        <v>184</v>
      </c>
      <c r="K2106" s="219"/>
      <c r="L2106" s="219">
        <v>1200000</v>
      </c>
    </row>
    <row r="2107" spans="1:17" x14ac:dyDescent="0.2">
      <c r="A2107" s="168">
        <v>2021</v>
      </c>
      <c r="B2107" s="168">
        <v>1</v>
      </c>
      <c r="C2107" s="168">
        <v>28</v>
      </c>
      <c r="D2107" s="141">
        <f t="shared" si="70"/>
        <v>44224</v>
      </c>
      <c r="E2107" s="275">
        <f t="shared" si="71"/>
        <v>44224</v>
      </c>
      <c r="F2107" s="493" t="s">
        <v>290</v>
      </c>
      <c r="G2107" s="220" t="s">
        <v>74</v>
      </c>
      <c r="H2107" s="220" t="str" cm="1">
        <f t="array" ref="H2107">IFERROR(INDEX(INVESTOR_LIST[INVESTOR NAME],MATCH(I2107,INVESTOR_LIST[INVESTOR CODE],0),)," ")</f>
        <v xml:space="preserve"> </v>
      </c>
      <c r="I2107" s="142" t="s">
        <v>348</v>
      </c>
      <c r="J2107" s="143" t="s">
        <v>163</v>
      </c>
      <c r="K2107" s="226">
        <v>8000</v>
      </c>
      <c r="L2107" s="226"/>
    </row>
    <row r="2108" spans="1:17" x14ac:dyDescent="0.2">
      <c r="A2108" s="163">
        <v>2021</v>
      </c>
      <c r="B2108" s="163">
        <v>1</v>
      </c>
      <c r="C2108" s="163">
        <v>28</v>
      </c>
      <c r="D2108" s="141">
        <f t="shared" si="70"/>
        <v>44224</v>
      </c>
      <c r="E2108" s="275">
        <f t="shared" si="71"/>
        <v>44224</v>
      </c>
      <c r="F2108" s="480"/>
      <c r="G2108" s="221" t="s">
        <v>74</v>
      </c>
      <c r="H2108" s="221" t="str" cm="1">
        <f t="array" ref="H2108">IFERROR(INDEX(INVESTOR_LIST[INVESTOR NAME],MATCH(I2108,INVESTOR_LIST[INVESTOR CODE],0),)," ")</f>
        <v xml:space="preserve"> </v>
      </c>
      <c r="I2108" s="145" t="s">
        <v>348</v>
      </c>
      <c r="J2108" s="146" t="s">
        <v>52</v>
      </c>
      <c r="K2108" s="219"/>
      <c r="L2108" s="219">
        <v>8000</v>
      </c>
      <c r="N2108" s="156">
        <f>L2164/13.03</f>
        <v>153491.35533384499</v>
      </c>
    </row>
    <row r="2109" spans="1:17" x14ac:dyDescent="0.2">
      <c r="A2109" s="168">
        <v>2021</v>
      </c>
      <c r="B2109" s="168">
        <v>1</v>
      </c>
      <c r="C2109" s="168">
        <v>28</v>
      </c>
      <c r="D2109" s="141">
        <f t="shared" si="70"/>
        <v>44224</v>
      </c>
      <c r="E2109" s="275">
        <f t="shared" si="71"/>
        <v>44224</v>
      </c>
      <c r="F2109" s="494" t="s">
        <v>363</v>
      </c>
      <c r="G2109" s="220" t="s">
        <v>74</v>
      </c>
      <c r="H2109" s="220" t="str" cm="1">
        <f t="array" ref="H2109">IFERROR(INDEX(INVESTOR_LIST[INVESTOR NAME],MATCH(I2109,INVESTOR_LIST[INVESTOR CODE],0),)," ")</f>
        <v xml:space="preserve"> </v>
      </c>
      <c r="I2109" s="142" t="s">
        <v>348</v>
      </c>
      <c r="J2109" s="143" t="s">
        <v>52</v>
      </c>
      <c r="K2109" s="226">
        <v>7986103.3799999999</v>
      </c>
      <c r="L2109" s="226"/>
    </row>
    <row r="2110" spans="1:17" x14ac:dyDescent="0.2">
      <c r="A2110" s="163">
        <v>2021</v>
      </c>
      <c r="B2110" s="163">
        <v>1</v>
      </c>
      <c r="C2110" s="163">
        <v>28</v>
      </c>
      <c r="D2110" s="141">
        <f t="shared" si="70"/>
        <v>44224</v>
      </c>
      <c r="E2110" s="275">
        <f t="shared" si="71"/>
        <v>44224</v>
      </c>
      <c r="F2110" s="495"/>
      <c r="G2110" s="221" t="s">
        <v>74</v>
      </c>
      <c r="H2110" s="221" t="str" cm="1">
        <f t="array" ref="H2110">IFERROR(INDEX(INVESTOR_LIST[INVESTOR NAME],MATCH(I2110,INVESTOR_LIST[INVESTOR CODE],0),)," ")</f>
        <v xml:space="preserve"> </v>
      </c>
      <c r="I2110" s="145" t="s">
        <v>348</v>
      </c>
      <c r="J2110" s="146" t="s">
        <v>190</v>
      </c>
      <c r="K2110" s="219"/>
      <c r="L2110" s="219">
        <v>7986103.3799999999</v>
      </c>
      <c r="N2110" s="160"/>
    </row>
    <row r="2111" spans="1:17" ht="45" x14ac:dyDescent="0.2">
      <c r="A2111" s="168">
        <v>2021</v>
      </c>
      <c r="B2111" s="168">
        <v>1</v>
      </c>
      <c r="C2111" s="168">
        <v>28</v>
      </c>
      <c r="D2111" s="141">
        <f t="shared" si="70"/>
        <v>44224</v>
      </c>
      <c r="E2111" s="275">
        <f t="shared" si="71"/>
        <v>44224</v>
      </c>
      <c r="F2111" s="479" t="s">
        <v>964</v>
      </c>
      <c r="G2111" s="220" t="s">
        <v>74</v>
      </c>
      <c r="H2111" s="220" t="str" cm="1">
        <f t="array" ref="H2111">IFERROR(INDEX(INVESTOR_LIST[INVESTOR NAME],MATCH(I2111,INVESTOR_LIST[INVESTOR CODE],0),)," ")</f>
        <v>MD. HARUN OR RASHID</v>
      </c>
      <c r="I2111" s="142" t="s">
        <v>522</v>
      </c>
      <c r="J2111" s="143" t="s">
        <v>52</v>
      </c>
      <c r="K2111" s="226">
        <v>181860</v>
      </c>
      <c r="L2111" s="226"/>
      <c r="N2111" s="160"/>
    </row>
    <row r="2112" spans="1:17" ht="45" x14ac:dyDescent="0.2">
      <c r="A2112" s="133">
        <v>2021</v>
      </c>
      <c r="B2112" s="133">
        <v>1</v>
      </c>
      <c r="C2112" s="133">
        <v>28</v>
      </c>
      <c r="D2112" s="141">
        <f t="shared" si="70"/>
        <v>44224</v>
      </c>
      <c r="E2112" s="275">
        <f t="shared" si="71"/>
        <v>44224</v>
      </c>
      <c r="F2112" s="481"/>
      <c r="G2112" s="174" t="s">
        <v>74</v>
      </c>
      <c r="H2112" s="174" t="str" cm="1">
        <f t="array" ref="H2112">IFERROR(INDEX(INVESTOR_LIST[INVESTOR NAME],MATCH(I2112,INVESTOR_LIST[INVESTOR CODE],0),)," ")</f>
        <v>MD. HARUN OR RASHID</v>
      </c>
      <c r="I2112" s="148" t="s">
        <v>522</v>
      </c>
      <c r="J2112" s="149" t="s">
        <v>13</v>
      </c>
      <c r="K2112" s="218"/>
      <c r="L2112" s="218">
        <v>140000</v>
      </c>
      <c r="N2112" s="160"/>
    </row>
    <row r="2113" spans="1:14" ht="45" x14ac:dyDescent="0.2">
      <c r="A2113" s="163">
        <v>2021</v>
      </c>
      <c r="B2113" s="163">
        <v>1</v>
      </c>
      <c r="C2113" s="163">
        <v>28</v>
      </c>
      <c r="D2113" s="141">
        <f t="shared" si="70"/>
        <v>44224</v>
      </c>
      <c r="E2113" s="275">
        <f t="shared" si="71"/>
        <v>44224</v>
      </c>
      <c r="F2113" s="480"/>
      <c r="G2113" s="221" t="s">
        <v>74</v>
      </c>
      <c r="H2113" s="221" t="str" cm="1">
        <f t="array" ref="H2113">IFERROR(INDEX(INVESTOR_LIST[INVESTOR NAME],MATCH(I2113,INVESTOR_LIST[INVESTOR CODE],0),)," ")</f>
        <v>MD. HARUN OR RASHID</v>
      </c>
      <c r="I2113" s="145" t="s">
        <v>522</v>
      </c>
      <c r="J2113" s="146" t="s">
        <v>53</v>
      </c>
      <c r="K2113" s="219"/>
      <c r="L2113" s="219">
        <v>41860</v>
      </c>
      <c r="N2113" s="156">
        <f>L2169/13.03</f>
        <v>16479.598618572527</v>
      </c>
    </row>
    <row r="2114" spans="1:14" x14ac:dyDescent="0.2">
      <c r="A2114" s="168">
        <v>2021</v>
      </c>
      <c r="B2114" s="168">
        <v>1</v>
      </c>
      <c r="C2114" s="168">
        <v>28</v>
      </c>
      <c r="D2114" s="141">
        <f t="shared" si="70"/>
        <v>44224</v>
      </c>
      <c r="E2114" s="275">
        <f t="shared" si="71"/>
        <v>44224</v>
      </c>
      <c r="F2114" s="479" t="s">
        <v>342</v>
      </c>
      <c r="G2114" s="220" t="s">
        <v>94</v>
      </c>
      <c r="H2114" s="220" t="str" cm="1">
        <f t="array" ref="H2114">IFERROR(INDEX(INVESTOR_LIST[INVESTOR NAME],MATCH(I2114,INVESTOR_LIST[INVESTOR CODE],0),)," ")</f>
        <v xml:space="preserve"> </v>
      </c>
      <c r="I2114" s="142" t="s">
        <v>348</v>
      </c>
      <c r="J2114" s="143" t="s">
        <v>79</v>
      </c>
      <c r="K2114" s="226">
        <v>4549291.8</v>
      </c>
      <c r="L2114" s="226"/>
      <c r="M2114" s="264"/>
    </row>
    <row r="2115" spans="1:14" x14ac:dyDescent="0.2">
      <c r="A2115" s="133">
        <v>2021</v>
      </c>
      <c r="B2115" s="133">
        <v>1</v>
      </c>
      <c r="C2115" s="133">
        <v>28</v>
      </c>
      <c r="D2115" s="141">
        <f t="shared" si="70"/>
        <v>44224</v>
      </c>
      <c r="E2115" s="275">
        <f t="shared" si="71"/>
        <v>44224</v>
      </c>
      <c r="F2115" s="481"/>
      <c r="G2115" s="174" t="s">
        <v>94</v>
      </c>
      <c r="H2115" s="174" t="str" cm="1">
        <f t="array" ref="H2115">IFERROR(INDEX(INVESTOR_LIST[INVESTOR NAME],MATCH(I2115,INVESTOR_LIST[INVESTOR CODE],0),)," ")</f>
        <v xml:space="preserve"> </v>
      </c>
      <c r="I2115" s="148" t="s">
        <v>348</v>
      </c>
      <c r="J2115" s="149" t="s">
        <v>80</v>
      </c>
      <c r="K2115" s="218">
        <v>9460.39</v>
      </c>
      <c r="L2115" s="218"/>
      <c r="M2115" s="264"/>
    </row>
    <row r="2116" spans="1:14" x14ac:dyDescent="0.2">
      <c r="A2116" s="133">
        <v>2021</v>
      </c>
      <c r="B2116" s="133">
        <v>1</v>
      </c>
      <c r="C2116" s="133">
        <v>28</v>
      </c>
      <c r="D2116" s="141">
        <f t="shared" si="70"/>
        <v>44224</v>
      </c>
      <c r="E2116" s="275">
        <f t="shared" si="71"/>
        <v>44224</v>
      </c>
      <c r="F2116" s="481"/>
      <c r="G2116" s="174" t="s">
        <v>94</v>
      </c>
      <c r="H2116" s="174" t="str" cm="1">
        <f t="array" ref="H2116">IFERROR(INDEX(INVESTOR_LIST[INVESTOR NAME],MATCH(I2116,INVESTOR_LIST[INVESTOR CODE],0),)," ")</f>
        <v xml:space="preserve"> </v>
      </c>
      <c r="I2116" s="148" t="s">
        <v>348</v>
      </c>
      <c r="J2116" s="149" t="s">
        <v>147</v>
      </c>
      <c r="K2116" s="218"/>
      <c r="L2116" s="218">
        <v>3880047.49</v>
      </c>
      <c r="M2116" s="264"/>
    </row>
    <row r="2117" spans="1:14" x14ac:dyDescent="0.2">
      <c r="A2117" s="133">
        <v>2021</v>
      </c>
      <c r="B2117" s="133">
        <v>1</v>
      </c>
      <c r="C2117" s="133">
        <v>28</v>
      </c>
      <c r="D2117" s="141">
        <f t="shared" si="70"/>
        <v>44224</v>
      </c>
      <c r="E2117" s="275">
        <f t="shared" si="71"/>
        <v>44224</v>
      </c>
      <c r="F2117" s="481"/>
      <c r="G2117" s="174" t="s">
        <v>94</v>
      </c>
      <c r="H2117" s="174" t="str" cm="1">
        <f t="array" ref="H2117">IFERROR(INDEX(INVESTOR_LIST[INVESTOR NAME],MATCH(I2117,INVESTOR_LIST[INVESTOR CODE],0),)," ")</f>
        <v xml:space="preserve"> </v>
      </c>
      <c r="I2117" s="148" t="s">
        <v>348</v>
      </c>
      <c r="J2117" s="149" t="s">
        <v>79</v>
      </c>
      <c r="K2117" s="218"/>
      <c r="L2117" s="218">
        <v>443983.93</v>
      </c>
      <c r="M2117" s="264"/>
    </row>
    <row r="2118" spans="1:14" x14ac:dyDescent="0.2">
      <c r="A2118" s="163">
        <v>2021</v>
      </c>
      <c r="B2118" s="163">
        <v>1</v>
      </c>
      <c r="C2118" s="163">
        <v>28</v>
      </c>
      <c r="D2118" s="141">
        <f t="shared" si="70"/>
        <v>44224</v>
      </c>
      <c r="E2118" s="275">
        <f t="shared" si="71"/>
        <v>44224</v>
      </c>
      <c r="F2118" s="480"/>
      <c r="G2118" s="221" t="s">
        <v>94</v>
      </c>
      <c r="H2118" s="221" t="str" cm="1">
        <f t="array" ref="H2118">IFERROR(INDEX(INVESTOR_LIST[INVESTOR NAME],MATCH(I2118,INVESTOR_LIST[INVESTOR CODE],0),)," ")</f>
        <v xml:space="preserve"> </v>
      </c>
      <c r="I2118" s="145" t="s">
        <v>348</v>
      </c>
      <c r="J2118" s="146" t="s">
        <v>191</v>
      </c>
      <c r="K2118" s="219"/>
      <c r="L2118" s="219">
        <v>234720.77</v>
      </c>
      <c r="M2118" s="264"/>
    </row>
    <row r="2119" spans="1:14" x14ac:dyDescent="0.2">
      <c r="A2119" s="168">
        <v>2021</v>
      </c>
      <c r="B2119" s="168">
        <v>1</v>
      </c>
      <c r="C2119" s="168">
        <v>28</v>
      </c>
      <c r="D2119" s="141">
        <f t="shared" si="70"/>
        <v>44224</v>
      </c>
      <c r="E2119" s="275">
        <f t="shared" si="71"/>
        <v>44224</v>
      </c>
      <c r="F2119" s="479" t="s">
        <v>360</v>
      </c>
      <c r="G2119" s="220" t="s">
        <v>94</v>
      </c>
      <c r="H2119" s="220" t="str" cm="1">
        <f t="array" ref="H2119">IFERROR(INDEX(INVESTOR_LIST[INVESTOR NAME],MATCH(I2119,INVESTOR_LIST[INVESTOR CODE],0),)," ")</f>
        <v xml:space="preserve"> </v>
      </c>
      <c r="I2119" s="142" t="s">
        <v>348</v>
      </c>
      <c r="J2119" s="143" t="s">
        <v>79</v>
      </c>
      <c r="K2119" s="226">
        <v>3013890.8</v>
      </c>
      <c r="L2119" s="226"/>
      <c r="M2119" s="160"/>
    </row>
    <row r="2120" spans="1:14" x14ac:dyDescent="0.2">
      <c r="A2120" s="133">
        <v>2021</v>
      </c>
      <c r="B2120" s="133">
        <v>1</v>
      </c>
      <c r="C2120" s="133">
        <v>28</v>
      </c>
      <c r="D2120" s="141">
        <f t="shared" si="70"/>
        <v>44224</v>
      </c>
      <c r="E2120" s="275">
        <f t="shared" si="71"/>
        <v>44224</v>
      </c>
      <c r="F2120" s="481"/>
      <c r="G2120" s="174" t="s">
        <v>94</v>
      </c>
      <c r="H2120" s="174" t="str" cm="1">
        <f t="array" ref="H2120">IFERROR(INDEX(INVESTOR_LIST[INVESTOR NAME],MATCH(I2120,INVESTOR_LIST[INVESTOR CODE],0),)," ")</f>
        <v xml:space="preserve"> </v>
      </c>
      <c r="I2120" s="148" t="s">
        <v>348</v>
      </c>
      <c r="J2120" s="149" t="s">
        <v>80</v>
      </c>
      <c r="K2120" s="218">
        <v>5425</v>
      </c>
      <c r="L2120" s="218"/>
      <c r="M2120" s="264"/>
    </row>
    <row r="2121" spans="1:14" x14ac:dyDescent="0.2">
      <c r="A2121" s="163">
        <v>2021</v>
      </c>
      <c r="B2121" s="163">
        <v>1</v>
      </c>
      <c r="C2121" s="163">
        <v>28</v>
      </c>
      <c r="D2121" s="141">
        <f t="shared" si="70"/>
        <v>44224</v>
      </c>
      <c r="E2121" s="275">
        <f t="shared" si="71"/>
        <v>44224</v>
      </c>
      <c r="F2121" s="480"/>
      <c r="G2121" s="221" t="s">
        <v>94</v>
      </c>
      <c r="H2121" s="221" t="str" cm="1">
        <f t="array" ref="H2121">IFERROR(INDEX(INVESTOR_LIST[INVESTOR NAME],MATCH(I2121,INVESTOR_LIST[INVESTOR CODE],0),)," ")</f>
        <v xml:space="preserve"> </v>
      </c>
      <c r="I2121" s="145" t="s">
        <v>348</v>
      </c>
      <c r="J2121" s="146" t="s">
        <v>147</v>
      </c>
      <c r="K2121" s="219"/>
      <c r="L2121" s="219">
        <v>3019315.8</v>
      </c>
    </row>
    <row r="2122" spans="1:14" x14ac:dyDescent="0.2">
      <c r="A2122" s="168">
        <v>2021</v>
      </c>
      <c r="B2122" s="168">
        <v>1</v>
      </c>
      <c r="C2122" s="168">
        <v>28</v>
      </c>
      <c r="D2122" s="141">
        <f t="shared" si="70"/>
        <v>44224</v>
      </c>
      <c r="E2122" s="275">
        <f t="shared" si="71"/>
        <v>44224</v>
      </c>
      <c r="F2122" s="479" t="s">
        <v>369</v>
      </c>
      <c r="G2122" s="220" t="s">
        <v>94</v>
      </c>
      <c r="H2122" s="220" t="str" cm="1">
        <f t="array" ref="H2122">IFERROR(INDEX(INVESTOR_LIST[INVESTOR NAME],MATCH(I2122,INVESTOR_LIST[INVESTOR CODE],0),)," ")</f>
        <v xml:space="preserve"> </v>
      </c>
      <c r="I2122" s="142" t="s">
        <v>348</v>
      </c>
      <c r="J2122" s="168" t="s">
        <v>168</v>
      </c>
      <c r="K2122" s="226">
        <v>135378.9</v>
      </c>
      <c r="L2122" s="226"/>
    </row>
    <row r="2123" spans="1:14" x14ac:dyDescent="0.2">
      <c r="A2123" s="163">
        <v>2021</v>
      </c>
      <c r="B2123" s="163">
        <v>1</v>
      </c>
      <c r="C2123" s="163">
        <v>28</v>
      </c>
      <c r="D2123" s="141">
        <f t="shared" si="70"/>
        <v>44224</v>
      </c>
      <c r="E2123" s="275">
        <f t="shared" si="71"/>
        <v>44224</v>
      </c>
      <c r="F2123" s="480"/>
      <c r="G2123" s="221" t="s">
        <v>94</v>
      </c>
      <c r="H2123" s="221" t="str" cm="1">
        <f t="array" ref="H2123">IFERROR(INDEX(INVESTOR_LIST[INVESTOR NAME],MATCH(I2123,INVESTOR_LIST[INVESTOR CODE],0),)," ")</f>
        <v xml:space="preserve"> </v>
      </c>
      <c r="I2123" s="145" t="s">
        <v>348</v>
      </c>
      <c r="J2123" s="146" t="s">
        <v>166</v>
      </c>
      <c r="K2123" s="219"/>
      <c r="L2123" s="219">
        <v>135378.9</v>
      </c>
    </row>
    <row r="2124" spans="1:14" x14ac:dyDescent="0.2">
      <c r="A2124" s="168">
        <v>2021</v>
      </c>
      <c r="B2124" s="168">
        <v>1</v>
      </c>
      <c r="C2124" s="168">
        <v>28</v>
      </c>
      <c r="D2124" s="141">
        <f t="shared" si="70"/>
        <v>44224</v>
      </c>
      <c r="E2124" s="275">
        <f t="shared" si="71"/>
        <v>44224</v>
      </c>
      <c r="F2124" s="479" t="s">
        <v>254</v>
      </c>
      <c r="G2124" s="220" t="s">
        <v>74</v>
      </c>
      <c r="H2124" s="220" t="str" cm="1">
        <f t="array" ref="H2124">IFERROR(INDEX(INVESTOR_LIST[INVESTOR NAME],MATCH(I2124,INVESTOR_LIST[INVESTOR CODE],0),)," ")</f>
        <v xml:space="preserve"> </v>
      </c>
      <c r="I2124" s="142" t="s">
        <v>348</v>
      </c>
      <c r="J2124" s="143" t="s">
        <v>52</v>
      </c>
      <c r="K2124" s="226">
        <v>244500</v>
      </c>
      <c r="L2124" s="226"/>
    </row>
    <row r="2125" spans="1:14" x14ac:dyDescent="0.2">
      <c r="A2125" s="133">
        <v>2021</v>
      </c>
      <c r="B2125" s="133">
        <v>1</v>
      </c>
      <c r="C2125" s="133">
        <v>28</v>
      </c>
      <c r="D2125" s="141">
        <f t="shared" ref="D2125:D2189" si="72">DATE(A2125,B2125,C2125)</f>
        <v>44224</v>
      </c>
      <c r="E2125" s="275">
        <f t="shared" si="71"/>
        <v>44224</v>
      </c>
      <c r="F2125" s="481"/>
      <c r="G2125" s="174" t="s">
        <v>74</v>
      </c>
      <c r="H2125" s="174" t="str" cm="1">
        <f t="array" ref="H2125">IFERROR(INDEX(INVESTOR_LIST[INVESTOR NAME],MATCH(I2125,INVESTOR_LIST[INVESTOR CODE],0),)," ")</f>
        <v xml:space="preserve"> </v>
      </c>
      <c r="I2125" s="148" t="s">
        <v>348</v>
      </c>
      <c r="J2125" s="149" t="s">
        <v>13</v>
      </c>
      <c r="K2125" s="218"/>
      <c r="L2125" s="218">
        <v>188250</v>
      </c>
    </row>
    <row r="2126" spans="1:14" x14ac:dyDescent="0.2">
      <c r="A2126" s="163">
        <v>2021</v>
      </c>
      <c r="B2126" s="163">
        <v>1</v>
      </c>
      <c r="C2126" s="163">
        <v>28</v>
      </c>
      <c r="D2126" s="141">
        <f t="shared" si="72"/>
        <v>44224</v>
      </c>
      <c r="E2126" s="275">
        <f t="shared" ref="E2126:E2190" si="73">DATE(A2126,B2126,C2126)</f>
        <v>44224</v>
      </c>
      <c r="F2126" s="480"/>
      <c r="G2126" s="221" t="s">
        <v>74</v>
      </c>
      <c r="H2126" s="221" t="str" cm="1">
        <f t="array" ref="H2126">IFERROR(INDEX(INVESTOR_LIST[INVESTOR NAME],MATCH(I2126,INVESTOR_LIST[INVESTOR CODE],0),)," ")</f>
        <v xml:space="preserve"> </v>
      </c>
      <c r="I2126" s="145" t="s">
        <v>348</v>
      </c>
      <c r="J2126" s="146" t="s">
        <v>53</v>
      </c>
      <c r="K2126" s="219"/>
      <c r="L2126" s="219">
        <v>56250</v>
      </c>
      <c r="N2126" s="156">
        <f>K2179/13.03</f>
        <v>191864.92709132773</v>
      </c>
    </row>
    <row r="2127" spans="1:14" x14ac:dyDescent="0.2">
      <c r="A2127" s="238">
        <v>2021</v>
      </c>
      <c r="B2127" s="238">
        <v>1</v>
      </c>
      <c r="C2127" s="238">
        <v>28</v>
      </c>
      <c r="D2127" s="270">
        <f t="shared" si="72"/>
        <v>44224</v>
      </c>
      <c r="E2127" s="279">
        <f t="shared" si="73"/>
        <v>44224</v>
      </c>
      <c r="F2127" s="477" t="s">
        <v>347</v>
      </c>
      <c r="G2127" s="239" t="s">
        <v>94</v>
      </c>
      <c r="H2127" s="239" t="str" cm="1">
        <f t="array" ref="H2127">IFERROR(INDEX(INVESTOR_LIST[INVESTOR NAME],MATCH(I2127,INVESTOR_LIST[INVESTOR CODE],0),)," ")</f>
        <v xml:space="preserve"> </v>
      </c>
      <c r="I2127" s="262" t="s">
        <v>348</v>
      </c>
      <c r="J2127" s="240" t="s">
        <v>82</v>
      </c>
      <c r="K2127" s="241">
        <v>3915261.9140073657</v>
      </c>
      <c r="L2127" s="241"/>
    </row>
    <row r="2128" spans="1:14" x14ac:dyDescent="0.2">
      <c r="A2128" s="242">
        <v>2021</v>
      </c>
      <c r="B2128" s="242">
        <v>1</v>
      </c>
      <c r="C2128" s="242">
        <v>28</v>
      </c>
      <c r="D2128" s="270">
        <f t="shared" si="72"/>
        <v>44224</v>
      </c>
      <c r="E2128" s="279">
        <f t="shared" si="73"/>
        <v>44224</v>
      </c>
      <c r="F2128" s="478"/>
      <c r="G2128" s="243" t="s">
        <v>94</v>
      </c>
      <c r="H2128" s="243" t="str" cm="1">
        <f t="array" ref="H2128">IFERROR(INDEX(INVESTOR_LIST[INVESTOR NAME],MATCH(I2128,INVESTOR_LIST[INVESTOR CODE],0),)," ")</f>
        <v xml:space="preserve"> </v>
      </c>
      <c r="I2128" s="263" t="s">
        <v>348</v>
      </c>
      <c r="J2128" s="244" t="s">
        <v>108</v>
      </c>
      <c r="K2128" s="245"/>
      <c r="L2128" s="245">
        <v>3915261.9140073657</v>
      </c>
    </row>
    <row r="2129" spans="1:14" ht="22.5" x14ac:dyDescent="0.2">
      <c r="A2129" s="246">
        <v>2021</v>
      </c>
      <c r="B2129" s="246">
        <v>1</v>
      </c>
      <c r="C2129" s="246">
        <v>28</v>
      </c>
      <c r="D2129" s="270">
        <f t="shared" si="72"/>
        <v>44224</v>
      </c>
      <c r="E2129" s="279">
        <f t="shared" si="73"/>
        <v>44224</v>
      </c>
      <c r="F2129" s="482" t="s">
        <v>148</v>
      </c>
      <c r="G2129" s="247" t="s">
        <v>94</v>
      </c>
      <c r="H2129" s="247" t="str" cm="1">
        <f t="array" ref="H2129">IFERROR(INDEX(INVESTOR_LIST[INVESTOR NAME],MATCH(I2129,INVESTOR_LIST[INVESTOR CODE],0),)," ")</f>
        <v xml:space="preserve"> </v>
      </c>
      <c r="I2129" s="248" t="s">
        <v>348</v>
      </c>
      <c r="J2129" s="249" t="s">
        <v>95</v>
      </c>
      <c r="K2129" s="250">
        <v>2747.2527472527472</v>
      </c>
      <c r="L2129" s="241"/>
      <c r="M2129" s="133">
        <v>2747.2527472527472</v>
      </c>
      <c r="N2129" s="156">
        <f>K2182/13.03</f>
        <v>191864.92709132773</v>
      </c>
    </row>
    <row r="2130" spans="1:14" x14ac:dyDescent="0.2">
      <c r="A2130" s="242">
        <v>2021</v>
      </c>
      <c r="B2130" s="242">
        <v>1</v>
      </c>
      <c r="C2130" s="242">
        <v>28</v>
      </c>
      <c r="D2130" s="270">
        <f t="shared" si="72"/>
        <v>44224</v>
      </c>
      <c r="E2130" s="279">
        <f t="shared" si="73"/>
        <v>44224</v>
      </c>
      <c r="F2130" s="478"/>
      <c r="G2130" s="243" t="s">
        <v>94</v>
      </c>
      <c r="H2130" s="243" t="str" cm="1">
        <f t="array" ref="H2130">IFERROR(INDEX(INVESTOR_LIST[INVESTOR NAME],MATCH(I2130,INVESTOR_LIST[INVESTOR CODE],0),)," ")</f>
        <v xml:space="preserve"> </v>
      </c>
      <c r="I2130" s="263" t="s">
        <v>348</v>
      </c>
      <c r="J2130" s="244" t="s">
        <v>63</v>
      </c>
      <c r="K2130" s="245"/>
      <c r="L2130" s="245">
        <v>2747.2527472527472</v>
      </c>
      <c r="M2130" s="133">
        <v>79447.462024245164</v>
      </c>
    </row>
    <row r="2131" spans="1:14" x14ac:dyDescent="0.2">
      <c r="A2131" s="246">
        <v>2021</v>
      </c>
      <c r="B2131" s="246">
        <v>1</v>
      </c>
      <c r="C2131" s="246">
        <v>28</v>
      </c>
      <c r="D2131" s="270">
        <f t="shared" si="72"/>
        <v>44224</v>
      </c>
      <c r="E2131" s="279">
        <f t="shared" si="73"/>
        <v>44224</v>
      </c>
      <c r="F2131" s="482" t="s">
        <v>137</v>
      </c>
      <c r="G2131" s="247" t="s">
        <v>94</v>
      </c>
      <c r="H2131" s="247" t="str" cm="1">
        <f t="array" ref="H2131">IFERROR(INDEX(INVESTOR_LIST[INVESTOR NAME],MATCH(I2131,INVESTOR_LIST[INVESTOR CODE],0),)," ")</f>
        <v xml:space="preserve"> </v>
      </c>
      <c r="I2131" s="248" t="s">
        <v>348</v>
      </c>
      <c r="J2131" s="249" t="s">
        <v>97</v>
      </c>
      <c r="K2131" s="250">
        <v>79447.462024245164</v>
      </c>
      <c r="L2131" s="252"/>
      <c r="M2131" s="133">
        <v>3731.9884858276423</v>
      </c>
    </row>
    <row r="2132" spans="1:14" x14ac:dyDescent="0.2">
      <c r="A2132" s="242">
        <v>2021</v>
      </c>
      <c r="B2132" s="242">
        <v>1</v>
      </c>
      <c r="C2132" s="242">
        <v>28</v>
      </c>
      <c r="D2132" s="270">
        <f t="shared" si="72"/>
        <v>44224</v>
      </c>
      <c r="E2132" s="279">
        <f t="shared" si="73"/>
        <v>44224</v>
      </c>
      <c r="F2132" s="478"/>
      <c r="G2132" s="243" t="s">
        <v>94</v>
      </c>
      <c r="H2132" s="243" t="str" cm="1">
        <f t="array" ref="H2132">IFERROR(INDEX(INVESTOR_LIST[INVESTOR NAME],MATCH(I2132,INVESTOR_LIST[INVESTOR CODE],0),)," ")</f>
        <v xml:space="preserve"> </v>
      </c>
      <c r="I2132" s="263" t="s">
        <v>348</v>
      </c>
      <c r="J2132" s="244" t="s">
        <v>47</v>
      </c>
      <c r="K2132" s="245"/>
      <c r="L2132" s="245">
        <v>79447.462024245164</v>
      </c>
      <c r="N2132" s="156">
        <f>K2185/13.03</f>
        <v>575594.78127398319</v>
      </c>
    </row>
    <row r="2133" spans="1:14" x14ac:dyDescent="0.2">
      <c r="A2133" s="246">
        <v>2021</v>
      </c>
      <c r="B2133" s="246">
        <v>1</v>
      </c>
      <c r="C2133" s="246">
        <v>28</v>
      </c>
      <c r="D2133" s="270">
        <f t="shared" si="72"/>
        <v>44224</v>
      </c>
      <c r="E2133" s="279">
        <f t="shared" si="73"/>
        <v>44224</v>
      </c>
      <c r="F2133" s="482" t="s">
        <v>138</v>
      </c>
      <c r="G2133" s="247" t="s">
        <v>94</v>
      </c>
      <c r="H2133" s="247" t="str" cm="1">
        <f t="array" ref="H2133">IFERROR(INDEX(INVESTOR_LIST[INVESTOR NAME],MATCH(I2133,INVESTOR_LIST[INVESTOR CODE],0),)," ")</f>
        <v xml:space="preserve"> </v>
      </c>
      <c r="I2133" s="248" t="s">
        <v>348</v>
      </c>
      <c r="J2133" s="249" t="s">
        <v>100</v>
      </c>
      <c r="K2133" s="250">
        <v>3731.9884858276423</v>
      </c>
      <c r="L2133" s="252"/>
    </row>
    <row r="2134" spans="1:14" x14ac:dyDescent="0.2">
      <c r="A2134" s="242">
        <v>2021</v>
      </c>
      <c r="B2134" s="242">
        <v>1</v>
      </c>
      <c r="C2134" s="242">
        <v>28</v>
      </c>
      <c r="D2134" s="270">
        <f t="shared" si="72"/>
        <v>44224</v>
      </c>
      <c r="E2134" s="279">
        <f t="shared" si="73"/>
        <v>44224</v>
      </c>
      <c r="F2134" s="478"/>
      <c r="G2134" s="243" t="s">
        <v>94</v>
      </c>
      <c r="H2134" s="243" t="str" cm="1">
        <f t="array" ref="H2134">IFERROR(INDEX(INVESTOR_LIST[INVESTOR NAME],MATCH(I2134,INVESTOR_LIST[INVESTOR CODE],0),)," ")</f>
        <v xml:space="preserve"> </v>
      </c>
      <c r="I2134" s="263" t="s">
        <v>348</v>
      </c>
      <c r="J2134" s="244" t="s">
        <v>48</v>
      </c>
      <c r="K2134" s="245"/>
      <c r="L2134" s="245">
        <v>3731.9884858276423</v>
      </c>
    </row>
    <row r="2135" spans="1:14" x14ac:dyDescent="0.2">
      <c r="A2135" s="133">
        <v>2021</v>
      </c>
      <c r="B2135" s="133">
        <v>1</v>
      </c>
      <c r="C2135" s="133">
        <v>31</v>
      </c>
      <c r="D2135" s="141">
        <f t="shared" si="72"/>
        <v>44227</v>
      </c>
      <c r="E2135" s="275">
        <f t="shared" si="73"/>
        <v>44227</v>
      </c>
      <c r="F2135" s="479" t="s">
        <v>86</v>
      </c>
      <c r="G2135" s="174" t="s">
        <v>74</v>
      </c>
      <c r="H2135" s="174" t="str" cm="1">
        <f t="array" ref="H2135">IFERROR(INDEX(INVESTOR_LIST[INVESTOR NAME],MATCH(I2135,INVESTOR_LIST[INVESTOR CODE],0),)," ")</f>
        <v xml:space="preserve"> </v>
      </c>
      <c r="J2135" s="149" t="s">
        <v>147</v>
      </c>
      <c r="K2135" s="218">
        <v>3880047.49</v>
      </c>
      <c r="L2135" s="218"/>
      <c r="N2135" s="160"/>
    </row>
    <row r="2136" spans="1:14" x14ac:dyDescent="0.2">
      <c r="A2136" s="133">
        <v>2021</v>
      </c>
      <c r="B2136" s="133">
        <v>1</v>
      </c>
      <c r="C2136" s="133">
        <v>31</v>
      </c>
      <c r="D2136" s="141">
        <f t="shared" ref="D2136" si="74">DATE(A2136,B2136,C2136)</f>
        <v>44227</v>
      </c>
      <c r="E2136" s="275">
        <f t="shared" ref="E2136" si="75">DATE(A2136,B2136,C2136)</f>
        <v>44227</v>
      </c>
      <c r="F2136" s="481"/>
      <c r="G2136" s="174" t="s">
        <v>74</v>
      </c>
      <c r="H2136" s="174" t="str" cm="1">
        <f t="array" ref="H2136">IFERROR(INDEX(INVESTOR_LIST[INVESTOR NAME],MATCH(I2136,INVESTOR_LIST[INVESTOR CODE],0),)," ")</f>
        <v xml:space="preserve"> </v>
      </c>
      <c r="J2136" s="149" t="s">
        <v>190</v>
      </c>
      <c r="K2136" s="218"/>
      <c r="L2136" s="218">
        <v>50.4</v>
      </c>
      <c r="N2136" s="160"/>
    </row>
    <row r="2137" spans="1:14" x14ac:dyDescent="0.2">
      <c r="A2137" s="133">
        <v>2021</v>
      </c>
      <c r="B2137" s="133">
        <v>1</v>
      </c>
      <c r="C2137" s="133">
        <v>31</v>
      </c>
      <c r="D2137" s="141">
        <f t="shared" si="72"/>
        <v>44227</v>
      </c>
      <c r="E2137" s="275">
        <f t="shared" si="73"/>
        <v>44227</v>
      </c>
      <c r="F2137" s="481"/>
      <c r="G2137" s="174" t="s">
        <v>74</v>
      </c>
      <c r="H2137" s="174" t="str" cm="1">
        <f t="array" ref="H2137">IFERROR(INDEX(INVESTOR_LIST[INVESTOR NAME],MATCH(I2137,INVESTOR_LIST[INVESTOR CODE],0),)," ")</f>
        <v xml:space="preserve"> </v>
      </c>
      <c r="J2137" s="149" t="s">
        <v>52</v>
      </c>
      <c r="K2137" s="218"/>
      <c r="L2137" s="218">
        <v>3879997.09</v>
      </c>
    </row>
    <row r="2138" spans="1:14" x14ac:dyDescent="0.2">
      <c r="A2138" s="168">
        <v>2021</v>
      </c>
      <c r="B2138" s="168">
        <v>1</v>
      </c>
      <c r="C2138" s="168">
        <v>31</v>
      </c>
      <c r="D2138" s="141">
        <f t="shared" si="72"/>
        <v>44227</v>
      </c>
      <c r="E2138" s="275">
        <f t="shared" si="73"/>
        <v>44227</v>
      </c>
      <c r="F2138" s="479" t="s">
        <v>524</v>
      </c>
      <c r="G2138" s="220" t="s">
        <v>74</v>
      </c>
      <c r="H2138" s="220" t="str" cm="1">
        <f t="array" ref="H2138">IFERROR(INDEX(INVESTOR_LIST[INVESTOR NAME],MATCH(I2138,INVESTOR_LIST[INVESTOR CODE],0),)," ")</f>
        <v xml:space="preserve"> </v>
      </c>
      <c r="I2138" s="142"/>
      <c r="J2138" s="143" t="s">
        <v>147</v>
      </c>
      <c r="K2138" s="226">
        <v>3019315.8</v>
      </c>
      <c r="L2138" s="226"/>
    </row>
    <row r="2139" spans="1:14" x14ac:dyDescent="0.2">
      <c r="A2139" s="163">
        <v>2021</v>
      </c>
      <c r="B2139" s="163">
        <v>1</v>
      </c>
      <c r="C2139" s="163">
        <v>31</v>
      </c>
      <c r="D2139" s="141">
        <f t="shared" si="72"/>
        <v>44227</v>
      </c>
      <c r="E2139" s="275">
        <f t="shared" si="73"/>
        <v>44227</v>
      </c>
      <c r="F2139" s="480"/>
      <c r="G2139" s="221" t="s">
        <v>74</v>
      </c>
      <c r="H2139" s="221" t="str" cm="1">
        <f t="array" ref="H2139">IFERROR(INDEX(INVESTOR_LIST[INVESTOR NAME],MATCH(I2139,INVESTOR_LIST[INVESTOR CODE],0),)," ")</f>
        <v xml:space="preserve"> </v>
      </c>
      <c r="I2139" s="145"/>
      <c r="J2139" s="146" t="s">
        <v>52</v>
      </c>
      <c r="K2139" s="219"/>
      <c r="L2139" s="219">
        <v>3019315.8</v>
      </c>
    </row>
    <row r="2140" spans="1:14" x14ac:dyDescent="0.2">
      <c r="A2140" s="133">
        <v>2021</v>
      </c>
      <c r="B2140" s="133">
        <v>1</v>
      </c>
      <c r="C2140" s="133">
        <v>31</v>
      </c>
      <c r="D2140" s="141">
        <f t="shared" si="72"/>
        <v>44227</v>
      </c>
      <c r="E2140" s="275">
        <f t="shared" si="73"/>
        <v>44227</v>
      </c>
      <c r="F2140" s="479" t="s">
        <v>525</v>
      </c>
      <c r="G2140" s="174" t="s">
        <v>74</v>
      </c>
      <c r="H2140" s="174" t="str" cm="1">
        <f t="array" ref="H2140">IFERROR(INDEX(INVESTOR_LIST[INVESTOR NAME],MATCH(I2140,INVESTOR_LIST[INVESTOR CODE],0),)," ")</f>
        <v xml:space="preserve"> </v>
      </c>
      <c r="J2140" s="149" t="s">
        <v>52</v>
      </c>
      <c r="K2140" s="218">
        <f>35417+14167+35417+21250</f>
        <v>106251</v>
      </c>
      <c r="L2140" s="218"/>
    </row>
    <row r="2141" spans="1:14" x14ac:dyDescent="0.2">
      <c r="A2141" s="133">
        <v>2021</v>
      </c>
      <c r="B2141" s="133">
        <v>1</v>
      </c>
      <c r="C2141" s="133">
        <v>31</v>
      </c>
      <c r="D2141" s="141">
        <f t="shared" si="72"/>
        <v>44227</v>
      </c>
      <c r="E2141" s="275">
        <f t="shared" si="73"/>
        <v>44227</v>
      </c>
      <c r="F2141" s="480"/>
      <c r="G2141" s="174" t="s">
        <v>74</v>
      </c>
      <c r="H2141" s="174" t="str" cm="1">
        <f t="array" ref="H2141">IFERROR(INDEX(INVESTOR_LIST[INVESTOR NAME],MATCH(I2141,INVESTOR_LIST[INVESTOR CODE],0),)," ")</f>
        <v xml:space="preserve"> </v>
      </c>
      <c r="J2141" s="149" t="s">
        <v>60</v>
      </c>
      <c r="K2141" s="218"/>
      <c r="L2141" s="218">
        <f>35417+14167+35417+21250</f>
        <v>106251</v>
      </c>
    </row>
    <row r="2142" spans="1:14" ht="45" x14ac:dyDescent="0.2">
      <c r="A2142" s="168">
        <v>2021</v>
      </c>
      <c r="B2142" s="168">
        <v>1</v>
      </c>
      <c r="C2142" s="168">
        <v>31</v>
      </c>
      <c r="D2142" s="141">
        <f t="shared" si="72"/>
        <v>44227</v>
      </c>
      <c r="E2142" s="275">
        <f t="shared" si="73"/>
        <v>44227</v>
      </c>
      <c r="F2142" s="479" t="s">
        <v>965</v>
      </c>
      <c r="G2142" s="220" t="s">
        <v>74</v>
      </c>
      <c r="H2142" s="220" t="str" cm="1">
        <f t="array" ref="H2142">IFERROR(INDEX(INVESTOR_LIST[INVESTOR NAME],MATCH(I2142,INVESTOR_LIST[INVESTOR CODE],0),)," ")</f>
        <v>SHYAMAL KRISHNA SAHA</v>
      </c>
      <c r="I2142" s="142" t="s">
        <v>378</v>
      </c>
      <c r="J2142" s="143" t="s">
        <v>13</v>
      </c>
      <c r="K2142" s="226">
        <v>99690</v>
      </c>
      <c r="L2142" s="226"/>
    </row>
    <row r="2143" spans="1:14" ht="45" x14ac:dyDescent="0.2">
      <c r="A2143" s="133">
        <v>2021</v>
      </c>
      <c r="B2143" s="133">
        <v>1</v>
      </c>
      <c r="C2143" s="133">
        <v>31</v>
      </c>
      <c r="D2143" s="141">
        <f t="shared" si="72"/>
        <v>44227</v>
      </c>
      <c r="E2143" s="275">
        <f t="shared" si="73"/>
        <v>44227</v>
      </c>
      <c r="F2143" s="481"/>
      <c r="G2143" s="174" t="s">
        <v>74</v>
      </c>
      <c r="H2143" s="174" t="str" cm="1">
        <f t="array" ref="H2143">IFERROR(INDEX(INVESTOR_LIST[INVESTOR NAME],MATCH(I2143,INVESTOR_LIST[INVESTOR CODE],0),)," ")</f>
        <v>SHYAMAL KRISHNA SAHA</v>
      </c>
      <c r="I2143" s="148" t="s">
        <v>378</v>
      </c>
      <c r="J2143" s="149" t="s">
        <v>53</v>
      </c>
      <c r="K2143" s="218">
        <v>30210</v>
      </c>
      <c r="L2143" s="218"/>
    </row>
    <row r="2144" spans="1:14" ht="45" x14ac:dyDescent="0.2">
      <c r="A2144" s="163">
        <v>2021</v>
      </c>
      <c r="B2144" s="163">
        <v>1</v>
      </c>
      <c r="C2144" s="163">
        <v>31</v>
      </c>
      <c r="D2144" s="141">
        <f t="shared" si="72"/>
        <v>44227</v>
      </c>
      <c r="E2144" s="275">
        <f t="shared" si="73"/>
        <v>44227</v>
      </c>
      <c r="F2144" s="480"/>
      <c r="G2144" s="221" t="s">
        <v>74</v>
      </c>
      <c r="H2144" s="221" t="str" cm="1">
        <f t="array" ref="H2144">IFERROR(INDEX(INVESTOR_LIST[INVESTOR NAME],MATCH(I2144,INVESTOR_LIST[INVESTOR CODE],0),)," ")</f>
        <v>SHYAMAL KRISHNA SAHA</v>
      </c>
      <c r="I2144" s="145" t="s">
        <v>378</v>
      </c>
      <c r="J2144" s="146" t="s">
        <v>52</v>
      </c>
      <c r="K2144" s="219"/>
      <c r="L2144" s="219">
        <v>129900</v>
      </c>
    </row>
    <row r="2145" spans="1:14" x14ac:dyDescent="0.2">
      <c r="A2145" s="133">
        <v>2021</v>
      </c>
      <c r="B2145" s="133">
        <v>1</v>
      </c>
      <c r="C2145" s="133">
        <v>31</v>
      </c>
      <c r="D2145" s="141">
        <f t="shared" si="72"/>
        <v>44227</v>
      </c>
      <c r="E2145" s="275">
        <f t="shared" si="73"/>
        <v>44227</v>
      </c>
      <c r="F2145" s="479" t="s">
        <v>526</v>
      </c>
      <c r="G2145" s="174" t="s">
        <v>74</v>
      </c>
      <c r="H2145" s="174" t="str" cm="1">
        <f t="array" ref="H2145">IFERROR(INDEX(INVESTOR_LIST[INVESTOR NAME],MATCH(I2145,INVESTOR_LIST[INVESTOR CODE],0),)," ")</f>
        <v xml:space="preserve"> </v>
      </c>
      <c r="J2145" s="149" t="s">
        <v>358</v>
      </c>
      <c r="K2145" s="218">
        <v>8000</v>
      </c>
      <c r="L2145" s="218"/>
    </row>
    <row r="2146" spans="1:14" x14ac:dyDescent="0.2">
      <c r="A2146" s="133">
        <v>2021</v>
      </c>
      <c r="B2146" s="133">
        <v>1</v>
      </c>
      <c r="C2146" s="133">
        <v>31</v>
      </c>
      <c r="D2146" s="141">
        <f t="shared" si="72"/>
        <v>44227</v>
      </c>
      <c r="E2146" s="275">
        <f t="shared" si="73"/>
        <v>44227</v>
      </c>
      <c r="F2146" s="480"/>
      <c r="G2146" s="174" t="s">
        <v>74</v>
      </c>
      <c r="H2146" s="174" t="str" cm="1">
        <f t="array" ref="H2146">IFERROR(INDEX(INVESTOR_LIST[INVESTOR NAME],MATCH(I2146,INVESTOR_LIST[INVESTOR CODE],0),)," ")</f>
        <v xml:space="preserve"> </v>
      </c>
      <c r="J2146" s="149" t="s">
        <v>52</v>
      </c>
      <c r="K2146" s="218"/>
      <c r="L2146" s="218">
        <v>8000</v>
      </c>
    </row>
    <row r="2147" spans="1:14" ht="22.5" x14ac:dyDescent="0.2">
      <c r="A2147" s="168">
        <v>2021</v>
      </c>
      <c r="B2147" s="168">
        <v>1</v>
      </c>
      <c r="C2147" s="168">
        <v>31</v>
      </c>
      <c r="D2147" s="141">
        <f t="shared" si="72"/>
        <v>44227</v>
      </c>
      <c r="E2147" s="275">
        <f t="shared" si="73"/>
        <v>44227</v>
      </c>
      <c r="F2147" s="479" t="s">
        <v>964</v>
      </c>
      <c r="G2147" s="220" t="s">
        <v>74</v>
      </c>
      <c r="H2147" s="142" t="str" cm="1">
        <f t="array" ref="H2147">IFERROR(INDEX(INVESTOR_LIST[INVESTOR NAME],MATCH(I2147,INVESTOR_LIST[INVESTOR CODE],0),)," ")</f>
        <v>NARGISH JAHAN</v>
      </c>
      <c r="I2147" s="142" t="s">
        <v>457</v>
      </c>
      <c r="J2147" s="143" t="s">
        <v>52</v>
      </c>
      <c r="K2147" s="226">
        <v>500000</v>
      </c>
      <c r="L2147" s="226"/>
    </row>
    <row r="2148" spans="1:14" ht="22.5" x14ac:dyDescent="0.2">
      <c r="A2148" s="133">
        <v>2021</v>
      </c>
      <c r="B2148" s="133">
        <v>1</v>
      </c>
      <c r="C2148" s="133">
        <v>31</v>
      </c>
      <c r="D2148" s="141">
        <f t="shared" si="72"/>
        <v>44227</v>
      </c>
      <c r="E2148" s="275">
        <f t="shared" si="73"/>
        <v>44227</v>
      </c>
      <c r="F2148" s="481"/>
      <c r="G2148" s="174" t="s">
        <v>74</v>
      </c>
      <c r="H2148" s="148" t="str" cm="1">
        <f t="array" ref="H2148">IFERROR(INDEX(INVESTOR_LIST[INVESTOR NAME],MATCH(I2148,INVESTOR_LIST[INVESTOR CODE],0),)," ")</f>
        <v>NARGISH JAHAN</v>
      </c>
      <c r="I2148" s="148" t="s">
        <v>457</v>
      </c>
      <c r="J2148" s="149" t="s">
        <v>13</v>
      </c>
      <c r="K2148" s="218"/>
      <c r="L2148" s="218">
        <v>383730</v>
      </c>
    </row>
    <row r="2149" spans="1:14" ht="22.5" x14ac:dyDescent="0.2">
      <c r="A2149" s="163">
        <v>2021</v>
      </c>
      <c r="B2149" s="163">
        <v>1</v>
      </c>
      <c r="C2149" s="163">
        <v>31</v>
      </c>
      <c r="D2149" s="141">
        <f t="shared" si="72"/>
        <v>44227</v>
      </c>
      <c r="E2149" s="275">
        <f t="shared" si="73"/>
        <v>44227</v>
      </c>
      <c r="F2149" s="480"/>
      <c r="G2149" s="221" t="s">
        <v>74</v>
      </c>
      <c r="H2149" s="145" t="str" cm="1">
        <f t="array" ref="H2149">IFERROR(INDEX(INVESTOR_LIST[INVESTOR NAME],MATCH(I2149,INVESTOR_LIST[INVESTOR CODE],0),)," ")</f>
        <v>NARGISH JAHAN</v>
      </c>
      <c r="I2149" s="145" t="s">
        <v>457</v>
      </c>
      <c r="J2149" s="146" t="s">
        <v>53</v>
      </c>
      <c r="K2149" s="219"/>
      <c r="L2149" s="219">
        <v>116270</v>
      </c>
    </row>
    <row r="2150" spans="1:14" ht="33.75" x14ac:dyDescent="0.2">
      <c r="A2150" s="168">
        <v>2021</v>
      </c>
      <c r="B2150" s="168">
        <v>1</v>
      </c>
      <c r="C2150" s="168">
        <v>31</v>
      </c>
      <c r="D2150" s="141">
        <f t="shared" si="72"/>
        <v>44227</v>
      </c>
      <c r="E2150" s="275">
        <f t="shared" si="73"/>
        <v>44227</v>
      </c>
      <c r="F2150" s="479" t="s">
        <v>964</v>
      </c>
      <c r="G2150" s="220" t="s">
        <v>74</v>
      </c>
      <c r="H2150" s="142" t="str" cm="1">
        <f t="array" ref="H2150">IFERROR(INDEX(INVESTOR_LIST[INVESTOR NAME],MATCH(I2150,INVESTOR_LIST[INVESTOR CODE],0),)," ")</f>
        <v>FAKARUDDIN ALI AHMED</v>
      </c>
      <c r="I2150" s="142" t="s">
        <v>458</v>
      </c>
      <c r="J2150" s="143" t="s">
        <v>52</v>
      </c>
      <c r="K2150" s="226">
        <v>100000</v>
      </c>
      <c r="L2150" s="226"/>
      <c r="M2150" s="156"/>
      <c r="N2150" s="156">
        <f>K2253/13.03</f>
        <v>176515.73292402149</v>
      </c>
    </row>
    <row r="2151" spans="1:14" ht="33.75" x14ac:dyDescent="0.2">
      <c r="A2151" s="133">
        <v>2021</v>
      </c>
      <c r="B2151" s="133">
        <v>1</v>
      </c>
      <c r="C2151" s="133">
        <v>31</v>
      </c>
      <c r="D2151" s="141">
        <f t="shared" si="72"/>
        <v>44227</v>
      </c>
      <c r="E2151" s="275">
        <f t="shared" si="73"/>
        <v>44227</v>
      </c>
      <c r="F2151" s="481"/>
      <c r="G2151" s="174" t="s">
        <v>74</v>
      </c>
      <c r="H2151" s="148" t="str" cm="1">
        <f t="array" ref="H2151">IFERROR(INDEX(INVESTOR_LIST[INVESTOR NAME],MATCH(I2151,INVESTOR_LIST[INVESTOR CODE],0),)," ")</f>
        <v>FAKARUDDIN ALI AHMED</v>
      </c>
      <c r="I2151" s="148" t="s">
        <v>458</v>
      </c>
      <c r="J2151" s="149" t="s">
        <v>13</v>
      </c>
      <c r="K2151" s="218"/>
      <c r="L2151" s="218">
        <v>76750</v>
      </c>
    </row>
    <row r="2152" spans="1:14" ht="33.75" x14ac:dyDescent="0.2">
      <c r="A2152" s="163">
        <v>2021</v>
      </c>
      <c r="B2152" s="163">
        <v>1</v>
      </c>
      <c r="C2152" s="163">
        <v>31</v>
      </c>
      <c r="D2152" s="141">
        <f t="shared" si="72"/>
        <v>44227</v>
      </c>
      <c r="E2152" s="275">
        <f t="shared" si="73"/>
        <v>44227</v>
      </c>
      <c r="F2152" s="480"/>
      <c r="G2152" s="221" t="s">
        <v>74</v>
      </c>
      <c r="H2152" s="145" t="str" cm="1">
        <f t="array" ref="H2152">IFERROR(INDEX(INVESTOR_LIST[INVESTOR NAME],MATCH(I2152,INVESTOR_LIST[INVESTOR CODE],0),)," ")</f>
        <v>FAKARUDDIN ALI AHMED</v>
      </c>
      <c r="I2152" s="145" t="s">
        <v>458</v>
      </c>
      <c r="J2152" s="146" t="s">
        <v>53</v>
      </c>
      <c r="K2152" s="219"/>
      <c r="L2152" s="219">
        <v>23250</v>
      </c>
    </row>
    <row r="2153" spans="1:14" x14ac:dyDescent="0.2">
      <c r="A2153" s="168">
        <v>2021</v>
      </c>
      <c r="B2153" s="168">
        <v>1</v>
      </c>
      <c r="C2153" s="168">
        <v>31</v>
      </c>
      <c r="D2153" s="141">
        <f t="shared" si="72"/>
        <v>44227</v>
      </c>
      <c r="E2153" s="275">
        <f t="shared" si="73"/>
        <v>44227</v>
      </c>
      <c r="F2153" s="479" t="s">
        <v>77</v>
      </c>
      <c r="G2153" s="220" t="s">
        <v>74</v>
      </c>
      <c r="H2153" s="220" t="str" cm="1">
        <f t="array" ref="H2153">IFERROR(INDEX(INVESTOR_LIST[INVESTOR NAME],MATCH(I2153,INVESTOR_LIST[INVESTOR CODE],0),)," ")</f>
        <v xml:space="preserve"> </v>
      </c>
      <c r="I2153" s="142" t="s">
        <v>348</v>
      </c>
      <c r="J2153" s="143" t="s">
        <v>61</v>
      </c>
      <c r="K2153" s="226">
        <v>25</v>
      </c>
      <c r="L2153" s="226"/>
      <c r="N2153" s="156">
        <f>K2202/13.03</f>
        <v>53722.179585571757</v>
      </c>
    </row>
    <row r="2154" spans="1:14" x14ac:dyDescent="0.2">
      <c r="A2154" s="163">
        <v>2021</v>
      </c>
      <c r="B2154" s="163">
        <v>1</v>
      </c>
      <c r="C2154" s="163">
        <v>31</v>
      </c>
      <c r="D2154" s="141">
        <f t="shared" si="72"/>
        <v>44227</v>
      </c>
      <c r="E2154" s="275">
        <f t="shared" si="73"/>
        <v>44227</v>
      </c>
      <c r="F2154" s="480"/>
      <c r="G2154" s="221" t="s">
        <v>74</v>
      </c>
      <c r="H2154" s="221" t="str" cm="1">
        <f t="array" ref="H2154">IFERROR(INDEX(INVESTOR_LIST[INVESTOR NAME],MATCH(I2154,INVESTOR_LIST[INVESTOR CODE],0),)," ")</f>
        <v xml:space="preserve"> </v>
      </c>
      <c r="I2154" s="145" t="s">
        <v>348</v>
      </c>
      <c r="J2154" s="146" t="s">
        <v>52</v>
      </c>
      <c r="K2154" s="219"/>
      <c r="L2154" s="219">
        <v>25</v>
      </c>
    </row>
    <row r="2155" spans="1:14" x14ac:dyDescent="0.2">
      <c r="A2155" s="168">
        <v>2021</v>
      </c>
      <c r="B2155" s="168">
        <v>2</v>
      </c>
      <c r="C2155" s="168">
        <v>1</v>
      </c>
      <c r="D2155" s="141">
        <f t="shared" si="72"/>
        <v>44228</v>
      </c>
      <c r="E2155" s="275">
        <f t="shared" si="73"/>
        <v>44228</v>
      </c>
      <c r="F2155" s="479" t="s">
        <v>360</v>
      </c>
      <c r="G2155" s="220" t="s">
        <v>94</v>
      </c>
      <c r="H2155" s="220" t="str" cm="1">
        <f t="array" ref="H2155">IFERROR(INDEX(INVESTOR_LIST[INVESTOR NAME],MATCH(I2155,INVESTOR_LIST[INVESTOR CODE],0),)," ")</f>
        <v xml:space="preserve"> </v>
      </c>
      <c r="I2155" s="142"/>
      <c r="J2155" s="143" t="s">
        <v>190</v>
      </c>
      <c r="K2155" s="226">
        <v>3757601.22</v>
      </c>
      <c r="L2155" s="226"/>
    </row>
    <row r="2156" spans="1:14" x14ac:dyDescent="0.2">
      <c r="A2156" s="133">
        <v>2021</v>
      </c>
      <c r="B2156" s="133">
        <v>2</v>
      </c>
      <c r="C2156" s="133">
        <v>1</v>
      </c>
      <c r="D2156" s="141">
        <f t="shared" si="72"/>
        <v>44228</v>
      </c>
      <c r="E2156" s="275">
        <f t="shared" si="73"/>
        <v>44228</v>
      </c>
      <c r="F2156" s="481"/>
      <c r="G2156" s="174" t="s">
        <v>94</v>
      </c>
      <c r="H2156" s="174" t="str" cm="1">
        <f t="array" ref="H2156">IFERROR(INDEX(INVESTOR_LIST[INVESTOR NAME],MATCH(I2156,INVESTOR_LIST[INVESTOR CODE],0),)," ")</f>
        <v xml:space="preserve"> </v>
      </c>
      <c r="J2156" s="149" t="s">
        <v>80</v>
      </c>
      <c r="K2156" s="218">
        <v>6775.88</v>
      </c>
      <c r="L2156" s="218"/>
      <c r="N2156" s="156">
        <f>K2205/13.03</f>
        <v>15349.194167306217</v>
      </c>
    </row>
    <row r="2157" spans="1:14" x14ac:dyDescent="0.2">
      <c r="A2157" s="133">
        <v>2021</v>
      </c>
      <c r="B2157" s="133">
        <v>2</v>
      </c>
      <c r="C2157" s="133">
        <v>1</v>
      </c>
      <c r="D2157" s="141">
        <f t="shared" si="72"/>
        <v>44228</v>
      </c>
      <c r="E2157" s="275">
        <f t="shared" si="73"/>
        <v>44228</v>
      </c>
      <c r="F2157" s="481"/>
      <c r="G2157" s="174" t="s">
        <v>94</v>
      </c>
      <c r="H2157" s="174" t="str" cm="1">
        <f t="array" ref="H2157">IFERROR(INDEX(INVESTOR_LIST[INVESTOR NAME],MATCH(I2157,INVESTOR_LIST[INVESTOR CODE],0),)," ")</f>
        <v xml:space="preserve"> </v>
      </c>
      <c r="J2157" s="149" t="s">
        <v>79</v>
      </c>
      <c r="K2157" s="218"/>
      <c r="L2157" s="218">
        <v>2748052.47</v>
      </c>
    </row>
    <row r="2158" spans="1:14" x14ac:dyDescent="0.2">
      <c r="A2158" s="163">
        <v>2021</v>
      </c>
      <c r="B2158" s="163">
        <v>2</v>
      </c>
      <c r="C2158" s="163">
        <v>1</v>
      </c>
      <c r="D2158" s="141">
        <f t="shared" si="72"/>
        <v>44228</v>
      </c>
      <c r="E2158" s="275">
        <f t="shared" si="73"/>
        <v>44228</v>
      </c>
      <c r="F2158" s="480"/>
      <c r="G2158" s="221" t="s">
        <v>94</v>
      </c>
      <c r="H2158" s="221" t="str" cm="1">
        <f t="array" ref="H2158">IFERROR(INDEX(INVESTOR_LIST[INVESTOR NAME],MATCH(I2158,INVESTOR_LIST[INVESTOR CODE],0),)," ")</f>
        <v xml:space="preserve"> </v>
      </c>
      <c r="I2158" s="145"/>
      <c r="J2158" s="146" t="s">
        <v>191</v>
      </c>
      <c r="K2158" s="219"/>
      <c r="L2158" s="219">
        <v>1016324.63</v>
      </c>
    </row>
    <row r="2159" spans="1:14" x14ac:dyDescent="0.2">
      <c r="A2159" s="168">
        <v>2021</v>
      </c>
      <c r="B2159" s="168">
        <v>2</v>
      </c>
      <c r="C2159" s="168">
        <v>1</v>
      </c>
      <c r="D2159" s="141">
        <f t="shared" si="72"/>
        <v>44228</v>
      </c>
      <c r="E2159" s="275">
        <f t="shared" si="73"/>
        <v>44228</v>
      </c>
      <c r="F2159" s="479" t="s">
        <v>274</v>
      </c>
      <c r="G2159" s="220" t="s">
        <v>94</v>
      </c>
      <c r="H2159" s="220" t="str" cm="1">
        <f t="array" ref="H2159">IFERROR(INDEX(INVESTOR_LIST[INVESTOR NAME],MATCH(I2159,INVESTOR_LIST[INVESTOR CODE],0),)," ")</f>
        <v xml:space="preserve"> </v>
      </c>
      <c r="I2159" s="142"/>
      <c r="J2159" s="143" t="s">
        <v>79</v>
      </c>
      <c r="K2159" s="226">
        <v>1790106</v>
      </c>
      <c r="L2159" s="226"/>
      <c r="N2159" s="156">
        <f>K2208/13.03</f>
        <v>15349.194167306217</v>
      </c>
    </row>
    <row r="2160" spans="1:14" x14ac:dyDescent="0.2">
      <c r="A2160" s="133">
        <v>2021</v>
      </c>
      <c r="B2160" s="133">
        <v>2</v>
      </c>
      <c r="C2160" s="133">
        <v>1</v>
      </c>
      <c r="D2160" s="141">
        <f t="shared" si="72"/>
        <v>44228</v>
      </c>
      <c r="E2160" s="275">
        <f t="shared" si="73"/>
        <v>44228</v>
      </c>
      <c r="F2160" s="481"/>
      <c r="G2160" s="174" t="s">
        <v>94</v>
      </c>
      <c r="H2160" s="174" t="str" cm="1">
        <f t="array" ref="H2160">IFERROR(INDEX(INVESTOR_LIST[INVESTOR NAME],MATCH(I2160,INVESTOR_LIST[INVESTOR CODE],0),)," ")</f>
        <v xml:space="preserve"> </v>
      </c>
      <c r="J2160" s="149" t="s">
        <v>80</v>
      </c>
      <c r="K2160" s="218">
        <v>3222.19</v>
      </c>
      <c r="L2160" s="218"/>
    </row>
    <row r="2161" spans="1:12" x14ac:dyDescent="0.2">
      <c r="A2161" s="133">
        <v>2021</v>
      </c>
      <c r="B2161" s="133">
        <v>2</v>
      </c>
      <c r="C2161" s="133">
        <v>1</v>
      </c>
      <c r="D2161" s="141">
        <f t="shared" si="72"/>
        <v>44228</v>
      </c>
      <c r="E2161" s="275">
        <f t="shared" si="73"/>
        <v>44228</v>
      </c>
      <c r="F2161" s="481"/>
      <c r="G2161" s="174" t="s">
        <v>94</v>
      </c>
      <c r="H2161" s="174" t="str" cm="1">
        <f t="array" ref="H2161">IFERROR(INDEX(INVESTOR_LIST[INVESTOR NAME],MATCH(I2161,INVESTOR_LIST[INVESTOR CODE],0),)," ")</f>
        <v xml:space="preserve"> </v>
      </c>
      <c r="J2161" s="149" t="s">
        <v>147</v>
      </c>
      <c r="K2161" s="218"/>
      <c r="L2161" s="218">
        <v>1793328.19</v>
      </c>
    </row>
    <row r="2162" spans="1:12" ht="33.75" x14ac:dyDescent="0.2">
      <c r="A2162" s="168">
        <v>2021</v>
      </c>
      <c r="B2162" s="168">
        <v>2</v>
      </c>
      <c r="C2162" s="168">
        <v>1</v>
      </c>
      <c r="D2162" s="141">
        <f t="shared" si="72"/>
        <v>44228</v>
      </c>
      <c r="E2162" s="275">
        <f t="shared" si="73"/>
        <v>44228</v>
      </c>
      <c r="F2162" s="479" t="s">
        <v>965</v>
      </c>
      <c r="G2162" s="220" t="s">
        <v>74</v>
      </c>
      <c r="H2162" s="220" t="str" cm="1">
        <f t="array" ref="H2162">IFERROR(INDEX(INVESTOR_LIST[INVESTOR NAME],MATCH(I2162,INVESTOR_LIST[INVESTOR CODE],0),)," ")</f>
        <v>ASHIT BARAN SAHA</v>
      </c>
      <c r="I2162" s="142" t="s">
        <v>442</v>
      </c>
      <c r="J2162" s="143" t="s">
        <v>13</v>
      </c>
      <c r="K2162" s="226">
        <v>1534910</v>
      </c>
      <c r="L2162" s="226"/>
    </row>
    <row r="2163" spans="1:12" ht="33.75" x14ac:dyDescent="0.2">
      <c r="A2163" s="133">
        <v>2021</v>
      </c>
      <c r="B2163" s="133">
        <v>2</v>
      </c>
      <c r="C2163" s="133">
        <v>1</v>
      </c>
      <c r="D2163" s="141">
        <f t="shared" si="72"/>
        <v>44228</v>
      </c>
      <c r="E2163" s="275">
        <f t="shared" si="73"/>
        <v>44228</v>
      </c>
      <c r="F2163" s="481"/>
      <c r="G2163" s="174" t="s">
        <v>74</v>
      </c>
      <c r="H2163" s="174" t="str" cm="1">
        <f t="array" ref="H2163">IFERROR(INDEX(INVESTOR_LIST[INVESTOR NAME],MATCH(I2163,INVESTOR_LIST[INVESTOR CODE],0),)," ")</f>
        <v>ASHIT BARAN SAHA</v>
      </c>
      <c r="I2163" s="148" t="s">
        <v>442</v>
      </c>
      <c r="J2163" s="149" t="s">
        <v>53</v>
      </c>
      <c r="K2163" s="218">
        <v>465082.36</v>
      </c>
      <c r="L2163" s="218"/>
    </row>
    <row r="2164" spans="1:12" ht="33.75" x14ac:dyDescent="0.2">
      <c r="A2164" s="163">
        <v>2021</v>
      </c>
      <c r="B2164" s="163">
        <v>2</v>
      </c>
      <c r="C2164" s="163">
        <v>1</v>
      </c>
      <c r="D2164" s="141">
        <f t="shared" si="72"/>
        <v>44228</v>
      </c>
      <c r="E2164" s="275">
        <f t="shared" si="73"/>
        <v>44228</v>
      </c>
      <c r="F2164" s="480"/>
      <c r="G2164" s="221" t="s">
        <v>74</v>
      </c>
      <c r="H2164" s="221" t="str" cm="1">
        <f t="array" ref="H2164">IFERROR(INDEX(INVESTOR_LIST[INVESTOR NAME],MATCH(I2164,INVESTOR_LIST[INVESTOR CODE],0),)," ")</f>
        <v>ASHIT BARAN SAHA</v>
      </c>
      <c r="I2164" s="145" t="s">
        <v>442</v>
      </c>
      <c r="J2164" s="146" t="s">
        <v>52</v>
      </c>
      <c r="K2164" s="219"/>
      <c r="L2164" s="219">
        <v>1999992.36</v>
      </c>
    </row>
    <row r="2165" spans="1:12" x14ac:dyDescent="0.2">
      <c r="A2165" s="168">
        <v>2021</v>
      </c>
      <c r="B2165" s="168">
        <v>2</v>
      </c>
      <c r="C2165" s="168">
        <v>1</v>
      </c>
      <c r="D2165" s="141">
        <f t="shared" si="72"/>
        <v>44228</v>
      </c>
      <c r="E2165" s="275">
        <f t="shared" si="73"/>
        <v>44228</v>
      </c>
      <c r="F2165" s="479" t="s">
        <v>77</v>
      </c>
      <c r="G2165" s="220" t="s">
        <v>74</v>
      </c>
      <c r="H2165" s="220" t="str" cm="1">
        <f t="array" ref="H2165">IFERROR(INDEX(INVESTOR_LIST[INVESTOR NAME],MATCH(I2165,INVESTOR_LIST[INVESTOR CODE],0),)," ")</f>
        <v xml:space="preserve"> </v>
      </c>
      <c r="I2165" s="142" t="s">
        <v>348</v>
      </c>
      <c r="J2165" s="143" t="s">
        <v>61</v>
      </c>
      <c r="K2165" s="226">
        <v>100</v>
      </c>
      <c r="L2165" s="226"/>
    </row>
    <row r="2166" spans="1:12" x14ac:dyDescent="0.2">
      <c r="A2166" s="163">
        <v>2021</v>
      </c>
      <c r="B2166" s="163">
        <v>2</v>
      </c>
      <c r="C2166" s="163">
        <v>1</v>
      </c>
      <c r="D2166" s="141">
        <f t="shared" si="72"/>
        <v>44228</v>
      </c>
      <c r="E2166" s="275">
        <f t="shared" si="73"/>
        <v>44228</v>
      </c>
      <c r="F2166" s="480"/>
      <c r="G2166" s="221" t="s">
        <v>74</v>
      </c>
      <c r="H2166" s="221" t="str" cm="1">
        <f t="array" ref="H2166">IFERROR(INDEX(INVESTOR_LIST[INVESTOR NAME],MATCH(I2166,INVESTOR_LIST[INVESTOR CODE],0),)," ")</f>
        <v xml:space="preserve"> </v>
      </c>
      <c r="I2166" s="145" t="s">
        <v>348</v>
      </c>
      <c r="J2166" s="146" t="s">
        <v>52</v>
      </c>
      <c r="K2166" s="219"/>
      <c r="L2166" s="219">
        <v>100</v>
      </c>
    </row>
    <row r="2167" spans="1:12" ht="33.75" x14ac:dyDescent="0.2">
      <c r="A2167" s="168">
        <v>2021</v>
      </c>
      <c r="B2167" s="168">
        <v>2</v>
      </c>
      <c r="C2167" s="168">
        <v>1</v>
      </c>
      <c r="D2167" s="141">
        <f t="shared" si="72"/>
        <v>44228</v>
      </c>
      <c r="E2167" s="275">
        <f t="shared" si="73"/>
        <v>44228</v>
      </c>
      <c r="F2167" s="479" t="s">
        <v>965</v>
      </c>
      <c r="G2167" s="220" t="s">
        <v>74</v>
      </c>
      <c r="H2167" s="220" t="str" cm="1">
        <f t="array" ref="H2167">IFERROR(INDEX(INVESTOR_LIST[INVESTOR NAME],MATCH(I2167,INVESTOR_LIST[INVESTOR CODE],0),)," ")</f>
        <v>MD. KAMRUZZAMAN</v>
      </c>
      <c r="I2167" s="142" t="s">
        <v>450</v>
      </c>
      <c r="J2167" s="143" t="s">
        <v>13</v>
      </c>
      <c r="K2167" s="226">
        <v>164800</v>
      </c>
      <c r="L2167" s="226"/>
    </row>
    <row r="2168" spans="1:12" ht="33.75" x14ac:dyDescent="0.2">
      <c r="A2168" s="133">
        <v>2021</v>
      </c>
      <c r="B2168" s="133">
        <v>2</v>
      </c>
      <c r="C2168" s="133">
        <v>1</v>
      </c>
      <c r="D2168" s="141">
        <f t="shared" si="72"/>
        <v>44228</v>
      </c>
      <c r="E2168" s="275">
        <f t="shared" si="73"/>
        <v>44228</v>
      </c>
      <c r="F2168" s="481"/>
      <c r="G2168" s="174" t="s">
        <v>74</v>
      </c>
      <c r="H2168" s="174" t="str" cm="1">
        <f t="array" ref="H2168">IFERROR(INDEX(INVESTOR_LIST[INVESTOR NAME],MATCH(I2168,INVESTOR_LIST[INVESTOR CODE],0),)," ")</f>
        <v>MD. KAMRUZZAMAN</v>
      </c>
      <c r="I2168" s="148" t="s">
        <v>450</v>
      </c>
      <c r="J2168" s="149" t="s">
        <v>53</v>
      </c>
      <c r="K2168" s="218">
        <v>49929.17</v>
      </c>
      <c r="L2168" s="218"/>
    </row>
    <row r="2169" spans="1:12" ht="33.75" x14ac:dyDescent="0.2">
      <c r="A2169" s="163">
        <v>2021</v>
      </c>
      <c r="B2169" s="163">
        <v>2</v>
      </c>
      <c r="C2169" s="163">
        <v>1</v>
      </c>
      <c r="D2169" s="141">
        <f t="shared" si="72"/>
        <v>44228</v>
      </c>
      <c r="E2169" s="275">
        <f t="shared" si="73"/>
        <v>44228</v>
      </c>
      <c r="F2169" s="480"/>
      <c r="G2169" s="221" t="s">
        <v>74</v>
      </c>
      <c r="H2169" s="221" t="str" cm="1">
        <f t="array" ref="H2169">IFERROR(INDEX(INVESTOR_LIST[INVESTOR NAME],MATCH(I2169,INVESTOR_LIST[INVESTOR CODE],0),)," ")</f>
        <v>MD. KAMRUZZAMAN</v>
      </c>
      <c r="I2169" s="145" t="s">
        <v>450</v>
      </c>
      <c r="J2169" s="146" t="s">
        <v>52</v>
      </c>
      <c r="K2169" s="219"/>
      <c r="L2169" s="219">
        <v>214729.17</v>
      </c>
    </row>
    <row r="2170" spans="1:12" x14ac:dyDescent="0.2">
      <c r="A2170" s="133">
        <v>2021</v>
      </c>
      <c r="B2170" s="133">
        <v>2</v>
      </c>
      <c r="C2170" s="133">
        <v>1</v>
      </c>
      <c r="D2170" s="141">
        <f t="shared" si="72"/>
        <v>44228</v>
      </c>
      <c r="E2170" s="275">
        <f t="shared" si="73"/>
        <v>44228</v>
      </c>
      <c r="F2170" s="479" t="s">
        <v>558</v>
      </c>
      <c r="G2170" s="174" t="s">
        <v>74</v>
      </c>
      <c r="H2170" s="174" t="str" cm="1">
        <f t="array" ref="H2170">IFERROR(INDEX(INVESTOR_LIST[INVESTOR NAME],MATCH(I2170,INVESTOR_LIST[INVESTOR CODE],0),)," ")</f>
        <v xml:space="preserve"> </v>
      </c>
      <c r="J2170" s="149" t="s">
        <v>358</v>
      </c>
      <c r="K2170" s="218">
        <v>13986.4</v>
      </c>
      <c r="L2170" s="218"/>
    </row>
    <row r="2171" spans="1:12" x14ac:dyDescent="0.2">
      <c r="A2171" s="133">
        <v>2021</v>
      </c>
      <c r="B2171" s="133">
        <v>2</v>
      </c>
      <c r="C2171" s="133">
        <v>1</v>
      </c>
      <c r="D2171" s="141">
        <f t="shared" si="72"/>
        <v>44228</v>
      </c>
      <c r="E2171" s="275">
        <f t="shared" si="73"/>
        <v>44228</v>
      </c>
      <c r="F2171" s="480"/>
      <c r="G2171" s="174" t="s">
        <v>74</v>
      </c>
      <c r="H2171" s="174" t="str" cm="1">
        <f t="array" ref="H2171">IFERROR(INDEX(INVESTOR_LIST[INVESTOR NAME],MATCH(I2171,INVESTOR_LIST[INVESTOR CODE],0),)," ")</f>
        <v xml:space="preserve"> </v>
      </c>
      <c r="J2171" s="149" t="s">
        <v>52</v>
      </c>
      <c r="K2171" s="218"/>
      <c r="L2171" s="218">
        <v>13986.4</v>
      </c>
    </row>
    <row r="2172" spans="1:12" x14ac:dyDescent="0.2">
      <c r="A2172" s="168">
        <v>2021</v>
      </c>
      <c r="B2172" s="168">
        <v>2</v>
      </c>
      <c r="C2172" s="168">
        <v>3</v>
      </c>
      <c r="D2172" s="141">
        <f t="shared" si="72"/>
        <v>44230</v>
      </c>
      <c r="E2172" s="275">
        <f t="shared" si="73"/>
        <v>44230</v>
      </c>
      <c r="F2172" s="494" t="s">
        <v>363</v>
      </c>
      <c r="G2172" s="220" t="s">
        <v>74</v>
      </c>
      <c r="H2172" s="142" t="str" cm="1">
        <f t="array" ref="H2172">IFERROR(INDEX(INVESTOR_LIST[INVESTOR NAME],MATCH(I2172,INVESTOR_LIST[INVESTOR CODE],0),)," ")</f>
        <v xml:space="preserve"> </v>
      </c>
      <c r="I2172" s="142"/>
      <c r="J2172" s="143" t="s">
        <v>52</v>
      </c>
      <c r="K2172" s="226">
        <v>3757601.22</v>
      </c>
      <c r="L2172" s="226"/>
    </row>
    <row r="2173" spans="1:12" x14ac:dyDescent="0.2">
      <c r="A2173" s="163">
        <v>2021</v>
      </c>
      <c r="B2173" s="163">
        <v>2</v>
      </c>
      <c r="C2173" s="163">
        <v>3</v>
      </c>
      <c r="D2173" s="141">
        <f t="shared" si="72"/>
        <v>44230</v>
      </c>
      <c r="E2173" s="275">
        <f t="shared" si="73"/>
        <v>44230</v>
      </c>
      <c r="F2173" s="495"/>
      <c r="G2173" s="221" t="s">
        <v>74</v>
      </c>
      <c r="H2173" s="145" t="str" cm="1">
        <f t="array" ref="H2173">IFERROR(INDEX(INVESTOR_LIST[INVESTOR NAME],MATCH(I2173,INVESTOR_LIST[INVESTOR CODE],0),)," ")</f>
        <v xml:space="preserve"> </v>
      </c>
      <c r="I2173" s="145"/>
      <c r="J2173" s="146" t="s">
        <v>190</v>
      </c>
      <c r="K2173" s="219"/>
      <c r="L2173" s="219">
        <v>3757601.22</v>
      </c>
    </row>
    <row r="2174" spans="1:12" x14ac:dyDescent="0.2">
      <c r="A2174" s="168">
        <v>2021</v>
      </c>
      <c r="B2174" s="168">
        <v>2</v>
      </c>
      <c r="C2174" s="168">
        <v>3</v>
      </c>
      <c r="D2174" s="141">
        <f t="shared" si="72"/>
        <v>44230</v>
      </c>
      <c r="E2174" s="275">
        <f t="shared" si="73"/>
        <v>44230</v>
      </c>
      <c r="F2174" s="479" t="s">
        <v>524</v>
      </c>
      <c r="G2174" s="220" t="s">
        <v>74</v>
      </c>
      <c r="H2174" s="142" t="str" cm="1">
        <f t="array" ref="H2174">IFERROR(INDEX(INVESTOR_LIST[INVESTOR NAME],MATCH(I2174,INVESTOR_LIST[INVESTOR CODE],0),)," ")</f>
        <v xml:space="preserve"> </v>
      </c>
      <c r="I2174" s="142"/>
      <c r="J2174" s="143" t="s">
        <v>147</v>
      </c>
      <c r="K2174" s="226">
        <v>1793328.19</v>
      </c>
      <c r="L2174" s="226"/>
    </row>
    <row r="2175" spans="1:12" x14ac:dyDescent="0.2">
      <c r="A2175" s="163">
        <v>2021</v>
      </c>
      <c r="B2175" s="163">
        <v>2</v>
      </c>
      <c r="C2175" s="163">
        <v>3</v>
      </c>
      <c r="D2175" s="141">
        <f t="shared" si="72"/>
        <v>44230</v>
      </c>
      <c r="E2175" s="275">
        <f t="shared" si="73"/>
        <v>44230</v>
      </c>
      <c r="F2175" s="480"/>
      <c r="G2175" s="221" t="s">
        <v>74</v>
      </c>
      <c r="H2175" s="145" t="str" cm="1">
        <f t="array" ref="H2175">IFERROR(INDEX(INVESTOR_LIST[INVESTOR NAME],MATCH(I2175,INVESTOR_LIST[INVESTOR CODE],0),)," ")</f>
        <v xml:space="preserve"> </v>
      </c>
      <c r="I2175" s="145"/>
      <c r="J2175" s="146" t="s">
        <v>52</v>
      </c>
      <c r="K2175" s="219"/>
      <c r="L2175" s="219">
        <v>1793328.19</v>
      </c>
    </row>
    <row r="2176" spans="1:12" x14ac:dyDescent="0.2">
      <c r="A2176" s="168">
        <v>2021</v>
      </c>
      <c r="B2176" s="168">
        <v>2</v>
      </c>
      <c r="C2176" s="168">
        <v>4</v>
      </c>
      <c r="D2176" s="141">
        <f t="shared" si="72"/>
        <v>44231</v>
      </c>
      <c r="E2176" s="275">
        <f t="shared" si="73"/>
        <v>44231</v>
      </c>
      <c r="F2176" s="479" t="s">
        <v>254</v>
      </c>
      <c r="G2176" s="220" t="s">
        <v>74</v>
      </c>
      <c r="H2176" s="142" t="str" cm="1">
        <f t="array" ref="H2176">IFERROR(INDEX(INVESTOR_LIST[INVESTOR NAME],MATCH(I2176,INVESTOR_LIST[INVESTOR CODE],0),)," ")</f>
        <v xml:space="preserve"> </v>
      </c>
      <c r="I2176" s="142"/>
      <c r="J2176" s="143" t="s">
        <v>52</v>
      </c>
      <c r="K2176" s="226">
        <v>5000</v>
      </c>
      <c r="L2176" s="226"/>
    </row>
    <row r="2177" spans="1:14" x14ac:dyDescent="0.2">
      <c r="A2177" s="133">
        <v>2021</v>
      </c>
      <c r="B2177" s="133">
        <v>2</v>
      </c>
      <c r="C2177" s="133">
        <v>4</v>
      </c>
      <c r="D2177" s="141">
        <f t="shared" si="72"/>
        <v>44231</v>
      </c>
      <c r="E2177" s="275">
        <f t="shared" si="73"/>
        <v>44231</v>
      </c>
      <c r="F2177" s="481"/>
      <c r="G2177" s="174" t="s">
        <v>74</v>
      </c>
      <c r="H2177" s="148" t="str" cm="1">
        <f t="array" ref="H2177">IFERROR(INDEX(INVESTOR_LIST[INVESTOR NAME],MATCH(I2177,INVESTOR_LIST[INVESTOR CODE],0),)," ")</f>
        <v xml:space="preserve"> </v>
      </c>
      <c r="J2177" s="149" t="s">
        <v>13</v>
      </c>
      <c r="K2177" s="218"/>
      <c r="L2177" s="218">
        <v>3840</v>
      </c>
    </row>
    <row r="2178" spans="1:14" x14ac:dyDescent="0.2">
      <c r="A2178" s="163">
        <v>2021</v>
      </c>
      <c r="B2178" s="163">
        <v>2</v>
      </c>
      <c r="C2178" s="163">
        <v>4</v>
      </c>
      <c r="D2178" s="141">
        <f t="shared" si="72"/>
        <v>44231</v>
      </c>
      <c r="E2178" s="275">
        <f t="shared" si="73"/>
        <v>44231</v>
      </c>
      <c r="F2178" s="480"/>
      <c r="G2178" s="221" t="s">
        <v>74</v>
      </c>
      <c r="H2178" s="145" t="str" cm="1">
        <f t="array" ref="H2178">IFERROR(INDEX(INVESTOR_LIST[INVESTOR NAME],MATCH(I2178,INVESTOR_LIST[INVESTOR CODE],0),)," ")</f>
        <v xml:space="preserve"> </v>
      </c>
      <c r="I2178" s="145"/>
      <c r="J2178" s="146" t="s">
        <v>53</v>
      </c>
      <c r="K2178" s="219"/>
      <c r="L2178" s="219">
        <v>1160</v>
      </c>
      <c r="N2178" s="156">
        <f>K2227/13.13</f>
        <v>11424.219345011423</v>
      </c>
    </row>
    <row r="2179" spans="1:14" ht="45" x14ac:dyDescent="0.2">
      <c r="A2179" s="168">
        <v>2021</v>
      </c>
      <c r="B2179" s="168">
        <v>2</v>
      </c>
      <c r="C2179" s="168">
        <v>4</v>
      </c>
      <c r="D2179" s="141">
        <f t="shared" si="72"/>
        <v>44231</v>
      </c>
      <c r="E2179" s="275">
        <f t="shared" si="73"/>
        <v>44231</v>
      </c>
      <c r="F2179" s="479" t="s">
        <v>964</v>
      </c>
      <c r="G2179" s="220" t="s">
        <v>74</v>
      </c>
      <c r="H2179" s="142" t="str" cm="1">
        <f t="array" ref="H2179">IFERROR(INDEX(INVESTOR_LIST[INVESTOR NAME],MATCH(I2179,INVESTOR_LIST[INVESTOR CODE],0),)," ")</f>
        <v>RAIHAN RASHID MAJUMDAR</v>
      </c>
      <c r="I2179" s="142" t="s">
        <v>511</v>
      </c>
      <c r="J2179" s="143" t="s">
        <v>52</v>
      </c>
      <c r="K2179" s="226">
        <v>2500000</v>
      </c>
      <c r="L2179" s="226"/>
      <c r="N2179" s="156"/>
    </row>
    <row r="2180" spans="1:14" ht="45" x14ac:dyDescent="0.2">
      <c r="A2180" s="133">
        <v>2021</v>
      </c>
      <c r="B2180" s="133">
        <v>2</v>
      </c>
      <c r="C2180" s="133">
        <v>4</v>
      </c>
      <c r="D2180" s="141">
        <f t="shared" si="72"/>
        <v>44231</v>
      </c>
      <c r="E2180" s="275">
        <f t="shared" si="73"/>
        <v>44231</v>
      </c>
      <c r="F2180" s="481"/>
      <c r="G2180" s="174" t="s">
        <v>74</v>
      </c>
      <c r="H2180" s="148" t="str" cm="1">
        <f t="array" ref="H2180">IFERROR(INDEX(INVESTOR_LIST[INVESTOR NAME],MATCH(I2180,INVESTOR_LIST[INVESTOR CODE],0),)," ")</f>
        <v>RAIHAN RASHID MAJUMDAR</v>
      </c>
      <c r="I2180" s="148" t="s">
        <v>511</v>
      </c>
      <c r="J2180" s="149" t="s">
        <v>13</v>
      </c>
      <c r="K2180" s="218"/>
      <c r="L2180" s="218">
        <v>1918650</v>
      </c>
      <c r="N2180" s="156"/>
    </row>
    <row r="2181" spans="1:14" ht="45" x14ac:dyDescent="0.2">
      <c r="A2181" s="163">
        <v>2021</v>
      </c>
      <c r="B2181" s="163">
        <v>2</v>
      </c>
      <c r="C2181" s="163">
        <v>4</v>
      </c>
      <c r="D2181" s="141">
        <f t="shared" si="72"/>
        <v>44231</v>
      </c>
      <c r="E2181" s="275">
        <f t="shared" si="73"/>
        <v>44231</v>
      </c>
      <c r="F2181" s="480"/>
      <c r="G2181" s="221" t="s">
        <v>74</v>
      </c>
      <c r="H2181" s="145" t="str" cm="1">
        <f t="array" ref="H2181">IFERROR(INDEX(INVESTOR_LIST[INVESTOR NAME],MATCH(I2181,INVESTOR_LIST[INVESTOR CODE],0),)," ")</f>
        <v>RAIHAN RASHID MAJUMDAR</v>
      </c>
      <c r="I2181" s="145" t="s">
        <v>511</v>
      </c>
      <c r="J2181" s="146" t="s">
        <v>53</v>
      </c>
      <c r="K2181" s="219"/>
      <c r="L2181" s="219">
        <v>581350</v>
      </c>
      <c r="N2181" s="156"/>
    </row>
    <row r="2182" spans="1:14" ht="56.25" x14ac:dyDescent="0.2">
      <c r="A2182" s="168">
        <v>2021</v>
      </c>
      <c r="B2182" s="168">
        <v>2</v>
      </c>
      <c r="C2182" s="168">
        <v>4</v>
      </c>
      <c r="D2182" s="141">
        <f t="shared" si="72"/>
        <v>44231</v>
      </c>
      <c r="E2182" s="275">
        <f t="shared" si="73"/>
        <v>44231</v>
      </c>
      <c r="F2182" s="479" t="s">
        <v>964</v>
      </c>
      <c r="G2182" s="220" t="s">
        <v>74</v>
      </c>
      <c r="H2182" s="142" t="str" cm="1">
        <f t="array" ref="H2182">IFERROR(INDEX(INVESTOR_LIST[INVESTOR NAME],MATCH(I2182,INVESTOR_LIST[INVESTOR CODE],0),)," ")</f>
        <v>DBH EMPLOYEES GRATUITY FUND</v>
      </c>
      <c r="I2182" s="142" t="s">
        <v>523</v>
      </c>
      <c r="J2182" s="143" t="s">
        <v>52</v>
      </c>
      <c r="K2182" s="226">
        <v>2500000</v>
      </c>
      <c r="L2182" s="226"/>
      <c r="N2182" s="156"/>
    </row>
    <row r="2183" spans="1:14" ht="56.25" x14ac:dyDescent="0.2">
      <c r="A2183" s="133">
        <v>2021</v>
      </c>
      <c r="B2183" s="133">
        <v>2</v>
      </c>
      <c r="C2183" s="133">
        <v>4</v>
      </c>
      <c r="D2183" s="141">
        <f t="shared" si="72"/>
        <v>44231</v>
      </c>
      <c r="E2183" s="275">
        <f t="shared" si="73"/>
        <v>44231</v>
      </c>
      <c r="F2183" s="481"/>
      <c r="G2183" s="174" t="s">
        <v>74</v>
      </c>
      <c r="H2183" s="148" t="str" cm="1">
        <f t="array" ref="H2183">IFERROR(INDEX(INVESTOR_LIST[INVESTOR NAME],MATCH(I2183,INVESTOR_LIST[INVESTOR CODE],0),)," ")</f>
        <v>DBH EMPLOYEES GRATUITY FUND</v>
      </c>
      <c r="I2183" s="148" t="s">
        <v>523</v>
      </c>
      <c r="J2183" s="149" t="s">
        <v>13</v>
      </c>
      <c r="K2183" s="218"/>
      <c r="L2183" s="218">
        <v>1918650</v>
      </c>
    </row>
    <row r="2184" spans="1:14" ht="56.25" x14ac:dyDescent="0.2">
      <c r="A2184" s="163">
        <v>2021</v>
      </c>
      <c r="B2184" s="163">
        <v>2</v>
      </c>
      <c r="C2184" s="163">
        <v>4</v>
      </c>
      <c r="D2184" s="141">
        <f t="shared" si="72"/>
        <v>44231</v>
      </c>
      <c r="E2184" s="275">
        <f t="shared" si="73"/>
        <v>44231</v>
      </c>
      <c r="F2184" s="480"/>
      <c r="G2184" s="221" t="s">
        <v>74</v>
      </c>
      <c r="H2184" s="145" t="str" cm="1">
        <f t="array" ref="H2184">IFERROR(INDEX(INVESTOR_LIST[INVESTOR NAME],MATCH(I2184,INVESTOR_LIST[INVESTOR CODE],0),)," ")</f>
        <v>DBH EMPLOYEES GRATUITY FUND</v>
      </c>
      <c r="I2184" s="145" t="s">
        <v>523</v>
      </c>
      <c r="J2184" s="146" t="s">
        <v>53</v>
      </c>
      <c r="K2184" s="219"/>
      <c r="L2184" s="219">
        <v>581350</v>
      </c>
    </row>
    <row r="2185" spans="1:14" ht="56.25" x14ac:dyDescent="0.2">
      <c r="A2185" s="168">
        <v>2021</v>
      </c>
      <c r="B2185" s="168">
        <v>2</v>
      </c>
      <c r="C2185" s="168">
        <v>4</v>
      </c>
      <c r="D2185" s="141">
        <f t="shared" si="72"/>
        <v>44231</v>
      </c>
      <c r="E2185" s="275">
        <f t="shared" si="73"/>
        <v>44231</v>
      </c>
      <c r="F2185" s="479" t="s">
        <v>964</v>
      </c>
      <c r="G2185" s="220" t="s">
        <v>74</v>
      </c>
      <c r="H2185" s="142" t="str" cm="1">
        <f t="array" ref="H2185">IFERROR(INDEX(INVESTOR_LIST[INVESTOR NAME],MATCH(I2185,INVESTOR_LIST[INVESTOR CODE],0),)," ")</f>
        <v>DBH EMPLOYEES GRATUITY FUND</v>
      </c>
      <c r="I2185" s="142" t="s">
        <v>523</v>
      </c>
      <c r="J2185" s="143" t="s">
        <v>52</v>
      </c>
      <c r="K2185" s="226">
        <v>7500000</v>
      </c>
      <c r="L2185" s="226"/>
    </row>
    <row r="2186" spans="1:14" ht="56.25" x14ac:dyDescent="0.2">
      <c r="A2186" s="133">
        <v>2021</v>
      </c>
      <c r="B2186" s="133">
        <v>2</v>
      </c>
      <c r="C2186" s="133">
        <v>4</v>
      </c>
      <c r="D2186" s="141">
        <f t="shared" si="72"/>
        <v>44231</v>
      </c>
      <c r="E2186" s="275">
        <f t="shared" si="73"/>
        <v>44231</v>
      </c>
      <c r="F2186" s="481"/>
      <c r="G2186" s="174" t="s">
        <v>74</v>
      </c>
      <c r="H2186" s="148" t="str" cm="1">
        <f t="array" ref="H2186">IFERROR(INDEX(INVESTOR_LIST[INVESTOR NAME],MATCH(I2186,INVESTOR_LIST[INVESTOR CODE],0),)," ")</f>
        <v>DBH EMPLOYEES GRATUITY FUND</v>
      </c>
      <c r="I2186" s="148" t="s">
        <v>523</v>
      </c>
      <c r="J2186" s="149" t="s">
        <v>13</v>
      </c>
      <c r="K2186" s="218"/>
      <c r="L2186" s="218">
        <v>5755950</v>
      </c>
    </row>
    <row r="2187" spans="1:14" ht="56.25" x14ac:dyDescent="0.2">
      <c r="A2187" s="163">
        <v>2021</v>
      </c>
      <c r="B2187" s="163">
        <v>2</v>
      </c>
      <c r="C2187" s="163">
        <v>4</v>
      </c>
      <c r="D2187" s="141">
        <f t="shared" si="72"/>
        <v>44231</v>
      </c>
      <c r="E2187" s="275">
        <f t="shared" si="73"/>
        <v>44231</v>
      </c>
      <c r="F2187" s="480"/>
      <c r="G2187" s="221" t="s">
        <v>74</v>
      </c>
      <c r="H2187" s="145" t="str" cm="1">
        <f t="array" ref="H2187">IFERROR(INDEX(INVESTOR_LIST[INVESTOR NAME],MATCH(I2187,INVESTOR_LIST[INVESTOR CODE],0),)," ")</f>
        <v>DBH EMPLOYEES GRATUITY FUND</v>
      </c>
      <c r="I2187" s="145" t="s">
        <v>523</v>
      </c>
      <c r="J2187" s="146" t="s">
        <v>53</v>
      </c>
      <c r="K2187" s="219"/>
      <c r="L2187" s="219">
        <v>1744050</v>
      </c>
    </row>
    <row r="2188" spans="1:14" x14ac:dyDescent="0.2">
      <c r="A2188" s="168">
        <v>2021</v>
      </c>
      <c r="B2188" s="168">
        <v>2</v>
      </c>
      <c r="C2188" s="168">
        <v>4</v>
      </c>
      <c r="D2188" s="141">
        <f t="shared" si="72"/>
        <v>44231</v>
      </c>
      <c r="E2188" s="275">
        <f t="shared" si="73"/>
        <v>44231</v>
      </c>
      <c r="F2188" s="479" t="s">
        <v>77</v>
      </c>
      <c r="G2188" s="220" t="s">
        <v>74</v>
      </c>
      <c r="H2188" s="220" t="str" cm="1">
        <f t="array" ref="H2188">IFERROR(INDEX(INVESTOR_LIST[INVESTOR NAME],MATCH(I2188,INVESTOR_LIST[INVESTOR CODE],0),)," ")</f>
        <v xml:space="preserve"> </v>
      </c>
      <c r="I2188" s="142" t="s">
        <v>348</v>
      </c>
      <c r="J2188" s="143" t="s">
        <v>61</v>
      </c>
      <c r="K2188" s="226">
        <v>60</v>
      </c>
      <c r="L2188" s="226"/>
    </row>
    <row r="2189" spans="1:14" x14ac:dyDescent="0.2">
      <c r="A2189" s="163">
        <v>2021</v>
      </c>
      <c r="B2189" s="163">
        <v>2</v>
      </c>
      <c r="C2189" s="163">
        <v>4</v>
      </c>
      <c r="D2189" s="141">
        <f t="shared" si="72"/>
        <v>44231</v>
      </c>
      <c r="E2189" s="275">
        <f t="shared" si="73"/>
        <v>44231</v>
      </c>
      <c r="F2189" s="480"/>
      <c r="G2189" s="221" t="s">
        <v>74</v>
      </c>
      <c r="H2189" s="221" t="str" cm="1">
        <f t="array" ref="H2189">IFERROR(INDEX(INVESTOR_LIST[INVESTOR NAME],MATCH(I2189,INVESTOR_LIST[INVESTOR CODE],0),)," ")</f>
        <v xml:space="preserve"> </v>
      </c>
      <c r="I2189" s="145" t="s">
        <v>348</v>
      </c>
      <c r="J2189" s="146" t="s">
        <v>52</v>
      </c>
      <c r="K2189" s="219"/>
      <c r="L2189" s="219">
        <v>60</v>
      </c>
    </row>
    <row r="2190" spans="1:14" x14ac:dyDescent="0.2">
      <c r="A2190" s="168">
        <v>2021</v>
      </c>
      <c r="B2190" s="168">
        <v>2</v>
      </c>
      <c r="C2190" s="168">
        <v>4</v>
      </c>
      <c r="D2190" s="141">
        <f t="shared" ref="D2190:D2253" si="76">DATE(A2190,B2190,C2190)</f>
        <v>44231</v>
      </c>
      <c r="E2190" s="275">
        <f t="shared" si="73"/>
        <v>44231</v>
      </c>
      <c r="F2190" s="479" t="s">
        <v>77</v>
      </c>
      <c r="G2190" s="220" t="s">
        <v>74</v>
      </c>
      <c r="H2190" s="220" t="str" cm="1">
        <f t="array" ref="H2190">IFERROR(INDEX(INVESTOR_LIST[INVESTOR NAME],MATCH(I2190,INVESTOR_LIST[INVESTOR CODE],0),)," ")</f>
        <v xml:space="preserve"> </v>
      </c>
      <c r="I2190" s="142" t="s">
        <v>348</v>
      </c>
      <c r="J2190" s="143" t="s">
        <v>61</v>
      </c>
      <c r="K2190" s="226">
        <v>60</v>
      </c>
      <c r="L2190" s="226"/>
    </row>
    <row r="2191" spans="1:14" x14ac:dyDescent="0.2">
      <c r="A2191" s="163">
        <v>2021</v>
      </c>
      <c r="B2191" s="163">
        <v>2</v>
      </c>
      <c r="C2191" s="163">
        <v>4</v>
      </c>
      <c r="D2191" s="141">
        <f t="shared" si="76"/>
        <v>44231</v>
      </c>
      <c r="E2191" s="275">
        <f t="shared" ref="E2191:E2254" si="77">DATE(A2191,B2191,C2191)</f>
        <v>44231</v>
      </c>
      <c r="F2191" s="480"/>
      <c r="G2191" s="221" t="s">
        <v>74</v>
      </c>
      <c r="H2191" s="221" t="str" cm="1">
        <f t="array" ref="H2191">IFERROR(INDEX(INVESTOR_LIST[INVESTOR NAME],MATCH(I2191,INVESTOR_LIST[INVESTOR CODE],0),)," ")</f>
        <v xml:space="preserve"> </v>
      </c>
      <c r="I2191" s="145" t="s">
        <v>348</v>
      </c>
      <c r="J2191" s="146" t="s">
        <v>52</v>
      </c>
      <c r="K2191" s="219"/>
      <c r="L2191" s="219">
        <v>60</v>
      </c>
    </row>
    <row r="2192" spans="1:14" x14ac:dyDescent="0.2">
      <c r="A2192" s="168">
        <v>2021</v>
      </c>
      <c r="B2192" s="168">
        <v>2</v>
      </c>
      <c r="C2192" s="168">
        <v>4</v>
      </c>
      <c r="D2192" s="141">
        <f t="shared" si="76"/>
        <v>44231</v>
      </c>
      <c r="E2192" s="275">
        <f t="shared" si="77"/>
        <v>44231</v>
      </c>
      <c r="F2192" s="479" t="s">
        <v>77</v>
      </c>
      <c r="G2192" s="220" t="s">
        <v>74</v>
      </c>
      <c r="H2192" s="220" t="str" cm="1">
        <f t="array" ref="H2192">IFERROR(INDEX(INVESTOR_LIST[INVESTOR NAME],MATCH(I2192,INVESTOR_LIST[INVESTOR CODE],0),)," ")</f>
        <v xml:space="preserve"> </v>
      </c>
      <c r="I2192" s="142" t="s">
        <v>348</v>
      </c>
      <c r="J2192" s="143" t="s">
        <v>61</v>
      </c>
      <c r="K2192" s="226">
        <v>60</v>
      </c>
      <c r="L2192" s="226"/>
      <c r="N2192" s="156">
        <f>K2241/13.13</f>
        <v>13518.659558263518</v>
      </c>
    </row>
    <row r="2193" spans="1:13" x14ac:dyDescent="0.2">
      <c r="A2193" s="163">
        <v>2021</v>
      </c>
      <c r="B2193" s="163">
        <v>2</v>
      </c>
      <c r="C2193" s="163">
        <v>4</v>
      </c>
      <c r="D2193" s="141">
        <f t="shared" si="76"/>
        <v>44231</v>
      </c>
      <c r="E2193" s="275">
        <f t="shared" si="77"/>
        <v>44231</v>
      </c>
      <c r="F2193" s="480"/>
      <c r="G2193" s="221" t="s">
        <v>74</v>
      </c>
      <c r="H2193" s="221" t="str" cm="1">
        <f t="array" ref="H2193">IFERROR(INDEX(INVESTOR_LIST[INVESTOR NAME],MATCH(I2193,INVESTOR_LIST[INVESTOR CODE],0),)," ")</f>
        <v xml:space="preserve"> </v>
      </c>
      <c r="I2193" s="145" t="s">
        <v>348</v>
      </c>
      <c r="J2193" s="146" t="s">
        <v>52</v>
      </c>
      <c r="K2193" s="219"/>
      <c r="L2193" s="219">
        <v>60</v>
      </c>
    </row>
    <row r="2194" spans="1:13" x14ac:dyDescent="0.2">
      <c r="A2194" s="238">
        <v>2021</v>
      </c>
      <c r="B2194" s="238">
        <v>2</v>
      </c>
      <c r="C2194" s="238">
        <v>4</v>
      </c>
      <c r="D2194" s="270">
        <f t="shared" si="76"/>
        <v>44231</v>
      </c>
      <c r="E2194" s="279">
        <f t="shared" si="77"/>
        <v>44231</v>
      </c>
      <c r="F2194" s="477" t="s">
        <v>347</v>
      </c>
      <c r="G2194" s="239" t="s">
        <v>94</v>
      </c>
      <c r="H2194" s="239" t="str" cm="1">
        <f t="array" ref="H2194">IFERROR(INDEX(INVESTOR_LIST[INVESTOR NAME],MATCH(I2194,INVESTOR_LIST[INVESTOR CODE],0),)," ")</f>
        <v xml:space="preserve"> </v>
      </c>
      <c r="I2194" s="262" t="s">
        <v>348</v>
      </c>
      <c r="J2194" s="240" t="s">
        <v>108</v>
      </c>
      <c r="K2194" s="241">
        <v>1065119.4685384333</v>
      </c>
      <c r="L2194" s="241"/>
    </row>
    <row r="2195" spans="1:13" x14ac:dyDescent="0.2">
      <c r="A2195" s="242">
        <v>2021</v>
      </c>
      <c r="B2195" s="242">
        <v>2</v>
      </c>
      <c r="C2195" s="242">
        <v>4</v>
      </c>
      <c r="D2195" s="270">
        <f t="shared" si="76"/>
        <v>44231</v>
      </c>
      <c r="E2195" s="279">
        <f t="shared" si="77"/>
        <v>44231</v>
      </c>
      <c r="F2195" s="478"/>
      <c r="G2195" s="243" t="s">
        <v>94</v>
      </c>
      <c r="H2195" s="243" t="str" cm="1">
        <f t="array" ref="H2195">IFERROR(INDEX(INVESTOR_LIST[INVESTOR NAME],MATCH(I2195,INVESTOR_LIST[INVESTOR CODE],0),)," ")</f>
        <v xml:space="preserve"> </v>
      </c>
      <c r="I2195" s="263" t="s">
        <v>348</v>
      </c>
      <c r="J2195" s="244" t="s">
        <v>82</v>
      </c>
      <c r="K2195" s="245"/>
      <c r="L2195" s="245">
        <v>1065119.4685384333</v>
      </c>
    </row>
    <row r="2196" spans="1:13" ht="22.5" x14ac:dyDescent="0.2">
      <c r="A2196" s="246">
        <v>2021</v>
      </c>
      <c r="B2196" s="246">
        <v>2</v>
      </c>
      <c r="C2196" s="246">
        <v>4</v>
      </c>
      <c r="D2196" s="270">
        <f t="shared" si="76"/>
        <v>44231</v>
      </c>
      <c r="E2196" s="279">
        <f t="shared" si="77"/>
        <v>44231</v>
      </c>
      <c r="F2196" s="482" t="s">
        <v>148</v>
      </c>
      <c r="G2196" s="247" t="s">
        <v>94</v>
      </c>
      <c r="H2196" s="247" t="str" cm="1">
        <f t="array" ref="H2196">IFERROR(INDEX(INVESTOR_LIST[INVESTOR NAME],MATCH(I2196,INVESTOR_LIST[INVESTOR CODE],0),)," ")</f>
        <v xml:space="preserve"> </v>
      </c>
      <c r="I2196" s="248" t="s">
        <v>348</v>
      </c>
      <c r="J2196" s="249" t="s">
        <v>95</v>
      </c>
      <c r="K2196" s="250">
        <v>2747.2527472527472</v>
      </c>
      <c r="L2196" s="241"/>
      <c r="M2196" s="133">
        <v>2747.2527472527472</v>
      </c>
    </row>
    <row r="2197" spans="1:13" x14ac:dyDescent="0.2">
      <c r="A2197" s="242">
        <v>2021</v>
      </c>
      <c r="B2197" s="242">
        <v>2</v>
      </c>
      <c r="C2197" s="242">
        <v>4</v>
      </c>
      <c r="D2197" s="270">
        <f t="shared" si="76"/>
        <v>44231</v>
      </c>
      <c r="E2197" s="279">
        <f t="shared" si="77"/>
        <v>44231</v>
      </c>
      <c r="F2197" s="478"/>
      <c r="G2197" s="243" t="s">
        <v>94</v>
      </c>
      <c r="H2197" s="243" t="str" cm="1">
        <f t="array" ref="H2197">IFERROR(INDEX(INVESTOR_LIST[INVESTOR NAME],MATCH(I2197,INVESTOR_LIST[INVESTOR CODE],0),)," ")</f>
        <v xml:space="preserve"> </v>
      </c>
      <c r="I2197" s="263" t="s">
        <v>348</v>
      </c>
      <c r="J2197" s="244" t="s">
        <v>63</v>
      </c>
      <c r="K2197" s="245"/>
      <c r="L2197" s="245">
        <v>2747.2527472527472</v>
      </c>
      <c r="M2197" s="133">
        <v>84390.478868584047</v>
      </c>
    </row>
    <row r="2198" spans="1:13" x14ac:dyDescent="0.2">
      <c r="A2198" s="246">
        <v>2021</v>
      </c>
      <c r="B2198" s="246">
        <v>2</v>
      </c>
      <c r="C2198" s="246">
        <v>4</v>
      </c>
      <c r="D2198" s="270">
        <f t="shared" si="76"/>
        <v>44231</v>
      </c>
      <c r="E2198" s="279">
        <f t="shared" si="77"/>
        <v>44231</v>
      </c>
      <c r="F2198" s="482" t="s">
        <v>137</v>
      </c>
      <c r="G2198" s="247" t="s">
        <v>94</v>
      </c>
      <c r="H2198" s="247" t="str" cm="1">
        <f t="array" ref="H2198">IFERROR(INDEX(INVESTOR_LIST[INVESTOR NAME],MATCH(I2198,INVESTOR_LIST[INVESTOR CODE],0),)," ")</f>
        <v xml:space="preserve"> </v>
      </c>
      <c r="I2198" s="248" t="s">
        <v>348</v>
      </c>
      <c r="J2198" s="249" t="s">
        <v>97</v>
      </c>
      <c r="K2198" s="250">
        <v>84390.478868584047</v>
      </c>
      <c r="L2198" s="252"/>
      <c r="M2198" s="133">
        <v>3979.1393280445873</v>
      </c>
    </row>
    <row r="2199" spans="1:13" x14ac:dyDescent="0.2">
      <c r="A2199" s="242">
        <v>2021</v>
      </c>
      <c r="B2199" s="242">
        <v>2</v>
      </c>
      <c r="C2199" s="242">
        <v>4</v>
      </c>
      <c r="D2199" s="270">
        <f t="shared" si="76"/>
        <v>44231</v>
      </c>
      <c r="E2199" s="279">
        <f t="shared" si="77"/>
        <v>44231</v>
      </c>
      <c r="F2199" s="478"/>
      <c r="G2199" s="243" t="s">
        <v>94</v>
      </c>
      <c r="H2199" s="243" t="str" cm="1">
        <f t="array" ref="H2199">IFERROR(INDEX(INVESTOR_LIST[INVESTOR NAME],MATCH(I2199,INVESTOR_LIST[INVESTOR CODE],0),)," ")</f>
        <v xml:space="preserve"> </v>
      </c>
      <c r="I2199" s="263" t="s">
        <v>348</v>
      </c>
      <c r="J2199" s="244" t="s">
        <v>47</v>
      </c>
      <c r="K2199" s="245"/>
      <c r="L2199" s="245">
        <v>84390.478868584047</v>
      </c>
    </row>
    <row r="2200" spans="1:13" x14ac:dyDescent="0.2">
      <c r="A2200" s="246">
        <v>2021</v>
      </c>
      <c r="B2200" s="246">
        <v>2</v>
      </c>
      <c r="C2200" s="246">
        <v>4</v>
      </c>
      <c r="D2200" s="270">
        <f t="shared" si="76"/>
        <v>44231</v>
      </c>
      <c r="E2200" s="279">
        <f t="shared" si="77"/>
        <v>44231</v>
      </c>
      <c r="F2200" s="482" t="s">
        <v>138</v>
      </c>
      <c r="G2200" s="247" t="s">
        <v>94</v>
      </c>
      <c r="H2200" s="247" t="str" cm="1">
        <f t="array" ref="H2200">IFERROR(INDEX(INVESTOR_LIST[INVESTOR NAME],MATCH(I2200,INVESTOR_LIST[INVESTOR CODE],0),)," ")</f>
        <v xml:space="preserve"> </v>
      </c>
      <c r="I2200" s="248" t="s">
        <v>348</v>
      </c>
      <c r="J2200" s="249" t="s">
        <v>100</v>
      </c>
      <c r="K2200" s="250">
        <v>3979.1393280445873</v>
      </c>
      <c r="L2200" s="252"/>
    </row>
    <row r="2201" spans="1:13" x14ac:dyDescent="0.2">
      <c r="A2201" s="242">
        <v>2021</v>
      </c>
      <c r="B2201" s="242">
        <v>2</v>
      </c>
      <c r="C2201" s="242">
        <v>4</v>
      </c>
      <c r="D2201" s="270">
        <f t="shared" si="76"/>
        <v>44231</v>
      </c>
      <c r="E2201" s="279">
        <f t="shared" si="77"/>
        <v>44231</v>
      </c>
      <c r="F2201" s="478"/>
      <c r="G2201" s="243" t="s">
        <v>94</v>
      </c>
      <c r="H2201" s="243" t="str" cm="1">
        <f t="array" ref="H2201">IFERROR(INDEX(INVESTOR_LIST[INVESTOR NAME],MATCH(I2201,INVESTOR_LIST[INVESTOR CODE],0),)," ")</f>
        <v xml:space="preserve"> </v>
      </c>
      <c r="I2201" s="263" t="s">
        <v>348</v>
      </c>
      <c r="J2201" s="244" t="s">
        <v>48</v>
      </c>
      <c r="K2201" s="245"/>
      <c r="L2201" s="245">
        <v>3979.1393280445873</v>
      </c>
    </row>
    <row r="2202" spans="1:13" ht="22.5" x14ac:dyDescent="0.2">
      <c r="A2202" s="168">
        <v>2021</v>
      </c>
      <c r="B2202" s="168">
        <v>2</v>
      </c>
      <c r="C2202" s="168">
        <v>7</v>
      </c>
      <c r="D2202" s="141">
        <f t="shared" si="76"/>
        <v>44234</v>
      </c>
      <c r="E2202" s="275">
        <f t="shared" si="77"/>
        <v>44234</v>
      </c>
      <c r="F2202" s="479" t="s">
        <v>964</v>
      </c>
      <c r="G2202" s="220" t="s">
        <v>74</v>
      </c>
      <c r="H2202" s="142" t="str" cm="1">
        <f t="array" ref="H2202">IFERROR(INDEX(INVESTOR_LIST[INVESTOR NAME],MATCH(I2202,INVESTOR_LIST[INVESTOR CODE],0),)," ")</f>
        <v>JOHORA KHATUN</v>
      </c>
      <c r="I2202" s="142" t="s">
        <v>527</v>
      </c>
      <c r="J2202" s="143" t="s">
        <v>52</v>
      </c>
      <c r="K2202" s="226">
        <v>700000</v>
      </c>
      <c r="L2202" s="226"/>
    </row>
    <row r="2203" spans="1:13" ht="22.5" x14ac:dyDescent="0.2">
      <c r="A2203" s="133">
        <v>2021</v>
      </c>
      <c r="B2203" s="133">
        <v>2</v>
      </c>
      <c r="C2203" s="133">
        <v>7</v>
      </c>
      <c r="D2203" s="141">
        <f t="shared" si="76"/>
        <v>44234</v>
      </c>
      <c r="E2203" s="275">
        <f t="shared" si="77"/>
        <v>44234</v>
      </c>
      <c r="F2203" s="481"/>
      <c r="G2203" s="174" t="s">
        <v>74</v>
      </c>
      <c r="H2203" s="148" t="str" cm="1">
        <f t="array" ref="H2203">IFERROR(INDEX(INVESTOR_LIST[INVESTOR NAME],MATCH(I2203,INVESTOR_LIST[INVESTOR CODE],0),)," ")</f>
        <v>JOHORA KHATUN</v>
      </c>
      <c r="I2203" s="148" t="s">
        <v>527</v>
      </c>
      <c r="J2203" s="149" t="s">
        <v>13</v>
      </c>
      <c r="K2203" s="218"/>
      <c r="L2203" s="218">
        <v>537220</v>
      </c>
    </row>
    <row r="2204" spans="1:13" ht="22.5" x14ac:dyDescent="0.2">
      <c r="A2204" s="163">
        <v>2021</v>
      </c>
      <c r="B2204" s="163">
        <v>2</v>
      </c>
      <c r="C2204" s="163">
        <v>7</v>
      </c>
      <c r="D2204" s="141">
        <f t="shared" si="76"/>
        <v>44234</v>
      </c>
      <c r="E2204" s="275">
        <f t="shared" si="77"/>
        <v>44234</v>
      </c>
      <c r="F2204" s="480"/>
      <c r="G2204" s="221" t="s">
        <v>74</v>
      </c>
      <c r="H2204" s="145" t="str" cm="1">
        <f t="array" ref="H2204">IFERROR(INDEX(INVESTOR_LIST[INVESTOR NAME],MATCH(I2204,INVESTOR_LIST[INVESTOR CODE],0),)," ")</f>
        <v>JOHORA KHATUN</v>
      </c>
      <c r="I2204" s="145" t="s">
        <v>527</v>
      </c>
      <c r="J2204" s="146" t="s">
        <v>53</v>
      </c>
      <c r="K2204" s="219"/>
      <c r="L2204" s="219">
        <v>162780</v>
      </c>
    </row>
    <row r="2205" spans="1:13" ht="45" x14ac:dyDescent="0.2">
      <c r="A2205" s="168">
        <v>2021</v>
      </c>
      <c r="B2205" s="168">
        <v>2</v>
      </c>
      <c r="C2205" s="168">
        <v>7</v>
      </c>
      <c r="D2205" s="141">
        <f t="shared" si="76"/>
        <v>44234</v>
      </c>
      <c r="E2205" s="275">
        <f t="shared" si="77"/>
        <v>44234</v>
      </c>
      <c r="F2205" s="479" t="s">
        <v>964</v>
      </c>
      <c r="G2205" s="220" t="s">
        <v>74</v>
      </c>
      <c r="H2205" s="142" t="str" cm="1">
        <f t="array" ref="H2205">IFERROR(INDEX(INVESTOR_LIST[INVESTOR NAME],MATCH(I2205,INVESTOR_LIST[INVESTOR CODE],0),)," ")</f>
        <v>MAHMUD ALI ALAMGIR</v>
      </c>
      <c r="I2205" s="142" t="s">
        <v>528</v>
      </c>
      <c r="J2205" s="143" t="s">
        <v>52</v>
      </c>
      <c r="K2205" s="226">
        <v>200000</v>
      </c>
      <c r="L2205" s="226"/>
    </row>
    <row r="2206" spans="1:13" ht="45" x14ac:dyDescent="0.2">
      <c r="A2206" s="133">
        <v>2021</v>
      </c>
      <c r="B2206" s="133">
        <v>2</v>
      </c>
      <c r="C2206" s="133">
        <v>7</v>
      </c>
      <c r="D2206" s="141">
        <f t="shared" si="76"/>
        <v>44234</v>
      </c>
      <c r="E2206" s="275">
        <f t="shared" si="77"/>
        <v>44234</v>
      </c>
      <c r="F2206" s="481"/>
      <c r="G2206" s="174" t="s">
        <v>74</v>
      </c>
      <c r="H2206" s="148" t="str" cm="1">
        <f t="array" ref="H2206">IFERROR(INDEX(INVESTOR_LIST[INVESTOR NAME],MATCH(I2206,INVESTOR_LIST[INVESTOR CODE],0),)," ")</f>
        <v>MAHMUD ALI ALAMGIR</v>
      </c>
      <c r="I2206" s="148" t="s">
        <v>528</v>
      </c>
      <c r="J2206" s="149" t="s">
        <v>13</v>
      </c>
      <c r="K2206" s="218"/>
      <c r="L2206" s="218">
        <v>153490</v>
      </c>
    </row>
    <row r="2207" spans="1:13" ht="45" x14ac:dyDescent="0.2">
      <c r="A2207" s="163">
        <v>2021</v>
      </c>
      <c r="B2207" s="163">
        <v>2</v>
      </c>
      <c r="C2207" s="163">
        <v>7</v>
      </c>
      <c r="D2207" s="141">
        <f t="shared" si="76"/>
        <v>44234</v>
      </c>
      <c r="E2207" s="275">
        <f t="shared" si="77"/>
        <v>44234</v>
      </c>
      <c r="F2207" s="480"/>
      <c r="G2207" s="221" t="s">
        <v>74</v>
      </c>
      <c r="H2207" s="145" t="str" cm="1">
        <f t="array" ref="H2207">IFERROR(INDEX(INVESTOR_LIST[INVESTOR NAME],MATCH(I2207,INVESTOR_LIST[INVESTOR CODE],0),)," ")</f>
        <v>MAHMUD ALI ALAMGIR</v>
      </c>
      <c r="I2207" s="145" t="s">
        <v>528</v>
      </c>
      <c r="J2207" s="146" t="s">
        <v>53</v>
      </c>
      <c r="K2207" s="219"/>
      <c r="L2207" s="219">
        <v>46510</v>
      </c>
    </row>
    <row r="2208" spans="1:13" ht="67.5" x14ac:dyDescent="0.2">
      <c r="A2208" s="168">
        <v>2021</v>
      </c>
      <c r="B2208" s="168">
        <v>2</v>
      </c>
      <c r="C2208" s="168">
        <v>7</v>
      </c>
      <c r="D2208" s="141">
        <f t="shared" si="76"/>
        <v>44234</v>
      </c>
      <c r="E2208" s="275">
        <f t="shared" si="77"/>
        <v>44234</v>
      </c>
      <c r="F2208" s="479" t="s">
        <v>964</v>
      </c>
      <c r="G2208" s="220" t="s">
        <v>74</v>
      </c>
      <c r="H2208" s="142" t="str" cm="1">
        <f t="array" ref="H2208">IFERROR(INDEX(INVESTOR_LIST[INVESTOR NAME],MATCH(I2208,INVESTOR_LIST[INVESTOR CODE],0),)," ")</f>
        <v>MOHAMMAD MARUFUR RAHMAN SIKDER</v>
      </c>
      <c r="I2208" s="142" t="s">
        <v>529</v>
      </c>
      <c r="J2208" s="143" t="s">
        <v>52</v>
      </c>
      <c r="K2208" s="226">
        <v>200000</v>
      </c>
      <c r="L2208" s="226"/>
    </row>
    <row r="2209" spans="1:14" ht="67.5" x14ac:dyDescent="0.2">
      <c r="A2209" s="133">
        <v>2021</v>
      </c>
      <c r="B2209" s="133">
        <v>2</v>
      </c>
      <c r="C2209" s="133">
        <v>7</v>
      </c>
      <c r="D2209" s="141">
        <f t="shared" si="76"/>
        <v>44234</v>
      </c>
      <c r="E2209" s="275">
        <f t="shared" si="77"/>
        <v>44234</v>
      </c>
      <c r="F2209" s="481"/>
      <c r="G2209" s="174" t="s">
        <v>74</v>
      </c>
      <c r="H2209" s="148" t="str" cm="1">
        <f t="array" ref="H2209">IFERROR(INDEX(INVESTOR_LIST[INVESTOR NAME],MATCH(I2209,INVESTOR_LIST[INVESTOR CODE],0),)," ")</f>
        <v>MOHAMMAD MARUFUR RAHMAN SIKDER</v>
      </c>
      <c r="I2209" s="148" t="s">
        <v>529</v>
      </c>
      <c r="J2209" s="149" t="s">
        <v>13</v>
      </c>
      <c r="K2209" s="218"/>
      <c r="L2209" s="218">
        <v>153490</v>
      </c>
    </row>
    <row r="2210" spans="1:14" ht="67.5" x14ac:dyDescent="0.2">
      <c r="A2210" s="163">
        <v>2021</v>
      </c>
      <c r="B2210" s="163">
        <v>2</v>
      </c>
      <c r="C2210" s="163">
        <v>7</v>
      </c>
      <c r="D2210" s="141">
        <f t="shared" si="76"/>
        <v>44234</v>
      </c>
      <c r="E2210" s="275">
        <f t="shared" si="77"/>
        <v>44234</v>
      </c>
      <c r="F2210" s="480"/>
      <c r="G2210" s="221" t="s">
        <v>74</v>
      </c>
      <c r="H2210" s="145" t="str" cm="1">
        <f t="array" ref="H2210">IFERROR(INDEX(INVESTOR_LIST[INVESTOR NAME],MATCH(I2210,INVESTOR_LIST[INVESTOR CODE],0),)," ")</f>
        <v>MOHAMMAD MARUFUR RAHMAN SIKDER</v>
      </c>
      <c r="I2210" s="145" t="s">
        <v>529</v>
      </c>
      <c r="J2210" s="146" t="s">
        <v>53</v>
      </c>
      <c r="K2210" s="219"/>
      <c r="L2210" s="219">
        <v>46510</v>
      </c>
    </row>
    <row r="2211" spans="1:14" x14ac:dyDescent="0.2">
      <c r="A2211" s="168">
        <v>2021</v>
      </c>
      <c r="B2211" s="168">
        <v>2</v>
      </c>
      <c r="C2211" s="168">
        <v>7</v>
      </c>
      <c r="D2211" s="141">
        <f t="shared" si="76"/>
        <v>44234</v>
      </c>
      <c r="E2211" s="275">
        <f t="shared" si="77"/>
        <v>44234</v>
      </c>
      <c r="F2211" s="479" t="s">
        <v>77</v>
      </c>
      <c r="G2211" s="220" t="s">
        <v>74</v>
      </c>
      <c r="H2211" s="220" t="str" cm="1">
        <f t="array" ref="H2211">IFERROR(INDEX(INVESTOR_LIST[INVESTOR NAME],MATCH(I2211,INVESTOR_LIST[INVESTOR CODE],0),)," ")</f>
        <v xml:space="preserve"> </v>
      </c>
      <c r="I2211" s="142" t="s">
        <v>348</v>
      </c>
      <c r="J2211" s="143" t="s">
        <v>61</v>
      </c>
      <c r="K2211" s="226">
        <v>60</v>
      </c>
      <c r="L2211" s="226"/>
    </row>
    <row r="2212" spans="1:14" x14ac:dyDescent="0.2">
      <c r="A2212" s="163">
        <v>2021</v>
      </c>
      <c r="B2212" s="163">
        <v>2</v>
      </c>
      <c r="C2212" s="163">
        <v>7</v>
      </c>
      <c r="D2212" s="141">
        <f t="shared" si="76"/>
        <v>44234</v>
      </c>
      <c r="E2212" s="275">
        <f t="shared" si="77"/>
        <v>44234</v>
      </c>
      <c r="F2212" s="480"/>
      <c r="G2212" s="221" t="s">
        <v>74</v>
      </c>
      <c r="H2212" s="221" t="str" cm="1">
        <f t="array" ref="H2212">IFERROR(INDEX(INVESTOR_LIST[INVESTOR NAME],MATCH(I2212,INVESTOR_LIST[INVESTOR CODE],0),)," ")</f>
        <v xml:space="preserve"> </v>
      </c>
      <c r="I2212" s="145" t="s">
        <v>348</v>
      </c>
      <c r="J2212" s="146" t="s">
        <v>52</v>
      </c>
      <c r="K2212" s="219"/>
      <c r="L2212" s="219">
        <v>60</v>
      </c>
    </row>
    <row r="2213" spans="1:14" x14ac:dyDescent="0.2">
      <c r="A2213" s="168">
        <v>2021</v>
      </c>
      <c r="B2213" s="168">
        <v>2</v>
      </c>
      <c r="C2213" s="168">
        <v>7</v>
      </c>
      <c r="D2213" s="141">
        <f t="shared" si="76"/>
        <v>44234</v>
      </c>
      <c r="E2213" s="275">
        <f t="shared" si="77"/>
        <v>44234</v>
      </c>
      <c r="F2213" s="479" t="s">
        <v>77</v>
      </c>
      <c r="G2213" s="220" t="s">
        <v>74</v>
      </c>
      <c r="H2213" s="220" t="str" cm="1">
        <f t="array" ref="H2213">IFERROR(INDEX(INVESTOR_LIST[INVESTOR NAME],MATCH(I2213,INVESTOR_LIST[INVESTOR CODE],0),)," ")</f>
        <v xml:space="preserve"> </v>
      </c>
      <c r="I2213" s="142" t="s">
        <v>348</v>
      </c>
      <c r="J2213" s="143" t="s">
        <v>61</v>
      </c>
      <c r="K2213" s="226">
        <v>60</v>
      </c>
      <c r="L2213" s="226"/>
    </row>
    <row r="2214" spans="1:14" x14ac:dyDescent="0.2">
      <c r="A2214" s="163">
        <v>2021</v>
      </c>
      <c r="B2214" s="163">
        <v>2</v>
      </c>
      <c r="C2214" s="163">
        <v>7</v>
      </c>
      <c r="D2214" s="141">
        <f t="shared" si="76"/>
        <v>44234</v>
      </c>
      <c r="E2214" s="275">
        <f t="shared" si="77"/>
        <v>44234</v>
      </c>
      <c r="F2214" s="480"/>
      <c r="G2214" s="221" t="s">
        <v>74</v>
      </c>
      <c r="H2214" s="221" t="str" cm="1">
        <f t="array" ref="H2214">IFERROR(INDEX(INVESTOR_LIST[INVESTOR NAME],MATCH(I2214,INVESTOR_LIST[INVESTOR CODE],0),)," ")</f>
        <v xml:space="preserve"> </v>
      </c>
      <c r="I2214" s="145" t="s">
        <v>348</v>
      </c>
      <c r="J2214" s="146" t="s">
        <v>52</v>
      </c>
      <c r="K2214" s="219"/>
      <c r="L2214" s="219">
        <v>60</v>
      </c>
    </row>
    <row r="2215" spans="1:14" x14ac:dyDescent="0.2">
      <c r="A2215" s="168">
        <v>2021</v>
      </c>
      <c r="B2215" s="168">
        <v>2</v>
      </c>
      <c r="C2215" s="168">
        <v>7</v>
      </c>
      <c r="D2215" s="141">
        <f t="shared" si="76"/>
        <v>44234</v>
      </c>
      <c r="E2215" s="275">
        <f t="shared" si="77"/>
        <v>44234</v>
      </c>
      <c r="F2215" s="479" t="s">
        <v>77</v>
      </c>
      <c r="G2215" s="220" t="s">
        <v>74</v>
      </c>
      <c r="H2215" s="220" t="str" cm="1">
        <f t="array" ref="H2215">IFERROR(INDEX(INVESTOR_LIST[INVESTOR NAME],MATCH(I2215,INVESTOR_LIST[INVESTOR CODE],0),)," ")</f>
        <v xml:space="preserve"> </v>
      </c>
      <c r="I2215" s="142" t="s">
        <v>348</v>
      </c>
      <c r="J2215" s="143" t="s">
        <v>61</v>
      </c>
      <c r="K2215" s="226">
        <v>10</v>
      </c>
      <c r="L2215" s="226"/>
    </row>
    <row r="2216" spans="1:14" x14ac:dyDescent="0.2">
      <c r="A2216" s="163">
        <v>2021</v>
      </c>
      <c r="B2216" s="163">
        <v>2</v>
      </c>
      <c r="C2216" s="163">
        <v>7</v>
      </c>
      <c r="D2216" s="141">
        <f t="shared" si="76"/>
        <v>44234</v>
      </c>
      <c r="E2216" s="275">
        <f t="shared" si="77"/>
        <v>44234</v>
      </c>
      <c r="F2216" s="480"/>
      <c r="G2216" s="221" t="s">
        <v>74</v>
      </c>
      <c r="H2216" s="221" t="str" cm="1">
        <f t="array" ref="H2216">IFERROR(INDEX(INVESTOR_LIST[INVESTOR NAME],MATCH(I2216,INVESTOR_LIST[INVESTOR CODE],0),)," ")</f>
        <v xml:space="preserve"> </v>
      </c>
      <c r="I2216" s="145" t="s">
        <v>348</v>
      </c>
      <c r="J2216" s="146" t="s">
        <v>52</v>
      </c>
      <c r="K2216" s="219"/>
      <c r="L2216" s="219">
        <v>10</v>
      </c>
    </row>
    <row r="2217" spans="1:14" x14ac:dyDescent="0.2">
      <c r="A2217" s="168">
        <v>2021</v>
      </c>
      <c r="B2217" s="168">
        <v>2</v>
      </c>
      <c r="C2217" s="168">
        <v>7</v>
      </c>
      <c r="D2217" s="141">
        <f t="shared" si="76"/>
        <v>44234</v>
      </c>
      <c r="E2217" s="275">
        <f t="shared" si="77"/>
        <v>44234</v>
      </c>
      <c r="F2217" s="479" t="s">
        <v>77</v>
      </c>
      <c r="G2217" s="220" t="s">
        <v>74</v>
      </c>
      <c r="H2217" s="220" t="str" cm="1">
        <f t="array" ref="H2217">IFERROR(INDEX(INVESTOR_LIST[INVESTOR NAME],MATCH(I2217,INVESTOR_LIST[INVESTOR CODE],0),)," ")</f>
        <v xml:space="preserve"> </v>
      </c>
      <c r="I2217" s="142" t="s">
        <v>348</v>
      </c>
      <c r="J2217" s="143" t="s">
        <v>61</v>
      </c>
      <c r="K2217" s="226">
        <v>10</v>
      </c>
      <c r="L2217" s="226"/>
    </row>
    <row r="2218" spans="1:14" x14ac:dyDescent="0.2">
      <c r="A2218" s="163">
        <v>2021</v>
      </c>
      <c r="B2218" s="163">
        <v>2</v>
      </c>
      <c r="C2218" s="163">
        <v>7</v>
      </c>
      <c r="D2218" s="141">
        <f t="shared" si="76"/>
        <v>44234</v>
      </c>
      <c r="E2218" s="275">
        <f t="shared" si="77"/>
        <v>44234</v>
      </c>
      <c r="F2218" s="480"/>
      <c r="G2218" s="221" t="s">
        <v>74</v>
      </c>
      <c r="H2218" s="221" t="str" cm="1">
        <f t="array" ref="H2218">IFERROR(INDEX(INVESTOR_LIST[INVESTOR NAME],MATCH(I2218,INVESTOR_LIST[INVESTOR CODE],0),)," ")</f>
        <v xml:space="preserve"> </v>
      </c>
      <c r="I2218" s="145" t="s">
        <v>348</v>
      </c>
      <c r="J2218" s="146" t="s">
        <v>52</v>
      </c>
      <c r="K2218" s="219"/>
      <c r="L2218" s="219">
        <v>10</v>
      </c>
    </row>
    <row r="2219" spans="1:14" x14ac:dyDescent="0.2">
      <c r="A2219" s="133">
        <v>2021</v>
      </c>
      <c r="B2219" s="133">
        <v>2</v>
      </c>
      <c r="C2219" s="133">
        <v>7</v>
      </c>
      <c r="D2219" s="141">
        <f t="shared" si="76"/>
        <v>44234</v>
      </c>
      <c r="E2219" s="275">
        <f t="shared" si="77"/>
        <v>44234</v>
      </c>
      <c r="F2219" s="479" t="s">
        <v>274</v>
      </c>
      <c r="G2219" s="174" t="s">
        <v>94</v>
      </c>
      <c r="H2219" s="174" t="str" cm="1">
        <f t="array" ref="H2219">IFERROR(INDEX(INVESTOR_LIST[INVESTOR NAME],MATCH(I2219,INVESTOR_LIST[INVESTOR CODE],0),)," ")</f>
        <v xml:space="preserve"> </v>
      </c>
      <c r="J2219" s="149" t="s">
        <v>79</v>
      </c>
      <c r="K2219" s="218">
        <v>3280384.5</v>
      </c>
      <c r="L2219" s="218"/>
    </row>
    <row r="2220" spans="1:14" x14ac:dyDescent="0.2">
      <c r="A2220" s="133">
        <v>2021</v>
      </c>
      <c r="B2220" s="133">
        <v>2</v>
      </c>
      <c r="C2220" s="133">
        <v>7</v>
      </c>
      <c r="D2220" s="141">
        <f t="shared" si="76"/>
        <v>44234</v>
      </c>
      <c r="E2220" s="275">
        <f t="shared" si="77"/>
        <v>44234</v>
      </c>
      <c r="F2220" s="481"/>
      <c r="G2220" s="174" t="s">
        <v>94</v>
      </c>
      <c r="H2220" s="174" t="str" cm="1">
        <f t="array" ref="H2220">IFERROR(INDEX(INVESTOR_LIST[INVESTOR NAME],MATCH(I2220,INVESTOR_LIST[INVESTOR CODE],0),)," ")</f>
        <v xml:space="preserve"> </v>
      </c>
      <c r="J2220" s="149" t="s">
        <v>80</v>
      </c>
      <c r="K2220" s="218">
        <v>5904.69</v>
      </c>
      <c r="L2220" s="218"/>
    </row>
    <row r="2221" spans="1:14" x14ac:dyDescent="0.2">
      <c r="A2221" s="133">
        <v>2021</v>
      </c>
      <c r="B2221" s="133">
        <v>2</v>
      </c>
      <c r="C2221" s="133">
        <v>7</v>
      </c>
      <c r="D2221" s="141">
        <f t="shared" si="76"/>
        <v>44234</v>
      </c>
      <c r="E2221" s="275">
        <f t="shared" si="77"/>
        <v>44234</v>
      </c>
      <c r="F2221" s="480"/>
      <c r="G2221" s="174" t="s">
        <v>94</v>
      </c>
      <c r="H2221" s="174" t="str" cm="1">
        <f t="array" ref="H2221">IFERROR(INDEX(INVESTOR_LIST[INVESTOR NAME],MATCH(I2221,INVESTOR_LIST[INVESTOR CODE],0),)," ")</f>
        <v xml:space="preserve"> </v>
      </c>
      <c r="J2221" s="149" t="s">
        <v>147</v>
      </c>
      <c r="K2221" s="218"/>
      <c r="L2221" s="218">
        <v>3286289.19</v>
      </c>
    </row>
    <row r="2222" spans="1:14" x14ac:dyDescent="0.2">
      <c r="A2222" s="168">
        <v>2021</v>
      </c>
      <c r="B2222" s="168">
        <v>2</v>
      </c>
      <c r="C2222" s="168">
        <v>8</v>
      </c>
      <c r="D2222" s="141">
        <f t="shared" si="76"/>
        <v>44235</v>
      </c>
      <c r="E2222" s="275">
        <f t="shared" si="77"/>
        <v>44235</v>
      </c>
      <c r="F2222" s="494" t="s">
        <v>524</v>
      </c>
      <c r="G2222" s="220" t="s">
        <v>74</v>
      </c>
      <c r="H2222" s="142" t="str" cm="1">
        <f t="array" ref="H2222">IFERROR(INDEX(INVESTOR_LIST[INVESTOR NAME],MATCH(I2222,INVESTOR_LIST[INVESTOR CODE],0),)," ")</f>
        <v xml:space="preserve"> </v>
      </c>
      <c r="I2222" s="142"/>
      <c r="J2222" s="143" t="s">
        <v>147</v>
      </c>
      <c r="K2222" s="226">
        <v>3286289.19</v>
      </c>
      <c r="L2222" s="226"/>
    </row>
    <row r="2223" spans="1:14" x14ac:dyDescent="0.2">
      <c r="A2223" s="163">
        <v>2021</v>
      </c>
      <c r="B2223" s="163">
        <v>2</v>
      </c>
      <c r="C2223" s="163">
        <v>8</v>
      </c>
      <c r="D2223" s="141">
        <f t="shared" si="76"/>
        <v>44235</v>
      </c>
      <c r="E2223" s="275">
        <f t="shared" si="77"/>
        <v>44235</v>
      </c>
      <c r="F2223" s="495"/>
      <c r="G2223" s="221" t="s">
        <v>74</v>
      </c>
      <c r="H2223" s="145" t="str" cm="1">
        <f t="array" ref="H2223">IFERROR(INDEX(INVESTOR_LIST[INVESTOR NAME],MATCH(I2223,INVESTOR_LIST[INVESTOR CODE],0),)," ")</f>
        <v xml:space="preserve"> </v>
      </c>
      <c r="I2223" s="145"/>
      <c r="J2223" s="146" t="s">
        <v>52</v>
      </c>
      <c r="K2223" s="219"/>
      <c r="L2223" s="219">
        <v>3286289.19</v>
      </c>
      <c r="N2223" s="160"/>
    </row>
    <row r="2224" spans="1:14" x14ac:dyDescent="0.2">
      <c r="A2224" s="168">
        <v>2021</v>
      </c>
      <c r="B2224" s="168">
        <v>2</v>
      </c>
      <c r="C2224" s="168">
        <v>8</v>
      </c>
      <c r="D2224" s="141">
        <f t="shared" si="76"/>
        <v>44235</v>
      </c>
      <c r="E2224" s="275">
        <f t="shared" si="77"/>
        <v>44235</v>
      </c>
      <c r="F2224" s="479" t="s">
        <v>274</v>
      </c>
      <c r="G2224" s="220" t="s">
        <v>94</v>
      </c>
      <c r="H2224" s="220" t="str" cm="1">
        <f t="array" ref="H2224">IFERROR(INDEX(INVESTOR_LIST[INVESTOR NAME],MATCH(I2224,INVESTOR_LIST[INVESTOR CODE],0),)," ")</f>
        <v xml:space="preserve"> </v>
      </c>
      <c r="I2224" s="142"/>
      <c r="J2224" s="143" t="s">
        <v>79</v>
      </c>
      <c r="K2224" s="226">
        <v>2340700</v>
      </c>
      <c r="L2224" s="226"/>
    </row>
    <row r="2225" spans="1:15" x14ac:dyDescent="0.2">
      <c r="A2225" s="133">
        <v>2021</v>
      </c>
      <c r="B2225" s="133">
        <v>2</v>
      </c>
      <c r="C2225" s="133">
        <v>8</v>
      </c>
      <c r="D2225" s="141">
        <f t="shared" si="76"/>
        <v>44235</v>
      </c>
      <c r="E2225" s="275">
        <f t="shared" si="77"/>
        <v>44235</v>
      </c>
      <c r="F2225" s="481"/>
      <c r="G2225" s="174" t="s">
        <v>94</v>
      </c>
      <c r="H2225" s="174" t="str" cm="1">
        <f t="array" ref="H2225">IFERROR(INDEX(INVESTOR_LIST[INVESTOR NAME],MATCH(I2225,INVESTOR_LIST[INVESTOR CODE],0),)," ")</f>
        <v xml:space="preserve"> </v>
      </c>
      <c r="J2225" s="149" t="s">
        <v>80</v>
      </c>
      <c r="K2225" s="218">
        <v>4213.26</v>
      </c>
      <c r="L2225" s="218"/>
    </row>
    <row r="2226" spans="1:15" x14ac:dyDescent="0.2">
      <c r="A2226" s="163">
        <v>2021</v>
      </c>
      <c r="B2226" s="163">
        <v>2</v>
      </c>
      <c r="C2226" s="163">
        <v>8</v>
      </c>
      <c r="D2226" s="141">
        <f t="shared" si="76"/>
        <v>44235</v>
      </c>
      <c r="E2226" s="275">
        <f t="shared" si="77"/>
        <v>44235</v>
      </c>
      <c r="F2226" s="480"/>
      <c r="G2226" s="221" t="s">
        <v>94</v>
      </c>
      <c r="H2226" s="221" t="str" cm="1">
        <f t="array" ref="H2226">IFERROR(INDEX(INVESTOR_LIST[INVESTOR NAME],MATCH(I2226,INVESTOR_LIST[INVESTOR CODE],0),)," ")</f>
        <v xml:space="preserve"> </v>
      </c>
      <c r="I2226" s="145"/>
      <c r="J2226" s="146" t="s">
        <v>147</v>
      </c>
      <c r="K2226" s="219"/>
      <c r="L2226" s="219">
        <v>2344913.2599999998</v>
      </c>
    </row>
    <row r="2227" spans="1:15" ht="22.5" x14ac:dyDescent="0.2">
      <c r="A2227" s="168">
        <v>2021</v>
      </c>
      <c r="B2227" s="168">
        <v>2</v>
      </c>
      <c r="C2227" s="168">
        <v>8</v>
      </c>
      <c r="D2227" s="141">
        <f t="shared" si="76"/>
        <v>44235</v>
      </c>
      <c r="E2227" s="275">
        <f t="shared" si="77"/>
        <v>44235</v>
      </c>
      <c r="F2227" s="479" t="s">
        <v>964</v>
      </c>
      <c r="G2227" s="220" t="s">
        <v>74</v>
      </c>
      <c r="H2227" s="142" t="str" cm="1">
        <f t="array" ref="H2227">IFERROR(INDEX(INVESTOR_LIST[INVESTOR NAME],MATCH(I2227,INVESTOR_LIST[INVESTOR CODE],0),)," ")</f>
        <v>REZIA RAHMAT</v>
      </c>
      <c r="I2227" s="142" t="s">
        <v>530</v>
      </c>
      <c r="J2227" s="143" t="s">
        <v>52</v>
      </c>
      <c r="K2227" s="226">
        <v>150000</v>
      </c>
      <c r="L2227" s="226"/>
    </row>
    <row r="2228" spans="1:15" ht="22.5" x14ac:dyDescent="0.2">
      <c r="A2228" s="133">
        <v>2021</v>
      </c>
      <c r="B2228" s="133">
        <v>2</v>
      </c>
      <c r="C2228" s="133">
        <v>8</v>
      </c>
      <c r="D2228" s="141">
        <f t="shared" si="76"/>
        <v>44235</v>
      </c>
      <c r="E2228" s="275">
        <f t="shared" si="77"/>
        <v>44235</v>
      </c>
      <c r="F2228" s="481"/>
      <c r="G2228" s="174" t="s">
        <v>74</v>
      </c>
      <c r="H2228" s="148" t="str" cm="1">
        <f t="array" ref="H2228">IFERROR(INDEX(INVESTOR_LIST[INVESTOR NAME],MATCH(I2228,INVESTOR_LIST[INVESTOR CODE],0),)," ")</f>
        <v>REZIA RAHMAT</v>
      </c>
      <c r="I2228" s="148" t="s">
        <v>530</v>
      </c>
      <c r="J2228" s="149" t="s">
        <v>13</v>
      </c>
      <c r="K2228" s="218"/>
      <c r="L2228" s="218">
        <v>114240</v>
      </c>
    </row>
    <row r="2229" spans="1:15" ht="22.5" x14ac:dyDescent="0.2">
      <c r="A2229" s="163">
        <v>2021</v>
      </c>
      <c r="B2229" s="163">
        <v>2</v>
      </c>
      <c r="C2229" s="163">
        <v>8</v>
      </c>
      <c r="D2229" s="141">
        <f t="shared" si="76"/>
        <v>44235</v>
      </c>
      <c r="E2229" s="275">
        <f t="shared" si="77"/>
        <v>44235</v>
      </c>
      <c r="F2229" s="480"/>
      <c r="G2229" s="221" t="s">
        <v>74</v>
      </c>
      <c r="H2229" s="145" t="str" cm="1">
        <f t="array" ref="H2229">IFERROR(INDEX(INVESTOR_LIST[INVESTOR NAME],MATCH(I2229,INVESTOR_LIST[INVESTOR CODE],0),)," ")</f>
        <v>REZIA RAHMAT</v>
      </c>
      <c r="I2229" s="145" t="s">
        <v>530</v>
      </c>
      <c r="J2229" s="146" t="s">
        <v>53</v>
      </c>
      <c r="K2229" s="219"/>
      <c r="L2229" s="219">
        <v>35760</v>
      </c>
    </row>
    <row r="2230" spans="1:15" x14ac:dyDescent="0.2">
      <c r="A2230" s="168">
        <v>2021</v>
      </c>
      <c r="B2230" s="168">
        <v>2</v>
      </c>
      <c r="C2230" s="168">
        <v>8</v>
      </c>
      <c r="D2230" s="141">
        <f t="shared" si="76"/>
        <v>44235</v>
      </c>
      <c r="E2230" s="275">
        <f t="shared" si="77"/>
        <v>44235</v>
      </c>
      <c r="F2230" s="479" t="s">
        <v>77</v>
      </c>
      <c r="G2230" s="220" t="s">
        <v>74</v>
      </c>
      <c r="H2230" s="220" t="str" cm="1">
        <f t="array" ref="H2230">IFERROR(INDEX(INVESTOR_LIST[INVESTOR NAME],MATCH(I2230,INVESTOR_LIST[INVESTOR CODE],0),)," ")</f>
        <v xml:space="preserve"> </v>
      </c>
      <c r="I2230" s="142" t="s">
        <v>348</v>
      </c>
      <c r="J2230" s="143" t="s">
        <v>61</v>
      </c>
      <c r="K2230" s="226">
        <v>10</v>
      </c>
      <c r="L2230" s="226"/>
    </row>
    <row r="2231" spans="1:15" x14ac:dyDescent="0.2">
      <c r="A2231" s="163">
        <v>2021</v>
      </c>
      <c r="B2231" s="163">
        <v>2</v>
      </c>
      <c r="C2231" s="163">
        <v>8</v>
      </c>
      <c r="D2231" s="141">
        <f t="shared" si="76"/>
        <v>44235</v>
      </c>
      <c r="E2231" s="275">
        <f t="shared" si="77"/>
        <v>44235</v>
      </c>
      <c r="F2231" s="480"/>
      <c r="G2231" s="221" t="s">
        <v>74</v>
      </c>
      <c r="H2231" s="221" t="str" cm="1">
        <f t="array" ref="H2231">IFERROR(INDEX(INVESTOR_LIST[INVESTOR NAME],MATCH(I2231,INVESTOR_LIST[INVESTOR CODE],0),)," ")</f>
        <v xml:space="preserve"> </v>
      </c>
      <c r="I2231" s="145" t="s">
        <v>348</v>
      </c>
      <c r="J2231" s="146" t="s">
        <v>52</v>
      </c>
      <c r="K2231" s="219"/>
      <c r="L2231" s="219">
        <v>10</v>
      </c>
    </row>
    <row r="2232" spans="1:15" x14ac:dyDescent="0.2">
      <c r="A2232" s="168">
        <v>2021</v>
      </c>
      <c r="B2232" s="168">
        <v>2</v>
      </c>
      <c r="C2232" s="168">
        <v>8</v>
      </c>
      <c r="D2232" s="141">
        <f t="shared" si="76"/>
        <v>44235</v>
      </c>
      <c r="E2232" s="275">
        <f t="shared" si="77"/>
        <v>44235</v>
      </c>
      <c r="F2232" s="479" t="s">
        <v>531</v>
      </c>
      <c r="G2232" s="220" t="s">
        <v>74</v>
      </c>
      <c r="H2232" s="220" t="str" cm="1">
        <f t="array" ref="H2232">IFERROR(INDEX(INVESTOR_LIST[INVESTOR NAME],MATCH(I2232,INVESTOR_LIST[INVESTOR CODE],0),)," ")</f>
        <v xml:space="preserve"> </v>
      </c>
      <c r="I2232" s="142"/>
      <c r="J2232" s="143" t="s">
        <v>52</v>
      </c>
      <c r="K2232" s="226">
        <v>135378.9</v>
      </c>
      <c r="L2232" s="226"/>
    </row>
    <row r="2233" spans="1:15" x14ac:dyDescent="0.2">
      <c r="A2233" s="163">
        <v>2021</v>
      </c>
      <c r="B2233" s="163">
        <v>2</v>
      </c>
      <c r="C2233" s="163">
        <v>8</v>
      </c>
      <c r="D2233" s="141">
        <f t="shared" si="76"/>
        <v>44235</v>
      </c>
      <c r="E2233" s="275">
        <f t="shared" si="77"/>
        <v>44235</v>
      </c>
      <c r="F2233" s="480"/>
      <c r="G2233" s="221" t="s">
        <v>74</v>
      </c>
      <c r="H2233" s="221" t="str" cm="1">
        <f t="array" ref="H2233">IFERROR(INDEX(INVESTOR_LIST[INVESTOR NAME],MATCH(I2233,INVESTOR_LIST[INVESTOR CODE],0),)," ")</f>
        <v xml:space="preserve"> </v>
      </c>
      <c r="I2233" s="145"/>
      <c r="J2233" s="146" t="s">
        <v>168</v>
      </c>
      <c r="K2233" s="219"/>
      <c r="L2233" s="219">
        <v>135378.9</v>
      </c>
    </row>
    <row r="2234" spans="1:15" x14ac:dyDescent="0.2">
      <c r="A2234" s="168">
        <v>2021</v>
      </c>
      <c r="B2234" s="168">
        <v>2</v>
      </c>
      <c r="C2234" s="168">
        <v>8</v>
      </c>
      <c r="D2234" s="141">
        <f t="shared" si="76"/>
        <v>44235</v>
      </c>
      <c r="E2234" s="275">
        <f t="shared" si="77"/>
        <v>44235</v>
      </c>
      <c r="F2234" s="494" t="s">
        <v>524</v>
      </c>
      <c r="G2234" s="220" t="s">
        <v>74</v>
      </c>
      <c r="H2234" s="142" t="str" cm="1">
        <f t="array" ref="H2234">IFERROR(INDEX(INVESTOR_LIST[INVESTOR NAME],MATCH(I2234,INVESTOR_LIST[INVESTOR CODE],0),)," ")</f>
        <v xml:space="preserve"> </v>
      </c>
      <c r="I2234" s="142"/>
      <c r="J2234" s="143" t="s">
        <v>147</v>
      </c>
      <c r="K2234" s="226">
        <v>2344913.2599999998</v>
      </c>
      <c r="L2234" s="226"/>
      <c r="O2234" s="160"/>
    </row>
    <row r="2235" spans="1:15" x14ac:dyDescent="0.2">
      <c r="A2235" s="163">
        <v>2021</v>
      </c>
      <c r="B2235" s="163">
        <v>2</v>
      </c>
      <c r="C2235" s="163">
        <v>8</v>
      </c>
      <c r="D2235" s="141">
        <f t="shared" si="76"/>
        <v>44235</v>
      </c>
      <c r="E2235" s="275">
        <f t="shared" si="77"/>
        <v>44235</v>
      </c>
      <c r="F2235" s="495"/>
      <c r="G2235" s="221" t="s">
        <v>74</v>
      </c>
      <c r="H2235" s="145" t="str" cm="1">
        <f t="array" ref="H2235">IFERROR(INDEX(INVESTOR_LIST[INVESTOR NAME],MATCH(I2235,INVESTOR_LIST[INVESTOR CODE],0),)," ")</f>
        <v xml:space="preserve"> </v>
      </c>
      <c r="I2235" s="145"/>
      <c r="J2235" s="146" t="s">
        <v>52</v>
      </c>
      <c r="K2235" s="219"/>
      <c r="L2235" s="219">
        <v>2344913.2599999998</v>
      </c>
    </row>
    <row r="2236" spans="1:15" x14ac:dyDescent="0.2">
      <c r="A2236" s="133">
        <v>2021</v>
      </c>
      <c r="B2236" s="133">
        <v>2</v>
      </c>
      <c r="C2236" s="133">
        <v>9</v>
      </c>
      <c r="D2236" s="141">
        <f t="shared" si="76"/>
        <v>44236</v>
      </c>
      <c r="E2236" s="275">
        <f t="shared" si="77"/>
        <v>44236</v>
      </c>
      <c r="F2236" s="481" t="s">
        <v>361</v>
      </c>
      <c r="G2236" s="174" t="s">
        <v>94</v>
      </c>
      <c r="H2236" s="148" t="str" cm="1">
        <f t="array" ref="H2236">IFERROR(INDEX(INVESTOR_LIST[INVESTOR NAME],MATCH(I2236,INVESTOR_LIST[INVESTOR CODE],0),)," ")</f>
        <v xml:space="preserve"> </v>
      </c>
      <c r="J2236" s="149" t="s">
        <v>79</v>
      </c>
      <c r="K2236" s="172">
        <v>2846305.6</v>
      </c>
      <c r="N2236" s="172"/>
      <c r="O2236" s="172"/>
    </row>
    <row r="2237" spans="1:15" x14ac:dyDescent="0.2">
      <c r="A2237" s="133">
        <v>2021</v>
      </c>
      <c r="B2237" s="133">
        <v>2</v>
      </c>
      <c r="C2237" s="133">
        <v>9</v>
      </c>
      <c r="D2237" s="141">
        <f t="shared" si="76"/>
        <v>44236</v>
      </c>
      <c r="E2237" s="275">
        <f t="shared" si="77"/>
        <v>44236</v>
      </c>
      <c r="F2237" s="481"/>
      <c r="G2237" s="174" t="s">
        <v>94</v>
      </c>
      <c r="H2237" s="148" t="str" cm="1">
        <f t="array" ref="H2237">IFERROR(INDEX(INVESTOR_LIST[INVESTOR NAME],MATCH(I2237,INVESTOR_LIST[INVESTOR CODE],0),)," ")</f>
        <v xml:space="preserve"> </v>
      </c>
      <c r="J2237" s="149" t="s">
        <v>80</v>
      </c>
      <c r="K2237" s="172">
        <f>5123.35+5153.54</f>
        <v>10276.89</v>
      </c>
      <c r="N2237" s="172"/>
      <c r="O2237" s="172"/>
    </row>
    <row r="2238" spans="1:15" x14ac:dyDescent="0.2">
      <c r="A2238" s="133">
        <v>2021</v>
      </c>
      <c r="B2238" s="133">
        <v>2</v>
      </c>
      <c r="C2238" s="133">
        <v>9</v>
      </c>
      <c r="D2238" s="141">
        <f t="shared" si="76"/>
        <v>44236</v>
      </c>
      <c r="E2238" s="275">
        <f t="shared" si="77"/>
        <v>44236</v>
      </c>
      <c r="F2238" s="481"/>
      <c r="G2238" s="174" t="s">
        <v>94</v>
      </c>
      <c r="H2238" s="148" t="str" cm="1">
        <f t="array" ref="H2238">IFERROR(INDEX(INVESTOR_LIST[INVESTOR NAME],MATCH(I2238,INVESTOR_LIST[INVESTOR CODE],0),)," ")</f>
        <v xml:space="preserve"> </v>
      </c>
      <c r="J2238" s="149" t="s">
        <v>190</v>
      </c>
      <c r="K2238" s="172">
        <v>6493.81</v>
      </c>
      <c r="N2238" s="172"/>
      <c r="O2238" s="172"/>
    </row>
    <row r="2239" spans="1:15" x14ac:dyDescent="0.2">
      <c r="A2239" s="133">
        <v>2021</v>
      </c>
      <c r="B2239" s="133">
        <v>2</v>
      </c>
      <c r="C2239" s="133">
        <v>9</v>
      </c>
      <c r="D2239" s="141">
        <f t="shared" si="76"/>
        <v>44236</v>
      </c>
      <c r="E2239" s="275">
        <f t="shared" si="77"/>
        <v>44236</v>
      </c>
      <c r="F2239" s="481"/>
      <c r="G2239" s="174" t="s">
        <v>94</v>
      </c>
      <c r="H2239" s="148" t="str" cm="1">
        <f t="array" ref="H2239">IFERROR(INDEX(INVESTOR_LIST[INVESTOR NAME],MATCH(I2239,INVESTOR_LIST[INVESTOR CODE],0),)," ")</f>
        <v xml:space="preserve"> </v>
      </c>
      <c r="J2239" s="149" t="s">
        <v>79</v>
      </c>
      <c r="L2239" s="172">
        <v>2801935.79</v>
      </c>
      <c r="N2239" s="160"/>
      <c r="O2239" s="172"/>
    </row>
    <row r="2240" spans="1:15" x14ac:dyDescent="0.2">
      <c r="A2240" s="163">
        <v>2021</v>
      </c>
      <c r="B2240" s="163">
        <v>2</v>
      </c>
      <c r="C2240" s="163">
        <v>9</v>
      </c>
      <c r="D2240" s="141">
        <f t="shared" si="76"/>
        <v>44236</v>
      </c>
      <c r="E2240" s="275">
        <f t="shared" si="77"/>
        <v>44236</v>
      </c>
      <c r="F2240" s="480"/>
      <c r="G2240" s="221" t="s">
        <v>94</v>
      </c>
      <c r="H2240" s="145" t="str" cm="1">
        <f t="array" ref="H2240">IFERROR(INDEX(INVESTOR_LIST[INVESTOR NAME],MATCH(I2240,INVESTOR_LIST[INVESTOR CODE],0),)," ")</f>
        <v xml:space="preserve"> </v>
      </c>
      <c r="I2240" s="145"/>
      <c r="J2240" s="146" t="s">
        <v>191</v>
      </c>
      <c r="K2240" s="219"/>
      <c r="L2240" s="219">
        <v>61140.51</v>
      </c>
    </row>
    <row r="2241" spans="1:16" ht="11.25" customHeight="1" x14ac:dyDescent="0.2">
      <c r="A2241" s="168">
        <v>2021</v>
      </c>
      <c r="B2241" s="168">
        <v>2</v>
      </c>
      <c r="C2241" s="168">
        <v>9</v>
      </c>
      <c r="D2241" s="141">
        <f t="shared" si="76"/>
        <v>44236</v>
      </c>
      <c r="E2241" s="275">
        <f t="shared" si="77"/>
        <v>44236</v>
      </c>
      <c r="F2241" s="479" t="s">
        <v>254</v>
      </c>
      <c r="G2241" s="220" t="s">
        <v>74</v>
      </c>
      <c r="H2241" s="142" t="str" cm="1">
        <f t="array" ref="H2241">IFERROR(INDEX(INVESTOR_LIST[INVESTOR NAME],MATCH(I2241,INVESTOR_LIST[INVESTOR CODE],0),)," ")</f>
        <v xml:space="preserve"> </v>
      </c>
      <c r="I2241" s="142"/>
      <c r="J2241" s="143" t="s">
        <v>52</v>
      </c>
      <c r="K2241" s="226">
        <v>177500</v>
      </c>
      <c r="L2241" s="226"/>
    </row>
    <row r="2242" spans="1:16" x14ac:dyDescent="0.2">
      <c r="A2242" s="133">
        <v>2021</v>
      </c>
      <c r="B2242" s="133">
        <v>2</v>
      </c>
      <c r="C2242" s="133">
        <v>9</v>
      </c>
      <c r="D2242" s="141">
        <f t="shared" si="76"/>
        <v>44236</v>
      </c>
      <c r="E2242" s="275">
        <f t="shared" si="77"/>
        <v>44236</v>
      </c>
      <c r="F2242" s="481"/>
      <c r="G2242" s="174" t="s">
        <v>74</v>
      </c>
      <c r="H2242" s="148" t="str" cm="1">
        <f t="array" ref="H2242">IFERROR(INDEX(INVESTOR_LIST[INVESTOR NAME],MATCH(I2242,INVESTOR_LIST[INVESTOR CODE],0),)," ")</f>
        <v xml:space="preserve"> </v>
      </c>
      <c r="J2242" s="149" t="s">
        <v>13</v>
      </c>
      <c r="K2242" s="218"/>
      <c r="L2242" s="218">
        <v>135180</v>
      </c>
    </row>
    <row r="2243" spans="1:16" x14ac:dyDescent="0.2">
      <c r="A2243" s="163">
        <v>2021</v>
      </c>
      <c r="B2243" s="163">
        <v>2</v>
      </c>
      <c r="C2243" s="163">
        <v>9</v>
      </c>
      <c r="D2243" s="141">
        <f t="shared" si="76"/>
        <v>44236</v>
      </c>
      <c r="E2243" s="275">
        <f t="shared" si="77"/>
        <v>44236</v>
      </c>
      <c r="F2243" s="480"/>
      <c r="G2243" s="221" t="s">
        <v>74</v>
      </c>
      <c r="H2243" s="145" t="str" cm="1">
        <f t="array" ref="H2243">IFERROR(INDEX(INVESTOR_LIST[INVESTOR NAME],MATCH(I2243,INVESTOR_LIST[INVESTOR CODE],0),)," ")</f>
        <v xml:space="preserve"> </v>
      </c>
      <c r="I2243" s="145"/>
      <c r="J2243" s="146" t="s">
        <v>53</v>
      </c>
      <c r="K2243" s="219"/>
      <c r="L2243" s="219">
        <v>42320</v>
      </c>
    </row>
    <row r="2244" spans="1:16" ht="22.5" x14ac:dyDescent="0.2">
      <c r="A2244" s="168">
        <v>2021</v>
      </c>
      <c r="B2244" s="168">
        <v>2</v>
      </c>
      <c r="C2244" s="168">
        <v>9</v>
      </c>
      <c r="D2244" s="141">
        <f t="shared" si="76"/>
        <v>44236</v>
      </c>
      <c r="E2244" s="275">
        <f t="shared" si="77"/>
        <v>44236</v>
      </c>
      <c r="F2244" s="479" t="s">
        <v>965</v>
      </c>
      <c r="G2244" s="220" t="s">
        <v>74</v>
      </c>
      <c r="H2244" s="142" t="str" cm="1">
        <f t="array" ref="H2244">IFERROR(INDEX(INVESTOR_LIST[INVESTOR NAME],MATCH(I2244,INVESTOR_LIST[INVESTOR CODE],0),)," ")</f>
        <v>ARKO SAHA</v>
      </c>
      <c r="I2244" s="142" t="s">
        <v>480</v>
      </c>
      <c r="J2244" s="143" t="s">
        <v>13</v>
      </c>
      <c r="K2244" s="226">
        <v>90000</v>
      </c>
      <c r="L2244" s="226"/>
    </row>
    <row r="2245" spans="1:16" ht="22.5" x14ac:dyDescent="0.2">
      <c r="A2245" s="133">
        <v>2021</v>
      </c>
      <c r="B2245" s="133">
        <v>2</v>
      </c>
      <c r="C2245" s="133">
        <v>9</v>
      </c>
      <c r="D2245" s="141">
        <f t="shared" si="76"/>
        <v>44236</v>
      </c>
      <c r="E2245" s="275">
        <f t="shared" si="77"/>
        <v>44236</v>
      </c>
      <c r="F2245" s="481"/>
      <c r="G2245" s="174" t="s">
        <v>74</v>
      </c>
      <c r="H2245" s="148" t="str" cm="1">
        <f t="array" ref="H2245">IFERROR(INDEX(INVESTOR_LIST[INVESTOR NAME],MATCH(I2245,INVESTOR_LIST[INVESTOR CODE],0),)," ")</f>
        <v>ARKO SAHA</v>
      </c>
      <c r="I2245" s="148" t="s">
        <v>480</v>
      </c>
      <c r="J2245" s="149" t="s">
        <v>53</v>
      </c>
      <c r="K2245" s="218">
        <v>28170</v>
      </c>
      <c r="L2245" s="218"/>
    </row>
    <row r="2246" spans="1:16" ht="22.5" x14ac:dyDescent="0.2">
      <c r="A2246" s="163">
        <v>2021</v>
      </c>
      <c r="B2246" s="163">
        <v>2</v>
      </c>
      <c r="C2246" s="163">
        <v>9</v>
      </c>
      <c r="D2246" s="141">
        <f t="shared" si="76"/>
        <v>44236</v>
      </c>
      <c r="E2246" s="275">
        <f t="shared" si="77"/>
        <v>44236</v>
      </c>
      <c r="F2246" s="480"/>
      <c r="G2246" s="221" t="s">
        <v>74</v>
      </c>
      <c r="H2246" s="145" t="str" cm="1">
        <f t="array" ref="H2246">IFERROR(INDEX(INVESTOR_LIST[INVESTOR NAME],MATCH(I2246,INVESTOR_LIST[INVESTOR CODE],0),)," ")</f>
        <v>ARKO SAHA</v>
      </c>
      <c r="I2246" s="145" t="s">
        <v>480</v>
      </c>
      <c r="J2246" s="146" t="s">
        <v>52</v>
      </c>
      <c r="K2246" s="219"/>
      <c r="L2246" s="219">
        <v>118170</v>
      </c>
    </row>
    <row r="2247" spans="1:16" ht="45" x14ac:dyDescent="0.2">
      <c r="A2247" s="168">
        <v>2021</v>
      </c>
      <c r="B2247" s="168">
        <v>2</v>
      </c>
      <c r="C2247" s="168">
        <v>9</v>
      </c>
      <c r="D2247" s="141">
        <f t="shared" si="76"/>
        <v>44236</v>
      </c>
      <c r="E2247" s="275">
        <f t="shared" si="77"/>
        <v>44236</v>
      </c>
      <c r="F2247" s="479" t="s">
        <v>965</v>
      </c>
      <c r="G2247" s="220" t="s">
        <v>74</v>
      </c>
      <c r="H2247" s="142" t="str" cm="1">
        <f t="array" ref="H2247">IFERROR(INDEX(INVESTOR_LIST[INVESTOR NAME],MATCH(I2247,INVESTOR_LIST[INVESTOR CODE],0),)," ")</f>
        <v>MANABENDRA KUMAR DAS</v>
      </c>
      <c r="I2247" s="142" t="s">
        <v>505</v>
      </c>
      <c r="J2247" s="143" t="s">
        <v>13</v>
      </c>
      <c r="K2247" s="226">
        <v>168630</v>
      </c>
      <c r="L2247" s="226"/>
      <c r="N2247" s="160"/>
    </row>
    <row r="2248" spans="1:16" ht="45" x14ac:dyDescent="0.2">
      <c r="A2248" s="133">
        <v>2021</v>
      </c>
      <c r="B2248" s="133">
        <v>2</v>
      </c>
      <c r="C2248" s="133">
        <v>9</v>
      </c>
      <c r="D2248" s="141">
        <f t="shared" si="76"/>
        <v>44236</v>
      </c>
      <c r="E2248" s="275">
        <f t="shared" si="77"/>
        <v>44236</v>
      </c>
      <c r="F2248" s="481"/>
      <c r="G2248" s="174" t="s">
        <v>74</v>
      </c>
      <c r="H2248" s="148" t="str" cm="1">
        <f t="array" ref="H2248">IFERROR(INDEX(INVESTOR_LIST[INVESTOR NAME],MATCH(I2248,INVESTOR_LIST[INVESTOR CODE],0),)," ")</f>
        <v>MANABENDRA KUMAR DAS</v>
      </c>
      <c r="I2248" s="148" t="s">
        <v>505</v>
      </c>
      <c r="J2248" s="149" t="s">
        <v>53</v>
      </c>
      <c r="K2248" s="218">
        <v>52781.19</v>
      </c>
      <c r="L2248" s="218"/>
    </row>
    <row r="2249" spans="1:16" ht="45" x14ac:dyDescent="0.2">
      <c r="A2249" s="163">
        <v>2021</v>
      </c>
      <c r="B2249" s="163">
        <v>2</v>
      </c>
      <c r="C2249" s="163">
        <v>9</v>
      </c>
      <c r="D2249" s="141">
        <f t="shared" si="76"/>
        <v>44236</v>
      </c>
      <c r="E2249" s="275">
        <f t="shared" si="77"/>
        <v>44236</v>
      </c>
      <c r="F2249" s="480"/>
      <c r="G2249" s="221" t="s">
        <v>74</v>
      </c>
      <c r="H2249" s="145" t="str" cm="1">
        <f t="array" ref="H2249">IFERROR(INDEX(INVESTOR_LIST[INVESTOR NAME],MATCH(I2249,INVESTOR_LIST[INVESTOR CODE],0),)," ")</f>
        <v>MANABENDRA KUMAR DAS</v>
      </c>
      <c r="I2249" s="145" t="s">
        <v>505</v>
      </c>
      <c r="J2249" s="146" t="s">
        <v>52</v>
      </c>
      <c r="K2249" s="219"/>
      <c r="L2249" s="219">
        <v>221411.19</v>
      </c>
    </row>
    <row r="2250" spans="1:16" ht="33.75" x14ac:dyDescent="0.2">
      <c r="A2250" s="168">
        <v>2021</v>
      </c>
      <c r="B2250" s="168">
        <v>2</v>
      </c>
      <c r="C2250" s="168">
        <v>9</v>
      </c>
      <c r="D2250" s="141">
        <f t="shared" si="76"/>
        <v>44236</v>
      </c>
      <c r="E2250" s="275">
        <f t="shared" si="77"/>
        <v>44236</v>
      </c>
      <c r="F2250" s="479" t="s">
        <v>965</v>
      </c>
      <c r="G2250" s="220" t="s">
        <v>74</v>
      </c>
      <c r="H2250" s="142" t="str" cm="1">
        <f t="array" ref="H2250">IFERROR(INDEX(INVESTOR_LIST[INVESTOR NAME],MATCH(I2250,INVESTOR_LIST[INVESTOR CODE],0),)," ")</f>
        <v>NANI GOPAL DATTA</v>
      </c>
      <c r="I2250" s="142" t="s">
        <v>460</v>
      </c>
      <c r="J2250" s="143" t="s">
        <v>13</v>
      </c>
      <c r="K2250" s="226">
        <v>700000</v>
      </c>
      <c r="L2250" s="226"/>
    </row>
    <row r="2251" spans="1:16" ht="12" customHeight="1" x14ac:dyDescent="0.2">
      <c r="A2251" s="133">
        <v>2021</v>
      </c>
      <c r="B2251" s="133">
        <v>2</v>
      </c>
      <c r="C2251" s="133">
        <v>9</v>
      </c>
      <c r="D2251" s="141">
        <f t="shared" si="76"/>
        <v>44236</v>
      </c>
      <c r="E2251" s="275">
        <f t="shared" si="77"/>
        <v>44236</v>
      </c>
      <c r="F2251" s="481"/>
      <c r="G2251" s="174" t="s">
        <v>74</v>
      </c>
      <c r="H2251" s="148" t="str" cm="1">
        <f t="array" ref="H2251">IFERROR(INDEX(INVESTOR_LIST[INVESTOR NAME],MATCH(I2251,INVESTOR_LIST[INVESTOR CODE],0),)," ")</f>
        <v>NANI GOPAL DATTA</v>
      </c>
      <c r="I2251" s="148" t="s">
        <v>460</v>
      </c>
      <c r="J2251" s="149" t="s">
        <v>53</v>
      </c>
      <c r="K2251" s="218">
        <v>219100</v>
      </c>
      <c r="L2251" s="218"/>
      <c r="N2251" s="253"/>
      <c r="O2251" s="253"/>
      <c r="P2251" s="253"/>
    </row>
    <row r="2252" spans="1:16" ht="33.75" x14ac:dyDescent="0.2">
      <c r="A2252" s="163">
        <v>2021</v>
      </c>
      <c r="B2252" s="163">
        <v>2</v>
      </c>
      <c r="C2252" s="163">
        <v>9</v>
      </c>
      <c r="D2252" s="141">
        <f t="shared" si="76"/>
        <v>44236</v>
      </c>
      <c r="E2252" s="275">
        <f t="shared" si="77"/>
        <v>44236</v>
      </c>
      <c r="F2252" s="480"/>
      <c r="G2252" s="221" t="s">
        <v>74</v>
      </c>
      <c r="H2252" s="145" t="str" cm="1">
        <f t="array" ref="H2252">IFERROR(INDEX(INVESTOR_LIST[INVESTOR NAME],MATCH(I2252,INVESTOR_LIST[INVESTOR CODE],0),)," ")</f>
        <v>NANI GOPAL DATTA</v>
      </c>
      <c r="I2252" s="145" t="s">
        <v>460</v>
      </c>
      <c r="J2252" s="146" t="s">
        <v>52</v>
      </c>
      <c r="K2252" s="219"/>
      <c r="L2252" s="219">
        <v>919100</v>
      </c>
    </row>
    <row r="2253" spans="1:16" ht="22.5" x14ac:dyDescent="0.2">
      <c r="A2253" s="168">
        <v>2021</v>
      </c>
      <c r="B2253" s="168">
        <v>2</v>
      </c>
      <c r="C2253" s="168">
        <v>9</v>
      </c>
      <c r="D2253" s="141">
        <f t="shared" si="76"/>
        <v>44236</v>
      </c>
      <c r="E2253" s="275">
        <f t="shared" si="77"/>
        <v>44236</v>
      </c>
      <c r="F2253" s="479" t="s">
        <v>964</v>
      </c>
      <c r="G2253" s="220" t="s">
        <v>74</v>
      </c>
      <c r="H2253" s="142" t="str" cm="1">
        <f t="array" ref="H2253">IFERROR(INDEX(INVESTOR_LIST[INVESTOR NAME],MATCH(I2253,INVESTOR_LIST[INVESTOR CODE],0),)," ")</f>
        <v>JOHORA KHATUN</v>
      </c>
      <c r="I2253" s="142" t="s">
        <v>527</v>
      </c>
      <c r="J2253" s="143" t="s">
        <v>52</v>
      </c>
      <c r="K2253" s="226">
        <v>2300000</v>
      </c>
      <c r="L2253" s="226"/>
    </row>
    <row r="2254" spans="1:16" ht="22.5" x14ac:dyDescent="0.2">
      <c r="A2254" s="133">
        <v>2021</v>
      </c>
      <c r="B2254" s="133">
        <v>2</v>
      </c>
      <c r="C2254" s="133">
        <v>9</v>
      </c>
      <c r="D2254" s="141">
        <f t="shared" ref="D2254:D2317" si="78">DATE(A2254,B2254,C2254)</f>
        <v>44236</v>
      </c>
      <c r="E2254" s="275">
        <f t="shared" si="77"/>
        <v>44236</v>
      </c>
      <c r="F2254" s="481"/>
      <c r="G2254" s="174" t="s">
        <v>74</v>
      </c>
      <c r="H2254" s="148" t="str" cm="1">
        <f t="array" ref="H2254">IFERROR(INDEX(INVESTOR_LIST[INVESTOR NAME],MATCH(I2254,INVESTOR_LIST[INVESTOR CODE],0),)," ")</f>
        <v>JOHORA KHATUN</v>
      </c>
      <c r="I2254" s="148" t="s">
        <v>527</v>
      </c>
      <c r="J2254" s="149" t="s">
        <v>13</v>
      </c>
      <c r="K2254" s="218"/>
      <c r="L2254" s="218">
        <v>1765160</v>
      </c>
    </row>
    <row r="2255" spans="1:16" ht="22.5" x14ac:dyDescent="0.2">
      <c r="A2255" s="163">
        <v>2021</v>
      </c>
      <c r="B2255" s="163">
        <v>2</v>
      </c>
      <c r="C2255" s="163">
        <v>9</v>
      </c>
      <c r="D2255" s="141">
        <f t="shared" si="78"/>
        <v>44236</v>
      </c>
      <c r="E2255" s="275">
        <f t="shared" ref="E2255:E2318" si="79">DATE(A2255,B2255,C2255)</f>
        <v>44236</v>
      </c>
      <c r="F2255" s="480"/>
      <c r="G2255" s="221" t="s">
        <v>74</v>
      </c>
      <c r="H2255" s="145" t="str" cm="1">
        <f t="array" ref="H2255">IFERROR(INDEX(INVESTOR_LIST[INVESTOR NAME],MATCH(I2255,INVESTOR_LIST[INVESTOR CODE],0),)," ")</f>
        <v>JOHORA KHATUN</v>
      </c>
      <c r="I2255" s="145" t="s">
        <v>527</v>
      </c>
      <c r="J2255" s="146" t="s">
        <v>53</v>
      </c>
      <c r="K2255" s="219"/>
      <c r="L2255" s="219">
        <v>534840</v>
      </c>
    </row>
    <row r="2256" spans="1:16" x14ac:dyDescent="0.2">
      <c r="A2256" s="168">
        <v>2021</v>
      </c>
      <c r="B2256" s="168">
        <v>2</v>
      </c>
      <c r="C2256" s="168">
        <v>9</v>
      </c>
      <c r="D2256" s="141">
        <f t="shared" si="78"/>
        <v>44236</v>
      </c>
      <c r="E2256" s="275">
        <f t="shared" si="79"/>
        <v>44236</v>
      </c>
      <c r="F2256" s="479" t="s">
        <v>77</v>
      </c>
      <c r="G2256" s="220" t="s">
        <v>74</v>
      </c>
      <c r="H2256" s="220" t="str" cm="1">
        <f t="array" ref="H2256">IFERROR(INDEX(INVESTOR_LIST[INVESTOR NAME],MATCH(I2256,INVESTOR_LIST[INVESTOR CODE],0),)," ")</f>
        <v xml:space="preserve"> </v>
      </c>
      <c r="I2256" s="142" t="s">
        <v>348</v>
      </c>
      <c r="J2256" s="143" t="s">
        <v>61</v>
      </c>
      <c r="K2256" s="226">
        <v>25</v>
      </c>
      <c r="L2256" s="226"/>
    </row>
    <row r="2257" spans="1:19" x14ac:dyDescent="0.2">
      <c r="A2257" s="163">
        <v>2021</v>
      </c>
      <c r="B2257" s="163">
        <v>2</v>
      </c>
      <c r="C2257" s="163">
        <v>9</v>
      </c>
      <c r="D2257" s="141">
        <f t="shared" si="78"/>
        <v>44236</v>
      </c>
      <c r="E2257" s="275">
        <f t="shared" si="79"/>
        <v>44236</v>
      </c>
      <c r="F2257" s="480"/>
      <c r="G2257" s="221" t="s">
        <v>74</v>
      </c>
      <c r="H2257" s="221" t="str" cm="1">
        <f t="array" ref="H2257">IFERROR(INDEX(INVESTOR_LIST[INVESTOR NAME],MATCH(I2257,INVESTOR_LIST[INVESTOR CODE],0),)," ")</f>
        <v xml:space="preserve"> </v>
      </c>
      <c r="I2257" s="145" t="s">
        <v>348</v>
      </c>
      <c r="J2257" s="146" t="s">
        <v>52</v>
      </c>
      <c r="K2257" s="219"/>
      <c r="L2257" s="219">
        <v>25</v>
      </c>
    </row>
    <row r="2258" spans="1:19" x14ac:dyDescent="0.2">
      <c r="A2258" s="133">
        <v>2021</v>
      </c>
      <c r="B2258" s="133">
        <v>2</v>
      </c>
      <c r="C2258" s="133">
        <v>10</v>
      </c>
      <c r="D2258" s="141">
        <f t="shared" si="78"/>
        <v>44237</v>
      </c>
      <c r="E2258" s="275">
        <f t="shared" si="79"/>
        <v>44237</v>
      </c>
      <c r="F2258" s="479" t="s">
        <v>361</v>
      </c>
      <c r="G2258" s="174" t="s">
        <v>94</v>
      </c>
      <c r="H2258" s="148" t="str" cm="1">
        <f t="array" ref="H2258">IFERROR(INDEX(INVESTOR_LIST[INVESTOR NAME],MATCH(I2258,INVESTOR_LIST[INVESTOR CODE],0),)," ")</f>
        <v xml:space="preserve"> </v>
      </c>
      <c r="J2258" s="149" t="s">
        <v>79</v>
      </c>
      <c r="K2258" s="172">
        <v>2153969</v>
      </c>
      <c r="N2258" s="156">
        <f>K2341/13.05</f>
        <v>2758.6206896551721</v>
      </c>
    </row>
    <row r="2259" spans="1:19" x14ac:dyDescent="0.2">
      <c r="A2259" s="133">
        <v>2021</v>
      </c>
      <c r="B2259" s="133">
        <v>2</v>
      </c>
      <c r="C2259" s="133">
        <v>10</v>
      </c>
      <c r="D2259" s="141">
        <f t="shared" si="78"/>
        <v>44237</v>
      </c>
      <c r="E2259" s="275">
        <f t="shared" si="79"/>
        <v>44237</v>
      </c>
      <c r="F2259" s="481"/>
      <c r="G2259" s="174" t="s">
        <v>94</v>
      </c>
      <c r="H2259" s="148" t="str" cm="1">
        <f t="array" ref="H2259">IFERROR(INDEX(INVESTOR_LIST[INVESTOR NAME],MATCH(I2259,INVESTOR_LIST[INVESTOR CODE],0),)," ")</f>
        <v xml:space="preserve"> </v>
      </c>
      <c r="J2259" s="149" t="s">
        <v>80</v>
      </c>
      <c r="K2259" s="172">
        <f>3877.14+3991.33</f>
        <v>7868.4699999999993</v>
      </c>
    </row>
    <row r="2260" spans="1:19" x14ac:dyDescent="0.2">
      <c r="A2260" s="133">
        <v>2021</v>
      </c>
      <c r="B2260" s="133">
        <v>2</v>
      </c>
      <c r="C2260" s="133">
        <v>10</v>
      </c>
      <c r="D2260" s="141">
        <f t="shared" si="78"/>
        <v>44237</v>
      </c>
      <c r="E2260" s="275">
        <f t="shared" si="79"/>
        <v>44237</v>
      </c>
      <c r="F2260" s="481"/>
      <c r="G2260" s="174" t="s">
        <v>94</v>
      </c>
      <c r="H2260" s="148" t="str" cm="1">
        <f t="array" ref="H2260">IFERROR(INDEX(INVESTOR_LIST[INVESTOR NAME],MATCH(I2260,INVESTOR_LIST[INVESTOR CODE],0),)," ")</f>
        <v xml:space="preserve"> </v>
      </c>
      <c r="J2260" s="149" t="s">
        <v>190</v>
      </c>
      <c r="K2260" s="172">
        <v>55568.63</v>
      </c>
    </row>
    <row r="2261" spans="1:19" x14ac:dyDescent="0.2">
      <c r="A2261" s="133">
        <v>2021</v>
      </c>
      <c r="B2261" s="133">
        <v>2</v>
      </c>
      <c r="C2261" s="133">
        <v>10</v>
      </c>
      <c r="D2261" s="141">
        <f t="shared" si="78"/>
        <v>44237</v>
      </c>
      <c r="E2261" s="275">
        <f t="shared" si="79"/>
        <v>44237</v>
      </c>
      <c r="F2261" s="481"/>
      <c r="G2261" s="174" t="s">
        <v>94</v>
      </c>
      <c r="H2261" s="148" t="str" cm="1">
        <f t="array" ref="H2261">IFERROR(INDEX(INVESTOR_LIST[INVESTOR NAME],MATCH(I2261,INVESTOR_LIST[INVESTOR CODE],0),)," ")</f>
        <v xml:space="preserve"> </v>
      </c>
      <c r="J2261" s="149" t="s">
        <v>79</v>
      </c>
      <c r="L2261" s="172">
        <v>2116711.86</v>
      </c>
      <c r="N2261" s="160"/>
    </row>
    <row r="2262" spans="1:19" x14ac:dyDescent="0.2">
      <c r="A2262" s="163">
        <v>2021</v>
      </c>
      <c r="B2262" s="163">
        <v>2</v>
      </c>
      <c r="C2262" s="163">
        <v>10</v>
      </c>
      <c r="D2262" s="141">
        <f t="shared" si="78"/>
        <v>44237</v>
      </c>
      <c r="E2262" s="275">
        <f t="shared" si="79"/>
        <v>44237</v>
      </c>
      <c r="F2262" s="480"/>
      <c r="G2262" s="221" t="s">
        <v>94</v>
      </c>
      <c r="H2262" s="145" t="str" cm="1">
        <f t="array" ref="H2262">IFERROR(INDEX(INVESTOR_LIST[INVESTOR NAME],MATCH(I2262,INVESTOR_LIST[INVESTOR CODE],0),)," ")</f>
        <v xml:space="preserve"> </v>
      </c>
      <c r="I2262" s="145"/>
      <c r="J2262" s="146" t="s">
        <v>191</v>
      </c>
      <c r="K2262" s="219"/>
      <c r="L2262" s="219">
        <v>100694.24</v>
      </c>
    </row>
    <row r="2263" spans="1:19" ht="33.75" x14ac:dyDescent="0.2">
      <c r="A2263" s="168">
        <v>2021</v>
      </c>
      <c r="B2263" s="168">
        <v>2</v>
      </c>
      <c r="C2263" s="168">
        <v>11</v>
      </c>
      <c r="D2263" s="141">
        <f t="shared" si="78"/>
        <v>44238</v>
      </c>
      <c r="E2263" s="275">
        <f t="shared" si="79"/>
        <v>44238</v>
      </c>
      <c r="F2263" s="479" t="s">
        <v>965</v>
      </c>
      <c r="G2263" s="220" t="s">
        <v>74</v>
      </c>
      <c r="H2263" s="142" t="str" cm="1">
        <f t="array" ref="H2263">IFERROR(INDEX(INVESTOR_LIST[INVESTOR NAME],MATCH(I2263,INVESTOR_LIST[INVESTOR CODE],0),)," ")</f>
        <v>MD KAMRUL ISLAM</v>
      </c>
      <c r="I2263" s="142" t="s">
        <v>516</v>
      </c>
      <c r="J2263" s="143" t="s">
        <v>13</v>
      </c>
      <c r="K2263" s="226">
        <v>570510</v>
      </c>
      <c r="L2263" s="226"/>
    </row>
    <row r="2264" spans="1:19" ht="33.75" x14ac:dyDescent="0.2">
      <c r="A2264" s="133">
        <v>2021</v>
      </c>
      <c r="B2264" s="133">
        <v>2</v>
      </c>
      <c r="C2264" s="133">
        <v>11</v>
      </c>
      <c r="D2264" s="141">
        <f t="shared" si="78"/>
        <v>44238</v>
      </c>
      <c r="E2264" s="275">
        <f t="shared" si="79"/>
        <v>44238</v>
      </c>
      <c r="F2264" s="481"/>
      <c r="G2264" s="174" t="s">
        <v>74</v>
      </c>
      <c r="H2264" s="148" t="str" cm="1">
        <f t="array" ref="H2264">IFERROR(INDEX(INVESTOR_LIST[INVESTOR NAME],MATCH(I2264,INVESTOR_LIST[INVESTOR CODE],0),)," ")</f>
        <v>MD KAMRUL ISLAM</v>
      </c>
      <c r="I2264" s="148" t="s">
        <v>516</v>
      </c>
      <c r="J2264" s="149" t="s">
        <v>53</v>
      </c>
      <c r="K2264" s="218">
        <v>178569</v>
      </c>
      <c r="L2264" s="218"/>
      <c r="M2264" s="160"/>
    </row>
    <row r="2265" spans="1:19" ht="33.75" x14ac:dyDescent="0.2">
      <c r="A2265" s="163">
        <v>2021</v>
      </c>
      <c r="B2265" s="163">
        <v>2</v>
      </c>
      <c r="C2265" s="163">
        <v>11</v>
      </c>
      <c r="D2265" s="141">
        <f t="shared" si="78"/>
        <v>44238</v>
      </c>
      <c r="E2265" s="275">
        <f t="shared" si="79"/>
        <v>44238</v>
      </c>
      <c r="F2265" s="480"/>
      <c r="G2265" s="221" t="s">
        <v>74</v>
      </c>
      <c r="H2265" s="145" t="str" cm="1">
        <f t="array" ref="H2265">IFERROR(INDEX(INVESTOR_LIST[INVESTOR NAME],MATCH(I2265,INVESTOR_LIST[INVESTOR CODE],0),)," ")</f>
        <v>MD KAMRUL ISLAM</v>
      </c>
      <c r="I2265" s="145" t="s">
        <v>516</v>
      </c>
      <c r="J2265" s="146" t="s">
        <v>52</v>
      </c>
      <c r="K2265" s="219"/>
      <c r="L2265" s="219">
        <v>749079</v>
      </c>
      <c r="M2265" s="160"/>
    </row>
    <row r="2266" spans="1:19" ht="56.25" x14ac:dyDescent="0.2">
      <c r="A2266" s="168">
        <v>2021</v>
      </c>
      <c r="B2266" s="168">
        <v>2</v>
      </c>
      <c r="C2266" s="168">
        <v>11</v>
      </c>
      <c r="D2266" s="141">
        <f t="shared" si="78"/>
        <v>44238</v>
      </c>
      <c r="E2266" s="275">
        <f t="shared" si="79"/>
        <v>44238</v>
      </c>
      <c r="F2266" s="479" t="s">
        <v>965</v>
      </c>
      <c r="G2266" s="220" t="s">
        <v>74</v>
      </c>
      <c r="H2266" s="142" t="str" cm="1">
        <f t="array" ref="H2266">IFERROR(INDEX(INVESTOR_LIST[INVESTOR NAME],MATCH(I2266,INVESTOR_LIST[INVESTOR CODE],0),)," ")</f>
        <v>EDGE BANGLADESH MUTUAL FUND</v>
      </c>
      <c r="I2266" s="142" t="s">
        <v>490</v>
      </c>
      <c r="J2266" s="143" t="s">
        <v>13</v>
      </c>
      <c r="K2266" s="226">
        <v>1500000</v>
      </c>
      <c r="L2266" s="226"/>
      <c r="S2266" s="160">
        <f>SUM(S2275:S2276)-R2275</f>
        <v>1632279.06</v>
      </c>
    </row>
    <row r="2267" spans="1:19" ht="11.25" customHeight="1" x14ac:dyDescent="0.2">
      <c r="A2267" s="133">
        <v>2021</v>
      </c>
      <c r="B2267" s="133">
        <v>2</v>
      </c>
      <c r="C2267" s="133">
        <v>11</v>
      </c>
      <c r="D2267" s="141">
        <f t="shared" si="78"/>
        <v>44238</v>
      </c>
      <c r="E2267" s="275">
        <f t="shared" si="79"/>
        <v>44238</v>
      </c>
      <c r="F2267" s="481"/>
      <c r="G2267" s="174" t="s">
        <v>74</v>
      </c>
      <c r="H2267" s="148" t="str" cm="1">
        <f t="array" ref="H2267">IFERROR(INDEX(INVESTOR_LIST[INVESTOR NAME],MATCH(I2267,INVESTOR_LIST[INVESTOR CODE],0),)," ")</f>
        <v>EDGE BANGLADESH MUTUAL FUND</v>
      </c>
      <c r="I2267" s="148" t="s">
        <v>490</v>
      </c>
      <c r="J2267" s="149" t="s">
        <v>53</v>
      </c>
      <c r="K2267" s="218">
        <v>469500</v>
      </c>
      <c r="L2267" s="218"/>
      <c r="S2267" s="160"/>
    </row>
    <row r="2268" spans="1:19" ht="56.25" x14ac:dyDescent="0.2">
      <c r="A2268" s="163">
        <v>2021</v>
      </c>
      <c r="B2268" s="163">
        <v>2</v>
      </c>
      <c r="C2268" s="163">
        <v>11</v>
      </c>
      <c r="D2268" s="141">
        <f t="shared" si="78"/>
        <v>44238</v>
      </c>
      <c r="E2268" s="275">
        <f t="shared" si="79"/>
        <v>44238</v>
      </c>
      <c r="F2268" s="480"/>
      <c r="G2268" s="221" t="s">
        <v>74</v>
      </c>
      <c r="H2268" s="145" t="str" cm="1">
        <f t="array" ref="H2268">IFERROR(INDEX(INVESTOR_LIST[INVESTOR NAME],MATCH(I2268,INVESTOR_LIST[INVESTOR CODE],0),)," ")</f>
        <v>EDGE BANGLADESH MUTUAL FUND</v>
      </c>
      <c r="I2268" s="145" t="s">
        <v>490</v>
      </c>
      <c r="J2268" s="146" t="s">
        <v>52</v>
      </c>
      <c r="K2268" s="219"/>
      <c r="L2268" s="219">
        <v>1969500</v>
      </c>
      <c r="S2268" s="160"/>
    </row>
    <row r="2269" spans="1:19" ht="45" x14ac:dyDescent="0.2">
      <c r="A2269" s="168">
        <v>2021</v>
      </c>
      <c r="B2269" s="168">
        <v>2</v>
      </c>
      <c r="C2269" s="168">
        <v>11</v>
      </c>
      <c r="D2269" s="141">
        <f t="shared" si="78"/>
        <v>44238</v>
      </c>
      <c r="E2269" s="275">
        <f t="shared" si="79"/>
        <v>44238</v>
      </c>
      <c r="F2269" s="479" t="s">
        <v>965</v>
      </c>
      <c r="G2269" s="220" t="s">
        <v>74</v>
      </c>
      <c r="H2269" s="142" t="str" cm="1">
        <f t="array" ref="H2269">IFERROR(INDEX(INVESTOR_LIST[INVESTOR NAME],MATCH(I2269,INVESTOR_LIST[INVESTOR CODE],0),)," ")</f>
        <v>EDGE AMC GROWTH FUND</v>
      </c>
      <c r="I2269" s="142" t="s">
        <v>491</v>
      </c>
      <c r="J2269" s="143" t="s">
        <v>13</v>
      </c>
      <c r="K2269" s="226">
        <v>1500000</v>
      </c>
      <c r="L2269" s="226"/>
      <c r="S2269" s="160"/>
    </row>
    <row r="2270" spans="1:19" ht="45" x14ac:dyDescent="0.2">
      <c r="A2270" s="133">
        <v>2021</v>
      </c>
      <c r="B2270" s="133">
        <v>2</v>
      </c>
      <c r="C2270" s="133">
        <v>11</v>
      </c>
      <c r="D2270" s="141">
        <f t="shared" si="78"/>
        <v>44238</v>
      </c>
      <c r="E2270" s="275">
        <f t="shared" si="79"/>
        <v>44238</v>
      </c>
      <c r="F2270" s="481"/>
      <c r="G2270" s="174" t="s">
        <v>74</v>
      </c>
      <c r="H2270" s="148" t="str" cm="1">
        <f t="array" ref="H2270">IFERROR(INDEX(INVESTOR_LIST[INVESTOR NAME],MATCH(I2270,INVESTOR_LIST[INVESTOR CODE],0),)," ")</f>
        <v>EDGE AMC GROWTH FUND</v>
      </c>
      <c r="I2270" s="148" t="s">
        <v>491</v>
      </c>
      <c r="J2270" s="149" t="s">
        <v>53</v>
      </c>
      <c r="K2270" s="218">
        <v>469500</v>
      </c>
      <c r="L2270" s="218"/>
      <c r="S2270" s="160"/>
    </row>
    <row r="2271" spans="1:19" ht="45" x14ac:dyDescent="0.2">
      <c r="A2271" s="163">
        <v>2021</v>
      </c>
      <c r="B2271" s="163">
        <v>2</v>
      </c>
      <c r="C2271" s="163">
        <v>11</v>
      </c>
      <c r="D2271" s="141">
        <f t="shared" si="78"/>
        <v>44238</v>
      </c>
      <c r="E2271" s="275">
        <f t="shared" si="79"/>
        <v>44238</v>
      </c>
      <c r="F2271" s="480"/>
      <c r="G2271" s="221" t="s">
        <v>74</v>
      </c>
      <c r="H2271" s="145" t="str" cm="1">
        <f t="array" ref="H2271">IFERROR(INDEX(INVESTOR_LIST[INVESTOR NAME],MATCH(I2271,INVESTOR_LIST[INVESTOR CODE],0),)," ")</f>
        <v>EDGE AMC GROWTH FUND</v>
      </c>
      <c r="I2271" s="145" t="s">
        <v>491</v>
      </c>
      <c r="J2271" s="146" t="s">
        <v>52</v>
      </c>
      <c r="K2271" s="219"/>
      <c r="L2271" s="219">
        <v>1969500</v>
      </c>
      <c r="S2271" s="160"/>
    </row>
    <row r="2272" spans="1:19" ht="33.75" x14ac:dyDescent="0.2">
      <c r="A2272" s="168">
        <v>2021</v>
      </c>
      <c r="B2272" s="168">
        <v>2</v>
      </c>
      <c r="C2272" s="168">
        <v>11</v>
      </c>
      <c r="D2272" s="141">
        <f t="shared" si="78"/>
        <v>44238</v>
      </c>
      <c r="E2272" s="275">
        <f t="shared" si="79"/>
        <v>44238</v>
      </c>
      <c r="F2272" s="479" t="s">
        <v>965</v>
      </c>
      <c r="G2272" s="220" t="s">
        <v>74</v>
      </c>
      <c r="H2272" s="142" t="str" cm="1">
        <f t="array" ref="H2272">IFERROR(INDEX(INVESTOR_LIST[INVESTOR NAME],MATCH(I2272,INVESTOR_LIST[INVESTOR CODE],0),)," ")</f>
        <v>ASHISH KUMAR GHOSH</v>
      </c>
      <c r="I2272" s="142" t="s">
        <v>486</v>
      </c>
      <c r="J2272" s="143" t="s">
        <v>13</v>
      </c>
      <c r="K2272" s="226">
        <v>244440</v>
      </c>
      <c r="L2272" s="226"/>
      <c r="S2272" s="160"/>
    </row>
    <row r="2273" spans="1:19" ht="33.75" x14ac:dyDescent="0.2">
      <c r="A2273" s="133">
        <v>2021</v>
      </c>
      <c r="B2273" s="133">
        <v>2</v>
      </c>
      <c r="C2273" s="133">
        <v>11</v>
      </c>
      <c r="D2273" s="141">
        <f t="shared" si="78"/>
        <v>44238</v>
      </c>
      <c r="E2273" s="275">
        <f t="shared" si="79"/>
        <v>44238</v>
      </c>
      <c r="F2273" s="481"/>
      <c r="G2273" s="174" t="s">
        <v>74</v>
      </c>
      <c r="H2273" s="148" t="str" cm="1">
        <f t="array" ref="H2273">IFERROR(INDEX(INVESTOR_LIST[INVESTOR NAME],MATCH(I2273,INVESTOR_LIST[INVESTOR CODE],0),)," ")</f>
        <v>ASHISH KUMAR GHOSH</v>
      </c>
      <c r="I2273" s="148" t="s">
        <v>486</v>
      </c>
      <c r="J2273" s="149" t="s">
        <v>53</v>
      </c>
      <c r="K2273" s="218">
        <v>76509.72</v>
      </c>
      <c r="L2273" s="218"/>
    </row>
    <row r="2274" spans="1:19" ht="33.75" x14ac:dyDescent="0.2">
      <c r="A2274" s="163">
        <v>2021</v>
      </c>
      <c r="B2274" s="163">
        <v>2</v>
      </c>
      <c r="C2274" s="163">
        <v>11</v>
      </c>
      <c r="D2274" s="141">
        <f t="shared" si="78"/>
        <v>44238</v>
      </c>
      <c r="E2274" s="275">
        <f t="shared" si="79"/>
        <v>44238</v>
      </c>
      <c r="F2274" s="480"/>
      <c r="G2274" s="221" t="s">
        <v>74</v>
      </c>
      <c r="H2274" s="145" t="str" cm="1">
        <f t="array" ref="H2274">IFERROR(INDEX(INVESTOR_LIST[INVESTOR NAME],MATCH(I2274,INVESTOR_LIST[INVESTOR CODE],0),)," ")</f>
        <v>ASHISH KUMAR GHOSH</v>
      </c>
      <c r="I2274" s="145" t="s">
        <v>486</v>
      </c>
      <c r="J2274" s="146" t="s">
        <v>52</v>
      </c>
      <c r="K2274" s="219"/>
      <c r="L2274" s="219">
        <v>320949.71999999997</v>
      </c>
    </row>
    <row r="2275" spans="1:19" x14ac:dyDescent="0.2">
      <c r="A2275" s="168">
        <v>2021</v>
      </c>
      <c r="B2275" s="168">
        <v>2</v>
      </c>
      <c r="C2275" s="168">
        <v>11</v>
      </c>
      <c r="D2275" s="141">
        <f t="shared" si="78"/>
        <v>44238</v>
      </c>
      <c r="E2275" s="275">
        <f t="shared" si="79"/>
        <v>44238</v>
      </c>
      <c r="F2275" s="479" t="s">
        <v>532</v>
      </c>
      <c r="G2275" s="220" t="s">
        <v>74</v>
      </c>
      <c r="H2275" s="142" t="str" cm="1">
        <f t="array" ref="H2275">IFERROR(INDEX(INVESTOR_LIST[INVESTOR NAME],MATCH(I2275,INVESTOR_LIST[INVESTOR CODE],0),)," ")</f>
        <v xml:space="preserve"> </v>
      </c>
      <c r="I2275" s="142"/>
      <c r="J2275" s="168" t="s">
        <v>358</v>
      </c>
      <c r="K2275" s="226">
        <v>99540.800000000003</v>
      </c>
      <c r="L2275" s="226"/>
      <c r="R2275" s="172">
        <v>150000</v>
      </c>
      <c r="S2275" s="172">
        <v>1000000</v>
      </c>
    </row>
    <row r="2276" spans="1:19" x14ac:dyDescent="0.2">
      <c r="A2276" s="133">
        <v>2021</v>
      </c>
      <c r="B2276" s="133">
        <v>2</v>
      </c>
      <c r="C2276" s="133">
        <v>11</v>
      </c>
      <c r="D2276" s="141">
        <f t="shared" si="78"/>
        <v>44238</v>
      </c>
      <c r="E2276" s="275">
        <f t="shared" si="79"/>
        <v>44238</v>
      </c>
      <c r="F2276" s="481"/>
      <c r="G2276" s="174" t="s">
        <v>74</v>
      </c>
      <c r="H2276" s="148" t="str" cm="1">
        <f t="array" ref="H2276">IFERROR(INDEX(INVESTOR_LIST[INVESTOR NAME],MATCH(I2276,INVESTOR_LIST[INVESTOR CODE],0),)," ")</f>
        <v xml:space="preserve"> </v>
      </c>
      <c r="J2276" s="133" t="s">
        <v>52</v>
      </c>
      <c r="K2276" s="218"/>
      <c r="L2276" s="218">
        <v>91836.72</v>
      </c>
      <c r="R2276" s="172"/>
      <c r="S2276" s="172">
        <v>782279.06</v>
      </c>
    </row>
    <row r="2277" spans="1:19" x14ac:dyDescent="0.2">
      <c r="A2277" s="163">
        <v>2021</v>
      </c>
      <c r="B2277" s="163">
        <v>2</v>
      </c>
      <c r="C2277" s="163">
        <v>11</v>
      </c>
      <c r="D2277" s="141">
        <f t="shared" si="78"/>
        <v>44238</v>
      </c>
      <c r="E2277" s="275">
        <f t="shared" si="79"/>
        <v>44238</v>
      </c>
      <c r="F2277" s="480"/>
      <c r="G2277" s="221" t="s">
        <v>74</v>
      </c>
      <c r="H2277" s="145" t="str" cm="1">
        <f t="array" ref="H2277">IFERROR(INDEX(INVESTOR_LIST[INVESTOR NAME],MATCH(I2277,INVESTOR_LIST[INVESTOR CODE],0),)," ")</f>
        <v xml:space="preserve"> </v>
      </c>
      <c r="I2277" s="145"/>
      <c r="J2277" s="163" t="s">
        <v>534</v>
      </c>
      <c r="K2277" s="219"/>
      <c r="L2277" s="219">
        <v>7704.0800000000008</v>
      </c>
    </row>
    <row r="2278" spans="1:19" x14ac:dyDescent="0.2">
      <c r="A2278" s="168">
        <v>2021</v>
      </c>
      <c r="B2278" s="168">
        <v>2</v>
      </c>
      <c r="C2278" s="168">
        <v>11</v>
      </c>
      <c r="D2278" s="141">
        <f t="shared" si="78"/>
        <v>44238</v>
      </c>
      <c r="E2278" s="275">
        <f t="shared" si="79"/>
        <v>44238</v>
      </c>
      <c r="F2278" s="479" t="s">
        <v>363</v>
      </c>
      <c r="G2278" s="220" t="s">
        <v>74</v>
      </c>
      <c r="H2278" s="142" t="str" cm="1">
        <f t="array" ref="H2278">IFERROR(INDEX(INVESTOR_LIST[INVESTOR NAME],MATCH(I2278,INVESTOR_LIST[INVESTOR CODE],0),)," ")</f>
        <v xml:space="preserve"> </v>
      </c>
      <c r="I2278" s="142"/>
      <c r="J2278" s="168" t="s">
        <v>52</v>
      </c>
      <c r="K2278" s="226">
        <v>6493.81</v>
      </c>
      <c r="L2278" s="226"/>
    </row>
    <row r="2279" spans="1:19" x14ac:dyDescent="0.2">
      <c r="A2279" s="163">
        <v>2021</v>
      </c>
      <c r="B2279" s="163">
        <v>2</v>
      </c>
      <c r="C2279" s="163">
        <v>11</v>
      </c>
      <c r="D2279" s="141">
        <f t="shared" si="78"/>
        <v>44238</v>
      </c>
      <c r="E2279" s="275">
        <f t="shared" si="79"/>
        <v>44238</v>
      </c>
      <c r="F2279" s="480"/>
      <c r="G2279" s="221" t="s">
        <v>74</v>
      </c>
      <c r="H2279" s="145" t="str" cm="1">
        <f t="array" ref="H2279">IFERROR(INDEX(INVESTOR_LIST[INVESTOR NAME],MATCH(I2279,INVESTOR_LIST[INVESTOR CODE],0),)," ")</f>
        <v xml:space="preserve"> </v>
      </c>
      <c r="I2279" s="145"/>
      <c r="J2279" s="163" t="s">
        <v>190</v>
      </c>
      <c r="K2279" s="219"/>
      <c r="L2279" s="219">
        <v>6493.81</v>
      </c>
    </row>
    <row r="2280" spans="1:19" x14ac:dyDescent="0.2">
      <c r="A2280" s="238">
        <v>2021</v>
      </c>
      <c r="B2280" s="238">
        <v>2</v>
      </c>
      <c r="C2280" s="238">
        <v>11</v>
      </c>
      <c r="D2280" s="141">
        <f t="shared" si="78"/>
        <v>44238</v>
      </c>
      <c r="E2280" s="275">
        <f t="shared" si="79"/>
        <v>44238</v>
      </c>
      <c r="F2280" s="477" t="s">
        <v>347</v>
      </c>
      <c r="G2280" s="239" t="s">
        <v>94</v>
      </c>
      <c r="H2280" s="239" t="str" cm="1">
        <f t="array" ref="H2280">IFERROR(INDEX(INVESTOR_LIST[INVESTOR NAME],MATCH(I2280,INVESTOR_LIST[INVESTOR CODE],0),)," ")</f>
        <v xml:space="preserve"> </v>
      </c>
      <c r="I2280" s="262" t="s">
        <v>348</v>
      </c>
      <c r="J2280" s="240" t="s">
        <v>83</v>
      </c>
      <c r="K2280" s="241">
        <v>1891438.4859909117</v>
      </c>
      <c r="L2280" s="241"/>
    </row>
    <row r="2281" spans="1:19" x14ac:dyDescent="0.2">
      <c r="A2281" s="242">
        <v>2021</v>
      </c>
      <c r="B2281" s="242">
        <v>2</v>
      </c>
      <c r="C2281" s="242">
        <v>11</v>
      </c>
      <c r="D2281" s="141">
        <f t="shared" si="78"/>
        <v>44238</v>
      </c>
      <c r="E2281" s="275">
        <f t="shared" si="79"/>
        <v>44238</v>
      </c>
      <c r="F2281" s="478"/>
      <c r="G2281" s="243" t="s">
        <v>94</v>
      </c>
      <c r="H2281" s="243" t="str" cm="1">
        <f t="array" ref="H2281">IFERROR(INDEX(INVESTOR_LIST[INVESTOR NAME],MATCH(I2281,INVESTOR_LIST[INVESTOR CODE],0),)," ")</f>
        <v xml:space="preserve"> </v>
      </c>
      <c r="I2281" s="263" t="s">
        <v>348</v>
      </c>
      <c r="J2281" s="244" t="s">
        <v>108</v>
      </c>
      <c r="K2281" s="245"/>
      <c r="L2281" s="245">
        <v>1891438.4859909117</v>
      </c>
    </row>
    <row r="2282" spans="1:19" ht="22.5" x14ac:dyDescent="0.2">
      <c r="A2282" s="246">
        <v>2021</v>
      </c>
      <c r="B2282" s="246">
        <v>2</v>
      </c>
      <c r="C2282" s="246">
        <v>11</v>
      </c>
      <c r="D2282" s="141">
        <f t="shared" si="78"/>
        <v>44238</v>
      </c>
      <c r="E2282" s="275">
        <f t="shared" si="79"/>
        <v>44238</v>
      </c>
      <c r="F2282" s="482" t="s">
        <v>148</v>
      </c>
      <c r="G2282" s="247" t="s">
        <v>94</v>
      </c>
      <c r="H2282" s="247" t="str" cm="1">
        <f t="array" ref="H2282">IFERROR(INDEX(INVESTOR_LIST[INVESTOR NAME],MATCH(I2282,INVESTOR_LIST[INVESTOR CODE],0),)," ")</f>
        <v xml:space="preserve"> </v>
      </c>
      <c r="I2282" s="248" t="s">
        <v>348</v>
      </c>
      <c r="J2282" s="249" t="s">
        <v>95</v>
      </c>
      <c r="K2282" s="250">
        <v>2747.2527472527472</v>
      </c>
      <c r="L2282" s="241"/>
      <c r="M2282" s="133">
        <v>2747.2527472527472</v>
      </c>
    </row>
    <row r="2283" spans="1:19" x14ac:dyDescent="0.2">
      <c r="A2283" s="242">
        <v>2021</v>
      </c>
      <c r="B2283" s="242">
        <v>2</v>
      </c>
      <c r="C2283" s="242">
        <v>11</v>
      </c>
      <c r="D2283" s="141">
        <f t="shared" si="78"/>
        <v>44238</v>
      </c>
      <c r="E2283" s="275">
        <f t="shared" si="79"/>
        <v>44238</v>
      </c>
      <c r="F2283" s="478"/>
      <c r="G2283" s="243" t="s">
        <v>94</v>
      </c>
      <c r="H2283" s="243" t="str" cm="1">
        <f t="array" ref="H2283">IFERROR(INDEX(INVESTOR_LIST[INVESTOR NAME],MATCH(I2283,INVESTOR_LIST[INVESTOR CODE],0),)," ")</f>
        <v xml:space="preserve"> </v>
      </c>
      <c r="I2283" s="263" t="s">
        <v>348</v>
      </c>
      <c r="J2283" s="244" t="s">
        <v>63</v>
      </c>
      <c r="K2283" s="245"/>
      <c r="L2283" s="245">
        <v>2747.2527472527472</v>
      </c>
      <c r="M2283" s="133">
        <v>82702.260088993731</v>
      </c>
    </row>
    <row r="2284" spans="1:19" x14ac:dyDescent="0.2">
      <c r="A2284" s="246">
        <v>2021</v>
      </c>
      <c r="B2284" s="246">
        <v>2</v>
      </c>
      <c r="C2284" s="246">
        <v>11</v>
      </c>
      <c r="D2284" s="141">
        <f t="shared" si="78"/>
        <v>44238</v>
      </c>
      <c r="E2284" s="275">
        <f t="shared" si="79"/>
        <v>44238</v>
      </c>
      <c r="F2284" s="482" t="s">
        <v>137</v>
      </c>
      <c r="G2284" s="247" t="s">
        <v>94</v>
      </c>
      <c r="H2284" s="247" t="str" cm="1">
        <f t="array" ref="H2284">IFERROR(INDEX(INVESTOR_LIST[INVESTOR NAME],MATCH(I2284,INVESTOR_LIST[INVESTOR CODE],0),)," ")</f>
        <v xml:space="preserve"> </v>
      </c>
      <c r="I2284" s="248" t="s">
        <v>348</v>
      </c>
      <c r="J2284" s="249" t="s">
        <v>97</v>
      </c>
      <c r="K2284" s="250">
        <v>82702.260088993731</v>
      </c>
      <c r="L2284" s="252"/>
      <c r="M2284" s="133">
        <v>3894.728389065072</v>
      </c>
    </row>
    <row r="2285" spans="1:19" x14ac:dyDescent="0.2">
      <c r="A2285" s="242">
        <v>2021</v>
      </c>
      <c r="B2285" s="242">
        <v>2</v>
      </c>
      <c r="C2285" s="242">
        <v>11</v>
      </c>
      <c r="D2285" s="141">
        <f t="shared" si="78"/>
        <v>44238</v>
      </c>
      <c r="E2285" s="275">
        <f t="shared" si="79"/>
        <v>44238</v>
      </c>
      <c r="F2285" s="478"/>
      <c r="G2285" s="243" t="s">
        <v>94</v>
      </c>
      <c r="H2285" s="243" t="str" cm="1">
        <f t="array" ref="H2285">IFERROR(INDEX(INVESTOR_LIST[INVESTOR NAME],MATCH(I2285,INVESTOR_LIST[INVESTOR CODE],0),)," ")</f>
        <v xml:space="preserve"> </v>
      </c>
      <c r="I2285" s="263" t="s">
        <v>348</v>
      </c>
      <c r="J2285" s="244" t="s">
        <v>47</v>
      </c>
      <c r="K2285" s="245"/>
      <c r="L2285" s="245">
        <v>82702.260088993731</v>
      </c>
    </row>
    <row r="2286" spans="1:19" x14ac:dyDescent="0.2">
      <c r="A2286" s="246">
        <v>2021</v>
      </c>
      <c r="B2286" s="246">
        <v>2</v>
      </c>
      <c r="C2286" s="246">
        <v>11</v>
      </c>
      <c r="D2286" s="141">
        <f t="shared" si="78"/>
        <v>44238</v>
      </c>
      <c r="E2286" s="275">
        <f t="shared" si="79"/>
        <v>44238</v>
      </c>
      <c r="F2286" s="482" t="s">
        <v>138</v>
      </c>
      <c r="G2286" s="247" t="s">
        <v>94</v>
      </c>
      <c r="H2286" s="247" t="str" cm="1">
        <f t="array" ref="H2286">IFERROR(INDEX(INVESTOR_LIST[INVESTOR NAME],MATCH(I2286,INVESTOR_LIST[INVESTOR CODE],0),)," ")</f>
        <v xml:space="preserve"> </v>
      </c>
      <c r="I2286" s="248" t="s">
        <v>348</v>
      </c>
      <c r="J2286" s="249" t="s">
        <v>100</v>
      </c>
      <c r="K2286" s="250">
        <v>3894.728389065072</v>
      </c>
      <c r="L2286" s="252"/>
    </row>
    <row r="2287" spans="1:19" x14ac:dyDescent="0.2">
      <c r="A2287" s="242">
        <v>2021</v>
      </c>
      <c r="B2287" s="242">
        <v>2</v>
      </c>
      <c r="C2287" s="242">
        <v>11</v>
      </c>
      <c r="D2287" s="141">
        <f t="shared" si="78"/>
        <v>44238</v>
      </c>
      <c r="E2287" s="275">
        <f t="shared" si="79"/>
        <v>44238</v>
      </c>
      <c r="F2287" s="478"/>
      <c r="G2287" s="243" t="s">
        <v>94</v>
      </c>
      <c r="H2287" s="243" t="str" cm="1">
        <f t="array" ref="H2287">IFERROR(INDEX(INVESTOR_LIST[INVESTOR NAME],MATCH(I2287,INVESTOR_LIST[INVESTOR CODE],0),)," ")</f>
        <v xml:space="preserve"> </v>
      </c>
      <c r="I2287" s="263" t="s">
        <v>348</v>
      </c>
      <c r="J2287" s="244" t="s">
        <v>48</v>
      </c>
      <c r="K2287" s="245"/>
      <c r="L2287" s="245">
        <v>3894.728389065072</v>
      </c>
    </row>
    <row r="2288" spans="1:19" x14ac:dyDescent="0.2">
      <c r="A2288" s="168">
        <v>2021</v>
      </c>
      <c r="B2288" s="168">
        <v>2</v>
      </c>
      <c r="C2288" s="168">
        <v>14</v>
      </c>
      <c r="D2288" s="141">
        <f t="shared" si="78"/>
        <v>44241</v>
      </c>
      <c r="E2288" s="275">
        <f t="shared" si="79"/>
        <v>44241</v>
      </c>
      <c r="F2288" s="479" t="s">
        <v>535</v>
      </c>
      <c r="G2288" s="220" t="s">
        <v>74</v>
      </c>
      <c r="H2288" s="142" t="str" cm="1">
        <f t="array" ref="H2288">IFERROR(INDEX(INVESTOR_LIST[INVESTOR NAME],MATCH(I2288,INVESTOR_LIST[INVESTOR CODE],0),)," ")</f>
        <v xml:space="preserve"> </v>
      </c>
      <c r="I2288" s="142"/>
      <c r="J2288" s="168" t="s">
        <v>358</v>
      </c>
      <c r="K2288" s="226">
        <v>124418.64</v>
      </c>
      <c r="L2288" s="226"/>
    </row>
    <row r="2289" spans="1:15" x14ac:dyDescent="0.2">
      <c r="A2289" s="133">
        <v>2021</v>
      </c>
      <c r="B2289" s="133">
        <v>2</v>
      </c>
      <c r="C2289" s="133">
        <v>14</v>
      </c>
      <c r="D2289" s="141">
        <f t="shared" si="78"/>
        <v>44241</v>
      </c>
      <c r="E2289" s="275">
        <f t="shared" si="79"/>
        <v>44241</v>
      </c>
      <c r="F2289" s="481"/>
      <c r="G2289" s="174" t="s">
        <v>74</v>
      </c>
      <c r="H2289" s="148" t="str" cm="1">
        <f t="array" ref="H2289">IFERROR(INDEX(INVESTOR_LIST[INVESTOR NAME],MATCH(I2289,INVESTOR_LIST[INVESTOR CODE],0),)," ")</f>
        <v xml:space="preserve"> </v>
      </c>
      <c r="J2289" s="133" t="s">
        <v>52</v>
      </c>
      <c r="K2289" s="218"/>
      <c r="L2289" s="218">
        <f>31468.32+46832.28+32587.92+6400</f>
        <v>117288.52</v>
      </c>
    </row>
    <row r="2290" spans="1:15" x14ac:dyDescent="0.2">
      <c r="A2290" s="163">
        <v>2021</v>
      </c>
      <c r="B2290" s="163">
        <v>2</v>
      </c>
      <c r="C2290" s="163">
        <v>14</v>
      </c>
      <c r="D2290" s="141">
        <f t="shared" si="78"/>
        <v>44241</v>
      </c>
      <c r="E2290" s="275">
        <f t="shared" si="79"/>
        <v>44241</v>
      </c>
      <c r="F2290" s="480"/>
      <c r="G2290" s="221" t="s">
        <v>74</v>
      </c>
      <c r="H2290" s="145" t="str" cm="1">
        <f t="array" ref="H2290">IFERROR(INDEX(INVESTOR_LIST[INVESTOR NAME],MATCH(I2290,INVESTOR_LIST[INVESTOR CODE],0),)," ")</f>
        <v xml:space="preserve"> </v>
      </c>
      <c r="I2290" s="145"/>
      <c r="J2290" s="163" t="s">
        <v>534</v>
      </c>
      <c r="K2290" s="219"/>
      <c r="L2290" s="219">
        <v>7130.1200000000008</v>
      </c>
      <c r="O2290" s="160"/>
    </row>
    <row r="2291" spans="1:15" ht="33.75" x14ac:dyDescent="0.2">
      <c r="A2291" s="168">
        <v>2021</v>
      </c>
      <c r="B2291" s="168">
        <v>2</v>
      </c>
      <c r="C2291" s="168">
        <v>14</v>
      </c>
      <c r="D2291" s="141">
        <f t="shared" si="78"/>
        <v>44241</v>
      </c>
      <c r="E2291" s="275">
        <f t="shared" si="79"/>
        <v>44241</v>
      </c>
      <c r="F2291" s="479" t="s">
        <v>965</v>
      </c>
      <c r="G2291" s="220" t="s">
        <v>74</v>
      </c>
      <c r="H2291" s="142" t="str" cm="1">
        <f t="array" ref="H2291">IFERROR(INDEX(INVESTOR_LIST[INVESTOR NAME],MATCH(I2291,INVESTOR_LIST[INVESTOR CODE],0),)," ")</f>
        <v>SAJJAD CHOWDHURY</v>
      </c>
      <c r="I2291" s="142" t="s">
        <v>533</v>
      </c>
      <c r="J2291" s="143" t="s">
        <v>13</v>
      </c>
      <c r="K2291" s="226">
        <v>49600</v>
      </c>
      <c r="L2291" s="226"/>
    </row>
    <row r="2292" spans="1:15" ht="33.75" x14ac:dyDescent="0.2">
      <c r="A2292" s="133">
        <v>2021</v>
      </c>
      <c r="B2292" s="133">
        <v>2</v>
      </c>
      <c r="C2292" s="133">
        <v>14</v>
      </c>
      <c r="D2292" s="141">
        <f t="shared" si="78"/>
        <v>44241</v>
      </c>
      <c r="E2292" s="275">
        <f t="shared" si="79"/>
        <v>44241</v>
      </c>
      <c r="F2292" s="481"/>
      <c r="G2292" s="174" t="s">
        <v>74</v>
      </c>
      <c r="H2292" s="148" t="str" cm="1">
        <f t="array" ref="H2292">IFERROR(INDEX(INVESTOR_LIST[INVESTOR NAME],MATCH(I2292,INVESTOR_LIST[INVESTOR CODE],0),)," ")</f>
        <v>SAJJAD CHOWDHURY</v>
      </c>
      <c r="I2292" s="148" t="s">
        <v>533</v>
      </c>
      <c r="J2292" s="149" t="s">
        <v>53</v>
      </c>
      <c r="K2292" s="218">
        <v>15105.68</v>
      </c>
      <c r="L2292" s="218"/>
    </row>
    <row r="2293" spans="1:15" ht="33.75" x14ac:dyDescent="0.2">
      <c r="A2293" s="163">
        <v>2021</v>
      </c>
      <c r="B2293" s="163">
        <v>2</v>
      </c>
      <c r="C2293" s="163">
        <v>14</v>
      </c>
      <c r="D2293" s="141">
        <f t="shared" si="78"/>
        <v>44241</v>
      </c>
      <c r="E2293" s="275">
        <f t="shared" si="79"/>
        <v>44241</v>
      </c>
      <c r="F2293" s="480"/>
      <c r="G2293" s="221" t="s">
        <v>74</v>
      </c>
      <c r="H2293" s="145" t="str" cm="1">
        <f t="array" ref="H2293">IFERROR(INDEX(INVESTOR_LIST[INVESTOR NAME],MATCH(I2293,INVESTOR_LIST[INVESTOR CODE],0),)," ")</f>
        <v>SAJJAD CHOWDHURY</v>
      </c>
      <c r="I2293" s="145" t="s">
        <v>533</v>
      </c>
      <c r="J2293" s="146" t="s">
        <v>52</v>
      </c>
      <c r="K2293" s="219"/>
      <c r="L2293" s="219">
        <v>64705.68</v>
      </c>
    </row>
    <row r="2294" spans="1:15" ht="56.25" x14ac:dyDescent="0.2">
      <c r="A2294" s="168">
        <v>2021</v>
      </c>
      <c r="B2294" s="168">
        <v>2</v>
      </c>
      <c r="C2294" s="168">
        <v>14</v>
      </c>
      <c r="D2294" s="141">
        <f t="shared" si="78"/>
        <v>44241</v>
      </c>
      <c r="E2294" s="275">
        <f t="shared" si="79"/>
        <v>44241</v>
      </c>
      <c r="F2294" s="479" t="s">
        <v>965</v>
      </c>
      <c r="G2294" s="220" t="s">
        <v>74</v>
      </c>
      <c r="H2294" s="142" t="str" cm="1">
        <f t="array" ref="H2294">IFERROR(INDEX(INVESTOR_LIST[INVESTOR NAME],MATCH(I2294,INVESTOR_LIST[INVESTOR CODE],0),)," ")</f>
        <v>ABU NAYEEM MOHAMMAD MAHFUZ</v>
      </c>
      <c r="I2294" s="142" t="s">
        <v>495</v>
      </c>
      <c r="J2294" s="143" t="s">
        <v>13</v>
      </c>
      <c r="K2294" s="226">
        <v>1275510</v>
      </c>
      <c r="L2294" s="226"/>
    </row>
    <row r="2295" spans="1:15" ht="56.25" x14ac:dyDescent="0.2">
      <c r="A2295" s="133">
        <v>2021</v>
      </c>
      <c r="B2295" s="133">
        <v>2</v>
      </c>
      <c r="C2295" s="133">
        <v>14</v>
      </c>
      <c r="D2295" s="141">
        <f t="shared" si="78"/>
        <v>44241</v>
      </c>
      <c r="E2295" s="275">
        <f t="shared" si="79"/>
        <v>44241</v>
      </c>
      <c r="F2295" s="481"/>
      <c r="G2295" s="174" t="s">
        <v>74</v>
      </c>
      <c r="H2295" s="148" t="str" cm="1">
        <f t="array" ref="H2295">IFERROR(INDEX(INVESTOR_LIST[INVESTOR NAME],MATCH(I2295,INVESTOR_LIST[INVESTOR CODE],0),)," ")</f>
        <v>ABU NAYEEM MOHAMMAD MAHFUZ</v>
      </c>
      <c r="I2295" s="148" t="s">
        <v>495</v>
      </c>
      <c r="J2295" s="149" t="s">
        <v>53</v>
      </c>
      <c r="K2295" s="218">
        <v>388456.61</v>
      </c>
      <c r="L2295" s="218"/>
    </row>
    <row r="2296" spans="1:15" ht="56.25" x14ac:dyDescent="0.2">
      <c r="A2296" s="163">
        <v>2021</v>
      </c>
      <c r="B2296" s="163">
        <v>2</v>
      </c>
      <c r="C2296" s="163">
        <v>14</v>
      </c>
      <c r="D2296" s="141">
        <f t="shared" si="78"/>
        <v>44241</v>
      </c>
      <c r="E2296" s="275">
        <f t="shared" si="79"/>
        <v>44241</v>
      </c>
      <c r="F2296" s="480"/>
      <c r="G2296" s="221" t="s">
        <v>74</v>
      </c>
      <c r="H2296" s="145" t="str" cm="1">
        <f t="array" ref="H2296">IFERROR(INDEX(INVESTOR_LIST[INVESTOR NAME],MATCH(I2296,INVESTOR_LIST[INVESTOR CODE],0),)," ")</f>
        <v>ABU NAYEEM MOHAMMAD MAHFUZ</v>
      </c>
      <c r="I2296" s="145" t="s">
        <v>495</v>
      </c>
      <c r="J2296" s="146" t="s">
        <v>52</v>
      </c>
      <c r="K2296" s="219"/>
      <c r="L2296" s="219">
        <v>1663966.61</v>
      </c>
    </row>
    <row r="2297" spans="1:15" x14ac:dyDescent="0.2">
      <c r="A2297" s="168">
        <v>2021</v>
      </c>
      <c r="B2297" s="168">
        <v>2</v>
      </c>
      <c r="C2297" s="168">
        <v>14</v>
      </c>
      <c r="D2297" s="141">
        <f t="shared" si="78"/>
        <v>44241</v>
      </c>
      <c r="E2297" s="275">
        <f t="shared" si="79"/>
        <v>44241</v>
      </c>
      <c r="F2297" s="479" t="s">
        <v>77</v>
      </c>
      <c r="G2297" s="220" t="s">
        <v>74</v>
      </c>
      <c r="H2297" s="220" t="str" cm="1">
        <f t="array" ref="H2297">IFERROR(INDEX(INVESTOR_LIST[INVESTOR NAME],MATCH(I2297,INVESTOR_LIST[INVESTOR CODE],0),)," ")</f>
        <v xml:space="preserve"> </v>
      </c>
      <c r="I2297" s="142" t="s">
        <v>348</v>
      </c>
      <c r="J2297" s="143" t="s">
        <v>61</v>
      </c>
      <c r="K2297" s="226">
        <v>60</v>
      </c>
      <c r="L2297" s="226"/>
    </row>
    <row r="2298" spans="1:15" x14ac:dyDescent="0.2">
      <c r="A2298" s="163">
        <v>2021</v>
      </c>
      <c r="B2298" s="163">
        <v>2</v>
      </c>
      <c r="C2298" s="163">
        <v>14</v>
      </c>
      <c r="D2298" s="141">
        <f t="shared" si="78"/>
        <v>44241</v>
      </c>
      <c r="E2298" s="275">
        <f t="shared" si="79"/>
        <v>44241</v>
      </c>
      <c r="F2298" s="480"/>
      <c r="G2298" s="221" t="s">
        <v>74</v>
      </c>
      <c r="H2298" s="221" t="str" cm="1">
        <f t="array" ref="H2298">IFERROR(INDEX(INVESTOR_LIST[INVESTOR NAME],MATCH(I2298,INVESTOR_LIST[INVESTOR CODE],0),)," ")</f>
        <v xml:space="preserve"> </v>
      </c>
      <c r="I2298" s="145" t="s">
        <v>348</v>
      </c>
      <c r="J2298" s="146" t="s">
        <v>52</v>
      </c>
      <c r="K2298" s="219"/>
      <c r="L2298" s="219">
        <v>60</v>
      </c>
    </row>
    <row r="2299" spans="1:15" x14ac:dyDescent="0.2">
      <c r="A2299" s="133">
        <v>2021</v>
      </c>
      <c r="B2299" s="133">
        <v>2</v>
      </c>
      <c r="C2299" s="133">
        <v>14</v>
      </c>
      <c r="D2299" s="141">
        <f t="shared" si="78"/>
        <v>44241</v>
      </c>
      <c r="E2299" s="275">
        <f t="shared" si="79"/>
        <v>44241</v>
      </c>
      <c r="F2299" s="481" t="s">
        <v>275</v>
      </c>
      <c r="G2299" s="174" t="s">
        <v>74</v>
      </c>
      <c r="H2299" s="174" t="str" cm="1">
        <f t="array" ref="H2299">IFERROR(INDEX(INVESTOR_LIST[INVESTOR NAME],MATCH(I2299,INVESTOR_LIST[INVESTOR CODE],0),)," ")</f>
        <v xml:space="preserve"> </v>
      </c>
      <c r="I2299" s="148" t="s">
        <v>348</v>
      </c>
      <c r="J2299" s="149" t="s">
        <v>163</v>
      </c>
      <c r="K2299" s="218">
        <v>3150</v>
      </c>
      <c r="L2299" s="218"/>
    </row>
    <row r="2300" spans="1:15" x14ac:dyDescent="0.2">
      <c r="A2300" s="163">
        <v>2021</v>
      </c>
      <c r="B2300" s="163">
        <v>2</v>
      </c>
      <c r="C2300" s="163">
        <v>14</v>
      </c>
      <c r="D2300" s="141">
        <f t="shared" si="78"/>
        <v>44241</v>
      </c>
      <c r="E2300" s="275">
        <f t="shared" si="79"/>
        <v>44241</v>
      </c>
      <c r="F2300" s="480"/>
      <c r="G2300" s="221" t="s">
        <v>74</v>
      </c>
      <c r="H2300" s="221" t="str" cm="1">
        <f t="array" ref="H2300">IFERROR(INDEX(INVESTOR_LIST[INVESTOR NAME],MATCH(I2300,INVESTOR_LIST[INVESTOR CODE],0),)," ")</f>
        <v xml:space="preserve"> </v>
      </c>
      <c r="I2300" s="145" t="s">
        <v>348</v>
      </c>
      <c r="J2300" s="146" t="s">
        <v>52</v>
      </c>
      <c r="K2300" s="219"/>
      <c r="L2300" s="219">
        <v>3150</v>
      </c>
    </row>
    <row r="2301" spans="1:15" x14ac:dyDescent="0.2">
      <c r="A2301" s="168">
        <v>2021</v>
      </c>
      <c r="B2301" s="168">
        <v>2</v>
      </c>
      <c r="C2301" s="168">
        <v>14</v>
      </c>
      <c r="D2301" s="141">
        <f t="shared" si="78"/>
        <v>44241</v>
      </c>
      <c r="E2301" s="275">
        <f t="shared" si="79"/>
        <v>44241</v>
      </c>
      <c r="F2301" s="479" t="s">
        <v>363</v>
      </c>
      <c r="G2301" s="220" t="s">
        <v>74</v>
      </c>
      <c r="H2301" s="142" t="str" cm="1">
        <f t="array" ref="H2301">IFERROR(INDEX(INVESTOR_LIST[INVESTOR NAME],MATCH(I2301,INVESTOR_LIST[INVESTOR CODE],0),)," ")</f>
        <v xml:space="preserve"> </v>
      </c>
      <c r="I2301" s="142"/>
      <c r="J2301" s="168" t="s">
        <v>52</v>
      </c>
      <c r="K2301" s="226">
        <v>55568.62</v>
      </c>
      <c r="L2301" s="226"/>
    </row>
    <row r="2302" spans="1:15" x14ac:dyDescent="0.2">
      <c r="A2302" s="163">
        <v>2021</v>
      </c>
      <c r="B2302" s="163">
        <v>2</v>
      </c>
      <c r="C2302" s="163">
        <v>14</v>
      </c>
      <c r="D2302" s="141">
        <f t="shared" si="78"/>
        <v>44241</v>
      </c>
      <c r="E2302" s="275">
        <f t="shared" si="79"/>
        <v>44241</v>
      </c>
      <c r="F2302" s="480"/>
      <c r="G2302" s="221" t="s">
        <v>74</v>
      </c>
      <c r="H2302" s="145" t="str" cm="1">
        <f t="array" ref="H2302">IFERROR(INDEX(INVESTOR_LIST[INVESTOR NAME],MATCH(I2302,INVESTOR_LIST[INVESTOR CODE],0),)," ")</f>
        <v xml:space="preserve"> </v>
      </c>
      <c r="I2302" s="145"/>
      <c r="J2302" s="163" t="s">
        <v>190</v>
      </c>
      <c r="K2302" s="219"/>
      <c r="L2302" s="219">
        <v>55568.62</v>
      </c>
    </row>
    <row r="2303" spans="1:15" ht="45" x14ac:dyDescent="0.2">
      <c r="A2303" s="133">
        <v>2021</v>
      </c>
      <c r="B2303" s="133">
        <v>2</v>
      </c>
      <c r="C2303" s="133">
        <v>14</v>
      </c>
      <c r="D2303" s="141">
        <f t="shared" si="78"/>
        <v>44241</v>
      </c>
      <c r="E2303" s="275">
        <f t="shared" si="79"/>
        <v>44241</v>
      </c>
      <c r="F2303" s="479" t="s">
        <v>964</v>
      </c>
      <c r="G2303" s="174" t="s">
        <v>74</v>
      </c>
      <c r="H2303" s="148" t="str" cm="1">
        <f t="array" ref="H2303">IFERROR(INDEX(INVESTOR_LIST[INVESTOR NAME],MATCH(I2303,INVESTOR_LIST[INVESTOR CODE],0),)," ")</f>
        <v>MOHAMMAD HABIB RASHID</v>
      </c>
      <c r="I2303" s="148" t="s">
        <v>550</v>
      </c>
      <c r="J2303" s="133" t="s">
        <v>52</v>
      </c>
      <c r="K2303" s="218">
        <v>1000000</v>
      </c>
      <c r="L2303" s="218"/>
    </row>
    <row r="2304" spans="1:15" ht="45" x14ac:dyDescent="0.2">
      <c r="A2304" s="133">
        <v>2021</v>
      </c>
      <c r="B2304" s="133">
        <v>2</v>
      </c>
      <c r="C2304" s="133">
        <v>14</v>
      </c>
      <c r="D2304" s="141">
        <f t="shared" si="78"/>
        <v>44241</v>
      </c>
      <c r="E2304" s="275">
        <f t="shared" si="79"/>
        <v>44241</v>
      </c>
      <c r="F2304" s="481"/>
      <c r="G2304" s="174" t="s">
        <v>74</v>
      </c>
      <c r="H2304" s="148" t="str" cm="1">
        <f t="array" ref="H2304">IFERROR(INDEX(INVESTOR_LIST[INVESTOR NAME],MATCH(I2304,INVESTOR_LIST[INVESTOR CODE],0),)," ")</f>
        <v>MOHAMMAD HABIB RASHID</v>
      </c>
      <c r="I2304" s="148" t="s">
        <v>550</v>
      </c>
      <c r="J2304" s="133" t="s">
        <v>13</v>
      </c>
      <c r="K2304" s="218"/>
      <c r="L2304" s="218">
        <v>795540</v>
      </c>
      <c r="N2304" s="156"/>
    </row>
    <row r="2305" spans="1:15" ht="45" x14ac:dyDescent="0.2">
      <c r="A2305" s="133">
        <v>2021</v>
      </c>
      <c r="B2305" s="133">
        <v>2</v>
      </c>
      <c r="C2305" s="133">
        <v>14</v>
      </c>
      <c r="D2305" s="141">
        <f t="shared" si="78"/>
        <v>44241</v>
      </c>
      <c r="E2305" s="275">
        <f t="shared" si="79"/>
        <v>44241</v>
      </c>
      <c r="F2305" s="480"/>
      <c r="G2305" s="174" t="s">
        <v>74</v>
      </c>
      <c r="H2305" s="148" t="str" cm="1">
        <f t="array" ref="H2305">IFERROR(INDEX(INVESTOR_LIST[INVESTOR NAME],MATCH(I2305,INVESTOR_LIST[INVESTOR CODE],0),)," ")</f>
        <v>MOHAMMAD HABIB RASHID</v>
      </c>
      <c r="I2305" s="148" t="s">
        <v>550</v>
      </c>
      <c r="J2305" s="133" t="s">
        <v>53</v>
      </c>
      <c r="K2305" s="218"/>
      <c r="L2305" s="218">
        <v>204460</v>
      </c>
    </row>
    <row r="2306" spans="1:15" x14ac:dyDescent="0.2">
      <c r="A2306" s="168">
        <v>2021</v>
      </c>
      <c r="B2306" s="168">
        <v>2</v>
      </c>
      <c r="C2306" s="168">
        <v>15</v>
      </c>
      <c r="D2306" s="141">
        <f t="shared" si="78"/>
        <v>44242</v>
      </c>
      <c r="E2306" s="275">
        <f t="shared" si="79"/>
        <v>44242</v>
      </c>
      <c r="F2306" s="479" t="s">
        <v>535</v>
      </c>
      <c r="G2306" s="220" t="s">
        <v>74</v>
      </c>
      <c r="H2306" s="142" t="str" cm="1">
        <f t="array" ref="H2306">IFERROR(INDEX(INVESTOR_LIST[INVESTOR NAME],MATCH(I2306,INVESTOR_LIST[INVESTOR CODE],0),)," ")</f>
        <v xml:space="preserve"> </v>
      </c>
      <c r="I2306" s="142"/>
      <c r="J2306" s="168" t="s">
        <v>358</v>
      </c>
      <c r="K2306" s="226">
        <v>7766946.9600000037</v>
      </c>
      <c r="L2306" s="226"/>
      <c r="N2306" s="160"/>
      <c r="O2306" s="160"/>
    </row>
    <row r="2307" spans="1:15" x14ac:dyDescent="0.2">
      <c r="A2307" s="133">
        <v>2021</v>
      </c>
      <c r="B2307" s="133">
        <v>2</v>
      </c>
      <c r="C2307" s="133">
        <v>15</v>
      </c>
      <c r="D2307" s="141">
        <f t="shared" si="78"/>
        <v>44242</v>
      </c>
      <c r="E2307" s="275">
        <f t="shared" si="79"/>
        <v>44242</v>
      </c>
      <c r="F2307" s="481"/>
      <c r="G2307" s="174" t="s">
        <v>74</v>
      </c>
      <c r="H2307" s="148" t="str" cm="1">
        <f t="array" ref="H2307">IFERROR(INDEX(INVESTOR_LIST[INVESTOR NAME],MATCH(I2307,INVESTOR_LIST[INVESTOR CODE],0),)," ")</f>
        <v xml:space="preserve"> </v>
      </c>
      <c r="J2307" s="133" t="s">
        <v>52</v>
      </c>
      <c r="K2307" s="218"/>
      <c r="L2307" s="172">
        <v>7150555.5600000015</v>
      </c>
      <c r="O2307" s="160"/>
    </row>
    <row r="2308" spans="1:15" x14ac:dyDescent="0.2">
      <c r="A2308" s="163">
        <v>2021</v>
      </c>
      <c r="B2308" s="163">
        <v>2</v>
      </c>
      <c r="C2308" s="163">
        <v>15</v>
      </c>
      <c r="D2308" s="141">
        <f t="shared" si="78"/>
        <v>44242</v>
      </c>
      <c r="E2308" s="275">
        <f t="shared" si="79"/>
        <v>44242</v>
      </c>
      <c r="F2308" s="480"/>
      <c r="G2308" s="221" t="s">
        <v>74</v>
      </c>
      <c r="H2308" s="145" t="str" cm="1">
        <f t="array" ref="H2308">IFERROR(INDEX(INVESTOR_LIST[INVESTOR NAME],MATCH(I2308,INVESTOR_LIST[INVESTOR CODE],0),)," ")</f>
        <v xml:space="preserve"> </v>
      </c>
      <c r="I2308" s="145"/>
      <c r="J2308" s="163" t="s">
        <v>534</v>
      </c>
      <c r="K2308" s="219"/>
      <c r="L2308" s="219">
        <v>616391.40000000026</v>
      </c>
      <c r="N2308" s="160"/>
    </row>
    <row r="2309" spans="1:15" ht="45" x14ac:dyDescent="0.2">
      <c r="A2309" s="168">
        <v>2021</v>
      </c>
      <c r="B2309" s="168">
        <v>2</v>
      </c>
      <c r="C2309" s="168">
        <v>15</v>
      </c>
      <c r="D2309" s="141">
        <f t="shared" si="78"/>
        <v>44242</v>
      </c>
      <c r="E2309" s="275">
        <f t="shared" si="79"/>
        <v>44242</v>
      </c>
      <c r="F2309" s="479" t="s">
        <v>965</v>
      </c>
      <c r="G2309" s="220" t="s">
        <v>74</v>
      </c>
      <c r="H2309" s="142" t="str" cm="1">
        <f t="array" ref="H2309">IFERROR(INDEX(INVESTOR_LIST[INVESTOR NAME],MATCH(I2309,INVESTOR_LIST[INVESTOR CODE],0),)," ")</f>
        <v>SANJEEDA SARMIN BADHAN</v>
      </c>
      <c r="I2309" s="142" t="s">
        <v>435</v>
      </c>
      <c r="J2309" s="168" t="s">
        <v>13</v>
      </c>
      <c r="K2309" s="226">
        <v>2660</v>
      </c>
      <c r="L2309" s="226"/>
      <c r="N2309" s="156">
        <f>L2311/13.05</f>
        <v>265.83908045977006</v>
      </c>
    </row>
    <row r="2310" spans="1:15" ht="45" x14ac:dyDescent="0.2">
      <c r="A2310" s="133">
        <v>2021</v>
      </c>
      <c r="B2310" s="133">
        <v>2</v>
      </c>
      <c r="C2310" s="133">
        <v>15</v>
      </c>
      <c r="D2310" s="141">
        <f t="shared" si="78"/>
        <v>44242</v>
      </c>
      <c r="E2310" s="275">
        <f t="shared" si="79"/>
        <v>44242</v>
      </c>
      <c r="F2310" s="481"/>
      <c r="G2310" s="174" t="s">
        <v>74</v>
      </c>
      <c r="H2310" s="148" t="str" cm="1">
        <f t="array" ref="H2310">IFERROR(INDEX(INVESTOR_LIST[INVESTOR NAME],MATCH(I2310,INVESTOR_LIST[INVESTOR CODE],0),)," ")</f>
        <v>SANJEEDA SARMIN BADHAN</v>
      </c>
      <c r="I2310" s="148" t="s">
        <v>435</v>
      </c>
      <c r="J2310" s="133" t="s">
        <v>53</v>
      </c>
      <c r="K2310" s="218">
        <v>809.2</v>
      </c>
      <c r="L2310" s="218"/>
    </row>
    <row r="2311" spans="1:15" ht="45" x14ac:dyDescent="0.2">
      <c r="A2311" s="163">
        <v>2021</v>
      </c>
      <c r="B2311" s="163">
        <v>2</v>
      </c>
      <c r="C2311" s="163">
        <v>15</v>
      </c>
      <c r="D2311" s="141">
        <f t="shared" si="78"/>
        <v>44242</v>
      </c>
      <c r="E2311" s="275">
        <f t="shared" si="79"/>
        <v>44242</v>
      </c>
      <c r="F2311" s="480"/>
      <c r="G2311" s="221" t="s">
        <v>74</v>
      </c>
      <c r="H2311" s="145" t="str" cm="1">
        <f t="array" ref="H2311">IFERROR(INDEX(INVESTOR_LIST[INVESTOR NAME],MATCH(I2311,INVESTOR_LIST[INVESTOR CODE],0),)," ")</f>
        <v>SANJEEDA SARMIN BADHAN</v>
      </c>
      <c r="I2311" s="145" t="s">
        <v>435</v>
      </c>
      <c r="J2311" s="163" t="s">
        <v>52</v>
      </c>
      <c r="K2311" s="219"/>
      <c r="L2311" s="219">
        <v>3469.2</v>
      </c>
      <c r="O2311" s="147"/>
    </row>
    <row r="2312" spans="1:15" ht="33.75" x14ac:dyDescent="0.2">
      <c r="A2312" s="168">
        <v>2021</v>
      </c>
      <c r="B2312" s="168">
        <v>2</v>
      </c>
      <c r="C2312" s="168">
        <v>15</v>
      </c>
      <c r="D2312" s="141">
        <f t="shared" si="78"/>
        <v>44242</v>
      </c>
      <c r="E2312" s="275">
        <f t="shared" si="79"/>
        <v>44242</v>
      </c>
      <c r="F2312" s="479" t="s">
        <v>965</v>
      </c>
      <c r="G2312" s="220" t="s">
        <v>74</v>
      </c>
      <c r="H2312" s="142" t="str" cm="1">
        <f t="array" ref="H2312">IFERROR(INDEX(INVESTOR_LIST[INVESTOR NAME],MATCH(I2312,INVESTOR_LIST[INVESTOR CODE],0),)," ")</f>
        <v>LILY RANI PAUL</v>
      </c>
      <c r="I2312" s="142" t="s">
        <v>451</v>
      </c>
      <c r="J2312" s="168" t="s">
        <v>13</v>
      </c>
      <c r="K2312" s="226">
        <v>30130</v>
      </c>
      <c r="L2312" s="226"/>
      <c r="N2312" s="156">
        <f>L2314/11.44</f>
        <v>3012.8111888111889</v>
      </c>
    </row>
    <row r="2313" spans="1:15" ht="33.75" x14ac:dyDescent="0.2">
      <c r="A2313" s="133">
        <v>2021</v>
      </c>
      <c r="B2313" s="133">
        <v>2</v>
      </c>
      <c r="C2313" s="133">
        <v>15</v>
      </c>
      <c r="D2313" s="141">
        <f t="shared" si="78"/>
        <v>44242</v>
      </c>
      <c r="E2313" s="275">
        <f t="shared" si="79"/>
        <v>44242</v>
      </c>
      <c r="F2313" s="481"/>
      <c r="G2313" s="174" t="s">
        <v>74</v>
      </c>
      <c r="H2313" s="148" t="str" cm="1">
        <f t="array" ref="H2313">IFERROR(INDEX(INVESTOR_LIST[INVESTOR NAME],MATCH(I2313,INVESTOR_LIST[INVESTOR CODE],0),)," ")</f>
        <v>LILY RANI PAUL</v>
      </c>
      <c r="I2313" s="148" t="s">
        <v>451</v>
      </c>
      <c r="J2313" s="133" t="s">
        <v>53</v>
      </c>
      <c r="K2313" s="218">
        <v>4336.5600000000004</v>
      </c>
      <c r="L2313" s="218"/>
    </row>
    <row r="2314" spans="1:15" ht="33.75" x14ac:dyDescent="0.2">
      <c r="A2314" s="163">
        <v>2021</v>
      </c>
      <c r="B2314" s="163">
        <v>2</v>
      </c>
      <c r="C2314" s="163">
        <v>15</v>
      </c>
      <c r="D2314" s="141">
        <f t="shared" si="78"/>
        <v>44242</v>
      </c>
      <c r="E2314" s="275">
        <f t="shared" si="79"/>
        <v>44242</v>
      </c>
      <c r="F2314" s="480"/>
      <c r="G2314" s="221" t="s">
        <v>74</v>
      </c>
      <c r="H2314" s="145" t="str" cm="1">
        <f t="array" ref="H2314">IFERROR(INDEX(INVESTOR_LIST[INVESTOR NAME],MATCH(I2314,INVESTOR_LIST[INVESTOR CODE],0),)," ")</f>
        <v>LILY RANI PAUL</v>
      </c>
      <c r="I2314" s="145" t="s">
        <v>451</v>
      </c>
      <c r="J2314" s="163" t="s">
        <v>52</v>
      </c>
      <c r="K2314" s="219"/>
      <c r="L2314" s="219">
        <v>34466.559999999998</v>
      </c>
      <c r="O2314" s="160"/>
    </row>
    <row r="2315" spans="1:15" ht="22.5" x14ac:dyDescent="0.2">
      <c r="A2315" s="168">
        <v>2021</v>
      </c>
      <c r="B2315" s="168">
        <v>2</v>
      </c>
      <c r="C2315" s="168">
        <v>15</v>
      </c>
      <c r="D2315" s="141">
        <f t="shared" si="78"/>
        <v>44242</v>
      </c>
      <c r="E2315" s="275">
        <f t="shared" si="79"/>
        <v>44242</v>
      </c>
      <c r="F2315" s="479" t="s">
        <v>965</v>
      </c>
      <c r="G2315" s="220" t="s">
        <v>74</v>
      </c>
      <c r="H2315" s="142" t="str" cm="1">
        <f t="array" ref="H2315">IFERROR(INDEX(INVESTOR_LIST[INVESTOR NAME],MATCH(I2315,INVESTOR_LIST[INVESTOR CODE],0),)," ")</f>
        <v>NARGISH JAHAN</v>
      </c>
      <c r="I2315" s="142" t="s">
        <v>457</v>
      </c>
      <c r="J2315" s="168" t="s">
        <v>13</v>
      </c>
      <c r="K2315" s="226">
        <v>26070</v>
      </c>
      <c r="L2315" s="226"/>
      <c r="N2315" s="156">
        <f>L2317/13.05</f>
        <v>2607.1846743295018</v>
      </c>
    </row>
    <row r="2316" spans="1:15" ht="22.5" x14ac:dyDescent="0.2">
      <c r="A2316" s="133">
        <v>2021</v>
      </c>
      <c r="B2316" s="133">
        <v>2</v>
      </c>
      <c r="C2316" s="133">
        <v>15</v>
      </c>
      <c r="D2316" s="141">
        <f t="shared" si="78"/>
        <v>44242</v>
      </c>
      <c r="E2316" s="275">
        <f t="shared" si="79"/>
        <v>44242</v>
      </c>
      <c r="F2316" s="481"/>
      <c r="G2316" s="174" t="s">
        <v>74</v>
      </c>
      <c r="H2316" s="148" t="str" cm="1">
        <f t="array" ref="H2316">IFERROR(INDEX(INVESTOR_LIST[INVESTOR NAME],MATCH(I2316,INVESTOR_LIST[INVESTOR CODE],0),)," ")</f>
        <v>NARGISH JAHAN</v>
      </c>
      <c r="I2316" s="148" t="s">
        <v>457</v>
      </c>
      <c r="J2316" s="133" t="s">
        <v>53</v>
      </c>
      <c r="K2316" s="218">
        <v>7953.76</v>
      </c>
      <c r="L2316" s="218"/>
    </row>
    <row r="2317" spans="1:15" ht="22.5" x14ac:dyDescent="0.2">
      <c r="A2317" s="163">
        <v>2021</v>
      </c>
      <c r="B2317" s="163">
        <v>2</v>
      </c>
      <c r="C2317" s="163">
        <v>15</v>
      </c>
      <c r="D2317" s="141">
        <f t="shared" si="78"/>
        <v>44242</v>
      </c>
      <c r="E2317" s="275">
        <f t="shared" si="79"/>
        <v>44242</v>
      </c>
      <c r="F2317" s="480"/>
      <c r="G2317" s="221" t="s">
        <v>74</v>
      </c>
      <c r="H2317" s="145" t="str" cm="1">
        <f t="array" ref="H2317">IFERROR(INDEX(INVESTOR_LIST[INVESTOR NAME],MATCH(I2317,INVESTOR_LIST[INVESTOR CODE],0),)," ")</f>
        <v>NARGISH JAHAN</v>
      </c>
      <c r="I2317" s="145" t="s">
        <v>457</v>
      </c>
      <c r="J2317" s="163" t="s">
        <v>52</v>
      </c>
      <c r="K2317" s="219"/>
      <c r="L2317" s="219">
        <v>34023.760000000002</v>
      </c>
    </row>
    <row r="2318" spans="1:15" x14ac:dyDescent="0.2">
      <c r="A2318" s="168">
        <v>2021</v>
      </c>
      <c r="B2318" s="168">
        <v>2</v>
      </c>
      <c r="C2318" s="168">
        <v>15</v>
      </c>
      <c r="D2318" s="141">
        <f t="shared" ref="D2318:D2381" si="80">DATE(A2318,B2318,C2318)</f>
        <v>44242</v>
      </c>
      <c r="E2318" s="275">
        <f t="shared" si="79"/>
        <v>44242</v>
      </c>
      <c r="F2318" s="479" t="s">
        <v>535</v>
      </c>
      <c r="G2318" s="220" t="s">
        <v>74</v>
      </c>
      <c r="H2318" s="142" t="str" cm="1">
        <f t="array" ref="H2318">IFERROR(INDEX(INVESTOR_LIST[INVESTOR NAME],MATCH(I2318,INVESTOR_LIST[INVESTOR CODE],0),)," ")</f>
        <v xml:space="preserve"> </v>
      </c>
      <c r="I2318" s="142"/>
      <c r="J2318" s="168" t="s">
        <v>358</v>
      </c>
      <c r="K2318" s="226">
        <v>248982.39999999999</v>
      </c>
      <c r="L2318" s="226"/>
    </row>
    <row r="2319" spans="1:15" x14ac:dyDescent="0.2">
      <c r="A2319" s="133">
        <v>2021</v>
      </c>
      <c r="B2319" s="133">
        <v>2</v>
      </c>
      <c r="C2319" s="133">
        <v>15</v>
      </c>
      <c r="D2319" s="141">
        <f t="shared" si="80"/>
        <v>44242</v>
      </c>
      <c r="E2319" s="275">
        <f t="shared" ref="E2319:E2382" si="81">DATE(A2319,B2319,C2319)</f>
        <v>44242</v>
      </c>
      <c r="F2319" s="481"/>
      <c r="G2319" s="174" t="s">
        <v>74</v>
      </c>
      <c r="H2319" s="148" t="str" cm="1">
        <f t="array" ref="H2319">IFERROR(INDEX(INVESTOR_LIST[INVESTOR NAME],MATCH(I2319,INVESTOR_LIST[INVESTOR CODE],0),)," ")</f>
        <v xml:space="preserve"> </v>
      </c>
      <c r="J2319" s="133" t="s">
        <v>52</v>
      </c>
      <c r="K2319" s="218"/>
      <c r="L2319" s="218">
        <v>228990.56000000003</v>
      </c>
    </row>
    <row r="2320" spans="1:15" x14ac:dyDescent="0.2">
      <c r="A2320" s="163">
        <v>2021</v>
      </c>
      <c r="B2320" s="163">
        <v>2</v>
      </c>
      <c r="C2320" s="163">
        <v>15</v>
      </c>
      <c r="D2320" s="141">
        <f t="shared" si="80"/>
        <v>44242</v>
      </c>
      <c r="E2320" s="275">
        <f t="shared" si="81"/>
        <v>44242</v>
      </c>
      <c r="F2320" s="480"/>
      <c r="G2320" s="221" t="s">
        <v>74</v>
      </c>
      <c r="H2320" s="145" t="str" cm="1">
        <f t="array" ref="H2320">IFERROR(INDEX(INVESTOR_LIST[INVESTOR NAME],MATCH(I2320,INVESTOR_LIST[INVESTOR CODE],0),)," ")</f>
        <v xml:space="preserve"> </v>
      </c>
      <c r="I2320" s="145"/>
      <c r="J2320" s="163" t="s">
        <v>534</v>
      </c>
      <c r="K2320" s="219"/>
      <c r="L2320" s="219">
        <v>19991.84</v>
      </c>
    </row>
    <row r="2321" spans="1:12" x14ac:dyDescent="0.2">
      <c r="A2321" s="133">
        <v>2021</v>
      </c>
      <c r="B2321" s="133">
        <v>2</v>
      </c>
      <c r="C2321" s="133">
        <v>15</v>
      </c>
      <c r="D2321" s="141">
        <f t="shared" si="80"/>
        <v>44242</v>
      </c>
      <c r="E2321" s="275">
        <f t="shared" si="81"/>
        <v>44242</v>
      </c>
      <c r="F2321" s="479" t="s">
        <v>536</v>
      </c>
      <c r="G2321" s="220" t="s">
        <v>74</v>
      </c>
      <c r="H2321" s="220" t="str" cm="1">
        <f t="array" ref="H2321">IFERROR(INDEX(INVESTOR_LIST[INVESTOR NAME],MATCH(I2321,INVESTOR_LIST[INVESTOR CODE],0),)," ")</f>
        <v xml:space="preserve"> </v>
      </c>
      <c r="I2321" s="142" t="s">
        <v>348</v>
      </c>
      <c r="J2321" s="143" t="s">
        <v>184</v>
      </c>
      <c r="K2321" s="226">
        <v>1280000</v>
      </c>
      <c r="L2321" s="226"/>
    </row>
    <row r="2322" spans="1:12" x14ac:dyDescent="0.2">
      <c r="A2322" s="133">
        <v>2021</v>
      </c>
      <c r="B2322" s="133">
        <v>2</v>
      </c>
      <c r="C2322" s="133">
        <v>15</v>
      </c>
      <c r="D2322" s="141">
        <f t="shared" si="80"/>
        <v>44242</v>
      </c>
      <c r="E2322" s="275">
        <f t="shared" si="81"/>
        <v>44242</v>
      </c>
      <c r="F2322" s="481"/>
      <c r="G2322" s="174" t="s">
        <v>74</v>
      </c>
      <c r="H2322" s="174" t="str" cm="1">
        <f t="array" ref="H2322">IFERROR(INDEX(INVESTOR_LIST[INVESTOR NAME],MATCH(I2322,INVESTOR_LIST[INVESTOR CODE],0),)," ")</f>
        <v xml:space="preserve"> </v>
      </c>
      <c r="I2322" s="148" t="s">
        <v>348</v>
      </c>
      <c r="J2322" s="149" t="s">
        <v>185</v>
      </c>
      <c r="K2322" s="218">
        <v>3000</v>
      </c>
      <c r="L2322" s="218"/>
    </row>
    <row r="2323" spans="1:12" x14ac:dyDescent="0.2">
      <c r="A2323" s="133">
        <v>2021</v>
      </c>
      <c r="B2323" s="133">
        <v>2</v>
      </c>
      <c r="C2323" s="133">
        <v>15</v>
      </c>
      <c r="D2323" s="141">
        <f t="shared" si="80"/>
        <v>44242</v>
      </c>
      <c r="E2323" s="275">
        <f t="shared" si="81"/>
        <v>44242</v>
      </c>
      <c r="F2323" s="481"/>
      <c r="G2323" s="174" t="s">
        <v>74</v>
      </c>
      <c r="H2323" s="174" t="str" cm="1">
        <f t="array" ref="H2323">IFERROR(INDEX(INVESTOR_LIST[INVESTOR NAME],MATCH(I2323,INVESTOR_LIST[INVESTOR CODE],0),)," ")</f>
        <v xml:space="preserve"> </v>
      </c>
      <c r="J2323" s="149" t="s">
        <v>61</v>
      </c>
      <c r="K2323" s="218">
        <v>115</v>
      </c>
      <c r="L2323" s="218"/>
    </row>
    <row r="2324" spans="1:12" x14ac:dyDescent="0.2">
      <c r="A2324" s="163">
        <v>2021</v>
      </c>
      <c r="B2324" s="163">
        <v>2</v>
      </c>
      <c r="C2324" s="163">
        <v>15</v>
      </c>
      <c r="D2324" s="141">
        <f t="shared" si="80"/>
        <v>44242</v>
      </c>
      <c r="E2324" s="275">
        <f t="shared" si="81"/>
        <v>44242</v>
      </c>
      <c r="F2324" s="480"/>
      <c r="G2324" s="221" t="s">
        <v>74</v>
      </c>
      <c r="H2324" s="221" t="str" cm="1">
        <f t="array" ref="H2324">IFERROR(INDEX(INVESTOR_LIST[INVESTOR NAME],MATCH(I2324,INVESTOR_LIST[INVESTOR CODE],0),)," ")</f>
        <v xml:space="preserve"> </v>
      </c>
      <c r="I2324" s="145" t="s">
        <v>348</v>
      </c>
      <c r="J2324" s="146" t="s">
        <v>52</v>
      </c>
      <c r="K2324" s="219"/>
      <c r="L2324" s="219">
        <v>1283115</v>
      </c>
    </row>
    <row r="2325" spans="1:12" x14ac:dyDescent="0.2">
      <c r="A2325" s="168">
        <v>2021</v>
      </c>
      <c r="B2325" s="168">
        <v>2</v>
      </c>
      <c r="C2325" s="168">
        <v>15</v>
      </c>
      <c r="D2325" s="141">
        <f t="shared" si="80"/>
        <v>44242</v>
      </c>
      <c r="E2325" s="275">
        <f t="shared" si="81"/>
        <v>44242</v>
      </c>
      <c r="F2325" s="479" t="s">
        <v>360</v>
      </c>
      <c r="G2325" s="220" t="s">
        <v>94</v>
      </c>
      <c r="H2325" s="220" t="str" cm="1">
        <f t="array" ref="H2325">IFERROR(INDEX(INVESTOR_LIST[INVESTOR NAME],MATCH(I2325,INVESTOR_LIST[INVESTOR CODE],0),)," ")</f>
        <v xml:space="preserve"> </v>
      </c>
      <c r="I2325" s="142"/>
      <c r="J2325" s="143" t="s">
        <v>190</v>
      </c>
      <c r="K2325" s="226">
        <v>782279.06</v>
      </c>
      <c r="L2325" s="226"/>
    </row>
    <row r="2326" spans="1:12" x14ac:dyDescent="0.2">
      <c r="A2326" s="133">
        <v>2021</v>
      </c>
      <c r="B2326" s="133">
        <v>2</v>
      </c>
      <c r="C2326" s="133">
        <v>15</v>
      </c>
      <c r="D2326" s="141">
        <f t="shared" si="80"/>
        <v>44242</v>
      </c>
      <c r="E2326" s="275">
        <f t="shared" si="81"/>
        <v>44242</v>
      </c>
      <c r="F2326" s="481"/>
      <c r="G2326" s="174" t="s">
        <v>94</v>
      </c>
      <c r="H2326" s="174" t="str" cm="1">
        <f t="array" ref="H2326">IFERROR(INDEX(INVESTOR_LIST[INVESTOR NAME],MATCH(I2326,INVESTOR_LIST[INVESTOR CODE],0),)," ")</f>
        <v xml:space="preserve"> </v>
      </c>
      <c r="J2326" s="149" t="s">
        <v>80</v>
      </c>
      <c r="K2326" s="218">
        <v>1410.64</v>
      </c>
      <c r="L2326" s="218"/>
    </row>
    <row r="2327" spans="1:12" x14ac:dyDescent="0.2">
      <c r="A2327" s="133">
        <v>2021</v>
      </c>
      <c r="B2327" s="133">
        <v>2</v>
      </c>
      <c r="C2327" s="133">
        <v>15</v>
      </c>
      <c r="D2327" s="141">
        <f t="shared" si="80"/>
        <v>44242</v>
      </c>
      <c r="E2327" s="275">
        <f t="shared" si="81"/>
        <v>44242</v>
      </c>
      <c r="F2327" s="481"/>
      <c r="G2327" s="174" t="s">
        <v>94</v>
      </c>
      <c r="H2327" s="174" t="str" cm="1">
        <f t="array" ref="H2327">IFERROR(INDEX(INVESTOR_LIST[INVESTOR NAME],MATCH(I2327,INVESTOR_LIST[INVESTOR CODE],0),)," ")</f>
        <v xml:space="preserve"> </v>
      </c>
      <c r="J2327" s="149" t="s">
        <v>79</v>
      </c>
      <c r="K2327" s="218"/>
      <c r="L2327" s="218">
        <v>326090</v>
      </c>
    </row>
    <row r="2328" spans="1:12" x14ac:dyDescent="0.2">
      <c r="A2328" s="163">
        <v>2021</v>
      </c>
      <c r="B2328" s="163">
        <v>2</v>
      </c>
      <c r="C2328" s="163">
        <v>15</v>
      </c>
      <c r="D2328" s="141">
        <f t="shared" si="80"/>
        <v>44242</v>
      </c>
      <c r="E2328" s="275">
        <f t="shared" si="81"/>
        <v>44242</v>
      </c>
      <c r="F2328" s="480"/>
      <c r="G2328" s="221" t="s">
        <v>94</v>
      </c>
      <c r="H2328" s="221" t="str" cm="1">
        <f t="array" ref="H2328">IFERROR(INDEX(INVESTOR_LIST[INVESTOR NAME],MATCH(I2328,INVESTOR_LIST[INVESTOR CODE],0),)," ")</f>
        <v xml:space="preserve"> </v>
      </c>
      <c r="I2328" s="145"/>
      <c r="J2328" s="146" t="s">
        <v>191</v>
      </c>
      <c r="K2328" s="219"/>
      <c r="L2328" s="219">
        <v>457599.69999999995</v>
      </c>
    </row>
    <row r="2329" spans="1:12" x14ac:dyDescent="0.2">
      <c r="A2329" s="168">
        <v>2021</v>
      </c>
      <c r="B2329" s="168">
        <v>2</v>
      </c>
      <c r="C2329" s="168">
        <v>15</v>
      </c>
      <c r="D2329" s="141">
        <f t="shared" si="80"/>
        <v>44242</v>
      </c>
      <c r="E2329" s="275">
        <f t="shared" si="81"/>
        <v>44242</v>
      </c>
      <c r="F2329" s="479" t="s">
        <v>546</v>
      </c>
      <c r="G2329" s="220" t="s">
        <v>94</v>
      </c>
      <c r="H2329" s="220" t="str" cm="1">
        <f t="array" ref="H2329">IFERROR(INDEX(INVESTOR_LIST[INVESTOR NAME],MATCH(I2329,INVESTOR_LIST[INVESTOR CODE],0),)," ")</f>
        <v xml:space="preserve"> </v>
      </c>
      <c r="I2329" s="142"/>
      <c r="J2329" s="143" t="s">
        <v>168</v>
      </c>
      <c r="K2329" s="226">
        <v>113000</v>
      </c>
      <c r="L2329" s="226"/>
    </row>
    <row r="2330" spans="1:12" x14ac:dyDescent="0.2">
      <c r="A2330" s="163">
        <v>2021</v>
      </c>
      <c r="B2330" s="163">
        <v>2</v>
      </c>
      <c r="C2330" s="163">
        <v>15</v>
      </c>
      <c r="D2330" s="141">
        <f t="shared" si="80"/>
        <v>44242</v>
      </c>
      <c r="E2330" s="275">
        <f t="shared" si="81"/>
        <v>44242</v>
      </c>
      <c r="F2330" s="480"/>
      <c r="G2330" s="221" t="s">
        <v>94</v>
      </c>
      <c r="H2330" s="221" t="str" cm="1">
        <f t="array" ref="H2330">IFERROR(INDEX(INVESTOR_LIST[INVESTOR NAME],MATCH(I2330,INVESTOR_LIST[INVESTOR CODE],0),)," ")</f>
        <v xml:space="preserve"> </v>
      </c>
      <c r="I2330" s="145"/>
      <c r="J2330" s="146" t="s">
        <v>166</v>
      </c>
      <c r="K2330" s="219"/>
      <c r="L2330" s="219">
        <v>113000</v>
      </c>
    </row>
    <row r="2331" spans="1:12" x14ac:dyDescent="0.2">
      <c r="A2331" s="168">
        <v>2021</v>
      </c>
      <c r="B2331" s="168">
        <v>2</v>
      </c>
      <c r="C2331" s="168">
        <v>16</v>
      </c>
      <c r="D2331" s="141">
        <f t="shared" si="80"/>
        <v>44243</v>
      </c>
      <c r="E2331" s="275">
        <f t="shared" si="81"/>
        <v>44243</v>
      </c>
      <c r="F2331" s="479" t="s">
        <v>792</v>
      </c>
      <c r="G2331" s="220" t="s">
        <v>94</v>
      </c>
      <c r="H2331" s="220" t="str" cm="1">
        <f t="array" ref="H2331">IFERROR(INDEX(INVESTOR_LIST[INVESTOR NAME],MATCH(I2331,INVESTOR_LIST[INVESTOR CODE],0),)," ")</f>
        <v xml:space="preserve"> </v>
      </c>
      <c r="I2331" s="142"/>
      <c r="J2331" s="143" t="s">
        <v>168</v>
      </c>
      <c r="K2331" s="226">
        <v>120000</v>
      </c>
      <c r="L2331" s="226"/>
    </row>
    <row r="2332" spans="1:12" x14ac:dyDescent="0.2">
      <c r="A2332" s="163">
        <v>2021</v>
      </c>
      <c r="B2332" s="163">
        <v>2</v>
      </c>
      <c r="C2332" s="163">
        <v>16</v>
      </c>
      <c r="D2332" s="141">
        <f t="shared" si="80"/>
        <v>44243</v>
      </c>
      <c r="E2332" s="275">
        <f t="shared" si="81"/>
        <v>44243</v>
      </c>
      <c r="F2332" s="480"/>
      <c r="G2332" s="221" t="s">
        <v>94</v>
      </c>
      <c r="H2332" s="221" t="str" cm="1">
        <f t="array" ref="H2332">IFERROR(INDEX(INVESTOR_LIST[INVESTOR NAME],MATCH(I2332,INVESTOR_LIST[INVESTOR CODE],0),)," ")</f>
        <v xml:space="preserve"> </v>
      </c>
      <c r="I2332" s="145"/>
      <c r="J2332" s="146" t="s">
        <v>166</v>
      </c>
      <c r="K2332" s="219"/>
      <c r="L2332" s="219">
        <v>120000</v>
      </c>
    </row>
    <row r="2333" spans="1:12" x14ac:dyDescent="0.2">
      <c r="A2333" s="133">
        <v>2021</v>
      </c>
      <c r="B2333" s="133">
        <v>2</v>
      </c>
      <c r="C2333" s="133">
        <v>16</v>
      </c>
      <c r="D2333" s="141">
        <f t="shared" si="80"/>
        <v>44243</v>
      </c>
      <c r="E2333" s="275">
        <f t="shared" si="81"/>
        <v>44243</v>
      </c>
      <c r="F2333" s="481" t="s">
        <v>537</v>
      </c>
      <c r="G2333" s="174" t="s">
        <v>74</v>
      </c>
      <c r="H2333" s="174" t="str" cm="1">
        <f t="array" ref="H2333">IFERROR(INDEX(INVESTOR_LIST[INVESTOR NAME],MATCH(I2333,INVESTOR_LIST[INVESTOR CODE],0),)," ")</f>
        <v xml:space="preserve"> </v>
      </c>
      <c r="J2333" s="149" t="s">
        <v>47</v>
      </c>
      <c r="K2333" s="218">
        <v>150000</v>
      </c>
      <c r="L2333" s="218"/>
    </row>
    <row r="2334" spans="1:12" x14ac:dyDescent="0.2">
      <c r="A2334" s="133">
        <v>2021</v>
      </c>
      <c r="B2334" s="133">
        <v>2</v>
      </c>
      <c r="C2334" s="133">
        <v>16</v>
      </c>
      <c r="D2334" s="141">
        <f t="shared" si="80"/>
        <v>44243</v>
      </c>
      <c r="E2334" s="275">
        <f t="shared" si="81"/>
        <v>44243</v>
      </c>
      <c r="F2334" s="480"/>
      <c r="G2334" s="174" t="s">
        <v>74</v>
      </c>
      <c r="H2334" s="174" t="str" cm="1">
        <f t="array" ref="H2334">IFERROR(INDEX(INVESTOR_LIST[INVESTOR NAME],MATCH(I2334,INVESTOR_LIST[INVESTOR CODE],0),)," ")</f>
        <v xml:space="preserve"> </v>
      </c>
      <c r="J2334" s="149" t="s">
        <v>52</v>
      </c>
      <c r="K2334" s="218"/>
      <c r="L2334" s="218">
        <v>150000</v>
      </c>
    </row>
    <row r="2335" spans="1:12" x14ac:dyDescent="0.2">
      <c r="A2335" s="168">
        <v>2021</v>
      </c>
      <c r="B2335" s="168">
        <v>2</v>
      </c>
      <c r="C2335" s="168">
        <v>16</v>
      </c>
      <c r="D2335" s="141">
        <f t="shared" si="80"/>
        <v>44243</v>
      </c>
      <c r="E2335" s="275">
        <f t="shared" si="81"/>
        <v>44243</v>
      </c>
      <c r="F2335" s="479" t="s">
        <v>77</v>
      </c>
      <c r="G2335" s="220" t="s">
        <v>74</v>
      </c>
      <c r="H2335" s="220" t="str" cm="1">
        <f t="array" ref="H2335">IFERROR(INDEX(INVESTOR_LIST[INVESTOR NAME],MATCH(I2335,INVESTOR_LIST[INVESTOR CODE],0),)," ")</f>
        <v xml:space="preserve"> </v>
      </c>
      <c r="I2335" s="142" t="s">
        <v>348</v>
      </c>
      <c r="J2335" s="143" t="s">
        <v>61</v>
      </c>
      <c r="K2335" s="226">
        <v>58</v>
      </c>
      <c r="L2335" s="226"/>
    </row>
    <row r="2336" spans="1:12" x14ac:dyDescent="0.2">
      <c r="A2336" s="163">
        <v>2021</v>
      </c>
      <c r="B2336" s="163">
        <v>2</v>
      </c>
      <c r="C2336" s="163">
        <v>16</v>
      </c>
      <c r="D2336" s="141">
        <f t="shared" si="80"/>
        <v>44243</v>
      </c>
      <c r="E2336" s="275">
        <f t="shared" si="81"/>
        <v>44243</v>
      </c>
      <c r="F2336" s="480"/>
      <c r="G2336" s="221" t="s">
        <v>74</v>
      </c>
      <c r="H2336" s="221" t="str" cm="1">
        <f t="array" ref="H2336">IFERROR(INDEX(INVESTOR_LIST[INVESTOR NAME],MATCH(I2336,INVESTOR_LIST[INVESTOR CODE],0),)," ")</f>
        <v xml:space="preserve"> </v>
      </c>
      <c r="I2336" s="145" t="s">
        <v>348</v>
      </c>
      <c r="J2336" s="146" t="s">
        <v>52</v>
      </c>
      <c r="K2336" s="219"/>
      <c r="L2336" s="219">
        <v>58</v>
      </c>
    </row>
    <row r="2337" spans="1:12" x14ac:dyDescent="0.2">
      <c r="A2337" s="168">
        <v>2021</v>
      </c>
      <c r="B2337" s="168">
        <v>2</v>
      </c>
      <c r="C2337" s="168">
        <v>16</v>
      </c>
      <c r="D2337" s="141">
        <f t="shared" si="80"/>
        <v>44243</v>
      </c>
      <c r="E2337" s="275">
        <f t="shared" si="81"/>
        <v>44243</v>
      </c>
      <c r="F2337" s="479" t="s">
        <v>360</v>
      </c>
      <c r="G2337" s="220" t="s">
        <v>94</v>
      </c>
      <c r="H2337" s="142" t="str" cm="1">
        <f t="array" ref="H2337">IFERROR(INDEX(INVESTOR_LIST[INVESTOR NAME],MATCH(I2337,INVESTOR_LIST[INVESTOR CODE],0),)," ")</f>
        <v xml:space="preserve"> </v>
      </c>
      <c r="I2337" s="142"/>
      <c r="J2337" s="168" t="s">
        <v>190</v>
      </c>
      <c r="K2337" s="226">
        <v>10584103.460000001</v>
      </c>
      <c r="L2337" s="226"/>
    </row>
    <row r="2338" spans="1:12" x14ac:dyDescent="0.2">
      <c r="A2338" s="133">
        <v>2021</v>
      </c>
      <c r="B2338" s="133">
        <v>2</v>
      </c>
      <c r="C2338" s="133">
        <v>16</v>
      </c>
      <c r="D2338" s="141">
        <f t="shared" si="80"/>
        <v>44243</v>
      </c>
      <c r="E2338" s="275">
        <f t="shared" si="81"/>
        <v>44243</v>
      </c>
      <c r="F2338" s="481"/>
      <c r="G2338" s="174" t="s">
        <v>94</v>
      </c>
      <c r="H2338" s="148" t="str" cm="1">
        <f t="array" ref="H2338">IFERROR(INDEX(INVESTOR_LIST[INVESTOR NAME],MATCH(I2338,INVESTOR_LIST[INVESTOR CODE],0),)," ")</f>
        <v xml:space="preserve"> </v>
      </c>
      <c r="J2338" s="133" t="s">
        <v>80</v>
      </c>
      <c r="K2338" s="218">
        <v>19085.740000000002</v>
      </c>
      <c r="L2338" s="218"/>
    </row>
    <row r="2339" spans="1:12" x14ac:dyDescent="0.2">
      <c r="A2339" s="133">
        <v>2021</v>
      </c>
      <c r="B2339" s="133">
        <v>2</v>
      </c>
      <c r="C2339" s="133">
        <v>16</v>
      </c>
      <c r="D2339" s="141">
        <f t="shared" si="80"/>
        <v>44243</v>
      </c>
      <c r="E2339" s="275">
        <f t="shared" si="81"/>
        <v>44243</v>
      </c>
      <c r="F2339" s="481"/>
      <c r="G2339" s="174" t="s">
        <v>94</v>
      </c>
      <c r="H2339" s="148" t="str" cm="1">
        <f t="array" ref="H2339">IFERROR(INDEX(INVESTOR_LIST[INVESTOR NAME],MATCH(I2339,INVESTOR_LIST[INVESTOR CODE],0),)," ")</f>
        <v xml:space="preserve"> </v>
      </c>
      <c r="J2339" s="133" t="s">
        <v>191</v>
      </c>
      <c r="K2339" s="218">
        <v>542000.86</v>
      </c>
      <c r="L2339" s="218"/>
    </row>
    <row r="2340" spans="1:12" x14ac:dyDescent="0.2">
      <c r="A2340" s="163">
        <v>2021</v>
      </c>
      <c r="B2340" s="163">
        <v>2</v>
      </c>
      <c r="C2340" s="163">
        <v>16</v>
      </c>
      <c r="D2340" s="141">
        <f t="shared" si="80"/>
        <v>44243</v>
      </c>
      <c r="E2340" s="275">
        <f t="shared" si="81"/>
        <v>44243</v>
      </c>
      <c r="F2340" s="480"/>
      <c r="G2340" s="221" t="s">
        <v>94</v>
      </c>
      <c r="H2340" s="145" t="str" cm="1">
        <f t="array" ref="H2340">IFERROR(INDEX(INVESTOR_LIST[INVESTOR NAME],MATCH(I2340,INVESTOR_LIST[INVESTOR CODE],0),)," ")</f>
        <v xml:space="preserve"> </v>
      </c>
      <c r="I2340" s="145"/>
      <c r="J2340" s="163" t="s">
        <v>79</v>
      </c>
      <c r="K2340" s="219"/>
      <c r="L2340" s="219">
        <v>11145190.060000001</v>
      </c>
    </row>
    <row r="2341" spans="1:12" ht="11.25" customHeight="1" x14ac:dyDescent="0.2">
      <c r="A2341" s="168">
        <v>2021</v>
      </c>
      <c r="B2341" s="168">
        <v>2</v>
      </c>
      <c r="C2341" s="168">
        <v>17</v>
      </c>
      <c r="D2341" s="141">
        <f t="shared" si="80"/>
        <v>44244</v>
      </c>
      <c r="E2341" s="275">
        <f t="shared" si="81"/>
        <v>44244</v>
      </c>
      <c r="F2341" s="479" t="s">
        <v>254</v>
      </c>
      <c r="G2341" s="220" t="s">
        <v>74</v>
      </c>
      <c r="H2341" s="142" t="str" cm="1">
        <f t="array" ref="H2341">IFERROR(INDEX(INVESTOR_LIST[INVESTOR NAME],MATCH(I2341,INVESTOR_LIST[INVESTOR CODE],0),)," ")</f>
        <v xml:space="preserve"> </v>
      </c>
      <c r="I2341" s="142"/>
      <c r="J2341" s="168" t="s">
        <v>52</v>
      </c>
      <c r="K2341" s="226">
        <v>36000</v>
      </c>
      <c r="L2341" s="226"/>
    </row>
    <row r="2342" spans="1:12" x14ac:dyDescent="0.2">
      <c r="A2342" s="133">
        <v>2021</v>
      </c>
      <c r="B2342" s="133">
        <v>2</v>
      </c>
      <c r="C2342" s="133">
        <v>17</v>
      </c>
      <c r="D2342" s="141">
        <f t="shared" si="80"/>
        <v>44244</v>
      </c>
      <c r="E2342" s="275">
        <f t="shared" si="81"/>
        <v>44244</v>
      </c>
      <c r="F2342" s="481"/>
      <c r="G2342" s="174" t="s">
        <v>74</v>
      </c>
      <c r="H2342" s="148" t="str" cm="1">
        <f t="array" ref="H2342">IFERROR(INDEX(INVESTOR_LIST[INVESTOR NAME],MATCH(I2342,INVESTOR_LIST[INVESTOR CODE],0),)," ")</f>
        <v xml:space="preserve"> </v>
      </c>
      <c r="J2342" s="133" t="s">
        <v>13</v>
      </c>
      <c r="K2342" s="218"/>
      <c r="L2342" s="218">
        <v>27580</v>
      </c>
    </row>
    <row r="2343" spans="1:12" x14ac:dyDescent="0.2">
      <c r="A2343" s="163">
        <v>2021</v>
      </c>
      <c r="B2343" s="163">
        <v>2</v>
      </c>
      <c r="C2343" s="163">
        <v>17</v>
      </c>
      <c r="D2343" s="141">
        <f t="shared" si="80"/>
        <v>44244</v>
      </c>
      <c r="E2343" s="275">
        <f t="shared" si="81"/>
        <v>44244</v>
      </c>
      <c r="F2343" s="480"/>
      <c r="G2343" s="221" t="s">
        <v>74</v>
      </c>
      <c r="H2343" s="145" t="str" cm="1">
        <f t="array" ref="H2343">IFERROR(INDEX(INVESTOR_LIST[INVESTOR NAME],MATCH(I2343,INVESTOR_LIST[INVESTOR CODE],0),)," ")</f>
        <v xml:space="preserve"> </v>
      </c>
      <c r="I2343" s="145"/>
      <c r="J2343" s="163" t="s">
        <v>53</v>
      </c>
      <c r="K2343" s="219"/>
      <c r="L2343" s="219">
        <v>8420</v>
      </c>
    </row>
    <row r="2344" spans="1:12" x14ac:dyDescent="0.2">
      <c r="A2344" s="168">
        <v>2021</v>
      </c>
      <c r="B2344" s="168">
        <v>2</v>
      </c>
      <c r="C2344" s="168">
        <v>17</v>
      </c>
      <c r="D2344" s="141">
        <f t="shared" si="80"/>
        <v>44244</v>
      </c>
      <c r="E2344" s="275">
        <f t="shared" si="81"/>
        <v>44244</v>
      </c>
      <c r="F2344" s="479" t="s">
        <v>539</v>
      </c>
      <c r="G2344" s="220" t="s">
        <v>94</v>
      </c>
      <c r="H2344" s="142" t="str" cm="1">
        <f t="array" ref="H2344">IFERROR(INDEX(INVESTOR_LIST[INVESTOR NAME],MATCH(I2344,INVESTOR_LIST[INVESTOR CODE],0),)," ")</f>
        <v xml:space="preserve"> </v>
      </c>
      <c r="I2344" s="142"/>
      <c r="J2344" s="168" t="s">
        <v>168</v>
      </c>
      <c r="K2344" s="226">
        <v>899000</v>
      </c>
      <c r="L2344" s="226"/>
    </row>
    <row r="2345" spans="1:12" x14ac:dyDescent="0.2">
      <c r="A2345" s="163">
        <v>2021</v>
      </c>
      <c r="B2345" s="163">
        <v>2</v>
      </c>
      <c r="C2345" s="163">
        <v>17</v>
      </c>
      <c r="D2345" s="141">
        <f t="shared" si="80"/>
        <v>44244</v>
      </c>
      <c r="E2345" s="275">
        <f t="shared" si="81"/>
        <v>44244</v>
      </c>
      <c r="F2345" s="480"/>
      <c r="G2345" s="221" t="s">
        <v>94</v>
      </c>
      <c r="H2345" s="145" t="str" cm="1">
        <f t="array" ref="H2345">IFERROR(INDEX(INVESTOR_LIST[INVESTOR NAME],MATCH(I2345,INVESTOR_LIST[INVESTOR CODE],0),)," ")</f>
        <v xml:space="preserve"> </v>
      </c>
      <c r="I2345" s="145"/>
      <c r="J2345" s="163" t="s">
        <v>166</v>
      </c>
      <c r="K2345" s="219"/>
      <c r="L2345" s="219">
        <v>899000</v>
      </c>
    </row>
    <row r="2346" spans="1:12" x14ac:dyDescent="0.2">
      <c r="A2346" s="168">
        <v>2021</v>
      </c>
      <c r="B2346" s="168">
        <v>2</v>
      </c>
      <c r="C2346" s="168">
        <v>17</v>
      </c>
      <c r="D2346" s="141">
        <f t="shared" si="80"/>
        <v>44244</v>
      </c>
      <c r="E2346" s="275">
        <f t="shared" si="81"/>
        <v>44244</v>
      </c>
      <c r="F2346" s="479" t="s">
        <v>363</v>
      </c>
      <c r="G2346" s="220" t="s">
        <v>74</v>
      </c>
      <c r="H2346" s="142" t="str" cm="1">
        <f t="array" ref="H2346">IFERROR(INDEX(INVESTOR_LIST[INVESTOR NAME],MATCH(I2346,INVESTOR_LIST[INVESTOR CODE],0),)," ")</f>
        <v xml:space="preserve"> </v>
      </c>
      <c r="I2346" s="142"/>
      <c r="J2346" s="168" t="s">
        <v>52</v>
      </c>
      <c r="K2346" s="226">
        <v>782279.06</v>
      </c>
      <c r="L2346" s="226"/>
    </row>
    <row r="2347" spans="1:12" x14ac:dyDescent="0.2">
      <c r="A2347" s="163">
        <v>2021</v>
      </c>
      <c r="B2347" s="163">
        <v>2</v>
      </c>
      <c r="C2347" s="163">
        <v>17</v>
      </c>
      <c r="D2347" s="141">
        <f t="shared" si="80"/>
        <v>44244</v>
      </c>
      <c r="E2347" s="275">
        <f t="shared" si="81"/>
        <v>44244</v>
      </c>
      <c r="F2347" s="480"/>
      <c r="G2347" s="221" t="s">
        <v>74</v>
      </c>
      <c r="H2347" s="145" t="str" cm="1">
        <f t="array" ref="H2347">IFERROR(INDEX(INVESTOR_LIST[INVESTOR NAME],MATCH(I2347,INVESTOR_LIST[INVESTOR CODE],0),)," ")</f>
        <v xml:space="preserve"> </v>
      </c>
      <c r="I2347" s="145"/>
      <c r="J2347" s="163" t="s">
        <v>190</v>
      </c>
      <c r="K2347" s="219"/>
      <c r="L2347" s="219">
        <v>782279.06</v>
      </c>
    </row>
    <row r="2348" spans="1:12" ht="11.25" customHeight="1" x14ac:dyDescent="0.2">
      <c r="A2348" s="168">
        <v>2021</v>
      </c>
      <c r="B2348" s="168">
        <v>2</v>
      </c>
      <c r="C2348" s="168">
        <v>18</v>
      </c>
      <c r="D2348" s="141">
        <f t="shared" si="80"/>
        <v>44245</v>
      </c>
      <c r="E2348" s="275">
        <f t="shared" si="81"/>
        <v>44245</v>
      </c>
      <c r="F2348" s="479" t="s">
        <v>363</v>
      </c>
      <c r="G2348" s="220" t="s">
        <v>74</v>
      </c>
      <c r="H2348" s="142" t="str" cm="1">
        <f t="array" ref="H2348">IFERROR(INDEX(INVESTOR_LIST[INVESTOR NAME],MATCH(I2348,INVESTOR_LIST[INVESTOR CODE],0),)," ")</f>
        <v xml:space="preserve"> </v>
      </c>
      <c r="I2348" s="142"/>
      <c r="J2348" s="168" t="s">
        <v>52</v>
      </c>
      <c r="K2348" s="226">
        <v>10584103.460000001</v>
      </c>
      <c r="L2348" s="226"/>
    </row>
    <row r="2349" spans="1:12" x14ac:dyDescent="0.2">
      <c r="A2349" s="163">
        <v>2021</v>
      </c>
      <c r="B2349" s="163">
        <v>2</v>
      </c>
      <c r="C2349" s="163">
        <v>18</v>
      </c>
      <c r="D2349" s="141">
        <f t="shared" si="80"/>
        <v>44245</v>
      </c>
      <c r="E2349" s="275">
        <f t="shared" si="81"/>
        <v>44245</v>
      </c>
      <c r="F2349" s="480"/>
      <c r="G2349" s="221" t="s">
        <v>74</v>
      </c>
      <c r="H2349" s="145" t="str" cm="1">
        <f t="array" ref="H2349">IFERROR(INDEX(INVESTOR_LIST[INVESTOR NAME],MATCH(I2349,INVESTOR_LIST[INVESTOR CODE],0),)," ")</f>
        <v xml:space="preserve"> </v>
      </c>
      <c r="I2349" s="145"/>
      <c r="J2349" s="163" t="s">
        <v>190</v>
      </c>
      <c r="K2349" s="219"/>
      <c r="L2349" s="219">
        <v>10584103.460000001</v>
      </c>
    </row>
    <row r="2350" spans="1:12" x14ac:dyDescent="0.2">
      <c r="A2350" s="168">
        <v>2021</v>
      </c>
      <c r="B2350" s="168">
        <v>2</v>
      </c>
      <c r="C2350" s="168">
        <v>18</v>
      </c>
      <c r="D2350" s="141">
        <f t="shared" si="80"/>
        <v>44245</v>
      </c>
      <c r="E2350" s="275">
        <f t="shared" si="81"/>
        <v>44245</v>
      </c>
      <c r="F2350" s="479" t="s">
        <v>535</v>
      </c>
      <c r="G2350" s="220" t="s">
        <v>74</v>
      </c>
      <c r="H2350" s="142" t="str" cm="1">
        <f t="array" ref="H2350">IFERROR(INDEX(INVESTOR_LIST[INVESTOR NAME],MATCH(I2350,INVESTOR_LIST[INVESTOR CODE],0),)," ")</f>
        <v xml:space="preserve"> </v>
      </c>
      <c r="I2350" s="142"/>
      <c r="J2350" s="168" t="s">
        <v>358</v>
      </c>
      <c r="K2350" s="226">
        <v>32106.400000000001</v>
      </c>
      <c r="L2350" s="226"/>
    </row>
    <row r="2351" spans="1:12" x14ac:dyDescent="0.2">
      <c r="A2351" s="163">
        <v>2021</v>
      </c>
      <c r="B2351" s="163">
        <v>2</v>
      </c>
      <c r="C2351" s="163">
        <v>18</v>
      </c>
      <c r="D2351" s="141">
        <f t="shared" si="80"/>
        <v>44245</v>
      </c>
      <c r="E2351" s="275">
        <f t="shared" si="81"/>
        <v>44245</v>
      </c>
      <c r="F2351" s="480"/>
      <c r="G2351" s="221" t="s">
        <v>74</v>
      </c>
      <c r="H2351" s="145" t="str" cm="1">
        <f t="array" ref="H2351">IFERROR(INDEX(INVESTOR_LIST[INVESTOR NAME],MATCH(I2351,INVESTOR_LIST[INVESTOR CODE],0),)," ")</f>
        <v xml:space="preserve"> </v>
      </c>
      <c r="I2351" s="145"/>
      <c r="J2351" s="163" t="s">
        <v>52</v>
      </c>
      <c r="K2351" s="219"/>
      <c r="L2351" s="219">
        <v>32106.400000000001</v>
      </c>
    </row>
    <row r="2352" spans="1:12" x14ac:dyDescent="0.2">
      <c r="A2352" s="238">
        <v>2021</v>
      </c>
      <c r="B2352" s="238">
        <v>2</v>
      </c>
      <c r="C2352" s="238">
        <v>18</v>
      </c>
      <c r="D2352" s="141">
        <f t="shared" si="80"/>
        <v>44245</v>
      </c>
      <c r="E2352" s="275">
        <f t="shared" si="81"/>
        <v>44245</v>
      </c>
      <c r="F2352" s="477" t="s">
        <v>347</v>
      </c>
      <c r="G2352" s="239" t="s">
        <v>94</v>
      </c>
      <c r="H2352" s="239" t="str" cm="1">
        <f t="array" ref="H2352">IFERROR(INDEX(INVESTOR_LIST[INVESTOR NAME],MATCH(I2352,INVESTOR_LIST[INVESTOR CODE],0),)," ")</f>
        <v xml:space="preserve"> </v>
      </c>
      <c r="I2352" s="262" t="s">
        <v>348</v>
      </c>
      <c r="J2352" s="240" t="s">
        <v>83</v>
      </c>
      <c r="K2352" s="241">
        <v>3969472.8050425649</v>
      </c>
      <c r="L2352" s="241"/>
    </row>
    <row r="2353" spans="1:13" x14ac:dyDescent="0.2">
      <c r="A2353" s="242">
        <v>2021</v>
      </c>
      <c r="B2353" s="242">
        <v>2</v>
      </c>
      <c r="C2353" s="242">
        <v>18</v>
      </c>
      <c r="D2353" s="141">
        <f t="shared" si="80"/>
        <v>44245</v>
      </c>
      <c r="E2353" s="275">
        <f t="shared" si="81"/>
        <v>44245</v>
      </c>
      <c r="F2353" s="478"/>
      <c r="G2353" s="243" t="s">
        <v>94</v>
      </c>
      <c r="H2353" s="243" t="str" cm="1">
        <f t="array" ref="H2353">IFERROR(INDEX(INVESTOR_LIST[INVESTOR NAME],MATCH(I2353,INVESTOR_LIST[INVESTOR CODE],0),)," ")</f>
        <v xml:space="preserve"> </v>
      </c>
      <c r="I2353" s="263" t="s">
        <v>348</v>
      </c>
      <c r="J2353" s="244" t="s">
        <v>108</v>
      </c>
      <c r="K2353" s="245"/>
      <c r="L2353" s="245">
        <v>3969472.8050425649</v>
      </c>
    </row>
    <row r="2354" spans="1:13" ht="22.5" x14ac:dyDescent="0.2">
      <c r="A2354" s="246">
        <v>2021</v>
      </c>
      <c r="B2354" s="246">
        <v>2</v>
      </c>
      <c r="C2354" s="246">
        <v>18</v>
      </c>
      <c r="D2354" s="141">
        <f t="shared" si="80"/>
        <v>44245</v>
      </c>
      <c r="E2354" s="275">
        <f t="shared" si="81"/>
        <v>44245</v>
      </c>
      <c r="F2354" s="482" t="s">
        <v>148</v>
      </c>
      <c r="G2354" s="247" t="s">
        <v>94</v>
      </c>
      <c r="H2354" s="247" t="str" cm="1">
        <f t="array" ref="H2354">IFERROR(INDEX(INVESTOR_LIST[INVESTOR NAME],MATCH(I2354,INVESTOR_LIST[INVESTOR CODE],0),)," ")</f>
        <v xml:space="preserve"> </v>
      </c>
      <c r="I2354" s="248" t="s">
        <v>348</v>
      </c>
      <c r="J2354" s="249" t="s">
        <v>95</v>
      </c>
      <c r="K2354" s="250">
        <v>2747.2527472527472</v>
      </c>
      <c r="L2354" s="241"/>
      <c r="M2354" s="133">
        <v>2747.2527472527472</v>
      </c>
    </row>
    <row r="2355" spans="1:13" x14ac:dyDescent="0.2">
      <c r="A2355" s="242">
        <v>2021</v>
      </c>
      <c r="B2355" s="242">
        <v>2</v>
      </c>
      <c r="C2355" s="242">
        <v>18</v>
      </c>
      <c r="D2355" s="141">
        <f t="shared" si="80"/>
        <v>44245</v>
      </c>
      <c r="E2355" s="275">
        <f t="shared" si="81"/>
        <v>44245</v>
      </c>
      <c r="F2355" s="478"/>
      <c r="G2355" s="243" t="s">
        <v>94</v>
      </c>
      <c r="H2355" s="243" t="str" cm="1">
        <f t="array" ref="H2355">IFERROR(INDEX(INVESTOR_LIST[INVESTOR NAME],MATCH(I2355,INVESTOR_LIST[INVESTOR CODE],0),)," ")</f>
        <v xml:space="preserve"> </v>
      </c>
      <c r="I2355" s="263" t="s">
        <v>348</v>
      </c>
      <c r="J2355" s="244" t="s">
        <v>63</v>
      </c>
      <c r="K2355" s="245"/>
      <c r="L2355" s="245">
        <v>2747.2527472527472</v>
      </c>
      <c r="M2355" s="133">
        <v>82766.392169291692</v>
      </c>
    </row>
    <row r="2356" spans="1:13" x14ac:dyDescent="0.2">
      <c r="A2356" s="246">
        <v>2021</v>
      </c>
      <c r="B2356" s="246">
        <v>2</v>
      </c>
      <c r="C2356" s="246">
        <v>18</v>
      </c>
      <c r="D2356" s="141">
        <f t="shared" si="80"/>
        <v>44245</v>
      </c>
      <c r="E2356" s="275">
        <f t="shared" si="81"/>
        <v>44245</v>
      </c>
      <c r="F2356" s="482" t="s">
        <v>137</v>
      </c>
      <c r="G2356" s="247" t="s">
        <v>94</v>
      </c>
      <c r="H2356" s="247" t="str" cm="1">
        <f t="array" ref="H2356">IFERROR(INDEX(INVESTOR_LIST[INVESTOR NAME],MATCH(I2356,INVESTOR_LIST[INVESTOR CODE],0),)," ")</f>
        <v xml:space="preserve"> </v>
      </c>
      <c r="I2356" s="248" t="s">
        <v>348</v>
      </c>
      <c r="J2356" s="249" t="s">
        <v>97</v>
      </c>
      <c r="K2356" s="250">
        <v>82766.392169291692</v>
      </c>
      <c r="L2356" s="252"/>
      <c r="M2356" s="133">
        <v>3897.9349930799699</v>
      </c>
    </row>
    <row r="2357" spans="1:13" x14ac:dyDescent="0.2">
      <c r="A2357" s="242">
        <v>2021</v>
      </c>
      <c r="B2357" s="242">
        <v>2</v>
      </c>
      <c r="C2357" s="242">
        <v>18</v>
      </c>
      <c r="D2357" s="141">
        <f t="shared" si="80"/>
        <v>44245</v>
      </c>
      <c r="E2357" s="275">
        <f t="shared" si="81"/>
        <v>44245</v>
      </c>
      <c r="F2357" s="478"/>
      <c r="G2357" s="243" t="s">
        <v>94</v>
      </c>
      <c r="H2357" s="243" t="str" cm="1">
        <f t="array" ref="H2357">IFERROR(INDEX(INVESTOR_LIST[INVESTOR NAME],MATCH(I2357,INVESTOR_LIST[INVESTOR CODE],0),)," ")</f>
        <v xml:space="preserve"> </v>
      </c>
      <c r="I2357" s="263" t="s">
        <v>348</v>
      </c>
      <c r="J2357" s="244" t="s">
        <v>47</v>
      </c>
      <c r="K2357" s="245"/>
      <c r="L2357" s="245">
        <v>82766.392169291692</v>
      </c>
    </row>
    <row r="2358" spans="1:13" x14ac:dyDescent="0.2">
      <c r="A2358" s="246">
        <v>2021</v>
      </c>
      <c r="B2358" s="246">
        <v>2</v>
      </c>
      <c r="C2358" s="246">
        <v>18</v>
      </c>
      <c r="D2358" s="141">
        <f t="shared" si="80"/>
        <v>44245</v>
      </c>
      <c r="E2358" s="275">
        <f t="shared" si="81"/>
        <v>44245</v>
      </c>
      <c r="F2358" s="482" t="s">
        <v>138</v>
      </c>
      <c r="G2358" s="247" t="s">
        <v>94</v>
      </c>
      <c r="H2358" s="247" t="str" cm="1">
        <f t="array" ref="H2358">IFERROR(INDEX(INVESTOR_LIST[INVESTOR NAME],MATCH(I2358,INVESTOR_LIST[INVESTOR CODE],0),)," ")</f>
        <v xml:space="preserve"> </v>
      </c>
      <c r="I2358" s="248" t="s">
        <v>348</v>
      </c>
      <c r="J2358" s="249" t="s">
        <v>100</v>
      </c>
      <c r="K2358" s="250">
        <v>3897.9349930799699</v>
      </c>
      <c r="L2358" s="252"/>
    </row>
    <row r="2359" spans="1:13" x14ac:dyDescent="0.2">
      <c r="A2359" s="242">
        <v>2021</v>
      </c>
      <c r="B2359" s="242">
        <v>2</v>
      </c>
      <c r="C2359" s="242">
        <v>18</v>
      </c>
      <c r="D2359" s="141">
        <f t="shared" si="80"/>
        <v>44245</v>
      </c>
      <c r="E2359" s="275">
        <f t="shared" si="81"/>
        <v>44245</v>
      </c>
      <c r="F2359" s="478"/>
      <c r="G2359" s="243" t="s">
        <v>94</v>
      </c>
      <c r="H2359" s="243" t="str" cm="1">
        <f t="array" ref="H2359">IFERROR(INDEX(INVESTOR_LIST[INVESTOR NAME],MATCH(I2359,INVESTOR_LIST[INVESTOR CODE],0),)," ")</f>
        <v xml:space="preserve"> </v>
      </c>
      <c r="I2359" s="263" t="s">
        <v>348</v>
      </c>
      <c r="J2359" s="244" t="s">
        <v>48</v>
      </c>
      <c r="K2359" s="245"/>
      <c r="L2359" s="245">
        <v>3897.9349930799699</v>
      </c>
    </row>
    <row r="2360" spans="1:13" x14ac:dyDescent="0.2">
      <c r="A2360" s="133">
        <v>2021</v>
      </c>
      <c r="B2360" s="133">
        <v>2</v>
      </c>
      <c r="C2360" s="133">
        <v>22</v>
      </c>
      <c r="D2360" s="141">
        <f t="shared" si="80"/>
        <v>44249</v>
      </c>
      <c r="E2360" s="275">
        <f t="shared" si="81"/>
        <v>44249</v>
      </c>
      <c r="F2360" s="479" t="s">
        <v>541</v>
      </c>
      <c r="G2360" s="174" t="s">
        <v>74</v>
      </c>
      <c r="H2360" s="174" t="str" cm="1">
        <f t="array" ref="H2360">IFERROR(INDEX(INVESTOR_LIST[INVESTOR NAME],MATCH(I2360,INVESTOR_LIST[INVESTOR CODE],0),)," ")</f>
        <v xml:space="preserve"> </v>
      </c>
      <c r="J2360" s="149" t="s">
        <v>184</v>
      </c>
      <c r="K2360" s="218">
        <v>22500000</v>
      </c>
      <c r="L2360" s="218"/>
    </row>
    <row r="2361" spans="1:13" x14ac:dyDescent="0.2">
      <c r="A2361" s="133">
        <v>2021</v>
      </c>
      <c r="B2361" s="133">
        <v>2</v>
      </c>
      <c r="C2361" s="133">
        <v>22</v>
      </c>
      <c r="D2361" s="141">
        <f t="shared" si="80"/>
        <v>44249</v>
      </c>
      <c r="E2361" s="275">
        <f t="shared" si="81"/>
        <v>44249</v>
      </c>
      <c r="F2361" s="481"/>
      <c r="G2361" s="174" t="s">
        <v>74</v>
      </c>
      <c r="H2361" s="174" t="str" cm="1">
        <f t="array" ref="H2361">IFERROR(INDEX(INVESTOR_LIST[INVESTOR NAME],MATCH(I2361,INVESTOR_LIST[INVESTOR CODE],0),)," ")</f>
        <v xml:space="preserve"> </v>
      </c>
      <c r="J2361" s="149" t="s">
        <v>185</v>
      </c>
      <c r="K2361" s="218">
        <v>5000</v>
      </c>
      <c r="L2361" s="218"/>
    </row>
    <row r="2362" spans="1:13" x14ac:dyDescent="0.2">
      <c r="A2362" s="133">
        <v>2021</v>
      </c>
      <c r="B2362" s="133">
        <v>2</v>
      </c>
      <c r="C2362" s="133">
        <v>22</v>
      </c>
      <c r="D2362" s="141">
        <f t="shared" si="80"/>
        <v>44249</v>
      </c>
      <c r="E2362" s="275">
        <f t="shared" si="81"/>
        <v>44249</v>
      </c>
      <c r="F2362" s="481"/>
      <c r="G2362" s="174" t="s">
        <v>74</v>
      </c>
      <c r="H2362" s="174" t="str" cm="1">
        <f t="array" ref="H2362">IFERROR(INDEX(INVESTOR_LIST[INVESTOR NAME],MATCH(I2362,INVESTOR_LIST[INVESTOR CODE],0),)," ")</f>
        <v xml:space="preserve"> </v>
      </c>
      <c r="J2362" s="149" t="s">
        <v>61</v>
      </c>
      <c r="K2362" s="218">
        <v>115</v>
      </c>
      <c r="L2362" s="218"/>
    </row>
    <row r="2363" spans="1:13" x14ac:dyDescent="0.2">
      <c r="A2363" s="133">
        <v>2021</v>
      </c>
      <c r="B2363" s="133">
        <v>2</v>
      </c>
      <c r="C2363" s="133">
        <v>22</v>
      </c>
      <c r="D2363" s="141">
        <f t="shared" si="80"/>
        <v>44249</v>
      </c>
      <c r="E2363" s="275">
        <f t="shared" si="81"/>
        <v>44249</v>
      </c>
      <c r="F2363" s="480"/>
      <c r="G2363" s="174" t="s">
        <v>74</v>
      </c>
      <c r="H2363" s="174" t="str" cm="1">
        <f t="array" ref="H2363">IFERROR(INDEX(INVESTOR_LIST[INVESTOR NAME],MATCH(I2363,INVESTOR_LIST[INVESTOR CODE],0),)," ")</f>
        <v xml:space="preserve"> </v>
      </c>
      <c r="J2363" s="149" t="s">
        <v>52</v>
      </c>
      <c r="K2363" s="218"/>
      <c r="L2363" s="218">
        <v>22505115</v>
      </c>
    </row>
    <row r="2364" spans="1:13" ht="33.75" x14ac:dyDescent="0.2">
      <c r="A2364" s="168">
        <v>2021</v>
      </c>
      <c r="B2364" s="168">
        <v>2</v>
      </c>
      <c r="C2364" s="168">
        <v>23</v>
      </c>
      <c r="D2364" s="141">
        <f t="shared" si="80"/>
        <v>44250</v>
      </c>
      <c r="E2364" s="275">
        <f t="shared" si="81"/>
        <v>44250</v>
      </c>
      <c r="F2364" s="479" t="s">
        <v>965</v>
      </c>
      <c r="G2364" s="220" t="s">
        <v>74</v>
      </c>
      <c r="H2364" s="142" t="str" cm="1">
        <f t="array" ref="H2364">IFERROR(INDEX(INVESTOR_LIST[INVESTOR NAME],MATCH(I2364,INVESTOR_LIST[INVESTOR CODE],0),)," ")</f>
        <v>ASHISH KUMAR GHOSH</v>
      </c>
      <c r="I2364" s="142" t="s">
        <v>486</v>
      </c>
      <c r="J2364" s="168" t="s">
        <v>13</v>
      </c>
      <c r="K2364" s="226">
        <v>90000</v>
      </c>
      <c r="L2364" s="226"/>
    </row>
    <row r="2365" spans="1:13" ht="33.75" x14ac:dyDescent="0.2">
      <c r="A2365" s="133">
        <v>2021</v>
      </c>
      <c r="B2365" s="133">
        <v>2</v>
      </c>
      <c r="C2365" s="133">
        <v>23</v>
      </c>
      <c r="D2365" s="141">
        <f t="shared" si="80"/>
        <v>44250</v>
      </c>
      <c r="E2365" s="275">
        <f t="shared" si="81"/>
        <v>44250</v>
      </c>
      <c r="F2365" s="481"/>
      <c r="G2365" s="174" t="s">
        <v>74</v>
      </c>
      <c r="H2365" s="148" t="str" cm="1">
        <f t="array" ref="H2365">IFERROR(INDEX(INVESTOR_LIST[INVESTOR NAME],MATCH(I2365,INVESTOR_LIST[INVESTOR CODE],0),)," ")</f>
        <v>ASHISH KUMAR GHOSH</v>
      </c>
      <c r="I2365" s="148" t="s">
        <v>486</v>
      </c>
      <c r="J2365" s="133" t="s">
        <v>53</v>
      </c>
      <c r="K2365" s="218">
        <v>27409.5</v>
      </c>
      <c r="L2365" s="218"/>
    </row>
    <row r="2366" spans="1:13" ht="33.75" x14ac:dyDescent="0.2">
      <c r="A2366" s="163">
        <v>2021</v>
      </c>
      <c r="B2366" s="163">
        <v>2</v>
      </c>
      <c r="C2366" s="163">
        <v>23</v>
      </c>
      <c r="D2366" s="141">
        <f t="shared" si="80"/>
        <v>44250</v>
      </c>
      <c r="E2366" s="275">
        <f t="shared" si="81"/>
        <v>44250</v>
      </c>
      <c r="F2366" s="480"/>
      <c r="G2366" s="221" t="s">
        <v>74</v>
      </c>
      <c r="H2366" s="145" t="str" cm="1">
        <f t="array" ref="H2366">IFERROR(INDEX(INVESTOR_LIST[INVESTOR NAME],MATCH(I2366,INVESTOR_LIST[INVESTOR CODE],0),)," ")</f>
        <v>ASHISH KUMAR GHOSH</v>
      </c>
      <c r="I2366" s="145" t="s">
        <v>486</v>
      </c>
      <c r="J2366" s="163" t="s">
        <v>52</v>
      </c>
      <c r="K2366" s="219"/>
      <c r="L2366" s="219">
        <v>117409.5</v>
      </c>
    </row>
    <row r="2367" spans="1:13" x14ac:dyDescent="0.2">
      <c r="A2367" s="133">
        <v>2021</v>
      </c>
      <c r="B2367" s="133">
        <v>2</v>
      </c>
      <c r="C2367" s="133">
        <v>23</v>
      </c>
      <c r="D2367" s="141">
        <f t="shared" si="80"/>
        <v>44250</v>
      </c>
      <c r="E2367" s="275">
        <f t="shared" si="81"/>
        <v>44250</v>
      </c>
      <c r="F2367" s="479" t="s">
        <v>360</v>
      </c>
      <c r="G2367" s="174" t="s">
        <v>94</v>
      </c>
      <c r="H2367" s="148" t="str" cm="1">
        <f t="array" ref="H2367">IFERROR(INDEX(INVESTOR_LIST[INVESTOR NAME],MATCH(I2367,INVESTOR_LIST[INVESTOR CODE],0),)," ")</f>
        <v xml:space="preserve"> </v>
      </c>
      <c r="J2367" s="133" t="s">
        <v>190</v>
      </c>
      <c r="K2367" s="218">
        <v>5008440.25</v>
      </c>
      <c r="L2367" s="218"/>
    </row>
    <row r="2368" spans="1:13" x14ac:dyDescent="0.2">
      <c r="A2368" s="133">
        <v>2021</v>
      </c>
      <c r="B2368" s="133">
        <v>2</v>
      </c>
      <c r="C2368" s="133">
        <v>23</v>
      </c>
      <c r="D2368" s="141">
        <f t="shared" si="80"/>
        <v>44250</v>
      </c>
      <c r="E2368" s="275">
        <f t="shared" si="81"/>
        <v>44250</v>
      </c>
      <c r="F2368" s="481"/>
      <c r="G2368" s="174" t="s">
        <v>94</v>
      </c>
      <c r="H2368" s="148" t="str" cm="1">
        <f t="array" ref="H2368">IFERROR(INDEX(INVESTOR_LIST[INVESTOR NAME],MATCH(I2368,INVESTOR_LIST[INVESTOR CODE],0),)," ")</f>
        <v xml:space="preserve"> </v>
      </c>
      <c r="J2368" s="133" t="s">
        <v>80</v>
      </c>
      <c r="K2368" s="218">
        <v>9031.4500000000007</v>
      </c>
      <c r="L2368" s="218"/>
    </row>
    <row r="2369" spans="1:14" x14ac:dyDescent="0.2">
      <c r="A2369" s="133">
        <v>2021</v>
      </c>
      <c r="B2369" s="133">
        <v>2</v>
      </c>
      <c r="C2369" s="133">
        <v>23</v>
      </c>
      <c r="D2369" s="141">
        <f t="shared" si="80"/>
        <v>44250</v>
      </c>
      <c r="E2369" s="275">
        <f t="shared" si="81"/>
        <v>44250</v>
      </c>
      <c r="F2369" s="481"/>
      <c r="G2369" s="174" t="s">
        <v>94</v>
      </c>
      <c r="H2369" s="148" t="str" cm="1">
        <f t="array" ref="H2369">IFERROR(INDEX(INVESTOR_LIST[INVESTOR NAME],MATCH(I2369,INVESTOR_LIST[INVESTOR CODE],0),)," ")</f>
        <v xml:space="preserve"> </v>
      </c>
      <c r="J2369" s="133" t="s">
        <v>191</v>
      </c>
      <c r="K2369" s="218">
        <v>393756.08</v>
      </c>
      <c r="L2369" s="218"/>
    </row>
    <row r="2370" spans="1:14" x14ac:dyDescent="0.2">
      <c r="A2370" s="133">
        <v>2021</v>
      </c>
      <c r="B2370" s="133">
        <v>2</v>
      </c>
      <c r="C2370" s="133">
        <v>23</v>
      </c>
      <c r="D2370" s="141">
        <f t="shared" si="80"/>
        <v>44250</v>
      </c>
      <c r="E2370" s="275">
        <f t="shared" si="81"/>
        <v>44250</v>
      </c>
      <c r="F2370" s="480"/>
      <c r="G2370" s="174" t="s">
        <v>94</v>
      </c>
      <c r="H2370" s="148" t="str" cm="1">
        <f t="array" ref="H2370">IFERROR(INDEX(INVESTOR_LIST[INVESTOR NAME],MATCH(I2370,INVESTOR_LIST[INVESTOR CODE],0),)," ")</f>
        <v xml:space="preserve"> </v>
      </c>
      <c r="J2370" s="133" t="s">
        <v>79</v>
      </c>
      <c r="K2370" s="218"/>
      <c r="L2370" s="218">
        <v>5411227.7800000003</v>
      </c>
    </row>
    <row r="2371" spans="1:14" x14ac:dyDescent="0.2">
      <c r="A2371" s="168">
        <v>2021</v>
      </c>
      <c r="B2371" s="168">
        <v>2</v>
      </c>
      <c r="C2371" s="168">
        <v>24</v>
      </c>
      <c r="D2371" s="141">
        <f t="shared" si="80"/>
        <v>44251</v>
      </c>
      <c r="E2371" s="275">
        <f t="shared" si="81"/>
        <v>44251</v>
      </c>
      <c r="F2371" s="479" t="s">
        <v>233</v>
      </c>
      <c r="G2371" s="220" t="s">
        <v>74</v>
      </c>
      <c r="H2371" s="142" t="str" cm="1">
        <f t="array" ref="H2371">IFERROR(INDEX(INVESTOR_LIST[INVESTOR NAME],MATCH(I2371,INVESTOR_LIST[INVESTOR CODE],0),)," ")</f>
        <v xml:space="preserve"> </v>
      </c>
      <c r="I2371" s="142"/>
      <c r="J2371" s="168" t="s">
        <v>163</v>
      </c>
      <c r="K2371" s="226">
        <v>10000</v>
      </c>
      <c r="L2371" s="226"/>
    </row>
    <row r="2372" spans="1:14" x14ac:dyDescent="0.2">
      <c r="A2372" s="163">
        <v>2021</v>
      </c>
      <c r="B2372" s="163">
        <v>2</v>
      </c>
      <c r="C2372" s="163">
        <v>24</v>
      </c>
      <c r="D2372" s="141">
        <f t="shared" si="80"/>
        <v>44251</v>
      </c>
      <c r="E2372" s="275">
        <f t="shared" si="81"/>
        <v>44251</v>
      </c>
      <c r="F2372" s="480"/>
      <c r="G2372" s="221" t="s">
        <v>74</v>
      </c>
      <c r="H2372" s="145" t="str" cm="1">
        <f t="array" ref="H2372">IFERROR(INDEX(INVESTOR_LIST[INVESTOR NAME],MATCH(I2372,INVESTOR_LIST[INVESTOR CODE],0),)," ")</f>
        <v xml:space="preserve"> </v>
      </c>
      <c r="I2372" s="145"/>
      <c r="J2372" s="163" t="s">
        <v>52</v>
      </c>
      <c r="K2372" s="219"/>
      <c r="L2372" s="219">
        <v>10000</v>
      </c>
    </row>
    <row r="2373" spans="1:14" x14ac:dyDescent="0.2">
      <c r="A2373" s="168">
        <v>2021</v>
      </c>
      <c r="B2373" s="168">
        <v>2</v>
      </c>
      <c r="C2373" s="168">
        <v>24</v>
      </c>
      <c r="D2373" s="141">
        <f t="shared" si="80"/>
        <v>44251</v>
      </c>
      <c r="E2373" s="275">
        <f t="shared" si="81"/>
        <v>44251</v>
      </c>
      <c r="F2373" s="493" t="s">
        <v>290</v>
      </c>
      <c r="G2373" s="220" t="s">
        <v>74</v>
      </c>
      <c r="H2373" s="142" t="str" cm="1">
        <f t="array" ref="H2373">IFERROR(INDEX(INVESTOR_LIST[INVESTOR NAME],MATCH(I2373,INVESTOR_LIST[INVESTOR CODE],0),)," ")</f>
        <v xml:space="preserve"> </v>
      </c>
      <c r="I2373" s="142"/>
      <c r="J2373" s="168" t="s">
        <v>163</v>
      </c>
      <c r="K2373" s="226">
        <v>6500</v>
      </c>
      <c r="L2373" s="226"/>
    </row>
    <row r="2374" spans="1:14" x14ac:dyDescent="0.2">
      <c r="A2374" s="163">
        <v>2021</v>
      </c>
      <c r="B2374" s="163">
        <v>2</v>
      </c>
      <c r="C2374" s="163">
        <v>24</v>
      </c>
      <c r="D2374" s="141">
        <f t="shared" si="80"/>
        <v>44251</v>
      </c>
      <c r="E2374" s="275">
        <f t="shared" si="81"/>
        <v>44251</v>
      </c>
      <c r="F2374" s="480"/>
      <c r="G2374" s="221" t="s">
        <v>74</v>
      </c>
      <c r="H2374" s="145" t="str" cm="1">
        <f t="array" ref="H2374">IFERROR(INDEX(INVESTOR_LIST[INVESTOR NAME],MATCH(I2374,INVESTOR_LIST[INVESTOR CODE],0),)," ")</f>
        <v xml:space="preserve"> </v>
      </c>
      <c r="I2374" s="145"/>
      <c r="J2374" s="163" t="s">
        <v>52</v>
      </c>
      <c r="K2374" s="219"/>
      <c r="L2374" s="219">
        <v>6500</v>
      </c>
    </row>
    <row r="2375" spans="1:14" x14ac:dyDescent="0.2">
      <c r="A2375" s="168">
        <v>2021</v>
      </c>
      <c r="B2375" s="168">
        <v>2</v>
      </c>
      <c r="C2375" s="168">
        <v>24</v>
      </c>
      <c r="D2375" s="141">
        <f t="shared" si="80"/>
        <v>44251</v>
      </c>
      <c r="E2375" s="275">
        <f t="shared" si="81"/>
        <v>44251</v>
      </c>
      <c r="F2375" s="479" t="s">
        <v>360</v>
      </c>
      <c r="G2375" s="220" t="s">
        <v>94</v>
      </c>
      <c r="H2375" s="142" t="str" cm="1">
        <f t="array" ref="H2375">IFERROR(INDEX(INVESTOR_LIST[INVESTOR NAME],MATCH(I2375,INVESTOR_LIST[INVESTOR CODE],0),)," ")</f>
        <v xml:space="preserve"> </v>
      </c>
      <c r="I2375" s="142"/>
      <c r="J2375" s="168" t="s">
        <v>190</v>
      </c>
      <c r="K2375" s="226">
        <v>4338885.92</v>
      </c>
      <c r="L2375" s="226"/>
      <c r="N2375" s="160"/>
    </row>
    <row r="2376" spans="1:14" x14ac:dyDescent="0.2">
      <c r="A2376" s="133">
        <v>2021</v>
      </c>
      <c r="B2376" s="133">
        <v>2</v>
      </c>
      <c r="C2376" s="133">
        <v>24</v>
      </c>
      <c r="D2376" s="141">
        <f t="shared" si="80"/>
        <v>44251</v>
      </c>
      <c r="E2376" s="275">
        <f t="shared" si="81"/>
        <v>44251</v>
      </c>
      <c r="F2376" s="481"/>
      <c r="G2376" s="174" t="s">
        <v>94</v>
      </c>
      <c r="H2376" s="148" t="str" cm="1">
        <f t="array" ref="H2376">IFERROR(INDEX(INVESTOR_LIST[INVESTOR NAME],MATCH(I2376,INVESTOR_LIST[INVESTOR CODE],0),)," ")</f>
        <v xml:space="preserve"> </v>
      </c>
      <c r="J2376" s="133" t="s">
        <v>80</v>
      </c>
      <c r="K2376" s="218">
        <v>7824.08</v>
      </c>
      <c r="L2376" s="218"/>
    </row>
    <row r="2377" spans="1:14" x14ac:dyDescent="0.2">
      <c r="A2377" s="133">
        <v>2021</v>
      </c>
      <c r="B2377" s="133">
        <v>2</v>
      </c>
      <c r="C2377" s="133">
        <v>24</v>
      </c>
      <c r="D2377" s="141">
        <f t="shared" si="80"/>
        <v>44251</v>
      </c>
      <c r="E2377" s="275">
        <f t="shared" si="81"/>
        <v>44251</v>
      </c>
      <c r="F2377" s="481"/>
      <c r="G2377" s="174" t="s">
        <v>94</v>
      </c>
      <c r="H2377" s="148" t="str" cm="1">
        <f t="array" ref="H2377">IFERROR(INDEX(INVESTOR_LIST[INVESTOR NAME],MATCH(I2377,INVESTOR_LIST[INVESTOR CODE],0),)," ")</f>
        <v xml:space="preserve"> </v>
      </c>
      <c r="J2377" s="133" t="s">
        <v>191</v>
      </c>
      <c r="K2377" s="218">
        <v>227358.74</v>
      </c>
      <c r="L2377" s="218"/>
    </row>
    <row r="2378" spans="1:14" x14ac:dyDescent="0.2">
      <c r="A2378" s="163">
        <v>2021</v>
      </c>
      <c r="B2378" s="163">
        <v>2</v>
      </c>
      <c r="C2378" s="163">
        <v>24</v>
      </c>
      <c r="D2378" s="141">
        <f t="shared" si="80"/>
        <v>44251</v>
      </c>
      <c r="E2378" s="275">
        <f t="shared" si="81"/>
        <v>44251</v>
      </c>
      <c r="F2378" s="480"/>
      <c r="G2378" s="221" t="s">
        <v>94</v>
      </c>
      <c r="H2378" s="145" t="str" cm="1">
        <f t="array" ref="H2378">IFERROR(INDEX(INVESTOR_LIST[INVESTOR NAME],MATCH(I2378,INVESTOR_LIST[INVESTOR CODE],0),)," ")</f>
        <v xml:space="preserve"> </v>
      </c>
      <c r="I2378" s="145"/>
      <c r="J2378" s="163" t="s">
        <v>79</v>
      </c>
      <c r="K2378" s="219"/>
      <c r="L2378" s="219">
        <v>4574068.74</v>
      </c>
    </row>
    <row r="2379" spans="1:14" ht="22.5" x14ac:dyDescent="0.2">
      <c r="A2379" s="168">
        <v>2021</v>
      </c>
      <c r="B2379" s="168">
        <v>2</v>
      </c>
      <c r="C2379" s="168">
        <v>25</v>
      </c>
      <c r="D2379" s="141">
        <f t="shared" si="80"/>
        <v>44252</v>
      </c>
      <c r="E2379" s="275">
        <f t="shared" si="81"/>
        <v>44252</v>
      </c>
      <c r="F2379" s="479" t="s">
        <v>965</v>
      </c>
      <c r="G2379" s="220" t="s">
        <v>74</v>
      </c>
      <c r="H2379" s="142" t="str" cm="1">
        <f t="array" ref="H2379">IFERROR(INDEX(INVESTOR_LIST[INVESTOR NAME],MATCH(I2379,INVESTOR_LIST[INVESTOR CODE],0),)," ")</f>
        <v>SK FEROZ ALAM</v>
      </c>
      <c r="I2379" s="142" t="s">
        <v>462</v>
      </c>
      <c r="J2379" s="168" t="s">
        <v>13</v>
      </c>
      <c r="K2379" s="226">
        <v>450000</v>
      </c>
      <c r="L2379" s="226"/>
    </row>
    <row r="2380" spans="1:14" ht="22.5" x14ac:dyDescent="0.2">
      <c r="A2380" s="133">
        <v>2021</v>
      </c>
      <c r="B2380" s="133">
        <v>2</v>
      </c>
      <c r="C2380" s="133">
        <v>25</v>
      </c>
      <c r="D2380" s="141">
        <f t="shared" si="80"/>
        <v>44252</v>
      </c>
      <c r="E2380" s="275">
        <f t="shared" si="81"/>
        <v>44252</v>
      </c>
      <c r="F2380" s="481"/>
      <c r="G2380" s="174" t="s">
        <v>74</v>
      </c>
      <c r="H2380" s="148" t="str" cm="1">
        <f t="array" ref="H2380">IFERROR(INDEX(INVESTOR_LIST[INVESTOR NAME],MATCH(I2380,INVESTOR_LIST[INVESTOR CODE],0),)," ")</f>
        <v>SK FEROZ ALAM</v>
      </c>
      <c r="I2380" s="148" t="s">
        <v>462</v>
      </c>
      <c r="J2380" s="133" t="s">
        <v>53</v>
      </c>
      <c r="K2380" s="218">
        <v>127699.34</v>
      </c>
      <c r="L2380" s="218"/>
    </row>
    <row r="2381" spans="1:14" ht="22.5" x14ac:dyDescent="0.2">
      <c r="A2381" s="163">
        <v>2021</v>
      </c>
      <c r="B2381" s="163">
        <v>2</v>
      </c>
      <c r="C2381" s="163">
        <v>25</v>
      </c>
      <c r="D2381" s="141">
        <f t="shared" si="80"/>
        <v>44252</v>
      </c>
      <c r="E2381" s="275">
        <f t="shared" si="81"/>
        <v>44252</v>
      </c>
      <c r="F2381" s="480"/>
      <c r="G2381" s="221" t="s">
        <v>74</v>
      </c>
      <c r="H2381" s="145" t="str" cm="1">
        <f t="array" ref="H2381">IFERROR(INDEX(INVESTOR_LIST[INVESTOR NAME],MATCH(I2381,INVESTOR_LIST[INVESTOR CODE],0),)," ")</f>
        <v>SK FEROZ ALAM</v>
      </c>
      <c r="I2381" s="145" t="s">
        <v>462</v>
      </c>
      <c r="J2381" s="163" t="s">
        <v>52</v>
      </c>
      <c r="K2381" s="219"/>
      <c r="L2381" s="219">
        <v>577699.34</v>
      </c>
    </row>
    <row r="2382" spans="1:14" ht="22.5" x14ac:dyDescent="0.2">
      <c r="A2382" s="168">
        <v>2021</v>
      </c>
      <c r="B2382" s="168">
        <v>2</v>
      </c>
      <c r="C2382" s="168">
        <v>25</v>
      </c>
      <c r="D2382" s="141">
        <f t="shared" ref="D2382:D2445" si="82">DATE(A2382,B2382,C2382)</f>
        <v>44252</v>
      </c>
      <c r="E2382" s="275">
        <f t="shared" si="81"/>
        <v>44252</v>
      </c>
      <c r="F2382" s="479" t="s">
        <v>965</v>
      </c>
      <c r="G2382" s="220" t="s">
        <v>74</v>
      </c>
      <c r="H2382" s="142" t="str" cm="1">
        <f t="array" ref="H2382">IFERROR(INDEX(INVESTOR_LIST[INVESTOR NAME],MATCH(I2382,INVESTOR_LIST[INVESTOR CODE],0),)," ")</f>
        <v>EVANA YEASMIN</v>
      </c>
      <c r="I2382" s="142" t="s">
        <v>504</v>
      </c>
      <c r="J2382" s="168" t="s">
        <v>13</v>
      </c>
      <c r="K2382" s="226">
        <v>80000</v>
      </c>
      <c r="L2382" s="226"/>
    </row>
    <row r="2383" spans="1:14" ht="22.5" x14ac:dyDescent="0.2">
      <c r="A2383" s="133">
        <v>2021</v>
      </c>
      <c r="B2383" s="133">
        <v>2</v>
      </c>
      <c r="C2383" s="133">
        <v>25</v>
      </c>
      <c r="D2383" s="141">
        <f t="shared" si="82"/>
        <v>44252</v>
      </c>
      <c r="E2383" s="275">
        <f t="shared" ref="E2383:E2446" si="83">DATE(A2383,B2383,C2383)</f>
        <v>44252</v>
      </c>
      <c r="F2383" s="481"/>
      <c r="G2383" s="174" t="s">
        <v>74</v>
      </c>
      <c r="H2383" s="148" t="str" cm="1">
        <f t="array" ref="H2383">IFERROR(INDEX(INVESTOR_LIST[INVESTOR NAME],MATCH(I2383,INVESTOR_LIST[INVESTOR CODE],0),)," ")</f>
        <v>EVANA YEASMIN</v>
      </c>
      <c r="I2383" s="148" t="s">
        <v>504</v>
      </c>
      <c r="J2383" s="133" t="s">
        <v>53</v>
      </c>
      <c r="K2383" s="218">
        <v>22717.91</v>
      </c>
      <c r="L2383" s="218"/>
    </row>
    <row r="2384" spans="1:14" ht="22.5" x14ac:dyDescent="0.2">
      <c r="A2384" s="163">
        <v>2021</v>
      </c>
      <c r="B2384" s="163">
        <v>2</v>
      </c>
      <c r="C2384" s="163">
        <v>25</v>
      </c>
      <c r="D2384" s="141">
        <f t="shared" si="82"/>
        <v>44252</v>
      </c>
      <c r="E2384" s="275">
        <f t="shared" si="83"/>
        <v>44252</v>
      </c>
      <c r="F2384" s="480"/>
      <c r="G2384" s="221" t="s">
        <v>74</v>
      </c>
      <c r="H2384" s="145" t="str" cm="1">
        <f t="array" ref="H2384">IFERROR(INDEX(INVESTOR_LIST[INVESTOR NAME],MATCH(I2384,INVESTOR_LIST[INVESTOR CODE],0),)," ")</f>
        <v>EVANA YEASMIN</v>
      </c>
      <c r="I2384" s="145" t="s">
        <v>504</v>
      </c>
      <c r="J2384" s="163" t="s">
        <v>52</v>
      </c>
      <c r="K2384" s="219"/>
      <c r="L2384" s="219">
        <v>102717.91</v>
      </c>
    </row>
    <row r="2385" spans="1:14" x14ac:dyDescent="0.2">
      <c r="A2385" s="168">
        <v>2021</v>
      </c>
      <c r="B2385" s="168">
        <v>2</v>
      </c>
      <c r="C2385" s="168">
        <v>25</v>
      </c>
      <c r="D2385" s="141">
        <f t="shared" si="82"/>
        <v>44252</v>
      </c>
      <c r="E2385" s="275">
        <f t="shared" si="83"/>
        <v>44252</v>
      </c>
      <c r="F2385" s="479" t="s">
        <v>535</v>
      </c>
      <c r="G2385" s="220" t="s">
        <v>74</v>
      </c>
      <c r="H2385" s="142" t="str" cm="1">
        <f t="array" ref="H2385">IFERROR(INDEX(INVESTOR_LIST[INVESTOR NAME],MATCH(I2385,INVESTOR_LIST[INVESTOR CODE],0),)," ")</f>
        <v xml:space="preserve"> </v>
      </c>
      <c r="I2385" s="142"/>
      <c r="J2385" s="168" t="s">
        <v>358</v>
      </c>
      <c r="K2385" s="226">
        <f>74542.4+10400</f>
        <v>84942.399999999994</v>
      </c>
      <c r="L2385" s="226"/>
    </row>
    <row r="2386" spans="1:14" x14ac:dyDescent="0.2">
      <c r="A2386" s="133">
        <v>2021</v>
      </c>
      <c r="B2386" s="133">
        <v>2</v>
      </c>
      <c r="C2386" s="133">
        <v>25</v>
      </c>
      <c r="D2386" s="141">
        <f t="shared" si="82"/>
        <v>44252</v>
      </c>
      <c r="E2386" s="275">
        <f t="shared" si="83"/>
        <v>44252</v>
      </c>
      <c r="F2386" s="481"/>
      <c r="G2386" s="174" t="s">
        <v>74</v>
      </c>
      <c r="H2386" s="148" t="str" cm="1">
        <f t="array" ref="H2386">IFERROR(INDEX(INVESTOR_LIST[INVESTOR NAME],MATCH(I2386,INVESTOR_LIST[INVESTOR CODE],0),)," ")</f>
        <v xml:space="preserve"> </v>
      </c>
      <c r="J2386" s="133" t="s">
        <v>52</v>
      </c>
      <c r="K2386" s="218"/>
      <c r="L2386" s="218">
        <f>69588.16+10400</f>
        <v>79988.160000000003</v>
      </c>
    </row>
    <row r="2387" spans="1:14" x14ac:dyDescent="0.2">
      <c r="A2387" s="163">
        <v>2021</v>
      </c>
      <c r="B2387" s="163">
        <v>2</v>
      </c>
      <c r="C2387" s="163">
        <v>25</v>
      </c>
      <c r="D2387" s="141">
        <f t="shared" si="82"/>
        <v>44252</v>
      </c>
      <c r="E2387" s="275">
        <f t="shared" si="83"/>
        <v>44252</v>
      </c>
      <c r="F2387" s="480"/>
      <c r="G2387" s="221" t="s">
        <v>74</v>
      </c>
      <c r="H2387" s="145" t="str" cm="1">
        <f t="array" ref="H2387">IFERROR(INDEX(INVESTOR_LIST[INVESTOR NAME],MATCH(I2387,INVESTOR_LIST[INVESTOR CODE],0),)," ")</f>
        <v xml:space="preserve"> </v>
      </c>
      <c r="I2387" s="145"/>
      <c r="J2387" s="163" t="s">
        <v>534</v>
      </c>
      <c r="K2387" s="219"/>
      <c r="L2387" s="219">
        <v>4954.2400000000016</v>
      </c>
    </row>
    <row r="2388" spans="1:14" ht="22.5" x14ac:dyDescent="0.2">
      <c r="A2388" s="168">
        <v>2021</v>
      </c>
      <c r="B2388" s="168">
        <v>2</v>
      </c>
      <c r="C2388" s="168">
        <v>25</v>
      </c>
      <c r="D2388" s="141">
        <f t="shared" si="82"/>
        <v>44252</v>
      </c>
      <c r="E2388" s="275">
        <f t="shared" si="83"/>
        <v>44252</v>
      </c>
      <c r="F2388" s="479" t="s">
        <v>965</v>
      </c>
      <c r="G2388" s="220" t="s">
        <v>74</v>
      </c>
      <c r="H2388" s="142" t="str" cm="1">
        <f t="array" ref="H2388">IFERROR(INDEX(INVESTOR_LIST[INVESTOR NAME],MATCH(I2388,INVESTOR_LIST[INVESTOR CODE],0),)," ")</f>
        <v>ANJANA SAHA</v>
      </c>
      <c r="I2388" s="142" t="s">
        <v>382</v>
      </c>
      <c r="J2388" s="168" t="s">
        <v>13</v>
      </c>
      <c r="K2388" s="226">
        <v>389410</v>
      </c>
      <c r="L2388" s="226"/>
    </row>
    <row r="2389" spans="1:14" ht="22.5" x14ac:dyDescent="0.2">
      <c r="A2389" s="133">
        <v>2021</v>
      </c>
      <c r="B2389" s="133">
        <v>2</v>
      </c>
      <c r="C2389" s="133">
        <v>25</v>
      </c>
      <c r="D2389" s="141">
        <f t="shared" si="82"/>
        <v>44252</v>
      </c>
      <c r="E2389" s="275">
        <f t="shared" si="83"/>
        <v>44252</v>
      </c>
      <c r="F2389" s="481"/>
      <c r="G2389" s="174" t="s">
        <v>74</v>
      </c>
      <c r="H2389" s="148" t="str" cm="1">
        <f t="array" ref="H2389">IFERROR(INDEX(INVESTOR_LIST[INVESTOR NAME],MATCH(I2389,INVESTOR_LIST[INVESTOR CODE],0),)," ")</f>
        <v>ANJANA SAHA</v>
      </c>
      <c r="I2389" s="148" t="s">
        <v>382</v>
      </c>
      <c r="J2389" s="133" t="s">
        <v>53</v>
      </c>
      <c r="K2389" s="218">
        <v>110582.25</v>
      </c>
      <c r="L2389" s="218"/>
    </row>
    <row r="2390" spans="1:14" ht="22.5" x14ac:dyDescent="0.2">
      <c r="A2390" s="163">
        <v>2021</v>
      </c>
      <c r="B2390" s="163">
        <v>2</v>
      </c>
      <c r="C2390" s="163">
        <v>25</v>
      </c>
      <c r="D2390" s="141">
        <f t="shared" si="82"/>
        <v>44252</v>
      </c>
      <c r="E2390" s="275">
        <f t="shared" si="83"/>
        <v>44252</v>
      </c>
      <c r="F2390" s="480"/>
      <c r="G2390" s="221" t="s">
        <v>74</v>
      </c>
      <c r="H2390" s="145" t="str" cm="1">
        <f t="array" ref="H2390">IFERROR(INDEX(INVESTOR_LIST[INVESTOR NAME],MATCH(I2390,INVESTOR_LIST[INVESTOR CODE],0),)," ")</f>
        <v>ANJANA SAHA</v>
      </c>
      <c r="I2390" s="145" t="s">
        <v>382</v>
      </c>
      <c r="J2390" s="163" t="s">
        <v>52</v>
      </c>
      <c r="K2390" s="219"/>
      <c r="L2390" s="219">
        <v>499992.25</v>
      </c>
    </row>
    <row r="2391" spans="1:14" x14ac:dyDescent="0.2">
      <c r="A2391" s="168">
        <v>2021</v>
      </c>
      <c r="B2391" s="168">
        <v>2</v>
      </c>
      <c r="C2391" s="168">
        <v>25</v>
      </c>
      <c r="D2391" s="141">
        <f t="shared" si="82"/>
        <v>44252</v>
      </c>
      <c r="E2391" s="275">
        <f t="shared" si="83"/>
        <v>44252</v>
      </c>
      <c r="F2391" s="479" t="s">
        <v>360</v>
      </c>
      <c r="G2391" s="220" t="s">
        <v>94</v>
      </c>
      <c r="H2391" s="142" t="str" cm="1">
        <f t="array" ref="H2391">IFERROR(INDEX(INVESTOR_LIST[INVESTOR NAME],MATCH(I2391,INVESTOR_LIST[INVESTOR CODE],0),)," ")</f>
        <v xml:space="preserve"> </v>
      </c>
      <c r="I2391" s="142"/>
      <c r="J2391" s="168" t="s">
        <v>190</v>
      </c>
      <c r="K2391" s="226">
        <v>3897337.84</v>
      </c>
      <c r="L2391" s="226"/>
    </row>
    <row r="2392" spans="1:14" x14ac:dyDescent="0.2">
      <c r="A2392" s="133">
        <v>2021</v>
      </c>
      <c r="B2392" s="133">
        <v>2</v>
      </c>
      <c r="C2392" s="133">
        <v>25</v>
      </c>
      <c r="D2392" s="141">
        <f t="shared" si="82"/>
        <v>44252</v>
      </c>
      <c r="E2392" s="275">
        <f t="shared" si="83"/>
        <v>44252</v>
      </c>
      <c r="F2392" s="481"/>
      <c r="G2392" s="174" t="s">
        <v>94</v>
      </c>
      <c r="H2392" s="148" t="str" cm="1">
        <f t="array" ref="H2392">IFERROR(INDEX(INVESTOR_LIST[INVESTOR NAME],MATCH(I2392,INVESTOR_LIST[INVESTOR CODE],0),)," ")</f>
        <v xml:space="preserve"> </v>
      </c>
      <c r="J2392" s="133" t="s">
        <v>80</v>
      </c>
      <c r="K2392" s="218">
        <v>7027.86</v>
      </c>
      <c r="L2392" s="218"/>
    </row>
    <row r="2393" spans="1:14" x14ac:dyDescent="0.2">
      <c r="A2393" s="133">
        <v>2021</v>
      </c>
      <c r="B2393" s="133">
        <v>2</v>
      </c>
      <c r="C2393" s="133">
        <v>25</v>
      </c>
      <c r="D2393" s="141">
        <f t="shared" si="82"/>
        <v>44252</v>
      </c>
      <c r="E2393" s="275">
        <f t="shared" si="83"/>
        <v>44252</v>
      </c>
      <c r="F2393" s="481"/>
      <c r="G2393" s="174" t="s">
        <v>94</v>
      </c>
      <c r="H2393" s="148" t="str" cm="1">
        <f t="array" ref="H2393">IFERROR(INDEX(INVESTOR_LIST[INVESTOR NAME],MATCH(I2393,INVESTOR_LIST[INVESTOR CODE],0),)," ")</f>
        <v xml:space="preserve"> </v>
      </c>
      <c r="J2393" s="133" t="s">
        <v>191</v>
      </c>
      <c r="K2393" s="218">
        <v>281429.46999999997</v>
      </c>
      <c r="L2393" s="218"/>
      <c r="N2393" s="160"/>
    </row>
    <row r="2394" spans="1:14" x14ac:dyDescent="0.2">
      <c r="A2394" s="163">
        <v>2021</v>
      </c>
      <c r="B2394" s="163">
        <v>2</v>
      </c>
      <c r="C2394" s="163">
        <v>25</v>
      </c>
      <c r="D2394" s="141">
        <f t="shared" si="82"/>
        <v>44252</v>
      </c>
      <c r="E2394" s="275">
        <f t="shared" si="83"/>
        <v>44252</v>
      </c>
      <c r="F2394" s="480"/>
      <c r="G2394" s="221" t="s">
        <v>94</v>
      </c>
      <c r="H2394" s="145" t="str" cm="1">
        <f t="array" ref="H2394">IFERROR(INDEX(INVESTOR_LIST[INVESTOR NAME],MATCH(I2394,INVESTOR_LIST[INVESTOR CODE],0),)," ")</f>
        <v xml:space="preserve"> </v>
      </c>
      <c r="I2394" s="145"/>
      <c r="J2394" s="163" t="s">
        <v>79</v>
      </c>
      <c r="K2394" s="219"/>
      <c r="L2394" s="219">
        <v>4185795.17</v>
      </c>
    </row>
    <row r="2395" spans="1:14" x14ac:dyDescent="0.2">
      <c r="A2395" s="133">
        <v>2021</v>
      </c>
      <c r="B2395" s="133">
        <v>2</v>
      </c>
      <c r="C2395" s="133">
        <v>25</v>
      </c>
      <c r="D2395" s="141">
        <f t="shared" si="82"/>
        <v>44252</v>
      </c>
      <c r="E2395" s="275">
        <f t="shared" si="83"/>
        <v>44252</v>
      </c>
      <c r="F2395" s="479" t="s">
        <v>544</v>
      </c>
      <c r="G2395" s="174" t="s">
        <v>74</v>
      </c>
      <c r="H2395" s="148" t="str" cm="1">
        <f t="array" ref="H2395">IFERROR(INDEX(INVESTOR_LIST[INVESTOR NAME],MATCH(I2395,INVESTOR_LIST[INVESTOR CODE],0),)," ")</f>
        <v xml:space="preserve"> </v>
      </c>
      <c r="J2395" s="133" t="s">
        <v>52</v>
      </c>
      <c r="K2395" s="218">
        <v>5008440.25</v>
      </c>
      <c r="L2395" s="218"/>
    </row>
    <row r="2396" spans="1:14" x14ac:dyDescent="0.2">
      <c r="A2396" s="133">
        <v>2021</v>
      </c>
      <c r="B2396" s="133">
        <v>2</v>
      </c>
      <c r="C2396" s="133">
        <v>25</v>
      </c>
      <c r="D2396" s="141">
        <f t="shared" si="82"/>
        <v>44252</v>
      </c>
      <c r="E2396" s="275">
        <f t="shared" si="83"/>
        <v>44252</v>
      </c>
      <c r="F2396" s="480"/>
      <c r="G2396" s="174" t="s">
        <v>74</v>
      </c>
      <c r="H2396" s="148" t="str" cm="1">
        <f t="array" ref="H2396">IFERROR(INDEX(INVESTOR_LIST[INVESTOR NAME],MATCH(I2396,INVESTOR_LIST[INVESTOR CODE],0),)," ")</f>
        <v xml:space="preserve"> </v>
      </c>
      <c r="J2396" s="133" t="s">
        <v>190</v>
      </c>
      <c r="K2396" s="218"/>
      <c r="L2396" s="218">
        <v>5008440.25</v>
      </c>
    </row>
    <row r="2397" spans="1:14" x14ac:dyDescent="0.2">
      <c r="A2397" s="238">
        <v>2021</v>
      </c>
      <c r="B2397" s="238">
        <v>2</v>
      </c>
      <c r="C2397" s="238">
        <v>25</v>
      </c>
      <c r="D2397" s="141">
        <f t="shared" si="82"/>
        <v>44252</v>
      </c>
      <c r="E2397" s="275">
        <f t="shared" si="83"/>
        <v>44252</v>
      </c>
      <c r="F2397" s="477" t="s">
        <v>347</v>
      </c>
      <c r="G2397" s="239" t="s">
        <v>94</v>
      </c>
      <c r="H2397" s="239" t="str" cm="1">
        <f t="array" ref="H2397">IFERROR(INDEX(INVESTOR_LIST[INVESTOR NAME],MATCH(I2397,INVESTOR_LIST[INVESTOR CODE],0),)," ")</f>
        <v xml:space="preserve"> </v>
      </c>
      <c r="I2397" s="262" t="s">
        <v>348</v>
      </c>
      <c r="J2397" s="240" t="s">
        <v>83</v>
      </c>
      <c r="K2397" s="241">
        <v>3057185.203479616</v>
      </c>
      <c r="L2397" s="241"/>
    </row>
    <row r="2398" spans="1:14" x14ac:dyDescent="0.2">
      <c r="A2398" s="242">
        <v>2021</v>
      </c>
      <c r="B2398" s="242">
        <v>2</v>
      </c>
      <c r="C2398" s="242">
        <v>25</v>
      </c>
      <c r="D2398" s="141">
        <f t="shared" si="82"/>
        <v>44252</v>
      </c>
      <c r="E2398" s="275">
        <f t="shared" si="83"/>
        <v>44252</v>
      </c>
      <c r="F2398" s="478"/>
      <c r="G2398" s="243" t="s">
        <v>94</v>
      </c>
      <c r="H2398" s="243" t="str" cm="1">
        <f t="array" ref="H2398">IFERROR(INDEX(INVESTOR_LIST[INVESTOR NAME],MATCH(I2398,INVESTOR_LIST[INVESTOR CODE],0),)," ")</f>
        <v xml:space="preserve"> </v>
      </c>
      <c r="I2398" s="263" t="s">
        <v>348</v>
      </c>
      <c r="J2398" s="244" t="s">
        <v>108</v>
      </c>
      <c r="K2398" s="245"/>
      <c r="L2398" s="245">
        <v>3057185.203479616</v>
      </c>
    </row>
    <row r="2399" spans="1:14" ht="22.5" x14ac:dyDescent="0.2">
      <c r="A2399" s="246">
        <v>2021</v>
      </c>
      <c r="B2399" s="246">
        <v>2</v>
      </c>
      <c r="C2399" s="246">
        <v>25</v>
      </c>
      <c r="D2399" s="141">
        <f t="shared" si="82"/>
        <v>44252</v>
      </c>
      <c r="E2399" s="275">
        <f t="shared" si="83"/>
        <v>44252</v>
      </c>
      <c r="F2399" s="482" t="s">
        <v>148</v>
      </c>
      <c r="G2399" s="247" t="s">
        <v>94</v>
      </c>
      <c r="H2399" s="247" t="str" cm="1">
        <f t="array" ref="H2399">IFERROR(INDEX(INVESTOR_LIST[INVESTOR NAME],MATCH(I2399,INVESTOR_LIST[INVESTOR CODE],0),)," ")</f>
        <v xml:space="preserve"> </v>
      </c>
      <c r="I2399" s="248" t="s">
        <v>348</v>
      </c>
      <c r="J2399" s="249" t="s">
        <v>95</v>
      </c>
      <c r="K2399" s="250">
        <v>2747.2527472527472</v>
      </c>
      <c r="L2399" s="241"/>
      <c r="M2399" s="133">
        <v>2747.2527472527472</v>
      </c>
    </row>
    <row r="2400" spans="1:14" x14ac:dyDescent="0.2">
      <c r="A2400" s="242">
        <v>2021</v>
      </c>
      <c r="B2400" s="242">
        <v>2</v>
      </c>
      <c r="C2400" s="242">
        <v>25</v>
      </c>
      <c r="D2400" s="141">
        <f t="shared" si="82"/>
        <v>44252</v>
      </c>
      <c r="E2400" s="275">
        <f t="shared" si="83"/>
        <v>44252</v>
      </c>
      <c r="F2400" s="478"/>
      <c r="G2400" s="243" t="s">
        <v>94</v>
      </c>
      <c r="H2400" s="243" t="str" cm="1">
        <f t="array" ref="H2400">IFERROR(INDEX(INVESTOR_LIST[INVESTOR NAME],MATCH(I2400,INVESTOR_LIST[INVESTOR CODE],0),)," ")</f>
        <v xml:space="preserve"> </v>
      </c>
      <c r="I2400" s="263" t="s">
        <v>348</v>
      </c>
      <c r="J2400" s="244" t="s">
        <v>63</v>
      </c>
      <c r="K2400" s="245"/>
      <c r="L2400" s="245">
        <v>2747.2527472527472</v>
      </c>
      <c r="M2400" s="133">
        <v>79165.649373741006</v>
      </c>
    </row>
    <row r="2401" spans="1:14" x14ac:dyDescent="0.2">
      <c r="A2401" s="246">
        <v>2021</v>
      </c>
      <c r="B2401" s="246">
        <v>2</v>
      </c>
      <c r="C2401" s="246">
        <v>25</v>
      </c>
      <c r="D2401" s="141">
        <f t="shared" si="82"/>
        <v>44252</v>
      </c>
      <c r="E2401" s="275">
        <f t="shared" si="83"/>
        <v>44252</v>
      </c>
      <c r="F2401" s="482" t="s">
        <v>137</v>
      </c>
      <c r="G2401" s="247" t="s">
        <v>94</v>
      </c>
      <c r="H2401" s="247" t="str" cm="1">
        <f t="array" ref="H2401">IFERROR(INDEX(INVESTOR_LIST[INVESTOR NAME],MATCH(I2401,INVESTOR_LIST[INVESTOR CODE],0),)," ")</f>
        <v xml:space="preserve"> </v>
      </c>
      <c r="I2401" s="248" t="s">
        <v>348</v>
      </c>
      <c r="J2401" s="249" t="s">
        <v>97</v>
      </c>
      <c r="K2401" s="250">
        <v>79165.649373741006</v>
      </c>
      <c r="L2401" s="252"/>
      <c r="M2401" s="133">
        <v>3717.8978533024347</v>
      </c>
    </row>
    <row r="2402" spans="1:14" x14ac:dyDescent="0.2">
      <c r="A2402" s="242">
        <v>2021</v>
      </c>
      <c r="B2402" s="242">
        <v>2</v>
      </c>
      <c r="C2402" s="242">
        <v>25</v>
      </c>
      <c r="D2402" s="141">
        <f t="shared" si="82"/>
        <v>44252</v>
      </c>
      <c r="E2402" s="275">
        <f t="shared" si="83"/>
        <v>44252</v>
      </c>
      <c r="F2402" s="478"/>
      <c r="G2402" s="243" t="s">
        <v>94</v>
      </c>
      <c r="H2402" s="243" t="str" cm="1">
        <f t="array" ref="H2402">IFERROR(INDEX(INVESTOR_LIST[INVESTOR NAME],MATCH(I2402,INVESTOR_LIST[INVESTOR CODE],0),)," ")</f>
        <v xml:space="preserve"> </v>
      </c>
      <c r="I2402" s="263" t="s">
        <v>348</v>
      </c>
      <c r="J2402" s="244" t="s">
        <v>47</v>
      </c>
      <c r="K2402" s="245"/>
      <c r="L2402" s="245">
        <v>79165.649373741006</v>
      </c>
      <c r="N2402" s="160"/>
    </row>
    <row r="2403" spans="1:14" x14ac:dyDescent="0.2">
      <c r="A2403" s="246">
        <v>2021</v>
      </c>
      <c r="B2403" s="246">
        <v>2</v>
      </c>
      <c r="C2403" s="246">
        <v>25</v>
      </c>
      <c r="D2403" s="141">
        <f t="shared" si="82"/>
        <v>44252</v>
      </c>
      <c r="E2403" s="275">
        <f t="shared" si="83"/>
        <v>44252</v>
      </c>
      <c r="F2403" s="482" t="s">
        <v>138</v>
      </c>
      <c r="G2403" s="247" t="s">
        <v>94</v>
      </c>
      <c r="H2403" s="247" t="str" cm="1">
        <f t="array" ref="H2403">IFERROR(INDEX(INVESTOR_LIST[INVESTOR NAME],MATCH(I2403,INVESTOR_LIST[INVESTOR CODE],0),)," ")</f>
        <v xml:space="preserve"> </v>
      </c>
      <c r="I2403" s="248" t="s">
        <v>348</v>
      </c>
      <c r="J2403" s="249" t="s">
        <v>100</v>
      </c>
      <c r="K2403" s="250">
        <v>3717.8978533024347</v>
      </c>
      <c r="L2403" s="252"/>
    </row>
    <row r="2404" spans="1:14" x14ac:dyDescent="0.2">
      <c r="A2404" s="242">
        <v>2021</v>
      </c>
      <c r="B2404" s="242">
        <v>2</v>
      </c>
      <c r="C2404" s="242">
        <v>25</v>
      </c>
      <c r="D2404" s="141">
        <f t="shared" si="82"/>
        <v>44252</v>
      </c>
      <c r="E2404" s="275">
        <f t="shared" si="83"/>
        <v>44252</v>
      </c>
      <c r="F2404" s="478"/>
      <c r="G2404" s="243" t="s">
        <v>94</v>
      </c>
      <c r="H2404" s="243" t="str" cm="1">
        <f t="array" ref="H2404">IFERROR(INDEX(INVESTOR_LIST[INVESTOR NAME],MATCH(I2404,INVESTOR_LIST[INVESTOR CODE],0),)," ")</f>
        <v xml:space="preserve"> </v>
      </c>
      <c r="I2404" s="263" t="s">
        <v>348</v>
      </c>
      <c r="J2404" s="244" t="s">
        <v>48</v>
      </c>
      <c r="K2404" s="245"/>
      <c r="L2404" s="245">
        <v>3717.8978533024347</v>
      </c>
    </row>
    <row r="2405" spans="1:14" x14ac:dyDescent="0.2">
      <c r="A2405" s="133">
        <v>2021</v>
      </c>
      <c r="B2405" s="133">
        <v>2</v>
      </c>
      <c r="C2405" s="133">
        <v>28</v>
      </c>
      <c r="D2405" s="141">
        <f t="shared" si="82"/>
        <v>44255</v>
      </c>
      <c r="E2405" s="275">
        <f t="shared" si="83"/>
        <v>44255</v>
      </c>
      <c r="F2405" s="479" t="s">
        <v>545</v>
      </c>
      <c r="G2405" s="174" t="s">
        <v>74</v>
      </c>
      <c r="H2405" s="174" t="str" cm="1">
        <f t="array" ref="H2405">IFERROR(INDEX(INVESTOR_LIST[INVESTOR NAME],MATCH(I2405,INVESTOR_LIST[INVESTOR CODE],0),)," ")</f>
        <v xml:space="preserve"> </v>
      </c>
      <c r="J2405" s="149" t="s">
        <v>47</v>
      </c>
      <c r="K2405" s="218">
        <v>1307941</v>
      </c>
      <c r="L2405" s="218"/>
    </row>
    <row r="2406" spans="1:14" x14ac:dyDescent="0.2">
      <c r="A2406" s="133">
        <v>2021</v>
      </c>
      <c r="B2406" s="133">
        <v>2</v>
      </c>
      <c r="C2406" s="133">
        <v>28</v>
      </c>
      <c r="D2406" s="141">
        <f t="shared" si="82"/>
        <v>44255</v>
      </c>
      <c r="E2406" s="275">
        <f t="shared" si="83"/>
        <v>44255</v>
      </c>
      <c r="F2406" s="480"/>
      <c r="G2406" s="174" t="s">
        <v>74</v>
      </c>
      <c r="H2406" s="174" t="str" cm="1">
        <f t="array" ref="H2406">IFERROR(INDEX(INVESTOR_LIST[INVESTOR NAME],MATCH(I2406,INVESTOR_LIST[INVESTOR CODE],0),)," ")</f>
        <v xml:space="preserve"> </v>
      </c>
      <c r="J2406" s="149" t="s">
        <v>52</v>
      </c>
      <c r="K2406" s="218"/>
      <c r="L2406" s="218">
        <v>1307941</v>
      </c>
    </row>
    <row r="2407" spans="1:14" x14ac:dyDescent="0.2">
      <c r="A2407" s="168">
        <v>2021</v>
      </c>
      <c r="B2407" s="168">
        <v>2</v>
      </c>
      <c r="C2407" s="168">
        <v>28</v>
      </c>
      <c r="D2407" s="141">
        <f t="shared" si="82"/>
        <v>44255</v>
      </c>
      <c r="E2407" s="275">
        <f t="shared" si="83"/>
        <v>44255</v>
      </c>
      <c r="F2407" s="479" t="s">
        <v>77</v>
      </c>
      <c r="G2407" s="220" t="s">
        <v>74</v>
      </c>
      <c r="H2407" s="220" t="str" cm="1">
        <f t="array" ref="H2407">IFERROR(INDEX(INVESTOR_LIST[INVESTOR NAME],MATCH(I2407,INVESTOR_LIST[INVESTOR CODE],0),)," ")</f>
        <v xml:space="preserve"> </v>
      </c>
      <c r="I2407" s="142" t="s">
        <v>348</v>
      </c>
      <c r="J2407" s="143" t="s">
        <v>61</v>
      </c>
      <c r="K2407" s="226">
        <v>100</v>
      </c>
      <c r="L2407" s="226"/>
    </row>
    <row r="2408" spans="1:14" x14ac:dyDescent="0.2">
      <c r="A2408" s="163">
        <v>2021</v>
      </c>
      <c r="B2408" s="163">
        <v>2</v>
      </c>
      <c r="C2408" s="163">
        <v>28</v>
      </c>
      <c r="D2408" s="141">
        <f t="shared" si="82"/>
        <v>44255</v>
      </c>
      <c r="E2408" s="275">
        <f t="shared" si="83"/>
        <v>44255</v>
      </c>
      <c r="F2408" s="480"/>
      <c r="G2408" s="221" t="s">
        <v>74</v>
      </c>
      <c r="H2408" s="221" t="str" cm="1">
        <f t="array" ref="H2408">IFERROR(INDEX(INVESTOR_LIST[INVESTOR NAME],MATCH(I2408,INVESTOR_LIST[INVESTOR CODE],0),)," ")</f>
        <v xml:space="preserve"> </v>
      </c>
      <c r="I2408" s="145" t="s">
        <v>348</v>
      </c>
      <c r="J2408" s="146" t="s">
        <v>52</v>
      </c>
      <c r="K2408" s="219"/>
      <c r="L2408" s="219">
        <v>100</v>
      </c>
    </row>
    <row r="2409" spans="1:14" x14ac:dyDescent="0.2">
      <c r="A2409" s="133">
        <v>2021</v>
      </c>
      <c r="B2409" s="133">
        <v>2</v>
      </c>
      <c r="C2409" s="133">
        <v>28</v>
      </c>
      <c r="D2409" s="141">
        <f t="shared" si="82"/>
        <v>44255</v>
      </c>
      <c r="E2409" s="275">
        <f t="shared" si="83"/>
        <v>44255</v>
      </c>
      <c r="F2409" s="479" t="s">
        <v>544</v>
      </c>
      <c r="G2409" s="174" t="s">
        <v>74</v>
      </c>
      <c r="H2409" s="148" t="str" cm="1">
        <f t="array" ref="H2409">IFERROR(INDEX(INVESTOR_LIST[INVESTOR NAME],MATCH(I2409,INVESTOR_LIST[INVESTOR CODE],0),)," ")</f>
        <v xml:space="preserve"> </v>
      </c>
      <c r="J2409" s="133" t="s">
        <v>52</v>
      </c>
      <c r="K2409" s="218">
        <v>4338885.92</v>
      </c>
      <c r="L2409" s="218"/>
    </row>
    <row r="2410" spans="1:14" x14ac:dyDescent="0.2">
      <c r="A2410" s="133">
        <v>2021</v>
      </c>
      <c r="B2410" s="133">
        <v>2</v>
      </c>
      <c r="C2410" s="133">
        <v>28</v>
      </c>
      <c r="D2410" s="141">
        <f t="shared" si="82"/>
        <v>44255</v>
      </c>
      <c r="E2410" s="275">
        <f t="shared" si="83"/>
        <v>44255</v>
      </c>
      <c r="F2410" s="481"/>
      <c r="G2410" s="174" t="s">
        <v>74</v>
      </c>
      <c r="H2410" s="148" t="str" cm="1">
        <f t="array" ref="H2410">IFERROR(INDEX(INVESTOR_LIST[INVESTOR NAME],MATCH(I2410,INVESTOR_LIST[INVESTOR CODE],0),)," ")</f>
        <v xml:space="preserve"> </v>
      </c>
      <c r="J2410" s="133" t="s">
        <v>190</v>
      </c>
      <c r="K2410" s="218"/>
      <c r="L2410" s="218">
        <v>4338885.92</v>
      </c>
    </row>
    <row r="2411" spans="1:14" x14ac:dyDescent="0.2">
      <c r="A2411" s="168">
        <v>2021</v>
      </c>
      <c r="B2411" s="168">
        <v>2</v>
      </c>
      <c r="C2411" s="168">
        <v>28</v>
      </c>
      <c r="D2411" s="141">
        <f t="shared" si="82"/>
        <v>44255</v>
      </c>
      <c r="E2411" s="275">
        <f t="shared" si="83"/>
        <v>44255</v>
      </c>
      <c r="F2411" s="479" t="s">
        <v>547</v>
      </c>
      <c r="G2411" s="220" t="s">
        <v>74</v>
      </c>
      <c r="H2411" s="142" t="str" cm="1">
        <f t="array" ref="H2411">IFERROR(INDEX(INVESTOR_LIST[INVESTOR NAME],MATCH(I2411,INVESTOR_LIST[INVESTOR CODE],0),)," ")</f>
        <v xml:space="preserve"> </v>
      </c>
      <c r="I2411" s="142"/>
      <c r="J2411" s="168" t="s">
        <v>52</v>
      </c>
      <c r="K2411" s="226">
        <v>113000</v>
      </c>
      <c r="L2411" s="226"/>
    </row>
    <row r="2412" spans="1:14" x14ac:dyDescent="0.2">
      <c r="A2412" s="163">
        <v>2021</v>
      </c>
      <c r="B2412" s="163">
        <v>2</v>
      </c>
      <c r="C2412" s="163">
        <v>28</v>
      </c>
      <c r="D2412" s="141">
        <f t="shared" si="82"/>
        <v>44255</v>
      </c>
      <c r="E2412" s="275">
        <f t="shared" si="83"/>
        <v>44255</v>
      </c>
      <c r="F2412" s="480"/>
      <c r="G2412" s="221" t="s">
        <v>74</v>
      </c>
      <c r="H2412" s="145" t="str" cm="1">
        <f t="array" ref="H2412">IFERROR(INDEX(INVESTOR_LIST[INVESTOR NAME],MATCH(I2412,INVESTOR_LIST[INVESTOR CODE],0),)," ")</f>
        <v xml:space="preserve"> </v>
      </c>
      <c r="I2412" s="145"/>
      <c r="J2412" s="163" t="s">
        <v>168</v>
      </c>
      <c r="K2412" s="219"/>
      <c r="L2412" s="219">
        <v>113000</v>
      </c>
    </row>
    <row r="2413" spans="1:14" x14ac:dyDescent="0.2">
      <c r="A2413" s="168">
        <v>2021</v>
      </c>
      <c r="B2413" s="168">
        <v>2</v>
      </c>
      <c r="C2413" s="168">
        <v>28</v>
      </c>
      <c r="D2413" s="141">
        <f t="shared" si="82"/>
        <v>44255</v>
      </c>
      <c r="E2413" s="275">
        <f t="shared" si="83"/>
        <v>44255</v>
      </c>
      <c r="F2413" s="479" t="s">
        <v>525</v>
      </c>
      <c r="G2413" s="220" t="s">
        <v>74</v>
      </c>
      <c r="H2413" s="220" t="str" cm="1">
        <f t="array" ref="H2413">IFERROR(INDEX(INVESTOR_LIST[INVESTOR NAME],MATCH(I2413,INVESTOR_LIST[INVESTOR CODE],0),)," ")</f>
        <v xml:space="preserve"> </v>
      </c>
      <c r="I2413" s="142"/>
      <c r="J2413" s="143" t="s">
        <v>52</v>
      </c>
      <c r="K2413" s="226">
        <v>35417</v>
      </c>
      <c r="L2413" s="226"/>
    </row>
    <row r="2414" spans="1:14" x14ac:dyDescent="0.2">
      <c r="A2414" s="163">
        <v>2021</v>
      </c>
      <c r="B2414" s="163">
        <v>2</v>
      </c>
      <c r="C2414" s="163">
        <v>28</v>
      </c>
      <c r="D2414" s="141">
        <f t="shared" si="82"/>
        <v>44255</v>
      </c>
      <c r="E2414" s="275">
        <f t="shared" si="83"/>
        <v>44255</v>
      </c>
      <c r="F2414" s="480"/>
      <c r="G2414" s="221" t="s">
        <v>74</v>
      </c>
      <c r="H2414" s="221" t="str" cm="1">
        <f t="array" ref="H2414">IFERROR(INDEX(INVESTOR_LIST[INVESTOR NAME],MATCH(I2414,INVESTOR_LIST[INVESTOR CODE],0),)," ")</f>
        <v xml:space="preserve"> </v>
      </c>
      <c r="I2414" s="145"/>
      <c r="J2414" s="146" t="s">
        <v>60</v>
      </c>
      <c r="K2414" s="219"/>
      <c r="L2414" s="219">
        <v>35417</v>
      </c>
    </row>
    <row r="2415" spans="1:14" x14ac:dyDescent="0.2">
      <c r="A2415" s="168">
        <v>2021</v>
      </c>
      <c r="B2415" s="168">
        <v>2</v>
      </c>
      <c r="C2415" s="168">
        <v>28</v>
      </c>
      <c r="D2415" s="141">
        <f t="shared" si="82"/>
        <v>44255</v>
      </c>
      <c r="E2415" s="275">
        <f t="shared" si="83"/>
        <v>44255</v>
      </c>
      <c r="F2415" s="479" t="s">
        <v>525</v>
      </c>
      <c r="G2415" s="220" t="s">
        <v>74</v>
      </c>
      <c r="H2415" s="220" t="str" cm="1">
        <f t="array" ref="H2415">IFERROR(INDEX(INVESTOR_LIST[INVESTOR NAME],MATCH(I2415,INVESTOR_LIST[INVESTOR CODE],0),)," ")</f>
        <v xml:space="preserve"> </v>
      </c>
      <c r="I2415" s="142"/>
      <c r="J2415" s="143" t="s">
        <v>52</v>
      </c>
      <c r="K2415" s="226">
        <v>35417</v>
      </c>
      <c r="L2415" s="226"/>
    </row>
    <row r="2416" spans="1:14" x14ac:dyDescent="0.2">
      <c r="A2416" s="163">
        <v>2021</v>
      </c>
      <c r="B2416" s="163">
        <v>2</v>
      </c>
      <c r="C2416" s="163">
        <v>28</v>
      </c>
      <c r="D2416" s="141">
        <f t="shared" si="82"/>
        <v>44255</v>
      </c>
      <c r="E2416" s="275">
        <f t="shared" si="83"/>
        <v>44255</v>
      </c>
      <c r="F2416" s="480"/>
      <c r="G2416" s="221" t="s">
        <v>74</v>
      </c>
      <c r="H2416" s="221" t="str" cm="1">
        <f t="array" ref="H2416">IFERROR(INDEX(INVESTOR_LIST[INVESTOR NAME],MATCH(I2416,INVESTOR_LIST[INVESTOR CODE],0),)," ")</f>
        <v xml:space="preserve"> </v>
      </c>
      <c r="I2416" s="145"/>
      <c r="J2416" s="146" t="s">
        <v>60</v>
      </c>
      <c r="K2416" s="219"/>
      <c r="L2416" s="219">
        <v>35417</v>
      </c>
    </row>
    <row r="2417" spans="1:14" x14ac:dyDescent="0.2">
      <c r="A2417" s="168">
        <v>2021</v>
      </c>
      <c r="B2417" s="168">
        <v>2</v>
      </c>
      <c r="C2417" s="168">
        <v>28</v>
      </c>
      <c r="D2417" s="141">
        <f t="shared" si="82"/>
        <v>44255</v>
      </c>
      <c r="E2417" s="275">
        <f t="shared" si="83"/>
        <v>44255</v>
      </c>
      <c r="F2417" s="479" t="s">
        <v>525</v>
      </c>
      <c r="G2417" s="220" t="s">
        <v>74</v>
      </c>
      <c r="H2417" s="220" t="str" cm="1">
        <f t="array" ref="H2417">IFERROR(INDEX(INVESTOR_LIST[INVESTOR NAME],MATCH(I2417,INVESTOR_LIST[INVESTOR CODE],0),)," ")</f>
        <v xml:space="preserve"> </v>
      </c>
      <c r="I2417" s="142"/>
      <c r="J2417" s="143" t="s">
        <v>52</v>
      </c>
      <c r="K2417" s="226">
        <v>21250</v>
      </c>
      <c r="L2417" s="226"/>
      <c r="N2417" s="160"/>
    </row>
    <row r="2418" spans="1:14" x14ac:dyDescent="0.2">
      <c r="A2418" s="163">
        <v>2021</v>
      </c>
      <c r="B2418" s="163">
        <v>2</v>
      </c>
      <c r="C2418" s="163">
        <v>28</v>
      </c>
      <c r="D2418" s="141">
        <f t="shared" si="82"/>
        <v>44255</v>
      </c>
      <c r="E2418" s="275">
        <f t="shared" si="83"/>
        <v>44255</v>
      </c>
      <c r="F2418" s="480"/>
      <c r="G2418" s="221" t="s">
        <v>74</v>
      </c>
      <c r="H2418" s="221" t="str" cm="1">
        <f t="array" ref="H2418">IFERROR(INDEX(INVESTOR_LIST[INVESTOR NAME],MATCH(I2418,INVESTOR_LIST[INVESTOR CODE],0),)," ")</f>
        <v xml:space="preserve"> </v>
      </c>
      <c r="I2418" s="145"/>
      <c r="J2418" s="146" t="s">
        <v>60</v>
      </c>
      <c r="K2418" s="219"/>
      <c r="L2418" s="219">
        <v>21250</v>
      </c>
    </row>
    <row r="2419" spans="1:14" ht="11.25" customHeight="1" x14ac:dyDescent="0.2">
      <c r="A2419" s="168">
        <v>2021</v>
      </c>
      <c r="B2419" s="168">
        <v>2</v>
      </c>
      <c r="C2419" s="168">
        <v>28</v>
      </c>
      <c r="D2419" s="141">
        <f t="shared" si="82"/>
        <v>44255</v>
      </c>
      <c r="E2419" s="275">
        <f t="shared" si="83"/>
        <v>44255</v>
      </c>
      <c r="F2419" s="479" t="s">
        <v>525</v>
      </c>
      <c r="G2419" s="220" t="s">
        <v>74</v>
      </c>
      <c r="H2419" s="220" t="str" cm="1">
        <f t="array" ref="H2419">IFERROR(INDEX(INVESTOR_LIST[INVESTOR NAME],MATCH(I2419,INVESTOR_LIST[INVESTOR CODE],0),)," ")</f>
        <v xml:space="preserve"> </v>
      </c>
      <c r="I2419" s="142"/>
      <c r="J2419" s="143" t="s">
        <v>52</v>
      </c>
      <c r="K2419" s="226">
        <v>14167</v>
      </c>
      <c r="L2419" s="226"/>
    </row>
    <row r="2420" spans="1:14" x14ac:dyDescent="0.2">
      <c r="A2420" s="163">
        <v>2021</v>
      </c>
      <c r="B2420" s="163">
        <v>2</v>
      </c>
      <c r="C2420" s="163">
        <v>28</v>
      </c>
      <c r="D2420" s="141">
        <f t="shared" si="82"/>
        <v>44255</v>
      </c>
      <c r="E2420" s="275">
        <f t="shared" si="83"/>
        <v>44255</v>
      </c>
      <c r="F2420" s="480"/>
      <c r="G2420" s="221" t="s">
        <v>74</v>
      </c>
      <c r="H2420" s="221" t="str" cm="1">
        <f t="array" ref="H2420">IFERROR(INDEX(INVESTOR_LIST[INVESTOR NAME],MATCH(I2420,INVESTOR_LIST[INVESTOR CODE],0),)," ")</f>
        <v xml:space="preserve"> </v>
      </c>
      <c r="I2420" s="145"/>
      <c r="J2420" s="146" t="s">
        <v>60</v>
      </c>
      <c r="K2420" s="219"/>
      <c r="L2420" s="219">
        <v>14167</v>
      </c>
    </row>
    <row r="2421" spans="1:14" ht="22.5" x14ac:dyDescent="0.2">
      <c r="A2421" s="168">
        <v>2021</v>
      </c>
      <c r="B2421" s="168">
        <v>3</v>
      </c>
      <c r="C2421" s="168">
        <v>1</v>
      </c>
      <c r="D2421" s="141">
        <f t="shared" si="82"/>
        <v>44256</v>
      </c>
      <c r="E2421" s="275">
        <f t="shared" si="83"/>
        <v>44256</v>
      </c>
      <c r="F2421" s="479" t="s">
        <v>965</v>
      </c>
      <c r="G2421" s="220" t="s">
        <v>74</v>
      </c>
      <c r="H2421" s="142" t="str" cm="1">
        <f t="array" ref="H2421">IFERROR(INDEX(INVESTOR_LIST[INVESTOR NAME],MATCH(I2421,INVESTOR_LIST[INVESTOR CODE],0),)," ")</f>
        <v>SAILA SATTER</v>
      </c>
      <c r="I2421" s="142" t="s">
        <v>500</v>
      </c>
      <c r="J2421" s="168" t="s">
        <v>13</v>
      </c>
      <c r="K2421" s="226">
        <v>167790</v>
      </c>
      <c r="L2421" s="226"/>
    </row>
    <row r="2422" spans="1:14" ht="22.5" x14ac:dyDescent="0.2">
      <c r="A2422" s="133">
        <v>2021</v>
      </c>
      <c r="B2422" s="133">
        <v>3</v>
      </c>
      <c r="C2422" s="133">
        <v>1</v>
      </c>
      <c r="D2422" s="141">
        <f t="shared" si="82"/>
        <v>44256</v>
      </c>
      <c r="E2422" s="275">
        <f t="shared" si="83"/>
        <v>44256</v>
      </c>
      <c r="F2422" s="481"/>
      <c r="G2422" s="174" t="s">
        <v>74</v>
      </c>
      <c r="H2422" s="148" t="str" cm="1">
        <f t="array" ref="H2422">IFERROR(INDEX(INVESTOR_LIST[INVESTOR NAME],MATCH(I2422,INVESTOR_LIST[INVESTOR CODE],0),)," ")</f>
        <v>SAILA SATTER</v>
      </c>
      <c r="I2422" s="148" t="s">
        <v>500</v>
      </c>
      <c r="J2422" s="133" t="s">
        <v>53</v>
      </c>
      <c r="K2422" s="218">
        <v>51100.45</v>
      </c>
      <c r="L2422" s="218"/>
    </row>
    <row r="2423" spans="1:14" ht="22.5" x14ac:dyDescent="0.2">
      <c r="A2423" s="163">
        <v>2021</v>
      </c>
      <c r="B2423" s="163">
        <v>3</v>
      </c>
      <c r="C2423" s="163">
        <v>1</v>
      </c>
      <c r="D2423" s="141">
        <f t="shared" si="82"/>
        <v>44256</v>
      </c>
      <c r="E2423" s="275">
        <f t="shared" si="83"/>
        <v>44256</v>
      </c>
      <c r="F2423" s="480"/>
      <c r="G2423" s="221" t="s">
        <v>74</v>
      </c>
      <c r="H2423" s="145" t="str" cm="1">
        <f t="array" ref="H2423">IFERROR(INDEX(INVESTOR_LIST[INVESTOR NAME],MATCH(I2423,INVESTOR_LIST[INVESTOR CODE],0),)," ")</f>
        <v>SAILA SATTER</v>
      </c>
      <c r="I2423" s="145" t="s">
        <v>500</v>
      </c>
      <c r="J2423" s="163" t="s">
        <v>52</v>
      </c>
      <c r="K2423" s="219"/>
      <c r="L2423" s="219">
        <v>218890.45</v>
      </c>
    </row>
    <row r="2424" spans="1:14" ht="22.5" x14ac:dyDescent="0.2">
      <c r="A2424" s="168">
        <v>2021</v>
      </c>
      <c r="B2424" s="168">
        <v>3</v>
      </c>
      <c r="C2424" s="168">
        <v>1</v>
      </c>
      <c r="D2424" s="141">
        <f t="shared" si="82"/>
        <v>44256</v>
      </c>
      <c r="E2424" s="275">
        <f t="shared" si="83"/>
        <v>44256</v>
      </c>
      <c r="F2424" s="479" t="s">
        <v>965</v>
      </c>
      <c r="G2424" s="220" t="s">
        <v>74</v>
      </c>
      <c r="H2424" s="142" t="str" cm="1">
        <f t="array" ref="H2424">IFERROR(INDEX(INVESTOR_LIST[INVESTOR NAME],MATCH(I2424,INVESTOR_LIST[INVESTOR CODE],0),)," ")</f>
        <v>ANJANA SAHA</v>
      </c>
      <c r="I2424" s="142" t="s">
        <v>382</v>
      </c>
      <c r="J2424" s="168" t="s">
        <v>13</v>
      </c>
      <c r="K2424" s="226">
        <v>221190</v>
      </c>
      <c r="L2424" s="226"/>
    </row>
    <row r="2425" spans="1:14" ht="22.5" x14ac:dyDescent="0.2">
      <c r="A2425" s="133">
        <v>2021</v>
      </c>
      <c r="B2425" s="133">
        <v>3</v>
      </c>
      <c r="C2425" s="133">
        <v>1</v>
      </c>
      <c r="D2425" s="141">
        <f t="shared" si="82"/>
        <v>44256</v>
      </c>
      <c r="E2425" s="275">
        <f t="shared" si="83"/>
        <v>44256</v>
      </c>
      <c r="F2425" s="481"/>
      <c r="G2425" s="174" t="s">
        <v>74</v>
      </c>
      <c r="H2425" s="148" t="str" cm="1">
        <f t="array" ref="H2425">IFERROR(INDEX(INVESTOR_LIST[INVESTOR NAME],MATCH(I2425,INVESTOR_LIST[INVESTOR CODE],0),)," ")</f>
        <v>ANJANA SAHA</v>
      </c>
      <c r="I2425" s="148" t="s">
        <v>382</v>
      </c>
      <c r="J2425" s="133" t="s">
        <v>53</v>
      </c>
      <c r="K2425" s="218">
        <v>67363.42</v>
      </c>
      <c r="L2425" s="218"/>
    </row>
    <row r="2426" spans="1:14" ht="22.5" x14ac:dyDescent="0.2">
      <c r="A2426" s="163">
        <v>2021</v>
      </c>
      <c r="B2426" s="163">
        <v>3</v>
      </c>
      <c r="C2426" s="163">
        <v>1</v>
      </c>
      <c r="D2426" s="141">
        <f t="shared" si="82"/>
        <v>44256</v>
      </c>
      <c r="E2426" s="275">
        <f t="shared" si="83"/>
        <v>44256</v>
      </c>
      <c r="F2426" s="480"/>
      <c r="G2426" s="221" t="s">
        <v>74</v>
      </c>
      <c r="H2426" s="145" t="str" cm="1">
        <f t="array" ref="H2426">IFERROR(INDEX(INVESTOR_LIST[INVESTOR NAME],MATCH(I2426,INVESTOR_LIST[INVESTOR CODE],0),)," ")</f>
        <v>ANJANA SAHA</v>
      </c>
      <c r="I2426" s="145" t="s">
        <v>382</v>
      </c>
      <c r="J2426" s="163" t="s">
        <v>52</v>
      </c>
      <c r="K2426" s="219"/>
      <c r="L2426" s="219">
        <v>288553.42</v>
      </c>
    </row>
    <row r="2427" spans="1:14" ht="22.5" x14ac:dyDescent="0.2">
      <c r="A2427" s="168">
        <v>2021</v>
      </c>
      <c r="B2427" s="168">
        <v>3</v>
      </c>
      <c r="C2427" s="168">
        <v>1</v>
      </c>
      <c r="D2427" s="141">
        <f t="shared" si="82"/>
        <v>44256</v>
      </c>
      <c r="E2427" s="275">
        <f t="shared" si="83"/>
        <v>44256</v>
      </c>
      <c r="F2427" s="479" t="s">
        <v>965</v>
      </c>
      <c r="G2427" s="220" t="s">
        <v>74</v>
      </c>
      <c r="H2427" s="142" t="str" cm="1">
        <f t="array" ref="H2427">IFERROR(INDEX(INVESTOR_LIST[INVESTOR NAME],MATCH(I2427,INVESTOR_LIST[INVESTOR CODE],0),)," ")</f>
        <v>KANKA SAHA</v>
      </c>
      <c r="I2427" s="142" t="s">
        <v>428</v>
      </c>
      <c r="J2427" s="168" t="s">
        <v>13</v>
      </c>
      <c r="K2427" s="226">
        <v>332800</v>
      </c>
      <c r="L2427" s="226"/>
    </row>
    <row r="2428" spans="1:14" ht="22.5" x14ac:dyDescent="0.2">
      <c r="A2428" s="133">
        <v>2021</v>
      </c>
      <c r="B2428" s="133">
        <v>3</v>
      </c>
      <c r="C2428" s="133">
        <v>1</v>
      </c>
      <c r="D2428" s="141">
        <f t="shared" si="82"/>
        <v>44256</v>
      </c>
      <c r="E2428" s="275">
        <f t="shared" si="83"/>
        <v>44256</v>
      </c>
      <c r="F2428" s="481"/>
      <c r="G2428" s="174" t="s">
        <v>74</v>
      </c>
      <c r="H2428" s="148" t="str" cm="1">
        <f t="array" ref="H2428">IFERROR(INDEX(INVESTOR_LIST[INVESTOR NAME],MATCH(I2428,INVESTOR_LIST[INVESTOR CODE],0),)," ")</f>
        <v>KANKA SAHA</v>
      </c>
      <c r="I2428" s="148" t="s">
        <v>428</v>
      </c>
      <c r="J2428" s="133" t="s">
        <v>53</v>
      </c>
      <c r="K2428" s="218">
        <v>94506.5</v>
      </c>
      <c r="L2428" s="218"/>
    </row>
    <row r="2429" spans="1:14" ht="22.5" x14ac:dyDescent="0.2">
      <c r="A2429" s="163">
        <v>2021</v>
      </c>
      <c r="B2429" s="163">
        <v>3</v>
      </c>
      <c r="C2429" s="163">
        <v>1</v>
      </c>
      <c r="D2429" s="141">
        <f t="shared" si="82"/>
        <v>44256</v>
      </c>
      <c r="E2429" s="275">
        <f t="shared" si="83"/>
        <v>44256</v>
      </c>
      <c r="F2429" s="480"/>
      <c r="G2429" s="221" t="s">
        <v>74</v>
      </c>
      <c r="H2429" s="145" t="str" cm="1">
        <f t="array" ref="H2429">IFERROR(INDEX(INVESTOR_LIST[INVESTOR NAME],MATCH(I2429,INVESTOR_LIST[INVESTOR CODE],0),)," ")</f>
        <v>KANKA SAHA</v>
      </c>
      <c r="I2429" s="145" t="s">
        <v>428</v>
      </c>
      <c r="J2429" s="163" t="s">
        <v>52</v>
      </c>
      <c r="K2429" s="219"/>
      <c r="L2429" s="219">
        <v>427306.5</v>
      </c>
    </row>
    <row r="2430" spans="1:14" ht="22.5" x14ac:dyDescent="0.2">
      <c r="A2430" s="168">
        <v>2021</v>
      </c>
      <c r="B2430" s="168">
        <v>3</v>
      </c>
      <c r="C2430" s="168">
        <v>1</v>
      </c>
      <c r="D2430" s="141">
        <f t="shared" si="82"/>
        <v>44256</v>
      </c>
      <c r="E2430" s="275">
        <f t="shared" si="83"/>
        <v>44256</v>
      </c>
      <c r="F2430" s="479" t="s">
        <v>965</v>
      </c>
      <c r="G2430" s="220" t="s">
        <v>74</v>
      </c>
      <c r="H2430" s="142" t="str" cm="1">
        <f t="array" ref="H2430">IFERROR(INDEX(INVESTOR_LIST[INVESTOR NAME],MATCH(I2430,INVESTOR_LIST[INVESTOR CODE],0),)," ")</f>
        <v>NANDINI SAHA</v>
      </c>
      <c r="I2430" s="142" t="s">
        <v>463</v>
      </c>
      <c r="J2430" s="168" t="s">
        <v>13</v>
      </c>
      <c r="K2430" s="226">
        <v>435690</v>
      </c>
      <c r="L2430" s="226"/>
    </row>
    <row r="2431" spans="1:14" ht="22.5" x14ac:dyDescent="0.2">
      <c r="A2431" s="133">
        <v>2021</v>
      </c>
      <c r="B2431" s="133">
        <v>3</v>
      </c>
      <c r="C2431" s="133">
        <v>1</v>
      </c>
      <c r="D2431" s="141">
        <f t="shared" si="82"/>
        <v>44256</v>
      </c>
      <c r="E2431" s="275">
        <f t="shared" si="83"/>
        <v>44256</v>
      </c>
      <c r="F2431" s="481"/>
      <c r="G2431" s="174" t="s">
        <v>74</v>
      </c>
      <c r="H2431" s="148" t="str" cm="1">
        <f t="array" ref="H2431">IFERROR(INDEX(INVESTOR_LIST[INVESTOR NAME],MATCH(I2431,INVESTOR_LIST[INVESTOR CODE],0),)," ")</f>
        <v>NANDINI SAHA</v>
      </c>
      <c r="I2431" s="148" t="s">
        <v>463</v>
      </c>
      <c r="J2431" s="133" t="s">
        <v>53</v>
      </c>
      <c r="K2431" s="218">
        <v>123724.56</v>
      </c>
      <c r="L2431" s="218"/>
    </row>
    <row r="2432" spans="1:14" ht="22.5" x14ac:dyDescent="0.2">
      <c r="A2432" s="163">
        <v>2021</v>
      </c>
      <c r="B2432" s="163">
        <v>3</v>
      </c>
      <c r="C2432" s="163">
        <v>1</v>
      </c>
      <c r="D2432" s="141">
        <f t="shared" si="82"/>
        <v>44256</v>
      </c>
      <c r="E2432" s="275">
        <f t="shared" si="83"/>
        <v>44256</v>
      </c>
      <c r="F2432" s="480"/>
      <c r="G2432" s="221" t="s">
        <v>74</v>
      </c>
      <c r="H2432" s="145" t="str" cm="1">
        <f t="array" ref="H2432">IFERROR(INDEX(INVESTOR_LIST[INVESTOR NAME],MATCH(I2432,INVESTOR_LIST[INVESTOR CODE],0),)," ")</f>
        <v>NANDINI SAHA</v>
      </c>
      <c r="I2432" s="145" t="s">
        <v>463</v>
      </c>
      <c r="J2432" s="163" t="s">
        <v>52</v>
      </c>
      <c r="K2432" s="219"/>
      <c r="L2432" s="219">
        <v>559414.56000000006</v>
      </c>
    </row>
    <row r="2433" spans="1:12" ht="22.5" x14ac:dyDescent="0.2">
      <c r="A2433" s="168">
        <v>2021</v>
      </c>
      <c r="B2433" s="168">
        <v>3</v>
      </c>
      <c r="C2433" s="168">
        <v>1</v>
      </c>
      <c r="D2433" s="141">
        <f t="shared" si="82"/>
        <v>44256</v>
      </c>
      <c r="E2433" s="275">
        <f t="shared" si="83"/>
        <v>44256</v>
      </c>
      <c r="F2433" s="479" t="s">
        <v>965</v>
      </c>
      <c r="G2433" s="220" t="s">
        <v>74</v>
      </c>
      <c r="H2433" s="142" t="str" cm="1">
        <f t="array" ref="H2433">IFERROR(INDEX(INVESTOR_LIST[INVESTOR NAME],MATCH(I2433,INVESTOR_LIST[INVESTOR CODE],0),)," ")</f>
        <v>MINHAJ UDDIN</v>
      </c>
      <c r="I2433" s="142" t="s">
        <v>390</v>
      </c>
      <c r="J2433" s="168" t="s">
        <v>13</v>
      </c>
      <c r="K2433" s="226">
        <v>480000</v>
      </c>
      <c r="L2433" s="226"/>
    </row>
    <row r="2434" spans="1:12" ht="22.5" x14ac:dyDescent="0.2">
      <c r="A2434" s="133">
        <v>2021</v>
      </c>
      <c r="B2434" s="133">
        <v>3</v>
      </c>
      <c r="C2434" s="133">
        <v>1</v>
      </c>
      <c r="D2434" s="141">
        <f t="shared" si="82"/>
        <v>44256</v>
      </c>
      <c r="E2434" s="275">
        <f t="shared" si="83"/>
        <v>44256</v>
      </c>
      <c r="F2434" s="481"/>
      <c r="G2434" s="174" t="s">
        <v>74</v>
      </c>
      <c r="H2434" s="148" t="str" cm="1">
        <f t="array" ref="H2434">IFERROR(INDEX(INVESTOR_LIST[INVESTOR NAME],MATCH(I2434,INVESTOR_LIST[INVESTOR CODE],0),)," ")</f>
        <v>MINHAJ UDDIN</v>
      </c>
      <c r="I2434" s="148" t="s">
        <v>390</v>
      </c>
      <c r="J2434" s="133" t="s">
        <v>53</v>
      </c>
      <c r="K2434" s="218">
        <v>136307.45000000001</v>
      </c>
      <c r="L2434" s="218"/>
    </row>
    <row r="2435" spans="1:12" ht="22.5" x14ac:dyDescent="0.2">
      <c r="A2435" s="163">
        <v>2021</v>
      </c>
      <c r="B2435" s="163">
        <v>3</v>
      </c>
      <c r="C2435" s="163">
        <v>1</v>
      </c>
      <c r="D2435" s="141">
        <f t="shared" si="82"/>
        <v>44256</v>
      </c>
      <c r="E2435" s="275">
        <f t="shared" si="83"/>
        <v>44256</v>
      </c>
      <c r="F2435" s="480"/>
      <c r="G2435" s="221" t="s">
        <v>74</v>
      </c>
      <c r="H2435" s="145" t="str" cm="1">
        <f t="array" ref="H2435">IFERROR(INDEX(INVESTOR_LIST[INVESTOR NAME],MATCH(I2435,INVESTOR_LIST[INVESTOR CODE],0),)," ")</f>
        <v>MINHAJ UDDIN</v>
      </c>
      <c r="I2435" s="145" t="s">
        <v>390</v>
      </c>
      <c r="J2435" s="163" t="s">
        <v>52</v>
      </c>
      <c r="K2435" s="219"/>
      <c r="L2435" s="219">
        <v>616307.44999999995</v>
      </c>
    </row>
    <row r="2436" spans="1:12" ht="22.5" x14ac:dyDescent="0.2">
      <c r="A2436" s="168">
        <v>2021</v>
      </c>
      <c r="B2436" s="168">
        <v>3</v>
      </c>
      <c r="C2436" s="168">
        <v>1</v>
      </c>
      <c r="D2436" s="141">
        <f t="shared" si="82"/>
        <v>44256</v>
      </c>
      <c r="E2436" s="275">
        <f t="shared" si="83"/>
        <v>44256</v>
      </c>
      <c r="F2436" s="479" t="s">
        <v>965</v>
      </c>
      <c r="G2436" s="220" t="s">
        <v>74</v>
      </c>
      <c r="H2436" s="142" t="str" cm="1">
        <f t="array" ref="H2436">IFERROR(INDEX(INVESTOR_LIST[INVESTOR NAME],MATCH(I2436,INVESTOR_LIST[INVESTOR CODE],0),)," ")</f>
        <v>LUNA AKTHER</v>
      </c>
      <c r="I2436" s="142" t="s">
        <v>520</v>
      </c>
      <c r="J2436" s="168" t="s">
        <v>13</v>
      </c>
      <c r="K2436" s="226">
        <v>307690</v>
      </c>
      <c r="L2436" s="226"/>
    </row>
    <row r="2437" spans="1:12" ht="22.5" x14ac:dyDescent="0.2">
      <c r="A2437" s="133">
        <v>2021</v>
      </c>
      <c r="B2437" s="133">
        <v>3</v>
      </c>
      <c r="C2437" s="133">
        <v>1</v>
      </c>
      <c r="D2437" s="141">
        <f t="shared" si="82"/>
        <v>44256</v>
      </c>
      <c r="E2437" s="275">
        <f t="shared" si="83"/>
        <v>44256</v>
      </c>
      <c r="F2437" s="481"/>
      <c r="G2437" s="174" t="s">
        <v>74</v>
      </c>
      <c r="H2437" s="148" t="str" cm="1">
        <f t="array" ref="H2437">IFERROR(INDEX(INVESTOR_LIST[INVESTOR NAME],MATCH(I2437,INVESTOR_LIST[INVESTOR CODE],0),)," ")</f>
        <v>LUNA AKTHER</v>
      </c>
      <c r="I2437" s="148" t="s">
        <v>520</v>
      </c>
      <c r="J2437" s="133" t="s">
        <v>53</v>
      </c>
      <c r="K2437" s="218">
        <v>79062.95</v>
      </c>
      <c r="L2437" s="218"/>
    </row>
    <row r="2438" spans="1:12" ht="22.5" x14ac:dyDescent="0.2">
      <c r="A2438" s="163">
        <v>2021</v>
      </c>
      <c r="B2438" s="163">
        <v>3</v>
      </c>
      <c r="C2438" s="163">
        <v>1</v>
      </c>
      <c r="D2438" s="141">
        <f t="shared" si="82"/>
        <v>44256</v>
      </c>
      <c r="E2438" s="275">
        <f t="shared" si="83"/>
        <v>44256</v>
      </c>
      <c r="F2438" s="480"/>
      <c r="G2438" s="221" t="s">
        <v>74</v>
      </c>
      <c r="H2438" s="145" t="str" cm="1">
        <f t="array" ref="H2438">IFERROR(INDEX(INVESTOR_LIST[INVESTOR NAME],MATCH(I2438,INVESTOR_LIST[INVESTOR CODE],0),)," ")</f>
        <v>LUNA AKTHER</v>
      </c>
      <c r="I2438" s="145" t="s">
        <v>520</v>
      </c>
      <c r="J2438" s="163" t="s">
        <v>52</v>
      </c>
      <c r="K2438" s="219"/>
      <c r="L2438" s="219">
        <v>386752.95</v>
      </c>
    </row>
    <row r="2439" spans="1:12" ht="11.25" customHeight="1" x14ac:dyDescent="0.2">
      <c r="A2439" s="168">
        <v>2021</v>
      </c>
      <c r="B2439" s="168">
        <v>3</v>
      </c>
      <c r="C2439" s="168">
        <v>1</v>
      </c>
      <c r="D2439" s="141">
        <f t="shared" si="82"/>
        <v>44256</v>
      </c>
      <c r="E2439" s="275">
        <f t="shared" si="83"/>
        <v>44256</v>
      </c>
      <c r="F2439" s="479" t="s">
        <v>964</v>
      </c>
      <c r="G2439" s="220" t="s">
        <v>74</v>
      </c>
      <c r="H2439" s="142" t="str" cm="1">
        <f t="array" ref="H2439">IFERROR(INDEX(INVESTOR_LIST[INVESTOR NAME],MATCH(I2439,INVESTOR_LIST[INVESTOR CODE],0),)," ")</f>
        <v>CHOWDHURY MD. RAIYAN ALAM</v>
      </c>
      <c r="I2439" s="142" t="s">
        <v>542</v>
      </c>
      <c r="J2439" s="168" t="s">
        <v>52</v>
      </c>
      <c r="K2439" s="226">
        <v>25140</v>
      </c>
      <c r="L2439" s="226"/>
    </row>
    <row r="2440" spans="1:12" ht="56.25" x14ac:dyDescent="0.2">
      <c r="A2440" s="133">
        <v>2021</v>
      </c>
      <c r="B2440" s="133">
        <v>3</v>
      </c>
      <c r="C2440" s="133">
        <v>1</v>
      </c>
      <c r="D2440" s="141">
        <f t="shared" si="82"/>
        <v>44256</v>
      </c>
      <c r="E2440" s="275">
        <f t="shared" si="83"/>
        <v>44256</v>
      </c>
      <c r="F2440" s="481"/>
      <c r="G2440" s="174" t="s">
        <v>74</v>
      </c>
      <c r="H2440" s="148" t="str" cm="1">
        <f t="array" ref="H2440">IFERROR(INDEX(INVESTOR_LIST[INVESTOR NAME],MATCH(I2440,INVESTOR_LIST[INVESTOR CODE],0),)," ")</f>
        <v>CHOWDHURY MD. RAIYAN ALAM</v>
      </c>
      <c r="I2440" s="148" t="s">
        <v>542</v>
      </c>
      <c r="J2440" s="133" t="s">
        <v>13</v>
      </c>
      <c r="K2440" s="218"/>
      <c r="L2440" s="218">
        <v>20000</v>
      </c>
    </row>
    <row r="2441" spans="1:12" ht="56.25" x14ac:dyDescent="0.2">
      <c r="A2441" s="163">
        <v>2021</v>
      </c>
      <c r="B2441" s="163">
        <v>3</v>
      </c>
      <c r="C2441" s="163">
        <v>1</v>
      </c>
      <c r="D2441" s="141">
        <f t="shared" si="82"/>
        <v>44256</v>
      </c>
      <c r="E2441" s="275">
        <f t="shared" si="83"/>
        <v>44256</v>
      </c>
      <c r="F2441" s="480"/>
      <c r="G2441" s="221" t="s">
        <v>74</v>
      </c>
      <c r="H2441" s="145" t="str" cm="1">
        <f t="array" ref="H2441">IFERROR(INDEX(INVESTOR_LIST[INVESTOR NAME],MATCH(I2441,INVESTOR_LIST[INVESTOR CODE],0),)," ")</f>
        <v>CHOWDHURY MD. RAIYAN ALAM</v>
      </c>
      <c r="I2441" s="145" t="s">
        <v>542</v>
      </c>
      <c r="J2441" s="163" t="s">
        <v>53</v>
      </c>
      <c r="K2441" s="219"/>
      <c r="L2441" s="219">
        <v>5140</v>
      </c>
    </row>
    <row r="2442" spans="1:12" ht="11.25" customHeight="1" x14ac:dyDescent="0.2">
      <c r="A2442" s="133">
        <v>2021</v>
      </c>
      <c r="B2442" s="133">
        <v>3</v>
      </c>
      <c r="C2442" s="133">
        <v>1</v>
      </c>
      <c r="D2442" s="141">
        <f t="shared" si="82"/>
        <v>44256</v>
      </c>
      <c r="E2442" s="275">
        <f t="shared" si="83"/>
        <v>44256</v>
      </c>
      <c r="F2442" s="479" t="s">
        <v>544</v>
      </c>
      <c r="G2442" s="174" t="s">
        <v>74</v>
      </c>
      <c r="H2442" s="148" t="str" cm="1">
        <f t="array" ref="H2442">IFERROR(INDEX(INVESTOR_LIST[INVESTOR NAME],MATCH(I2442,INVESTOR_LIST[INVESTOR CODE],0),)," ")</f>
        <v xml:space="preserve"> </v>
      </c>
      <c r="J2442" s="133" t="s">
        <v>52</v>
      </c>
      <c r="K2442" s="218">
        <v>3897337.84</v>
      </c>
      <c r="L2442" s="218"/>
    </row>
    <row r="2443" spans="1:12" x14ac:dyDescent="0.2">
      <c r="A2443" s="133">
        <v>2021</v>
      </c>
      <c r="B2443" s="133">
        <v>3</v>
      </c>
      <c r="C2443" s="133">
        <v>1</v>
      </c>
      <c r="D2443" s="141">
        <f t="shared" si="82"/>
        <v>44256</v>
      </c>
      <c r="E2443" s="275">
        <f t="shared" si="83"/>
        <v>44256</v>
      </c>
      <c r="F2443" s="481"/>
      <c r="G2443" s="174" t="s">
        <v>74</v>
      </c>
      <c r="H2443" s="148" t="str" cm="1">
        <f t="array" ref="H2443">IFERROR(INDEX(INVESTOR_LIST[INVESTOR NAME],MATCH(I2443,INVESTOR_LIST[INVESTOR CODE],0),)," ")</f>
        <v xml:space="preserve"> </v>
      </c>
      <c r="J2443" s="133" t="s">
        <v>190</v>
      </c>
      <c r="K2443" s="218"/>
      <c r="L2443" s="218">
        <v>3897337.84</v>
      </c>
    </row>
    <row r="2444" spans="1:12" ht="11.25" customHeight="1" x14ac:dyDescent="0.2">
      <c r="A2444" s="168">
        <v>2021</v>
      </c>
      <c r="B2444" s="168">
        <v>3</v>
      </c>
      <c r="C2444" s="168">
        <v>2</v>
      </c>
      <c r="D2444" s="141">
        <f t="shared" si="82"/>
        <v>44257</v>
      </c>
      <c r="E2444" s="275">
        <f t="shared" si="83"/>
        <v>44257</v>
      </c>
      <c r="F2444" s="479" t="s">
        <v>254</v>
      </c>
      <c r="G2444" s="220" t="s">
        <v>74</v>
      </c>
      <c r="H2444" s="142" t="str" cm="1">
        <f t="array" ref="H2444">IFERROR(INDEX(INVESTOR_LIST[INVESTOR NAME],MATCH(I2444,INVESTOR_LIST[INVESTOR CODE],0),)," ")</f>
        <v xml:space="preserve"> </v>
      </c>
      <c r="I2444" s="142"/>
      <c r="J2444" s="168" t="s">
        <v>52</v>
      </c>
      <c r="K2444" s="226">
        <v>290500</v>
      </c>
      <c r="L2444" s="226"/>
    </row>
    <row r="2445" spans="1:12" x14ac:dyDescent="0.2">
      <c r="A2445" s="133">
        <v>2021</v>
      </c>
      <c r="B2445" s="133">
        <v>3</v>
      </c>
      <c r="C2445" s="133">
        <v>2</v>
      </c>
      <c r="D2445" s="141">
        <f t="shared" si="82"/>
        <v>44257</v>
      </c>
      <c r="E2445" s="275">
        <f t="shared" si="83"/>
        <v>44257</v>
      </c>
      <c r="F2445" s="481"/>
      <c r="G2445" s="174" t="s">
        <v>74</v>
      </c>
      <c r="H2445" s="148" t="str" cm="1">
        <f t="array" ref="H2445">IFERROR(INDEX(INVESTOR_LIST[INVESTOR NAME],MATCH(I2445,INVESTOR_LIST[INVESTOR CODE],0),)," ")</f>
        <v xml:space="preserve"> </v>
      </c>
      <c r="J2445" s="133" t="s">
        <v>13</v>
      </c>
      <c r="K2445" s="218"/>
      <c r="L2445" s="218">
        <v>231190</v>
      </c>
    </row>
    <row r="2446" spans="1:12" x14ac:dyDescent="0.2">
      <c r="A2446" s="163">
        <v>2021</v>
      </c>
      <c r="B2446" s="163">
        <v>3</v>
      </c>
      <c r="C2446" s="163">
        <v>2</v>
      </c>
      <c r="D2446" s="141">
        <f t="shared" ref="D2446:D2509" si="84">DATE(A2446,B2446,C2446)</f>
        <v>44257</v>
      </c>
      <c r="E2446" s="275">
        <f t="shared" si="83"/>
        <v>44257</v>
      </c>
      <c r="F2446" s="480"/>
      <c r="G2446" s="221" t="s">
        <v>74</v>
      </c>
      <c r="H2446" s="145" t="str" cm="1">
        <f t="array" ref="H2446">IFERROR(INDEX(INVESTOR_LIST[INVESTOR NAME],MATCH(I2446,INVESTOR_LIST[INVESTOR CODE],0),)," ")</f>
        <v xml:space="preserve"> </v>
      </c>
      <c r="I2446" s="145"/>
      <c r="J2446" s="163" t="s">
        <v>53</v>
      </c>
      <c r="K2446" s="219"/>
      <c r="L2446" s="219">
        <v>59310</v>
      </c>
    </row>
    <row r="2447" spans="1:12" x14ac:dyDescent="0.2">
      <c r="A2447" s="168">
        <v>2021</v>
      </c>
      <c r="B2447" s="168">
        <v>3</v>
      </c>
      <c r="C2447" s="168">
        <v>2</v>
      </c>
      <c r="D2447" s="141">
        <f t="shared" si="84"/>
        <v>44257</v>
      </c>
      <c r="E2447" s="275">
        <f t="shared" ref="E2447:E2510" si="85">DATE(A2447,B2447,C2447)</f>
        <v>44257</v>
      </c>
      <c r="F2447" s="479" t="s">
        <v>274</v>
      </c>
      <c r="G2447" s="220" t="s">
        <v>94</v>
      </c>
      <c r="H2447" s="142" t="str" cm="1">
        <f t="array" ref="H2447">IFERROR(INDEX(INVESTOR_LIST[INVESTOR NAME],MATCH(I2447,INVESTOR_LIST[INVESTOR CODE],0),)," ")</f>
        <v xml:space="preserve"> </v>
      </c>
      <c r="I2447" s="142"/>
      <c r="J2447" s="168" t="s">
        <v>79</v>
      </c>
      <c r="K2447" s="226">
        <v>3890000</v>
      </c>
      <c r="L2447" s="226"/>
    </row>
    <row r="2448" spans="1:12" x14ac:dyDescent="0.2">
      <c r="A2448" s="133">
        <v>2021</v>
      </c>
      <c r="B2448" s="133">
        <v>3</v>
      </c>
      <c r="C2448" s="133">
        <v>2</v>
      </c>
      <c r="D2448" s="141">
        <f t="shared" si="84"/>
        <v>44257</v>
      </c>
      <c r="E2448" s="275">
        <f t="shared" si="85"/>
        <v>44257</v>
      </c>
      <c r="F2448" s="481"/>
      <c r="G2448" s="174" t="s">
        <v>94</v>
      </c>
      <c r="H2448" s="148" t="str" cm="1">
        <f t="array" ref="H2448">IFERROR(INDEX(INVESTOR_LIST[INVESTOR NAME],MATCH(I2448,INVESTOR_LIST[INVESTOR CODE],0),)," ")</f>
        <v xml:space="preserve"> </v>
      </c>
      <c r="J2448" s="133" t="s">
        <v>80</v>
      </c>
      <c r="K2448" s="218">
        <v>7002</v>
      </c>
      <c r="L2448" s="218"/>
    </row>
    <row r="2449" spans="1:14" x14ac:dyDescent="0.2">
      <c r="A2449" s="163">
        <v>2021</v>
      </c>
      <c r="B2449" s="163">
        <v>3</v>
      </c>
      <c r="C2449" s="163">
        <v>2</v>
      </c>
      <c r="D2449" s="141">
        <f t="shared" si="84"/>
        <v>44257</v>
      </c>
      <c r="E2449" s="275">
        <f t="shared" si="85"/>
        <v>44257</v>
      </c>
      <c r="F2449" s="480"/>
      <c r="G2449" s="221" t="s">
        <v>94</v>
      </c>
      <c r="H2449" s="145" t="str" cm="1">
        <f t="array" ref="H2449">IFERROR(INDEX(INVESTOR_LIST[INVESTOR NAME],MATCH(I2449,INVESTOR_LIST[INVESTOR CODE],0),)," ")</f>
        <v xml:space="preserve"> </v>
      </c>
      <c r="I2449" s="145"/>
      <c r="J2449" s="163" t="s">
        <v>147</v>
      </c>
      <c r="K2449" s="219"/>
      <c r="L2449" s="219">
        <v>3897002</v>
      </c>
    </row>
    <row r="2450" spans="1:14" x14ac:dyDescent="0.2">
      <c r="A2450" s="168">
        <v>2021</v>
      </c>
      <c r="B2450" s="168">
        <v>3</v>
      </c>
      <c r="C2450" s="168">
        <v>2</v>
      </c>
      <c r="D2450" s="141">
        <f t="shared" si="84"/>
        <v>44257</v>
      </c>
      <c r="E2450" s="275">
        <f t="shared" si="85"/>
        <v>44257</v>
      </c>
      <c r="F2450" s="479" t="s">
        <v>360</v>
      </c>
      <c r="G2450" s="220" t="s">
        <v>94</v>
      </c>
      <c r="H2450" s="142" t="str" cm="1">
        <f t="array" ref="H2450">IFERROR(INDEX(INVESTOR_LIST[INVESTOR NAME],MATCH(I2450,INVESTOR_LIST[INVESTOR CODE],0),)," ")</f>
        <v xml:space="preserve"> </v>
      </c>
      <c r="I2450" s="142"/>
      <c r="J2450" s="168" t="s">
        <v>190</v>
      </c>
      <c r="K2450" s="226">
        <v>2636077.7999999998</v>
      </c>
      <c r="L2450" s="226"/>
    </row>
    <row r="2451" spans="1:14" x14ac:dyDescent="0.2">
      <c r="A2451" s="133">
        <v>2021</v>
      </c>
      <c r="B2451" s="133">
        <v>3</v>
      </c>
      <c r="C2451" s="133">
        <v>2</v>
      </c>
      <c r="D2451" s="141">
        <f t="shared" si="84"/>
        <v>44257</v>
      </c>
      <c r="E2451" s="275">
        <f t="shared" si="85"/>
        <v>44257</v>
      </c>
      <c r="F2451" s="481"/>
      <c r="G2451" s="174" t="s">
        <v>94</v>
      </c>
      <c r="H2451" s="148" t="str" cm="1">
        <f t="array" ref="H2451">IFERROR(INDEX(INVESTOR_LIST[INVESTOR NAME],MATCH(I2451,INVESTOR_LIST[INVESTOR CODE],0),)," ")</f>
        <v xml:space="preserve"> </v>
      </c>
      <c r="J2451" s="133" t="s">
        <v>80</v>
      </c>
      <c r="K2451" s="218">
        <v>4753.5</v>
      </c>
      <c r="L2451" s="218"/>
    </row>
    <row r="2452" spans="1:14" x14ac:dyDescent="0.2">
      <c r="A2452" s="133">
        <v>2021</v>
      </c>
      <c r="B2452" s="133">
        <v>3</v>
      </c>
      <c r="C2452" s="133">
        <v>2</v>
      </c>
      <c r="D2452" s="141">
        <f t="shared" si="84"/>
        <v>44257</v>
      </c>
      <c r="E2452" s="275">
        <f t="shared" si="85"/>
        <v>44257</v>
      </c>
      <c r="F2452" s="481"/>
      <c r="G2452" s="174" t="s">
        <v>94</v>
      </c>
      <c r="H2452" s="148" t="str" cm="1">
        <f t="array" ref="H2452">IFERROR(INDEX(INVESTOR_LIST[INVESTOR NAME],MATCH(I2452,INVESTOR_LIST[INVESTOR CODE],0),)," ")</f>
        <v xml:space="preserve"> </v>
      </c>
      <c r="J2452" s="133" t="s">
        <v>191</v>
      </c>
      <c r="K2452" s="218">
        <v>109290.88</v>
      </c>
      <c r="L2452" s="218"/>
    </row>
    <row r="2453" spans="1:14" x14ac:dyDescent="0.2">
      <c r="A2453" s="163">
        <v>2021</v>
      </c>
      <c r="B2453" s="163">
        <v>3</v>
      </c>
      <c r="C2453" s="163">
        <v>2</v>
      </c>
      <c r="D2453" s="141">
        <f t="shared" si="84"/>
        <v>44257</v>
      </c>
      <c r="E2453" s="275">
        <f t="shared" si="85"/>
        <v>44257</v>
      </c>
      <c r="F2453" s="480"/>
      <c r="G2453" s="221" t="s">
        <v>94</v>
      </c>
      <c r="H2453" s="145" t="str" cm="1">
        <f t="array" ref="H2453">IFERROR(INDEX(INVESTOR_LIST[INVESTOR NAME],MATCH(I2453,INVESTOR_LIST[INVESTOR CODE],0),)," ")</f>
        <v xml:space="preserve"> </v>
      </c>
      <c r="I2453" s="145"/>
      <c r="J2453" s="163" t="s">
        <v>79</v>
      </c>
      <c r="K2453" s="219"/>
      <c r="L2453" s="219">
        <v>2750122.18</v>
      </c>
    </row>
    <row r="2454" spans="1:14" x14ac:dyDescent="0.2">
      <c r="A2454" s="168">
        <v>2021</v>
      </c>
      <c r="B2454" s="168">
        <v>3</v>
      </c>
      <c r="C2454" s="168">
        <v>3</v>
      </c>
      <c r="D2454" s="141">
        <f t="shared" si="84"/>
        <v>44258</v>
      </c>
      <c r="E2454" s="275">
        <f t="shared" si="85"/>
        <v>44258</v>
      </c>
      <c r="F2454" s="479" t="s">
        <v>543</v>
      </c>
      <c r="G2454" s="220" t="s">
        <v>94</v>
      </c>
      <c r="H2454" s="142" t="str" cm="1">
        <f t="array" ref="H2454">IFERROR(INDEX(INVESTOR_LIST[INVESTOR NAME],MATCH(I2454,INVESTOR_LIST[INVESTOR CODE],0),)," ")</f>
        <v xml:space="preserve"> </v>
      </c>
      <c r="I2454" s="142"/>
      <c r="J2454" s="168" t="s">
        <v>168</v>
      </c>
      <c r="K2454" s="226">
        <f>12500*30</f>
        <v>375000</v>
      </c>
      <c r="L2454" s="226"/>
    </row>
    <row r="2455" spans="1:14" x14ac:dyDescent="0.2">
      <c r="A2455" s="133">
        <v>2021</v>
      </c>
      <c r="B2455" s="133">
        <v>3</v>
      </c>
      <c r="C2455" s="133">
        <v>3</v>
      </c>
      <c r="D2455" s="141">
        <f t="shared" si="84"/>
        <v>44258</v>
      </c>
      <c r="E2455" s="275">
        <f t="shared" si="85"/>
        <v>44258</v>
      </c>
      <c r="F2455" s="481"/>
      <c r="G2455" s="174" t="s">
        <v>94</v>
      </c>
      <c r="H2455" s="148" t="str" cm="1">
        <f t="array" ref="H2455">IFERROR(INDEX(INVESTOR_LIST[INVESTOR NAME],MATCH(I2455,INVESTOR_LIST[INVESTOR CODE],0),)," ")</f>
        <v xml:space="preserve"> </v>
      </c>
      <c r="J2455" s="133" t="s">
        <v>166</v>
      </c>
      <c r="K2455" s="218"/>
      <c r="L2455" s="218">
        <v>375000</v>
      </c>
    </row>
    <row r="2456" spans="1:14" ht="11.25" customHeight="1" x14ac:dyDescent="0.2">
      <c r="A2456" s="168">
        <v>2021</v>
      </c>
      <c r="B2456" s="168">
        <v>3</v>
      </c>
      <c r="C2456" s="168">
        <v>3</v>
      </c>
      <c r="D2456" s="141">
        <f t="shared" si="84"/>
        <v>44258</v>
      </c>
      <c r="E2456" s="275">
        <f t="shared" si="85"/>
        <v>44258</v>
      </c>
      <c r="F2456" s="479" t="s">
        <v>548</v>
      </c>
      <c r="G2456" s="220" t="s">
        <v>74</v>
      </c>
      <c r="H2456" s="220" t="str" cm="1">
        <f t="array" ref="H2456">IFERROR(INDEX(INVESTOR_LIST[INVESTOR NAME],MATCH(I2456,INVESTOR_LIST[INVESTOR CODE],0),)," ")</f>
        <v xml:space="preserve"> </v>
      </c>
      <c r="I2456" s="142" t="s">
        <v>348</v>
      </c>
      <c r="J2456" s="143" t="s">
        <v>79</v>
      </c>
      <c r="K2456" s="226">
        <v>188380</v>
      </c>
      <c r="L2456" s="226"/>
    </row>
    <row r="2457" spans="1:14" x14ac:dyDescent="0.2">
      <c r="A2457" s="133">
        <v>2021</v>
      </c>
      <c r="B2457" s="133">
        <v>3</v>
      </c>
      <c r="C2457" s="133">
        <v>3</v>
      </c>
      <c r="D2457" s="141">
        <f t="shared" si="84"/>
        <v>44258</v>
      </c>
      <c r="E2457" s="275">
        <f t="shared" si="85"/>
        <v>44258</v>
      </c>
      <c r="F2457" s="481"/>
      <c r="G2457" s="174" t="s">
        <v>74</v>
      </c>
      <c r="H2457" s="174" t="str" cm="1">
        <f t="array" ref="H2457">IFERROR(INDEX(INVESTOR_LIST[INVESTOR NAME],MATCH(I2457,INVESTOR_LIST[INVESTOR CODE],0),)," ")</f>
        <v xml:space="preserve"> </v>
      </c>
      <c r="I2457" s="148" t="s">
        <v>348</v>
      </c>
      <c r="J2457" s="149" t="s">
        <v>52</v>
      </c>
      <c r="K2457" s="218">
        <v>1091620</v>
      </c>
      <c r="L2457" s="218"/>
    </row>
    <row r="2458" spans="1:14" x14ac:dyDescent="0.2">
      <c r="A2458" s="163">
        <v>2021</v>
      </c>
      <c r="B2458" s="163">
        <v>3</v>
      </c>
      <c r="C2458" s="163">
        <v>3</v>
      </c>
      <c r="D2458" s="141">
        <f t="shared" si="84"/>
        <v>44258</v>
      </c>
      <c r="E2458" s="275">
        <f t="shared" si="85"/>
        <v>44258</v>
      </c>
      <c r="F2458" s="480"/>
      <c r="G2458" s="221" t="s">
        <v>74</v>
      </c>
      <c r="H2458" s="221" t="str" cm="1">
        <f t="array" ref="H2458">IFERROR(INDEX(INVESTOR_LIST[INVESTOR NAME],MATCH(I2458,INVESTOR_LIST[INVESTOR CODE],0),)," ")</f>
        <v xml:space="preserve"> </v>
      </c>
      <c r="I2458" s="145" t="s">
        <v>348</v>
      </c>
      <c r="J2458" s="146" t="s">
        <v>184</v>
      </c>
      <c r="K2458" s="219"/>
      <c r="L2458" s="219">
        <v>1280000</v>
      </c>
    </row>
    <row r="2459" spans="1:14" x14ac:dyDescent="0.2">
      <c r="A2459" s="168">
        <v>2021</v>
      </c>
      <c r="B2459" s="168">
        <v>3</v>
      </c>
      <c r="C2459" s="168">
        <v>3</v>
      </c>
      <c r="D2459" s="141">
        <f t="shared" si="84"/>
        <v>44258</v>
      </c>
      <c r="E2459" s="275">
        <f t="shared" si="85"/>
        <v>44258</v>
      </c>
      <c r="F2459" s="479" t="s">
        <v>524</v>
      </c>
      <c r="G2459" s="220" t="s">
        <v>74</v>
      </c>
      <c r="H2459" s="142" t="str" cm="1">
        <f t="array" ref="H2459">IFERROR(INDEX(INVESTOR_LIST[INVESTOR NAME],MATCH(I2459,INVESTOR_LIST[INVESTOR CODE],0),)," ")</f>
        <v xml:space="preserve"> </v>
      </c>
      <c r="I2459" s="142"/>
      <c r="J2459" s="168" t="s">
        <v>147</v>
      </c>
      <c r="K2459" s="226">
        <v>3897002</v>
      </c>
      <c r="L2459" s="226"/>
    </row>
    <row r="2460" spans="1:14" x14ac:dyDescent="0.2">
      <c r="A2460" s="163">
        <v>2021</v>
      </c>
      <c r="B2460" s="163">
        <v>3</v>
      </c>
      <c r="C2460" s="163">
        <v>3</v>
      </c>
      <c r="D2460" s="141">
        <f t="shared" si="84"/>
        <v>44258</v>
      </c>
      <c r="E2460" s="275">
        <f t="shared" si="85"/>
        <v>44258</v>
      </c>
      <c r="F2460" s="480"/>
      <c r="G2460" s="221" t="s">
        <v>74</v>
      </c>
      <c r="H2460" s="145" t="str" cm="1">
        <f t="array" ref="H2460">IFERROR(INDEX(INVESTOR_LIST[INVESTOR NAME],MATCH(I2460,INVESTOR_LIST[INVESTOR CODE],0),)," ")</f>
        <v xml:space="preserve"> </v>
      </c>
      <c r="I2460" s="145"/>
      <c r="J2460" s="163" t="s">
        <v>52</v>
      </c>
      <c r="K2460" s="219"/>
      <c r="L2460" s="219">
        <v>3897002</v>
      </c>
      <c r="N2460" s="160"/>
    </row>
    <row r="2461" spans="1:14" ht="33.75" x14ac:dyDescent="0.2">
      <c r="A2461" s="168">
        <v>2021</v>
      </c>
      <c r="B2461" s="168">
        <v>3</v>
      </c>
      <c r="C2461" s="168">
        <v>3</v>
      </c>
      <c r="D2461" s="141">
        <f t="shared" si="84"/>
        <v>44258</v>
      </c>
      <c r="E2461" s="275">
        <f t="shared" si="85"/>
        <v>44258</v>
      </c>
      <c r="F2461" s="479" t="s">
        <v>964</v>
      </c>
      <c r="G2461" s="220" t="s">
        <v>74</v>
      </c>
      <c r="H2461" s="142" t="str" cm="1">
        <f t="array" ref="H2461">IFERROR(INDEX(INVESTOR_LIST[INVESTOR NAME],MATCH(I2461,INVESTOR_LIST[INVESTOR CODE],0),)," ")</f>
        <v>LILY RANI PAUL</v>
      </c>
      <c r="I2461" s="142" t="s">
        <v>451</v>
      </c>
      <c r="J2461" s="168" t="s">
        <v>52</v>
      </c>
      <c r="K2461" s="226">
        <v>33968.32</v>
      </c>
      <c r="L2461" s="226"/>
    </row>
    <row r="2462" spans="1:14" ht="33.75" x14ac:dyDescent="0.2">
      <c r="A2462" s="133">
        <v>2021</v>
      </c>
      <c r="B2462" s="133">
        <v>3</v>
      </c>
      <c r="C2462" s="133">
        <v>3</v>
      </c>
      <c r="D2462" s="141">
        <f t="shared" si="84"/>
        <v>44258</v>
      </c>
      <c r="E2462" s="275">
        <f t="shared" si="85"/>
        <v>44258</v>
      </c>
      <c r="F2462" s="481"/>
      <c r="G2462" s="174" t="s">
        <v>74</v>
      </c>
      <c r="H2462" s="148" t="str" cm="1">
        <f t="array" ref="H2462">IFERROR(INDEX(INVESTOR_LIST[INVESTOR NAME],MATCH(I2462,INVESTOR_LIST[INVESTOR CODE],0),)," ")</f>
        <v>LILY RANI PAUL</v>
      </c>
      <c r="I2462" s="148" t="s">
        <v>451</v>
      </c>
      <c r="J2462" s="133" t="s">
        <v>13</v>
      </c>
      <c r="K2462" s="218"/>
      <c r="L2462" s="218">
        <v>29690</v>
      </c>
    </row>
    <row r="2463" spans="1:14" ht="33.75" x14ac:dyDescent="0.2">
      <c r="A2463" s="163">
        <v>2021</v>
      </c>
      <c r="B2463" s="163">
        <v>3</v>
      </c>
      <c r="C2463" s="163">
        <v>3</v>
      </c>
      <c r="D2463" s="141">
        <f t="shared" si="84"/>
        <v>44258</v>
      </c>
      <c r="E2463" s="275">
        <f t="shared" si="85"/>
        <v>44258</v>
      </c>
      <c r="F2463" s="480"/>
      <c r="G2463" s="221" t="s">
        <v>74</v>
      </c>
      <c r="H2463" s="145" t="str" cm="1">
        <f t="array" ref="H2463">IFERROR(INDEX(INVESTOR_LIST[INVESTOR NAME],MATCH(I2463,INVESTOR_LIST[INVESTOR CODE],0),)," ")</f>
        <v>LILY RANI PAUL</v>
      </c>
      <c r="I2463" s="145" t="s">
        <v>451</v>
      </c>
      <c r="J2463" s="163" t="s">
        <v>53</v>
      </c>
      <c r="K2463" s="219"/>
      <c r="L2463" s="219">
        <v>4278.32</v>
      </c>
    </row>
    <row r="2464" spans="1:14" ht="11.25" customHeight="1" x14ac:dyDescent="0.2">
      <c r="A2464" s="168">
        <v>2021</v>
      </c>
      <c r="B2464" s="168">
        <v>3</v>
      </c>
      <c r="C2464" s="168">
        <v>3</v>
      </c>
      <c r="D2464" s="141">
        <f t="shared" si="84"/>
        <v>44258</v>
      </c>
      <c r="E2464" s="275">
        <f t="shared" si="85"/>
        <v>44258</v>
      </c>
      <c r="F2464" s="479" t="s">
        <v>964</v>
      </c>
      <c r="G2464" s="220" t="s">
        <v>74</v>
      </c>
      <c r="H2464" s="142" t="str" cm="1">
        <f t="array" ref="H2464">IFERROR(INDEX(INVESTOR_LIST[INVESTOR NAME],MATCH(I2464,INVESTOR_LIST[INVESTOR CODE],0),)," ")</f>
        <v>KAZI AHSAN MARUF</v>
      </c>
      <c r="I2464" s="142" t="s">
        <v>423</v>
      </c>
      <c r="J2464" s="168" t="s">
        <v>52</v>
      </c>
      <c r="K2464" s="226">
        <v>50000</v>
      </c>
      <c r="L2464" s="226"/>
    </row>
    <row r="2465" spans="1:14" ht="33.75" x14ac:dyDescent="0.2">
      <c r="A2465" s="133">
        <v>2021</v>
      </c>
      <c r="B2465" s="133">
        <v>3</v>
      </c>
      <c r="C2465" s="133">
        <v>3</v>
      </c>
      <c r="D2465" s="141">
        <f t="shared" si="84"/>
        <v>44258</v>
      </c>
      <c r="E2465" s="275">
        <f t="shared" si="85"/>
        <v>44258</v>
      </c>
      <c r="F2465" s="481"/>
      <c r="G2465" s="174" t="s">
        <v>74</v>
      </c>
      <c r="H2465" s="148" t="str" cm="1">
        <f t="array" ref="H2465">IFERROR(INDEX(INVESTOR_LIST[INVESTOR NAME],MATCH(I2465,INVESTOR_LIST[INVESTOR CODE],0),)," ")</f>
        <v>KAZI AHSAN MARUF</v>
      </c>
      <c r="I2465" s="148" t="s">
        <v>423</v>
      </c>
      <c r="J2465" s="133" t="s">
        <v>13</v>
      </c>
      <c r="K2465" s="218"/>
      <c r="L2465" s="218">
        <v>39780</v>
      </c>
      <c r="N2465" s="156"/>
    </row>
    <row r="2466" spans="1:14" ht="33.75" x14ac:dyDescent="0.2">
      <c r="A2466" s="163">
        <v>2021</v>
      </c>
      <c r="B2466" s="163">
        <v>3</v>
      </c>
      <c r="C2466" s="163">
        <v>3</v>
      </c>
      <c r="D2466" s="141">
        <f t="shared" si="84"/>
        <v>44258</v>
      </c>
      <c r="E2466" s="275">
        <f t="shared" si="85"/>
        <v>44258</v>
      </c>
      <c r="F2466" s="480"/>
      <c r="G2466" s="221" t="s">
        <v>74</v>
      </c>
      <c r="H2466" s="145" t="str" cm="1">
        <f t="array" ref="H2466">IFERROR(INDEX(INVESTOR_LIST[INVESTOR NAME],MATCH(I2466,INVESTOR_LIST[INVESTOR CODE],0),)," ")</f>
        <v>KAZI AHSAN MARUF</v>
      </c>
      <c r="I2466" s="145" t="s">
        <v>423</v>
      </c>
      <c r="J2466" s="163" t="s">
        <v>53</v>
      </c>
      <c r="K2466" s="219"/>
      <c r="L2466" s="219">
        <v>10220</v>
      </c>
    </row>
    <row r="2467" spans="1:14" x14ac:dyDescent="0.2">
      <c r="A2467" s="168">
        <v>2021</v>
      </c>
      <c r="B2467" s="168">
        <v>3</v>
      </c>
      <c r="C2467" s="168">
        <v>3</v>
      </c>
      <c r="D2467" s="141">
        <f t="shared" si="84"/>
        <v>44258</v>
      </c>
      <c r="E2467" s="275">
        <f t="shared" si="85"/>
        <v>44258</v>
      </c>
      <c r="F2467" s="479" t="s">
        <v>77</v>
      </c>
      <c r="G2467" s="220" t="s">
        <v>74</v>
      </c>
      <c r="H2467" s="220" t="str" cm="1">
        <f t="array" ref="H2467">IFERROR(INDEX(INVESTOR_LIST[INVESTOR NAME],MATCH(I2467,INVESTOR_LIST[INVESTOR CODE],0),)," ")</f>
        <v xml:space="preserve"> </v>
      </c>
      <c r="I2467" s="142" t="s">
        <v>348</v>
      </c>
      <c r="J2467" s="143" t="s">
        <v>61</v>
      </c>
      <c r="K2467" s="226">
        <v>10</v>
      </c>
      <c r="L2467" s="226"/>
    </row>
    <row r="2468" spans="1:14" x14ac:dyDescent="0.2">
      <c r="A2468" s="163">
        <v>2021</v>
      </c>
      <c r="B2468" s="163">
        <v>3</v>
      </c>
      <c r="C2468" s="163">
        <v>3</v>
      </c>
      <c r="D2468" s="141">
        <f t="shared" si="84"/>
        <v>44258</v>
      </c>
      <c r="E2468" s="275">
        <f t="shared" si="85"/>
        <v>44258</v>
      </c>
      <c r="F2468" s="480"/>
      <c r="G2468" s="221" t="s">
        <v>74</v>
      </c>
      <c r="H2468" s="221" t="str" cm="1">
        <f t="array" ref="H2468">IFERROR(INDEX(INVESTOR_LIST[INVESTOR NAME],MATCH(I2468,INVESTOR_LIST[INVESTOR CODE],0),)," ")</f>
        <v xml:space="preserve"> </v>
      </c>
      <c r="I2468" s="145" t="s">
        <v>348</v>
      </c>
      <c r="J2468" s="146" t="s">
        <v>52</v>
      </c>
      <c r="K2468" s="219"/>
      <c r="L2468" s="219">
        <v>10</v>
      </c>
    </row>
    <row r="2469" spans="1:14" ht="11.25" customHeight="1" x14ac:dyDescent="0.2">
      <c r="A2469" s="168">
        <v>2021</v>
      </c>
      <c r="B2469" s="168">
        <v>3</v>
      </c>
      <c r="C2469" s="168">
        <v>4</v>
      </c>
      <c r="D2469" s="141">
        <f t="shared" si="84"/>
        <v>44259</v>
      </c>
      <c r="E2469" s="275">
        <f t="shared" si="85"/>
        <v>44259</v>
      </c>
      <c r="F2469" s="479" t="s">
        <v>964</v>
      </c>
      <c r="G2469" s="220" t="s">
        <v>74</v>
      </c>
      <c r="H2469" s="142" t="str" cm="1">
        <f t="array" ref="H2469">IFERROR(INDEX(INVESTOR_LIST[INVESTOR NAME],MATCH(I2469,INVESTOR_LIST[INVESTOR CODE],0),)," ")</f>
        <v>FARUQUE AHMED &amp; ZAHEDA BEGUM HENA</v>
      </c>
      <c r="I2469" s="142" t="s">
        <v>549</v>
      </c>
      <c r="J2469" s="168" t="s">
        <v>52</v>
      </c>
      <c r="K2469" s="226">
        <v>1000000</v>
      </c>
      <c r="L2469" s="226"/>
    </row>
    <row r="2470" spans="1:14" ht="67.5" x14ac:dyDescent="0.2">
      <c r="A2470" s="133">
        <v>2021</v>
      </c>
      <c r="B2470" s="133">
        <v>3</v>
      </c>
      <c r="C2470" s="133">
        <v>4</v>
      </c>
      <c r="D2470" s="141">
        <f t="shared" si="84"/>
        <v>44259</v>
      </c>
      <c r="E2470" s="275">
        <f t="shared" si="85"/>
        <v>44259</v>
      </c>
      <c r="F2470" s="481"/>
      <c r="G2470" s="174" t="s">
        <v>74</v>
      </c>
      <c r="H2470" s="148" t="str" cm="1">
        <f t="array" ref="H2470">IFERROR(INDEX(INVESTOR_LIST[INVESTOR NAME],MATCH(I2470,INVESTOR_LIST[INVESTOR CODE],0),)," ")</f>
        <v>FARUQUE AHMED &amp; ZAHEDA BEGUM HENA</v>
      </c>
      <c r="I2470" s="148" t="s">
        <v>549</v>
      </c>
      <c r="J2470" s="133" t="s">
        <v>13</v>
      </c>
      <c r="K2470" s="218"/>
      <c r="L2470" s="218">
        <v>795540</v>
      </c>
    </row>
    <row r="2471" spans="1:14" ht="67.5" x14ac:dyDescent="0.2">
      <c r="A2471" s="163">
        <v>2021</v>
      </c>
      <c r="B2471" s="163">
        <v>3</v>
      </c>
      <c r="C2471" s="163">
        <v>4</v>
      </c>
      <c r="D2471" s="141">
        <f t="shared" si="84"/>
        <v>44259</v>
      </c>
      <c r="E2471" s="275">
        <f t="shared" si="85"/>
        <v>44259</v>
      </c>
      <c r="F2471" s="480"/>
      <c r="G2471" s="221" t="s">
        <v>74</v>
      </c>
      <c r="H2471" s="145" t="str" cm="1">
        <f t="array" ref="H2471">IFERROR(INDEX(INVESTOR_LIST[INVESTOR NAME],MATCH(I2471,INVESTOR_LIST[INVESTOR CODE],0),)," ")</f>
        <v>FARUQUE AHMED &amp; ZAHEDA BEGUM HENA</v>
      </c>
      <c r="I2471" s="145" t="s">
        <v>549</v>
      </c>
      <c r="J2471" s="163" t="s">
        <v>53</v>
      </c>
      <c r="K2471" s="219"/>
      <c r="L2471" s="219">
        <v>204460</v>
      </c>
      <c r="N2471" s="160"/>
    </row>
    <row r="2472" spans="1:14" ht="11.25" customHeight="1" x14ac:dyDescent="0.2">
      <c r="A2472" s="168">
        <v>2021</v>
      </c>
      <c r="B2472" s="168">
        <v>3</v>
      </c>
      <c r="C2472" s="168">
        <v>4</v>
      </c>
      <c r="D2472" s="141">
        <f t="shared" si="84"/>
        <v>44259</v>
      </c>
      <c r="E2472" s="275">
        <f t="shared" si="85"/>
        <v>44259</v>
      </c>
      <c r="F2472" s="479" t="s">
        <v>964</v>
      </c>
      <c r="G2472" s="220" t="s">
        <v>74</v>
      </c>
      <c r="H2472" s="142" t="str" cm="1">
        <f t="array" ref="H2472">IFERROR(INDEX(INVESTOR_LIST[INVESTOR NAME],MATCH(I2472,INVESTOR_LIST[INVESTOR CODE],0),)," ")</f>
        <v>FARUQUE AHMED &amp; ZAHEDA BEGUM HENA</v>
      </c>
      <c r="I2472" s="142" t="s">
        <v>549</v>
      </c>
      <c r="J2472" s="168" t="s">
        <v>52</v>
      </c>
      <c r="K2472" s="226">
        <v>1000000</v>
      </c>
      <c r="L2472" s="226"/>
    </row>
    <row r="2473" spans="1:14" ht="67.5" x14ac:dyDescent="0.2">
      <c r="A2473" s="133">
        <v>2021</v>
      </c>
      <c r="B2473" s="133">
        <v>3</v>
      </c>
      <c r="C2473" s="133">
        <v>4</v>
      </c>
      <c r="D2473" s="141">
        <f t="shared" si="84"/>
        <v>44259</v>
      </c>
      <c r="E2473" s="275">
        <f t="shared" si="85"/>
        <v>44259</v>
      </c>
      <c r="F2473" s="481"/>
      <c r="G2473" s="174" t="s">
        <v>74</v>
      </c>
      <c r="H2473" s="148" t="str" cm="1">
        <f t="array" ref="H2473">IFERROR(INDEX(INVESTOR_LIST[INVESTOR NAME],MATCH(I2473,INVESTOR_LIST[INVESTOR CODE],0),)," ")</f>
        <v>FARUQUE AHMED &amp; ZAHEDA BEGUM HENA</v>
      </c>
      <c r="I2473" s="148" t="s">
        <v>549</v>
      </c>
      <c r="J2473" s="133" t="s">
        <v>13</v>
      </c>
      <c r="K2473" s="218"/>
      <c r="L2473" s="218">
        <v>795540</v>
      </c>
    </row>
    <row r="2474" spans="1:14" ht="67.5" x14ac:dyDescent="0.2">
      <c r="A2474" s="163">
        <v>2021</v>
      </c>
      <c r="B2474" s="163">
        <v>3</v>
      </c>
      <c r="C2474" s="163">
        <v>4</v>
      </c>
      <c r="D2474" s="141">
        <f t="shared" si="84"/>
        <v>44259</v>
      </c>
      <c r="E2474" s="275">
        <f t="shared" si="85"/>
        <v>44259</v>
      </c>
      <c r="F2474" s="480"/>
      <c r="G2474" s="221" t="s">
        <v>74</v>
      </c>
      <c r="H2474" s="145" t="str" cm="1">
        <f t="array" ref="H2474">IFERROR(INDEX(INVESTOR_LIST[INVESTOR NAME],MATCH(I2474,INVESTOR_LIST[INVESTOR CODE],0),)," ")</f>
        <v>FARUQUE AHMED &amp; ZAHEDA BEGUM HENA</v>
      </c>
      <c r="I2474" s="145" t="s">
        <v>549</v>
      </c>
      <c r="J2474" s="163" t="s">
        <v>53</v>
      </c>
      <c r="K2474" s="219"/>
      <c r="L2474" s="219">
        <v>204460</v>
      </c>
      <c r="N2474" s="160"/>
    </row>
    <row r="2475" spans="1:14" ht="11.25" customHeight="1" x14ac:dyDescent="0.2">
      <c r="A2475" s="168">
        <v>2021</v>
      </c>
      <c r="B2475" s="168">
        <v>3</v>
      </c>
      <c r="C2475" s="168">
        <v>4</v>
      </c>
      <c r="D2475" s="141">
        <f t="shared" si="84"/>
        <v>44259</v>
      </c>
      <c r="E2475" s="275">
        <f t="shared" si="85"/>
        <v>44259</v>
      </c>
      <c r="F2475" s="479" t="s">
        <v>964</v>
      </c>
      <c r="G2475" s="220" t="s">
        <v>74</v>
      </c>
      <c r="H2475" s="142" t="str" cm="1">
        <f t="array" ref="H2475">IFERROR(INDEX(INVESTOR_LIST[INVESTOR NAME],MATCH(I2475,INVESTOR_LIST[INVESTOR CODE],0),)," ")</f>
        <v>ANJANA SAHA</v>
      </c>
      <c r="I2475" s="142" t="s">
        <v>382</v>
      </c>
      <c r="J2475" s="168" t="s">
        <v>52</v>
      </c>
      <c r="K2475" s="226">
        <v>500000</v>
      </c>
      <c r="L2475" s="226"/>
    </row>
    <row r="2476" spans="1:14" ht="22.5" x14ac:dyDescent="0.2">
      <c r="A2476" s="133">
        <v>2021</v>
      </c>
      <c r="B2476" s="133">
        <v>3</v>
      </c>
      <c r="C2476" s="133">
        <v>4</v>
      </c>
      <c r="D2476" s="141">
        <f t="shared" si="84"/>
        <v>44259</v>
      </c>
      <c r="E2476" s="275">
        <f t="shared" si="85"/>
        <v>44259</v>
      </c>
      <c r="F2476" s="481"/>
      <c r="G2476" s="174" t="s">
        <v>74</v>
      </c>
      <c r="H2476" s="148" t="str" cm="1">
        <f t="array" ref="H2476">IFERROR(INDEX(INVESTOR_LIST[INVESTOR NAME],MATCH(I2476,INVESTOR_LIST[INVESTOR CODE],0),)," ")</f>
        <v>ANJANA SAHA</v>
      </c>
      <c r="I2476" s="148" t="s">
        <v>382</v>
      </c>
      <c r="J2476" s="133" t="s">
        <v>13</v>
      </c>
      <c r="K2476" s="218"/>
      <c r="L2476" s="218">
        <v>397770</v>
      </c>
    </row>
    <row r="2477" spans="1:14" ht="22.5" x14ac:dyDescent="0.2">
      <c r="A2477" s="163">
        <v>2021</v>
      </c>
      <c r="B2477" s="163">
        <v>3</v>
      </c>
      <c r="C2477" s="163">
        <v>4</v>
      </c>
      <c r="D2477" s="141">
        <f t="shared" si="84"/>
        <v>44259</v>
      </c>
      <c r="E2477" s="275">
        <f t="shared" si="85"/>
        <v>44259</v>
      </c>
      <c r="F2477" s="480"/>
      <c r="G2477" s="221" t="s">
        <v>74</v>
      </c>
      <c r="H2477" s="145" t="str" cm="1">
        <f t="array" ref="H2477">IFERROR(INDEX(INVESTOR_LIST[INVESTOR NAME],MATCH(I2477,INVESTOR_LIST[INVESTOR CODE],0),)," ")</f>
        <v>ANJANA SAHA</v>
      </c>
      <c r="I2477" s="145" t="s">
        <v>382</v>
      </c>
      <c r="J2477" s="163" t="s">
        <v>53</v>
      </c>
      <c r="K2477" s="219"/>
      <c r="L2477" s="219">
        <v>102230</v>
      </c>
      <c r="N2477" s="160"/>
    </row>
    <row r="2478" spans="1:14" ht="11.25" customHeight="1" x14ac:dyDescent="0.2">
      <c r="A2478" s="168">
        <v>2021</v>
      </c>
      <c r="B2478" s="168">
        <v>3</v>
      </c>
      <c r="C2478" s="168">
        <v>4</v>
      </c>
      <c r="D2478" s="141">
        <f t="shared" si="84"/>
        <v>44259</v>
      </c>
      <c r="E2478" s="275">
        <f t="shared" si="85"/>
        <v>44259</v>
      </c>
      <c r="F2478" s="479" t="s">
        <v>254</v>
      </c>
      <c r="G2478" s="220" t="s">
        <v>74</v>
      </c>
      <c r="H2478" s="142" t="str" cm="1">
        <f t="array" ref="H2478">IFERROR(INDEX(INVESTOR_LIST[INVESTOR NAME],MATCH(I2478,INVESTOR_LIST[INVESTOR CODE],0),)," ")</f>
        <v xml:space="preserve"> </v>
      </c>
      <c r="I2478" s="142"/>
      <c r="J2478" s="168" t="s">
        <v>52</v>
      </c>
      <c r="K2478" s="226">
        <v>23000</v>
      </c>
      <c r="L2478" s="226"/>
    </row>
    <row r="2479" spans="1:14" x14ac:dyDescent="0.2">
      <c r="A2479" s="133">
        <v>2021</v>
      </c>
      <c r="B2479" s="133">
        <v>3</v>
      </c>
      <c r="C2479" s="133">
        <v>4</v>
      </c>
      <c r="D2479" s="141">
        <f t="shared" si="84"/>
        <v>44259</v>
      </c>
      <c r="E2479" s="275">
        <f t="shared" si="85"/>
        <v>44259</v>
      </c>
      <c r="F2479" s="481"/>
      <c r="G2479" s="174" t="s">
        <v>74</v>
      </c>
      <c r="H2479" s="148" t="str" cm="1">
        <f t="array" ref="H2479">IFERROR(INDEX(INVESTOR_LIST[INVESTOR NAME],MATCH(I2479,INVESTOR_LIST[INVESTOR CODE],0),)," ")</f>
        <v xml:space="preserve"> </v>
      </c>
      <c r="J2479" s="133" t="s">
        <v>13</v>
      </c>
      <c r="K2479" s="218"/>
      <c r="L2479" s="218">
        <v>18310</v>
      </c>
    </row>
    <row r="2480" spans="1:14" x14ac:dyDescent="0.2">
      <c r="A2480" s="163">
        <v>2021</v>
      </c>
      <c r="B2480" s="163">
        <v>3</v>
      </c>
      <c r="C2480" s="163">
        <v>4</v>
      </c>
      <c r="D2480" s="141">
        <f t="shared" si="84"/>
        <v>44259</v>
      </c>
      <c r="E2480" s="275">
        <f t="shared" si="85"/>
        <v>44259</v>
      </c>
      <c r="F2480" s="480"/>
      <c r="G2480" s="221" t="s">
        <v>74</v>
      </c>
      <c r="H2480" s="145" t="str" cm="1">
        <f t="array" ref="H2480">IFERROR(INDEX(INVESTOR_LIST[INVESTOR NAME],MATCH(I2480,INVESTOR_LIST[INVESTOR CODE],0),)," ")</f>
        <v xml:space="preserve"> </v>
      </c>
      <c r="I2480" s="145"/>
      <c r="J2480" s="163" t="s">
        <v>53</v>
      </c>
      <c r="K2480" s="219"/>
      <c r="L2480" s="219">
        <v>4690</v>
      </c>
    </row>
    <row r="2481" spans="1:14" ht="11.25" customHeight="1" x14ac:dyDescent="0.2">
      <c r="A2481" s="168">
        <v>2021</v>
      </c>
      <c r="B2481" s="168">
        <v>3</v>
      </c>
      <c r="C2481" s="168">
        <v>4</v>
      </c>
      <c r="D2481" s="141">
        <f t="shared" si="84"/>
        <v>44259</v>
      </c>
      <c r="E2481" s="275">
        <f t="shared" si="85"/>
        <v>44259</v>
      </c>
      <c r="F2481" s="479" t="s">
        <v>964</v>
      </c>
      <c r="G2481" s="220" t="s">
        <v>74</v>
      </c>
      <c r="H2481" s="142" t="str" cm="1">
        <f t="array" ref="H2481">IFERROR(INDEX(INVESTOR_LIST[INVESTOR NAME],MATCH(I2481,INVESTOR_LIST[INVESTOR CODE],0),)," ")</f>
        <v>MINHAJ UDDIN</v>
      </c>
      <c r="I2481" s="142" t="s">
        <v>390</v>
      </c>
      <c r="J2481" s="168" t="s">
        <v>52</v>
      </c>
      <c r="K2481" s="226">
        <v>691350</v>
      </c>
      <c r="L2481" s="226"/>
    </row>
    <row r="2482" spans="1:14" ht="22.5" x14ac:dyDescent="0.2">
      <c r="A2482" s="133">
        <v>2021</v>
      </c>
      <c r="B2482" s="133">
        <v>3</v>
      </c>
      <c r="C2482" s="133">
        <v>4</v>
      </c>
      <c r="D2482" s="141">
        <f t="shared" si="84"/>
        <v>44259</v>
      </c>
      <c r="E2482" s="275">
        <f t="shared" si="85"/>
        <v>44259</v>
      </c>
      <c r="F2482" s="481"/>
      <c r="G2482" s="174" t="s">
        <v>74</v>
      </c>
      <c r="H2482" s="148" t="str" cm="1">
        <f t="array" ref="H2482">IFERROR(INDEX(INVESTOR_LIST[INVESTOR NAME],MATCH(I2482,INVESTOR_LIST[INVESTOR CODE],0),)," ")</f>
        <v>MINHAJ UDDIN</v>
      </c>
      <c r="I2482" s="148" t="s">
        <v>390</v>
      </c>
      <c r="J2482" s="133" t="s">
        <v>13</v>
      </c>
      <c r="K2482" s="218"/>
      <c r="L2482" s="218">
        <v>550000</v>
      </c>
    </row>
    <row r="2483" spans="1:14" ht="22.5" x14ac:dyDescent="0.2">
      <c r="A2483" s="163">
        <v>2021</v>
      </c>
      <c r="B2483" s="163">
        <v>3</v>
      </c>
      <c r="C2483" s="163">
        <v>4</v>
      </c>
      <c r="D2483" s="141">
        <f t="shared" si="84"/>
        <v>44259</v>
      </c>
      <c r="E2483" s="275">
        <f t="shared" si="85"/>
        <v>44259</v>
      </c>
      <c r="F2483" s="480"/>
      <c r="G2483" s="221" t="s">
        <v>74</v>
      </c>
      <c r="H2483" s="145" t="str" cm="1">
        <f t="array" ref="H2483">IFERROR(INDEX(INVESTOR_LIST[INVESTOR NAME],MATCH(I2483,INVESTOR_LIST[INVESTOR CODE],0),)," ")</f>
        <v>MINHAJ UDDIN</v>
      </c>
      <c r="I2483" s="145" t="s">
        <v>390</v>
      </c>
      <c r="J2483" s="163" t="s">
        <v>53</v>
      </c>
      <c r="K2483" s="219"/>
      <c r="L2483" s="219">
        <v>141350</v>
      </c>
    </row>
    <row r="2484" spans="1:14" x14ac:dyDescent="0.2">
      <c r="A2484" s="168">
        <v>2021</v>
      </c>
      <c r="B2484" s="168">
        <v>3</v>
      </c>
      <c r="C2484" s="168">
        <v>4</v>
      </c>
      <c r="D2484" s="141">
        <f t="shared" si="84"/>
        <v>44259</v>
      </c>
      <c r="E2484" s="275">
        <f t="shared" si="85"/>
        <v>44259</v>
      </c>
      <c r="F2484" s="479" t="s">
        <v>77</v>
      </c>
      <c r="G2484" s="220" t="s">
        <v>74</v>
      </c>
      <c r="H2484" s="220" t="str" cm="1">
        <f t="array" ref="H2484">IFERROR(INDEX(INVESTOR_LIST[INVESTOR NAME],MATCH(I2484,INVESTOR_LIST[INVESTOR CODE],0),)," ")</f>
        <v xml:space="preserve"> </v>
      </c>
      <c r="I2484" s="142" t="s">
        <v>348</v>
      </c>
      <c r="J2484" s="143" t="s">
        <v>61</v>
      </c>
      <c r="K2484" s="226">
        <v>60</v>
      </c>
      <c r="L2484" s="226"/>
    </row>
    <row r="2485" spans="1:14" x14ac:dyDescent="0.2">
      <c r="A2485" s="163">
        <v>2021</v>
      </c>
      <c r="B2485" s="163">
        <v>3</v>
      </c>
      <c r="C2485" s="163">
        <v>4</v>
      </c>
      <c r="D2485" s="141">
        <f t="shared" si="84"/>
        <v>44259</v>
      </c>
      <c r="E2485" s="275">
        <f t="shared" si="85"/>
        <v>44259</v>
      </c>
      <c r="F2485" s="480"/>
      <c r="G2485" s="221" t="s">
        <v>74</v>
      </c>
      <c r="H2485" s="221" t="str" cm="1">
        <f t="array" ref="H2485">IFERROR(INDEX(INVESTOR_LIST[INVESTOR NAME],MATCH(I2485,INVESTOR_LIST[INVESTOR CODE],0),)," ")</f>
        <v xml:space="preserve"> </v>
      </c>
      <c r="I2485" s="145" t="s">
        <v>348</v>
      </c>
      <c r="J2485" s="146" t="s">
        <v>52</v>
      </c>
      <c r="K2485" s="219"/>
      <c r="L2485" s="219">
        <v>60</v>
      </c>
    </row>
    <row r="2486" spans="1:14" x14ac:dyDescent="0.2">
      <c r="A2486" s="168">
        <v>2021</v>
      </c>
      <c r="B2486" s="168">
        <v>3</v>
      </c>
      <c r="C2486" s="168">
        <v>4</v>
      </c>
      <c r="D2486" s="141">
        <f t="shared" si="84"/>
        <v>44259</v>
      </c>
      <c r="E2486" s="275">
        <f t="shared" si="85"/>
        <v>44259</v>
      </c>
      <c r="F2486" s="479" t="s">
        <v>77</v>
      </c>
      <c r="G2486" s="220" t="s">
        <v>74</v>
      </c>
      <c r="H2486" s="220" t="str" cm="1">
        <f t="array" ref="H2486">IFERROR(INDEX(INVESTOR_LIST[INVESTOR NAME],MATCH(I2486,INVESTOR_LIST[INVESTOR CODE],0),)," ")</f>
        <v xml:space="preserve"> </v>
      </c>
      <c r="I2486" s="142" t="s">
        <v>348</v>
      </c>
      <c r="J2486" s="143" t="s">
        <v>61</v>
      </c>
      <c r="K2486" s="226">
        <v>60</v>
      </c>
      <c r="L2486" s="226"/>
      <c r="N2486" s="160"/>
    </row>
    <row r="2487" spans="1:14" x14ac:dyDescent="0.2">
      <c r="A2487" s="163">
        <v>2021</v>
      </c>
      <c r="B2487" s="163">
        <v>3</v>
      </c>
      <c r="C2487" s="163">
        <v>4</v>
      </c>
      <c r="D2487" s="141">
        <f t="shared" si="84"/>
        <v>44259</v>
      </c>
      <c r="E2487" s="275">
        <f t="shared" si="85"/>
        <v>44259</v>
      </c>
      <c r="F2487" s="480"/>
      <c r="G2487" s="221" t="s">
        <v>74</v>
      </c>
      <c r="H2487" s="221" t="str" cm="1">
        <f t="array" ref="H2487">IFERROR(INDEX(INVESTOR_LIST[INVESTOR NAME],MATCH(I2487,INVESTOR_LIST[INVESTOR CODE],0),)," ")</f>
        <v xml:space="preserve"> </v>
      </c>
      <c r="I2487" s="145" t="s">
        <v>348</v>
      </c>
      <c r="J2487" s="146" t="s">
        <v>52</v>
      </c>
      <c r="K2487" s="219"/>
      <c r="L2487" s="219">
        <v>60</v>
      </c>
    </row>
    <row r="2488" spans="1:14" x14ac:dyDescent="0.2">
      <c r="A2488" s="168">
        <v>2021</v>
      </c>
      <c r="B2488" s="168">
        <v>3</v>
      </c>
      <c r="C2488" s="168">
        <v>4</v>
      </c>
      <c r="D2488" s="141">
        <f t="shared" si="84"/>
        <v>44259</v>
      </c>
      <c r="E2488" s="275">
        <f t="shared" si="85"/>
        <v>44259</v>
      </c>
      <c r="F2488" s="479" t="s">
        <v>77</v>
      </c>
      <c r="G2488" s="220" t="s">
        <v>74</v>
      </c>
      <c r="H2488" s="220" t="str" cm="1">
        <f t="array" ref="H2488">IFERROR(INDEX(INVESTOR_LIST[INVESTOR NAME],MATCH(I2488,INVESTOR_LIST[INVESTOR CODE],0),)," ")</f>
        <v xml:space="preserve"> </v>
      </c>
      <c r="I2488" s="142" t="s">
        <v>348</v>
      </c>
      <c r="J2488" s="143" t="s">
        <v>61</v>
      </c>
      <c r="K2488" s="226">
        <v>60</v>
      </c>
      <c r="L2488" s="226"/>
    </row>
    <row r="2489" spans="1:14" x14ac:dyDescent="0.2">
      <c r="A2489" s="163">
        <v>2021</v>
      </c>
      <c r="B2489" s="163">
        <v>3</v>
      </c>
      <c r="C2489" s="163">
        <v>4</v>
      </c>
      <c r="D2489" s="141">
        <f t="shared" si="84"/>
        <v>44259</v>
      </c>
      <c r="E2489" s="275">
        <f t="shared" si="85"/>
        <v>44259</v>
      </c>
      <c r="F2489" s="480"/>
      <c r="G2489" s="221" t="s">
        <v>74</v>
      </c>
      <c r="H2489" s="221" t="str" cm="1">
        <f t="array" ref="H2489">IFERROR(INDEX(INVESTOR_LIST[INVESTOR NAME],MATCH(I2489,INVESTOR_LIST[INVESTOR CODE],0),)," ")</f>
        <v xml:space="preserve"> </v>
      </c>
      <c r="I2489" s="145" t="s">
        <v>348</v>
      </c>
      <c r="J2489" s="146" t="s">
        <v>52</v>
      </c>
      <c r="K2489" s="219"/>
      <c r="L2489" s="219">
        <v>60</v>
      </c>
      <c r="N2489" s="160"/>
    </row>
    <row r="2490" spans="1:14" ht="11.25" customHeight="1" x14ac:dyDescent="0.2">
      <c r="A2490" s="168">
        <v>2021</v>
      </c>
      <c r="B2490" s="168">
        <v>3</v>
      </c>
      <c r="C2490" s="168">
        <v>4</v>
      </c>
      <c r="D2490" s="141">
        <f t="shared" si="84"/>
        <v>44259</v>
      </c>
      <c r="E2490" s="275">
        <f t="shared" si="85"/>
        <v>44259</v>
      </c>
      <c r="F2490" s="479" t="s">
        <v>964</v>
      </c>
      <c r="G2490" s="220" t="s">
        <v>74</v>
      </c>
      <c r="H2490" s="142" t="str" cm="1">
        <f t="array" ref="H2490">IFERROR(INDEX(INVESTOR_LIST[INVESTOR NAME],MATCH(I2490,INVESTOR_LIST[INVESTOR CODE],0),)," ")</f>
        <v>NANDINI SAHA</v>
      </c>
      <c r="I2490" s="142" t="s">
        <v>463</v>
      </c>
      <c r="J2490" s="168" t="s">
        <v>52</v>
      </c>
      <c r="K2490" s="226">
        <v>200000</v>
      </c>
      <c r="L2490" s="226"/>
      <c r="N2490" s="160"/>
    </row>
    <row r="2491" spans="1:14" ht="22.5" x14ac:dyDescent="0.2">
      <c r="A2491" s="133">
        <v>2021</v>
      </c>
      <c r="B2491" s="133">
        <v>3</v>
      </c>
      <c r="C2491" s="133">
        <v>4</v>
      </c>
      <c r="D2491" s="141">
        <f t="shared" si="84"/>
        <v>44259</v>
      </c>
      <c r="E2491" s="275">
        <f t="shared" si="85"/>
        <v>44259</v>
      </c>
      <c r="F2491" s="481"/>
      <c r="G2491" s="174" t="s">
        <v>74</v>
      </c>
      <c r="H2491" s="148" t="str" cm="1">
        <f t="array" ref="H2491">IFERROR(INDEX(INVESTOR_LIST[INVESTOR NAME],MATCH(I2491,INVESTOR_LIST[INVESTOR CODE],0),)," ")</f>
        <v>NANDINI SAHA</v>
      </c>
      <c r="I2491" s="148" t="s">
        <v>463</v>
      </c>
      <c r="J2491" s="133" t="s">
        <v>13</v>
      </c>
      <c r="K2491" s="218"/>
      <c r="L2491" s="218">
        <v>159110</v>
      </c>
    </row>
    <row r="2492" spans="1:14" ht="22.5" x14ac:dyDescent="0.2">
      <c r="A2492" s="163">
        <v>2021</v>
      </c>
      <c r="B2492" s="163">
        <v>3</v>
      </c>
      <c r="C2492" s="163">
        <v>4</v>
      </c>
      <c r="D2492" s="141">
        <f t="shared" si="84"/>
        <v>44259</v>
      </c>
      <c r="E2492" s="275">
        <f t="shared" si="85"/>
        <v>44259</v>
      </c>
      <c r="F2492" s="480"/>
      <c r="G2492" s="221" t="s">
        <v>74</v>
      </c>
      <c r="H2492" s="145" t="str" cm="1">
        <f t="array" ref="H2492">IFERROR(INDEX(INVESTOR_LIST[INVESTOR NAME],MATCH(I2492,INVESTOR_LIST[INVESTOR CODE],0),)," ")</f>
        <v>NANDINI SAHA</v>
      </c>
      <c r="I2492" s="145" t="s">
        <v>463</v>
      </c>
      <c r="J2492" s="163" t="s">
        <v>53</v>
      </c>
      <c r="K2492" s="219"/>
      <c r="L2492" s="219">
        <v>40890</v>
      </c>
    </row>
    <row r="2493" spans="1:14" ht="11.25" customHeight="1" x14ac:dyDescent="0.2">
      <c r="A2493" s="168">
        <v>2021</v>
      </c>
      <c r="B2493" s="168">
        <v>3</v>
      </c>
      <c r="C2493" s="168">
        <v>4</v>
      </c>
      <c r="D2493" s="141">
        <f t="shared" si="84"/>
        <v>44259</v>
      </c>
      <c r="E2493" s="275">
        <f t="shared" si="85"/>
        <v>44259</v>
      </c>
      <c r="F2493" s="479" t="s">
        <v>964</v>
      </c>
      <c r="G2493" s="220" t="s">
        <v>74</v>
      </c>
      <c r="H2493" s="142" t="str" cm="1">
        <f t="array" ref="H2493">IFERROR(INDEX(INVESTOR_LIST[INVESTOR NAME],MATCH(I2493,INVESTOR_LIST[INVESTOR CODE],0),)," ")</f>
        <v>KANKA SAHA</v>
      </c>
      <c r="I2493" s="142" t="s">
        <v>428</v>
      </c>
      <c r="J2493" s="168" t="s">
        <v>52</v>
      </c>
      <c r="K2493" s="226">
        <v>400000</v>
      </c>
      <c r="L2493" s="226"/>
    </row>
    <row r="2494" spans="1:14" ht="22.5" x14ac:dyDescent="0.2">
      <c r="A2494" s="133">
        <v>2021</v>
      </c>
      <c r="B2494" s="133">
        <v>3</v>
      </c>
      <c r="C2494" s="133">
        <v>4</v>
      </c>
      <c r="D2494" s="141">
        <f t="shared" si="84"/>
        <v>44259</v>
      </c>
      <c r="E2494" s="275">
        <f t="shared" si="85"/>
        <v>44259</v>
      </c>
      <c r="F2494" s="481"/>
      <c r="G2494" s="174" t="s">
        <v>74</v>
      </c>
      <c r="H2494" s="148" t="str" cm="1">
        <f t="array" ref="H2494">IFERROR(INDEX(INVESTOR_LIST[INVESTOR NAME],MATCH(I2494,INVESTOR_LIST[INVESTOR CODE],0),)," ")</f>
        <v>KANKA SAHA</v>
      </c>
      <c r="I2494" s="148" t="s">
        <v>428</v>
      </c>
      <c r="J2494" s="133" t="s">
        <v>13</v>
      </c>
      <c r="K2494" s="218"/>
      <c r="L2494" s="218">
        <v>318220</v>
      </c>
    </row>
    <row r="2495" spans="1:14" ht="22.5" x14ac:dyDescent="0.2">
      <c r="A2495" s="163">
        <v>2021</v>
      </c>
      <c r="B2495" s="163">
        <v>3</v>
      </c>
      <c r="C2495" s="163">
        <v>4</v>
      </c>
      <c r="D2495" s="141">
        <f t="shared" si="84"/>
        <v>44259</v>
      </c>
      <c r="E2495" s="275">
        <f t="shared" si="85"/>
        <v>44259</v>
      </c>
      <c r="F2495" s="480"/>
      <c r="G2495" s="221" t="s">
        <v>74</v>
      </c>
      <c r="H2495" s="145" t="str" cm="1">
        <f t="array" ref="H2495">IFERROR(INDEX(INVESTOR_LIST[INVESTOR NAME],MATCH(I2495,INVESTOR_LIST[INVESTOR CODE],0),)," ")</f>
        <v>KANKA SAHA</v>
      </c>
      <c r="I2495" s="145" t="s">
        <v>428</v>
      </c>
      <c r="J2495" s="163" t="s">
        <v>53</v>
      </c>
      <c r="K2495" s="219"/>
      <c r="L2495" s="219">
        <v>81780</v>
      </c>
    </row>
    <row r="2496" spans="1:14" x14ac:dyDescent="0.2">
      <c r="A2496" s="168">
        <v>2021</v>
      </c>
      <c r="B2496" s="168">
        <v>3</v>
      </c>
      <c r="C2496" s="168">
        <v>4</v>
      </c>
      <c r="D2496" s="141">
        <f t="shared" si="84"/>
        <v>44259</v>
      </c>
      <c r="E2496" s="275">
        <f t="shared" si="85"/>
        <v>44259</v>
      </c>
      <c r="F2496" s="479" t="s">
        <v>77</v>
      </c>
      <c r="G2496" s="220" t="s">
        <v>74</v>
      </c>
      <c r="H2496" s="220" t="str" cm="1">
        <f t="array" ref="H2496">IFERROR(INDEX(INVESTOR_LIST[INVESTOR NAME],MATCH(I2496,INVESTOR_LIST[INVESTOR CODE],0),)," ")</f>
        <v xml:space="preserve"> </v>
      </c>
      <c r="I2496" s="142" t="s">
        <v>348</v>
      </c>
      <c r="J2496" s="143" t="s">
        <v>61</v>
      </c>
      <c r="K2496" s="226">
        <v>10</v>
      </c>
      <c r="L2496" s="226"/>
    </row>
    <row r="2497" spans="1:14" x14ac:dyDescent="0.2">
      <c r="A2497" s="163">
        <v>2021</v>
      </c>
      <c r="B2497" s="163">
        <v>3</v>
      </c>
      <c r="C2497" s="163">
        <v>4</v>
      </c>
      <c r="D2497" s="141">
        <f t="shared" si="84"/>
        <v>44259</v>
      </c>
      <c r="E2497" s="275">
        <f t="shared" si="85"/>
        <v>44259</v>
      </c>
      <c r="F2497" s="480"/>
      <c r="G2497" s="221" t="s">
        <v>74</v>
      </c>
      <c r="H2497" s="221" t="str" cm="1">
        <f t="array" ref="H2497">IFERROR(INDEX(INVESTOR_LIST[INVESTOR NAME],MATCH(I2497,INVESTOR_LIST[INVESTOR CODE],0),)," ")</f>
        <v xml:space="preserve"> </v>
      </c>
      <c r="I2497" s="145" t="s">
        <v>348</v>
      </c>
      <c r="J2497" s="146" t="s">
        <v>52</v>
      </c>
      <c r="K2497" s="219"/>
      <c r="L2497" s="219">
        <v>10</v>
      </c>
    </row>
    <row r="2498" spans="1:14" x14ac:dyDescent="0.2">
      <c r="A2498" s="168">
        <v>2021</v>
      </c>
      <c r="B2498" s="168">
        <v>3</v>
      </c>
      <c r="C2498" s="168">
        <v>4</v>
      </c>
      <c r="D2498" s="141">
        <f t="shared" si="84"/>
        <v>44259</v>
      </c>
      <c r="E2498" s="275">
        <f t="shared" si="85"/>
        <v>44259</v>
      </c>
      <c r="F2498" s="479" t="s">
        <v>77</v>
      </c>
      <c r="G2498" s="220" t="s">
        <v>74</v>
      </c>
      <c r="H2498" s="220" t="str" cm="1">
        <f t="array" ref="H2498">IFERROR(INDEX(INVESTOR_LIST[INVESTOR NAME],MATCH(I2498,INVESTOR_LIST[INVESTOR CODE],0),)," ")</f>
        <v xml:space="preserve"> </v>
      </c>
      <c r="I2498" s="142" t="s">
        <v>348</v>
      </c>
      <c r="J2498" s="143" t="s">
        <v>61</v>
      </c>
      <c r="K2498" s="226">
        <v>10</v>
      </c>
      <c r="L2498" s="226"/>
    </row>
    <row r="2499" spans="1:14" ht="11.25" customHeight="1" x14ac:dyDescent="0.2">
      <c r="A2499" s="163">
        <v>2021</v>
      </c>
      <c r="B2499" s="163">
        <v>3</v>
      </c>
      <c r="C2499" s="163">
        <v>4</v>
      </c>
      <c r="D2499" s="141">
        <f t="shared" si="84"/>
        <v>44259</v>
      </c>
      <c r="E2499" s="275">
        <f t="shared" si="85"/>
        <v>44259</v>
      </c>
      <c r="F2499" s="480"/>
      <c r="G2499" s="221" t="s">
        <v>74</v>
      </c>
      <c r="H2499" s="221" t="str" cm="1">
        <f t="array" ref="H2499">IFERROR(INDEX(INVESTOR_LIST[INVESTOR NAME],MATCH(I2499,INVESTOR_LIST[INVESTOR CODE],0),)," ")</f>
        <v xml:space="preserve"> </v>
      </c>
      <c r="I2499" s="145" t="s">
        <v>348</v>
      </c>
      <c r="J2499" s="146" t="s">
        <v>52</v>
      </c>
      <c r="K2499" s="219"/>
      <c r="L2499" s="219">
        <v>10</v>
      </c>
    </row>
    <row r="2500" spans="1:14" x14ac:dyDescent="0.2">
      <c r="A2500" s="168">
        <v>2021</v>
      </c>
      <c r="B2500" s="168">
        <v>3</v>
      </c>
      <c r="C2500" s="168">
        <v>4</v>
      </c>
      <c r="D2500" s="141">
        <f t="shared" si="84"/>
        <v>44259</v>
      </c>
      <c r="E2500" s="275">
        <f t="shared" si="85"/>
        <v>44259</v>
      </c>
      <c r="F2500" s="479" t="s">
        <v>233</v>
      </c>
      <c r="G2500" s="220" t="s">
        <v>74</v>
      </c>
      <c r="H2500" s="220" t="str" cm="1">
        <f t="array" ref="H2500">IFERROR(INDEX(INVESTOR_LIST[INVESTOR NAME],MATCH(I2500,INVESTOR_LIST[INVESTOR CODE],0),)," ")</f>
        <v xml:space="preserve"> </v>
      </c>
      <c r="I2500" s="142" t="s">
        <v>348</v>
      </c>
      <c r="J2500" s="143" t="s">
        <v>163</v>
      </c>
      <c r="K2500" s="226">
        <v>8000</v>
      </c>
      <c r="L2500" s="226"/>
    </row>
    <row r="2501" spans="1:14" ht="11.25" customHeight="1" x14ac:dyDescent="0.2">
      <c r="A2501" s="163">
        <v>2021</v>
      </c>
      <c r="B2501" s="163">
        <v>3</v>
      </c>
      <c r="C2501" s="163">
        <v>4</v>
      </c>
      <c r="D2501" s="141">
        <f t="shared" si="84"/>
        <v>44259</v>
      </c>
      <c r="E2501" s="275">
        <f t="shared" si="85"/>
        <v>44259</v>
      </c>
      <c r="F2501" s="480"/>
      <c r="G2501" s="221" t="s">
        <v>74</v>
      </c>
      <c r="H2501" s="221" t="str" cm="1">
        <f t="array" ref="H2501">IFERROR(INDEX(INVESTOR_LIST[INVESTOR NAME],MATCH(I2501,INVESTOR_LIST[INVESTOR CODE],0),)," ")</f>
        <v xml:space="preserve"> </v>
      </c>
      <c r="I2501" s="145" t="s">
        <v>348</v>
      </c>
      <c r="J2501" s="146" t="s">
        <v>52</v>
      </c>
      <c r="K2501" s="219"/>
      <c r="L2501" s="219">
        <v>8000</v>
      </c>
    </row>
    <row r="2502" spans="1:14" x14ac:dyDescent="0.2">
      <c r="A2502" s="168">
        <v>2021</v>
      </c>
      <c r="B2502" s="168">
        <v>3</v>
      </c>
      <c r="C2502" s="168">
        <v>4</v>
      </c>
      <c r="D2502" s="141">
        <f t="shared" si="84"/>
        <v>44259</v>
      </c>
      <c r="E2502" s="275">
        <f t="shared" si="85"/>
        <v>44259</v>
      </c>
      <c r="F2502" s="479" t="s">
        <v>544</v>
      </c>
      <c r="G2502" s="220" t="s">
        <v>74</v>
      </c>
      <c r="H2502" s="142" t="str" cm="1">
        <f t="array" ref="H2502">IFERROR(INDEX(INVESTOR_LIST[INVESTOR NAME],MATCH(I2502,INVESTOR_LIST[INVESTOR CODE],0),)," ")</f>
        <v xml:space="preserve"> </v>
      </c>
      <c r="I2502" s="142"/>
      <c r="J2502" s="168" t="s">
        <v>52</v>
      </c>
      <c r="K2502" s="226">
        <v>2636077.7999999998</v>
      </c>
      <c r="L2502" s="226"/>
    </row>
    <row r="2503" spans="1:14" ht="11.25" customHeight="1" x14ac:dyDescent="0.2">
      <c r="A2503" s="163">
        <v>2021</v>
      </c>
      <c r="B2503" s="163">
        <v>3</v>
      </c>
      <c r="C2503" s="163">
        <v>4</v>
      </c>
      <c r="D2503" s="141">
        <f t="shared" si="84"/>
        <v>44259</v>
      </c>
      <c r="E2503" s="275">
        <f t="shared" si="85"/>
        <v>44259</v>
      </c>
      <c r="F2503" s="480"/>
      <c r="G2503" s="221" t="s">
        <v>74</v>
      </c>
      <c r="H2503" s="145" t="str" cm="1">
        <f t="array" ref="H2503">IFERROR(INDEX(INVESTOR_LIST[INVESTOR NAME],MATCH(I2503,INVESTOR_LIST[INVESTOR CODE],0),)," ")</f>
        <v xml:space="preserve"> </v>
      </c>
      <c r="I2503" s="145"/>
      <c r="J2503" s="163" t="s">
        <v>190</v>
      </c>
      <c r="K2503" s="219"/>
      <c r="L2503" s="219">
        <v>2636077.7999999998</v>
      </c>
    </row>
    <row r="2504" spans="1:14" x14ac:dyDescent="0.2">
      <c r="A2504" s="238">
        <v>2021</v>
      </c>
      <c r="B2504" s="238">
        <v>3</v>
      </c>
      <c r="C2504" s="238">
        <v>4</v>
      </c>
      <c r="D2504" s="141">
        <f t="shared" si="84"/>
        <v>44259</v>
      </c>
      <c r="E2504" s="275">
        <f t="shared" si="85"/>
        <v>44259</v>
      </c>
      <c r="F2504" s="477" t="s">
        <v>347</v>
      </c>
      <c r="G2504" s="239" t="s">
        <v>94</v>
      </c>
      <c r="H2504" s="239" t="str" cm="1">
        <f t="array" ref="H2504">IFERROR(INDEX(INVESTOR_LIST[INVESTOR NAME],MATCH(I2504,INVESTOR_LIST[INVESTOR CODE],0),)," ")</f>
        <v xml:space="preserve"> </v>
      </c>
      <c r="I2504" s="262" t="s">
        <v>348</v>
      </c>
      <c r="J2504" s="240" t="s">
        <v>108</v>
      </c>
      <c r="K2504" s="241">
        <v>2549667.1818181872</v>
      </c>
      <c r="L2504" s="241"/>
    </row>
    <row r="2505" spans="1:14" x14ac:dyDescent="0.2">
      <c r="A2505" s="242">
        <v>2021</v>
      </c>
      <c r="B2505" s="242">
        <v>3</v>
      </c>
      <c r="C2505" s="242">
        <v>4</v>
      </c>
      <c r="D2505" s="141">
        <f t="shared" si="84"/>
        <v>44259</v>
      </c>
      <c r="E2505" s="275">
        <f t="shared" si="85"/>
        <v>44259</v>
      </c>
      <c r="F2505" s="478"/>
      <c r="G2505" s="243" t="s">
        <v>94</v>
      </c>
      <c r="H2505" s="243" t="str" cm="1">
        <f t="array" ref="H2505">IFERROR(INDEX(INVESTOR_LIST[INVESTOR NAME],MATCH(I2505,INVESTOR_LIST[INVESTOR CODE],0),)," ")</f>
        <v xml:space="preserve"> </v>
      </c>
      <c r="I2505" s="263" t="s">
        <v>348</v>
      </c>
      <c r="J2505" s="244" t="s">
        <v>82</v>
      </c>
      <c r="K2505" s="245"/>
      <c r="L2505" s="245">
        <v>2549667.1818181872</v>
      </c>
    </row>
    <row r="2506" spans="1:14" ht="22.5" x14ac:dyDescent="0.2">
      <c r="A2506" s="246">
        <v>2021</v>
      </c>
      <c r="B2506" s="246">
        <v>3</v>
      </c>
      <c r="C2506" s="246">
        <v>4</v>
      </c>
      <c r="D2506" s="141">
        <f t="shared" si="84"/>
        <v>44259</v>
      </c>
      <c r="E2506" s="275">
        <f t="shared" si="85"/>
        <v>44259</v>
      </c>
      <c r="F2506" s="482" t="s">
        <v>148</v>
      </c>
      <c r="G2506" s="247" t="s">
        <v>94</v>
      </c>
      <c r="H2506" s="247" t="str" cm="1">
        <f t="array" ref="H2506">IFERROR(INDEX(INVESTOR_LIST[INVESTOR NAME],MATCH(I2506,INVESTOR_LIST[INVESTOR CODE],0),)," ")</f>
        <v xml:space="preserve"> </v>
      </c>
      <c r="I2506" s="248" t="s">
        <v>348</v>
      </c>
      <c r="J2506" s="249" t="s">
        <v>95</v>
      </c>
      <c r="K2506" s="250">
        <v>2747.2527472527472</v>
      </c>
      <c r="L2506" s="241"/>
      <c r="M2506" s="133">
        <v>2747.2527472527472</v>
      </c>
    </row>
    <row r="2507" spans="1:14" x14ac:dyDescent="0.2">
      <c r="A2507" s="242">
        <v>2021</v>
      </c>
      <c r="B2507" s="242">
        <v>3</v>
      </c>
      <c r="C2507" s="242">
        <v>4</v>
      </c>
      <c r="D2507" s="141">
        <f t="shared" si="84"/>
        <v>44259</v>
      </c>
      <c r="E2507" s="275">
        <f t="shared" si="85"/>
        <v>44259</v>
      </c>
      <c r="F2507" s="478"/>
      <c r="G2507" s="243" t="s">
        <v>94</v>
      </c>
      <c r="H2507" s="243" t="str" cm="1">
        <f t="array" ref="H2507">IFERROR(INDEX(INVESTOR_LIST[INVESTOR NAME],MATCH(I2507,INVESTOR_LIST[INVESTOR CODE],0),)," ")</f>
        <v xml:space="preserve"> </v>
      </c>
      <c r="I2507" s="263" t="s">
        <v>348</v>
      </c>
      <c r="J2507" s="244" t="s">
        <v>63</v>
      </c>
      <c r="K2507" s="245"/>
      <c r="L2507" s="245">
        <v>2747.2527472527472</v>
      </c>
      <c r="M2507" s="133">
        <v>80908.981678296346</v>
      </c>
    </row>
    <row r="2508" spans="1:14" x14ac:dyDescent="0.2">
      <c r="A2508" s="246">
        <v>2021</v>
      </c>
      <c r="B2508" s="246">
        <v>3</v>
      </c>
      <c r="C2508" s="246">
        <v>4</v>
      </c>
      <c r="D2508" s="141">
        <f t="shared" si="84"/>
        <v>44259</v>
      </c>
      <c r="E2508" s="275">
        <f t="shared" si="85"/>
        <v>44259</v>
      </c>
      <c r="F2508" s="482" t="s">
        <v>137</v>
      </c>
      <c r="G2508" s="247" t="s">
        <v>94</v>
      </c>
      <c r="H2508" s="247" t="str" cm="1">
        <f t="array" ref="H2508">IFERROR(INDEX(INVESTOR_LIST[INVESTOR NAME],MATCH(I2508,INVESTOR_LIST[INVESTOR CODE],0),)," ")</f>
        <v xml:space="preserve"> </v>
      </c>
      <c r="I2508" s="248" t="s">
        <v>348</v>
      </c>
      <c r="J2508" s="249" t="s">
        <v>97</v>
      </c>
      <c r="K2508" s="250">
        <v>80908.981678296346</v>
      </c>
      <c r="L2508" s="252"/>
      <c r="M2508" s="133">
        <v>3805.0644685302022</v>
      </c>
      <c r="N2508" s="156">
        <f>K2512/12.57</f>
        <v>15910.898965791566</v>
      </c>
    </row>
    <row r="2509" spans="1:14" x14ac:dyDescent="0.2">
      <c r="A2509" s="242">
        <v>2021</v>
      </c>
      <c r="B2509" s="242">
        <v>3</v>
      </c>
      <c r="C2509" s="242">
        <v>4</v>
      </c>
      <c r="D2509" s="141">
        <f t="shared" si="84"/>
        <v>44259</v>
      </c>
      <c r="E2509" s="275">
        <f t="shared" si="85"/>
        <v>44259</v>
      </c>
      <c r="F2509" s="478"/>
      <c r="G2509" s="243" t="s">
        <v>94</v>
      </c>
      <c r="H2509" s="243" t="str" cm="1">
        <f t="array" ref="H2509">IFERROR(INDEX(INVESTOR_LIST[INVESTOR NAME],MATCH(I2509,INVESTOR_LIST[INVESTOR CODE],0),)," ")</f>
        <v xml:space="preserve"> </v>
      </c>
      <c r="I2509" s="263" t="s">
        <v>348</v>
      </c>
      <c r="J2509" s="244" t="s">
        <v>47</v>
      </c>
      <c r="K2509" s="245"/>
      <c r="L2509" s="245">
        <v>80908.981678296346</v>
      </c>
    </row>
    <row r="2510" spans="1:14" x14ac:dyDescent="0.2">
      <c r="A2510" s="246">
        <v>2021</v>
      </c>
      <c r="B2510" s="246">
        <v>3</v>
      </c>
      <c r="C2510" s="246">
        <v>4</v>
      </c>
      <c r="D2510" s="141">
        <f t="shared" ref="D2510:D2573" si="86">DATE(A2510,B2510,C2510)</f>
        <v>44259</v>
      </c>
      <c r="E2510" s="275">
        <f t="shared" si="85"/>
        <v>44259</v>
      </c>
      <c r="F2510" s="482" t="s">
        <v>138</v>
      </c>
      <c r="G2510" s="247" t="s">
        <v>94</v>
      </c>
      <c r="H2510" s="247" t="str" cm="1">
        <f t="array" ref="H2510">IFERROR(INDEX(INVESTOR_LIST[INVESTOR NAME],MATCH(I2510,INVESTOR_LIST[INVESTOR CODE],0),)," ")</f>
        <v xml:space="preserve"> </v>
      </c>
      <c r="I2510" s="248" t="s">
        <v>348</v>
      </c>
      <c r="J2510" s="249" t="s">
        <v>100</v>
      </c>
      <c r="K2510" s="250">
        <v>3805.0644685302022</v>
      </c>
      <c r="L2510" s="252"/>
    </row>
    <row r="2511" spans="1:14" x14ac:dyDescent="0.2">
      <c r="A2511" s="242">
        <v>2021</v>
      </c>
      <c r="B2511" s="242">
        <v>3</v>
      </c>
      <c r="C2511" s="242">
        <v>4</v>
      </c>
      <c r="D2511" s="141">
        <f t="shared" si="86"/>
        <v>44259</v>
      </c>
      <c r="E2511" s="275">
        <f t="shared" ref="E2511:E2574" si="87">DATE(A2511,B2511,C2511)</f>
        <v>44259</v>
      </c>
      <c r="F2511" s="478"/>
      <c r="G2511" s="243" t="s">
        <v>94</v>
      </c>
      <c r="H2511" s="243" t="str" cm="1">
        <f t="array" ref="H2511">IFERROR(INDEX(INVESTOR_LIST[INVESTOR NAME],MATCH(I2511,INVESTOR_LIST[INVESTOR CODE],0),)," ")</f>
        <v xml:space="preserve"> </v>
      </c>
      <c r="I2511" s="263" t="s">
        <v>348</v>
      </c>
      <c r="J2511" s="244" t="s">
        <v>48</v>
      </c>
      <c r="K2511" s="245"/>
      <c r="L2511" s="245">
        <v>3805.0644685302022</v>
      </c>
      <c r="N2511" s="156">
        <f>K2515/12.76</f>
        <v>39184.952978056426</v>
      </c>
    </row>
    <row r="2512" spans="1:14" ht="11.25" customHeight="1" x14ac:dyDescent="0.2">
      <c r="A2512" s="168">
        <v>2021</v>
      </c>
      <c r="B2512" s="168">
        <v>3</v>
      </c>
      <c r="C2512" s="168">
        <v>7</v>
      </c>
      <c r="D2512" s="141">
        <f t="shared" si="86"/>
        <v>44262</v>
      </c>
      <c r="E2512" s="275">
        <f t="shared" si="87"/>
        <v>44262</v>
      </c>
      <c r="F2512" s="479" t="s">
        <v>964</v>
      </c>
      <c r="G2512" s="220" t="s">
        <v>74</v>
      </c>
      <c r="H2512" s="142" t="str" cm="1">
        <f t="array" ref="H2512">IFERROR(INDEX(INVESTOR_LIST[INVESTOR NAME],MATCH(I2512,INVESTOR_LIST[INVESTOR CODE],0),)," ")</f>
        <v>MD. MONIRUZZAMAN</v>
      </c>
      <c r="I2512" s="142" t="s">
        <v>468</v>
      </c>
      <c r="J2512" s="168" t="s">
        <v>52</v>
      </c>
      <c r="K2512" s="226">
        <v>200000</v>
      </c>
      <c r="L2512" s="226"/>
    </row>
    <row r="2513" spans="1:14" ht="33.75" x14ac:dyDescent="0.2">
      <c r="A2513" s="133">
        <v>2021</v>
      </c>
      <c r="B2513" s="133">
        <v>3</v>
      </c>
      <c r="C2513" s="133">
        <v>7</v>
      </c>
      <c r="D2513" s="141">
        <f t="shared" si="86"/>
        <v>44262</v>
      </c>
      <c r="E2513" s="275">
        <f t="shared" si="87"/>
        <v>44262</v>
      </c>
      <c r="F2513" s="481"/>
      <c r="G2513" s="174" t="s">
        <v>74</v>
      </c>
      <c r="H2513" s="148" t="str" cm="1">
        <f t="array" ref="H2513">IFERROR(INDEX(INVESTOR_LIST[INVESTOR NAME],MATCH(I2513,INVESTOR_LIST[INVESTOR CODE],0),)," ")</f>
        <v>MD. MONIRUZZAMAN</v>
      </c>
      <c r="I2513" s="148" t="s">
        <v>468</v>
      </c>
      <c r="J2513" s="133" t="s">
        <v>13</v>
      </c>
      <c r="K2513" s="218"/>
      <c r="L2513" s="218">
        <v>159110</v>
      </c>
    </row>
    <row r="2514" spans="1:14" ht="33.75" x14ac:dyDescent="0.2">
      <c r="A2514" s="163">
        <v>2021</v>
      </c>
      <c r="B2514" s="163">
        <v>3</v>
      </c>
      <c r="C2514" s="163">
        <v>7</v>
      </c>
      <c r="D2514" s="141">
        <f t="shared" si="86"/>
        <v>44262</v>
      </c>
      <c r="E2514" s="275">
        <f t="shared" si="87"/>
        <v>44262</v>
      </c>
      <c r="F2514" s="480"/>
      <c r="G2514" s="221" t="s">
        <v>74</v>
      </c>
      <c r="H2514" s="145" t="str" cm="1">
        <f t="array" ref="H2514">IFERROR(INDEX(INVESTOR_LIST[INVESTOR NAME],MATCH(I2514,INVESTOR_LIST[INVESTOR CODE],0),)," ")</f>
        <v>MD. MONIRUZZAMAN</v>
      </c>
      <c r="I2514" s="145" t="s">
        <v>468</v>
      </c>
      <c r="J2514" s="163" t="s">
        <v>53</v>
      </c>
      <c r="K2514" s="219"/>
      <c r="L2514" s="219">
        <v>40890</v>
      </c>
      <c r="N2514" s="156">
        <f>K2518/12.57</f>
        <v>12000</v>
      </c>
    </row>
    <row r="2515" spans="1:14" ht="11.25" customHeight="1" x14ac:dyDescent="0.2">
      <c r="A2515" s="168">
        <v>2021</v>
      </c>
      <c r="B2515" s="168">
        <v>3</v>
      </c>
      <c r="C2515" s="168">
        <v>7</v>
      </c>
      <c r="D2515" s="141">
        <f t="shared" si="86"/>
        <v>44262</v>
      </c>
      <c r="E2515" s="275">
        <f t="shared" si="87"/>
        <v>44262</v>
      </c>
      <c r="F2515" s="479" t="s">
        <v>964</v>
      </c>
      <c r="G2515" s="220" t="s">
        <v>74</v>
      </c>
      <c r="H2515" s="142" t="str" cm="1">
        <f t="array" ref="H2515">IFERROR(INDEX(INVESTOR_LIST[INVESTOR NAME],MATCH(I2515,INVESTOR_LIST[INVESTOR CODE],0),)," ")</f>
        <v>NOOR AL-RAFI</v>
      </c>
      <c r="I2515" s="142" t="s">
        <v>551</v>
      </c>
      <c r="J2515" s="168" t="s">
        <v>52</v>
      </c>
      <c r="K2515" s="226">
        <v>500000</v>
      </c>
      <c r="L2515" s="226"/>
      <c r="N2515" s="147"/>
    </row>
    <row r="2516" spans="1:14" ht="22.5" x14ac:dyDescent="0.2">
      <c r="A2516" s="133">
        <v>2021</v>
      </c>
      <c r="B2516" s="133">
        <v>3</v>
      </c>
      <c r="C2516" s="133">
        <v>7</v>
      </c>
      <c r="D2516" s="141">
        <f t="shared" si="86"/>
        <v>44262</v>
      </c>
      <c r="E2516" s="275">
        <f t="shared" si="87"/>
        <v>44262</v>
      </c>
      <c r="F2516" s="481"/>
      <c r="G2516" s="174" t="s">
        <v>74</v>
      </c>
      <c r="H2516" s="148" t="str" cm="1">
        <f t="array" ref="H2516">IFERROR(INDEX(INVESTOR_LIST[INVESTOR NAME],MATCH(I2516,INVESTOR_LIST[INVESTOR CODE],0),)," ")</f>
        <v>NOOR AL-RAFI</v>
      </c>
      <c r="I2516" s="148" t="s">
        <v>551</v>
      </c>
      <c r="J2516" s="133" t="s">
        <v>13</v>
      </c>
      <c r="K2516" s="218"/>
      <c r="L2516" s="218">
        <v>391850</v>
      </c>
    </row>
    <row r="2517" spans="1:14" ht="22.5" x14ac:dyDescent="0.2">
      <c r="A2517" s="163">
        <v>2021</v>
      </c>
      <c r="B2517" s="163">
        <v>3</v>
      </c>
      <c r="C2517" s="163">
        <v>7</v>
      </c>
      <c r="D2517" s="141">
        <f t="shared" si="86"/>
        <v>44262</v>
      </c>
      <c r="E2517" s="275">
        <f t="shared" si="87"/>
        <v>44262</v>
      </c>
      <c r="F2517" s="480"/>
      <c r="G2517" s="221" t="s">
        <v>74</v>
      </c>
      <c r="H2517" s="145" t="str" cm="1">
        <f t="array" ref="H2517">IFERROR(INDEX(INVESTOR_LIST[INVESTOR NAME],MATCH(I2517,INVESTOR_LIST[INVESTOR CODE],0),)," ")</f>
        <v>NOOR AL-RAFI</v>
      </c>
      <c r="I2517" s="145" t="s">
        <v>551</v>
      </c>
      <c r="J2517" s="163" t="s">
        <v>53</v>
      </c>
      <c r="K2517" s="219"/>
      <c r="L2517" s="219">
        <v>108150</v>
      </c>
    </row>
    <row r="2518" spans="1:14" ht="11.25" customHeight="1" x14ac:dyDescent="0.2">
      <c r="A2518" s="168">
        <v>2021</v>
      </c>
      <c r="B2518" s="168">
        <v>3</v>
      </c>
      <c r="C2518" s="168">
        <v>7</v>
      </c>
      <c r="D2518" s="141">
        <f t="shared" si="86"/>
        <v>44262</v>
      </c>
      <c r="E2518" s="275">
        <f t="shared" si="87"/>
        <v>44262</v>
      </c>
      <c r="F2518" s="479" t="s">
        <v>964</v>
      </c>
      <c r="G2518" s="220" t="s">
        <v>74</v>
      </c>
      <c r="H2518" s="142" t="str" cm="1">
        <f t="array" ref="H2518">IFERROR(INDEX(INVESTOR_LIST[INVESTOR NAME],MATCH(I2518,INVESTOR_LIST[INVESTOR CODE],0),)," ")</f>
        <v>SUHAIEB CHOWDHURY</v>
      </c>
      <c r="I2518" s="142" t="s">
        <v>472</v>
      </c>
      <c r="J2518" s="168" t="s">
        <v>52</v>
      </c>
      <c r="K2518" s="226">
        <v>150840</v>
      </c>
      <c r="L2518" s="226"/>
    </row>
    <row r="2519" spans="1:14" ht="33.75" x14ac:dyDescent="0.2">
      <c r="A2519" s="133">
        <v>2021</v>
      </c>
      <c r="B2519" s="133">
        <v>3</v>
      </c>
      <c r="C2519" s="133">
        <v>7</v>
      </c>
      <c r="D2519" s="141">
        <f t="shared" si="86"/>
        <v>44262</v>
      </c>
      <c r="E2519" s="275">
        <f t="shared" si="87"/>
        <v>44262</v>
      </c>
      <c r="F2519" s="481"/>
      <c r="G2519" s="174" t="s">
        <v>74</v>
      </c>
      <c r="H2519" s="148" t="str" cm="1">
        <f t="array" ref="H2519">IFERROR(INDEX(INVESTOR_LIST[INVESTOR NAME],MATCH(I2519,INVESTOR_LIST[INVESTOR CODE],0),)," ")</f>
        <v>SUHAIEB CHOWDHURY</v>
      </c>
      <c r="I2519" s="148" t="s">
        <v>472</v>
      </c>
      <c r="J2519" s="133" t="s">
        <v>13</v>
      </c>
      <c r="K2519" s="218"/>
      <c r="L2519" s="218">
        <v>120000</v>
      </c>
    </row>
    <row r="2520" spans="1:14" ht="33.75" x14ac:dyDescent="0.2">
      <c r="A2520" s="163">
        <v>2021</v>
      </c>
      <c r="B2520" s="163">
        <v>3</v>
      </c>
      <c r="C2520" s="163">
        <v>7</v>
      </c>
      <c r="D2520" s="141">
        <f t="shared" si="86"/>
        <v>44262</v>
      </c>
      <c r="E2520" s="275">
        <f t="shared" si="87"/>
        <v>44262</v>
      </c>
      <c r="F2520" s="480"/>
      <c r="G2520" s="221" t="s">
        <v>74</v>
      </c>
      <c r="H2520" s="145" t="str" cm="1">
        <f t="array" ref="H2520">IFERROR(INDEX(INVESTOR_LIST[INVESTOR NAME],MATCH(I2520,INVESTOR_LIST[INVESTOR CODE],0),)," ")</f>
        <v>SUHAIEB CHOWDHURY</v>
      </c>
      <c r="I2520" s="145" t="s">
        <v>472</v>
      </c>
      <c r="J2520" s="163" t="s">
        <v>53</v>
      </c>
      <c r="K2520" s="219"/>
      <c r="L2520" s="219">
        <v>30840</v>
      </c>
    </row>
    <row r="2521" spans="1:14" x14ac:dyDescent="0.2">
      <c r="A2521" s="168">
        <v>2021</v>
      </c>
      <c r="B2521" s="168">
        <v>3</v>
      </c>
      <c r="C2521" s="168">
        <v>7</v>
      </c>
      <c r="D2521" s="141">
        <f t="shared" si="86"/>
        <v>44262</v>
      </c>
      <c r="E2521" s="275">
        <f t="shared" si="87"/>
        <v>44262</v>
      </c>
      <c r="F2521" s="479" t="s">
        <v>77</v>
      </c>
      <c r="G2521" s="220" t="s">
        <v>74</v>
      </c>
      <c r="H2521" s="220" t="str" cm="1">
        <f t="array" ref="H2521">IFERROR(INDEX(INVESTOR_LIST[INVESTOR NAME],MATCH(I2521,INVESTOR_LIST[INVESTOR CODE],0),)," ")</f>
        <v xml:space="preserve"> </v>
      </c>
      <c r="I2521" s="142" t="s">
        <v>348</v>
      </c>
      <c r="J2521" s="143" t="s">
        <v>61</v>
      </c>
      <c r="K2521" s="226">
        <v>60</v>
      </c>
      <c r="L2521" s="226"/>
    </row>
    <row r="2522" spans="1:14" x14ac:dyDescent="0.2">
      <c r="A2522" s="163">
        <v>2021</v>
      </c>
      <c r="B2522" s="163">
        <v>3</v>
      </c>
      <c r="C2522" s="163">
        <v>7</v>
      </c>
      <c r="D2522" s="141">
        <f t="shared" si="86"/>
        <v>44262</v>
      </c>
      <c r="E2522" s="275">
        <f t="shared" si="87"/>
        <v>44262</v>
      </c>
      <c r="F2522" s="480"/>
      <c r="G2522" s="221" t="s">
        <v>74</v>
      </c>
      <c r="H2522" s="221" t="str" cm="1">
        <f t="array" ref="H2522">IFERROR(INDEX(INVESTOR_LIST[INVESTOR NAME],MATCH(I2522,INVESTOR_LIST[INVESTOR CODE],0),)," ")</f>
        <v xml:space="preserve"> </v>
      </c>
      <c r="I2522" s="145" t="s">
        <v>348</v>
      </c>
      <c r="J2522" s="146" t="s">
        <v>52</v>
      </c>
      <c r="K2522" s="219"/>
      <c r="L2522" s="219">
        <v>60</v>
      </c>
    </row>
    <row r="2523" spans="1:14" x14ac:dyDescent="0.2">
      <c r="A2523" s="168">
        <v>2021</v>
      </c>
      <c r="B2523" s="168">
        <v>3</v>
      </c>
      <c r="C2523" s="168">
        <v>7</v>
      </c>
      <c r="D2523" s="141">
        <f t="shared" si="86"/>
        <v>44262</v>
      </c>
      <c r="E2523" s="275">
        <f t="shared" si="87"/>
        <v>44262</v>
      </c>
      <c r="F2523" s="479" t="s">
        <v>77</v>
      </c>
      <c r="G2523" s="220" t="s">
        <v>74</v>
      </c>
      <c r="H2523" s="220" t="str" cm="1">
        <f t="array" ref="H2523">IFERROR(INDEX(INVESTOR_LIST[INVESTOR NAME],MATCH(I2523,INVESTOR_LIST[INVESTOR CODE],0),)," ")</f>
        <v xml:space="preserve"> </v>
      </c>
      <c r="I2523" s="142" t="s">
        <v>348</v>
      </c>
      <c r="J2523" s="143" t="s">
        <v>61</v>
      </c>
      <c r="K2523" s="226">
        <v>10</v>
      </c>
      <c r="L2523" s="226"/>
    </row>
    <row r="2524" spans="1:14" x14ac:dyDescent="0.2">
      <c r="A2524" s="163">
        <v>2021</v>
      </c>
      <c r="B2524" s="163">
        <v>3</v>
      </c>
      <c r="C2524" s="163">
        <v>7</v>
      </c>
      <c r="D2524" s="141">
        <f t="shared" si="86"/>
        <v>44262</v>
      </c>
      <c r="E2524" s="275">
        <f t="shared" si="87"/>
        <v>44262</v>
      </c>
      <c r="F2524" s="480"/>
      <c r="G2524" s="221" t="s">
        <v>74</v>
      </c>
      <c r="H2524" s="221" t="str" cm="1">
        <f t="array" ref="H2524">IFERROR(INDEX(INVESTOR_LIST[INVESTOR NAME],MATCH(I2524,INVESTOR_LIST[INVESTOR CODE],0),)," ")</f>
        <v xml:space="preserve"> </v>
      </c>
      <c r="I2524" s="145" t="s">
        <v>348</v>
      </c>
      <c r="J2524" s="146" t="s">
        <v>52</v>
      </c>
      <c r="K2524" s="219"/>
      <c r="L2524" s="219">
        <v>10</v>
      </c>
    </row>
    <row r="2525" spans="1:14" x14ac:dyDescent="0.2">
      <c r="A2525" s="133">
        <v>2021</v>
      </c>
      <c r="B2525" s="133">
        <v>3</v>
      </c>
      <c r="C2525" s="133">
        <v>7</v>
      </c>
      <c r="D2525" s="141">
        <f t="shared" si="86"/>
        <v>44262</v>
      </c>
      <c r="E2525" s="275">
        <f t="shared" si="87"/>
        <v>44262</v>
      </c>
      <c r="F2525" s="479" t="s">
        <v>360</v>
      </c>
      <c r="G2525" s="174" t="s">
        <v>94</v>
      </c>
      <c r="H2525" s="174" t="str" cm="1">
        <f t="array" ref="H2525">IFERROR(INDEX(INVESTOR_LIST[INVESTOR NAME],MATCH(I2525,INVESTOR_LIST[INVESTOR CODE],0),)," ")</f>
        <v xml:space="preserve"> </v>
      </c>
      <c r="J2525" s="149" t="s">
        <v>190</v>
      </c>
      <c r="K2525" s="218">
        <v>592601.39</v>
      </c>
      <c r="L2525" s="218"/>
    </row>
    <row r="2526" spans="1:14" x14ac:dyDescent="0.2">
      <c r="A2526" s="133">
        <v>2021</v>
      </c>
      <c r="B2526" s="133">
        <v>3</v>
      </c>
      <c r="C2526" s="133">
        <v>7</v>
      </c>
      <c r="D2526" s="141">
        <f t="shared" si="86"/>
        <v>44262</v>
      </c>
      <c r="E2526" s="275">
        <f t="shared" si="87"/>
        <v>44262</v>
      </c>
      <c r="F2526" s="481"/>
      <c r="G2526" s="174" t="s">
        <v>94</v>
      </c>
      <c r="H2526" s="174" t="str" cm="1">
        <f t="array" ref="H2526">IFERROR(INDEX(INVESTOR_LIST[INVESTOR NAME],MATCH(I2526,INVESTOR_LIST[INVESTOR CODE],0),)," ")</f>
        <v xml:space="preserve"> </v>
      </c>
      <c r="J2526" s="149" t="s">
        <v>80</v>
      </c>
      <c r="K2526" s="218">
        <v>1068.6099999999999</v>
      </c>
      <c r="L2526" s="218"/>
    </row>
    <row r="2527" spans="1:14" x14ac:dyDescent="0.2">
      <c r="A2527" s="133">
        <v>2021</v>
      </c>
      <c r="B2527" s="133">
        <v>3</v>
      </c>
      <c r="C2527" s="133">
        <v>7</v>
      </c>
      <c r="D2527" s="141">
        <f t="shared" si="86"/>
        <v>44262</v>
      </c>
      <c r="E2527" s="275">
        <f t="shared" si="87"/>
        <v>44262</v>
      </c>
      <c r="F2527" s="481"/>
      <c r="G2527" s="174" t="s">
        <v>94</v>
      </c>
      <c r="H2527" s="174" t="str" cm="1">
        <f t="array" ref="H2527">IFERROR(INDEX(INVESTOR_LIST[INVESTOR NAME],MATCH(I2527,INVESTOR_LIST[INVESTOR CODE],0),)," ")</f>
        <v xml:space="preserve"> </v>
      </c>
      <c r="J2527" s="149" t="s">
        <v>79</v>
      </c>
      <c r="K2527" s="218"/>
      <c r="L2527" s="218">
        <v>156250</v>
      </c>
    </row>
    <row r="2528" spans="1:14" x14ac:dyDescent="0.2">
      <c r="A2528" s="133">
        <v>2021</v>
      </c>
      <c r="B2528" s="133">
        <v>3</v>
      </c>
      <c r="C2528" s="133">
        <v>7</v>
      </c>
      <c r="D2528" s="141">
        <f t="shared" si="86"/>
        <v>44262</v>
      </c>
      <c r="E2528" s="275">
        <f t="shared" si="87"/>
        <v>44262</v>
      </c>
      <c r="F2528" s="480"/>
      <c r="G2528" s="174" t="s">
        <v>94</v>
      </c>
      <c r="H2528" s="174" t="str" cm="1">
        <f t="array" ref="H2528">IFERROR(INDEX(INVESTOR_LIST[INVESTOR NAME],MATCH(I2528,INVESTOR_LIST[INVESTOR CODE],0),)," ")</f>
        <v xml:space="preserve"> </v>
      </c>
      <c r="J2528" s="149" t="s">
        <v>191</v>
      </c>
      <c r="K2528" s="218"/>
      <c r="L2528" s="218">
        <v>437420.00000000006</v>
      </c>
      <c r="N2528" s="160">
        <f>K2532/12.76</f>
        <v>15000</v>
      </c>
    </row>
    <row r="2529" spans="1:14" ht="11.25" customHeight="1" x14ac:dyDescent="0.2">
      <c r="A2529" s="168">
        <v>2021</v>
      </c>
      <c r="B2529" s="168">
        <v>3</v>
      </c>
      <c r="C2529" s="168">
        <v>8</v>
      </c>
      <c r="D2529" s="141">
        <f t="shared" si="86"/>
        <v>44263</v>
      </c>
      <c r="E2529" s="275">
        <f t="shared" si="87"/>
        <v>44263</v>
      </c>
      <c r="F2529" s="479" t="s">
        <v>965</v>
      </c>
      <c r="G2529" s="220" t="s">
        <v>74</v>
      </c>
      <c r="H2529" s="142" t="str" cm="1">
        <f t="array" ref="H2529">IFERROR(INDEX(INVESTOR_LIST[INVESTOR NAME],MATCH(I2529,INVESTOR_LIST[INVESTOR CODE],0),)," ")</f>
        <v>MD MIZANUR RAHMAN</v>
      </c>
      <c r="I2529" s="142" t="s">
        <v>482</v>
      </c>
      <c r="J2529" s="168" t="s">
        <v>13</v>
      </c>
      <c r="K2529" s="226">
        <v>86240</v>
      </c>
      <c r="L2529" s="226"/>
    </row>
    <row r="2530" spans="1:14" ht="45" x14ac:dyDescent="0.2">
      <c r="A2530" s="133">
        <v>2021</v>
      </c>
      <c r="B2530" s="133">
        <v>3</v>
      </c>
      <c r="C2530" s="133">
        <v>8</v>
      </c>
      <c r="D2530" s="141">
        <f t="shared" si="86"/>
        <v>44263</v>
      </c>
      <c r="E2530" s="275">
        <f t="shared" si="87"/>
        <v>44263</v>
      </c>
      <c r="F2530" s="481"/>
      <c r="G2530" s="174" t="s">
        <v>74</v>
      </c>
      <c r="H2530" s="148" t="str" cm="1">
        <f t="array" ref="H2530">IFERROR(INDEX(INVESTOR_LIST[INVESTOR NAME],MATCH(I2530,INVESTOR_LIST[INVESTOR CODE],0),)," ")</f>
        <v>MD MIZANUR RAHMAN</v>
      </c>
      <c r="I2530" s="148" t="s">
        <v>482</v>
      </c>
      <c r="J2530" s="133" t="s">
        <v>53</v>
      </c>
      <c r="K2530" s="218">
        <v>23762</v>
      </c>
      <c r="L2530" s="218"/>
    </row>
    <row r="2531" spans="1:14" ht="45" x14ac:dyDescent="0.2">
      <c r="A2531" s="163">
        <v>2021</v>
      </c>
      <c r="B2531" s="163">
        <v>3</v>
      </c>
      <c r="C2531" s="163">
        <v>8</v>
      </c>
      <c r="D2531" s="141">
        <f t="shared" si="86"/>
        <v>44263</v>
      </c>
      <c r="E2531" s="275">
        <f t="shared" si="87"/>
        <v>44263</v>
      </c>
      <c r="F2531" s="480"/>
      <c r="G2531" s="221" t="s">
        <v>74</v>
      </c>
      <c r="H2531" s="145" t="str" cm="1">
        <f t="array" ref="H2531">IFERROR(INDEX(INVESTOR_LIST[INVESTOR NAME],MATCH(I2531,INVESTOR_LIST[INVESTOR CODE],0),)," ")</f>
        <v>MD MIZANUR RAHMAN</v>
      </c>
      <c r="I2531" s="145" t="s">
        <v>482</v>
      </c>
      <c r="J2531" s="163" t="s">
        <v>52</v>
      </c>
      <c r="K2531" s="219"/>
      <c r="L2531" s="219">
        <v>110002</v>
      </c>
      <c r="N2531" s="156">
        <f>K2535/12.76</f>
        <v>15673.98119122257</v>
      </c>
    </row>
    <row r="2532" spans="1:14" ht="11.25" customHeight="1" x14ac:dyDescent="0.2">
      <c r="A2532" s="168">
        <v>2021</v>
      </c>
      <c r="B2532" s="168">
        <v>3</v>
      </c>
      <c r="C2532" s="168">
        <v>9</v>
      </c>
      <c r="D2532" s="141">
        <f t="shared" si="86"/>
        <v>44264</v>
      </c>
      <c r="E2532" s="275">
        <f t="shared" si="87"/>
        <v>44264</v>
      </c>
      <c r="F2532" s="479" t="s">
        <v>964</v>
      </c>
      <c r="G2532" s="220" t="s">
        <v>74</v>
      </c>
      <c r="H2532" s="142" t="str" cm="1">
        <f t="array" ref="H2532">IFERROR(INDEX(INVESTOR_LIST[INVESTOR NAME],MATCH(I2532,INVESTOR_LIST[INVESTOR CODE],0),)," ")</f>
        <v>SK FEROZ ALAM &amp; MD BULBUL ISLAM</v>
      </c>
      <c r="I2532" s="142" t="s">
        <v>553</v>
      </c>
      <c r="J2532" s="168" t="s">
        <v>52</v>
      </c>
      <c r="K2532" s="226">
        <v>191400</v>
      </c>
      <c r="L2532" s="226"/>
    </row>
    <row r="2533" spans="1:14" ht="56.25" x14ac:dyDescent="0.2">
      <c r="A2533" s="133">
        <v>2021</v>
      </c>
      <c r="B2533" s="133">
        <v>3</v>
      </c>
      <c r="C2533" s="133">
        <v>9</v>
      </c>
      <c r="D2533" s="141">
        <f t="shared" si="86"/>
        <v>44264</v>
      </c>
      <c r="E2533" s="275">
        <f t="shared" si="87"/>
        <v>44264</v>
      </c>
      <c r="F2533" s="481"/>
      <c r="G2533" s="174" t="s">
        <v>74</v>
      </c>
      <c r="H2533" s="148" t="str" cm="1">
        <f t="array" ref="H2533">IFERROR(INDEX(INVESTOR_LIST[INVESTOR NAME],MATCH(I2533,INVESTOR_LIST[INVESTOR CODE],0),)," ")</f>
        <v>SK FEROZ ALAM &amp; MD BULBUL ISLAM</v>
      </c>
      <c r="I2533" s="148" t="s">
        <v>553</v>
      </c>
      <c r="J2533" s="133" t="s">
        <v>13</v>
      </c>
      <c r="K2533" s="218"/>
      <c r="L2533" s="218">
        <v>150000</v>
      </c>
    </row>
    <row r="2534" spans="1:14" ht="56.25" x14ac:dyDescent="0.2">
      <c r="A2534" s="163">
        <v>2021</v>
      </c>
      <c r="B2534" s="163">
        <v>3</v>
      </c>
      <c r="C2534" s="163">
        <v>9</v>
      </c>
      <c r="D2534" s="141">
        <f t="shared" si="86"/>
        <v>44264</v>
      </c>
      <c r="E2534" s="275">
        <f t="shared" si="87"/>
        <v>44264</v>
      </c>
      <c r="F2534" s="480"/>
      <c r="G2534" s="221" t="s">
        <v>74</v>
      </c>
      <c r="H2534" s="145" t="str" cm="1">
        <f t="array" ref="H2534">IFERROR(INDEX(INVESTOR_LIST[INVESTOR NAME],MATCH(I2534,INVESTOR_LIST[INVESTOR CODE],0),)," ")</f>
        <v>SK FEROZ ALAM &amp; MD BULBUL ISLAM</v>
      </c>
      <c r="I2534" s="145" t="s">
        <v>553</v>
      </c>
      <c r="J2534" s="163" t="s">
        <v>53</v>
      </c>
      <c r="K2534" s="219"/>
      <c r="L2534" s="219">
        <v>41400</v>
      </c>
    </row>
    <row r="2535" spans="1:14" ht="11.25" customHeight="1" x14ac:dyDescent="0.2">
      <c r="A2535" s="168">
        <v>2021</v>
      </c>
      <c r="B2535" s="168">
        <v>3</v>
      </c>
      <c r="C2535" s="168">
        <v>9</v>
      </c>
      <c r="D2535" s="141">
        <f t="shared" si="86"/>
        <v>44264</v>
      </c>
      <c r="E2535" s="275">
        <f t="shared" si="87"/>
        <v>44264</v>
      </c>
      <c r="F2535" s="479" t="s">
        <v>964</v>
      </c>
      <c r="G2535" s="220" t="s">
        <v>74</v>
      </c>
      <c r="H2535" s="142" t="str" cm="1">
        <f t="array" ref="H2535">IFERROR(INDEX(INVESTOR_LIST[INVESTOR NAME],MATCH(I2535,INVESTOR_LIST[INVESTOR CODE],0),)," ")</f>
        <v>SK FEROZ ALAM</v>
      </c>
      <c r="I2535" s="142" t="s">
        <v>462</v>
      </c>
      <c r="J2535" s="168" t="s">
        <v>52</v>
      </c>
      <c r="K2535" s="226">
        <v>200000</v>
      </c>
      <c r="L2535" s="226"/>
    </row>
    <row r="2536" spans="1:14" ht="22.5" x14ac:dyDescent="0.2">
      <c r="A2536" s="133">
        <v>2021</v>
      </c>
      <c r="B2536" s="133">
        <v>3</v>
      </c>
      <c r="C2536" s="133">
        <v>9</v>
      </c>
      <c r="D2536" s="141">
        <f t="shared" si="86"/>
        <v>44264</v>
      </c>
      <c r="E2536" s="275">
        <f t="shared" si="87"/>
        <v>44264</v>
      </c>
      <c r="F2536" s="481"/>
      <c r="G2536" s="174" t="s">
        <v>74</v>
      </c>
      <c r="H2536" s="148" t="str" cm="1">
        <f t="array" ref="H2536">IFERROR(INDEX(INVESTOR_LIST[INVESTOR NAME],MATCH(I2536,INVESTOR_LIST[INVESTOR CODE],0),)," ")</f>
        <v>SK FEROZ ALAM</v>
      </c>
      <c r="I2536" s="148" t="s">
        <v>462</v>
      </c>
      <c r="J2536" s="133" t="s">
        <v>13</v>
      </c>
      <c r="K2536" s="218"/>
      <c r="L2536" s="218">
        <v>156740</v>
      </c>
    </row>
    <row r="2537" spans="1:14" ht="22.5" x14ac:dyDescent="0.2">
      <c r="A2537" s="163">
        <v>2021</v>
      </c>
      <c r="B2537" s="163">
        <v>3</v>
      </c>
      <c r="C2537" s="163">
        <v>9</v>
      </c>
      <c r="D2537" s="141">
        <f t="shared" si="86"/>
        <v>44264</v>
      </c>
      <c r="E2537" s="275">
        <f t="shared" si="87"/>
        <v>44264</v>
      </c>
      <c r="F2537" s="480"/>
      <c r="G2537" s="221" t="s">
        <v>74</v>
      </c>
      <c r="H2537" s="145" t="str" cm="1">
        <f t="array" ref="H2537">IFERROR(INDEX(INVESTOR_LIST[INVESTOR NAME],MATCH(I2537,INVESTOR_LIST[INVESTOR CODE],0),)," ")</f>
        <v>SK FEROZ ALAM</v>
      </c>
      <c r="I2537" s="145" t="s">
        <v>462</v>
      </c>
      <c r="J2537" s="163" t="s">
        <v>53</v>
      </c>
      <c r="K2537" s="219"/>
      <c r="L2537" s="219">
        <v>43260</v>
      </c>
    </row>
    <row r="2538" spans="1:14" x14ac:dyDescent="0.2">
      <c r="A2538" s="168">
        <v>2021</v>
      </c>
      <c r="B2538" s="168">
        <v>3</v>
      </c>
      <c r="C2538" s="168">
        <v>9</v>
      </c>
      <c r="D2538" s="141">
        <f t="shared" si="86"/>
        <v>44264</v>
      </c>
      <c r="E2538" s="275">
        <f t="shared" si="87"/>
        <v>44264</v>
      </c>
      <c r="F2538" s="479" t="s">
        <v>77</v>
      </c>
      <c r="G2538" s="220" t="s">
        <v>74</v>
      </c>
      <c r="H2538" s="220" t="str" cm="1">
        <f t="array" ref="H2538">IFERROR(INDEX(INVESTOR_LIST[INVESTOR NAME],MATCH(I2538,INVESTOR_LIST[INVESTOR CODE],0),)," ")</f>
        <v xml:space="preserve"> </v>
      </c>
      <c r="I2538" s="142" t="s">
        <v>348</v>
      </c>
      <c r="J2538" s="143" t="s">
        <v>61</v>
      </c>
      <c r="K2538" s="226">
        <v>10</v>
      </c>
      <c r="L2538" s="226"/>
    </row>
    <row r="2539" spans="1:14" x14ac:dyDescent="0.2">
      <c r="A2539" s="163">
        <v>2021</v>
      </c>
      <c r="B2539" s="163">
        <v>3</v>
      </c>
      <c r="C2539" s="163">
        <v>9</v>
      </c>
      <c r="D2539" s="141">
        <f t="shared" si="86"/>
        <v>44264</v>
      </c>
      <c r="E2539" s="275">
        <f t="shared" si="87"/>
        <v>44264</v>
      </c>
      <c r="F2539" s="480"/>
      <c r="G2539" s="221" t="s">
        <v>74</v>
      </c>
      <c r="H2539" s="221" t="str" cm="1">
        <f t="array" ref="H2539">IFERROR(INDEX(INVESTOR_LIST[INVESTOR NAME],MATCH(I2539,INVESTOR_LIST[INVESTOR CODE],0),)," ")</f>
        <v xml:space="preserve"> </v>
      </c>
      <c r="I2539" s="145" t="s">
        <v>348</v>
      </c>
      <c r="J2539" s="146" t="s">
        <v>52</v>
      </c>
      <c r="K2539" s="219"/>
      <c r="L2539" s="219">
        <v>10</v>
      </c>
    </row>
    <row r="2540" spans="1:14" x14ac:dyDescent="0.2">
      <c r="A2540" s="168">
        <v>2021</v>
      </c>
      <c r="B2540" s="168">
        <v>3</v>
      </c>
      <c r="C2540" s="168">
        <v>9</v>
      </c>
      <c r="D2540" s="141">
        <f t="shared" si="86"/>
        <v>44264</v>
      </c>
      <c r="E2540" s="275">
        <f t="shared" si="87"/>
        <v>44264</v>
      </c>
      <c r="F2540" s="479" t="s">
        <v>77</v>
      </c>
      <c r="G2540" s="220" t="s">
        <v>74</v>
      </c>
      <c r="H2540" s="220" t="str" cm="1">
        <f t="array" ref="H2540">IFERROR(INDEX(INVESTOR_LIST[INVESTOR NAME],MATCH(I2540,INVESTOR_LIST[INVESTOR CODE],0),)," ")</f>
        <v xml:space="preserve"> </v>
      </c>
      <c r="I2540" s="142" t="s">
        <v>348</v>
      </c>
      <c r="J2540" s="143" t="s">
        <v>61</v>
      </c>
      <c r="K2540" s="226">
        <v>10</v>
      </c>
      <c r="L2540" s="226"/>
    </row>
    <row r="2541" spans="1:14" x14ac:dyDescent="0.2">
      <c r="A2541" s="163">
        <v>2021</v>
      </c>
      <c r="B2541" s="163">
        <v>3</v>
      </c>
      <c r="C2541" s="163">
        <v>9</v>
      </c>
      <c r="D2541" s="141">
        <f t="shared" si="86"/>
        <v>44264</v>
      </c>
      <c r="E2541" s="275">
        <f t="shared" si="87"/>
        <v>44264</v>
      </c>
      <c r="F2541" s="480"/>
      <c r="G2541" s="221" t="s">
        <v>74</v>
      </c>
      <c r="H2541" s="221" t="str" cm="1">
        <f t="array" ref="H2541">IFERROR(INDEX(INVESTOR_LIST[INVESTOR NAME],MATCH(I2541,INVESTOR_LIST[INVESTOR CODE],0),)," ")</f>
        <v xml:space="preserve"> </v>
      </c>
      <c r="I2541" s="145" t="s">
        <v>348</v>
      </c>
      <c r="J2541" s="146" t="s">
        <v>52</v>
      </c>
      <c r="K2541" s="219"/>
      <c r="L2541" s="219">
        <v>10</v>
      </c>
    </row>
    <row r="2542" spans="1:14" x14ac:dyDescent="0.2">
      <c r="A2542" s="168">
        <v>2021</v>
      </c>
      <c r="B2542" s="168">
        <v>3</v>
      </c>
      <c r="C2542" s="168">
        <v>9</v>
      </c>
      <c r="D2542" s="141">
        <f t="shared" si="86"/>
        <v>44264</v>
      </c>
      <c r="E2542" s="275">
        <f t="shared" si="87"/>
        <v>44264</v>
      </c>
      <c r="F2542" s="479" t="s">
        <v>554</v>
      </c>
      <c r="G2542" s="220" t="s">
        <v>74</v>
      </c>
      <c r="H2542" s="142" t="str" cm="1">
        <f t="array" ref="H2542">IFERROR(INDEX(INVESTOR_LIST[INVESTOR NAME],MATCH(I2542,INVESTOR_LIST[INVESTOR CODE],0),)," ")</f>
        <v xml:space="preserve"> </v>
      </c>
      <c r="I2542" s="142"/>
      <c r="J2542" s="168" t="s">
        <v>52</v>
      </c>
      <c r="K2542" s="226">
        <v>4000</v>
      </c>
      <c r="L2542" s="226"/>
    </row>
    <row r="2543" spans="1:14" x14ac:dyDescent="0.2">
      <c r="A2543" s="133">
        <v>2021</v>
      </c>
      <c r="B2543" s="133">
        <v>3</v>
      </c>
      <c r="C2543" s="133">
        <v>9</v>
      </c>
      <c r="D2543" s="141">
        <f t="shared" si="86"/>
        <v>44264</v>
      </c>
      <c r="E2543" s="275">
        <f t="shared" si="87"/>
        <v>44264</v>
      </c>
      <c r="F2543" s="481"/>
      <c r="G2543" s="174" t="s">
        <v>74</v>
      </c>
      <c r="H2543" s="148" t="str" cm="1">
        <f t="array" ref="H2543">IFERROR(INDEX(INVESTOR_LIST[INVESTOR NAME],MATCH(I2543,INVESTOR_LIST[INVESTOR CODE],0),)," ")</f>
        <v xml:space="preserve"> </v>
      </c>
      <c r="J2543" s="133" t="s">
        <v>79</v>
      </c>
      <c r="K2543" s="218">
        <v>22496000</v>
      </c>
      <c r="L2543" s="218"/>
    </row>
    <row r="2544" spans="1:14" x14ac:dyDescent="0.2">
      <c r="A2544" s="163">
        <v>2021</v>
      </c>
      <c r="B2544" s="163">
        <v>3</v>
      </c>
      <c r="C2544" s="163">
        <v>9</v>
      </c>
      <c r="D2544" s="141">
        <f t="shared" si="86"/>
        <v>44264</v>
      </c>
      <c r="E2544" s="275">
        <f t="shared" si="87"/>
        <v>44264</v>
      </c>
      <c r="F2544" s="480"/>
      <c r="G2544" s="221" t="s">
        <v>74</v>
      </c>
      <c r="H2544" s="145" t="str" cm="1">
        <f t="array" ref="H2544">IFERROR(INDEX(INVESTOR_LIST[INVESTOR NAME],MATCH(I2544,INVESTOR_LIST[INVESTOR CODE],0),)," ")</f>
        <v xml:space="preserve"> </v>
      </c>
      <c r="I2544" s="145"/>
      <c r="J2544" s="163" t="s">
        <v>184</v>
      </c>
      <c r="K2544" s="219"/>
      <c r="L2544" s="219">
        <v>22500000</v>
      </c>
    </row>
    <row r="2545" spans="1:14" x14ac:dyDescent="0.2">
      <c r="A2545" s="133">
        <v>2021</v>
      </c>
      <c r="B2545" s="133">
        <v>3</v>
      </c>
      <c r="C2545" s="133">
        <v>9</v>
      </c>
      <c r="D2545" s="141">
        <f t="shared" si="86"/>
        <v>44264</v>
      </c>
      <c r="E2545" s="275">
        <f t="shared" si="87"/>
        <v>44264</v>
      </c>
      <c r="F2545" s="479" t="s">
        <v>555</v>
      </c>
      <c r="G2545" s="174" t="s">
        <v>74</v>
      </c>
      <c r="H2545" s="148" t="str" cm="1">
        <f t="array" ref="H2545">IFERROR(INDEX(INVESTOR_LIST[INVESTOR NAME],MATCH(I2545,INVESTOR_LIST[INVESTOR CODE],0),)," ")</f>
        <v xml:space="preserve"> </v>
      </c>
      <c r="J2545" s="133" t="s">
        <v>50</v>
      </c>
      <c r="K2545" s="218">
        <v>30000</v>
      </c>
      <c r="L2545" s="218"/>
    </row>
    <row r="2546" spans="1:14" x14ac:dyDescent="0.2">
      <c r="A2546" s="133">
        <v>2021</v>
      </c>
      <c r="B2546" s="133">
        <v>3</v>
      </c>
      <c r="C2546" s="133">
        <v>9</v>
      </c>
      <c r="D2546" s="141">
        <f t="shared" si="86"/>
        <v>44264</v>
      </c>
      <c r="E2546" s="275">
        <f t="shared" si="87"/>
        <v>44264</v>
      </c>
      <c r="F2546" s="481"/>
      <c r="G2546" s="174" t="s">
        <v>74</v>
      </c>
      <c r="H2546" s="148" t="str" cm="1">
        <f t="array" ref="H2546">IFERROR(INDEX(INVESTOR_LIST[INVESTOR NAME],MATCH(I2546,INVESTOR_LIST[INVESTOR CODE],0),)," ")</f>
        <v xml:space="preserve"> </v>
      </c>
      <c r="J2546" s="133" t="s">
        <v>52</v>
      </c>
      <c r="K2546" s="218"/>
      <c r="L2546" s="218">
        <v>30000</v>
      </c>
    </row>
    <row r="2547" spans="1:14" x14ac:dyDescent="0.2">
      <c r="A2547" s="168">
        <v>2021</v>
      </c>
      <c r="B2547" s="168">
        <v>3</v>
      </c>
      <c r="C2547" s="168">
        <v>9</v>
      </c>
      <c r="D2547" s="141">
        <f t="shared" si="86"/>
        <v>44264</v>
      </c>
      <c r="E2547" s="275">
        <f t="shared" si="87"/>
        <v>44264</v>
      </c>
      <c r="F2547" s="479" t="s">
        <v>686</v>
      </c>
      <c r="G2547" s="220" t="s">
        <v>74</v>
      </c>
      <c r="H2547" s="142" t="str" cm="1">
        <f t="array" ref="H2547">IFERROR(INDEX(INVESTOR_LIST[INVESTOR NAME],MATCH(I2547,INVESTOR_LIST[INVESTOR CODE],0),)," ")</f>
        <v xml:space="preserve"> </v>
      </c>
      <c r="I2547" s="142"/>
      <c r="J2547" s="168" t="s">
        <v>50</v>
      </c>
      <c r="K2547" s="226">
        <v>10000</v>
      </c>
      <c r="L2547" s="226"/>
      <c r="N2547" s="156">
        <f>K2551/12.57</f>
        <v>87509.944311853615</v>
      </c>
    </row>
    <row r="2548" spans="1:14" x14ac:dyDescent="0.2">
      <c r="A2548" s="163">
        <v>2021</v>
      </c>
      <c r="B2548" s="163">
        <v>3</v>
      </c>
      <c r="C2548" s="163">
        <v>9</v>
      </c>
      <c r="D2548" s="141">
        <f t="shared" si="86"/>
        <v>44264</v>
      </c>
      <c r="E2548" s="275">
        <f t="shared" si="87"/>
        <v>44264</v>
      </c>
      <c r="F2548" s="480"/>
      <c r="G2548" s="221" t="s">
        <v>74</v>
      </c>
      <c r="H2548" s="145" t="str" cm="1">
        <f t="array" ref="H2548">IFERROR(INDEX(INVESTOR_LIST[INVESTOR NAME],MATCH(I2548,INVESTOR_LIST[INVESTOR CODE],0),)," ")</f>
        <v xml:space="preserve"> </v>
      </c>
      <c r="I2548" s="145"/>
      <c r="J2548" s="163" t="s">
        <v>52</v>
      </c>
      <c r="K2548" s="219"/>
      <c r="L2548" s="219">
        <v>10000</v>
      </c>
    </row>
    <row r="2549" spans="1:14" x14ac:dyDescent="0.2">
      <c r="A2549" s="133">
        <v>2021</v>
      </c>
      <c r="B2549" s="133">
        <v>3</v>
      </c>
      <c r="C2549" s="133">
        <v>9</v>
      </c>
      <c r="D2549" s="141">
        <f t="shared" si="86"/>
        <v>44264</v>
      </c>
      <c r="E2549" s="275">
        <f t="shared" si="87"/>
        <v>44264</v>
      </c>
      <c r="F2549" s="479" t="s">
        <v>363</v>
      </c>
      <c r="G2549" s="174" t="s">
        <v>74</v>
      </c>
      <c r="H2549" s="148" t="str" cm="1">
        <f t="array" ref="H2549">IFERROR(INDEX(INVESTOR_LIST[INVESTOR NAME],MATCH(I2549,INVESTOR_LIST[INVESTOR CODE],0),)," ")</f>
        <v xml:space="preserve"> </v>
      </c>
      <c r="J2549" s="133" t="s">
        <v>52</v>
      </c>
      <c r="K2549" s="218">
        <v>592601.39</v>
      </c>
      <c r="L2549" s="218"/>
    </row>
    <row r="2550" spans="1:14" x14ac:dyDescent="0.2">
      <c r="A2550" s="133">
        <v>2021</v>
      </c>
      <c r="B2550" s="133">
        <v>3</v>
      </c>
      <c r="C2550" s="133">
        <v>9</v>
      </c>
      <c r="D2550" s="141">
        <f t="shared" si="86"/>
        <v>44264</v>
      </c>
      <c r="E2550" s="275">
        <f t="shared" si="87"/>
        <v>44264</v>
      </c>
      <c r="F2550" s="480"/>
      <c r="G2550" s="174" t="s">
        <v>74</v>
      </c>
      <c r="H2550" s="148" t="str" cm="1">
        <f t="array" ref="H2550">IFERROR(INDEX(INVESTOR_LIST[INVESTOR NAME],MATCH(I2550,INVESTOR_LIST[INVESTOR CODE],0),)," ")</f>
        <v xml:space="preserve"> </v>
      </c>
      <c r="J2550" s="133" t="s">
        <v>190</v>
      </c>
      <c r="K2550" s="218"/>
      <c r="L2550" s="218">
        <v>592601.39</v>
      </c>
    </row>
    <row r="2551" spans="1:14" ht="11.25" customHeight="1" x14ac:dyDescent="0.2">
      <c r="A2551" s="168">
        <v>2021</v>
      </c>
      <c r="B2551" s="168">
        <v>3</v>
      </c>
      <c r="C2551" s="168">
        <v>10</v>
      </c>
      <c r="D2551" s="141">
        <f t="shared" si="86"/>
        <v>44265</v>
      </c>
      <c r="E2551" s="275">
        <f t="shared" si="87"/>
        <v>44265</v>
      </c>
      <c r="F2551" s="479" t="s">
        <v>964</v>
      </c>
      <c r="G2551" s="220" t="s">
        <v>74</v>
      </c>
      <c r="H2551" s="142" t="str" cm="1">
        <f t="array" ref="H2551">IFERROR(INDEX(INVESTOR_LIST[INVESTOR NAME],MATCH(I2551,INVESTOR_LIST[INVESTOR CODE],0),)," ")</f>
        <v>K.M SAKIB AHMED</v>
      </c>
      <c r="I2551" s="142" t="s">
        <v>552</v>
      </c>
      <c r="J2551" s="168" t="s">
        <v>52</v>
      </c>
      <c r="K2551" s="226">
        <v>1100000</v>
      </c>
      <c r="L2551" s="226"/>
      <c r="N2551" s="156">
        <f>L2558/13.13</f>
        <v>456968.77380045695</v>
      </c>
    </row>
    <row r="2552" spans="1:14" ht="33.75" x14ac:dyDescent="0.2">
      <c r="A2552" s="133">
        <v>2021</v>
      </c>
      <c r="B2552" s="133">
        <v>3</v>
      </c>
      <c r="C2552" s="133">
        <v>10</v>
      </c>
      <c r="D2552" s="141">
        <f t="shared" si="86"/>
        <v>44265</v>
      </c>
      <c r="E2552" s="275">
        <f t="shared" si="87"/>
        <v>44265</v>
      </c>
      <c r="F2552" s="481"/>
      <c r="G2552" s="174" t="s">
        <v>74</v>
      </c>
      <c r="H2552" s="148" t="str" cm="1">
        <f t="array" ref="H2552">IFERROR(INDEX(INVESTOR_LIST[INVESTOR NAME],MATCH(I2552,INVESTOR_LIST[INVESTOR CODE],0),)," ")</f>
        <v>K.M SAKIB AHMED</v>
      </c>
      <c r="I2552" s="148" t="s">
        <v>552</v>
      </c>
      <c r="J2552" s="133" t="s">
        <v>13</v>
      </c>
      <c r="K2552" s="218"/>
      <c r="L2552" s="218">
        <v>875100</v>
      </c>
    </row>
    <row r="2553" spans="1:14" ht="33.75" x14ac:dyDescent="0.2">
      <c r="A2553" s="163">
        <v>2021</v>
      </c>
      <c r="B2553" s="163">
        <v>3</v>
      </c>
      <c r="C2553" s="163">
        <v>10</v>
      </c>
      <c r="D2553" s="141">
        <f t="shared" si="86"/>
        <v>44265</v>
      </c>
      <c r="E2553" s="275">
        <f t="shared" si="87"/>
        <v>44265</v>
      </c>
      <c r="F2553" s="480"/>
      <c r="G2553" s="221" t="s">
        <v>74</v>
      </c>
      <c r="H2553" s="145" t="str" cm="1">
        <f t="array" ref="H2553">IFERROR(INDEX(INVESTOR_LIST[INVESTOR NAME],MATCH(I2553,INVESTOR_LIST[INVESTOR CODE],0),)," ")</f>
        <v>K.M SAKIB AHMED</v>
      </c>
      <c r="I2553" s="145" t="s">
        <v>552</v>
      </c>
      <c r="J2553" s="163" t="s">
        <v>53</v>
      </c>
      <c r="K2553" s="219"/>
      <c r="L2553" s="219">
        <v>224900</v>
      </c>
    </row>
    <row r="2554" spans="1:14" x14ac:dyDescent="0.2">
      <c r="A2554" s="168">
        <v>2021</v>
      </c>
      <c r="B2554" s="168">
        <v>3</v>
      </c>
      <c r="C2554" s="168">
        <v>10</v>
      </c>
      <c r="D2554" s="141">
        <f t="shared" si="86"/>
        <v>44265</v>
      </c>
      <c r="E2554" s="275">
        <f t="shared" si="87"/>
        <v>44265</v>
      </c>
      <c r="F2554" s="479" t="s">
        <v>77</v>
      </c>
      <c r="G2554" s="220" t="s">
        <v>74</v>
      </c>
      <c r="H2554" s="220" t="str" cm="1">
        <f t="array" ref="H2554">IFERROR(INDEX(INVESTOR_LIST[INVESTOR NAME],MATCH(I2554,INVESTOR_LIST[INVESTOR CODE],0),)," ")</f>
        <v xml:space="preserve"> </v>
      </c>
      <c r="I2554" s="142" t="s">
        <v>348</v>
      </c>
      <c r="J2554" s="143" t="s">
        <v>61</v>
      </c>
      <c r="K2554" s="226">
        <v>60</v>
      </c>
      <c r="L2554" s="226"/>
    </row>
    <row r="2555" spans="1:14" x14ac:dyDescent="0.2">
      <c r="A2555" s="163">
        <v>2021</v>
      </c>
      <c r="B2555" s="163">
        <v>3</v>
      </c>
      <c r="C2555" s="163">
        <v>10</v>
      </c>
      <c r="D2555" s="141">
        <f t="shared" si="86"/>
        <v>44265</v>
      </c>
      <c r="E2555" s="275">
        <f t="shared" si="87"/>
        <v>44265</v>
      </c>
      <c r="F2555" s="480"/>
      <c r="G2555" s="221" t="s">
        <v>74</v>
      </c>
      <c r="H2555" s="221" t="str" cm="1">
        <f t="array" ref="H2555">IFERROR(INDEX(INVESTOR_LIST[INVESTOR NAME],MATCH(I2555,INVESTOR_LIST[INVESTOR CODE],0),)," ")</f>
        <v xml:space="preserve"> </v>
      </c>
      <c r="I2555" s="145" t="s">
        <v>348</v>
      </c>
      <c r="J2555" s="146" t="s">
        <v>52</v>
      </c>
      <c r="K2555" s="219"/>
      <c r="L2555" s="219">
        <v>60</v>
      </c>
      <c r="N2555" s="160"/>
    </row>
    <row r="2556" spans="1:14" ht="33.75" x14ac:dyDescent="0.2">
      <c r="A2556" s="133">
        <v>2021</v>
      </c>
      <c r="B2556" s="133">
        <v>3</v>
      </c>
      <c r="C2556" s="133">
        <v>11</v>
      </c>
      <c r="D2556" s="141">
        <f t="shared" si="86"/>
        <v>44266</v>
      </c>
      <c r="E2556" s="275">
        <f t="shared" si="87"/>
        <v>44266</v>
      </c>
      <c r="F2556" s="479" t="s">
        <v>965</v>
      </c>
      <c r="G2556" s="174" t="s">
        <v>74</v>
      </c>
      <c r="H2556" s="174" t="str" cm="1">
        <f t="array" ref="H2556">IFERROR(INDEX(INVESTOR_LIST[INVESTOR NAME],MATCH(I2556,INVESTOR_LIST[INVESTOR CODE],0),)," ")</f>
        <v>RAHNUMA SANJANA</v>
      </c>
      <c r="I2556" s="148" t="s">
        <v>467</v>
      </c>
      <c r="J2556" s="149" t="s">
        <v>13</v>
      </c>
      <c r="K2556" s="218">
        <v>4569690</v>
      </c>
      <c r="L2556" s="218"/>
    </row>
    <row r="2557" spans="1:14" ht="33.75" x14ac:dyDescent="0.2">
      <c r="A2557" s="133">
        <v>2021</v>
      </c>
      <c r="B2557" s="133">
        <v>3</v>
      </c>
      <c r="C2557" s="133">
        <v>11</v>
      </c>
      <c r="D2557" s="141">
        <f t="shared" si="86"/>
        <v>44266</v>
      </c>
      <c r="E2557" s="275">
        <f t="shared" si="87"/>
        <v>44266</v>
      </c>
      <c r="F2557" s="481"/>
      <c r="G2557" s="174" t="s">
        <v>74</v>
      </c>
      <c r="H2557" s="174" t="str" cm="1">
        <f t="array" ref="H2557">IFERROR(INDEX(INVESTOR_LIST[INVESTOR NAME],MATCH(I2557,INVESTOR_LIST[INVESTOR CODE],0),)," ")</f>
        <v>RAHNUMA SANJANA</v>
      </c>
      <c r="I2557" s="148" t="s">
        <v>467</v>
      </c>
      <c r="J2557" s="149" t="s">
        <v>53</v>
      </c>
      <c r="K2557" s="218">
        <v>1430310</v>
      </c>
      <c r="L2557" s="218"/>
    </row>
    <row r="2558" spans="1:14" ht="33.75" x14ac:dyDescent="0.2">
      <c r="A2558" s="133">
        <v>2021</v>
      </c>
      <c r="B2558" s="133">
        <v>3</v>
      </c>
      <c r="C2558" s="133">
        <v>11</v>
      </c>
      <c r="D2558" s="141">
        <f t="shared" si="86"/>
        <v>44266</v>
      </c>
      <c r="E2558" s="275">
        <f t="shared" si="87"/>
        <v>44266</v>
      </c>
      <c r="F2558" s="480"/>
      <c r="G2558" s="174" t="s">
        <v>74</v>
      </c>
      <c r="H2558" s="174" t="str" cm="1">
        <f t="array" ref="H2558">IFERROR(INDEX(INVESTOR_LIST[INVESTOR NAME],MATCH(I2558,INVESTOR_LIST[INVESTOR CODE],0),)," ")</f>
        <v>RAHNUMA SANJANA</v>
      </c>
      <c r="I2558" s="148" t="s">
        <v>467</v>
      </c>
      <c r="J2558" s="149" t="s">
        <v>52</v>
      </c>
      <c r="K2558" s="218"/>
      <c r="L2558" s="218">
        <v>6000000</v>
      </c>
      <c r="N2558" s="156">
        <f>K2562/12.76</f>
        <v>94043.887147335423</v>
      </c>
    </row>
    <row r="2559" spans="1:14" ht="11.25" customHeight="1" x14ac:dyDescent="0.2">
      <c r="A2559" s="168">
        <v>2021</v>
      </c>
      <c r="B2559" s="168">
        <v>3</v>
      </c>
      <c r="C2559" s="168">
        <v>11</v>
      </c>
      <c r="D2559" s="141">
        <f t="shared" si="86"/>
        <v>44266</v>
      </c>
      <c r="E2559" s="275">
        <f t="shared" si="87"/>
        <v>44266</v>
      </c>
      <c r="F2559" s="479" t="s">
        <v>254</v>
      </c>
      <c r="G2559" s="220" t="s">
        <v>74</v>
      </c>
      <c r="H2559" s="142" t="str" cm="1">
        <f t="array" ref="H2559">IFERROR(INDEX(INVESTOR_LIST[INVESTOR NAME],MATCH(I2559,INVESTOR_LIST[INVESTOR CODE],0),)," ")</f>
        <v xml:space="preserve"> </v>
      </c>
      <c r="I2559" s="142"/>
      <c r="J2559" s="168" t="s">
        <v>52</v>
      </c>
      <c r="K2559" s="226">
        <v>149500</v>
      </c>
      <c r="L2559" s="226"/>
    </row>
    <row r="2560" spans="1:14" x14ac:dyDescent="0.2">
      <c r="A2560" s="133">
        <v>2021</v>
      </c>
      <c r="B2560" s="133">
        <v>3</v>
      </c>
      <c r="C2560" s="133">
        <v>11</v>
      </c>
      <c r="D2560" s="141">
        <f t="shared" si="86"/>
        <v>44266</v>
      </c>
      <c r="E2560" s="275">
        <f t="shared" si="87"/>
        <v>44266</v>
      </c>
      <c r="F2560" s="481"/>
      <c r="G2560" s="174" t="s">
        <v>74</v>
      </c>
      <c r="H2560" s="148" t="str" cm="1">
        <f t="array" ref="H2560">IFERROR(INDEX(INVESTOR_LIST[INVESTOR NAME],MATCH(I2560,INVESTOR_LIST[INVESTOR CODE],0),)," ")</f>
        <v xml:space="preserve"> </v>
      </c>
      <c r="J2560" s="133" t="s">
        <v>13</v>
      </c>
      <c r="K2560" s="218"/>
      <c r="L2560" s="218">
        <v>117180</v>
      </c>
    </row>
    <row r="2561" spans="1:14" x14ac:dyDescent="0.2">
      <c r="A2561" s="163">
        <v>2021</v>
      </c>
      <c r="B2561" s="163">
        <v>3</v>
      </c>
      <c r="C2561" s="163">
        <v>11</v>
      </c>
      <c r="D2561" s="141">
        <f t="shared" si="86"/>
        <v>44266</v>
      </c>
      <c r="E2561" s="275">
        <f t="shared" si="87"/>
        <v>44266</v>
      </c>
      <c r="F2561" s="480"/>
      <c r="G2561" s="221" t="s">
        <v>74</v>
      </c>
      <c r="H2561" s="145" t="str" cm="1">
        <f t="array" ref="H2561">IFERROR(INDEX(INVESTOR_LIST[INVESTOR NAME],MATCH(I2561,INVESTOR_LIST[INVESTOR CODE],0),)," ")</f>
        <v xml:space="preserve"> </v>
      </c>
      <c r="I2561" s="145"/>
      <c r="J2561" s="163" t="s">
        <v>53</v>
      </c>
      <c r="K2561" s="219"/>
      <c r="L2561" s="219">
        <v>32320</v>
      </c>
    </row>
    <row r="2562" spans="1:14" ht="11.25" customHeight="1" x14ac:dyDescent="0.2">
      <c r="A2562" s="168">
        <v>2021</v>
      </c>
      <c r="B2562" s="168">
        <v>3</v>
      </c>
      <c r="C2562" s="168">
        <v>11</v>
      </c>
      <c r="D2562" s="141">
        <f t="shared" si="86"/>
        <v>44266</v>
      </c>
      <c r="E2562" s="275">
        <f t="shared" si="87"/>
        <v>44266</v>
      </c>
      <c r="F2562" s="479" t="s">
        <v>964</v>
      </c>
      <c r="G2562" s="220" t="s">
        <v>74</v>
      </c>
      <c r="H2562" s="142" t="str" cm="1">
        <f t="array" ref="H2562">IFERROR(INDEX(INVESTOR_LIST[INVESTOR NAME],MATCH(I2562,INVESTOR_LIST[INVESTOR CODE],0),)," ")</f>
        <v>TRIPTI BARUA</v>
      </c>
      <c r="I2562" s="142" t="s">
        <v>498</v>
      </c>
      <c r="J2562" s="168" t="s">
        <v>52</v>
      </c>
      <c r="K2562" s="226">
        <v>1200000</v>
      </c>
      <c r="L2562" s="226"/>
    </row>
    <row r="2563" spans="1:14" ht="22.5" x14ac:dyDescent="0.2">
      <c r="A2563" s="133">
        <v>2021</v>
      </c>
      <c r="B2563" s="133">
        <v>3</v>
      </c>
      <c r="C2563" s="133">
        <v>11</v>
      </c>
      <c r="D2563" s="141">
        <f t="shared" si="86"/>
        <v>44266</v>
      </c>
      <c r="E2563" s="275">
        <f t="shared" si="87"/>
        <v>44266</v>
      </c>
      <c r="F2563" s="481"/>
      <c r="G2563" s="174" t="s">
        <v>74</v>
      </c>
      <c r="H2563" s="148" t="str" cm="1">
        <f t="array" ref="H2563">IFERROR(INDEX(INVESTOR_LIST[INVESTOR NAME],MATCH(I2563,INVESTOR_LIST[INVESTOR CODE],0),)," ")</f>
        <v>TRIPTI BARUA</v>
      </c>
      <c r="I2563" s="148" t="s">
        <v>498</v>
      </c>
      <c r="J2563" s="133" t="s">
        <v>13</v>
      </c>
      <c r="K2563" s="218"/>
      <c r="L2563" s="218">
        <v>940440</v>
      </c>
    </row>
    <row r="2564" spans="1:14" ht="22.5" x14ac:dyDescent="0.2">
      <c r="A2564" s="163">
        <v>2021</v>
      </c>
      <c r="B2564" s="163">
        <v>3</v>
      </c>
      <c r="C2564" s="163">
        <v>11</v>
      </c>
      <c r="D2564" s="141">
        <f t="shared" si="86"/>
        <v>44266</v>
      </c>
      <c r="E2564" s="275">
        <f t="shared" si="87"/>
        <v>44266</v>
      </c>
      <c r="F2564" s="480"/>
      <c r="G2564" s="221" t="s">
        <v>74</v>
      </c>
      <c r="H2564" s="145" t="str" cm="1">
        <f t="array" ref="H2564">IFERROR(INDEX(INVESTOR_LIST[INVESTOR NAME],MATCH(I2564,INVESTOR_LIST[INVESTOR CODE],0),)," ")</f>
        <v>TRIPTI BARUA</v>
      </c>
      <c r="I2564" s="145" t="s">
        <v>498</v>
      </c>
      <c r="J2564" s="163" t="s">
        <v>53</v>
      </c>
      <c r="K2564" s="219"/>
      <c r="L2564" s="219">
        <v>259560</v>
      </c>
      <c r="N2564" s="160"/>
    </row>
    <row r="2565" spans="1:14" x14ac:dyDescent="0.2">
      <c r="A2565" s="168">
        <v>2021</v>
      </c>
      <c r="B2565" s="168">
        <v>3</v>
      </c>
      <c r="C2565" s="168">
        <v>11</v>
      </c>
      <c r="D2565" s="141">
        <f t="shared" si="86"/>
        <v>44266</v>
      </c>
      <c r="E2565" s="275">
        <f t="shared" si="87"/>
        <v>44266</v>
      </c>
      <c r="F2565" s="479" t="s">
        <v>77</v>
      </c>
      <c r="G2565" s="220" t="s">
        <v>74</v>
      </c>
      <c r="H2565" s="220" t="str" cm="1">
        <f t="array" ref="H2565">IFERROR(INDEX(INVESTOR_LIST[INVESTOR NAME],MATCH(I2565,INVESTOR_LIST[INVESTOR CODE],0),)," ")</f>
        <v xml:space="preserve"> </v>
      </c>
      <c r="I2565" s="142" t="s">
        <v>348</v>
      </c>
      <c r="J2565" s="143" t="s">
        <v>61</v>
      </c>
      <c r="K2565" s="226">
        <v>60</v>
      </c>
      <c r="L2565" s="226"/>
    </row>
    <row r="2566" spans="1:14" x14ac:dyDescent="0.2">
      <c r="A2566" s="163">
        <v>2021</v>
      </c>
      <c r="B2566" s="163">
        <v>3</v>
      </c>
      <c r="C2566" s="163">
        <v>11</v>
      </c>
      <c r="D2566" s="141">
        <f t="shared" si="86"/>
        <v>44266</v>
      </c>
      <c r="E2566" s="275">
        <f t="shared" si="87"/>
        <v>44266</v>
      </c>
      <c r="F2566" s="480"/>
      <c r="G2566" s="221" t="s">
        <v>74</v>
      </c>
      <c r="H2566" s="221" t="str" cm="1">
        <f t="array" ref="H2566">IFERROR(INDEX(INVESTOR_LIST[INVESTOR NAME],MATCH(I2566,INVESTOR_LIST[INVESTOR CODE],0),)," ")</f>
        <v xml:space="preserve"> </v>
      </c>
      <c r="I2566" s="145" t="s">
        <v>348</v>
      </c>
      <c r="J2566" s="146" t="s">
        <v>52</v>
      </c>
      <c r="K2566" s="219"/>
      <c r="L2566" s="219">
        <v>60</v>
      </c>
      <c r="N2566" s="156">
        <f>K2570/12.55</f>
        <v>92011.108366533867</v>
      </c>
    </row>
    <row r="2567" spans="1:14" ht="33.75" x14ac:dyDescent="0.2">
      <c r="A2567" s="168">
        <v>2021</v>
      </c>
      <c r="B2567" s="168">
        <v>3</v>
      </c>
      <c r="C2567" s="168">
        <v>11</v>
      </c>
      <c r="D2567" s="141">
        <f t="shared" si="86"/>
        <v>44266</v>
      </c>
      <c r="E2567" s="275">
        <f t="shared" si="87"/>
        <v>44266</v>
      </c>
      <c r="F2567" s="479" t="s">
        <v>965</v>
      </c>
      <c r="G2567" s="220" t="s">
        <v>74</v>
      </c>
      <c r="H2567" s="220" t="str" cm="1">
        <f t="array" ref="H2567">IFERROR(INDEX(INVESTOR_LIST[INVESTOR NAME],MATCH(I2567,INVESTOR_LIST[INVESTOR CODE],0),)," ")</f>
        <v>ASHIT BARAN SAHA</v>
      </c>
      <c r="I2567" s="142" t="s">
        <v>442</v>
      </c>
      <c r="J2567" s="143" t="s">
        <v>13</v>
      </c>
      <c r="K2567" s="226">
        <v>624920</v>
      </c>
      <c r="L2567" s="226"/>
    </row>
    <row r="2568" spans="1:14" ht="33.75" x14ac:dyDescent="0.2">
      <c r="A2568" s="133">
        <v>2021</v>
      </c>
      <c r="B2568" s="133">
        <v>3</v>
      </c>
      <c r="C2568" s="133">
        <v>11</v>
      </c>
      <c r="D2568" s="141">
        <f t="shared" si="86"/>
        <v>44266</v>
      </c>
      <c r="E2568" s="275">
        <f t="shared" si="87"/>
        <v>44266</v>
      </c>
      <c r="F2568" s="481"/>
      <c r="G2568" s="174" t="s">
        <v>74</v>
      </c>
      <c r="H2568" s="174" t="str" cm="1">
        <f t="array" ref="H2568">IFERROR(INDEX(INVESTOR_LIST[INVESTOR NAME],MATCH(I2568,INVESTOR_LIST[INVESTOR CODE],0),)," ")</f>
        <v>ASHIT BARAN SAHA</v>
      </c>
      <c r="I2568" s="148" t="s">
        <v>442</v>
      </c>
      <c r="J2568" s="149" t="s">
        <v>53</v>
      </c>
      <c r="K2568" s="218">
        <v>190319.41</v>
      </c>
      <c r="L2568" s="218"/>
    </row>
    <row r="2569" spans="1:14" ht="33.75" x14ac:dyDescent="0.2">
      <c r="A2569" s="163">
        <v>2021</v>
      </c>
      <c r="B2569" s="163">
        <v>3</v>
      </c>
      <c r="C2569" s="163">
        <v>11</v>
      </c>
      <c r="D2569" s="141">
        <f t="shared" si="86"/>
        <v>44266</v>
      </c>
      <c r="E2569" s="275">
        <f t="shared" si="87"/>
        <v>44266</v>
      </c>
      <c r="F2569" s="480"/>
      <c r="G2569" s="221" t="s">
        <v>74</v>
      </c>
      <c r="H2569" s="221" t="str" cm="1">
        <f t="array" ref="H2569">IFERROR(INDEX(INVESTOR_LIST[INVESTOR NAME],MATCH(I2569,INVESTOR_LIST[INVESTOR CODE],0),)," ")</f>
        <v>ASHIT BARAN SAHA</v>
      </c>
      <c r="I2569" s="145" t="s">
        <v>442</v>
      </c>
      <c r="J2569" s="146" t="s">
        <v>52</v>
      </c>
      <c r="K2569" s="219"/>
      <c r="L2569" s="219">
        <v>815239.41</v>
      </c>
    </row>
    <row r="2570" spans="1:14" ht="33.75" x14ac:dyDescent="0.2">
      <c r="A2570" s="168">
        <v>2021</v>
      </c>
      <c r="B2570" s="168">
        <v>3</v>
      </c>
      <c r="C2570" s="168">
        <v>11</v>
      </c>
      <c r="D2570" s="141">
        <f t="shared" si="86"/>
        <v>44266</v>
      </c>
      <c r="E2570" s="275">
        <f t="shared" si="87"/>
        <v>44266</v>
      </c>
      <c r="F2570" s="479" t="s">
        <v>964</v>
      </c>
      <c r="G2570" s="220" t="s">
        <v>74</v>
      </c>
      <c r="H2570" s="142" t="str" cm="1">
        <f t="array" ref="H2570">IFERROR(INDEX(INVESTOR_LIST[INVESTOR NAME],MATCH(I2570,INVESTOR_LIST[INVESTOR CODE],0),)," ")</f>
        <v>ASHIT BARAN SAHA</v>
      </c>
      <c r="I2570" s="142" t="s">
        <v>442</v>
      </c>
      <c r="J2570" s="168" t="s">
        <v>52</v>
      </c>
      <c r="K2570" s="226">
        <v>1154739.4100000001</v>
      </c>
      <c r="L2570" s="226"/>
    </row>
    <row r="2571" spans="1:14" ht="33.75" x14ac:dyDescent="0.2">
      <c r="A2571" s="133">
        <v>2021</v>
      </c>
      <c r="B2571" s="133">
        <v>3</v>
      </c>
      <c r="C2571" s="133">
        <v>11</v>
      </c>
      <c r="D2571" s="141">
        <f t="shared" si="86"/>
        <v>44266</v>
      </c>
      <c r="E2571" s="275">
        <f t="shared" si="87"/>
        <v>44266</v>
      </c>
      <c r="F2571" s="481"/>
      <c r="G2571" s="174" t="s">
        <v>74</v>
      </c>
      <c r="H2571" s="148" t="str" cm="1">
        <f t="array" ref="H2571">IFERROR(INDEX(INVESTOR_LIST[INVESTOR NAME],MATCH(I2571,INVESTOR_LIST[INVESTOR CODE],0),)," ")</f>
        <v>ASHIT BARAN SAHA</v>
      </c>
      <c r="I2571" s="148" t="s">
        <v>442</v>
      </c>
      <c r="J2571" s="133" t="s">
        <v>13</v>
      </c>
      <c r="K2571" s="218"/>
      <c r="L2571" s="218">
        <v>920110</v>
      </c>
    </row>
    <row r="2572" spans="1:14" ht="33.75" x14ac:dyDescent="0.2">
      <c r="A2572" s="163">
        <v>2021</v>
      </c>
      <c r="B2572" s="163">
        <v>3</v>
      </c>
      <c r="C2572" s="163">
        <v>11</v>
      </c>
      <c r="D2572" s="141">
        <f t="shared" si="86"/>
        <v>44266</v>
      </c>
      <c r="E2572" s="275">
        <f t="shared" si="87"/>
        <v>44266</v>
      </c>
      <c r="F2572" s="480"/>
      <c r="G2572" s="221" t="s">
        <v>74</v>
      </c>
      <c r="H2572" s="145" t="str" cm="1">
        <f t="array" ref="H2572">IFERROR(INDEX(INVESTOR_LIST[INVESTOR NAME],MATCH(I2572,INVESTOR_LIST[INVESTOR CODE],0),)," ")</f>
        <v>ASHIT BARAN SAHA</v>
      </c>
      <c r="I2572" s="145" t="s">
        <v>442</v>
      </c>
      <c r="J2572" s="163" t="s">
        <v>53</v>
      </c>
      <c r="K2572" s="219"/>
      <c r="L2572" s="219">
        <v>234629.41</v>
      </c>
    </row>
    <row r="2573" spans="1:14" x14ac:dyDescent="0.2">
      <c r="A2573" s="168">
        <v>2021</v>
      </c>
      <c r="B2573" s="168">
        <v>3</v>
      </c>
      <c r="C2573" s="168">
        <v>11</v>
      </c>
      <c r="D2573" s="141">
        <f t="shared" si="86"/>
        <v>44266</v>
      </c>
      <c r="E2573" s="275">
        <f t="shared" si="87"/>
        <v>44266</v>
      </c>
      <c r="F2573" s="494" t="s">
        <v>556</v>
      </c>
      <c r="G2573" s="220" t="s">
        <v>94</v>
      </c>
      <c r="H2573" s="142" t="str" cm="1">
        <f t="array" ref="H2573">IFERROR(INDEX(INVESTOR_LIST[INVESTOR NAME],MATCH(I2573,INVESTOR_LIST[INVESTOR CODE],0),)," ")</f>
        <v xml:space="preserve"> </v>
      </c>
      <c r="I2573" s="142"/>
      <c r="J2573" s="168" t="s">
        <v>168</v>
      </c>
      <c r="K2573" s="226">
        <v>958348.69</v>
      </c>
      <c r="L2573" s="226"/>
    </row>
    <row r="2574" spans="1:14" x14ac:dyDescent="0.2">
      <c r="A2574" s="163">
        <v>2021</v>
      </c>
      <c r="B2574" s="163">
        <v>3</v>
      </c>
      <c r="C2574" s="163">
        <v>11</v>
      </c>
      <c r="D2574" s="141">
        <f t="shared" ref="D2574:D2637" si="88">DATE(A2574,B2574,C2574)</f>
        <v>44266</v>
      </c>
      <c r="E2574" s="275">
        <f t="shared" si="87"/>
        <v>44266</v>
      </c>
      <c r="F2574" s="495"/>
      <c r="G2574" s="221" t="s">
        <v>94</v>
      </c>
      <c r="H2574" s="145" t="str" cm="1">
        <f t="array" ref="H2574">IFERROR(INDEX(INVESTOR_LIST[INVESTOR NAME],MATCH(I2574,INVESTOR_LIST[INVESTOR CODE],0),)," ")</f>
        <v xml:space="preserve"> </v>
      </c>
      <c r="I2574" s="145"/>
      <c r="J2574" s="163" t="s">
        <v>166</v>
      </c>
      <c r="K2574" s="219"/>
      <c r="L2574" s="219">
        <v>958348.69</v>
      </c>
    </row>
    <row r="2575" spans="1:14" x14ac:dyDescent="0.2">
      <c r="A2575" s="238">
        <v>2021</v>
      </c>
      <c r="B2575" s="238">
        <v>3</v>
      </c>
      <c r="C2575" s="238">
        <v>11</v>
      </c>
      <c r="D2575" s="141">
        <f t="shared" si="88"/>
        <v>44266</v>
      </c>
      <c r="E2575" s="275">
        <f t="shared" ref="E2575:E2638" si="89">DATE(A2575,B2575,C2575)</f>
        <v>44266</v>
      </c>
      <c r="F2575" s="477" t="s">
        <v>347</v>
      </c>
      <c r="G2575" s="239" t="s">
        <v>94</v>
      </c>
      <c r="H2575" s="239" t="str" cm="1">
        <f t="array" ref="H2575">IFERROR(INDEX(INVESTOR_LIST[INVESTOR NAME],MATCH(I2575,INVESTOR_LIST[INVESTOR CODE],0),)," ")</f>
        <v xml:space="preserve"> </v>
      </c>
      <c r="I2575" s="262" t="s">
        <v>348</v>
      </c>
      <c r="J2575" s="240" t="s">
        <v>108</v>
      </c>
      <c r="K2575" s="241">
        <v>1116698.9799999893</v>
      </c>
      <c r="L2575" s="241"/>
    </row>
    <row r="2576" spans="1:14" x14ac:dyDescent="0.2">
      <c r="A2576" s="242">
        <v>2021</v>
      </c>
      <c r="B2576" s="242">
        <v>3</v>
      </c>
      <c r="C2576" s="242">
        <v>11</v>
      </c>
      <c r="D2576" s="141">
        <f t="shared" si="88"/>
        <v>44266</v>
      </c>
      <c r="E2576" s="275">
        <f t="shared" si="89"/>
        <v>44266</v>
      </c>
      <c r="F2576" s="478"/>
      <c r="G2576" s="243" t="s">
        <v>94</v>
      </c>
      <c r="H2576" s="243" t="str" cm="1">
        <f t="array" ref="H2576">IFERROR(INDEX(INVESTOR_LIST[INVESTOR NAME],MATCH(I2576,INVESTOR_LIST[INVESTOR CODE],0),)," ")</f>
        <v xml:space="preserve"> </v>
      </c>
      <c r="I2576" s="263" t="s">
        <v>348</v>
      </c>
      <c r="J2576" s="244" t="s">
        <v>82</v>
      </c>
      <c r="K2576" s="245"/>
      <c r="L2576" s="245">
        <v>1116698.9799999893</v>
      </c>
    </row>
    <row r="2577" spans="1:14" ht="22.5" x14ac:dyDescent="0.2">
      <c r="A2577" s="246">
        <v>2021</v>
      </c>
      <c r="B2577" s="246">
        <v>3</v>
      </c>
      <c r="C2577" s="246">
        <v>11</v>
      </c>
      <c r="D2577" s="141">
        <f t="shared" si="88"/>
        <v>44266</v>
      </c>
      <c r="E2577" s="275">
        <f t="shared" si="89"/>
        <v>44266</v>
      </c>
      <c r="F2577" s="482" t="s">
        <v>148</v>
      </c>
      <c r="G2577" s="247" t="s">
        <v>94</v>
      </c>
      <c r="H2577" s="247" t="str" cm="1">
        <f t="array" ref="H2577">IFERROR(INDEX(INVESTOR_LIST[INVESTOR NAME],MATCH(I2577,INVESTOR_LIST[INVESTOR CODE],0),)," ")</f>
        <v xml:space="preserve"> </v>
      </c>
      <c r="I2577" s="248" t="s">
        <v>348</v>
      </c>
      <c r="J2577" s="249" t="s">
        <v>95</v>
      </c>
      <c r="K2577" s="250">
        <v>2747.2527472527472</v>
      </c>
      <c r="L2577" s="241"/>
      <c r="M2577" s="133">
        <v>2747.2527472527472</v>
      </c>
    </row>
    <row r="2578" spans="1:14" x14ac:dyDescent="0.2">
      <c r="A2578" s="242">
        <v>2021</v>
      </c>
      <c r="B2578" s="242">
        <v>3</v>
      </c>
      <c r="C2578" s="242">
        <v>11</v>
      </c>
      <c r="D2578" s="141">
        <f t="shared" si="88"/>
        <v>44266</v>
      </c>
      <c r="E2578" s="275">
        <f t="shared" si="89"/>
        <v>44266</v>
      </c>
      <c r="F2578" s="478"/>
      <c r="G2578" s="243" t="s">
        <v>94</v>
      </c>
      <c r="H2578" s="243" t="str" cm="1">
        <f t="array" ref="H2578">IFERROR(INDEX(INVESTOR_LIST[INVESTOR NAME],MATCH(I2578,INVESTOR_LIST[INVESTOR CODE],0),)," ")</f>
        <v xml:space="preserve"> </v>
      </c>
      <c r="I2578" s="263" t="s">
        <v>348</v>
      </c>
      <c r="J2578" s="244" t="s">
        <v>63</v>
      </c>
      <c r="K2578" s="245"/>
      <c r="L2578" s="245">
        <v>2747.2527472527472</v>
      </c>
      <c r="M2578" s="133">
        <v>81041.660817183249</v>
      </c>
    </row>
    <row r="2579" spans="1:14" x14ac:dyDescent="0.2">
      <c r="A2579" s="246">
        <v>2021</v>
      </c>
      <c r="B2579" s="246">
        <v>3</v>
      </c>
      <c r="C2579" s="246">
        <v>11</v>
      </c>
      <c r="D2579" s="141">
        <f t="shared" si="88"/>
        <v>44266</v>
      </c>
      <c r="E2579" s="275">
        <f t="shared" si="89"/>
        <v>44266</v>
      </c>
      <c r="F2579" s="482" t="s">
        <v>137</v>
      </c>
      <c r="G2579" s="247" t="s">
        <v>94</v>
      </c>
      <c r="H2579" s="247" t="str" cm="1">
        <f t="array" ref="H2579">IFERROR(INDEX(INVESTOR_LIST[INVESTOR NAME],MATCH(I2579,INVESTOR_LIST[INVESTOR CODE],0),)," ")</f>
        <v xml:space="preserve"> </v>
      </c>
      <c r="I2579" s="248" t="s">
        <v>348</v>
      </c>
      <c r="J2579" s="249" t="s">
        <v>97</v>
      </c>
      <c r="K2579" s="250">
        <v>81041.660817183249</v>
      </c>
      <c r="L2579" s="252"/>
      <c r="M2579" s="133">
        <v>3811.6984254745471</v>
      </c>
    </row>
    <row r="2580" spans="1:14" x14ac:dyDescent="0.2">
      <c r="A2580" s="242">
        <v>2021</v>
      </c>
      <c r="B2580" s="242">
        <v>3</v>
      </c>
      <c r="C2580" s="242">
        <v>11</v>
      </c>
      <c r="D2580" s="141">
        <f t="shared" si="88"/>
        <v>44266</v>
      </c>
      <c r="E2580" s="275">
        <f t="shared" si="89"/>
        <v>44266</v>
      </c>
      <c r="F2580" s="478"/>
      <c r="G2580" s="243" t="s">
        <v>94</v>
      </c>
      <c r="H2580" s="243" t="str" cm="1">
        <f t="array" ref="H2580">IFERROR(INDEX(INVESTOR_LIST[INVESTOR NAME],MATCH(I2580,INVESTOR_LIST[INVESTOR CODE],0),)," ")</f>
        <v xml:space="preserve"> </v>
      </c>
      <c r="I2580" s="263" t="s">
        <v>348</v>
      </c>
      <c r="J2580" s="244" t="s">
        <v>47</v>
      </c>
      <c r="K2580" s="245"/>
      <c r="L2580" s="245">
        <v>81041.660817183249</v>
      </c>
    </row>
    <row r="2581" spans="1:14" x14ac:dyDescent="0.2">
      <c r="A2581" s="246">
        <v>2021</v>
      </c>
      <c r="B2581" s="246">
        <v>3</v>
      </c>
      <c r="C2581" s="246">
        <v>11</v>
      </c>
      <c r="D2581" s="141">
        <f t="shared" si="88"/>
        <v>44266</v>
      </c>
      <c r="E2581" s="275">
        <f t="shared" si="89"/>
        <v>44266</v>
      </c>
      <c r="F2581" s="482" t="s">
        <v>138</v>
      </c>
      <c r="G2581" s="247" t="s">
        <v>94</v>
      </c>
      <c r="H2581" s="247" t="str" cm="1">
        <f t="array" ref="H2581">IFERROR(INDEX(INVESTOR_LIST[INVESTOR NAME],MATCH(I2581,INVESTOR_LIST[INVESTOR CODE],0),)," ")</f>
        <v xml:space="preserve"> </v>
      </c>
      <c r="I2581" s="248" t="s">
        <v>348</v>
      </c>
      <c r="J2581" s="249" t="s">
        <v>100</v>
      </c>
      <c r="K2581" s="250">
        <v>3811.6984254745471</v>
      </c>
      <c r="L2581" s="252"/>
    </row>
    <row r="2582" spans="1:14" x14ac:dyDescent="0.2">
      <c r="A2582" s="242">
        <v>2021</v>
      </c>
      <c r="B2582" s="242">
        <v>3</v>
      </c>
      <c r="C2582" s="242">
        <v>11</v>
      </c>
      <c r="D2582" s="141">
        <f t="shared" si="88"/>
        <v>44266</v>
      </c>
      <c r="E2582" s="275">
        <f t="shared" si="89"/>
        <v>44266</v>
      </c>
      <c r="F2582" s="478"/>
      <c r="G2582" s="243" t="s">
        <v>94</v>
      </c>
      <c r="H2582" s="243" t="str" cm="1">
        <f t="array" ref="H2582">IFERROR(INDEX(INVESTOR_LIST[INVESTOR NAME],MATCH(I2582,INVESTOR_LIST[INVESTOR CODE],0),)," ")</f>
        <v xml:space="preserve"> </v>
      </c>
      <c r="I2582" s="263" t="s">
        <v>348</v>
      </c>
      <c r="J2582" s="244" t="s">
        <v>48</v>
      </c>
      <c r="K2582" s="245"/>
      <c r="L2582" s="245">
        <v>3811.6984254745471</v>
      </c>
    </row>
    <row r="2583" spans="1:14" x14ac:dyDescent="0.2">
      <c r="A2583" s="168">
        <v>2021</v>
      </c>
      <c r="B2583" s="168">
        <v>3</v>
      </c>
      <c r="C2583" s="168">
        <v>14</v>
      </c>
      <c r="D2583" s="141">
        <f t="shared" si="88"/>
        <v>44269</v>
      </c>
      <c r="E2583" s="275">
        <f t="shared" si="89"/>
        <v>44269</v>
      </c>
      <c r="F2583" s="494" t="s">
        <v>958</v>
      </c>
      <c r="G2583" s="220" t="s">
        <v>94</v>
      </c>
      <c r="H2583" s="142" t="str" cm="1">
        <f t="array" ref="H2583">IFERROR(INDEX(INVESTOR_LIST[INVESTOR NAME],MATCH(I2583,INVESTOR_LIST[INVESTOR CODE],0),)," ")</f>
        <v xml:space="preserve"> </v>
      </c>
      <c r="I2583" s="142"/>
      <c r="J2583" s="168" t="s">
        <v>52</v>
      </c>
      <c r="K2583" s="226">
        <v>958348.69</v>
      </c>
      <c r="L2583" s="226"/>
    </row>
    <row r="2584" spans="1:14" x14ac:dyDescent="0.2">
      <c r="A2584" s="163">
        <v>2021</v>
      </c>
      <c r="B2584" s="163">
        <v>3</v>
      </c>
      <c r="C2584" s="163">
        <v>14</v>
      </c>
      <c r="D2584" s="141">
        <f t="shared" si="88"/>
        <v>44269</v>
      </c>
      <c r="E2584" s="275">
        <f t="shared" si="89"/>
        <v>44269</v>
      </c>
      <c r="F2584" s="495"/>
      <c r="G2584" s="221" t="s">
        <v>94</v>
      </c>
      <c r="H2584" s="145" t="str" cm="1">
        <f t="array" ref="H2584">IFERROR(INDEX(INVESTOR_LIST[INVESTOR NAME],MATCH(I2584,INVESTOR_LIST[INVESTOR CODE],0),)," ")</f>
        <v xml:space="preserve"> </v>
      </c>
      <c r="I2584" s="145"/>
      <c r="J2584" s="163" t="s">
        <v>168</v>
      </c>
      <c r="K2584" s="219"/>
      <c r="L2584" s="219">
        <v>958348.69</v>
      </c>
    </row>
    <row r="2585" spans="1:14" x14ac:dyDescent="0.2">
      <c r="A2585" s="168">
        <v>2021</v>
      </c>
      <c r="B2585" s="168">
        <v>3</v>
      </c>
      <c r="C2585" s="168">
        <v>14</v>
      </c>
      <c r="D2585" s="141">
        <f t="shared" si="88"/>
        <v>44269</v>
      </c>
      <c r="E2585" s="275">
        <f t="shared" si="89"/>
        <v>44269</v>
      </c>
      <c r="F2585" s="479" t="s">
        <v>77</v>
      </c>
      <c r="G2585" s="220" t="s">
        <v>74</v>
      </c>
      <c r="H2585" s="220" t="str" cm="1">
        <f t="array" ref="H2585">IFERROR(INDEX(INVESTOR_LIST[INVESTOR NAME],MATCH(I2585,INVESTOR_LIST[INVESTOR CODE],0),)," ")</f>
        <v xml:space="preserve"> </v>
      </c>
      <c r="I2585" s="142" t="s">
        <v>348</v>
      </c>
      <c r="J2585" s="143" t="s">
        <v>61</v>
      </c>
      <c r="K2585" s="226">
        <v>60</v>
      </c>
      <c r="L2585" s="226"/>
    </row>
    <row r="2586" spans="1:14" x14ac:dyDescent="0.2">
      <c r="A2586" s="163">
        <v>2021</v>
      </c>
      <c r="B2586" s="163">
        <v>3</v>
      </c>
      <c r="C2586" s="163">
        <v>14</v>
      </c>
      <c r="D2586" s="141">
        <f t="shared" si="88"/>
        <v>44269</v>
      </c>
      <c r="E2586" s="275">
        <f t="shared" si="89"/>
        <v>44269</v>
      </c>
      <c r="F2586" s="480"/>
      <c r="G2586" s="221" t="s">
        <v>74</v>
      </c>
      <c r="H2586" s="221" t="str" cm="1">
        <f t="array" ref="H2586">IFERROR(INDEX(INVESTOR_LIST[INVESTOR NAME],MATCH(I2586,INVESTOR_LIST[INVESTOR CODE],0),)," ")</f>
        <v xml:space="preserve"> </v>
      </c>
      <c r="I2586" s="145" t="s">
        <v>348</v>
      </c>
      <c r="J2586" s="146" t="s">
        <v>52</v>
      </c>
      <c r="K2586" s="219"/>
      <c r="L2586" s="219">
        <v>60</v>
      </c>
    </row>
    <row r="2587" spans="1:14" x14ac:dyDescent="0.2">
      <c r="A2587" s="168">
        <v>2021</v>
      </c>
      <c r="B2587" s="168">
        <v>3</v>
      </c>
      <c r="C2587" s="168">
        <v>15</v>
      </c>
      <c r="D2587" s="141">
        <f t="shared" si="88"/>
        <v>44270</v>
      </c>
      <c r="E2587" s="275">
        <f t="shared" si="89"/>
        <v>44270</v>
      </c>
      <c r="F2587" s="479" t="s">
        <v>535</v>
      </c>
      <c r="G2587" s="220" t="s">
        <v>74</v>
      </c>
      <c r="H2587" s="142" t="str" cm="1">
        <f t="array" ref="H2587">IFERROR(INDEX(INVESTOR_LIST[INVESTOR NAME],MATCH(I2587,INVESTOR_LIST[INVESTOR CODE],0),)," ")</f>
        <v xml:space="preserve"> </v>
      </c>
      <c r="I2587" s="142"/>
      <c r="J2587" s="168" t="s">
        <v>358</v>
      </c>
      <c r="K2587" s="226">
        <v>72230</v>
      </c>
      <c r="L2587" s="226"/>
    </row>
    <row r="2588" spans="1:14" x14ac:dyDescent="0.2">
      <c r="A2588" s="163">
        <v>2021</v>
      </c>
      <c r="B2588" s="163">
        <v>3</v>
      </c>
      <c r="C2588" s="163">
        <v>15</v>
      </c>
      <c r="D2588" s="141">
        <f t="shared" si="88"/>
        <v>44270</v>
      </c>
      <c r="E2588" s="275">
        <f t="shared" si="89"/>
        <v>44270</v>
      </c>
      <c r="F2588" s="480"/>
      <c r="G2588" s="221" t="s">
        <v>74</v>
      </c>
      <c r="H2588" s="145" t="str" cm="1">
        <f t="array" ref="H2588">IFERROR(INDEX(INVESTOR_LIST[INVESTOR NAME],MATCH(I2588,INVESTOR_LIST[INVESTOR CODE],0),)," ")</f>
        <v xml:space="preserve"> </v>
      </c>
      <c r="I2588" s="145"/>
      <c r="J2588" s="163" t="s">
        <v>52</v>
      </c>
      <c r="K2588" s="219"/>
      <c r="L2588" s="219">
        <v>72230</v>
      </c>
      <c r="N2588" s="156">
        <f>K2592/12.76</f>
        <v>39184.952978056426</v>
      </c>
    </row>
    <row r="2589" spans="1:14" ht="45" x14ac:dyDescent="0.2">
      <c r="A2589" s="168">
        <v>2021</v>
      </c>
      <c r="B2589" s="168">
        <v>3</v>
      </c>
      <c r="C2589" s="168">
        <v>15</v>
      </c>
      <c r="D2589" s="141">
        <f t="shared" si="88"/>
        <v>44270</v>
      </c>
      <c r="E2589" s="275">
        <f t="shared" si="89"/>
        <v>44270</v>
      </c>
      <c r="F2589" s="479" t="s">
        <v>965</v>
      </c>
      <c r="G2589" s="220" t="s">
        <v>74</v>
      </c>
      <c r="H2589" s="220" t="str" cm="1">
        <f t="array" ref="H2589">IFERROR(INDEX(INVESTOR_LIST[INVESTOR NAME],MATCH(I2589,INVESTOR_LIST[INVESTOR CODE],0),)," ")</f>
        <v>MOHAMMAD NAZMUL HOSSAIN</v>
      </c>
      <c r="I2589" s="142" t="s">
        <v>381</v>
      </c>
      <c r="J2589" s="143" t="s">
        <v>13</v>
      </c>
      <c r="K2589" s="226">
        <v>1094920</v>
      </c>
      <c r="L2589" s="226"/>
    </row>
    <row r="2590" spans="1:14" ht="45" x14ac:dyDescent="0.2">
      <c r="A2590" s="133">
        <v>2021</v>
      </c>
      <c r="B2590" s="133">
        <v>3</v>
      </c>
      <c r="C2590" s="133">
        <v>15</v>
      </c>
      <c r="D2590" s="141">
        <f t="shared" si="88"/>
        <v>44270</v>
      </c>
      <c r="E2590" s="275">
        <f t="shared" si="89"/>
        <v>44270</v>
      </c>
      <c r="F2590" s="481"/>
      <c r="G2590" s="174" t="s">
        <v>74</v>
      </c>
      <c r="H2590" s="174" t="str" cm="1">
        <f t="array" ref="H2590">IFERROR(INDEX(INVESTOR_LIST[INVESTOR NAME],MATCH(I2590,INVESTOR_LIST[INVESTOR CODE],0),)," ")</f>
        <v>MOHAMMAD NAZMUL HOSSAIN</v>
      </c>
      <c r="I2590" s="148" t="s">
        <v>381</v>
      </c>
      <c r="J2590" s="149" t="s">
        <v>53</v>
      </c>
      <c r="K2590" s="218">
        <v>317380.57</v>
      </c>
      <c r="L2590" s="218"/>
    </row>
    <row r="2591" spans="1:14" ht="45" x14ac:dyDescent="0.2">
      <c r="A2591" s="163">
        <v>2021</v>
      </c>
      <c r="B2591" s="163">
        <v>3</v>
      </c>
      <c r="C2591" s="163">
        <v>15</v>
      </c>
      <c r="D2591" s="141">
        <f t="shared" si="88"/>
        <v>44270</v>
      </c>
      <c r="E2591" s="275">
        <f t="shared" si="89"/>
        <v>44270</v>
      </c>
      <c r="F2591" s="480"/>
      <c r="G2591" s="221" t="s">
        <v>74</v>
      </c>
      <c r="H2591" s="221" t="str" cm="1">
        <f t="array" ref="H2591">IFERROR(INDEX(INVESTOR_LIST[INVESTOR NAME],MATCH(I2591,INVESTOR_LIST[INVESTOR CODE],0),)," ")</f>
        <v>MOHAMMAD NAZMUL HOSSAIN</v>
      </c>
      <c r="I2591" s="145" t="s">
        <v>381</v>
      </c>
      <c r="J2591" s="146" t="s">
        <v>52</v>
      </c>
      <c r="K2591" s="219"/>
      <c r="L2591" s="219">
        <v>1412300.57</v>
      </c>
    </row>
    <row r="2592" spans="1:14" ht="33.75" x14ac:dyDescent="0.2">
      <c r="A2592" s="168">
        <v>2021</v>
      </c>
      <c r="B2592" s="168">
        <v>3</v>
      </c>
      <c r="C2592" s="168">
        <v>15</v>
      </c>
      <c r="D2592" s="141">
        <f t="shared" si="88"/>
        <v>44270</v>
      </c>
      <c r="E2592" s="275">
        <f t="shared" si="89"/>
        <v>44270</v>
      </c>
      <c r="F2592" s="479" t="s">
        <v>964</v>
      </c>
      <c r="G2592" s="220" t="s">
        <v>74</v>
      </c>
      <c r="H2592" s="142" t="str" cm="1">
        <f t="array" ref="H2592">IFERROR(INDEX(INVESTOR_LIST[INVESTOR NAME],MATCH(I2592,INVESTOR_LIST[INVESTOR CODE],0),)," ")</f>
        <v>K M ROHAN AHMED</v>
      </c>
      <c r="I2592" s="142" t="s">
        <v>557</v>
      </c>
      <c r="J2592" s="168" t="s">
        <v>52</v>
      </c>
      <c r="K2592" s="226">
        <v>500000</v>
      </c>
      <c r="L2592" s="226"/>
    </row>
    <row r="2593" spans="1:14" ht="33.75" x14ac:dyDescent="0.2">
      <c r="A2593" s="133">
        <v>2021</v>
      </c>
      <c r="B2593" s="133">
        <v>3</v>
      </c>
      <c r="C2593" s="133">
        <v>15</v>
      </c>
      <c r="D2593" s="141">
        <f t="shared" si="88"/>
        <v>44270</v>
      </c>
      <c r="E2593" s="275">
        <f t="shared" si="89"/>
        <v>44270</v>
      </c>
      <c r="F2593" s="481"/>
      <c r="G2593" s="174" t="s">
        <v>74</v>
      </c>
      <c r="H2593" s="148" t="str" cm="1">
        <f t="array" ref="H2593">IFERROR(INDEX(INVESTOR_LIST[INVESTOR NAME],MATCH(I2593,INVESTOR_LIST[INVESTOR CODE],0),)," ")</f>
        <v>K M ROHAN AHMED</v>
      </c>
      <c r="I2593" s="148" t="s">
        <v>557</v>
      </c>
      <c r="J2593" s="133" t="s">
        <v>13</v>
      </c>
      <c r="K2593" s="218"/>
      <c r="L2593" s="218">
        <v>391850</v>
      </c>
    </row>
    <row r="2594" spans="1:14" ht="33.75" x14ac:dyDescent="0.2">
      <c r="A2594" s="163">
        <v>2021</v>
      </c>
      <c r="B2594" s="163">
        <v>3</v>
      </c>
      <c r="C2594" s="163">
        <v>15</v>
      </c>
      <c r="D2594" s="141">
        <f t="shared" si="88"/>
        <v>44270</v>
      </c>
      <c r="E2594" s="275">
        <f t="shared" si="89"/>
        <v>44270</v>
      </c>
      <c r="F2594" s="480"/>
      <c r="G2594" s="221" t="s">
        <v>74</v>
      </c>
      <c r="H2594" s="145" t="str" cm="1">
        <f t="array" ref="H2594">IFERROR(INDEX(INVESTOR_LIST[INVESTOR NAME],MATCH(I2594,INVESTOR_LIST[INVESTOR CODE],0),)," ")</f>
        <v>K M ROHAN AHMED</v>
      </c>
      <c r="I2594" s="145" t="s">
        <v>557</v>
      </c>
      <c r="J2594" s="163" t="s">
        <v>53</v>
      </c>
      <c r="K2594" s="219"/>
      <c r="L2594" s="219">
        <v>108150</v>
      </c>
      <c r="N2594" s="160"/>
    </row>
    <row r="2595" spans="1:14" x14ac:dyDescent="0.2">
      <c r="A2595" s="168">
        <v>2021</v>
      </c>
      <c r="B2595" s="168">
        <v>3</v>
      </c>
      <c r="C2595" s="168">
        <v>15</v>
      </c>
      <c r="D2595" s="141">
        <f t="shared" si="88"/>
        <v>44270</v>
      </c>
      <c r="E2595" s="275">
        <f t="shared" si="89"/>
        <v>44270</v>
      </c>
      <c r="F2595" s="479" t="s">
        <v>77</v>
      </c>
      <c r="G2595" s="220" t="s">
        <v>74</v>
      </c>
      <c r="H2595" s="220" t="str" cm="1">
        <f t="array" ref="H2595">IFERROR(INDEX(INVESTOR_LIST[INVESTOR NAME],MATCH(I2595,INVESTOR_LIST[INVESTOR CODE],0),)," ")</f>
        <v xml:space="preserve"> </v>
      </c>
      <c r="I2595" s="142" t="s">
        <v>348</v>
      </c>
      <c r="J2595" s="143" t="s">
        <v>61</v>
      </c>
      <c r="K2595" s="226">
        <v>60</v>
      </c>
      <c r="L2595" s="226"/>
    </row>
    <row r="2596" spans="1:14" x14ac:dyDescent="0.2">
      <c r="A2596" s="163">
        <v>2021</v>
      </c>
      <c r="B2596" s="163">
        <v>3</v>
      </c>
      <c r="C2596" s="163">
        <v>15</v>
      </c>
      <c r="D2596" s="141">
        <f t="shared" si="88"/>
        <v>44270</v>
      </c>
      <c r="E2596" s="275">
        <f t="shared" si="89"/>
        <v>44270</v>
      </c>
      <c r="F2596" s="480"/>
      <c r="G2596" s="221" t="s">
        <v>74</v>
      </c>
      <c r="H2596" s="221" t="str" cm="1">
        <f t="array" ref="H2596">IFERROR(INDEX(INVESTOR_LIST[INVESTOR NAME],MATCH(I2596,INVESTOR_LIST[INVESTOR CODE],0),)," ")</f>
        <v xml:space="preserve"> </v>
      </c>
      <c r="I2596" s="145" t="s">
        <v>348</v>
      </c>
      <c r="J2596" s="146" t="s">
        <v>52</v>
      </c>
      <c r="K2596" s="219"/>
      <c r="L2596" s="219">
        <v>60</v>
      </c>
    </row>
    <row r="2597" spans="1:14" x14ac:dyDescent="0.2">
      <c r="A2597" s="133">
        <v>2021</v>
      </c>
      <c r="B2597" s="133">
        <v>3</v>
      </c>
      <c r="C2597" s="133">
        <v>16</v>
      </c>
      <c r="D2597" s="141">
        <f t="shared" si="88"/>
        <v>44271</v>
      </c>
      <c r="E2597" s="275">
        <f t="shared" si="89"/>
        <v>44271</v>
      </c>
      <c r="F2597" s="481" t="s">
        <v>275</v>
      </c>
      <c r="G2597" s="174" t="s">
        <v>74</v>
      </c>
      <c r="H2597" s="174" t="str" cm="1">
        <f t="array" ref="H2597">IFERROR(INDEX(INVESTOR_LIST[INVESTOR NAME],MATCH(I2597,INVESTOR_LIST[INVESTOR CODE],0),)," ")</f>
        <v xml:space="preserve"> </v>
      </c>
      <c r="I2597" s="148" t="s">
        <v>348</v>
      </c>
      <c r="J2597" s="149" t="s">
        <v>163</v>
      </c>
      <c r="K2597" s="218">
        <v>6150</v>
      </c>
      <c r="L2597" s="218"/>
    </row>
    <row r="2598" spans="1:14" x14ac:dyDescent="0.2">
      <c r="A2598" s="163">
        <v>2021</v>
      </c>
      <c r="B2598" s="163">
        <v>3</v>
      </c>
      <c r="C2598" s="163">
        <v>16</v>
      </c>
      <c r="D2598" s="141">
        <f t="shared" si="88"/>
        <v>44271</v>
      </c>
      <c r="E2598" s="275">
        <f t="shared" si="89"/>
        <v>44271</v>
      </c>
      <c r="F2598" s="480"/>
      <c r="G2598" s="221" t="s">
        <v>74</v>
      </c>
      <c r="H2598" s="221" t="str" cm="1">
        <f t="array" ref="H2598">IFERROR(INDEX(INVESTOR_LIST[INVESTOR NAME],MATCH(I2598,INVESTOR_LIST[INVESTOR CODE],0),)," ")</f>
        <v xml:space="preserve"> </v>
      </c>
      <c r="I2598" s="145" t="s">
        <v>348</v>
      </c>
      <c r="J2598" s="146" t="s">
        <v>52</v>
      </c>
      <c r="K2598" s="219"/>
      <c r="L2598" s="219">
        <v>6150</v>
      </c>
      <c r="N2598" s="160"/>
    </row>
    <row r="2599" spans="1:14" ht="45" x14ac:dyDescent="0.2">
      <c r="A2599" s="168">
        <v>2021</v>
      </c>
      <c r="B2599" s="168">
        <v>3</v>
      </c>
      <c r="C2599" s="168">
        <v>15</v>
      </c>
      <c r="D2599" s="141">
        <f t="shared" si="88"/>
        <v>44270</v>
      </c>
      <c r="E2599" s="275">
        <f t="shared" si="89"/>
        <v>44270</v>
      </c>
      <c r="F2599" s="479" t="s">
        <v>965</v>
      </c>
      <c r="G2599" s="220" t="s">
        <v>74</v>
      </c>
      <c r="H2599" s="220" t="str" cm="1">
        <f t="array" ref="H2599">IFERROR(INDEX(INVESTOR_LIST[INVESTOR NAME],MATCH(I2599,INVESTOR_LIST[INVESTOR CODE],0),)," ")</f>
        <v>MOHAMMAD MONJUR ALAM</v>
      </c>
      <c r="I2599" s="142" t="s">
        <v>431</v>
      </c>
      <c r="J2599" s="143" t="s">
        <v>13</v>
      </c>
      <c r="K2599" s="226">
        <v>3800</v>
      </c>
      <c r="L2599" s="226"/>
    </row>
    <row r="2600" spans="1:14" ht="45" x14ac:dyDescent="0.2">
      <c r="A2600" s="133">
        <v>2021</v>
      </c>
      <c r="B2600" s="133">
        <v>3</v>
      </c>
      <c r="C2600" s="133">
        <v>15</v>
      </c>
      <c r="D2600" s="141">
        <f t="shared" si="88"/>
        <v>44270</v>
      </c>
      <c r="E2600" s="275">
        <f t="shared" si="89"/>
        <v>44270</v>
      </c>
      <c r="F2600" s="481"/>
      <c r="G2600" s="174" t="s">
        <v>74</v>
      </c>
      <c r="H2600" s="174" t="str" cm="1">
        <f t="array" ref="H2600">IFERROR(INDEX(INVESTOR_LIST[INVESTOR NAME],MATCH(I2600,INVESTOR_LIST[INVESTOR CODE],0),)," ")</f>
        <v>MOHAMMAD MONJUR ALAM</v>
      </c>
      <c r="I2600" s="148" t="s">
        <v>431</v>
      </c>
      <c r="J2600" s="149" t="s">
        <v>53</v>
      </c>
      <c r="K2600" s="218">
        <v>1102</v>
      </c>
      <c r="L2600" s="218"/>
    </row>
    <row r="2601" spans="1:14" ht="45" x14ac:dyDescent="0.2">
      <c r="A2601" s="163">
        <v>2021</v>
      </c>
      <c r="B2601" s="163">
        <v>3</v>
      </c>
      <c r="C2601" s="163">
        <v>15</v>
      </c>
      <c r="D2601" s="141">
        <f t="shared" si="88"/>
        <v>44270</v>
      </c>
      <c r="E2601" s="275">
        <f t="shared" si="89"/>
        <v>44270</v>
      </c>
      <c r="F2601" s="480"/>
      <c r="G2601" s="221" t="s">
        <v>74</v>
      </c>
      <c r="H2601" s="221" t="str" cm="1">
        <f t="array" ref="H2601">IFERROR(INDEX(INVESTOR_LIST[INVESTOR NAME],MATCH(I2601,INVESTOR_LIST[INVESTOR CODE],0),)," ")</f>
        <v>MOHAMMAD MONJUR ALAM</v>
      </c>
      <c r="I2601" s="145" t="s">
        <v>431</v>
      </c>
      <c r="J2601" s="146" t="s">
        <v>52</v>
      </c>
      <c r="K2601" s="219"/>
      <c r="L2601" s="219">
        <v>4902</v>
      </c>
      <c r="N2601" s="156">
        <f>K2602/12.73</f>
        <v>3927.729772191673</v>
      </c>
    </row>
    <row r="2602" spans="1:14" ht="33.75" x14ac:dyDescent="0.2">
      <c r="A2602" s="168">
        <v>2021</v>
      </c>
      <c r="B2602" s="168">
        <v>3</v>
      </c>
      <c r="C2602" s="168">
        <v>18</v>
      </c>
      <c r="D2602" s="141">
        <f t="shared" si="88"/>
        <v>44273</v>
      </c>
      <c r="E2602" s="275">
        <f t="shared" si="89"/>
        <v>44273</v>
      </c>
      <c r="F2602" s="479" t="s">
        <v>964</v>
      </c>
      <c r="G2602" s="220" t="s">
        <v>74</v>
      </c>
      <c r="H2602" s="142" t="str" cm="1">
        <f t="array" ref="H2602">IFERROR(INDEX(INVESTOR_LIST[INVESTOR NAME],MATCH(I2602,INVESTOR_LIST[INVESTOR CODE],0),)," ")</f>
        <v>BABITA RANI BARMAN</v>
      </c>
      <c r="I2602" s="142" t="s">
        <v>438</v>
      </c>
      <c r="J2602" s="168" t="s">
        <v>52</v>
      </c>
      <c r="K2602" s="226">
        <v>50000</v>
      </c>
      <c r="L2602" s="226"/>
    </row>
    <row r="2603" spans="1:14" ht="33.75" x14ac:dyDescent="0.2">
      <c r="A2603" s="133">
        <v>2021</v>
      </c>
      <c r="B2603" s="133">
        <v>3</v>
      </c>
      <c r="C2603" s="133">
        <v>18</v>
      </c>
      <c r="D2603" s="141">
        <f t="shared" si="88"/>
        <v>44273</v>
      </c>
      <c r="E2603" s="275">
        <f t="shared" si="89"/>
        <v>44273</v>
      </c>
      <c r="F2603" s="481"/>
      <c r="G2603" s="174" t="s">
        <v>74</v>
      </c>
      <c r="H2603" s="148" t="str" cm="1">
        <f t="array" ref="H2603">IFERROR(INDEX(INVESTOR_LIST[INVESTOR NAME],MATCH(I2603,INVESTOR_LIST[INVESTOR CODE],0),)," ")</f>
        <v>BABITA RANI BARMAN</v>
      </c>
      <c r="I2603" s="148" t="s">
        <v>438</v>
      </c>
      <c r="J2603" s="133" t="s">
        <v>13</v>
      </c>
      <c r="K2603" s="218"/>
      <c r="L2603" s="218">
        <v>39280</v>
      </c>
    </row>
    <row r="2604" spans="1:14" ht="33.75" x14ac:dyDescent="0.2">
      <c r="A2604" s="163">
        <v>2021</v>
      </c>
      <c r="B2604" s="163">
        <v>3</v>
      </c>
      <c r="C2604" s="163">
        <v>18</v>
      </c>
      <c r="D2604" s="141">
        <f t="shared" si="88"/>
        <v>44273</v>
      </c>
      <c r="E2604" s="275">
        <f t="shared" si="89"/>
        <v>44273</v>
      </c>
      <c r="F2604" s="480"/>
      <c r="G2604" s="221" t="s">
        <v>74</v>
      </c>
      <c r="H2604" s="145" t="str" cm="1">
        <f t="array" ref="H2604">IFERROR(INDEX(INVESTOR_LIST[INVESTOR NAME],MATCH(I2604,INVESTOR_LIST[INVESTOR CODE],0),)," ")</f>
        <v>BABITA RANI BARMAN</v>
      </c>
      <c r="I2604" s="145" t="s">
        <v>438</v>
      </c>
      <c r="J2604" s="163" t="s">
        <v>53</v>
      </c>
      <c r="K2604" s="219"/>
      <c r="L2604" s="219">
        <v>10720</v>
      </c>
    </row>
    <row r="2605" spans="1:14" x14ac:dyDescent="0.2">
      <c r="A2605" s="238">
        <v>2021</v>
      </c>
      <c r="B2605" s="238">
        <v>3</v>
      </c>
      <c r="C2605" s="238">
        <v>18</v>
      </c>
      <c r="D2605" s="141">
        <f t="shared" si="88"/>
        <v>44273</v>
      </c>
      <c r="E2605" s="275">
        <f t="shared" si="89"/>
        <v>44273</v>
      </c>
      <c r="F2605" s="477" t="s">
        <v>347</v>
      </c>
      <c r="G2605" s="239" t="s">
        <v>94</v>
      </c>
      <c r="H2605" s="239" t="str" cm="1">
        <f t="array" ref="H2605">IFERROR(INDEX(INVESTOR_LIST[INVESTOR NAME],MATCH(I2605,INVESTOR_LIST[INVESTOR CODE],0),)," ")</f>
        <v xml:space="preserve"> </v>
      </c>
      <c r="I2605" s="262" t="s">
        <v>348</v>
      </c>
      <c r="J2605" s="240" t="s">
        <v>83</v>
      </c>
      <c r="K2605" s="241">
        <v>2409589.0800000131</v>
      </c>
      <c r="L2605" s="241"/>
    </row>
    <row r="2606" spans="1:14" x14ac:dyDescent="0.2">
      <c r="A2606" s="242">
        <v>2021</v>
      </c>
      <c r="B2606" s="242">
        <v>3</v>
      </c>
      <c r="C2606" s="242">
        <v>18</v>
      </c>
      <c r="D2606" s="141">
        <f t="shared" si="88"/>
        <v>44273</v>
      </c>
      <c r="E2606" s="275">
        <f t="shared" si="89"/>
        <v>44273</v>
      </c>
      <c r="F2606" s="478"/>
      <c r="G2606" s="243" t="s">
        <v>94</v>
      </c>
      <c r="H2606" s="243" t="str" cm="1">
        <f t="array" ref="H2606">IFERROR(INDEX(INVESTOR_LIST[INVESTOR NAME],MATCH(I2606,INVESTOR_LIST[INVESTOR CODE],0),)," ")</f>
        <v xml:space="preserve"> </v>
      </c>
      <c r="I2606" s="263" t="s">
        <v>348</v>
      </c>
      <c r="J2606" s="244" t="s">
        <v>108</v>
      </c>
      <c r="K2606" s="245"/>
      <c r="L2606" s="245">
        <v>2409589.0800000131</v>
      </c>
    </row>
    <row r="2607" spans="1:14" ht="22.5" x14ac:dyDescent="0.2">
      <c r="A2607" s="246">
        <v>2021</v>
      </c>
      <c r="B2607" s="246">
        <v>3</v>
      </c>
      <c r="C2607" s="246">
        <v>18</v>
      </c>
      <c r="D2607" s="141">
        <f t="shared" si="88"/>
        <v>44273</v>
      </c>
      <c r="E2607" s="275">
        <f t="shared" si="89"/>
        <v>44273</v>
      </c>
      <c r="F2607" s="482" t="s">
        <v>148</v>
      </c>
      <c r="G2607" s="247" t="s">
        <v>94</v>
      </c>
      <c r="H2607" s="247" t="str" cm="1">
        <f t="array" ref="H2607">IFERROR(INDEX(INVESTOR_LIST[INVESTOR NAME],MATCH(I2607,INVESTOR_LIST[INVESTOR CODE],0),)," ")</f>
        <v xml:space="preserve"> </v>
      </c>
      <c r="I2607" s="248" t="s">
        <v>348</v>
      </c>
      <c r="J2607" s="249" t="s">
        <v>95</v>
      </c>
      <c r="K2607" s="250">
        <v>2747.2527472527472</v>
      </c>
      <c r="L2607" s="241"/>
      <c r="M2607" s="133">
        <v>2747.2527472527472</v>
      </c>
    </row>
    <row r="2608" spans="1:14" x14ac:dyDescent="0.2">
      <c r="A2608" s="242">
        <v>2021</v>
      </c>
      <c r="B2608" s="242">
        <v>3</v>
      </c>
      <c r="C2608" s="242">
        <v>18</v>
      </c>
      <c r="D2608" s="141">
        <f t="shared" si="88"/>
        <v>44273</v>
      </c>
      <c r="E2608" s="275">
        <f t="shared" si="89"/>
        <v>44273</v>
      </c>
      <c r="F2608" s="478"/>
      <c r="G2608" s="243" t="s">
        <v>94</v>
      </c>
      <c r="H2608" s="243" t="str" cm="1">
        <f t="array" ref="H2608">IFERROR(INDEX(INVESTOR_LIST[INVESTOR NAME],MATCH(I2608,INVESTOR_LIST[INVESTOR CODE],0),)," ")</f>
        <v xml:space="preserve"> </v>
      </c>
      <c r="I2608" s="263" t="s">
        <v>348</v>
      </c>
      <c r="J2608" s="244" t="s">
        <v>63</v>
      </c>
      <c r="K2608" s="245"/>
      <c r="L2608" s="245">
        <v>2747.2527472527472</v>
      </c>
      <c r="M2608" s="133">
        <v>79745.252254879437</v>
      </c>
    </row>
    <row r="2609" spans="1:15" x14ac:dyDescent="0.2">
      <c r="A2609" s="246">
        <v>2021</v>
      </c>
      <c r="B2609" s="246">
        <v>3</v>
      </c>
      <c r="C2609" s="246">
        <v>18</v>
      </c>
      <c r="D2609" s="141">
        <f t="shared" si="88"/>
        <v>44273</v>
      </c>
      <c r="E2609" s="275">
        <f t="shared" si="89"/>
        <v>44273</v>
      </c>
      <c r="F2609" s="482" t="s">
        <v>137</v>
      </c>
      <c r="G2609" s="247" t="s">
        <v>94</v>
      </c>
      <c r="H2609" s="247" t="str" cm="1">
        <f t="array" ref="H2609">IFERROR(INDEX(INVESTOR_LIST[INVESTOR NAME],MATCH(I2609,INVESTOR_LIST[INVESTOR CODE],0),)," ")</f>
        <v xml:space="preserve"> </v>
      </c>
      <c r="I2609" s="248" t="s">
        <v>348</v>
      </c>
      <c r="J2609" s="249" t="s">
        <v>97</v>
      </c>
      <c r="K2609" s="250">
        <v>79745.252254879437</v>
      </c>
      <c r="L2609" s="252"/>
      <c r="M2609" s="133">
        <v>3746.877997359356</v>
      </c>
      <c r="N2609" s="156">
        <f>K2613/12.73</f>
        <v>1571.0919088766693</v>
      </c>
    </row>
    <row r="2610" spans="1:15" x14ac:dyDescent="0.2">
      <c r="A2610" s="242">
        <v>2021</v>
      </c>
      <c r="B2610" s="242">
        <v>3</v>
      </c>
      <c r="C2610" s="242">
        <v>18</v>
      </c>
      <c r="D2610" s="141">
        <f t="shared" si="88"/>
        <v>44273</v>
      </c>
      <c r="E2610" s="275">
        <f t="shared" si="89"/>
        <v>44273</v>
      </c>
      <c r="F2610" s="478"/>
      <c r="G2610" s="243" t="s">
        <v>94</v>
      </c>
      <c r="H2610" s="243" t="str" cm="1">
        <f t="array" ref="H2610">IFERROR(INDEX(INVESTOR_LIST[INVESTOR NAME],MATCH(I2610,INVESTOR_LIST[INVESTOR CODE],0),)," ")</f>
        <v xml:space="preserve"> </v>
      </c>
      <c r="I2610" s="263" t="s">
        <v>348</v>
      </c>
      <c r="J2610" s="244" t="s">
        <v>47</v>
      </c>
      <c r="K2610" s="245"/>
      <c r="L2610" s="245">
        <v>79745.252254879437</v>
      </c>
    </row>
    <row r="2611" spans="1:15" x14ac:dyDescent="0.2">
      <c r="A2611" s="246">
        <v>2021</v>
      </c>
      <c r="B2611" s="246">
        <v>3</v>
      </c>
      <c r="C2611" s="246">
        <v>18</v>
      </c>
      <c r="D2611" s="141">
        <f t="shared" si="88"/>
        <v>44273</v>
      </c>
      <c r="E2611" s="275">
        <f t="shared" si="89"/>
        <v>44273</v>
      </c>
      <c r="F2611" s="482" t="s">
        <v>138</v>
      </c>
      <c r="G2611" s="247" t="s">
        <v>94</v>
      </c>
      <c r="H2611" s="247" t="str" cm="1">
        <f t="array" ref="H2611">IFERROR(INDEX(INVESTOR_LIST[INVESTOR NAME],MATCH(I2611,INVESTOR_LIST[INVESTOR CODE],0),)," ")</f>
        <v xml:space="preserve"> </v>
      </c>
      <c r="I2611" s="248" t="s">
        <v>348</v>
      </c>
      <c r="J2611" s="249" t="s">
        <v>100</v>
      </c>
      <c r="K2611" s="250">
        <v>3746.877997359356</v>
      </c>
      <c r="L2611" s="252"/>
      <c r="N2611" s="156">
        <f>L2618/12.9</f>
        <v>17777.159689922479</v>
      </c>
    </row>
    <row r="2612" spans="1:15" x14ac:dyDescent="0.2">
      <c r="A2612" s="242">
        <v>2021</v>
      </c>
      <c r="B2612" s="242">
        <v>3</v>
      </c>
      <c r="C2612" s="242">
        <v>18</v>
      </c>
      <c r="D2612" s="141">
        <f t="shared" si="88"/>
        <v>44273</v>
      </c>
      <c r="E2612" s="275">
        <f t="shared" si="89"/>
        <v>44273</v>
      </c>
      <c r="F2612" s="478"/>
      <c r="G2612" s="243" t="s">
        <v>94</v>
      </c>
      <c r="H2612" s="243" t="str" cm="1">
        <f t="array" ref="H2612">IFERROR(INDEX(INVESTOR_LIST[INVESTOR NAME],MATCH(I2612,INVESTOR_LIST[INVESTOR CODE],0),)," ")</f>
        <v xml:space="preserve"> </v>
      </c>
      <c r="I2612" s="263" t="s">
        <v>348</v>
      </c>
      <c r="J2612" s="244" t="s">
        <v>48</v>
      </c>
      <c r="K2612" s="245"/>
      <c r="L2612" s="245">
        <v>3746.877997359356</v>
      </c>
      <c r="N2612" s="160"/>
      <c r="O2612" s="170"/>
    </row>
    <row r="2613" spans="1:15" ht="22.5" x14ac:dyDescent="0.2">
      <c r="A2613" s="168">
        <v>2021</v>
      </c>
      <c r="B2613" s="168">
        <v>3</v>
      </c>
      <c r="C2613" s="168">
        <v>21</v>
      </c>
      <c r="D2613" s="141">
        <f t="shared" si="88"/>
        <v>44276</v>
      </c>
      <c r="E2613" s="275">
        <f t="shared" si="89"/>
        <v>44276</v>
      </c>
      <c r="F2613" s="479" t="s">
        <v>964</v>
      </c>
      <c r="G2613" s="220" t="s">
        <v>74</v>
      </c>
      <c r="H2613" s="142" t="str" cm="1">
        <f t="array" ref="H2613">IFERROR(INDEX(INVESTOR_LIST[INVESTOR NAME],MATCH(I2613,INVESTOR_LIST[INVESTOR CODE],0),)," ")</f>
        <v>TAHMID HASAN</v>
      </c>
      <c r="I2613" s="142" t="s">
        <v>559</v>
      </c>
      <c r="J2613" s="168" t="s">
        <v>52</v>
      </c>
      <c r="K2613" s="226">
        <v>20000</v>
      </c>
      <c r="L2613" s="226"/>
    </row>
    <row r="2614" spans="1:15" ht="22.5" x14ac:dyDescent="0.2">
      <c r="A2614" s="133">
        <v>2021</v>
      </c>
      <c r="B2614" s="133">
        <v>3</v>
      </c>
      <c r="C2614" s="133">
        <v>21</v>
      </c>
      <c r="D2614" s="141">
        <f t="shared" si="88"/>
        <v>44276</v>
      </c>
      <c r="E2614" s="275">
        <f t="shared" si="89"/>
        <v>44276</v>
      </c>
      <c r="F2614" s="481"/>
      <c r="G2614" s="174" t="s">
        <v>74</v>
      </c>
      <c r="H2614" s="148" t="str" cm="1">
        <f t="array" ref="H2614">IFERROR(INDEX(INVESTOR_LIST[INVESTOR NAME],MATCH(I2614,INVESTOR_LIST[INVESTOR CODE],0),)," ")</f>
        <v>TAHMID HASAN</v>
      </c>
      <c r="I2614" s="148" t="s">
        <v>559</v>
      </c>
      <c r="J2614" s="133" t="s">
        <v>13</v>
      </c>
      <c r="K2614" s="218"/>
      <c r="L2614" s="218">
        <v>15710</v>
      </c>
    </row>
    <row r="2615" spans="1:15" ht="22.5" x14ac:dyDescent="0.2">
      <c r="A2615" s="163">
        <v>2021</v>
      </c>
      <c r="B2615" s="163">
        <v>3</v>
      </c>
      <c r="C2615" s="163">
        <v>21</v>
      </c>
      <c r="D2615" s="141">
        <f t="shared" si="88"/>
        <v>44276</v>
      </c>
      <c r="E2615" s="275">
        <f t="shared" si="89"/>
        <v>44276</v>
      </c>
      <c r="F2615" s="480"/>
      <c r="G2615" s="221" t="s">
        <v>74</v>
      </c>
      <c r="H2615" s="145" t="str" cm="1">
        <f t="array" ref="H2615">IFERROR(INDEX(INVESTOR_LIST[INVESTOR NAME],MATCH(I2615,INVESTOR_LIST[INVESTOR CODE],0),)," ")</f>
        <v>TAHMID HASAN</v>
      </c>
      <c r="I2615" s="145" t="s">
        <v>559</v>
      </c>
      <c r="J2615" s="163" t="s">
        <v>53</v>
      </c>
      <c r="K2615" s="219"/>
      <c r="L2615" s="219">
        <v>4290</v>
      </c>
    </row>
    <row r="2616" spans="1:15" ht="33.75" x14ac:dyDescent="0.2">
      <c r="A2616" s="168">
        <v>2021</v>
      </c>
      <c r="B2616" s="168">
        <v>3</v>
      </c>
      <c r="C2616" s="168">
        <v>21</v>
      </c>
      <c r="D2616" s="141">
        <f t="shared" si="88"/>
        <v>44276</v>
      </c>
      <c r="E2616" s="275">
        <f t="shared" si="89"/>
        <v>44276</v>
      </c>
      <c r="F2616" s="479" t="s">
        <v>965</v>
      </c>
      <c r="G2616" s="220" t="s">
        <v>74</v>
      </c>
      <c r="H2616" s="220" t="str" cm="1">
        <f t="array" ref="H2616">IFERROR(INDEX(INVESTOR_LIST[INVESTOR NAME],MATCH(I2616,INVESTOR_LIST[INVESTOR CODE],0),)," ")</f>
        <v>BISWAS ARIFUR RAHMAN</v>
      </c>
      <c r="I2616" s="142" t="s">
        <v>375</v>
      </c>
      <c r="J2616" s="143" t="s">
        <v>13</v>
      </c>
      <c r="K2616" s="226">
        <v>177790</v>
      </c>
      <c r="L2616" s="226"/>
    </row>
    <row r="2617" spans="1:15" ht="33.75" x14ac:dyDescent="0.2">
      <c r="A2617" s="133">
        <v>2021</v>
      </c>
      <c r="B2617" s="133">
        <v>3</v>
      </c>
      <c r="C2617" s="133">
        <v>21</v>
      </c>
      <c r="D2617" s="141">
        <f t="shared" si="88"/>
        <v>44276</v>
      </c>
      <c r="E2617" s="275">
        <f t="shared" si="89"/>
        <v>44276</v>
      </c>
      <c r="F2617" s="481"/>
      <c r="G2617" s="174" t="s">
        <v>74</v>
      </c>
      <c r="H2617" s="174" t="str" cm="1">
        <f t="array" ref="H2617">IFERROR(INDEX(INVESTOR_LIST[INVESTOR NAME],MATCH(I2617,INVESTOR_LIST[INVESTOR CODE],0),)," ")</f>
        <v>BISWAS ARIFUR RAHMAN</v>
      </c>
      <c r="I2617" s="148" t="s">
        <v>375</v>
      </c>
      <c r="J2617" s="149" t="s">
        <v>53</v>
      </c>
      <c r="K2617" s="218">
        <v>51535.360000000001</v>
      </c>
      <c r="L2617" s="218"/>
    </row>
    <row r="2618" spans="1:15" ht="33.75" x14ac:dyDescent="0.2">
      <c r="A2618" s="163">
        <v>2021</v>
      </c>
      <c r="B2618" s="163">
        <v>3</v>
      </c>
      <c r="C2618" s="163">
        <v>21</v>
      </c>
      <c r="D2618" s="141">
        <f t="shared" si="88"/>
        <v>44276</v>
      </c>
      <c r="E2618" s="275">
        <f t="shared" si="89"/>
        <v>44276</v>
      </c>
      <c r="F2618" s="480"/>
      <c r="G2618" s="221" t="s">
        <v>74</v>
      </c>
      <c r="H2618" s="221" t="str" cm="1">
        <f t="array" ref="H2618">IFERROR(INDEX(INVESTOR_LIST[INVESTOR NAME],MATCH(I2618,INVESTOR_LIST[INVESTOR CODE],0),)," ")</f>
        <v>BISWAS ARIFUR RAHMAN</v>
      </c>
      <c r="I2618" s="145" t="s">
        <v>375</v>
      </c>
      <c r="J2618" s="146" t="s">
        <v>52</v>
      </c>
      <c r="K2618" s="219"/>
      <c r="L2618" s="219">
        <v>229325.36</v>
      </c>
    </row>
    <row r="2619" spans="1:15" ht="22.5" x14ac:dyDescent="0.2">
      <c r="A2619" s="168">
        <v>2021</v>
      </c>
      <c r="B2619" s="168">
        <v>3</v>
      </c>
      <c r="C2619" s="168">
        <v>23</v>
      </c>
      <c r="D2619" s="141">
        <f t="shared" si="88"/>
        <v>44278</v>
      </c>
      <c r="E2619" s="275">
        <f t="shared" si="89"/>
        <v>44278</v>
      </c>
      <c r="F2619" s="479" t="s">
        <v>965</v>
      </c>
      <c r="G2619" s="220" t="s">
        <v>74</v>
      </c>
      <c r="H2619" s="220" t="str" cm="1">
        <f t="array" ref="H2619">IFERROR(INDEX(INVESTOR_LIST[INVESTOR NAME],MATCH(I2619,INVESTOR_LIST[INVESTOR CODE],0),)," ")</f>
        <v>MINHAJ UDDIN</v>
      </c>
      <c r="I2619" s="142" t="s">
        <v>390</v>
      </c>
      <c r="J2619" s="143" t="s">
        <v>13</v>
      </c>
      <c r="K2619" s="226">
        <v>581250</v>
      </c>
      <c r="L2619" s="226"/>
    </row>
    <row r="2620" spans="1:15" ht="22.5" x14ac:dyDescent="0.2">
      <c r="A2620" s="133">
        <v>2021</v>
      </c>
      <c r="B2620" s="133">
        <v>3</v>
      </c>
      <c r="C2620" s="133">
        <v>23</v>
      </c>
      <c r="D2620" s="141">
        <f t="shared" si="88"/>
        <v>44278</v>
      </c>
      <c r="E2620" s="275">
        <f t="shared" si="89"/>
        <v>44278</v>
      </c>
      <c r="F2620" s="481"/>
      <c r="G2620" s="174" t="s">
        <v>74</v>
      </c>
      <c r="H2620" s="174" t="str" cm="1">
        <f t="array" ref="H2620">IFERROR(INDEX(INVESTOR_LIST[INVESTOR NAME],MATCH(I2620,INVESTOR_LIST[INVESTOR CODE],0),)," ")</f>
        <v>MINHAJ UDDIN</v>
      </c>
      <c r="I2620" s="148" t="s">
        <v>390</v>
      </c>
      <c r="J2620" s="149" t="s">
        <v>53</v>
      </c>
      <c r="K2620" s="218">
        <v>158934.22</v>
      </c>
      <c r="L2620" s="218"/>
    </row>
    <row r="2621" spans="1:15" ht="22.5" x14ac:dyDescent="0.2">
      <c r="A2621" s="163">
        <v>2021</v>
      </c>
      <c r="B2621" s="163">
        <v>3</v>
      </c>
      <c r="C2621" s="163">
        <v>23</v>
      </c>
      <c r="D2621" s="141">
        <f t="shared" si="88"/>
        <v>44278</v>
      </c>
      <c r="E2621" s="275">
        <f t="shared" si="89"/>
        <v>44278</v>
      </c>
      <c r="F2621" s="480"/>
      <c r="G2621" s="221" t="s">
        <v>74</v>
      </c>
      <c r="H2621" s="221" t="str" cm="1">
        <f t="array" ref="H2621">IFERROR(INDEX(INVESTOR_LIST[INVESTOR NAME],MATCH(I2621,INVESTOR_LIST[INVESTOR CODE],0),)," ")</f>
        <v>MINHAJ UDDIN</v>
      </c>
      <c r="I2621" s="145" t="s">
        <v>390</v>
      </c>
      <c r="J2621" s="146" t="s">
        <v>52</v>
      </c>
      <c r="K2621" s="219"/>
      <c r="L2621" s="219">
        <v>740184.22</v>
      </c>
    </row>
    <row r="2622" spans="1:15" x14ac:dyDescent="0.2">
      <c r="A2622" s="168">
        <v>2021</v>
      </c>
      <c r="B2622" s="168">
        <v>3</v>
      </c>
      <c r="C2622" s="168">
        <v>24</v>
      </c>
      <c r="D2622" s="141">
        <f t="shared" si="88"/>
        <v>44279</v>
      </c>
      <c r="E2622" s="275">
        <f t="shared" si="89"/>
        <v>44279</v>
      </c>
      <c r="F2622" s="493" t="s">
        <v>560</v>
      </c>
      <c r="G2622" s="220" t="s">
        <v>74</v>
      </c>
      <c r="H2622" s="142" t="str" cm="1">
        <f t="array" ref="H2622">IFERROR(INDEX(INVESTOR_LIST[INVESTOR NAME],MATCH(I2622,INVESTOR_LIST[INVESTOR CODE],0),)," ")</f>
        <v xml:space="preserve"> </v>
      </c>
      <c r="I2622" s="142"/>
      <c r="J2622" s="168" t="s">
        <v>163</v>
      </c>
      <c r="K2622" s="226">
        <v>14400</v>
      </c>
      <c r="L2622" s="226"/>
    </row>
    <row r="2623" spans="1:15" x14ac:dyDescent="0.2">
      <c r="A2623" s="163">
        <v>2021</v>
      </c>
      <c r="B2623" s="163">
        <v>3</v>
      </c>
      <c r="C2623" s="163">
        <v>24</v>
      </c>
      <c r="D2623" s="141">
        <f t="shared" si="88"/>
        <v>44279</v>
      </c>
      <c r="E2623" s="275">
        <f t="shared" si="89"/>
        <v>44279</v>
      </c>
      <c r="F2623" s="480"/>
      <c r="G2623" s="221" t="s">
        <v>74</v>
      </c>
      <c r="H2623" s="145" t="str" cm="1">
        <f t="array" ref="H2623">IFERROR(INDEX(INVESTOR_LIST[INVESTOR NAME],MATCH(I2623,INVESTOR_LIST[INVESTOR CODE],0),)," ")</f>
        <v xml:space="preserve"> </v>
      </c>
      <c r="I2623" s="145"/>
      <c r="J2623" s="163" t="s">
        <v>52</v>
      </c>
      <c r="K2623" s="219"/>
      <c r="L2623" s="219">
        <v>14400</v>
      </c>
    </row>
    <row r="2624" spans="1:15" ht="11.25" customHeight="1" x14ac:dyDescent="0.2">
      <c r="A2624" s="168">
        <v>2021</v>
      </c>
      <c r="B2624" s="168">
        <v>3</v>
      </c>
      <c r="C2624" s="168">
        <v>25</v>
      </c>
      <c r="D2624" s="141">
        <f t="shared" si="88"/>
        <v>44280</v>
      </c>
      <c r="E2624" s="275">
        <f t="shared" si="89"/>
        <v>44280</v>
      </c>
      <c r="F2624" s="479" t="s">
        <v>254</v>
      </c>
      <c r="G2624" s="220" t="s">
        <v>74</v>
      </c>
      <c r="H2624" s="220" t="str" cm="1">
        <f t="array" ref="H2624">IFERROR(INDEX(INVESTOR_LIST[INVESTOR NAME],MATCH(I2624,INVESTOR_LIST[INVESTOR CODE],0),)," ")</f>
        <v xml:space="preserve"> </v>
      </c>
      <c r="I2624" s="142"/>
      <c r="J2624" s="143" t="s">
        <v>52</v>
      </c>
      <c r="K2624" s="226">
        <v>27000</v>
      </c>
      <c r="L2624" s="226"/>
    </row>
    <row r="2625" spans="1:13" x14ac:dyDescent="0.2">
      <c r="A2625" s="133">
        <v>2021</v>
      </c>
      <c r="B2625" s="133">
        <v>3</v>
      </c>
      <c r="C2625" s="133">
        <v>25</v>
      </c>
      <c r="D2625" s="141">
        <f t="shared" si="88"/>
        <v>44280</v>
      </c>
      <c r="E2625" s="275">
        <f t="shared" si="89"/>
        <v>44280</v>
      </c>
      <c r="F2625" s="481"/>
      <c r="G2625" s="174" t="s">
        <v>74</v>
      </c>
      <c r="H2625" s="174" t="str" cm="1">
        <f t="array" ref="H2625">IFERROR(INDEX(INVESTOR_LIST[INVESTOR NAME],MATCH(I2625,INVESTOR_LIST[INVESTOR CODE],0),)," ")</f>
        <v xml:space="preserve"> </v>
      </c>
      <c r="J2625" s="149" t="s">
        <v>13</v>
      </c>
      <c r="K2625" s="218"/>
      <c r="L2625" s="218">
        <v>21210</v>
      </c>
    </row>
    <row r="2626" spans="1:13" x14ac:dyDescent="0.2">
      <c r="A2626" s="163">
        <v>2021</v>
      </c>
      <c r="B2626" s="163">
        <v>3</v>
      </c>
      <c r="C2626" s="163">
        <v>25</v>
      </c>
      <c r="D2626" s="141">
        <f t="shared" si="88"/>
        <v>44280</v>
      </c>
      <c r="E2626" s="275">
        <f t="shared" si="89"/>
        <v>44280</v>
      </c>
      <c r="F2626" s="480"/>
      <c r="G2626" s="221" t="s">
        <v>74</v>
      </c>
      <c r="H2626" s="221" t="str" cm="1">
        <f t="array" ref="H2626">IFERROR(INDEX(INVESTOR_LIST[INVESTOR NAME],MATCH(I2626,INVESTOR_LIST[INVESTOR CODE],0),)," ")</f>
        <v xml:space="preserve"> </v>
      </c>
      <c r="I2626" s="145"/>
      <c r="J2626" s="146" t="s">
        <v>53</v>
      </c>
      <c r="K2626" s="219"/>
      <c r="L2626" s="219">
        <v>5790</v>
      </c>
    </row>
    <row r="2627" spans="1:13" x14ac:dyDescent="0.2">
      <c r="A2627" s="238">
        <v>2021</v>
      </c>
      <c r="B2627" s="238">
        <v>3</v>
      </c>
      <c r="C2627" s="238">
        <v>25</v>
      </c>
      <c r="D2627" s="141">
        <f t="shared" si="88"/>
        <v>44280</v>
      </c>
      <c r="E2627" s="275">
        <f t="shared" si="89"/>
        <v>44280</v>
      </c>
      <c r="F2627" s="477" t="s">
        <v>347</v>
      </c>
      <c r="G2627" s="239" t="s">
        <v>94</v>
      </c>
      <c r="H2627" s="239" t="str" cm="1">
        <f t="array" ref="H2627">IFERROR(INDEX(INVESTOR_LIST[INVESTOR NAME],MATCH(I2627,INVESTOR_LIST[INVESTOR CODE],0),)," ")</f>
        <v xml:space="preserve"> </v>
      </c>
      <c r="I2627" s="262" t="s">
        <v>348</v>
      </c>
      <c r="J2627" s="240" t="s">
        <v>83</v>
      </c>
      <c r="K2627" s="241">
        <v>2032484.9099999964</v>
      </c>
      <c r="L2627" s="241"/>
    </row>
    <row r="2628" spans="1:13" x14ac:dyDescent="0.2">
      <c r="A2628" s="242">
        <v>2021</v>
      </c>
      <c r="B2628" s="242">
        <v>3</v>
      </c>
      <c r="C2628" s="242">
        <v>25</v>
      </c>
      <c r="D2628" s="141">
        <f t="shared" si="88"/>
        <v>44280</v>
      </c>
      <c r="E2628" s="275">
        <f t="shared" si="89"/>
        <v>44280</v>
      </c>
      <c r="F2628" s="478"/>
      <c r="G2628" s="243" t="s">
        <v>94</v>
      </c>
      <c r="H2628" s="243" t="str" cm="1">
        <f t="array" ref="H2628">IFERROR(INDEX(INVESTOR_LIST[INVESTOR NAME],MATCH(I2628,INVESTOR_LIST[INVESTOR CODE],0),)," ")</f>
        <v xml:space="preserve"> </v>
      </c>
      <c r="I2628" s="263" t="s">
        <v>348</v>
      </c>
      <c r="J2628" s="244" t="s">
        <v>108</v>
      </c>
      <c r="K2628" s="245"/>
      <c r="L2628" s="245">
        <v>2032484.9099999964</v>
      </c>
    </row>
    <row r="2629" spans="1:13" ht="22.5" x14ac:dyDescent="0.2">
      <c r="A2629" s="246">
        <v>2021</v>
      </c>
      <c r="B2629" s="246">
        <v>3</v>
      </c>
      <c r="C2629" s="246">
        <v>25</v>
      </c>
      <c r="D2629" s="141">
        <f t="shared" si="88"/>
        <v>44280</v>
      </c>
      <c r="E2629" s="275">
        <f t="shared" si="89"/>
        <v>44280</v>
      </c>
      <c r="F2629" s="482" t="s">
        <v>148</v>
      </c>
      <c r="G2629" s="247" t="s">
        <v>94</v>
      </c>
      <c r="H2629" s="247" t="str" cm="1">
        <f t="array" ref="H2629">IFERROR(INDEX(INVESTOR_LIST[INVESTOR NAME],MATCH(I2629,INVESTOR_LIST[INVESTOR CODE],0),)," ")</f>
        <v xml:space="preserve"> </v>
      </c>
      <c r="I2629" s="248" t="s">
        <v>348</v>
      </c>
      <c r="J2629" s="249" t="s">
        <v>95</v>
      </c>
      <c r="K2629" s="250">
        <v>2747.2527472527472</v>
      </c>
      <c r="L2629" s="241"/>
      <c r="M2629" s="133">
        <v>2747.2527472527472</v>
      </c>
    </row>
    <row r="2630" spans="1:13" x14ac:dyDescent="0.2">
      <c r="A2630" s="242">
        <v>2021</v>
      </c>
      <c r="B2630" s="242">
        <v>3</v>
      </c>
      <c r="C2630" s="242">
        <v>25</v>
      </c>
      <c r="D2630" s="141">
        <f t="shared" si="88"/>
        <v>44280</v>
      </c>
      <c r="E2630" s="275">
        <f t="shared" si="89"/>
        <v>44280</v>
      </c>
      <c r="F2630" s="478"/>
      <c r="G2630" s="243" t="s">
        <v>94</v>
      </c>
      <c r="H2630" s="243" t="str" cm="1">
        <f t="array" ref="H2630">IFERROR(INDEX(INVESTOR_LIST[INVESTOR NAME],MATCH(I2630,INVESTOR_LIST[INVESTOR CODE],0),)," ")</f>
        <v xml:space="preserve"> </v>
      </c>
      <c r="I2630" s="263" t="s">
        <v>348</v>
      </c>
      <c r="J2630" s="244" t="s">
        <v>63</v>
      </c>
      <c r="K2630" s="245"/>
      <c r="L2630" s="245">
        <v>2747.2527472527472</v>
      </c>
      <c r="M2630" s="133">
        <v>78570.008457571923</v>
      </c>
    </row>
    <row r="2631" spans="1:13" x14ac:dyDescent="0.2">
      <c r="A2631" s="246">
        <v>2021</v>
      </c>
      <c r="B2631" s="246">
        <v>3</v>
      </c>
      <c r="C2631" s="246">
        <v>25</v>
      </c>
      <c r="D2631" s="141">
        <f t="shared" si="88"/>
        <v>44280</v>
      </c>
      <c r="E2631" s="275">
        <f t="shared" si="89"/>
        <v>44280</v>
      </c>
      <c r="F2631" s="482" t="s">
        <v>137</v>
      </c>
      <c r="G2631" s="247" t="s">
        <v>94</v>
      </c>
      <c r="H2631" s="247" t="str" cm="1">
        <f t="array" ref="H2631">IFERROR(INDEX(INVESTOR_LIST[INVESTOR NAME],MATCH(I2631,INVESTOR_LIST[INVESTOR CODE],0),)," ")</f>
        <v xml:space="preserve"> </v>
      </c>
      <c r="I2631" s="248" t="s">
        <v>348</v>
      </c>
      <c r="J2631" s="249" t="s">
        <v>97</v>
      </c>
      <c r="K2631" s="250">
        <v>78570.008457571923</v>
      </c>
      <c r="L2631" s="252"/>
      <c r="M2631" s="133">
        <v>3688.1158074939808</v>
      </c>
    </row>
    <row r="2632" spans="1:13" x14ac:dyDescent="0.2">
      <c r="A2632" s="242">
        <v>2021</v>
      </c>
      <c r="B2632" s="242">
        <v>3</v>
      </c>
      <c r="C2632" s="242">
        <v>25</v>
      </c>
      <c r="D2632" s="141">
        <f t="shared" si="88"/>
        <v>44280</v>
      </c>
      <c r="E2632" s="275">
        <f t="shared" si="89"/>
        <v>44280</v>
      </c>
      <c r="F2632" s="478"/>
      <c r="G2632" s="243" t="s">
        <v>94</v>
      </c>
      <c r="H2632" s="243" t="str" cm="1">
        <f t="array" ref="H2632">IFERROR(INDEX(INVESTOR_LIST[INVESTOR NAME],MATCH(I2632,INVESTOR_LIST[INVESTOR CODE],0),)," ")</f>
        <v xml:space="preserve"> </v>
      </c>
      <c r="I2632" s="263" t="s">
        <v>348</v>
      </c>
      <c r="J2632" s="244" t="s">
        <v>47</v>
      </c>
      <c r="K2632" s="245"/>
      <c r="L2632" s="245">
        <v>78570.008457571923</v>
      </c>
    </row>
    <row r="2633" spans="1:13" x14ac:dyDescent="0.2">
      <c r="A2633" s="246">
        <v>2021</v>
      </c>
      <c r="B2633" s="246">
        <v>3</v>
      </c>
      <c r="C2633" s="246">
        <v>25</v>
      </c>
      <c r="D2633" s="141">
        <f t="shared" si="88"/>
        <v>44280</v>
      </c>
      <c r="E2633" s="275">
        <f t="shared" si="89"/>
        <v>44280</v>
      </c>
      <c r="F2633" s="482" t="s">
        <v>138</v>
      </c>
      <c r="G2633" s="247" t="s">
        <v>94</v>
      </c>
      <c r="H2633" s="247" t="str" cm="1">
        <f t="array" ref="H2633">IFERROR(INDEX(INVESTOR_LIST[INVESTOR NAME],MATCH(I2633,INVESTOR_LIST[INVESTOR CODE],0),)," ")</f>
        <v xml:space="preserve"> </v>
      </c>
      <c r="I2633" s="248" t="s">
        <v>348</v>
      </c>
      <c r="J2633" s="249" t="s">
        <v>100</v>
      </c>
      <c r="K2633" s="250">
        <v>3688.1158074939808</v>
      </c>
      <c r="L2633" s="252"/>
    </row>
    <row r="2634" spans="1:13" x14ac:dyDescent="0.2">
      <c r="A2634" s="242">
        <v>2021</v>
      </c>
      <c r="B2634" s="242">
        <v>3</v>
      </c>
      <c r="C2634" s="242">
        <v>25</v>
      </c>
      <c r="D2634" s="141">
        <f t="shared" si="88"/>
        <v>44280</v>
      </c>
      <c r="E2634" s="275">
        <f t="shared" si="89"/>
        <v>44280</v>
      </c>
      <c r="F2634" s="478"/>
      <c r="G2634" s="243" t="s">
        <v>94</v>
      </c>
      <c r="H2634" s="243" t="str" cm="1">
        <f t="array" ref="H2634">IFERROR(INDEX(INVESTOR_LIST[INVESTOR NAME],MATCH(I2634,INVESTOR_LIST[INVESTOR CODE],0),)," ")</f>
        <v xml:space="preserve"> </v>
      </c>
      <c r="I2634" s="263" t="s">
        <v>348</v>
      </c>
      <c r="J2634" s="244" t="s">
        <v>48</v>
      </c>
      <c r="K2634" s="245"/>
      <c r="L2634" s="245">
        <v>3688.1158074939808</v>
      </c>
    </row>
    <row r="2635" spans="1:13" ht="45" x14ac:dyDescent="0.2">
      <c r="A2635" s="168">
        <v>2021</v>
      </c>
      <c r="B2635" s="168">
        <v>3</v>
      </c>
      <c r="C2635" s="168">
        <v>28</v>
      </c>
      <c r="D2635" s="141">
        <f t="shared" si="88"/>
        <v>44283</v>
      </c>
      <c r="E2635" s="275">
        <f t="shared" si="89"/>
        <v>44283</v>
      </c>
      <c r="F2635" s="479" t="s">
        <v>965</v>
      </c>
      <c r="G2635" s="220" t="s">
        <v>74</v>
      </c>
      <c r="H2635" s="220" t="str" cm="1">
        <f t="array" ref="H2635">IFERROR(INDEX(INVESTOR_LIST[INVESTOR NAME],MATCH(I2635,INVESTOR_LIST[INVESTOR CODE],0),)," ")</f>
        <v>MOHAMMAD MONJUR ALAM</v>
      </c>
      <c r="I2635" s="142" t="s">
        <v>431</v>
      </c>
      <c r="J2635" s="143" t="s">
        <v>13</v>
      </c>
      <c r="K2635" s="226">
        <v>249400</v>
      </c>
      <c r="L2635" s="226"/>
    </row>
    <row r="2636" spans="1:13" ht="45" x14ac:dyDescent="0.2">
      <c r="A2636" s="133">
        <v>2021</v>
      </c>
      <c r="B2636" s="133">
        <v>3</v>
      </c>
      <c r="C2636" s="133">
        <v>28</v>
      </c>
      <c r="D2636" s="141">
        <f t="shared" si="88"/>
        <v>44283</v>
      </c>
      <c r="E2636" s="275">
        <f t="shared" si="89"/>
        <v>44283</v>
      </c>
      <c r="F2636" s="481"/>
      <c r="G2636" s="174" t="s">
        <v>74</v>
      </c>
      <c r="H2636" s="174" t="str" cm="1">
        <f t="array" ref="H2636">IFERROR(INDEX(INVESTOR_LIST[INVESTOR NAME],MATCH(I2636,INVESTOR_LIST[INVESTOR CODE],0),)," ")</f>
        <v>MOHAMMAD MONJUR ALAM</v>
      </c>
      <c r="I2636" s="148" t="s">
        <v>431</v>
      </c>
      <c r="J2636" s="149" t="s">
        <v>53</v>
      </c>
      <c r="K2636" s="218">
        <v>68188.38</v>
      </c>
      <c r="L2636" s="218"/>
    </row>
    <row r="2637" spans="1:13" ht="45" x14ac:dyDescent="0.2">
      <c r="A2637" s="163">
        <v>2021</v>
      </c>
      <c r="B2637" s="163">
        <v>3</v>
      </c>
      <c r="C2637" s="163">
        <v>28</v>
      </c>
      <c r="D2637" s="141">
        <f t="shared" si="88"/>
        <v>44283</v>
      </c>
      <c r="E2637" s="275">
        <f t="shared" si="89"/>
        <v>44283</v>
      </c>
      <c r="F2637" s="480"/>
      <c r="G2637" s="221" t="s">
        <v>74</v>
      </c>
      <c r="H2637" s="221" t="str" cm="1">
        <f t="array" ref="H2637">IFERROR(INDEX(INVESTOR_LIST[INVESTOR NAME],MATCH(I2637,INVESTOR_LIST[INVESTOR CODE],0),)," ")</f>
        <v>MOHAMMAD MONJUR ALAM</v>
      </c>
      <c r="I2637" s="145" t="s">
        <v>431</v>
      </c>
      <c r="J2637" s="146" t="s">
        <v>52</v>
      </c>
      <c r="K2637" s="219"/>
      <c r="L2637" s="219">
        <v>317588.38</v>
      </c>
    </row>
    <row r="2638" spans="1:13" ht="33.75" x14ac:dyDescent="0.2">
      <c r="A2638" s="168">
        <v>2021</v>
      </c>
      <c r="B2638" s="168">
        <v>3</v>
      </c>
      <c r="C2638" s="168">
        <v>28</v>
      </c>
      <c r="D2638" s="141">
        <f t="shared" ref="D2638:D2701" si="90">DATE(A2638,B2638,C2638)</f>
        <v>44283</v>
      </c>
      <c r="E2638" s="275">
        <f t="shared" si="89"/>
        <v>44283</v>
      </c>
      <c r="F2638" s="479" t="s">
        <v>965</v>
      </c>
      <c r="G2638" s="220" t="s">
        <v>74</v>
      </c>
      <c r="H2638" s="220" t="str" cm="1">
        <f t="array" ref="H2638">IFERROR(INDEX(INVESTOR_LIST[INVESTOR NAME],MATCH(I2638,INVESTOR_LIST[INVESTOR CODE],0),)," ")</f>
        <v>ISTIAK AHMED PROBAL</v>
      </c>
      <c r="I2638" s="142" t="s">
        <v>497</v>
      </c>
      <c r="J2638" s="143" t="s">
        <v>13</v>
      </c>
      <c r="K2638" s="226">
        <v>243310</v>
      </c>
      <c r="L2638" s="226"/>
    </row>
    <row r="2639" spans="1:13" ht="33.75" x14ac:dyDescent="0.2">
      <c r="A2639" s="133">
        <v>2021</v>
      </c>
      <c r="B2639" s="133">
        <v>3</v>
      </c>
      <c r="C2639" s="133">
        <v>28</v>
      </c>
      <c r="D2639" s="141">
        <f t="shared" si="90"/>
        <v>44283</v>
      </c>
      <c r="E2639" s="275">
        <f t="shared" ref="E2639:E2702" si="91">DATE(A2639,B2639,C2639)</f>
        <v>44283</v>
      </c>
      <c r="F2639" s="481"/>
      <c r="G2639" s="174" t="s">
        <v>74</v>
      </c>
      <c r="H2639" s="174" t="str" cm="1">
        <f t="array" ref="H2639">IFERROR(INDEX(INVESTOR_LIST[INVESTOR NAME],MATCH(I2639,INVESTOR_LIST[INVESTOR CODE],0),)," ")</f>
        <v>ISTIAK AHMED PROBAL</v>
      </c>
      <c r="I2639" s="148" t="s">
        <v>497</v>
      </c>
      <c r="J2639" s="149" t="s">
        <v>53</v>
      </c>
      <c r="K2639" s="218">
        <v>66529.52</v>
      </c>
      <c r="L2639" s="218"/>
    </row>
    <row r="2640" spans="1:13" ht="33.75" x14ac:dyDescent="0.2">
      <c r="A2640" s="163">
        <v>2021</v>
      </c>
      <c r="B2640" s="163">
        <v>3</v>
      </c>
      <c r="C2640" s="163">
        <v>28</v>
      </c>
      <c r="D2640" s="141">
        <f t="shared" si="90"/>
        <v>44283</v>
      </c>
      <c r="E2640" s="275">
        <f t="shared" si="91"/>
        <v>44283</v>
      </c>
      <c r="F2640" s="480"/>
      <c r="G2640" s="221" t="s">
        <v>74</v>
      </c>
      <c r="H2640" s="221" t="str" cm="1">
        <f t="array" ref="H2640">IFERROR(INDEX(INVESTOR_LIST[INVESTOR NAME],MATCH(I2640,INVESTOR_LIST[INVESTOR CODE],0),)," ")</f>
        <v>ISTIAK AHMED PROBAL</v>
      </c>
      <c r="I2640" s="145" t="s">
        <v>497</v>
      </c>
      <c r="J2640" s="146" t="s">
        <v>52</v>
      </c>
      <c r="K2640" s="219"/>
      <c r="L2640" s="219">
        <v>309839.52</v>
      </c>
    </row>
    <row r="2641" spans="1:14" ht="33.75" x14ac:dyDescent="0.2">
      <c r="A2641" s="168">
        <v>2021</v>
      </c>
      <c r="B2641" s="168">
        <v>3</v>
      </c>
      <c r="C2641" s="168">
        <v>28</v>
      </c>
      <c r="D2641" s="141">
        <f t="shared" si="90"/>
        <v>44283</v>
      </c>
      <c r="E2641" s="275">
        <f t="shared" si="91"/>
        <v>44283</v>
      </c>
      <c r="F2641" s="479" t="s">
        <v>965</v>
      </c>
      <c r="G2641" s="220" t="s">
        <v>74</v>
      </c>
      <c r="H2641" s="220" t="str" cm="1">
        <f t="array" ref="H2641">IFERROR(INDEX(INVESTOR_LIST[INVESTOR NAME],MATCH(I2641,INVESTOR_LIST[INVESTOR CODE],0),)," ")</f>
        <v>K.M SAKIB AHMED</v>
      </c>
      <c r="I2641" s="142" t="s">
        <v>552</v>
      </c>
      <c r="J2641" s="143" t="s">
        <v>13</v>
      </c>
      <c r="K2641" s="226">
        <v>875100</v>
      </c>
      <c r="L2641" s="226"/>
    </row>
    <row r="2642" spans="1:14" ht="33.75" x14ac:dyDescent="0.2">
      <c r="A2642" s="133">
        <v>2021</v>
      </c>
      <c r="B2642" s="133">
        <v>3</v>
      </c>
      <c r="C2642" s="133">
        <v>28</v>
      </c>
      <c r="D2642" s="141">
        <f t="shared" si="90"/>
        <v>44283</v>
      </c>
      <c r="E2642" s="275">
        <f t="shared" si="91"/>
        <v>44283</v>
      </c>
      <c r="F2642" s="481"/>
      <c r="G2642" s="174" t="s">
        <v>74</v>
      </c>
      <c r="H2642" s="174" t="str" cm="1">
        <f t="array" ref="H2642">IFERROR(INDEX(INVESTOR_LIST[INVESTOR NAME],MATCH(I2642,INVESTOR_LIST[INVESTOR CODE],0),)," ")</f>
        <v>K.M SAKIB AHMED</v>
      </c>
      <c r="I2642" s="148" t="s">
        <v>552</v>
      </c>
      <c r="J2642" s="149" t="s">
        <v>53</v>
      </c>
      <c r="K2642" s="218">
        <v>239283.53000000003</v>
      </c>
      <c r="L2642" s="218"/>
      <c r="M2642" s="160"/>
      <c r="N2642" s="147">
        <f>L2649/12.5919540411324</f>
        <v>7941.5791761424625</v>
      </c>
    </row>
    <row r="2643" spans="1:14" ht="33.75" x14ac:dyDescent="0.2">
      <c r="A2643" s="163">
        <v>2021</v>
      </c>
      <c r="B2643" s="163">
        <v>3</v>
      </c>
      <c r="C2643" s="163">
        <v>28</v>
      </c>
      <c r="D2643" s="141">
        <f t="shared" si="90"/>
        <v>44283</v>
      </c>
      <c r="E2643" s="275">
        <f t="shared" si="91"/>
        <v>44283</v>
      </c>
      <c r="F2643" s="480"/>
      <c r="G2643" s="221" t="s">
        <v>74</v>
      </c>
      <c r="H2643" s="221" t="str" cm="1">
        <f t="array" ref="H2643">IFERROR(INDEX(INVESTOR_LIST[INVESTOR NAME],MATCH(I2643,INVESTOR_LIST[INVESTOR CODE],0),)," ")</f>
        <v>K.M SAKIB AHMED</v>
      </c>
      <c r="I2643" s="145" t="s">
        <v>552</v>
      </c>
      <c r="J2643" s="146" t="s">
        <v>52</v>
      </c>
      <c r="K2643" s="219"/>
      <c r="L2643" s="219">
        <v>1114383.53</v>
      </c>
    </row>
    <row r="2644" spans="1:14" ht="33.75" x14ac:dyDescent="0.2">
      <c r="A2644" s="168">
        <v>2021</v>
      </c>
      <c r="B2644" s="168">
        <v>3</v>
      </c>
      <c r="C2644" s="168">
        <v>28</v>
      </c>
      <c r="D2644" s="141">
        <f t="shared" si="90"/>
        <v>44283</v>
      </c>
      <c r="E2644" s="275">
        <f t="shared" si="91"/>
        <v>44283</v>
      </c>
      <c r="F2644" s="479" t="s">
        <v>965</v>
      </c>
      <c r="G2644" s="220" t="s">
        <v>74</v>
      </c>
      <c r="H2644" s="220" t="str" cm="1">
        <f t="array" ref="H2644">IFERROR(INDEX(INVESTOR_LIST[INVESTOR NAME],MATCH(I2644,INVESTOR_LIST[INVESTOR CODE],0),)," ")</f>
        <v>K M ROHAN AHMED</v>
      </c>
      <c r="I2644" s="142" t="s">
        <v>557</v>
      </c>
      <c r="J2644" s="143" t="s">
        <v>13</v>
      </c>
      <c r="K2644" s="226">
        <v>391850</v>
      </c>
      <c r="L2644" s="226"/>
    </row>
    <row r="2645" spans="1:14" ht="33.75" x14ac:dyDescent="0.2">
      <c r="A2645" s="133">
        <v>2021</v>
      </c>
      <c r="B2645" s="133">
        <v>3</v>
      </c>
      <c r="C2645" s="133">
        <v>28</v>
      </c>
      <c r="D2645" s="141">
        <f t="shared" si="90"/>
        <v>44283</v>
      </c>
      <c r="E2645" s="275">
        <f t="shared" si="91"/>
        <v>44283</v>
      </c>
      <c r="F2645" s="481"/>
      <c r="G2645" s="174" t="s">
        <v>74</v>
      </c>
      <c r="H2645" s="174" t="str" cm="1">
        <f t="array" ref="H2645">IFERROR(INDEX(INVESTOR_LIST[INVESTOR NAME],MATCH(I2645,INVESTOR_LIST[INVESTOR CODE],0),)," ")</f>
        <v>K M ROHAN AHMED</v>
      </c>
      <c r="I2645" s="148" t="s">
        <v>557</v>
      </c>
      <c r="J2645" s="149" t="s">
        <v>53</v>
      </c>
      <c r="K2645" s="218">
        <v>107145.75</v>
      </c>
      <c r="L2645" s="218"/>
    </row>
    <row r="2646" spans="1:14" ht="33.75" x14ac:dyDescent="0.2">
      <c r="A2646" s="163">
        <v>2021</v>
      </c>
      <c r="B2646" s="163">
        <v>3</v>
      </c>
      <c r="C2646" s="163">
        <v>28</v>
      </c>
      <c r="D2646" s="141">
        <f t="shared" si="90"/>
        <v>44283</v>
      </c>
      <c r="E2646" s="275">
        <f t="shared" si="91"/>
        <v>44283</v>
      </c>
      <c r="F2646" s="480"/>
      <c r="G2646" s="221" t="s">
        <v>74</v>
      </c>
      <c r="H2646" s="221" t="str" cm="1">
        <f t="array" ref="H2646">IFERROR(INDEX(INVESTOR_LIST[INVESTOR NAME],MATCH(I2646,INVESTOR_LIST[INVESTOR CODE],0),)," ")</f>
        <v>K M ROHAN AHMED</v>
      </c>
      <c r="I2646" s="145" t="s">
        <v>557</v>
      </c>
      <c r="J2646" s="146" t="s">
        <v>52</v>
      </c>
      <c r="K2646" s="219"/>
      <c r="L2646" s="219">
        <v>498995.75</v>
      </c>
    </row>
    <row r="2647" spans="1:14" ht="33.75" x14ac:dyDescent="0.2">
      <c r="A2647" s="168">
        <v>2021</v>
      </c>
      <c r="B2647" s="168">
        <v>3</v>
      </c>
      <c r="C2647" s="168">
        <v>29</v>
      </c>
      <c r="D2647" s="141">
        <f t="shared" si="90"/>
        <v>44284</v>
      </c>
      <c r="E2647" s="275">
        <f t="shared" si="91"/>
        <v>44284</v>
      </c>
      <c r="F2647" s="479" t="s">
        <v>965</v>
      </c>
      <c r="G2647" s="220" t="s">
        <v>74</v>
      </c>
      <c r="H2647" s="220" t="str" cm="1">
        <f t="array" ref="H2647">IFERROR(INDEX(INVESTOR_LIST[INVESTOR NAME],MATCH(I2647,INVESTOR_LIST[INVESTOR CODE],0),)," ")</f>
        <v>RABEYA JAHAN SOAD</v>
      </c>
      <c r="I2647" s="142" t="s">
        <v>447</v>
      </c>
      <c r="J2647" s="143" t="s">
        <v>13</v>
      </c>
      <c r="K2647" s="226">
        <v>79420</v>
      </c>
      <c r="L2647" s="226"/>
    </row>
    <row r="2648" spans="1:14" ht="33.75" x14ac:dyDescent="0.2">
      <c r="A2648" s="133">
        <v>2021</v>
      </c>
      <c r="B2648" s="133">
        <v>3</v>
      </c>
      <c r="C2648" s="133">
        <v>29</v>
      </c>
      <c r="D2648" s="141">
        <f t="shared" si="90"/>
        <v>44284</v>
      </c>
      <c r="E2648" s="275">
        <f t="shared" si="91"/>
        <v>44284</v>
      </c>
      <c r="F2648" s="481"/>
      <c r="G2648" s="174" t="s">
        <v>74</v>
      </c>
      <c r="H2648" s="174" t="str" cm="1">
        <f t="array" ref="H2648">IFERROR(INDEX(INVESTOR_LIST[INVESTOR NAME],MATCH(I2648,INVESTOR_LIST[INVESTOR CODE],0),)," ")</f>
        <v>RABEYA JAHAN SOAD</v>
      </c>
      <c r="I2648" s="148" t="s">
        <v>447</v>
      </c>
      <c r="J2648" s="149" t="s">
        <v>53</v>
      </c>
      <c r="K2648" s="218">
        <v>20580</v>
      </c>
      <c r="L2648" s="218"/>
    </row>
    <row r="2649" spans="1:14" ht="33.75" x14ac:dyDescent="0.2">
      <c r="A2649" s="163">
        <v>2021</v>
      </c>
      <c r="B2649" s="163">
        <v>3</v>
      </c>
      <c r="C2649" s="163">
        <v>29</v>
      </c>
      <c r="D2649" s="141">
        <f t="shared" si="90"/>
        <v>44284</v>
      </c>
      <c r="E2649" s="275">
        <f t="shared" si="91"/>
        <v>44284</v>
      </c>
      <c r="F2649" s="480"/>
      <c r="G2649" s="221" t="s">
        <v>74</v>
      </c>
      <c r="H2649" s="221" t="str" cm="1">
        <f t="array" ref="H2649">IFERROR(INDEX(INVESTOR_LIST[INVESTOR NAME],MATCH(I2649,INVESTOR_LIST[INVESTOR CODE],0),)," ")</f>
        <v>RABEYA JAHAN SOAD</v>
      </c>
      <c r="I2649" s="145" t="s">
        <v>447</v>
      </c>
      <c r="J2649" s="146" t="s">
        <v>52</v>
      </c>
      <c r="K2649" s="219"/>
      <c r="L2649" s="219">
        <v>100000</v>
      </c>
    </row>
    <row r="2650" spans="1:14" ht="11.25" customHeight="1" x14ac:dyDescent="0.2">
      <c r="A2650" s="168">
        <v>2021</v>
      </c>
      <c r="B2650" s="168">
        <v>3</v>
      </c>
      <c r="C2650" s="168">
        <v>29</v>
      </c>
      <c r="D2650" s="141">
        <f t="shared" si="90"/>
        <v>44284</v>
      </c>
      <c r="E2650" s="275">
        <f t="shared" si="91"/>
        <v>44284</v>
      </c>
      <c r="F2650" s="479" t="s">
        <v>964</v>
      </c>
      <c r="G2650" s="220" t="s">
        <v>74</v>
      </c>
      <c r="H2650" s="220" t="str" cm="1">
        <f t="array" ref="H2650">IFERROR(INDEX(INVESTOR_LIST[INVESTOR NAME],MATCH(I2650,INVESTOR_LIST[INVESTOR CODE],0),)," ")</f>
        <v>MIDLAND BANK LIMITED</v>
      </c>
      <c r="I2650" s="142" t="s">
        <v>561</v>
      </c>
      <c r="J2650" s="143" t="s">
        <v>52</v>
      </c>
      <c r="K2650" s="226">
        <v>25000000</v>
      </c>
      <c r="L2650" s="226"/>
    </row>
    <row r="2651" spans="1:14" ht="33.75" x14ac:dyDescent="0.2">
      <c r="A2651" s="133">
        <v>2021</v>
      </c>
      <c r="B2651" s="133">
        <v>3</v>
      </c>
      <c r="C2651" s="133">
        <v>29</v>
      </c>
      <c r="D2651" s="141">
        <f t="shared" si="90"/>
        <v>44284</v>
      </c>
      <c r="E2651" s="275">
        <f t="shared" si="91"/>
        <v>44284</v>
      </c>
      <c r="F2651" s="481"/>
      <c r="G2651" s="174" t="s">
        <v>74</v>
      </c>
      <c r="H2651" s="174" t="str" cm="1">
        <f t="array" ref="H2651">IFERROR(INDEX(INVESTOR_LIST[INVESTOR NAME],MATCH(I2651,INVESTOR_LIST[INVESTOR CODE],0),)," ")</f>
        <v>MIDLAND BANK LIMITED</v>
      </c>
      <c r="I2651" s="148" t="s">
        <v>561</v>
      </c>
      <c r="J2651" s="149" t="s">
        <v>13</v>
      </c>
      <c r="K2651" s="218"/>
      <c r="L2651" s="218">
        <v>19857030</v>
      </c>
    </row>
    <row r="2652" spans="1:14" ht="33.75" x14ac:dyDescent="0.2">
      <c r="A2652" s="163">
        <v>2021</v>
      </c>
      <c r="B2652" s="163">
        <v>3</v>
      </c>
      <c r="C2652" s="163">
        <v>29</v>
      </c>
      <c r="D2652" s="141">
        <f t="shared" si="90"/>
        <v>44284</v>
      </c>
      <c r="E2652" s="275">
        <f t="shared" si="91"/>
        <v>44284</v>
      </c>
      <c r="F2652" s="480"/>
      <c r="G2652" s="221" t="s">
        <v>74</v>
      </c>
      <c r="H2652" s="221" t="str" cm="1">
        <f t="array" ref="H2652">IFERROR(INDEX(INVESTOR_LIST[INVESTOR NAME],MATCH(I2652,INVESTOR_LIST[INVESTOR CODE],0),)," ")</f>
        <v>MIDLAND BANK LIMITED</v>
      </c>
      <c r="I2652" s="145" t="s">
        <v>561</v>
      </c>
      <c r="J2652" s="146" t="s">
        <v>53</v>
      </c>
      <c r="K2652" s="219"/>
      <c r="L2652" s="219">
        <v>5142970</v>
      </c>
    </row>
    <row r="2653" spans="1:14" x14ac:dyDescent="0.2">
      <c r="A2653" s="168">
        <v>2021</v>
      </c>
      <c r="B2653" s="168">
        <v>3</v>
      </c>
      <c r="C2653" s="168">
        <v>29</v>
      </c>
      <c r="D2653" s="141">
        <f t="shared" si="90"/>
        <v>44284</v>
      </c>
      <c r="E2653" s="275">
        <f t="shared" si="91"/>
        <v>44284</v>
      </c>
      <c r="F2653" s="479" t="s">
        <v>274</v>
      </c>
      <c r="G2653" s="174" t="s">
        <v>94</v>
      </c>
      <c r="H2653" s="174" t="str" cm="1">
        <f t="array" ref="H2653">IFERROR(INDEX(INVESTOR_LIST[INVESTOR NAME],MATCH(I2653,INVESTOR_LIST[INVESTOR CODE],0),)," ")</f>
        <v xml:space="preserve"> </v>
      </c>
      <c r="J2653" s="149" t="s">
        <v>79</v>
      </c>
      <c r="K2653" s="218">
        <v>3539310.4</v>
      </c>
      <c r="L2653" s="218"/>
    </row>
    <row r="2654" spans="1:14" x14ac:dyDescent="0.2">
      <c r="A2654" s="133">
        <v>2021</v>
      </c>
      <c r="B2654" s="133">
        <v>3</v>
      </c>
      <c r="C2654" s="133">
        <v>29</v>
      </c>
      <c r="D2654" s="141">
        <f t="shared" si="90"/>
        <v>44284</v>
      </c>
      <c r="E2654" s="275">
        <f t="shared" si="91"/>
        <v>44284</v>
      </c>
      <c r="F2654" s="481"/>
      <c r="G2654" s="174" t="s">
        <v>94</v>
      </c>
      <c r="H2654" s="174" t="str" cm="1">
        <f t="array" ref="H2654">IFERROR(INDEX(INVESTOR_LIST[INVESTOR NAME],MATCH(I2654,INVESTOR_LIST[INVESTOR CODE],0),)," ")</f>
        <v xml:space="preserve"> </v>
      </c>
      <c r="J2654" s="149" t="s">
        <v>80</v>
      </c>
      <c r="K2654" s="218">
        <v>6370.76</v>
      </c>
      <c r="L2654" s="218"/>
    </row>
    <row r="2655" spans="1:14" x14ac:dyDescent="0.2">
      <c r="A2655" s="163">
        <v>2021</v>
      </c>
      <c r="B2655" s="163">
        <v>3</v>
      </c>
      <c r="C2655" s="163">
        <v>29</v>
      </c>
      <c r="D2655" s="141">
        <f t="shared" si="90"/>
        <v>44284</v>
      </c>
      <c r="E2655" s="275">
        <f t="shared" si="91"/>
        <v>44284</v>
      </c>
      <c r="F2655" s="480"/>
      <c r="G2655" s="174" t="s">
        <v>94</v>
      </c>
      <c r="H2655" s="174" t="str" cm="1">
        <f t="array" ref="H2655">IFERROR(INDEX(INVESTOR_LIST[INVESTOR NAME],MATCH(I2655,INVESTOR_LIST[INVESTOR CODE],0),)," ")</f>
        <v xml:space="preserve"> </v>
      </c>
      <c r="J2655" s="149" t="s">
        <v>147</v>
      </c>
      <c r="K2655" s="218"/>
      <c r="L2655" s="218">
        <v>3545681.16</v>
      </c>
    </row>
    <row r="2656" spans="1:14" ht="11.25" customHeight="1" x14ac:dyDescent="0.2">
      <c r="A2656" s="168">
        <v>2021</v>
      </c>
      <c r="B2656" s="168">
        <v>3</v>
      </c>
      <c r="C2656" s="168">
        <v>31</v>
      </c>
      <c r="D2656" s="141">
        <f t="shared" si="90"/>
        <v>44286</v>
      </c>
      <c r="E2656" s="275">
        <f t="shared" si="91"/>
        <v>44286</v>
      </c>
      <c r="F2656" s="479" t="s">
        <v>254</v>
      </c>
      <c r="G2656" s="220" t="s">
        <v>74</v>
      </c>
      <c r="H2656" s="220" t="str" cm="1">
        <f t="array" ref="H2656">IFERROR(INDEX(INVESTOR_LIST[INVESTOR NAME],MATCH(I2656,INVESTOR_LIST[INVESTOR CODE],0),)," ")</f>
        <v xml:space="preserve"> </v>
      </c>
      <c r="I2656" s="142"/>
      <c r="J2656" s="143" t="s">
        <v>52</v>
      </c>
      <c r="K2656" s="226">
        <v>301500</v>
      </c>
      <c r="L2656" s="226"/>
    </row>
    <row r="2657" spans="1:12" x14ac:dyDescent="0.2">
      <c r="A2657" s="133">
        <v>2021</v>
      </c>
      <c r="B2657" s="133">
        <v>3</v>
      </c>
      <c r="C2657" s="133">
        <v>31</v>
      </c>
      <c r="D2657" s="141">
        <f t="shared" si="90"/>
        <v>44286</v>
      </c>
      <c r="E2657" s="275">
        <f t="shared" si="91"/>
        <v>44286</v>
      </c>
      <c r="F2657" s="481"/>
      <c r="G2657" s="174" t="s">
        <v>74</v>
      </c>
      <c r="H2657" s="174" t="str" cm="1">
        <f t="array" ref="H2657">IFERROR(INDEX(INVESTOR_LIST[INVESTOR NAME],MATCH(I2657,INVESTOR_LIST[INVESTOR CODE],0),)," ")</f>
        <v xml:space="preserve"> </v>
      </c>
      <c r="J2657" s="149" t="s">
        <v>13</v>
      </c>
      <c r="K2657" s="218"/>
      <c r="L2657" s="218">
        <v>239390</v>
      </c>
    </row>
    <row r="2658" spans="1:12" x14ac:dyDescent="0.2">
      <c r="A2658" s="163">
        <v>2021</v>
      </c>
      <c r="B2658" s="163">
        <v>3</v>
      </c>
      <c r="C2658" s="163">
        <v>31</v>
      </c>
      <c r="D2658" s="141">
        <f t="shared" si="90"/>
        <v>44286</v>
      </c>
      <c r="E2658" s="275">
        <f t="shared" si="91"/>
        <v>44286</v>
      </c>
      <c r="F2658" s="480"/>
      <c r="G2658" s="221" t="s">
        <v>74</v>
      </c>
      <c r="H2658" s="221" t="str" cm="1">
        <f t="array" ref="H2658">IFERROR(INDEX(INVESTOR_LIST[INVESTOR NAME],MATCH(I2658,INVESTOR_LIST[INVESTOR CODE],0),)," ")</f>
        <v xml:space="preserve"> </v>
      </c>
      <c r="I2658" s="145"/>
      <c r="J2658" s="146" t="s">
        <v>53</v>
      </c>
      <c r="K2658" s="219"/>
      <c r="L2658" s="219">
        <v>62110</v>
      </c>
    </row>
    <row r="2659" spans="1:12" x14ac:dyDescent="0.2">
      <c r="A2659" s="168">
        <v>2021</v>
      </c>
      <c r="B2659" s="168">
        <v>3</v>
      </c>
      <c r="C2659" s="168">
        <v>31</v>
      </c>
      <c r="D2659" s="141">
        <f t="shared" si="90"/>
        <v>44286</v>
      </c>
      <c r="E2659" s="275">
        <f t="shared" si="91"/>
        <v>44286</v>
      </c>
      <c r="F2659" s="479" t="s">
        <v>525</v>
      </c>
      <c r="G2659" s="220" t="s">
        <v>74</v>
      </c>
      <c r="H2659" s="220" t="str" cm="1">
        <f t="array" ref="H2659">IFERROR(INDEX(INVESTOR_LIST[INVESTOR NAME],MATCH(I2659,INVESTOR_LIST[INVESTOR CODE],0),)," ")</f>
        <v xml:space="preserve"> </v>
      </c>
      <c r="I2659" s="142"/>
      <c r="J2659" s="143" t="s">
        <v>52</v>
      </c>
      <c r="K2659" s="226">
        <v>35417</v>
      </c>
      <c r="L2659" s="226"/>
    </row>
    <row r="2660" spans="1:12" x14ac:dyDescent="0.2">
      <c r="A2660" s="163">
        <v>2021</v>
      </c>
      <c r="B2660" s="163">
        <v>3</v>
      </c>
      <c r="C2660" s="163">
        <v>31</v>
      </c>
      <c r="D2660" s="141">
        <f t="shared" si="90"/>
        <v>44286</v>
      </c>
      <c r="E2660" s="275">
        <f t="shared" si="91"/>
        <v>44286</v>
      </c>
      <c r="F2660" s="480"/>
      <c r="G2660" s="221" t="s">
        <v>74</v>
      </c>
      <c r="H2660" s="221" t="str" cm="1">
        <f t="array" ref="H2660">IFERROR(INDEX(INVESTOR_LIST[INVESTOR NAME],MATCH(I2660,INVESTOR_LIST[INVESTOR CODE],0),)," ")</f>
        <v xml:space="preserve"> </v>
      </c>
      <c r="I2660" s="145"/>
      <c r="J2660" s="146" t="s">
        <v>60</v>
      </c>
      <c r="K2660" s="219"/>
      <c r="L2660" s="219">
        <v>35417</v>
      </c>
    </row>
    <row r="2661" spans="1:12" x14ac:dyDescent="0.2">
      <c r="A2661" s="168">
        <v>2021</v>
      </c>
      <c r="B2661" s="168">
        <v>3</v>
      </c>
      <c r="C2661" s="168">
        <v>31</v>
      </c>
      <c r="D2661" s="141">
        <f t="shared" si="90"/>
        <v>44286</v>
      </c>
      <c r="E2661" s="275">
        <f t="shared" si="91"/>
        <v>44286</v>
      </c>
      <c r="F2661" s="479" t="s">
        <v>525</v>
      </c>
      <c r="G2661" s="220" t="s">
        <v>74</v>
      </c>
      <c r="H2661" s="220" t="str" cm="1">
        <f t="array" ref="H2661">IFERROR(INDEX(INVESTOR_LIST[INVESTOR NAME],MATCH(I2661,INVESTOR_LIST[INVESTOR CODE],0),)," ")</f>
        <v xml:space="preserve"> </v>
      </c>
      <c r="I2661" s="142"/>
      <c r="J2661" s="143" t="s">
        <v>52</v>
      </c>
      <c r="K2661" s="226">
        <v>35417</v>
      </c>
      <c r="L2661" s="226"/>
    </row>
    <row r="2662" spans="1:12" x14ac:dyDescent="0.2">
      <c r="A2662" s="163">
        <v>2021</v>
      </c>
      <c r="B2662" s="163">
        <v>3</v>
      </c>
      <c r="C2662" s="163">
        <v>31</v>
      </c>
      <c r="D2662" s="141">
        <f t="shared" si="90"/>
        <v>44286</v>
      </c>
      <c r="E2662" s="275">
        <f t="shared" si="91"/>
        <v>44286</v>
      </c>
      <c r="F2662" s="480"/>
      <c r="G2662" s="221" t="s">
        <v>74</v>
      </c>
      <c r="H2662" s="221" t="str" cm="1">
        <f t="array" ref="H2662">IFERROR(INDEX(INVESTOR_LIST[INVESTOR NAME],MATCH(I2662,INVESTOR_LIST[INVESTOR CODE],0),)," ")</f>
        <v xml:space="preserve"> </v>
      </c>
      <c r="I2662" s="145"/>
      <c r="J2662" s="146" t="s">
        <v>60</v>
      </c>
      <c r="K2662" s="219"/>
      <c r="L2662" s="219">
        <v>35417</v>
      </c>
    </row>
    <row r="2663" spans="1:12" x14ac:dyDescent="0.2">
      <c r="A2663" s="168">
        <v>2021</v>
      </c>
      <c r="B2663" s="168">
        <v>3</v>
      </c>
      <c r="C2663" s="168">
        <v>31</v>
      </c>
      <c r="D2663" s="141">
        <f t="shared" si="90"/>
        <v>44286</v>
      </c>
      <c r="E2663" s="275">
        <f t="shared" si="91"/>
        <v>44286</v>
      </c>
      <c r="F2663" s="479" t="s">
        <v>525</v>
      </c>
      <c r="G2663" s="220" t="s">
        <v>74</v>
      </c>
      <c r="H2663" s="220" t="str" cm="1">
        <f t="array" ref="H2663">IFERROR(INDEX(INVESTOR_LIST[INVESTOR NAME],MATCH(I2663,INVESTOR_LIST[INVESTOR CODE],0),)," ")</f>
        <v xml:space="preserve"> </v>
      </c>
      <c r="I2663" s="142"/>
      <c r="J2663" s="143" t="s">
        <v>52</v>
      </c>
      <c r="K2663" s="226">
        <v>21250</v>
      </c>
      <c r="L2663" s="226"/>
    </row>
    <row r="2664" spans="1:12" x14ac:dyDescent="0.2">
      <c r="A2664" s="163">
        <v>2021</v>
      </c>
      <c r="B2664" s="163">
        <v>3</v>
      </c>
      <c r="C2664" s="163">
        <v>31</v>
      </c>
      <c r="D2664" s="141">
        <f t="shared" si="90"/>
        <v>44286</v>
      </c>
      <c r="E2664" s="275">
        <f t="shared" si="91"/>
        <v>44286</v>
      </c>
      <c r="F2664" s="480"/>
      <c r="G2664" s="221" t="s">
        <v>74</v>
      </c>
      <c r="H2664" s="221" t="str" cm="1">
        <f t="array" ref="H2664">IFERROR(INDEX(INVESTOR_LIST[INVESTOR NAME],MATCH(I2664,INVESTOR_LIST[INVESTOR CODE],0),)," ")</f>
        <v xml:space="preserve"> </v>
      </c>
      <c r="I2664" s="145"/>
      <c r="J2664" s="146" t="s">
        <v>60</v>
      </c>
      <c r="K2664" s="219"/>
      <c r="L2664" s="219">
        <v>21250</v>
      </c>
    </row>
    <row r="2665" spans="1:12" x14ac:dyDescent="0.2">
      <c r="A2665" s="168">
        <v>2021</v>
      </c>
      <c r="B2665" s="168">
        <v>3</v>
      </c>
      <c r="C2665" s="168">
        <v>31</v>
      </c>
      <c r="D2665" s="141">
        <f t="shared" si="90"/>
        <v>44286</v>
      </c>
      <c r="E2665" s="275">
        <f t="shared" si="91"/>
        <v>44286</v>
      </c>
      <c r="F2665" s="479" t="s">
        <v>525</v>
      </c>
      <c r="G2665" s="220" t="s">
        <v>74</v>
      </c>
      <c r="H2665" s="220" t="str" cm="1">
        <f t="array" ref="H2665">IFERROR(INDEX(INVESTOR_LIST[INVESTOR NAME],MATCH(I2665,INVESTOR_LIST[INVESTOR CODE],0),)," ")</f>
        <v xml:space="preserve"> </v>
      </c>
      <c r="I2665" s="142"/>
      <c r="J2665" s="143" t="s">
        <v>52</v>
      </c>
      <c r="K2665" s="226">
        <v>14167</v>
      </c>
      <c r="L2665" s="226"/>
    </row>
    <row r="2666" spans="1:12" x14ac:dyDescent="0.2">
      <c r="A2666" s="163">
        <v>2021</v>
      </c>
      <c r="B2666" s="163">
        <v>3</v>
      </c>
      <c r="C2666" s="163">
        <v>31</v>
      </c>
      <c r="D2666" s="141">
        <f t="shared" si="90"/>
        <v>44286</v>
      </c>
      <c r="E2666" s="275">
        <f t="shared" si="91"/>
        <v>44286</v>
      </c>
      <c r="F2666" s="480"/>
      <c r="G2666" s="221" t="s">
        <v>74</v>
      </c>
      <c r="H2666" s="221" t="str" cm="1">
        <f t="array" ref="H2666">IFERROR(INDEX(INVESTOR_LIST[INVESTOR NAME],MATCH(I2666,INVESTOR_LIST[INVESTOR CODE],0),)," ")</f>
        <v xml:space="preserve"> </v>
      </c>
      <c r="I2666" s="145"/>
      <c r="J2666" s="146" t="s">
        <v>60</v>
      </c>
      <c r="K2666" s="219"/>
      <c r="L2666" s="219">
        <v>14167</v>
      </c>
    </row>
    <row r="2667" spans="1:12" x14ac:dyDescent="0.2">
      <c r="A2667" s="168">
        <v>2021</v>
      </c>
      <c r="B2667" s="168">
        <v>3</v>
      </c>
      <c r="C2667" s="168">
        <v>31</v>
      </c>
      <c r="D2667" s="141">
        <f t="shared" si="90"/>
        <v>44286</v>
      </c>
      <c r="E2667" s="275">
        <f t="shared" si="91"/>
        <v>44286</v>
      </c>
      <c r="F2667" s="494" t="s">
        <v>524</v>
      </c>
      <c r="G2667" s="220" t="s">
        <v>74</v>
      </c>
      <c r="H2667" s="142" t="str" cm="1">
        <f t="array" ref="H2667">IFERROR(INDEX(INVESTOR_LIST[INVESTOR NAME],MATCH(I2667,INVESTOR_LIST[INVESTOR CODE],0),)," ")</f>
        <v xml:space="preserve"> </v>
      </c>
      <c r="I2667" s="142"/>
      <c r="J2667" s="168" t="s">
        <v>147</v>
      </c>
      <c r="K2667" s="226">
        <v>3545681.16</v>
      </c>
      <c r="L2667" s="226"/>
    </row>
    <row r="2668" spans="1:12" x14ac:dyDescent="0.2">
      <c r="A2668" s="163">
        <v>2021</v>
      </c>
      <c r="B2668" s="163">
        <v>3</v>
      </c>
      <c r="C2668" s="163">
        <v>31</v>
      </c>
      <c r="D2668" s="141">
        <f t="shared" si="90"/>
        <v>44286</v>
      </c>
      <c r="E2668" s="275">
        <f t="shared" si="91"/>
        <v>44286</v>
      </c>
      <c r="F2668" s="495"/>
      <c r="G2668" s="221" t="s">
        <v>74</v>
      </c>
      <c r="H2668" s="145" t="str" cm="1">
        <f t="array" ref="H2668">IFERROR(INDEX(INVESTOR_LIST[INVESTOR NAME],MATCH(I2668,INVESTOR_LIST[INVESTOR CODE],0),)," ")</f>
        <v xml:space="preserve"> </v>
      </c>
      <c r="I2668" s="145"/>
      <c r="J2668" s="163" t="s">
        <v>52</v>
      </c>
      <c r="K2668" s="219"/>
      <c r="L2668" s="219">
        <v>3545681.16</v>
      </c>
    </row>
    <row r="2669" spans="1:12" x14ac:dyDescent="0.2">
      <c r="A2669" s="168">
        <v>2021</v>
      </c>
      <c r="B2669" s="168">
        <v>4</v>
      </c>
      <c r="C2669" s="168">
        <v>1</v>
      </c>
      <c r="D2669" s="141">
        <f t="shared" si="90"/>
        <v>44287</v>
      </c>
      <c r="E2669" s="275">
        <f t="shared" si="91"/>
        <v>44287</v>
      </c>
      <c r="F2669" s="479" t="s">
        <v>274</v>
      </c>
      <c r="G2669" s="220" t="s">
        <v>94</v>
      </c>
      <c r="H2669" s="220" t="str" cm="1">
        <f t="array" ref="H2669">IFERROR(INDEX(INVESTOR_LIST[INVESTOR NAME],MATCH(I2669,INVESTOR_LIST[INVESTOR CODE],0),)," ")</f>
        <v xml:space="preserve"> </v>
      </c>
      <c r="I2669" s="142"/>
      <c r="J2669" s="143" t="s">
        <v>79</v>
      </c>
      <c r="K2669" s="226">
        <v>7680762.2000000002</v>
      </c>
      <c r="L2669" s="226"/>
    </row>
    <row r="2670" spans="1:12" x14ac:dyDescent="0.2">
      <c r="A2670" s="133">
        <v>2021</v>
      </c>
      <c r="B2670" s="133">
        <v>4</v>
      </c>
      <c r="C2670" s="133">
        <v>1</v>
      </c>
      <c r="D2670" s="141">
        <f t="shared" si="90"/>
        <v>44287</v>
      </c>
      <c r="E2670" s="275">
        <f t="shared" si="91"/>
        <v>44287</v>
      </c>
      <c r="F2670" s="481"/>
      <c r="G2670" s="174" t="s">
        <v>94</v>
      </c>
      <c r="H2670" s="174" t="str" cm="1">
        <f t="array" ref="H2670">IFERROR(INDEX(INVESTOR_LIST[INVESTOR NAME],MATCH(I2670,INVESTOR_LIST[INVESTOR CODE],0),)," ")</f>
        <v xml:space="preserve"> </v>
      </c>
      <c r="J2670" s="149" t="s">
        <v>80</v>
      </c>
      <c r="K2670" s="218">
        <v>13825.37</v>
      </c>
      <c r="L2670" s="218"/>
    </row>
    <row r="2671" spans="1:12" x14ac:dyDescent="0.2">
      <c r="A2671" s="163">
        <v>2021</v>
      </c>
      <c r="B2671" s="163">
        <v>4</v>
      </c>
      <c r="C2671" s="163">
        <v>1</v>
      </c>
      <c r="D2671" s="141">
        <f t="shared" si="90"/>
        <v>44287</v>
      </c>
      <c r="E2671" s="275">
        <f t="shared" si="91"/>
        <v>44287</v>
      </c>
      <c r="F2671" s="480"/>
      <c r="G2671" s="221" t="s">
        <v>94</v>
      </c>
      <c r="H2671" s="221" t="str" cm="1">
        <f t="array" ref="H2671">IFERROR(INDEX(INVESTOR_LIST[INVESTOR NAME],MATCH(I2671,INVESTOR_LIST[INVESTOR CODE],0),)," ")</f>
        <v xml:space="preserve"> </v>
      </c>
      <c r="I2671" s="145"/>
      <c r="J2671" s="146" t="s">
        <v>147</v>
      </c>
      <c r="K2671" s="219"/>
      <c r="L2671" s="219">
        <v>7694587.5700000003</v>
      </c>
    </row>
    <row r="2672" spans="1:12" ht="56.25" x14ac:dyDescent="0.2">
      <c r="A2672" s="168">
        <v>2021</v>
      </c>
      <c r="B2672" s="168">
        <v>4</v>
      </c>
      <c r="C2672" s="168">
        <v>1</v>
      </c>
      <c r="D2672" s="141">
        <f t="shared" si="90"/>
        <v>44287</v>
      </c>
      <c r="E2672" s="275">
        <f t="shared" si="91"/>
        <v>44287</v>
      </c>
      <c r="F2672" s="479" t="s">
        <v>965</v>
      </c>
      <c r="G2672" s="220" t="s">
        <v>74</v>
      </c>
      <c r="H2672" s="220" t="str" cm="1">
        <f t="array" ref="H2672">IFERROR(INDEX(INVESTOR_LIST[INVESTOR NAME],MATCH(I2672,INVESTOR_LIST[INVESTOR CODE],0),)," ")</f>
        <v>EDGE BANGLADESH MUTUAL FUND</v>
      </c>
      <c r="I2672" s="142" t="s">
        <v>490</v>
      </c>
      <c r="J2672" s="143" t="s">
        <v>13</v>
      </c>
      <c r="K2672" s="226">
        <v>1500000</v>
      </c>
      <c r="L2672" s="226"/>
    </row>
    <row r="2673" spans="1:14" ht="56.25" x14ac:dyDescent="0.2">
      <c r="A2673" s="133">
        <v>2021</v>
      </c>
      <c r="B2673" s="133">
        <v>4</v>
      </c>
      <c r="C2673" s="133">
        <v>1</v>
      </c>
      <c r="D2673" s="141">
        <f t="shared" si="90"/>
        <v>44287</v>
      </c>
      <c r="E2673" s="275">
        <f t="shared" si="91"/>
        <v>44287</v>
      </c>
      <c r="F2673" s="481"/>
      <c r="G2673" s="174" t="s">
        <v>74</v>
      </c>
      <c r="H2673" s="174" t="str" cm="1">
        <f t="array" ref="H2673">IFERROR(INDEX(INVESTOR_LIST[INVESTOR NAME],MATCH(I2673,INVESTOR_LIST[INVESTOR CODE],0),)," ")</f>
        <v>EDGE BANGLADESH MUTUAL FUND</v>
      </c>
      <c r="I2673" s="148" t="s">
        <v>490</v>
      </c>
      <c r="J2673" s="149" t="s">
        <v>53</v>
      </c>
      <c r="K2673" s="218">
        <v>388973.24</v>
      </c>
      <c r="L2673" s="218"/>
    </row>
    <row r="2674" spans="1:14" ht="56.25" x14ac:dyDescent="0.2">
      <c r="A2674" s="163">
        <v>2021</v>
      </c>
      <c r="B2674" s="163">
        <v>4</v>
      </c>
      <c r="C2674" s="163">
        <v>1</v>
      </c>
      <c r="D2674" s="141">
        <f t="shared" si="90"/>
        <v>44287</v>
      </c>
      <c r="E2674" s="275">
        <f t="shared" si="91"/>
        <v>44287</v>
      </c>
      <c r="F2674" s="480"/>
      <c r="G2674" s="221" t="s">
        <v>74</v>
      </c>
      <c r="H2674" s="221" t="str" cm="1">
        <f t="array" ref="H2674">IFERROR(INDEX(INVESTOR_LIST[INVESTOR NAME],MATCH(I2674,INVESTOR_LIST[INVESTOR CODE],0),)," ")</f>
        <v>EDGE BANGLADESH MUTUAL FUND</v>
      </c>
      <c r="I2674" s="145" t="s">
        <v>490</v>
      </c>
      <c r="J2674" s="146" t="s">
        <v>52</v>
      </c>
      <c r="K2674" s="219"/>
      <c r="L2674" s="219">
        <v>1888973.24</v>
      </c>
    </row>
    <row r="2675" spans="1:14" ht="45" x14ac:dyDescent="0.2">
      <c r="A2675" s="168">
        <v>2021</v>
      </c>
      <c r="B2675" s="168">
        <v>4</v>
      </c>
      <c r="C2675" s="168">
        <v>1</v>
      </c>
      <c r="D2675" s="141">
        <f t="shared" si="90"/>
        <v>44287</v>
      </c>
      <c r="E2675" s="275">
        <f t="shared" si="91"/>
        <v>44287</v>
      </c>
      <c r="F2675" s="479" t="s">
        <v>965</v>
      </c>
      <c r="G2675" s="220" t="s">
        <v>74</v>
      </c>
      <c r="H2675" s="220" t="str" cm="1">
        <f t="array" ref="H2675">IFERROR(INDEX(INVESTOR_LIST[INVESTOR NAME],MATCH(I2675,INVESTOR_LIST[INVESTOR CODE],0),)," ")</f>
        <v>EDGE AMC GROWTH FUND</v>
      </c>
      <c r="I2675" s="142" t="s">
        <v>491</v>
      </c>
      <c r="J2675" s="143" t="s">
        <v>13</v>
      </c>
      <c r="K2675" s="226">
        <v>1000000</v>
      </c>
      <c r="L2675" s="226"/>
    </row>
    <row r="2676" spans="1:14" ht="45" x14ac:dyDescent="0.2">
      <c r="A2676" s="133">
        <v>2021</v>
      </c>
      <c r="B2676" s="133">
        <v>4</v>
      </c>
      <c r="C2676" s="133">
        <v>1</v>
      </c>
      <c r="D2676" s="141">
        <f t="shared" si="90"/>
        <v>44287</v>
      </c>
      <c r="E2676" s="275">
        <f t="shared" si="91"/>
        <v>44287</v>
      </c>
      <c r="F2676" s="481"/>
      <c r="G2676" s="174" t="s">
        <v>74</v>
      </c>
      <c r="H2676" s="174" t="str" cm="1">
        <f t="array" ref="H2676">IFERROR(INDEX(INVESTOR_LIST[INVESTOR NAME],MATCH(I2676,INVESTOR_LIST[INVESTOR CODE],0),)," ")</f>
        <v>EDGE AMC GROWTH FUND</v>
      </c>
      <c r="I2676" s="148" t="s">
        <v>491</v>
      </c>
      <c r="J2676" s="149" t="s">
        <v>53</v>
      </c>
      <c r="K2676" s="218">
        <v>259315.49</v>
      </c>
      <c r="L2676" s="218"/>
    </row>
    <row r="2677" spans="1:14" ht="45" x14ac:dyDescent="0.2">
      <c r="A2677" s="163">
        <v>2021</v>
      </c>
      <c r="B2677" s="163">
        <v>4</v>
      </c>
      <c r="C2677" s="163">
        <v>1</v>
      </c>
      <c r="D2677" s="141">
        <f t="shared" si="90"/>
        <v>44287</v>
      </c>
      <c r="E2677" s="275">
        <f t="shared" si="91"/>
        <v>44287</v>
      </c>
      <c r="F2677" s="480"/>
      <c r="G2677" s="221" t="s">
        <v>74</v>
      </c>
      <c r="H2677" s="221" t="str" cm="1">
        <f t="array" ref="H2677">IFERROR(INDEX(INVESTOR_LIST[INVESTOR NAME],MATCH(I2677,INVESTOR_LIST[INVESTOR CODE],0),)," ")</f>
        <v>EDGE AMC GROWTH FUND</v>
      </c>
      <c r="I2677" s="145" t="s">
        <v>491</v>
      </c>
      <c r="J2677" s="146" t="s">
        <v>52</v>
      </c>
      <c r="K2677" s="219"/>
      <c r="L2677" s="219">
        <v>1259315.49</v>
      </c>
    </row>
    <row r="2678" spans="1:14" x14ac:dyDescent="0.2">
      <c r="A2678" s="238">
        <v>2021</v>
      </c>
      <c r="B2678" s="238">
        <v>4</v>
      </c>
      <c r="C2678" s="238">
        <v>1</v>
      </c>
      <c r="D2678" s="141">
        <f t="shared" si="90"/>
        <v>44287</v>
      </c>
      <c r="E2678" s="275">
        <f t="shared" si="91"/>
        <v>44287</v>
      </c>
      <c r="F2678" s="477" t="s">
        <v>347</v>
      </c>
      <c r="G2678" s="239" t="s">
        <v>94</v>
      </c>
      <c r="H2678" s="239" t="str" cm="1">
        <f t="array" ref="H2678">IFERROR(INDEX(INVESTOR_LIST[INVESTOR NAME],MATCH(I2678,INVESTOR_LIST[INVESTOR CODE],0),)," ")</f>
        <v xml:space="preserve"> </v>
      </c>
      <c r="I2678" s="262" t="s">
        <v>348</v>
      </c>
      <c r="J2678" s="240" t="s">
        <v>83</v>
      </c>
      <c r="K2678" s="241">
        <v>2356793.5200000107</v>
      </c>
      <c r="L2678" s="241"/>
    </row>
    <row r="2679" spans="1:14" x14ac:dyDescent="0.2">
      <c r="A2679" s="242">
        <v>2021</v>
      </c>
      <c r="B2679" s="242">
        <v>4</v>
      </c>
      <c r="C2679" s="242">
        <v>1</v>
      </c>
      <c r="D2679" s="141">
        <f t="shared" si="90"/>
        <v>44287</v>
      </c>
      <c r="E2679" s="275">
        <f t="shared" si="91"/>
        <v>44287</v>
      </c>
      <c r="F2679" s="478"/>
      <c r="G2679" s="243" t="s">
        <v>94</v>
      </c>
      <c r="H2679" s="243" t="str" cm="1">
        <f t="array" ref="H2679">IFERROR(INDEX(INVESTOR_LIST[INVESTOR NAME],MATCH(I2679,INVESTOR_LIST[INVESTOR CODE],0),)," ")</f>
        <v xml:space="preserve"> </v>
      </c>
      <c r="I2679" s="263" t="s">
        <v>348</v>
      </c>
      <c r="J2679" s="244" t="s">
        <v>108</v>
      </c>
      <c r="K2679" s="245"/>
      <c r="L2679" s="245">
        <v>2356793.5200000107</v>
      </c>
    </row>
    <row r="2680" spans="1:14" ht="22.5" x14ac:dyDescent="0.2">
      <c r="A2680" s="246">
        <v>2021</v>
      </c>
      <c r="B2680" s="246">
        <v>4</v>
      </c>
      <c r="C2680" s="246">
        <v>1</v>
      </c>
      <c r="D2680" s="141">
        <f t="shared" si="90"/>
        <v>44287</v>
      </c>
      <c r="E2680" s="275">
        <f t="shared" si="91"/>
        <v>44287</v>
      </c>
      <c r="F2680" s="482" t="s">
        <v>148</v>
      </c>
      <c r="G2680" s="247" t="s">
        <v>94</v>
      </c>
      <c r="H2680" s="247" t="str" cm="1">
        <f t="array" ref="H2680">IFERROR(INDEX(INVESTOR_LIST[INVESTOR NAME],MATCH(I2680,INVESTOR_LIST[INVESTOR CODE],0),)," ")</f>
        <v xml:space="preserve"> </v>
      </c>
      <c r="I2680" s="248" t="s">
        <v>348</v>
      </c>
      <c r="J2680" s="249" t="s">
        <v>95</v>
      </c>
      <c r="K2680" s="250">
        <v>2747.2527472527472</v>
      </c>
      <c r="L2680" s="241"/>
      <c r="M2680" s="133">
        <v>2747.2527472527472</v>
      </c>
    </row>
    <row r="2681" spans="1:14" x14ac:dyDescent="0.2">
      <c r="A2681" s="242">
        <v>2021</v>
      </c>
      <c r="B2681" s="242">
        <v>4</v>
      </c>
      <c r="C2681" s="242">
        <v>1</v>
      </c>
      <c r="D2681" s="141">
        <f t="shared" si="90"/>
        <v>44287</v>
      </c>
      <c r="E2681" s="275">
        <f t="shared" si="91"/>
        <v>44287</v>
      </c>
      <c r="F2681" s="478"/>
      <c r="G2681" s="243" t="s">
        <v>94</v>
      </c>
      <c r="H2681" s="243" t="str" cm="1">
        <f t="array" ref="H2681">IFERROR(INDEX(INVESTOR_LIST[INVESTOR NAME],MATCH(I2681,INVESTOR_LIST[INVESTOR CODE],0),)," ")</f>
        <v xml:space="preserve"> </v>
      </c>
      <c r="I2681" s="263" t="s">
        <v>348</v>
      </c>
      <c r="J2681" s="244" t="s">
        <v>63</v>
      </c>
      <c r="K2681" s="245"/>
      <c r="L2681" s="245">
        <v>2747.2527472527472</v>
      </c>
      <c r="M2681" s="133">
        <v>85284.108481797957</v>
      </c>
    </row>
    <row r="2682" spans="1:14" x14ac:dyDescent="0.2">
      <c r="A2682" s="246">
        <v>2021</v>
      </c>
      <c r="B2682" s="246">
        <v>4</v>
      </c>
      <c r="C2682" s="246">
        <v>1</v>
      </c>
      <c r="D2682" s="141">
        <f t="shared" si="90"/>
        <v>44287</v>
      </c>
      <c r="E2682" s="275">
        <f t="shared" si="91"/>
        <v>44287</v>
      </c>
      <c r="F2682" s="482" t="s">
        <v>137</v>
      </c>
      <c r="G2682" s="247" t="s">
        <v>94</v>
      </c>
      <c r="H2682" s="247" t="str" cm="1">
        <f t="array" ref="H2682">IFERROR(INDEX(INVESTOR_LIST[INVESTOR NAME],MATCH(I2682,INVESTOR_LIST[INVESTOR CODE],0),)," ")</f>
        <v xml:space="preserve"> </v>
      </c>
      <c r="I2682" s="248" t="s">
        <v>348</v>
      </c>
      <c r="J2682" s="249" t="s">
        <v>97</v>
      </c>
      <c r="K2682" s="250">
        <v>85284.108481797957</v>
      </c>
      <c r="L2682" s="252"/>
      <c r="M2682" s="133">
        <v>4023.8208087052822</v>
      </c>
      <c r="N2682" s="160"/>
    </row>
    <row r="2683" spans="1:14" x14ac:dyDescent="0.2">
      <c r="A2683" s="242">
        <v>2021</v>
      </c>
      <c r="B2683" s="242">
        <v>4</v>
      </c>
      <c r="C2683" s="242">
        <v>1</v>
      </c>
      <c r="D2683" s="141">
        <f t="shared" si="90"/>
        <v>44287</v>
      </c>
      <c r="E2683" s="275">
        <f t="shared" si="91"/>
        <v>44287</v>
      </c>
      <c r="F2683" s="478"/>
      <c r="G2683" s="243" t="s">
        <v>94</v>
      </c>
      <c r="H2683" s="243" t="str" cm="1">
        <f t="array" ref="H2683">IFERROR(INDEX(INVESTOR_LIST[INVESTOR NAME],MATCH(I2683,INVESTOR_LIST[INVESTOR CODE],0),)," ")</f>
        <v xml:space="preserve"> </v>
      </c>
      <c r="I2683" s="263" t="s">
        <v>348</v>
      </c>
      <c r="J2683" s="244" t="s">
        <v>47</v>
      </c>
      <c r="K2683" s="245"/>
      <c r="L2683" s="245">
        <v>85284.108481797957</v>
      </c>
    </row>
    <row r="2684" spans="1:14" x14ac:dyDescent="0.2">
      <c r="A2684" s="246">
        <v>2021</v>
      </c>
      <c r="B2684" s="246">
        <v>4</v>
      </c>
      <c r="C2684" s="246">
        <v>1</v>
      </c>
      <c r="D2684" s="141">
        <f t="shared" si="90"/>
        <v>44287</v>
      </c>
      <c r="E2684" s="275">
        <f t="shared" si="91"/>
        <v>44287</v>
      </c>
      <c r="F2684" s="482" t="s">
        <v>138</v>
      </c>
      <c r="G2684" s="247" t="s">
        <v>94</v>
      </c>
      <c r="H2684" s="247" t="str" cm="1">
        <f t="array" ref="H2684">IFERROR(INDEX(INVESTOR_LIST[INVESTOR NAME],MATCH(I2684,INVESTOR_LIST[INVESTOR CODE],0),)," ")</f>
        <v xml:space="preserve"> </v>
      </c>
      <c r="I2684" s="248" t="s">
        <v>348</v>
      </c>
      <c r="J2684" s="249" t="s">
        <v>100</v>
      </c>
      <c r="K2684" s="250">
        <v>4023.8208087052822</v>
      </c>
      <c r="L2684" s="252"/>
    </row>
    <row r="2685" spans="1:14" x14ac:dyDescent="0.2">
      <c r="A2685" s="242">
        <v>2021</v>
      </c>
      <c r="B2685" s="242">
        <v>4</v>
      </c>
      <c r="C2685" s="242">
        <v>1</v>
      </c>
      <c r="D2685" s="141">
        <f t="shared" si="90"/>
        <v>44287</v>
      </c>
      <c r="E2685" s="275">
        <f t="shared" si="91"/>
        <v>44287</v>
      </c>
      <c r="F2685" s="478"/>
      <c r="G2685" s="243" t="s">
        <v>94</v>
      </c>
      <c r="H2685" s="243" t="str" cm="1">
        <f t="array" ref="H2685">IFERROR(INDEX(INVESTOR_LIST[INVESTOR NAME],MATCH(I2685,INVESTOR_LIST[INVESTOR CODE],0),)," ")</f>
        <v xml:space="preserve"> </v>
      </c>
      <c r="I2685" s="263" t="s">
        <v>348</v>
      </c>
      <c r="J2685" s="244" t="s">
        <v>48</v>
      </c>
      <c r="K2685" s="245"/>
      <c r="L2685" s="245">
        <v>4023.8208087052822</v>
      </c>
    </row>
    <row r="2686" spans="1:14" ht="11.25" customHeight="1" x14ac:dyDescent="0.2">
      <c r="A2686" s="168">
        <v>2021</v>
      </c>
      <c r="B2686" s="168">
        <v>4</v>
      </c>
      <c r="C2686" s="168">
        <v>4</v>
      </c>
      <c r="D2686" s="141">
        <f t="shared" si="90"/>
        <v>44290</v>
      </c>
      <c r="E2686" s="275">
        <f t="shared" si="91"/>
        <v>44290</v>
      </c>
      <c r="F2686" s="479" t="s">
        <v>254</v>
      </c>
      <c r="G2686" s="220" t="s">
        <v>74</v>
      </c>
      <c r="H2686" s="220" t="str" cm="1">
        <f t="array" ref="H2686">IFERROR(INDEX(INVESTOR_LIST[INVESTOR NAME],MATCH(I2686,INVESTOR_LIST[INVESTOR CODE],0),)," ")</f>
        <v xml:space="preserve"> </v>
      </c>
      <c r="I2686" s="142"/>
      <c r="J2686" s="143" t="s">
        <v>52</v>
      </c>
      <c r="K2686" s="226">
        <v>29000</v>
      </c>
      <c r="L2686" s="226"/>
    </row>
    <row r="2687" spans="1:14" x14ac:dyDescent="0.2">
      <c r="A2687" s="133">
        <v>2021</v>
      </c>
      <c r="B2687" s="133">
        <v>4</v>
      </c>
      <c r="C2687" s="133">
        <v>4</v>
      </c>
      <c r="D2687" s="141">
        <f t="shared" si="90"/>
        <v>44290</v>
      </c>
      <c r="E2687" s="275">
        <f t="shared" si="91"/>
        <v>44290</v>
      </c>
      <c r="F2687" s="481"/>
      <c r="G2687" s="174" t="s">
        <v>74</v>
      </c>
      <c r="H2687" s="174" t="str" cm="1">
        <f t="array" ref="H2687">IFERROR(INDEX(INVESTOR_LIST[INVESTOR NAME],MATCH(I2687,INVESTOR_LIST[INVESTOR CODE],0),)," ")</f>
        <v xml:space="preserve"> </v>
      </c>
      <c r="J2687" s="149" t="s">
        <v>13</v>
      </c>
      <c r="K2687" s="218"/>
      <c r="L2687" s="218">
        <v>23300</v>
      </c>
    </row>
    <row r="2688" spans="1:14" x14ac:dyDescent="0.2">
      <c r="A2688" s="163">
        <v>2021</v>
      </c>
      <c r="B2688" s="163">
        <v>4</v>
      </c>
      <c r="C2688" s="163">
        <v>4</v>
      </c>
      <c r="D2688" s="141">
        <f t="shared" si="90"/>
        <v>44290</v>
      </c>
      <c r="E2688" s="275">
        <f t="shared" si="91"/>
        <v>44290</v>
      </c>
      <c r="F2688" s="480"/>
      <c r="G2688" s="221" t="s">
        <v>74</v>
      </c>
      <c r="H2688" s="221" t="str" cm="1">
        <f t="array" ref="H2688">IFERROR(INDEX(INVESTOR_LIST[INVESTOR NAME],MATCH(I2688,INVESTOR_LIST[INVESTOR CODE],0),)," ")</f>
        <v xml:space="preserve"> </v>
      </c>
      <c r="I2688" s="145"/>
      <c r="J2688" s="146" t="s">
        <v>53</v>
      </c>
      <c r="K2688" s="219"/>
      <c r="L2688" s="219">
        <v>5700</v>
      </c>
    </row>
    <row r="2689" spans="1:12" ht="56.25" x14ac:dyDescent="0.2">
      <c r="A2689" s="168">
        <v>2021</v>
      </c>
      <c r="B2689" s="168">
        <v>4</v>
      </c>
      <c r="C2689" s="168">
        <v>4</v>
      </c>
      <c r="D2689" s="141">
        <f t="shared" si="90"/>
        <v>44290</v>
      </c>
      <c r="E2689" s="275">
        <f t="shared" si="91"/>
        <v>44290</v>
      </c>
      <c r="F2689" s="479" t="s">
        <v>965</v>
      </c>
      <c r="G2689" s="220" t="s">
        <v>74</v>
      </c>
      <c r="H2689" s="220" t="str" cm="1">
        <f t="array" ref="H2689">IFERROR(INDEX(INVESTOR_LIST[INVESTOR NAME],MATCH(I2689,INVESTOR_LIST[INVESTOR CODE],0),)," ")</f>
        <v>KHANDAKER MAHAMADUR AZAD</v>
      </c>
      <c r="I2689" s="142" t="s">
        <v>506</v>
      </c>
      <c r="J2689" s="143" t="s">
        <v>13</v>
      </c>
      <c r="K2689" s="226">
        <v>84320</v>
      </c>
      <c r="L2689" s="226"/>
    </row>
    <row r="2690" spans="1:12" ht="11.25" customHeight="1" x14ac:dyDescent="0.2">
      <c r="A2690" s="133">
        <v>2021</v>
      </c>
      <c r="B2690" s="133">
        <v>4</v>
      </c>
      <c r="C2690" s="133">
        <v>4</v>
      </c>
      <c r="D2690" s="141">
        <f t="shared" si="90"/>
        <v>44290</v>
      </c>
      <c r="E2690" s="275">
        <f t="shared" si="91"/>
        <v>44290</v>
      </c>
      <c r="F2690" s="481"/>
      <c r="G2690" s="174" t="s">
        <v>74</v>
      </c>
      <c r="H2690" s="174" t="str" cm="1">
        <f t="array" ref="H2690">IFERROR(INDEX(INVESTOR_LIST[INVESTOR NAME],MATCH(I2690,INVESTOR_LIST[INVESTOR CODE],0),)," ")</f>
        <v>KHANDAKER MAHAMADUR AZAD</v>
      </c>
      <c r="I2690" s="148" t="s">
        <v>506</v>
      </c>
      <c r="J2690" s="149" t="s">
        <v>53</v>
      </c>
      <c r="K2690" s="218">
        <v>20665.46</v>
      </c>
      <c r="L2690" s="218"/>
    </row>
    <row r="2691" spans="1:12" ht="56.25" x14ac:dyDescent="0.2">
      <c r="A2691" s="163">
        <v>2021</v>
      </c>
      <c r="B2691" s="163">
        <v>4</v>
      </c>
      <c r="C2691" s="163">
        <v>4</v>
      </c>
      <c r="D2691" s="141">
        <f t="shared" si="90"/>
        <v>44290</v>
      </c>
      <c r="E2691" s="275">
        <f t="shared" si="91"/>
        <v>44290</v>
      </c>
      <c r="F2691" s="480"/>
      <c r="G2691" s="221" t="s">
        <v>74</v>
      </c>
      <c r="H2691" s="221" t="str" cm="1">
        <f t="array" ref="H2691">IFERROR(INDEX(INVESTOR_LIST[INVESTOR NAME],MATCH(I2691,INVESTOR_LIST[INVESTOR CODE],0),)," ")</f>
        <v>KHANDAKER MAHAMADUR AZAD</v>
      </c>
      <c r="I2691" s="145" t="s">
        <v>506</v>
      </c>
      <c r="J2691" s="146" t="s">
        <v>52</v>
      </c>
      <c r="K2691" s="219"/>
      <c r="L2691" s="219">
        <v>104985.46</v>
      </c>
    </row>
    <row r="2692" spans="1:12" ht="33.75" x14ac:dyDescent="0.2">
      <c r="A2692" s="168">
        <v>2021</v>
      </c>
      <c r="B2692" s="168">
        <v>4</v>
      </c>
      <c r="C2692" s="168">
        <v>4</v>
      </c>
      <c r="D2692" s="141">
        <f t="shared" si="90"/>
        <v>44290</v>
      </c>
      <c r="E2692" s="275">
        <f t="shared" si="91"/>
        <v>44290</v>
      </c>
      <c r="F2692" s="479" t="s">
        <v>965</v>
      </c>
      <c r="G2692" s="220" t="s">
        <v>74</v>
      </c>
      <c r="H2692" s="220" t="str" cm="1">
        <f t="array" ref="H2692">IFERROR(INDEX(INVESTOR_LIST[INVESTOR NAME],MATCH(I2692,INVESTOR_LIST[INVESTOR CODE],0),)," ")</f>
        <v>FAKARUDDIN ALI AHMED</v>
      </c>
      <c r="I2692" s="142" t="s">
        <v>458</v>
      </c>
      <c r="J2692" s="143" t="s">
        <v>13</v>
      </c>
      <c r="K2692" s="226">
        <v>678730</v>
      </c>
      <c r="L2692" s="226"/>
    </row>
    <row r="2693" spans="1:12" ht="33.75" x14ac:dyDescent="0.2">
      <c r="A2693" s="133">
        <v>2021</v>
      </c>
      <c r="B2693" s="133">
        <v>4</v>
      </c>
      <c r="C2693" s="133">
        <v>4</v>
      </c>
      <c r="D2693" s="141">
        <f t="shared" si="90"/>
        <v>44290</v>
      </c>
      <c r="E2693" s="275">
        <f t="shared" si="91"/>
        <v>44290</v>
      </c>
      <c r="F2693" s="481"/>
      <c r="G2693" s="174" t="s">
        <v>74</v>
      </c>
      <c r="H2693" s="174" t="str" cm="1">
        <f t="array" ref="H2693">IFERROR(INDEX(INVESTOR_LIST[INVESTOR NAME],MATCH(I2693,INVESTOR_LIST[INVESTOR CODE],0),)," ")</f>
        <v>FAKARUDDIN ALI AHMED</v>
      </c>
      <c r="I2693" s="148" t="s">
        <v>458</v>
      </c>
      <c r="J2693" s="149" t="s">
        <v>53</v>
      </c>
      <c r="K2693" s="218">
        <v>176036.25</v>
      </c>
      <c r="L2693" s="218"/>
    </row>
    <row r="2694" spans="1:12" ht="33.75" x14ac:dyDescent="0.2">
      <c r="A2694" s="163">
        <v>2021</v>
      </c>
      <c r="B2694" s="163">
        <v>4</v>
      </c>
      <c r="C2694" s="163">
        <v>4</v>
      </c>
      <c r="D2694" s="141">
        <f t="shared" si="90"/>
        <v>44290</v>
      </c>
      <c r="E2694" s="275">
        <f t="shared" si="91"/>
        <v>44290</v>
      </c>
      <c r="F2694" s="480"/>
      <c r="G2694" s="221" t="s">
        <v>74</v>
      </c>
      <c r="H2694" s="221" t="str" cm="1">
        <f t="array" ref="H2694">IFERROR(INDEX(INVESTOR_LIST[INVESTOR NAME],MATCH(I2694,INVESTOR_LIST[INVESTOR CODE],0),)," ")</f>
        <v>FAKARUDDIN ALI AHMED</v>
      </c>
      <c r="I2694" s="145" t="s">
        <v>458</v>
      </c>
      <c r="J2694" s="146" t="s">
        <v>52</v>
      </c>
      <c r="K2694" s="219"/>
      <c r="L2694" s="219">
        <v>854766.25</v>
      </c>
    </row>
    <row r="2695" spans="1:12" x14ac:dyDescent="0.2">
      <c r="A2695" s="133">
        <v>2021</v>
      </c>
      <c r="B2695" s="133">
        <v>4</v>
      </c>
      <c r="C2695" s="133">
        <v>4</v>
      </c>
      <c r="D2695" s="141">
        <f t="shared" si="90"/>
        <v>44290</v>
      </c>
      <c r="E2695" s="275">
        <f t="shared" si="91"/>
        <v>44290</v>
      </c>
      <c r="F2695" s="494" t="s">
        <v>524</v>
      </c>
      <c r="G2695" s="174" t="s">
        <v>74</v>
      </c>
      <c r="H2695" s="174" t="str" cm="1">
        <f t="array" ref="H2695">IFERROR(INDEX(INVESTOR_LIST[INVESTOR NAME],MATCH(I2695,INVESTOR_LIST[INVESTOR CODE],0),)," ")</f>
        <v xml:space="preserve"> </v>
      </c>
      <c r="J2695" s="149" t="s">
        <v>147</v>
      </c>
      <c r="K2695" s="218">
        <v>7694587.5700000003</v>
      </c>
      <c r="L2695" s="218"/>
    </row>
    <row r="2696" spans="1:12" x14ac:dyDescent="0.2">
      <c r="A2696" s="133">
        <v>2021</v>
      </c>
      <c r="B2696" s="133">
        <v>4</v>
      </c>
      <c r="C2696" s="133">
        <v>4</v>
      </c>
      <c r="D2696" s="141">
        <f t="shared" si="90"/>
        <v>44290</v>
      </c>
      <c r="E2696" s="275">
        <f t="shared" si="91"/>
        <v>44290</v>
      </c>
      <c r="F2696" s="496"/>
      <c r="G2696" s="174" t="s">
        <v>74</v>
      </c>
      <c r="H2696" s="174" t="str" cm="1">
        <f t="array" ref="H2696">IFERROR(INDEX(INVESTOR_LIST[INVESTOR NAME],MATCH(I2696,INVESTOR_LIST[INVESTOR CODE],0),)," ")</f>
        <v xml:space="preserve"> </v>
      </c>
      <c r="J2696" s="149" t="s">
        <v>52</v>
      </c>
      <c r="K2696" s="218"/>
      <c r="L2696" s="218">
        <v>7694587.5700000003</v>
      </c>
    </row>
    <row r="2697" spans="1:12" x14ac:dyDescent="0.2">
      <c r="A2697" s="168">
        <v>2021</v>
      </c>
      <c r="B2697" s="168">
        <v>4</v>
      </c>
      <c r="C2697" s="168">
        <v>4</v>
      </c>
      <c r="D2697" s="141">
        <f t="shared" si="90"/>
        <v>44290</v>
      </c>
      <c r="E2697" s="275">
        <f t="shared" si="91"/>
        <v>44290</v>
      </c>
      <c r="F2697" s="497" t="s">
        <v>290</v>
      </c>
      <c r="G2697" s="220" t="s">
        <v>74</v>
      </c>
      <c r="H2697" s="220" t="str" cm="1">
        <f t="array" ref="H2697">IFERROR(INDEX(INVESTOR_LIST[INVESTOR NAME],MATCH(I2697,INVESTOR_LIST[INVESTOR CODE],0),)," ")</f>
        <v xml:space="preserve"> </v>
      </c>
      <c r="I2697" s="142"/>
      <c r="J2697" s="143" t="s">
        <v>163</v>
      </c>
      <c r="K2697" s="226">
        <v>6000</v>
      </c>
      <c r="L2697" s="226"/>
    </row>
    <row r="2698" spans="1:12" x14ac:dyDescent="0.2">
      <c r="A2698" s="163">
        <v>2021</v>
      </c>
      <c r="B2698" s="163">
        <v>4</v>
      </c>
      <c r="C2698" s="163">
        <v>4</v>
      </c>
      <c r="D2698" s="141">
        <f t="shared" si="90"/>
        <v>44290</v>
      </c>
      <c r="E2698" s="275">
        <f t="shared" si="91"/>
        <v>44290</v>
      </c>
      <c r="F2698" s="495"/>
      <c r="G2698" s="221" t="s">
        <v>74</v>
      </c>
      <c r="H2698" s="221" t="str" cm="1">
        <f t="array" ref="H2698">IFERROR(INDEX(INVESTOR_LIST[INVESTOR NAME],MATCH(I2698,INVESTOR_LIST[INVESTOR CODE],0),)," ")</f>
        <v xml:space="preserve"> </v>
      </c>
      <c r="I2698" s="145"/>
      <c r="J2698" s="146" t="s">
        <v>52</v>
      </c>
      <c r="K2698" s="219"/>
      <c r="L2698" s="219">
        <v>6000</v>
      </c>
    </row>
    <row r="2699" spans="1:12" x14ac:dyDescent="0.2">
      <c r="A2699" s="168">
        <v>2021</v>
      </c>
      <c r="B2699" s="168">
        <v>4</v>
      </c>
      <c r="C2699" s="168">
        <v>4</v>
      </c>
      <c r="D2699" s="141">
        <f t="shared" si="90"/>
        <v>44290</v>
      </c>
      <c r="E2699" s="275">
        <f t="shared" si="91"/>
        <v>44290</v>
      </c>
      <c r="F2699" s="479" t="s">
        <v>563</v>
      </c>
      <c r="G2699" s="220" t="s">
        <v>94</v>
      </c>
      <c r="H2699" s="142" t="str" cm="1">
        <f t="array" ref="H2699">IFERROR(INDEX(INVESTOR_LIST[INVESTOR NAME],MATCH(I2699,INVESTOR_LIST[INVESTOR CODE],0),)," ")</f>
        <v xml:space="preserve"> </v>
      </c>
      <c r="I2699" s="142"/>
      <c r="J2699" s="168" t="s">
        <v>79</v>
      </c>
      <c r="K2699" s="226">
        <v>8781821.8000000007</v>
      </c>
      <c r="L2699" s="226"/>
    </row>
    <row r="2700" spans="1:12" x14ac:dyDescent="0.2">
      <c r="A2700" s="133">
        <v>2021</v>
      </c>
      <c r="B2700" s="133">
        <v>4</v>
      </c>
      <c r="C2700" s="133">
        <v>4</v>
      </c>
      <c r="D2700" s="141">
        <f t="shared" si="90"/>
        <v>44290</v>
      </c>
      <c r="E2700" s="275">
        <f t="shared" si="91"/>
        <v>44290</v>
      </c>
      <c r="F2700" s="481"/>
      <c r="G2700" s="174" t="s">
        <v>94</v>
      </c>
      <c r="H2700" s="148" t="str" cm="1">
        <f t="array" ref="H2700">IFERROR(INDEX(INVESTOR_LIST[INVESTOR NAME],MATCH(I2700,INVESTOR_LIST[INVESTOR CODE],0),)," ")</f>
        <v xml:space="preserve"> </v>
      </c>
      <c r="J2700" s="133" t="s">
        <v>80</v>
      </c>
      <c r="K2700" s="218">
        <f>15807.28+898.57</f>
        <v>16705.850000000002</v>
      </c>
      <c r="L2700" s="218"/>
    </row>
    <row r="2701" spans="1:12" x14ac:dyDescent="0.2">
      <c r="A2701" s="133">
        <v>2021</v>
      </c>
      <c r="B2701" s="133">
        <v>4</v>
      </c>
      <c r="C2701" s="133">
        <v>4</v>
      </c>
      <c r="D2701" s="141">
        <f t="shared" si="90"/>
        <v>44290</v>
      </c>
      <c r="E2701" s="275">
        <f t="shared" si="91"/>
        <v>44290</v>
      </c>
      <c r="F2701" s="481"/>
      <c r="G2701" s="174" t="s">
        <v>94</v>
      </c>
      <c r="H2701" s="148" t="str" cm="1">
        <f t="array" ref="H2701">IFERROR(INDEX(INVESTOR_LIST[INVESTOR NAME],MATCH(I2701,INVESTOR_LIST[INVESTOR CODE],0),)," ")</f>
        <v xml:space="preserve"> </v>
      </c>
      <c r="J2701" s="133" t="s">
        <v>147</v>
      </c>
      <c r="K2701" s="218"/>
      <c r="L2701" s="218">
        <v>8299320.6500000004</v>
      </c>
    </row>
    <row r="2702" spans="1:12" x14ac:dyDescent="0.2">
      <c r="A2702" s="133">
        <v>2021</v>
      </c>
      <c r="B2702" s="133">
        <v>4</v>
      </c>
      <c r="C2702" s="133">
        <v>4</v>
      </c>
      <c r="D2702" s="141">
        <f t="shared" ref="D2702:D2765" si="92">DATE(A2702,B2702,C2702)</f>
        <v>44290</v>
      </c>
      <c r="E2702" s="275">
        <f t="shared" si="91"/>
        <v>44290</v>
      </c>
      <c r="F2702" s="481"/>
      <c r="G2702" s="174" t="s">
        <v>94</v>
      </c>
      <c r="H2702" s="148" t="str" cm="1">
        <f t="array" ref="H2702">IFERROR(INDEX(INVESTOR_LIST[INVESTOR NAME],MATCH(I2702,INVESTOR_LIST[INVESTOR CODE],0),)," ")</f>
        <v xml:space="preserve"> </v>
      </c>
      <c r="J2702" s="133" t="s">
        <v>79</v>
      </c>
      <c r="K2702" s="218"/>
      <c r="L2702" s="218">
        <v>188380</v>
      </c>
    </row>
    <row r="2703" spans="1:12" x14ac:dyDescent="0.2">
      <c r="A2703" s="163">
        <v>2021</v>
      </c>
      <c r="B2703" s="163">
        <v>4</v>
      </c>
      <c r="C2703" s="163">
        <v>4</v>
      </c>
      <c r="D2703" s="141">
        <f t="shared" si="92"/>
        <v>44290</v>
      </c>
      <c r="E2703" s="275">
        <f t="shared" ref="E2703:E2766" si="93">DATE(A2703,B2703,C2703)</f>
        <v>44290</v>
      </c>
      <c r="F2703" s="480"/>
      <c r="G2703" s="221" t="s">
        <v>94</v>
      </c>
      <c r="H2703" s="145" t="str" cm="1">
        <f t="array" ref="H2703">IFERROR(INDEX(INVESTOR_LIST[INVESTOR NAME],MATCH(I2703,INVESTOR_LIST[INVESTOR CODE],0),)," ")</f>
        <v xml:space="preserve"> </v>
      </c>
      <c r="I2703" s="145"/>
      <c r="J2703" s="163" t="s">
        <v>191</v>
      </c>
      <c r="K2703" s="219"/>
      <c r="L2703" s="219">
        <v>310827</v>
      </c>
    </row>
    <row r="2704" spans="1:12" ht="22.5" x14ac:dyDescent="0.2">
      <c r="A2704" s="168">
        <v>2021</v>
      </c>
      <c r="B2704" s="168">
        <v>4</v>
      </c>
      <c r="C2704" s="168">
        <v>5</v>
      </c>
      <c r="D2704" s="141">
        <f t="shared" si="92"/>
        <v>44291</v>
      </c>
      <c r="E2704" s="275">
        <f t="shared" si="93"/>
        <v>44291</v>
      </c>
      <c r="F2704" s="479" t="s">
        <v>965</v>
      </c>
      <c r="G2704" s="220" t="s">
        <v>74</v>
      </c>
      <c r="H2704" s="220" t="str" cm="1">
        <f t="array" ref="H2704">IFERROR(INDEX(INVESTOR_LIST[INVESTOR NAME],MATCH(I2704,INVESTOR_LIST[INVESTOR CODE],0),)," ")</f>
        <v>ADNAN RASHID</v>
      </c>
      <c r="I2704" s="142" t="s">
        <v>466</v>
      </c>
      <c r="J2704" s="143" t="s">
        <v>13</v>
      </c>
      <c r="K2704" s="226">
        <v>246090</v>
      </c>
      <c r="L2704" s="226"/>
    </row>
    <row r="2705" spans="1:14" ht="22.5" x14ac:dyDescent="0.2">
      <c r="A2705" s="133">
        <v>2021</v>
      </c>
      <c r="B2705" s="133">
        <v>4</v>
      </c>
      <c r="C2705" s="133">
        <v>5</v>
      </c>
      <c r="D2705" s="141">
        <f t="shared" si="92"/>
        <v>44291</v>
      </c>
      <c r="E2705" s="275">
        <f t="shared" si="93"/>
        <v>44291</v>
      </c>
      <c r="F2705" s="481"/>
      <c r="G2705" s="174" t="s">
        <v>74</v>
      </c>
      <c r="H2705" s="174" t="str" cm="1">
        <f t="array" ref="H2705">IFERROR(INDEX(INVESTOR_LIST[INVESTOR NAME],MATCH(I2705,INVESTOR_LIST[INVESTOR CODE],0),)," ")</f>
        <v>ADNAN RASHID</v>
      </c>
      <c r="I2705" s="148" t="s">
        <v>466</v>
      </c>
      <c r="J2705" s="149" t="s">
        <v>53</v>
      </c>
      <c r="K2705" s="218">
        <v>60312.639999999999</v>
      </c>
      <c r="L2705" s="218"/>
    </row>
    <row r="2706" spans="1:14" ht="22.5" x14ac:dyDescent="0.2">
      <c r="A2706" s="163">
        <v>2021</v>
      </c>
      <c r="B2706" s="163">
        <v>4</v>
      </c>
      <c r="C2706" s="163">
        <v>5</v>
      </c>
      <c r="D2706" s="141">
        <f t="shared" si="92"/>
        <v>44291</v>
      </c>
      <c r="E2706" s="275">
        <f t="shared" si="93"/>
        <v>44291</v>
      </c>
      <c r="F2706" s="480"/>
      <c r="G2706" s="221" t="s">
        <v>74</v>
      </c>
      <c r="H2706" s="221" t="str" cm="1">
        <f t="array" ref="H2706">IFERROR(INDEX(INVESTOR_LIST[INVESTOR NAME],MATCH(I2706,INVESTOR_LIST[INVESTOR CODE],0),)," ")</f>
        <v>ADNAN RASHID</v>
      </c>
      <c r="I2706" s="145" t="s">
        <v>466</v>
      </c>
      <c r="J2706" s="146" t="s">
        <v>52</v>
      </c>
      <c r="K2706" s="219"/>
      <c r="L2706" s="219">
        <v>306402.64</v>
      </c>
    </row>
    <row r="2707" spans="1:14" ht="33.75" x14ac:dyDescent="0.2">
      <c r="A2707" s="168">
        <v>2021</v>
      </c>
      <c r="B2707" s="168">
        <v>4</v>
      </c>
      <c r="C2707" s="168">
        <v>5</v>
      </c>
      <c r="D2707" s="141">
        <f t="shared" si="92"/>
        <v>44291</v>
      </c>
      <c r="E2707" s="275">
        <f t="shared" si="93"/>
        <v>44291</v>
      </c>
      <c r="F2707" s="479" t="s">
        <v>965</v>
      </c>
      <c r="G2707" s="220" t="s">
        <v>74</v>
      </c>
      <c r="H2707" s="220" t="str" cm="1">
        <f t="array" ref="H2707">IFERROR(INDEX(INVESTOR_LIST[INVESTOR NAME],MATCH(I2707,INVESTOR_LIST[INVESTOR CODE],0),)," ")</f>
        <v>MD. TAREQ IBRAHIM</v>
      </c>
      <c r="I2707" s="142" t="s">
        <v>484</v>
      </c>
      <c r="J2707" s="143" t="s">
        <v>13</v>
      </c>
      <c r="K2707" s="226">
        <v>2181500</v>
      </c>
      <c r="L2707" s="226"/>
    </row>
    <row r="2708" spans="1:14" ht="33.75" x14ac:dyDescent="0.2">
      <c r="A2708" s="133">
        <v>2021</v>
      </c>
      <c r="B2708" s="133">
        <v>4</v>
      </c>
      <c r="C2708" s="133">
        <v>5</v>
      </c>
      <c r="D2708" s="141">
        <f t="shared" si="92"/>
        <v>44291</v>
      </c>
      <c r="E2708" s="275">
        <f t="shared" si="93"/>
        <v>44291</v>
      </c>
      <c r="F2708" s="481"/>
      <c r="G2708" s="174" t="s">
        <v>74</v>
      </c>
      <c r="H2708" s="174" t="str" cm="1">
        <f t="array" ref="H2708">IFERROR(INDEX(INVESTOR_LIST[INVESTOR NAME],MATCH(I2708,INVESTOR_LIST[INVESTOR CODE],0),)," ")</f>
        <v>MD. TAREQ IBRAHIM</v>
      </c>
      <c r="I2708" s="148" t="s">
        <v>484</v>
      </c>
      <c r="J2708" s="149" t="s">
        <v>53</v>
      </c>
      <c r="K2708" s="218">
        <v>534650.03</v>
      </c>
      <c r="L2708" s="218"/>
    </row>
    <row r="2709" spans="1:14" ht="33.75" x14ac:dyDescent="0.2">
      <c r="A2709" s="163">
        <v>2021</v>
      </c>
      <c r="B2709" s="163">
        <v>4</v>
      </c>
      <c r="C2709" s="163">
        <v>5</v>
      </c>
      <c r="D2709" s="141">
        <f t="shared" si="92"/>
        <v>44291</v>
      </c>
      <c r="E2709" s="275">
        <f t="shared" si="93"/>
        <v>44291</v>
      </c>
      <c r="F2709" s="480"/>
      <c r="G2709" s="221" t="s">
        <v>74</v>
      </c>
      <c r="H2709" s="221" t="str" cm="1">
        <f t="array" ref="H2709">IFERROR(INDEX(INVESTOR_LIST[INVESTOR NAME],MATCH(I2709,INVESTOR_LIST[INVESTOR CODE],0),)," ")</f>
        <v>MD. TAREQ IBRAHIM</v>
      </c>
      <c r="I2709" s="145" t="s">
        <v>484</v>
      </c>
      <c r="J2709" s="146" t="s">
        <v>52</v>
      </c>
      <c r="K2709" s="219"/>
      <c r="L2709" s="219">
        <v>2716150.03</v>
      </c>
    </row>
    <row r="2710" spans="1:14" ht="11.25" customHeight="1" x14ac:dyDescent="0.2">
      <c r="A2710" s="168">
        <v>2021</v>
      </c>
      <c r="B2710" s="168">
        <v>4</v>
      </c>
      <c r="C2710" s="168">
        <v>5</v>
      </c>
      <c r="D2710" s="141">
        <f t="shared" si="92"/>
        <v>44291</v>
      </c>
      <c r="E2710" s="275">
        <f t="shared" si="93"/>
        <v>44291</v>
      </c>
      <c r="F2710" s="479" t="s">
        <v>254</v>
      </c>
      <c r="G2710" s="220" t="s">
        <v>74</v>
      </c>
      <c r="H2710" s="220" t="str" cm="1">
        <f t="array" ref="H2710">IFERROR(INDEX(INVESTOR_LIST[INVESTOR NAME],MATCH(I2710,INVESTOR_LIST[INVESTOR CODE],0),)," ")</f>
        <v xml:space="preserve"> </v>
      </c>
      <c r="I2710" s="142"/>
      <c r="J2710" s="143" t="s">
        <v>52</v>
      </c>
      <c r="K2710" s="226">
        <v>5000</v>
      </c>
      <c r="L2710" s="226"/>
    </row>
    <row r="2711" spans="1:14" x14ac:dyDescent="0.2">
      <c r="A2711" s="133">
        <v>2021</v>
      </c>
      <c r="B2711" s="133">
        <v>4</v>
      </c>
      <c r="C2711" s="133">
        <v>5</v>
      </c>
      <c r="D2711" s="141">
        <f t="shared" si="92"/>
        <v>44291</v>
      </c>
      <c r="E2711" s="275">
        <f t="shared" si="93"/>
        <v>44291</v>
      </c>
      <c r="F2711" s="481"/>
      <c r="G2711" s="174" t="s">
        <v>74</v>
      </c>
      <c r="H2711" s="174" t="str" cm="1">
        <f t="array" ref="H2711">IFERROR(INDEX(INVESTOR_LIST[INVESTOR NAME],MATCH(I2711,INVESTOR_LIST[INVESTOR CODE],0),)," ")</f>
        <v xml:space="preserve"> </v>
      </c>
      <c r="J2711" s="149" t="s">
        <v>13</v>
      </c>
      <c r="K2711" s="218"/>
      <c r="L2711" s="218">
        <v>4020</v>
      </c>
    </row>
    <row r="2712" spans="1:14" x14ac:dyDescent="0.2">
      <c r="A2712" s="163">
        <v>2021</v>
      </c>
      <c r="B2712" s="163">
        <v>4</v>
      </c>
      <c r="C2712" s="163">
        <v>5</v>
      </c>
      <c r="D2712" s="141">
        <f t="shared" si="92"/>
        <v>44291</v>
      </c>
      <c r="E2712" s="275">
        <f t="shared" si="93"/>
        <v>44291</v>
      </c>
      <c r="F2712" s="480"/>
      <c r="G2712" s="221" t="s">
        <v>74</v>
      </c>
      <c r="H2712" s="221" t="str" cm="1">
        <f t="array" ref="H2712">IFERROR(INDEX(INVESTOR_LIST[INVESTOR NAME],MATCH(I2712,INVESTOR_LIST[INVESTOR CODE],0),)," ")</f>
        <v xml:space="preserve"> </v>
      </c>
      <c r="I2712" s="145"/>
      <c r="J2712" s="146" t="s">
        <v>53</v>
      </c>
      <c r="K2712" s="219"/>
      <c r="L2712" s="219">
        <v>980</v>
      </c>
    </row>
    <row r="2713" spans="1:14" x14ac:dyDescent="0.2">
      <c r="A2713" s="168">
        <v>2021</v>
      </c>
      <c r="B2713" s="168">
        <v>4</v>
      </c>
      <c r="C2713" s="168">
        <v>5</v>
      </c>
      <c r="D2713" s="141">
        <f t="shared" si="92"/>
        <v>44291</v>
      </c>
      <c r="E2713" s="275">
        <f t="shared" si="93"/>
        <v>44291</v>
      </c>
      <c r="F2713" s="479" t="s">
        <v>274</v>
      </c>
      <c r="G2713" s="220" t="s">
        <v>94</v>
      </c>
      <c r="H2713" s="142" t="str" cm="1">
        <f t="array" ref="H2713">IFERROR(INDEX(INVESTOR_LIST[INVESTOR NAME],MATCH(I2713,INVESTOR_LIST[INVESTOR CODE],0),)," ")</f>
        <v xml:space="preserve"> </v>
      </c>
      <c r="I2713" s="142"/>
      <c r="J2713" s="168" t="s">
        <v>79</v>
      </c>
      <c r="K2713" s="226">
        <v>4082749.8</v>
      </c>
      <c r="L2713" s="226"/>
    </row>
    <row r="2714" spans="1:14" x14ac:dyDescent="0.2">
      <c r="A2714" s="133">
        <v>2021</v>
      </c>
      <c r="B2714" s="133">
        <v>4</v>
      </c>
      <c r="C2714" s="133">
        <v>5</v>
      </c>
      <c r="D2714" s="141">
        <f t="shared" si="92"/>
        <v>44291</v>
      </c>
      <c r="E2714" s="275">
        <f t="shared" si="93"/>
        <v>44291</v>
      </c>
      <c r="F2714" s="481"/>
      <c r="G2714" s="174" t="s">
        <v>94</v>
      </c>
      <c r="H2714" s="148" t="str" cm="1">
        <f t="array" ref="H2714">IFERROR(INDEX(INVESTOR_LIST[INVESTOR NAME],MATCH(I2714,INVESTOR_LIST[INVESTOR CODE],0),)," ")</f>
        <v xml:space="preserve"> </v>
      </c>
      <c r="J2714" s="133" t="s">
        <v>80</v>
      </c>
      <c r="K2714" s="218">
        <v>7348.94</v>
      </c>
      <c r="L2714" s="218"/>
    </row>
    <row r="2715" spans="1:14" x14ac:dyDescent="0.2">
      <c r="A2715" s="163">
        <v>2021</v>
      </c>
      <c r="B2715" s="163">
        <v>4</v>
      </c>
      <c r="C2715" s="163">
        <v>5</v>
      </c>
      <c r="D2715" s="141">
        <f t="shared" si="92"/>
        <v>44291</v>
      </c>
      <c r="E2715" s="275">
        <f t="shared" si="93"/>
        <v>44291</v>
      </c>
      <c r="F2715" s="480"/>
      <c r="G2715" s="221" t="s">
        <v>94</v>
      </c>
      <c r="H2715" s="145" t="str" cm="1">
        <f t="array" ref="H2715">IFERROR(INDEX(INVESTOR_LIST[INVESTOR NAME],MATCH(I2715,INVESTOR_LIST[INVESTOR CODE],0),)," ")</f>
        <v xml:space="preserve"> </v>
      </c>
      <c r="I2715" s="145"/>
      <c r="J2715" s="163" t="s">
        <v>147</v>
      </c>
      <c r="K2715" s="219"/>
      <c r="L2715" s="219">
        <v>4090098.74</v>
      </c>
    </row>
    <row r="2716" spans="1:14" ht="67.5" x14ac:dyDescent="0.2">
      <c r="A2716" s="168">
        <v>2021</v>
      </c>
      <c r="B2716" s="168">
        <v>4</v>
      </c>
      <c r="C2716" s="168">
        <v>6</v>
      </c>
      <c r="D2716" s="141">
        <f t="shared" si="92"/>
        <v>44292</v>
      </c>
      <c r="E2716" s="275">
        <f t="shared" si="93"/>
        <v>44292</v>
      </c>
      <c r="F2716" s="479" t="s">
        <v>965</v>
      </c>
      <c r="G2716" s="220" t="s">
        <v>74</v>
      </c>
      <c r="H2716" s="220" t="str" cm="1">
        <f t="array" ref="H2716">IFERROR(INDEX(INVESTOR_LIST[INVESTOR NAME],MATCH(I2716,INVESTOR_LIST[INVESTOR CODE],0),)," ")</f>
        <v>CWT EMERGING BD FIRST GROWTH FUND</v>
      </c>
      <c r="I2716" s="142" t="s">
        <v>485</v>
      </c>
      <c r="J2716" s="143" t="s">
        <v>13</v>
      </c>
      <c r="K2716" s="226">
        <v>2181500</v>
      </c>
      <c r="L2716" s="226"/>
    </row>
    <row r="2717" spans="1:14" ht="67.5" x14ac:dyDescent="0.2">
      <c r="A2717" s="133">
        <v>2021</v>
      </c>
      <c r="B2717" s="133">
        <v>4</v>
      </c>
      <c r="C2717" s="133">
        <v>6</v>
      </c>
      <c r="D2717" s="141">
        <f t="shared" si="92"/>
        <v>44292</v>
      </c>
      <c r="E2717" s="275">
        <f t="shared" si="93"/>
        <v>44292</v>
      </c>
      <c r="F2717" s="481"/>
      <c r="G2717" s="174" t="s">
        <v>74</v>
      </c>
      <c r="H2717" s="174" t="str" cm="1">
        <f t="array" ref="H2717">IFERROR(INDEX(INVESTOR_LIST[INVESTOR NAME],MATCH(I2717,INVESTOR_LIST[INVESTOR CODE],0),)," ")</f>
        <v>CWT EMERGING BD FIRST GROWTH FUND</v>
      </c>
      <c r="I2717" s="148" t="s">
        <v>485</v>
      </c>
      <c r="J2717" s="149" t="s">
        <v>53</v>
      </c>
      <c r="K2717" s="218">
        <v>534650.03</v>
      </c>
      <c r="L2717" s="218"/>
    </row>
    <row r="2718" spans="1:14" ht="67.5" x14ac:dyDescent="0.2">
      <c r="A2718" s="163">
        <v>2021</v>
      </c>
      <c r="B2718" s="163">
        <v>4</v>
      </c>
      <c r="C2718" s="163">
        <v>6</v>
      </c>
      <c r="D2718" s="141">
        <f t="shared" si="92"/>
        <v>44292</v>
      </c>
      <c r="E2718" s="275">
        <f t="shared" si="93"/>
        <v>44292</v>
      </c>
      <c r="F2718" s="480"/>
      <c r="G2718" s="221" t="s">
        <v>74</v>
      </c>
      <c r="H2718" s="221" t="str" cm="1">
        <f t="array" ref="H2718">IFERROR(INDEX(INVESTOR_LIST[INVESTOR NAME],MATCH(I2718,INVESTOR_LIST[INVESTOR CODE],0),)," ")</f>
        <v>CWT EMERGING BD FIRST GROWTH FUND</v>
      </c>
      <c r="I2718" s="145" t="s">
        <v>485</v>
      </c>
      <c r="J2718" s="146" t="s">
        <v>52</v>
      </c>
      <c r="K2718" s="219"/>
      <c r="L2718" s="219">
        <v>2716150.03</v>
      </c>
    </row>
    <row r="2719" spans="1:14" x14ac:dyDescent="0.2">
      <c r="A2719" s="133">
        <v>2021</v>
      </c>
      <c r="B2719" s="133">
        <v>4</v>
      </c>
      <c r="C2719" s="133">
        <v>6</v>
      </c>
      <c r="D2719" s="141">
        <f t="shared" si="92"/>
        <v>44292</v>
      </c>
      <c r="E2719" s="275">
        <f t="shared" si="93"/>
        <v>44292</v>
      </c>
      <c r="F2719" s="494" t="s">
        <v>524</v>
      </c>
      <c r="G2719" s="174" t="s">
        <v>74</v>
      </c>
      <c r="H2719" s="174" t="str" cm="1">
        <f t="array" ref="H2719">IFERROR(INDEX(INVESTOR_LIST[INVESTOR NAME],MATCH(I2719,INVESTOR_LIST[INVESTOR CODE],0),)," ")</f>
        <v xml:space="preserve"> </v>
      </c>
      <c r="J2719" s="149" t="s">
        <v>147</v>
      </c>
      <c r="K2719" s="218">
        <v>8299320.6500000004</v>
      </c>
      <c r="L2719" s="218"/>
    </row>
    <row r="2720" spans="1:14" x14ac:dyDescent="0.2">
      <c r="A2720" s="133">
        <v>2021</v>
      </c>
      <c r="B2720" s="133">
        <v>4</v>
      </c>
      <c r="C2720" s="133">
        <v>6</v>
      </c>
      <c r="D2720" s="141">
        <f t="shared" si="92"/>
        <v>44292</v>
      </c>
      <c r="E2720" s="275">
        <f t="shared" si="93"/>
        <v>44292</v>
      </c>
      <c r="F2720" s="496"/>
      <c r="G2720" s="174" t="s">
        <v>74</v>
      </c>
      <c r="H2720" s="174" t="str" cm="1">
        <f t="array" ref="H2720">IFERROR(INDEX(INVESTOR_LIST[INVESTOR NAME],MATCH(I2720,INVESTOR_LIST[INVESTOR CODE],0),)," ")</f>
        <v xml:space="preserve"> </v>
      </c>
      <c r="J2720" s="149" t="s">
        <v>52</v>
      </c>
      <c r="K2720" s="218"/>
      <c r="L2720" s="218">
        <v>8299320.6500000004</v>
      </c>
      <c r="N2720" s="160"/>
    </row>
    <row r="2721" spans="1:14" x14ac:dyDescent="0.2">
      <c r="A2721" s="168">
        <v>2021</v>
      </c>
      <c r="B2721" s="168">
        <v>4</v>
      </c>
      <c r="C2721" s="168">
        <v>6</v>
      </c>
      <c r="D2721" s="141">
        <f t="shared" si="92"/>
        <v>44292</v>
      </c>
      <c r="E2721" s="275">
        <f t="shared" si="93"/>
        <v>44292</v>
      </c>
      <c r="F2721" s="479" t="s">
        <v>274</v>
      </c>
      <c r="G2721" s="220" t="s">
        <v>94</v>
      </c>
      <c r="H2721" s="142" t="str" cm="1">
        <f t="array" ref="H2721">IFERROR(INDEX(INVESTOR_LIST[INVESTOR NAME],MATCH(I2721,INVESTOR_LIST[INVESTOR CODE],0),)," ")</f>
        <v xml:space="preserve"> </v>
      </c>
      <c r="I2721" s="142"/>
      <c r="J2721" s="168" t="s">
        <v>79</v>
      </c>
      <c r="K2721" s="226">
        <v>422000</v>
      </c>
      <c r="L2721" s="226"/>
    </row>
    <row r="2722" spans="1:14" x14ac:dyDescent="0.2">
      <c r="A2722" s="133">
        <v>2021</v>
      </c>
      <c r="B2722" s="133">
        <v>4</v>
      </c>
      <c r="C2722" s="133">
        <v>6</v>
      </c>
      <c r="D2722" s="141">
        <f t="shared" si="92"/>
        <v>44292</v>
      </c>
      <c r="E2722" s="275">
        <f t="shared" si="93"/>
        <v>44292</v>
      </c>
      <c r="F2722" s="481"/>
      <c r="G2722" s="174" t="s">
        <v>94</v>
      </c>
      <c r="H2722" s="148" t="str" cm="1">
        <f t="array" ref="H2722">IFERROR(INDEX(INVESTOR_LIST[INVESTOR NAME],MATCH(I2722,INVESTOR_LIST[INVESTOR CODE],0),)," ")</f>
        <v xml:space="preserve"> </v>
      </c>
      <c r="J2722" s="133" t="s">
        <v>80</v>
      </c>
      <c r="K2722" s="218">
        <v>759.6</v>
      </c>
      <c r="L2722" s="218"/>
    </row>
    <row r="2723" spans="1:14" x14ac:dyDescent="0.2">
      <c r="A2723" s="163">
        <v>2021</v>
      </c>
      <c r="B2723" s="163">
        <v>4</v>
      </c>
      <c r="C2723" s="163">
        <v>6</v>
      </c>
      <c r="D2723" s="141">
        <f t="shared" si="92"/>
        <v>44292</v>
      </c>
      <c r="E2723" s="275">
        <f t="shared" si="93"/>
        <v>44292</v>
      </c>
      <c r="F2723" s="480"/>
      <c r="G2723" s="221" t="s">
        <v>94</v>
      </c>
      <c r="H2723" s="145" t="str" cm="1">
        <f t="array" ref="H2723">IFERROR(INDEX(INVESTOR_LIST[INVESTOR NAME],MATCH(I2723,INVESTOR_LIST[INVESTOR CODE],0),)," ")</f>
        <v xml:space="preserve"> </v>
      </c>
      <c r="I2723" s="145"/>
      <c r="J2723" s="163" t="s">
        <v>147</v>
      </c>
      <c r="K2723" s="219"/>
      <c r="L2723" s="219">
        <v>422759.6</v>
      </c>
    </row>
    <row r="2724" spans="1:14" ht="11.25" customHeight="1" x14ac:dyDescent="0.2">
      <c r="A2724" s="168">
        <v>2021</v>
      </c>
      <c r="B2724" s="168">
        <v>4</v>
      </c>
      <c r="C2724" s="168">
        <v>7</v>
      </c>
      <c r="D2724" s="141">
        <f t="shared" si="92"/>
        <v>44293</v>
      </c>
      <c r="E2724" s="275">
        <f t="shared" si="93"/>
        <v>44293</v>
      </c>
      <c r="F2724" s="479" t="s">
        <v>254</v>
      </c>
      <c r="G2724" s="220" t="s">
        <v>74</v>
      </c>
      <c r="H2724" s="220" t="str" cm="1">
        <f t="array" ref="H2724">IFERROR(INDEX(INVESTOR_LIST[INVESTOR NAME],MATCH(I2724,INVESTOR_LIST[INVESTOR CODE],0),)," ")</f>
        <v xml:space="preserve"> </v>
      </c>
      <c r="I2724" s="142"/>
      <c r="J2724" s="143" t="s">
        <v>52</v>
      </c>
      <c r="K2724" s="226">
        <v>146500</v>
      </c>
      <c r="L2724" s="226"/>
    </row>
    <row r="2725" spans="1:14" x14ac:dyDescent="0.2">
      <c r="A2725" s="133">
        <v>2021</v>
      </c>
      <c r="B2725" s="133">
        <v>4</v>
      </c>
      <c r="C2725" s="133">
        <v>7</v>
      </c>
      <c r="D2725" s="141">
        <f t="shared" si="92"/>
        <v>44293</v>
      </c>
      <c r="E2725" s="275">
        <f t="shared" si="93"/>
        <v>44293</v>
      </c>
      <c r="F2725" s="481"/>
      <c r="G2725" s="174" t="s">
        <v>74</v>
      </c>
      <c r="H2725" s="174" t="str" cm="1">
        <f t="array" ref="H2725">IFERROR(INDEX(INVESTOR_LIST[INVESTOR NAME],MATCH(I2725,INVESTOR_LIST[INVESTOR CODE],0),)," ")</f>
        <v xml:space="preserve"> </v>
      </c>
      <c r="J2725" s="149" t="s">
        <v>13</v>
      </c>
      <c r="K2725" s="218"/>
      <c r="L2725" s="218">
        <v>117690</v>
      </c>
    </row>
    <row r="2726" spans="1:14" x14ac:dyDescent="0.2">
      <c r="A2726" s="163">
        <v>2021</v>
      </c>
      <c r="B2726" s="163">
        <v>4</v>
      </c>
      <c r="C2726" s="163">
        <v>7</v>
      </c>
      <c r="D2726" s="141">
        <f t="shared" si="92"/>
        <v>44293</v>
      </c>
      <c r="E2726" s="275">
        <f t="shared" si="93"/>
        <v>44293</v>
      </c>
      <c r="F2726" s="480"/>
      <c r="G2726" s="221" t="s">
        <v>74</v>
      </c>
      <c r="H2726" s="221" t="str" cm="1">
        <f t="array" ref="H2726">IFERROR(INDEX(INVESTOR_LIST[INVESTOR NAME],MATCH(I2726,INVESTOR_LIST[INVESTOR CODE],0),)," ")</f>
        <v xml:space="preserve"> </v>
      </c>
      <c r="I2726" s="145"/>
      <c r="J2726" s="146" t="s">
        <v>53</v>
      </c>
      <c r="K2726" s="219"/>
      <c r="L2726" s="219">
        <v>28810</v>
      </c>
    </row>
    <row r="2727" spans="1:14" x14ac:dyDescent="0.2">
      <c r="A2727" s="168">
        <v>2021</v>
      </c>
      <c r="B2727" s="168">
        <v>4</v>
      </c>
      <c r="C2727" s="168">
        <v>7</v>
      </c>
      <c r="D2727" s="141">
        <f t="shared" si="92"/>
        <v>44293</v>
      </c>
      <c r="E2727" s="275">
        <f t="shared" si="93"/>
        <v>44293</v>
      </c>
      <c r="F2727" s="494" t="s">
        <v>524</v>
      </c>
      <c r="G2727" s="220" t="s">
        <v>74</v>
      </c>
      <c r="H2727" s="220" t="str" cm="1">
        <f t="array" ref="H2727">IFERROR(INDEX(INVESTOR_LIST[INVESTOR NAME],MATCH(I2727,INVESTOR_LIST[INVESTOR CODE],0),)," ")</f>
        <v xml:space="preserve"> </v>
      </c>
      <c r="I2727" s="142"/>
      <c r="J2727" s="143" t="s">
        <v>147</v>
      </c>
      <c r="K2727" s="226">
        <v>4090098.73</v>
      </c>
      <c r="L2727" s="226"/>
    </row>
    <row r="2728" spans="1:14" x14ac:dyDescent="0.2">
      <c r="A2728" s="163">
        <v>2021</v>
      </c>
      <c r="B2728" s="163">
        <v>4</v>
      </c>
      <c r="C2728" s="163">
        <v>7</v>
      </c>
      <c r="D2728" s="141">
        <f t="shared" si="92"/>
        <v>44293</v>
      </c>
      <c r="E2728" s="275">
        <f t="shared" si="93"/>
        <v>44293</v>
      </c>
      <c r="F2728" s="495"/>
      <c r="G2728" s="221" t="s">
        <v>74</v>
      </c>
      <c r="H2728" s="221" t="str" cm="1">
        <f t="array" ref="H2728">IFERROR(INDEX(INVESTOR_LIST[INVESTOR NAME],MATCH(I2728,INVESTOR_LIST[INVESTOR CODE],0),)," ")</f>
        <v xml:space="preserve"> </v>
      </c>
      <c r="I2728" s="145"/>
      <c r="J2728" s="146" t="s">
        <v>52</v>
      </c>
      <c r="K2728" s="219"/>
      <c r="L2728" s="219">
        <v>4090098.73</v>
      </c>
      <c r="N2728" s="156">
        <f>K2732/12.45</f>
        <v>24096.385542168675</v>
      </c>
    </row>
    <row r="2729" spans="1:14" x14ac:dyDescent="0.2">
      <c r="A2729" s="168">
        <v>2021</v>
      </c>
      <c r="B2729" s="168">
        <v>4</v>
      </c>
      <c r="C2729" s="168">
        <v>7</v>
      </c>
      <c r="D2729" s="141">
        <f t="shared" si="92"/>
        <v>44293</v>
      </c>
      <c r="E2729" s="275">
        <f t="shared" si="93"/>
        <v>44293</v>
      </c>
      <c r="F2729" s="479" t="s">
        <v>274</v>
      </c>
      <c r="G2729" s="220" t="s">
        <v>94</v>
      </c>
      <c r="H2729" s="142" t="str" cm="1">
        <f t="array" ref="H2729">IFERROR(INDEX(INVESTOR_LIST[INVESTOR NAME],MATCH(I2729,INVESTOR_LIST[INVESTOR CODE],0),)," ")</f>
        <v xml:space="preserve"> </v>
      </c>
      <c r="I2729" s="142"/>
      <c r="J2729" s="168" t="s">
        <v>79</v>
      </c>
      <c r="K2729" s="226">
        <v>1940400</v>
      </c>
      <c r="L2729" s="226"/>
    </row>
    <row r="2730" spans="1:14" x14ac:dyDescent="0.2">
      <c r="A2730" s="133">
        <v>2021</v>
      </c>
      <c r="B2730" s="133">
        <v>4</v>
      </c>
      <c r="C2730" s="133">
        <v>7</v>
      </c>
      <c r="D2730" s="141">
        <f t="shared" si="92"/>
        <v>44293</v>
      </c>
      <c r="E2730" s="275">
        <f t="shared" si="93"/>
        <v>44293</v>
      </c>
      <c r="F2730" s="481"/>
      <c r="G2730" s="174" t="s">
        <v>94</v>
      </c>
      <c r="H2730" s="148" t="str" cm="1">
        <f t="array" ref="H2730">IFERROR(INDEX(INVESTOR_LIST[INVESTOR NAME],MATCH(I2730,INVESTOR_LIST[INVESTOR CODE],0),)," ")</f>
        <v xml:space="preserve"> </v>
      </c>
      <c r="J2730" s="133" t="s">
        <v>80</v>
      </c>
      <c r="K2730" s="218">
        <v>3492.72</v>
      </c>
      <c r="L2730" s="218"/>
    </row>
    <row r="2731" spans="1:14" x14ac:dyDescent="0.2">
      <c r="A2731" s="163">
        <v>2021</v>
      </c>
      <c r="B2731" s="163">
        <v>4</v>
      </c>
      <c r="C2731" s="163">
        <v>7</v>
      </c>
      <c r="D2731" s="141">
        <f t="shared" si="92"/>
        <v>44293</v>
      </c>
      <c r="E2731" s="275">
        <f t="shared" si="93"/>
        <v>44293</v>
      </c>
      <c r="F2731" s="480"/>
      <c r="G2731" s="221" t="s">
        <v>94</v>
      </c>
      <c r="H2731" s="145" t="str" cm="1">
        <f t="array" ref="H2731">IFERROR(INDEX(INVESTOR_LIST[INVESTOR NAME],MATCH(I2731,INVESTOR_LIST[INVESTOR CODE],0),)," ")</f>
        <v xml:space="preserve"> </v>
      </c>
      <c r="I2731" s="145"/>
      <c r="J2731" s="163" t="s">
        <v>147</v>
      </c>
      <c r="K2731" s="219"/>
      <c r="L2731" s="219">
        <v>1943892.72</v>
      </c>
      <c r="N2731" s="156">
        <f>K2735/12.45</f>
        <v>40160.642570281125</v>
      </c>
    </row>
    <row r="2732" spans="1:14" ht="11.25" customHeight="1" x14ac:dyDescent="0.2">
      <c r="A2732" s="168">
        <v>2021</v>
      </c>
      <c r="B2732" s="168">
        <v>4</v>
      </c>
      <c r="C2732" s="168">
        <v>7</v>
      </c>
      <c r="D2732" s="141">
        <f t="shared" si="92"/>
        <v>44293</v>
      </c>
      <c r="E2732" s="275">
        <f t="shared" si="93"/>
        <v>44293</v>
      </c>
      <c r="F2732" s="479" t="s">
        <v>964</v>
      </c>
      <c r="G2732" s="220" t="s">
        <v>74</v>
      </c>
      <c r="H2732" s="220" t="str" cm="1">
        <f t="array" ref="H2732">IFERROR(INDEX(INVESTOR_LIST[INVESTOR NAME],MATCH(I2732,INVESTOR_LIST[INVESTOR CODE],0),)," ")</f>
        <v>FAKARUDDIN ALI AHMED</v>
      </c>
      <c r="I2732" s="142" t="s">
        <v>458</v>
      </c>
      <c r="J2732" s="143" t="s">
        <v>52</v>
      </c>
      <c r="K2732" s="226">
        <v>300000</v>
      </c>
      <c r="L2732" s="226"/>
    </row>
    <row r="2733" spans="1:14" ht="33.75" x14ac:dyDescent="0.2">
      <c r="A2733" s="133">
        <v>2021</v>
      </c>
      <c r="B2733" s="133">
        <v>4</v>
      </c>
      <c r="C2733" s="133">
        <v>7</v>
      </c>
      <c r="D2733" s="141">
        <f t="shared" si="92"/>
        <v>44293</v>
      </c>
      <c r="E2733" s="275">
        <f t="shared" si="93"/>
        <v>44293</v>
      </c>
      <c r="F2733" s="481"/>
      <c r="G2733" s="174" t="s">
        <v>74</v>
      </c>
      <c r="H2733" s="174" t="str" cm="1">
        <f t="array" ref="H2733">IFERROR(INDEX(INVESTOR_LIST[INVESTOR NAME],MATCH(I2733,INVESTOR_LIST[INVESTOR CODE],0),)," ")</f>
        <v>FAKARUDDIN ALI AHMED</v>
      </c>
      <c r="I2733" s="148" t="s">
        <v>458</v>
      </c>
      <c r="J2733" s="149" t="s">
        <v>13</v>
      </c>
      <c r="K2733" s="218"/>
      <c r="L2733" s="218">
        <v>240960</v>
      </c>
    </row>
    <row r="2734" spans="1:14" ht="33.75" x14ac:dyDescent="0.2">
      <c r="A2734" s="163">
        <v>2021</v>
      </c>
      <c r="B2734" s="163">
        <v>4</v>
      </c>
      <c r="C2734" s="163">
        <v>7</v>
      </c>
      <c r="D2734" s="141">
        <f t="shared" si="92"/>
        <v>44293</v>
      </c>
      <c r="E2734" s="275">
        <f t="shared" si="93"/>
        <v>44293</v>
      </c>
      <c r="F2734" s="480"/>
      <c r="G2734" s="221" t="s">
        <v>74</v>
      </c>
      <c r="H2734" s="221" t="str" cm="1">
        <f t="array" ref="H2734">IFERROR(INDEX(INVESTOR_LIST[INVESTOR NAME],MATCH(I2734,INVESTOR_LIST[INVESTOR CODE],0),)," ")</f>
        <v>FAKARUDDIN ALI AHMED</v>
      </c>
      <c r="I2734" s="145" t="s">
        <v>458</v>
      </c>
      <c r="J2734" s="146" t="s">
        <v>53</v>
      </c>
      <c r="K2734" s="219"/>
      <c r="L2734" s="219">
        <v>59040</v>
      </c>
    </row>
    <row r="2735" spans="1:14" ht="11.25" customHeight="1" x14ac:dyDescent="0.2">
      <c r="A2735" s="168">
        <v>2021</v>
      </c>
      <c r="B2735" s="168">
        <v>4</v>
      </c>
      <c r="C2735" s="168">
        <v>7</v>
      </c>
      <c r="D2735" s="141">
        <f t="shared" si="92"/>
        <v>44293</v>
      </c>
      <c r="E2735" s="275">
        <f t="shared" si="93"/>
        <v>44293</v>
      </c>
      <c r="F2735" s="479" t="s">
        <v>964</v>
      </c>
      <c r="G2735" s="220" t="s">
        <v>74</v>
      </c>
      <c r="H2735" s="220" t="str" cm="1">
        <f t="array" ref="H2735">IFERROR(INDEX(INVESTOR_LIST[INVESTOR NAME],MATCH(I2735,INVESTOR_LIST[INVESTOR CODE],0),)," ")</f>
        <v>MD KAMRUL ISLAM</v>
      </c>
      <c r="I2735" s="142" t="s">
        <v>516</v>
      </c>
      <c r="J2735" s="143" t="s">
        <v>52</v>
      </c>
      <c r="K2735" s="226">
        <v>500000</v>
      </c>
      <c r="L2735" s="226"/>
    </row>
    <row r="2736" spans="1:14" ht="33.75" x14ac:dyDescent="0.2">
      <c r="A2736" s="133">
        <v>2021</v>
      </c>
      <c r="B2736" s="133">
        <v>4</v>
      </c>
      <c r="C2736" s="133">
        <v>7</v>
      </c>
      <c r="D2736" s="141">
        <f t="shared" si="92"/>
        <v>44293</v>
      </c>
      <c r="E2736" s="275">
        <f t="shared" si="93"/>
        <v>44293</v>
      </c>
      <c r="F2736" s="481"/>
      <c r="G2736" s="174" t="s">
        <v>74</v>
      </c>
      <c r="H2736" s="174" t="str" cm="1">
        <f t="array" ref="H2736">IFERROR(INDEX(INVESTOR_LIST[INVESTOR NAME],MATCH(I2736,INVESTOR_LIST[INVESTOR CODE],0),)," ")</f>
        <v>MD KAMRUL ISLAM</v>
      </c>
      <c r="I2736" s="148" t="s">
        <v>516</v>
      </c>
      <c r="J2736" s="149" t="s">
        <v>13</v>
      </c>
      <c r="K2736" s="218"/>
      <c r="L2736" s="218">
        <v>401610</v>
      </c>
      <c r="N2736" s="156">
        <f>K2740/12.45</f>
        <v>16064.25702811245</v>
      </c>
    </row>
    <row r="2737" spans="1:13" ht="33.75" x14ac:dyDescent="0.2">
      <c r="A2737" s="163">
        <v>2021</v>
      </c>
      <c r="B2737" s="163">
        <v>4</v>
      </c>
      <c r="C2737" s="163">
        <v>7</v>
      </c>
      <c r="D2737" s="141">
        <f t="shared" si="92"/>
        <v>44293</v>
      </c>
      <c r="E2737" s="275">
        <f t="shared" si="93"/>
        <v>44293</v>
      </c>
      <c r="F2737" s="480"/>
      <c r="G2737" s="221" t="s">
        <v>74</v>
      </c>
      <c r="H2737" s="221" t="str" cm="1">
        <f t="array" ref="H2737">IFERROR(INDEX(INVESTOR_LIST[INVESTOR NAME],MATCH(I2737,INVESTOR_LIST[INVESTOR CODE],0),)," ")</f>
        <v>MD KAMRUL ISLAM</v>
      </c>
      <c r="I2737" s="145" t="s">
        <v>516</v>
      </c>
      <c r="J2737" s="146" t="s">
        <v>53</v>
      </c>
      <c r="K2737" s="219"/>
      <c r="L2737" s="219">
        <v>98390</v>
      </c>
    </row>
    <row r="2738" spans="1:13" x14ac:dyDescent="0.2">
      <c r="A2738" s="168">
        <v>2021</v>
      </c>
      <c r="B2738" s="168">
        <v>4</v>
      </c>
      <c r="C2738" s="168">
        <v>8</v>
      </c>
      <c r="D2738" s="141">
        <f t="shared" si="92"/>
        <v>44294</v>
      </c>
      <c r="E2738" s="275">
        <f t="shared" si="93"/>
        <v>44294</v>
      </c>
      <c r="F2738" s="494" t="s">
        <v>524</v>
      </c>
      <c r="G2738" s="220" t="s">
        <v>74</v>
      </c>
      <c r="H2738" s="220" t="str" cm="1">
        <f t="array" ref="H2738">IFERROR(INDEX(INVESTOR_LIST[INVESTOR NAME],MATCH(I2738,INVESTOR_LIST[INVESTOR CODE],0),)," ")</f>
        <v xml:space="preserve"> </v>
      </c>
      <c r="I2738" s="142"/>
      <c r="J2738" s="143" t="s">
        <v>147</v>
      </c>
      <c r="K2738" s="226">
        <v>422759.6</v>
      </c>
      <c r="L2738" s="226"/>
    </row>
    <row r="2739" spans="1:13" x14ac:dyDescent="0.2">
      <c r="A2739" s="163">
        <v>2021</v>
      </c>
      <c r="B2739" s="163">
        <v>4</v>
      </c>
      <c r="C2739" s="163">
        <v>8</v>
      </c>
      <c r="D2739" s="141">
        <f t="shared" si="92"/>
        <v>44294</v>
      </c>
      <c r="E2739" s="275">
        <f t="shared" si="93"/>
        <v>44294</v>
      </c>
      <c r="F2739" s="495"/>
      <c r="G2739" s="221" t="s">
        <v>74</v>
      </c>
      <c r="H2739" s="221" t="str" cm="1">
        <f t="array" ref="H2739">IFERROR(INDEX(INVESTOR_LIST[INVESTOR NAME],MATCH(I2739,INVESTOR_LIST[INVESTOR CODE],0),)," ")</f>
        <v xml:space="preserve"> </v>
      </c>
      <c r="I2739" s="145"/>
      <c r="J2739" s="146" t="s">
        <v>52</v>
      </c>
      <c r="K2739" s="219"/>
      <c r="L2739" s="219">
        <v>422759.6</v>
      </c>
    </row>
    <row r="2740" spans="1:13" ht="11.25" customHeight="1" x14ac:dyDescent="0.2">
      <c r="A2740" s="168">
        <v>2021</v>
      </c>
      <c r="B2740" s="168">
        <v>4</v>
      </c>
      <c r="C2740" s="168">
        <v>8</v>
      </c>
      <c r="D2740" s="141">
        <f t="shared" si="92"/>
        <v>44294</v>
      </c>
      <c r="E2740" s="275">
        <f t="shared" si="93"/>
        <v>44294</v>
      </c>
      <c r="F2740" s="479" t="s">
        <v>964</v>
      </c>
      <c r="G2740" s="220" t="s">
        <v>74</v>
      </c>
      <c r="H2740" s="220" t="str" cm="1">
        <f t="array" ref="H2740">IFERROR(INDEX(INVESTOR_LIST[INVESTOR NAME],MATCH(I2740,INVESTOR_LIST[INVESTOR CODE],0),)," ")</f>
        <v>RAIS-UR-RUBBI</v>
      </c>
      <c r="I2740" s="142" t="s">
        <v>680</v>
      </c>
      <c r="J2740" s="143" t="s">
        <v>52</v>
      </c>
      <c r="K2740" s="226">
        <v>200000</v>
      </c>
      <c r="L2740" s="226"/>
    </row>
    <row r="2741" spans="1:13" ht="22.5" x14ac:dyDescent="0.2">
      <c r="A2741" s="133">
        <v>2021</v>
      </c>
      <c r="B2741" s="133">
        <v>4</v>
      </c>
      <c r="C2741" s="133">
        <v>8</v>
      </c>
      <c r="D2741" s="141">
        <f t="shared" si="92"/>
        <v>44294</v>
      </c>
      <c r="E2741" s="275">
        <f t="shared" si="93"/>
        <v>44294</v>
      </c>
      <c r="F2741" s="481"/>
      <c r="G2741" s="174" t="s">
        <v>74</v>
      </c>
      <c r="H2741" s="174" t="str" cm="1">
        <f t="array" ref="H2741">IFERROR(INDEX(INVESTOR_LIST[INVESTOR NAME],MATCH(I2741,INVESTOR_LIST[INVESTOR CODE],0),)," ")</f>
        <v>RAIS-UR-RUBBI</v>
      </c>
      <c r="I2741" s="148" t="s">
        <v>680</v>
      </c>
      <c r="J2741" s="149" t="s">
        <v>13</v>
      </c>
      <c r="K2741" s="218"/>
      <c r="L2741" s="218">
        <v>160640</v>
      </c>
    </row>
    <row r="2742" spans="1:13" ht="22.5" x14ac:dyDescent="0.2">
      <c r="A2742" s="163">
        <v>2021</v>
      </c>
      <c r="B2742" s="163">
        <v>4</v>
      </c>
      <c r="C2742" s="163">
        <v>8</v>
      </c>
      <c r="D2742" s="141">
        <f t="shared" si="92"/>
        <v>44294</v>
      </c>
      <c r="E2742" s="275">
        <f t="shared" si="93"/>
        <v>44294</v>
      </c>
      <c r="F2742" s="480"/>
      <c r="G2742" s="221" t="s">
        <v>74</v>
      </c>
      <c r="H2742" s="221" t="str" cm="1">
        <f t="array" ref="H2742">IFERROR(INDEX(INVESTOR_LIST[INVESTOR NAME],MATCH(I2742,INVESTOR_LIST[INVESTOR CODE],0),)," ")</f>
        <v>RAIS-UR-RUBBI</v>
      </c>
      <c r="I2742" s="145" t="s">
        <v>680</v>
      </c>
      <c r="J2742" s="146" t="s">
        <v>53</v>
      </c>
      <c r="K2742" s="219"/>
      <c r="L2742" s="219">
        <v>39360</v>
      </c>
    </row>
    <row r="2743" spans="1:13" ht="11.25" customHeight="1" x14ac:dyDescent="0.2">
      <c r="A2743" s="168">
        <v>2021</v>
      </c>
      <c r="B2743" s="168">
        <v>4</v>
      </c>
      <c r="C2743" s="168">
        <v>8</v>
      </c>
      <c r="D2743" s="141">
        <f t="shared" si="92"/>
        <v>44294</v>
      </c>
      <c r="E2743" s="275">
        <f t="shared" si="93"/>
        <v>44294</v>
      </c>
      <c r="F2743" s="479" t="s">
        <v>964</v>
      </c>
      <c r="G2743" s="220" t="s">
        <v>74</v>
      </c>
      <c r="H2743" s="220" t="str" cm="1">
        <f t="array" ref="H2743">IFERROR(INDEX(INVESTOR_LIST[INVESTOR NAME],MATCH(I2743,INVESTOR_LIST[INVESTOR CODE],0),)," ")</f>
        <v>FATEMA-TUZ JOHURA NILA</v>
      </c>
      <c r="I2743" s="142" t="s">
        <v>682</v>
      </c>
      <c r="J2743" s="143" t="s">
        <v>52</v>
      </c>
      <c r="K2743" s="226">
        <v>200000</v>
      </c>
      <c r="L2743" s="226"/>
    </row>
    <row r="2744" spans="1:13" ht="45" x14ac:dyDescent="0.2">
      <c r="A2744" s="133">
        <v>2021</v>
      </c>
      <c r="B2744" s="133">
        <v>4</v>
      </c>
      <c r="C2744" s="133">
        <v>8</v>
      </c>
      <c r="D2744" s="141">
        <f t="shared" si="92"/>
        <v>44294</v>
      </c>
      <c r="E2744" s="275">
        <f t="shared" si="93"/>
        <v>44294</v>
      </c>
      <c r="F2744" s="481"/>
      <c r="G2744" s="174" t="s">
        <v>74</v>
      </c>
      <c r="H2744" s="174" t="str" cm="1">
        <f t="array" ref="H2744">IFERROR(INDEX(INVESTOR_LIST[INVESTOR NAME],MATCH(I2744,INVESTOR_LIST[INVESTOR CODE],0),)," ")</f>
        <v>FATEMA-TUZ JOHURA NILA</v>
      </c>
      <c r="I2744" s="148" t="s">
        <v>682</v>
      </c>
      <c r="J2744" s="149" t="s">
        <v>13</v>
      </c>
      <c r="K2744" s="218"/>
      <c r="L2744" s="218">
        <v>160640</v>
      </c>
    </row>
    <row r="2745" spans="1:13" ht="45" x14ac:dyDescent="0.2">
      <c r="A2745" s="163">
        <v>2021</v>
      </c>
      <c r="B2745" s="163">
        <v>4</v>
      </c>
      <c r="C2745" s="163">
        <v>8</v>
      </c>
      <c r="D2745" s="141">
        <f t="shared" si="92"/>
        <v>44294</v>
      </c>
      <c r="E2745" s="275">
        <f t="shared" si="93"/>
        <v>44294</v>
      </c>
      <c r="F2745" s="480"/>
      <c r="G2745" s="221" t="s">
        <v>74</v>
      </c>
      <c r="H2745" s="221" t="str" cm="1">
        <f t="array" ref="H2745">IFERROR(INDEX(INVESTOR_LIST[INVESTOR NAME],MATCH(I2745,INVESTOR_LIST[INVESTOR CODE],0),)," ")</f>
        <v>FATEMA-TUZ JOHURA NILA</v>
      </c>
      <c r="I2745" s="145" t="s">
        <v>682</v>
      </c>
      <c r="J2745" s="146" t="s">
        <v>53</v>
      </c>
      <c r="K2745" s="219"/>
      <c r="L2745" s="219">
        <v>39360</v>
      </c>
    </row>
    <row r="2746" spans="1:13" x14ac:dyDescent="0.2">
      <c r="A2746" s="168">
        <v>2021</v>
      </c>
      <c r="B2746" s="168">
        <v>4</v>
      </c>
      <c r="C2746" s="168">
        <v>8</v>
      </c>
      <c r="D2746" s="141">
        <f t="shared" si="92"/>
        <v>44294</v>
      </c>
      <c r="E2746" s="275">
        <f t="shared" si="93"/>
        <v>44294</v>
      </c>
      <c r="F2746" s="479" t="s">
        <v>77</v>
      </c>
      <c r="G2746" s="220" t="s">
        <v>74</v>
      </c>
      <c r="H2746" s="220" t="str" cm="1">
        <f t="array" ref="H2746">IFERROR(INDEX(INVESTOR_LIST[INVESTOR NAME],MATCH(I2746,INVESTOR_LIST[INVESTOR CODE],0),)," ")</f>
        <v xml:space="preserve"> </v>
      </c>
      <c r="I2746" s="142" t="s">
        <v>348</v>
      </c>
      <c r="J2746" s="143" t="s">
        <v>61</v>
      </c>
      <c r="K2746" s="226">
        <v>10</v>
      </c>
      <c r="L2746" s="226"/>
    </row>
    <row r="2747" spans="1:13" x14ac:dyDescent="0.2">
      <c r="A2747" s="163">
        <v>2021</v>
      </c>
      <c r="B2747" s="163">
        <v>4</v>
      </c>
      <c r="C2747" s="163">
        <v>8</v>
      </c>
      <c r="D2747" s="141">
        <f t="shared" si="92"/>
        <v>44294</v>
      </c>
      <c r="E2747" s="275">
        <f t="shared" si="93"/>
        <v>44294</v>
      </c>
      <c r="F2747" s="480"/>
      <c r="G2747" s="221" t="s">
        <v>74</v>
      </c>
      <c r="H2747" s="221" t="str" cm="1">
        <f t="array" ref="H2747">IFERROR(INDEX(INVESTOR_LIST[INVESTOR NAME],MATCH(I2747,INVESTOR_LIST[INVESTOR CODE],0),)," ")</f>
        <v xml:space="preserve"> </v>
      </c>
      <c r="I2747" s="145" t="s">
        <v>348</v>
      </c>
      <c r="J2747" s="146" t="s">
        <v>52</v>
      </c>
      <c r="K2747" s="219"/>
      <c r="L2747" s="219">
        <v>10</v>
      </c>
    </row>
    <row r="2748" spans="1:13" x14ac:dyDescent="0.2">
      <c r="A2748" s="238">
        <v>2021</v>
      </c>
      <c r="B2748" s="238">
        <v>4</v>
      </c>
      <c r="C2748" s="238">
        <v>8</v>
      </c>
      <c r="D2748" s="141">
        <f t="shared" si="92"/>
        <v>44294</v>
      </c>
      <c r="E2748" s="275">
        <f t="shared" si="93"/>
        <v>44294</v>
      </c>
      <c r="F2748" s="477" t="s">
        <v>347</v>
      </c>
      <c r="G2748" s="239" t="s">
        <v>94</v>
      </c>
      <c r="H2748" s="239" t="str" cm="1">
        <f t="array" ref="H2748">IFERROR(INDEX(INVESTOR_LIST[INVESTOR NAME],MATCH(I2748,INVESTOR_LIST[INVESTOR CODE],0),)," ")</f>
        <v xml:space="preserve"> </v>
      </c>
      <c r="I2748" s="262" t="s">
        <v>348</v>
      </c>
      <c r="J2748" s="240" t="s">
        <v>108</v>
      </c>
      <c r="K2748" s="241">
        <v>1772184.8900000155</v>
      </c>
      <c r="L2748" s="241"/>
    </row>
    <row r="2749" spans="1:13" x14ac:dyDescent="0.2">
      <c r="A2749" s="242">
        <v>2021</v>
      </c>
      <c r="B2749" s="242">
        <v>4</v>
      </c>
      <c r="C2749" s="242">
        <v>8</v>
      </c>
      <c r="D2749" s="141">
        <f t="shared" si="92"/>
        <v>44294</v>
      </c>
      <c r="E2749" s="275">
        <f t="shared" si="93"/>
        <v>44294</v>
      </c>
      <c r="F2749" s="478"/>
      <c r="G2749" s="243" t="s">
        <v>94</v>
      </c>
      <c r="H2749" s="243" t="str" cm="1">
        <f t="array" ref="H2749">IFERROR(INDEX(INVESTOR_LIST[INVESTOR NAME],MATCH(I2749,INVESTOR_LIST[INVESTOR CODE],0),)," ")</f>
        <v xml:space="preserve"> </v>
      </c>
      <c r="I2749" s="263" t="s">
        <v>348</v>
      </c>
      <c r="J2749" s="244" t="s">
        <v>82</v>
      </c>
      <c r="K2749" s="245"/>
      <c r="L2749" s="245">
        <v>1772184.8900000155</v>
      </c>
    </row>
    <row r="2750" spans="1:13" ht="22.5" x14ac:dyDescent="0.2">
      <c r="A2750" s="246">
        <v>2021</v>
      </c>
      <c r="B2750" s="246">
        <v>4</v>
      </c>
      <c r="C2750" s="246">
        <v>8</v>
      </c>
      <c r="D2750" s="141">
        <f t="shared" si="92"/>
        <v>44294</v>
      </c>
      <c r="E2750" s="275">
        <f t="shared" si="93"/>
        <v>44294</v>
      </c>
      <c r="F2750" s="482" t="s">
        <v>148</v>
      </c>
      <c r="G2750" s="247" t="s">
        <v>94</v>
      </c>
      <c r="H2750" s="247" t="str" cm="1">
        <f t="array" ref="H2750">IFERROR(INDEX(INVESTOR_LIST[INVESTOR NAME],MATCH(I2750,INVESTOR_LIST[INVESTOR CODE],0),)," ")</f>
        <v xml:space="preserve"> </v>
      </c>
      <c r="I2750" s="248" t="s">
        <v>348</v>
      </c>
      <c r="J2750" s="249" t="s">
        <v>95</v>
      </c>
      <c r="K2750" s="250">
        <v>2747.2527472527472</v>
      </c>
      <c r="L2750" s="241"/>
      <c r="M2750" s="133">
        <v>2747.2527472527472</v>
      </c>
    </row>
    <row r="2751" spans="1:13" x14ac:dyDescent="0.2">
      <c r="A2751" s="242">
        <v>2021</v>
      </c>
      <c r="B2751" s="242">
        <v>4</v>
      </c>
      <c r="C2751" s="242">
        <v>8</v>
      </c>
      <c r="D2751" s="141">
        <f t="shared" si="92"/>
        <v>44294</v>
      </c>
      <c r="E2751" s="275">
        <f t="shared" si="93"/>
        <v>44294</v>
      </c>
      <c r="F2751" s="478"/>
      <c r="G2751" s="243" t="s">
        <v>94</v>
      </c>
      <c r="H2751" s="243" t="str" cm="1">
        <f t="array" ref="H2751">IFERROR(INDEX(INVESTOR_LIST[INVESTOR NAME],MATCH(I2751,INVESTOR_LIST[INVESTOR CODE],0),)," ")</f>
        <v xml:space="preserve"> </v>
      </c>
      <c r="I2751" s="263" t="s">
        <v>348</v>
      </c>
      <c r="J2751" s="244" t="s">
        <v>63</v>
      </c>
      <c r="K2751" s="245"/>
      <c r="L2751" s="245">
        <v>2747.2527472527472</v>
      </c>
      <c r="M2751" s="133">
        <v>83991.295088706524</v>
      </c>
    </row>
    <row r="2752" spans="1:13" x14ac:dyDescent="0.2">
      <c r="A2752" s="246">
        <v>2021</v>
      </c>
      <c r="B2752" s="246">
        <v>4</v>
      </c>
      <c r="C2752" s="246">
        <v>8</v>
      </c>
      <c r="D2752" s="141">
        <f t="shared" si="92"/>
        <v>44294</v>
      </c>
      <c r="E2752" s="275">
        <f t="shared" si="93"/>
        <v>44294</v>
      </c>
      <c r="F2752" s="482" t="s">
        <v>137</v>
      </c>
      <c r="G2752" s="247" t="s">
        <v>94</v>
      </c>
      <c r="H2752" s="247" t="str" cm="1">
        <f t="array" ref="H2752">IFERROR(INDEX(INVESTOR_LIST[INVESTOR NAME],MATCH(I2752,INVESTOR_LIST[INVESTOR CODE],0),)," ")</f>
        <v xml:space="preserve"> </v>
      </c>
      <c r="I2752" s="248" t="s">
        <v>348</v>
      </c>
      <c r="J2752" s="249" t="s">
        <v>97</v>
      </c>
      <c r="K2752" s="250">
        <v>83991.295088706524</v>
      </c>
      <c r="L2752" s="252"/>
      <c r="M2752" s="133">
        <v>3959.1801390507107</v>
      </c>
    </row>
    <row r="2753" spans="1:14" x14ac:dyDescent="0.2">
      <c r="A2753" s="242">
        <v>2021</v>
      </c>
      <c r="B2753" s="242">
        <v>4</v>
      </c>
      <c r="C2753" s="242">
        <v>8</v>
      </c>
      <c r="D2753" s="141">
        <f t="shared" si="92"/>
        <v>44294</v>
      </c>
      <c r="E2753" s="275">
        <f t="shared" si="93"/>
        <v>44294</v>
      </c>
      <c r="F2753" s="478"/>
      <c r="G2753" s="243" t="s">
        <v>94</v>
      </c>
      <c r="H2753" s="243" t="str" cm="1">
        <f t="array" ref="H2753">IFERROR(INDEX(INVESTOR_LIST[INVESTOR NAME],MATCH(I2753,INVESTOR_LIST[INVESTOR CODE],0),)," ")</f>
        <v xml:space="preserve"> </v>
      </c>
      <c r="I2753" s="263" t="s">
        <v>348</v>
      </c>
      <c r="J2753" s="244" t="s">
        <v>47</v>
      </c>
      <c r="K2753" s="245"/>
      <c r="L2753" s="245">
        <v>83991.295088706524</v>
      </c>
    </row>
    <row r="2754" spans="1:14" x14ac:dyDescent="0.2">
      <c r="A2754" s="246">
        <v>2021</v>
      </c>
      <c r="B2754" s="246">
        <v>4</v>
      </c>
      <c r="C2754" s="246">
        <v>8</v>
      </c>
      <c r="D2754" s="141">
        <f t="shared" si="92"/>
        <v>44294</v>
      </c>
      <c r="E2754" s="275">
        <f t="shared" si="93"/>
        <v>44294</v>
      </c>
      <c r="F2754" s="482" t="s">
        <v>138</v>
      </c>
      <c r="G2754" s="247" t="s">
        <v>94</v>
      </c>
      <c r="H2754" s="247" t="str" cm="1">
        <f t="array" ref="H2754">IFERROR(INDEX(INVESTOR_LIST[INVESTOR NAME],MATCH(I2754,INVESTOR_LIST[INVESTOR CODE],0),)," ")</f>
        <v xml:space="preserve"> </v>
      </c>
      <c r="I2754" s="248" t="s">
        <v>348</v>
      </c>
      <c r="J2754" s="249" t="s">
        <v>100</v>
      </c>
      <c r="K2754" s="250">
        <v>3959.1801390507107</v>
      </c>
      <c r="L2754" s="252"/>
    </row>
    <row r="2755" spans="1:14" x14ac:dyDescent="0.2">
      <c r="A2755" s="242">
        <v>2021</v>
      </c>
      <c r="B2755" s="242">
        <v>4</v>
      </c>
      <c r="C2755" s="242">
        <v>8</v>
      </c>
      <c r="D2755" s="141">
        <f t="shared" si="92"/>
        <v>44294</v>
      </c>
      <c r="E2755" s="275">
        <f t="shared" si="93"/>
        <v>44294</v>
      </c>
      <c r="F2755" s="478"/>
      <c r="G2755" s="243" t="s">
        <v>94</v>
      </c>
      <c r="H2755" s="243" t="str" cm="1">
        <f t="array" ref="H2755">IFERROR(INDEX(INVESTOR_LIST[INVESTOR NAME],MATCH(I2755,INVESTOR_LIST[INVESTOR CODE],0),)," ")</f>
        <v xml:space="preserve"> </v>
      </c>
      <c r="I2755" s="263" t="s">
        <v>348</v>
      </c>
      <c r="J2755" s="244" t="s">
        <v>48</v>
      </c>
      <c r="K2755" s="245"/>
      <c r="L2755" s="245">
        <v>3959.1801390507107</v>
      </c>
      <c r="N2755" s="156">
        <f>K2756/12.57</f>
        <v>7955.4494828957831</v>
      </c>
    </row>
    <row r="2756" spans="1:14" ht="11.25" customHeight="1" x14ac:dyDescent="0.2">
      <c r="A2756" s="168">
        <v>2021</v>
      </c>
      <c r="B2756" s="168">
        <v>4</v>
      </c>
      <c r="C2756" s="168">
        <v>11</v>
      </c>
      <c r="D2756" s="141">
        <f t="shared" si="92"/>
        <v>44297</v>
      </c>
      <c r="E2756" s="275">
        <f t="shared" si="93"/>
        <v>44297</v>
      </c>
      <c r="F2756" s="479" t="s">
        <v>964</v>
      </c>
      <c r="G2756" s="220" t="s">
        <v>74</v>
      </c>
      <c r="H2756" s="142" t="str" cm="1">
        <f t="array" ref="H2756">IFERROR(INDEX(INVESTOR_LIST[INVESTOR NAME],MATCH(I2756,INVESTOR_LIST[INVESTOR CODE],0),)," ")</f>
        <v>MD. OMAR FARUQUE Al QUADERI</v>
      </c>
      <c r="I2756" s="142" t="s">
        <v>424</v>
      </c>
      <c r="J2756" s="168" t="s">
        <v>52</v>
      </c>
      <c r="K2756" s="226">
        <v>100000</v>
      </c>
      <c r="L2756" s="226"/>
    </row>
    <row r="2757" spans="1:14" ht="56.25" x14ac:dyDescent="0.2">
      <c r="A2757" s="133">
        <v>2021</v>
      </c>
      <c r="B2757" s="133">
        <v>4</v>
      </c>
      <c r="C2757" s="133">
        <v>11</v>
      </c>
      <c r="D2757" s="141">
        <f t="shared" si="92"/>
        <v>44297</v>
      </c>
      <c r="E2757" s="275">
        <f t="shared" si="93"/>
        <v>44297</v>
      </c>
      <c r="F2757" s="481"/>
      <c r="G2757" s="174" t="s">
        <v>74</v>
      </c>
      <c r="H2757" s="148" t="str" cm="1">
        <f t="array" ref="H2757">IFERROR(INDEX(INVESTOR_LIST[INVESTOR NAME],MATCH(I2757,INVESTOR_LIST[INVESTOR CODE],0),)," ")</f>
        <v>MD. OMAR FARUQUE Al QUADERI</v>
      </c>
      <c r="I2757" s="148" t="s">
        <v>424</v>
      </c>
      <c r="J2757" s="133" t="s">
        <v>13</v>
      </c>
      <c r="K2757" s="218"/>
      <c r="L2757" s="218">
        <v>79560</v>
      </c>
    </row>
    <row r="2758" spans="1:14" ht="56.25" x14ac:dyDescent="0.2">
      <c r="A2758" s="163">
        <v>2021</v>
      </c>
      <c r="B2758" s="163">
        <v>4</v>
      </c>
      <c r="C2758" s="163">
        <v>11</v>
      </c>
      <c r="D2758" s="141">
        <f t="shared" si="92"/>
        <v>44297</v>
      </c>
      <c r="E2758" s="275">
        <f t="shared" si="93"/>
        <v>44297</v>
      </c>
      <c r="F2758" s="480"/>
      <c r="G2758" s="221" t="s">
        <v>74</v>
      </c>
      <c r="H2758" s="145" t="str" cm="1">
        <f t="array" ref="H2758">IFERROR(INDEX(INVESTOR_LIST[INVESTOR NAME],MATCH(I2758,INVESTOR_LIST[INVESTOR CODE],0),)," ")</f>
        <v>MD. OMAR FARUQUE Al QUADERI</v>
      </c>
      <c r="I2758" s="145" t="s">
        <v>424</v>
      </c>
      <c r="J2758" s="163" t="s">
        <v>53</v>
      </c>
      <c r="K2758" s="219"/>
      <c r="L2758" s="219">
        <v>20440</v>
      </c>
      <c r="N2758" s="156">
        <f>K2759/12.45</f>
        <v>80321.28514056225</v>
      </c>
    </row>
    <row r="2759" spans="1:14" ht="11.25" customHeight="1" x14ac:dyDescent="0.2">
      <c r="A2759" s="168">
        <v>2021</v>
      </c>
      <c r="B2759" s="168">
        <v>4</v>
      </c>
      <c r="C2759" s="168">
        <v>11</v>
      </c>
      <c r="D2759" s="141">
        <f t="shared" si="92"/>
        <v>44297</v>
      </c>
      <c r="E2759" s="275">
        <f t="shared" si="93"/>
        <v>44297</v>
      </c>
      <c r="F2759" s="479" t="s">
        <v>964</v>
      </c>
      <c r="G2759" s="220" t="s">
        <v>74</v>
      </c>
      <c r="H2759" s="142" t="str" cm="1">
        <f t="array" ref="H2759">IFERROR(INDEX(INVESTOR_LIST[INVESTOR NAME],MATCH(I2759,INVESTOR_LIST[INVESTOR CODE],0),)," ")</f>
        <v>GREEN DELTA SECURITIES LIMITED</v>
      </c>
      <c r="I2759" s="142" t="s">
        <v>684</v>
      </c>
      <c r="J2759" s="168" t="s">
        <v>52</v>
      </c>
      <c r="K2759" s="226">
        <v>1000000</v>
      </c>
      <c r="L2759" s="226"/>
    </row>
    <row r="2760" spans="1:14" ht="56.25" x14ac:dyDescent="0.2">
      <c r="A2760" s="133">
        <v>2021</v>
      </c>
      <c r="B2760" s="133">
        <v>4</v>
      </c>
      <c r="C2760" s="133">
        <v>11</v>
      </c>
      <c r="D2760" s="141">
        <f t="shared" si="92"/>
        <v>44297</v>
      </c>
      <c r="E2760" s="275">
        <f t="shared" si="93"/>
        <v>44297</v>
      </c>
      <c r="F2760" s="481"/>
      <c r="G2760" s="174" t="s">
        <v>74</v>
      </c>
      <c r="H2760" s="148" t="str" cm="1">
        <f t="array" ref="H2760">IFERROR(INDEX(INVESTOR_LIST[INVESTOR NAME],MATCH(I2760,INVESTOR_LIST[INVESTOR CODE],0),)," ")</f>
        <v>GREEN DELTA SECURITIES LIMITED</v>
      </c>
      <c r="I2760" s="148" t="s">
        <v>684</v>
      </c>
      <c r="J2760" s="133" t="s">
        <v>13</v>
      </c>
      <c r="K2760" s="218"/>
      <c r="L2760" s="218">
        <v>803210</v>
      </c>
    </row>
    <row r="2761" spans="1:14" ht="56.25" x14ac:dyDescent="0.2">
      <c r="A2761" s="163">
        <v>2021</v>
      </c>
      <c r="B2761" s="163">
        <v>4</v>
      </c>
      <c r="C2761" s="163">
        <v>11</v>
      </c>
      <c r="D2761" s="141">
        <f t="shared" si="92"/>
        <v>44297</v>
      </c>
      <c r="E2761" s="275">
        <f t="shared" si="93"/>
        <v>44297</v>
      </c>
      <c r="F2761" s="480"/>
      <c r="G2761" s="221" t="s">
        <v>74</v>
      </c>
      <c r="H2761" s="145" t="str" cm="1">
        <f t="array" ref="H2761">IFERROR(INDEX(INVESTOR_LIST[INVESTOR NAME],MATCH(I2761,INVESTOR_LIST[INVESTOR CODE],0),)," ")</f>
        <v>GREEN DELTA SECURITIES LIMITED</v>
      </c>
      <c r="I2761" s="145" t="s">
        <v>684</v>
      </c>
      <c r="J2761" s="163" t="s">
        <v>53</v>
      </c>
      <c r="K2761" s="219"/>
      <c r="L2761" s="219">
        <v>196790</v>
      </c>
    </row>
    <row r="2762" spans="1:14" x14ac:dyDescent="0.2">
      <c r="A2762" s="168">
        <v>2021</v>
      </c>
      <c r="B2762" s="168">
        <v>4</v>
      </c>
      <c r="C2762" s="168">
        <v>11</v>
      </c>
      <c r="D2762" s="141">
        <f t="shared" si="92"/>
        <v>44297</v>
      </c>
      <c r="E2762" s="275">
        <f t="shared" si="93"/>
        <v>44297</v>
      </c>
      <c r="F2762" s="479" t="s">
        <v>77</v>
      </c>
      <c r="G2762" s="220" t="s">
        <v>74</v>
      </c>
      <c r="H2762" s="220" t="str" cm="1">
        <f t="array" ref="H2762">IFERROR(INDEX(INVESTOR_LIST[INVESTOR NAME],MATCH(I2762,INVESTOR_LIST[INVESTOR CODE],0),)," ")</f>
        <v xml:space="preserve"> </v>
      </c>
      <c r="I2762" s="142" t="s">
        <v>348</v>
      </c>
      <c r="J2762" s="143" t="s">
        <v>61</v>
      </c>
      <c r="K2762" s="226">
        <v>60</v>
      </c>
      <c r="L2762" s="226"/>
    </row>
    <row r="2763" spans="1:14" x14ac:dyDescent="0.2">
      <c r="A2763" s="163">
        <v>2021</v>
      </c>
      <c r="B2763" s="163">
        <v>4</v>
      </c>
      <c r="C2763" s="163">
        <v>11</v>
      </c>
      <c r="D2763" s="141">
        <f t="shared" si="92"/>
        <v>44297</v>
      </c>
      <c r="E2763" s="275">
        <f t="shared" si="93"/>
        <v>44297</v>
      </c>
      <c r="F2763" s="480"/>
      <c r="G2763" s="221" t="s">
        <v>74</v>
      </c>
      <c r="H2763" s="221" t="str" cm="1">
        <f t="array" ref="H2763">IFERROR(INDEX(INVESTOR_LIST[INVESTOR NAME],MATCH(I2763,INVESTOR_LIST[INVESTOR CODE],0),)," ")</f>
        <v xml:space="preserve"> </v>
      </c>
      <c r="I2763" s="145" t="s">
        <v>348</v>
      </c>
      <c r="J2763" s="146" t="s">
        <v>52</v>
      </c>
      <c r="K2763" s="219"/>
      <c r="L2763" s="219">
        <v>60</v>
      </c>
    </row>
    <row r="2764" spans="1:14" ht="11.25" customHeight="1" x14ac:dyDescent="0.2">
      <c r="A2764" s="168">
        <v>2021</v>
      </c>
      <c r="B2764" s="168">
        <v>4</v>
      </c>
      <c r="C2764" s="168">
        <v>11</v>
      </c>
      <c r="D2764" s="141">
        <f t="shared" si="92"/>
        <v>44297</v>
      </c>
      <c r="E2764" s="275">
        <f t="shared" si="93"/>
        <v>44297</v>
      </c>
      <c r="F2764" s="479" t="s">
        <v>254</v>
      </c>
      <c r="G2764" s="220" t="s">
        <v>74</v>
      </c>
      <c r="H2764" s="142" t="str" cm="1">
        <f t="array" ref="H2764">IFERROR(INDEX(INVESTOR_LIST[INVESTOR NAME],MATCH(I2764,INVESTOR_LIST[INVESTOR CODE],0),)," ")</f>
        <v xml:space="preserve"> </v>
      </c>
      <c r="I2764" s="142"/>
      <c r="J2764" s="168" t="s">
        <v>52</v>
      </c>
      <c r="K2764" s="226">
        <v>10000</v>
      </c>
      <c r="L2764" s="226"/>
    </row>
    <row r="2765" spans="1:14" x14ac:dyDescent="0.2">
      <c r="A2765" s="133">
        <v>2021</v>
      </c>
      <c r="B2765" s="133">
        <v>4</v>
      </c>
      <c r="C2765" s="133">
        <v>11</v>
      </c>
      <c r="D2765" s="141">
        <f t="shared" si="92"/>
        <v>44297</v>
      </c>
      <c r="E2765" s="275">
        <f t="shared" si="93"/>
        <v>44297</v>
      </c>
      <c r="F2765" s="481"/>
      <c r="G2765" s="174" t="s">
        <v>74</v>
      </c>
      <c r="H2765" s="148" t="str" cm="1">
        <f t="array" ref="H2765">IFERROR(INDEX(INVESTOR_LIST[INVESTOR NAME],MATCH(I2765,INVESTOR_LIST[INVESTOR CODE],0),)," ")</f>
        <v xml:space="preserve"> </v>
      </c>
      <c r="J2765" s="133" t="s">
        <v>13</v>
      </c>
      <c r="K2765" s="218"/>
      <c r="L2765" s="218">
        <v>8030</v>
      </c>
    </row>
    <row r="2766" spans="1:14" x14ac:dyDescent="0.2">
      <c r="A2766" s="163">
        <v>2021</v>
      </c>
      <c r="B2766" s="163">
        <v>4</v>
      </c>
      <c r="C2766" s="163">
        <v>11</v>
      </c>
      <c r="D2766" s="141">
        <f t="shared" ref="D2766:D2829" si="94">DATE(A2766,B2766,C2766)</f>
        <v>44297</v>
      </c>
      <c r="E2766" s="275">
        <f t="shared" si="93"/>
        <v>44297</v>
      </c>
      <c r="F2766" s="480"/>
      <c r="G2766" s="221" t="s">
        <v>74</v>
      </c>
      <c r="H2766" s="145" t="str" cm="1">
        <f t="array" ref="H2766">IFERROR(INDEX(INVESTOR_LIST[INVESTOR NAME],MATCH(I2766,INVESTOR_LIST[INVESTOR CODE],0),)," ")</f>
        <v xml:space="preserve"> </v>
      </c>
      <c r="I2766" s="145"/>
      <c r="J2766" s="163" t="s">
        <v>53</v>
      </c>
      <c r="K2766" s="219"/>
      <c r="L2766" s="219">
        <v>1970</v>
      </c>
    </row>
    <row r="2767" spans="1:14" x14ac:dyDescent="0.2">
      <c r="A2767" s="168">
        <v>2021</v>
      </c>
      <c r="B2767" s="168">
        <v>4</v>
      </c>
      <c r="C2767" s="168">
        <v>12</v>
      </c>
      <c r="D2767" s="141">
        <f t="shared" si="94"/>
        <v>44298</v>
      </c>
      <c r="E2767" s="275">
        <f t="shared" ref="E2767:E2830" si="95">DATE(A2767,B2767,C2767)</f>
        <v>44298</v>
      </c>
      <c r="F2767" s="479" t="s">
        <v>77</v>
      </c>
      <c r="G2767" s="220" t="s">
        <v>74</v>
      </c>
      <c r="H2767" s="220" t="str" cm="1">
        <f t="array" ref="H2767">IFERROR(INDEX(INVESTOR_LIST[INVESTOR NAME],MATCH(I2767,INVESTOR_LIST[INVESTOR CODE],0),)," ")</f>
        <v xml:space="preserve"> </v>
      </c>
      <c r="I2767" s="142" t="s">
        <v>348</v>
      </c>
      <c r="J2767" s="143" t="s">
        <v>61</v>
      </c>
      <c r="K2767" s="226">
        <v>575</v>
      </c>
      <c r="L2767" s="226"/>
    </row>
    <row r="2768" spans="1:14" x14ac:dyDescent="0.2">
      <c r="A2768" s="163">
        <v>2021</v>
      </c>
      <c r="B2768" s="163">
        <v>4</v>
      </c>
      <c r="C2768" s="163">
        <v>12</v>
      </c>
      <c r="D2768" s="141">
        <f t="shared" si="94"/>
        <v>44298</v>
      </c>
      <c r="E2768" s="275">
        <f t="shared" si="95"/>
        <v>44298</v>
      </c>
      <c r="F2768" s="480"/>
      <c r="G2768" s="221" t="s">
        <v>74</v>
      </c>
      <c r="H2768" s="221" t="str" cm="1">
        <f t="array" ref="H2768">IFERROR(INDEX(INVESTOR_LIST[INVESTOR NAME],MATCH(I2768,INVESTOR_LIST[INVESTOR CODE],0),)," ")</f>
        <v xml:space="preserve"> </v>
      </c>
      <c r="I2768" s="145" t="s">
        <v>348</v>
      </c>
      <c r="J2768" s="146" t="s">
        <v>52</v>
      </c>
      <c r="K2768" s="219"/>
      <c r="L2768" s="219">
        <v>575</v>
      </c>
    </row>
    <row r="2769" spans="1:14" x14ac:dyDescent="0.2">
      <c r="A2769" s="168">
        <v>2021</v>
      </c>
      <c r="B2769" s="168">
        <v>4</v>
      </c>
      <c r="C2769" s="168">
        <v>13</v>
      </c>
      <c r="D2769" s="141">
        <f t="shared" si="94"/>
        <v>44299</v>
      </c>
      <c r="E2769" s="275">
        <f t="shared" si="95"/>
        <v>44299</v>
      </c>
      <c r="F2769" s="479" t="s">
        <v>274</v>
      </c>
      <c r="G2769" s="220" t="s">
        <v>94</v>
      </c>
      <c r="H2769" s="142" t="str" cm="1">
        <f t="array" ref="H2769">IFERROR(INDEX(INVESTOR_LIST[INVESTOR NAME],MATCH(I2769,INVESTOR_LIST[INVESTOR CODE],0),)," ")</f>
        <v xml:space="preserve"> </v>
      </c>
      <c r="I2769" s="142"/>
      <c r="J2769" s="168" t="s">
        <v>79</v>
      </c>
      <c r="K2769" s="226">
        <v>997383.5</v>
      </c>
      <c r="L2769" s="226"/>
    </row>
    <row r="2770" spans="1:14" x14ac:dyDescent="0.2">
      <c r="A2770" s="133">
        <v>2021</v>
      </c>
      <c r="B2770" s="133">
        <v>4</v>
      </c>
      <c r="C2770" s="133">
        <v>13</v>
      </c>
      <c r="D2770" s="141">
        <f t="shared" si="94"/>
        <v>44299</v>
      </c>
      <c r="E2770" s="275">
        <f t="shared" si="95"/>
        <v>44299</v>
      </c>
      <c r="F2770" s="481"/>
      <c r="G2770" s="174" t="s">
        <v>94</v>
      </c>
      <c r="H2770" s="148" t="str" cm="1">
        <f t="array" ref="H2770">IFERROR(INDEX(INVESTOR_LIST[INVESTOR NAME],MATCH(I2770,INVESTOR_LIST[INVESTOR CODE],0),)," ")</f>
        <v xml:space="preserve"> </v>
      </c>
      <c r="J2770" s="133" t="s">
        <v>80</v>
      </c>
      <c r="K2770" s="218">
        <v>1795.29</v>
      </c>
      <c r="L2770" s="218"/>
    </row>
    <row r="2771" spans="1:14" x14ac:dyDescent="0.2">
      <c r="A2771" s="163">
        <v>2021</v>
      </c>
      <c r="B2771" s="163">
        <v>4</v>
      </c>
      <c r="C2771" s="163">
        <v>13</v>
      </c>
      <c r="D2771" s="141">
        <f t="shared" si="94"/>
        <v>44299</v>
      </c>
      <c r="E2771" s="275">
        <f t="shared" si="95"/>
        <v>44299</v>
      </c>
      <c r="F2771" s="480"/>
      <c r="G2771" s="221" t="s">
        <v>94</v>
      </c>
      <c r="H2771" s="145" t="str" cm="1">
        <f t="array" ref="H2771">IFERROR(INDEX(INVESTOR_LIST[INVESTOR NAME],MATCH(I2771,INVESTOR_LIST[INVESTOR CODE],0),)," ")</f>
        <v xml:space="preserve"> </v>
      </c>
      <c r="I2771" s="145"/>
      <c r="J2771" s="163" t="s">
        <v>147</v>
      </c>
      <c r="K2771" s="219"/>
      <c r="L2771" s="219">
        <v>999178.79</v>
      </c>
    </row>
    <row r="2772" spans="1:14" ht="33.75" x14ac:dyDescent="0.2">
      <c r="A2772" s="168">
        <v>2021</v>
      </c>
      <c r="B2772" s="168">
        <v>4</v>
      </c>
      <c r="C2772" s="168">
        <v>13</v>
      </c>
      <c r="D2772" s="141">
        <f t="shared" si="94"/>
        <v>44299</v>
      </c>
      <c r="E2772" s="275">
        <f t="shared" si="95"/>
        <v>44299</v>
      </c>
      <c r="F2772" s="479" t="s">
        <v>965</v>
      </c>
      <c r="G2772" s="220" t="s">
        <v>74</v>
      </c>
      <c r="H2772" s="220" t="str" cm="1">
        <f t="array" ref="H2772">IFERROR(INDEX(INVESTOR_LIST[INVESTOR NAME],MATCH(I2772,INVESTOR_LIST[INVESTOR CODE],0),)," ")</f>
        <v>SYED FAZLE RABBY</v>
      </c>
      <c r="I2772" s="142" t="s">
        <v>427</v>
      </c>
      <c r="J2772" s="143" t="s">
        <v>13</v>
      </c>
      <c r="K2772" s="226">
        <v>200000</v>
      </c>
      <c r="L2772" s="226"/>
    </row>
    <row r="2773" spans="1:14" ht="33.75" x14ac:dyDescent="0.2">
      <c r="A2773" s="133">
        <v>2021</v>
      </c>
      <c r="B2773" s="133">
        <v>4</v>
      </c>
      <c r="C2773" s="133">
        <v>13</v>
      </c>
      <c r="D2773" s="141">
        <f t="shared" si="94"/>
        <v>44299</v>
      </c>
      <c r="E2773" s="275">
        <f t="shared" si="95"/>
        <v>44299</v>
      </c>
      <c r="F2773" s="481"/>
      <c r="G2773" s="174" t="s">
        <v>74</v>
      </c>
      <c r="H2773" s="174" t="str" cm="1">
        <f t="array" ref="H2773">IFERROR(INDEX(INVESTOR_LIST[INVESTOR NAME],MATCH(I2773,INVESTOR_LIST[INVESTOR CODE],0),)," ")</f>
        <v>SYED FAZLE RABBY</v>
      </c>
      <c r="I2773" s="148" t="s">
        <v>427</v>
      </c>
      <c r="J2773" s="149" t="s">
        <v>53</v>
      </c>
      <c r="K2773" s="218">
        <v>51400.66</v>
      </c>
      <c r="L2773" s="218"/>
      <c r="N2773" s="156">
        <f>L2777/12.57</f>
        <v>2784.4073190135241</v>
      </c>
    </row>
    <row r="2774" spans="1:14" ht="33.75" x14ac:dyDescent="0.2">
      <c r="A2774" s="163">
        <v>2021</v>
      </c>
      <c r="B2774" s="163">
        <v>4</v>
      </c>
      <c r="C2774" s="163">
        <v>13</v>
      </c>
      <c r="D2774" s="141">
        <f t="shared" si="94"/>
        <v>44299</v>
      </c>
      <c r="E2774" s="275">
        <f t="shared" si="95"/>
        <v>44299</v>
      </c>
      <c r="F2774" s="480"/>
      <c r="G2774" s="221" t="s">
        <v>74</v>
      </c>
      <c r="H2774" s="221" t="str" cm="1">
        <f t="array" ref="H2774">IFERROR(INDEX(INVESTOR_LIST[INVESTOR NAME],MATCH(I2774,INVESTOR_LIST[INVESTOR CODE],0),)," ")</f>
        <v>SYED FAZLE RABBY</v>
      </c>
      <c r="I2774" s="145" t="s">
        <v>427</v>
      </c>
      <c r="J2774" s="146" t="s">
        <v>52</v>
      </c>
      <c r="K2774" s="219"/>
      <c r="L2774" s="219">
        <v>251400.66</v>
      </c>
    </row>
    <row r="2775" spans="1:14" ht="45" x14ac:dyDescent="0.2">
      <c r="A2775" s="168">
        <v>2021</v>
      </c>
      <c r="B2775" s="168">
        <v>4</v>
      </c>
      <c r="C2775" s="168">
        <v>13</v>
      </c>
      <c r="D2775" s="141">
        <f t="shared" si="94"/>
        <v>44299</v>
      </c>
      <c r="E2775" s="275">
        <f t="shared" si="95"/>
        <v>44299</v>
      </c>
      <c r="F2775" s="479" t="s">
        <v>965</v>
      </c>
      <c r="G2775" s="220" t="s">
        <v>74</v>
      </c>
      <c r="H2775" s="220" t="str" cm="1">
        <f t="array" ref="H2775">IFERROR(INDEX(INVESTOR_LIST[INVESTOR NAME],MATCH(I2775,INVESTOR_LIST[INVESTOR CODE],0),)," ")</f>
        <v>MD MIZANUR RAHMAN</v>
      </c>
      <c r="I2775" s="142" t="s">
        <v>482</v>
      </c>
      <c r="J2775" s="143" t="s">
        <v>13</v>
      </c>
      <c r="K2775" s="226">
        <v>27850</v>
      </c>
      <c r="L2775" s="226"/>
    </row>
    <row r="2776" spans="1:14" ht="45" x14ac:dyDescent="0.2">
      <c r="A2776" s="133">
        <v>2021</v>
      </c>
      <c r="B2776" s="133">
        <v>4</v>
      </c>
      <c r="C2776" s="133">
        <v>13</v>
      </c>
      <c r="D2776" s="141">
        <f t="shared" si="94"/>
        <v>44299</v>
      </c>
      <c r="E2776" s="275">
        <f t="shared" si="95"/>
        <v>44299</v>
      </c>
      <c r="F2776" s="481"/>
      <c r="G2776" s="174" t="s">
        <v>74</v>
      </c>
      <c r="H2776" s="174" t="str" cm="1">
        <f t="array" ref="H2776">IFERROR(INDEX(INVESTOR_LIST[INVESTOR NAME],MATCH(I2776,INVESTOR_LIST[INVESTOR CODE],0),)," ")</f>
        <v>MD MIZANUR RAHMAN</v>
      </c>
      <c r="I2776" s="148" t="s">
        <v>482</v>
      </c>
      <c r="J2776" s="149" t="s">
        <v>53</v>
      </c>
      <c r="K2776" s="218">
        <v>7150</v>
      </c>
      <c r="L2776" s="218"/>
    </row>
    <row r="2777" spans="1:14" ht="45" x14ac:dyDescent="0.2">
      <c r="A2777" s="163">
        <v>2021</v>
      </c>
      <c r="B2777" s="163">
        <v>4</v>
      </c>
      <c r="C2777" s="163">
        <v>13</v>
      </c>
      <c r="D2777" s="141">
        <f t="shared" si="94"/>
        <v>44299</v>
      </c>
      <c r="E2777" s="275">
        <f t="shared" si="95"/>
        <v>44299</v>
      </c>
      <c r="F2777" s="480"/>
      <c r="G2777" s="221" t="s">
        <v>74</v>
      </c>
      <c r="H2777" s="221" t="str" cm="1">
        <f t="array" ref="H2777">IFERROR(INDEX(INVESTOR_LIST[INVESTOR NAME],MATCH(I2777,INVESTOR_LIST[INVESTOR CODE],0),)," ")</f>
        <v>MD MIZANUR RAHMAN</v>
      </c>
      <c r="I2777" s="145" t="s">
        <v>482</v>
      </c>
      <c r="J2777" s="146" t="s">
        <v>52</v>
      </c>
      <c r="K2777" s="219"/>
      <c r="L2777" s="219">
        <v>35000</v>
      </c>
    </row>
    <row r="2778" spans="1:14" x14ac:dyDescent="0.2">
      <c r="A2778" s="238">
        <v>2021</v>
      </c>
      <c r="B2778" s="238">
        <v>4</v>
      </c>
      <c r="C2778" s="238">
        <v>15</v>
      </c>
      <c r="D2778" s="141">
        <f t="shared" si="94"/>
        <v>44301</v>
      </c>
      <c r="E2778" s="275">
        <f t="shared" si="95"/>
        <v>44301</v>
      </c>
      <c r="F2778" s="477" t="s">
        <v>347</v>
      </c>
      <c r="G2778" s="239" t="s">
        <v>94</v>
      </c>
      <c r="H2778" s="239" t="str" cm="1">
        <f t="array" ref="H2778">IFERROR(INDEX(INVESTOR_LIST[INVESTOR NAME],MATCH(I2778,INVESTOR_LIST[INVESTOR CODE],0),)," ")</f>
        <v xml:space="preserve"> </v>
      </c>
      <c r="I2778" s="262" t="s">
        <v>348</v>
      </c>
      <c r="J2778" s="240" t="s">
        <v>108</v>
      </c>
      <c r="K2778" s="241">
        <v>308284</v>
      </c>
      <c r="L2778" s="241"/>
    </row>
    <row r="2779" spans="1:14" x14ac:dyDescent="0.2">
      <c r="A2779" s="242">
        <v>2021</v>
      </c>
      <c r="B2779" s="242">
        <v>4</v>
      </c>
      <c r="C2779" s="242">
        <v>15</v>
      </c>
      <c r="D2779" s="141">
        <f t="shared" si="94"/>
        <v>44301</v>
      </c>
      <c r="E2779" s="275">
        <f t="shared" si="95"/>
        <v>44301</v>
      </c>
      <c r="F2779" s="478"/>
      <c r="G2779" s="243" t="s">
        <v>94</v>
      </c>
      <c r="H2779" s="243" t="str" cm="1">
        <f t="array" ref="H2779">IFERROR(INDEX(INVESTOR_LIST[INVESTOR NAME],MATCH(I2779,INVESTOR_LIST[INVESTOR CODE],0),)," ")</f>
        <v xml:space="preserve"> </v>
      </c>
      <c r="I2779" s="263" t="s">
        <v>348</v>
      </c>
      <c r="J2779" s="244" t="s">
        <v>82</v>
      </c>
      <c r="K2779" s="245"/>
      <c r="L2779" s="245">
        <v>308284</v>
      </c>
    </row>
    <row r="2780" spans="1:14" ht="22.5" x14ac:dyDescent="0.2">
      <c r="A2780" s="246">
        <v>2021</v>
      </c>
      <c r="B2780" s="246">
        <v>4</v>
      </c>
      <c r="C2780" s="246">
        <v>15</v>
      </c>
      <c r="D2780" s="141">
        <f t="shared" si="94"/>
        <v>44301</v>
      </c>
      <c r="E2780" s="275">
        <f t="shared" si="95"/>
        <v>44301</v>
      </c>
      <c r="F2780" s="482" t="s">
        <v>148</v>
      </c>
      <c r="G2780" s="247" t="s">
        <v>94</v>
      </c>
      <c r="H2780" s="247" t="str" cm="1">
        <f t="array" ref="H2780">IFERROR(INDEX(INVESTOR_LIST[INVESTOR NAME],MATCH(I2780,INVESTOR_LIST[INVESTOR CODE],0),)," ")</f>
        <v xml:space="preserve"> </v>
      </c>
      <c r="I2780" s="248" t="s">
        <v>348</v>
      </c>
      <c r="J2780" s="249" t="s">
        <v>95</v>
      </c>
      <c r="K2780" s="250">
        <v>2747.2527472527472</v>
      </c>
      <c r="L2780" s="241"/>
      <c r="M2780" s="133">
        <v>2747.2527472527472</v>
      </c>
    </row>
    <row r="2781" spans="1:14" x14ac:dyDescent="0.2">
      <c r="A2781" s="242">
        <v>2021</v>
      </c>
      <c r="B2781" s="242">
        <v>4</v>
      </c>
      <c r="C2781" s="242">
        <v>15</v>
      </c>
      <c r="D2781" s="141">
        <f t="shared" si="94"/>
        <v>44301</v>
      </c>
      <c r="E2781" s="275">
        <f t="shared" si="95"/>
        <v>44301</v>
      </c>
      <c r="F2781" s="478"/>
      <c r="G2781" s="243" t="s">
        <v>94</v>
      </c>
      <c r="H2781" s="243" t="str" cm="1">
        <f t="array" ref="H2781">IFERROR(INDEX(INVESTOR_LIST[INVESTOR NAME],MATCH(I2781,INVESTOR_LIST[INVESTOR CODE],0),)," ")</f>
        <v xml:space="preserve"> </v>
      </c>
      <c r="I2781" s="263" t="s">
        <v>348</v>
      </c>
      <c r="J2781" s="244" t="s">
        <v>63</v>
      </c>
      <c r="K2781" s="245"/>
      <c r="L2781" s="245">
        <v>2747.2527472527472</v>
      </c>
      <c r="M2781" s="133">
        <v>84390.816366408428</v>
      </c>
    </row>
    <row r="2782" spans="1:14" x14ac:dyDescent="0.2">
      <c r="A2782" s="246">
        <v>2021</v>
      </c>
      <c r="B2782" s="246">
        <v>4</v>
      </c>
      <c r="C2782" s="246">
        <v>15</v>
      </c>
      <c r="D2782" s="141">
        <f t="shared" si="94"/>
        <v>44301</v>
      </c>
      <c r="E2782" s="275">
        <f t="shared" si="95"/>
        <v>44301</v>
      </c>
      <c r="F2782" s="482" t="s">
        <v>137</v>
      </c>
      <c r="G2782" s="247" t="s">
        <v>94</v>
      </c>
      <c r="H2782" s="247" t="str" cm="1">
        <f t="array" ref="H2782">IFERROR(INDEX(INVESTOR_LIST[INVESTOR NAME],MATCH(I2782,INVESTOR_LIST[INVESTOR CODE],0),)," ")</f>
        <v xml:space="preserve"> </v>
      </c>
      <c r="I2782" s="248" t="s">
        <v>348</v>
      </c>
      <c r="J2782" s="249" t="s">
        <v>97</v>
      </c>
      <c r="K2782" s="250">
        <v>84390.816366408428</v>
      </c>
      <c r="L2782" s="252"/>
      <c r="M2782" s="133">
        <v>3979.156202935806</v>
      </c>
    </row>
    <row r="2783" spans="1:14" x14ac:dyDescent="0.2">
      <c r="A2783" s="242">
        <v>2021</v>
      </c>
      <c r="B2783" s="242">
        <v>4</v>
      </c>
      <c r="C2783" s="242">
        <v>15</v>
      </c>
      <c r="D2783" s="141">
        <f t="shared" si="94"/>
        <v>44301</v>
      </c>
      <c r="E2783" s="275">
        <f t="shared" si="95"/>
        <v>44301</v>
      </c>
      <c r="F2783" s="478"/>
      <c r="G2783" s="243" t="s">
        <v>94</v>
      </c>
      <c r="H2783" s="243" t="str" cm="1">
        <f t="array" ref="H2783">IFERROR(INDEX(INVESTOR_LIST[INVESTOR NAME],MATCH(I2783,INVESTOR_LIST[INVESTOR CODE],0),)," ")</f>
        <v xml:space="preserve"> </v>
      </c>
      <c r="I2783" s="263" t="s">
        <v>348</v>
      </c>
      <c r="J2783" s="244" t="s">
        <v>47</v>
      </c>
      <c r="K2783" s="245"/>
      <c r="L2783" s="245">
        <v>84390.816366408428</v>
      </c>
    </row>
    <row r="2784" spans="1:14" x14ac:dyDescent="0.2">
      <c r="A2784" s="246">
        <v>2021</v>
      </c>
      <c r="B2784" s="246">
        <v>4</v>
      </c>
      <c r="C2784" s="246">
        <v>15</v>
      </c>
      <c r="D2784" s="141">
        <f t="shared" si="94"/>
        <v>44301</v>
      </c>
      <c r="E2784" s="275">
        <f t="shared" si="95"/>
        <v>44301</v>
      </c>
      <c r="F2784" s="482" t="s">
        <v>138</v>
      </c>
      <c r="G2784" s="247" t="s">
        <v>94</v>
      </c>
      <c r="H2784" s="247" t="str" cm="1">
        <f t="array" ref="H2784">IFERROR(INDEX(INVESTOR_LIST[INVESTOR NAME],MATCH(I2784,INVESTOR_LIST[INVESTOR CODE],0),)," ")</f>
        <v xml:space="preserve"> </v>
      </c>
      <c r="I2784" s="248" t="s">
        <v>348</v>
      </c>
      <c r="J2784" s="249" t="s">
        <v>100</v>
      </c>
      <c r="K2784" s="250">
        <v>3979.156202935806</v>
      </c>
      <c r="L2784" s="252"/>
    </row>
    <row r="2785" spans="1:13" x14ac:dyDescent="0.2">
      <c r="A2785" s="242">
        <v>2021</v>
      </c>
      <c r="B2785" s="242">
        <v>4</v>
      </c>
      <c r="C2785" s="242">
        <v>15</v>
      </c>
      <c r="D2785" s="141">
        <f t="shared" si="94"/>
        <v>44301</v>
      </c>
      <c r="E2785" s="275">
        <f t="shared" si="95"/>
        <v>44301</v>
      </c>
      <c r="F2785" s="478"/>
      <c r="G2785" s="243" t="s">
        <v>94</v>
      </c>
      <c r="H2785" s="243" t="str" cm="1">
        <f t="array" ref="H2785">IFERROR(INDEX(INVESTOR_LIST[INVESTOR NAME],MATCH(I2785,INVESTOR_LIST[INVESTOR CODE],0),)," ")</f>
        <v xml:space="preserve"> </v>
      </c>
      <c r="I2785" s="263" t="s">
        <v>348</v>
      </c>
      <c r="J2785" s="244" t="s">
        <v>48</v>
      </c>
      <c r="K2785" s="245"/>
      <c r="L2785" s="245">
        <v>3979.156202935806</v>
      </c>
    </row>
    <row r="2786" spans="1:13" x14ac:dyDescent="0.2">
      <c r="A2786" s="168">
        <v>2021</v>
      </c>
      <c r="B2786" s="168">
        <v>4</v>
      </c>
      <c r="C2786" s="168">
        <v>18</v>
      </c>
      <c r="D2786" s="141">
        <f t="shared" si="94"/>
        <v>44304</v>
      </c>
      <c r="E2786" s="275">
        <f t="shared" si="95"/>
        <v>44304</v>
      </c>
      <c r="F2786" s="494" t="s">
        <v>524</v>
      </c>
      <c r="G2786" s="220" t="s">
        <v>74</v>
      </c>
      <c r="H2786" s="220" t="str" cm="1">
        <f t="array" ref="H2786">IFERROR(INDEX(INVESTOR_LIST[INVESTOR NAME],MATCH(I2786,INVESTOR_LIST[INVESTOR CODE],0),)," ")</f>
        <v xml:space="preserve"> </v>
      </c>
      <c r="I2786" s="142"/>
      <c r="J2786" s="143" t="s">
        <v>147</v>
      </c>
      <c r="K2786" s="226">
        <v>999178.79</v>
      </c>
      <c r="L2786" s="226"/>
    </row>
    <row r="2787" spans="1:13" x14ac:dyDescent="0.2">
      <c r="A2787" s="163">
        <v>2021</v>
      </c>
      <c r="B2787" s="163">
        <v>4</v>
      </c>
      <c r="C2787" s="163">
        <v>18</v>
      </c>
      <c r="D2787" s="141">
        <f t="shared" si="94"/>
        <v>44304</v>
      </c>
      <c r="E2787" s="275">
        <f t="shared" si="95"/>
        <v>44304</v>
      </c>
      <c r="F2787" s="495"/>
      <c r="G2787" s="221" t="s">
        <v>74</v>
      </c>
      <c r="H2787" s="221" t="str" cm="1">
        <f t="array" ref="H2787">IFERROR(INDEX(INVESTOR_LIST[INVESTOR NAME],MATCH(I2787,INVESTOR_LIST[INVESTOR CODE],0),)," ")</f>
        <v xml:space="preserve"> </v>
      </c>
      <c r="I2787" s="145"/>
      <c r="J2787" s="146" t="s">
        <v>52</v>
      </c>
      <c r="K2787" s="219"/>
      <c r="L2787" s="219">
        <v>999178.79</v>
      </c>
    </row>
    <row r="2788" spans="1:13" x14ac:dyDescent="0.2">
      <c r="A2788" s="168">
        <v>2021</v>
      </c>
      <c r="B2788" s="168">
        <v>4</v>
      </c>
      <c r="C2788" s="168">
        <v>19</v>
      </c>
      <c r="D2788" s="141">
        <f t="shared" si="94"/>
        <v>44305</v>
      </c>
      <c r="E2788" s="275">
        <f t="shared" si="95"/>
        <v>44305</v>
      </c>
      <c r="F2788" s="494" t="s">
        <v>275</v>
      </c>
      <c r="G2788" s="220" t="s">
        <v>74</v>
      </c>
      <c r="H2788" s="142" t="str" cm="1">
        <f t="array" ref="H2788">IFERROR(INDEX(INVESTOR_LIST[INVESTOR NAME],MATCH(I2788,INVESTOR_LIST[INVESTOR CODE],0),)," ")</f>
        <v xml:space="preserve"> </v>
      </c>
      <c r="I2788" s="142"/>
      <c r="J2788" s="168" t="s">
        <v>163</v>
      </c>
      <c r="K2788" s="226">
        <v>3150</v>
      </c>
      <c r="L2788" s="226"/>
    </row>
    <row r="2789" spans="1:13" x14ac:dyDescent="0.2">
      <c r="A2789" s="163">
        <v>2021</v>
      </c>
      <c r="B2789" s="163">
        <v>4</v>
      </c>
      <c r="C2789" s="163">
        <v>19</v>
      </c>
      <c r="D2789" s="141">
        <f t="shared" si="94"/>
        <v>44305</v>
      </c>
      <c r="E2789" s="275">
        <f t="shared" si="95"/>
        <v>44305</v>
      </c>
      <c r="F2789" s="495"/>
      <c r="G2789" s="221" t="s">
        <v>74</v>
      </c>
      <c r="H2789" s="145" t="str" cm="1">
        <f t="array" ref="H2789">IFERROR(INDEX(INVESTOR_LIST[INVESTOR NAME],MATCH(I2789,INVESTOR_LIST[INVESTOR CODE],0),)," ")</f>
        <v xml:space="preserve"> </v>
      </c>
      <c r="I2789" s="145"/>
      <c r="J2789" s="163" t="s">
        <v>52</v>
      </c>
      <c r="K2789" s="219"/>
      <c r="L2789" s="219">
        <v>3150</v>
      </c>
    </row>
    <row r="2790" spans="1:13" x14ac:dyDescent="0.2">
      <c r="A2790" s="168">
        <v>2021</v>
      </c>
      <c r="B2790" s="168">
        <v>4</v>
      </c>
      <c r="C2790" s="168">
        <v>21</v>
      </c>
      <c r="D2790" s="141">
        <f t="shared" si="94"/>
        <v>44307</v>
      </c>
      <c r="E2790" s="275">
        <f t="shared" si="95"/>
        <v>44307</v>
      </c>
      <c r="F2790" s="479" t="s">
        <v>687</v>
      </c>
      <c r="G2790" s="220" t="s">
        <v>74</v>
      </c>
      <c r="H2790" s="142" t="str" cm="1">
        <f t="array" ref="H2790">IFERROR(INDEX(INVESTOR_LIST[INVESTOR NAME],MATCH(I2790,INVESTOR_LIST[INVESTOR CODE],0),)," ")</f>
        <v xml:space="preserve"> </v>
      </c>
      <c r="I2790" s="142"/>
      <c r="J2790" s="168" t="s">
        <v>52</v>
      </c>
      <c r="K2790" s="226">
        <v>375000</v>
      </c>
      <c r="L2790" s="226"/>
    </row>
    <row r="2791" spans="1:13" x14ac:dyDescent="0.2">
      <c r="A2791" s="163">
        <v>2021</v>
      </c>
      <c r="B2791" s="163">
        <v>4</v>
      </c>
      <c r="C2791" s="163">
        <v>21</v>
      </c>
      <c r="D2791" s="141">
        <f t="shared" si="94"/>
        <v>44307</v>
      </c>
      <c r="E2791" s="275">
        <f t="shared" si="95"/>
        <v>44307</v>
      </c>
      <c r="F2791" s="480"/>
      <c r="G2791" s="221" t="s">
        <v>74</v>
      </c>
      <c r="H2791" s="145" t="str" cm="1">
        <f t="array" ref="H2791">IFERROR(INDEX(INVESTOR_LIST[INVESTOR NAME],MATCH(I2791,INVESTOR_LIST[INVESTOR CODE],0),)," ")</f>
        <v xml:space="preserve"> </v>
      </c>
      <c r="I2791" s="145"/>
      <c r="J2791" s="163" t="s">
        <v>168</v>
      </c>
      <c r="K2791" s="219"/>
      <c r="L2791" s="219">
        <v>375000</v>
      </c>
    </row>
    <row r="2792" spans="1:13" x14ac:dyDescent="0.2">
      <c r="A2792" s="168">
        <v>2021</v>
      </c>
      <c r="B2792" s="168">
        <v>4</v>
      </c>
      <c r="C2792" s="168">
        <v>21</v>
      </c>
      <c r="D2792" s="141">
        <f t="shared" si="94"/>
        <v>44307</v>
      </c>
      <c r="E2792" s="275">
        <f t="shared" si="95"/>
        <v>44307</v>
      </c>
      <c r="F2792" s="479" t="s">
        <v>688</v>
      </c>
      <c r="G2792" s="220" t="s">
        <v>74</v>
      </c>
      <c r="H2792" s="142" t="str" cm="1">
        <f t="array" ref="H2792">IFERROR(INDEX(INVESTOR_LIST[INVESTOR NAME],MATCH(I2792,INVESTOR_LIST[INVESTOR CODE],0),)," ")</f>
        <v xml:space="preserve"> </v>
      </c>
      <c r="I2792" s="142"/>
      <c r="J2792" s="168" t="s">
        <v>52</v>
      </c>
      <c r="K2792" s="226">
        <v>899000</v>
      </c>
      <c r="L2792" s="226"/>
    </row>
    <row r="2793" spans="1:13" x14ac:dyDescent="0.2">
      <c r="A2793" s="163">
        <v>2021</v>
      </c>
      <c r="B2793" s="163">
        <v>4</v>
      </c>
      <c r="C2793" s="163">
        <v>21</v>
      </c>
      <c r="D2793" s="141">
        <f t="shared" si="94"/>
        <v>44307</v>
      </c>
      <c r="E2793" s="275">
        <f t="shared" si="95"/>
        <v>44307</v>
      </c>
      <c r="F2793" s="480"/>
      <c r="G2793" s="221" t="s">
        <v>74</v>
      </c>
      <c r="H2793" s="145" t="str" cm="1">
        <f t="array" ref="H2793">IFERROR(INDEX(INVESTOR_LIST[INVESTOR NAME],MATCH(I2793,INVESTOR_LIST[INVESTOR CODE],0),)," ")</f>
        <v xml:space="preserve"> </v>
      </c>
      <c r="I2793" s="145"/>
      <c r="J2793" s="163" t="s">
        <v>168</v>
      </c>
      <c r="K2793" s="219"/>
      <c r="L2793" s="219">
        <v>899000</v>
      </c>
    </row>
    <row r="2794" spans="1:13" x14ac:dyDescent="0.2">
      <c r="A2794" s="168">
        <v>2021</v>
      </c>
      <c r="B2794" s="168">
        <v>4</v>
      </c>
      <c r="C2794" s="168">
        <v>22</v>
      </c>
      <c r="D2794" s="141">
        <f t="shared" si="94"/>
        <v>44308</v>
      </c>
      <c r="E2794" s="275">
        <f t="shared" si="95"/>
        <v>44308</v>
      </c>
      <c r="F2794" s="494" t="s">
        <v>524</v>
      </c>
      <c r="G2794" s="220" t="s">
        <v>74</v>
      </c>
      <c r="H2794" s="220" t="str" cm="1">
        <f t="array" ref="H2794">IFERROR(INDEX(INVESTOR_LIST[INVESTOR NAME],MATCH(I2794,INVESTOR_LIST[INVESTOR CODE],0),)," ")</f>
        <v xml:space="preserve"> </v>
      </c>
      <c r="I2794" s="142"/>
      <c r="J2794" s="143" t="s">
        <v>147</v>
      </c>
      <c r="K2794" s="226">
        <v>1943892.72</v>
      </c>
      <c r="L2794" s="226"/>
    </row>
    <row r="2795" spans="1:13" x14ac:dyDescent="0.2">
      <c r="A2795" s="163">
        <v>2021</v>
      </c>
      <c r="B2795" s="163">
        <v>4</v>
      </c>
      <c r="C2795" s="163">
        <v>22</v>
      </c>
      <c r="D2795" s="141">
        <f t="shared" si="94"/>
        <v>44308</v>
      </c>
      <c r="E2795" s="275">
        <f t="shared" si="95"/>
        <v>44308</v>
      </c>
      <c r="F2795" s="495"/>
      <c r="G2795" s="221" t="s">
        <v>74</v>
      </c>
      <c r="H2795" s="221" t="str" cm="1">
        <f t="array" ref="H2795">IFERROR(INDEX(INVESTOR_LIST[INVESTOR NAME],MATCH(I2795,INVESTOR_LIST[INVESTOR CODE],0),)," ")</f>
        <v xml:space="preserve"> </v>
      </c>
      <c r="I2795" s="145"/>
      <c r="J2795" s="146" t="s">
        <v>52</v>
      </c>
      <c r="K2795" s="219"/>
      <c r="L2795" s="219">
        <v>1943892.72</v>
      </c>
    </row>
    <row r="2796" spans="1:13" x14ac:dyDescent="0.2">
      <c r="A2796" s="238">
        <v>2021</v>
      </c>
      <c r="B2796" s="238">
        <v>4</v>
      </c>
      <c r="C2796" s="238">
        <v>22</v>
      </c>
      <c r="D2796" s="141">
        <f t="shared" si="94"/>
        <v>44308</v>
      </c>
      <c r="E2796" s="275">
        <f t="shared" si="95"/>
        <v>44308</v>
      </c>
      <c r="F2796" s="477" t="s">
        <v>347</v>
      </c>
      <c r="G2796" s="239" t="s">
        <v>94</v>
      </c>
      <c r="H2796" s="239" t="str" cm="1">
        <f t="array" ref="H2796">IFERROR(INDEX(INVESTOR_LIST[INVESTOR NAME],MATCH(I2796,INVESTOR_LIST[INVESTOR CODE],0),)," ")</f>
        <v xml:space="preserve"> </v>
      </c>
      <c r="I2796" s="262" t="s">
        <v>348</v>
      </c>
      <c r="J2796" s="240" t="s">
        <v>108</v>
      </c>
      <c r="K2796" s="241">
        <v>1331842.2100000083</v>
      </c>
      <c r="L2796" s="241"/>
    </row>
    <row r="2797" spans="1:13" x14ac:dyDescent="0.2">
      <c r="A2797" s="242">
        <v>2021</v>
      </c>
      <c r="B2797" s="242">
        <v>4</v>
      </c>
      <c r="C2797" s="242">
        <v>22</v>
      </c>
      <c r="D2797" s="141">
        <f t="shared" si="94"/>
        <v>44308</v>
      </c>
      <c r="E2797" s="275">
        <f t="shared" si="95"/>
        <v>44308</v>
      </c>
      <c r="F2797" s="478"/>
      <c r="G2797" s="243" t="s">
        <v>94</v>
      </c>
      <c r="H2797" s="243" t="str" cm="1">
        <f t="array" ref="H2797">IFERROR(INDEX(INVESTOR_LIST[INVESTOR NAME],MATCH(I2797,INVESTOR_LIST[INVESTOR CODE],0),)," ")</f>
        <v xml:space="preserve"> </v>
      </c>
      <c r="I2797" s="263" t="s">
        <v>348</v>
      </c>
      <c r="J2797" s="244" t="s">
        <v>82</v>
      </c>
      <c r="K2797" s="245"/>
      <c r="L2797" s="245">
        <v>1331842.2100000083</v>
      </c>
    </row>
    <row r="2798" spans="1:13" ht="22.5" x14ac:dyDescent="0.2">
      <c r="A2798" s="246">
        <v>2021</v>
      </c>
      <c r="B2798" s="246">
        <v>4</v>
      </c>
      <c r="C2798" s="246">
        <v>22</v>
      </c>
      <c r="D2798" s="141">
        <f t="shared" si="94"/>
        <v>44308</v>
      </c>
      <c r="E2798" s="275">
        <f t="shared" si="95"/>
        <v>44308</v>
      </c>
      <c r="F2798" s="482" t="s">
        <v>148</v>
      </c>
      <c r="G2798" s="247" t="s">
        <v>94</v>
      </c>
      <c r="H2798" s="247" t="str" cm="1">
        <f t="array" ref="H2798">IFERROR(INDEX(INVESTOR_LIST[INVESTOR NAME],MATCH(I2798,INVESTOR_LIST[INVESTOR CODE],0),)," ")</f>
        <v xml:space="preserve"> </v>
      </c>
      <c r="I2798" s="248" t="s">
        <v>348</v>
      </c>
      <c r="J2798" s="249" t="s">
        <v>95</v>
      </c>
      <c r="K2798" s="250">
        <v>2747.2527472527472</v>
      </c>
      <c r="L2798" s="241"/>
      <c r="M2798" s="133">
        <v>2747.2527472527472</v>
      </c>
    </row>
    <row r="2799" spans="1:13" x14ac:dyDescent="0.2">
      <c r="A2799" s="242">
        <v>2021</v>
      </c>
      <c r="B2799" s="242">
        <v>4</v>
      </c>
      <c r="C2799" s="242">
        <v>22</v>
      </c>
      <c r="D2799" s="141">
        <f t="shared" si="94"/>
        <v>44308</v>
      </c>
      <c r="E2799" s="275">
        <f t="shared" si="95"/>
        <v>44308</v>
      </c>
      <c r="F2799" s="478"/>
      <c r="G2799" s="243" t="s">
        <v>94</v>
      </c>
      <c r="H2799" s="243" t="str" cm="1">
        <f t="array" ref="H2799">IFERROR(INDEX(INVESTOR_LIST[INVESTOR NAME],MATCH(I2799,INVESTOR_LIST[INVESTOR CODE],0),)," ")</f>
        <v xml:space="preserve"> </v>
      </c>
      <c r="I2799" s="263" t="s">
        <v>348</v>
      </c>
      <c r="J2799" s="244" t="s">
        <v>63</v>
      </c>
      <c r="K2799" s="245"/>
      <c r="L2799" s="245">
        <v>2747.2527472527472</v>
      </c>
      <c r="M2799" s="133">
        <v>84866.806745132824</v>
      </c>
    </row>
    <row r="2800" spans="1:13" x14ac:dyDescent="0.2">
      <c r="A2800" s="246">
        <v>2021</v>
      </c>
      <c r="B2800" s="246">
        <v>4</v>
      </c>
      <c r="C2800" s="246">
        <v>22</v>
      </c>
      <c r="D2800" s="141">
        <f t="shared" si="94"/>
        <v>44308</v>
      </c>
      <c r="E2800" s="275">
        <f t="shared" si="95"/>
        <v>44308</v>
      </c>
      <c r="F2800" s="482" t="s">
        <v>137</v>
      </c>
      <c r="G2800" s="247" t="s">
        <v>94</v>
      </c>
      <c r="H2800" s="247" t="str" cm="1">
        <f t="array" ref="H2800">IFERROR(INDEX(INVESTOR_LIST[INVESTOR NAME],MATCH(I2800,INVESTOR_LIST[INVESTOR CODE],0),)," ")</f>
        <v xml:space="preserve"> </v>
      </c>
      <c r="I2800" s="248" t="s">
        <v>348</v>
      </c>
      <c r="J2800" s="249" t="s">
        <v>97</v>
      </c>
      <c r="K2800" s="250">
        <v>84866.806745132824</v>
      </c>
      <c r="L2800" s="252"/>
      <c r="M2800" s="133">
        <v>4002.9557218720261</v>
      </c>
    </row>
    <row r="2801" spans="1:14" x14ac:dyDescent="0.2">
      <c r="A2801" s="242">
        <v>2021</v>
      </c>
      <c r="B2801" s="242">
        <v>4</v>
      </c>
      <c r="C2801" s="242">
        <v>22</v>
      </c>
      <c r="D2801" s="141">
        <f t="shared" si="94"/>
        <v>44308</v>
      </c>
      <c r="E2801" s="275">
        <f t="shared" si="95"/>
        <v>44308</v>
      </c>
      <c r="F2801" s="478"/>
      <c r="G2801" s="243" t="s">
        <v>94</v>
      </c>
      <c r="H2801" s="243" t="str" cm="1">
        <f t="array" ref="H2801">IFERROR(INDEX(INVESTOR_LIST[INVESTOR NAME],MATCH(I2801,INVESTOR_LIST[INVESTOR CODE],0),)," ")</f>
        <v xml:space="preserve"> </v>
      </c>
      <c r="I2801" s="263" t="s">
        <v>348</v>
      </c>
      <c r="J2801" s="244" t="s">
        <v>47</v>
      </c>
      <c r="K2801" s="245"/>
      <c r="L2801" s="245">
        <v>84866.806745132824</v>
      </c>
    </row>
    <row r="2802" spans="1:14" x14ac:dyDescent="0.2">
      <c r="A2802" s="246">
        <v>2021</v>
      </c>
      <c r="B2802" s="246">
        <v>4</v>
      </c>
      <c r="C2802" s="246">
        <v>22</v>
      </c>
      <c r="D2802" s="141">
        <f t="shared" si="94"/>
        <v>44308</v>
      </c>
      <c r="E2802" s="275">
        <f t="shared" si="95"/>
        <v>44308</v>
      </c>
      <c r="F2802" s="482" t="s">
        <v>138</v>
      </c>
      <c r="G2802" s="247" t="s">
        <v>94</v>
      </c>
      <c r="H2802" s="247" t="str" cm="1">
        <f t="array" ref="H2802">IFERROR(INDEX(INVESTOR_LIST[INVESTOR NAME],MATCH(I2802,INVESTOR_LIST[INVESTOR CODE],0),)," ")</f>
        <v xml:space="preserve"> </v>
      </c>
      <c r="I2802" s="248" t="s">
        <v>348</v>
      </c>
      <c r="J2802" s="249" t="s">
        <v>100</v>
      </c>
      <c r="K2802" s="250">
        <v>4002.9557218720261</v>
      </c>
      <c r="L2802" s="252"/>
    </row>
    <row r="2803" spans="1:14" x14ac:dyDescent="0.2">
      <c r="A2803" s="242">
        <v>2021</v>
      </c>
      <c r="B2803" s="242">
        <v>4</v>
      </c>
      <c r="C2803" s="242">
        <v>22</v>
      </c>
      <c r="D2803" s="141">
        <f t="shared" si="94"/>
        <v>44308</v>
      </c>
      <c r="E2803" s="275">
        <f t="shared" si="95"/>
        <v>44308</v>
      </c>
      <c r="F2803" s="478"/>
      <c r="G2803" s="243" t="s">
        <v>94</v>
      </c>
      <c r="H2803" s="243" t="str" cm="1">
        <f t="array" ref="H2803">IFERROR(INDEX(INVESTOR_LIST[INVESTOR NAME],MATCH(I2803,INVESTOR_LIST[INVESTOR CODE],0),)," ")</f>
        <v xml:space="preserve"> </v>
      </c>
      <c r="I2803" s="263" t="s">
        <v>348</v>
      </c>
      <c r="J2803" s="244" t="s">
        <v>48</v>
      </c>
      <c r="K2803" s="245"/>
      <c r="L2803" s="245">
        <v>4002.9557218720261</v>
      </c>
      <c r="N2803" s="160"/>
    </row>
    <row r="2804" spans="1:14" ht="11.25" customHeight="1" x14ac:dyDescent="0.2">
      <c r="A2804" s="168">
        <v>2021</v>
      </c>
      <c r="B2804" s="168">
        <v>4</v>
      </c>
      <c r="C2804" s="168">
        <v>25</v>
      </c>
      <c r="D2804" s="141">
        <f t="shared" si="94"/>
        <v>44311</v>
      </c>
      <c r="E2804" s="275">
        <f t="shared" si="95"/>
        <v>44311</v>
      </c>
      <c r="F2804" s="479" t="s">
        <v>254</v>
      </c>
      <c r="G2804" s="220" t="s">
        <v>74</v>
      </c>
      <c r="H2804" s="142" t="str" cm="1">
        <f t="array" ref="H2804">IFERROR(INDEX(INVESTOR_LIST[INVESTOR NAME],MATCH(I2804,INVESTOR_LIST[INVESTOR CODE],0),)," ")</f>
        <v xml:space="preserve"> </v>
      </c>
      <c r="I2804" s="142"/>
      <c r="J2804" s="168" t="s">
        <v>52</v>
      </c>
      <c r="K2804" s="226">
        <v>76000</v>
      </c>
      <c r="L2804" s="226"/>
    </row>
    <row r="2805" spans="1:14" x14ac:dyDescent="0.2">
      <c r="A2805" s="133">
        <v>2021</v>
      </c>
      <c r="B2805" s="133">
        <v>4</v>
      </c>
      <c r="C2805" s="133">
        <v>25</v>
      </c>
      <c r="D2805" s="141">
        <f t="shared" si="94"/>
        <v>44311</v>
      </c>
      <c r="E2805" s="275">
        <f t="shared" si="95"/>
        <v>44311</v>
      </c>
      <c r="F2805" s="481"/>
      <c r="G2805" s="174" t="s">
        <v>74</v>
      </c>
      <c r="H2805" s="148" t="str" cm="1">
        <f t="array" ref="H2805">IFERROR(INDEX(INVESTOR_LIST[INVESTOR NAME],MATCH(I2805,INVESTOR_LIST[INVESTOR CODE],0),)," ")</f>
        <v xml:space="preserve"> </v>
      </c>
      <c r="J2805" s="133" t="s">
        <v>13</v>
      </c>
      <c r="K2805" s="218"/>
      <c r="L2805" s="218">
        <v>60070</v>
      </c>
    </row>
    <row r="2806" spans="1:14" x14ac:dyDescent="0.2">
      <c r="A2806" s="163">
        <v>2021</v>
      </c>
      <c r="B2806" s="163">
        <v>4</v>
      </c>
      <c r="C2806" s="163">
        <v>25</v>
      </c>
      <c r="D2806" s="141">
        <f t="shared" si="94"/>
        <v>44311</v>
      </c>
      <c r="E2806" s="275">
        <f t="shared" si="95"/>
        <v>44311</v>
      </c>
      <c r="F2806" s="480"/>
      <c r="G2806" s="221" t="s">
        <v>74</v>
      </c>
      <c r="H2806" s="145" t="str" cm="1">
        <f t="array" ref="H2806">IFERROR(INDEX(INVESTOR_LIST[INVESTOR NAME],MATCH(I2806,INVESTOR_LIST[INVESTOR CODE],0),)," ")</f>
        <v xml:space="preserve"> </v>
      </c>
      <c r="I2806" s="145"/>
      <c r="J2806" s="163" t="s">
        <v>53</v>
      </c>
      <c r="K2806" s="219"/>
      <c r="L2806" s="219">
        <v>15930</v>
      </c>
      <c r="N2806" s="156">
        <f>K2807/12.65</f>
        <v>6324.110671936759</v>
      </c>
    </row>
    <row r="2807" spans="1:14" ht="11.25" customHeight="1" x14ac:dyDescent="0.2">
      <c r="A2807" s="168">
        <v>2021</v>
      </c>
      <c r="B2807" s="168">
        <v>4</v>
      </c>
      <c r="C2807" s="168">
        <v>25</v>
      </c>
      <c r="D2807" s="141">
        <f t="shared" si="94"/>
        <v>44311</v>
      </c>
      <c r="E2807" s="275">
        <f t="shared" si="95"/>
        <v>44311</v>
      </c>
      <c r="F2807" s="479" t="s">
        <v>964</v>
      </c>
      <c r="G2807" s="220" t="s">
        <v>74</v>
      </c>
      <c r="H2807" s="142" t="str" cm="1">
        <f t="array" ref="H2807">IFERROR(INDEX(INVESTOR_LIST[INVESTOR NAME],MATCH(I2807,INVESTOR_LIST[INVESTOR CODE],0),)," ")</f>
        <v>SHUVA SAHA</v>
      </c>
      <c r="I2807" s="142" t="s">
        <v>421</v>
      </c>
      <c r="J2807" s="168" t="s">
        <v>52</v>
      </c>
      <c r="K2807" s="226">
        <v>80000</v>
      </c>
      <c r="L2807" s="226"/>
    </row>
    <row r="2808" spans="1:14" ht="22.5" x14ac:dyDescent="0.2">
      <c r="A2808" s="133">
        <v>2021</v>
      </c>
      <c r="B2808" s="133">
        <v>4</v>
      </c>
      <c r="C2808" s="133">
        <v>25</v>
      </c>
      <c r="D2808" s="141">
        <f t="shared" si="94"/>
        <v>44311</v>
      </c>
      <c r="E2808" s="275">
        <f t="shared" si="95"/>
        <v>44311</v>
      </c>
      <c r="F2808" s="481"/>
      <c r="G2808" s="174" t="s">
        <v>74</v>
      </c>
      <c r="H2808" s="148" t="str" cm="1">
        <f t="array" ref="H2808">IFERROR(INDEX(INVESTOR_LIST[INVESTOR NAME],MATCH(I2808,INVESTOR_LIST[INVESTOR CODE],0),)," ")</f>
        <v>SHUVA SAHA</v>
      </c>
      <c r="I2808" s="148" t="s">
        <v>421</v>
      </c>
      <c r="J2808" s="133" t="s">
        <v>13</v>
      </c>
      <c r="K2808" s="218"/>
      <c r="L2808" s="218">
        <v>63240</v>
      </c>
    </row>
    <row r="2809" spans="1:14" ht="22.5" x14ac:dyDescent="0.2">
      <c r="A2809" s="163">
        <v>2021</v>
      </c>
      <c r="B2809" s="163">
        <v>4</v>
      </c>
      <c r="C2809" s="163">
        <v>25</v>
      </c>
      <c r="D2809" s="141">
        <f t="shared" si="94"/>
        <v>44311</v>
      </c>
      <c r="E2809" s="275">
        <f t="shared" si="95"/>
        <v>44311</v>
      </c>
      <c r="F2809" s="480"/>
      <c r="G2809" s="221" t="s">
        <v>74</v>
      </c>
      <c r="H2809" s="145" t="str" cm="1">
        <f t="array" ref="H2809">IFERROR(INDEX(INVESTOR_LIST[INVESTOR NAME],MATCH(I2809,INVESTOR_LIST[INVESTOR CODE],0),)," ")</f>
        <v>SHUVA SAHA</v>
      </c>
      <c r="I2809" s="145" t="s">
        <v>421</v>
      </c>
      <c r="J2809" s="163" t="s">
        <v>53</v>
      </c>
      <c r="K2809" s="219"/>
      <c r="L2809" s="219">
        <v>16760</v>
      </c>
      <c r="N2809" s="156">
        <f>K2810/12.65</f>
        <v>3952.569169960474</v>
      </c>
    </row>
    <row r="2810" spans="1:14" ht="11.25" customHeight="1" x14ac:dyDescent="0.2">
      <c r="A2810" s="168">
        <v>2021</v>
      </c>
      <c r="B2810" s="168">
        <v>4</v>
      </c>
      <c r="C2810" s="168">
        <v>25</v>
      </c>
      <c r="D2810" s="141">
        <f t="shared" si="94"/>
        <v>44311</v>
      </c>
      <c r="E2810" s="275">
        <f t="shared" si="95"/>
        <v>44311</v>
      </c>
      <c r="F2810" s="479" t="s">
        <v>964</v>
      </c>
      <c r="G2810" s="220" t="s">
        <v>74</v>
      </c>
      <c r="H2810" s="142" t="str" cm="1">
        <f t="array" ref="H2810">IFERROR(INDEX(INVESTOR_LIST[INVESTOR NAME],MATCH(I2810,INVESTOR_LIST[INVESTOR CODE],0),)," ")</f>
        <v>RABEYA JAHAN SOAD</v>
      </c>
      <c r="I2810" s="142" t="s">
        <v>447</v>
      </c>
      <c r="J2810" s="168" t="s">
        <v>52</v>
      </c>
      <c r="K2810" s="226">
        <v>50000</v>
      </c>
      <c r="L2810" s="226"/>
    </row>
    <row r="2811" spans="1:14" ht="33.75" x14ac:dyDescent="0.2">
      <c r="A2811" s="133">
        <v>2021</v>
      </c>
      <c r="B2811" s="133">
        <v>4</v>
      </c>
      <c r="C2811" s="133">
        <v>25</v>
      </c>
      <c r="D2811" s="141">
        <f t="shared" si="94"/>
        <v>44311</v>
      </c>
      <c r="E2811" s="275">
        <f t="shared" si="95"/>
        <v>44311</v>
      </c>
      <c r="F2811" s="481"/>
      <c r="G2811" s="174" t="s">
        <v>74</v>
      </c>
      <c r="H2811" s="148" t="str" cm="1">
        <f t="array" ref="H2811">IFERROR(INDEX(INVESTOR_LIST[INVESTOR NAME],MATCH(I2811,INVESTOR_LIST[INVESTOR CODE],0),)," ")</f>
        <v>RABEYA JAHAN SOAD</v>
      </c>
      <c r="I2811" s="148" t="s">
        <v>447</v>
      </c>
      <c r="J2811" s="133" t="s">
        <v>13</v>
      </c>
      <c r="K2811" s="218"/>
      <c r="L2811" s="218">
        <v>39530</v>
      </c>
    </row>
    <row r="2812" spans="1:14" ht="33.75" x14ac:dyDescent="0.2">
      <c r="A2812" s="163">
        <v>2021</v>
      </c>
      <c r="B2812" s="163">
        <v>4</v>
      </c>
      <c r="C2812" s="163">
        <v>25</v>
      </c>
      <c r="D2812" s="141">
        <f t="shared" si="94"/>
        <v>44311</v>
      </c>
      <c r="E2812" s="275">
        <f t="shared" si="95"/>
        <v>44311</v>
      </c>
      <c r="F2812" s="480"/>
      <c r="G2812" s="221" t="s">
        <v>74</v>
      </c>
      <c r="H2812" s="145" t="str" cm="1">
        <f t="array" ref="H2812">IFERROR(INDEX(INVESTOR_LIST[INVESTOR NAME],MATCH(I2812,INVESTOR_LIST[INVESTOR CODE],0),)," ")</f>
        <v>RABEYA JAHAN SOAD</v>
      </c>
      <c r="I2812" s="145" t="s">
        <v>447</v>
      </c>
      <c r="J2812" s="163" t="s">
        <v>53</v>
      </c>
      <c r="K2812" s="219"/>
      <c r="L2812" s="219">
        <v>10470</v>
      </c>
    </row>
    <row r="2813" spans="1:14" x14ac:dyDescent="0.2">
      <c r="A2813" s="133">
        <v>2021</v>
      </c>
      <c r="B2813" s="133">
        <v>4</v>
      </c>
      <c r="C2813" s="133">
        <v>25</v>
      </c>
      <c r="D2813" s="141">
        <f t="shared" si="94"/>
        <v>44311</v>
      </c>
      <c r="E2813" s="275">
        <f t="shared" si="95"/>
        <v>44311</v>
      </c>
      <c r="F2813" s="479" t="s">
        <v>537</v>
      </c>
      <c r="G2813" s="174" t="s">
        <v>74</v>
      </c>
      <c r="H2813" s="148" t="str" cm="1">
        <f t="array" ref="H2813">IFERROR(INDEX(INVESTOR_LIST[INVESTOR NAME],MATCH(I2813,INVESTOR_LIST[INVESTOR CODE],0),)," ")</f>
        <v xml:space="preserve"> </v>
      </c>
      <c r="J2813" s="133" t="s">
        <v>47</v>
      </c>
      <c r="K2813" s="218">
        <v>883175.51</v>
      </c>
      <c r="L2813" s="218"/>
    </row>
    <row r="2814" spans="1:14" x14ac:dyDescent="0.2">
      <c r="A2814" s="133">
        <v>2021</v>
      </c>
      <c r="B2814" s="133">
        <v>4</v>
      </c>
      <c r="C2814" s="133">
        <v>25</v>
      </c>
      <c r="D2814" s="141">
        <f t="shared" si="94"/>
        <v>44311</v>
      </c>
      <c r="E2814" s="275">
        <f t="shared" si="95"/>
        <v>44311</v>
      </c>
      <c r="F2814" s="480"/>
      <c r="G2814" s="174" t="s">
        <v>74</v>
      </c>
      <c r="H2814" s="148" t="str" cm="1">
        <f t="array" ref="H2814">IFERROR(INDEX(INVESTOR_LIST[INVESTOR NAME],MATCH(I2814,INVESTOR_LIST[INVESTOR CODE],0),)," ")</f>
        <v xml:space="preserve"> </v>
      </c>
      <c r="J2814" s="133" t="s">
        <v>52</v>
      </c>
      <c r="K2814" s="218"/>
      <c r="L2814" s="218">
        <v>883175.51</v>
      </c>
    </row>
    <row r="2815" spans="1:14" x14ac:dyDescent="0.2">
      <c r="A2815" s="168">
        <v>2021</v>
      </c>
      <c r="B2815" s="168">
        <v>4</v>
      </c>
      <c r="C2815" s="168">
        <v>25</v>
      </c>
      <c r="D2815" s="141">
        <f t="shared" si="94"/>
        <v>44311</v>
      </c>
      <c r="E2815" s="275">
        <f t="shared" si="95"/>
        <v>44311</v>
      </c>
      <c r="F2815" s="479" t="s">
        <v>77</v>
      </c>
      <c r="G2815" s="220" t="s">
        <v>74</v>
      </c>
      <c r="H2815" s="220" t="str" cm="1">
        <f t="array" ref="H2815">IFERROR(INDEX(INVESTOR_LIST[INVESTOR NAME],MATCH(I2815,INVESTOR_LIST[INVESTOR CODE],0),)," ")</f>
        <v xml:space="preserve"> </v>
      </c>
      <c r="I2815" s="142" t="s">
        <v>348</v>
      </c>
      <c r="J2815" s="143" t="s">
        <v>61</v>
      </c>
      <c r="K2815" s="226">
        <v>100</v>
      </c>
      <c r="L2815" s="226"/>
    </row>
    <row r="2816" spans="1:14" x14ac:dyDescent="0.2">
      <c r="A2816" s="163">
        <v>2021</v>
      </c>
      <c r="B2816" s="163">
        <v>4</v>
      </c>
      <c r="C2816" s="163">
        <v>25</v>
      </c>
      <c r="D2816" s="141">
        <f t="shared" si="94"/>
        <v>44311</v>
      </c>
      <c r="E2816" s="275">
        <f t="shared" si="95"/>
        <v>44311</v>
      </c>
      <c r="F2816" s="480"/>
      <c r="G2816" s="221" t="s">
        <v>74</v>
      </c>
      <c r="H2816" s="221" t="str" cm="1">
        <f t="array" ref="H2816">IFERROR(INDEX(INVESTOR_LIST[INVESTOR NAME],MATCH(I2816,INVESTOR_LIST[INVESTOR CODE],0),)," ")</f>
        <v xml:space="preserve"> </v>
      </c>
      <c r="I2816" s="145" t="s">
        <v>348</v>
      </c>
      <c r="J2816" s="146" t="s">
        <v>52</v>
      </c>
      <c r="K2816" s="219"/>
      <c r="L2816" s="219">
        <v>100</v>
      </c>
    </row>
    <row r="2817" spans="1:14" ht="22.5" x14ac:dyDescent="0.2">
      <c r="A2817" s="168">
        <v>2021</v>
      </c>
      <c r="B2817" s="168">
        <v>4</v>
      </c>
      <c r="C2817" s="168">
        <v>26</v>
      </c>
      <c r="D2817" s="141">
        <f t="shared" si="94"/>
        <v>44312</v>
      </c>
      <c r="E2817" s="275">
        <f t="shared" si="95"/>
        <v>44312</v>
      </c>
      <c r="F2817" s="479" t="s">
        <v>965</v>
      </c>
      <c r="G2817" s="220" t="s">
        <v>74</v>
      </c>
      <c r="H2817" s="220" t="str" cm="1">
        <f t="array" ref="H2817">IFERROR(INDEX(INVESTOR_LIST[INVESTOR NAME],MATCH(I2817,INVESTOR_LIST[INVESTOR CODE],0),)," ")</f>
        <v>PRATIMA DEV</v>
      </c>
      <c r="I2817" s="142" t="s">
        <v>396</v>
      </c>
      <c r="J2817" s="143" t="s">
        <v>13</v>
      </c>
      <c r="K2817" s="226">
        <v>931780</v>
      </c>
      <c r="L2817" s="226"/>
    </row>
    <row r="2818" spans="1:14" ht="22.5" x14ac:dyDescent="0.2">
      <c r="A2818" s="133">
        <v>2021</v>
      </c>
      <c r="B2818" s="133">
        <v>4</v>
      </c>
      <c r="C2818" s="133">
        <v>26</v>
      </c>
      <c r="D2818" s="141">
        <f t="shared" si="94"/>
        <v>44312</v>
      </c>
      <c r="E2818" s="275">
        <f t="shared" si="95"/>
        <v>44312</v>
      </c>
      <c r="F2818" s="481"/>
      <c r="G2818" s="174" t="s">
        <v>74</v>
      </c>
      <c r="H2818" s="174" t="str" cm="1">
        <f t="array" ref="H2818">IFERROR(INDEX(INVESTOR_LIST[INVESTOR NAME],MATCH(I2818,INVESTOR_LIST[INVESTOR CODE],0),)," ")</f>
        <v>PRATIMA DEV</v>
      </c>
      <c r="I2818" s="148" t="s">
        <v>396</v>
      </c>
      <c r="J2818" s="149" t="s">
        <v>53</v>
      </c>
      <c r="K2818" s="218">
        <v>246891.49</v>
      </c>
      <c r="L2818" s="218"/>
    </row>
    <row r="2819" spans="1:14" ht="22.5" x14ac:dyDescent="0.2">
      <c r="A2819" s="163">
        <v>2021</v>
      </c>
      <c r="B2819" s="163">
        <v>4</v>
      </c>
      <c r="C2819" s="163">
        <v>26</v>
      </c>
      <c r="D2819" s="141">
        <f t="shared" si="94"/>
        <v>44312</v>
      </c>
      <c r="E2819" s="275">
        <f t="shared" si="95"/>
        <v>44312</v>
      </c>
      <c r="F2819" s="480"/>
      <c r="G2819" s="221" t="s">
        <v>74</v>
      </c>
      <c r="H2819" s="221" t="str" cm="1">
        <f t="array" ref="H2819">IFERROR(INDEX(INVESTOR_LIST[INVESTOR NAME],MATCH(I2819,INVESTOR_LIST[INVESTOR CODE],0),)," ")</f>
        <v>PRATIMA DEV</v>
      </c>
      <c r="I2819" s="145" t="s">
        <v>396</v>
      </c>
      <c r="J2819" s="146" t="s">
        <v>52</v>
      </c>
      <c r="K2819" s="219"/>
      <c r="L2819" s="219">
        <v>1178671.49</v>
      </c>
    </row>
    <row r="2820" spans="1:14" ht="11.25" customHeight="1" x14ac:dyDescent="0.2">
      <c r="A2820" s="168">
        <v>2021</v>
      </c>
      <c r="B2820" s="168">
        <v>4</v>
      </c>
      <c r="C2820" s="168">
        <v>27</v>
      </c>
      <c r="D2820" s="141">
        <f t="shared" si="94"/>
        <v>44313</v>
      </c>
      <c r="E2820" s="275">
        <f t="shared" si="95"/>
        <v>44313</v>
      </c>
      <c r="F2820" s="479" t="s">
        <v>254</v>
      </c>
      <c r="G2820" s="220" t="s">
        <v>74</v>
      </c>
      <c r="H2820" s="142" t="str" cm="1">
        <f t="array" ref="H2820">IFERROR(INDEX(INVESTOR_LIST[INVESTOR NAME],MATCH(I2820,INVESTOR_LIST[INVESTOR CODE],0),)," ")</f>
        <v xml:space="preserve"> </v>
      </c>
      <c r="I2820" s="142"/>
      <c r="J2820" s="168" t="s">
        <v>52</v>
      </c>
      <c r="K2820" s="226">
        <v>327500</v>
      </c>
      <c r="L2820" s="226"/>
    </row>
    <row r="2821" spans="1:14" x14ac:dyDescent="0.2">
      <c r="A2821" s="133">
        <v>2021</v>
      </c>
      <c r="B2821" s="133">
        <v>4</v>
      </c>
      <c r="C2821" s="133">
        <v>27</v>
      </c>
      <c r="D2821" s="141">
        <f t="shared" si="94"/>
        <v>44313</v>
      </c>
      <c r="E2821" s="275">
        <f t="shared" si="95"/>
        <v>44313</v>
      </c>
      <c r="F2821" s="481"/>
      <c r="G2821" s="174" t="s">
        <v>74</v>
      </c>
      <c r="H2821" s="148" t="str" cm="1">
        <f t="array" ref="H2821">IFERROR(INDEX(INVESTOR_LIST[INVESTOR NAME],MATCH(I2821,INVESTOR_LIST[INVESTOR CODE],0),)," ")</f>
        <v xml:space="preserve"> </v>
      </c>
      <c r="J2821" s="133" t="s">
        <v>13</v>
      </c>
      <c r="K2821" s="218"/>
      <c r="L2821" s="218">
        <v>258880</v>
      </c>
    </row>
    <row r="2822" spans="1:14" x14ac:dyDescent="0.2">
      <c r="A2822" s="163">
        <v>2021</v>
      </c>
      <c r="B2822" s="163">
        <v>4</v>
      </c>
      <c r="C2822" s="163">
        <v>27</v>
      </c>
      <c r="D2822" s="141">
        <f t="shared" si="94"/>
        <v>44313</v>
      </c>
      <c r="E2822" s="275">
        <f t="shared" si="95"/>
        <v>44313</v>
      </c>
      <c r="F2822" s="480"/>
      <c r="G2822" s="221" t="s">
        <v>74</v>
      </c>
      <c r="H2822" s="145" t="str" cm="1">
        <f t="array" ref="H2822">IFERROR(INDEX(INVESTOR_LIST[INVESTOR NAME],MATCH(I2822,INVESTOR_LIST[INVESTOR CODE],0),)," ")</f>
        <v xml:space="preserve"> </v>
      </c>
      <c r="I2822" s="145"/>
      <c r="J2822" s="163" t="s">
        <v>53</v>
      </c>
      <c r="K2822" s="219"/>
      <c r="L2822" s="219">
        <v>68620</v>
      </c>
    </row>
    <row r="2823" spans="1:14" x14ac:dyDescent="0.2">
      <c r="A2823" s="168">
        <v>2021</v>
      </c>
      <c r="B2823" s="168">
        <v>4</v>
      </c>
      <c r="C2823" s="168">
        <v>28</v>
      </c>
      <c r="D2823" s="141">
        <f t="shared" si="94"/>
        <v>44314</v>
      </c>
      <c r="E2823" s="275">
        <f t="shared" si="95"/>
        <v>44314</v>
      </c>
      <c r="F2823" s="479" t="s">
        <v>362</v>
      </c>
      <c r="G2823" s="220" t="s">
        <v>74</v>
      </c>
      <c r="H2823" s="220" t="str" cm="1">
        <f t="array" ref="H2823">IFERROR(INDEX(INVESTOR_LIST[INVESTOR NAME],MATCH(I2823,INVESTOR_LIST[INVESTOR CODE],0),)," ")</f>
        <v xml:space="preserve"> </v>
      </c>
      <c r="I2823" s="142" t="s">
        <v>348</v>
      </c>
      <c r="J2823" s="143" t="s">
        <v>104</v>
      </c>
      <c r="K2823" s="226">
        <v>13112.68</v>
      </c>
      <c r="L2823" s="226"/>
    </row>
    <row r="2824" spans="1:14" x14ac:dyDescent="0.2">
      <c r="A2824" s="163">
        <v>2021</v>
      </c>
      <c r="B2824" s="163">
        <v>4</v>
      </c>
      <c r="C2824" s="163">
        <v>28</v>
      </c>
      <c r="D2824" s="141">
        <f t="shared" si="94"/>
        <v>44314</v>
      </c>
      <c r="E2824" s="275">
        <f t="shared" si="95"/>
        <v>44314</v>
      </c>
      <c r="F2824" s="480"/>
      <c r="G2824" s="221" t="s">
        <v>74</v>
      </c>
      <c r="H2824" s="221" t="str" cm="1">
        <f t="array" ref="H2824">IFERROR(INDEX(INVESTOR_LIST[INVESTOR NAME],MATCH(I2824,INVESTOR_LIST[INVESTOR CODE],0),)," ")</f>
        <v xml:space="preserve"> </v>
      </c>
      <c r="I2824" s="145" t="s">
        <v>348</v>
      </c>
      <c r="J2824" s="146" t="s">
        <v>52</v>
      </c>
      <c r="K2824" s="219"/>
      <c r="L2824" s="219">
        <v>13112.68</v>
      </c>
      <c r="N2824" s="160"/>
    </row>
    <row r="2825" spans="1:14" ht="11.25" customHeight="1" x14ac:dyDescent="0.2">
      <c r="A2825" s="168">
        <v>2021</v>
      </c>
      <c r="B2825" s="168">
        <v>4</v>
      </c>
      <c r="C2825" s="168">
        <v>28</v>
      </c>
      <c r="D2825" s="141">
        <f t="shared" si="94"/>
        <v>44314</v>
      </c>
      <c r="E2825" s="275">
        <f t="shared" si="95"/>
        <v>44314</v>
      </c>
      <c r="F2825" s="479" t="s">
        <v>964</v>
      </c>
      <c r="G2825" s="220" t="s">
        <v>74</v>
      </c>
      <c r="H2825" s="142" t="str" cm="1">
        <f t="array" ref="H2825">IFERROR(INDEX(INVESTOR_LIST[INVESTOR NAME],MATCH(I2825,INVESTOR_LIST[INVESTOR CODE],0),)," ")</f>
        <v>ASHIT BARAN SAHA</v>
      </c>
      <c r="I2825" s="142" t="s">
        <v>442</v>
      </c>
      <c r="J2825" s="168" t="s">
        <v>52</v>
      </c>
      <c r="K2825" s="226">
        <v>747000</v>
      </c>
      <c r="L2825" s="226"/>
    </row>
    <row r="2826" spans="1:14" ht="33.75" x14ac:dyDescent="0.2">
      <c r="A2826" s="133">
        <v>2021</v>
      </c>
      <c r="B2826" s="133">
        <v>4</v>
      </c>
      <c r="C2826" s="133">
        <v>28</v>
      </c>
      <c r="D2826" s="141">
        <f t="shared" si="94"/>
        <v>44314</v>
      </c>
      <c r="E2826" s="275">
        <f t="shared" si="95"/>
        <v>44314</v>
      </c>
      <c r="F2826" s="481"/>
      <c r="G2826" s="174" t="s">
        <v>74</v>
      </c>
      <c r="H2826" s="148" t="str" cm="1">
        <f t="array" ref="H2826">IFERROR(INDEX(INVESTOR_LIST[INVESTOR NAME],MATCH(I2826,INVESTOR_LIST[INVESTOR CODE],0),)," ")</f>
        <v>ASHIT BARAN SAHA</v>
      </c>
      <c r="I2826" s="148" t="s">
        <v>442</v>
      </c>
      <c r="J2826" s="133" t="s">
        <v>13</v>
      </c>
      <c r="K2826" s="218"/>
      <c r="L2826" s="218">
        <v>600000</v>
      </c>
    </row>
    <row r="2827" spans="1:14" ht="33.75" x14ac:dyDescent="0.2">
      <c r="A2827" s="163">
        <v>2021</v>
      </c>
      <c r="B2827" s="163">
        <v>4</v>
      </c>
      <c r="C2827" s="163">
        <v>28</v>
      </c>
      <c r="D2827" s="141">
        <f t="shared" si="94"/>
        <v>44314</v>
      </c>
      <c r="E2827" s="275">
        <f t="shared" si="95"/>
        <v>44314</v>
      </c>
      <c r="F2827" s="480"/>
      <c r="G2827" s="221" t="s">
        <v>74</v>
      </c>
      <c r="H2827" s="145" t="str" cm="1">
        <f t="array" ref="H2827">IFERROR(INDEX(INVESTOR_LIST[INVESTOR NAME],MATCH(I2827,INVESTOR_LIST[INVESTOR CODE],0),)," ")</f>
        <v>ASHIT BARAN SAHA</v>
      </c>
      <c r="I2827" s="145" t="s">
        <v>442</v>
      </c>
      <c r="J2827" s="163" t="s">
        <v>53</v>
      </c>
      <c r="K2827" s="219"/>
      <c r="L2827" s="219">
        <v>147000</v>
      </c>
    </row>
    <row r="2828" spans="1:14" x14ac:dyDescent="0.2">
      <c r="A2828" s="168">
        <v>2021</v>
      </c>
      <c r="B2828" s="168">
        <v>4</v>
      </c>
      <c r="C2828" s="168">
        <v>29</v>
      </c>
      <c r="D2828" s="141">
        <f t="shared" si="94"/>
        <v>44315</v>
      </c>
      <c r="E2828" s="275">
        <f t="shared" si="95"/>
        <v>44315</v>
      </c>
      <c r="F2828" s="479" t="s">
        <v>525</v>
      </c>
      <c r="G2828" s="220" t="s">
        <v>74</v>
      </c>
      <c r="H2828" s="220" t="str" cm="1">
        <f t="array" ref="H2828">IFERROR(INDEX(INVESTOR_LIST[INVESTOR NAME],MATCH(I2828,INVESTOR_LIST[INVESTOR CODE],0),)," ")</f>
        <v xml:space="preserve"> </v>
      </c>
      <c r="I2828" s="142"/>
      <c r="J2828" s="143" t="s">
        <v>52</v>
      </c>
      <c r="K2828" s="226">
        <v>35417</v>
      </c>
      <c r="L2828" s="226"/>
    </row>
    <row r="2829" spans="1:14" x14ac:dyDescent="0.2">
      <c r="A2829" s="163">
        <v>2021</v>
      </c>
      <c r="B2829" s="163">
        <v>4</v>
      </c>
      <c r="C2829" s="163">
        <v>29</v>
      </c>
      <c r="D2829" s="141">
        <f t="shared" si="94"/>
        <v>44315</v>
      </c>
      <c r="E2829" s="275">
        <f t="shared" si="95"/>
        <v>44315</v>
      </c>
      <c r="F2829" s="480"/>
      <c r="G2829" s="221" t="s">
        <v>74</v>
      </c>
      <c r="H2829" s="221" t="str" cm="1">
        <f t="array" ref="H2829">IFERROR(INDEX(INVESTOR_LIST[INVESTOR NAME],MATCH(I2829,INVESTOR_LIST[INVESTOR CODE],0),)," ")</f>
        <v xml:space="preserve"> </v>
      </c>
      <c r="I2829" s="145"/>
      <c r="J2829" s="146" t="s">
        <v>60</v>
      </c>
      <c r="K2829" s="219"/>
      <c r="L2829" s="219">
        <v>35417</v>
      </c>
    </row>
    <row r="2830" spans="1:14" x14ac:dyDescent="0.2">
      <c r="A2830" s="168">
        <v>2021</v>
      </c>
      <c r="B2830" s="168">
        <v>4</v>
      </c>
      <c r="C2830" s="168">
        <v>29</v>
      </c>
      <c r="D2830" s="141">
        <f t="shared" ref="D2830:D2893" si="96">DATE(A2830,B2830,C2830)</f>
        <v>44315</v>
      </c>
      <c r="E2830" s="275">
        <f t="shared" si="95"/>
        <v>44315</v>
      </c>
      <c r="F2830" s="479" t="s">
        <v>525</v>
      </c>
      <c r="G2830" s="220" t="s">
        <v>74</v>
      </c>
      <c r="H2830" s="220" t="str" cm="1">
        <f t="array" ref="H2830">IFERROR(INDEX(INVESTOR_LIST[INVESTOR NAME],MATCH(I2830,INVESTOR_LIST[INVESTOR CODE],0),)," ")</f>
        <v xml:space="preserve"> </v>
      </c>
      <c r="I2830" s="142"/>
      <c r="J2830" s="143" t="s">
        <v>52</v>
      </c>
      <c r="K2830" s="226">
        <v>35417</v>
      </c>
      <c r="L2830" s="226"/>
    </row>
    <row r="2831" spans="1:14" x14ac:dyDescent="0.2">
      <c r="A2831" s="163">
        <v>2021</v>
      </c>
      <c r="B2831" s="163">
        <v>4</v>
      </c>
      <c r="C2831" s="163">
        <v>29</v>
      </c>
      <c r="D2831" s="141">
        <f t="shared" si="96"/>
        <v>44315</v>
      </c>
      <c r="E2831" s="275">
        <f t="shared" ref="E2831:E2894" si="97">DATE(A2831,B2831,C2831)</f>
        <v>44315</v>
      </c>
      <c r="F2831" s="480"/>
      <c r="G2831" s="221" t="s">
        <v>74</v>
      </c>
      <c r="H2831" s="221" t="str" cm="1">
        <f t="array" ref="H2831">IFERROR(INDEX(INVESTOR_LIST[INVESTOR NAME],MATCH(I2831,INVESTOR_LIST[INVESTOR CODE],0),)," ")</f>
        <v xml:space="preserve"> </v>
      </c>
      <c r="I2831" s="145"/>
      <c r="J2831" s="146" t="s">
        <v>60</v>
      </c>
      <c r="K2831" s="219"/>
      <c r="L2831" s="219">
        <v>35417</v>
      </c>
    </row>
    <row r="2832" spans="1:14" x14ac:dyDescent="0.2">
      <c r="A2832" s="168">
        <v>2021</v>
      </c>
      <c r="B2832" s="168">
        <v>4</v>
      </c>
      <c r="C2832" s="168">
        <v>29</v>
      </c>
      <c r="D2832" s="141">
        <f t="shared" si="96"/>
        <v>44315</v>
      </c>
      <c r="E2832" s="275">
        <f t="shared" si="97"/>
        <v>44315</v>
      </c>
      <c r="F2832" s="479" t="s">
        <v>525</v>
      </c>
      <c r="G2832" s="220" t="s">
        <v>74</v>
      </c>
      <c r="H2832" s="220" t="str" cm="1">
        <f t="array" ref="H2832">IFERROR(INDEX(INVESTOR_LIST[INVESTOR NAME],MATCH(I2832,INVESTOR_LIST[INVESTOR CODE],0),)," ")</f>
        <v xml:space="preserve"> </v>
      </c>
      <c r="I2832" s="142"/>
      <c r="J2832" s="143" t="s">
        <v>52</v>
      </c>
      <c r="K2832" s="226">
        <v>21250</v>
      </c>
      <c r="L2832" s="226"/>
    </row>
    <row r="2833" spans="1:14" x14ac:dyDescent="0.2">
      <c r="A2833" s="163">
        <v>2021</v>
      </c>
      <c r="B2833" s="163">
        <v>4</v>
      </c>
      <c r="C2833" s="163">
        <v>29</v>
      </c>
      <c r="D2833" s="141">
        <f t="shared" si="96"/>
        <v>44315</v>
      </c>
      <c r="E2833" s="275">
        <f t="shared" si="97"/>
        <v>44315</v>
      </c>
      <c r="F2833" s="480"/>
      <c r="G2833" s="221" t="s">
        <v>74</v>
      </c>
      <c r="H2833" s="221" t="str" cm="1">
        <f t="array" ref="H2833">IFERROR(INDEX(INVESTOR_LIST[INVESTOR NAME],MATCH(I2833,INVESTOR_LIST[INVESTOR CODE],0),)," ")</f>
        <v xml:space="preserve"> </v>
      </c>
      <c r="I2833" s="145"/>
      <c r="J2833" s="146" t="s">
        <v>60</v>
      </c>
      <c r="K2833" s="219"/>
      <c r="L2833" s="219">
        <v>21250</v>
      </c>
    </row>
    <row r="2834" spans="1:14" x14ac:dyDescent="0.2">
      <c r="A2834" s="168">
        <v>2021</v>
      </c>
      <c r="B2834" s="168">
        <v>4</v>
      </c>
      <c r="C2834" s="168">
        <v>29</v>
      </c>
      <c r="D2834" s="141">
        <f t="shared" si="96"/>
        <v>44315</v>
      </c>
      <c r="E2834" s="275">
        <f t="shared" si="97"/>
        <v>44315</v>
      </c>
      <c r="F2834" s="479" t="s">
        <v>525</v>
      </c>
      <c r="G2834" s="220" t="s">
        <v>74</v>
      </c>
      <c r="H2834" s="220" t="str" cm="1">
        <f t="array" ref="H2834">IFERROR(INDEX(INVESTOR_LIST[INVESTOR NAME],MATCH(I2834,INVESTOR_LIST[INVESTOR CODE],0),)," ")</f>
        <v xml:space="preserve"> </v>
      </c>
      <c r="I2834" s="142"/>
      <c r="J2834" s="143" t="s">
        <v>52</v>
      </c>
      <c r="K2834" s="226">
        <v>14167</v>
      </c>
      <c r="L2834" s="226"/>
    </row>
    <row r="2835" spans="1:14" x14ac:dyDescent="0.2">
      <c r="A2835" s="163">
        <v>2021</v>
      </c>
      <c r="B2835" s="163">
        <v>4</v>
      </c>
      <c r="C2835" s="163">
        <v>29</v>
      </c>
      <c r="D2835" s="141">
        <f t="shared" si="96"/>
        <v>44315</v>
      </c>
      <c r="E2835" s="275">
        <f t="shared" si="97"/>
        <v>44315</v>
      </c>
      <c r="F2835" s="480"/>
      <c r="G2835" s="221" t="s">
        <v>74</v>
      </c>
      <c r="H2835" s="221" t="str" cm="1">
        <f t="array" ref="H2835">IFERROR(INDEX(INVESTOR_LIST[INVESTOR NAME],MATCH(I2835,INVESTOR_LIST[INVESTOR CODE],0),)," ")</f>
        <v xml:space="preserve"> </v>
      </c>
      <c r="I2835" s="145"/>
      <c r="J2835" s="146" t="s">
        <v>60</v>
      </c>
      <c r="K2835" s="219"/>
      <c r="L2835" s="219">
        <v>14167</v>
      </c>
    </row>
    <row r="2836" spans="1:14" x14ac:dyDescent="0.2">
      <c r="A2836" s="168">
        <v>2021</v>
      </c>
      <c r="B2836" s="168">
        <v>4</v>
      </c>
      <c r="C2836" s="168">
        <v>29</v>
      </c>
      <c r="D2836" s="141">
        <f t="shared" si="96"/>
        <v>44315</v>
      </c>
      <c r="E2836" s="275">
        <f t="shared" si="97"/>
        <v>44315</v>
      </c>
      <c r="F2836" s="479" t="s">
        <v>274</v>
      </c>
      <c r="G2836" s="220" t="s">
        <v>94</v>
      </c>
      <c r="H2836" s="142" t="str" cm="1">
        <f t="array" ref="H2836">IFERROR(INDEX(INVESTOR_LIST[INVESTOR NAME],MATCH(I2836,INVESTOR_LIST[INVESTOR CODE],0),)," ")</f>
        <v xml:space="preserve"> </v>
      </c>
      <c r="I2836" s="142"/>
      <c r="J2836" s="168" t="s">
        <v>79</v>
      </c>
      <c r="K2836" s="226">
        <v>1183950</v>
      </c>
      <c r="L2836" s="226"/>
    </row>
    <row r="2837" spans="1:14" x14ac:dyDescent="0.2">
      <c r="A2837" s="133">
        <v>2021</v>
      </c>
      <c r="B2837" s="133">
        <v>4</v>
      </c>
      <c r="C2837" s="133">
        <v>29</v>
      </c>
      <c r="D2837" s="141">
        <f t="shared" si="96"/>
        <v>44315</v>
      </c>
      <c r="E2837" s="275">
        <f t="shared" si="97"/>
        <v>44315</v>
      </c>
      <c r="F2837" s="481"/>
      <c r="G2837" s="174" t="s">
        <v>94</v>
      </c>
      <c r="H2837" s="148" t="str" cm="1">
        <f t="array" ref="H2837">IFERROR(INDEX(INVESTOR_LIST[INVESTOR NAME],MATCH(I2837,INVESTOR_LIST[INVESTOR CODE],0),)," ")</f>
        <v xml:space="preserve"> </v>
      </c>
      <c r="J2837" s="133" t="s">
        <v>80</v>
      </c>
      <c r="K2837" s="218">
        <v>2131.11</v>
      </c>
      <c r="L2837" s="218"/>
    </row>
    <row r="2838" spans="1:14" x14ac:dyDescent="0.2">
      <c r="A2838" s="163">
        <v>2021</v>
      </c>
      <c r="B2838" s="163">
        <v>4</v>
      </c>
      <c r="C2838" s="163">
        <v>29</v>
      </c>
      <c r="D2838" s="141">
        <f t="shared" si="96"/>
        <v>44315</v>
      </c>
      <c r="E2838" s="275">
        <f t="shared" si="97"/>
        <v>44315</v>
      </c>
      <c r="F2838" s="480"/>
      <c r="G2838" s="221" t="s">
        <v>94</v>
      </c>
      <c r="H2838" s="145" t="str" cm="1">
        <f t="array" ref="H2838">IFERROR(INDEX(INVESTOR_LIST[INVESTOR NAME],MATCH(I2838,INVESTOR_LIST[INVESTOR CODE],0),)," ")</f>
        <v xml:space="preserve"> </v>
      </c>
      <c r="I2838" s="145"/>
      <c r="J2838" s="163" t="s">
        <v>147</v>
      </c>
      <c r="K2838" s="219"/>
      <c r="L2838" s="219">
        <v>1186081.1100000001</v>
      </c>
    </row>
    <row r="2839" spans="1:14" x14ac:dyDescent="0.2">
      <c r="A2839" s="238">
        <v>2021</v>
      </c>
      <c r="B2839" s="238">
        <v>4</v>
      </c>
      <c r="C2839" s="238">
        <v>29</v>
      </c>
      <c r="D2839" s="141">
        <f t="shared" si="96"/>
        <v>44315</v>
      </c>
      <c r="E2839" s="275">
        <f t="shared" si="97"/>
        <v>44315</v>
      </c>
      <c r="F2839" s="477" t="s">
        <v>347</v>
      </c>
      <c r="G2839" s="239" t="s">
        <v>94</v>
      </c>
      <c r="H2839" s="239" t="str" cm="1">
        <f t="array" ref="H2839">IFERROR(INDEX(INVESTOR_LIST[INVESTOR NAME],MATCH(I2839,INVESTOR_LIST[INVESTOR CODE],0),)," ")</f>
        <v xml:space="preserve"> </v>
      </c>
      <c r="I2839" s="262" t="s">
        <v>348</v>
      </c>
      <c r="J2839" s="240" t="s">
        <v>108</v>
      </c>
      <c r="K2839" s="241">
        <v>786849.99999999814</v>
      </c>
      <c r="L2839" s="241"/>
    </row>
    <row r="2840" spans="1:14" x14ac:dyDescent="0.2">
      <c r="A2840" s="242">
        <v>2021</v>
      </c>
      <c r="B2840" s="242">
        <v>4</v>
      </c>
      <c r="C2840" s="242">
        <v>29</v>
      </c>
      <c r="D2840" s="141">
        <f t="shared" si="96"/>
        <v>44315</v>
      </c>
      <c r="E2840" s="275">
        <f t="shared" si="97"/>
        <v>44315</v>
      </c>
      <c r="F2840" s="478"/>
      <c r="G2840" s="243" t="s">
        <v>94</v>
      </c>
      <c r="H2840" s="243" t="str" cm="1">
        <f t="array" ref="H2840">IFERROR(INDEX(INVESTOR_LIST[INVESTOR NAME],MATCH(I2840,INVESTOR_LIST[INVESTOR CODE],0),)," ")</f>
        <v xml:space="preserve"> </v>
      </c>
      <c r="I2840" s="263" t="s">
        <v>348</v>
      </c>
      <c r="J2840" s="244" t="s">
        <v>82</v>
      </c>
      <c r="K2840" s="245"/>
      <c r="L2840" s="245">
        <v>786849.99999999814</v>
      </c>
    </row>
    <row r="2841" spans="1:14" ht="22.5" x14ac:dyDescent="0.2">
      <c r="A2841" s="246">
        <v>2021</v>
      </c>
      <c r="B2841" s="246">
        <v>4</v>
      </c>
      <c r="C2841" s="246">
        <v>29</v>
      </c>
      <c r="D2841" s="141">
        <f t="shared" si="96"/>
        <v>44315</v>
      </c>
      <c r="E2841" s="275">
        <f t="shared" si="97"/>
        <v>44315</v>
      </c>
      <c r="F2841" s="482" t="s">
        <v>148</v>
      </c>
      <c r="G2841" s="247" t="s">
        <v>94</v>
      </c>
      <c r="H2841" s="247" t="str" cm="1">
        <f t="array" ref="H2841">IFERROR(INDEX(INVESTOR_LIST[INVESTOR NAME],MATCH(I2841,INVESTOR_LIST[INVESTOR CODE],0),)," ")</f>
        <v xml:space="preserve"> </v>
      </c>
      <c r="I2841" s="248" t="s">
        <v>348</v>
      </c>
      <c r="J2841" s="249" t="s">
        <v>95</v>
      </c>
      <c r="K2841" s="250">
        <v>2747.2527472527472</v>
      </c>
      <c r="L2841" s="241"/>
      <c r="M2841" s="133">
        <v>2747.2527472527472</v>
      </c>
    </row>
    <row r="2842" spans="1:14" x14ac:dyDescent="0.2">
      <c r="A2842" s="242">
        <v>2021</v>
      </c>
      <c r="B2842" s="242">
        <v>4</v>
      </c>
      <c r="C2842" s="242">
        <v>29</v>
      </c>
      <c r="D2842" s="141">
        <f t="shared" si="96"/>
        <v>44315</v>
      </c>
      <c r="E2842" s="275">
        <f t="shared" si="97"/>
        <v>44315</v>
      </c>
      <c r="F2842" s="478"/>
      <c r="G2842" s="243" t="s">
        <v>94</v>
      </c>
      <c r="H2842" s="243" t="str" cm="1">
        <f t="array" ref="H2842">IFERROR(INDEX(INVESTOR_LIST[INVESTOR NAME],MATCH(I2842,INVESTOR_LIST[INVESTOR CODE],0),)," ")</f>
        <v xml:space="preserve"> </v>
      </c>
      <c r="I2842" s="263" t="s">
        <v>348</v>
      </c>
      <c r="J2842" s="244" t="s">
        <v>63</v>
      </c>
      <c r="K2842" s="245"/>
      <c r="L2842" s="245">
        <v>2747.2527472527472</v>
      </c>
      <c r="M2842" s="133">
        <v>85208.33317005042</v>
      </c>
    </row>
    <row r="2843" spans="1:14" x14ac:dyDescent="0.2">
      <c r="A2843" s="246">
        <v>2021</v>
      </c>
      <c r="B2843" s="246">
        <v>4</v>
      </c>
      <c r="C2843" s="246">
        <v>29</v>
      </c>
      <c r="D2843" s="141">
        <f t="shared" si="96"/>
        <v>44315</v>
      </c>
      <c r="E2843" s="275">
        <f t="shared" si="97"/>
        <v>44315</v>
      </c>
      <c r="F2843" s="482" t="s">
        <v>137</v>
      </c>
      <c r="G2843" s="247" t="s">
        <v>94</v>
      </c>
      <c r="H2843" s="247" t="str" cm="1">
        <f t="array" ref="H2843">IFERROR(INDEX(INVESTOR_LIST[INVESTOR NAME],MATCH(I2843,INVESTOR_LIST[INVESTOR CODE],0),)," ")</f>
        <v xml:space="preserve"> </v>
      </c>
      <c r="I2843" s="248" t="s">
        <v>348</v>
      </c>
      <c r="J2843" s="249" t="s">
        <v>97</v>
      </c>
      <c r="K2843" s="250">
        <v>85208.33317005042</v>
      </c>
      <c r="L2843" s="252"/>
      <c r="M2843" s="133">
        <v>4020.0320431179057</v>
      </c>
    </row>
    <row r="2844" spans="1:14" x14ac:dyDescent="0.2">
      <c r="A2844" s="242">
        <v>2021</v>
      </c>
      <c r="B2844" s="242">
        <v>4</v>
      </c>
      <c r="C2844" s="242">
        <v>29</v>
      </c>
      <c r="D2844" s="141">
        <f t="shared" si="96"/>
        <v>44315</v>
      </c>
      <c r="E2844" s="275">
        <f t="shared" si="97"/>
        <v>44315</v>
      </c>
      <c r="F2844" s="478"/>
      <c r="G2844" s="243" t="s">
        <v>94</v>
      </c>
      <c r="H2844" s="243" t="str" cm="1">
        <f t="array" ref="H2844">IFERROR(INDEX(INVESTOR_LIST[INVESTOR NAME],MATCH(I2844,INVESTOR_LIST[INVESTOR CODE],0),)," ")</f>
        <v xml:space="preserve"> </v>
      </c>
      <c r="I2844" s="263" t="s">
        <v>348</v>
      </c>
      <c r="J2844" s="244" t="s">
        <v>47</v>
      </c>
      <c r="K2844" s="245"/>
      <c r="L2844" s="245">
        <v>85208.33317005042</v>
      </c>
    </row>
    <row r="2845" spans="1:14" x14ac:dyDescent="0.2">
      <c r="A2845" s="246">
        <v>2021</v>
      </c>
      <c r="B2845" s="246">
        <v>4</v>
      </c>
      <c r="C2845" s="246">
        <v>29</v>
      </c>
      <c r="D2845" s="141">
        <f t="shared" si="96"/>
        <v>44315</v>
      </c>
      <c r="E2845" s="275">
        <f t="shared" si="97"/>
        <v>44315</v>
      </c>
      <c r="F2845" s="482" t="s">
        <v>138</v>
      </c>
      <c r="G2845" s="247" t="s">
        <v>94</v>
      </c>
      <c r="H2845" s="247" t="str" cm="1">
        <f t="array" ref="H2845">IFERROR(INDEX(INVESTOR_LIST[INVESTOR NAME],MATCH(I2845,INVESTOR_LIST[INVESTOR CODE],0),)," ")</f>
        <v xml:space="preserve"> </v>
      </c>
      <c r="I2845" s="248" t="s">
        <v>348</v>
      </c>
      <c r="J2845" s="249" t="s">
        <v>100</v>
      </c>
      <c r="K2845" s="250">
        <v>4020.0320431179057</v>
      </c>
      <c r="L2845" s="252"/>
    </row>
    <row r="2846" spans="1:14" x14ac:dyDescent="0.2">
      <c r="A2846" s="242">
        <v>2021</v>
      </c>
      <c r="B2846" s="242">
        <v>4</v>
      </c>
      <c r="C2846" s="242">
        <v>29</v>
      </c>
      <c r="D2846" s="141">
        <f t="shared" si="96"/>
        <v>44315</v>
      </c>
      <c r="E2846" s="275">
        <f t="shared" si="97"/>
        <v>44315</v>
      </c>
      <c r="F2846" s="478"/>
      <c r="G2846" s="243" t="s">
        <v>94</v>
      </c>
      <c r="H2846" s="243" t="str" cm="1">
        <f t="array" ref="H2846">IFERROR(INDEX(INVESTOR_LIST[INVESTOR NAME],MATCH(I2846,INVESTOR_LIST[INVESTOR CODE],0),)," ")</f>
        <v xml:space="preserve"> </v>
      </c>
      <c r="I2846" s="263" t="s">
        <v>348</v>
      </c>
      <c r="J2846" s="244" t="s">
        <v>48</v>
      </c>
      <c r="K2846" s="245"/>
      <c r="L2846" s="245">
        <v>4020.0320431179057</v>
      </c>
      <c r="N2846" s="156">
        <f>K2849/12.7</f>
        <v>1574.8031496062993</v>
      </c>
    </row>
    <row r="2847" spans="1:14" x14ac:dyDescent="0.2">
      <c r="A2847" s="168">
        <v>2021</v>
      </c>
      <c r="B2847" s="168">
        <v>5</v>
      </c>
      <c r="C2847" s="168">
        <v>2</v>
      </c>
      <c r="D2847" s="141">
        <f t="shared" si="96"/>
        <v>44318</v>
      </c>
      <c r="E2847" s="275">
        <f t="shared" si="97"/>
        <v>44318</v>
      </c>
      <c r="F2847" s="494" t="s">
        <v>524</v>
      </c>
      <c r="G2847" s="220" t="s">
        <v>74</v>
      </c>
      <c r="H2847" s="220" t="str" cm="1">
        <f t="array" ref="H2847">IFERROR(INDEX(INVESTOR_LIST[INVESTOR NAME],MATCH(I2847,INVESTOR_LIST[INVESTOR CODE],0),)," ")</f>
        <v xml:space="preserve"> </v>
      </c>
      <c r="I2847" s="142"/>
      <c r="J2847" s="143" t="s">
        <v>147</v>
      </c>
      <c r="K2847" s="226">
        <v>1186081.1100000001</v>
      </c>
      <c r="L2847" s="226"/>
    </row>
    <row r="2848" spans="1:14" x14ac:dyDescent="0.2">
      <c r="A2848" s="163">
        <v>2021</v>
      </c>
      <c r="B2848" s="163">
        <v>5</v>
      </c>
      <c r="C2848" s="163">
        <v>2</v>
      </c>
      <c r="D2848" s="141">
        <f t="shared" si="96"/>
        <v>44318</v>
      </c>
      <c r="E2848" s="275">
        <f t="shared" si="97"/>
        <v>44318</v>
      </c>
      <c r="F2848" s="495"/>
      <c r="G2848" s="221" t="s">
        <v>74</v>
      </c>
      <c r="H2848" s="221" t="str" cm="1">
        <f t="array" ref="H2848">IFERROR(INDEX(INVESTOR_LIST[INVESTOR NAME],MATCH(I2848,INVESTOR_LIST[INVESTOR CODE],0),)," ")</f>
        <v xml:space="preserve"> </v>
      </c>
      <c r="I2848" s="145"/>
      <c r="J2848" s="146" t="s">
        <v>52</v>
      </c>
      <c r="K2848" s="219"/>
      <c r="L2848" s="219">
        <v>1186081.1100000001</v>
      </c>
    </row>
    <row r="2849" spans="1:14" ht="11.25" customHeight="1" x14ac:dyDescent="0.2">
      <c r="A2849" s="168">
        <v>2021</v>
      </c>
      <c r="B2849" s="168">
        <v>5</v>
      </c>
      <c r="C2849" s="168">
        <v>3</v>
      </c>
      <c r="D2849" s="141">
        <f t="shared" si="96"/>
        <v>44319</v>
      </c>
      <c r="E2849" s="275">
        <f t="shared" si="97"/>
        <v>44319</v>
      </c>
      <c r="F2849" s="479" t="s">
        <v>964</v>
      </c>
      <c r="G2849" s="220" t="s">
        <v>74</v>
      </c>
      <c r="H2849" s="142" t="str" cm="1">
        <f t="array" ref="H2849">IFERROR(INDEX(INVESTOR_LIST[INVESTOR NAME],MATCH(I2849,INVESTOR_LIST[INVESTOR CODE],0),)," ")</f>
        <v>BABITA RANI BARMAN</v>
      </c>
      <c r="I2849" s="142" t="s">
        <v>438</v>
      </c>
      <c r="J2849" s="168" t="s">
        <v>52</v>
      </c>
      <c r="K2849" s="226">
        <v>20000</v>
      </c>
      <c r="L2849" s="226"/>
      <c r="N2849" s="156">
        <f>K2852/12.7</f>
        <v>7874.0157480314965</v>
      </c>
    </row>
    <row r="2850" spans="1:14" ht="33.75" x14ac:dyDescent="0.2">
      <c r="A2850" s="133">
        <v>2021</v>
      </c>
      <c r="B2850" s="133">
        <v>5</v>
      </c>
      <c r="C2850" s="133">
        <v>3</v>
      </c>
      <c r="D2850" s="141">
        <f t="shared" si="96"/>
        <v>44319</v>
      </c>
      <c r="E2850" s="275">
        <f t="shared" si="97"/>
        <v>44319</v>
      </c>
      <c r="F2850" s="481"/>
      <c r="G2850" s="174" t="s">
        <v>74</v>
      </c>
      <c r="H2850" s="148" t="str" cm="1">
        <f t="array" ref="H2850">IFERROR(INDEX(INVESTOR_LIST[INVESTOR NAME],MATCH(I2850,INVESTOR_LIST[INVESTOR CODE],0),)," ")</f>
        <v>BABITA RANI BARMAN</v>
      </c>
      <c r="I2850" s="148" t="s">
        <v>438</v>
      </c>
      <c r="J2850" s="133" t="s">
        <v>13</v>
      </c>
      <c r="K2850" s="218"/>
      <c r="L2850" s="218">
        <v>15750</v>
      </c>
    </row>
    <row r="2851" spans="1:14" ht="12" customHeight="1" x14ac:dyDescent="0.2">
      <c r="A2851" s="163">
        <v>2021</v>
      </c>
      <c r="B2851" s="163">
        <v>5</v>
      </c>
      <c r="C2851" s="163">
        <v>3</v>
      </c>
      <c r="D2851" s="141">
        <f t="shared" si="96"/>
        <v>44319</v>
      </c>
      <c r="E2851" s="275">
        <f t="shared" si="97"/>
        <v>44319</v>
      </c>
      <c r="F2851" s="480"/>
      <c r="G2851" s="221" t="s">
        <v>74</v>
      </c>
      <c r="H2851" s="145" t="str" cm="1">
        <f t="array" ref="H2851">IFERROR(INDEX(INVESTOR_LIST[INVESTOR NAME],MATCH(I2851,INVESTOR_LIST[INVESTOR CODE],0),)," ")</f>
        <v>BABITA RANI BARMAN</v>
      </c>
      <c r="I2851" s="145" t="s">
        <v>438</v>
      </c>
      <c r="J2851" s="163" t="s">
        <v>53</v>
      </c>
      <c r="K2851" s="219"/>
      <c r="L2851" s="219">
        <v>4250</v>
      </c>
    </row>
    <row r="2852" spans="1:14" ht="11.25" customHeight="1" x14ac:dyDescent="0.2">
      <c r="A2852" s="168">
        <v>2021</v>
      </c>
      <c r="B2852" s="168">
        <v>5</v>
      </c>
      <c r="C2852" s="168">
        <v>3</v>
      </c>
      <c r="D2852" s="141">
        <f t="shared" si="96"/>
        <v>44319</v>
      </c>
      <c r="E2852" s="275">
        <f t="shared" si="97"/>
        <v>44319</v>
      </c>
      <c r="F2852" s="479" t="s">
        <v>964</v>
      </c>
      <c r="G2852" s="220" t="s">
        <v>74</v>
      </c>
      <c r="H2852" s="142" t="str" cm="1">
        <f t="array" ref="H2852">IFERROR(INDEX(INVESTOR_LIST[INVESTOR NAME],MATCH(I2852,INVESTOR_LIST[INVESTOR CODE],0),)," ")</f>
        <v>SWADESH RANJAN SAHA</v>
      </c>
      <c r="I2852" s="142" t="s">
        <v>461</v>
      </c>
      <c r="J2852" s="168" t="s">
        <v>52</v>
      </c>
      <c r="K2852" s="226">
        <v>100000</v>
      </c>
      <c r="L2852" s="226"/>
      <c r="N2852" s="156">
        <f>K2855/12.7</f>
        <v>70866.141732283475</v>
      </c>
    </row>
    <row r="2853" spans="1:14" ht="45" x14ac:dyDescent="0.2">
      <c r="A2853" s="133">
        <v>2021</v>
      </c>
      <c r="B2853" s="133">
        <v>5</v>
      </c>
      <c r="C2853" s="133">
        <v>3</v>
      </c>
      <c r="D2853" s="141">
        <f t="shared" si="96"/>
        <v>44319</v>
      </c>
      <c r="E2853" s="275">
        <f t="shared" si="97"/>
        <v>44319</v>
      </c>
      <c r="F2853" s="481"/>
      <c r="G2853" s="174" t="s">
        <v>74</v>
      </c>
      <c r="H2853" s="148" t="str" cm="1">
        <f t="array" ref="H2853">IFERROR(INDEX(INVESTOR_LIST[INVESTOR NAME],MATCH(I2853,INVESTOR_LIST[INVESTOR CODE],0),)," ")</f>
        <v>SWADESH RANJAN SAHA</v>
      </c>
      <c r="I2853" s="148" t="s">
        <v>461</v>
      </c>
      <c r="J2853" s="133" t="s">
        <v>13</v>
      </c>
      <c r="K2853" s="218"/>
      <c r="L2853" s="218">
        <v>78740</v>
      </c>
    </row>
    <row r="2854" spans="1:14" ht="45" x14ac:dyDescent="0.2">
      <c r="A2854" s="163">
        <v>2021</v>
      </c>
      <c r="B2854" s="163">
        <v>5</v>
      </c>
      <c r="C2854" s="163">
        <v>3</v>
      </c>
      <c r="D2854" s="141">
        <f t="shared" si="96"/>
        <v>44319</v>
      </c>
      <c r="E2854" s="275">
        <f t="shared" si="97"/>
        <v>44319</v>
      </c>
      <c r="F2854" s="480"/>
      <c r="G2854" s="221" t="s">
        <v>74</v>
      </c>
      <c r="H2854" s="145" t="str" cm="1">
        <f t="array" ref="H2854">IFERROR(INDEX(INVESTOR_LIST[INVESTOR NAME],MATCH(I2854,INVESTOR_LIST[INVESTOR CODE],0),)," ")</f>
        <v>SWADESH RANJAN SAHA</v>
      </c>
      <c r="I2854" s="145" t="s">
        <v>461</v>
      </c>
      <c r="J2854" s="163" t="s">
        <v>53</v>
      </c>
      <c r="K2854" s="219"/>
      <c r="L2854" s="219">
        <v>21260</v>
      </c>
    </row>
    <row r="2855" spans="1:14" ht="11.25" customHeight="1" x14ac:dyDescent="0.2">
      <c r="A2855" s="168">
        <v>2021</v>
      </c>
      <c r="B2855" s="168">
        <v>5</v>
      </c>
      <c r="C2855" s="168">
        <v>3</v>
      </c>
      <c r="D2855" s="141">
        <f t="shared" si="96"/>
        <v>44319</v>
      </c>
      <c r="E2855" s="275">
        <f t="shared" si="97"/>
        <v>44319</v>
      </c>
      <c r="F2855" s="479" t="s">
        <v>964</v>
      </c>
      <c r="G2855" s="220" t="s">
        <v>74</v>
      </c>
      <c r="H2855" s="142" t="str" cm="1">
        <f t="array" ref="H2855">IFERROR(INDEX(INVESTOR_LIST[INVESTOR NAME],MATCH(I2855,INVESTOR_LIST[INVESTOR CODE],0),)," ")</f>
        <v>SWADESH RANJAN SAHA</v>
      </c>
      <c r="I2855" s="142" t="s">
        <v>461</v>
      </c>
      <c r="J2855" s="168" t="s">
        <v>52</v>
      </c>
      <c r="K2855" s="226">
        <v>900000</v>
      </c>
      <c r="L2855" s="226"/>
    </row>
    <row r="2856" spans="1:14" ht="45" x14ac:dyDescent="0.2">
      <c r="A2856" s="133">
        <v>2021</v>
      </c>
      <c r="B2856" s="133">
        <v>5</v>
      </c>
      <c r="C2856" s="133">
        <v>3</v>
      </c>
      <c r="D2856" s="141">
        <f t="shared" si="96"/>
        <v>44319</v>
      </c>
      <c r="E2856" s="275">
        <f t="shared" si="97"/>
        <v>44319</v>
      </c>
      <c r="F2856" s="481"/>
      <c r="G2856" s="174" t="s">
        <v>74</v>
      </c>
      <c r="H2856" s="148" t="str" cm="1">
        <f t="array" ref="H2856">IFERROR(INDEX(INVESTOR_LIST[INVESTOR NAME],MATCH(I2856,INVESTOR_LIST[INVESTOR CODE],0),)," ")</f>
        <v>SWADESH RANJAN SAHA</v>
      </c>
      <c r="I2856" s="148" t="s">
        <v>461</v>
      </c>
      <c r="J2856" s="133" t="s">
        <v>13</v>
      </c>
      <c r="K2856" s="218"/>
      <c r="L2856" s="218">
        <v>708660</v>
      </c>
    </row>
    <row r="2857" spans="1:14" ht="45" x14ac:dyDescent="0.2">
      <c r="A2857" s="163">
        <v>2021</v>
      </c>
      <c r="B2857" s="163">
        <v>5</v>
      </c>
      <c r="C2857" s="163">
        <v>3</v>
      </c>
      <c r="D2857" s="141">
        <f t="shared" si="96"/>
        <v>44319</v>
      </c>
      <c r="E2857" s="275">
        <f t="shared" si="97"/>
        <v>44319</v>
      </c>
      <c r="F2857" s="480"/>
      <c r="G2857" s="221" t="s">
        <v>74</v>
      </c>
      <c r="H2857" s="145" t="str" cm="1">
        <f t="array" ref="H2857">IFERROR(INDEX(INVESTOR_LIST[INVESTOR NAME],MATCH(I2857,INVESTOR_LIST[INVESTOR CODE],0),)," ")</f>
        <v>SWADESH RANJAN SAHA</v>
      </c>
      <c r="I2857" s="145" t="s">
        <v>461</v>
      </c>
      <c r="J2857" s="163" t="s">
        <v>53</v>
      </c>
      <c r="K2857" s="219"/>
      <c r="L2857" s="219">
        <v>191340</v>
      </c>
    </row>
    <row r="2858" spans="1:14" x14ac:dyDescent="0.2">
      <c r="A2858" s="168">
        <v>2021</v>
      </c>
      <c r="B2858" s="168">
        <v>5</v>
      </c>
      <c r="C2858" s="168">
        <v>3</v>
      </c>
      <c r="D2858" s="141">
        <f t="shared" si="96"/>
        <v>44319</v>
      </c>
      <c r="E2858" s="275">
        <f t="shared" si="97"/>
        <v>44319</v>
      </c>
      <c r="F2858" s="479" t="s">
        <v>77</v>
      </c>
      <c r="G2858" s="220" t="s">
        <v>74</v>
      </c>
      <c r="H2858" s="220" t="str" cm="1">
        <f t="array" ref="H2858">IFERROR(INDEX(INVESTOR_LIST[INVESTOR NAME],MATCH(I2858,INVESTOR_LIST[INVESTOR CODE],0),)," ")</f>
        <v xml:space="preserve"> </v>
      </c>
      <c r="I2858" s="142" t="s">
        <v>348</v>
      </c>
      <c r="J2858" s="143" t="s">
        <v>61</v>
      </c>
      <c r="K2858" s="226">
        <v>25</v>
      </c>
      <c r="L2858" s="226"/>
    </row>
    <row r="2859" spans="1:14" x14ac:dyDescent="0.2">
      <c r="A2859" s="163">
        <v>2021</v>
      </c>
      <c r="B2859" s="163">
        <v>5</v>
      </c>
      <c r="C2859" s="163">
        <v>3</v>
      </c>
      <c r="D2859" s="141">
        <f t="shared" si="96"/>
        <v>44319</v>
      </c>
      <c r="E2859" s="275">
        <f t="shared" si="97"/>
        <v>44319</v>
      </c>
      <c r="F2859" s="480"/>
      <c r="G2859" s="221" t="s">
        <v>74</v>
      </c>
      <c r="H2859" s="221" t="str" cm="1">
        <f t="array" ref="H2859">IFERROR(INDEX(INVESTOR_LIST[INVESTOR NAME],MATCH(I2859,INVESTOR_LIST[INVESTOR CODE],0),)," ")</f>
        <v xml:space="preserve"> </v>
      </c>
      <c r="I2859" s="145" t="s">
        <v>348</v>
      </c>
      <c r="J2859" s="146" t="s">
        <v>52</v>
      </c>
      <c r="K2859" s="219"/>
      <c r="L2859" s="219">
        <v>25</v>
      </c>
      <c r="N2859" s="156">
        <f>K2864/12.7</f>
        <v>15748.031496062993</v>
      </c>
    </row>
    <row r="2860" spans="1:14" x14ac:dyDescent="0.2">
      <c r="A2860" s="168">
        <v>2021</v>
      </c>
      <c r="B2860" s="168">
        <v>5</v>
      </c>
      <c r="C2860" s="168">
        <v>4</v>
      </c>
      <c r="D2860" s="141">
        <f t="shared" si="96"/>
        <v>44320</v>
      </c>
      <c r="E2860" s="275">
        <f t="shared" si="97"/>
        <v>44320</v>
      </c>
      <c r="F2860" s="479" t="s">
        <v>693</v>
      </c>
      <c r="G2860" s="220" t="s">
        <v>94</v>
      </c>
      <c r="H2860" s="142" t="str" cm="1">
        <f t="array" ref="H2860">IFERROR(INDEX(INVESTOR_LIST[INVESTOR NAME],MATCH(I2860,INVESTOR_LIST[INVESTOR CODE],0),)," ")</f>
        <v xml:space="preserve"> </v>
      </c>
      <c r="I2860" s="142"/>
      <c r="J2860" s="168" t="s">
        <v>168</v>
      </c>
      <c r="K2860" s="226">
        <v>357000</v>
      </c>
      <c r="L2860" s="226"/>
      <c r="N2860" s="156"/>
    </row>
    <row r="2861" spans="1:14" x14ac:dyDescent="0.2">
      <c r="A2861" s="163">
        <v>2021</v>
      </c>
      <c r="B2861" s="163">
        <v>5</v>
      </c>
      <c r="C2861" s="163">
        <v>4</v>
      </c>
      <c r="D2861" s="141">
        <f t="shared" si="96"/>
        <v>44320</v>
      </c>
      <c r="E2861" s="275">
        <f t="shared" si="97"/>
        <v>44320</v>
      </c>
      <c r="F2861" s="480"/>
      <c r="G2861" s="221" t="s">
        <v>94</v>
      </c>
      <c r="H2861" s="145" t="str" cm="1">
        <f t="array" ref="H2861">IFERROR(INDEX(INVESTOR_LIST[INVESTOR NAME],MATCH(I2861,INVESTOR_LIST[INVESTOR CODE],0),)," ")</f>
        <v xml:space="preserve"> </v>
      </c>
      <c r="I2861" s="145"/>
      <c r="J2861" s="163" t="s">
        <v>694</v>
      </c>
      <c r="K2861" s="219"/>
      <c r="L2861" s="219">
        <v>357000</v>
      </c>
      <c r="N2861" s="156"/>
    </row>
    <row r="2862" spans="1:14" x14ac:dyDescent="0.2">
      <c r="A2862" s="133">
        <v>2021</v>
      </c>
      <c r="B2862" s="133">
        <v>5</v>
      </c>
      <c r="C2862" s="133">
        <v>4</v>
      </c>
      <c r="D2862" s="141">
        <f t="shared" si="96"/>
        <v>44320</v>
      </c>
      <c r="E2862" s="275">
        <f t="shared" si="97"/>
        <v>44320</v>
      </c>
      <c r="F2862" s="479" t="s">
        <v>695</v>
      </c>
      <c r="G2862" s="174" t="s">
        <v>74</v>
      </c>
      <c r="H2862" s="148" t="str" cm="1">
        <f t="array" ref="H2862">IFERROR(INDEX(INVESTOR_LIST[INVESTOR NAME],MATCH(I2862,INVESTOR_LIST[INVESTOR CODE],0),)," ")</f>
        <v xml:space="preserve"> </v>
      </c>
      <c r="J2862" s="133" t="s">
        <v>52</v>
      </c>
      <c r="K2862" s="218">
        <v>120000</v>
      </c>
      <c r="L2862" s="218"/>
    </row>
    <row r="2863" spans="1:14" x14ac:dyDescent="0.2">
      <c r="A2863" s="133">
        <v>2021</v>
      </c>
      <c r="B2863" s="133">
        <v>5</v>
      </c>
      <c r="C2863" s="133">
        <v>4</v>
      </c>
      <c r="D2863" s="141">
        <f t="shared" si="96"/>
        <v>44320</v>
      </c>
      <c r="E2863" s="275">
        <f t="shared" si="97"/>
        <v>44320</v>
      </c>
      <c r="F2863" s="480"/>
      <c r="G2863" s="174" t="s">
        <v>74</v>
      </c>
      <c r="H2863" s="148" t="str" cm="1">
        <f t="array" ref="H2863">IFERROR(INDEX(INVESTOR_LIST[INVESTOR NAME],MATCH(I2863,INVESTOR_LIST[INVESTOR CODE],0),)," ")</f>
        <v xml:space="preserve"> </v>
      </c>
      <c r="J2863" s="133" t="s">
        <v>168</v>
      </c>
      <c r="K2863" s="218"/>
      <c r="L2863" s="218">
        <v>120000</v>
      </c>
    </row>
    <row r="2864" spans="1:14" ht="11.25" customHeight="1" x14ac:dyDescent="0.2">
      <c r="A2864" s="168">
        <v>2021</v>
      </c>
      <c r="B2864" s="168">
        <v>5</v>
      </c>
      <c r="C2864" s="168">
        <v>4</v>
      </c>
      <c r="D2864" s="141">
        <f t="shared" si="96"/>
        <v>44320</v>
      </c>
      <c r="E2864" s="275">
        <f t="shared" si="97"/>
        <v>44320</v>
      </c>
      <c r="F2864" s="479" t="s">
        <v>964</v>
      </c>
      <c r="G2864" s="220" t="s">
        <v>74</v>
      </c>
      <c r="H2864" s="142" t="str" cm="1">
        <f t="array" ref="H2864">IFERROR(INDEX(INVESTOR_LIST[INVESTOR NAME],MATCH(I2864,INVESTOR_LIST[INVESTOR CODE],0),)," ")</f>
        <v>SUJAN BARUA</v>
      </c>
      <c r="I2864" s="142" t="s">
        <v>434</v>
      </c>
      <c r="J2864" s="168" t="s">
        <v>52</v>
      </c>
      <c r="K2864" s="226">
        <v>200000</v>
      </c>
      <c r="L2864" s="226"/>
    </row>
    <row r="2865" spans="1:14" ht="22.5" x14ac:dyDescent="0.2">
      <c r="A2865" s="133">
        <v>2021</v>
      </c>
      <c r="B2865" s="133">
        <v>5</v>
      </c>
      <c r="C2865" s="133">
        <v>4</v>
      </c>
      <c r="D2865" s="141">
        <f t="shared" si="96"/>
        <v>44320</v>
      </c>
      <c r="E2865" s="275">
        <f t="shared" si="97"/>
        <v>44320</v>
      </c>
      <c r="F2865" s="481"/>
      <c r="G2865" s="174" t="s">
        <v>74</v>
      </c>
      <c r="H2865" s="148" t="str" cm="1">
        <f t="array" ref="H2865">IFERROR(INDEX(INVESTOR_LIST[INVESTOR NAME],MATCH(I2865,INVESTOR_LIST[INVESTOR CODE],0),)," ")</f>
        <v>SUJAN BARUA</v>
      </c>
      <c r="I2865" s="148" t="s">
        <v>434</v>
      </c>
      <c r="J2865" s="133" t="s">
        <v>13</v>
      </c>
      <c r="K2865" s="218"/>
      <c r="L2865" s="218">
        <v>157480</v>
      </c>
    </row>
    <row r="2866" spans="1:14" ht="22.5" x14ac:dyDescent="0.2">
      <c r="A2866" s="163">
        <v>2021</v>
      </c>
      <c r="B2866" s="163">
        <v>5</v>
      </c>
      <c r="C2866" s="163">
        <v>4</v>
      </c>
      <c r="D2866" s="141">
        <f t="shared" si="96"/>
        <v>44320</v>
      </c>
      <c r="E2866" s="275">
        <f t="shared" si="97"/>
        <v>44320</v>
      </c>
      <c r="F2866" s="480"/>
      <c r="G2866" s="221" t="s">
        <v>74</v>
      </c>
      <c r="H2866" s="145" t="str" cm="1">
        <f t="array" ref="H2866">IFERROR(INDEX(INVESTOR_LIST[INVESTOR NAME],MATCH(I2866,INVESTOR_LIST[INVESTOR CODE],0),)," ")</f>
        <v>SUJAN BARUA</v>
      </c>
      <c r="I2866" s="145" t="s">
        <v>434</v>
      </c>
      <c r="J2866" s="163" t="s">
        <v>53</v>
      </c>
      <c r="K2866" s="219"/>
      <c r="L2866" s="219">
        <v>42520</v>
      </c>
    </row>
    <row r="2867" spans="1:14" ht="11.25" customHeight="1" x14ac:dyDescent="0.2">
      <c r="A2867" s="168">
        <v>2021</v>
      </c>
      <c r="B2867" s="168">
        <v>5</v>
      </c>
      <c r="C2867" s="168">
        <v>4</v>
      </c>
      <c r="D2867" s="141">
        <f t="shared" si="96"/>
        <v>44320</v>
      </c>
      <c r="E2867" s="275">
        <f t="shared" si="97"/>
        <v>44320</v>
      </c>
      <c r="F2867" s="479" t="s">
        <v>965</v>
      </c>
      <c r="G2867" s="220" t="s">
        <v>74</v>
      </c>
      <c r="H2867" s="142" t="str" cm="1">
        <f t="array" ref="H2867">IFERROR(INDEX(INVESTOR_LIST[INVESTOR NAME],MATCH(I2867,INVESTOR_LIST[INVESTOR CODE],0),)," ")</f>
        <v>RAIHAN RASHID MAJUMDAR</v>
      </c>
      <c r="I2867" s="142" t="s">
        <v>511</v>
      </c>
      <c r="J2867" s="168" t="s">
        <v>13</v>
      </c>
      <c r="K2867" s="226">
        <v>315040</v>
      </c>
      <c r="L2867" s="226"/>
    </row>
    <row r="2868" spans="1:14" ht="45" x14ac:dyDescent="0.2">
      <c r="A2868" s="133">
        <v>2021</v>
      </c>
      <c r="B2868" s="133">
        <v>5</v>
      </c>
      <c r="C2868" s="133">
        <v>4</v>
      </c>
      <c r="D2868" s="141">
        <f t="shared" si="96"/>
        <v>44320</v>
      </c>
      <c r="E2868" s="275">
        <f t="shared" si="97"/>
        <v>44320</v>
      </c>
      <c r="F2868" s="481"/>
      <c r="G2868" s="174" t="s">
        <v>74</v>
      </c>
      <c r="H2868" s="148" t="str" cm="1">
        <f t="array" ref="H2868">IFERROR(INDEX(INVESTOR_LIST[INVESTOR NAME],MATCH(I2868,INVESTOR_LIST[INVESTOR CODE],0),)," ")</f>
        <v>RAIHAN RASHID MAJUMDAR</v>
      </c>
      <c r="I2868" s="148" t="s">
        <v>511</v>
      </c>
      <c r="J2868" s="133" t="s">
        <v>53</v>
      </c>
      <c r="K2868" s="218">
        <v>84960.42</v>
      </c>
      <c r="L2868" s="218"/>
    </row>
    <row r="2869" spans="1:14" ht="11.25" customHeight="1" x14ac:dyDescent="0.2">
      <c r="A2869" s="163">
        <v>2021</v>
      </c>
      <c r="B2869" s="163">
        <v>5</v>
      </c>
      <c r="C2869" s="163">
        <v>4</v>
      </c>
      <c r="D2869" s="141">
        <f t="shared" si="96"/>
        <v>44320</v>
      </c>
      <c r="E2869" s="275">
        <f t="shared" si="97"/>
        <v>44320</v>
      </c>
      <c r="F2869" s="480"/>
      <c r="G2869" s="221" t="s">
        <v>74</v>
      </c>
      <c r="H2869" s="145" t="str" cm="1">
        <f t="array" ref="H2869">IFERROR(INDEX(INVESTOR_LIST[INVESTOR NAME],MATCH(I2869,INVESTOR_LIST[INVESTOR CODE],0),)," ")</f>
        <v>RAIHAN RASHID MAJUMDAR</v>
      </c>
      <c r="I2869" s="145" t="s">
        <v>511</v>
      </c>
      <c r="J2869" s="163" t="s">
        <v>52</v>
      </c>
      <c r="K2869" s="219"/>
      <c r="L2869" s="219">
        <v>400000.42</v>
      </c>
    </row>
    <row r="2870" spans="1:14" ht="11.25" customHeight="1" x14ac:dyDescent="0.2">
      <c r="A2870" s="168">
        <v>2021</v>
      </c>
      <c r="B2870" s="168">
        <v>5</v>
      </c>
      <c r="C2870" s="168">
        <v>4</v>
      </c>
      <c r="D2870" s="141">
        <f t="shared" si="96"/>
        <v>44320</v>
      </c>
      <c r="E2870" s="275">
        <f t="shared" si="97"/>
        <v>44320</v>
      </c>
      <c r="F2870" s="479" t="s">
        <v>254</v>
      </c>
      <c r="G2870" s="220" t="s">
        <v>74</v>
      </c>
      <c r="H2870" s="142" t="str" cm="1">
        <f t="array" ref="H2870">IFERROR(INDEX(INVESTOR_LIST[INVESTOR NAME],MATCH(I2870,INVESTOR_LIST[INVESTOR CODE],0),)," ")</f>
        <v xml:space="preserve"> </v>
      </c>
      <c r="I2870" s="142"/>
      <c r="J2870" s="168" t="s">
        <v>52</v>
      </c>
      <c r="K2870" s="226">
        <v>13000</v>
      </c>
      <c r="L2870" s="226"/>
    </row>
    <row r="2871" spans="1:14" x14ac:dyDescent="0.2">
      <c r="A2871" s="133">
        <v>2021</v>
      </c>
      <c r="B2871" s="133">
        <v>5</v>
      </c>
      <c r="C2871" s="133">
        <v>4</v>
      </c>
      <c r="D2871" s="141">
        <f t="shared" si="96"/>
        <v>44320</v>
      </c>
      <c r="E2871" s="275">
        <f t="shared" si="97"/>
        <v>44320</v>
      </c>
      <c r="F2871" s="481"/>
      <c r="G2871" s="174" t="s">
        <v>74</v>
      </c>
      <c r="H2871" s="148" t="str" cm="1">
        <f t="array" ref="H2871">IFERROR(INDEX(INVESTOR_LIST[INVESTOR NAME],MATCH(I2871,INVESTOR_LIST[INVESTOR CODE],0),)," ")</f>
        <v xml:space="preserve"> </v>
      </c>
      <c r="J2871" s="133" t="s">
        <v>13</v>
      </c>
      <c r="K2871" s="218"/>
      <c r="L2871" s="218">
        <v>10250</v>
      </c>
    </row>
    <row r="2872" spans="1:14" x14ac:dyDescent="0.2">
      <c r="A2872" s="163">
        <v>2021</v>
      </c>
      <c r="B2872" s="163">
        <v>5</v>
      </c>
      <c r="C2872" s="163">
        <v>4</v>
      </c>
      <c r="D2872" s="141">
        <f t="shared" si="96"/>
        <v>44320</v>
      </c>
      <c r="E2872" s="275">
        <f t="shared" si="97"/>
        <v>44320</v>
      </c>
      <c r="F2872" s="480"/>
      <c r="G2872" s="221" t="s">
        <v>74</v>
      </c>
      <c r="H2872" s="145" t="str" cm="1">
        <f t="array" ref="H2872">IFERROR(INDEX(INVESTOR_LIST[INVESTOR NAME],MATCH(I2872,INVESTOR_LIST[INVESTOR CODE],0),)," ")</f>
        <v xml:space="preserve"> </v>
      </c>
      <c r="I2872" s="145"/>
      <c r="J2872" s="163" t="s">
        <v>53</v>
      </c>
      <c r="K2872" s="219"/>
      <c r="L2872" s="219">
        <v>2750</v>
      </c>
    </row>
    <row r="2873" spans="1:14" x14ac:dyDescent="0.2">
      <c r="A2873" s="168">
        <v>2021</v>
      </c>
      <c r="B2873" s="168">
        <v>5</v>
      </c>
      <c r="C2873" s="168">
        <v>4</v>
      </c>
      <c r="D2873" s="141">
        <f t="shared" si="96"/>
        <v>44320</v>
      </c>
      <c r="E2873" s="275">
        <f t="shared" si="97"/>
        <v>44320</v>
      </c>
      <c r="F2873" s="479" t="s">
        <v>972</v>
      </c>
      <c r="G2873" s="220" t="s">
        <v>94</v>
      </c>
      <c r="H2873" s="142" t="str" cm="1">
        <f t="array" ref="H2873">IFERROR(INDEX(INVESTOR_LIST[INVESTOR NAME],MATCH(I2873,INVESTOR_LIST[INVESTOR CODE],0),)," ")</f>
        <v xml:space="preserve"> </v>
      </c>
      <c r="I2873" s="142"/>
      <c r="J2873" s="168" t="s">
        <v>79</v>
      </c>
      <c r="K2873" s="226">
        <v>862500</v>
      </c>
      <c r="L2873" s="226"/>
    </row>
    <row r="2874" spans="1:14" x14ac:dyDescent="0.2">
      <c r="A2874" s="133">
        <v>2021</v>
      </c>
      <c r="B2874" s="133">
        <v>5</v>
      </c>
      <c r="C2874" s="133">
        <v>4</v>
      </c>
      <c r="D2874" s="141">
        <f t="shared" si="96"/>
        <v>44320</v>
      </c>
      <c r="E2874" s="275">
        <f t="shared" si="97"/>
        <v>44320</v>
      </c>
      <c r="F2874" s="481"/>
      <c r="G2874" s="174" t="s">
        <v>94</v>
      </c>
      <c r="H2874" s="148" t="str" cm="1">
        <f t="array" ref="H2874">IFERROR(INDEX(INVESTOR_LIST[INVESTOR NAME],MATCH(I2874,INVESTOR_LIST[INVESTOR CODE],0),)," ")</f>
        <v xml:space="preserve"> </v>
      </c>
      <c r="J2874" s="133" t="s">
        <v>80</v>
      </c>
      <c r="K2874" s="218">
        <v>2767.5</v>
      </c>
      <c r="L2874" s="218"/>
    </row>
    <row r="2875" spans="1:14" x14ac:dyDescent="0.2">
      <c r="A2875" s="133">
        <v>2021</v>
      </c>
      <c r="B2875" s="133">
        <v>5</v>
      </c>
      <c r="C2875" s="133">
        <v>4</v>
      </c>
      <c r="D2875" s="141">
        <f t="shared" si="96"/>
        <v>44320</v>
      </c>
      <c r="E2875" s="275">
        <f t="shared" si="97"/>
        <v>44320</v>
      </c>
      <c r="F2875" s="481"/>
      <c r="G2875" s="174" t="s">
        <v>94</v>
      </c>
      <c r="H2875" s="148" t="str" cm="1">
        <f t="array" ref="H2875">IFERROR(INDEX(INVESTOR_LIST[INVESTOR NAME],MATCH(I2875,INVESTOR_LIST[INVESTOR CODE],0),)," ")</f>
        <v xml:space="preserve"> </v>
      </c>
      <c r="J2875" s="133" t="s">
        <v>79</v>
      </c>
      <c r="K2875" s="218"/>
      <c r="L2875" s="218">
        <v>601008.66</v>
      </c>
      <c r="N2875" s="156">
        <f>K2881/12.7</f>
        <v>7874.0157480314965</v>
      </c>
    </row>
    <row r="2876" spans="1:14" x14ac:dyDescent="0.2">
      <c r="A2876" s="133">
        <v>2021</v>
      </c>
      <c r="B2876" s="133">
        <v>5</v>
      </c>
      <c r="C2876" s="133">
        <v>4</v>
      </c>
      <c r="D2876" s="141">
        <f t="shared" si="96"/>
        <v>44320</v>
      </c>
      <c r="E2876" s="275">
        <f t="shared" si="97"/>
        <v>44320</v>
      </c>
      <c r="F2876" s="481"/>
      <c r="G2876" s="174" t="s">
        <v>94</v>
      </c>
      <c r="H2876" s="148" t="str" cm="1">
        <f t="array" ref="H2876">IFERROR(INDEX(INVESTOR_LIST[INVESTOR NAME],MATCH(I2876,INVESTOR_LIST[INVESTOR CODE],0),)," ")</f>
        <v xml:space="preserve"> </v>
      </c>
      <c r="J2876" s="133" t="s">
        <v>191</v>
      </c>
      <c r="K2876" s="218"/>
      <c r="L2876" s="218">
        <v>73991.34</v>
      </c>
    </row>
    <row r="2877" spans="1:14" x14ac:dyDescent="0.2">
      <c r="A2877" s="163">
        <v>2021</v>
      </c>
      <c r="B2877" s="163">
        <v>5</v>
      </c>
      <c r="C2877" s="163">
        <v>4</v>
      </c>
      <c r="D2877" s="141">
        <f t="shared" si="96"/>
        <v>44320</v>
      </c>
      <c r="E2877" s="275">
        <f t="shared" si="97"/>
        <v>44320</v>
      </c>
      <c r="F2877" s="480"/>
      <c r="G2877" s="221" t="s">
        <v>94</v>
      </c>
      <c r="H2877" s="145" t="str" cm="1">
        <f t="array" ref="H2877">IFERROR(INDEX(INVESTOR_LIST[INVESTOR NAME],MATCH(I2877,INVESTOR_LIST[INVESTOR CODE],0),)," ")</f>
        <v xml:space="preserve"> </v>
      </c>
      <c r="I2877" s="145"/>
      <c r="J2877" s="163" t="s">
        <v>147</v>
      </c>
      <c r="K2877" s="219"/>
      <c r="L2877" s="219">
        <v>190267.5</v>
      </c>
    </row>
    <row r="2878" spans="1:14" ht="11.25" customHeight="1" x14ac:dyDescent="0.2">
      <c r="A2878" s="168">
        <v>2021</v>
      </c>
      <c r="B2878" s="168">
        <v>5</v>
      </c>
      <c r="C2878" s="168">
        <v>5</v>
      </c>
      <c r="D2878" s="141">
        <f t="shared" si="96"/>
        <v>44321</v>
      </c>
      <c r="E2878" s="275">
        <f t="shared" si="97"/>
        <v>44321</v>
      </c>
      <c r="F2878" s="479" t="s">
        <v>254</v>
      </c>
      <c r="G2878" s="220" t="s">
        <v>74</v>
      </c>
      <c r="H2878" s="142" t="str" cm="1">
        <f t="array" ref="H2878">IFERROR(INDEX(INVESTOR_LIST[INVESTOR NAME],MATCH(I2878,INVESTOR_LIST[INVESTOR CODE],0),)," ")</f>
        <v xml:space="preserve"> </v>
      </c>
      <c r="I2878" s="142"/>
      <c r="J2878" s="168" t="s">
        <v>52</v>
      </c>
      <c r="K2878" s="226">
        <v>5000</v>
      </c>
      <c r="L2878" s="226"/>
    </row>
    <row r="2879" spans="1:14" x14ac:dyDescent="0.2">
      <c r="A2879" s="133">
        <v>2021</v>
      </c>
      <c r="B2879" s="133">
        <v>5</v>
      </c>
      <c r="C2879" s="133">
        <v>5</v>
      </c>
      <c r="D2879" s="141">
        <f t="shared" si="96"/>
        <v>44321</v>
      </c>
      <c r="E2879" s="275">
        <f t="shared" si="97"/>
        <v>44321</v>
      </c>
      <c r="F2879" s="481"/>
      <c r="G2879" s="174" t="s">
        <v>74</v>
      </c>
      <c r="H2879" s="148" t="str" cm="1">
        <f t="array" ref="H2879">IFERROR(INDEX(INVESTOR_LIST[INVESTOR NAME],MATCH(I2879,INVESTOR_LIST[INVESTOR CODE],0),)," ")</f>
        <v xml:space="preserve"> </v>
      </c>
      <c r="J2879" s="133" t="s">
        <v>13</v>
      </c>
      <c r="K2879" s="218"/>
      <c r="L2879" s="218">
        <v>3940</v>
      </c>
    </row>
    <row r="2880" spans="1:14" x14ac:dyDescent="0.2">
      <c r="A2880" s="163">
        <v>2021</v>
      </c>
      <c r="B2880" s="163">
        <v>5</v>
      </c>
      <c r="C2880" s="163">
        <v>5</v>
      </c>
      <c r="D2880" s="141">
        <f t="shared" si="96"/>
        <v>44321</v>
      </c>
      <c r="E2880" s="275">
        <f t="shared" si="97"/>
        <v>44321</v>
      </c>
      <c r="F2880" s="480"/>
      <c r="G2880" s="221" t="s">
        <v>74</v>
      </c>
      <c r="H2880" s="145" t="str" cm="1">
        <f t="array" ref="H2880">IFERROR(INDEX(INVESTOR_LIST[INVESTOR NAME],MATCH(I2880,INVESTOR_LIST[INVESTOR CODE],0),)," ")</f>
        <v xml:space="preserve"> </v>
      </c>
      <c r="I2880" s="145"/>
      <c r="J2880" s="163" t="s">
        <v>53</v>
      </c>
      <c r="K2880" s="219"/>
      <c r="L2880" s="219">
        <v>1060</v>
      </c>
    </row>
    <row r="2881" spans="1:13" ht="11.25" customHeight="1" x14ac:dyDescent="0.2">
      <c r="A2881" s="168">
        <v>2021</v>
      </c>
      <c r="B2881" s="168">
        <v>5</v>
      </c>
      <c r="C2881" s="168">
        <v>5</v>
      </c>
      <c r="D2881" s="141">
        <f t="shared" si="96"/>
        <v>44321</v>
      </c>
      <c r="E2881" s="275">
        <f t="shared" si="97"/>
        <v>44321</v>
      </c>
      <c r="F2881" s="479" t="s">
        <v>964</v>
      </c>
      <c r="G2881" s="220" t="s">
        <v>74</v>
      </c>
      <c r="H2881" s="142" t="str" cm="1">
        <f t="array" ref="H2881">IFERROR(INDEX(INVESTOR_LIST[INVESTOR NAME],MATCH(I2881,INVESTOR_LIST[INVESTOR CODE],0),)," ")</f>
        <v>RABEYA JAHAN SOAD</v>
      </c>
      <c r="I2881" s="142" t="s">
        <v>447</v>
      </c>
      <c r="J2881" s="168" t="s">
        <v>52</v>
      </c>
      <c r="K2881" s="226">
        <v>100000</v>
      </c>
      <c r="L2881" s="226"/>
    </row>
    <row r="2882" spans="1:13" ht="33.75" x14ac:dyDescent="0.2">
      <c r="A2882" s="133">
        <v>2021</v>
      </c>
      <c r="B2882" s="133">
        <v>5</v>
      </c>
      <c r="C2882" s="133">
        <v>5</v>
      </c>
      <c r="D2882" s="141">
        <f t="shared" si="96"/>
        <v>44321</v>
      </c>
      <c r="E2882" s="275">
        <f t="shared" si="97"/>
        <v>44321</v>
      </c>
      <c r="F2882" s="481"/>
      <c r="G2882" s="174" t="s">
        <v>74</v>
      </c>
      <c r="H2882" s="148" t="str" cm="1">
        <f t="array" ref="H2882">IFERROR(INDEX(INVESTOR_LIST[INVESTOR NAME],MATCH(I2882,INVESTOR_LIST[INVESTOR CODE],0),)," ")</f>
        <v>RABEYA JAHAN SOAD</v>
      </c>
      <c r="I2882" s="148" t="s">
        <v>447</v>
      </c>
      <c r="J2882" s="133" t="s">
        <v>13</v>
      </c>
      <c r="K2882" s="218"/>
      <c r="L2882" s="218">
        <v>78740</v>
      </c>
    </row>
    <row r="2883" spans="1:13" ht="33.75" x14ac:dyDescent="0.2">
      <c r="A2883" s="163">
        <v>2021</v>
      </c>
      <c r="B2883" s="163">
        <v>5</v>
      </c>
      <c r="C2883" s="163">
        <v>5</v>
      </c>
      <c r="D2883" s="141">
        <f t="shared" si="96"/>
        <v>44321</v>
      </c>
      <c r="E2883" s="275">
        <f t="shared" si="97"/>
        <v>44321</v>
      </c>
      <c r="F2883" s="480"/>
      <c r="G2883" s="221" t="s">
        <v>74</v>
      </c>
      <c r="H2883" s="145" t="str" cm="1">
        <f t="array" ref="H2883">IFERROR(INDEX(INVESTOR_LIST[INVESTOR NAME],MATCH(I2883,INVESTOR_LIST[INVESTOR CODE],0),)," ")</f>
        <v>RABEYA JAHAN SOAD</v>
      </c>
      <c r="I2883" s="145" t="s">
        <v>447</v>
      </c>
      <c r="J2883" s="163" t="s">
        <v>53</v>
      </c>
      <c r="K2883" s="219"/>
      <c r="L2883" s="219">
        <v>21260</v>
      </c>
    </row>
    <row r="2884" spans="1:13" ht="11.25" customHeight="1" x14ac:dyDescent="0.2">
      <c r="A2884" s="168">
        <v>2021</v>
      </c>
      <c r="B2884" s="168">
        <v>5</v>
      </c>
      <c r="C2884" s="168">
        <v>6</v>
      </c>
      <c r="D2884" s="141">
        <f t="shared" si="96"/>
        <v>44322</v>
      </c>
      <c r="E2884" s="275">
        <f t="shared" si="97"/>
        <v>44322</v>
      </c>
      <c r="F2884" s="479" t="s">
        <v>964</v>
      </c>
      <c r="G2884" s="220" t="s">
        <v>74</v>
      </c>
      <c r="H2884" s="142" t="str" cm="1">
        <f t="array" ref="H2884">IFERROR(INDEX(INVESTOR_LIST[INVESTOR NAME],MATCH(I2884,INVESTOR_LIST[INVESTOR CODE],0),)," ")</f>
        <v>SHUVA SAHA</v>
      </c>
      <c r="I2884" s="142" t="s">
        <v>421</v>
      </c>
      <c r="J2884" s="168" t="s">
        <v>52</v>
      </c>
      <c r="K2884" s="226">
        <v>100000</v>
      </c>
      <c r="L2884" s="226"/>
    </row>
    <row r="2885" spans="1:13" ht="22.5" x14ac:dyDescent="0.2">
      <c r="A2885" s="133">
        <v>2021</v>
      </c>
      <c r="B2885" s="133">
        <v>5</v>
      </c>
      <c r="C2885" s="133">
        <v>6</v>
      </c>
      <c r="D2885" s="141">
        <f t="shared" si="96"/>
        <v>44322</v>
      </c>
      <c r="E2885" s="275">
        <f t="shared" si="97"/>
        <v>44322</v>
      </c>
      <c r="F2885" s="481"/>
      <c r="G2885" s="174" t="s">
        <v>74</v>
      </c>
      <c r="H2885" s="148" t="str" cm="1">
        <f t="array" ref="H2885">IFERROR(INDEX(INVESTOR_LIST[INVESTOR NAME],MATCH(I2885,INVESTOR_LIST[INVESTOR CODE],0),)," ")</f>
        <v>SHUVA SAHA</v>
      </c>
      <c r="I2885" s="148" t="s">
        <v>421</v>
      </c>
      <c r="J2885" s="133" t="s">
        <v>13</v>
      </c>
      <c r="K2885" s="218"/>
      <c r="L2885" s="218">
        <v>78740</v>
      </c>
    </row>
    <row r="2886" spans="1:13" ht="22.5" x14ac:dyDescent="0.2">
      <c r="A2886" s="163">
        <v>2021</v>
      </c>
      <c r="B2886" s="163">
        <v>5</v>
      </c>
      <c r="C2886" s="163">
        <v>6</v>
      </c>
      <c r="D2886" s="141">
        <f t="shared" si="96"/>
        <v>44322</v>
      </c>
      <c r="E2886" s="275">
        <f t="shared" si="97"/>
        <v>44322</v>
      </c>
      <c r="F2886" s="480"/>
      <c r="G2886" s="221" t="s">
        <v>74</v>
      </c>
      <c r="H2886" s="145" t="str" cm="1">
        <f t="array" ref="H2886">IFERROR(INDEX(INVESTOR_LIST[INVESTOR NAME],MATCH(I2886,INVESTOR_LIST[INVESTOR CODE],0),)," ")</f>
        <v>SHUVA SAHA</v>
      </c>
      <c r="I2886" s="145" t="s">
        <v>421</v>
      </c>
      <c r="J2886" s="163" t="s">
        <v>53</v>
      </c>
      <c r="K2886" s="219"/>
      <c r="L2886" s="219">
        <v>21260</v>
      </c>
    </row>
    <row r="2887" spans="1:13" ht="11.25" customHeight="1" x14ac:dyDescent="0.2">
      <c r="A2887" s="168">
        <v>2021</v>
      </c>
      <c r="B2887" s="168">
        <v>5</v>
      </c>
      <c r="C2887" s="168">
        <v>6</v>
      </c>
      <c r="D2887" s="141">
        <f t="shared" si="96"/>
        <v>44322</v>
      </c>
      <c r="E2887" s="275">
        <f t="shared" si="97"/>
        <v>44322</v>
      </c>
      <c r="F2887" s="479" t="s">
        <v>254</v>
      </c>
      <c r="G2887" s="220" t="s">
        <v>74</v>
      </c>
      <c r="H2887" s="142" t="str" cm="1">
        <f t="array" ref="H2887">IFERROR(INDEX(INVESTOR_LIST[INVESTOR NAME],MATCH(I2887,INVESTOR_LIST[INVESTOR CODE],0),)," ")</f>
        <v xml:space="preserve"> </v>
      </c>
      <c r="I2887" s="142"/>
      <c r="J2887" s="168" t="s">
        <v>52</v>
      </c>
      <c r="K2887" s="226">
        <v>2500</v>
      </c>
      <c r="L2887" s="226"/>
    </row>
    <row r="2888" spans="1:13" x14ac:dyDescent="0.2">
      <c r="A2888" s="133">
        <v>2021</v>
      </c>
      <c r="B2888" s="133">
        <v>5</v>
      </c>
      <c r="C2888" s="133">
        <v>6</v>
      </c>
      <c r="D2888" s="141">
        <f t="shared" si="96"/>
        <v>44322</v>
      </c>
      <c r="E2888" s="275">
        <f t="shared" si="97"/>
        <v>44322</v>
      </c>
      <c r="F2888" s="481"/>
      <c r="G2888" s="174" t="s">
        <v>74</v>
      </c>
      <c r="H2888" s="148" t="str" cm="1">
        <f t="array" ref="H2888">IFERROR(INDEX(INVESTOR_LIST[INVESTOR NAME],MATCH(I2888,INVESTOR_LIST[INVESTOR CODE],0),)," ")</f>
        <v xml:space="preserve"> </v>
      </c>
      <c r="J2888" s="133" t="s">
        <v>13</v>
      </c>
      <c r="K2888" s="218"/>
      <c r="L2888" s="218">
        <v>1970</v>
      </c>
    </row>
    <row r="2889" spans="1:13" x14ac:dyDescent="0.2">
      <c r="A2889" s="163">
        <v>2021</v>
      </c>
      <c r="B2889" s="163">
        <v>5</v>
      </c>
      <c r="C2889" s="163">
        <v>6</v>
      </c>
      <c r="D2889" s="141">
        <f t="shared" si="96"/>
        <v>44322</v>
      </c>
      <c r="E2889" s="275">
        <f t="shared" si="97"/>
        <v>44322</v>
      </c>
      <c r="F2889" s="480"/>
      <c r="G2889" s="221" t="s">
        <v>74</v>
      </c>
      <c r="H2889" s="145" t="str" cm="1">
        <f t="array" ref="H2889">IFERROR(INDEX(INVESTOR_LIST[INVESTOR NAME],MATCH(I2889,INVESTOR_LIST[INVESTOR CODE],0),)," ")</f>
        <v xml:space="preserve"> </v>
      </c>
      <c r="I2889" s="145"/>
      <c r="J2889" s="163" t="s">
        <v>53</v>
      </c>
      <c r="K2889" s="219"/>
      <c r="L2889" s="219">
        <v>530</v>
      </c>
    </row>
    <row r="2890" spans="1:13" ht="11.25" customHeight="1" x14ac:dyDescent="0.2">
      <c r="A2890" s="168">
        <v>2021</v>
      </c>
      <c r="B2890" s="168">
        <v>5</v>
      </c>
      <c r="C2890" s="168">
        <v>6</v>
      </c>
      <c r="D2890" s="141">
        <f t="shared" si="96"/>
        <v>44322</v>
      </c>
      <c r="E2890" s="275">
        <f t="shared" si="97"/>
        <v>44322</v>
      </c>
      <c r="F2890" s="494" t="s">
        <v>524</v>
      </c>
      <c r="G2890" s="220" t="s">
        <v>74</v>
      </c>
      <c r="H2890" s="220" t="str" cm="1">
        <f t="array" ref="H2890">IFERROR(INDEX(INVESTOR_LIST[INVESTOR NAME],MATCH(I2890,INVESTOR_LIST[INVESTOR CODE],0),)," ")</f>
        <v xml:space="preserve"> </v>
      </c>
      <c r="I2890" s="142"/>
      <c r="J2890" s="143" t="s">
        <v>147</v>
      </c>
      <c r="K2890" s="226">
        <v>190267.5</v>
      </c>
      <c r="L2890" s="226"/>
    </row>
    <row r="2891" spans="1:13" x14ac:dyDescent="0.2">
      <c r="A2891" s="163">
        <v>2021</v>
      </c>
      <c r="B2891" s="163">
        <v>5</v>
      </c>
      <c r="C2891" s="163">
        <v>6</v>
      </c>
      <c r="D2891" s="141">
        <f t="shared" si="96"/>
        <v>44322</v>
      </c>
      <c r="E2891" s="275">
        <f t="shared" si="97"/>
        <v>44322</v>
      </c>
      <c r="F2891" s="495"/>
      <c r="G2891" s="221" t="s">
        <v>74</v>
      </c>
      <c r="H2891" s="221" t="str" cm="1">
        <f t="array" ref="H2891">IFERROR(INDEX(INVESTOR_LIST[INVESTOR NAME],MATCH(I2891,INVESTOR_LIST[INVESTOR CODE],0),)," ")</f>
        <v xml:space="preserve"> </v>
      </c>
      <c r="I2891" s="145"/>
      <c r="J2891" s="146" t="s">
        <v>52</v>
      </c>
      <c r="K2891" s="219"/>
      <c r="L2891" s="219">
        <v>190267.5</v>
      </c>
    </row>
    <row r="2892" spans="1:13" x14ac:dyDescent="0.2">
      <c r="A2892" s="238">
        <v>2021</v>
      </c>
      <c r="B2892" s="238">
        <v>5</v>
      </c>
      <c r="C2892" s="238">
        <v>6</v>
      </c>
      <c r="D2892" s="141">
        <f t="shared" si="96"/>
        <v>44322</v>
      </c>
      <c r="E2892" s="275">
        <f t="shared" si="97"/>
        <v>44322</v>
      </c>
      <c r="F2892" s="477" t="s">
        <v>347</v>
      </c>
      <c r="G2892" s="239" t="s">
        <v>94</v>
      </c>
      <c r="H2892" s="239" t="str" cm="1">
        <f t="array" ref="H2892">IFERROR(INDEX(INVESTOR_LIST[INVESTOR NAME],MATCH(I2892,INVESTOR_LIST[INVESTOR CODE],0),)," ")</f>
        <v xml:space="preserve"> </v>
      </c>
      <c r="I2892" s="262" t="s">
        <v>348</v>
      </c>
      <c r="J2892" s="240" t="s">
        <v>108</v>
      </c>
      <c r="K2892" s="241">
        <v>2453630.5871428829</v>
      </c>
      <c r="L2892" s="241"/>
    </row>
    <row r="2893" spans="1:13" x14ac:dyDescent="0.2">
      <c r="A2893" s="242">
        <v>2021</v>
      </c>
      <c r="B2893" s="242">
        <v>5</v>
      </c>
      <c r="C2893" s="242">
        <v>6</v>
      </c>
      <c r="D2893" s="141">
        <f t="shared" si="96"/>
        <v>44322</v>
      </c>
      <c r="E2893" s="275">
        <f t="shared" si="97"/>
        <v>44322</v>
      </c>
      <c r="F2893" s="478"/>
      <c r="G2893" s="243" t="s">
        <v>94</v>
      </c>
      <c r="H2893" s="243" t="str" cm="1">
        <f t="array" ref="H2893">IFERROR(INDEX(INVESTOR_LIST[INVESTOR NAME],MATCH(I2893,INVESTOR_LIST[INVESTOR CODE],0),)," ")</f>
        <v xml:space="preserve"> </v>
      </c>
      <c r="I2893" s="263" t="s">
        <v>348</v>
      </c>
      <c r="J2893" s="244" t="s">
        <v>82</v>
      </c>
      <c r="K2893" s="245"/>
      <c r="L2893" s="245">
        <v>2453630.5871428829</v>
      </c>
    </row>
    <row r="2894" spans="1:13" ht="22.5" x14ac:dyDescent="0.2">
      <c r="A2894" s="246">
        <v>2021</v>
      </c>
      <c r="B2894" s="246">
        <v>5</v>
      </c>
      <c r="C2894" s="246">
        <v>6</v>
      </c>
      <c r="D2894" s="141">
        <f t="shared" ref="D2894:D2957" si="98">DATE(A2894,B2894,C2894)</f>
        <v>44322</v>
      </c>
      <c r="E2894" s="275">
        <f t="shared" si="97"/>
        <v>44322</v>
      </c>
      <c r="F2894" s="482" t="s">
        <v>148</v>
      </c>
      <c r="G2894" s="247" t="s">
        <v>94</v>
      </c>
      <c r="H2894" s="247" t="str" cm="1">
        <f t="array" ref="H2894">IFERROR(INDEX(INVESTOR_LIST[INVESTOR NAME],MATCH(I2894,INVESTOR_LIST[INVESTOR CODE],0),)," ")</f>
        <v xml:space="preserve"> </v>
      </c>
      <c r="I2894" s="248" t="s">
        <v>348</v>
      </c>
      <c r="J2894" s="249" t="s">
        <v>95</v>
      </c>
      <c r="K2894" s="250">
        <v>2747.2527472527472</v>
      </c>
      <c r="L2894" s="241"/>
      <c r="M2894" s="133">
        <v>2747.2527472527472</v>
      </c>
    </row>
    <row r="2895" spans="1:13" x14ac:dyDescent="0.2">
      <c r="A2895" s="242">
        <v>2021</v>
      </c>
      <c r="B2895" s="242">
        <v>5</v>
      </c>
      <c r="C2895" s="242">
        <v>6</v>
      </c>
      <c r="D2895" s="141">
        <f t="shared" si="98"/>
        <v>44322</v>
      </c>
      <c r="E2895" s="275">
        <f t="shared" ref="E2895:E2958" si="99">DATE(A2895,B2895,C2895)</f>
        <v>44322</v>
      </c>
      <c r="F2895" s="478"/>
      <c r="G2895" s="243" t="s">
        <v>94</v>
      </c>
      <c r="H2895" s="243" t="str" cm="1">
        <f t="array" ref="H2895">IFERROR(INDEX(INVESTOR_LIST[INVESTOR NAME],MATCH(I2895,INVESTOR_LIST[INVESTOR CODE],0),)," ")</f>
        <v xml:space="preserve"> </v>
      </c>
      <c r="I2895" s="263" t="s">
        <v>348</v>
      </c>
      <c r="J2895" s="244" t="s">
        <v>63</v>
      </c>
      <c r="K2895" s="245"/>
      <c r="L2895" s="245">
        <v>2747.2527472527472</v>
      </c>
      <c r="M2895" s="133">
        <v>86681.546012043662</v>
      </c>
    </row>
    <row r="2896" spans="1:13" x14ac:dyDescent="0.2">
      <c r="A2896" s="246">
        <v>2021</v>
      </c>
      <c r="B2896" s="246">
        <v>5</v>
      </c>
      <c r="C2896" s="246">
        <v>6</v>
      </c>
      <c r="D2896" s="141">
        <f t="shared" si="98"/>
        <v>44322</v>
      </c>
      <c r="E2896" s="275">
        <f t="shared" si="99"/>
        <v>44322</v>
      </c>
      <c r="F2896" s="482" t="s">
        <v>137</v>
      </c>
      <c r="G2896" s="247" t="s">
        <v>94</v>
      </c>
      <c r="H2896" s="247" t="str" cm="1">
        <f t="array" ref="H2896">IFERROR(INDEX(INVESTOR_LIST[INVESTOR NAME],MATCH(I2896,INVESTOR_LIST[INVESTOR CODE],0),)," ")</f>
        <v xml:space="preserve"> </v>
      </c>
      <c r="I2896" s="248" t="s">
        <v>348</v>
      </c>
      <c r="J2896" s="249" t="s">
        <v>97</v>
      </c>
      <c r="K2896" s="250">
        <v>86681.546012043662</v>
      </c>
      <c r="L2896" s="252"/>
      <c r="M2896" s="133">
        <v>4093.6926852175684</v>
      </c>
    </row>
    <row r="2897" spans="1:14" x14ac:dyDescent="0.2">
      <c r="A2897" s="242">
        <v>2021</v>
      </c>
      <c r="B2897" s="242">
        <v>5</v>
      </c>
      <c r="C2897" s="242">
        <v>6</v>
      </c>
      <c r="D2897" s="141">
        <f t="shared" si="98"/>
        <v>44322</v>
      </c>
      <c r="E2897" s="275">
        <f t="shared" si="99"/>
        <v>44322</v>
      </c>
      <c r="F2897" s="478"/>
      <c r="G2897" s="243" t="s">
        <v>94</v>
      </c>
      <c r="H2897" s="243" t="str" cm="1">
        <f t="array" ref="H2897">IFERROR(INDEX(INVESTOR_LIST[INVESTOR NAME],MATCH(I2897,INVESTOR_LIST[INVESTOR CODE],0),)," ")</f>
        <v xml:space="preserve"> </v>
      </c>
      <c r="I2897" s="263" t="s">
        <v>348</v>
      </c>
      <c r="J2897" s="244" t="s">
        <v>47</v>
      </c>
      <c r="K2897" s="245"/>
      <c r="L2897" s="245">
        <v>86681.546012043662</v>
      </c>
    </row>
    <row r="2898" spans="1:14" x14ac:dyDescent="0.2">
      <c r="A2898" s="246">
        <v>2021</v>
      </c>
      <c r="B2898" s="246">
        <v>5</v>
      </c>
      <c r="C2898" s="246">
        <v>6</v>
      </c>
      <c r="D2898" s="141">
        <f t="shared" si="98"/>
        <v>44322</v>
      </c>
      <c r="E2898" s="275">
        <f t="shared" si="99"/>
        <v>44322</v>
      </c>
      <c r="F2898" s="482" t="s">
        <v>138</v>
      </c>
      <c r="G2898" s="247" t="s">
        <v>94</v>
      </c>
      <c r="H2898" s="247" t="str" cm="1">
        <f t="array" ref="H2898">IFERROR(INDEX(INVESTOR_LIST[INVESTOR NAME],MATCH(I2898,INVESTOR_LIST[INVESTOR CODE],0),)," ")</f>
        <v xml:space="preserve"> </v>
      </c>
      <c r="I2898" s="248" t="s">
        <v>348</v>
      </c>
      <c r="J2898" s="249" t="s">
        <v>100</v>
      </c>
      <c r="K2898" s="250">
        <v>4093.6926852175684</v>
      </c>
      <c r="L2898" s="252"/>
    </row>
    <row r="2899" spans="1:14" x14ac:dyDescent="0.2">
      <c r="A2899" s="242">
        <v>2021</v>
      </c>
      <c r="B2899" s="242">
        <v>5</v>
      </c>
      <c r="C2899" s="242">
        <v>6</v>
      </c>
      <c r="D2899" s="141">
        <f t="shared" si="98"/>
        <v>44322</v>
      </c>
      <c r="E2899" s="275">
        <f t="shared" si="99"/>
        <v>44322</v>
      </c>
      <c r="F2899" s="478"/>
      <c r="G2899" s="243" t="s">
        <v>94</v>
      </c>
      <c r="H2899" s="243" t="str" cm="1">
        <f t="array" ref="H2899">IFERROR(INDEX(INVESTOR_LIST[INVESTOR NAME],MATCH(I2899,INVESTOR_LIST[INVESTOR CODE],0),)," ")</f>
        <v xml:space="preserve"> </v>
      </c>
      <c r="I2899" s="263" t="s">
        <v>348</v>
      </c>
      <c r="J2899" s="244" t="s">
        <v>48</v>
      </c>
      <c r="K2899" s="245"/>
      <c r="L2899" s="245">
        <v>4093.6926852175684</v>
      </c>
      <c r="N2899" s="160"/>
    </row>
    <row r="2900" spans="1:14" x14ac:dyDescent="0.2">
      <c r="A2900" s="168">
        <v>2021</v>
      </c>
      <c r="B2900" s="168">
        <v>5</v>
      </c>
      <c r="C2900" s="168">
        <v>9</v>
      </c>
      <c r="D2900" s="141">
        <f t="shared" si="98"/>
        <v>44325</v>
      </c>
      <c r="E2900" s="275">
        <f t="shared" si="99"/>
        <v>44325</v>
      </c>
      <c r="F2900" s="494" t="s">
        <v>959</v>
      </c>
      <c r="G2900" s="220" t="s">
        <v>74</v>
      </c>
      <c r="H2900" s="220" t="str" cm="1">
        <f t="array" ref="H2900">IFERROR(INDEX(INVESTOR_LIST[INVESTOR NAME],MATCH(I2900,INVESTOR_LIST[INVESTOR CODE],0),)," ")</f>
        <v xml:space="preserve"> </v>
      </c>
      <c r="I2900" s="142"/>
      <c r="J2900" s="143" t="s">
        <v>168</v>
      </c>
      <c r="K2900" s="226">
        <v>1112827.5</v>
      </c>
      <c r="L2900" s="226"/>
    </row>
    <row r="2901" spans="1:14" x14ac:dyDescent="0.2">
      <c r="A2901" s="163">
        <v>2021</v>
      </c>
      <c r="B2901" s="163">
        <v>5</v>
      </c>
      <c r="C2901" s="163">
        <v>9</v>
      </c>
      <c r="D2901" s="141">
        <f t="shared" si="98"/>
        <v>44325</v>
      </c>
      <c r="E2901" s="275">
        <f t="shared" si="99"/>
        <v>44325</v>
      </c>
      <c r="F2901" s="495"/>
      <c r="G2901" s="221" t="s">
        <v>74</v>
      </c>
      <c r="H2901" s="221" t="str" cm="1">
        <f t="array" ref="H2901">IFERROR(INDEX(INVESTOR_LIST[INVESTOR NAME],MATCH(I2901,INVESTOR_LIST[INVESTOR CODE],0),)," ")</f>
        <v xml:space="preserve"> </v>
      </c>
      <c r="I2901" s="145"/>
      <c r="J2901" s="146" t="s">
        <v>694</v>
      </c>
      <c r="K2901" s="219"/>
      <c r="L2901" s="219">
        <v>1112827.5</v>
      </c>
    </row>
    <row r="2902" spans="1:14" ht="11.25" customHeight="1" x14ac:dyDescent="0.2">
      <c r="A2902" s="168">
        <v>2021</v>
      </c>
      <c r="B2902" s="168">
        <v>5</v>
      </c>
      <c r="C2902" s="168">
        <v>9</v>
      </c>
      <c r="D2902" s="141">
        <f t="shared" si="98"/>
        <v>44325</v>
      </c>
      <c r="E2902" s="275">
        <f t="shared" si="99"/>
        <v>44325</v>
      </c>
      <c r="F2902" s="479" t="s">
        <v>254</v>
      </c>
      <c r="G2902" s="220" t="s">
        <v>74</v>
      </c>
      <c r="H2902" s="142" t="str" cm="1">
        <f t="array" ref="H2902">IFERROR(INDEX(INVESTOR_LIST[INVESTOR NAME],MATCH(I2902,INVESTOR_LIST[INVESTOR CODE],0),)," ")</f>
        <v xml:space="preserve"> </v>
      </c>
      <c r="I2902" s="142"/>
      <c r="J2902" s="168" t="s">
        <v>52</v>
      </c>
      <c r="K2902" s="226">
        <v>159000</v>
      </c>
      <c r="L2902" s="226"/>
      <c r="N2902" s="156">
        <f>K2905/12.86</f>
        <v>7776.0497667185073</v>
      </c>
    </row>
    <row r="2903" spans="1:14" x14ac:dyDescent="0.2">
      <c r="A2903" s="133">
        <v>2021</v>
      </c>
      <c r="B2903" s="133">
        <v>5</v>
      </c>
      <c r="C2903" s="133">
        <v>9</v>
      </c>
      <c r="D2903" s="141">
        <f t="shared" si="98"/>
        <v>44325</v>
      </c>
      <c r="E2903" s="275">
        <f t="shared" si="99"/>
        <v>44325</v>
      </c>
      <c r="F2903" s="481"/>
      <c r="G2903" s="174" t="s">
        <v>74</v>
      </c>
      <c r="H2903" s="148" t="str" cm="1">
        <f t="array" ref="H2903">IFERROR(INDEX(INVESTOR_LIST[INVESTOR NAME],MATCH(I2903,INVESTOR_LIST[INVESTOR CODE],0),)," ")</f>
        <v xml:space="preserve"> </v>
      </c>
      <c r="J2903" s="133" t="s">
        <v>13</v>
      </c>
      <c r="K2903" s="218"/>
      <c r="L2903" s="218">
        <v>125300</v>
      </c>
    </row>
    <row r="2904" spans="1:14" x14ac:dyDescent="0.2">
      <c r="A2904" s="163">
        <v>2021</v>
      </c>
      <c r="B2904" s="163">
        <v>5</v>
      </c>
      <c r="C2904" s="163">
        <v>9</v>
      </c>
      <c r="D2904" s="141">
        <f t="shared" si="98"/>
        <v>44325</v>
      </c>
      <c r="E2904" s="275">
        <f t="shared" si="99"/>
        <v>44325</v>
      </c>
      <c r="F2904" s="480"/>
      <c r="G2904" s="221" t="s">
        <v>74</v>
      </c>
      <c r="H2904" s="145" t="str" cm="1">
        <f t="array" ref="H2904">IFERROR(INDEX(INVESTOR_LIST[INVESTOR NAME],MATCH(I2904,INVESTOR_LIST[INVESTOR CODE],0),)," ")</f>
        <v xml:space="preserve"> </v>
      </c>
      <c r="I2904" s="145"/>
      <c r="J2904" s="163" t="s">
        <v>53</v>
      </c>
      <c r="K2904" s="219"/>
      <c r="L2904" s="219">
        <v>33700</v>
      </c>
    </row>
    <row r="2905" spans="1:14" ht="11.25" customHeight="1" x14ac:dyDescent="0.2">
      <c r="A2905" s="168">
        <v>2021</v>
      </c>
      <c r="B2905" s="168">
        <v>5</v>
      </c>
      <c r="C2905" s="168">
        <v>11</v>
      </c>
      <c r="D2905" s="141">
        <f t="shared" si="98"/>
        <v>44327</v>
      </c>
      <c r="E2905" s="275">
        <f t="shared" si="99"/>
        <v>44327</v>
      </c>
      <c r="F2905" s="479" t="s">
        <v>964</v>
      </c>
      <c r="G2905" s="220" t="s">
        <v>74</v>
      </c>
      <c r="H2905" s="142" t="str" cm="1">
        <f t="array" ref="H2905">IFERROR(INDEX(INVESTOR_LIST[INVESTOR NAME],MATCH(I2905,INVESTOR_LIST[INVESTOR CODE],0),)," ")</f>
        <v>REAZUL HAQUE</v>
      </c>
      <c r="I2905" s="142" t="s">
        <v>633</v>
      </c>
      <c r="J2905" s="168" t="s">
        <v>52</v>
      </c>
      <c r="K2905" s="226">
        <v>100000</v>
      </c>
      <c r="L2905" s="226"/>
      <c r="N2905" s="156">
        <f>K2908/12.86</f>
        <v>3888.0248833592536</v>
      </c>
    </row>
    <row r="2906" spans="1:14" ht="22.5" x14ac:dyDescent="0.2">
      <c r="A2906" s="133">
        <v>2021</v>
      </c>
      <c r="B2906" s="133">
        <v>5</v>
      </c>
      <c r="C2906" s="133">
        <v>11</v>
      </c>
      <c r="D2906" s="141">
        <f t="shared" si="98"/>
        <v>44327</v>
      </c>
      <c r="E2906" s="275">
        <f t="shared" si="99"/>
        <v>44327</v>
      </c>
      <c r="F2906" s="481"/>
      <c r="G2906" s="174" t="s">
        <v>74</v>
      </c>
      <c r="H2906" s="148" t="str" cm="1">
        <f t="array" ref="H2906">IFERROR(INDEX(INVESTOR_LIST[INVESTOR NAME],MATCH(I2906,INVESTOR_LIST[INVESTOR CODE],0),)," ")</f>
        <v>REAZUL HAQUE</v>
      </c>
      <c r="I2906" s="148" t="s">
        <v>633</v>
      </c>
      <c r="J2906" s="133" t="s">
        <v>13</v>
      </c>
      <c r="K2906" s="218"/>
      <c r="L2906" s="218">
        <v>77760</v>
      </c>
    </row>
    <row r="2907" spans="1:14" ht="22.5" x14ac:dyDescent="0.2">
      <c r="A2907" s="163">
        <v>2021</v>
      </c>
      <c r="B2907" s="163">
        <v>5</v>
      </c>
      <c r="C2907" s="163">
        <v>11</v>
      </c>
      <c r="D2907" s="141">
        <f t="shared" si="98"/>
        <v>44327</v>
      </c>
      <c r="E2907" s="275">
        <f t="shared" si="99"/>
        <v>44327</v>
      </c>
      <c r="F2907" s="480"/>
      <c r="G2907" s="221" t="s">
        <v>74</v>
      </c>
      <c r="H2907" s="145" t="str" cm="1">
        <f t="array" ref="H2907">IFERROR(INDEX(INVESTOR_LIST[INVESTOR NAME],MATCH(I2907,INVESTOR_LIST[INVESTOR CODE],0),)," ")</f>
        <v>REAZUL HAQUE</v>
      </c>
      <c r="I2907" s="145" t="s">
        <v>633</v>
      </c>
      <c r="J2907" s="163" t="s">
        <v>53</v>
      </c>
      <c r="K2907" s="219"/>
      <c r="L2907" s="219">
        <v>22240</v>
      </c>
    </row>
    <row r="2908" spans="1:14" ht="11.25" customHeight="1" x14ac:dyDescent="0.2">
      <c r="A2908" s="168">
        <v>2021</v>
      </c>
      <c r="B2908" s="168">
        <v>5</v>
      </c>
      <c r="C2908" s="168">
        <v>11</v>
      </c>
      <c r="D2908" s="141">
        <f t="shared" si="98"/>
        <v>44327</v>
      </c>
      <c r="E2908" s="275">
        <f t="shared" si="99"/>
        <v>44327</v>
      </c>
      <c r="F2908" s="479" t="s">
        <v>964</v>
      </c>
      <c r="G2908" s="220" t="s">
        <v>74</v>
      </c>
      <c r="H2908" s="142" t="str" cm="1">
        <f t="array" ref="H2908">IFERROR(INDEX(INVESTOR_LIST[INVESTOR NAME],MATCH(I2908,INVESTOR_LIST[INVESTOR CODE],0),)," ")</f>
        <v>AKASH DEEP PAUL</v>
      </c>
      <c r="I2908" s="142" t="s">
        <v>471</v>
      </c>
      <c r="J2908" s="168" t="s">
        <v>52</v>
      </c>
      <c r="K2908" s="226">
        <v>50000</v>
      </c>
      <c r="L2908" s="226"/>
      <c r="N2908" s="156">
        <f>K2911/12.7</f>
        <v>62992.125984251972</v>
      </c>
    </row>
    <row r="2909" spans="1:14" ht="33.75" x14ac:dyDescent="0.2">
      <c r="A2909" s="133">
        <v>2021</v>
      </c>
      <c r="B2909" s="133">
        <v>5</v>
      </c>
      <c r="C2909" s="133">
        <v>11</v>
      </c>
      <c r="D2909" s="141">
        <f t="shared" si="98"/>
        <v>44327</v>
      </c>
      <c r="E2909" s="275">
        <f t="shared" si="99"/>
        <v>44327</v>
      </c>
      <c r="F2909" s="481"/>
      <c r="G2909" s="174" t="s">
        <v>74</v>
      </c>
      <c r="H2909" s="148" t="str" cm="1">
        <f t="array" ref="H2909">IFERROR(INDEX(INVESTOR_LIST[INVESTOR NAME],MATCH(I2909,INVESTOR_LIST[INVESTOR CODE],0),)," ")</f>
        <v>AKASH DEEP PAUL</v>
      </c>
      <c r="I2909" s="148" t="s">
        <v>471</v>
      </c>
      <c r="J2909" s="133" t="s">
        <v>13</v>
      </c>
      <c r="K2909" s="218"/>
      <c r="L2909" s="218">
        <v>38880</v>
      </c>
    </row>
    <row r="2910" spans="1:14" ht="33.75" x14ac:dyDescent="0.2">
      <c r="A2910" s="163">
        <v>2021</v>
      </c>
      <c r="B2910" s="163">
        <v>5</v>
      </c>
      <c r="C2910" s="163">
        <v>11</v>
      </c>
      <c r="D2910" s="141">
        <f t="shared" si="98"/>
        <v>44327</v>
      </c>
      <c r="E2910" s="275">
        <f t="shared" si="99"/>
        <v>44327</v>
      </c>
      <c r="F2910" s="480"/>
      <c r="G2910" s="221" t="s">
        <v>74</v>
      </c>
      <c r="H2910" s="145" t="str" cm="1">
        <f t="array" ref="H2910">IFERROR(INDEX(INVESTOR_LIST[INVESTOR NAME],MATCH(I2910,INVESTOR_LIST[INVESTOR CODE],0),)," ")</f>
        <v>AKASH DEEP PAUL</v>
      </c>
      <c r="I2910" s="145" t="s">
        <v>471</v>
      </c>
      <c r="J2910" s="163" t="s">
        <v>53</v>
      </c>
      <c r="K2910" s="219"/>
      <c r="L2910" s="219">
        <v>11120</v>
      </c>
    </row>
    <row r="2911" spans="1:14" ht="11.25" customHeight="1" x14ac:dyDescent="0.2">
      <c r="A2911" s="168">
        <v>2021</v>
      </c>
      <c r="B2911" s="168">
        <v>5</v>
      </c>
      <c r="C2911" s="168">
        <v>11</v>
      </c>
      <c r="D2911" s="141">
        <f t="shared" si="98"/>
        <v>44327</v>
      </c>
      <c r="E2911" s="275">
        <f t="shared" si="99"/>
        <v>44327</v>
      </c>
      <c r="F2911" s="479" t="s">
        <v>964</v>
      </c>
      <c r="G2911" s="220" t="s">
        <v>74</v>
      </c>
      <c r="H2911" s="142" t="str" cm="1">
        <f t="array" ref="H2911">IFERROR(INDEX(INVESTOR_LIST[INVESTOR NAME],MATCH(I2911,INVESTOR_LIST[INVESTOR CODE],0),)," ")</f>
        <v>HASIB MUSTABSIR</v>
      </c>
      <c r="I2911" s="142" t="s">
        <v>521</v>
      </c>
      <c r="J2911" s="168" t="s">
        <v>52</v>
      </c>
      <c r="K2911" s="226">
        <v>800000</v>
      </c>
      <c r="L2911" s="226"/>
      <c r="N2911" s="156">
        <f>K2914/12.86</f>
        <v>7776.0497667185073</v>
      </c>
    </row>
    <row r="2912" spans="1:14" ht="33.75" x14ac:dyDescent="0.2">
      <c r="A2912" s="133">
        <v>2021</v>
      </c>
      <c r="B2912" s="133">
        <v>5</v>
      </c>
      <c r="C2912" s="133">
        <v>11</v>
      </c>
      <c r="D2912" s="141">
        <f t="shared" si="98"/>
        <v>44327</v>
      </c>
      <c r="E2912" s="275">
        <f t="shared" si="99"/>
        <v>44327</v>
      </c>
      <c r="F2912" s="481"/>
      <c r="G2912" s="174" t="s">
        <v>74</v>
      </c>
      <c r="H2912" s="148" t="str" cm="1">
        <f t="array" ref="H2912">IFERROR(INDEX(INVESTOR_LIST[INVESTOR NAME],MATCH(I2912,INVESTOR_LIST[INVESTOR CODE],0),)," ")</f>
        <v>HASIB MUSTABSIR</v>
      </c>
      <c r="I2912" s="148" t="s">
        <v>521</v>
      </c>
      <c r="J2912" s="133" t="s">
        <v>13</v>
      </c>
      <c r="K2912" s="218"/>
      <c r="L2912" s="218">
        <v>629920</v>
      </c>
    </row>
    <row r="2913" spans="1:14" ht="33.75" x14ac:dyDescent="0.2">
      <c r="A2913" s="163">
        <v>2021</v>
      </c>
      <c r="B2913" s="163">
        <v>5</v>
      </c>
      <c r="C2913" s="163">
        <v>11</v>
      </c>
      <c r="D2913" s="141">
        <f t="shared" si="98"/>
        <v>44327</v>
      </c>
      <c r="E2913" s="275">
        <f t="shared" si="99"/>
        <v>44327</v>
      </c>
      <c r="F2913" s="480"/>
      <c r="G2913" s="221" t="s">
        <v>74</v>
      </c>
      <c r="H2913" s="145" t="str" cm="1">
        <f t="array" ref="H2913">IFERROR(INDEX(INVESTOR_LIST[INVESTOR NAME],MATCH(I2913,INVESTOR_LIST[INVESTOR CODE],0),)," ")</f>
        <v>HASIB MUSTABSIR</v>
      </c>
      <c r="I2913" s="145" t="s">
        <v>521</v>
      </c>
      <c r="J2913" s="163" t="s">
        <v>53</v>
      </c>
      <c r="K2913" s="219"/>
      <c r="L2913" s="219">
        <v>170080</v>
      </c>
    </row>
    <row r="2914" spans="1:14" ht="11.25" customHeight="1" x14ac:dyDescent="0.2">
      <c r="A2914" s="168">
        <v>2021</v>
      </c>
      <c r="B2914" s="168">
        <v>5</v>
      </c>
      <c r="C2914" s="168">
        <v>11</v>
      </c>
      <c r="D2914" s="141">
        <f t="shared" si="98"/>
        <v>44327</v>
      </c>
      <c r="E2914" s="275">
        <f t="shared" si="99"/>
        <v>44327</v>
      </c>
      <c r="F2914" s="479" t="s">
        <v>964</v>
      </c>
      <c r="G2914" s="220" t="s">
        <v>74</v>
      </c>
      <c r="H2914" s="142" t="str" cm="1">
        <f t="array" ref="H2914">IFERROR(INDEX(INVESTOR_LIST[INVESTOR NAME],MATCH(I2914,INVESTOR_LIST[INVESTOR CODE],0),)," ")</f>
        <v>KANKA SAHA</v>
      </c>
      <c r="I2914" s="142" t="s">
        <v>428</v>
      </c>
      <c r="J2914" s="168" t="s">
        <v>52</v>
      </c>
      <c r="K2914" s="226">
        <v>100000</v>
      </c>
      <c r="L2914" s="226"/>
      <c r="N2914" s="156">
        <f>K2917/12.86</f>
        <v>10108.864696734059</v>
      </c>
    </row>
    <row r="2915" spans="1:14" ht="22.5" x14ac:dyDescent="0.2">
      <c r="A2915" s="133">
        <v>2021</v>
      </c>
      <c r="B2915" s="133">
        <v>5</v>
      </c>
      <c r="C2915" s="133">
        <v>11</v>
      </c>
      <c r="D2915" s="141">
        <f t="shared" si="98"/>
        <v>44327</v>
      </c>
      <c r="E2915" s="275">
        <f t="shared" si="99"/>
        <v>44327</v>
      </c>
      <c r="F2915" s="481"/>
      <c r="G2915" s="174" t="s">
        <v>74</v>
      </c>
      <c r="H2915" s="148" t="str" cm="1">
        <f t="array" ref="H2915">IFERROR(INDEX(INVESTOR_LIST[INVESTOR NAME],MATCH(I2915,INVESTOR_LIST[INVESTOR CODE],0),)," ")</f>
        <v>KANKA SAHA</v>
      </c>
      <c r="I2915" s="148" t="s">
        <v>428</v>
      </c>
      <c r="J2915" s="133" t="s">
        <v>13</v>
      </c>
      <c r="K2915" s="218"/>
      <c r="L2915" s="218">
        <v>77760</v>
      </c>
    </row>
    <row r="2916" spans="1:14" ht="22.5" x14ac:dyDescent="0.2">
      <c r="A2916" s="163">
        <v>2021</v>
      </c>
      <c r="B2916" s="163">
        <v>5</v>
      </c>
      <c r="C2916" s="163">
        <v>11</v>
      </c>
      <c r="D2916" s="141">
        <f t="shared" si="98"/>
        <v>44327</v>
      </c>
      <c r="E2916" s="275">
        <f t="shared" si="99"/>
        <v>44327</v>
      </c>
      <c r="F2916" s="480"/>
      <c r="G2916" s="221" t="s">
        <v>74</v>
      </c>
      <c r="H2916" s="145" t="str" cm="1">
        <f t="array" ref="H2916">IFERROR(INDEX(INVESTOR_LIST[INVESTOR NAME],MATCH(I2916,INVESTOR_LIST[INVESTOR CODE],0),)," ")</f>
        <v>KANKA SAHA</v>
      </c>
      <c r="I2916" s="145" t="s">
        <v>428</v>
      </c>
      <c r="J2916" s="163" t="s">
        <v>53</v>
      </c>
      <c r="K2916" s="219"/>
      <c r="L2916" s="219">
        <v>22240</v>
      </c>
    </row>
    <row r="2917" spans="1:14" ht="11.25" customHeight="1" x14ac:dyDescent="0.2">
      <c r="A2917" s="168">
        <v>2021</v>
      </c>
      <c r="B2917" s="168">
        <v>5</v>
      </c>
      <c r="C2917" s="168">
        <v>11</v>
      </c>
      <c r="D2917" s="141">
        <f t="shared" si="98"/>
        <v>44327</v>
      </c>
      <c r="E2917" s="275">
        <f t="shared" si="99"/>
        <v>44327</v>
      </c>
      <c r="F2917" s="479" t="s">
        <v>964</v>
      </c>
      <c r="G2917" s="220" t="s">
        <v>74</v>
      </c>
      <c r="H2917" s="142" t="str" cm="1">
        <f t="array" ref="H2917">IFERROR(INDEX(INVESTOR_LIST[INVESTOR NAME],MATCH(I2917,INVESTOR_LIST[INVESTOR CODE],0),)," ")</f>
        <v>SHYAMAL KRISHNA SAHA</v>
      </c>
      <c r="I2917" s="142" t="s">
        <v>378</v>
      </c>
      <c r="J2917" s="168" t="s">
        <v>52</v>
      </c>
      <c r="K2917" s="226">
        <v>130000</v>
      </c>
      <c r="L2917" s="226"/>
    </row>
    <row r="2918" spans="1:14" ht="45" x14ac:dyDescent="0.2">
      <c r="A2918" s="133">
        <v>2021</v>
      </c>
      <c r="B2918" s="133">
        <v>5</v>
      </c>
      <c r="C2918" s="133">
        <v>11</v>
      </c>
      <c r="D2918" s="141">
        <f t="shared" si="98"/>
        <v>44327</v>
      </c>
      <c r="E2918" s="275">
        <f t="shared" si="99"/>
        <v>44327</v>
      </c>
      <c r="F2918" s="481"/>
      <c r="G2918" s="174" t="s">
        <v>74</v>
      </c>
      <c r="H2918" s="148" t="str" cm="1">
        <f t="array" ref="H2918">IFERROR(INDEX(INVESTOR_LIST[INVESTOR NAME],MATCH(I2918,INVESTOR_LIST[INVESTOR CODE],0),)," ")</f>
        <v>SHYAMAL KRISHNA SAHA</v>
      </c>
      <c r="I2918" s="148" t="s">
        <v>378</v>
      </c>
      <c r="J2918" s="133" t="s">
        <v>13</v>
      </c>
      <c r="K2918" s="218"/>
      <c r="L2918" s="218">
        <v>101090</v>
      </c>
    </row>
    <row r="2919" spans="1:14" ht="45" x14ac:dyDescent="0.2">
      <c r="A2919" s="163">
        <v>2021</v>
      </c>
      <c r="B2919" s="163">
        <v>5</v>
      </c>
      <c r="C2919" s="163">
        <v>11</v>
      </c>
      <c r="D2919" s="141">
        <f t="shared" si="98"/>
        <v>44327</v>
      </c>
      <c r="E2919" s="275">
        <f t="shared" si="99"/>
        <v>44327</v>
      </c>
      <c r="F2919" s="480"/>
      <c r="G2919" s="221" t="s">
        <v>74</v>
      </c>
      <c r="H2919" s="145" t="str" cm="1">
        <f t="array" ref="H2919">IFERROR(INDEX(INVESTOR_LIST[INVESTOR NAME],MATCH(I2919,INVESTOR_LIST[INVESTOR CODE],0),)," ")</f>
        <v>SHYAMAL KRISHNA SAHA</v>
      </c>
      <c r="I2919" s="145" t="s">
        <v>378</v>
      </c>
      <c r="J2919" s="163" t="s">
        <v>53</v>
      </c>
      <c r="K2919" s="219"/>
      <c r="L2919" s="219">
        <v>28910</v>
      </c>
    </row>
    <row r="2920" spans="1:14" x14ac:dyDescent="0.2">
      <c r="A2920" s="168">
        <v>2021</v>
      </c>
      <c r="B2920" s="168">
        <v>5</v>
      </c>
      <c r="C2920" s="168">
        <v>11</v>
      </c>
      <c r="D2920" s="141">
        <f t="shared" si="98"/>
        <v>44327</v>
      </c>
      <c r="E2920" s="275">
        <f t="shared" si="99"/>
        <v>44327</v>
      </c>
      <c r="F2920" s="479" t="s">
        <v>77</v>
      </c>
      <c r="G2920" s="220" t="s">
        <v>74</v>
      </c>
      <c r="H2920" s="220" t="str" cm="1">
        <f t="array" ref="H2920">IFERROR(INDEX(INVESTOR_LIST[INVESTOR NAME],MATCH(I2920,INVESTOR_LIST[INVESTOR CODE],0),)," ")</f>
        <v xml:space="preserve"> </v>
      </c>
      <c r="I2920" s="142" t="s">
        <v>348</v>
      </c>
      <c r="J2920" s="143" t="s">
        <v>61</v>
      </c>
      <c r="K2920" s="226">
        <v>60</v>
      </c>
      <c r="L2920" s="226"/>
    </row>
    <row r="2921" spans="1:14" x14ac:dyDescent="0.2">
      <c r="A2921" s="163">
        <v>2021</v>
      </c>
      <c r="B2921" s="163">
        <v>5</v>
      </c>
      <c r="C2921" s="163">
        <v>11</v>
      </c>
      <c r="D2921" s="141">
        <f t="shared" si="98"/>
        <v>44327</v>
      </c>
      <c r="E2921" s="275">
        <f t="shared" si="99"/>
        <v>44327</v>
      </c>
      <c r="F2921" s="480"/>
      <c r="G2921" s="221" t="s">
        <v>74</v>
      </c>
      <c r="H2921" s="221" t="str" cm="1">
        <f t="array" ref="H2921">IFERROR(INDEX(INVESTOR_LIST[INVESTOR NAME],MATCH(I2921,INVESTOR_LIST[INVESTOR CODE],0),)," ")</f>
        <v xml:space="preserve"> </v>
      </c>
      <c r="I2921" s="145" t="s">
        <v>348</v>
      </c>
      <c r="J2921" s="146" t="s">
        <v>52</v>
      </c>
      <c r="K2921" s="219"/>
      <c r="L2921" s="219">
        <v>60</v>
      </c>
    </row>
    <row r="2922" spans="1:14" x14ac:dyDescent="0.2">
      <c r="A2922" s="168">
        <v>2021</v>
      </c>
      <c r="B2922" s="168">
        <v>5</v>
      </c>
      <c r="C2922" s="168">
        <v>11</v>
      </c>
      <c r="D2922" s="141">
        <f t="shared" si="98"/>
        <v>44327</v>
      </c>
      <c r="E2922" s="275">
        <f t="shared" si="99"/>
        <v>44327</v>
      </c>
      <c r="F2922" s="479" t="s">
        <v>77</v>
      </c>
      <c r="G2922" s="220" t="s">
        <v>74</v>
      </c>
      <c r="H2922" s="220" t="str" cm="1">
        <f t="array" ref="H2922">IFERROR(INDEX(INVESTOR_LIST[INVESTOR NAME],MATCH(I2922,INVESTOR_LIST[INVESTOR CODE],0),)," ")</f>
        <v xml:space="preserve"> </v>
      </c>
      <c r="I2922" s="142" t="s">
        <v>348</v>
      </c>
      <c r="J2922" s="143" t="s">
        <v>61</v>
      </c>
      <c r="K2922" s="226">
        <v>60</v>
      </c>
      <c r="L2922" s="226"/>
    </row>
    <row r="2923" spans="1:14" x14ac:dyDescent="0.2">
      <c r="A2923" s="163">
        <v>2021</v>
      </c>
      <c r="B2923" s="163">
        <v>5</v>
      </c>
      <c r="C2923" s="163">
        <v>11</v>
      </c>
      <c r="D2923" s="141">
        <f t="shared" si="98"/>
        <v>44327</v>
      </c>
      <c r="E2923" s="275">
        <f t="shared" si="99"/>
        <v>44327</v>
      </c>
      <c r="F2923" s="480"/>
      <c r="G2923" s="221" t="s">
        <v>74</v>
      </c>
      <c r="H2923" s="221" t="str" cm="1">
        <f t="array" ref="H2923">IFERROR(INDEX(INVESTOR_LIST[INVESTOR NAME],MATCH(I2923,INVESTOR_LIST[INVESTOR CODE],0),)," ")</f>
        <v xml:space="preserve"> </v>
      </c>
      <c r="I2923" s="145" t="s">
        <v>348</v>
      </c>
      <c r="J2923" s="146" t="s">
        <v>52</v>
      </c>
      <c r="K2923" s="219"/>
      <c r="L2923" s="219">
        <v>60</v>
      </c>
    </row>
    <row r="2924" spans="1:14" x14ac:dyDescent="0.2">
      <c r="A2924" s="168">
        <v>2021</v>
      </c>
      <c r="B2924" s="168">
        <v>5</v>
      </c>
      <c r="C2924" s="168">
        <v>11</v>
      </c>
      <c r="D2924" s="141">
        <f t="shared" si="98"/>
        <v>44327</v>
      </c>
      <c r="E2924" s="275">
        <f t="shared" si="99"/>
        <v>44327</v>
      </c>
      <c r="F2924" s="479" t="s">
        <v>77</v>
      </c>
      <c r="G2924" s="220" t="s">
        <v>74</v>
      </c>
      <c r="H2924" s="220" t="str" cm="1">
        <f t="array" ref="H2924">IFERROR(INDEX(INVESTOR_LIST[INVESTOR NAME],MATCH(I2924,INVESTOR_LIST[INVESTOR CODE],0),)," ")</f>
        <v xml:space="preserve"> </v>
      </c>
      <c r="I2924" s="142" t="s">
        <v>348</v>
      </c>
      <c r="J2924" s="143" t="s">
        <v>61</v>
      </c>
      <c r="K2924" s="226">
        <v>10</v>
      </c>
      <c r="L2924" s="226"/>
    </row>
    <row r="2925" spans="1:14" x14ac:dyDescent="0.2">
      <c r="A2925" s="163">
        <v>2021</v>
      </c>
      <c r="B2925" s="163">
        <v>5</v>
      </c>
      <c r="C2925" s="163">
        <v>11</v>
      </c>
      <c r="D2925" s="141">
        <f t="shared" si="98"/>
        <v>44327</v>
      </c>
      <c r="E2925" s="275">
        <f t="shared" si="99"/>
        <v>44327</v>
      </c>
      <c r="F2925" s="480"/>
      <c r="G2925" s="221" t="s">
        <v>74</v>
      </c>
      <c r="H2925" s="221" t="str" cm="1">
        <f t="array" ref="H2925">IFERROR(INDEX(INVESTOR_LIST[INVESTOR NAME],MATCH(I2925,INVESTOR_LIST[INVESTOR CODE],0),)," ")</f>
        <v xml:space="preserve"> </v>
      </c>
      <c r="I2925" s="145" t="s">
        <v>348</v>
      </c>
      <c r="J2925" s="146" t="s">
        <v>52</v>
      </c>
      <c r="K2925" s="219"/>
      <c r="L2925" s="219">
        <v>10</v>
      </c>
    </row>
    <row r="2926" spans="1:14" x14ac:dyDescent="0.2">
      <c r="A2926" s="168">
        <v>2021</v>
      </c>
      <c r="B2926" s="168">
        <v>5</v>
      </c>
      <c r="C2926" s="168">
        <v>11</v>
      </c>
      <c r="D2926" s="141">
        <f t="shared" si="98"/>
        <v>44327</v>
      </c>
      <c r="E2926" s="275">
        <f t="shared" si="99"/>
        <v>44327</v>
      </c>
      <c r="F2926" s="479" t="s">
        <v>77</v>
      </c>
      <c r="G2926" s="220" t="s">
        <v>74</v>
      </c>
      <c r="H2926" s="220" t="str" cm="1">
        <f t="array" ref="H2926">IFERROR(INDEX(INVESTOR_LIST[INVESTOR NAME],MATCH(I2926,INVESTOR_LIST[INVESTOR CODE],0),)," ")</f>
        <v xml:space="preserve"> </v>
      </c>
      <c r="I2926" s="142" t="s">
        <v>348</v>
      </c>
      <c r="J2926" s="143" t="s">
        <v>61</v>
      </c>
      <c r="K2926" s="226">
        <v>10</v>
      </c>
      <c r="L2926" s="226"/>
    </row>
    <row r="2927" spans="1:14" x14ac:dyDescent="0.2">
      <c r="A2927" s="163">
        <v>2021</v>
      </c>
      <c r="B2927" s="163">
        <v>5</v>
      </c>
      <c r="C2927" s="163">
        <v>11</v>
      </c>
      <c r="D2927" s="141">
        <f t="shared" si="98"/>
        <v>44327</v>
      </c>
      <c r="E2927" s="275">
        <f t="shared" si="99"/>
        <v>44327</v>
      </c>
      <c r="F2927" s="480"/>
      <c r="G2927" s="221" t="s">
        <v>74</v>
      </c>
      <c r="H2927" s="221" t="str" cm="1">
        <f t="array" ref="H2927">IFERROR(INDEX(INVESTOR_LIST[INVESTOR NAME],MATCH(I2927,INVESTOR_LIST[INVESTOR CODE],0),)," ")</f>
        <v xml:space="preserve"> </v>
      </c>
      <c r="I2927" s="145" t="s">
        <v>348</v>
      </c>
      <c r="J2927" s="146" t="s">
        <v>52</v>
      </c>
      <c r="K2927" s="219"/>
      <c r="L2927" s="219">
        <v>10</v>
      </c>
    </row>
    <row r="2928" spans="1:14" x14ac:dyDescent="0.2">
      <c r="A2928" s="168">
        <v>2021</v>
      </c>
      <c r="B2928" s="168">
        <v>5</v>
      </c>
      <c r="C2928" s="168">
        <v>11</v>
      </c>
      <c r="D2928" s="141">
        <f t="shared" si="98"/>
        <v>44327</v>
      </c>
      <c r="E2928" s="275">
        <f t="shared" si="99"/>
        <v>44327</v>
      </c>
      <c r="F2928" s="479" t="s">
        <v>274</v>
      </c>
      <c r="G2928" s="220" t="s">
        <v>94</v>
      </c>
      <c r="H2928" s="142" t="str" cm="1">
        <f t="array" ref="H2928">IFERROR(INDEX(INVESTOR_LIST[INVESTOR NAME],MATCH(I2928,INVESTOR_LIST[INVESTOR CODE],0),)," ")</f>
        <v xml:space="preserve"> </v>
      </c>
      <c r="I2928" s="142"/>
      <c r="J2928" s="168" t="s">
        <v>79</v>
      </c>
      <c r="K2928" s="226">
        <v>6105637.2000000002</v>
      </c>
      <c r="L2928" s="226"/>
    </row>
    <row r="2929" spans="1:14" x14ac:dyDescent="0.2">
      <c r="A2929" s="133">
        <v>2021</v>
      </c>
      <c r="B2929" s="133">
        <v>5</v>
      </c>
      <c r="C2929" s="133">
        <v>11</v>
      </c>
      <c r="D2929" s="141">
        <f t="shared" si="98"/>
        <v>44327</v>
      </c>
      <c r="E2929" s="275">
        <f t="shared" si="99"/>
        <v>44327</v>
      </c>
      <c r="F2929" s="481"/>
      <c r="G2929" s="174" t="s">
        <v>94</v>
      </c>
      <c r="H2929" s="148" t="str" cm="1">
        <f t="array" ref="H2929">IFERROR(INDEX(INVESTOR_LIST[INVESTOR NAME],MATCH(I2929,INVESTOR_LIST[INVESTOR CODE],0),)," ")</f>
        <v xml:space="preserve"> </v>
      </c>
      <c r="J2929" s="133" t="s">
        <v>80</v>
      </c>
      <c r="K2929" s="218">
        <f>10990.15+4154.46</f>
        <v>15144.61</v>
      </c>
      <c r="L2929" s="218"/>
    </row>
    <row r="2930" spans="1:14" x14ac:dyDescent="0.2">
      <c r="A2930" s="133">
        <v>2021</v>
      </c>
      <c r="B2930" s="133">
        <v>5</v>
      </c>
      <c r="C2930" s="133">
        <v>11</v>
      </c>
      <c r="D2930" s="141">
        <f t="shared" si="98"/>
        <v>44327</v>
      </c>
      <c r="E2930" s="275">
        <f t="shared" si="99"/>
        <v>44327</v>
      </c>
      <c r="F2930" s="481"/>
      <c r="G2930" s="174" t="s">
        <v>94</v>
      </c>
      <c r="H2930" s="148" t="str" cm="1">
        <f t="array" ref="H2930">IFERROR(INDEX(INVESTOR_LIST[INVESTOR NAME],MATCH(I2930,INVESTOR_LIST[INVESTOR CODE],0),)," ")</f>
        <v xml:space="preserve"> </v>
      </c>
      <c r="J2930" s="133" t="s">
        <v>79</v>
      </c>
      <c r="K2930" s="218"/>
      <c r="L2930" s="218">
        <v>1936154.61</v>
      </c>
      <c r="N2930" s="156">
        <f>K2941/12.7</f>
        <v>160892.12598425196</v>
      </c>
    </row>
    <row r="2931" spans="1:14" x14ac:dyDescent="0.2">
      <c r="A2931" s="133">
        <v>2021</v>
      </c>
      <c r="B2931" s="133">
        <v>5</v>
      </c>
      <c r="C2931" s="133">
        <v>11</v>
      </c>
      <c r="D2931" s="141">
        <f t="shared" si="98"/>
        <v>44327</v>
      </c>
      <c r="E2931" s="275">
        <f t="shared" si="99"/>
        <v>44327</v>
      </c>
      <c r="F2931" s="481"/>
      <c r="G2931" s="174" t="s">
        <v>94</v>
      </c>
      <c r="H2931" s="148" t="str" cm="1">
        <f t="array" ref="H2931">IFERROR(INDEX(INVESTOR_LIST[INVESTOR NAME],MATCH(I2931,INVESTOR_LIST[INVESTOR CODE],0),)," ")</f>
        <v xml:space="preserve"> </v>
      </c>
      <c r="J2931" s="133" t="s">
        <v>191</v>
      </c>
      <c r="K2931" s="218"/>
      <c r="L2931" s="218">
        <v>371879.89</v>
      </c>
    </row>
    <row r="2932" spans="1:14" x14ac:dyDescent="0.2">
      <c r="A2932" s="163">
        <v>2021</v>
      </c>
      <c r="B2932" s="163">
        <v>5</v>
      </c>
      <c r="C2932" s="163">
        <v>11</v>
      </c>
      <c r="D2932" s="141">
        <f t="shared" si="98"/>
        <v>44327</v>
      </c>
      <c r="E2932" s="275">
        <f t="shared" si="99"/>
        <v>44327</v>
      </c>
      <c r="F2932" s="480"/>
      <c r="G2932" s="221" t="s">
        <v>94</v>
      </c>
      <c r="H2932" s="145" t="str" cm="1">
        <f t="array" ref="H2932">IFERROR(INDEX(INVESTOR_LIST[INVESTOR NAME],MATCH(I2932,INVESTOR_LIST[INVESTOR CODE],0),)," ")</f>
        <v xml:space="preserve"> </v>
      </c>
      <c r="I2932" s="145"/>
      <c r="J2932" s="163" t="s">
        <v>147</v>
      </c>
      <c r="K2932" s="219"/>
      <c r="L2932" s="219">
        <v>3812747.31</v>
      </c>
    </row>
    <row r="2933" spans="1:14" x14ac:dyDescent="0.2">
      <c r="A2933" s="168">
        <v>2021</v>
      </c>
      <c r="B2933" s="168">
        <v>5</v>
      </c>
      <c r="C2933" s="168">
        <v>12</v>
      </c>
      <c r="D2933" s="141">
        <f t="shared" si="98"/>
        <v>44328</v>
      </c>
      <c r="E2933" s="275">
        <f t="shared" si="99"/>
        <v>44328</v>
      </c>
      <c r="F2933" s="479" t="s">
        <v>274</v>
      </c>
      <c r="G2933" s="220" t="s">
        <v>94</v>
      </c>
      <c r="H2933" s="142" t="str" cm="1">
        <f t="array" ref="H2933">IFERROR(INDEX(INVESTOR_LIST[INVESTOR NAME],MATCH(I2933,INVESTOR_LIST[INVESTOR CODE],0),)," ")</f>
        <v xml:space="preserve"> </v>
      </c>
      <c r="I2933" s="142"/>
      <c r="J2933" s="168" t="s">
        <v>79</v>
      </c>
      <c r="K2933" s="226">
        <v>8425467.3999999985</v>
      </c>
      <c r="L2933" s="226"/>
      <c r="N2933" s="156">
        <f>K2944/12.7</f>
        <v>7874.0157480314965</v>
      </c>
    </row>
    <row r="2934" spans="1:14" x14ac:dyDescent="0.2">
      <c r="A2934" s="133">
        <v>2021</v>
      </c>
      <c r="B2934" s="133">
        <v>5</v>
      </c>
      <c r="C2934" s="133">
        <v>12</v>
      </c>
      <c r="D2934" s="141">
        <f t="shared" si="98"/>
        <v>44328</v>
      </c>
      <c r="E2934" s="275">
        <f t="shared" si="99"/>
        <v>44328</v>
      </c>
      <c r="F2934" s="481"/>
      <c r="G2934" s="174" t="s">
        <v>94</v>
      </c>
      <c r="H2934" s="148" t="str" cm="1">
        <f t="array" ref="H2934">IFERROR(INDEX(INVESTOR_LIST[INVESTOR NAME],MATCH(I2934,INVESTOR_LIST[INVESTOR CODE],0),)," ")</f>
        <v xml:space="preserve"> </v>
      </c>
      <c r="J2934" s="133" t="s">
        <v>80</v>
      </c>
      <c r="K2934" s="218">
        <f>15165.84+13722.16</f>
        <v>28888</v>
      </c>
      <c r="L2934" s="218"/>
    </row>
    <row r="2935" spans="1:14" x14ac:dyDescent="0.2">
      <c r="A2935" s="133">
        <v>2021</v>
      </c>
      <c r="B2935" s="133">
        <v>5</v>
      </c>
      <c r="C2935" s="133">
        <v>12</v>
      </c>
      <c r="D2935" s="141">
        <f t="shared" si="98"/>
        <v>44328</v>
      </c>
      <c r="E2935" s="275">
        <f t="shared" si="99"/>
        <v>44328</v>
      </c>
      <c r="F2935" s="481"/>
      <c r="G2935" s="174" t="s">
        <v>94</v>
      </c>
      <c r="H2935" s="148" t="str" cm="1">
        <f t="array" ref="H2935">IFERROR(INDEX(INVESTOR_LIST[INVESTOR NAME],MATCH(I2935,INVESTOR_LIST[INVESTOR CODE],0),)," ")</f>
        <v xml:space="preserve"> </v>
      </c>
      <c r="J2935" s="133" t="s">
        <v>79</v>
      </c>
      <c r="K2935" s="218"/>
      <c r="L2935" s="218">
        <v>6537821.8899999997</v>
      </c>
    </row>
    <row r="2936" spans="1:14" x14ac:dyDescent="0.2">
      <c r="A2936" s="133">
        <v>2021</v>
      </c>
      <c r="B2936" s="133">
        <v>5</v>
      </c>
      <c r="C2936" s="133">
        <v>12</v>
      </c>
      <c r="D2936" s="141">
        <f t="shared" si="98"/>
        <v>44328</v>
      </c>
      <c r="E2936" s="275">
        <f t="shared" si="99"/>
        <v>44328</v>
      </c>
      <c r="F2936" s="481"/>
      <c r="G2936" s="174" t="s">
        <v>94</v>
      </c>
      <c r="H2936" s="148" t="str" cm="1">
        <f t="array" ref="H2936">IFERROR(INDEX(INVESTOR_LIST[INVESTOR NAME],MATCH(I2936,INVESTOR_LIST[INVESTOR CODE],0),)," ")</f>
        <v xml:space="preserve"> </v>
      </c>
      <c r="J2936" s="133" t="s">
        <v>191</v>
      </c>
      <c r="K2936" s="218"/>
      <c r="L2936" s="218">
        <v>1085598.1100000001</v>
      </c>
    </row>
    <row r="2937" spans="1:14" x14ac:dyDescent="0.2">
      <c r="A2937" s="163">
        <v>2021</v>
      </c>
      <c r="B2937" s="163">
        <v>5</v>
      </c>
      <c r="C2937" s="163">
        <v>12</v>
      </c>
      <c r="D2937" s="141">
        <f t="shared" si="98"/>
        <v>44328</v>
      </c>
      <c r="E2937" s="275">
        <f t="shared" si="99"/>
        <v>44328</v>
      </c>
      <c r="F2937" s="480"/>
      <c r="G2937" s="221" t="s">
        <v>94</v>
      </c>
      <c r="H2937" s="145" t="str" cm="1">
        <f t="array" ref="H2937">IFERROR(INDEX(INVESTOR_LIST[INVESTOR NAME],MATCH(I2937,INVESTOR_LIST[INVESTOR CODE],0),)," ")</f>
        <v xml:space="preserve"> </v>
      </c>
      <c r="I2937" s="145"/>
      <c r="J2937" s="163" t="s">
        <v>147</v>
      </c>
      <c r="K2937" s="219"/>
      <c r="L2937" s="219">
        <v>830935.4</v>
      </c>
    </row>
    <row r="2938" spans="1:14" ht="11.25" customHeight="1" x14ac:dyDescent="0.2">
      <c r="A2938" s="168">
        <v>2021</v>
      </c>
      <c r="B2938" s="168">
        <v>5</v>
      </c>
      <c r="C2938" s="168">
        <v>12</v>
      </c>
      <c r="D2938" s="141">
        <f t="shared" si="98"/>
        <v>44328</v>
      </c>
      <c r="E2938" s="275">
        <f t="shared" si="99"/>
        <v>44328</v>
      </c>
      <c r="F2938" s="479" t="s">
        <v>964</v>
      </c>
      <c r="G2938" s="220" t="s">
        <v>74</v>
      </c>
      <c r="H2938" s="142" t="str" cm="1">
        <f t="array" ref="H2938">IFERROR(INDEX(INVESTOR_LIST[INVESTOR NAME],MATCH(I2938,INVESTOR_LIST[INVESTOR CODE],0),)," ")</f>
        <v>GOPI NATH GHOSH</v>
      </c>
      <c r="I2938" s="142" t="s">
        <v>696</v>
      </c>
      <c r="J2938" s="168" t="s">
        <v>52</v>
      </c>
      <c r="K2938" s="226">
        <v>12700</v>
      </c>
      <c r="L2938" s="226"/>
    </row>
    <row r="2939" spans="1:14" ht="33.75" x14ac:dyDescent="0.2">
      <c r="A2939" s="133">
        <v>2021</v>
      </c>
      <c r="B2939" s="133">
        <v>5</v>
      </c>
      <c r="C2939" s="133">
        <v>12</v>
      </c>
      <c r="D2939" s="141">
        <f t="shared" si="98"/>
        <v>44328</v>
      </c>
      <c r="E2939" s="275">
        <f t="shared" si="99"/>
        <v>44328</v>
      </c>
      <c r="F2939" s="481"/>
      <c r="G2939" s="174" t="s">
        <v>74</v>
      </c>
      <c r="H2939" s="148" t="str" cm="1">
        <f t="array" ref="H2939">IFERROR(INDEX(INVESTOR_LIST[INVESTOR NAME],MATCH(I2939,INVESTOR_LIST[INVESTOR CODE],0),)," ")</f>
        <v>GOPI NATH GHOSH</v>
      </c>
      <c r="I2939" s="148" t="s">
        <v>696</v>
      </c>
      <c r="J2939" s="133" t="s">
        <v>13</v>
      </c>
      <c r="K2939" s="218"/>
      <c r="L2939" s="218">
        <v>10000</v>
      </c>
    </row>
    <row r="2940" spans="1:14" ht="33.75" x14ac:dyDescent="0.2">
      <c r="A2940" s="163">
        <v>2021</v>
      </c>
      <c r="B2940" s="163">
        <v>5</v>
      </c>
      <c r="C2940" s="163">
        <v>12</v>
      </c>
      <c r="D2940" s="141">
        <f t="shared" si="98"/>
        <v>44328</v>
      </c>
      <c r="E2940" s="275">
        <f t="shared" si="99"/>
        <v>44328</v>
      </c>
      <c r="F2940" s="480"/>
      <c r="G2940" s="221" t="s">
        <v>74</v>
      </c>
      <c r="H2940" s="145" t="str" cm="1">
        <f t="array" ref="H2940">IFERROR(INDEX(INVESTOR_LIST[INVESTOR NAME],MATCH(I2940,INVESTOR_LIST[INVESTOR CODE],0),)," ")</f>
        <v>GOPI NATH GHOSH</v>
      </c>
      <c r="I2940" s="145" t="s">
        <v>696</v>
      </c>
      <c r="J2940" s="163" t="s">
        <v>53</v>
      </c>
      <c r="K2940" s="219"/>
      <c r="L2940" s="219">
        <v>2700</v>
      </c>
    </row>
    <row r="2941" spans="1:14" ht="11.25" customHeight="1" x14ac:dyDescent="0.2">
      <c r="A2941" s="168">
        <v>2021</v>
      </c>
      <c r="B2941" s="168">
        <v>5</v>
      </c>
      <c r="C2941" s="168">
        <v>12</v>
      </c>
      <c r="D2941" s="141">
        <f t="shared" si="98"/>
        <v>44328</v>
      </c>
      <c r="E2941" s="275">
        <f t="shared" si="99"/>
        <v>44328</v>
      </c>
      <c r="F2941" s="479" t="s">
        <v>964</v>
      </c>
      <c r="G2941" s="220" t="s">
        <v>74</v>
      </c>
      <c r="H2941" s="142" t="str" cm="1">
        <f t="array" ref="H2941">IFERROR(INDEX(INVESTOR_LIST[INVESTOR NAME],MATCH(I2941,INVESTOR_LIST[INVESTOR CODE],0),)," ")</f>
        <v>FARUQUE AHMED &amp; ZAHEDA BEGUM HENA</v>
      </c>
      <c r="I2941" s="142" t="s">
        <v>549</v>
      </c>
      <c r="J2941" s="168" t="s">
        <v>52</v>
      </c>
      <c r="K2941" s="226">
        <v>2043330</v>
      </c>
      <c r="L2941" s="226"/>
    </row>
    <row r="2942" spans="1:14" ht="67.5" x14ac:dyDescent="0.2">
      <c r="A2942" s="133">
        <v>2021</v>
      </c>
      <c r="B2942" s="133">
        <v>5</v>
      </c>
      <c r="C2942" s="133">
        <v>12</v>
      </c>
      <c r="D2942" s="141">
        <f t="shared" si="98"/>
        <v>44328</v>
      </c>
      <c r="E2942" s="275">
        <f t="shared" si="99"/>
        <v>44328</v>
      </c>
      <c r="F2942" s="481"/>
      <c r="G2942" s="174" t="s">
        <v>74</v>
      </c>
      <c r="H2942" s="148" t="str" cm="1">
        <f t="array" ref="H2942">IFERROR(INDEX(INVESTOR_LIST[INVESTOR NAME],MATCH(I2942,INVESTOR_LIST[INVESTOR CODE],0),)," ")</f>
        <v>FARUQUE AHMED &amp; ZAHEDA BEGUM HENA</v>
      </c>
      <c r="I2942" s="148" t="s">
        <v>549</v>
      </c>
      <c r="J2942" s="133" t="s">
        <v>13</v>
      </c>
      <c r="K2942" s="218"/>
      <c r="L2942" s="218">
        <v>1608920</v>
      </c>
    </row>
    <row r="2943" spans="1:14" ht="67.5" x14ac:dyDescent="0.2">
      <c r="A2943" s="163">
        <v>2021</v>
      </c>
      <c r="B2943" s="163">
        <v>5</v>
      </c>
      <c r="C2943" s="163">
        <v>12</v>
      </c>
      <c r="D2943" s="141">
        <f t="shared" si="98"/>
        <v>44328</v>
      </c>
      <c r="E2943" s="275">
        <f t="shared" si="99"/>
        <v>44328</v>
      </c>
      <c r="F2943" s="480"/>
      <c r="G2943" s="221" t="s">
        <v>74</v>
      </c>
      <c r="H2943" s="145" t="str" cm="1">
        <f t="array" ref="H2943">IFERROR(INDEX(INVESTOR_LIST[INVESTOR NAME],MATCH(I2943,INVESTOR_LIST[INVESTOR CODE],0),)," ")</f>
        <v>FARUQUE AHMED &amp; ZAHEDA BEGUM HENA</v>
      </c>
      <c r="I2943" s="145" t="s">
        <v>549</v>
      </c>
      <c r="J2943" s="163" t="s">
        <v>53</v>
      </c>
      <c r="K2943" s="219"/>
      <c r="L2943" s="219">
        <v>434410</v>
      </c>
    </row>
    <row r="2944" spans="1:14" ht="11.25" customHeight="1" x14ac:dyDescent="0.2">
      <c r="A2944" s="168">
        <v>2021</v>
      </c>
      <c r="B2944" s="168">
        <v>5</v>
      </c>
      <c r="C2944" s="168">
        <v>12</v>
      </c>
      <c r="D2944" s="141">
        <f t="shared" si="98"/>
        <v>44328</v>
      </c>
      <c r="E2944" s="275">
        <f t="shared" si="99"/>
        <v>44328</v>
      </c>
      <c r="F2944" s="479" t="s">
        <v>964</v>
      </c>
      <c r="G2944" s="220" t="s">
        <v>74</v>
      </c>
      <c r="H2944" s="142" t="str" cm="1">
        <f t="array" ref="H2944">IFERROR(INDEX(INVESTOR_LIST[INVESTOR NAME],MATCH(I2944,INVESTOR_LIST[INVESTOR CODE],0),)," ")</f>
        <v>SULTANA RAZIA</v>
      </c>
      <c r="I2944" s="142" t="s">
        <v>698</v>
      </c>
      <c r="J2944" s="168" t="s">
        <v>52</v>
      </c>
      <c r="K2944" s="226">
        <v>100000</v>
      </c>
      <c r="L2944" s="226"/>
      <c r="N2944" s="156">
        <f>K2947/12.86</f>
        <v>34992.223950233281</v>
      </c>
    </row>
    <row r="2945" spans="1:14" ht="22.5" x14ac:dyDescent="0.2">
      <c r="A2945" s="133">
        <v>2021</v>
      </c>
      <c r="B2945" s="133">
        <v>5</v>
      </c>
      <c r="C2945" s="133">
        <v>12</v>
      </c>
      <c r="D2945" s="141">
        <f t="shared" si="98"/>
        <v>44328</v>
      </c>
      <c r="E2945" s="275">
        <f t="shared" si="99"/>
        <v>44328</v>
      </c>
      <c r="F2945" s="481"/>
      <c r="G2945" s="174" t="s">
        <v>74</v>
      </c>
      <c r="H2945" s="148" t="str" cm="1">
        <f t="array" ref="H2945">IFERROR(INDEX(INVESTOR_LIST[INVESTOR NAME],MATCH(I2945,INVESTOR_LIST[INVESTOR CODE],0),)," ")</f>
        <v>SULTANA RAZIA</v>
      </c>
      <c r="I2945" s="148" t="s">
        <v>698</v>
      </c>
      <c r="J2945" s="133" t="s">
        <v>13</v>
      </c>
      <c r="K2945" s="218"/>
      <c r="L2945" s="218">
        <v>78740</v>
      </c>
    </row>
    <row r="2946" spans="1:14" ht="22.5" x14ac:dyDescent="0.2">
      <c r="A2946" s="163">
        <v>2021</v>
      </c>
      <c r="B2946" s="163">
        <v>5</v>
      </c>
      <c r="C2946" s="163">
        <v>12</v>
      </c>
      <c r="D2946" s="141">
        <f t="shared" si="98"/>
        <v>44328</v>
      </c>
      <c r="E2946" s="275">
        <f t="shared" si="99"/>
        <v>44328</v>
      </c>
      <c r="F2946" s="480"/>
      <c r="G2946" s="221" t="s">
        <v>74</v>
      </c>
      <c r="H2946" s="145" t="str" cm="1">
        <f t="array" ref="H2946">IFERROR(INDEX(INVESTOR_LIST[INVESTOR NAME],MATCH(I2946,INVESTOR_LIST[INVESTOR CODE],0),)," ")</f>
        <v>SULTANA RAZIA</v>
      </c>
      <c r="I2946" s="145" t="s">
        <v>698</v>
      </c>
      <c r="J2946" s="163" t="s">
        <v>53</v>
      </c>
      <c r="K2946" s="219"/>
      <c r="L2946" s="219">
        <v>21260</v>
      </c>
    </row>
    <row r="2947" spans="1:14" ht="11.25" customHeight="1" x14ac:dyDescent="0.2">
      <c r="A2947" s="168">
        <v>2021</v>
      </c>
      <c r="B2947" s="168">
        <v>5</v>
      </c>
      <c r="C2947" s="168">
        <v>12</v>
      </c>
      <c r="D2947" s="141">
        <f t="shared" si="98"/>
        <v>44328</v>
      </c>
      <c r="E2947" s="275">
        <f t="shared" si="99"/>
        <v>44328</v>
      </c>
      <c r="F2947" s="479" t="s">
        <v>964</v>
      </c>
      <c r="G2947" s="220" t="s">
        <v>74</v>
      </c>
      <c r="H2947" s="142" t="str" cm="1">
        <f t="array" ref="H2947">IFERROR(INDEX(INVESTOR_LIST[INVESTOR NAME],MATCH(I2947,INVESTOR_LIST[INVESTOR CODE],0),)," ")</f>
        <v>MD. NIAZ MURSHED</v>
      </c>
      <c r="I2947" s="142" t="s">
        <v>646</v>
      </c>
      <c r="J2947" s="168" t="s">
        <v>52</v>
      </c>
      <c r="K2947" s="226">
        <v>450000</v>
      </c>
      <c r="L2947" s="226"/>
    </row>
    <row r="2948" spans="1:14" ht="45" x14ac:dyDescent="0.2">
      <c r="A2948" s="133">
        <v>2021</v>
      </c>
      <c r="B2948" s="133">
        <v>5</v>
      </c>
      <c r="C2948" s="133">
        <v>12</v>
      </c>
      <c r="D2948" s="141">
        <f t="shared" si="98"/>
        <v>44328</v>
      </c>
      <c r="E2948" s="275">
        <f t="shared" si="99"/>
        <v>44328</v>
      </c>
      <c r="F2948" s="481"/>
      <c r="G2948" s="174" t="s">
        <v>74</v>
      </c>
      <c r="H2948" s="148" t="str" cm="1">
        <f t="array" ref="H2948">IFERROR(INDEX(INVESTOR_LIST[INVESTOR NAME],MATCH(I2948,INVESTOR_LIST[INVESTOR CODE],0),)," ")</f>
        <v>MD. NIAZ MURSHED</v>
      </c>
      <c r="I2948" s="148" t="s">
        <v>646</v>
      </c>
      <c r="J2948" s="133" t="s">
        <v>13</v>
      </c>
      <c r="K2948" s="218"/>
      <c r="L2948" s="218">
        <v>349920</v>
      </c>
    </row>
    <row r="2949" spans="1:14" ht="45" x14ac:dyDescent="0.2">
      <c r="A2949" s="163">
        <v>2021</v>
      </c>
      <c r="B2949" s="163">
        <v>5</v>
      </c>
      <c r="C2949" s="163">
        <v>12</v>
      </c>
      <c r="D2949" s="141">
        <f t="shared" si="98"/>
        <v>44328</v>
      </c>
      <c r="E2949" s="275">
        <f t="shared" si="99"/>
        <v>44328</v>
      </c>
      <c r="F2949" s="480"/>
      <c r="G2949" s="221" t="s">
        <v>74</v>
      </c>
      <c r="H2949" s="145" t="str" cm="1">
        <f t="array" ref="H2949">IFERROR(INDEX(INVESTOR_LIST[INVESTOR NAME],MATCH(I2949,INVESTOR_LIST[INVESTOR CODE],0),)," ")</f>
        <v>MD. NIAZ MURSHED</v>
      </c>
      <c r="I2949" s="145" t="s">
        <v>646</v>
      </c>
      <c r="J2949" s="163" t="s">
        <v>53</v>
      </c>
      <c r="K2949" s="219"/>
      <c r="L2949" s="219">
        <v>100080</v>
      </c>
      <c r="N2949" s="156">
        <f>K2950/12.7</f>
        <v>7874.0157480314965</v>
      </c>
    </row>
    <row r="2950" spans="1:14" ht="11.25" customHeight="1" x14ac:dyDescent="0.2">
      <c r="A2950" s="168">
        <v>2021</v>
      </c>
      <c r="B2950" s="168">
        <v>5</v>
      </c>
      <c r="C2950" s="168">
        <v>12</v>
      </c>
      <c r="D2950" s="141">
        <f t="shared" si="98"/>
        <v>44328</v>
      </c>
      <c r="E2950" s="275">
        <f t="shared" si="99"/>
        <v>44328</v>
      </c>
      <c r="F2950" s="479" t="s">
        <v>964</v>
      </c>
      <c r="G2950" s="220" t="s">
        <v>74</v>
      </c>
      <c r="H2950" s="142" t="str" cm="1">
        <f t="array" ref="H2950">IFERROR(INDEX(INVESTOR_LIST[INVESTOR NAME],MATCH(I2950,INVESTOR_LIST[INVESTOR CODE],0),)," ")</f>
        <v>SATINATH GHOSH</v>
      </c>
      <c r="I2950" s="142" t="s">
        <v>487</v>
      </c>
      <c r="J2950" s="168" t="s">
        <v>52</v>
      </c>
      <c r="K2950" s="226">
        <v>100000</v>
      </c>
      <c r="L2950" s="226"/>
    </row>
    <row r="2951" spans="1:14" ht="33.75" x14ac:dyDescent="0.2">
      <c r="A2951" s="133">
        <v>2021</v>
      </c>
      <c r="B2951" s="133">
        <v>5</v>
      </c>
      <c r="C2951" s="133">
        <v>12</v>
      </c>
      <c r="D2951" s="141">
        <f t="shared" si="98"/>
        <v>44328</v>
      </c>
      <c r="E2951" s="275">
        <f t="shared" si="99"/>
        <v>44328</v>
      </c>
      <c r="F2951" s="481"/>
      <c r="G2951" s="174" t="s">
        <v>74</v>
      </c>
      <c r="H2951" s="148" t="str" cm="1">
        <f t="array" ref="H2951">IFERROR(INDEX(INVESTOR_LIST[INVESTOR NAME],MATCH(I2951,INVESTOR_LIST[INVESTOR CODE],0),)," ")</f>
        <v>SATINATH GHOSH</v>
      </c>
      <c r="I2951" s="148" t="s">
        <v>487</v>
      </c>
      <c r="J2951" s="133" t="s">
        <v>13</v>
      </c>
      <c r="K2951" s="218"/>
      <c r="L2951" s="218">
        <v>78740</v>
      </c>
    </row>
    <row r="2952" spans="1:14" ht="33.75" x14ac:dyDescent="0.2">
      <c r="A2952" s="163">
        <v>2021</v>
      </c>
      <c r="B2952" s="163">
        <v>5</v>
      </c>
      <c r="C2952" s="163">
        <v>12</v>
      </c>
      <c r="D2952" s="141">
        <f t="shared" si="98"/>
        <v>44328</v>
      </c>
      <c r="E2952" s="275">
        <f t="shared" si="99"/>
        <v>44328</v>
      </c>
      <c r="F2952" s="480"/>
      <c r="G2952" s="221" t="s">
        <v>74</v>
      </c>
      <c r="H2952" s="145" t="str" cm="1">
        <f t="array" ref="H2952">IFERROR(INDEX(INVESTOR_LIST[INVESTOR NAME],MATCH(I2952,INVESTOR_LIST[INVESTOR CODE],0),)," ")</f>
        <v>SATINATH GHOSH</v>
      </c>
      <c r="I2952" s="145" t="s">
        <v>487</v>
      </c>
      <c r="J2952" s="163" t="s">
        <v>53</v>
      </c>
      <c r="K2952" s="219"/>
      <c r="L2952" s="219">
        <v>21260</v>
      </c>
    </row>
    <row r="2953" spans="1:14" x14ac:dyDescent="0.2">
      <c r="A2953" s="168">
        <v>2021</v>
      </c>
      <c r="B2953" s="168">
        <v>5</v>
      </c>
      <c r="C2953" s="168">
        <v>12</v>
      </c>
      <c r="D2953" s="141">
        <f t="shared" si="98"/>
        <v>44328</v>
      </c>
      <c r="E2953" s="275">
        <f t="shared" si="99"/>
        <v>44328</v>
      </c>
      <c r="F2953" s="479" t="s">
        <v>77</v>
      </c>
      <c r="G2953" s="220" t="s">
        <v>74</v>
      </c>
      <c r="H2953" s="220" t="str" cm="1">
        <f t="array" ref="H2953">IFERROR(INDEX(INVESTOR_LIST[INVESTOR NAME],MATCH(I2953,INVESTOR_LIST[INVESTOR CODE],0),)," ")</f>
        <v xml:space="preserve"> </v>
      </c>
      <c r="I2953" s="142" t="s">
        <v>348</v>
      </c>
      <c r="J2953" s="143" t="s">
        <v>61</v>
      </c>
      <c r="K2953" s="226">
        <v>60</v>
      </c>
      <c r="L2953" s="226"/>
    </row>
    <row r="2954" spans="1:14" x14ac:dyDescent="0.2">
      <c r="A2954" s="163">
        <v>2021</v>
      </c>
      <c r="B2954" s="163">
        <v>5</v>
      </c>
      <c r="C2954" s="163">
        <v>12</v>
      </c>
      <c r="D2954" s="141">
        <f t="shared" si="98"/>
        <v>44328</v>
      </c>
      <c r="E2954" s="275">
        <f t="shared" si="99"/>
        <v>44328</v>
      </c>
      <c r="F2954" s="480"/>
      <c r="G2954" s="221" t="s">
        <v>74</v>
      </c>
      <c r="H2954" s="221" t="str" cm="1">
        <f t="array" ref="H2954">IFERROR(INDEX(INVESTOR_LIST[INVESTOR NAME],MATCH(I2954,INVESTOR_LIST[INVESTOR CODE],0),)," ")</f>
        <v xml:space="preserve"> </v>
      </c>
      <c r="I2954" s="145" t="s">
        <v>348</v>
      </c>
      <c r="J2954" s="146" t="s">
        <v>52</v>
      </c>
      <c r="K2954" s="219"/>
      <c r="L2954" s="219">
        <v>60</v>
      </c>
    </row>
    <row r="2955" spans="1:14" x14ac:dyDescent="0.2">
      <c r="A2955" s="168">
        <v>2021</v>
      </c>
      <c r="B2955" s="168">
        <v>5</v>
      </c>
      <c r="C2955" s="168">
        <v>12</v>
      </c>
      <c r="D2955" s="141">
        <f t="shared" si="98"/>
        <v>44328</v>
      </c>
      <c r="E2955" s="275">
        <f t="shared" si="99"/>
        <v>44328</v>
      </c>
      <c r="F2955" s="479" t="s">
        <v>77</v>
      </c>
      <c r="G2955" s="220" t="s">
        <v>74</v>
      </c>
      <c r="H2955" s="220" t="str" cm="1">
        <f t="array" ref="H2955">IFERROR(INDEX(INVESTOR_LIST[INVESTOR NAME],MATCH(I2955,INVESTOR_LIST[INVESTOR CODE],0),)," ")</f>
        <v xml:space="preserve"> </v>
      </c>
      <c r="I2955" s="142" t="s">
        <v>348</v>
      </c>
      <c r="J2955" s="143" t="s">
        <v>61</v>
      </c>
      <c r="K2955" s="226">
        <v>10</v>
      </c>
      <c r="L2955" s="226"/>
    </row>
    <row r="2956" spans="1:14" x14ac:dyDescent="0.2">
      <c r="A2956" s="163">
        <v>2021</v>
      </c>
      <c r="B2956" s="163">
        <v>5</v>
      </c>
      <c r="C2956" s="163">
        <v>12</v>
      </c>
      <c r="D2956" s="141">
        <f t="shared" si="98"/>
        <v>44328</v>
      </c>
      <c r="E2956" s="275">
        <f t="shared" si="99"/>
        <v>44328</v>
      </c>
      <c r="F2956" s="480"/>
      <c r="G2956" s="221" t="s">
        <v>74</v>
      </c>
      <c r="H2956" s="221" t="str" cm="1">
        <f t="array" ref="H2956">IFERROR(INDEX(INVESTOR_LIST[INVESTOR NAME],MATCH(I2956,INVESTOR_LIST[INVESTOR CODE],0),)," ")</f>
        <v xml:space="preserve"> </v>
      </c>
      <c r="I2956" s="145" t="s">
        <v>348</v>
      </c>
      <c r="J2956" s="146" t="s">
        <v>52</v>
      </c>
      <c r="K2956" s="219"/>
      <c r="L2956" s="219">
        <v>10</v>
      </c>
    </row>
    <row r="2957" spans="1:14" x14ac:dyDescent="0.2">
      <c r="A2957" s="168">
        <v>2021</v>
      </c>
      <c r="B2957" s="168">
        <v>5</v>
      </c>
      <c r="C2957" s="168">
        <v>12</v>
      </c>
      <c r="D2957" s="141">
        <f t="shared" si="98"/>
        <v>44328</v>
      </c>
      <c r="E2957" s="275">
        <f t="shared" si="99"/>
        <v>44328</v>
      </c>
      <c r="F2957" s="479" t="s">
        <v>77</v>
      </c>
      <c r="G2957" s="220" t="s">
        <v>74</v>
      </c>
      <c r="H2957" s="220" t="str" cm="1">
        <f t="array" ref="H2957">IFERROR(INDEX(INVESTOR_LIST[INVESTOR NAME],MATCH(I2957,INVESTOR_LIST[INVESTOR CODE],0),)," ")</f>
        <v xml:space="preserve"> </v>
      </c>
      <c r="I2957" s="142" t="s">
        <v>348</v>
      </c>
      <c r="J2957" s="143" t="s">
        <v>61</v>
      </c>
      <c r="K2957" s="226">
        <v>10</v>
      </c>
      <c r="L2957" s="226"/>
    </row>
    <row r="2958" spans="1:14" x14ac:dyDescent="0.2">
      <c r="A2958" s="163">
        <v>2021</v>
      </c>
      <c r="B2958" s="163">
        <v>5</v>
      </c>
      <c r="C2958" s="163">
        <v>12</v>
      </c>
      <c r="D2958" s="141">
        <f t="shared" ref="D2958:D3021" si="100">DATE(A2958,B2958,C2958)</f>
        <v>44328</v>
      </c>
      <c r="E2958" s="275">
        <f t="shared" si="99"/>
        <v>44328</v>
      </c>
      <c r="F2958" s="480"/>
      <c r="G2958" s="221" t="s">
        <v>74</v>
      </c>
      <c r="H2958" s="221" t="str" cm="1">
        <f t="array" ref="H2958">IFERROR(INDEX(INVESTOR_LIST[INVESTOR NAME],MATCH(I2958,INVESTOR_LIST[INVESTOR CODE],0),)," ")</f>
        <v xml:space="preserve"> </v>
      </c>
      <c r="I2958" s="145" t="s">
        <v>348</v>
      </c>
      <c r="J2958" s="146" t="s">
        <v>52</v>
      </c>
      <c r="K2958" s="219"/>
      <c r="L2958" s="219">
        <v>10</v>
      </c>
    </row>
    <row r="2959" spans="1:14" x14ac:dyDescent="0.2">
      <c r="A2959" s="238">
        <v>2021</v>
      </c>
      <c r="B2959" s="238">
        <v>5</v>
      </c>
      <c r="C2959" s="238">
        <v>12</v>
      </c>
      <c r="D2959" s="141">
        <f t="shared" si="100"/>
        <v>44328</v>
      </c>
      <c r="E2959" s="275">
        <f t="shared" ref="E2959:E3022" si="101">DATE(A2959,B2959,C2959)</f>
        <v>44328</v>
      </c>
      <c r="F2959" s="477" t="s">
        <v>347</v>
      </c>
      <c r="G2959" s="239" t="s">
        <v>94</v>
      </c>
      <c r="H2959" s="239" t="str" cm="1">
        <f t="array" ref="H2959">IFERROR(INDEX(INVESTOR_LIST[INVESTOR NAME],MATCH(I2959,INVESTOR_LIST[INVESTOR CODE],0),)," ")</f>
        <v xml:space="preserve"> </v>
      </c>
      <c r="I2959" s="262" t="s">
        <v>348</v>
      </c>
      <c r="J2959" s="240" t="s">
        <v>108</v>
      </c>
      <c r="K2959" s="241">
        <v>4366288.8437656742</v>
      </c>
      <c r="L2959" s="241"/>
    </row>
    <row r="2960" spans="1:14" x14ac:dyDescent="0.2">
      <c r="A2960" s="242">
        <v>2021</v>
      </c>
      <c r="B2960" s="242">
        <v>5</v>
      </c>
      <c r="C2960" s="242">
        <v>12</v>
      </c>
      <c r="D2960" s="141">
        <f t="shared" si="100"/>
        <v>44328</v>
      </c>
      <c r="E2960" s="275">
        <f t="shared" si="101"/>
        <v>44328</v>
      </c>
      <c r="F2960" s="478"/>
      <c r="G2960" s="243" t="s">
        <v>94</v>
      </c>
      <c r="H2960" s="243" t="str" cm="1">
        <f t="array" ref="H2960">IFERROR(INDEX(INVESTOR_LIST[INVESTOR NAME],MATCH(I2960,INVESTOR_LIST[INVESTOR CODE],0),)," ")</f>
        <v xml:space="preserve"> </v>
      </c>
      <c r="I2960" s="263" t="s">
        <v>348</v>
      </c>
      <c r="J2960" s="244" t="s">
        <v>82</v>
      </c>
      <c r="K2960" s="245"/>
      <c r="L2960" s="245">
        <v>4366288.8437656742</v>
      </c>
    </row>
    <row r="2961" spans="1:14" ht="22.5" x14ac:dyDescent="0.2">
      <c r="A2961" s="246">
        <v>2021</v>
      </c>
      <c r="B2961" s="246">
        <v>5</v>
      </c>
      <c r="C2961" s="246">
        <v>12</v>
      </c>
      <c r="D2961" s="141">
        <f t="shared" si="100"/>
        <v>44328</v>
      </c>
      <c r="E2961" s="275">
        <f t="shared" si="101"/>
        <v>44328</v>
      </c>
      <c r="F2961" s="482" t="s">
        <v>148</v>
      </c>
      <c r="G2961" s="247" t="s">
        <v>94</v>
      </c>
      <c r="H2961" s="247" t="str" cm="1">
        <f t="array" ref="H2961">IFERROR(INDEX(INVESTOR_LIST[INVESTOR NAME],MATCH(I2961,INVESTOR_LIST[INVESTOR CODE],0),)," ")</f>
        <v xml:space="preserve"> </v>
      </c>
      <c r="I2961" s="248" t="s">
        <v>348</v>
      </c>
      <c r="J2961" s="249" t="s">
        <v>95</v>
      </c>
      <c r="K2961" s="250">
        <v>2747.2527472527472</v>
      </c>
      <c r="L2961" s="241"/>
    </row>
    <row r="2962" spans="1:14" x14ac:dyDescent="0.2">
      <c r="A2962" s="242">
        <v>2021</v>
      </c>
      <c r="B2962" s="242">
        <v>5</v>
      </c>
      <c r="C2962" s="242">
        <v>12</v>
      </c>
      <c r="D2962" s="141">
        <f t="shared" si="100"/>
        <v>44328</v>
      </c>
      <c r="E2962" s="275">
        <f t="shared" si="101"/>
        <v>44328</v>
      </c>
      <c r="F2962" s="478"/>
      <c r="G2962" s="243" t="s">
        <v>94</v>
      </c>
      <c r="H2962" s="243" t="str" cm="1">
        <f t="array" ref="H2962">IFERROR(INDEX(INVESTOR_LIST[INVESTOR NAME],MATCH(I2962,INVESTOR_LIST[INVESTOR CODE],0),)," ")</f>
        <v xml:space="preserve"> </v>
      </c>
      <c r="I2962" s="263" t="s">
        <v>348</v>
      </c>
      <c r="J2962" s="244" t="s">
        <v>63</v>
      </c>
      <c r="K2962" s="245"/>
      <c r="L2962" s="245">
        <v>2747.2527472527472</v>
      </c>
    </row>
    <row r="2963" spans="1:14" x14ac:dyDescent="0.2">
      <c r="A2963" s="246">
        <v>2021</v>
      </c>
      <c r="B2963" s="246">
        <v>5</v>
      </c>
      <c r="C2963" s="246">
        <v>12</v>
      </c>
      <c r="D2963" s="141">
        <f t="shared" si="100"/>
        <v>44328</v>
      </c>
      <c r="E2963" s="275">
        <f t="shared" si="101"/>
        <v>44328</v>
      </c>
      <c r="F2963" s="482" t="s">
        <v>137</v>
      </c>
      <c r="G2963" s="247" t="s">
        <v>94</v>
      </c>
      <c r="H2963" s="247" t="str" cm="1">
        <f t="array" ref="H2963">IFERROR(INDEX(INVESTOR_LIST[INVESTOR NAME],MATCH(I2963,INVESTOR_LIST[INVESTOR CODE],0),)," ")</f>
        <v xml:space="preserve"> </v>
      </c>
      <c r="I2963" s="248" t="s">
        <v>348</v>
      </c>
      <c r="J2963" s="249" t="s">
        <v>97</v>
      </c>
      <c r="K2963" s="250">
        <v>90852.871085789418</v>
      </c>
      <c r="L2963" s="252"/>
    </row>
    <row r="2964" spans="1:14" x14ac:dyDescent="0.2">
      <c r="A2964" s="242">
        <v>2021</v>
      </c>
      <c r="B2964" s="242">
        <v>5</v>
      </c>
      <c r="C2964" s="242">
        <v>12</v>
      </c>
      <c r="D2964" s="141">
        <f t="shared" si="100"/>
        <v>44328</v>
      </c>
      <c r="E2964" s="275">
        <f t="shared" si="101"/>
        <v>44328</v>
      </c>
      <c r="F2964" s="478"/>
      <c r="G2964" s="243" t="s">
        <v>94</v>
      </c>
      <c r="H2964" s="243" t="str" cm="1">
        <f t="array" ref="H2964">IFERROR(INDEX(INVESTOR_LIST[INVESTOR NAME],MATCH(I2964,INVESTOR_LIST[INVESTOR CODE],0),)," ")</f>
        <v xml:space="preserve"> </v>
      </c>
      <c r="I2964" s="263" t="s">
        <v>348</v>
      </c>
      <c r="J2964" s="244" t="s">
        <v>47</v>
      </c>
      <c r="K2964" s="245"/>
      <c r="L2964" s="245">
        <v>90852.871085789418</v>
      </c>
    </row>
    <row r="2965" spans="1:14" x14ac:dyDescent="0.2">
      <c r="A2965" s="246">
        <v>2021</v>
      </c>
      <c r="B2965" s="246">
        <v>5</v>
      </c>
      <c r="C2965" s="246">
        <v>12</v>
      </c>
      <c r="D2965" s="141">
        <f t="shared" si="100"/>
        <v>44328</v>
      </c>
      <c r="E2965" s="275">
        <f t="shared" si="101"/>
        <v>44328</v>
      </c>
      <c r="F2965" s="482" t="s">
        <v>138</v>
      </c>
      <c r="G2965" s="247" t="s">
        <v>94</v>
      </c>
      <c r="H2965" s="247" t="str" cm="1">
        <f t="array" ref="H2965">IFERROR(INDEX(INVESTOR_LIST[INVESTOR NAME],MATCH(I2965,INVESTOR_LIST[INVESTOR CODE],0),)," ")</f>
        <v xml:space="preserve"> </v>
      </c>
      <c r="I2965" s="248" t="s">
        <v>348</v>
      </c>
      <c r="J2965" s="249" t="s">
        <v>100</v>
      </c>
      <c r="K2965" s="250">
        <v>4302.2589389048553</v>
      </c>
      <c r="L2965" s="252"/>
    </row>
    <row r="2966" spans="1:14" x14ac:dyDescent="0.2">
      <c r="A2966" s="242">
        <v>2021</v>
      </c>
      <c r="B2966" s="242">
        <v>5</v>
      </c>
      <c r="C2966" s="242">
        <v>12</v>
      </c>
      <c r="D2966" s="141">
        <f t="shared" si="100"/>
        <v>44328</v>
      </c>
      <c r="E2966" s="275">
        <f t="shared" si="101"/>
        <v>44328</v>
      </c>
      <c r="F2966" s="478"/>
      <c r="G2966" s="243" t="s">
        <v>94</v>
      </c>
      <c r="H2966" s="243" t="str" cm="1">
        <f t="array" ref="H2966">IFERROR(INDEX(INVESTOR_LIST[INVESTOR NAME],MATCH(I2966,INVESTOR_LIST[INVESTOR CODE],0),)," ")</f>
        <v xml:space="preserve"> </v>
      </c>
      <c r="I2966" s="263" t="s">
        <v>348</v>
      </c>
      <c r="J2966" s="244" t="s">
        <v>48</v>
      </c>
      <c r="K2966" s="245"/>
      <c r="L2966" s="245">
        <v>4302.2589389048553</v>
      </c>
    </row>
    <row r="2967" spans="1:14" x14ac:dyDescent="0.2">
      <c r="A2967" s="168">
        <v>2021</v>
      </c>
      <c r="B2967" s="168">
        <v>5</v>
      </c>
      <c r="C2967" s="168">
        <v>16</v>
      </c>
      <c r="D2967" s="141">
        <f t="shared" si="100"/>
        <v>44332</v>
      </c>
      <c r="E2967" s="275">
        <f t="shared" si="101"/>
        <v>44332</v>
      </c>
      <c r="F2967" s="479" t="s">
        <v>274</v>
      </c>
      <c r="G2967" s="220" t="s">
        <v>94</v>
      </c>
      <c r="H2967" s="142" t="str" cm="1">
        <f t="array" ref="H2967">IFERROR(INDEX(INVESTOR_LIST[INVESTOR NAME],MATCH(I2967,INVESTOR_LIST[INVESTOR CODE],0),)," ")</f>
        <v xml:space="preserve"> </v>
      </c>
      <c r="I2967" s="142"/>
      <c r="J2967" s="168" t="s">
        <v>79</v>
      </c>
      <c r="K2967" s="226">
        <v>7721375</v>
      </c>
      <c r="L2967" s="226"/>
    </row>
    <row r="2968" spans="1:14" x14ac:dyDescent="0.2">
      <c r="A2968" s="133">
        <v>2021</v>
      </c>
      <c r="B2968" s="133">
        <v>5</v>
      </c>
      <c r="C2968" s="133">
        <v>16</v>
      </c>
      <c r="D2968" s="141">
        <f t="shared" si="100"/>
        <v>44332</v>
      </c>
      <c r="E2968" s="275">
        <f t="shared" si="101"/>
        <v>44332</v>
      </c>
      <c r="F2968" s="481"/>
      <c r="G2968" s="174" t="s">
        <v>94</v>
      </c>
      <c r="H2968" s="148" t="str" cm="1">
        <f t="array" ref="H2968">IFERROR(INDEX(INVESTOR_LIST[INVESTOR NAME],MATCH(I2968,INVESTOR_LIST[INVESTOR CODE],0),)," ")</f>
        <v xml:space="preserve"> </v>
      </c>
      <c r="J2968" s="133" t="s">
        <v>80</v>
      </c>
      <c r="K2968" s="218">
        <f>13898.48+6520.5</f>
        <v>20418.98</v>
      </c>
      <c r="L2968" s="218"/>
    </row>
    <row r="2969" spans="1:14" x14ac:dyDescent="0.2">
      <c r="A2969" s="133">
        <v>2021</v>
      </c>
      <c r="B2969" s="133">
        <v>5</v>
      </c>
      <c r="C2969" s="133">
        <v>16</v>
      </c>
      <c r="D2969" s="141">
        <f t="shared" si="100"/>
        <v>44332</v>
      </c>
      <c r="E2969" s="275">
        <f t="shared" si="101"/>
        <v>44332</v>
      </c>
      <c r="F2969" s="481"/>
      <c r="G2969" s="174" t="s">
        <v>94</v>
      </c>
      <c r="H2969" s="148" t="str" cm="1">
        <f t="array" ref="H2969">IFERROR(INDEX(INVESTOR_LIST[INVESTOR NAME],MATCH(I2969,INVESTOR_LIST[INVESTOR CODE],0),)," ")</f>
        <v xml:space="preserve"> </v>
      </c>
      <c r="J2969" s="133" t="s">
        <v>79</v>
      </c>
      <c r="K2969" s="218"/>
      <c r="L2969" s="218">
        <v>3121691.97</v>
      </c>
    </row>
    <row r="2970" spans="1:14" x14ac:dyDescent="0.2">
      <c r="A2970" s="133">
        <v>2021</v>
      </c>
      <c r="B2970" s="133">
        <v>5</v>
      </c>
      <c r="C2970" s="133">
        <v>16</v>
      </c>
      <c r="D2970" s="141">
        <f t="shared" si="100"/>
        <v>44332</v>
      </c>
      <c r="E2970" s="275">
        <f t="shared" si="101"/>
        <v>44332</v>
      </c>
      <c r="F2970" s="481"/>
      <c r="G2970" s="174" t="s">
        <v>94</v>
      </c>
      <c r="H2970" s="148" t="str" cm="1">
        <f t="array" ref="H2970">IFERROR(INDEX(INVESTOR_LIST[INVESTOR NAME],MATCH(I2970,INVESTOR_LIST[INVESTOR CODE],0),)," ")</f>
        <v xml:space="preserve"> </v>
      </c>
      <c r="J2970" s="133" t="s">
        <v>191</v>
      </c>
      <c r="K2970" s="218"/>
      <c r="L2970" s="218">
        <v>500808.03</v>
      </c>
      <c r="N2970" s="156">
        <f>K2974/12.86</f>
        <v>23328.149300155521</v>
      </c>
    </row>
    <row r="2971" spans="1:14" x14ac:dyDescent="0.2">
      <c r="A2971" s="163">
        <v>2021</v>
      </c>
      <c r="B2971" s="163">
        <v>5</v>
      </c>
      <c r="C2971" s="163">
        <v>16</v>
      </c>
      <c r="D2971" s="141">
        <f t="shared" si="100"/>
        <v>44332</v>
      </c>
      <c r="E2971" s="275">
        <f t="shared" si="101"/>
        <v>44332</v>
      </c>
      <c r="F2971" s="480"/>
      <c r="G2971" s="221" t="s">
        <v>94</v>
      </c>
      <c r="H2971" s="145" t="str" cm="1">
        <f t="array" ref="H2971">IFERROR(INDEX(INVESTOR_LIST[INVESTOR NAME],MATCH(I2971,INVESTOR_LIST[INVESTOR CODE],0),)," ")</f>
        <v xml:space="preserve"> </v>
      </c>
      <c r="I2971" s="145"/>
      <c r="J2971" s="163" t="s">
        <v>147</v>
      </c>
      <c r="K2971" s="219"/>
      <c r="L2971" s="219">
        <v>4119293.98</v>
      </c>
    </row>
    <row r="2972" spans="1:14" x14ac:dyDescent="0.2">
      <c r="A2972" s="168">
        <v>2021</v>
      </c>
      <c r="B2972" s="168">
        <v>5</v>
      </c>
      <c r="C2972" s="168">
        <v>16</v>
      </c>
      <c r="D2972" s="141">
        <f t="shared" si="100"/>
        <v>44332</v>
      </c>
      <c r="E2972" s="275">
        <f t="shared" si="101"/>
        <v>44332</v>
      </c>
      <c r="F2972" s="494" t="s">
        <v>524</v>
      </c>
      <c r="G2972" s="220" t="s">
        <v>74</v>
      </c>
      <c r="H2972" s="220" t="str" cm="1">
        <f t="array" ref="H2972">IFERROR(INDEX(INVESTOR_LIST[INVESTOR NAME],MATCH(I2972,INVESTOR_LIST[INVESTOR CODE],0),)," ")</f>
        <v xml:space="preserve"> </v>
      </c>
      <c r="I2972" s="142"/>
      <c r="J2972" s="143" t="s">
        <v>147</v>
      </c>
      <c r="K2972" s="226">
        <v>3812747.31</v>
      </c>
      <c r="L2972" s="226"/>
      <c r="N2972" s="160"/>
    </row>
    <row r="2973" spans="1:14" x14ac:dyDescent="0.2">
      <c r="A2973" s="163">
        <v>2021</v>
      </c>
      <c r="B2973" s="163">
        <v>5</v>
      </c>
      <c r="C2973" s="163">
        <v>16</v>
      </c>
      <c r="D2973" s="141">
        <f t="shared" si="100"/>
        <v>44332</v>
      </c>
      <c r="E2973" s="275">
        <f t="shared" si="101"/>
        <v>44332</v>
      </c>
      <c r="F2973" s="495"/>
      <c r="G2973" s="221" t="s">
        <v>74</v>
      </c>
      <c r="H2973" s="221" t="str" cm="1">
        <f t="array" ref="H2973">IFERROR(INDEX(INVESTOR_LIST[INVESTOR NAME],MATCH(I2973,INVESTOR_LIST[INVESTOR CODE],0),)," ")</f>
        <v xml:space="preserve"> </v>
      </c>
      <c r="I2973" s="145"/>
      <c r="J2973" s="146" t="s">
        <v>52</v>
      </c>
      <c r="K2973" s="219"/>
      <c r="L2973" s="219">
        <v>3812747.31</v>
      </c>
      <c r="N2973" s="156">
        <f>K2977/12.86</f>
        <v>388802.48833592539</v>
      </c>
    </row>
    <row r="2974" spans="1:14" ht="11.25" customHeight="1" x14ac:dyDescent="0.2">
      <c r="A2974" s="168">
        <v>2021</v>
      </c>
      <c r="B2974" s="168">
        <v>5</v>
      </c>
      <c r="C2974" s="168">
        <v>16</v>
      </c>
      <c r="D2974" s="141">
        <f t="shared" si="100"/>
        <v>44332</v>
      </c>
      <c r="E2974" s="275">
        <f t="shared" si="101"/>
        <v>44332</v>
      </c>
      <c r="F2974" s="479" t="s">
        <v>964</v>
      </c>
      <c r="G2974" s="220" t="s">
        <v>74</v>
      </c>
      <c r="H2974" s="142" t="str" cm="1">
        <f t="array" ref="H2974">IFERROR(INDEX(INVESTOR_LIST[INVESTOR NAME],MATCH(I2974,INVESTOR_LIST[INVESTOR CODE],0),)," ")</f>
        <v>NANI GOPAL DATTA</v>
      </c>
      <c r="I2974" s="142" t="s">
        <v>460</v>
      </c>
      <c r="J2974" s="168" t="s">
        <v>52</v>
      </c>
      <c r="K2974" s="226">
        <v>300000</v>
      </c>
      <c r="L2974" s="226"/>
    </row>
    <row r="2975" spans="1:14" ht="33.75" x14ac:dyDescent="0.2">
      <c r="A2975" s="133">
        <v>2021</v>
      </c>
      <c r="B2975" s="133">
        <v>5</v>
      </c>
      <c r="C2975" s="133">
        <v>16</v>
      </c>
      <c r="D2975" s="141">
        <f t="shared" si="100"/>
        <v>44332</v>
      </c>
      <c r="E2975" s="275">
        <f t="shared" si="101"/>
        <v>44332</v>
      </c>
      <c r="F2975" s="481"/>
      <c r="G2975" s="174" t="s">
        <v>74</v>
      </c>
      <c r="H2975" s="148" t="str" cm="1">
        <f t="array" ref="H2975">IFERROR(INDEX(INVESTOR_LIST[INVESTOR NAME],MATCH(I2975,INVESTOR_LIST[INVESTOR CODE],0),)," ")</f>
        <v>NANI GOPAL DATTA</v>
      </c>
      <c r="I2975" s="148" t="s">
        <v>460</v>
      </c>
      <c r="J2975" s="133" t="s">
        <v>13</v>
      </c>
      <c r="K2975" s="218"/>
      <c r="L2975" s="218">
        <v>233280</v>
      </c>
    </row>
    <row r="2976" spans="1:14" ht="33.75" x14ac:dyDescent="0.2">
      <c r="A2976" s="163">
        <v>2021</v>
      </c>
      <c r="B2976" s="163">
        <v>5</v>
      </c>
      <c r="C2976" s="163">
        <v>16</v>
      </c>
      <c r="D2976" s="141">
        <f t="shared" si="100"/>
        <v>44332</v>
      </c>
      <c r="E2976" s="275">
        <f t="shared" si="101"/>
        <v>44332</v>
      </c>
      <c r="F2976" s="480"/>
      <c r="G2976" s="221" t="s">
        <v>74</v>
      </c>
      <c r="H2976" s="145" t="str" cm="1">
        <f t="array" ref="H2976">IFERROR(INDEX(INVESTOR_LIST[INVESTOR NAME],MATCH(I2976,INVESTOR_LIST[INVESTOR CODE],0),)," ")</f>
        <v>NANI GOPAL DATTA</v>
      </c>
      <c r="I2976" s="145" t="s">
        <v>460</v>
      </c>
      <c r="J2976" s="163" t="s">
        <v>53</v>
      </c>
      <c r="K2976" s="219"/>
      <c r="L2976" s="219">
        <v>66720</v>
      </c>
    </row>
    <row r="2977" spans="1:14" ht="11.25" customHeight="1" x14ac:dyDescent="0.2">
      <c r="A2977" s="168">
        <v>2021</v>
      </c>
      <c r="B2977" s="168">
        <v>5</v>
      </c>
      <c r="C2977" s="168">
        <v>16</v>
      </c>
      <c r="D2977" s="141">
        <f t="shared" si="100"/>
        <v>44332</v>
      </c>
      <c r="E2977" s="275">
        <f t="shared" si="101"/>
        <v>44332</v>
      </c>
      <c r="F2977" s="479" t="s">
        <v>964</v>
      </c>
      <c r="G2977" s="220" t="s">
        <v>74</v>
      </c>
      <c r="H2977" s="142" t="str" cm="1">
        <f t="array" ref="H2977">IFERROR(INDEX(INVESTOR_LIST[INVESTOR NAME],MATCH(I2977,INVESTOR_LIST[INVESTOR CODE],0),)," ")</f>
        <v>IVA JAMAL</v>
      </c>
      <c r="I2977" s="142" t="s">
        <v>712</v>
      </c>
      <c r="J2977" s="168" t="s">
        <v>52</v>
      </c>
      <c r="K2977" s="226">
        <v>5000000</v>
      </c>
      <c r="L2977" s="226"/>
    </row>
    <row r="2978" spans="1:14" ht="22.5" x14ac:dyDescent="0.2">
      <c r="A2978" s="133">
        <v>2021</v>
      </c>
      <c r="B2978" s="133">
        <v>5</v>
      </c>
      <c r="C2978" s="133">
        <v>16</v>
      </c>
      <c r="D2978" s="141">
        <f t="shared" si="100"/>
        <v>44332</v>
      </c>
      <c r="E2978" s="275">
        <f t="shared" si="101"/>
        <v>44332</v>
      </c>
      <c r="F2978" s="481"/>
      <c r="G2978" s="174" t="s">
        <v>74</v>
      </c>
      <c r="H2978" s="148" t="str" cm="1">
        <f t="array" ref="H2978">IFERROR(INDEX(INVESTOR_LIST[INVESTOR NAME],MATCH(I2978,INVESTOR_LIST[INVESTOR CODE],0),)," ")</f>
        <v>IVA JAMAL</v>
      </c>
      <c r="I2978" s="148" t="s">
        <v>712</v>
      </c>
      <c r="J2978" s="133" t="s">
        <v>13</v>
      </c>
      <c r="K2978" s="218"/>
      <c r="L2978" s="218">
        <v>3888020</v>
      </c>
    </row>
    <row r="2979" spans="1:14" ht="22.5" x14ac:dyDescent="0.2">
      <c r="A2979" s="163">
        <v>2021</v>
      </c>
      <c r="B2979" s="163">
        <v>5</v>
      </c>
      <c r="C2979" s="163">
        <v>16</v>
      </c>
      <c r="D2979" s="141">
        <f t="shared" si="100"/>
        <v>44332</v>
      </c>
      <c r="E2979" s="275">
        <f t="shared" si="101"/>
        <v>44332</v>
      </c>
      <c r="F2979" s="480"/>
      <c r="G2979" s="221" t="s">
        <v>74</v>
      </c>
      <c r="H2979" s="145" t="str" cm="1">
        <f t="array" ref="H2979">IFERROR(INDEX(INVESTOR_LIST[INVESTOR NAME],MATCH(I2979,INVESTOR_LIST[INVESTOR CODE],0),)," ")</f>
        <v>IVA JAMAL</v>
      </c>
      <c r="I2979" s="145" t="s">
        <v>712</v>
      </c>
      <c r="J2979" s="163" t="s">
        <v>53</v>
      </c>
      <c r="K2979" s="219"/>
      <c r="L2979" s="219">
        <v>1111980</v>
      </c>
    </row>
    <row r="2980" spans="1:14" x14ac:dyDescent="0.2">
      <c r="A2980" s="168">
        <v>2021</v>
      </c>
      <c r="B2980" s="168">
        <v>5</v>
      </c>
      <c r="C2980" s="168">
        <v>16</v>
      </c>
      <c r="D2980" s="141">
        <f t="shared" si="100"/>
        <v>44332</v>
      </c>
      <c r="E2980" s="275">
        <f t="shared" si="101"/>
        <v>44332</v>
      </c>
      <c r="F2980" s="479" t="s">
        <v>77</v>
      </c>
      <c r="G2980" s="220" t="s">
        <v>74</v>
      </c>
      <c r="H2980" s="220" t="str" cm="1">
        <f t="array" ref="H2980">IFERROR(INDEX(INVESTOR_LIST[INVESTOR NAME],MATCH(I2980,INVESTOR_LIST[INVESTOR CODE],0),)," ")</f>
        <v xml:space="preserve"> </v>
      </c>
      <c r="I2980" s="142" t="s">
        <v>348</v>
      </c>
      <c r="J2980" s="143" t="s">
        <v>61</v>
      </c>
      <c r="K2980" s="226">
        <v>60</v>
      </c>
      <c r="L2980" s="226"/>
    </row>
    <row r="2981" spans="1:14" x14ac:dyDescent="0.2">
      <c r="A2981" s="163">
        <v>2021</v>
      </c>
      <c r="B2981" s="163">
        <v>5</v>
      </c>
      <c r="C2981" s="163">
        <v>16</v>
      </c>
      <c r="D2981" s="141">
        <f t="shared" si="100"/>
        <v>44332</v>
      </c>
      <c r="E2981" s="275">
        <f t="shared" si="101"/>
        <v>44332</v>
      </c>
      <c r="F2981" s="480"/>
      <c r="G2981" s="221" t="s">
        <v>74</v>
      </c>
      <c r="H2981" s="221" t="str" cm="1">
        <f t="array" ref="H2981">IFERROR(INDEX(INVESTOR_LIST[INVESTOR NAME],MATCH(I2981,INVESTOR_LIST[INVESTOR CODE],0),)," ")</f>
        <v xml:space="preserve"> </v>
      </c>
      <c r="I2981" s="145" t="s">
        <v>348</v>
      </c>
      <c r="J2981" s="146" t="s">
        <v>52</v>
      </c>
      <c r="K2981" s="219"/>
      <c r="L2981" s="219">
        <v>60</v>
      </c>
    </row>
    <row r="2982" spans="1:14" x14ac:dyDescent="0.2">
      <c r="A2982" s="168">
        <v>2021</v>
      </c>
      <c r="B2982" s="168">
        <v>5</v>
      </c>
      <c r="C2982" s="168">
        <v>16</v>
      </c>
      <c r="D2982" s="141">
        <f t="shared" si="100"/>
        <v>44332</v>
      </c>
      <c r="E2982" s="275">
        <f t="shared" si="101"/>
        <v>44332</v>
      </c>
      <c r="F2982" s="479" t="s">
        <v>77</v>
      </c>
      <c r="G2982" s="220" t="s">
        <v>74</v>
      </c>
      <c r="H2982" s="220" t="str" cm="1">
        <f t="array" ref="H2982">IFERROR(INDEX(INVESTOR_LIST[INVESTOR NAME],MATCH(I2982,INVESTOR_LIST[INVESTOR CODE],0),)," ")</f>
        <v xml:space="preserve"> </v>
      </c>
      <c r="I2982" s="142" t="s">
        <v>348</v>
      </c>
      <c r="J2982" s="143" t="s">
        <v>61</v>
      </c>
      <c r="K2982" s="226">
        <v>10</v>
      </c>
      <c r="L2982" s="226"/>
    </row>
    <row r="2983" spans="1:14" x14ac:dyDescent="0.2">
      <c r="A2983" s="163">
        <v>2021</v>
      </c>
      <c r="B2983" s="163">
        <v>5</v>
      </c>
      <c r="C2983" s="163">
        <v>16</v>
      </c>
      <c r="D2983" s="141">
        <f t="shared" si="100"/>
        <v>44332</v>
      </c>
      <c r="E2983" s="275">
        <f t="shared" si="101"/>
        <v>44332</v>
      </c>
      <c r="F2983" s="480"/>
      <c r="G2983" s="221" t="s">
        <v>74</v>
      </c>
      <c r="H2983" s="221" t="str" cm="1">
        <f t="array" ref="H2983">IFERROR(INDEX(INVESTOR_LIST[INVESTOR NAME],MATCH(I2983,INVESTOR_LIST[INVESTOR CODE],0),)," ")</f>
        <v xml:space="preserve"> </v>
      </c>
      <c r="I2983" s="145" t="s">
        <v>348</v>
      </c>
      <c r="J2983" s="146" t="s">
        <v>52</v>
      </c>
      <c r="K2983" s="219"/>
      <c r="L2983" s="219">
        <v>10</v>
      </c>
    </row>
    <row r="2984" spans="1:14" x14ac:dyDescent="0.2">
      <c r="A2984" s="168">
        <v>2021</v>
      </c>
      <c r="B2984" s="168">
        <v>5</v>
      </c>
      <c r="C2984" s="168">
        <v>17</v>
      </c>
      <c r="D2984" s="141">
        <f t="shared" si="100"/>
        <v>44333</v>
      </c>
      <c r="E2984" s="275">
        <f t="shared" si="101"/>
        <v>44333</v>
      </c>
      <c r="F2984" s="479" t="s">
        <v>274</v>
      </c>
      <c r="G2984" s="220" t="s">
        <v>94</v>
      </c>
      <c r="H2984" s="142" t="str" cm="1">
        <f t="array" ref="H2984">IFERROR(INDEX(INVESTOR_LIST[INVESTOR NAME],MATCH(I2984,INVESTOR_LIST[INVESTOR CODE],0),)," ")</f>
        <v xml:space="preserve"> </v>
      </c>
      <c r="I2984" s="142"/>
      <c r="J2984" s="168" t="s">
        <v>79</v>
      </c>
      <c r="K2984" s="226">
        <v>1861970.6</v>
      </c>
      <c r="L2984" s="226"/>
    </row>
    <row r="2985" spans="1:14" x14ac:dyDescent="0.2">
      <c r="A2985" s="133">
        <v>2021</v>
      </c>
      <c r="B2985" s="133">
        <v>5</v>
      </c>
      <c r="C2985" s="133">
        <v>17</v>
      </c>
      <c r="D2985" s="141">
        <f t="shared" si="100"/>
        <v>44333</v>
      </c>
      <c r="E2985" s="275">
        <f t="shared" si="101"/>
        <v>44333</v>
      </c>
      <c r="F2985" s="481"/>
      <c r="G2985" s="174" t="s">
        <v>94</v>
      </c>
      <c r="H2985" s="148" t="str" cm="1">
        <f t="array" ref="H2985">IFERROR(INDEX(INVESTOR_LIST[INVESTOR NAME],MATCH(I2985,INVESTOR_LIST[INVESTOR CODE],0),)," ")</f>
        <v xml:space="preserve"> </v>
      </c>
      <c r="J2985" s="133" t="s">
        <v>80</v>
      </c>
      <c r="K2985" s="218">
        <f>3351.55+4331.94</f>
        <v>7683.49</v>
      </c>
      <c r="L2985" s="218"/>
    </row>
    <row r="2986" spans="1:14" x14ac:dyDescent="0.2">
      <c r="A2986" s="133">
        <v>2021</v>
      </c>
      <c r="B2986" s="133">
        <v>5</v>
      </c>
      <c r="C2986" s="133">
        <v>17</v>
      </c>
      <c r="D2986" s="141">
        <f t="shared" si="100"/>
        <v>44333</v>
      </c>
      <c r="E2986" s="275">
        <f t="shared" si="101"/>
        <v>44333</v>
      </c>
      <c r="F2986" s="481"/>
      <c r="G2986" s="174" t="s">
        <v>94</v>
      </c>
      <c r="H2986" s="148" t="str" cm="1">
        <f t="array" ref="H2986">IFERROR(INDEX(INVESTOR_LIST[INVESTOR NAME],MATCH(I2986,INVESTOR_LIST[INVESTOR CODE],0),)," ")</f>
        <v xml:space="preserve"> </v>
      </c>
      <c r="J2986" s="133" t="s">
        <v>190</v>
      </c>
      <c r="K2986" s="218">
        <v>536980.21</v>
      </c>
      <c r="L2986" s="218"/>
      <c r="N2986" s="156">
        <f>K2993/12.86</f>
        <v>1866.2519440124418</v>
      </c>
    </row>
    <row r="2987" spans="1:14" x14ac:dyDescent="0.2">
      <c r="A2987" s="133">
        <v>2021</v>
      </c>
      <c r="B2987" s="133">
        <v>5</v>
      </c>
      <c r="C2987" s="133">
        <v>17</v>
      </c>
      <c r="D2987" s="141">
        <f t="shared" si="100"/>
        <v>44333</v>
      </c>
      <c r="E2987" s="275">
        <f t="shared" si="101"/>
        <v>44333</v>
      </c>
      <c r="F2987" s="481"/>
      <c r="G2987" s="174" t="s">
        <v>94</v>
      </c>
      <c r="H2987" s="148" t="str" cm="1">
        <f t="array" ref="H2987">IFERROR(INDEX(INVESTOR_LIST[INVESTOR NAME],MATCH(I2987,INVESTOR_LIST[INVESTOR CODE],0),)," ")</f>
        <v xml:space="preserve"> </v>
      </c>
      <c r="J2987" s="133" t="s">
        <v>79</v>
      </c>
      <c r="K2987" s="218"/>
      <c r="L2987" s="218">
        <v>2081127.98</v>
      </c>
    </row>
    <row r="2988" spans="1:14" x14ac:dyDescent="0.2">
      <c r="A2988" s="163">
        <v>2021</v>
      </c>
      <c r="B2988" s="163">
        <v>5</v>
      </c>
      <c r="C2988" s="163">
        <v>17</v>
      </c>
      <c r="D2988" s="141">
        <f t="shared" si="100"/>
        <v>44333</v>
      </c>
      <c r="E2988" s="275">
        <f t="shared" si="101"/>
        <v>44333</v>
      </c>
      <c r="F2988" s="480"/>
      <c r="G2988" s="221" t="s">
        <v>94</v>
      </c>
      <c r="H2988" s="145" t="str" cm="1">
        <f t="array" ref="H2988">IFERROR(INDEX(INVESTOR_LIST[INVESTOR NAME],MATCH(I2988,INVESTOR_LIST[INVESTOR CODE],0),)," ")</f>
        <v xml:space="preserve"> </v>
      </c>
      <c r="I2988" s="145"/>
      <c r="J2988" s="163" t="s">
        <v>191</v>
      </c>
      <c r="K2988" s="219"/>
      <c r="L2988" s="219">
        <v>325506.32</v>
      </c>
    </row>
    <row r="2989" spans="1:14" x14ac:dyDescent="0.2">
      <c r="A2989" s="168">
        <v>2021</v>
      </c>
      <c r="B2989" s="168">
        <v>5</v>
      </c>
      <c r="C2989" s="168">
        <v>17</v>
      </c>
      <c r="D2989" s="141">
        <f t="shared" si="100"/>
        <v>44333</v>
      </c>
      <c r="E2989" s="275">
        <f t="shared" si="101"/>
        <v>44333</v>
      </c>
      <c r="F2989" s="494" t="s">
        <v>524</v>
      </c>
      <c r="G2989" s="220" t="s">
        <v>74</v>
      </c>
      <c r="H2989" s="220" t="str" cm="1">
        <f t="array" ref="H2989">IFERROR(INDEX(INVESTOR_LIST[INVESTOR NAME],MATCH(I2989,INVESTOR_LIST[INVESTOR CODE],0),)," ")</f>
        <v xml:space="preserve"> </v>
      </c>
      <c r="I2989" s="142"/>
      <c r="J2989" s="143" t="s">
        <v>147</v>
      </c>
      <c r="K2989" s="226">
        <v>830935.4</v>
      </c>
      <c r="L2989" s="226"/>
    </row>
    <row r="2990" spans="1:14" x14ac:dyDescent="0.2">
      <c r="A2990" s="163">
        <v>2021</v>
      </c>
      <c r="B2990" s="163">
        <v>5</v>
      </c>
      <c r="C2990" s="163">
        <v>17</v>
      </c>
      <c r="D2990" s="141">
        <f t="shared" si="100"/>
        <v>44333</v>
      </c>
      <c r="E2990" s="275">
        <f t="shared" si="101"/>
        <v>44333</v>
      </c>
      <c r="F2990" s="495"/>
      <c r="G2990" s="221" t="s">
        <v>74</v>
      </c>
      <c r="H2990" s="221" t="str" cm="1">
        <f t="array" ref="H2990">IFERROR(INDEX(INVESTOR_LIST[INVESTOR NAME],MATCH(I2990,INVESTOR_LIST[INVESTOR CODE],0),)," ")</f>
        <v xml:space="preserve"> </v>
      </c>
      <c r="I2990" s="145"/>
      <c r="J2990" s="146" t="s">
        <v>52</v>
      </c>
      <c r="K2990" s="219"/>
      <c r="L2990" s="219">
        <v>830935.4</v>
      </c>
    </row>
    <row r="2991" spans="1:14" x14ac:dyDescent="0.2">
      <c r="A2991" s="168">
        <v>2021</v>
      </c>
      <c r="B2991" s="168">
        <v>5</v>
      </c>
      <c r="C2991" s="168">
        <v>17</v>
      </c>
      <c r="D2991" s="141">
        <f t="shared" si="100"/>
        <v>44333</v>
      </c>
      <c r="E2991" s="275">
        <f t="shared" si="101"/>
        <v>44333</v>
      </c>
      <c r="F2991" s="494" t="s">
        <v>275</v>
      </c>
      <c r="G2991" s="220" t="s">
        <v>74</v>
      </c>
      <c r="H2991" s="220" t="str" cm="1">
        <f t="array" ref="H2991">IFERROR(INDEX(INVESTOR_LIST[INVESTOR NAME],MATCH(I2991,INVESTOR_LIST[INVESTOR CODE],0),)," ")</f>
        <v xml:space="preserve"> </v>
      </c>
      <c r="I2991" s="142"/>
      <c r="J2991" s="143" t="s">
        <v>163</v>
      </c>
      <c r="K2991" s="226">
        <v>3150</v>
      </c>
      <c r="L2991" s="226"/>
    </row>
    <row r="2992" spans="1:14" x14ac:dyDescent="0.2">
      <c r="A2992" s="163">
        <v>2021</v>
      </c>
      <c r="B2992" s="163">
        <v>5</v>
      </c>
      <c r="C2992" s="163">
        <v>17</v>
      </c>
      <c r="D2992" s="141">
        <f t="shared" si="100"/>
        <v>44333</v>
      </c>
      <c r="E2992" s="275">
        <f t="shared" si="101"/>
        <v>44333</v>
      </c>
      <c r="F2992" s="495"/>
      <c r="G2992" s="221" t="s">
        <v>74</v>
      </c>
      <c r="H2992" s="221" t="str" cm="1">
        <f t="array" ref="H2992">IFERROR(INDEX(INVESTOR_LIST[INVESTOR NAME],MATCH(I2992,INVESTOR_LIST[INVESTOR CODE],0),)," ")</f>
        <v xml:space="preserve"> </v>
      </c>
      <c r="I2992" s="145"/>
      <c r="J2992" s="146" t="s">
        <v>52</v>
      </c>
      <c r="K2992" s="219"/>
      <c r="L2992" s="219">
        <v>3150</v>
      </c>
    </row>
    <row r="2993" spans="1:14" ht="11.25" customHeight="1" x14ac:dyDescent="0.2">
      <c r="A2993" s="168">
        <v>2021</v>
      </c>
      <c r="B2993" s="168">
        <v>5</v>
      </c>
      <c r="C2993" s="168">
        <v>17</v>
      </c>
      <c r="D2993" s="141">
        <f t="shared" si="100"/>
        <v>44333</v>
      </c>
      <c r="E2993" s="275">
        <f t="shared" si="101"/>
        <v>44333</v>
      </c>
      <c r="F2993" s="479" t="s">
        <v>964</v>
      </c>
      <c r="G2993" s="220" t="s">
        <v>74</v>
      </c>
      <c r="H2993" s="142" t="str" cm="1">
        <f t="array" ref="H2993">IFERROR(INDEX(INVESTOR_LIST[INVESTOR NAME],MATCH(I2993,INVESTOR_LIST[INVESTOR CODE],0),)," ")</f>
        <v>QUAZI TOWFIQUE UDDIN</v>
      </c>
      <c r="I2993" s="142" t="s">
        <v>704</v>
      </c>
      <c r="J2993" s="168" t="s">
        <v>52</v>
      </c>
      <c r="K2993" s="226">
        <v>24000</v>
      </c>
      <c r="L2993" s="226"/>
    </row>
    <row r="2994" spans="1:14" ht="45" x14ac:dyDescent="0.2">
      <c r="A2994" s="133">
        <v>2021</v>
      </c>
      <c r="B2994" s="133">
        <v>5</v>
      </c>
      <c r="C2994" s="133">
        <v>17</v>
      </c>
      <c r="D2994" s="141">
        <f t="shared" si="100"/>
        <v>44333</v>
      </c>
      <c r="E2994" s="275">
        <f t="shared" si="101"/>
        <v>44333</v>
      </c>
      <c r="F2994" s="481"/>
      <c r="G2994" s="174" t="s">
        <v>74</v>
      </c>
      <c r="H2994" s="148" t="str" cm="1">
        <f t="array" ref="H2994">IFERROR(INDEX(INVESTOR_LIST[INVESTOR NAME],MATCH(I2994,INVESTOR_LIST[INVESTOR CODE],0),)," ")</f>
        <v>QUAZI TOWFIQUE UDDIN</v>
      </c>
      <c r="I2994" s="148" t="s">
        <v>704</v>
      </c>
      <c r="J2994" s="133" t="s">
        <v>13</v>
      </c>
      <c r="K2994" s="218"/>
      <c r="L2994" s="218">
        <v>18660</v>
      </c>
    </row>
    <row r="2995" spans="1:14" ht="45" x14ac:dyDescent="0.2">
      <c r="A2995" s="163">
        <v>2021</v>
      </c>
      <c r="B2995" s="163">
        <v>5</v>
      </c>
      <c r="C2995" s="163">
        <v>17</v>
      </c>
      <c r="D2995" s="141">
        <f t="shared" si="100"/>
        <v>44333</v>
      </c>
      <c r="E2995" s="275">
        <f t="shared" si="101"/>
        <v>44333</v>
      </c>
      <c r="F2995" s="480"/>
      <c r="G2995" s="221" t="s">
        <v>74</v>
      </c>
      <c r="H2995" s="145" t="str" cm="1">
        <f t="array" ref="H2995">IFERROR(INDEX(INVESTOR_LIST[INVESTOR NAME],MATCH(I2995,INVESTOR_LIST[INVESTOR CODE],0),)," ")</f>
        <v>QUAZI TOWFIQUE UDDIN</v>
      </c>
      <c r="I2995" s="145" t="s">
        <v>704</v>
      </c>
      <c r="J2995" s="163" t="s">
        <v>53</v>
      </c>
      <c r="K2995" s="219"/>
      <c r="L2995" s="219">
        <v>5340</v>
      </c>
    </row>
    <row r="2996" spans="1:14" ht="11.25" customHeight="1" x14ac:dyDescent="0.2">
      <c r="A2996" s="168">
        <v>2021</v>
      </c>
      <c r="B2996" s="168">
        <v>5</v>
      </c>
      <c r="C2996" s="168">
        <v>18</v>
      </c>
      <c r="D2996" s="141">
        <f t="shared" si="100"/>
        <v>44334</v>
      </c>
      <c r="E2996" s="275">
        <f t="shared" si="101"/>
        <v>44334</v>
      </c>
      <c r="F2996" s="479" t="s">
        <v>254</v>
      </c>
      <c r="G2996" s="220" t="s">
        <v>74</v>
      </c>
      <c r="H2996" s="142" t="str" cm="1">
        <f t="array" ref="H2996">IFERROR(INDEX(INVESTOR_LIST[INVESTOR NAME],MATCH(I2996,INVESTOR_LIST[INVESTOR CODE],0),)," ")</f>
        <v xml:space="preserve"> </v>
      </c>
      <c r="I2996" s="142"/>
      <c r="J2996" s="168" t="s">
        <v>52</v>
      </c>
      <c r="K2996" s="226">
        <v>39000</v>
      </c>
      <c r="L2996" s="226"/>
    </row>
    <row r="2997" spans="1:14" x14ac:dyDescent="0.2">
      <c r="A2997" s="133">
        <v>2021</v>
      </c>
      <c r="B2997" s="133">
        <v>5</v>
      </c>
      <c r="C2997" s="133">
        <v>18</v>
      </c>
      <c r="D2997" s="141">
        <f t="shared" si="100"/>
        <v>44334</v>
      </c>
      <c r="E2997" s="275">
        <f t="shared" si="101"/>
        <v>44334</v>
      </c>
      <c r="F2997" s="481"/>
      <c r="G2997" s="174" t="s">
        <v>74</v>
      </c>
      <c r="H2997" s="148" t="str" cm="1">
        <f t="array" ref="H2997">IFERROR(INDEX(INVESTOR_LIST[INVESTOR NAME],MATCH(I2997,INVESTOR_LIST[INVESTOR CODE],0),)," ")</f>
        <v xml:space="preserve"> </v>
      </c>
      <c r="J2997" s="133" t="s">
        <v>13</v>
      </c>
      <c r="K2997" s="218"/>
      <c r="L2997" s="218">
        <v>29390</v>
      </c>
    </row>
    <row r="2998" spans="1:14" x14ac:dyDescent="0.2">
      <c r="A2998" s="163">
        <v>2021</v>
      </c>
      <c r="B2998" s="163">
        <v>5</v>
      </c>
      <c r="C2998" s="163">
        <v>18</v>
      </c>
      <c r="D2998" s="141">
        <f t="shared" si="100"/>
        <v>44334</v>
      </c>
      <c r="E2998" s="275">
        <f t="shared" si="101"/>
        <v>44334</v>
      </c>
      <c r="F2998" s="480"/>
      <c r="G2998" s="221" t="s">
        <v>74</v>
      </c>
      <c r="H2998" s="145" t="str" cm="1">
        <f t="array" ref="H2998">IFERROR(INDEX(INVESTOR_LIST[INVESTOR NAME],MATCH(I2998,INVESTOR_LIST[INVESTOR CODE],0),)," ")</f>
        <v xml:space="preserve"> </v>
      </c>
      <c r="I2998" s="145"/>
      <c r="J2998" s="163" t="s">
        <v>53</v>
      </c>
      <c r="K2998" s="219"/>
      <c r="L2998" s="219">
        <v>9610</v>
      </c>
    </row>
    <row r="2999" spans="1:14" x14ac:dyDescent="0.2">
      <c r="A2999" s="168">
        <v>2021</v>
      </c>
      <c r="B2999" s="168">
        <v>5</v>
      </c>
      <c r="C2999" s="168">
        <v>18</v>
      </c>
      <c r="D2999" s="141">
        <f t="shared" si="100"/>
        <v>44334</v>
      </c>
      <c r="E2999" s="275">
        <f t="shared" si="101"/>
        <v>44334</v>
      </c>
      <c r="F2999" s="479" t="s">
        <v>274</v>
      </c>
      <c r="G2999" s="220" t="s">
        <v>94</v>
      </c>
      <c r="H2999" s="142" t="str" cm="1">
        <f t="array" ref="H2999">IFERROR(INDEX(INVESTOR_LIST[INVESTOR NAME],MATCH(I2999,INVESTOR_LIST[INVESTOR CODE],0),)," ")</f>
        <v xml:space="preserve"> </v>
      </c>
      <c r="I2999" s="142"/>
      <c r="J2999" s="168" t="s">
        <v>79</v>
      </c>
      <c r="K2999" s="226">
        <v>5260572.5</v>
      </c>
      <c r="L2999" s="226"/>
    </row>
    <row r="3000" spans="1:14" x14ac:dyDescent="0.2">
      <c r="A3000" s="133">
        <v>2021</v>
      </c>
      <c r="B3000" s="133">
        <v>5</v>
      </c>
      <c r="C3000" s="133">
        <v>18</v>
      </c>
      <c r="D3000" s="141">
        <f t="shared" si="100"/>
        <v>44334</v>
      </c>
      <c r="E3000" s="275">
        <f t="shared" si="101"/>
        <v>44334</v>
      </c>
      <c r="F3000" s="481"/>
      <c r="G3000" s="174" t="s">
        <v>94</v>
      </c>
      <c r="H3000" s="148" t="str" cm="1">
        <f t="array" ref="H3000">IFERROR(INDEX(INVESTOR_LIST[INVESTOR NAME],MATCH(I3000,INVESTOR_LIST[INVESTOR CODE],0),)," ")</f>
        <v xml:space="preserve"> </v>
      </c>
      <c r="J3000" s="133" t="s">
        <v>80</v>
      </c>
      <c r="K3000" s="218">
        <f>9469.03+16670.94</f>
        <v>26139.97</v>
      </c>
      <c r="L3000" s="218"/>
    </row>
    <row r="3001" spans="1:14" x14ac:dyDescent="0.2">
      <c r="A3001" s="133">
        <v>2021</v>
      </c>
      <c r="B3001" s="133">
        <v>5</v>
      </c>
      <c r="C3001" s="133">
        <v>18</v>
      </c>
      <c r="D3001" s="141">
        <f t="shared" si="100"/>
        <v>44334</v>
      </c>
      <c r="E3001" s="275">
        <f t="shared" si="101"/>
        <v>44334</v>
      </c>
      <c r="F3001" s="481"/>
      <c r="G3001" s="174" t="s">
        <v>94</v>
      </c>
      <c r="H3001" s="148" t="str" cm="1">
        <f t="array" ref="H3001">IFERROR(INDEX(INVESTOR_LIST[INVESTOR NAME],MATCH(I3001,INVESTOR_LIST[INVESTOR CODE],0),)," ")</f>
        <v xml:space="preserve"> </v>
      </c>
      <c r="J3001" s="133" t="s">
        <v>190</v>
      </c>
      <c r="K3001" s="218">
        <v>3974918.23</v>
      </c>
      <c r="L3001" s="218"/>
    </row>
    <row r="3002" spans="1:14" x14ac:dyDescent="0.2">
      <c r="A3002" s="133">
        <v>2021</v>
      </c>
      <c r="B3002" s="133">
        <v>5</v>
      </c>
      <c r="C3002" s="133">
        <v>18</v>
      </c>
      <c r="D3002" s="141">
        <f t="shared" si="100"/>
        <v>44334</v>
      </c>
      <c r="E3002" s="275">
        <f t="shared" si="101"/>
        <v>44334</v>
      </c>
      <c r="F3002" s="481"/>
      <c r="G3002" s="174" t="s">
        <v>94</v>
      </c>
      <c r="H3002" s="148" t="str" cm="1">
        <f t="array" ref="H3002">IFERROR(INDEX(INVESTOR_LIST[INVESTOR NAME],MATCH(I3002,INVESTOR_LIST[INVESTOR CODE],0),)," ")</f>
        <v xml:space="preserve"> </v>
      </c>
      <c r="J3002" s="133" t="s">
        <v>79</v>
      </c>
      <c r="K3002" s="218"/>
      <c r="L3002" s="218">
        <v>8437702.379999999</v>
      </c>
    </row>
    <row r="3003" spans="1:14" x14ac:dyDescent="0.2">
      <c r="A3003" s="163">
        <v>2021</v>
      </c>
      <c r="B3003" s="163">
        <v>5</v>
      </c>
      <c r="C3003" s="163">
        <v>18</v>
      </c>
      <c r="D3003" s="141">
        <f t="shared" si="100"/>
        <v>44334</v>
      </c>
      <c r="E3003" s="275">
        <f t="shared" si="101"/>
        <v>44334</v>
      </c>
      <c r="F3003" s="480"/>
      <c r="G3003" s="221" t="s">
        <v>94</v>
      </c>
      <c r="H3003" s="145" t="str" cm="1">
        <f t="array" ref="H3003">IFERROR(INDEX(INVESTOR_LIST[INVESTOR NAME],MATCH(I3003,INVESTOR_LIST[INVESTOR CODE],0),)," ")</f>
        <v xml:space="preserve"> </v>
      </c>
      <c r="I3003" s="145"/>
      <c r="J3003" s="163" t="s">
        <v>191</v>
      </c>
      <c r="K3003" s="219"/>
      <c r="L3003" s="219">
        <v>823928.32000000007</v>
      </c>
      <c r="N3003" s="156">
        <f>K3010/13.27</f>
        <v>188394.87565938206</v>
      </c>
    </row>
    <row r="3004" spans="1:14" x14ac:dyDescent="0.2">
      <c r="A3004" s="168">
        <v>2021</v>
      </c>
      <c r="B3004" s="168">
        <v>5</v>
      </c>
      <c r="C3004" s="168">
        <v>18</v>
      </c>
      <c r="D3004" s="141">
        <f t="shared" si="100"/>
        <v>44334</v>
      </c>
      <c r="E3004" s="275">
        <f t="shared" si="101"/>
        <v>44334</v>
      </c>
      <c r="F3004" s="494" t="s">
        <v>524</v>
      </c>
      <c r="G3004" s="220" t="s">
        <v>74</v>
      </c>
      <c r="H3004" s="220" t="str" cm="1">
        <f t="array" ref="H3004">IFERROR(INDEX(INVESTOR_LIST[INVESTOR NAME],MATCH(I3004,INVESTOR_LIST[INVESTOR CODE],0),)," ")</f>
        <v xml:space="preserve"> </v>
      </c>
      <c r="I3004" s="142"/>
      <c r="J3004" s="143" t="s">
        <v>147</v>
      </c>
      <c r="K3004" s="226">
        <v>4119293.98</v>
      </c>
      <c r="L3004" s="226"/>
    </row>
    <row r="3005" spans="1:14" x14ac:dyDescent="0.2">
      <c r="A3005" s="163">
        <v>2021</v>
      </c>
      <c r="B3005" s="163">
        <v>5</v>
      </c>
      <c r="C3005" s="163">
        <v>18</v>
      </c>
      <c r="D3005" s="141">
        <f t="shared" si="100"/>
        <v>44334</v>
      </c>
      <c r="E3005" s="275">
        <f t="shared" si="101"/>
        <v>44334</v>
      </c>
      <c r="F3005" s="495"/>
      <c r="G3005" s="221" t="s">
        <v>74</v>
      </c>
      <c r="H3005" s="221" t="str" cm="1">
        <f t="array" ref="H3005">IFERROR(INDEX(INVESTOR_LIST[INVESTOR NAME],MATCH(I3005,INVESTOR_LIST[INVESTOR CODE],0),)," ")</f>
        <v xml:space="preserve"> </v>
      </c>
      <c r="I3005" s="145"/>
      <c r="J3005" s="146" t="s">
        <v>52</v>
      </c>
      <c r="K3005" s="219"/>
      <c r="L3005" s="219">
        <v>4119293.98</v>
      </c>
    </row>
    <row r="3006" spans="1:14" x14ac:dyDescent="0.2">
      <c r="A3006" s="168">
        <v>2021</v>
      </c>
      <c r="B3006" s="168">
        <v>5</v>
      </c>
      <c r="C3006" s="168">
        <v>18</v>
      </c>
      <c r="D3006" s="141">
        <f t="shared" si="100"/>
        <v>44334</v>
      </c>
      <c r="E3006" s="275">
        <f t="shared" si="101"/>
        <v>44334</v>
      </c>
      <c r="F3006" s="497" t="s">
        <v>707</v>
      </c>
      <c r="G3006" s="220" t="s">
        <v>74</v>
      </c>
      <c r="H3006" s="220" t="str" cm="1">
        <f t="array" ref="H3006">IFERROR(INDEX(INVESTOR_LIST[INVESTOR NAME],MATCH(I3006,INVESTOR_LIST[INVESTOR CODE],0),)," ")</f>
        <v xml:space="preserve"> </v>
      </c>
      <c r="I3006" s="142"/>
      <c r="J3006" s="143" t="s">
        <v>163</v>
      </c>
      <c r="K3006" s="226">
        <v>15000</v>
      </c>
      <c r="L3006" s="226"/>
    </row>
    <row r="3007" spans="1:14" ht="11.25" customHeight="1" x14ac:dyDescent="0.2">
      <c r="A3007" s="163">
        <v>2021</v>
      </c>
      <c r="B3007" s="163">
        <v>5</v>
      </c>
      <c r="C3007" s="163">
        <v>18</v>
      </c>
      <c r="D3007" s="141">
        <f t="shared" si="100"/>
        <v>44334</v>
      </c>
      <c r="E3007" s="275">
        <f t="shared" si="101"/>
        <v>44334</v>
      </c>
      <c r="F3007" s="495"/>
      <c r="G3007" s="221" t="s">
        <v>74</v>
      </c>
      <c r="H3007" s="221" t="str" cm="1">
        <f t="array" ref="H3007">IFERROR(INDEX(INVESTOR_LIST[INVESTOR NAME],MATCH(I3007,INVESTOR_LIST[INVESTOR CODE],0),)," ")</f>
        <v xml:space="preserve"> </v>
      </c>
      <c r="I3007" s="145"/>
      <c r="J3007" s="146" t="s">
        <v>52</v>
      </c>
      <c r="K3007" s="219"/>
      <c r="L3007" s="219">
        <v>15000</v>
      </c>
    </row>
    <row r="3008" spans="1:14" ht="11.25" customHeight="1" x14ac:dyDescent="0.2">
      <c r="A3008" s="168">
        <v>2021</v>
      </c>
      <c r="B3008" s="168">
        <v>5</v>
      </c>
      <c r="C3008" s="168">
        <v>18</v>
      </c>
      <c r="D3008" s="141">
        <f t="shared" si="100"/>
        <v>44334</v>
      </c>
      <c r="E3008" s="275">
        <f t="shared" si="101"/>
        <v>44334</v>
      </c>
      <c r="F3008" s="479" t="s">
        <v>710</v>
      </c>
      <c r="G3008" s="220" t="s">
        <v>74</v>
      </c>
      <c r="H3008" s="220" t="str" cm="1">
        <f t="array" ref="H3008">IFERROR(INDEX(INVESTOR_LIST[INVESTOR NAME],MATCH(I3008,INVESTOR_LIST[INVESTOR CODE],0),)," ")</f>
        <v xml:space="preserve"> </v>
      </c>
      <c r="I3008" s="142"/>
      <c r="J3008" s="143" t="s">
        <v>52</v>
      </c>
      <c r="K3008" s="226">
        <v>895262</v>
      </c>
      <c r="L3008" s="226"/>
      <c r="N3008" s="156">
        <f>K3015/13.27</f>
        <v>375000</v>
      </c>
    </row>
    <row r="3009" spans="1:14" ht="11.25" customHeight="1" x14ac:dyDescent="0.2">
      <c r="A3009" s="163">
        <v>2021</v>
      </c>
      <c r="B3009" s="163">
        <v>5</v>
      </c>
      <c r="C3009" s="163">
        <v>18</v>
      </c>
      <c r="D3009" s="141">
        <f t="shared" si="100"/>
        <v>44334</v>
      </c>
      <c r="E3009" s="275">
        <f t="shared" si="101"/>
        <v>44334</v>
      </c>
      <c r="F3009" s="480"/>
      <c r="G3009" s="221" t="s">
        <v>74</v>
      </c>
      <c r="H3009" s="221" t="str" cm="1">
        <f t="array" ref="H3009">IFERROR(INDEX(INVESTOR_LIST[INVESTOR NAME],MATCH(I3009,INVESTOR_LIST[INVESTOR CODE],0),)," ")</f>
        <v xml:space="preserve"> </v>
      </c>
      <c r="I3009" s="145"/>
      <c r="J3009" s="146" t="s">
        <v>168</v>
      </c>
      <c r="K3009" s="219"/>
      <c r="L3009" s="219">
        <v>895262</v>
      </c>
    </row>
    <row r="3010" spans="1:14" ht="11.25" customHeight="1" x14ac:dyDescent="0.2">
      <c r="A3010" s="168">
        <v>2021</v>
      </c>
      <c r="B3010" s="168">
        <v>5</v>
      </c>
      <c r="C3010" s="168">
        <v>18</v>
      </c>
      <c r="D3010" s="141">
        <f t="shared" si="100"/>
        <v>44334</v>
      </c>
      <c r="E3010" s="275">
        <f t="shared" si="101"/>
        <v>44334</v>
      </c>
      <c r="F3010" s="479" t="s">
        <v>964</v>
      </c>
      <c r="G3010" s="220" t="s">
        <v>74</v>
      </c>
      <c r="H3010" s="142" t="str" cm="1">
        <f t="array" ref="H3010">IFERROR(INDEX(INVESTOR_LIST[INVESTOR NAME],MATCH(I3010,INVESTOR_LIST[INVESTOR CODE],0),)," ")</f>
        <v>RAFIQUL ANOWAR</v>
      </c>
      <c r="I3010" s="142" t="s">
        <v>493</v>
      </c>
      <c r="J3010" s="168" t="s">
        <v>52</v>
      </c>
      <c r="K3010" s="226">
        <v>2500000</v>
      </c>
      <c r="L3010" s="226"/>
    </row>
    <row r="3011" spans="1:14" ht="33.75" x14ac:dyDescent="0.2">
      <c r="A3011" s="133">
        <v>2021</v>
      </c>
      <c r="B3011" s="133">
        <v>5</v>
      </c>
      <c r="C3011" s="133">
        <v>18</v>
      </c>
      <c r="D3011" s="141">
        <f t="shared" si="100"/>
        <v>44334</v>
      </c>
      <c r="E3011" s="275">
        <f t="shared" si="101"/>
        <v>44334</v>
      </c>
      <c r="F3011" s="481"/>
      <c r="G3011" s="174" t="s">
        <v>74</v>
      </c>
      <c r="H3011" s="148" t="str" cm="1">
        <f t="array" ref="H3011">IFERROR(INDEX(INVESTOR_LIST[INVESTOR NAME],MATCH(I3011,INVESTOR_LIST[INVESTOR CODE],0),)," ")</f>
        <v>RAFIQUL ANOWAR</v>
      </c>
      <c r="I3011" s="148" t="s">
        <v>493</v>
      </c>
      <c r="J3011" s="133" t="s">
        <v>13</v>
      </c>
      <c r="K3011" s="218"/>
      <c r="L3011" s="218">
        <v>1883950</v>
      </c>
    </row>
    <row r="3012" spans="1:14" ht="33.75" x14ac:dyDescent="0.2">
      <c r="A3012" s="163">
        <v>2021</v>
      </c>
      <c r="B3012" s="163">
        <v>5</v>
      </c>
      <c r="C3012" s="163">
        <v>18</v>
      </c>
      <c r="D3012" s="141">
        <f t="shared" si="100"/>
        <v>44334</v>
      </c>
      <c r="E3012" s="275">
        <f t="shared" si="101"/>
        <v>44334</v>
      </c>
      <c r="F3012" s="480"/>
      <c r="G3012" s="221" t="s">
        <v>74</v>
      </c>
      <c r="H3012" s="145" t="str" cm="1">
        <f t="array" ref="H3012">IFERROR(INDEX(INVESTOR_LIST[INVESTOR NAME],MATCH(I3012,INVESTOR_LIST[INVESTOR CODE],0),)," ")</f>
        <v>RAFIQUL ANOWAR</v>
      </c>
      <c r="I3012" s="145" t="s">
        <v>493</v>
      </c>
      <c r="J3012" s="163" t="s">
        <v>53</v>
      </c>
      <c r="K3012" s="219"/>
      <c r="L3012" s="219">
        <v>616050</v>
      </c>
    </row>
    <row r="3013" spans="1:14" x14ac:dyDescent="0.2">
      <c r="A3013" s="168">
        <v>2021</v>
      </c>
      <c r="B3013" s="168">
        <v>5</v>
      </c>
      <c r="C3013" s="168">
        <v>18</v>
      </c>
      <c r="D3013" s="141">
        <f t="shared" si="100"/>
        <v>44334</v>
      </c>
      <c r="E3013" s="275">
        <f t="shared" si="101"/>
        <v>44334</v>
      </c>
      <c r="F3013" s="479" t="s">
        <v>77</v>
      </c>
      <c r="G3013" s="220" t="s">
        <v>74</v>
      </c>
      <c r="H3013" s="220" t="str" cm="1">
        <f t="array" ref="H3013">IFERROR(INDEX(INVESTOR_LIST[INVESTOR NAME],MATCH(I3013,INVESTOR_LIST[INVESTOR CODE],0),)," ")</f>
        <v xml:space="preserve"> </v>
      </c>
      <c r="I3013" s="142" t="s">
        <v>348</v>
      </c>
      <c r="J3013" s="143" t="s">
        <v>61</v>
      </c>
      <c r="K3013" s="226">
        <v>60</v>
      </c>
      <c r="L3013" s="226"/>
      <c r="N3013" s="156">
        <f>L3036/13.27</f>
        <v>6376.0000000000009</v>
      </c>
    </row>
    <row r="3014" spans="1:14" x14ac:dyDescent="0.2">
      <c r="A3014" s="163">
        <v>2021</v>
      </c>
      <c r="B3014" s="163">
        <v>5</v>
      </c>
      <c r="C3014" s="163">
        <v>18</v>
      </c>
      <c r="D3014" s="141">
        <f t="shared" si="100"/>
        <v>44334</v>
      </c>
      <c r="E3014" s="275">
        <f t="shared" si="101"/>
        <v>44334</v>
      </c>
      <c r="F3014" s="480"/>
      <c r="G3014" s="221" t="s">
        <v>74</v>
      </c>
      <c r="H3014" s="221" t="str" cm="1">
        <f t="array" ref="H3014">IFERROR(INDEX(INVESTOR_LIST[INVESTOR NAME],MATCH(I3014,INVESTOR_LIST[INVESTOR CODE],0),)," ")</f>
        <v xml:space="preserve"> </v>
      </c>
      <c r="I3014" s="145" t="s">
        <v>348</v>
      </c>
      <c r="J3014" s="146" t="s">
        <v>52</v>
      </c>
      <c r="K3014" s="219"/>
      <c r="L3014" s="219">
        <v>60</v>
      </c>
    </row>
    <row r="3015" spans="1:14" ht="11.25" customHeight="1" x14ac:dyDescent="0.2">
      <c r="A3015" s="168">
        <v>2021</v>
      </c>
      <c r="B3015" s="168">
        <v>5</v>
      </c>
      <c r="C3015" s="168">
        <v>19</v>
      </c>
      <c r="D3015" s="141">
        <f t="shared" si="100"/>
        <v>44335</v>
      </c>
      <c r="E3015" s="275">
        <f t="shared" si="101"/>
        <v>44335</v>
      </c>
      <c r="F3015" s="479" t="s">
        <v>964</v>
      </c>
      <c r="G3015" s="220" t="s">
        <v>74</v>
      </c>
      <c r="H3015" s="142" t="str" cm="1">
        <f t="array" ref="H3015">IFERROR(INDEX(INVESTOR_LIST[INVESTOR NAME],MATCH(I3015,INVESTOR_LIST[INVESTOR CODE],0),)," ")</f>
        <v>SECURE LINK SERVICES BANGLADESH LIMITED</v>
      </c>
      <c r="I3015" s="142" t="s">
        <v>703</v>
      </c>
      <c r="J3015" s="168" t="s">
        <v>52</v>
      </c>
      <c r="K3015" s="226">
        <v>4976250</v>
      </c>
      <c r="L3015" s="226"/>
    </row>
    <row r="3016" spans="1:14" ht="67.5" x14ac:dyDescent="0.2">
      <c r="A3016" s="133">
        <v>2021</v>
      </c>
      <c r="B3016" s="133">
        <v>5</v>
      </c>
      <c r="C3016" s="133">
        <v>19</v>
      </c>
      <c r="D3016" s="141">
        <f t="shared" si="100"/>
        <v>44335</v>
      </c>
      <c r="E3016" s="275">
        <f t="shared" si="101"/>
        <v>44335</v>
      </c>
      <c r="F3016" s="481"/>
      <c r="G3016" s="174" t="s">
        <v>74</v>
      </c>
      <c r="H3016" s="148" t="str" cm="1">
        <f t="array" ref="H3016">IFERROR(INDEX(INVESTOR_LIST[INVESTOR NAME],MATCH(I3016,INVESTOR_LIST[INVESTOR CODE],0),)," ")</f>
        <v>SECURE LINK SERVICES BANGLADESH LIMITED</v>
      </c>
      <c r="I3016" s="148" t="s">
        <v>703</v>
      </c>
      <c r="J3016" s="133" t="s">
        <v>13</v>
      </c>
      <c r="K3016" s="218"/>
      <c r="L3016" s="218">
        <v>3750000</v>
      </c>
    </row>
    <row r="3017" spans="1:14" ht="67.5" x14ac:dyDescent="0.2">
      <c r="A3017" s="163">
        <v>2021</v>
      </c>
      <c r="B3017" s="163">
        <v>5</v>
      </c>
      <c r="C3017" s="163">
        <v>19</v>
      </c>
      <c r="D3017" s="141">
        <f t="shared" si="100"/>
        <v>44335</v>
      </c>
      <c r="E3017" s="275">
        <f t="shared" si="101"/>
        <v>44335</v>
      </c>
      <c r="F3017" s="480"/>
      <c r="G3017" s="221" t="s">
        <v>74</v>
      </c>
      <c r="H3017" s="145" t="str" cm="1">
        <f t="array" ref="H3017">IFERROR(INDEX(INVESTOR_LIST[INVESTOR NAME],MATCH(I3017,INVESTOR_LIST[INVESTOR CODE],0),)," ")</f>
        <v>SECURE LINK SERVICES BANGLADESH LIMITED</v>
      </c>
      <c r="I3017" s="145" t="s">
        <v>703</v>
      </c>
      <c r="J3017" s="163" t="s">
        <v>53</v>
      </c>
      <c r="K3017" s="219"/>
      <c r="L3017" s="219">
        <v>1226250</v>
      </c>
    </row>
    <row r="3018" spans="1:14" x14ac:dyDescent="0.2">
      <c r="A3018" s="168">
        <v>2021</v>
      </c>
      <c r="B3018" s="168">
        <v>5</v>
      </c>
      <c r="C3018" s="168">
        <v>19</v>
      </c>
      <c r="D3018" s="141">
        <f t="shared" si="100"/>
        <v>44335</v>
      </c>
      <c r="E3018" s="275">
        <f t="shared" si="101"/>
        <v>44335</v>
      </c>
      <c r="F3018" s="479" t="s">
        <v>274</v>
      </c>
      <c r="G3018" s="220" t="s">
        <v>94</v>
      </c>
      <c r="H3018" s="142" t="str" cm="1">
        <f t="array" ref="H3018">IFERROR(INDEX(INVESTOR_LIST[INVESTOR NAME],MATCH(I3018,INVESTOR_LIST[INVESTOR CODE],0),)," ")</f>
        <v xml:space="preserve"> </v>
      </c>
      <c r="I3018" s="142"/>
      <c r="J3018" s="168" t="s">
        <v>79</v>
      </c>
      <c r="K3018" s="226">
        <v>1078500</v>
      </c>
      <c r="L3018" s="226"/>
    </row>
    <row r="3019" spans="1:14" x14ac:dyDescent="0.2">
      <c r="A3019" s="133">
        <v>2021</v>
      </c>
      <c r="B3019" s="133">
        <v>5</v>
      </c>
      <c r="C3019" s="133">
        <v>19</v>
      </c>
      <c r="D3019" s="141">
        <f t="shared" si="100"/>
        <v>44335</v>
      </c>
      <c r="E3019" s="275">
        <f t="shared" si="101"/>
        <v>44335</v>
      </c>
      <c r="F3019" s="481"/>
      <c r="G3019" s="174" t="s">
        <v>94</v>
      </c>
      <c r="H3019" s="148" t="str" cm="1">
        <f t="array" ref="H3019">IFERROR(INDEX(INVESTOR_LIST[INVESTOR NAME],MATCH(I3019,INVESTOR_LIST[INVESTOR CODE],0),)," ")</f>
        <v xml:space="preserve"> </v>
      </c>
      <c r="J3019" s="133" t="s">
        <v>80</v>
      </c>
      <c r="K3019" s="218">
        <f>1941.3+8105.49</f>
        <v>10046.789999999999</v>
      </c>
      <c r="L3019" s="218"/>
    </row>
    <row r="3020" spans="1:14" x14ac:dyDescent="0.2">
      <c r="A3020" s="133">
        <v>2021</v>
      </c>
      <c r="B3020" s="133">
        <v>5</v>
      </c>
      <c r="C3020" s="133">
        <v>19</v>
      </c>
      <c r="D3020" s="141">
        <f t="shared" si="100"/>
        <v>44335</v>
      </c>
      <c r="E3020" s="275">
        <f t="shared" si="101"/>
        <v>44335</v>
      </c>
      <c r="F3020" s="481"/>
      <c r="G3020" s="174" t="s">
        <v>94</v>
      </c>
      <c r="H3020" s="148" t="str" cm="1">
        <f t="array" ref="H3020">IFERROR(INDEX(INVESTOR_LIST[INVESTOR NAME],MATCH(I3020,INVESTOR_LIST[INVESTOR CODE],0),)," ")</f>
        <v xml:space="preserve"> </v>
      </c>
      <c r="J3020" s="133" t="s">
        <v>190</v>
      </c>
      <c r="K3020" s="218">
        <v>3414504.51</v>
      </c>
      <c r="L3020" s="218"/>
    </row>
    <row r="3021" spans="1:14" x14ac:dyDescent="0.2">
      <c r="A3021" s="133">
        <v>2021</v>
      </c>
      <c r="B3021" s="133">
        <v>5</v>
      </c>
      <c r="C3021" s="133">
        <v>19</v>
      </c>
      <c r="D3021" s="141">
        <f t="shared" si="100"/>
        <v>44335</v>
      </c>
      <c r="E3021" s="275">
        <f t="shared" si="101"/>
        <v>44335</v>
      </c>
      <c r="F3021" s="481"/>
      <c r="G3021" s="174" t="s">
        <v>94</v>
      </c>
      <c r="H3021" s="148" t="str" cm="1">
        <f t="array" ref="H3021">IFERROR(INDEX(INVESTOR_LIST[INVESTOR NAME],MATCH(I3021,INVESTOR_LIST[INVESTOR CODE],0),)," ")</f>
        <v xml:space="preserve"> </v>
      </c>
      <c r="J3021" s="133" t="s">
        <v>79</v>
      </c>
      <c r="K3021" s="218"/>
      <c r="L3021" s="218">
        <v>4355098.3</v>
      </c>
    </row>
    <row r="3022" spans="1:14" x14ac:dyDescent="0.2">
      <c r="A3022" s="163">
        <v>2021</v>
      </c>
      <c r="B3022" s="163">
        <v>5</v>
      </c>
      <c r="C3022" s="163">
        <v>19</v>
      </c>
      <c r="D3022" s="141">
        <f t="shared" ref="D3022:D3085" si="102">DATE(A3022,B3022,C3022)</f>
        <v>44335</v>
      </c>
      <c r="E3022" s="275">
        <f t="shared" si="101"/>
        <v>44335</v>
      </c>
      <c r="F3022" s="480"/>
      <c r="G3022" s="221" t="s">
        <v>94</v>
      </c>
      <c r="H3022" s="145" t="str" cm="1">
        <f t="array" ref="H3022">IFERROR(INDEX(INVESTOR_LIST[INVESTOR NAME],MATCH(I3022,INVESTOR_LIST[INVESTOR CODE],0),)," ")</f>
        <v xml:space="preserve"> </v>
      </c>
      <c r="I3022" s="145"/>
      <c r="J3022" s="163" t="s">
        <v>191</v>
      </c>
      <c r="K3022" s="219"/>
      <c r="L3022" s="219">
        <v>147953</v>
      </c>
    </row>
    <row r="3023" spans="1:14" x14ac:dyDescent="0.2">
      <c r="A3023" s="168">
        <v>2021</v>
      </c>
      <c r="B3023" s="168">
        <v>5</v>
      </c>
      <c r="C3023" s="168">
        <v>19</v>
      </c>
      <c r="D3023" s="141">
        <f t="shared" si="102"/>
        <v>44335</v>
      </c>
      <c r="E3023" s="275">
        <f t="shared" ref="E3023:E3086" si="103">DATE(A3023,B3023,C3023)</f>
        <v>44335</v>
      </c>
      <c r="F3023" s="479" t="s">
        <v>708</v>
      </c>
      <c r="G3023" s="220" t="s">
        <v>74</v>
      </c>
      <c r="H3023" s="142" t="str" cm="1">
        <f t="array" ref="H3023">IFERROR(INDEX(INVESTOR_LIST[INVESTOR NAME],MATCH(I3023,INVESTOR_LIST[INVESTOR CODE],0),)," ")</f>
        <v xml:space="preserve"> </v>
      </c>
      <c r="I3023" s="142"/>
      <c r="J3023" s="168" t="s">
        <v>184</v>
      </c>
      <c r="K3023" s="226">
        <v>400000</v>
      </c>
      <c r="L3023" s="226"/>
    </row>
    <row r="3024" spans="1:14" x14ac:dyDescent="0.2">
      <c r="A3024" s="133">
        <v>2021</v>
      </c>
      <c r="B3024" s="133">
        <v>5</v>
      </c>
      <c r="C3024" s="133">
        <v>19</v>
      </c>
      <c r="D3024" s="141">
        <f t="shared" si="102"/>
        <v>44335</v>
      </c>
      <c r="E3024" s="275">
        <f t="shared" si="103"/>
        <v>44335</v>
      </c>
      <c r="F3024" s="481"/>
      <c r="G3024" s="174" t="s">
        <v>74</v>
      </c>
      <c r="H3024" s="148" t="str" cm="1">
        <f t="array" ref="H3024">IFERROR(INDEX(INVESTOR_LIST[INVESTOR NAME],MATCH(I3024,INVESTOR_LIST[INVESTOR CODE],0),)," ")</f>
        <v xml:space="preserve"> </v>
      </c>
      <c r="J3024" s="133" t="s">
        <v>61</v>
      </c>
      <c r="K3024" s="218">
        <v>115</v>
      </c>
      <c r="L3024" s="218"/>
    </row>
    <row r="3025" spans="1:14" x14ac:dyDescent="0.2">
      <c r="A3025" s="163">
        <v>2021</v>
      </c>
      <c r="B3025" s="163">
        <v>5</v>
      </c>
      <c r="C3025" s="163">
        <v>19</v>
      </c>
      <c r="D3025" s="141">
        <f t="shared" si="102"/>
        <v>44335</v>
      </c>
      <c r="E3025" s="275">
        <f t="shared" si="103"/>
        <v>44335</v>
      </c>
      <c r="F3025" s="480"/>
      <c r="G3025" s="221" t="s">
        <v>74</v>
      </c>
      <c r="H3025" s="145" t="str" cm="1">
        <f t="array" ref="H3025">IFERROR(INDEX(INVESTOR_LIST[INVESTOR NAME],MATCH(I3025,INVESTOR_LIST[INVESTOR CODE],0),)," ")</f>
        <v xml:space="preserve"> </v>
      </c>
      <c r="I3025" s="145"/>
      <c r="J3025" s="163" t="s">
        <v>52</v>
      </c>
      <c r="K3025" s="219"/>
      <c r="L3025" s="219">
        <v>400115</v>
      </c>
    </row>
    <row r="3026" spans="1:14" x14ac:dyDescent="0.2">
      <c r="A3026" s="168">
        <v>2021</v>
      </c>
      <c r="B3026" s="168">
        <v>5</v>
      </c>
      <c r="C3026" s="168">
        <v>19</v>
      </c>
      <c r="D3026" s="141">
        <f t="shared" si="102"/>
        <v>44335</v>
      </c>
      <c r="E3026" s="275">
        <f t="shared" si="103"/>
        <v>44335</v>
      </c>
      <c r="F3026" s="494" t="s">
        <v>544</v>
      </c>
      <c r="G3026" s="220" t="s">
        <v>74</v>
      </c>
      <c r="H3026" s="142" t="str" cm="1">
        <f t="array" ref="H3026">IFERROR(INDEX(INVESTOR_LIST[INVESTOR NAME],MATCH(I3026,INVESTOR_LIST[INVESTOR CODE],0),)," ")</f>
        <v xml:space="preserve"> </v>
      </c>
      <c r="I3026" s="142"/>
      <c r="J3026" s="168" t="s">
        <v>52</v>
      </c>
      <c r="K3026" s="226">
        <v>536980.21</v>
      </c>
      <c r="L3026" s="226"/>
    </row>
    <row r="3027" spans="1:14" x14ac:dyDescent="0.2">
      <c r="A3027" s="163">
        <v>2021</v>
      </c>
      <c r="B3027" s="163">
        <v>5</v>
      </c>
      <c r="C3027" s="163">
        <v>19</v>
      </c>
      <c r="D3027" s="141">
        <f t="shared" si="102"/>
        <v>44335</v>
      </c>
      <c r="E3027" s="275">
        <f t="shared" si="103"/>
        <v>44335</v>
      </c>
      <c r="F3027" s="495"/>
      <c r="G3027" s="221" t="s">
        <v>74</v>
      </c>
      <c r="H3027" s="145" t="str" cm="1">
        <f t="array" ref="H3027">IFERROR(INDEX(INVESTOR_LIST[INVESTOR NAME],MATCH(I3027,INVESTOR_LIST[INVESTOR CODE],0),)," ")</f>
        <v xml:space="preserve"> </v>
      </c>
      <c r="I3027" s="145"/>
      <c r="J3027" s="163" t="s">
        <v>190</v>
      </c>
      <c r="K3027" s="219"/>
      <c r="L3027" s="219">
        <v>536980.21</v>
      </c>
    </row>
    <row r="3028" spans="1:14" ht="11.25" customHeight="1" x14ac:dyDescent="0.2">
      <c r="A3028" s="168">
        <v>2021</v>
      </c>
      <c r="B3028" s="168">
        <v>5</v>
      </c>
      <c r="C3028" s="168">
        <v>20</v>
      </c>
      <c r="D3028" s="141">
        <f t="shared" si="102"/>
        <v>44336</v>
      </c>
      <c r="E3028" s="275">
        <f t="shared" si="103"/>
        <v>44336</v>
      </c>
      <c r="F3028" s="479" t="s">
        <v>964</v>
      </c>
      <c r="G3028" s="220" t="s">
        <v>74</v>
      </c>
      <c r="H3028" s="142" t="str" cm="1">
        <f t="array" ref="H3028">IFERROR(INDEX(INVESTOR_LIST[INVESTOR NAME],MATCH(I3028,INVESTOR_LIST[INVESTOR CODE],0),)," ")</f>
        <v>MD. ZAHIR UDDIN</v>
      </c>
      <c r="I3028" s="142" t="s">
        <v>705</v>
      </c>
      <c r="J3028" s="168" t="s">
        <v>52</v>
      </c>
      <c r="K3028" s="226">
        <v>13270</v>
      </c>
      <c r="L3028" s="226"/>
    </row>
    <row r="3029" spans="1:14" ht="33.75" x14ac:dyDescent="0.2">
      <c r="A3029" s="133">
        <v>2021</v>
      </c>
      <c r="B3029" s="133">
        <v>5</v>
      </c>
      <c r="C3029" s="133">
        <v>20</v>
      </c>
      <c r="D3029" s="141">
        <f t="shared" si="102"/>
        <v>44336</v>
      </c>
      <c r="E3029" s="275">
        <f t="shared" si="103"/>
        <v>44336</v>
      </c>
      <c r="F3029" s="481"/>
      <c r="G3029" s="174" t="s">
        <v>74</v>
      </c>
      <c r="H3029" s="148" t="str" cm="1">
        <f t="array" ref="H3029">IFERROR(INDEX(INVESTOR_LIST[INVESTOR NAME],MATCH(I3029,INVESTOR_LIST[INVESTOR CODE],0),)," ")</f>
        <v>MD. ZAHIR UDDIN</v>
      </c>
      <c r="I3029" s="148" t="s">
        <v>705</v>
      </c>
      <c r="J3029" s="133" t="s">
        <v>13</v>
      </c>
      <c r="K3029" s="218"/>
      <c r="L3029" s="218">
        <v>10000</v>
      </c>
    </row>
    <row r="3030" spans="1:14" ht="33.75" x14ac:dyDescent="0.2">
      <c r="A3030" s="163">
        <v>2021</v>
      </c>
      <c r="B3030" s="163">
        <v>5</v>
      </c>
      <c r="C3030" s="163">
        <v>20</v>
      </c>
      <c r="D3030" s="141">
        <f t="shared" si="102"/>
        <v>44336</v>
      </c>
      <c r="E3030" s="275">
        <f t="shared" si="103"/>
        <v>44336</v>
      </c>
      <c r="F3030" s="480"/>
      <c r="G3030" s="221" t="s">
        <v>74</v>
      </c>
      <c r="H3030" s="145" t="str" cm="1">
        <f t="array" ref="H3030">IFERROR(INDEX(INVESTOR_LIST[INVESTOR NAME],MATCH(I3030,INVESTOR_LIST[INVESTOR CODE],0),)," ")</f>
        <v>MD. ZAHIR UDDIN</v>
      </c>
      <c r="I3030" s="145" t="s">
        <v>705</v>
      </c>
      <c r="J3030" s="163" t="s">
        <v>53</v>
      </c>
      <c r="K3030" s="219"/>
      <c r="L3030" s="219">
        <v>3270</v>
      </c>
      <c r="N3030" s="156">
        <f>K3037/13.27</f>
        <v>97965.33534287868</v>
      </c>
    </row>
    <row r="3031" spans="1:14" ht="11.25" customHeight="1" x14ac:dyDescent="0.2">
      <c r="A3031" s="168">
        <v>2021</v>
      </c>
      <c r="B3031" s="168">
        <v>5</v>
      </c>
      <c r="C3031" s="168">
        <v>20</v>
      </c>
      <c r="D3031" s="141">
        <f t="shared" si="102"/>
        <v>44336</v>
      </c>
      <c r="E3031" s="275">
        <f t="shared" si="103"/>
        <v>44336</v>
      </c>
      <c r="F3031" s="479" t="s">
        <v>964</v>
      </c>
      <c r="G3031" s="220" t="s">
        <v>74</v>
      </c>
      <c r="H3031" s="142" t="str" cm="1">
        <f t="array" ref="H3031">IFERROR(INDEX(INVESTOR_LIST[INVESTOR NAME],MATCH(I3031,INVESTOR_LIST[INVESTOR CODE],0),)," ")</f>
        <v>MD. FERDAUS WAHID</v>
      </c>
      <c r="I3031" s="142" t="s">
        <v>706</v>
      </c>
      <c r="J3031" s="168" t="s">
        <v>52</v>
      </c>
      <c r="K3031" s="226">
        <v>13270</v>
      </c>
      <c r="L3031" s="226"/>
    </row>
    <row r="3032" spans="1:14" ht="33.75" x14ac:dyDescent="0.2">
      <c r="A3032" s="133">
        <v>2021</v>
      </c>
      <c r="B3032" s="133">
        <v>5</v>
      </c>
      <c r="C3032" s="133">
        <v>20</v>
      </c>
      <c r="D3032" s="141">
        <f t="shared" si="102"/>
        <v>44336</v>
      </c>
      <c r="E3032" s="275">
        <f t="shared" si="103"/>
        <v>44336</v>
      </c>
      <c r="F3032" s="481"/>
      <c r="G3032" s="174" t="s">
        <v>74</v>
      </c>
      <c r="H3032" s="148" t="str" cm="1">
        <f t="array" ref="H3032">IFERROR(INDEX(INVESTOR_LIST[INVESTOR NAME],MATCH(I3032,INVESTOR_LIST[INVESTOR CODE],0),)," ")</f>
        <v>MD. FERDAUS WAHID</v>
      </c>
      <c r="I3032" s="148" t="s">
        <v>706</v>
      </c>
      <c r="J3032" s="133" t="s">
        <v>13</v>
      </c>
      <c r="K3032" s="218"/>
      <c r="L3032" s="218">
        <v>10000</v>
      </c>
    </row>
    <row r="3033" spans="1:14" ht="33.75" x14ac:dyDescent="0.2">
      <c r="A3033" s="163">
        <v>2021</v>
      </c>
      <c r="B3033" s="163">
        <v>5</v>
      </c>
      <c r="C3033" s="163">
        <v>20</v>
      </c>
      <c r="D3033" s="141">
        <f t="shared" si="102"/>
        <v>44336</v>
      </c>
      <c r="E3033" s="275">
        <f t="shared" si="103"/>
        <v>44336</v>
      </c>
      <c r="F3033" s="480"/>
      <c r="G3033" s="221" t="s">
        <v>74</v>
      </c>
      <c r="H3033" s="145" t="str" cm="1">
        <f t="array" ref="H3033">IFERROR(INDEX(INVESTOR_LIST[INVESTOR NAME],MATCH(I3033,INVESTOR_LIST[INVESTOR CODE],0),)," ")</f>
        <v>MD. FERDAUS WAHID</v>
      </c>
      <c r="I3033" s="145" t="s">
        <v>706</v>
      </c>
      <c r="J3033" s="163" t="s">
        <v>53</v>
      </c>
      <c r="K3033" s="219"/>
      <c r="L3033" s="219">
        <v>3270</v>
      </c>
      <c r="N3033" s="156">
        <f>K3037/13</f>
        <v>100000</v>
      </c>
    </row>
    <row r="3034" spans="1:14" ht="11.25" customHeight="1" x14ac:dyDescent="0.2">
      <c r="A3034" s="168">
        <v>2021</v>
      </c>
      <c r="B3034" s="168">
        <v>5</v>
      </c>
      <c r="C3034" s="168">
        <v>20</v>
      </c>
      <c r="D3034" s="141">
        <f t="shared" si="102"/>
        <v>44336</v>
      </c>
      <c r="E3034" s="275">
        <f t="shared" si="103"/>
        <v>44336</v>
      </c>
      <c r="F3034" s="479" t="s">
        <v>965</v>
      </c>
      <c r="G3034" s="220" t="s">
        <v>74</v>
      </c>
      <c r="H3034" s="142" t="str" cm="1">
        <f t="array" ref="H3034">IFERROR(INDEX(INVESTOR_LIST[INVESTOR NAME],MATCH(I3034,INVESTOR_LIST[INVESTOR CODE],0),)," ")</f>
        <v>IFTEKHAR ALAM</v>
      </c>
      <c r="I3034" s="142" t="s">
        <v>452</v>
      </c>
      <c r="J3034" s="168" t="s">
        <v>13</v>
      </c>
      <c r="K3034" s="226">
        <v>63760</v>
      </c>
      <c r="L3034" s="226"/>
    </row>
    <row r="3035" spans="1:14" ht="22.5" x14ac:dyDescent="0.2">
      <c r="A3035" s="133">
        <v>2021</v>
      </c>
      <c r="B3035" s="133">
        <v>5</v>
      </c>
      <c r="C3035" s="133">
        <v>20</v>
      </c>
      <c r="D3035" s="141">
        <f t="shared" si="102"/>
        <v>44336</v>
      </c>
      <c r="E3035" s="275">
        <f t="shared" si="103"/>
        <v>44336</v>
      </c>
      <c r="F3035" s="481"/>
      <c r="G3035" s="174" t="s">
        <v>74</v>
      </c>
      <c r="H3035" s="148" t="str" cm="1">
        <f t="array" ref="H3035">IFERROR(INDEX(INVESTOR_LIST[INVESTOR NAME],MATCH(I3035,INVESTOR_LIST[INVESTOR CODE],0),)," ")</f>
        <v>IFTEKHAR ALAM</v>
      </c>
      <c r="I3035" s="148" t="s">
        <v>452</v>
      </c>
      <c r="J3035" s="133" t="s">
        <v>53</v>
      </c>
      <c r="K3035" s="218">
        <v>20849.52</v>
      </c>
      <c r="L3035" s="218"/>
    </row>
    <row r="3036" spans="1:14" ht="22.5" x14ac:dyDescent="0.2">
      <c r="A3036" s="163">
        <v>2021</v>
      </c>
      <c r="B3036" s="163">
        <v>5</v>
      </c>
      <c r="C3036" s="163">
        <v>20</v>
      </c>
      <c r="D3036" s="141">
        <f t="shared" si="102"/>
        <v>44336</v>
      </c>
      <c r="E3036" s="275">
        <f t="shared" si="103"/>
        <v>44336</v>
      </c>
      <c r="F3036" s="480"/>
      <c r="G3036" s="221" t="s">
        <v>74</v>
      </c>
      <c r="H3036" s="145" t="str" cm="1">
        <f t="array" ref="H3036">IFERROR(INDEX(INVESTOR_LIST[INVESTOR NAME],MATCH(I3036,INVESTOR_LIST[INVESTOR CODE],0),)," ")</f>
        <v>IFTEKHAR ALAM</v>
      </c>
      <c r="I3036" s="145" t="s">
        <v>452</v>
      </c>
      <c r="J3036" s="163" t="s">
        <v>52</v>
      </c>
      <c r="K3036" s="219"/>
      <c r="L3036" s="219">
        <v>84609.52</v>
      </c>
    </row>
    <row r="3037" spans="1:14" ht="11.25" customHeight="1" x14ac:dyDescent="0.2">
      <c r="A3037" s="168">
        <v>2021</v>
      </c>
      <c r="B3037" s="168">
        <v>5</v>
      </c>
      <c r="C3037" s="168">
        <v>20</v>
      </c>
      <c r="D3037" s="141">
        <f t="shared" si="102"/>
        <v>44336</v>
      </c>
      <c r="E3037" s="275">
        <f t="shared" si="103"/>
        <v>44336</v>
      </c>
      <c r="F3037" s="479" t="s">
        <v>964</v>
      </c>
      <c r="G3037" s="220" t="s">
        <v>74</v>
      </c>
      <c r="H3037" s="142" t="str" cm="1">
        <f t="array" ref="H3037">IFERROR(INDEX(INVESTOR_LIST[INVESTOR NAME],MATCH(I3037,INVESTOR_LIST[INVESTOR CODE],0),)," ")</f>
        <v>MOHAMMAD HABIB RASHID</v>
      </c>
      <c r="I3037" s="142" t="s">
        <v>550</v>
      </c>
      <c r="J3037" s="168" t="s">
        <v>52</v>
      </c>
      <c r="K3037" s="226">
        <v>1300000</v>
      </c>
      <c r="L3037" s="226"/>
    </row>
    <row r="3038" spans="1:14" ht="45" x14ac:dyDescent="0.2">
      <c r="A3038" s="133">
        <v>2021</v>
      </c>
      <c r="B3038" s="133">
        <v>5</v>
      </c>
      <c r="C3038" s="133">
        <v>20</v>
      </c>
      <c r="D3038" s="141">
        <f t="shared" si="102"/>
        <v>44336</v>
      </c>
      <c r="E3038" s="275">
        <f t="shared" si="103"/>
        <v>44336</v>
      </c>
      <c r="F3038" s="481"/>
      <c r="G3038" s="174" t="s">
        <v>74</v>
      </c>
      <c r="H3038" s="148" t="str" cm="1">
        <f t="array" ref="H3038">IFERROR(INDEX(INVESTOR_LIST[INVESTOR NAME],MATCH(I3038,INVESTOR_LIST[INVESTOR CODE],0),)," ")</f>
        <v>MOHAMMAD HABIB RASHID</v>
      </c>
      <c r="I3038" s="148" t="s">
        <v>550</v>
      </c>
      <c r="J3038" s="133" t="s">
        <v>13</v>
      </c>
      <c r="K3038" s="218"/>
      <c r="L3038" s="218">
        <v>1000000</v>
      </c>
    </row>
    <row r="3039" spans="1:14" ht="45" x14ac:dyDescent="0.2">
      <c r="A3039" s="163">
        <v>2021</v>
      </c>
      <c r="B3039" s="163">
        <v>5</v>
      </c>
      <c r="C3039" s="163">
        <v>20</v>
      </c>
      <c r="D3039" s="141">
        <f t="shared" si="102"/>
        <v>44336</v>
      </c>
      <c r="E3039" s="275">
        <f t="shared" si="103"/>
        <v>44336</v>
      </c>
      <c r="F3039" s="480"/>
      <c r="G3039" s="221" t="s">
        <v>74</v>
      </c>
      <c r="H3039" s="145" t="str" cm="1">
        <f t="array" ref="H3039">IFERROR(INDEX(INVESTOR_LIST[INVESTOR NAME],MATCH(I3039,INVESTOR_LIST[INVESTOR CODE],0),)," ")</f>
        <v>MOHAMMAD HABIB RASHID</v>
      </c>
      <c r="I3039" s="145" t="s">
        <v>550</v>
      </c>
      <c r="J3039" s="163" t="s">
        <v>53</v>
      </c>
      <c r="K3039" s="219"/>
      <c r="L3039" s="219">
        <v>300000</v>
      </c>
    </row>
    <row r="3040" spans="1:14" x14ac:dyDescent="0.2">
      <c r="A3040" s="168">
        <v>2021</v>
      </c>
      <c r="B3040" s="168">
        <v>5</v>
      </c>
      <c r="C3040" s="168">
        <v>20</v>
      </c>
      <c r="D3040" s="141">
        <f t="shared" si="102"/>
        <v>44336</v>
      </c>
      <c r="E3040" s="275">
        <f t="shared" si="103"/>
        <v>44336</v>
      </c>
      <c r="F3040" s="493" t="s">
        <v>709</v>
      </c>
      <c r="G3040" s="220" t="s">
        <v>74</v>
      </c>
      <c r="H3040" s="220" t="str" cm="1">
        <f t="array" ref="H3040">IFERROR(INDEX(INVESTOR_LIST[INVESTOR NAME],MATCH(I3040,INVESTOR_LIST[INVESTOR CODE],0),)," ")</f>
        <v xml:space="preserve"> </v>
      </c>
      <c r="I3040" s="142"/>
      <c r="J3040" s="143" t="s">
        <v>163</v>
      </c>
      <c r="K3040" s="226">
        <v>6524.36</v>
      </c>
      <c r="L3040" s="226"/>
    </row>
    <row r="3041" spans="1:12" x14ac:dyDescent="0.2">
      <c r="A3041" s="163">
        <v>2021</v>
      </c>
      <c r="B3041" s="163">
        <v>5</v>
      </c>
      <c r="C3041" s="163">
        <v>20</v>
      </c>
      <c r="D3041" s="141">
        <f t="shared" si="102"/>
        <v>44336</v>
      </c>
      <c r="E3041" s="275">
        <f t="shared" si="103"/>
        <v>44336</v>
      </c>
      <c r="F3041" s="480"/>
      <c r="G3041" s="221" t="s">
        <v>74</v>
      </c>
      <c r="H3041" s="221" t="str" cm="1">
        <f t="array" ref="H3041">IFERROR(INDEX(INVESTOR_LIST[INVESTOR NAME],MATCH(I3041,INVESTOR_LIST[INVESTOR CODE],0),)," ")</f>
        <v xml:space="preserve"> </v>
      </c>
      <c r="I3041" s="145"/>
      <c r="J3041" s="146" t="s">
        <v>52</v>
      </c>
      <c r="K3041" s="219"/>
      <c r="L3041" s="219">
        <v>6524.36</v>
      </c>
    </row>
    <row r="3042" spans="1:12" x14ac:dyDescent="0.2">
      <c r="A3042" s="168">
        <v>2021</v>
      </c>
      <c r="B3042" s="168">
        <v>5</v>
      </c>
      <c r="C3042" s="168">
        <v>20</v>
      </c>
      <c r="D3042" s="141">
        <f t="shared" si="102"/>
        <v>44336</v>
      </c>
      <c r="E3042" s="275">
        <f t="shared" si="103"/>
        <v>44336</v>
      </c>
      <c r="F3042" s="494" t="s">
        <v>544</v>
      </c>
      <c r="G3042" s="220" t="s">
        <v>74</v>
      </c>
      <c r="H3042" s="142" t="str" cm="1">
        <f t="array" ref="H3042">IFERROR(INDEX(INVESTOR_LIST[INVESTOR NAME],MATCH(I3042,INVESTOR_LIST[INVESTOR CODE],0),)," ")</f>
        <v xml:space="preserve"> </v>
      </c>
      <c r="I3042" s="142"/>
      <c r="J3042" s="168" t="s">
        <v>52</v>
      </c>
      <c r="K3042" s="226">
        <v>3974918.23</v>
      </c>
      <c r="L3042" s="226"/>
    </row>
    <row r="3043" spans="1:12" x14ac:dyDescent="0.2">
      <c r="A3043" s="163">
        <v>2021</v>
      </c>
      <c r="B3043" s="163">
        <v>5</v>
      </c>
      <c r="C3043" s="163">
        <v>20</v>
      </c>
      <c r="D3043" s="141">
        <f t="shared" si="102"/>
        <v>44336</v>
      </c>
      <c r="E3043" s="275">
        <f t="shared" si="103"/>
        <v>44336</v>
      </c>
      <c r="F3043" s="495"/>
      <c r="G3043" s="221" t="s">
        <v>74</v>
      </c>
      <c r="H3043" s="145" t="str" cm="1">
        <f t="array" ref="H3043">IFERROR(INDEX(INVESTOR_LIST[INVESTOR NAME],MATCH(I3043,INVESTOR_LIST[INVESTOR CODE],0),)," ")</f>
        <v xml:space="preserve"> </v>
      </c>
      <c r="I3043" s="145"/>
      <c r="J3043" s="163" t="s">
        <v>190</v>
      </c>
      <c r="K3043" s="219"/>
      <c r="L3043" s="219">
        <v>3974918.23</v>
      </c>
    </row>
    <row r="3044" spans="1:12" x14ac:dyDescent="0.2">
      <c r="A3044" s="168">
        <v>2021</v>
      </c>
      <c r="B3044" s="168">
        <v>5</v>
      </c>
      <c r="C3044" s="168">
        <v>20</v>
      </c>
      <c r="D3044" s="141">
        <f t="shared" si="102"/>
        <v>44336</v>
      </c>
      <c r="E3044" s="275">
        <f t="shared" si="103"/>
        <v>44336</v>
      </c>
      <c r="F3044" s="479" t="s">
        <v>77</v>
      </c>
      <c r="G3044" s="220" t="s">
        <v>74</v>
      </c>
      <c r="H3044" s="220" t="str" cm="1">
        <f t="array" ref="H3044">IFERROR(INDEX(INVESTOR_LIST[INVESTOR NAME],MATCH(I3044,INVESTOR_LIST[INVESTOR CODE],0),)," ")</f>
        <v xml:space="preserve"> </v>
      </c>
      <c r="I3044" s="142" t="s">
        <v>348</v>
      </c>
      <c r="J3044" s="143" t="s">
        <v>61</v>
      </c>
      <c r="K3044" s="226">
        <v>60</v>
      </c>
      <c r="L3044" s="226"/>
    </row>
    <row r="3045" spans="1:12" x14ac:dyDescent="0.2">
      <c r="A3045" s="163">
        <v>2021</v>
      </c>
      <c r="B3045" s="163">
        <v>5</v>
      </c>
      <c r="C3045" s="163">
        <v>20</v>
      </c>
      <c r="D3045" s="141">
        <f t="shared" si="102"/>
        <v>44336</v>
      </c>
      <c r="E3045" s="275">
        <f t="shared" si="103"/>
        <v>44336</v>
      </c>
      <c r="F3045" s="480"/>
      <c r="G3045" s="221" t="s">
        <v>74</v>
      </c>
      <c r="H3045" s="221" t="str" cm="1">
        <f t="array" ref="H3045">IFERROR(INDEX(INVESTOR_LIST[INVESTOR NAME],MATCH(I3045,INVESTOR_LIST[INVESTOR CODE],0),)," ")</f>
        <v xml:space="preserve"> </v>
      </c>
      <c r="I3045" s="145" t="s">
        <v>348</v>
      </c>
      <c r="J3045" s="146" t="s">
        <v>52</v>
      </c>
      <c r="K3045" s="219"/>
      <c r="L3045" s="219">
        <v>60</v>
      </c>
    </row>
    <row r="3046" spans="1:12" x14ac:dyDescent="0.2">
      <c r="A3046" s="168">
        <v>2021</v>
      </c>
      <c r="B3046" s="168">
        <v>5</v>
      </c>
      <c r="C3046" s="168">
        <v>20</v>
      </c>
      <c r="D3046" s="141">
        <f t="shared" si="102"/>
        <v>44336</v>
      </c>
      <c r="E3046" s="275">
        <f t="shared" si="103"/>
        <v>44336</v>
      </c>
      <c r="F3046" s="479" t="s">
        <v>77</v>
      </c>
      <c r="G3046" s="220" t="s">
        <v>74</v>
      </c>
      <c r="H3046" s="220" t="str" cm="1">
        <f t="array" ref="H3046">IFERROR(INDEX(INVESTOR_LIST[INVESTOR NAME],MATCH(I3046,INVESTOR_LIST[INVESTOR CODE],0),)," ")</f>
        <v xml:space="preserve"> </v>
      </c>
      <c r="I3046" s="142" t="s">
        <v>348</v>
      </c>
      <c r="J3046" s="143" t="s">
        <v>61</v>
      </c>
      <c r="K3046" s="226">
        <v>60</v>
      </c>
      <c r="L3046" s="226"/>
    </row>
    <row r="3047" spans="1:12" x14ac:dyDescent="0.2">
      <c r="A3047" s="163">
        <v>2021</v>
      </c>
      <c r="B3047" s="163">
        <v>5</v>
      </c>
      <c r="C3047" s="163">
        <v>20</v>
      </c>
      <c r="D3047" s="141">
        <f t="shared" si="102"/>
        <v>44336</v>
      </c>
      <c r="E3047" s="275">
        <f t="shared" si="103"/>
        <v>44336</v>
      </c>
      <c r="F3047" s="480"/>
      <c r="G3047" s="221" t="s">
        <v>74</v>
      </c>
      <c r="H3047" s="221" t="str" cm="1">
        <f t="array" ref="H3047">IFERROR(INDEX(INVESTOR_LIST[INVESTOR NAME],MATCH(I3047,INVESTOR_LIST[INVESTOR CODE],0),)," ")</f>
        <v xml:space="preserve"> </v>
      </c>
      <c r="I3047" s="145" t="s">
        <v>348</v>
      </c>
      <c r="J3047" s="146" t="s">
        <v>52</v>
      </c>
      <c r="K3047" s="219"/>
      <c r="L3047" s="219">
        <v>60</v>
      </c>
    </row>
    <row r="3048" spans="1:12" x14ac:dyDescent="0.2">
      <c r="A3048" s="238">
        <v>2021</v>
      </c>
      <c r="B3048" s="238">
        <v>5</v>
      </c>
      <c r="C3048" s="238">
        <v>20</v>
      </c>
      <c r="D3048" s="141">
        <f t="shared" si="102"/>
        <v>44336</v>
      </c>
      <c r="E3048" s="275">
        <f t="shared" si="103"/>
        <v>44336</v>
      </c>
      <c r="F3048" s="477" t="s">
        <v>347</v>
      </c>
      <c r="G3048" s="239" t="s">
        <v>94</v>
      </c>
      <c r="H3048" s="239" t="str" cm="1">
        <f t="array" ref="H3048">IFERROR(INDEX(INVESTOR_LIST[INVESTOR NAME],MATCH(I3048,INVESTOR_LIST[INVESTOR CODE],0),)," ")</f>
        <v xml:space="preserve"> </v>
      </c>
      <c r="I3048" s="262" t="s">
        <v>348</v>
      </c>
      <c r="J3048" s="240" t="s">
        <v>83</v>
      </c>
      <c r="K3048" s="241">
        <v>2756282.8454107642</v>
      </c>
      <c r="L3048" s="241"/>
    </row>
    <row r="3049" spans="1:12" x14ac:dyDescent="0.2">
      <c r="A3049" s="242">
        <v>2021</v>
      </c>
      <c r="B3049" s="242">
        <v>5</v>
      </c>
      <c r="C3049" s="242">
        <v>20</v>
      </c>
      <c r="D3049" s="141">
        <f t="shared" si="102"/>
        <v>44336</v>
      </c>
      <c r="E3049" s="275">
        <f t="shared" si="103"/>
        <v>44336</v>
      </c>
      <c r="F3049" s="478"/>
      <c r="G3049" s="243" t="s">
        <v>94</v>
      </c>
      <c r="H3049" s="243" t="str" cm="1">
        <f t="array" ref="H3049">IFERROR(INDEX(INVESTOR_LIST[INVESTOR NAME],MATCH(I3049,INVESTOR_LIST[INVESTOR CODE],0),)," ")</f>
        <v xml:space="preserve"> </v>
      </c>
      <c r="I3049" s="263" t="s">
        <v>348</v>
      </c>
      <c r="J3049" s="244" t="s">
        <v>108</v>
      </c>
      <c r="K3049" s="245"/>
      <c r="L3049" s="245">
        <v>2756282.8454107642</v>
      </c>
    </row>
    <row r="3050" spans="1:12" ht="22.5" x14ac:dyDescent="0.2">
      <c r="A3050" s="246">
        <v>2021</v>
      </c>
      <c r="B3050" s="246">
        <v>5</v>
      </c>
      <c r="C3050" s="246">
        <v>20</v>
      </c>
      <c r="D3050" s="141">
        <f t="shared" si="102"/>
        <v>44336</v>
      </c>
      <c r="E3050" s="275">
        <f t="shared" si="103"/>
        <v>44336</v>
      </c>
      <c r="F3050" s="482" t="s">
        <v>148</v>
      </c>
      <c r="G3050" s="247" t="s">
        <v>94</v>
      </c>
      <c r="H3050" s="247" t="str" cm="1">
        <f t="array" ref="H3050">IFERROR(INDEX(INVESTOR_LIST[INVESTOR NAME],MATCH(I3050,INVESTOR_LIST[INVESTOR CODE],0),)," ")</f>
        <v xml:space="preserve"> </v>
      </c>
      <c r="I3050" s="248" t="s">
        <v>348</v>
      </c>
      <c r="J3050" s="249" t="s">
        <v>95</v>
      </c>
      <c r="K3050" s="250">
        <v>2747.2527472527472</v>
      </c>
      <c r="L3050" s="241"/>
    </row>
    <row r="3051" spans="1:12" x14ac:dyDescent="0.2">
      <c r="A3051" s="242">
        <v>2021</v>
      </c>
      <c r="B3051" s="242">
        <v>5</v>
      </c>
      <c r="C3051" s="242">
        <v>20</v>
      </c>
      <c r="D3051" s="141">
        <f t="shared" si="102"/>
        <v>44336</v>
      </c>
      <c r="E3051" s="275">
        <f t="shared" si="103"/>
        <v>44336</v>
      </c>
      <c r="F3051" s="478"/>
      <c r="G3051" s="243" t="s">
        <v>94</v>
      </c>
      <c r="H3051" s="243" t="str" cm="1">
        <f t="array" ref="H3051">IFERROR(INDEX(INVESTOR_LIST[INVESTOR NAME],MATCH(I3051,INVESTOR_LIST[INVESTOR CODE],0),)," ")</f>
        <v xml:space="preserve"> </v>
      </c>
      <c r="I3051" s="263" t="s">
        <v>348</v>
      </c>
      <c r="J3051" s="244" t="s">
        <v>63</v>
      </c>
      <c r="K3051" s="245"/>
      <c r="L3051" s="245">
        <v>2747.2527472527472</v>
      </c>
    </row>
    <row r="3052" spans="1:12" x14ac:dyDescent="0.2">
      <c r="A3052" s="246">
        <v>2021</v>
      </c>
      <c r="B3052" s="246">
        <v>5</v>
      </c>
      <c r="C3052" s="246">
        <v>20</v>
      </c>
      <c r="D3052" s="141">
        <f t="shared" si="102"/>
        <v>44336</v>
      </c>
      <c r="E3052" s="275">
        <f t="shared" si="103"/>
        <v>44336</v>
      </c>
      <c r="F3052" s="482" t="s">
        <v>137</v>
      </c>
      <c r="G3052" s="247" t="s">
        <v>94</v>
      </c>
      <c r="H3052" s="247" t="str" cm="1">
        <f t="array" ref="H3052">IFERROR(INDEX(INVESTOR_LIST[INVESTOR NAME],MATCH(I3052,INVESTOR_LIST[INVESTOR CODE],0),)," ")</f>
        <v xml:space="preserve"> </v>
      </c>
      <c r="I3052" s="248" t="s">
        <v>348</v>
      </c>
      <c r="J3052" s="249" t="s">
        <v>97</v>
      </c>
      <c r="K3052" s="250">
        <v>95828.202751872988</v>
      </c>
      <c r="L3052" s="252"/>
    </row>
    <row r="3053" spans="1:12" x14ac:dyDescent="0.2">
      <c r="A3053" s="242">
        <v>2021</v>
      </c>
      <c r="B3053" s="242">
        <v>5</v>
      </c>
      <c r="C3053" s="242">
        <v>20</v>
      </c>
      <c r="D3053" s="141">
        <f t="shared" si="102"/>
        <v>44336</v>
      </c>
      <c r="E3053" s="275">
        <f t="shared" si="103"/>
        <v>44336</v>
      </c>
      <c r="F3053" s="478"/>
      <c r="G3053" s="243" t="s">
        <v>94</v>
      </c>
      <c r="H3053" s="243" t="str" cm="1">
        <f t="array" ref="H3053">IFERROR(INDEX(INVESTOR_LIST[INVESTOR NAME],MATCH(I3053,INVESTOR_LIST[INVESTOR CODE],0),)," ")</f>
        <v xml:space="preserve"> </v>
      </c>
      <c r="I3053" s="263" t="s">
        <v>348</v>
      </c>
      <c r="J3053" s="244" t="s">
        <v>47</v>
      </c>
      <c r="K3053" s="245"/>
      <c r="L3053" s="245">
        <v>95828.202751872988</v>
      </c>
    </row>
    <row r="3054" spans="1:12" x14ac:dyDescent="0.2">
      <c r="A3054" s="246">
        <v>2021</v>
      </c>
      <c r="B3054" s="246">
        <v>5</v>
      </c>
      <c r="C3054" s="246">
        <v>20</v>
      </c>
      <c r="D3054" s="141">
        <f t="shared" si="102"/>
        <v>44336</v>
      </c>
      <c r="E3054" s="275">
        <f t="shared" si="103"/>
        <v>44336</v>
      </c>
      <c r="F3054" s="482" t="s">
        <v>138</v>
      </c>
      <c r="G3054" s="247" t="s">
        <v>94</v>
      </c>
      <c r="H3054" s="247" t="str" cm="1">
        <f t="array" ref="H3054">IFERROR(INDEX(INVESTOR_LIST[INVESTOR NAME],MATCH(I3054,INVESTOR_LIST[INVESTOR CODE],0),)," ")</f>
        <v xml:space="preserve"> </v>
      </c>
      <c r="I3054" s="248" t="s">
        <v>348</v>
      </c>
      <c r="J3054" s="249" t="s">
        <v>100</v>
      </c>
      <c r="K3054" s="250">
        <v>4551.0255222090336</v>
      </c>
      <c r="L3054" s="252"/>
    </row>
    <row r="3055" spans="1:12" x14ac:dyDescent="0.2">
      <c r="A3055" s="242">
        <v>2021</v>
      </c>
      <c r="B3055" s="242">
        <v>5</v>
      </c>
      <c r="C3055" s="242">
        <v>20</v>
      </c>
      <c r="D3055" s="141">
        <f t="shared" si="102"/>
        <v>44336</v>
      </c>
      <c r="E3055" s="275">
        <f t="shared" si="103"/>
        <v>44336</v>
      </c>
      <c r="F3055" s="478"/>
      <c r="G3055" s="243" t="s">
        <v>94</v>
      </c>
      <c r="H3055" s="243" t="str" cm="1">
        <f t="array" ref="H3055">IFERROR(INDEX(INVESTOR_LIST[INVESTOR NAME],MATCH(I3055,INVESTOR_LIST[INVESTOR CODE],0),)," ")</f>
        <v xml:space="preserve"> </v>
      </c>
      <c r="I3055" s="263" t="s">
        <v>348</v>
      </c>
      <c r="J3055" s="244" t="s">
        <v>48</v>
      </c>
      <c r="K3055" s="245"/>
      <c r="L3055" s="245">
        <v>4551.0255222090336</v>
      </c>
    </row>
    <row r="3056" spans="1:12" x14ac:dyDescent="0.2">
      <c r="A3056" s="168">
        <v>2021</v>
      </c>
      <c r="B3056" s="168">
        <v>5</v>
      </c>
      <c r="C3056" s="168">
        <v>23</v>
      </c>
      <c r="D3056" s="141">
        <f t="shared" si="102"/>
        <v>44339</v>
      </c>
      <c r="E3056" s="275">
        <f t="shared" si="103"/>
        <v>44339</v>
      </c>
      <c r="F3056" s="479" t="s">
        <v>710</v>
      </c>
      <c r="G3056" s="220" t="s">
        <v>74</v>
      </c>
      <c r="H3056" s="220" t="str" cm="1">
        <f t="array" ref="H3056">IFERROR(INDEX(INVESTOR_LIST[INVESTOR NAME],MATCH(I3056,INVESTOR_LIST[INVESTOR CODE],0),)," ")</f>
        <v xml:space="preserve"> </v>
      </c>
      <c r="I3056" s="142"/>
      <c r="J3056" s="143" t="s">
        <v>52</v>
      </c>
      <c r="K3056" s="226">
        <v>217565.5</v>
      </c>
      <c r="L3056" s="226"/>
    </row>
    <row r="3057" spans="1:14" x14ac:dyDescent="0.2">
      <c r="A3057" s="163">
        <v>2021</v>
      </c>
      <c r="B3057" s="163">
        <v>5</v>
      </c>
      <c r="C3057" s="163">
        <v>23</v>
      </c>
      <c r="D3057" s="141">
        <f t="shared" si="102"/>
        <v>44339</v>
      </c>
      <c r="E3057" s="275">
        <f t="shared" si="103"/>
        <v>44339</v>
      </c>
      <c r="F3057" s="480"/>
      <c r="G3057" s="221" t="s">
        <v>74</v>
      </c>
      <c r="H3057" s="221" t="str" cm="1">
        <f t="array" ref="H3057">IFERROR(INDEX(INVESTOR_LIST[INVESTOR NAME],MATCH(I3057,INVESTOR_LIST[INVESTOR CODE],0),)," ")</f>
        <v xml:space="preserve"> </v>
      </c>
      <c r="I3057" s="145"/>
      <c r="J3057" s="146" t="s">
        <v>168</v>
      </c>
      <c r="K3057" s="219"/>
      <c r="L3057" s="219">
        <v>217565.5</v>
      </c>
    </row>
    <row r="3058" spans="1:14" ht="11.25" customHeight="1" x14ac:dyDescent="0.2">
      <c r="A3058" s="168">
        <v>2021</v>
      </c>
      <c r="B3058" s="168">
        <v>5</v>
      </c>
      <c r="C3058" s="168">
        <v>23</v>
      </c>
      <c r="D3058" s="141">
        <f t="shared" si="102"/>
        <v>44339</v>
      </c>
      <c r="E3058" s="275">
        <f t="shared" si="103"/>
        <v>44339</v>
      </c>
      <c r="F3058" s="479" t="s">
        <v>964</v>
      </c>
      <c r="G3058" s="220" t="s">
        <v>74</v>
      </c>
      <c r="H3058" s="142" t="str" cm="1">
        <f t="array" ref="H3058">IFERROR(INDEX(INVESTOR_LIST[INVESTOR NAME],MATCH(I3058,INVESTOR_LIST[INVESTOR CODE],0),)," ")</f>
        <v>ILINE JAMAL</v>
      </c>
      <c r="I3058" s="142" t="s">
        <v>715</v>
      </c>
      <c r="J3058" s="168" t="s">
        <v>52</v>
      </c>
      <c r="K3058" s="226">
        <v>5000000</v>
      </c>
      <c r="L3058" s="226"/>
    </row>
    <row r="3059" spans="1:14" ht="22.5" x14ac:dyDescent="0.2">
      <c r="A3059" s="133">
        <v>2021</v>
      </c>
      <c r="B3059" s="133">
        <v>5</v>
      </c>
      <c r="C3059" s="133">
        <v>23</v>
      </c>
      <c r="D3059" s="141">
        <f t="shared" si="102"/>
        <v>44339</v>
      </c>
      <c r="E3059" s="275">
        <f t="shared" si="103"/>
        <v>44339</v>
      </c>
      <c r="F3059" s="481"/>
      <c r="G3059" s="174" t="s">
        <v>74</v>
      </c>
      <c r="H3059" s="148" t="str" cm="1">
        <f t="array" ref="H3059">IFERROR(INDEX(INVESTOR_LIST[INVESTOR NAME],MATCH(I3059,INVESTOR_LIST[INVESTOR CODE],0),)," ")</f>
        <v>ILINE JAMAL</v>
      </c>
      <c r="I3059" s="148" t="s">
        <v>715</v>
      </c>
      <c r="J3059" s="133" t="s">
        <v>13</v>
      </c>
      <c r="K3059" s="218"/>
      <c r="L3059" s="218">
        <v>3888020</v>
      </c>
    </row>
    <row r="3060" spans="1:14" ht="22.5" x14ac:dyDescent="0.2">
      <c r="A3060" s="163">
        <v>2021</v>
      </c>
      <c r="B3060" s="163">
        <v>5</v>
      </c>
      <c r="C3060" s="163">
        <v>23</v>
      </c>
      <c r="D3060" s="141">
        <f t="shared" si="102"/>
        <v>44339</v>
      </c>
      <c r="E3060" s="275">
        <f t="shared" si="103"/>
        <v>44339</v>
      </c>
      <c r="F3060" s="480"/>
      <c r="G3060" s="221" t="s">
        <v>74</v>
      </c>
      <c r="H3060" s="145" t="str" cm="1">
        <f t="array" ref="H3060">IFERROR(INDEX(INVESTOR_LIST[INVESTOR NAME],MATCH(I3060,INVESTOR_LIST[INVESTOR CODE],0),)," ")</f>
        <v>ILINE JAMAL</v>
      </c>
      <c r="I3060" s="145" t="s">
        <v>715</v>
      </c>
      <c r="J3060" s="163" t="s">
        <v>53</v>
      </c>
      <c r="K3060" s="219"/>
      <c r="L3060" s="219">
        <v>1111980</v>
      </c>
    </row>
    <row r="3061" spans="1:14" ht="11.25" customHeight="1" x14ac:dyDescent="0.2">
      <c r="A3061" s="168">
        <v>2021</v>
      </c>
      <c r="B3061" s="168">
        <v>5</v>
      </c>
      <c r="C3061" s="168">
        <v>23</v>
      </c>
      <c r="D3061" s="141">
        <f t="shared" si="102"/>
        <v>44339</v>
      </c>
      <c r="E3061" s="275">
        <f t="shared" si="103"/>
        <v>44339</v>
      </c>
      <c r="F3061" s="479" t="s">
        <v>964</v>
      </c>
      <c r="G3061" s="220" t="s">
        <v>74</v>
      </c>
      <c r="H3061" s="142" t="str" cm="1">
        <f t="array" ref="H3061">IFERROR(INDEX(INVESTOR_LIST[INVESTOR NAME],MATCH(I3061,INVESTOR_LIST[INVESTOR CODE],0),)," ")</f>
        <v>FARHANA AKHTER</v>
      </c>
      <c r="I3061" s="142" t="s">
        <v>665</v>
      </c>
      <c r="J3061" s="168" t="s">
        <v>52</v>
      </c>
      <c r="K3061" s="226">
        <v>1560000</v>
      </c>
      <c r="L3061" s="226"/>
    </row>
    <row r="3062" spans="1:14" ht="33.75" x14ac:dyDescent="0.2">
      <c r="A3062" s="133">
        <v>2021</v>
      </c>
      <c r="B3062" s="133">
        <v>5</v>
      </c>
      <c r="C3062" s="133">
        <v>23</v>
      </c>
      <c r="D3062" s="141">
        <f t="shared" si="102"/>
        <v>44339</v>
      </c>
      <c r="E3062" s="275">
        <f t="shared" si="103"/>
        <v>44339</v>
      </c>
      <c r="F3062" s="481"/>
      <c r="G3062" s="174" t="s">
        <v>74</v>
      </c>
      <c r="H3062" s="148" t="str" cm="1">
        <f t="array" ref="H3062">IFERROR(INDEX(INVESTOR_LIST[INVESTOR NAME],MATCH(I3062,INVESTOR_LIST[INVESTOR CODE],0),)," ")</f>
        <v>FARHANA AKHTER</v>
      </c>
      <c r="I3062" s="148" t="s">
        <v>665</v>
      </c>
      <c r="J3062" s="133" t="s">
        <v>13</v>
      </c>
      <c r="K3062" s="218"/>
      <c r="L3062" s="218">
        <v>1200000</v>
      </c>
    </row>
    <row r="3063" spans="1:14" ht="33.75" x14ac:dyDescent="0.2">
      <c r="A3063" s="163">
        <v>2021</v>
      </c>
      <c r="B3063" s="163">
        <v>5</v>
      </c>
      <c r="C3063" s="163">
        <v>23</v>
      </c>
      <c r="D3063" s="141">
        <f t="shared" si="102"/>
        <v>44339</v>
      </c>
      <c r="E3063" s="275">
        <f t="shared" si="103"/>
        <v>44339</v>
      </c>
      <c r="F3063" s="480"/>
      <c r="G3063" s="221" t="s">
        <v>74</v>
      </c>
      <c r="H3063" s="145" t="str" cm="1">
        <f t="array" ref="H3063">IFERROR(INDEX(INVESTOR_LIST[INVESTOR NAME],MATCH(I3063,INVESTOR_LIST[INVESTOR CODE],0),)," ")</f>
        <v>FARHANA AKHTER</v>
      </c>
      <c r="I3063" s="145" t="s">
        <v>665</v>
      </c>
      <c r="J3063" s="163" t="s">
        <v>53</v>
      </c>
      <c r="K3063" s="219"/>
      <c r="L3063" s="219">
        <v>360000</v>
      </c>
    </row>
    <row r="3064" spans="1:14" ht="11.25" customHeight="1" x14ac:dyDescent="0.2">
      <c r="A3064" s="168">
        <v>2021</v>
      </c>
      <c r="B3064" s="168">
        <v>5</v>
      </c>
      <c r="C3064" s="168">
        <v>23</v>
      </c>
      <c r="D3064" s="141">
        <f t="shared" si="102"/>
        <v>44339</v>
      </c>
      <c r="E3064" s="275">
        <f t="shared" si="103"/>
        <v>44339</v>
      </c>
      <c r="F3064" s="479" t="s">
        <v>964</v>
      </c>
      <c r="G3064" s="220" t="s">
        <v>74</v>
      </c>
      <c r="H3064" s="142" t="str" cm="1">
        <f t="array" ref="H3064">IFERROR(INDEX(INVESTOR_LIST[INVESTOR NAME],MATCH(I3064,INVESTOR_LIST[INVESTOR CODE],0),)," ")</f>
        <v>UNICAP SECURITIES LIMITED</v>
      </c>
      <c r="I3064" s="142" t="s">
        <v>398</v>
      </c>
      <c r="J3064" s="168" t="s">
        <v>52</v>
      </c>
      <c r="K3064" s="226">
        <v>2000000</v>
      </c>
      <c r="L3064" s="226"/>
      <c r="N3064" s="160">
        <f>K3058/12.86</f>
        <v>388802.48833592539</v>
      </c>
    </row>
    <row r="3065" spans="1:14" ht="45" x14ac:dyDescent="0.2">
      <c r="A3065" s="133">
        <v>2021</v>
      </c>
      <c r="B3065" s="133">
        <v>5</v>
      </c>
      <c r="C3065" s="133">
        <v>23</v>
      </c>
      <c r="D3065" s="141">
        <f t="shared" si="102"/>
        <v>44339</v>
      </c>
      <c r="E3065" s="275">
        <f t="shared" si="103"/>
        <v>44339</v>
      </c>
      <c r="F3065" s="481"/>
      <c r="G3065" s="174" t="s">
        <v>74</v>
      </c>
      <c r="H3065" s="148" t="str" cm="1">
        <f t="array" ref="H3065">IFERROR(INDEX(INVESTOR_LIST[INVESTOR NAME],MATCH(I3065,INVESTOR_LIST[INVESTOR CODE],0),)," ")</f>
        <v>UNICAP SECURITIES LIMITED</v>
      </c>
      <c r="I3065" s="148" t="s">
        <v>398</v>
      </c>
      <c r="J3065" s="133" t="s">
        <v>13</v>
      </c>
      <c r="K3065" s="218"/>
      <c r="L3065" s="218">
        <v>1515150</v>
      </c>
    </row>
    <row r="3066" spans="1:14" ht="45" x14ac:dyDescent="0.2">
      <c r="A3066" s="163">
        <v>2021</v>
      </c>
      <c r="B3066" s="163">
        <v>5</v>
      </c>
      <c r="C3066" s="163">
        <v>23</v>
      </c>
      <c r="D3066" s="141">
        <f t="shared" si="102"/>
        <v>44339</v>
      </c>
      <c r="E3066" s="275">
        <f t="shared" si="103"/>
        <v>44339</v>
      </c>
      <c r="F3066" s="480"/>
      <c r="G3066" s="221" t="s">
        <v>74</v>
      </c>
      <c r="H3066" s="145" t="str" cm="1">
        <f t="array" ref="H3066">IFERROR(INDEX(INVESTOR_LIST[INVESTOR NAME],MATCH(I3066,INVESTOR_LIST[INVESTOR CODE],0),)," ")</f>
        <v>UNICAP SECURITIES LIMITED</v>
      </c>
      <c r="I3066" s="145" t="s">
        <v>398</v>
      </c>
      <c r="J3066" s="163" t="s">
        <v>53</v>
      </c>
      <c r="K3066" s="219"/>
      <c r="L3066" s="219">
        <v>484850</v>
      </c>
    </row>
    <row r="3067" spans="1:14" ht="11.25" customHeight="1" x14ac:dyDescent="0.2">
      <c r="A3067" s="168">
        <v>2021</v>
      </c>
      <c r="B3067" s="168">
        <v>5</v>
      </c>
      <c r="C3067" s="168">
        <v>23</v>
      </c>
      <c r="D3067" s="141">
        <f t="shared" si="102"/>
        <v>44339</v>
      </c>
      <c r="E3067" s="275">
        <f t="shared" si="103"/>
        <v>44339</v>
      </c>
      <c r="F3067" s="479" t="s">
        <v>964</v>
      </c>
      <c r="G3067" s="220" t="s">
        <v>74</v>
      </c>
      <c r="H3067" s="142" t="str" cm="1">
        <f t="array" ref="H3067">IFERROR(INDEX(INVESTOR_LIST[INVESTOR NAME],MATCH(I3067,INVESTOR_LIST[INVESTOR CODE],0),)," ")</f>
        <v>FARUK-E AZAM bIN HAIDER</v>
      </c>
      <c r="I3067" s="142" t="s">
        <v>515</v>
      </c>
      <c r="J3067" s="168" t="s">
        <v>52</v>
      </c>
      <c r="K3067" s="226">
        <v>50000</v>
      </c>
      <c r="L3067" s="226"/>
      <c r="N3067" s="160">
        <f>K3061/13</f>
        <v>120000</v>
      </c>
    </row>
    <row r="3068" spans="1:14" ht="45" x14ac:dyDescent="0.2">
      <c r="A3068" s="133">
        <v>2021</v>
      </c>
      <c r="B3068" s="133">
        <v>5</v>
      </c>
      <c r="C3068" s="133">
        <v>23</v>
      </c>
      <c r="D3068" s="141">
        <f t="shared" si="102"/>
        <v>44339</v>
      </c>
      <c r="E3068" s="275">
        <f t="shared" si="103"/>
        <v>44339</v>
      </c>
      <c r="F3068" s="481"/>
      <c r="G3068" s="174" t="s">
        <v>74</v>
      </c>
      <c r="H3068" s="148" t="str" cm="1">
        <f t="array" ref="H3068">IFERROR(INDEX(INVESTOR_LIST[INVESTOR NAME],MATCH(I3068,INVESTOR_LIST[INVESTOR CODE],0),)," ")</f>
        <v>FARUK-E AZAM bIN HAIDER</v>
      </c>
      <c r="I3068" s="148" t="s">
        <v>515</v>
      </c>
      <c r="J3068" s="133" t="s">
        <v>13</v>
      </c>
      <c r="K3068" s="218"/>
      <c r="L3068" s="218">
        <v>37880</v>
      </c>
    </row>
    <row r="3069" spans="1:14" ht="45" x14ac:dyDescent="0.2">
      <c r="A3069" s="163">
        <v>2021</v>
      </c>
      <c r="B3069" s="163">
        <v>5</v>
      </c>
      <c r="C3069" s="163">
        <v>23</v>
      </c>
      <c r="D3069" s="141">
        <f t="shared" si="102"/>
        <v>44339</v>
      </c>
      <c r="E3069" s="275">
        <f t="shared" si="103"/>
        <v>44339</v>
      </c>
      <c r="F3069" s="480"/>
      <c r="G3069" s="221" t="s">
        <v>74</v>
      </c>
      <c r="H3069" s="145" t="str" cm="1">
        <f t="array" ref="H3069">IFERROR(INDEX(INVESTOR_LIST[INVESTOR NAME],MATCH(I3069,INVESTOR_LIST[INVESTOR CODE],0),)," ")</f>
        <v>FARUK-E AZAM bIN HAIDER</v>
      </c>
      <c r="I3069" s="145" t="s">
        <v>515</v>
      </c>
      <c r="J3069" s="163" t="s">
        <v>53</v>
      </c>
      <c r="K3069" s="219"/>
      <c r="L3069" s="219">
        <v>12120</v>
      </c>
    </row>
    <row r="3070" spans="1:14" x14ac:dyDescent="0.2">
      <c r="A3070" s="168">
        <v>2021</v>
      </c>
      <c r="B3070" s="168">
        <v>5</v>
      </c>
      <c r="C3070" s="168">
        <v>23</v>
      </c>
      <c r="D3070" s="141">
        <f t="shared" si="102"/>
        <v>44339</v>
      </c>
      <c r="E3070" s="275">
        <f t="shared" si="103"/>
        <v>44339</v>
      </c>
      <c r="F3070" s="479" t="s">
        <v>77</v>
      </c>
      <c r="G3070" s="220" t="s">
        <v>74</v>
      </c>
      <c r="H3070" s="220" t="str" cm="1">
        <f t="array" ref="H3070">IFERROR(INDEX(INVESTOR_LIST[INVESTOR NAME],MATCH(I3070,INVESTOR_LIST[INVESTOR CODE],0),)," ")</f>
        <v xml:space="preserve"> </v>
      </c>
      <c r="I3070" s="142" t="s">
        <v>348</v>
      </c>
      <c r="J3070" s="143" t="s">
        <v>61</v>
      </c>
      <c r="K3070" s="226">
        <v>60</v>
      </c>
      <c r="L3070" s="226"/>
      <c r="N3070" s="133">
        <f>2000000/13.2</f>
        <v>151515.15151515152</v>
      </c>
    </row>
    <row r="3071" spans="1:14" x14ac:dyDescent="0.2">
      <c r="A3071" s="163">
        <v>2021</v>
      </c>
      <c r="B3071" s="163">
        <v>5</v>
      </c>
      <c r="C3071" s="163">
        <v>23</v>
      </c>
      <c r="D3071" s="141">
        <f t="shared" si="102"/>
        <v>44339</v>
      </c>
      <c r="E3071" s="275">
        <f t="shared" si="103"/>
        <v>44339</v>
      </c>
      <c r="F3071" s="480"/>
      <c r="G3071" s="221" t="s">
        <v>74</v>
      </c>
      <c r="H3071" s="221" t="str" cm="1">
        <f t="array" ref="H3071">IFERROR(INDEX(INVESTOR_LIST[INVESTOR NAME],MATCH(I3071,INVESTOR_LIST[INVESTOR CODE],0),)," ")</f>
        <v xml:space="preserve"> </v>
      </c>
      <c r="I3071" s="145" t="s">
        <v>348</v>
      </c>
      <c r="J3071" s="146" t="s">
        <v>52</v>
      </c>
      <c r="K3071" s="219"/>
      <c r="L3071" s="219">
        <v>60</v>
      </c>
    </row>
    <row r="3072" spans="1:14" x14ac:dyDescent="0.2">
      <c r="A3072" s="168">
        <v>2021</v>
      </c>
      <c r="B3072" s="168">
        <v>5</v>
      </c>
      <c r="C3072" s="168">
        <v>23</v>
      </c>
      <c r="D3072" s="141">
        <f t="shared" si="102"/>
        <v>44339</v>
      </c>
      <c r="E3072" s="275">
        <f t="shared" si="103"/>
        <v>44339</v>
      </c>
      <c r="F3072" s="479" t="s">
        <v>77</v>
      </c>
      <c r="G3072" s="220" t="s">
        <v>74</v>
      </c>
      <c r="H3072" s="220" t="str" cm="1">
        <f t="array" ref="H3072">IFERROR(INDEX(INVESTOR_LIST[INVESTOR NAME],MATCH(I3072,INVESTOR_LIST[INVESTOR CODE],0),)," ")</f>
        <v xml:space="preserve"> </v>
      </c>
      <c r="I3072" s="142" t="s">
        <v>348</v>
      </c>
      <c r="J3072" s="143" t="s">
        <v>61</v>
      </c>
      <c r="K3072" s="226">
        <v>60</v>
      </c>
      <c r="L3072" s="226"/>
    </row>
    <row r="3073" spans="1:14" x14ac:dyDescent="0.2">
      <c r="A3073" s="163">
        <v>2021</v>
      </c>
      <c r="B3073" s="163">
        <v>5</v>
      </c>
      <c r="C3073" s="163">
        <v>23</v>
      </c>
      <c r="D3073" s="141">
        <f t="shared" si="102"/>
        <v>44339</v>
      </c>
      <c r="E3073" s="275">
        <f t="shared" si="103"/>
        <v>44339</v>
      </c>
      <c r="F3073" s="480"/>
      <c r="G3073" s="221" t="s">
        <v>74</v>
      </c>
      <c r="H3073" s="221" t="str" cm="1">
        <f t="array" ref="H3073">IFERROR(INDEX(INVESTOR_LIST[INVESTOR NAME],MATCH(I3073,INVESTOR_LIST[INVESTOR CODE],0),)," ")</f>
        <v xml:space="preserve"> </v>
      </c>
      <c r="I3073" s="145" t="s">
        <v>348</v>
      </c>
      <c r="J3073" s="146" t="s">
        <v>52</v>
      </c>
      <c r="K3073" s="219"/>
      <c r="L3073" s="219">
        <v>60</v>
      </c>
      <c r="N3073" s="160">
        <f>K3067/13.2</f>
        <v>3787.878787878788</v>
      </c>
    </row>
    <row r="3074" spans="1:14" x14ac:dyDescent="0.2">
      <c r="A3074" s="168">
        <v>2021</v>
      </c>
      <c r="B3074" s="168">
        <v>5</v>
      </c>
      <c r="C3074" s="168">
        <v>23</v>
      </c>
      <c r="D3074" s="141">
        <f t="shared" si="102"/>
        <v>44339</v>
      </c>
      <c r="E3074" s="275">
        <f t="shared" si="103"/>
        <v>44339</v>
      </c>
      <c r="F3074" s="479" t="s">
        <v>77</v>
      </c>
      <c r="G3074" s="220" t="s">
        <v>74</v>
      </c>
      <c r="H3074" s="220" t="str" cm="1">
        <f t="array" ref="H3074">IFERROR(INDEX(INVESTOR_LIST[INVESTOR NAME],MATCH(I3074,INVESTOR_LIST[INVESTOR CODE],0),)," ")</f>
        <v xml:space="preserve"> </v>
      </c>
      <c r="I3074" s="142" t="s">
        <v>348</v>
      </c>
      <c r="J3074" s="143" t="s">
        <v>61</v>
      </c>
      <c r="K3074" s="226">
        <v>60</v>
      </c>
      <c r="L3074" s="226"/>
    </row>
    <row r="3075" spans="1:14" x14ac:dyDescent="0.2">
      <c r="A3075" s="163">
        <v>2021</v>
      </c>
      <c r="B3075" s="163">
        <v>5</v>
      </c>
      <c r="C3075" s="163">
        <v>23</v>
      </c>
      <c r="D3075" s="141">
        <f t="shared" si="102"/>
        <v>44339</v>
      </c>
      <c r="E3075" s="275">
        <f t="shared" si="103"/>
        <v>44339</v>
      </c>
      <c r="F3075" s="480"/>
      <c r="G3075" s="221" t="s">
        <v>74</v>
      </c>
      <c r="H3075" s="221" t="str" cm="1">
        <f t="array" ref="H3075">IFERROR(INDEX(INVESTOR_LIST[INVESTOR NAME],MATCH(I3075,INVESTOR_LIST[INVESTOR CODE],0),)," ")</f>
        <v xml:space="preserve"> </v>
      </c>
      <c r="I3075" s="145" t="s">
        <v>348</v>
      </c>
      <c r="J3075" s="146" t="s">
        <v>52</v>
      </c>
      <c r="K3075" s="219"/>
      <c r="L3075" s="219">
        <v>60</v>
      </c>
    </row>
    <row r="3076" spans="1:14" x14ac:dyDescent="0.2">
      <c r="A3076" s="168">
        <v>2021</v>
      </c>
      <c r="B3076" s="168">
        <v>5</v>
      </c>
      <c r="C3076" s="168">
        <v>23</v>
      </c>
      <c r="D3076" s="141">
        <f t="shared" si="102"/>
        <v>44339</v>
      </c>
      <c r="E3076" s="275">
        <f t="shared" si="103"/>
        <v>44339</v>
      </c>
      <c r="F3076" s="479" t="s">
        <v>77</v>
      </c>
      <c r="G3076" s="220" t="s">
        <v>74</v>
      </c>
      <c r="H3076" s="220" t="str" cm="1">
        <f t="array" ref="H3076">IFERROR(INDEX(INVESTOR_LIST[INVESTOR NAME],MATCH(I3076,INVESTOR_LIST[INVESTOR CODE],0),)," ")</f>
        <v xml:space="preserve"> </v>
      </c>
      <c r="I3076" s="142" t="s">
        <v>348</v>
      </c>
      <c r="J3076" s="143" t="s">
        <v>61</v>
      </c>
      <c r="K3076" s="226">
        <v>10</v>
      </c>
      <c r="L3076" s="226"/>
    </row>
    <row r="3077" spans="1:14" x14ac:dyDescent="0.2">
      <c r="A3077" s="163">
        <v>2021</v>
      </c>
      <c r="B3077" s="163">
        <v>5</v>
      </c>
      <c r="C3077" s="163">
        <v>23</v>
      </c>
      <c r="D3077" s="141">
        <f t="shared" si="102"/>
        <v>44339</v>
      </c>
      <c r="E3077" s="275">
        <f t="shared" si="103"/>
        <v>44339</v>
      </c>
      <c r="F3077" s="480"/>
      <c r="G3077" s="221" t="s">
        <v>74</v>
      </c>
      <c r="H3077" s="221" t="str" cm="1">
        <f t="array" ref="H3077">IFERROR(INDEX(INVESTOR_LIST[INVESTOR NAME],MATCH(I3077,INVESTOR_LIST[INVESTOR CODE],0),)," ")</f>
        <v xml:space="preserve"> </v>
      </c>
      <c r="I3077" s="145" t="s">
        <v>348</v>
      </c>
      <c r="J3077" s="146" t="s">
        <v>52</v>
      </c>
      <c r="K3077" s="219"/>
      <c r="L3077" s="219">
        <v>10</v>
      </c>
    </row>
    <row r="3078" spans="1:14" x14ac:dyDescent="0.2">
      <c r="A3078" s="168">
        <v>2021</v>
      </c>
      <c r="B3078" s="168">
        <v>5</v>
      </c>
      <c r="C3078" s="168">
        <v>24</v>
      </c>
      <c r="D3078" s="141">
        <f t="shared" si="102"/>
        <v>44340</v>
      </c>
      <c r="E3078" s="275">
        <f t="shared" si="103"/>
        <v>44340</v>
      </c>
      <c r="F3078" s="494" t="s">
        <v>544</v>
      </c>
      <c r="G3078" s="220" t="s">
        <v>74</v>
      </c>
      <c r="H3078" s="142" t="str" cm="1">
        <f t="array" ref="H3078">IFERROR(INDEX(INVESTOR_LIST[INVESTOR NAME],MATCH(I3078,INVESTOR_LIST[INVESTOR CODE],0),)," ")</f>
        <v xml:space="preserve"> </v>
      </c>
      <c r="I3078" s="142"/>
      <c r="J3078" s="168" t="s">
        <v>52</v>
      </c>
      <c r="K3078" s="226">
        <v>3414504.51</v>
      </c>
      <c r="L3078" s="226"/>
    </row>
    <row r="3079" spans="1:14" x14ac:dyDescent="0.2">
      <c r="A3079" s="163">
        <v>2021</v>
      </c>
      <c r="B3079" s="163">
        <v>5</v>
      </c>
      <c r="C3079" s="163">
        <v>24</v>
      </c>
      <c r="D3079" s="141">
        <f t="shared" si="102"/>
        <v>44340</v>
      </c>
      <c r="E3079" s="275">
        <f t="shared" si="103"/>
        <v>44340</v>
      </c>
      <c r="F3079" s="495"/>
      <c r="G3079" s="221" t="s">
        <v>74</v>
      </c>
      <c r="H3079" s="145" t="str" cm="1">
        <f t="array" ref="H3079">IFERROR(INDEX(INVESTOR_LIST[INVESTOR NAME],MATCH(I3079,INVESTOR_LIST[INVESTOR CODE],0),)," ")</f>
        <v xml:space="preserve"> </v>
      </c>
      <c r="I3079" s="145"/>
      <c r="J3079" s="163" t="s">
        <v>190</v>
      </c>
      <c r="K3079" s="219"/>
      <c r="L3079" s="219">
        <v>3414504.51</v>
      </c>
    </row>
    <row r="3080" spans="1:14" x14ac:dyDescent="0.2">
      <c r="A3080" s="168">
        <v>2021</v>
      </c>
      <c r="B3080" s="168">
        <v>5</v>
      </c>
      <c r="C3080" s="168">
        <v>25</v>
      </c>
      <c r="D3080" s="141">
        <f t="shared" si="102"/>
        <v>44341</v>
      </c>
      <c r="E3080" s="275">
        <f t="shared" si="103"/>
        <v>44341</v>
      </c>
      <c r="F3080" s="479" t="s">
        <v>279</v>
      </c>
      <c r="G3080" s="220" t="s">
        <v>94</v>
      </c>
      <c r="H3080" s="142" t="str" cm="1">
        <f t="array" ref="H3080">IFERROR(INDEX(INVESTOR_LIST[INVESTOR NAME],MATCH(I3080,INVESTOR_LIST[INVESTOR CODE],0),)," ")</f>
        <v xml:space="preserve"> </v>
      </c>
      <c r="I3080" s="142"/>
      <c r="J3080" s="168" t="s">
        <v>190</v>
      </c>
      <c r="K3080" s="226">
        <v>4192369.33</v>
      </c>
      <c r="L3080" s="226"/>
    </row>
    <row r="3081" spans="1:14" x14ac:dyDescent="0.2">
      <c r="A3081" s="133">
        <v>2021</v>
      </c>
      <c r="B3081" s="133">
        <v>5</v>
      </c>
      <c r="C3081" s="133">
        <v>25</v>
      </c>
      <c r="D3081" s="141">
        <f t="shared" si="102"/>
        <v>44341</v>
      </c>
      <c r="E3081" s="275">
        <f t="shared" si="103"/>
        <v>44341</v>
      </c>
      <c r="F3081" s="481"/>
      <c r="G3081" s="174" t="s">
        <v>94</v>
      </c>
      <c r="H3081" s="148" t="str" cm="1">
        <f t="array" ref="H3081">IFERROR(INDEX(INVESTOR_LIST[INVESTOR NAME],MATCH(I3081,INVESTOR_LIST[INVESTOR CODE],0),)," ")</f>
        <v xml:space="preserve"> </v>
      </c>
      <c r="J3081" s="133" t="s">
        <v>80</v>
      </c>
      <c r="K3081" s="218">
        <v>7559.87</v>
      </c>
      <c r="L3081" s="218"/>
    </row>
    <row r="3082" spans="1:14" x14ac:dyDescent="0.2">
      <c r="A3082" s="133">
        <v>2021</v>
      </c>
      <c r="B3082" s="133">
        <v>5</v>
      </c>
      <c r="C3082" s="133">
        <v>25</v>
      </c>
      <c r="D3082" s="141">
        <f t="shared" si="102"/>
        <v>44341</v>
      </c>
      <c r="E3082" s="275">
        <f t="shared" si="103"/>
        <v>44341</v>
      </c>
      <c r="F3082" s="481"/>
      <c r="G3082" s="174" t="s">
        <v>94</v>
      </c>
      <c r="H3082" s="148" t="str" cm="1">
        <f t="array" ref="H3082">IFERROR(INDEX(INVESTOR_LIST[INVESTOR NAME],MATCH(I3082,INVESTOR_LIST[INVESTOR CODE],0),)," ")</f>
        <v xml:space="preserve"> </v>
      </c>
      <c r="J3082" s="133" t="s">
        <v>191</v>
      </c>
      <c r="K3082" s="218">
        <v>206325.38</v>
      </c>
      <c r="L3082" s="218"/>
    </row>
    <row r="3083" spans="1:14" x14ac:dyDescent="0.2">
      <c r="A3083" s="163">
        <v>2021</v>
      </c>
      <c r="B3083" s="163">
        <v>5</v>
      </c>
      <c r="C3083" s="163">
        <v>25</v>
      </c>
      <c r="D3083" s="141">
        <f t="shared" si="102"/>
        <v>44341</v>
      </c>
      <c r="E3083" s="275">
        <f t="shared" si="103"/>
        <v>44341</v>
      </c>
      <c r="F3083" s="480"/>
      <c r="G3083" s="221" t="s">
        <v>94</v>
      </c>
      <c r="H3083" s="145" t="str" cm="1">
        <f t="array" ref="H3083">IFERROR(INDEX(INVESTOR_LIST[INVESTOR NAME],MATCH(I3083,INVESTOR_LIST[INVESTOR CODE],0),)," ")</f>
        <v xml:space="preserve"> </v>
      </c>
      <c r="I3083" s="145"/>
      <c r="J3083" s="163" t="s">
        <v>79</v>
      </c>
      <c r="K3083" s="219"/>
      <c r="L3083" s="219">
        <v>4406254.58</v>
      </c>
      <c r="N3083" s="160">
        <f>L3090/13.2</f>
        <v>1257.5757575757577</v>
      </c>
    </row>
    <row r="3084" spans="1:14" x14ac:dyDescent="0.2">
      <c r="A3084" s="168">
        <v>2021</v>
      </c>
      <c r="B3084" s="168">
        <v>5</v>
      </c>
      <c r="C3084" s="168">
        <v>25</v>
      </c>
      <c r="D3084" s="141">
        <f t="shared" si="102"/>
        <v>44341</v>
      </c>
      <c r="E3084" s="275">
        <f t="shared" si="103"/>
        <v>44341</v>
      </c>
      <c r="F3084" s="479" t="s">
        <v>233</v>
      </c>
      <c r="G3084" s="220" t="s">
        <v>74</v>
      </c>
      <c r="H3084" s="220" t="str" cm="1">
        <f t="array" ref="H3084">IFERROR(INDEX(INVESTOR_LIST[INVESTOR NAME],MATCH(I3084,INVESTOR_LIST[INVESTOR CODE],0),)," ")</f>
        <v xml:space="preserve"> </v>
      </c>
      <c r="I3084" s="142"/>
      <c r="J3084" s="143" t="s">
        <v>163</v>
      </c>
      <c r="K3084" s="226">
        <v>10000</v>
      </c>
      <c r="L3084" s="226"/>
    </row>
    <row r="3085" spans="1:14" x14ac:dyDescent="0.2">
      <c r="A3085" s="163">
        <v>2021</v>
      </c>
      <c r="B3085" s="163">
        <v>5</v>
      </c>
      <c r="C3085" s="163">
        <v>25</v>
      </c>
      <c r="D3085" s="141">
        <f t="shared" si="102"/>
        <v>44341</v>
      </c>
      <c r="E3085" s="275">
        <f t="shared" si="103"/>
        <v>44341</v>
      </c>
      <c r="F3085" s="480"/>
      <c r="G3085" s="221" t="s">
        <v>74</v>
      </c>
      <c r="H3085" s="221" t="str" cm="1">
        <f t="array" ref="H3085">IFERROR(INDEX(INVESTOR_LIST[INVESTOR NAME],MATCH(I3085,INVESTOR_LIST[INVESTOR CODE],0),)," ")</f>
        <v xml:space="preserve"> </v>
      </c>
      <c r="I3085" s="145"/>
      <c r="J3085" s="146" t="s">
        <v>52</v>
      </c>
      <c r="K3085" s="219"/>
      <c r="L3085" s="219">
        <v>10000</v>
      </c>
    </row>
    <row r="3086" spans="1:14" x14ac:dyDescent="0.2">
      <c r="A3086" s="168">
        <v>2021</v>
      </c>
      <c r="B3086" s="168">
        <v>5</v>
      </c>
      <c r="C3086" s="168">
        <v>25</v>
      </c>
      <c r="D3086" s="141">
        <f t="shared" ref="D3086:D3149" si="104">DATE(A3086,B3086,C3086)</f>
        <v>44341</v>
      </c>
      <c r="E3086" s="275">
        <f t="shared" si="103"/>
        <v>44341</v>
      </c>
      <c r="F3086" s="479" t="s">
        <v>233</v>
      </c>
      <c r="G3086" s="220" t="s">
        <v>74</v>
      </c>
      <c r="H3086" s="220" t="str" cm="1">
        <f t="array" ref="H3086">IFERROR(INDEX(INVESTOR_LIST[INVESTOR NAME],MATCH(I3086,INVESTOR_LIST[INVESTOR CODE],0),)," ")</f>
        <v xml:space="preserve"> </v>
      </c>
      <c r="I3086" s="142"/>
      <c r="J3086" s="143" t="s">
        <v>163</v>
      </c>
      <c r="K3086" s="226">
        <v>8000</v>
      </c>
      <c r="L3086" s="226"/>
    </row>
    <row r="3087" spans="1:14" x14ac:dyDescent="0.2">
      <c r="A3087" s="163">
        <v>2021</v>
      </c>
      <c r="B3087" s="163">
        <v>5</v>
      </c>
      <c r="C3087" s="163">
        <v>25</v>
      </c>
      <c r="D3087" s="141">
        <f t="shared" si="104"/>
        <v>44341</v>
      </c>
      <c r="E3087" s="275">
        <f t="shared" ref="E3087:E3150" si="105">DATE(A3087,B3087,C3087)</f>
        <v>44341</v>
      </c>
      <c r="F3087" s="480"/>
      <c r="G3087" s="221" t="s">
        <v>74</v>
      </c>
      <c r="H3087" s="221" t="str" cm="1">
        <f t="array" ref="H3087">IFERROR(INDEX(INVESTOR_LIST[INVESTOR NAME],MATCH(I3087,INVESTOR_LIST[INVESTOR CODE],0),)," ")</f>
        <v xml:space="preserve"> </v>
      </c>
      <c r="I3087" s="145"/>
      <c r="J3087" s="146" t="s">
        <v>52</v>
      </c>
      <c r="K3087" s="219"/>
      <c r="L3087" s="219">
        <v>8000</v>
      </c>
      <c r="N3087" s="160">
        <f>K3091/13</f>
        <v>240000</v>
      </c>
    </row>
    <row r="3088" spans="1:14" ht="45" x14ac:dyDescent="0.2">
      <c r="A3088" s="168">
        <v>2021</v>
      </c>
      <c r="B3088" s="168">
        <v>5</v>
      </c>
      <c r="C3088" s="168">
        <v>25</v>
      </c>
      <c r="D3088" s="141">
        <f t="shared" si="104"/>
        <v>44341</v>
      </c>
      <c r="E3088" s="275">
        <f t="shared" si="105"/>
        <v>44341</v>
      </c>
      <c r="F3088" s="479" t="s">
        <v>965</v>
      </c>
      <c r="G3088" s="220" t="s">
        <v>74</v>
      </c>
      <c r="H3088" s="142" t="str" cm="1">
        <f t="array" ref="H3088">IFERROR(INDEX(INVESTOR_LIST[INVESTOR NAME],MATCH(I3088,INVESTOR_LIST[INVESTOR CODE],0),)," ")</f>
        <v>MD MIZANUR RAHMAN</v>
      </c>
      <c r="I3088" s="142" t="s">
        <v>482</v>
      </c>
      <c r="J3088" s="168" t="s">
        <v>13</v>
      </c>
      <c r="K3088" s="226">
        <v>12580</v>
      </c>
      <c r="L3088" s="226"/>
    </row>
    <row r="3089" spans="1:14" ht="45" x14ac:dyDescent="0.2">
      <c r="A3089" s="133">
        <v>2021</v>
      </c>
      <c r="B3089" s="133">
        <v>5</v>
      </c>
      <c r="C3089" s="133">
        <v>25</v>
      </c>
      <c r="D3089" s="141">
        <f t="shared" si="104"/>
        <v>44341</v>
      </c>
      <c r="E3089" s="275">
        <f t="shared" si="105"/>
        <v>44341</v>
      </c>
      <c r="F3089" s="481"/>
      <c r="G3089" s="174" t="s">
        <v>74</v>
      </c>
      <c r="H3089" s="148" t="str" cm="1">
        <f t="array" ref="H3089">IFERROR(INDEX(INVESTOR_LIST[INVESTOR NAME],MATCH(I3089,INVESTOR_LIST[INVESTOR CODE],0),)," ")</f>
        <v>MD MIZANUR RAHMAN</v>
      </c>
      <c r="I3089" s="148" t="s">
        <v>482</v>
      </c>
      <c r="J3089" s="133" t="s">
        <v>53</v>
      </c>
      <c r="K3089" s="218">
        <v>4020</v>
      </c>
      <c r="L3089" s="218"/>
    </row>
    <row r="3090" spans="1:14" ht="45" x14ac:dyDescent="0.2">
      <c r="A3090" s="163">
        <v>2021</v>
      </c>
      <c r="B3090" s="163">
        <v>5</v>
      </c>
      <c r="C3090" s="163">
        <v>25</v>
      </c>
      <c r="D3090" s="141">
        <f t="shared" si="104"/>
        <v>44341</v>
      </c>
      <c r="E3090" s="275">
        <f t="shared" si="105"/>
        <v>44341</v>
      </c>
      <c r="F3090" s="480"/>
      <c r="G3090" s="221" t="s">
        <v>74</v>
      </c>
      <c r="H3090" s="145" t="str" cm="1">
        <f t="array" ref="H3090">IFERROR(INDEX(INVESTOR_LIST[INVESTOR NAME],MATCH(I3090,INVESTOR_LIST[INVESTOR CODE],0),)," ")</f>
        <v>MD MIZANUR RAHMAN</v>
      </c>
      <c r="I3090" s="145" t="s">
        <v>482</v>
      </c>
      <c r="J3090" s="163" t="s">
        <v>52</v>
      </c>
      <c r="K3090" s="219"/>
      <c r="L3090" s="219">
        <v>16600</v>
      </c>
    </row>
    <row r="3091" spans="1:14" ht="11.25" customHeight="1" x14ac:dyDescent="0.2">
      <c r="A3091" s="168">
        <v>2021</v>
      </c>
      <c r="B3091" s="168">
        <v>5</v>
      </c>
      <c r="C3091" s="168">
        <v>25</v>
      </c>
      <c r="D3091" s="141">
        <f t="shared" si="104"/>
        <v>44341</v>
      </c>
      <c r="E3091" s="275">
        <f t="shared" si="105"/>
        <v>44341</v>
      </c>
      <c r="F3091" s="479" t="s">
        <v>964</v>
      </c>
      <c r="G3091" s="220" t="s">
        <v>74</v>
      </c>
      <c r="H3091" s="142" t="str" cm="1">
        <f t="array" ref="H3091">IFERROR(INDEX(INVESTOR_LIST[INVESTOR NAME],MATCH(I3091,INVESTOR_LIST[INVESTOR CODE],0),)," ")</f>
        <v>FARHANA AKHTER</v>
      </c>
      <c r="I3091" s="142" t="s">
        <v>665</v>
      </c>
      <c r="J3091" s="168" t="s">
        <v>52</v>
      </c>
      <c r="K3091" s="226">
        <v>3120000</v>
      </c>
      <c r="L3091" s="226"/>
    </row>
    <row r="3092" spans="1:14" ht="33.75" x14ac:dyDescent="0.2">
      <c r="A3092" s="133">
        <v>2021</v>
      </c>
      <c r="B3092" s="133">
        <v>5</v>
      </c>
      <c r="C3092" s="133">
        <v>25</v>
      </c>
      <c r="D3092" s="141">
        <f t="shared" si="104"/>
        <v>44341</v>
      </c>
      <c r="E3092" s="275">
        <f t="shared" si="105"/>
        <v>44341</v>
      </c>
      <c r="F3092" s="481"/>
      <c r="G3092" s="174" t="s">
        <v>74</v>
      </c>
      <c r="H3092" s="148" t="str" cm="1">
        <f t="array" ref="H3092">IFERROR(INDEX(INVESTOR_LIST[INVESTOR NAME],MATCH(I3092,INVESTOR_LIST[INVESTOR CODE],0),)," ")</f>
        <v>FARHANA AKHTER</v>
      </c>
      <c r="I3092" s="148" t="s">
        <v>665</v>
      </c>
      <c r="J3092" s="133" t="s">
        <v>13</v>
      </c>
      <c r="K3092" s="218"/>
      <c r="L3092" s="218">
        <v>2400000</v>
      </c>
    </row>
    <row r="3093" spans="1:14" ht="33.75" x14ac:dyDescent="0.2">
      <c r="A3093" s="163">
        <v>2021</v>
      </c>
      <c r="B3093" s="163">
        <v>5</v>
      </c>
      <c r="C3093" s="163">
        <v>25</v>
      </c>
      <c r="D3093" s="141">
        <f t="shared" si="104"/>
        <v>44341</v>
      </c>
      <c r="E3093" s="275">
        <f t="shared" si="105"/>
        <v>44341</v>
      </c>
      <c r="F3093" s="480"/>
      <c r="G3093" s="221" t="s">
        <v>74</v>
      </c>
      <c r="H3093" s="145" t="str" cm="1">
        <f t="array" ref="H3093">IFERROR(INDEX(INVESTOR_LIST[INVESTOR NAME],MATCH(I3093,INVESTOR_LIST[INVESTOR CODE],0),)," ")</f>
        <v>FARHANA AKHTER</v>
      </c>
      <c r="I3093" s="145" t="s">
        <v>665</v>
      </c>
      <c r="J3093" s="163" t="s">
        <v>53</v>
      </c>
      <c r="K3093" s="219"/>
      <c r="L3093" s="219">
        <v>720000</v>
      </c>
    </row>
    <row r="3094" spans="1:14" x14ac:dyDescent="0.2">
      <c r="A3094" s="168">
        <v>2021</v>
      </c>
      <c r="B3094" s="168">
        <v>5</v>
      </c>
      <c r="C3094" s="168">
        <v>25</v>
      </c>
      <c r="D3094" s="141">
        <f t="shared" si="104"/>
        <v>44341</v>
      </c>
      <c r="E3094" s="275">
        <f t="shared" si="105"/>
        <v>44341</v>
      </c>
      <c r="F3094" s="479" t="s">
        <v>77</v>
      </c>
      <c r="G3094" s="220" t="s">
        <v>74</v>
      </c>
      <c r="H3094" s="220" t="str" cm="1">
        <f t="array" ref="H3094">IFERROR(INDEX(INVESTOR_LIST[INVESTOR NAME],MATCH(I3094,INVESTOR_LIST[INVESTOR CODE],0),)," ")</f>
        <v xml:space="preserve"> </v>
      </c>
      <c r="I3094" s="142" t="s">
        <v>348</v>
      </c>
      <c r="J3094" s="143" t="s">
        <v>61</v>
      </c>
      <c r="K3094" s="226">
        <v>60</v>
      </c>
      <c r="L3094" s="226"/>
    </row>
    <row r="3095" spans="1:14" x14ac:dyDescent="0.2">
      <c r="A3095" s="163">
        <v>2021</v>
      </c>
      <c r="B3095" s="163">
        <v>5</v>
      </c>
      <c r="C3095" s="163">
        <v>25</v>
      </c>
      <c r="D3095" s="141">
        <f t="shared" si="104"/>
        <v>44341</v>
      </c>
      <c r="E3095" s="275">
        <f t="shared" si="105"/>
        <v>44341</v>
      </c>
      <c r="F3095" s="480"/>
      <c r="G3095" s="221" t="s">
        <v>74</v>
      </c>
      <c r="H3095" s="221" t="str" cm="1">
        <f t="array" ref="H3095">IFERROR(INDEX(INVESTOR_LIST[INVESTOR NAME],MATCH(I3095,INVESTOR_LIST[INVESTOR CODE],0),)," ")</f>
        <v xml:space="preserve"> </v>
      </c>
      <c r="I3095" s="145" t="s">
        <v>348</v>
      </c>
      <c r="J3095" s="146" t="s">
        <v>52</v>
      </c>
      <c r="K3095" s="219"/>
      <c r="L3095" s="219">
        <v>60</v>
      </c>
      <c r="N3095" s="156">
        <f>K3099/13.2</f>
        <v>12954.545454545456</v>
      </c>
    </row>
    <row r="3096" spans="1:14" x14ac:dyDescent="0.2">
      <c r="A3096" s="168">
        <v>2021</v>
      </c>
      <c r="B3096" s="168">
        <v>5</v>
      </c>
      <c r="C3096" s="168">
        <v>27</v>
      </c>
      <c r="D3096" s="141">
        <f t="shared" si="104"/>
        <v>44343</v>
      </c>
      <c r="E3096" s="275">
        <f t="shared" si="105"/>
        <v>44343</v>
      </c>
      <c r="F3096" s="479" t="s">
        <v>274</v>
      </c>
      <c r="G3096" s="220" t="s">
        <v>94</v>
      </c>
      <c r="H3096" s="142" t="str" cm="1">
        <f t="array" ref="H3096">IFERROR(INDEX(INVESTOR_LIST[INVESTOR NAME],MATCH(I3096,INVESTOR_LIST[INVESTOR CODE],0),)," ")</f>
        <v xml:space="preserve"> </v>
      </c>
      <c r="I3096" s="142"/>
      <c r="J3096" s="168" t="s">
        <v>79</v>
      </c>
      <c r="K3096" s="226">
        <v>10532010.4</v>
      </c>
      <c r="L3096" s="226"/>
    </row>
    <row r="3097" spans="1:14" x14ac:dyDescent="0.2">
      <c r="A3097" s="133">
        <v>2021</v>
      </c>
      <c r="B3097" s="133">
        <v>5</v>
      </c>
      <c r="C3097" s="133">
        <v>27</v>
      </c>
      <c r="D3097" s="141">
        <f t="shared" si="104"/>
        <v>44343</v>
      </c>
      <c r="E3097" s="275">
        <f t="shared" si="105"/>
        <v>44343</v>
      </c>
      <c r="F3097" s="481"/>
      <c r="G3097" s="174" t="s">
        <v>94</v>
      </c>
      <c r="H3097" s="148" t="str" cm="1">
        <f t="array" ref="H3097">IFERROR(INDEX(INVESTOR_LIST[INVESTOR NAME],MATCH(I3097,INVESTOR_LIST[INVESTOR CODE],0),)," ")</f>
        <v xml:space="preserve"> </v>
      </c>
      <c r="J3097" s="133" t="s">
        <v>80</v>
      </c>
      <c r="K3097" s="218">
        <v>18957.62</v>
      </c>
      <c r="L3097" s="218"/>
    </row>
    <row r="3098" spans="1:14" x14ac:dyDescent="0.2">
      <c r="A3098" s="163">
        <v>2021</v>
      </c>
      <c r="B3098" s="163">
        <v>5</v>
      </c>
      <c r="C3098" s="163">
        <v>27</v>
      </c>
      <c r="D3098" s="141">
        <f t="shared" si="104"/>
        <v>44343</v>
      </c>
      <c r="E3098" s="275">
        <f t="shared" si="105"/>
        <v>44343</v>
      </c>
      <c r="F3098" s="480"/>
      <c r="G3098" s="221" t="s">
        <v>94</v>
      </c>
      <c r="H3098" s="145" t="str" cm="1">
        <f t="array" ref="H3098">IFERROR(INDEX(INVESTOR_LIST[INVESTOR NAME],MATCH(I3098,INVESTOR_LIST[INVESTOR CODE],0),)," ")</f>
        <v xml:space="preserve"> </v>
      </c>
      <c r="I3098" s="145"/>
      <c r="J3098" s="163" t="s">
        <v>147</v>
      </c>
      <c r="K3098" s="219"/>
      <c r="L3098" s="219">
        <v>10550968.02</v>
      </c>
    </row>
    <row r="3099" spans="1:14" ht="11.25" customHeight="1" x14ac:dyDescent="0.2">
      <c r="A3099" s="168">
        <v>2021</v>
      </c>
      <c r="B3099" s="168">
        <v>5</v>
      </c>
      <c r="C3099" s="168">
        <v>27</v>
      </c>
      <c r="D3099" s="141">
        <f t="shared" si="104"/>
        <v>44343</v>
      </c>
      <c r="E3099" s="275">
        <f t="shared" si="105"/>
        <v>44343</v>
      </c>
      <c r="F3099" s="479" t="s">
        <v>964</v>
      </c>
      <c r="G3099" s="220" t="s">
        <v>74</v>
      </c>
      <c r="H3099" s="142" t="str" cm="1">
        <f t="array" ref="H3099">IFERROR(INDEX(INVESTOR_LIST[INVESTOR NAME],MATCH(I3099,INVESTOR_LIST[INVESTOR CODE],0),)," ")</f>
        <v>TARUN KUMAR SARKER</v>
      </c>
      <c r="I3099" s="142" t="s">
        <v>718</v>
      </c>
      <c r="J3099" s="168" t="s">
        <v>52</v>
      </c>
      <c r="K3099" s="226">
        <v>171000</v>
      </c>
      <c r="L3099" s="226"/>
    </row>
    <row r="3100" spans="1:14" ht="33.75" x14ac:dyDescent="0.2">
      <c r="A3100" s="133">
        <v>2021</v>
      </c>
      <c r="B3100" s="133">
        <v>5</v>
      </c>
      <c r="C3100" s="133">
        <v>27</v>
      </c>
      <c r="D3100" s="141">
        <f t="shared" si="104"/>
        <v>44343</v>
      </c>
      <c r="E3100" s="275">
        <f t="shared" si="105"/>
        <v>44343</v>
      </c>
      <c r="F3100" s="481"/>
      <c r="G3100" s="174" t="s">
        <v>74</v>
      </c>
      <c r="H3100" s="148" t="str" cm="1">
        <f t="array" ref="H3100">IFERROR(INDEX(INVESTOR_LIST[INVESTOR NAME],MATCH(I3100,INVESTOR_LIST[INVESTOR CODE],0),)," ")</f>
        <v>TARUN KUMAR SARKER</v>
      </c>
      <c r="I3100" s="148" t="s">
        <v>718</v>
      </c>
      <c r="J3100" s="133" t="s">
        <v>13</v>
      </c>
      <c r="K3100" s="218"/>
      <c r="L3100" s="218">
        <v>129550</v>
      </c>
    </row>
    <row r="3101" spans="1:14" ht="33.75" x14ac:dyDescent="0.2">
      <c r="A3101" s="163">
        <v>2021</v>
      </c>
      <c r="B3101" s="163">
        <v>5</v>
      </c>
      <c r="C3101" s="163">
        <v>27</v>
      </c>
      <c r="D3101" s="141">
        <f t="shared" si="104"/>
        <v>44343</v>
      </c>
      <c r="E3101" s="275">
        <f t="shared" si="105"/>
        <v>44343</v>
      </c>
      <c r="F3101" s="480"/>
      <c r="G3101" s="221" t="s">
        <v>74</v>
      </c>
      <c r="H3101" s="145" t="str" cm="1">
        <f t="array" ref="H3101">IFERROR(INDEX(INVESTOR_LIST[INVESTOR NAME],MATCH(I3101,INVESTOR_LIST[INVESTOR CODE],0),)," ")</f>
        <v>TARUN KUMAR SARKER</v>
      </c>
      <c r="I3101" s="145" t="s">
        <v>718</v>
      </c>
      <c r="J3101" s="163" t="s">
        <v>53</v>
      </c>
      <c r="K3101" s="219"/>
      <c r="L3101" s="219">
        <v>41450</v>
      </c>
      <c r="N3101" s="156">
        <f>K3102/13.2</f>
        <v>37878.78787878788</v>
      </c>
    </row>
    <row r="3102" spans="1:14" ht="11.25" customHeight="1" x14ac:dyDescent="0.2">
      <c r="A3102" s="168">
        <v>2021</v>
      </c>
      <c r="B3102" s="168">
        <v>5</v>
      </c>
      <c r="C3102" s="168">
        <v>27</v>
      </c>
      <c r="D3102" s="141">
        <f t="shared" si="104"/>
        <v>44343</v>
      </c>
      <c r="E3102" s="275">
        <f t="shared" si="105"/>
        <v>44343</v>
      </c>
      <c r="F3102" s="479" t="s">
        <v>964</v>
      </c>
      <c r="G3102" s="220" t="s">
        <v>74</v>
      </c>
      <c r="H3102" s="142" t="str" cm="1">
        <f t="array" ref="H3102">IFERROR(INDEX(INVESTOR_LIST[INVESTOR NAME],MATCH(I3102,INVESTOR_LIST[INVESTOR CODE],0),)," ")</f>
        <v>JHARNA AHMED</v>
      </c>
      <c r="I3102" s="142" t="s">
        <v>719</v>
      </c>
      <c r="J3102" s="168" t="s">
        <v>52</v>
      </c>
      <c r="K3102" s="226">
        <v>500000</v>
      </c>
      <c r="L3102" s="226"/>
    </row>
    <row r="3103" spans="1:14" ht="22.5" x14ac:dyDescent="0.2">
      <c r="A3103" s="133">
        <v>2021</v>
      </c>
      <c r="B3103" s="133">
        <v>5</v>
      </c>
      <c r="C3103" s="133">
        <v>27</v>
      </c>
      <c r="D3103" s="141">
        <f t="shared" si="104"/>
        <v>44343</v>
      </c>
      <c r="E3103" s="275">
        <f t="shared" si="105"/>
        <v>44343</v>
      </c>
      <c r="F3103" s="481"/>
      <c r="G3103" s="174" t="s">
        <v>74</v>
      </c>
      <c r="H3103" s="148" t="str" cm="1">
        <f t="array" ref="H3103">IFERROR(INDEX(INVESTOR_LIST[INVESTOR NAME],MATCH(I3103,INVESTOR_LIST[INVESTOR CODE],0),)," ")</f>
        <v>JHARNA AHMED</v>
      </c>
      <c r="I3103" s="148" t="s">
        <v>719</v>
      </c>
      <c r="J3103" s="133" t="s">
        <v>13</v>
      </c>
      <c r="K3103" s="218"/>
      <c r="L3103" s="218">
        <v>378790</v>
      </c>
    </row>
    <row r="3104" spans="1:14" ht="22.5" x14ac:dyDescent="0.2">
      <c r="A3104" s="163">
        <v>2021</v>
      </c>
      <c r="B3104" s="163">
        <v>5</v>
      </c>
      <c r="C3104" s="163">
        <v>27</v>
      </c>
      <c r="D3104" s="141">
        <f t="shared" si="104"/>
        <v>44343</v>
      </c>
      <c r="E3104" s="275">
        <f t="shared" si="105"/>
        <v>44343</v>
      </c>
      <c r="F3104" s="480"/>
      <c r="G3104" s="221" t="s">
        <v>74</v>
      </c>
      <c r="H3104" s="145" t="str" cm="1">
        <f t="array" ref="H3104">IFERROR(INDEX(INVESTOR_LIST[INVESTOR NAME],MATCH(I3104,INVESTOR_LIST[INVESTOR CODE],0),)," ")</f>
        <v>JHARNA AHMED</v>
      </c>
      <c r="I3104" s="145" t="s">
        <v>719</v>
      </c>
      <c r="J3104" s="163" t="s">
        <v>53</v>
      </c>
      <c r="K3104" s="219"/>
      <c r="L3104" s="219">
        <v>121210</v>
      </c>
    </row>
    <row r="3105" spans="1:12" x14ac:dyDescent="0.2">
      <c r="A3105" s="133">
        <v>2021</v>
      </c>
      <c r="B3105" s="133">
        <v>5</v>
      </c>
      <c r="C3105" s="133">
        <v>27</v>
      </c>
      <c r="D3105" s="141">
        <f t="shared" si="104"/>
        <v>44343</v>
      </c>
      <c r="E3105" s="275">
        <f t="shared" si="105"/>
        <v>44343</v>
      </c>
      <c r="F3105" s="479" t="s">
        <v>736</v>
      </c>
      <c r="G3105" s="174" t="s">
        <v>74</v>
      </c>
      <c r="H3105" s="148" t="str" cm="1">
        <f t="array" ref="H3105">IFERROR(INDEX(INVESTOR_LIST[INVESTOR NAME],MATCH(I3105,INVESTOR_LIST[INVESTOR CODE],0),)," ")</f>
        <v xml:space="preserve"> </v>
      </c>
      <c r="J3105" s="133" t="s">
        <v>168</v>
      </c>
      <c r="K3105" s="218">
        <v>78125.399999999994</v>
      </c>
      <c r="L3105" s="218"/>
    </row>
    <row r="3106" spans="1:12" x14ac:dyDescent="0.2">
      <c r="A3106" s="133">
        <v>2021</v>
      </c>
      <c r="B3106" s="133">
        <v>5</v>
      </c>
      <c r="C3106" s="133">
        <v>27</v>
      </c>
      <c r="D3106" s="141">
        <f t="shared" si="104"/>
        <v>44343</v>
      </c>
      <c r="E3106" s="275">
        <f t="shared" si="105"/>
        <v>44343</v>
      </c>
      <c r="F3106" s="480"/>
      <c r="G3106" s="174" t="s">
        <v>74</v>
      </c>
      <c r="H3106" s="148" t="str" cm="1">
        <f t="array" ref="H3106">IFERROR(INDEX(INVESTOR_LIST[INVESTOR NAME],MATCH(I3106,INVESTOR_LIST[INVESTOR CODE],0),)," ")</f>
        <v xml:space="preserve"> </v>
      </c>
      <c r="J3106" s="133" t="s">
        <v>694</v>
      </c>
      <c r="K3106" s="218"/>
      <c r="L3106" s="218">
        <v>78125.399999999994</v>
      </c>
    </row>
    <row r="3107" spans="1:12" x14ac:dyDescent="0.2">
      <c r="A3107" s="168">
        <v>2021</v>
      </c>
      <c r="B3107" s="168">
        <v>5</v>
      </c>
      <c r="C3107" s="168">
        <v>27</v>
      </c>
      <c r="D3107" s="141">
        <f t="shared" si="104"/>
        <v>44343</v>
      </c>
      <c r="E3107" s="275">
        <f t="shared" si="105"/>
        <v>44343</v>
      </c>
      <c r="F3107" s="479" t="s">
        <v>77</v>
      </c>
      <c r="G3107" s="220" t="s">
        <v>74</v>
      </c>
      <c r="H3107" s="220" t="str" cm="1">
        <f t="array" ref="H3107">IFERROR(INDEX(INVESTOR_LIST[INVESTOR NAME],MATCH(I3107,INVESTOR_LIST[INVESTOR CODE],0),)," ")</f>
        <v xml:space="preserve"> </v>
      </c>
      <c r="I3107" s="142" t="s">
        <v>348</v>
      </c>
      <c r="J3107" s="143" t="s">
        <v>61</v>
      </c>
      <c r="K3107" s="226">
        <v>60</v>
      </c>
      <c r="L3107" s="226"/>
    </row>
    <row r="3108" spans="1:12" x14ac:dyDescent="0.2">
      <c r="A3108" s="163">
        <v>2021</v>
      </c>
      <c r="B3108" s="163">
        <v>5</v>
      </c>
      <c r="C3108" s="163">
        <v>27</v>
      </c>
      <c r="D3108" s="141">
        <f t="shared" si="104"/>
        <v>44343</v>
      </c>
      <c r="E3108" s="275">
        <f t="shared" si="105"/>
        <v>44343</v>
      </c>
      <c r="F3108" s="480"/>
      <c r="G3108" s="221" t="s">
        <v>74</v>
      </c>
      <c r="H3108" s="221" t="str" cm="1">
        <f t="array" ref="H3108">IFERROR(INDEX(INVESTOR_LIST[INVESTOR NAME],MATCH(I3108,INVESTOR_LIST[INVESTOR CODE],0),)," ")</f>
        <v xml:space="preserve"> </v>
      </c>
      <c r="I3108" s="145" t="s">
        <v>348</v>
      </c>
      <c r="J3108" s="146" t="s">
        <v>52</v>
      </c>
      <c r="K3108" s="219"/>
      <c r="L3108" s="219">
        <v>60</v>
      </c>
    </row>
    <row r="3109" spans="1:12" x14ac:dyDescent="0.2">
      <c r="A3109" s="238">
        <v>2021</v>
      </c>
      <c r="B3109" s="238">
        <v>5</v>
      </c>
      <c r="C3109" s="238">
        <v>27</v>
      </c>
      <c r="D3109" s="141">
        <f t="shared" si="104"/>
        <v>44343</v>
      </c>
      <c r="E3109" s="275">
        <f t="shared" si="105"/>
        <v>44343</v>
      </c>
      <c r="F3109" s="477" t="s">
        <v>347</v>
      </c>
      <c r="G3109" s="239" t="s">
        <v>94</v>
      </c>
      <c r="H3109" s="239" t="str" cm="1">
        <f t="array" ref="H3109">IFERROR(INDEX(INVESTOR_LIST[INVESTOR NAME],MATCH(I3109,INVESTOR_LIST[INVESTOR CODE],0),)," ")</f>
        <v xml:space="preserve"> </v>
      </c>
      <c r="I3109" s="262" t="s">
        <v>348</v>
      </c>
      <c r="J3109" s="240" t="s">
        <v>108</v>
      </c>
      <c r="K3109" s="241">
        <v>1968182.6110366564</v>
      </c>
      <c r="L3109" s="241"/>
    </row>
    <row r="3110" spans="1:12" x14ac:dyDescent="0.2">
      <c r="A3110" s="242">
        <v>2021</v>
      </c>
      <c r="B3110" s="242">
        <v>5</v>
      </c>
      <c r="C3110" s="242">
        <v>27</v>
      </c>
      <c r="D3110" s="141">
        <f t="shared" si="104"/>
        <v>44343</v>
      </c>
      <c r="E3110" s="275">
        <f t="shared" si="105"/>
        <v>44343</v>
      </c>
      <c r="F3110" s="478"/>
      <c r="G3110" s="243" t="s">
        <v>94</v>
      </c>
      <c r="H3110" s="243" t="str" cm="1">
        <f t="array" ref="H3110">IFERROR(INDEX(INVESTOR_LIST[INVESTOR NAME],MATCH(I3110,INVESTOR_LIST[INVESTOR CODE],0),)," ")</f>
        <v xml:space="preserve"> </v>
      </c>
      <c r="I3110" s="263" t="s">
        <v>348</v>
      </c>
      <c r="J3110" s="244" t="s">
        <v>82</v>
      </c>
      <c r="K3110" s="245"/>
      <c r="L3110" s="245">
        <v>1968182.6110366564</v>
      </c>
    </row>
    <row r="3111" spans="1:12" ht="22.5" x14ac:dyDescent="0.2">
      <c r="A3111" s="238">
        <v>2021</v>
      </c>
      <c r="B3111" s="238">
        <v>5</v>
      </c>
      <c r="C3111" s="238">
        <v>27</v>
      </c>
      <c r="D3111" s="141">
        <f t="shared" si="104"/>
        <v>44343</v>
      </c>
      <c r="E3111" s="275">
        <f t="shared" si="105"/>
        <v>44343</v>
      </c>
      <c r="F3111" s="482" t="s">
        <v>148</v>
      </c>
      <c r="G3111" s="247" t="s">
        <v>94</v>
      </c>
      <c r="H3111" s="247" t="str" cm="1">
        <f t="array" ref="H3111">IFERROR(INDEX(INVESTOR_LIST[INVESTOR NAME],MATCH(I3111,INVESTOR_LIST[INVESTOR CODE],0),)," ")</f>
        <v xml:space="preserve"> </v>
      </c>
      <c r="I3111" s="248" t="s">
        <v>348</v>
      </c>
      <c r="J3111" s="249" t="s">
        <v>95</v>
      </c>
      <c r="K3111" s="250">
        <v>2747.2527472527472</v>
      </c>
      <c r="L3111" s="241"/>
    </row>
    <row r="3112" spans="1:12" x14ac:dyDescent="0.2">
      <c r="A3112" s="242">
        <v>2021</v>
      </c>
      <c r="B3112" s="242">
        <v>5</v>
      </c>
      <c r="C3112" s="242">
        <v>27</v>
      </c>
      <c r="D3112" s="141">
        <f t="shared" si="104"/>
        <v>44343</v>
      </c>
      <c r="E3112" s="275">
        <f t="shared" si="105"/>
        <v>44343</v>
      </c>
      <c r="F3112" s="478"/>
      <c r="G3112" s="243" t="s">
        <v>94</v>
      </c>
      <c r="H3112" s="243" t="str" cm="1">
        <f t="array" ref="H3112">IFERROR(INDEX(INVESTOR_LIST[INVESTOR NAME],MATCH(I3112,INVESTOR_LIST[INVESTOR CODE],0),)," ")</f>
        <v xml:space="preserve"> </v>
      </c>
      <c r="I3112" s="263" t="s">
        <v>348</v>
      </c>
      <c r="J3112" s="244" t="s">
        <v>63</v>
      </c>
      <c r="K3112" s="245"/>
      <c r="L3112" s="245">
        <v>2747.2527472527472</v>
      </c>
    </row>
    <row r="3113" spans="1:12" x14ac:dyDescent="0.2">
      <c r="A3113" s="238">
        <v>2021</v>
      </c>
      <c r="B3113" s="238">
        <v>5</v>
      </c>
      <c r="C3113" s="238">
        <v>27</v>
      </c>
      <c r="D3113" s="141">
        <f t="shared" si="104"/>
        <v>44343</v>
      </c>
      <c r="E3113" s="275">
        <f t="shared" si="105"/>
        <v>44343</v>
      </c>
      <c r="F3113" s="482" t="s">
        <v>137</v>
      </c>
      <c r="G3113" s="247" t="s">
        <v>94</v>
      </c>
      <c r="H3113" s="247" t="str" cm="1">
        <f t="array" ref="H3113">IFERROR(INDEX(INVESTOR_LIST[INVESTOR NAME],MATCH(I3113,INVESTOR_LIST[INVESTOR CODE],0),)," ")</f>
        <v xml:space="preserve"> </v>
      </c>
      <c r="I3113" s="248" t="s">
        <v>348</v>
      </c>
      <c r="J3113" s="249" t="s">
        <v>97</v>
      </c>
      <c r="K3113" s="250">
        <v>101172.04494660147</v>
      </c>
      <c r="L3113" s="252"/>
    </row>
    <row r="3114" spans="1:12" x14ac:dyDescent="0.2">
      <c r="A3114" s="242">
        <v>2021</v>
      </c>
      <c r="B3114" s="242">
        <v>5</v>
      </c>
      <c r="C3114" s="242">
        <v>27</v>
      </c>
      <c r="D3114" s="141">
        <f t="shared" si="104"/>
        <v>44343</v>
      </c>
      <c r="E3114" s="275">
        <f t="shared" si="105"/>
        <v>44343</v>
      </c>
      <c r="F3114" s="478"/>
      <c r="G3114" s="243" t="s">
        <v>94</v>
      </c>
      <c r="H3114" s="243" t="str" cm="1">
        <f t="array" ref="H3114">IFERROR(INDEX(INVESTOR_LIST[INVESTOR NAME],MATCH(I3114,INVESTOR_LIST[INVESTOR CODE],0),)," ")</f>
        <v xml:space="preserve"> </v>
      </c>
      <c r="I3114" s="263" t="s">
        <v>348</v>
      </c>
      <c r="J3114" s="244" t="s">
        <v>47</v>
      </c>
      <c r="K3114" s="245"/>
      <c r="L3114" s="245">
        <v>101172.04494660147</v>
      </c>
    </row>
    <row r="3115" spans="1:12" x14ac:dyDescent="0.2">
      <c r="A3115" s="238">
        <v>2021</v>
      </c>
      <c r="B3115" s="238">
        <v>5</v>
      </c>
      <c r="C3115" s="238">
        <v>27</v>
      </c>
      <c r="D3115" s="141">
        <f t="shared" si="104"/>
        <v>44343</v>
      </c>
      <c r="E3115" s="275">
        <f t="shared" si="105"/>
        <v>44343</v>
      </c>
      <c r="F3115" s="482" t="s">
        <v>138</v>
      </c>
      <c r="G3115" s="247" t="s">
        <v>94</v>
      </c>
      <c r="H3115" s="247" t="str" cm="1">
        <f t="array" ref="H3115">IFERROR(INDEX(INVESTOR_LIST[INVESTOR NAME],MATCH(I3115,INVESTOR_LIST[INVESTOR CODE],0),)," ")</f>
        <v xml:space="preserve"> </v>
      </c>
      <c r="I3115" s="248" t="s">
        <v>348</v>
      </c>
      <c r="J3115" s="249" t="s">
        <v>100</v>
      </c>
      <c r="K3115" s="250">
        <v>4821.7260733631747</v>
      </c>
      <c r="L3115" s="252"/>
    </row>
    <row r="3116" spans="1:12" x14ac:dyDescent="0.2">
      <c r="A3116" s="242">
        <v>2021</v>
      </c>
      <c r="B3116" s="242">
        <v>5</v>
      </c>
      <c r="C3116" s="242">
        <v>27</v>
      </c>
      <c r="D3116" s="141">
        <f t="shared" si="104"/>
        <v>44343</v>
      </c>
      <c r="E3116" s="275">
        <f t="shared" si="105"/>
        <v>44343</v>
      </c>
      <c r="F3116" s="478"/>
      <c r="G3116" s="243" t="s">
        <v>94</v>
      </c>
      <c r="H3116" s="243" t="str" cm="1">
        <f t="array" ref="H3116">IFERROR(INDEX(INVESTOR_LIST[INVESTOR NAME],MATCH(I3116,INVESTOR_LIST[INVESTOR CODE],0),)," ")</f>
        <v xml:space="preserve"> </v>
      </c>
      <c r="I3116" s="263" t="s">
        <v>348</v>
      </c>
      <c r="J3116" s="244" t="s">
        <v>48</v>
      </c>
      <c r="K3116" s="245"/>
      <c r="L3116" s="245">
        <v>4821.7260733631747</v>
      </c>
    </row>
    <row r="3117" spans="1:12" x14ac:dyDescent="0.2">
      <c r="A3117" s="133">
        <v>2021</v>
      </c>
      <c r="B3117" s="133">
        <v>5</v>
      </c>
      <c r="C3117" s="133">
        <v>30</v>
      </c>
      <c r="D3117" s="141">
        <f t="shared" si="104"/>
        <v>44346</v>
      </c>
      <c r="E3117" s="275">
        <f t="shared" si="105"/>
        <v>44346</v>
      </c>
      <c r="F3117" s="479" t="s">
        <v>721</v>
      </c>
      <c r="G3117" s="220" t="s">
        <v>94</v>
      </c>
      <c r="H3117" s="142" t="str" cm="1">
        <f t="array" ref="H3117">IFERROR(INDEX(INVESTOR_LIST[INVESTOR NAME],MATCH(I3117,INVESTOR_LIST[INVESTOR CODE],0),)," ")</f>
        <v xml:space="preserve"> </v>
      </c>
      <c r="I3117" s="142"/>
      <c r="J3117" s="168" t="s">
        <v>79</v>
      </c>
      <c r="K3117" s="226">
        <v>22330</v>
      </c>
      <c r="L3117" s="226"/>
    </row>
    <row r="3118" spans="1:12" x14ac:dyDescent="0.2">
      <c r="A3118" s="133">
        <v>2021</v>
      </c>
      <c r="B3118" s="133">
        <v>5</v>
      </c>
      <c r="C3118" s="133">
        <v>30</v>
      </c>
      <c r="D3118" s="141">
        <f t="shared" si="104"/>
        <v>44346</v>
      </c>
      <c r="E3118" s="275">
        <f t="shared" si="105"/>
        <v>44346</v>
      </c>
      <c r="F3118" s="481"/>
      <c r="G3118" s="174" t="s">
        <v>94</v>
      </c>
      <c r="H3118" s="148" t="str" cm="1">
        <f t="array" ref="H3118">IFERROR(INDEX(INVESTOR_LIST[INVESTOR NAME],MATCH(I3118,INVESTOR_LIST[INVESTOR CODE],0),)," ")</f>
        <v xml:space="preserve"> </v>
      </c>
      <c r="J3118" s="133" t="s">
        <v>52</v>
      </c>
      <c r="K3118" s="218">
        <v>377670</v>
      </c>
      <c r="L3118" s="218"/>
    </row>
    <row r="3119" spans="1:12" x14ac:dyDescent="0.2">
      <c r="A3119" s="163">
        <v>2021</v>
      </c>
      <c r="B3119" s="163">
        <v>5</v>
      </c>
      <c r="C3119" s="163">
        <v>30</v>
      </c>
      <c r="D3119" s="141">
        <f t="shared" si="104"/>
        <v>44346</v>
      </c>
      <c r="E3119" s="275">
        <f t="shared" si="105"/>
        <v>44346</v>
      </c>
      <c r="F3119" s="480"/>
      <c r="G3119" s="221" t="s">
        <v>94</v>
      </c>
      <c r="H3119" s="145" t="str" cm="1">
        <f t="array" ref="H3119">IFERROR(INDEX(INVESTOR_LIST[INVESTOR NAME],MATCH(I3119,INVESTOR_LIST[INVESTOR CODE],0),)," ")</f>
        <v xml:space="preserve"> </v>
      </c>
      <c r="I3119" s="145"/>
      <c r="J3119" s="163" t="s">
        <v>184</v>
      </c>
      <c r="K3119" s="219"/>
      <c r="L3119" s="219">
        <v>400000</v>
      </c>
    </row>
    <row r="3120" spans="1:12" x14ac:dyDescent="0.2">
      <c r="A3120" s="168">
        <v>2021</v>
      </c>
      <c r="B3120" s="168">
        <v>5</v>
      </c>
      <c r="C3120" s="168">
        <v>30</v>
      </c>
      <c r="D3120" s="141">
        <f t="shared" si="104"/>
        <v>44346</v>
      </c>
      <c r="E3120" s="275">
        <f t="shared" si="105"/>
        <v>44346</v>
      </c>
      <c r="F3120" s="479" t="s">
        <v>274</v>
      </c>
      <c r="G3120" s="220" t="s">
        <v>94</v>
      </c>
      <c r="H3120" s="142" t="str" cm="1">
        <f t="array" ref="H3120">IFERROR(INDEX(INVESTOR_LIST[INVESTOR NAME],MATCH(I3120,INVESTOR_LIST[INVESTOR CODE],0),)," ")</f>
        <v xml:space="preserve"> </v>
      </c>
      <c r="I3120" s="142"/>
      <c r="J3120" s="168" t="s">
        <v>79</v>
      </c>
      <c r="K3120" s="226">
        <v>8747131.5999999996</v>
      </c>
      <c r="L3120" s="226"/>
    </row>
    <row r="3121" spans="1:14" x14ac:dyDescent="0.2">
      <c r="A3121" s="133">
        <v>2021</v>
      </c>
      <c r="B3121" s="133">
        <v>5</v>
      </c>
      <c r="C3121" s="133">
        <v>30</v>
      </c>
      <c r="D3121" s="141">
        <f t="shared" si="104"/>
        <v>44346</v>
      </c>
      <c r="E3121" s="275">
        <f t="shared" si="105"/>
        <v>44346</v>
      </c>
      <c r="F3121" s="481"/>
      <c r="G3121" s="174" t="s">
        <v>94</v>
      </c>
      <c r="H3121" s="148" t="str" cm="1">
        <f t="array" ref="H3121">IFERROR(INDEX(INVESTOR_LIST[INVESTOR NAME],MATCH(I3121,INVESTOR_LIST[INVESTOR CODE],0),)," ")</f>
        <v xml:space="preserve"> </v>
      </c>
      <c r="J3121" s="133" t="s">
        <v>80</v>
      </c>
      <c r="K3121" s="218">
        <f>15744.84+8193.54</f>
        <v>23938.38</v>
      </c>
      <c r="L3121" s="218"/>
    </row>
    <row r="3122" spans="1:14" x14ac:dyDescent="0.2">
      <c r="A3122" s="133">
        <v>2021</v>
      </c>
      <c r="B3122" s="133">
        <v>5</v>
      </c>
      <c r="C3122" s="133">
        <v>30</v>
      </c>
      <c r="D3122" s="141">
        <f t="shared" si="104"/>
        <v>44346</v>
      </c>
      <c r="E3122" s="275">
        <f t="shared" si="105"/>
        <v>44346</v>
      </c>
      <c r="F3122" s="481"/>
      <c r="G3122" s="174" t="s">
        <v>94</v>
      </c>
      <c r="H3122" s="148" t="str" cm="1">
        <f t="array" ref="H3122">IFERROR(INDEX(INVESTOR_LIST[INVESTOR NAME],MATCH(I3122,INVESTOR_LIST[INVESTOR CODE],0),)," ")</f>
        <v xml:space="preserve"> </v>
      </c>
      <c r="J3122" s="133" t="s">
        <v>191</v>
      </c>
      <c r="K3122" s="218">
        <v>101842.6</v>
      </c>
      <c r="L3122" s="218"/>
    </row>
    <row r="3123" spans="1:14" x14ac:dyDescent="0.2">
      <c r="A3123" s="133">
        <v>2021</v>
      </c>
      <c r="B3123" s="133">
        <v>5</v>
      </c>
      <c r="C3123" s="133">
        <v>30</v>
      </c>
      <c r="D3123" s="141">
        <f t="shared" si="104"/>
        <v>44346</v>
      </c>
      <c r="E3123" s="275">
        <f t="shared" si="105"/>
        <v>44346</v>
      </c>
      <c r="F3123" s="481"/>
      <c r="G3123" s="174" t="s">
        <v>94</v>
      </c>
      <c r="H3123" s="148" t="str" cm="1">
        <f t="array" ref="H3123">IFERROR(INDEX(INVESTOR_LIST[INVESTOR NAME],MATCH(I3123,INVESTOR_LIST[INVESTOR CODE],0),)," ")</f>
        <v xml:space="preserve"> </v>
      </c>
      <c r="J3123" s="133" t="s">
        <v>147</v>
      </c>
      <c r="K3123" s="218"/>
      <c r="L3123" s="218">
        <v>4219103.08</v>
      </c>
    </row>
    <row r="3124" spans="1:14" x14ac:dyDescent="0.2">
      <c r="A3124" s="163">
        <v>2021</v>
      </c>
      <c r="B3124" s="163">
        <v>5</v>
      </c>
      <c r="C3124" s="163">
        <v>30</v>
      </c>
      <c r="D3124" s="141">
        <f t="shared" si="104"/>
        <v>44346</v>
      </c>
      <c r="E3124" s="275">
        <f t="shared" si="105"/>
        <v>44346</v>
      </c>
      <c r="F3124" s="480"/>
      <c r="G3124" s="221" t="s">
        <v>94</v>
      </c>
      <c r="H3124" s="145" t="str" cm="1">
        <f t="array" ref="H3124">IFERROR(INDEX(INVESTOR_LIST[INVESTOR NAME],MATCH(I3124,INVESTOR_LIST[INVESTOR CODE],0),)," ")</f>
        <v xml:space="preserve"> </v>
      </c>
      <c r="I3124" s="145"/>
      <c r="J3124" s="163" t="s">
        <v>79</v>
      </c>
      <c r="K3124" s="219"/>
      <c r="L3124" s="219">
        <v>4653809.5</v>
      </c>
    </row>
    <row r="3125" spans="1:14" ht="11.25" customHeight="1" x14ac:dyDescent="0.2">
      <c r="A3125" s="168">
        <v>2021</v>
      </c>
      <c r="B3125" s="168">
        <v>5</v>
      </c>
      <c r="C3125" s="168">
        <v>30</v>
      </c>
      <c r="D3125" s="141">
        <f t="shared" si="104"/>
        <v>44346</v>
      </c>
      <c r="E3125" s="275">
        <f t="shared" si="105"/>
        <v>44346</v>
      </c>
      <c r="F3125" s="479" t="s">
        <v>254</v>
      </c>
      <c r="G3125" s="220" t="s">
        <v>74</v>
      </c>
      <c r="H3125" s="142" t="str" cm="1">
        <f t="array" ref="H3125">IFERROR(INDEX(INVESTOR_LIST[INVESTOR NAME],MATCH(I3125,INVESTOR_LIST[INVESTOR CODE],0),)," ")</f>
        <v xml:space="preserve"> </v>
      </c>
      <c r="I3125" s="142"/>
      <c r="J3125" s="168" t="s">
        <v>52</v>
      </c>
      <c r="K3125" s="226">
        <v>449000</v>
      </c>
      <c r="L3125" s="226"/>
    </row>
    <row r="3126" spans="1:14" x14ac:dyDescent="0.2">
      <c r="A3126" s="133">
        <v>2021</v>
      </c>
      <c r="B3126" s="133">
        <v>5</v>
      </c>
      <c r="C3126" s="133">
        <v>30</v>
      </c>
      <c r="D3126" s="141">
        <f t="shared" si="104"/>
        <v>44346</v>
      </c>
      <c r="E3126" s="275">
        <f t="shared" si="105"/>
        <v>44346</v>
      </c>
      <c r="F3126" s="481"/>
      <c r="G3126" s="174" t="s">
        <v>74</v>
      </c>
      <c r="H3126" s="148" t="str" cm="1">
        <f t="array" ref="H3126">IFERROR(INDEX(INVESTOR_LIST[INVESTOR NAME],MATCH(I3126,INVESTOR_LIST[INVESTOR CODE],0),)," ")</f>
        <v xml:space="preserve"> </v>
      </c>
      <c r="J3126" s="133" t="s">
        <v>13</v>
      </c>
      <c r="K3126" s="218"/>
      <c r="L3126" s="218">
        <v>340240</v>
      </c>
    </row>
    <row r="3127" spans="1:14" x14ac:dyDescent="0.2">
      <c r="A3127" s="163">
        <v>2021</v>
      </c>
      <c r="B3127" s="163">
        <v>5</v>
      </c>
      <c r="C3127" s="163">
        <v>30</v>
      </c>
      <c r="D3127" s="141">
        <f t="shared" si="104"/>
        <v>44346</v>
      </c>
      <c r="E3127" s="275">
        <f t="shared" si="105"/>
        <v>44346</v>
      </c>
      <c r="F3127" s="480"/>
      <c r="G3127" s="221" t="s">
        <v>74</v>
      </c>
      <c r="H3127" s="145" t="str" cm="1">
        <f t="array" ref="H3127">IFERROR(INDEX(INVESTOR_LIST[INVESTOR NAME],MATCH(I3127,INVESTOR_LIST[INVESTOR CODE],0),)," ")</f>
        <v xml:space="preserve"> </v>
      </c>
      <c r="I3127" s="145"/>
      <c r="J3127" s="163" t="s">
        <v>53</v>
      </c>
      <c r="K3127" s="219"/>
      <c r="L3127" s="219">
        <v>108760</v>
      </c>
    </row>
    <row r="3128" spans="1:14" x14ac:dyDescent="0.2">
      <c r="A3128" s="133">
        <v>2021</v>
      </c>
      <c r="B3128" s="133">
        <v>5</v>
      </c>
      <c r="C3128" s="133">
        <v>30</v>
      </c>
      <c r="D3128" s="141">
        <f t="shared" si="104"/>
        <v>44346</v>
      </c>
      <c r="E3128" s="275">
        <f t="shared" si="105"/>
        <v>44346</v>
      </c>
      <c r="F3128" s="479" t="s">
        <v>735</v>
      </c>
      <c r="G3128" s="174" t="s">
        <v>74</v>
      </c>
      <c r="H3128" s="148" t="str" cm="1">
        <f t="array" ref="H3128">IFERROR(INDEX(INVESTOR_LIST[INVESTOR NAME],MATCH(I3128,INVESTOR_LIST[INVESTOR CODE],0),)," ")</f>
        <v xml:space="preserve"> </v>
      </c>
      <c r="J3128" s="133" t="s">
        <v>52</v>
      </c>
      <c r="K3128" s="218">
        <v>4192369.33</v>
      </c>
      <c r="L3128" s="218"/>
    </row>
    <row r="3129" spans="1:14" x14ac:dyDescent="0.2">
      <c r="A3129" s="163">
        <v>2021</v>
      </c>
      <c r="B3129" s="163">
        <v>5</v>
      </c>
      <c r="C3129" s="163">
        <v>30</v>
      </c>
      <c r="D3129" s="141">
        <f t="shared" si="104"/>
        <v>44346</v>
      </c>
      <c r="E3129" s="275">
        <f t="shared" si="105"/>
        <v>44346</v>
      </c>
      <c r="F3129" s="480"/>
      <c r="G3129" s="174" t="s">
        <v>74</v>
      </c>
      <c r="H3129" s="148" t="str" cm="1">
        <f t="array" ref="H3129">IFERROR(INDEX(INVESTOR_LIST[INVESTOR NAME],MATCH(I3129,INVESTOR_LIST[INVESTOR CODE],0),)," ")</f>
        <v xml:space="preserve"> </v>
      </c>
      <c r="J3129" s="133" t="s">
        <v>190</v>
      </c>
      <c r="K3129" s="218"/>
      <c r="L3129" s="218">
        <v>4192369.33</v>
      </c>
      <c r="N3129" s="156">
        <f>K3130/13.2</f>
        <v>75757.57575757576</v>
      </c>
    </row>
    <row r="3130" spans="1:14" ht="11.25" customHeight="1" x14ac:dyDescent="0.2">
      <c r="A3130" s="168">
        <v>2021</v>
      </c>
      <c r="B3130" s="168">
        <v>5</v>
      </c>
      <c r="C3130" s="168">
        <v>31</v>
      </c>
      <c r="D3130" s="141">
        <f t="shared" si="104"/>
        <v>44347</v>
      </c>
      <c r="E3130" s="275">
        <f t="shared" si="105"/>
        <v>44347</v>
      </c>
      <c r="F3130" s="479" t="s">
        <v>964</v>
      </c>
      <c r="G3130" s="220" t="s">
        <v>74</v>
      </c>
      <c r="H3130" s="142" t="str" cm="1">
        <f t="array" ref="H3130">IFERROR(INDEX(INVESTOR_LIST[INVESTOR NAME],MATCH(I3130,INVESTOR_LIST[INVESTOR CODE],0),)," ")</f>
        <v>TANIZA MAZED</v>
      </c>
      <c r="I3130" s="142" t="s">
        <v>387</v>
      </c>
      <c r="J3130" s="168" t="s">
        <v>52</v>
      </c>
      <c r="K3130" s="226">
        <v>1000000</v>
      </c>
      <c r="L3130" s="226"/>
    </row>
    <row r="3131" spans="1:14" ht="22.5" x14ac:dyDescent="0.2">
      <c r="A3131" s="133">
        <v>2021</v>
      </c>
      <c r="B3131" s="133">
        <v>5</v>
      </c>
      <c r="C3131" s="133">
        <v>31</v>
      </c>
      <c r="D3131" s="141">
        <f t="shared" si="104"/>
        <v>44347</v>
      </c>
      <c r="E3131" s="275">
        <f t="shared" si="105"/>
        <v>44347</v>
      </c>
      <c r="F3131" s="481"/>
      <c r="G3131" s="174" t="s">
        <v>74</v>
      </c>
      <c r="H3131" s="148" t="str" cm="1">
        <f t="array" ref="H3131">IFERROR(INDEX(INVESTOR_LIST[INVESTOR NAME],MATCH(I3131,INVESTOR_LIST[INVESTOR CODE],0),)," ")</f>
        <v>TANIZA MAZED</v>
      </c>
      <c r="I3131" s="148" t="s">
        <v>387</v>
      </c>
      <c r="J3131" s="133" t="s">
        <v>13</v>
      </c>
      <c r="K3131" s="218"/>
      <c r="L3131" s="218">
        <v>757580</v>
      </c>
    </row>
    <row r="3132" spans="1:14" ht="22.5" x14ac:dyDescent="0.2">
      <c r="A3132" s="163">
        <v>2021</v>
      </c>
      <c r="B3132" s="163">
        <v>5</v>
      </c>
      <c r="C3132" s="163">
        <v>31</v>
      </c>
      <c r="D3132" s="141">
        <f t="shared" si="104"/>
        <v>44347</v>
      </c>
      <c r="E3132" s="275">
        <f t="shared" si="105"/>
        <v>44347</v>
      </c>
      <c r="F3132" s="480"/>
      <c r="G3132" s="221" t="s">
        <v>74</v>
      </c>
      <c r="H3132" s="145" t="str" cm="1">
        <f t="array" ref="H3132">IFERROR(INDEX(INVESTOR_LIST[INVESTOR NAME],MATCH(I3132,INVESTOR_LIST[INVESTOR CODE],0),)," ")</f>
        <v>TANIZA MAZED</v>
      </c>
      <c r="I3132" s="145" t="s">
        <v>387</v>
      </c>
      <c r="J3132" s="163" t="s">
        <v>53</v>
      </c>
      <c r="K3132" s="219"/>
      <c r="L3132" s="219">
        <v>242420</v>
      </c>
      <c r="N3132" s="156">
        <f>K3133/13.2</f>
        <v>7575.757575757576</v>
      </c>
    </row>
    <row r="3133" spans="1:14" ht="11.25" customHeight="1" x14ac:dyDescent="0.2">
      <c r="A3133" s="168">
        <v>2021</v>
      </c>
      <c r="B3133" s="168">
        <v>5</v>
      </c>
      <c r="C3133" s="168">
        <v>31</v>
      </c>
      <c r="D3133" s="141">
        <f t="shared" si="104"/>
        <v>44347</v>
      </c>
      <c r="E3133" s="275">
        <f t="shared" si="105"/>
        <v>44347</v>
      </c>
      <c r="F3133" s="479" t="s">
        <v>964</v>
      </c>
      <c r="G3133" s="220" t="s">
        <v>74</v>
      </c>
      <c r="H3133" s="142" t="str" cm="1">
        <f t="array" ref="H3133">IFERROR(INDEX(INVESTOR_LIST[INVESTOR NAME],MATCH(I3133,INVESTOR_LIST[INVESTOR CODE],0),)," ")</f>
        <v>MD KAMAL HOSSAIN</v>
      </c>
      <c r="I3133" s="142" t="s">
        <v>723</v>
      </c>
      <c r="J3133" s="168" t="s">
        <v>52</v>
      </c>
      <c r="K3133" s="226">
        <v>100000</v>
      </c>
      <c r="L3133" s="226"/>
    </row>
    <row r="3134" spans="1:14" ht="33.75" x14ac:dyDescent="0.2">
      <c r="A3134" s="133">
        <v>2021</v>
      </c>
      <c r="B3134" s="133">
        <v>5</v>
      </c>
      <c r="C3134" s="133">
        <v>31</v>
      </c>
      <c r="D3134" s="141">
        <f t="shared" si="104"/>
        <v>44347</v>
      </c>
      <c r="E3134" s="275">
        <f t="shared" si="105"/>
        <v>44347</v>
      </c>
      <c r="F3134" s="481"/>
      <c r="G3134" s="174" t="s">
        <v>74</v>
      </c>
      <c r="H3134" s="148" t="str" cm="1">
        <f t="array" ref="H3134">IFERROR(INDEX(INVESTOR_LIST[INVESTOR NAME],MATCH(I3134,INVESTOR_LIST[INVESTOR CODE],0),)," ")</f>
        <v>MD KAMAL HOSSAIN</v>
      </c>
      <c r="I3134" s="148" t="s">
        <v>723</v>
      </c>
      <c r="J3134" s="133" t="s">
        <v>13</v>
      </c>
      <c r="K3134" s="218"/>
      <c r="L3134" s="218">
        <v>75760</v>
      </c>
    </row>
    <row r="3135" spans="1:14" ht="33.75" x14ac:dyDescent="0.2">
      <c r="A3135" s="163">
        <v>2021</v>
      </c>
      <c r="B3135" s="163">
        <v>5</v>
      </c>
      <c r="C3135" s="163">
        <v>31</v>
      </c>
      <c r="D3135" s="141">
        <f t="shared" si="104"/>
        <v>44347</v>
      </c>
      <c r="E3135" s="275">
        <f t="shared" si="105"/>
        <v>44347</v>
      </c>
      <c r="F3135" s="480"/>
      <c r="G3135" s="221" t="s">
        <v>74</v>
      </c>
      <c r="H3135" s="145" t="str" cm="1">
        <f t="array" ref="H3135">IFERROR(INDEX(INVESTOR_LIST[INVESTOR NAME],MATCH(I3135,INVESTOR_LIST[INVESTOR CODE],0),)," ")</f>
        <v>MD KAMAL HOSSAIN</v>
      </c>
      <c r="I3135" s="145" t="s">
        <v>723</v>
      </c>
      <c r="J3135" s="163" t="s">
        <v>53</v>
      </c>
      <c r="K3135" s="219"/>
      <c r="L3135" s="219">
        <v>24240</v>
      </c>
      <c r="N3135" s="156">
        <f>K3136/13.28</f>
        <v>22590.361445783135</v>
      </c>
    </row>
    <row r="3136" spans="1:14" ht="11.25" customHeight="1" x14ac:dyDescent="0.2">
      <c r="A3136" s="168">
        <v>2021</v>
      </c>
      <c r="B3136" s="168">
        <v>5</v>
      </c>
      <c r="C3136" s="168">
        <v>31</v>
      </c>
      <c r="D3136" s="141">
        <f t="shared" si="104"/>
        <v>44347</v>
      </c>
      <c r="E3136" s="275">
        <f t="shared" si="105"/>
        <v>44347</v>
      </c>
      <c r="F3136" s="479" t="s">
        <v>964</v>
      </c>
      <c r="G3136" s="220" t="s">
        <v>74</v>
      </c>
      <c r="H3136" s="142" t="str" cm="1">
        <f t="array" ref="H3136">IFERROR(INDEX(INVESTOR_LIST[INVESTOR NAME],MATCH(I3136,INVESTOR_LIST[INVESTOR CODE],0),)," ")</f>
        <v>MOHAMMAD MONJUR ALAM</v>
      </c>
      <c r="I3136" s="142" t="s">
        <v>431</v>
      </c>
      <c r="J3136" s="168" t="s">
        <v>52</v>
      </c>
      <c r="K3136" s="226">
        <v>300000</v>
      </c>
      <c r="L3136" s="226"/>
    </row>
    <row r="3137" spans="1:14" ht="11.25" customHeight="1" x14ac:dyDescent="0.2">
      <c r="A3137" s="133">
        <v>2021</v>
      </c>
      <c r="B3137" s="133">
        <v>5</v>
      </c>
      <c r="C3137" s="133">
        <v>31</v>
      </c>
      <c r="D3137" s="141">
        <f t="shared" si="104"/>
        <v>44347</v>
      </c>
      <c r="E3137" s="275">
        <f t="shared" si="105"/>
        <v>44347</v>
      </c>
      <c r="F3137" s="481"/>
      <c r="G3137" s="174" t="s">
        <v>74</v>
      </c>
      <c r="H3137" s="148" t="str" cm="1">
        <f t="array" ref="H3137">IFERROR(INDEX(INVESTOR_LIST[INVESTOR NAME],MATCH(I3137,INVESTOR_LIST[INVESTOR CODE],0),)," ")</f>
        <v>MOHAMMAD MONJUR ALAM</v>
      </c>
      <c r="I3137" s="148" t="s">
        <v>431</v>
      </c>
      <c r="J3137" s="133" t="s">
        <v>13</v>
      </c>
      <c r="K3137" s="218"/>
      <c r="L3137" s="218">
        <v>225900</v>
      </c>
    </row>
    <row r="3138" spans="1:14" ht="45" x14ac:dyDescent="0.2">
      <c r="A3138" s="163">
        <v>2021</v>
      </c>
      <c r="B3138" s="163">
        <v>5</v>
      </c>
      <c r="C3138" s="163">
        <v>31</v>
      </c>
      <c r="D3138" s="141">
        <f t="shared" si="104"/>
        <v>44347</v>
      </c>
      <c r="E3138" s="275">
        <f t="shared" si="105"/>
        <v>44347</v>
      </c>
      <c r="F3138" s="480"/>
      <c r="G3138" s="221" t="s">
        <v>74</v>
      </c>
      <c r="H3138" s="145" t="str" cm="1">
        <f t="array" ref="H3138">IFERROR(INDEX(INVESTOR_LIST[INVESTOR NAME],MATCH(I3138,INVESTOR_LIST[INVESTOR CODE],0),)," ")</f>
        <v>MOHAMMAD MONJUR ALAM</v>
      </c>
      <c r="I3138" s="145" t="s">
        <v>431</v>
      </c>
      <c r="J3138" s="163" t="s">
        <v>53</v>
      </c>
      <c r="K3138" s="219"/>
      <c r="L3138" s="219">
        <v>74100</v>
      </c>
      <c r="N3138" s="156">
        <f>K3139/13.28</f>
        <v>376.50602409638554</v>
      </c>
    </row>
    <row r="3139" spans="1:14" ht="11.25" customHeight="1" x14ac:dyDescent="0.2">
      <c r="A3139" s="168">
        <v>2021</v>
      </c>
      <c r="B3139" s="168">
        <v>5</v>
      </c>
      <c r="C3139" s="168">
        <v>31</v>
      </c>
      <c r="D3139" s="141">
        <f t="shared" si="104"/>
        <v>44347</v>
      </c>
      <c r="E3139" s="275">
        <f t="shared" si="105"/>
        <v>44347</v>
      </c>
      <c r="F3139" s="479" t="s">
        <v>964</v>
      </c>
      <c r="G3139" s="220" t="s">
        <v>74</v>
      </c>
      <c r="H3139" s="142" t="str" cm="1">
        <f t="array" ref="H3139">IFERROR(INDEX(INVESTOR_LIST[INVESTOR NAME],MATCH(I3139,INVESTOR_LIST[INVESTOR CODE],0),)," ")</f>
        <v>MORSHEDA MIM</v>
      </c>
      <c r="I3139" s="142" t="s">
        <v>373</v>
      </c>
      <c r="J3139" s="168" t="s">
        <v>52</v>
      </c>
      <c r="K3139" s="226">
        <v>5000</v>
      </c>
      <c r="L3139" s="226"/>
    </row>
    <row r="3140" spans="1:14" ht="22.5" x14ac:dyDescent="0.2">
      <c r="A3140" s="133">
        <v>2021</v>
      </c>
      <c r="B3140" s="133">
        <v>5</v>
      </c>
      <c r="C3140" s="133">
        <v>31</v>
      </c>
      <c r="D3140" s="141">
        <f t="shared" si="104"/>
        <v>44347</v>
      </c>
      <c r="E3140" s="275">
        <f t="shared" si="105"/>
        <v>44347</v>
      </c>
      <c r="F3140" s="481"/>
      <c r="G3140" s="174" t="s">
        <v>74</v>
      </c>
      <c r="H3140" s="148" t="str" cm="1">
        <f t="array" ref="H3140">IFERROR(INDEX(INVESTOR_LIST[INVESTOR NAME],MATCH(I3140,INVESTOR_LIST[INVESTOR CODE],0),)," ")</f>
        <v>MORSHEDA MIM</v>
      </c>
      <c r="I3140" s="148" t="s">
        <v>373</v>
      </c>
      <c r="J3140" s="133" t="s">
        <v>13</v>
      </c>
      <c r="K3140" s="218"/>
      <c r="L3140" s="218">
        <v>3770</v>
      </c>
    </row>
    <row r="3141" spans="1:14" ht="22.5" x14ac:dyDescent="0.2">
      <c r="A3141" s="163">
        <v>2021</v>
      </c>
      <c r="B3141" s="163">
        <v>5</v>
      </c>
      <c r="C3141" s="163">
        <v>31</v>
      </c>
      <c r="D3141" s="141">
        <f t="shared" si="104"/>
        <v>44347</v>
      </c>
      <c r="E3141" s="275">
        <f t="shared" si="105"/>
        <v>44347</v>
      </c>
      <c r="F3141" s="480"/>
      <c r="G3141" s="221" t="s">
        <v>74</v>
      </c>
      <c r="H3141" s="145" t="str" cm="1">
        <f t="array" ref="H3141">IFERROR(INDEX(INVESTOR_LIST[INVESTOR NAME],MATCH(I3141,INVESTOR_LIST[INVESTOR CODE],0),)," ")</f>
        <v>MORSHEDA MIM</v>
      </c>
      <c r="I3141" s="145" t="s">
        <v>373</v>
      </c>
      <c r="J3141" s="163" t="s">
        <v>53</v>
      </c>
      <c r="K3141" s="219"/>
      <c r="L3141" s="219">
        <v>1230</v>
      </c>
    </row>
    <row r="3142" spans="1:14" x14ac:dyDescent="0.2">
      <c r="A3142" s="168">
        <v>2021</v>
      </c>
      <c r="B3142" s="168">
        <v>5</v>
      </c>
      <c r="C3142" s="168">
        <v>31</v>
      </c>
      <c r="D3142" s="141">
        <f t="shared" si="104"/>
        <v>44347</v>
      </c>
      <c r="E3142" s="275">
        <f t="shared" si="105"/>
        <v>44347</v>
      </c>
      <c r="F3142" s="479" t="s">
        <v>524</v>
      </c>
      <c r="G3142" s="220" t="s">
        <v>74</v>
      </c>
      <c r="H3142" s="142" t="str" cm="1">
        <f t="array" ref="H3142">IFERROR(INDEX(INVESTOR_LIST[INVESTOR NAME],MATCH(I3142,INVESTOR_LIST[INVESTOR CODE],0),)," ")</f>
        <v xml:space="preserve"> </v>
      </c>
      <c r="I3142" s="142"/>
      <c r="J3142" s="168" t="s">
        <v>147</v>
      </c>
      <c r="K3142" s="226">
        <v>10550968.02</v>
      </c>
      <c r="L3142" s="226"/>
    </row>
    <row r="3143" spans="1:14" x14ac:dyDescent="0.2">
      <c r="A3143" s="163">
        <v>2021</v>
      </c>
      <c r="B3143" s="163">
        <v>5</v>
      </c>
      <c r="C3143" s="163">
        <v>31</v>
      </c>
      <c r="D3143" s="141">
        <f t="shared" si="104"/>
        <v>44347</v>
      </c>
      <c r="E3143" s="275">
        <f t="shared" si="105"/>
        <v>44347</v>
      </c>
      <c r="F3143" s="480"/>
      <c r="G3143" s="221" t="s">
        <v>74</v>
      </c>
      <c r="H3143" s="145" t="str" cm="1">
        <f t="array" ref="H3143">IFERROR(INDEX(INVESTOR_LIST[INVESTOR NAME],MATCH(I3143,INVESTOR_LIST[INVESTOR CODE],0),)," ")</f>
        <v xml:space="preserve"> </v>
      </c>
      <c r="I3143" s="145"/>
      <c r="J3143" s="163" t="s">
        <v>52</v>
      </c>
      <c r="K3143" s="219"/>
      <c r="L3143" s="219">
        <v>10550968.02</v>
      </c>
    </row>
    <row r="3144" spans="1:14" x14ac:dyDescent="0.2">
      <c r="A3144" s="133">
        <v>2021</v>
      </c>
      <c r="B3144" s="133">
        <v>5</v>
      </c>
      <c r="C3144" s="133">
        <v>31</v>
      </c>
      <c r="D3144" s="141">
        <f t="shared" si="104"/>
        <v>44347</v>
      </c>
      <c r="E3144" s="275">
        <f t="shared" si="105"/>
        <v>44347</v>
      </c>
      <c r="F3144" s="481" t="s">
        <v>524</v>
      </c>
      <c r="G3144" s="174" t="s">
        <v>74</v>
      </c>
      <c r="H3144" s="148" t="str" cm="1">
        <f t="array" ref="H3144">IFERROR(INDEX(INVESTOR_LIST[INVESTOR NAME],MATCH(I3144,INVESTOR_LIST[INVESTOR CODE],0),)," ")</f>
        <v xml:space="preserve"> </v>
      </c>
      <c r="J3144" s="133" t="s">
        <v>147</v>
      </c>
      <c r="K3144" s="218">
        <v>4219103.08</v>
      </c>
      <c r="L3144" s="218"/>
    </row>
    <row r="3145" spans="1:14" x14ac:dyDescent="0.2">
      <c r="A3145" s="133">
        <v>2021</v>
      </c>
      <c r="B3145" s="133">
        <v>5</v>
      </c>
      <c r="C3145" s="133">
        <v>31</v>
      </c>
      <c r="D3145" s="141">
        <f t="shared" si="104"/>
        <v>44347</v>
      </c>
      <c r="E3145" s="275">
        <f t="shared" si="105"/>
        <v>44347</v>
      </c>
      <c r="F3145" s="480"/>
      <c r="G3145" s="174" t="s">
        <v>74</v>
      </c>
      <c r="H3145" s="148" t="str" cm="1">
        <f t="array" ref="H3145">IFERROR(INDEX(INVESTOR_LIST[INVESTOR NAME],MATCH(I3145,INVESTOR_LIST[INVESTOR CODE],0),)," ")</f>
        <v xml:space="preserve"> </v>
      </c>
      <c r="J3145" s="133" t="s">
        <v>52</v>
      </c>
      <c r="K3145" s="218"/>
      <c r="L3145" s="218">
        <v>4219103.08</v>
      </c>
    </row>
    <row r="3146" spans="1:14" x14ac:dyDescent="0.2">
      <c r="A3146" s="168">
        <v>2021</v>
      </c>
      <c r="B3146" s="168">
        <v>5</v>
      </c>
      <c r="C3146" s="168">
        <v>31</v>
      </c>
      <c r="D3146" s="141">
        <f t="shared" si="104"/>
        <v>44347</v>
      </c>
      <c r="E3146" s="275">
        <f t="shared" si="105"/>
        <v>44347</v>
      </c>
      <c r="F3146" s="479" t="s">
        <v>274</v>
      </c>
      <c r="G3146" s="220" t="s">
        <v>94</v>
      </c>
      <c r="H3146" s="142" t="str" cm="1">
        <f t="array" ref="H3146">IFERROR(INDEX(INVESTOR_LIST[INVESTOR NAME],MATCH(I3146,INVESTOR_LIST[INVESTOR CODE],0),)," ")</f>
        <v xml:space="preserve"> </v>
      </c>
      <c r="I3146" s="142"/>
      <c r="J3146" s="168" t="s">
        <v>79</v>
      </c>
      <c r="K3146" s="226">
        <v>4479167.5</v>
      </c>
      <c r="L3146" s="226"/>
    </row>
    <row r="3147" spans="1:14" x14ac:dyDescent="0.2">
      <c r="A3147" s="133">
        <v>2021</v>
      </c>
      <c r="B3147" s="133">
        <v>5</v>
      </c>
      <c r="C3147" s="133">
        <v>31</v>
      </c>
      <c r="D3147" s="141">
        <f t="shared" si="104"/>
        <v>44347</v>
      </c>
      <c r="E3147" s="275">
        <f t="shared" si="105"/>
        <v>44347</v>
      </c>
      <c r="F3147" s="481"/>
      <c r="G3147" s="174" t="s">
        <v>94</v>
      </c>
      <c r="H3147" s="148" t="str" cm="1">
        <f t="array" ref="H3147">IFERROR(INDEX(INVESTOR_LIST[INVESTOR NAME],MATCH(I3147,INVESTOR_LIST[INVESTOR CODE],0),)," ")</f>
        <v xml:space="preserve"> </v>
      </c>
      <c r="J3147" s="133" t="s">
        <v>80</v>
      </c>
      <c r="K3147" s="218">
        <v>8062.5</v>
      </c>
      <c r="L3147" s="218"/>
    </row>
    <row r="3148" spans="1:14" x14ac:dyDescent="0.2">
      <c r="A3148" s="163">
        <v>2021</v>
      </c>
      <c r="B3148" s="163">
        <v>5</v>
      </c>
      <c r="C3148" s="163">
        <v>31</v>
      </c>
      <c r="D3148" s="141">
        <f t="shared" si="104"/>
        <v>44347</v>
      </c>
      <c r="E3148" s="275">
        <f t="shared" si="105"/>
        <v>44347</v>
      </c>
      <c r="F3148" s="480"/>
      <c r="G3148" s="221" t="s">
        <v>94</v>
      </c>
      <c r="H3148" s="145" t="str" cm="1">
        <f t="array" ref="H3148">IFERROR(INDEX(INVESTOR_LIST[INVESTOR NAME],MATCH(I3148,INVESTOR_LIST[INVESTOR CODE],0),)," ")</f>
        <v xml:space="preserve"> </v>
      </c>
      <c r="I3148" s="145"/>
      <c r="J3148" s="163" t="s">
        <v>147</v>
      </c>
      <c r="K3148" s="219"/>
      <c r="L3148" s="219">
        <v>4487230</v>
      </c>
    </row>
    <row r="3149" spans="1:14" x14ac:dyDescent="0.2">
      <c r="A3149" s="168">
        <v>2021</v>
      </c>
      <c r="B3149" s="168">
        <v>5</v>
      </c>
      <c r="C3149" s="168">
        <v>31</v>
      </c>
      <c r="D3149" s="141">
        <f t="shared" si="104"/>
        <v>44347</v>
      </c>
      <c r="E3149" s="275">
        <f t="shared" si="105"/>
        <v>44347</v>
      </c>
      <c r="F3149" s="479" t="s">
        <v>525</v>
      </c>
      <c r="G3149" s="220" t="s">
        <v>74</v>
      </c>
      <c r="H3149" s="220" t="str" cm="1">
        <f t="array" ref="H3149">IFERROR(INDEX(INVESTOR_LIST[INVESTOR NAME],MATCH(I3149,INVESTOR_LIST[INVESTOR CODE],0),)," ")</f>
        <v xml:space="preserve"> </v>
      </c>
      <c r="I3149" s="142"/>
      <c r="J3149" s="143" t="s">
        <v>52</v>
      </c>
      <c r="K3149" s="226">
        <v>35417</v>
      </c>
      <c r="L3149" s="226"/>
    </row>
    <row r="3150" spans="1:14" x14ac:dyDescent="0.2">
      <c r="A3150" s="163">
        <v>2021</v>
      </c>
      <c r="B3150" s="163">
        <v>5</v>
      </c>
      <c r="C3150" s="163">
        <v>31</v>
      </c>
      <c r="D3150" s="141">
        <f t="shared" ref="D3150:D3213" si="106">DATE(A3150,B3150,C3150)</f>
        <v>44347</v>
      </c>
      <c r="E3150" s="275">
        <f t="shared" si="105"/>
        <v>44347</v>
      </c>
      <c r="F3150" s="480"/>
      <c r="G3150" s="221" t="s">
        <v>74</v>
      </c>
      <c r="H3150" s="221" t="str" cm="1">
        <f t="array" ref="H3150">IFERROR(INDEX(INVESTOR_LIST[INVESTOR NAME],MATCH(I3150,INVESTOR_LIST[INVESTOR CODE],0),)," ")</f>
        <v xml:space="preserve"> </v>
      </c>
      <c r="I3150" s="145"/>
      <c r="J3150" s="146" t="s">
        <v>60</v>
      </c>
      <c r="K3150" s="219"/>
      <c r="L3150" s="219">
        <v>35417</v>
      </c>
    </row>
    <row r="3151" spans="1:14" x14ac:dyDescent="0.2">
      <c r="A3151" s="168">
        <v>2021</v>
      </c>
      <c r="B3151" s="168">
        <v>5</v>
      </c>
      <c r="C3151" s="168">
        <v>31</v>
      </c>
      <c r="D3151" s="141">
        <f t="shared" si="106"/>
        <v>44347</v>
      </c>
      <c r="E3151" s="275">
        <f t="shared" ref="E3151:E3214" si="107">DATE(A3151,B3151,C3151)</f>
        <v>44347</v>
      </c>
      <c r="F3151" s="479" t="s">
        <v>525</v>
      </c>
      <c r="G3151" s="220" t="s">
        <v>74</v>
      </c>
      <c r="H3151" s="220" t="str" cm="1">
        <f t="array" ref="H3151">IFERROR(INDEX(INVESTOR_LIST[INVESTOR NAME],MATCH(I3151,INVESTOR_LIST[INVESTOR CODE],0),)," ")</f>
        <v xml:space="preserve"> </v>
      </c>
      <c r="I3151" s="142"/>
      <c r="J3151" s="143" t="s">
        <v>52</v>
      </c>
      <c r="K3151" s="226">
        <v>35417</v>
      </c>
      <c r="L3151" s="226"/>
    </row>
    <row r="3152" spans="1:14" x14ac:dyDescent="0.2">
      <c r="A3152" s="163">
        <v>2021</v>
      </c>
      <c r="B3152" s="163">
        <v>5</v>
      </c>
      <c r="C3152" s="163">
        <v>31</v>
      </c>
      <c r="D3152" s="141">
        <f t="shared" si="106"/>
        <v>44347</v>
      </c>
      <c r="E3152" s="275">
        <f t="shared" si="107"/>
        <v>44347</v>
      </c>
      <c r="F3152" s="480"/>
      <c r="G3152" s="221" t="s">
        <v>74</v>
      </c>
      <c r="H3152" s="221" t="str" cm="1">
        <f t="array" ref="H3152">IFERROR(INDEX(INVESTOR_LIST[INVESTOR NAME],MATCH(I3152,INVESTOR_LIST[INVESTOR CODE],0),)," ")</f>
        <v xml:space="preserve"> </v>
      </c>
      <c r="I3152" s="145"/>
      <c r="J3152" s="146" t="s">
        <v>60</v>
      </c>
      <c r="K3152" s="219"/>
      <c r="L3152" s="219">
        <v>35417</v>
      </c>
    </row>
    <row r="3153" spans="1:12" x14ac:dyDescent="0.2">
      <c r="A3153" s="168">
        <v>2021</v>
      </c>
      <c r="B3153" s="168">
        <v>5</v>
      </c>
      <c r="C3153" s="168">
        <v>31</v>
      </c>
      <c r="D3153" s="141">
        <f t="shared" si="106"/>
        <v>44347</v>
      </c>
      <c r="E3153" s="275">
        <f t="shared" si="107"/>
        <v>44347</v>
      </c>
      <c r="F3153" s="479" t="s">
        <v>525</v>
      </c>
      <c r="G3153" s="220" t="s">
        <v>74</v>
      </c>
      <c r="H3153" s="220" t="str" cm="1">
        <f t="array" ref="H3153">IFERROR(INDEX(INVESTOR_LIST[INVESTOR NAME],MATCH(I3153,INVESTOR_LIST[INVESTOR CODE],0),)," ")</f>
        <v xml:space="preserve"> </v>
      </c>
      <c r="I3153" s="142"/>
      <c r="J3153" s="143" t="s">
        <v>52</v>
      </c>
      <c r="K3153" s="226">
        <v>21250</v>
      </c>
      <c r="L3153" s="226"/>
    </row>
    <row r="3154" spans="1:12" x14ac:dyDescent="0.2">
      <c r="A3154" s="163">
        <v>2021</v>
      </c>
      <c r="B3154" s="163">
        <v>5</v>
      </c>
      <c r="C3154" s="163">
        <v>31</v>
      </c>
      <c r="D3154" s="141">
        <f t="shared" si="106"/>
        <v>44347</v>
      </c>
      <c r="E3154" s="275">
        <f t="shared" si="107"/>
        <v>44347</v>
      </c>
      <c r="F3154" s="480"/>
      <c r="G3154" s="221" t="s">
        <v>74</v>
      </c>
      <c r="H3154" s="221" t="str" cm="1">
        <f t="array" ref="H3154">IFERROR(INDEX(INVESTOR_LIST[INVESTOR NAME],MATCH(I3154,INVESTOR_LIST[INVESTOR CODE],0),)," ")</f>
        <v xml:space="preserve"> </v>
      </c>
      <c r="I3154" s="145"/>
      <c r="J3154" s="146" t="s">
        <v>60</v>
      </c>
      <c r="K3154" s="219"/>
      <c r="L3154" s="219">
        <v>21250</v>
      </c>
    </row>
    <row r="3155" spans="1:12" x14ac:dyDescent="0.2">
      <c r="A3155" s="168">
        <v>2021</v>
      </c>
      <c r="B3155" s="168">
        <v>5</v>
      </c>
      <c r="C3155" s="168">
        <v>31</v>
      </c>
      <c r="D3155" s="141">
        <f t="shared" si="106"/>
        <v>44347</v>
      </c>
      <c r="E3155" s="275">
        <f t="shared" si="107"/>
        <v>44347</v>
      </c>
      <c r="F3155" s="479" t="s">
        <v>525</v>
      </c>
      <c r="G3155" s="220" t="s">
        <v>74</v>
      </c>
      <c r="H3155" s="220" t="str" cm="1">
        <f t="array" ref="H3155">IFERROR(INDEX(INVESTOR_LIST[INVESTOR NAME],MATCH(I3155,INVESTOR_LIST[INVESTOR CODE],0),)," ")</f>
        <v xml:space="preserve"> </v>
      </c>
      <c r="I3155" s="142"/>
      <c r="J3155" s="143" t="s">
        <v>52</v>
      </c>
      <c r="K3155" s="226">
        <v>14167</v>
      </c>
      <c r="L3155" s="226"/>
    </row>
    <row r="3156" spans="1:12" x14ac:dyDescent="0.2">
      <c r="A3156" s="163">
        <v>2021</v>
      </c>
      <c r="B3156" s="163">
        <v>5</v>
      </c>
      <c r="C3156" s="163">
        <v>31</v>
      </c>
      <c r="D3156" s="141">
        <f t="shared" si="106"/>
        <v>44347</v>
      </c>
      <c r="E3156" s="275">
        <f t="shared" si="107"/>
        <v>44347</v>
      </c>
      <c r="F3156" s="480"/>
      <c r="G3156" s="221" t="s">
        <v>74</v>
      </c>
      <c r="H3156" s="221" t="str" cm="1">
        <f t="array" ref="H3156">IFERROR(INDEX(INVESTOR_LIST[INVESTOR NAME],MATCH(I3156,INVESTOR_LIST[INVESTOR CODE],0),)," ")</f>
        <v xml:space="preserve"> </v>
      </c>
      <c r="I3156" s="145"/>
      <c r="J3156" s="146" t="s">
        <v>60</v>
      </c>
      <c r="K3156" s="219"/>
      <c r="L3156" s="219">
        <v>14167</v>
      </c>
    </row>
    <row r="3157" spans="1:12" x14ac:dyDescent="0.2">
      <c r="A3157" s="168">
        <v>2021</v>
      </c>
      <c r="B3157" s="168">
        <v>5</v>
      </c>
      <c r="C3157" s="168">
        <v>31</v>
      </c>
      <c r="D3157" s="141">
        <f t="shared" si="106"/>
        <v>44347</v>
      </c>
      <c r="E3157" s="275">
        <f t="shared" si="107"/>
        <v>44347</v>
      </c>
      <c r="F3157" s="479" t="s">
        <v>77</v>
      </c>
      <c r="G3157" s="220" t="s">
        <v>74</v>
      </c>
      <c r="H3157" s="220" t="str" cm="1">
        <f t="array" ref="H3157">IFERROR(INDEX(INVESTOR_LIST[INVESTOR NAME],MATCH(I3157,INVESTOR_LIST[INVESTOR CODE],0),)," ")</f>
        <v xml:space="preserve"> </v>
      </c>
      <c r="I3157" s="142" t="s">
        <v>348</v>
      </c>
      <c r="J3157" s="143" t="s">
        <v>61</v>
      </c>
      <c r="K3157" s="226">
        <v>60</v>
      </c>
      <c r="L3157" s="226"/>
    </row>
    <row r="3158" spans="1:12" x14ac:dyDescent="0.2">
      <c r="A3158" s="163">
        <v>2021</v>
      </c>
      <c r="B3158" s="163">
        <v>5</v>
      </c>
      <c r="C3158" s="163">
        <v>31</v>
      </c>
      <c r="D3158" s="141">
        <f t="shared" si="106"/>
        <v>44347</v>
      </c>
      <c r="E3158" s="275">
        <f t="shared" si="107"/>
        <v>44347</v>
      </c>
      <c r="F3158" s="480"/>
      <c r="G3158" s="221" t="s">
        <v>74</v>
      </c>
      <c r="H3158" s="221" t="str" cm="1">
        <f t="array" ref="H3158">IFERROR(INDEX(INVESTOR_LIST[INVESTOR NAME],MATCH(I3158,INVESTOR_LIST[INVESTOR CODE],0),)," ")</f>
        <v xml:space="preserve"> </v>
      </c>
      <c r="I3158" s="145" t="s">
        <v>348</v>
      </c>
      <c r="J3158" s="146" t="s">
        <v>52</v>
      </c>
      <c r="K3158" s="219"/>
      <c r="L3158" s="219">
        <v>60</v>
      </c>
    </row>
    <row r="3159" spans="1:12" x14ac:dyDescent="0.2">
      <c r="A3159" s="168">
        <v>2021</v>
      </c>
      <c r="B3159" s="168">
        <v>5</v>
      </c>
      <c r="C3159" s="168">
        <v>31</v>
      </c>
      <c r="D3159" s="141">
        <f t="shared" si="106"/>
        <v>44347</v>
      </c>
      <c r="E3159" s="275">
        <f t="shared" si="107"/>
        <v>44347</v>
      </c>
      <c r="F3159" s="479" t="s">
        <v>77</v>
      </c>
      <c r="G3159" s="220" t="s">
        <v>74</v>
      </c>
      <c r="H3159" s="220" t="str" cm="1">
        <f t="array" ref="H3159">IFERROR(INDEX(INVESTOR_LIST[INVESTOR NAME],MATCH(I3159,INVESTOR_LIST[INVESTOR CODE],0),)," ")</f>
        <v xml:space="preserve"> </v>
      </c>
      <c r="I3159" s="142" t="s">
        <v>348</v>
      </c>
      <c r="J3159" s="143" t="s">
        <v>61</v>
      </c>
      <c r="K3159" s="226">
        <v>10</v>
      </c>
      <c r="L3159" s="226"/>
    </row>
    <row r="3160" spans="1:12" x14ac:dyDescent="0.2">
      <c r="A3160" s="163">
        <v>2021</v>
      </c>
      <c r="B3160" s="163">
        <v>5</v>
      </c>
      <c r="C3160" s="163">
        <v>31</v>
      </c>
      <c r="D3160" s="141">
        <f t="shared" si="106"/>
        <v>44347</v>
      </c>
      <c r="E3160" s="275">
        <f t="shared" si="107"/>
        <v>44347</v>
      </c>
      <c r="F3160" s="480"/>
      <c r="G3160" s="221" t="s">
        <v>74</v>
      </c>
      <c r="H3160" s="221" t="str" cm="1">
        <f t="array" ref="H3160">IFERROR(INDEX(INVESTOR_LIST[INVESTOR NAME],MATCH(I3160,INVESTOR_LIST[INVESTOR CODE],0),)," ")</f>
        <v xml:space="preserve"> </v>
      </c>
      <c r="I3160" s="145" t="s">
        <v>348</v>
      </c>
      <c r="J3160" s="146" t="s">
        <v>52</v>
      </c>
      <c r="K3160" s="219"/>
      <c r="L3160" s="219">
        <v>10</v>
      </c>
    </row>
    <row r="3161" spans="1:12" x14ac:dyDescent="0.2">
      <c r="A3161" s="168">
        <v>2021</v>
      </c>
      <c r="B3161" s="168">
        <v>5</v>
      </c>
      <c r="C3161" s="168">
        <v>31</v>
      </c>
      <c r="D3161" s="141">
        <f t="shared" si="106"/>
        <v>44347</v>
      </c>
      <c r="E3161" s="275">
        <f t="shared" si="107"/>
        <v>44347</v>
      </c>
      <c r="F3161" s="479" t="s">
        <v>77</v>
      </c>
      <c r="G3161" s="220" t="s">
        <v>74</v>
      </c>
      <c r="H3161" s="220" t="str" cm="1">
        <f t="array" ref="H3161">IFERROR(INDEX(INVESTOR_LIST[INVESTOR NAME],MATCH(I3161,INVESTOR_LIST[INVESTOR CODE],0),)," ")</f>
        <v xml:space="preserve"> </v>
      </c>
      <c r="I3161" s="142" t="s">
        <v>348</v>
      </c>
      <c r="J3161" s="143" t="s">
        <v>61</v>
      </c>
      <c r="K3161" s="226">
        <v>10</v>
      </c>
      <c r="L3161" s="226"/>
    </row>
    <row r="3162" spans="1:12" x14ac:dyDescent="0.2">
      <c r="A3162" s="163">
        <v>2021</v>
      </c>
      <c r="B3162" s="163">
        <v>5</v>
      </c>
      <c r="C3162" s="163">
        <v>31</v>
      </c>
      <c r="D3162" s="141">
        <f t="shared" si="106"/>
        <v>44347</v>
      </c>
      <c r="E3162" s="275">
        <f t="shared" si="107"/>
        <v>44347</v>
      </c>
      <c r="F3162" s="480"/>
      <c r="G3162" s="221" t="s">
        <v>74</v>
      </c>
      <c r="H3162" s="221" t="str" cm="1">
        <f t="array" ref="H3162">IFERROR(INDEX(INVESTOR_LIST[INVESTOR NAME],MATCH(I3162,INVESTOR_LIST[INVESTOR CODE],0),)," ")</f>
        <v xml:space="preserve"> </v>
      </c>
      <c r="I3162" s="145" t="s">
        <v>348</v>
      </c>
      <c r="J3162" s="146" t="s">
        <v>52</v>
      </c>
      <c r="K3162" s="219"/>
      <c r="L3162" s="219">
        <v>10</v>
      </c>
    </row>
    <row r="3163" spans="1:12" x14ac:dyDescent="0.2">
      <c r="A3163" s="168">
        <v>2021</v>
      </c>
      <c r="B3163" s="168">
        <v>6</v>
      </c>
      <c r="C3163" s="168">
        <v>1</v>
      </c>
      <c r="D3163" s="141">
        <f t="shared" si="106"/>
        <v>44348</v>
      </c>
      <c r="E3163" s="275">
        <f t="shared" si="107"/>
        <v>44348</v>
      </c>
      <c r="F3163" s="479" t="s">
        <v>274</v>
      </c>
      <c r="G3163" s="220" t="s">
        <v>94</v>
      </c>
      <c r="H3163" s="142" t="str" cm="1">
        <f t="array" ref="H3163">IFERROR(INDEX(INVESTOR_LIST[INVESTOR NAME],MATCH(I3163,INVESTOR_LIST[INVESTOR CODE],0),)," ")</f>
        <v xml:space="preserve"> </v>
      </c>
      <c r="I3163" s="142"/>
      <c r="J3163" s="168" t="s">
        <v>79</v>
      </c>
      <c r="K3163" s="226">
        <v>4459796</v>
      </c>
      <c r="L3163" s="226"/>
    </row>
    <row r="3164" spans="1:12" x14ac:dyDescent="0.2">
      <c r="A3164" s="133">
        <v>2021</v>
      </c>
      <c r="B3164" s="133">
        <v>6</v>
      </c>
      <c r="C3164" s="133">
        <v>1</v>
      </c>
      <c r="D3164" s="141">
        <f t="shared" si="106"/>
        <v>44348</v>
      </c>
      <c r="E3164" s="275">
        <f t="shared" si="107"/>
        <v>44348</v>
      </c>
      <c r="F3164" s="481"/>
      <c r="G3164" s="174" t="s">
        <v>94</v>
      </c>
      <c r="H3164" s="148" t="str" cm="1">
        <f t="array" ref="H3164">IFERROR(INDEX(INVESTOR_LIST[INVESTOR NAME],MATCH(I3164,INVESTOR_LIST[INVESTOR CODE],0),)," ")</f>
        <v xml:space="preserve"> </v>
      </c>
      <c r="J3164" s="133" t="s">
        <v>80</v>
      </c>
      <c r="K3164" s="218">
        <v>8027.63</v>
      </c>
      <c r="L3164" s="218"/>
    </row>
    <row r="3165" spans="1:12" x14ac:dyDescent="0.2">
      <c r="A3165" s="163">
        <v>2021</v>
      </c>
      <c r="B3165" s="163">
        <v>6</v>
      </c>
      <c r="C3165" s="163">
        <v>1</v>
      </c>
      <c r="D3165" s="141">
        <f t="shared" si="106"/>
        <v>44348</v>
      </c>
      <c r="E3165" s="275">
        <f t="shared" si="107"/>
        <v>44348</v>
      </c>
      <c r="F3165" s="480"/>
      <c r="G3165" s="221" t="s">
        <v>94</v>
      </c>
      <c r="H3165" s="145" t="str" cm="1">
        <f t="array" ref="H3165">IFERROR(INDEX(INVESTOR_LIST[INVESTOR NAME],MATCH(I3165,INVESTOR_LIST[INVESTOR CODE],0),)," ")</f>
        <v xml:space="preserve"> </v>
      </c>
      <c r="I3165" s="145"/>
      <c r="J3165" s="163" t="s">
        <v>147</v>
      </c>
      <c r="K3165" s="219"/>
      <c r="L3165" s="219">
        <v>4467823.63</v>
      </c>
    </row>
    <row r="3166" spans="1:12" x14ac:dyDescent="0.2">
      <c r="A3166" s="168">
        <v>2021</v>
      </c>
      <c r="B3166" s="168">
        <v>6</v>
      </c>
      <c r="C3166" s="168">
        <v>1</v>
      </c>
      <c r="D3166" s="141">
        <f t="shared" si="106"/>
        <v>44348</v>
      </c>
      <c r="E3166" s="275">
        <f t="shared" si="107"/>
        <v>44348</v>
      </c>
      <c r="F3166" s="479" t="s">
        <v>524</v>
      </c>
      <c r="G3166" s="220" t="s">
        <v>74</v>
      </c>
      <c r="H3166" s="142" t="str" cm="1">
        <f t="array" ref="H3166">IFERROR(INDEX(INVESTOR_LIST[INVESTOR NAME],MATCH(I3166,INVESTOR_LIST[INVESTOR CODE],0),)," ")</f>
        <v xml:space="preserve"> </v>
      </c>
      <c r="I3166" s="142"/>
      <c r="J3166" s="168" t="s">
        <v>147</v>
      </c>
      <c r="K3166" s="226">
        <v>4487230</v>
      </c>
      <c r="L3166" s="226"/>
    </row>
    <row r="3167" spans="1:12" x14ac:dyDescent="0.2">
      <c r="A3167" s="163">
        <v>2021</v>
      </c>
      <c r="B3167" s="163">
        <v>6</v>
      </c>
      <c r="C3167" s="163">
        <v>1</v>
      </c>
      <c r="D3167" s="141">
        <f t="shared" si="106"/>
        <v>44348</v>
      </c>
      <c r="E3167" s="275">
        <f t="shared" si="107"/>
        <v>44348</v>
      </c>
      <c r="F3167" s="480"/>
      <c r="G3167" s="221" t="s">
        <v>74</v>
      </c>
      <c r="H3167" s="145" t="str" cm="1">
        <f t="array" ref="H3167">IFERROR(INDEX(INVESTOR_LIST[INVESTOR NAME],MATCH(I3167,INVESTOR_LIST[INVESTOR CODE],0),)," ")</f>
        <v xml:space="preserve"> </v>
      </c>
      <c r="I3167" s="145"/>
      <c r="J3167" s="163" t="s">
        <v>52</v>
      </c>
      <c r="K3167" s="219"/>
      <c r="L3167" s="219">
        <v>4487230</v>
      </c>
    </row>
    <row r="3168" spans="1:12" x14ac:dyDescent="0.2">
      <c r="A3168" s="168">
        <v>2021</v>
      </c>
      <c r="B3168" s="168">
        <v>6</v>
      </c>
      <c r="C3168" s="168">
        <v>1</v>
      </c>
      <c r="D3168" s="141">
        <f t="shared" si="106"/>
        <v>44348</v>
      </c>
      <c r="E3168" s="275">
        <f t="shared" si="107"/>
        <v>44348</v>
      </c>
      <c r="F3168" s="479" t="s">
        <v>722</v>
      </c>
      <c r="G3168" s="220" t="s">
        <v>74</v>
      </c>
      <c r="H3168" s="142" t="str" cm="1">
        <f t="array" ref="H3168">IFERROR(INDEX(INVESTOR_LIST[INVESTOR NAME],MATCH(I3168,INVESTOR_LIST[INVESTOR CODE],0),)," ")</f>
        <v xml:space="preserve"> </v>
      </c>
      <c r="I3168" s="142"/>
      <c r="J3168" s="168" t="s">
        <v>184</v>
      </c>
      <c r="K3168" s="226">
        <v>1520000</v>
      </c>
      <c r="L3168" s="226"/>
    </row>
    <row r="3169" spans="1:14" x14ac:dyDescent="0.2">
      <c r="A3169" s="133">
        <v>2021</v>
      </c>
      <c r="B3169" s="133">
        <v>6</v>
      </c>
      <c r="C3169" s="133">
        <v>1</v>
      </c>
      <c r="D3169" s="141">
        <f t="shared" si="106"/>
        <v>44348</v>
      </c>
      <c r="E3169" s="275">
        <f t="shared" si="107"/>
        <v>44348</v>
      </c>
      <c r="F3169" s="481"/>
      <c r="G3169" s="174" t="s">
        <v>74</v>
      </c>
      <c r="H3169" s="148" t="str" cm="1">
        <f t="array" ref="H3169">IFERROR(INDEX(INVESTOR_LIST[INVESTOR NAME],MATCH(I3169,INVESTOR_LIST[INVESTOR CODE],0),)," ")</f>
        <v xml:space="preserve"> </v>
      </c>
      <c r="J3169" s="133" t="s">
        <v>185</v>
      </c>
      <c r="K3169" s="218">
        <v>3000</v>
      </c>
      <c r="L3169" s="218"/>
    </row>
    <row r="3170" spans="1:14" x14ac:dyDescent="0.2">
      <c r="A3170" s="133">
        <v>2021</v>
      </c>
      <c r="B3170" s="133">
        <v>6</v>
      </c>
      <c r="C3170" s="133">
        <v>1</v>
      </c>
      <c r="D3170" s="141">
        <f t="shared" si="106"/>
        <v>44348</v>
      </c>
      <c r="E3170" s="275">
        <f t="shared" si="107"/>
        <v>44348</v>
      </c>
      <c r="F3170" s="481"/>
      <c r="G3170" s="174" t="s">
        <v>74</v>
      </c>
      <c r="H3170" s="148" t="str" cm="1">
        <f t="array" ref="H3170">IFERROR(INDEX(INVESTOR_LIST[INVESTOR NAME],MATCH(I3170,INVESTOR_LIST[INVESTOR CODE],0),)," ")</f>
        <v xml:space="preserve"> </v>
      </c>
      <c r="J3170" s="133" t="s">
        <v>61</v>
      </c>
      <c r="K3170" s="218">
        <v>115</v>
      </c>
      <c r="L3170" s="218"/>
    </row>
    <row r="3171" spans="1:14" x14ac:dyDescent="0.2">
      <c r="A3171" s="163">
        <v>2021</v>
      </c>
      <c r="B3171" s="163">
        <v>6</v>
      </c>
      <c r="C3171" s="163">
        <v>1</v>
      </c>
      <c r="D3171" s="141">
        <f t="shared" si="106"/>
        <v>44348</v>
      </c>
      <c r="E3171" s="275">
        <f t="shared" si="107"/>
        <v>44348</v>
      </c>
      <c r="F3171" s="480"/>
      <c r="G3171" s="221" t="s">
        <v>74</v>
      </c>
      <c r="H3171" s="145" t="str" cm="1">
        <f t="array" ref="H3171">IFERROR(INDEX(INVESTOR_LIST[INVESTOR NAME],MATCH(I3171,INVESTOR_LIST[INVESTOR CODE],0),)," ")</f>
        <v xml:space="preserve"> </v>
      </c>
      <c r="I3171" s="145"/>
      <c r="J3171" s="163" t="s">
        <v>52</v>
      </c>
      <c r="K3171" s="219"/>
      <c r="L3171" s="219">
        <v>1523115</v>
      </c>
    </row>
    <row r="3172" spans="1:14" x14ac:dyDescent="0.2">
      <c r="A3172" s="168">
        <v>2021</v>
      </c>
      <c r="B3172" s="168">
        <v>6</v>
      </c>
      <c r="C3172" s="168">
        <v>2</v>
      </c>
      <c r="D3172" s="141">
        <f t="shared" si="106"/>
        <v>44349</v>
      </c>
      <c r="E3172" s="275">
        <f t="shared" si="107"/>
        <v>44349</v>
      </c>
      <c r="F3172" s="479" t="s">
        <v>274</v>
      </c>
      <c r="G3172" s="220" t="s">
        <v>94</v>
      </c>
      <c r="H3172" s="142" t="str" cm="1">
        <f t="array" ref="H3172">IFERROR(INDEX(INVESTOR_LIST[INVESTOR NAME],MATCH(I3172,INVESTOR_LIST[INVESTOR CODE],0),)," ")</f>
        <v xml:space="preserve"> </v>
      </c>
      <c r="I3172" s="142"/>
      <c r="J3172" s="168" t="s">
        <v>79</v>
      </c>
      <c r="K3172" s="226">
        <v>3165067.8</v>
      </c>
      <c r="L3172" s="226"/>
    </row>
    <row r="3173" spans="1:14" x14ac:dyDescent="0.2">
      <c r="A3173" s="133">
        <v>2021</v>
      </c>
      <c r="B3173" s="133">
        <v>6</v>
      </c>
      <c r="C3173" s="133">
        <v>2</v>
      </c>
      <c r="D3173" s="141">
        <f t="shared" si="106"/>
        <v>44349</v>
      </c>
      <c r="E3173" s="275">
        <f t="shared" si="107"/>
        <v>44349</v>
      </c>
      <c r="F3173" s="481"/>
      <c r="G3173" s="174" t="s">
        <v>94</v>
      </c>
      <c r="H3173" s="148" t="str" cm="1">
        <f t="array" ref="H3173">IFERROR(INDEX(INVESTOR_LIST[INVESTOR NAME],MATCH(I3173,INVESTOR_LIST[INVESTOR CODE],0),)," ")</f>
        <v xml:space="preserve"> </v>
      </c>
      <c r="J3173" s="133" t="s">
        <v>80</v>
      </c>
      <c r="K3173" s="218">
        <v>5697.12</v>
      </c>
      <c r="L3173" s="218"/>
      <c r="N3173" s="156">
        <f>K3177/13.2</f>
        <v>37878.78787878788</v>
      </c>
    </row>
    <row r="3174" spans="1:14" x14ac:dyDescent="0.2">
      <c r="A3174" s="163">
        <v>2021</v>
      </c>
      <c r="B3174" s="163">
        <v>6</v>
      </c>
      <c r="C3174" s="163">
        <v>2</v>
      </c>
      <c r="D3174" s="141">
        <f t="shared" si="106"/>
        <v>44349</v>
      </c>
      <c r="E3174" s="275">
        <f t="shared" si="107"/>
        <v>44349</v>
      </c>
      <c r="F3174" s="480"/>
      <c r="G3174" s="221" t="s">
        <v>94</v>
      </c>
      <c r="H3174" s="145" t="str" cm="1">
        <f t="array" ref="H3174">IFERROR(INDEX(INVESTOR_LIST[INVESTOR NAME],MATCH(I3174,INVESTOR_LIST[INVESTOR CODE],0),)," ")</f>
        <v xml:space="preserve"> </v>
      </c>
      <c r="I3174" s="145"/>
      <c r="J3174" s="163" t="s">
        <v>147</v>
      </c>
      <c r="K3174" s="219"/>
      <c r="L3174" s="219">
        <v>3170764.92</v>
      </c>
    </row>
    <row r="3175" spans="1:14" x14ac:dyDescent="0.2">
      <c r="A3175" s="168">
        <v>2021</v>
      </c>
      <c r="B3175" s="168">
        <v>6</v>
      </c>
      <c r="C3175" s="168">
        <v>2</v>
      </c>
      <c r="D3175" s="141">
        <f t="shared" si="106"/>
        <v>44349</v>
      </c>
      <c r="E3175" s="275">
        <f t="shared" si="107"/>
        <v>44349</v>
      </c>
      <c r="F3175" s="479" t="s">
        <v>524</v>
      </c>
      <c r="G3175" s="220" t="s">
        <v>74</v>
      </c>
      <c r="H3175" s="142" t="str" cm="1">
        <f t="array" ref="H3175">IFERROR(INDEX(INVESTOR_LIST[INVESTOR NAME],MATCH(I3175,INVESTOR_LIST[INVESTOR CODE],0),)," ")</f>
        <v xml:space="preserve"> </v>
      </c>
      <c r="I3175" s="142"/>
      <c r="J3175" s="168" t="s">
        <v>147</v>
      </c>
      <c r="K3175" s="226">
        <v>4467823.63</v>
      </c>
      <c r="L3175" s="226"/>
    </row>
    <row r="3176" spans="1:14" x14ac:dyDescent="0.2">
      <c r="A3176" s="163">
        <v>2021</v>
      </c>
      <c r="B3176" s="163">
        <v>6</v>
      </c>
      <c r="C3176" s="163">
        <v>2</v>
      </c>
      <c r="D3176" s="141">
        <f t="shared" si="106"/>
        <v>44349</v>
      </c>
      <c r="E3176" s="275">
        <f t="shared" si="107"/>
        <v>44349</v>
      </c>
      <c r="F3176" s="480"/>
      <c r="G3176" s="221" t="s">
        <v>74</v>
      </c>
      <c r="H3176" s="145" t="str" cm="1">
        <f t="array" ref="H3176">IFERROR(INDEX(INVESTOR_LIST[INVESTOR NAME],MATCH(I3176,INVESTOR_LIST[INVESTOR CODE],0),)," ")</f>
        <v xml:space="preserve"> </v>
      </c>
      <c r="I3176" s="145"/>
      <c r="J3176" s="163" t="s">
        <v>52</v>
      </c>
      <c r="K3176" s="219"/>
      <c r="L3176" s="219">
        <v>4467823.63</v>
      </c>
    </row>
    <row r="3177" spans="1:14" ht="11.25" customHeight="1" x14ac:dyDescent="0.2">
      <c r="A3177" s="168">
        <v>2021</v>
      </c>
      <c r="B3177" s="168">
        <v>6</v>
      </c>
      <c r="C3177" s="168">
        <v>2</v>
      </c>
      <c r="D3177" s="141">
        <f t="shared" si="106"/>
        <v>44349</v>
      </c>
      <c r="E3177" s="275">
        <f t="shared" si="107"/>
        <v>44349</v>
      </c>
      <c r="F3177" s="479" t="s">
        <v>964</v>
      </c>
      <c r="G3177" s="220" t="s">
        <v>74</v>
      </c>
      <c r="H3177" s="142" t="str" cm="1">
        <f t="array" ref="H3177">IFERROR(INDEX(INVESTOR_LIST[INVESTOR NAME],MATCH(I3177,INVESTOR_LIST[INVESTOR CODE],0),)," ")</f>
        <v>ABACI INVESTMENTS LTD. EC PROVIDENT FUND</v>
      </c>
      <c r="I3177" s="142" t="s">
        <v>728</v>
      </c>
      <c r="J3177" s="168" t="s">
        <v>52</v>
      </c>
      <c r="K3177" s="226">
        <v>500000</v>
      </c>
      <c r="L3177" s="226"/>
    </row>
    <row r="3178" spans="1:14" ht="67.5" x14ac:dyDescent="0.2">
      <c r="A3178" s="133">
        <v>2021</v>
      </c>
      <c r="B3178" s="133">
        <v>6</v>
      </c>
      <c r="C3178" s="133">
        <v>2</v>
      </c>
      <c r="D3178" s="141">
        <f t="shared" si="106"/>
        <v>44349</v>
      </c>
      <c r="E3178" s="275">
        <f t="shared" si="107"/>
        <v>44349</v>
      </c>
      <c r="F3178" s="481"/>
      <c r="G3178" s="174" t="s">
        <v>74</v>
      </c>
      <c r="H3178" s="148" t="str" cm="1">
        <f t="array" ref="H3178">IFERROR(INDEX(INVESTOR_LIST[INVESTOR NAME],MATCH(I3178,INVESTOR_LIST[INVESTOR CODE],0),)," ")</f>
        <v>ABACI INVESTMENTS LTD. EC PROVIDENT FUND</v>
      </c>
      <c r="I3178" s="148" t="s">
        <v>728</v>
      </c>
      <c r="J3178" s="133" t="s">
        <v>13</v>
      </c>
      <c r="K3178" s="218"/>
      <c r="L3178" s="218">
        <v>378790</v>
      </c>
    </row>
    <row r="3179" spans="1:14" ht="67.5" x14ac:dyDescent="0.2">
      <c r="A3179" s="163">
        <v>2021</v>
      </c>
      <c r="B3179" s="163">
        <v>6</v>
      </c>
      <c r="C3179" s="163">
        <v>2</v>
      </c>
      <c r="D3179" s="141">
        <f t="shared" si="106"/>
        <v>44349</v>
      </c>
      <c r="E3179" s="275">
        <f t="shared" si="107"/>
        <v>44349</v>
      </c>
      <c r="F3179" s="480"/>
      <c r="G3179" s="221" t="s">
        <v>74</v>
      </c>
      <c r="H3179" s="145" t="str" cm="1">
        <f t="array" ref="H3179">IFERROR(INDEX(INVESTOR_LIST[INVESTOR NAME],MATCH(I3179,INVESTOR_LIST[INVESTOR CODE],0),)," ")</f>
        <v>ABACI INVESTMENTS LTD. EC PROVIDENT FUND</v>
      </c>
      <c r="I3179" s="145" t="s">
        <v>728</v>
      </c>
      <c r="J3179" s="163" t="s">
        <v>53</v>
      </c>
      <c r="K3179" s="219"/>
      <c r="L3179" s="219">
        <v>121210</v>
      </c>
      <c r="M3179" s="218"/>
    </row>
    <row r="3180" spans="1:14" x14ac:dyDescent="0.2">
      <c r="A3180" s="168">
        <v>2021</v>
      </c>
      <c r="B3180" s="168">
        <v>6</v>
      </c>
      <c r="C3180" s="168">
        <v>2</v>
      </c>
      <c r="D3180" s="141">
        <f t="shared" si="106"/>
        <v>44349</v>
      </c>
      <c r="E3180" s="275">
        <f t="shared" si="107"/>
        <v>44349</v>
      </c>
      <c r="F3180" s="479" t="s">
        <v>77</v>
      </c>
      <c r="G3180" s="220" t="s">
        <v>74</v>
      </c>
      <c r="H3180" s="220" t="str" cm="1">
        <f t="array" ref="H3180">IFERROR(INDEX(INVESTOR_LIST[INVESTOR NAME],MATCH(I3180,INVESTOR_LIST[INVESTOR CODE],0),)," ")</f>
        <v xml:space="preserve"> </v>
      </c>
      <c r="I3180" s="142" t="s">
        <v>348</v>
      </c>
      <c r="J3180" s="143" t="s">
        <v>61</v>
      </c>
      <c r="K3180" s="226">
        <v>60</v>
      </c>
      <c r="L3180" s="226"/>
    </row>
    <row r="3181" spans="1:14" x14ac:dyDescent="0.2">
      <c r="A3181" s="163">
        <v>2021</v>
      </c>
      <c r="B3181" s="163">
        <v>6</v>
      </c>
      <c r="C3181" s="163">
        <v>2</v>
      </c>
      <c r="D3181" s="141">
        <f t="shared" si="106"/>
        <v>44349</v>
      </c>
      <c r="E3181" s="275">
        <f t="shared" si="107"/>
        <v>44349</v>
      </c>
      <c r="F3181" s="480"/>
      <c r="G3181" s="221" t="s">
        <v>74</v>
      </c>
      <c r="H3181" s="221" t="str" cm="1">
        <f t="array" ref="H3181">IFERROR(INDEX(INVESTOR_LIST[INVESTOR NAME],MATCH(I3181,INVESTOR_LIST[INVESTOR CODE],0),)," ")</f>
        <v xml:space="preserve"> </v>
      </c>
      <c r="I3181" s="145" t="s">
        <v>348</v>
      </c>
      <c r="J3181" s="146" t="s">
        <v>52</v>
      </c>
      <c r="K3181" s="219"/>
      <c r="L3181" s="219">
        <v>60</v>
      </c>
    </row>
    <row r="3182" spans="1:14" ht="22.5" x14ac:dyDescent="0.2">
      <c r="A3182" s="168">
        <v>2021</v>
      </c>
      <c r="B3182" s="168">
        <v>6</v>
      </c>
      <c r="C3182" s="168">
        <v>3</v>
      </c>
      <c r="D3182" s="141">
        <f t="shared" si="106"/>
        <v>44350</v>
      </c>
      <c r="E3182" s="275">
        <f t="shared" si="107"/>
        <v>44350</v>
      </c>
      <c r="F3182" s="479" t="s">
        <v>965</v>
      </c>
      <c r="G3182" s="220" t="s">
        <v>74</v>
      </c>
      <c r="H3182" s="142" t="str" cm="1">
        <f t="array" ref="H3182">IFERROR(INDEX(INVESTOR_LIST[INVESTOR NAME],MATCH(I3182,INVESTOR_LIST[INVESTOR CODE],0),)," ")</f>
        <v>JOHORA KHATUN</v>
      </c>
      <c r="I3182" s="142" t="s">
        <v>527</v>
      </c>
      <c r="J3182" s="168" t="s">
        <v>13</v>
      </c>
      <c r="K3182" s="226">
        <v>2302380</v>
      </c>
      <c r="L3182" s="226"/>
    </row>
    <row r="3183" spans="1:14" ht="22.5" x14ac:dyDescent="0.2">
      <c r="A3183" s="133">
        <v>2021</v>
      </c>
      <c r="B3183" s="133">
        <v>6</v>
      </c>
      <c r="C3183" s="133">
        <v>3</v>
      </c>
      <c r="D3183" s="141">
        <f t="shared" si="106"/>
        <v>44350</v>
      </c>
      <c r="E3183" s="275">
        <f t="shared" si="107"/>
        <v>44350</v>
      </c>
      <c r="F3183" s="481"/>
      <c r="G3183" s="174" t="s">
        <v>74</v>
      </c>
      <c r="H3183" s="148" t="str" cm="1">
        <f t="array" ref="H3183">IFERROR(INDEX(INVESTOR_LIST[INVESTOR NAME],MATCH(I3183,INVESTOR_LIST[INVESTOR CODE],0),)," ")</f>
        <v>JOHORA KHATUN</v>
      </c>
      <c r="I3183" s="148" t="s">
        <v>527</v>
      </c>
      <c r="J3183" s="133" t="s">
        <v>53</v>
      </c>
      <c r="K3183" s="218">
        <v>754978.67</v>
      </c>
      <c r="L3183" s="218"/>
    </row>
    <row r="3184" spans="1:14" ht="22.5" x14ac:dyDescent="0.2">
      <c r="A3184" s="163">
        <v>2021</v>
      </c>
      <c r="B3184" s="163">
        <v>6</v>
      </c>
      <c r="C3184" s="163">
        <v>3</v>
      </c>
      <c r="D3184" s="141">
        <f t="shared" si="106"/>
        <v>44350</v>
      </c>
      <c r="E3184" s="275">
        <f t="shared" si="107"/>
        <v>44350</v>
      </c>
      <c r="F3184" s="480"/>
      <c r="G3184" s="221" t="s">
        <v>74</v>
      </c>
      <c r="H3184" s="145" t="str" cm="1">
        <f t="array" ref="H3184">IFERROR(INDEX(INVESTOR_LIST[INVESTOR NAME],MATCH(I3184,INVESTOR_LIST[INVESTOR CODE],0),)," ")</f>
        <v>JOHORA KHATUN</v>
      </c>
      <c r="I3184" s="145" t="s">
        <v>527</v>
      </c>
      <c r="J3184" s="163" t="s">
        <v>52</v>
      </c>
      <c r="K3184" s="219"/>
      <c r="L3184" s="219">
        <v>3057358.67</v>
      </c>
    </row>
    <row r="3185" spans="1:14" x14ac:dyDescent="0.2">
      <c r="A3185" s="168">
        <v>2021</v>
      </c>
      <c r="B3185" s="168">
        <v>6</v>
      </c>
      <c r="C3185" s="168">
        <v>3</v>
      </c>
      <c r="D3185" s="141">
        <f t="shared" si="106"/>
        <v>44350</v>
      </c>
      <c r="E3185" s="275">
        <f t="shared" si="107"/>
        <v>44350</v>
      </c>
      <c r="F3185" s="479" t="s">
        <v>274</v>
      </c>
      <c r="G3185" s="220" t="s">
        <v>94</v>
      </c>
      <c r="H3185" s="142" t="str" cm="1">
        <f t="array" ref="H3185">IFERROR(INDEX(INVESTOR_LIST[INVESTOR NAME],MATCH(I3185,INVESTOR_LIST[INVESTOR CODE],0),)," ")</f>
        <v xml:space="preserve"> </v>
      </c>
      <c r="I3185" s="142"/>
      <c r="J3185" s="168" t="s">
        <v>79</v>
      </c>
      <c r="K3185" s="226">
        <v>1897550</v>
      </c>
      <c r="L3185" s="226"/>
    </row>
    <row r="3186" spans="1:14" x14ac:dyDescent="0.2">
      <c r="A3186" s="133">
        <v>2021</v>
      </c>
      <c r="B3186" s="133">
        <v>6</v>
      </c>
      <c r="C3186" s="133">
        <v>3</v>
      </c>
      <c r="D3186" s="141">
        <f t="shared" si="106"/>
        <v>44350</v>
      </c>
      <c r="E3186" s="275">
        <f t="shared" si="107"/>
        <v>44350</v>
      </c>
      <c r="F3186" s="481"/>
      <c r="G3186" s="174" t="s">
        <v>94</v>
      </c>
      <c r="H3186" s="148" t="str" cm="1">
        <f t="array" ref="H3186">IFERROR(INDEX(INVESTOR_LIST[INVESTOR NAME],MATCH(I3186,INVESTOR_LIST[INVESTOR CODE],0),)," ")</f>
        <v xml:space="preserve"> </v>
      </c>
      <c r="J3186" s="133" t="s">
        <v>80</v>
      </c>
      <c r="K3186" s="218">
        <v>3415.59</v>
      </c>
      <c r="L3186" s="218"/>
      <c r="N3186" s="156">
        <f>K3188/13.28</f>
        <v>7530.1204819277109</v>
      </c>
    </row>
    <row r="3187" spans="1:14" x14ac:dyDescent="0.2">
      <c r="A3187" s="163">
        <v>2021</v>
      </c>
      <c r="B3187" s="163">
        <v>6</v>
      </c>
      <c r="C3187" s="163">
        <v>3</v>
      </c>
      <c r="D3187" s="141">
        <f t="shared" si="106"/>
        <v>44350</v>
      </c>
      <c r="E3187" s="275">
        <f t="shared" si="107"/>
        <v>44350</v>
      </c>
      <c r="F3187" s="480"/>
      <c r="G3187" s="221" t="s">
        <v>94</v>
      </c>
      <c r="H3187" s="145" t="str" cm="1">
        <f t="array" ref="H3187">IFERROR(INDEX(INVESTOR_LIST[INVESTOR NAME],MATCH(I3187,INVESTOR_LIST[INVESTOR CODE],0),)," ")</f>
        <v xml:space="preserve"> </v>
      </c>
      <c r="I3187" s="145"/>
      <c r="J3187" s="163" t="s">
        <v>147</v>
      </c>
      <c r="K3187" s="219"/>
      <c r="L3187" s="219">
        <v>1900965.59</v>
      </c>
    </row>
    <row r="3188" spans="1:14" ht="11.25" customHeight="1" x14ac:dyDescent="0.2">
      <c r="A3188" s="168">
        <v>2021</v>
      </c>
      <c r="B3188" s="168">
        <v>6</v>
      </c>
      <c r="C3188" s="168">
        <v>3</v>
      </c>
      <c r="D3188" s="141">
        <f t="shared" si="106"/>
        <v>44350</v>
      </c>
      <c r="E3188" s="275">
        <f t="shared" si="107"/>
        <v>44350</v>
      </c>
      <c r="F3188" s="479" t="s">
        <v>964</v>
      </c>
      <c r="G3188" s="220" t="s">
        <v>74</v>
      </c>
      <c r="H3188" s="142" t="str" cm="1">
        <f t="array" ref="H3188">IFERROR(INDEX(INVESTOR_LIST[INVESTOR NAME],MATCH(I3188,INVESTOR_LIST[INVESTOR CODE],0),)," ")</f>
        <v>FAIYEAD AHMEDUL HYE</v>
      </c>
      <c r="I3188" s="142" t="s">
        <v>496</v>
      </c>
      <c r="J3188" s="168" t="s">
        <v>52</v>
      </c>
      <c r="K3188" s="226">
        <v>100000</v>
      </c>
      <c r="L3188" s="226"/>
    </row>
    <row r="3189" spans="1:14" ht="33.75" x14ac:dyDescent="0.2">
      <c r="A3189" s="133">
        <v>2021</v>
      </c>
      <c r="B3189" s="133">
        <v>6</v>
      </c>
      <c r="C3189" s="133">
        <v>3</v>
      </c>
      <c r="D3189" s="141">
        <f t="shared" si="106"/>
        <v>44350</v>
      </c>
      <c r="E3189" s="275">
        <f t="shared" si="107"/>
        <v>44350</v>
      </c>
      <c r="F3189" s="481"/>
      <c r="G3189" s="174" t="s">
        <v>74</v>
      </c>
      <c r="H3189" s="148" t="str" cm="1">
        <f t="array" ref="H3189">IFERROR(INDEX(INVESTOR_LIST[INVESTOR NAME],MATCH(I3189,INVESTOR_LIST[INVESTOR CODE],0),)," ")</f>
        <v>FAIYEAD AHMEDUL HYE</v>
      </c>
      <c r="I3189" s="148" t="s">
        <v>496</v>
      </c>
      <c r="J3189" s="133" t="s">
        <v>13</v>
      </c>
      <c r="K3189" s="218"/>
      <c r="L3189" s="218">
        <v>75300</v>
      </c>
    </row>
    <row r="3190" spans="1:14" ht="33.75" x14ac:dyDescent="0.2">
      <c r="A3190" s="163">
        <v>2021</v>
      </c>
      <c r="B3190" s="163">
        <v>6</v>
      </c>
      <c r="C3190" s="163">
        <v>3</v>
      </c>
      <c r="D3190" s="141">
        <f t="shared" si="106"/>
        <v>44350</v>
      </c>
      <c r="E3190" s="275">
        <f t="shared" si="107"/>
        <v>44350</v>
      </c>
      <c r="F3190" s="480"/>
      <c r="G3190" s="221" t="s">
        <v>74</v>
      </c>
      <c r="H3190" s="145" t="str" cm="1">
        <f t="array" ref="H3190">IFERROR(INDEX(INVESTOR_LIST[INVESTOR NAME],MATCH(I3190,INVESTOR_LIST[INVESTOR CODE],0),)," ")</f>
        <v>FAIYEAD AHMEDUL HYE</v>
      </c>
      <c r="I3190" s="145" t="s">
        <v>496</v>
      </c>
      <c r="J3190" s="163" t="s">
        <v>53</v>
      </c>
      <c r="K3190" s="219"/>
      <c r="L3190" s="219">
        <v>24700</v>
      </c>
    </row>
    <row r="3191" spans="1:14" x14ac:dyDescent="0.2">
      <c r="A3191" s="168">
        <v>2021</v>
      </c>
      <c r="B3191" s="168">
        <v>6</v>
      </c>
      <c r="C3191" s="168">
        <v>3</v>
      </c>
      <c r="D3191" s="141">
        <f t="shared" si="106"/>
        <v>44350</v>
      </c>
      <c r="E3191" s="275">
        <f t="shared" si="107"/>
        <v>44350</v>
      </c>
      <c r="F3191" s="479" t="s">
        <v>77</v>
      </c>
      <c r="G3191" s="220" t="s">
        <v>74</v>
      </c>
      <c r="H3191" s="220" t="str" cm="1">
        <f t="array" ref="H3191">IFERROR(INDEX(INVESTOR_LIST[INVESTOR NAME],MATCH(I3191,INVESTOR_LIST[INVESTOR CODE],0),)," ")</f>
        <v xml:space="preserve"> </v>
      </c>
      <c r="I3191" s="142" t="s">
        <v>348</v>
      </c>
      <c r="J3191" s="143" t="s">
        <v>61</v>
      </c>
      <c r="K3191" s="226">
        <v>10</v>
      </c>
      <c r="L3191" s="226"/>
    </row>
    <row r="3192" spans="1:14" x14ac:dyDescent="0.2">
      <c r="A3192" s="163">
        <v>2021</v>
      </c>
      <c r="B3192" s="163">
        <v>6</v>
      </c>
      <c r="C3192" s="163">
        <v>3</v>
      </c>
      <c r="D3192" s="141">
        <f t="shared" si="106"/>
        <v>44350</v>
      </c>
      <c r="E3192" s="275">
        <f t="shared" si="107"/>
        <v>44350</v>
      </c>
      <c r="F3192" s="480"/>
      <c r="G3192" s="221" t="s">
        <v>74</v>
      </c>
      <c r="H3192" s="221" t="str" cm="1">
        <f t="array" ref="H3192">IFERROR(INDEX(INVESTOR_LIST[INVESTOR NAME],MATCH(I3192,INVESTOR_LIST[INVESTOR CODE],0),)," ")</f>
        <v xml:space="preserve"> </v>
      </c>
      <c r="I3192" s="145" t="s">
        <v>348</v>
      </c>
      <c r="J3192" s="146" t="s">
        <v>52</v>
      </c>
      <c r="K3192" s="219"/>
      <c r="L3192" s="219">
        <v>10</v>
      </c>
    </row>
    <row r="3193" spans="1:14" x14ac:dyDescent="0.2">
      <c r="A3193" s="238">
        <v>2021</v>
      </c>
      <c r="B3193" s="238">
        <v>6</v>
      </c>
      <c r="C3193" s="238">
        <v>3</v>
      </c>
      <c r="D3193" s="141">
        <f t="shared" si="106"/>
        <v>44350</v>
      </c>
      <c r="E3193" s="275">
        <f t="shared" si="107"/>
        <v>44350</v>
      </c>
      <c r="F3193" s="477" t="s">
        <v>347</v>
      </c>
      <c r="G3193" s="239" t="s">
        <v>94</v>
      </c>
      <c r="H3193" s="239" t="str" cm="1">
        <f t="array" ref="H3193">IFERROR(INDEX(INVESTOR_LIST[INVESTOR NAME],MATCH(I3193,INVESTOR_LIST[INVESTOR CODE],0),)," ")</f>
        <v xml:space="preserve"> </v>
      </c>
      <c r="I3193" s="262" t="s">
        <v>348</v>
      </c>
      <c r="J3193" s="240" t="s">
        <v>108</v>
      </c>
      <c r="K3193" s="241">
        <v>896763.70999997668</v>
      </c>
      <c r="L3193" s="241"/>
    </row>
    <row r="3194" spans="1:14" x14ac:dyDescent="0.2">
      <c r="A3194" s="242">
        <v>2021</v>
      </c>
      <c r="B3194" s="242">
        <v>6</v>
      </c>
      <c r="C3194" s="242">
        <v>3</v>
      </c>
      <c r="D3194" s="141">
        <f t="shared" si="106"/>
        <v>44350</v>
      </c>
      <c r="E3194" s="275">
        <f t="shared" si="107"/>
        <v>44350</v>
      </c>
      <c r="F3194" s="478"/>
      <c r="G3194" s="243" t="s">
        <v>94</v>
      </c>
      <c r="H3194" s="243" t="str" cm="1">
        <f t="array" ref="H3194">IFERROR(INDEX(INVESTOR_LIST[INVESTOR NAME],MATCH(I3194,INVESTOR_LIST[INVESTOR CODE],0),)," ")</f>
        <v xml:space="preserve"> </v>
      </c>
      <c r="I3194" s="263" t="s">
        <v>348</v>
      </c>
      <c r="J3194" s="244" t="s">
        <v>82</v>
      </c>
      <c r="K3194" s="245"/>
      <c r="L3194" s="245">
        <v>896763.70999997668</v>
      </c>
    </row>
    <row r="3195" spans="1:14" ht="22.5" x14ac:dyDescent="0.2">
      <c r="A3195" s="246">
        <v>2021</v>
      </c>
      <c r="B3195" s="246">
        <v>6</v>
      </c>
      <c r="C3195" s="246">
        <v>3</v>
      </c>
      <c r="D3195" s="141">
        <f t="shared" si="106"/>
        <v>44350</v>
      </c>
      <c r="E3195" s="275">
        <f t="shared" si="107"/>
        <v>44350</v>
      </c>
      <c r="F3195" s="482" t="s">
        <v>148</v>
      </c>
      <c r="G3195" s="247" t="s">
        <v>94</v>
      </c>
      <c r="H3195" s="247" t="str" cm="1">
        <f t="array" ref="H3195">IFERROR(INDEX(INVESTOR_LIST[INVESTOR NAME],MATCH(I3195,INVESTOR_LIST[INVESTOR CODE],0),)," ")</f>
        <v xml:space="preserve"> </v>
      </c>
      <c r="I3195" s="248" t="s">
        <v>348</v>
      </c>
      <c r="J3195" s="249" t="s">
        <v>95</v>
      </c>
      <c r="K3195" s="250">
        <v>2747.2527472527472</v>
      </c>
      <c r="L3195" s="241"/>
    </row>
    <row r="3196" spans="1:14" x14ac:dyDescent="0.2">
      <c r="A3196" s="242">
        <v>2021</v>
      </c>
      <c r="B3196" s="242">
        <v>6</v>
      </c>
      <c r="C3196" s="242">
        <v>3</v>
      </c>
      <c r="D3196" s="141">
        <f t="shared" si="106"/>
        <v>44350</v>
      </c>
      <c r="E3196" s="275">
        <f t="shared" si="107"/>
        <v>44350</v>
      </c>
      <c r="F3196" s="478"/>
      <c r="G3196" s="243" t="s">
        <v>94</v>
      </c>
      <c r="H3196" s="243" t="str" cm="1">
        <f t="array" ref="H3196">IFERROR(INDEX(INVESTOR_LIST[INVESTOR NAME],MATCH(I3196,INVESTOR_LIST[INVESTOR CODE],0),)," ")</f>
        <v xml:space="preserve"> </v>
      </c>
      <c r="I3196" s="263" t="s">
        <v>348</v>
      </c>
      <c r="J3196" s="244" t="s">
        <v>63</v>
      </c>
      <c r="K3196" s="245"/>
      <c r="L3196" s="245">
        <v>2747.2527472527472</v>
      </c>
    </row>
    <row r="3197" spans="1:14" x14ac:dyDescent="0.2">
      <c r="A3197" s="246">
        <v>2021</v>
      </c>
      <c r="B3197" s="246">
        <v>6</v>
      </c>
      <c r="C3197" s="246">
        <v>3</v>
      </c>
      <c r="D3197" s="141">
        <f t="shared" si="106"/>
        <v>44350</v>
      </c>
      <c r="E3197" s="275">
        <f t="shared" si="107"/>
        <v>44350</v>
      </c>
      <c r="F3197" s="482" t="s">
        <v>137</v>
      </c>
      <c r="G3197" s="247" t="s">
        <v>94</v>
      </c>
      <c r="H3197" s="247" t="str" cm="1">
        <f t="array" ref="H3197">IFERROR(INDEX(INVESTOR_LIST[INVESTOR NAME],MATCH(I3197,INVESTOR_LIST[INVESTOR CODE],0),)," ")</f>
        <v xml:space="preserve"> </v>
      </c>
      <c r="I3197" s="248" t="s">
        <v>348</v>
      </c>
      <c r="J3197" s="249" t="s">
        <v>97</v>
      </c>
      <c r="K3197" s="250">
        <v>101211.46788782245</v>
      </c>
      <c r="L3197" s="252"/>
    </row>
    <row r="3198" spans="1:14" x14ac:dyDescent="0.2">
      <c r="A3198" s="242">
        <v>2021</v>
      </c>
      <c r="B3198" s="242">
        <v>6</v>
      </c>
      <c r="C3198" s="242">
        <v>3</v>
      </c>
      <c r="D3198" s="141">
        <f t="shared" si="106"/>
        <v>44350</v>
      </c>
      <c r="E3198" s="275">
        <f t="shared" si="107"/>
        <v>44350</v>
      </c>
      <c r="F3198" s="478"/>
      <c r="G3198" s="243" t="s">
        <v>94</v>
      </c>
      <c r="H3198" s="243" t="str" cm="1">
        <f t="array" ref="H3198">IFERROR(INDEX(INVESTOR_LIST[INVESTOR NAME],MATCH(I3198,INVESTOR_LIST[INVESTOR CODE],0),)," ")</f>
        <v xml:space="preserve"> </v>
      </c>
      <c r="I3198" s="263" t="s">
        <v>348</v>
      </c>
      <c r="J3198" s="244" t="s">
        <v>47</v>
      </c>
      <c r="K3198" s="245"/>
      <c r="L3198" s="245">
        <v>101211.46788782245</v>
      </c>
      <c r="N3198" s="160"/>
    </row>
    <row r="3199" spans="1:14" x14ac:dyDescent="0.2">
      <c r="A3199" s="246">
        <v>2021</v>
      </c>
      <c r="B3199" s="246">
        <v>6</v>
      </c>
      <c r="C3199" s="246">
        <v>3</v>
      </c>
      <c r="D3199" s="141">
        <f t="shared" si="106"/>
        <v>44350</v>
      </c>
      <c r="E3199" s="275">
        <f t="shared" si="107"/>
        <v>44350</v>
      </c>
      <c r="F3199" s="482" t="s">
        <v>138</v>
      </c>
      <c r="G3199" s="247" t="s">
        <v>94</v>
      </c>
      <c r="H3199" s="247" t="str" cm="1">
        <f t="array" ref="H3199">IFERROR(INDEX(INVESTOR_LIST[INVESTOR NAME],MATCH(I3199,INVESTOR_LIST[INVESTOR CODE],0),)," ")</f>
        <v xml:space="preserve"> </v>
      </c>
      <c r="I3199" s="248" t="s">
        <v>348</v>
      </c>
      <c r="J3199" s="249" t="s">
        <v>100</v>
      </c>
      <c r="K3199" s="250">
        <v>4824.3542694445741</v>
      </c>
      <c r="L3199" s="252"/>
    </row>
    <row r="3200" spans="1:14" x14ac:dyDescent="0.2">
      <c r="A3200" s="242">
        <v>2021</v>
      </c>
      <c r="B3200" s="242">
        <v>6</v>
      </c>
      <c r="C3200" s="242">
        <v>3</v>
      </c>
      <c r="D3200" s="141">
        <f t="shared" si="106"/>
        <v>44350</v>
      </c>
      <c r="E3200" s="275">
        <f t="shared" si="107"/>
        <v>44350</v>
      </c>
      <c r="F3200" s="478"/>
      <c r="G3200" s="243" t="s">
        <v>94</v>
      </c>
      <c r="H3200" s="243" t="str" cm="1">
        <f t="array" ref="H3200">IFERROR(INDEX(INVESTOR_LIST[INVESTOR NAME],MATCH(I3200,INVESTOR_LIST[INVESTOR CODE],0),)," ")</f>
        <v xml:space="preserve"> </v>
      </c>
      <c r="I3200" s="263" t="s">
        <v>348</v>
      </c>
      <c r="J3200" s="244" t="s">
        <v>48</v>
      </c>
      <c r="K3200" s="245"/>
      <c r="L3200" s="245">
        <v>4824.3542694445741</v>
      </c>
    </row>
    <row r="3201" spans="1:14" x14ac:dyDescent="0.2">
      <c r="A3201" s="168">
        <v>2021</v>
      </c>
      <c r="B3201" s="168">
        <v>6</v>
      </c>
      <c r="C3201" s="168">
        <v>6</v>
      </c>
      <c r="D3201" s="141">
        <f t="shared" si="106"/>
        <v>44353</v>
      </c>
      <c r="E3201" s="275">
        <f t="shared" si="107"/>
        <v>44353</v>
      </c>
      <c r="F3201" s="479" t="s">
        <v>274</v>
      </c>
      <c r="G3201" s="220" t="s">
        <v>94</v>
      </c>
      <c r="H3201" s="142" t="str" cm="1">
        <f t="array" ref="H3201">IFERROR(INDEX(INVESTOR_LIST[INVESTOR NAME],MATCH(I3201,INVESTOR_LIST[INVESTOR CODE],0),)," ")</f>
        <v xml:space="preserve"> </v>
      </c>
      <c r="I3201" s="142"/>
      <c r="J3201" s="168" t="s">
        <v>79</v>
      </c>
      <c r="K3201" s="226">
        <v>1199987.8</v>
      </c>
      <c r="L3201" s="226"/>
    </row>
    <row r="3202" spans="1:14" x14ac:dyDescent="0.2">
      <c r="A3202" s="133">
        <v>2021</v>
      </c>
      <c r="B3202" s="133">
        <v>6</v>
      </c>
      <c r="C3202" s="133">
        <v>6</v>
      </c>
      <c r="D3202" s="141">
        <f t="shared" si="106"/>
        <v>44353</v>
      </c>
      <c r="E3202" s="275">
        <f t="shared" si="107"/>
        <v>44353</v>
      </c>
      <c r="F3202" s="481"/>
      <c r="G3202" s="174" t="s">
        <v>94</v>
      </c>
      <c r="H3202" s="148" t="str" cm="1">
        <f t="array" ref="H3202">IFERROR(INDEX(INVESTOR_LIST[INVESTOR NAME],MATCH(I3202,INVESTOR_LIST[INVESTOR CODE],0),)," ")</f>
        <v xml:space="preserve"> </v>
      </c>
      <c r="J3202" s="133" t="s">
        <v>80</v>
      </c>
      <c r="K3202" s="218">
        <v>2159.98</v>
      </c>
      <c r="L3202" s="218"/>
    </row>
    <row r="3203" spans="1:14" x14ac:dyDescent="0.2">
      <c r="A3203" s="163">
        <v>2021</v>
      </c>
      <c r="B3203" s="163">
        <v>6</v>
      </c>
      <c r="C3203" s="163">
        <v>6</v>
      </c>
      <c r="D3203" s="141">
        <f t="shared" si="106"/>
        <v>44353</v>
      </c>
      <c r="E3203" s="275">
        <f t="shared" si="107"/>
        <v>44353</v>
      </c>
      <c r="F3203" s="480"/>
      <c r="G3203" s="221" t="s">
        <v>94</v>
      </c>
      <c r="H3203" s="145" t="str" cm="1">
        <f t="array" ref="H3203">IFERROR(INDEX(INVESTOR_LIST[INVESTOR NAME],MATCH(I3203,INVESTOR_LIST[INVESTOR CODE],0),)," ")</f>
        <v xml:space="preserve"> </v>
      </c>
      <c r="I3203" s="145"/>
      <c r="J3203" s="163" t="s">
        <v>147</v>
      </c>
      <c r="K3203" s="219"/>
      <c r="L3203" s="219">
        <v>1202147.78</v>
      </c>
    </row>
    <row r="3204" spans="1:14" x14ac:dyDescent="0.2">
      <c r="A3204" s="168">
        <v>2021</v>
      </c>
      <c r="B3204" s="168">
        <v>6</v>
      </c>
      <c r="C3204" s="168">
        <v>6</v>
      </c>
      <c r="D3204" s="141">
        <f t="shared" si="106"/>
        <v>44353</v>
      </c>
      <c r="E3204" s="275">
        <f t="shared" si="107"/>
        <v>44353</v>
      </c>
      <c r="F3204" s="479" t="s">
        <v>524</v>
      </c>
      <c r="G3204" s="220" t="s">
        <v>74</v>
      </c>
      <c r="H3204" s="142" t="str" cm="1">
        <f t="array" ref="H3204">IFERROR(INDEX(INVESTOR_LIST[INVESTOR NAME],MATCH(I3204,INVESTOR_LIST[INVESTOR CODE],0),)," ")</f>
        <v xml:space="preserve"> </v>
      </c>
      <c r="I3204" s="142"/>
      <c r="J3204" s="168" t="s">
        <v>147</v>
      </c>
      <c r="K3204" s="226">
        <v>3170764.92</v>
      </c>
      <c r="L3204" s="226"/>
    </row>
    <row r="3205" spans="1:14" x14ac:dyDescent="0.2">
      <c r="A3205" s="163">
        <v>2021</v>
      </c>
      <c r="B3205" s="163">
        <v>6</v>
      </c>
      <c r="C3205" s="163">
        <v>6</v>
      </c>
      <c r="D3205" s="141">
        <f t="shared" si="106"/>
        <v>44353</v>
      </c>
      <c r="E3205" s="275">
        <f t="shared" si="107"/>
        <v>44353</v>
      </c>
      <c r="F3205" s="480"/>
      <c r="G3205" s="221" t="s">
        <v>74</v>
      </c>
      <c r="H3205" s="145" t="str" cm="1">
        <f t="array" ref="H3205">IFERROR(INDEX(INVESTOR_LIST[INVESTOR NAME],MATCH(I3205,INVESTOR_LIST[INVESTOR CODE],0),)," ")</f>
        <v xml:space="preserve"> </v>
      </c>
      <c r="I3205" s="145"/>
      <c r="J3205" s="163" t="s">
        <v>52</v>
      </c>
      <c r="K3205" s="219"/>
      <c r="L3205" s="219">
        <v>3170764.92</v>
      </c>
    </row>
    <row r="3206" spans="1:14" x14ac:dyDescent="0.2">
      <c r="A3206" s="168">
        <v>2021</v>
      </c>
      <c r="B3206" s="168">
        <v>6</v>
      </c>
      <c r="C3206" s="168">
        <v>6</v>
      </c>
      <c r="D3206" s="141">
        <f t="shared" si="106"/>
        <v>44353</v>
      </c>
      <c r="E3206" s="275">
        <f t="shared" si="107"/>
        <v>44353</v>
      </c>
      <c r="F3206" s="479" t="s">
        <v>524</v>
      </c>
      <c r="G3206" s="220" t="s">
        <v>74</v>
      </c>
      <c r="H3206" s="142" t="str" cm="1">
        <f t="array" ref="H3206">IFERROR(INDEX(INVESTOR_LIST[INVESTOR NAME],MATCH(I3206,INVESTOR_LIST[INVESTOR CODE],0),)," ")</f>
        <v xml:space="preserve"> </v>
      </c>
      <c r="I3206" s="142"/>
      <c r="J3206" s="168" t="s">
        <v>147</v>
      </c>
      <c r="K3206" s="226">
        <v>1900965.59</v>
      </c>
      <c r="L3206" s="226"/>
    </row>
    <row r="3207" spans="1:14" ht="11.25" customHeight="1" x14ac:dyDescent="0.2">
      <c r="A3207" s="163">
        <v>2021</v>
      </c>
      <c r="B3207" s="163">
        <v>6</v>
      </c>
      <c r="C3207" s="163">
        <v>6</v>
      </c>
      <c r="D3207" s="141">
        <f t="shared" si="106"/>
        <v>44353</v>
      </c>
      <c r="E3207" s="275">
        <f t="shared" si="107"/>
        <v>44353</v>
      </c>
      <c r="F3207" s="480"/>
      <c r="G3207" s="221" t="s">
        <v>74</v>
      </c>
      <c r="H3207" s="145" t="str" cm="1">
        <f t="array" ref="H3207">IFERROR(INDEX(INVESTOR_LIST[INVESTOR NAME],MATCH(I3207,INVESTOR_LIST[INVESTOR CODE],0),)," ")</f>
        <v xml:space="preserve"> </v>
      </c>
      <c r="I3207" s="145"/>
      <c r="J3207" s="163" t="s">
        <v>52</v>
      </c>
      <c r="K3207" s="219"/>
      <c r="L3207" s="219">
        <v>1900965.59</v>
      </c>
      <c r="N3207" s="160"/>
    </row>
    <row r="3208" spans="1:14" ht="11.25" customHeight="1" x14ac:dyDescent="0.2">
      <c r="A3208" s="168">
        <v>2021</v>
      </c>
      <c r="B3208" s="168">
        <v>6</v>
      </c>
      <c r="C3208" s="168">
        <v>6</v>
      </c>
      <c r="D3208" s="141">
        <f t="shared" si="106"/>
        <v>44353</v>
      </c>
      <c r="E3208" s="275">
        <f t="shared" si="107"/>
        <v>44353</v>
      </c>
      <c r="F3208" s="479" t="s">
        <v>254</v>
      </c>
      <c r="G3208" s="220" t="s">
        <v>74</v>
      </c>
      <c r="H3208" s="142" t="str" cm="1">
        <f t="array" ref="H3208">IFERROR(INDEX(INVESTOR_LIST[INVESTOR NAME],MATCH(I3208,INVESTOR_LIST[INVESTOR CODE],0),)," ")</f>
        <v xml:space="preserve"> </v>
      </c>
      <c r="I3208" s="142"/>
      <c r="J3208" s="168" t="s">
        <v>52</v>
      </c>
      <c r="K3208" s="226">
        <v>7500</v>
      </c>
      <c r="L3208" s="226"/>
    </row>
    <row r="3209" spans="1:14" x14ac:dyDescent="0.2">
      <c r="A3209" s="133">
        <v>2021</v>
      </c>
      <c r="B3209" s="133">
        <v>6</v>
      </c>
      <c r="C3209" s="133">
        <v>6</v>
      </c>
      <c r="D3209" s="141">
        <f t="shared" si="106"/>
        <v>44353</v>
      </c>
      <c r="E3209" s="275">
        <f t="shared" si="107"/>
        <v>44353</v>
      </c>
      <c r="F3209" s="481"/>
      <c r="G3209" s="174" t="s">
        <v>74</v>
      </c>
      <c r="H3209" s="148" t="str" cm="1">
        <f t="array" ref="H3209">IFERROR(INDEX(INVESTOR_LIST[INVESTOR NAME],MATCH(I3209,INVESTOR_LIST[INVESTOR CODE],0),)," ")</f>
        <v xml:space="preserve"> </v>
      </c>
      <c r="J3209" s="133" t="s">
        <v>13</v>
      </c>
      <c r="K3209" s="218"/>
      <c r="L3209" s="218">
        <v>5630</v>
      </c>
    </row>
    <row r="3210" spans="1:14" x14ac:dyDescent="0.2">
      <c r="A3210" s="163">
        <v>2021</v>
      </c>
      <c r="B3210" s="163">
        <v>6</v>
      </c>
      <c r="C3210" s="163">
        <v>6</v>
      </c>
      <c r="D3210" s="141">
        <f t="shared" si="106"/>
        <v>44353</v>
      </c>
      <c r="E3210" s="275">
        <f t="shared" si="107"/>
        <v>44353</v>
      </c>
      <c r="F3210" s="480"/>
      <c r="G3210" s="221" t="s">
        <v>74</v>
      </c>
      <c r="H3210" s="145" t="str" cm="1">
        <f t="array" ref="H3210">IFERROR(INDEX(INVESTOR_LIST[INVESTOR NAME],MATCH(I3210,INVESTOR_LIST[INVESTOR CODE],0),)," ")</f>
        <v xml:space="preserve"> </v>
      </c>
      <c r="I3210" s="145"/>
      <c r="J3210" s="163" t="s">
        <v>53</v>
      </c>
      <c r="K3210" s="219"/>
      <c r="L3210" s="219">
        <v>1870</v>
      </c>
    </row>
    <row r="3211" spans="1:14" x14ac:dyDescent="0.2">
      <c r="A3211" s="168">
        <v>2021</v>
      </c>
      <c r="B3211" s="168">
        <v>6</v>
      </c>
      <c r="C3211" s="168">
        <v>7</v>
      </c>
      <c r="D3211" s="141">
        <f t="shared" si="106"/>
        <v>44354</v>
      </c>
      <c r="E3211" s="275">
        <f t="shared" si="107"/>
        <v>44354</v>
      </c>
      <c r="F3211" s="479" t="s">
        <v>737</v>
      </c>
      <c r="G3211" s="220" t="s">
        <v>94</v>
      </c>
      <c r="H3211" s="142" t="str" cm="1">
        <f t="array" ref="H3211">IFERROR(INDEX(INVESTOR_LIST[INVESTOR NAME],MATCH(I3211,INVESTOR_LIST[INVESTOR CODE],0),)," ")</f>
        <v xml:space="preserve"> </v>
      </c>
      <c r="I3211" s="142"/>
      <c r="J3211" s="168" t="s">
        <v>79</v>
      </c>
      <c r="K3211" s="226">
        <v>925275</v>
      </c>
      <c r="L3211" s="226"/>
    </row>
    <row r="3212" spans="1:14" x14ac:dyDescent="0.2">
      <c r="A3212" s="133">
        <v>2021</v>
      </c>
      <c r="B3212" s="133">
        <v>6</v>
      </c>
      <c r="C3212" s="133">
        <v>7</v>
      </c>
      <c r="D3212" s="141">
        <f t="shared" si="106"/>
        <v>44354</v>
      </c>
      <c r="E3212" s="275">
        <f t="shared" si="107"/>
        <v>44354</v>
      </c>
      <c r="F3212" s="481"/>
      <c r="G3212" s="174" t="s">
        <v>94</v>
      </c>
      <c r="H3212" s="148" t="str" cm="1">
        <f t="array" ref="H3212">IFERROR(INDEX(INVESTOR_LIST[INVESTOR NAME],MATCH(I3212,INVESTOR_LIST[INVESTOR CODE],0),)," ")</f>
        <v xml:space="preserve"> </v>
      </c>
      <c r="J3212" s="133" t="s">
        <v>80</v>
      </c>
      <c r="K3212" s="218">
        <f>1665.49+3825</f>
        <v>5490.49</v>
      </c>
      <c r="L3212" s="218"/>
    </row>
    <row r="3213" spans="1:14" x14ac:dyDescent="0.2">
      <c r="A3213" s="133">
        <v>2021</v>
      </c>
      <c r="B3213" s="133">
        <v>6</v>
      </c>
      <c r="C3213" s="133">
        <v>7</v>
      </c>
      <c r="D3213" s="141">
        <f t="shared" si="106"/>
        <v>44354</v>
      </c>
      <c r="E3213" s="275">
        <f t="shared" si="107"/>
        <v>44354</v>
      </c>
      <c r="F3213" s="481"/>
      <c r="G3213" s="174" t="s">
        <v>94</v>
      </c>
      <c r="H3213" s="148" t="str" cm="1">
        <f t="array" ref="H3213">IFERROR(INDEX(INVESTOR_LIST[INVESTOR NAME],MATCH(I3213,INVESTOR_LIST[INVESTOR CODE],0),)," ")</f>
        <v xml:space="preserve"> </v>
      </c>
      <c r="J3213" s="133" t="s">
        <v>191</v>
      </c>
      <c r="K3213" s="218">
        <v>24553.9</v>
      </c>
      <c r="L3213" s="218"/>
    </row>
    <row r="3214" spans="1:14" x14ac:dyDescent="0.2">
      <c r="A3214" s="133">
        <v>2021</v>
      </c>
      <c r="B3214" s="133">
        <v>6</v>
      </c>
      <c r="C3214" s="133">
        <v>7</v>
      </c>
      <c r="D3214" s="141">
        <f t="shared" ref="D3214:D3277" si="108">DATE(A3214,B3214,C3214)</f>
        <v>44354</v>
      </c>
      <c r="E3214" s="275">
        <f t="shared" si="107"/>
        <v>44354</v>
      </c>
      <c r="F3214" s="481"/>
      <c r="G3214" s="174" t="s">
        <v>94</v>
      </c>
      <c r="H3214" s="148" t="str" cm="1">
        <f t="array" ref="H3214">IFERROR(INDEX(INVESTOR_LIST[INVESTOR NAME],MATCH(I3214,INVESTOR_LIST[INVESTOR CODE],0),)," ")</f>
        <v xml:space="preserve"> </v>
      </c>
      <c r="J3214" s="133" t="s">
        <v>190</v>
      </c>
      <c r="K3214" s="218">
        <v>1194234.51</v>
      </c>
      <c r="L3214" s="218"/>
    </row>
    <row r="3215" spans="1:14" x14ac:dyDescent="0.2">
      <c r="A3215" s="163">
        <v>2021</v>
      </c>
      <c r="B3215" s="163">
        <v>6</v>
      </c>
      <c r="C3215" s="163">
        <v>7</v>
      </c>
      <c r="D3215" s="141">
        <f t="shared" si="108"/>
        <v>44354</v>
      </c>
      <c r="E3215" s="275">
        <f t="shared" ref="E3215:E3278" si="109">DATE(A3215,B3215,C3215)</f>
        <v>44354</v>
      </c>
      <c r="F3215" s="480"/>
      <c r="G3215" s="221" t="s">
        <v>94</v>
      </c>
      <c r="H3215" s="145" t="str" cm="1">
        <f t="array" ref="H3215">IFERROR(INDEX(INVESTOR_LIST[INVESTOR NAME],MATCH(I3215,INVESTOR_LIST[INVESTOR CODE],0),)," ")</f>
        <v xml:space="preserve"> </v>
      </c>
      <c r="I3215" s="145"/>
      <c r="J3215" s="163" t="s">
        <v>79</v>
      </c>
      <c r="K3215" s="219"/>
      <c r="L3215" s="219">
        <v>2149553.9</v>
      </c>
      <c r="N3215" s="156">
        <f>K3216/13.32</f>
        <v>50450.450450450451</v>
      </c>
    </row>
    <row r="3216" spans="1:14" ht="11.25" customHeight="1" x14ac:dyDescent="0.2">
      <c r="A3216" s="168">
        <v>2021</v>
      </c>
      <c r="B3216" s="168">
        <v>6</v>
      </c>
      <c r="C3216" s="168">
        <v>7</v>
      </c>
      <c r="D3216" s="141">
        <f t="shared" si="108"/>
        <v>44354</v>
      </c>
      <c r="E3216" s="275">
        <f t="shared" si="109"/>
        <v>44354</v>
      </c>
      <c r="F3216" s="479" t="s">
        <v>964</v>
      </c>
      <c r="G3216" s="220" t="s">
        <v>74</v>
      </c>
      <c r="H3216" s="142" t="str" cm="1">
        <f t="array" ref="H3216">IFERROR(INDEX(INVESTOR_LIST[INVESTOR NAME],MATCH(I3216,INVESTOR_LIST[INVESTOR CODE],0),)," ")</f>
        <v>TRIPTI BARUA</v>
      </c>
      <c r="I3216" s="142" t="s">
        <v>498</v>
      </c>
      <c r="J3216" s="168" t="s">
        <v>52</v>
      </c>
      <c r="K3216" s="226">
        <v>672000</v>
      </c>
      <c r="L3216" s="226"/>
    </row>
    <row r="3217" spans="1:14" ht="22.5" x14ac:dyDescent="0.2">
      <c r="A3217" s="133">
        <v>2021</v>
      </c>
      <c r="B3217" s="133">
        <v>6</v>
      </c>
      <c r="C3217" s="133">
        <v>7</v>
      </c>
      <c r="D3217" s="141">
        <f t="shared" si="108"/>
        <v>44354</v>
      </c>
      <c r="E3217" s="275">
        <f t="shared" si="109"/>
        <v>44354</v>
      </c>
      <c r="F3217" s="481"/>
      <c r="G3217" s="174" t="s">
        <v>74</v>
      </c>
      <c r="H3217" s="148" t="str" cm="1">
        <f t="array" ref="H3217">IFERROR(INDEX(INVESTOR_LIST[INVESTOR NAME],MATCH(I3217,INVESTOR_LIST[INVESTOR CODE],0),)," ")</f>
        <v>TRIPTI BARUA</v>
      </c>
      <c r="I3217" s="148" t="s">
        <v>498</v>
      </c>
      <c r="J3217" s="133" t="s">
        <v>13</v>
      </c>
      <c r="K3217" s="218"/>
      <c r="L3217" s="218">
        <v>504500</v>
      </c>
    </row>
    <row r="3218" spans="1:14" ht="22.5" x14ac:dyDescent="0.2">
      <c r="A3218" s="163">
        <v>2021</v>
      </c>
      <c r="B3218" s="163">
        <v>6</v>
      </c>
      <c r="C3218" s="163">
        <v>7</v>
      </c>
      <c r="D3218" s="141">
        <f t="shared" si="108"/>
        <v>44354</v>
      </c>
      <c r="E3218" s="275">
        <f t="shared" si="109"/>
        <v>44354</v>
      </c>
      <c r="F3218" s="480"/>
      <c r="G3218" s="221" t="s">
        <v>74</v>
      </c>
      <c r="H3218" s="145" t="str" cm="1">
        <f t="array" ref="H3218">IFERROR(INDEX(INVESTOR_LIST[INVESTOR NAME],MATCH(I3218,INVESTOR_LIST[INVESTOR CODE],0),)," ")</f>
        <v>TRIPTI BARUA</v>
      </c>
      <c r="I3218" s="145" t="s">
        <v>498</v>
      </c>
      <c r="J3218" s="163" t="s">
        <v>53</v>
      </c>
      <c r="K3218" s="219"/>
      <c r="L3218" s="219">
        <v>167500</v>
      </c>
      <c r="N3218" s="156">
        <f>K3219/13.32</f>
        <v>37537.537537537537</v>
      </c>
    </row>
    <row r="3219" spans="1:14" ht="11.25" customHeight="1" x14ac:dyDescent="0.2">
      <c r="A3219" s="168">
        <v>2021</v>
      </c>
      <c r="B3219" s="168">
        <v>6</v>
      </c>
      <c r="C3219" s="168">
        <v>7</v>
      </c>
      <c r="D3219" s="141">
        <f t="shared" si="108"/>
        <v>44354</v>
      </c>
      <c r="E3219" s="275">
        <f t="shared" si="109"/>
        <v>44354</v>
      </c>
      <c r="F3219" s="479" t="s">
        <v>964</v>
      </c>
      <c r="G3219" s="220" t="s">
        <v>74</v>
      </c>
      <c r="H3219" s="142" t="str" cm="1">
        <f t="array" ref="H3219">IFERROR(INDEX(INVESTOR_LIST[INVESTOR NAME],MATCH(I3219,INVESTOR_LIST[INVESTOR CODE],0),)," ")</f>
        <v>SHANTA PAUL</v>
      </c>
      <c r="I3219" s="142" t="s">
        <v>739</v>
      </c>
      <c r="J3219" s="168" t="s">
        <v>52</v>
      </c>
      <c r="K3219" s="226">
        <v>500000</v>
      </c>
      <c r="L3219" s="226"/>
    </row>
    <row r="3220" spans="1:14" ht="22.5" x14ac:dyDescent="0.2">
      <c r="A3220" s="133">
        <v>2021</v>
      </c>
      <c r="B3220" s="133">
        <v>6</v>
      </c>
      <c r="C3220" s="133">
        <v>7</v>
      </c>
      <c r="D3220" s="141">
        <f t="shared" si="108"/>
        <v>44354</v>
      </c>
      <c r="E3220" s="275">
        <f t="shared" si="109"/>
        <v>44354</v>
      </c>
      <c r="F3220" s="481"/>
      <c r="G3220" s="174" t="s">
        <v>74</v>
      </c>
      <c r="H3220" s="148" t="str" cm="1">
        <f t="array" ref="H3220">IFERROR(INDEX(INVESTOR_LIST[INVESTOR NAME],MATCH(I3220,INVESTOR_LIST[INVESTOR CODE],0),)," ")</f>
        <v>SHANTA PAUL</v>
      </c>
      <c r="I3220" s="148" t="s">
        <v>739</v>
      </c>
      <c r="J3220" s="133" t="s">
        <v>13</v>
      </c>
      <c r="K3220" s="218"/>
      <c r="L3220" s="218">
        <v>375380</v>
      </c>
    </row>
    <row r="3221" spans="1:14" ht="22.5" x14ac:dyDescent="0.2">
      <c r="A3221" s="163">
        <v>2021</v>
      </c>
      <c r="B3221" s="163">
        <v>6</v>
      </c>
      <c r="C3221" s="163">
        <v>7</v>
      </c>
      <c r="D3221" s="141">
        <f t="shared" si="108"/>
        <v>44354</v>
      </c>
      <c r="E3221" s="275">
        <f t="shared" si="109"/>
        <v>44354</v>
      </c>
      <c r="F3221" s="480"/>
      <c r="G3221" s="221" t="s">
        <v>74</v>
      </c>
      <c r="H3221" s="145" t="str" cm="1">
        <f t="array" ref="H3221">IFERROR(INDEX(INVESTOR_LIST[INVESTOR NAME],MATCH(I3221,INVESTOR_LIST[INVESTOR CODE],0),)," ")</f>
        <v>SHANTA PAUL</v>
      </c>
      <c r="I3221" s="145" t="s">
        <v>739</v>
      </c>
      <c r="J3221" s="163" t="s">
        <v>53</v>
      </c>
      <c r="K3221" s="219"/>
      <c r="L3221" s="219">
        <v>124620</v>
      </c>
    </row>
    <row r="3222" spans="1:14" x14ac:dyDescent="0.2">
      <c r="A3222" s="168">
        <v>2021</v>
      </c>
      <c r="B3222" s="168">
        <v>6</v>
      </c>
      <c r="C3222" s="168">
        <v>7</v>
      </c>
      <c r="D3222" s="141">
        <f t="shared" si="108"/>
        <v>44354</v>
      </c>
      <c r="E3222" s="275">
        <f t="shared" si="109"/>
        <v>44354</v>
      </c>
      <c r="F3222" s="479" t="s">
        <v>77</v>
      </c>
      <c r="G3222" s="220" t="s">
        <v>74</v>
      </c>
      <c r="H3222" s="220" t="str" cm="1">
        <f t="array" ref="H3222">IFERROR(INDEX(INVESTOR_LIST[INVESTOR NAME],MATCH(I3222,INVESTOR_LIST[INVESTOR CODE],0),)," ")</f>
        <v xml:space="preserve"> </v>
      </c>
      <c r="I3222" s="142" t="s">
        <v>348</v>
      </c>
      <c r="J3222" s="143" t="s">
        <v>61</v>
      </c>
      <c r="K3222" s="226">
        <v>10</v>
      </c>
      <c r="L3222" s="226"/>
    </row>
    <row r="3223" spans="1:14" x14ac:dyDescent="0.2">
      <c r="A3223" s="163">
        <v>2021</v>
      </c>
      <c r="B3223" s="163">
        <v>6</v>
      </c>
      <c r="C3223" s="163">
        <v>7</v>
      </c>
      <c r="D3223" s="141">
        <f t="shared" si="108"/>
        <v>44354</v>
      </c>
      <c r="E3223" s="275">
        <f t="shared" si="109"/>
        <v>44354</v>
      </c>
      <c r="F3223" s="480"/>
      <c r="G3223" s="221" t="s">
        <v>74</v>
      </c>
      <c r="H3223" s="221" t="str" cm="1">
        <f t="array" ref="H3223">IFERROR(INDEX(INVESTOR_LIST[INVESTOR NAME],MATCH(I3223,INVESTOR_LIST[INVESTOR CODE],0),)," ")</f>
        <v xml:space="preserve"> </v>
      </c>
      <c r="I3223" s="145" t="s">
        <v>348</v>
      </c>
      <c r="J3223" s="146" t="s">
        <v>52</v>
      </c>
      <c r="K3223" s="219"/>
      <c r="L3223" s="219">
        <v>10</v>
      </c>
    </row>
    <row r="3224" spans="1:14" x14ac:dyDescent="0.2">
      <c r="A3224" s="168">
        <v>2021</v>
      </c>
      <c r="B3224" s="168">
        <v>6</v>
      </c>
      <c r="C3224" s="168">
        <v>7</v>
      </c>
      <c r="D3224" s="141">
        <f t="shared" si="108"/>
        <v>44354</v>
      </c>
      <c r="E3224" s="275">
        <f t="shared" si="109"/>
        <v>44354</v>
      </c>
      <c r="F3224" s="479" t="s">
        <v>77</v>
      </c>
      <c r="G3224" s="220" t="s">
        <v>74</v>
      </c>
      <c r="H3224" s="220" t="str" cm="1">
        <f t="array" ref="H3224">IFERROR(INDEX(INVESTOR_LIST[INVESTOR NAME],MATCH(I3224,INVESTOR_LIST[INVESTOR CODE],0),)," ")</f>
        <v xml:space="preserve"> </v>
      </c>
      <c r="I3224" s="142" t="s">
        <v>348</v>
      </c>
      <c r="J3224" s="143" t="s">
        <v>61</v>
      </c>
      <c r="K3224" s="226">
        <v>25</v>
      </c>
      <c r="L3224" s="226"/>
    </row>
    <row r="3225" spans="1:14" x14ac:dyDescent="0.2">
      <c r="A3225" s="163">
        <v>2021</v>
      </c>
      <c r="B3225" s="163">
        <v>6</v>
      </c>
      <c r="C3225" s="163">
        <v>7</v>
      </c>
      <c r="D3225" s="141">
        <f t="shared" si="108"/>
        <v>44354</v>
      </c>
      <c r="E3225" s="275">
        <f t="shared" si="109"/>
        <v>44354</v>
      </c>
      <c r="F3225" s="480"/>
      <c r="G3225" s="221" t="s">
        <v>74</v>
      </c>
      <c r="H3225" s="221" t="str" cm="1">
        <f t="array" ref="H3225">IFERROR(INDEX(INVESTOR_LIST[INVESTOR NAME],MATCH(I3225,INVESTOR_LIST[INVESTOR CODE],0),)," ")</f>
        <v xml:space="preserve"> </v>
      </c>
      <c r="I3225" s="145" t="s">
        <v>348</v>
      </c>
      <c r="J3225" s="146" t="s">
        <v>52</v>
      </c>
      <c r="K3225" s="219"/>
      <c r="L3225" s="219">
        <v>25</v>
      </c>
    </row>
    <row r="3226" spans="1:14" x14ac:dyDescent="0.2">
      <c r="A3226" s="168">
        <v>2021</v>
      </c>
      <c r="B3226" s="168">
        <v>6</v>
      </c>
      <c r="C3226" s="168">
        <v>8</v>
      </c>
      <c r="D3226" s="141">
        <f t="shared" si="108"/>
        <v>44355</v>
      </c>
      <c r="E3226" s="275">
        <f t="shared" si="109"/>
        <v>44355</v>
      </c>
      <c r="F3226" s="479" t="s">
        <v>738</v>
      </c>
      <c r="G3226" s="220" t="s">
        <v>94</v>
      </c>
      <c r="H3226" s="142" t="str" cm="1">
        <f t="array" ref="H3226">IFERROR(INDEX(INVESTOR_LIST[INVESTOR NAME],MATCH(I3226,INVESTOR_LIST[INVESTOR CODE],0),)," ")</f>
        <v xml:space="preserve"> </v>
      </c>
      <c r="I3226" s="142"/>
      <c r="J3226" s="168" t="s">
        <v>190</v>
      </c>
      <c r="K3226" s="226">
        <v>1073065</v>
      </c>
      <c r="L3226" s="226"/>
    </row>
    <row r="3227" spans="1:14" x14ac:dyDescent="0.2">
      <c r="A3227" s="133">
        <v>2021</v>
      </c>
      <c r="B3227" s="133">
        <v>6</v>
      </c>
      <c r="C3227" s="133">
        <v>8</v>
      </c>
      <c r="D3227" s="141">
        <f t="shared" si="108"/>
        <v>44355</v>
      </c>
      <c r="E3227" s="275">
        <f t="shared" si="109"/>
        <v>44355</v>
      </c>
      <c r="F3227" s="481"/>
      <c r="G3227" s="174" t="s">
        <v>94</v>
      </c>
      <c r="H3227" s="148" t="str" cm="1">
        <f t="array" ref="H3227">IFERROR(INDEX(INVESTOR_LIST[INVESTOR NAME],MATCH(I3227,INVESTOR_LIST[INVESTOR CODE],0),)," ")</f>
        <v xml:space="preserve"> </v>
      </c>
      <c r="J3227" s="133" t="s">
        <v>80</v>
      </c>
      <c r="K3227" s="218">
        <v>1935</v>
      </c>
      <c r="L3227" s="218"/>
    </row>
    <row r="3228" spans="1:14" x14ac:dyDescent="0.2">
      <c r="A3228" s="133">
        <v>2021</v>
      </c>
      <c r="B3228" s="133">
        <v>6</v>
      </c>
      <c r="C3228" s="133">
        <v>8</v>
      </c>
      <c r="D3228" s="141">
        <f t="shared" si="108"/>
        <v>44355</v>
      </c>
      <c r="E3228" s="275">
        <f t="shared" si="109"/>
        <v>44355</v>
      </c>
      <c r="F3228" s="481"/>
      <c r="G3228" s="174" t="s">
        <v>94</v>
      </c>
      <c r="H3228" s="148" t="str" cm="1">
        <f t="array" ref="H3228">IFERROR(INDEX(INVESTOR_LIST[INVESTOR NAME],MATCH(I3228,INVESTOR_LIST[INVESTOR CODE],0),)," ")</f>
        <v xml:space="preserve"> </v>
      </c>
      <c r="J3228" s="133" t="s">
        <v>191</v>
      </c>
      <c r="K3228" s="218"/>
      <c r="L3228" s="218">
        <v>223.05</v>
      </c>
    </row>
    <row r="3229" spans="1:14" x14ac:dyDescent="0.2">
      <c r="A3229" s="163">
        <v>2021</v>
      </c>
      <c r="B3229" s="163">
        <v>6</v>
      </c>
      <c r="C3229" s="163">
        <v>8</v>
      </c>
      <c r="D3229" s="141">
        <f t="shared" si="108"/>
        <v>44355</v>
      </c>
      <c r="E3229" s="275">
        <f t="shared" si="109"/>
        <v>44355</v>
      </c>
      <c r="F3229" s="480"/>
      <c r="G3229" s="221" t="s">
        <v>94</v>
      </c>
      <c r="H3229" s="145" t="str" cm="1">
        <f t="array" ref="H3229">IFERROR(INDEX(INVESTOR_LIST[INVESTOR NAME],MATCH(I3229,INVESTOR_LIST[INVESTOR CODE],0),)," ")</f>
        <v xml:space="preserve"> </v>
      </c>
      <c r="I3229" s="145"/>
      <c r="J3229" s="163" t="s">
        <v>79</v>
      </c>
      <c r="K3229" s="219"/>
      <c r="L3229" s="219">
        <v>1074776.95</v>
      </c>
    </row>
    <row r="3230" spans="1:14" ht="11.25" customHeight="1" x14ac:dyDescent="0.2">
      <c r="A3230" s="168">
        <v>2021</v>
      </c>
      <c r="B3230" s="168">
        <v>6</v>
      </c>
      <c r="C3230" s="168">
        <v>8</v>
      </c>
      <c r="D3230" s="141">
        <f t="shared" si="108"/>
        <v>44355</v>
      </c>
      <c r="E3230" s="275">
        <f t="shared" si="109"/>
        <v>44355</v>
      </c>
      <c r="F3230" s="479" t="s">
        <v>524</v>
      </c>
      <c r="G3230" s="220" t="s">
        <v>74</v>
      </c>
      <c r="H3230" s="142" t="str" cm="1">
        <f t="array" ref="H3230">IFERROR(INDEX(INVESTOR_LIST[INVESTOR NAME],MATCH(I3230,INVESTOR_LIST[INVESTOR CODE],0),)," ")</f>
        <v xml:space="preserve"> </v>
      </c>
      <c r="I3230" s="142"/>
      <c r="J3230" s="168" t="s">
        <v>147</v>
      </c>
      <c r="K3230" s="226">
        <v>1202147.78</v>
      </c>
      <c r="L3230" s="226"/>
    </row>
    <row r="3231" spans="1:14" x14ac:dyDescent="0.2">
      <c r="A3231" s="163">
        <v>2021</v>
      </c>
      <c r="B3231" s="163">
        <v>6</v>
      </c>
      <c r="C3231" s="163">
        <v>8</v>
      </c>
      <c r="D3231" s="141">
        <f t="shared" si="108"/>
        <v>44355</v>
      </c>
      <c r="E3231" s="275">
        <f t="shared" si="109"/>
        <v>44355</v>
      </c>
      <c r="F3231" s="480"/>
      <c r="G3231" s="221" t="s">
        <v>74</v>
      </c>
      <c r="H3231" s="145" t="str" cm="1">
        <f t="array" ref="H3231">IFERROR(INDEX(INVESTOR_LIST[INVESTOR NAME],MATCH(I3231,INVESTOR_LIST[INVESTOR CODE],0),)," ")</f>
        <v xml:space="preserve"> </v>
      </c>
      <c r="I3231" s="145"/>
      <c r="J3231" s="163" t="s">
        <v>52</v>
      </c>
      <c r="K3231" s="219"/>
      <c r="L3231" s="219">
        <v>1202147.78</v>
      </c>
    </row>
    <row r="3232" spans="1:14" ht="11.25" customHeight="1" x14ac:dyDescent="0.2">
      <c r="A3232" s="168">
        <v>2021</v>
      </c>
      <c r="B3232" s="168">
        <v>6</v>
      </c>
      <c r="C3232" s="168">
        <v>8</v>
      </c>
      <c r="D3232" s="141">
        <f t="shared" si="108"/>
        <v>44355</v>
      </c>
      <c r="E3232" s="275">
        <f t="shared" si="109"/>
        <v>44355</v>
      </c>
      <c r="F3232" s="479" t="s">
        <v>254</v>
      </c>
      <c r="G3232" s="220" t="s">
        <v>74</v>
      </c>
      <c r="H3232" s="142" t="str" cm="1">
        <f t="array" ref="H3232">IFERROR(INDEX(INVESTOR_LIST[INVESTOR NAME],MATCH(I3232,INVESTOR_LIST[INVESTOR CODE],0),)," ")</f>
        <v xml:space="preserve"> </v>
      </c>
      <c r="I3232" s="142"/>
      <c r="J3232" s="168" t="s">
        <v>52</v>
      </c>
      <c r="K3232" s="226">
        <v>261000</v>
      </c>
      <c r="L3232" s="226"/>
    </row>
    <row r="3233" spans="1:15" x14ac:dyDescent="0.2">
      <c r="A3233" s="133">
        <v>2021</v>
      </c>
      <c r="B3233" s="133">
        <v>6</v>
      </c>
      <c r="C3233" s="133">
        <v>8</v>
      </c>
      <c r="D3233" s="141">
        <f t="shared" si="108"/>
        <v>44355</v>
      </c>
      <c r="E3233" s="275">
        <f t="shared" si="109"/>
        <v>44355</v>
      </c>
      <c r="F3233" s="481"/>
      <c r="G3233" s="174" t="s">
        <v>74</v>
      </c>
      <c r="H3233" s="148" t="str" cm="1">
        <f t="array" ref="H3233">IFERROR(INDEX(INVESTOR_LIST[INVESTOR NAME],MATCH(I3233,INVESTOR_LIST[INVESTOR CODE],0),)," ")</f>
        <v xml:space="preserve"> </v>
      </c>
      <c r="J3233" s="133" t="s">
        <v>13</v>
      </c>
      <c r="K3233" s="218"/>
      <c r="L3233" s="218">
        <v>195900</v>
      </c>
    </row>
    <row r="3234" spans="1:15" x14ac:dyDescent="0.2">
      <c r="A3234" s="163">
        <v>2021</v>
      </c>
      <c r="B3234" s="163">
        <v>6</v>
      </c>
      <c r="C3234" s="163">
        <v>8</v>
      </c>
      <c r="D3234" s="141">
        <f t="shared" si="108"/>
        <v>44355</v>
      </c>
      <c r="E3234" s="275">
        <f t="shared" si="109"/>
        <v>44355</v>
      </c>
      <c r="F3234" s="480"/>
      <c r="G3234" s="221" t="s">
        <v>74</v>
      </c>
      <c r="H3234" s="145" t="str" cm="1">
        <f t="array" ref="H3234">IFERROR(INDEX(INVESTOR_LIST[INVESTOR NAME],MATCH(I3234,INVESTOR_LIST[INVESTOR CODE],0),)," ")</f>
        <v xml:space="preserve"> </v>
      </c>
      <c r="I3234" s="145"/>
      <c r="J3234" s="163" t="s">
        <v>53</v>
      </c>
      <c r="K3234" s="219"/>
      <c r="L3234" s="219">
        <v>65100</v>
      </c>
    </row>
    <row r="3235" spans="1:15" ht="11.25" customHeight="1" x14ac:dyDescent="0.2">
      <c r="A3235" s="168">
        <v>2021</v>
      </c>
      <c r="B3235" s="168">
        <v>6</v>
      </c>
      <c r="C3235" s="168">
        <v>8</v>
      </c>
      <c r="D3235" s="141">
        <f t="shared" si="108"/>
        <v>44355</v>
      </c>
      <c r="E3235" s="275">
        <f t="shared" si="109"/>
        <v>44355</v>
      </c>
      <c r="F3235" s="479" t="s">
        <v>77</v>
      </c>
      <c r="G3235" s="220" t="s">
        <v>74</v>
      </c>
      <c r="H3235" s="220" t="str" cm="1">
        <f t="array" ref="H3235">IFERROR(INDEX(INVESTOR_LIST[INVESTOR NAME],MATCH(I3235,INVESTOR_LIST[INVESTOR CODE],0),)," ")</f>
        <v xml:space="preserve"> </v>
      </c>
      <c r="I3235" s="142" t="s">
        <v>348</v>
      </c>
      <c r="J3235" s="143" t="s">
        <v>61</v>
      </c>
      <c r="K3235" s="226">
        <v>115</v>
      </c>
      <c r="L3235" s="226"/>
    </row>
    <row r="3236" spans="1:15" x14ac:dyDescent="0.2">
      <c r="A3236" s="163">
        <v>2021</v>
      </c>
      <c r="B3236" s="163">
        <v>6</v>
      </c>
      <c r="C3236" s="163">
        <v>8</v>
      </c>
      <c r="D3236" s="141">
        <f t="shared" si="108"/>
        <v>44355</v>
      </c>
      <c r="E3236" s="275">
        <f t="shared" si="109"/>
        <v>44355</v>
      </c>
      <c r="F3236" s="480"/>
      <c r="G3236" s="221" t="s">
        <v>74</v>
      </c>
      <c r="H3236" s="221" t="str" cm="1">
        <f t="array" ref="H3236">IFERROR(INDEX(INVESTOR_LIST[INVESTOR NAME],MATCH(I3236,INVESTOR_LIST[INVESTOR CODE],0),)," ")</f>
        <v xml:space="preserve"> </v>
      </c>
      <c r="I3236" s="145" t="s">
        <v>348</v>
      </c>
      <c r="J3236" s="146" t="s">
        <v>52</v>
      </c>
      <c r="K3236" s="219"/>
      <c r="L3236" s="219">
        <v>115</v>
      </c>
    </row>
    <row r="3237" spans="1:15" ht="45" x14ac:dyDescent="0.2">
      <c r="A3237" s="168">
        <v>2021</v>
      </c>
      <c r="B3237" s="168">
        <v>6</v>
      </c>
      <c r="C3237" s="168">
        <v>8</v>
      </c>
      <c r="D3237" s="141">
        <f t="shared" si="108"/>
        <v>44355</v>
      </c>
      <c r="E3237" s="275">
        <f t="shared" si="109"/>
        <v>44355</v>
      </c>
      <c r="F3237" s="479" t="s">
        <v>965</v>
      </c>
      <c r="G3237" s="220" t="s">
        <v>74</v>
      </c>
      <c r="H3237" s="142" t="str" cm="1">
        <f t="array" ref="H3237">IFERROR(INDEX(INVESTOR_LIST[INVESTOR NAME],MATCH(I3237,INVESTOR_LIST[INVESTOR CODE],0),)," ")</f>
        <v>MOHAMMAD MONJUR ALAM</v>
      </c>
      <c r="I3237" s="142" t="s">
        <v>431</v>
      </c>
      <c r="J3237" s="168" t="s">
        <v>13</v>
      </c>
      <c r="K3237" s="226">
        <v>45040</v>
      </c>
      <c r="L3237" s="226"/>
      <c r="N3237" s="156">
        <f>K3237/$O$3237</f>
        <v>3380.881614769653</v>
      </c>
      <c r="O3237" s="133">
        <v>13.321968980883312</v>
      </c>
    </row>
    <row r="3238" spans="1:15" ht="45" x14ac:dyDescent="0.2">
      <c r="A3238" s="133">
        <v>2021</v>
      </c>
      <c r="B3238" s="133">
        <v>6</v>
      </c>
      <c r="C3238" s="133">
        <v>8</v>
      </c>
      <c r="D3238" s="141">
        <f t="shared" si="108"/>
        <v>44355</v>
      </c>
      <c r="E3238" s="275">
        <f t="shared" si="109"/>
        <v>44355</v>
      </c>
      <c r="F3238" s="481"/>
      <c r="G3238" s="174" t="s">
        <v>74</v>
      </c>
      <c r="H3238" s="148" t="str" cm="1">
        <f t="array" ref="H3238">IFERROR(INDEX(INVESTOR_LIST[INVESTOR NAME],MATCH(I3238,INVESTOR_LIST[INVESTOR CODE],0),)," ")</f>
        <v>MOHAMMAD MONJUR ALAM</v>
      </c>
      <c r="I3238" s="148" t="s">
        <v>431</v>
      </c>
      <c r="J3238" s="133" t="s">
        <v>53</v>
      </c>
      <c r="K3238" s="218">
        <v>14960</v>
      </c>
      <c r="L3238" s="218"/>
    </row>
    <row r="3239" spans="1:15" ht="45" x14ac:dyDescent="0.2">
      <c r="A3239" s="163">
        <v>2021</v>
      </c>
      <c r="B3239" s="163">
        <v>6</v>
      </c>
      <c r="C3239" s="163">
        <v>8</v>
      </c>
      <c r="D3239" s="141">
        <f t="shared" si="108"/>
        <v>44355</v>
      </c>
      <c r="E3239" s="275">
        <f t="shared" si="109"/>
        <v>44355</v>
      </c>
      <c r="F3239" s="480"/>
      <c r="G3239" s="221" t="s">
        <v>74</v>
      </c>
      <c r="H3239" s="145" t="str" cm="1">
        <f t="array" ref="H3239">IFERROR(INDEX(INVESTOR_LIST[INVESTOR NAME],MATCH(I3239,INVESTOR_LIST[INVESTOR CODE],0),)," ")</f>
        <v>MOHAMMAD MONJUR ALAM</v>
      </c>
      <c r="I3239" s="145" t="s">
        <v>431</v>
      </c>
      <c r="J3239" s="163" t="s">
        <v>52</v>
      </c>
      <c r="K3239" s="219"/>
      <c r="L3239" s="219">
        <v>60000</v>
      </c>
    </row>
    <row r="3240" spans="1:15" x14ac:dyDescent="0.2">
      <c r="A3240" s="168">
        <v>2021</v>
      </c>
      <c r="B3240" s="168">
        <v>6</v>
      </c>
      <c r="C3240" s="168">
        <v>9</v>
      </c>
      <c r="D3240" s="141">
        <f t="shared" si="108"/>
        <v>44356</v>
      </c>
      <c r="E3240" s="275">
        <f t="shared" si="109"/>
        <v>44356</v>
      </c>
      <c r="F3240" s="479" t="s">
        <v>274</v>
      </c>
      <c r="G3240" s="220" t="s">
        <v>94</v>
      </c>
      <c r="H3240" s="142" t="str" cm="1">
        <f t="array" ref="H3240">IFERROR(INDEX(INVESTOR_LIST[INVESTOR NAME],MATCH(I3240,INVESTOR_LIST[INVESTOR CODE],0),)," ")</f>
        <v xml:space="preserve"> </v>
      </c>
      <c r="I3240" s="142"/>
      <c r="J3240" s="168" t="s">
        <v>79</v>
      </c>
      <c r="K3240" s="226">
        <v>394272</v>
      </c>
      <c r="L3240" s="226"/>
    </row>
    <row r="3241" spans="1:15" x14ac:dyDescent="0.2">
      <c r="A3241" s="133">
        <v>2021</v>
      </c>
      <c r="B3241" s="133">
        <v>6</v>
      </c>
      <c r="C3241" s="133">
        <v>9</v>
      </c>
      <c r="D3241" s="141">
        <f t="shared" si="108"/>
        <v>44356</v>
      </c>
      <c r="E3241" s="275">
        <f t="shared" si="109"/>
        <v>44356</v>
      </c>
      <c r="F3241" s="481"/>
      <c r="G3241" s="174" t="s">
        <v>94</v>
      </c>
      <c r="H3241" s="148" t="str" cm="1">
        <f t="array" ref="H3241">IFERROR(INDEX(INVESTOR_LIST[INVESTOR NAME],MATCH(I3241,INVESTOR_LIST[INVESTOR CODE],0),)," ")</f>
        <v xml:space="preserve"> </v>
      </c>
      <c r="J3241" s="133" t="s">
        <v>80</v>
      </c>
      <c r="K3241" s="218">
        <v>709.69</v>
      </c>
      <c r="L3241" s="218"/>
    </row>
    <row r="3242" spans="1:15" x14ac:dyDescent="0.2">
      <c r="A3242" s="163">
        <v>2021</v>
      </c>
      <c r="B3242" s="163">
        <v>6</v>
      </c>
      <c r="C3242" s="163">
        <v>9</v>
      </c>
      <c r="D3242" s="141">
        <f t="shared" si="108"/>
        <v>44356</v>
      </c>
      <c r="E3242" s="275">
        <f t="shared" si="109"/>
        <v>44356</v>
      </c>
      <c r="F3242" s="480"/>
      <c r="G3242" s="221" t="s">
        <v>94</v>
      </c>
      <c r="H3242" s="145" t="str" cm="1">
        <f t="array" ref="H3242">IFERROR(INDEX(INVESTOR_LIST[INVESTOR NAME],MATCH(I3242,INVESTOR_LIST[INVESTOR CODE],0),)," ")</f>
        <v xml:space="preserve"> </v>
      </c>
      <c r="I3242" s="145"/>
      <c r="J3242" s="163" t="s">
        <v>147</v>
      </c>
      <c r="K3242" s="219"/>
      <c r="L3242" s="219">
        <v>394981.69</v>
      </c>
    </row>
    <row r="3243" spans="1:15" ht="45" x14ac:dyDescent="0.2">
      <c r="A3243" s="168">
        <v>2021</v>
      </c>
      <c r="B3243" s="168">
        <v>6</v>
      </c>
      <c r="C3243" s="168">
        <v>9</v>
      </c>
      <c r="D3243" s="141">
        <f t="shared" si="108"/>
        <v>44356</v>
      </c>
      <c r="E3243" s="275">
        <f t="shared" si="109"/>
        <v>44356</v>
      </c>
      <c r="F3243" s="479" t="s">
        <v>965</v>
      </c>
      <c r="G3243" s="220" t="s">
        <v>74</v>
      </c>
      <c r="H3243" s="142" t="str" cm="1">
        <f t="array" ref="H3243">IFERROR(INDEX(INVESTOR_LIST[INVESTOR NAME],MATCH(I3243,INVESTOR_LIST[INVESTOR CODE],0),)," ")</f>
        <v>KABIR AHMED TALUKDER</v>
      </c>
      <c r="I3243" s="142" t="s">
        <v>509</v>
      </c>
      <c r="J3243" s="168" t="s">
        <v>13</v>
      </c>
      <c r="K3243" s="226">
        <v>150130</v>
      </c>
      <c r="L3243" s="226"/>
      <c r="N3243" s="156">
        <f>L3245/$O$3237</f>
        <v>15012.99997673008</v>
      </c>
    </row>
    <row r="3244" spans="1:15" ht="45" x14ac:dyDescent="0.2">
      <c r="A3244" s="133">
        <v>2021</v>
      </c>
      <c r="B3244" s="133">
        <v>6</v>
      </c>
      <c r="C3244" s="133">
        <v>9</v>
      </c>
      <c r="D3244" s="141">
        <f t="shared" si="108"/>
        <v>44356</v>
      </c>
      <c r="E3244" s="275">
        <f t="shared" si="109"/>
        <v>44356</v>
      </c>
      <c r="F3244" s="481"/>
      <c r="G3244" s="174" t="s">
        <v>74</v>
      </c>
      <c r="H3244" s="148" t="str" cm="1">
        <f t="array" ref="H3244">IFERROR(INDEX(INVESTOR_LIST[INVESTOR NAME],MATCH(I3244,INVESTOR_LIST[INVESTOR CODE],0),)," ")</f>
        <v>KABIR AHMED TALUKDER</v>
      </c>
      <c r="I3244" s="148" t="s">
        <v>509</v>
      </c>
      <c r="J3244" s="133" t="s">
        <v>53</v>
      </c>
      <c r="K3244" s="218">
        <v>49872.72</v>
      </c>
      <c r="L3244" s="218"/>
    </row>
    <row r="3245" spans="1:15" ht="45" x14ac:dyDescent="0.2">
      <c r="A3245" s="163">
        <v>2021</v>
      </c>
      <c r="B3245" s="163">
        <v>6</v>
      </c>
      <c r="C3245" s="163">
        <v>9</v>
      </c>
      <c r="D3245" s="141">
        <f t="shared" si="108"/>
        <v>44356</v>
      </c>
      <c r="E3245" s="275">
        <f t="shared" si="109"/>
        <v>44356</v>
      </c>
      <c r="F3245" s="480"/>
      <c r="G3245" s="221" t="s">
        <v>74</v>
      </c>
      <c r="H3245" s="145" t="str" cm="1">
        <f t="array" ref="H3245">IFERROR(INDEX(INVESTOR_LIST[INVESTOR NAME],MATCH(I3245,INVESTOR_LIST[INVESTOR CODE],0),)," ")</f>
        <v>KABIR AHMED TALUKDER</v>
      </c>
      <c r="I3245" s="145" t="s">
        <v>509</v>
      </c>
      <c r="J3245" s="163" t="s">
        <v>52</v>
      </c>
      <c r="K3245" s="219"/>
      <c r="L3245" s="219">
        <v>200002.72</v>
      </c>
    </row>
    <row r="3246" spans="1:15" ht="123.75" x14ac:dyDescent="0.2">
      <c r="A3246" s="168">
        <v>2021</v>
      </c>
      <c r="B3246" s="168">
        <v>6</v>
      </c>
      <c r="C3246" s="168">
        <v>9</v>
      </c>
      <c r="D3246" s="141">
        <f t="shared" si="108"/>
        <v>44356</v>
      </c>
      <c r="E3246" s="275">
        <f t="shared" si="109"/>
        <v>44356</v>
      </c>
      <c r="F3246" s="479" t="s">
        <v>964</v>
      </c>
      <c r="G3246" s="220" t="s">
        <v>74</v>
      </c>
      <c r="H3246" s="142" t="str" cm="1">
        <f t="array" ref="H3246">IFERROR(INDEX(INVESTOR_LIST[INVESTOR NAME],MATCH(I3246,INVESTOR_LIST[INVESTOR CODE],0),)," ")</f>
        <v>MD. WALIULLAH. SWADESH RANJAN SAHA &amp; MD. MIZZNUR RAHMAN</v>
      </c>
      <c r="I3246" s="142" t="s">
        <v>748</v>
      </c>
      <c r="J3246" s="168" t="s">
        <v>52</v>
      </c>
      <c r="K3246" s="226">
        <v>300000</v>
      </c>
      <c r="L3246" s="226"/>
      <c r="N3246" s="156">
        <f>K3246/13.32</f>
        <v>22522.522522522522</v>
      </c>
    </row>
    <row r="3247" spans="1:15" ht="123.75" x14ac:dyDescent="0.2">
      <c r="A3247" s="133">
        <v>2021</v>
      </c>
      <c r="B3247" s="133">
        <v>6</v>
      </c>
      <c r="C3247" s="133">
        <v>9</v>
      </c>
      <c r="D3247" s="141">
        <f t="shared" si="108"/>
        <v>44356</v>
      </c>
      <c r="E3247" s="275">
        <f t="shared" si="109"/>
        <v>44356</v>
      </c>
      <c r="F3247" s="481"/>
      <c r="G3247" s="174" t="s">
        <v>74</v>
      </c>
      <c r="H3247" s="148" t="str" cm="1">
        <f t="array" ref="H3247">IFERROR(INDEX(INVESTOR_LIST[INVESTOR NAME],MATCH(I3247,INVESTOR_LIST[INVESTOR CODE],0),)," ")</f>
        <v>MD. WALIULLAH. SWADESH RANJAN SAHA &amp; MD. MIZZNUR RAHMAN</v>
      </c>
      <c r="I3247" s="148" t="s">
        <v>748</v>
      </c>
      <c r="J3247" s="133" t="s">
        <v>13</v>
      </c>
      <c r="K3247" s="218"/>
      <c r="L3247" s="218">
        <v>225230</v>
      </c>
    </row>
    <row r="3248" spans="1:15" ht="123.75" x14ac:dyDescent="0.2">
      <c r="A3248" s="163">
        <v>2021</v>
      </c>
      <c r="B3248" s="163">
        <v>6</v>
      </c>
      <c r="C3248" s="163">
        <v>9</v>
      </c>
      <c r="D3248" s="141">
        <f t="shared" si="108"/>
        <v>44356</v>
      </c>
      <c r="E3248" s="275">
        <f t="shared" si="109"/>
        <v>44356</v>
      </c>
      <c r="F3248" s="480"/>
      <c r="G3248" s="221" t="s">
        <v>74</v>
      </c>
      <c r="H3248" s="145" t="str" cm="1">
        <f t="array" ref="H3248">IFERROR(INDEX(INVESTOR_LIST[INVESTOR NAME],MATCH(I3248,INVESTOR_LIST[INVESTOR CODE],0),)," ")</f>
        <v>MD. WALIULLAH. SWADESH RANJAN SAHA &amp; MD. MIZZNUR RAHMAN</v>
      </c>
      <c r="I3248" s="145" t="s">
        <v>748</v>
      </c>
      <c r="J3248" s="163" t="s">
        <v>53</v>
      </c>
      <c r="K3248" s="219"/>
      <c r="L3248" s="219">
        <v>74770</v>
      </c>
    </row>
    <row r="3249" spans="1:14" x14ac:dyDescent="0.2">
      <c r="A3249" s="168">
        <v>2021</v>
      </c>
      <c r="B3249" s="168">
        <v>6</v>
      </c>
      <c r="C3249" s="168">
        <v>9</v>
      </c>
      <c r="D3249" s="141">
        <f t="shared" si="108"/>
        <v>44356</v>
      </c>
      <c r="E3249" s="275">
        <f t="shared" si="109"/>
        <v>44356</v>
      </c>
      <c r="F3249" s="479" t="s">
        <v>77</v>
      </c>
      <c r="G3249" s="220" t="s">
        <v>74</v>
      </c>
      <c r="H3249" s="220" t="str" cm="1">
        <f t="array" ref="H3249">IFERROR(INDEX(INVESTOR_LIST[INVESTOR NAME],MATCH(I3249,INVESTOR_LIST[INVESTOR CODE],0),)," ")</f>
        <v xml:space="preserve"> </v>
      </c>
      <c r="I3249" s="142" t="s">
        <v>348</v>
      </c>
      <c r="J3249" s="143" t="s">
        <v>61</v>
      </c>
      <c r="K3249" s="226">
        <v>10</v>
      </c>
      <c r="L3249" s="226"/>
    </row>
    <row r="3250" spans="1:14" x14ac:dyDescent="0.2">
      <c r="A3250" s="163">
        <v>2021</v>
      </c>
      <c r="B3250" s="163">
        <v>6</v>
      </c>
      <c r="C3250" s="163">
        <v>9</v>
      </c>
      <c r="D3250" s="141">
        <f t="shared" si="108"/>
        <v>44356</v>
      </c>
      <c r="E3250" s="275">
        <f t="shared" si="109"/>
        <v>44356</v>
      </c>
      <c r="F3250" s="480"/>
      <c r="G3250" s="221" t="s">
        <v>74</v>
      </c>
      <c r="H3250" s="221" t="str" cm="1">
        <f t="array" ref="H3250">IFERROR(INDEX(INVESTOR_LIST[INVESTOR NAME],MATCH(I3250,INVESTOR_LIST[INVESTOR CODE],0),)," ")</f>
        <v xml:space="preserve"> </v>
      </c>
      <c r="I3250" s="145" t="s">
        <v>348</v>
      </c>
      <c r="J3250" s="146" t="s">
        <v>52</v>
      </c>
      <c r="K3250" s="219"/>
      <c r="L3250" s="219">
        <v>10</v>
      </c>
    </row>
    <row r="3251" spans="1:14" x14ac:dyDescent="0.2">
      <c r="A3251" s="168">
        <v>2021</v>
      </c>
      <c r="B3251" s="168">
        <v>6</v>
      </c>
      <c r="C3251" s="168">
        <v>10</v>
      </c>
      <c r="D3251" s="141">
        <f t="shared" si="108"/>
        <v>44357</v>
      </c>
      <c r="E3251" s="275">
        <f t="shared" si="109"/>
        <v>44357</v>
      </c>
      <c r="F3251" s="479" t="s">
        <v>274</v>
      </c>
      <c r="G3251" s="220" t="s">
        <v>94</v>
      </c>
      <c r="H3251" s="142" t="str" cm="1">
        <f t="array" ref="H3251">IFERROR(INDEX(INVESTOR_LIST[INVESTOR NAME],MATCH(I3251,INVESTOR_LIST[INVESTOR CODE],0),)," ")</f>
        <v xml:space="preserve"> </v>
      </c>
      <c r="I3251" s="142"/>
      <c r="J3251" s="168" t="s">
        <v>79</v>
      </c>
      <c r="K3251" s="226">
        <v>3682255.2</v>
      </c>
      <c r="L3251" s="226"/>
    </row>
    <row r="3252" spans="1:14" x14ac:dyDescent="0.2">
      <c r="A3252" s="133">
        <v>2021</v>
      </c>
      <c r="B3252" s="133">
        <v>6</v>
      </c>
      <c r="C3252" s="133">
        <v>10</v>
      </c>
      <c r="D3252" s="141">
        <f t="shared" si="108"/>
        <v>44357</v>
      </c>
      <c r="E3252" s="275">
        <f t="shared" si="109"/>
        <v>44357</v>
      </c>
      <c r="F3252" s="481"/>
      <c r="G3252" s="174" t="s">
        <v>94</v>
      </c>
      <c r="H3252" s="148" t="str" cm="1">
        <f t="array" ref="H3252">IFERROR(INDEX(INVESTOR_LIST[INVESTOR NAME],MATCH(I3252,INVESTOR_LIST[INVESTOR CODE],0),)," ")</f>
        <v xml:space="preserve"> </v>
      </c>
      <c r="J3252" s="133" t="s">
        <v>80</v>
      </c>
      <c r="K3252" s="218">
        <v>6628.06</v>
      </c>
      <c r="L3252" s="218"/>
    </row>
    <row r="3253" spans="1:14" x14ac:dyDescent="0.2">
      <c r="A3253" s="163">
        <v>2021</v>
      </c>
      <c r="B3253" s="163">
        <v>6</v>
      </c>
      <c r="C3253" s="163">
        <v>10</v>
      </c>
      <c r="D3253" s="141">
        <f t="shared" si="108"/>
        <v>44357</v>
      </c>
      <c r="E3253" s="275">
        <f t="shared" si="109"/>
        <v>44357</v>
      </c>
      <c r="F3253" s="480"/>
      <c r="G3253" s="221" t="s">
        <v>94</v>
      </c>
      <c r="H3253" s="145" t="str" cm="1">
        <f t="array" ref="H3253">IFERROR(INDEX(INVESTOR_LIST[INVESTOR NAME],MATCH(I3253,INVESTOR_LIST[INVESTOR CODE],0),)," ")</f>
        <v xml:space="preserve"> </v>
      </c>
      <c r="I3253" s="145"/>
      <c r="J3253" s="163" t="s">
        <v>147</v>
      </c>
      <c r="K3253" s="219"/>
      <c r="L3253" s="219">
        <v>3688883.26</v>
      </c>
    </row>
    <row r="3254" spans="1:14" ht="11.25" customHeight="1" x14ac:dyDescent="0.2">
      <c r="A3254" s="168">
        <v>2021</v>
      </c>
      <c r="B3254" s="168">
        <v>6</v>
      </c>
      <c r="C3254" s="168">
        <v>10</v>
      </c>
      <c r="D3254" s="141">
        <f t="shared" si="108"/>
        <v>44357</v>
      </c>
      <c r="E3254" s="275">
        <f t="shared" si="109"/>
        <v>44357</v>
      </c>
      <c r="F3254" s="479" t="s">
        <v>964</v>
      </c>
      <c r="G3254" s="220" t="s">
        <v>74</v>
      </c>
      <c r="H3254" s="142" t="str" cm="1">
        <f t="array" ref="H3254">IFERROR(INDEX(INVESTOR_LIST[INVESTOR NAME],MATCH(I3254,INVESTOR_LIST[INVESTOR CODE],0),)," ")</f>
        <v>NITYANANDA BISWAS</v>
      </c>
      <c r="I3254" s="142" t="s">
        <v>749</v>
      </c>
      <c r="J3254" s="168" t="s">
        <v>52</v>
      </c>
      <c r="K3254" s="226">
        <v>50000</v>
      </c>
      <c r="L3254" s="226"/>
      <c r="N3254" s="156">
        <f>K3254/13.32</f>
        <v>3753.7537537537537</v>
      </c>
    </row>
    <row r="3255" spans="1:14" ht="33.75" x14ac:dyDescent="0.2">
      <c r="A3255" s="133">
        <v>2021</v>
      </c>
      <c r="B3255" s="133">
        <v>6</v>
      </c>
      <c r="C3255" s="133">
        <v>10</v>
      </c>
      <c r="D3255" s="141">
        <f t="shared" si="108"/>
        <v>44357</v>
      </c>
      <c r="E3255" s="275">
        <f t="shared" si="109"/>
        <v>44357</v>
      </c>
      <c r="F3255" s="481"/>
      <c r="G3255" s="174" t="s">
        <v>74</v>
      </c>
      <c r="H3255" s="148" t="str" cm="1">
        <f t="array" ref="H3255">IFERROR(INDEX(INVESTOR_LIST[INVESTOR NAME],MATCH(I3255,INVESTOR_LIST[INVESTOR CODE],0),)," ")</f>
        <v>NITYANANDA BISWAS</v>
      </c>
      <c r="I3255" s="148" t="s">
        <v>749</v>
      </c>
      <c r="J3255" s="133" t="s">
        <v>13</v>
      </c>
      <c r="K3255" s="218"/>
      <c r="L3255" s="218">
        <v>37540</v>
      </c>
    </row>
    <row r="3256" spans="1:14" ht="33.75" x14ac:dyDescent="0.2">
      <c r="A3256" s="163">
        <v>2021</v>
      </c>
      <c r="B3256" s="163">
        <v>6</v>
      </c>
      <c r="C3256" s="163">
        <v>10</v>
      </c>
      <c r="D3256" s="141">
        <f t="shared" si="108"/>
        <v>44357</v>
      </c>
      <c r="E3256" s="275">
        <f t="shared" si="109"/>
        <v>44357</v>
      </c>
      <c r="F3256" s="480"/>
      <c r="G3256" s="221" t="s">
        <v>74</v>
      </c>
      <c r="H3256" s="145" t="str" cm="1">
        <f t="array" ref="H3256">IFERROR(INDEX(INVESTOR_LIST[INVESTOR NAME],MATCH(I3256,INVESTOR_LIST[INVESTOR CODE],0),)," ")</f>
        <v>NITYANANDA BISWAS</v>
      </c>
      <c r="I3256" s="145" t="s">
        <v>749</v>
      </c>
      <c r="J3256" s="163" t="s">
        <v>53</v>
      </c>
      <c r="K3256" s="219"/>
      <c r="L3256" s="219">
        <v>12460</v>
      </c>
    </row>
    <row r="3257" spans="1:14" ht="11.25" customHeight="1" x14ac:dyDescent="0.2">
      <c r="A3257" s="168">
        <v>2021</v>
      </c>
      <c r="B3257" s="168">
        <v>6</v>
      </c>
      <c r="C3257" s="168">
        <v>10</v>
      </c>
      <c r="D3257" s="141">
        <f t="shared" si="108"/>
        <v>44357</v>
      </c>
      <c r="E3257" s="275">
        <f t="shared" si="109"/>
        <v>44357</v>
      </c>
      <c r="F3257" s="479" t="s">
        <v>964</v>
      </c>
      <c r="G3257" s="220" t="s">
        <v>74</v>
      </c>
      <c r="H3257" s="142" t="str" cm="1">
        <f t="array" ref="H3257">IFERROR(INDEX(INVESTOR_LIST[INVESTOR NAME],MATCH(I3257,INVESTOR_LIST[INVESTOR CODE],0),)," ")</f>
        <v>MD. KAMRUZZAMAN</v>
      </c>
      <c r="I3257" s="142" t="s">
        <v>450</v>
      </c>
      <c r="J3257" s="168" t="s">
        <v>52</v>
      </c>
      <c r="K3257" s="226">
        <v>250000</v>
      </c>
      <c r="L3257" s="226"/>
      <c r="N3257" s="156">
        <f>K3257/13.32</f>
        <v>18768.768768768768</v>
      </c>
    </row>
    <row r="3258" spans="1:14" ht="33.75" x14ac:dyDescent="0.2">
      <c r="A3258" s="133">
        <v>2021</v>
      </c>
      <c r="B3258" s="133">
        <v>6</v>
      </c>
      <c r="C3258" s="133">
        <v>10</v>
      </c>
      <c r="D3258" s="141">
        <f t="shared" si="108"/>
        <v>44357</v>
      </c>
      <c r="E3258" s="275">
        <f t="shared" si="109"/>
        <v>44357</v>
      </c>
      <c r="F3258" s="481"/>
      <c r="G3258" s="174" t="s">
        <v>74</v>
      </c>
      <c r="H3258" s="148" t="str" cm="1">
        <f t="array" ref="H3258">IFERROR(INDEX(INVESTOR_LIST[INVESTOR NAME],MATCH(I3258,INVESTOR_LIST[INVESTOR CODE],0),)," ")</f>
        <v>MD. KAMRUZZAMAN</v>
      </c>
      <c r="I3258" s="148" t="s">
        <v>450</v>
      </c>
      <c r="J3258" s="133" t="s">
        <v>13</v>
      </c>
      <c r="K3258" s="218"/>
      <c r="L3258" s="218">
        <v>187690</v>
      </c>
    </row>
    <row r="3259" spans="1:14" ht="33.75" x14ac:dyDescent="0.2">
      <c r="A3259" s="163">
        <v>2021</v>
      </c>
      <c r="B3259" s="163">
        <v>6</v>
      </c>
      <c r="C3259" s="163">
        <v>10</v>
      </c>
      <c r="D3259" s="141">
        <f t="shared" si="108"/>
        <v>44357</v>
      </c>
      <c r="E3259" s="275">
        <f t="shared" si="109"/>
        <v>44357</v>
      </c>
      <c r="F3259" s="480"/>
      <c r="G3259" s="221" t="s">
        <v>74</v>
      </c>
      <c r="H3259" s="145" t="str" cm="1">
        <f t="array" ref="H3259">IFERROR(INDEX(INVESTOR_LIST[INVESTOR NAME],MATCH(I3259,INVESTOR_LIST[INVESTOR CODE],0),)," ")</f>
        <v>MD. KAMRUZZAMAN</v>
      </c>
      <c r="I3259" s="145" t="s">
        <v>450</v>
      </c>
      <c r="J3259" s="163" t="s">
        <v>53</v>
      </c>
      <c r="K3259" s="219"/>
      <c r="L3259" s="219">
        <v>62310</v>
      </c>
    </row>
    <row r="3260" spans="1:14" x14ac:dyDescent="0.2">
      <c r="A3260" s="168">
        <v>2021</v>
      </c>
      <c r="B3260" s="168">
        <v>6</v>
      </c>
      <c r="C3260" s="168">
        <v>10</v>
      </c>
      <c r="D3260" s="141">
        <f t="shared" si="108"/>
        <v>44357</v>
      </c>
      <c r="E3260" s="275">
        <f t="shared" si="109"/>
        <v>44357</v>
      </c>
      <c r="F3260" s="479" t="s">
        <v>77</v>
      </c>
      <c r="G3260" s="220" t="s">
        <v>74</v>
      </c>
      <c r="H3260" s="220" t="str" cm="1">
        <f t="array" ref="H3260">IFERROR(INDEX(INVESTOR_LIST[INVESTOR NAME],MATCH(I3260,INVESTOR_LIST[INVESTOR CODE],0),)," ")</f>
        <v xml:space="preserve"> </v>
      </c>
      <c r="I3260" s="142" t="s">
        <v>348</v>
      </c>
      <c r="J3260" s="143" t="s">
        <v>61</v>
      </c>
      <c r="K3260" s="226">
        <v>10</v>
      </c>
      <c r="L3260" s="226"/>
    </row>
    <row r="3261" spans="1:14" x14ac:dyDescent="0.2">
      <c r="A3261" s="163">
        <v>2021</v>
      </c>
      <c r="B3261" s="163">
        <v>6</v>
      </c>
      <c r="C3261" s="163">
        <v>10</v>
      </c>
      <c r="D3261" s="141">
        <f t="shared" si="108"/>
        <v>44357</v>
      </c>
      <c r="E3261" s="275">
        <f t="shared" si="109"/>
        <v>44357</v>
      </c>
      <c r="F3261" s="480"/>
      <c r="G3261" s="221" t="s">
        <v>74</v>
      </c>
      <c r="H3261" s="221" t="str" cm="1">
        <f t="array" ref="H3261">IFERROR(INDEX(INVESTOR_LIST[INVESTOR NAME],MATCH(I3261,INVESTOR_LIST[INVESTOR CODE],0),)," ")</f>
        <v xml:space="preserve"> </v>
      </c>
      <c r="I3261" s="145" t="s">
        <v>348</v>
      </c>
      <c r="J3261" s="146" t="s">
        <v>52</v>
      </c>
      <c r="K3261" s="219"/>
      <c r="L3261" s="219">
        <v>10</v>
      </c>
    </row>
    <row r="3262" spans="1:14" x14ac:dyDescent="0.2">
      <c r="A3262" s="168">
        <v>2021</v>
      </c>
      <c r="B3262" s="168">
        <v>6</v>
      </c>
      <c r="C3262" s="168">
        <v>10</v>
      </c>
      <c r="D3262" s="141">
        <f t="shared" si="108"/>
        <v>44357</v>
      </c>
      <c r="E3262" s="275">
        <f t="shared" si="109"/>
        <v>44357</v>
      </c>
      <c r="F3262" s="479" t="s">
        <v>77</v>
      </c>
      <c r="G3262" s="220" t="s">
        <v>74</v>
      </c>
      <c r="H3262" s="220" t="str" cm="1">
        <f t="array" ref="H3262">IFERROR(INDEX(INVESTOR_LIST[INVESTOR NAME],MATCH(I3262,INVESTOR_LIST[INVESTOR CODE],0),)," ")</f>
        <v xml:space="preserve"> </v>
      </c>
      <c r="I3262" s="142" t="s">
        <v>348</v>
      </c>
      <c r="J3262" s="143" t="s">
        <v>61</v>
      </c>
      <c r="K3262" s="226">
        <v>10</v>
      </c>
      <c r="L3262" s="226"/>
    </row>
    <row r="3263" spans="1:14" x14ac:dyDescent="0.2">
      <c r="A3263" s="163">
        <v>2021</v>
      </c>
      <c r="B3263" s="163">
        <v>6</v>
      </c>
      <c r="C3263" s="163">
        <v>10</v>
      </c>
      <c r="D3263" s="141">
        <f t="shared" si="108"/>
        <v>44357</v>
      </c>
      <c r="E3263" s="275">
        <f t="shared" si="109"/>
        <v>44357</v>
      </c>
      <c r="F3263" s="480"/>
      <c r="G3263" s="221" t="s">
        <v>74</v>
      </c>
      <c r="H3263" s="221" t="str" cm="1">
        <f t="array" ref="H3263">IFERROR(INDEX(INVESTOR_LIST[INVESTOR NAME],MATCH(I3263,INVESTOR_LIST[INVESTOR CODE],0),)," ")</f>
        <v xml:space="preserve"> </v>
      </c>
      <c r="I3263" s="145" t="s">
        <v>348</v>
      </c>
      <c r="J3263" s="146" t="s">
        <v>52</v>
      </c>
      <c r="K3263" s="219"/>
      <c r="L3263" s="219">
        <v>10</v>
      </c>
    </row>
    <row r="3264" spans="1:14" x14ac:dyDescent="0.2">
      <c r="A3264" s="238">
        <v>2021</v>
      </c>
      <c r="B3264" s="238">
        <v>6</v>
      </c>
      <c r="C3264" s="238">
        <v>10</v>
      </c>
      <c r="D3264" s="141">
        <f t="shared" si="108"/>
        <v>44357</v>
      </c>
      <c r="E3264" s="275">
        <f t="shared" si="109"/>
        <v>44357</v>
      </c>
      <c r="F3264" s="477" t="s">
        <v>347</v>
      </c>
      <c r="G3264" s="239" t="s">
        <v>94</v>
      </c>
      <c r="H3264" s="239" t="str" cm="1">
        <f t="array" ref="H3264">IFERROR(INDEX(INVESTOR_LIST[INVESTOR NAME],MATCH(I3264,INVESTOR_LIST[INVESTOR CODE],0),)," ")</f>
        <v xml:space="preserve"> </v>
      </c>
      <c r="I3264" s="262" t="s">
        <v>348</v>
      </c>
      <c r="J3264" s="240" t="s">
        <v>83</v>
      </c>
      <c r="K3264" s="241">
        <v>60959.149999976158</v>
      </c>
      <c r="L3264" s="241"/>
    </row>
    <row r="3265" spans="1:14" x14ac:dyDescent="0.2">
      <c r="A3265" s="242">
        <v>2021</v>
      </c>
      <c r="B3265" s="242">
        <v>6</v>
      </c>
      <c r="C3265" s="242">
        <v>10</v>
      </c>
      <c r="D3265" s="141">
        <f t="shared" si="108"/>
        <v>44357</v>
      </c>
      <c r="E3265" s="275">
        <f t="shared" si="109"/>
        <v>44357</v>
      </c>
      <c r="F3265" s="478"/>
      <c r="G3265" s="243" t="s">
        <v>94</v>
      </c>
      <c r="H3265" s="243" t="str" cm="1">
        <f t="array" ref="H3265">IFERROR(INDEX(INVESTOR_LIST[INVESTOR NAME],MATCH(I3265,INVESTOR_LIST[INVESTOR CODE],0),)," ")</f>
        <v xml:space="preserve"> </v>
      </c>
      <c r="I3265" s="263" t="s">
        <v>348</v>
      </c>
      <c r="J3265" s="244" t="s">
        <v>108</v>
      </c>
      <c r="K3265" s="245"/>
      <c r="L3265" s="245">
        <v>60959.149999976158</v>
      </c>
    </row>
    <row r="3266" spans="1:14" ht="22.5" x14ac:dyDescent="0.2">
      <c r="A3266" s="246">
        <v>2021</v>
      </c>
      <c r="B3266" s="246">
        <v>6</v>
      </c>
      <c r="C3266" s="246">
        <v>10</v>
      </c>
      <c r="D3266" s="141">
        <f t="shared" si="108"/>
        <v>44357</v>
      </c>
      <c r="E3266" s="275">
        <f t="shared" si="109"/>
        <v>44357</v>
      </c>
      <c r="F3266" s="482" t="s">
        <v>148</v>
      </c>
      <c r="G3266" s="247" t="s">
        <v>94</v>
      </c>
      <c r="H3266" s="247" t="str" cm="1">
        <f t="array" ref="H3266">IFERROR(INDEX(INVESTOR_LIST[INVESTOR NAME],MATCH(I3266,INVESTOR_LIST[INVESTOR CODE],0),)," ")</f>
        <v xml:space="preserve"> </v>
      </c>
      <c r="I3266" s="248" t="s">
        <v>348</v>
      </c>
      <c r="J3266" s="249" t="s">
        <v>95</v>
      </c>
      <c r="K3266" s="250">
        <v>2747.2527472527472</v>
      </c>
      <c r="L3266" s="241"/>
    </row>
    <row r="3267" spans="1:14" x14ac:dyDescent="0.2">
      <c r="A3267" s="242">
        <v>2021</v>
      </c>
      <c r="B3267" s="242">
        <v>6</v>
      </c>
      <c r="C3267" s="242">
        <v>10</v>
      </c>
      <c r="D3267" s="141">
        <f t="shared" si="108"/>
        <v>44357</v>
      </c>
      <c r="E3267" s="275">
        <f t="shared" si="109"/>
        <v>44357</v>
      </c>
      <c r="F3267" s="478"/>
      <c r="G3267" s="243" t="s">
        <v>94</v>
      </c>
      <c r="H3267" s="243" t="str" cm="1">
        <f t="array" ref="H3267">IFERROR(INDEX(INVESTOR_LIST[INVESTOR NAME],MATCH(I3267,INVESTOR_LIST[INVESTOR CODE],0),)," ")</f>
        <v xml:space="preserve"> </v>
      </c>
      <c r="I3267" s="263" t="s">
        <v>348</v>
      </c>
      <c r="J3267" s="244" t="s">
        <v>63</v>
      </c>
      <c r="K3267" s="245"/>
      <c r="L3267" s="245">
        <v>2747.2527472527472</v>
      </c>
    </row>
    <row r="3268" spans="1:14" x14ac:dyDescent="0.2">
      <c r="A3268" s="246">
        <v>2021</v>
      </c>
      <c r="B3268" s="246">
        <v>6</v>
      </c>
      <c r="C3268" s="246">
        <v>10</v>
      </c>
      <c r="D3268" s="141">
        <f t="shared" si="108"/>
        <v>44357</v>
      </c>
      <c r="E3268" s="275">
        <f t="shared" si="109"/>
        <v>44357</v>
      </c>
      <c r="F3268" s="482" t="s">
        <v>137</v>
      </c>
      <c r="G3268" s="247" t="s">
        <v>94</v>
      </c>
      <c r="H3268" s="247" t="str" cm="1">
        <f t="array" ref="H3268">IFERROR(INDEX(INVESTOR_LIST[INVESTOR NAME],MATCH(I3268,INVESTOR_LIST[INVESTOR CODE],0),)," ")</f>
        <v xml:space="preserve"> </v>
      </c>
      <c r="I3268" s="248" t="s">
        <v>348</v>
      </c>
      <c r="J3268" s="249" t="s">
        <v>97</v>
      </c>
      <c r="K3268" s="250">
        <v>101664.15663352307</v>
      </c>
      <c r="L3268" s="252"/>
    </row>
    <row r="3269" spans="1:14" x14ac:dyDescent="0.2">
      <c r="A3269" s="242">
        <v>2021</v>
      </c>
      <c r="B3269" s="242">
        <v>6</v>
      </c>
      <c r="C3269" s="242">
        <v>10</v>
      </c>
      <c r="D3269" s="141">
        <f t="shared" si="108"/>
        <v>44357</v>
      </c>
      <c r="E3269" s="275">
        <f t="shared" si="109"/>
        <v>44357</v>
      </c>
      <c r="F3269" s="478"/>
      <c r="G3269" s="243" t="s">
        <v>94</v>
      </c>
      <c r="H3269" s="243" t="str" cm="1">
        <f t="array" ref="H3269">IFERROR(INDEX(INVESTOR_LIST[INVESTOR NAME],MATCH(I3269,INVESTOR_LIST[INVESTOR CODE],0),)," ")</f>
        <v xml:space="preserve"> </v>
      </c>
      <c r="I3269" s="263" t="s">
        <v>348</v>
      </c>
      <c r="J3269" s="244" t="s">
        <v>47</v>
      </c>
      <c r="K3269" s="245"/>
      <c r="L3269" s="245">
        <v>101664.15663352307</v>
      </c>
    </row>
    <row r="3270" spans="1:14" x14ac:dyDescent="0.2">
      <c r="A3270" s="246">
        <v>2021</v>
      </c>
      <c r="B3270" s="246">
        <v>6</v>
      </c>
      <c r="C3270" s="246">
        <v>10</v>
      </c>
      <c r="D3270" s="141">
        <f t="shared" si="108"/>
        <v>44357</v>
      </c>
      <c r="E3270" s="275">
        <f t="shared" si="109"/>
        <v>44357</v>
      </c>
      <c r="F3270" s="482" t="s">
        <v>138</v>
      </c>
      <c r="G3270" s="247" t="s">
        <v>94</v>
      </c>
      <c r="H3270" s="247" t="str" cm="1">
        <f t="array" ref="H3270">IFERROR(INDEX(INVESTOR_LIST[INVESTOR NAME],MATCH(I3270,INVESTOR_LIST[INVESTOR CODE],0),)," ")</f>
        <v xml:space="preserve"> </v>
      </c>
      <c r="I3270" s="248" t="s">
        <v>348</v>
      </c>
      <c r="J3270" s="249" t="s">
        <v>100</v>
      </c>
      <c r="K3270" s="250">
        <v>4854.5335191579488</v>
      </c>
      <c r="L3270" s="252"/>
    </row>
    <row r="3271" spans="1:14" x14ac:dyDescent="0.2">
      <c r="A3271" s="242">
        <v>2021</v>
      </c>
      <c r="B3271" s="242">
        <v>6</v>
      </c>
      <c r="C3271" s="242">
        <v>10</v>
      </c>
      <c r="D3271" s="141">
        <f t="shared" si="108"/>
        <v>44357</v>
      </c>
      <c r="E3271" s="275">
        <f t="shared" si="109"/>
        <v>44357</v>
      </c>
      <c r="F3271" s="478"/>
      <c r="G3271" s="243" t="s">
        <v>94</v>
      </c>
      <c r="H3271" s="243" t="str" cm="1">
        <f t="array" ref="H3271">IFERROR(INDEX(INVESTOR_LIST[INVESTOR NAME],MATCH(I3271,INVESTOR_LIST[INVESTOR CODE],0),)," ")</f>
        <v xml:space="preserve"> </v>
      </c>
      <c r="I3271" s="263" t="s">
        <v>348</v>
      </c>
      <c r="J3271" s="244" t="s">
        <v>48</v>
      </c>
      <c r="K3271" s="245"/>
      <c r="L3271" s="245">
        <v>4854.5335191579488</v>
      </c>
    </row>
    <row r="3272" spans="1:14" x14ac:dyDescent="0.2">
      <c r="A3272" s="168">
        <v>2021</v>
      </c>
      <c r="B3272" s="168">
        <v>6</v>
      </c>
      <c r="C3272" s="168">
        <v>13</v>
      </c>
      <c r="D3272" s="141">
        <f t="shared" si="108"/>
        <v>44360</v>
      </c>
      <c r="E3272" s="275">
        <f t="shared" si="109"/>
        <v>44360</v>
      </c>
      <c r="F3272" s="479" t="s">
        <v>751</v>
      </c>
      <c r="G3272" s="220" t="s">
        <v>94</v>
      </c>
      <c r="H3272" s="142" t="str" cm="1">
        <f t="array" ref="H3272">IFERROR(INDEX(INVESTOR_LIST[INVESTOR NAME],MATCH(I3272,INVESTOR_LIST[INVESTOR CODE],0),)," ")</f>
        <v xml:space="preserve"> </v>
      </c>
      <c r="I3272" s="142"/>
      <c r="J3272" s="168" t="s">
        <v>79</v>
      </c>
      <c r="K3272" s="226">
        <v>592000</v>
      </c>
      <c r="L3272" s="226"/>
    </row>
    <row r="3273" spans="1:14" x14ac:dyDescent="0.2">
      <c r="A3273" s="133">
        <v>2021</v>
      </c>
      <c r="B3273" s="133">
        <v>6</v>
      </c>
      <c r="C3273" s="133">
        <v>13</v>
      </c>
      <c r="D3273" s="141">
        <f t="shared" si="108"/>
        <v>44360</v>
      </c>
      <c r="E3273" s="275">
        <f t="shared" si="109"/>
        <v>44360</v>
      </c>
      <c r="F3273" s="481"/>
      <c r="G3273" s="174" t="s">
        <v>94</v>
      </c>
      <c r="H3273" s="148" t="str" cm="1">
        <f t="array" ref="H3273">IFERROR(INDEX(INVESTOR_LIST[INVESTOR NAME],MATCH(I3273,INVESTOR_LIST[INVESTOR CODE],0),)," ")</f>
        <v xml:space="preserve"> </v>
      </c>
      <c r="J3273" s="133" t="s">
        <v>80</v>
      </c>
      <c r="K3273" s="218">
        <f>1065.6+2687.4</f>
        <v>3753</v>
      </c>
      <c r="L3273" s="218"/>
    </row>
    <row r="3274" spans="1:14" x14ac:dyDescent="0.2">
      <c r="A3274" s="133">
        <v>2021</v>
      </c>
      <c r="B3274" s="133">
        <v>6</v>
      </c>
      <c r="C3274" s="133">
        <v>13</v>
      </c>
      <c r="D3274" s="141">
        <f t="shared" si="108"/>
        <v>44360</v>
      </c>
      <c r="E3274" s="275">
        <f t="shared" si="109"/>
        <v>44360</v>
      </c>
      <c r="F3274" s="481"/>
      <c r="G3274" s="174" t="s">
        <v>94</v>
      </c>
      <c r="H3274" s="148" t="str" cm="1">
        <f t="array" ref="H3274">IFERROR(INDEX(INVESTOR_LIST[INVESTOR NAME],MATCH(I3274,INVESTOR_LIST[INVESTOR CODE],0),)," ")</f>
        <v xml:space="preserve"> </v>
      </c>
      <c r="J3274" s="133" t="s">
        <v>191</v>
      </c>
      <c r="K3274" s="218">
        <v>11687.73</v>
      </c>
      <c r="L3274" s="218"/>
    </row>
    <row r="3275" spans="1:14" x14ac:dyDescent="0.2">
      <c r="A3275" s="133">
        <v>2021</v>
      </c>
      <c r="B3275" s="133">
        <v>6</v>
      </c>
      <c r="C3275" s="133">
        <v>13</v>
      </c>
      <c r="D3275" s="141">
        <f t="shared" si="108"/>
        <v>44360</v>
      </c>
      <c r="E3275" s="275">
        <f t="shared" si="109"/>
        <v>44360</v>
      </c>
      <c r="F3275" s="481"/>
      <c r="G3275" s="174" t="s">
        <v>94</v>
      </c>
      <c r="H3275" s="148" t="str" cm="1">
        <f t="array" ref="H3275">IFERROR(INDEX(INVESTOR_LIST[INVESTOR NAME],MATCH(I3275,INVESTOR_LIST[INVESTOR CODE],0),)," ")</f>
        <v xml:space="preserve"> </v>
      </c>
      <c r="J3275" s="133" t="s">
        <v>190</v>
      </c>
      <c r="K3275" s="218">
        <v>897247</v>
      </c>
      <c r="L3275" s="218"/>
    </row>
    <row r="3276" spans="1:14" x14ac:dyDescent="0.2">
      <c r="A3276" s="163">
        <v>2021</v>
      </c>
      <c r="B3276" s="163">
        <v>6</v>
      </c>
      <c r="C3276" s="163">
        <v>13</v>
      </c>
      <c r="D3276" s="141">
        <f t="shared" si="108"/>
        <v>44360</v>
      </c>
      <c r="E3276" s="275">
        <f t="shared" si="109"/>
        <v>44360</v>
      </c>
      <c r="F3276" s="480"/>
      <c r="G3276" s="221" t="s">
        <v>94</v>
      </c>
      <c r="H3276" s="145" t="str" cm="1">
        <f t="array" ref="H3276">IFERROR(INDEX(INVESTOR_LIST[INVESTOR NAME],MATCH(I3276,INVESTOR_LIST[INVESTOR CODE],0),)," ")</f>
        <v xml:space="preserve"> </v>
      </c>
      <c r="I3276" s="145"/>
      <c r="J3276" s="163" t="s">
        <v>79</v>
      </c>
      <c r="K3276" s="219"/>
      <c r="L3276" s="219">
        <v>1504687.7299999997</v>
      </c>
    </row>
    <row r="3277" spans="1:14" ht="11.25" customHeight="1" x14ac:dyDescent="0.2">
      <c r="A3277" s="168">
        <v>2021</v>
      </c>
      <c r="B3277" s="168">
        <v>6</v>
      </c>
      <c r="C3277" s="168">
        <v>13</v>
      </c>
      <c r="D3277" s="141">
        <f t="shared" si="108"/>
        <v>44360</v>
      </c>
      <c r="E3277" s="275">
        <f t="shared" si="109"/>
        <v>44360</v>
      </c>
      <c r="F3277" s="479" t="s">
        <v>254</v>
      </c>
      <c r="G3277" s="220" t="s">
        <v>74</v>
      </c>
      <c r="H3277" s="142" t="str" cm="1">
        <f t="array" ref="H3277">IFERROR(INDEX(INVESTOR_LIST[INVESTOR NAME],MATCH(I3277,INVESTOR_LIST[INVESTOR CODE],0),)," ")</f>
        <v xml:space="preserve"> </v>
      </c>
      <c r="I3277" s="142"/>
      <c r="J3277" s="168" t="s">
        <v>52</v>
      </c>
      <c r="K3277" s="226">
        <v>2000</v>
      </c>
      <c r="L3277" s="226"/>
    </row>
    <row r="3278" spans="1:14" x14ac:dyDescent="0.2">
      <c r="A3278" s="133">
        <v>2021</v>
      </c>
      <c r="B3278" s="133">
        <v>6</v>
      </c>
      <c r="C3278" s="133">
        <v>13</v>
      </c>
      <c r="D3278" s="141">
        <f t="shared" ref="D3278:D3341" si="110">DATE(A3278,B3278,C3278)</f>
        <v>44360</v>
      </c>
      <c r="E3278" s="275">
        <f t="shared" si="109"/>
        <v>44360</v>
      </c>
      <c r="F3278" s="481"/>
      <c r="G3278" s="174" t="s">
        <v>74</v>
      </c>
      <c r="H3278" s="148" t="str" cm="1">
        <f t="array" ref="H3278">IFERROR(INDEX(INVESTOR_LIST[INVESTOR NAME],MATCH(I3278,INVESTOR_LIST[INVESTOR CODE],0),)," ")</f>
        <v xml:space="preserve"> </v>
      </c>
      <c r="J3278" s="133" t="s">
        <v>13</v>
      </c>
      <c r="K3278" s="218"/>
      <c r="L3278" s="218">
        <v>1500</v>
      </c>
    </row>
    <row r="3279" spans="1:14" x14ac:dyDescent="0.2">
      <c r="A3279" s="163">
        <v>2021</v>
      </c>
      <c r="B3279" s="163">
        <v>6</v>
      </c>
      <c r="C3279" s="163">
        <v>13</v>
      </c>
      <c r="D3279" s="141">
        <f t="shared" si="110"/>
        <v>44360</v>
      </c>
      <c r="E3279" s="275">
        <f t="shared" ref="E3279:E3342" si="111">DATE(A3279,B3279,C3279)</f>
        <v>44360</v>
      </c>
      <c r="F3279" s="480"/>
      <c r="G3279" s="221" t="s">
        <v>74</v>
      </c>
      <c r="H3279" s="145" t="str" cm="1">
        <f t="array" ref="H3279">IFERROR(INDEX(INVESTOR_LIST[INVESTOR NAME],MATCH(I3279,INVESTOR_LIST[INVESTOR CODE],0),)," ")</f>
        <v xml:space="preserve"> </v>
      </c>
      <c r="I3279" s="145"/>
      <c r="J3279" s="163" t="s">
        <v>53</v>
      </c>
      <c r="K3279" s="219"/>
      <c r="L3279" s="219">
        <v>500</v>
      </c>
    </row>
    <row r="3280" spans="1:14" ht="11.25" customHeight="1" x14ac:dyDescent="0.2">
      <c r="A3280" s="168">
        <v>2021</v>
      </c>
      <c r="B3280" s="168">
        <v>6</v>
      </c>
      <c r="C3280" s="168">
        <v>13</v>
      </c>
      <c r="D3280" s="141">
        <f t="shared" si="110"/>
        <v>44360</v>
      </c>
      <c r="E3280" s="275">
        <f t="shared" si="111"/>
        <v>44360</v>
      </c>
      <c r="F3280" s="479" t="s">
        <v>964</v>
      </c>
      <c r="G3280" s="220" t="s">
        <v>74</v>
      </c>
      <c r="H3280" s="142" t="str" cm="1">
        <f t="array" ref="H3280">IFERROR(INDEX(INVESTOR_LIST[INVESTOR NAME],MATCH(I3280,INVESTOR_LIST[INVESTOR CODE],0),)," ")</f>
        <v>MOHAMMAD MONJUR ALAM</v>
      </c>
      <c r="I3280" s="142" t="s">
        <v>431</v>
      </c>
      <c r="J3280" s="168" t="s">
        <v>52</v>
      </c>
      <c r="K3280" s="226">
        <v>70000</v>
      </c>
      <c r="L3280" s="226"/>
      <c r="N3280" s="156">
        <f>K3280/13.31</f>
        <v>5259.2036063110445</v>
      </c>
    </row>
    <row r="3281" spans="1:14" ht="45" x14ac:dyDescent="0.2">
      <c r="A3281" s="133">
        <v>2021</v>
      </c>
      <c r="B3281" s="133">
        <v>6</v>
      </c>
      <c r="C3281" s="133">
        <v>13</v>
      </c>
      <c r="D3281" s="141">
        <f t="shared" si="110"/>
        <v>44360</v>
      </c>
      <c r="E3281" s="275">
        <f t="shared" si="111"/>
        <v>44360</v>
      </c>
      <c r="F3281" s="481"/>
      <c r="G3281" s="174" t="s">
        <v>74</v>
      </c>
      <c r="H3281" s="148" t="str" cm="1">
        <f t="array" ref="H3281">IFERROR(INDEX(INVESTOR_LIST[INVESTOR NAME],MATCH(I3281,INVESTOR_LIST[INVESTOR CODE],0),)," ")</f>
        <v>MOHAMMAD MONJUR ALAM</v>
      </c>
      <c r="I3281" s="148" t="s">
        <v>431</v>
      </c>
      <c r="J3281" s="133" t="s">
        <v>13</v>
      </c>
      <c r="K3281" s="218"/>
      <c r="L3281" s="218">
        <v>52590</v>
      </c>
    </row>
    <row r="3282" spans="1:14" ht="45" x14ac:dyDescent="0.2">
      <c r="A3282" s="163">
        <v>2021</v>
      </c>
      <c r="B3282" s="163">
        <v>6</v>
      </c>
      <c r="C3282" s="163">
        <v>13</v>
      </c>
      <c r="D3282" s="141">
        <f t="shared" si="110"/>
        <v>44360</v>
      </c>
      <c r="E3282" s="275">
        <f t="shared" si="111"/>
        <v>44360</v>
      </c>
      <c r="F3282" s="480"/>
      <c r="G3282" s="221" t="s">
        <v>74</v>
      </c>
      <c r="H3282" s="145" t="str" cm="1">
        <f t="array" ref="H3282">IFERROR(INDEX(INVESTOR_LIST[INVESTOR NAME],MATCH(I3282,INVESTOR_LIST[INVESTOR CODE],0),)," ")</f>
        <v>MOHAMMAD MONJUR ALAM</v>
      </c>
      <c r="I3282" s="145" t="s">
        <v>431</v>
      </c>
      <c r="J3282" s="163" t="s">
        <v>53</v>
      </c>
      <c r="K3282" s="219"/>
      <c r="L3282" s="219">
        <v>17410</v>
      </c>
    </row>
    <row r="3283" spans="1:14" x14ac:dyDescent="0.2">
      <c r="A3283" s="168">
        <v>2021</v>
      </c>
      <c r="B3283" s="168">
        <v>6</v>
      </c>
      <c r="C3283" s="168">
        <v>13</v>
      </c>
      <c r="D3283" s="141">
        <f t="shared" si="110"/>
        <v>44360</v>
      </c>
      <c r="E3283" s="275">
        <f t="shared" si="111"/>
        <v>44360</v>
      </c>
      <c r="F3283" s="479" t="s">
        <v>77</v>
      </c>
      <c r="G3283" s="220" t="s">
        <v>74</v>
      </c>
      <c r="H3283" s="220" t="str" cm="1">
        <f t="array" ref="H3283">IFERROR(INDEX(INVESTOR_LIST[INVESTOR NAME],MATCH(I3283,INVESTOR_LIST[INVESTOR CODE],0),)," ")</f>
        <v xml:space="preserve"> </v>
      </c>
      <c r="I3283" s="142" t="s">
        <v>348</v>
      </c>
      <c r="J3283" s="143" t="s">
        <v>61</v>
      </c>
      <c r="K3283" s="226">
        <v>10</v>
      </c>
      <c r="L3283" s="226"/>
    </row>
    <row r="3284" spans="1:14" x14ac:dyDescent="0.2">
      <c r="A3284" s="163">
        <v>2021</v>
      </c>
      <c r="B3284" s="163">
        <v>6</v>
      </c>
      <c r="C3284" s="163">
        <v>13</v>
      </c>
      <c r="D3284" s="141">
        <f t="shared" si="110"/>
        <v>44360</v>
      </c>
      <c r="E3284" s="275">
        <f t="shared" si="111"/>
        <v>44360</v>
      </c>
      <c r="F3284" s="480"/>
      <c r="G3284" s="221" t="s">
        <v>74</v>
      </c>
      <c r="H3284" s="221" t="str" cm="1">
        <f t="array" ref="H3284">IFERROR(INDEX(INVESTOR_LIST[INVESTOR NAME],MATCH(I3284,INVESTOR_LIST[INVESTOR CODE],0),)," ")</f>
        <v xml:space="preserve"> </v>
      </c>
      <c r="I3284" s="145" t="s">
        <v>348</v>
      </c>
      <c r="J3284" s="146" t="s">
        <v>52</v>
      </c>
      <c r="K3284" s="219"/>
      <c r="L3284" s="219">
        <v>10</v>
      </c>
    </row>
    <row r="3285" spans="1:14" x14ac:dyDescent="0.2">
      <c r="A3285" s="168">
        <v>2021</v>
      </c>
      <c r="B3285" s="168">
        <v>6</v>
      </c>
      <c r="C3285" s="168">
        <v>13</v>
      </c>
      <c r="D3285" s="141">
        <f t="shared" si="110"/>
        <v>44360</v>
      </c>
      <c r="E3285" s="275">
        <f t="shared" si="111"/>
        <v>44360</v>
      </c>
      <c r="F3285" s="479" t="s">
        <v>524</v>
      </c>
      <c r="G3285" s="220" t="s">
        <v>74</v>
      </c>
      <c r="H3285" s="142" t="str" cm="1">
        <f t="array" ref="H3285">IFERROR(INDEX(INVESTOR_LIST[INVESTOR NAME],MATCH(I3285,INVESTOR_LIST[INVESTOR CODE],0),)," ")</f>
        <v xml:space="preserve"> </v>
      </c>
      <c r="I3285" s="142"/>
      <c r="J3285" s="168" t="s">
        <v>147</v>
      </c>
      <c r="K3285" s="226">
        <v>394981.69</v>
      </c>
      <c r="L3285" s="226"/>
    </row>
    <row r="3286" spans="1:14" x14ac:dyDescent="0.2">
      <c r="A3286" s="163">
        <v>2021</v>
      </c>
      <c r="B3286" s="163">
        <v>6</v>
      </c>
      <c r="C3286" s="163">
        <v>13</v>
      </c>
      <c r="D3286" s="141">
        <f t="shared" si="110"/>
        <v>44360</v>
      </c>
      <c r="E3286" s="275">
        <f t="shared" si="111"/>
        <v>44360</v>
      </c>
      <c r="F3286" s="480"/>
      <c r="G3286" s="221" t="s">
        <v>74</v>
      </c>
      <c r="H3286" s="145" t="str" cm="1">
        <f t="array" ref="H3286">IFERROR(INDEX(INVESTOR_LIST[INVESTOR NAME],MATCH(I3286,INVESTOR_LIST[INVESTOR CODE],0),)," ")</f>
        <v xml:space="preserve"> </v>
      </c>
      <c r="I3286" s="145"/>
      <c r="J3286" s="163" t="s">
        <v>52</v>
      </c>
      <c r="K3286" s="219"/>
      <c r="L3286" s="219">
        <v>394981.69</v>
      </c>
    </row>
    <row r="3287" spans="1:14" x14ac:dyDescent="0.2">
      <c r="A3287" s="168">
        <v>2021</v>
      </c>
      <c r="B3287" s="168">
        <v>6</v>
      </c>
      <c r="C3287" s="168">
        <v>13</v>
      </c>
      <c r="D3287" s="141">
        <f t="shared" si="110"/>
        <v>44360</v>
      </c>
      <c r="E3287" s="275">
        <f t="shared" si="111"/>
        <v>44360</v>
      </c>
      <c r="F3287" s="479" t="s">
        <v>524</v>
      </c>
      <c r="G3287" s="220" t="s">
        <v>74</v>
      </c>
      <c r="H3287" s="142" t="str" cm="1">
        <f t="array" ref="H3287">IFERROR(INDEX(INVESTOR_LIST[INVESTOR NAME],MATCH(I3287,INVESTOR_LIST[INVESTOR CODE],0),)," ")</f>
        <v xml:space="preserve"> </v>
      </c>
      <c r="I3287" s="142"/>
      <c r="J3287" s="168" t="s">
        <v>147</v>
      </c>
      <c r="K3287" s="226">
        <v>3688883.26</v>
      </c>
      <c r="L3287" s="226"/>
    </row>
    <row r="3288" spans="1:14" x14ac:dyDescent="0.2">
      <c r="A3288" s="163">
        <v>2021</v>
      </c>
      <c r="B3288" s="163">
        <v>6</v>
      </c>
      <c r="C3288" s="163">
        <v>13</v>
      </c>
      <c r="D3288" s="141">
        <f t="shared" si="110"/>
        <v>44360</v>
      </c>
      <c r="E3288" s="275">
        <f t="shared" si="111"/>
        <v>44360</v>
      </c>
      <c r="F3288" s="480"/>
      <c r="G3288" s="221" t="s">
        <v>74</v>
      </c>
      <c r="H3288" s="145" t="str" cm="1">
        <f t="array" ref="H3288">IFERROR(INDEX(INVESTOR_LIST[INVESTOR NAME],MATCH(I3288,INVESTOR_LIST[INVESTOR CODE],0),)," ")</f>
        <v xml:space="preserve"> </v>
      </c>
      <c r="I3288" s="145"/>
      <c r="J3288" s="163" t="s">
        <v>52</v>
      </c>
      <c r="K3288" s="219"/>
      <c r="L3288" s="219">
        <v>3688883.26</v>
      </c>
    </row>
    <row r="3289" spans="1:14" x14ac:dyDescent="0.2">
      <c r="A3289" s="168">
        <v>2021</v>
      </c>
      <c r="B3289" s="168">
        <v>6</v>
      </c>
      <c r="C3289" s="168">
        <v>13</v>
      </c>
      <c r="D3289" s="141">
        <f t="shared" si="110"/>
        <v>44360</v>
      </c>
      <c r="E3289" s="275">
        <f t="shared" si="111"/>
        <v>44360</v>
      </c>
      <c r="F3289" s="479" t="s">
        <v>544</v>
      </c>
      <c r="G3289" s="220" t="s">
        <v>74</v>
      </c>
      <c r="H3289" s="142" t="str" cm="1">
        <f t="array" ref="H3289">IFERROR(INDEX(INVESTOR_LIST[INVESTOR NAME],MATCH(I3289,INVESTOR_LIST[INVESTOR CODE],0),)," ")</f>
        <v xml:space="preserve"> </v>
      </c>
      <c r="I3289" s="142"/>
      <c r="J3289" s="168" t="s">
        <v>52</v>
      </c>
      <c r="K3289" s="226">
        <v>1194234.51</v>
      </c>
      <c r="L3289" s="226"/>
    </row>
    <row r="3290" spans="1:14" x14ac:dyDescent="0.2">
      <c r="A3290" s="163">
        <v>2021</v>
      </c>
      <c r="B3290" s="163">
        <v>6</v>
      </c>
      <c r="C3290" s="163">
        <v>13</v>
      </c>
      <c r="D3290" s="141">
        <f t="shared" si="110"/>
        <v>44360</v>
      </c>
      <c r="E3290" s="275">
        <f t="shared" si="111"/>
        <v>44360</v>
      </c>
      <c r="F3290" s="480"/>
      <c r="G3290" s="221" t="s">
        <v>74</v>
      </c>
      <c r="H3290" s="145" t="str" cm="1">
        <f t="array" ref="H3290">IFERROR(INDEX(INVESTOR_LIST[INVESTOR NAME],MATCH(I3290,INVESTOR_LIST[INVESTOR CODE],0),)," ")</f>
        <v xml:space="preserve"> </v>
      </c>
      <c r="I3290" s="145"/>
      <c r="J3290" s="163" t="s">
        <v>190</v>
      </c>
      <c r="K3290" s="219"/>
      <c r="L3290" s="219">
        <v>1194234.51</v>
      </c>
    </row>
    <row r="3291" spans="1:14" x14ac:dyDescent="0.2">
      <c r="A3291" s="168">
        <v>2021</v>
      </c>
      <c r="B3291" s="168">
        <v>6</v>
      </c>
      <c r="C3291" s="168">
        <v>13</v>
      </c>
      <c r="D3291" s="141">
        <f t="shared" si="110"/>
        <v>44360</v>
      </c>
      <c r="E3291" s="275">
        <f t="shared" si="111"/>
        <v>44360</v>
      </c>
      <c r="F3291" s="479" t="s">
        <v>544</v>
      </c>
      <c r="G3291" s="220" t="s">
        <v>74</v>
      </c>
      <c r="H3291" s="142" t="str" cm="1">
        <f t="array" ref="H3291">IFERROR(INDEX(INVESTOR_LIST[INVESTOR NAME],MATCH(I3291,INVESTOR_LIST[INVESTOR CODE],0),)," ")</f>
        <v xml:space="preserve"> </v>
      </c>
      <c r="I3291" s="142"/>
      <c r="J3291" s="168" t="s">
        <v>52</v>
      </c>
      <c r="K3291" s="226">
        <v>1073065</v>
      </c>
      <c r="L3291" s="226"/>
    </row>
    <row r="3292" spans="1:14" x14ac:dyDescent="0.2">
      <c r="A3292" s="163">
        <v>2021</v>
      </c>
      <c r="B3292" s="163">
        <v>6</v>
      </c>
      <c r="C3292" s="163">
        <v>13</v>
      </c>
      <c r="D3292" s="141">
        <f t="shared" si="110"/>
        <v>44360</v>
      </c>
      <c r="E3292" s="275">
        <f t="shared" si="111"/>
        <v>44360</v>
      </c>
      <c r="F3292" s="480"/>
      <c r="G3292" s="221" t="s">
        <v>74</v>
      </c>
      <c r="H3292" s="145" t="str" cm="1">
        <f t="array" ref="H3292">IFERROR(INDEX(INVESTOR_LIST[INVESTOR NAME],MATCH(I3292,INVESTOR_LIST[INVESTOR CODE],0),)," ")</f>
        <v xml:space="preserve"> </v>
      </c>
      <c r="I3292" s="145"/>
      <c r="J3292" s="163" t="s">
        <v>190</v>
      </c>
      <c r="K3292" s="219"/>
      <c r="L3292" s="219">
        <v>1073065</v>
      </c>
    </row>
    <row r="3293" spans="1:14" ht="45" x14ac:dyDescent="0.2">
      <c r="A3293" s="168">
        <v>2021</v>
      </c>
      <c r="B3293" s="168">
        <v>6</v>
      </c>
      <c r="C3293" s="168">
        <v>14</v>
      </c>
      <c r="D3293" s="141">
        <f t="shared" si="110"/>
        <v>44361</v>
      </c>
      <c r="E3293" s="275">
        <f t="shared" si="111"/>
        <v>44361</v>
      </c>
      <c r="F3293" s="479" t="s">
        <v>965</v>
      </c>
      <c r="G3293" s="220" t="s">
        <v>74</v>
      </c>
      <c r="H3293" s="142" t="str" cm="1">
        <f t="array" ref="H3293">IFERROR(INDEX(INVESTOR_LIST[INVESTOR NAME],MATCH(I3293,INVESTOR_LIST[INVESTOR CODE],0),)," ")</f>
        <v>MD MIZANUR RAHMAN</v>
      </c>
      <c r="I3293" s="142" t="s">
        <v>482</v>
      </c>
      <c r="J3293" s="168" t="s">
        <v>13</v>
      </c>
      <c r="K3293" s="226">
        <v>125890</v>
      </c>
      <c r="L3293" s="226"/>
    </row>
    <row r="3294" spans="1:14" ht="45" x14ac:dyDescent="0.2">
      <c r="A3294" s="133">
        <v>2021</v>
      </c>
      <c r="B3294" s="133">
        <v>6</v>
      </c>
      <c r="C3294" s="133">
        <v>14</v>
      </c>
      <c r="D3294" s="141">
        <f t="shared" si="110"/>
        <v>44361</v>
      </c>
      <c r="E3294" s="275">
        <f t="shared" si="111"/>
        <v>44361</v>
      </c>
      <c r="F3294" s="481"/>
      <c r="G3294" s="174" t="s">
        <v>74</v>
      </c>
      <c r="H3294" s="148" t="str" cm="1">
        <f t="array" ref="H3294">IFERROR(INDEX(INVESTOR_LIST[INVESTOR NAME],MATCH(I3294,INVESTOR_LIST[INVESTOR CODE],0),)," ")</f>
        <v>MD MIZANUR RAHMAN</v>
      </c>
      <c r="I3294" s="148" t="s">
        <v>482</v>
      </c>
      <c r="J3294" s="133" t="s">
        <v>53</v>
      </c>
      <c r="K3294" s="218">
        <v>41679.31</v>
      </c>
      <c r="L3294" s="218"/>
    </row>
    <row r="3295" spans="1:14" ht="45" x14ac:dyDescent="0.2">
      <c r="A3295" s="163">
        <v>2021</v>
      </c>
      <c r="B3295" s="163">
        <v>6</v>
      </c>
      <c r="C3295" s="163">
        <v>14</v>
      </c>
      <c r="D3295" s="141">
        <f t="shared" si="110"/>
        <v>44361</v>
      </c>
      <c r="E3295" s="275">
        <f t="shared" si="111"/>
        <v>44361</v>
      </c>
      <c r="F3295" s="480"/>
      <c r="G3295" s="221" t="s">
        <v>74</v>
      </c>
      <c r="H3295" s="145" t="str" cm="1">
        <f t="array" ref="H3295">IFERROR(INDEX(INVESTOR_LIST[INVESTOR NAME],MATCH(I3295,INVESTOR_LIST[INVESTOR CODE],0),)," ")</f>
        <v>MD MIZANUR RAHMAN</v>
      </c>
      <c r="I3295" s="145" t="s">
        <v>482</v>
      </c>
      <c r="J3295" s="163" t="s">
        <v>52</v>
      </c>
      <c r="K3295" s="219"/>
      <c r="L3295" s="219">
        <v>167569.31</v>
      </c>
    </row>
    <row r="3296" spans="1:14" ht="11.25" customHeight="1" x14ac:dyDescent="0.2">
      <c r="A3296" s="168">
        <v>2021</v>
      </c>
      <c r="B3296" s="168">
        <v>6</v>
      </c>
      <c r="C3296" s="168">
        <v>14</v>
      </c>
      <c r="D3296" s="141">
        <f t="shared" si="110"/>
        <v>44361</v>
      </c>
      <c r="E3296" s="275">
        <f t="shared" si="111"/>
        <v>44361</v>
      </c>
      <c r="F3296" s="479" t="s">
        <v>964</v>
      </c>
      <c r="G3296" s="220" t="s">
        <v>74</v>
      </c>
      <c r="H3296" s="142" t="str" cm="1">
        <f t="array" ref="H3296">IFERROR(INDEX(INVESTOR_LIST[INVESTOR NAME],MATCH(I3296,INVESTOR_LIST[INVESTOR CODE],0),)," ")</f>
        <v>REAZUL HAQUE</v>
      </c>
      <c r="I3296" s="142" t="s">
        <v>633</v>
      </c>
      <c r="J3296" s="168" t="s">
        <v>52</v>
      </c>
      <c r="K3296" s="226">
        <v>100000</v>
      </c>
      <c r="L3296" s="226"/>
      <c r="N3296" s="156">
        <f>K3296/13.31</f>
        <v>7513.1480090157775</v>
      </c>
    </row>
    <row r="3297" spans="1:14" ht="22.5" x14ac:dyDescent="0.2">
      <c r="A3297" s="133">
        <v>2021</v>
      </c>
      <c r="B3297" s="133">
        <v>6</v>
      </c>
      <c r="C3297" s="133">
        <v>14</v>
      </c>
      <c r="D3297" s="141">
        <f t="shared" si="110"/>
        <v>44361</v>
      </c>
      <c r="E3297" s="275">
        <f t="shared" si="111"/>
        <v>44361</v>
      </c>
      <c r="F3297" s="481"/>
      <c r="G3297" s="174" t="s">
        <v>74</v>
      </c>
      <c r="H3297" s="148" t="str" cm="1">
        <f t="array" ref="H3297">IFERROR(INDEX(INVESTOR_LIST[INVESTOR NAME],MATCH(I3297,INVESTOR_LIST[INVESTOR CODE],0),)," ")</f>
        <v>REAZUL HAQUE</v>
      </c>
      <c r="I3297" s="148" t="s">
        <v>633</v>
      </c>
      <c r="J3297" s="133" t="s">
        <v>13</v>
      </c>
      <c r="K3297" s="218"/>
      <c r="L3297" s="218">
        <v>75130</v>
      </c>
    </row>
    <row r="3298" spans="1:14" ht="22.5" x14ac:dyDescent="0.2">
      <c r="A3298" s="163">
        <v>2021</v>
      </c>
      <c r="B3298" s="163">
        <v>6</v>
      </c>
      <c r="C3298" s="163">
        <v>14</v>
      </c>
      <c r="D3298" s="141">
        <f t="shared" si="110"/>
        <v>44361</v>
      </c>
      <c r="E3298" s="275">
        <f t="shared" si="111"/>
        <v>44361</v>
      </c>
      <c r="F3298" s="480"/>
      <c r="G3298" s="221" t="s">
        <v>74</v>
      </c>
      <c r="H3298" s="145" t="str" cm="1">
        <f t="array" ref="H3298">IFERROR(INDEX(INVESTOR_LIST[INVESTOR NAME],MATCH(I3298,INVESTOR_LIST[INVESTOR CODE],0),)," ")</f>
        <v>REAZUL HAQUE</v>
      </c>
      <c r="I3298" s="145" t="s">
        <v>633</v>
      </c>
      <c r="J3298" s="163" t="s">
        <v>53</v>
      </c>
      <c r="K3298" s="219"/>
      <c r="L3298" s="219">
        <v>24870</v>
      </c>
    </row>
    <row r="3299" spans="1:14" x14ac:dyDescent="0.2">
      <c r="A3299" s="168">
        <v>2021</v>
      </c>
      <c r="B3299" s="168">
        <v>6</v>
      </c>
      <c r="C3299" s="168">
        <v>14</v>
      </c>
      <c r="D3299" s="141">
        <f t="shared" si="110"/>
        <v>44361</v>
      </c>
      <c r="E3299" s="275">
        <f t="shared" si="111"/>
        <v>44361</v>
      </c>
      <c r="F3299" s="479" t="s">
        <v>751</v>
      </c>
      <c r="G3299" s="220" t="s">
        <v>94</v>
      </c>
      <c r="H3299" s="142" t="str" cm="1">
        <f t="array" ref="H3299">IFERROR(INDEX(INVESTOR_LIST[INVESTOR NAME],MATCH(I3299,INVESTOR_LIST[INVESTOR CODE],0),)," ")</f>
        <v xml:space="preserve"> </v>
      </c>
      <c r="I3299" s="142"/>
      <c r="J3299" s="168" t="s">
        <v>79</v>
      </c>
      <c r="K3299" s="226">
        <v>932893</v>
      </c>
      <c r="L3299" s="226"/>
    </row>
    <row r="3300" spans="1:14" x14ac:dyDescent="0.2">
      <c r="A3300" s="133">
        <v>2021</v>
      </c>
      <c r="B3300" s="133">
        <v>6</v>
      </c>
      <c r="C3300" s="133">
        <v>14</v>
      </c>
      <c r="D3300" s="141">
        <f t="shared" si="110"/>
        <v>44361</v>
      </c>
      <c r="E3300" s="275">
        <f t="shared" si="111"/>
        <v>44361</v>
      </c>
      <c r="F3300" s="481"/>
      <c r="G3300" s="174" t="s">
        <v>94</v>
      </c>
      <c r="H3300" s="148" t="str" cm="1">
        <f t="array" ref="H3300">IFERROR(INDEX(INVESTOR_LIST[INVESTOR NAME],MATCH(I3300,INVESTOR_LIST[INVESTOR CODE],0),)," ")</f>
        <v xml:space="preserve"> </v>
      </c>
      <c r="J3300" s="133" t="s">
        <v>80</v>
      </c>
      <c r="K3300" s="218">
        <f>1679.21+6912.9</f>
        <v>8592.11</v>
      </c>
      <c r="L3300" s="218"/>
    </row>
    <row r="3301" spans="1:14" x14ac:dyDescent="0.2">
      <c r="A3301" s="133">
        <v>2021</v>
      </c>
      <c r="B3301" s="133">
        <v>6</v>
      </c>
      <c r="C3301" s="133">
        <v>14</v>
      </c>
      <c r="D3301" s="141">
        <f t="shared" si="110"/>
        <v>44361</v>
      </c>
      <c r="E3301" s="275">
        <f t="shared" si="111"/>
        <v>44361</v>
      </c>
      <c r="F3301" s="481"/>
      <c r="G3301" s="174" t="s">
        <v>94</v>
      </c>
      <c r="H3301" s="148" t="str" cm="1">
        <f t="array" ref="H3301">IFERROR(INDEX(INVESTOR_LIST[INVESTOR NAME],MATCH(I3301,INVESTOR_LIST[INVESTOR CODE],0),)," ")</f>
        <v xml:space="preserve"> </v>
      </c>
      <c r="J3301" s="133" t="s">
        <v>191</v>
      </c>
      <c r="K3301" s="218">
        <v>28697.02</v>
      </c>
      <c r="L3301" s="218"/>
    </row>
    <row r="3302" spans="1:14" x14ac:dyDescent="0.2">
      <c r="A3302" s="133">
        <v>2021</v>
      </c>
      <c r="B3302" s="133">
        <v>6</v>
      </c>
      <c r="C3302" s="133">
        <v>14</v>
      </c>
      <c r="D3302" s="141">
        <f t="shared" si="110"/>
        <v>44361</v>
      </c>
      <c r="E3302" s="275">
        <f t="shared" si="111"/>
        <v>44361</v>
      </c>
      <c r="F3302" s="481"/>
      <c r="G3302" s="174" t="s">
        <v>94</v>
      </c>
      <c r="H3302" s="148" t="str" cm="1">
        <f t="array" ref="H3302">IFERROR(INDEX(INVESTOR_LIST[INVESTOR NAME],MATCH(I3302,INVESTOR_LIST[INVESTOR CODE],0),)," ")</f>
        <v xml:space="preserve"> </v>
      </c>
      <c r="J3302" s="133" t="s">
        <v>190</v>
      </c>
      <c r="K3302" s="218">
        <v>2899014.89</v>
      </c>
      <c r="L3302" s="218"/>
    </row>
    <row r="3303" spans="1:14" x14ac:dyDescent="0.2">
      <c r="A3303" s="163">
        <v>2021</v>
      </c>
      <c r="B3303" s="163">
        <v>6</v>
      </c>
      <c r="C3303" s="163">
        <v>14</v>
      </c>
      <c r="D3303" s="141">
        <f t="shared" si="110"/>
        <v>44361</v>
      </c>
      <c r="E3303" s="275">
        <f t="shared" si="111"/>
        <v>44361</v>
      </c>
      <c r="F3303" s="480"/>
      <c r="G3303" s="221" t="s">
        <v>94</v>
      </c>
      <c r="H3303" s="145" t="str" cm="1">
        <f t="array" ref="H3303">IFERROR(INDEX(INVESTOR_LIST[INVESTOR NAME],MATCH(I3303,INVESTOR_LIST[INVESTOR CODE],0),)," ")</f>
        <v xml:space="preserve"> </v>
      </c>
      <c r="I3303" s="145"/>
      <c r="J3303" s="163" t="s">
        <v>79</v>
      </c>
      <c r="K3303" s="219"/>
      <c r="L3303" s="219">
        <v>3869197.0199999996</v>
      </c>
      <c r="N3303" s="160"/>
    </row>
    <row r="3304" spans="1:14" ht="45" x14ac:dyDescent="0.2">
      <c r="A3304" s="168">
        <v>2021</v>
      </c>
      <c r="B3304" s="168">
        <v>6</v>
      </c>
      <c r="C3304" s="168">
        <v>15</v>
      </c>
      <c r="D3304" s="141">
        <f t="shared" si="110"/>
        <v>44362</v>
      </c>
      <c r="E3304" s="275">
        <f t="shared" si="111"/>
        <v>44362</v>
      </c>
      <c r="F3304" s="479" t="s">
        <v>965</v>
      </c>
      <c r="G3304" s="220" t="s">
        <v>74</v>
      </c>
      <c r="H3304" s="142" t="str" cm="1">
        <f t="array" ref="H3304">IFERROR(INDEX(INVESTOR_LIST[INVESTOR NAME],MATCH(I3304,INVESTOR_LIST[INVESTOR CODE],0),)," ")</f>
        <v>MOHAMMAD HABIB RASHID</v>
      </c>
      <c r="I3304" s="142" t="s">
        <v>550</v>
      </c>
      <c r="J3304" s="168" t="s">
        <v>13</v>
      </c>
      <c r="K3304" s="226">
        <v>1202040</v>
      </c>
      <c r="L3304" s="226"/>
    </row>
    <row r="3305" spans="1:14" ht="45" x14ac:dyDescent="0.2">
      <c r="A3305" s="133">
        <v>2021</v>
      </c>
      <c r="B3305" s="133">
        <v>6</v>
      </c>
      <c r="C3305" s="133">
        <v>15</v>
      </c>
      <c r="D3305" s="141">
        <f t="shared" si="110"/>
        <v>44362</v>
      </c>
      <c r="E3305" s="275">
        <f t="shared" si="111"/>
        <v>44362</v>
      </c>
      <c r="F3305" s="481"/>
      <c r="G3305" s="174" t="s">
        <v>74</v>
      </c>
      <c r="H3305" s="148" t="str" cm="1">
        <f t="array" ref="H3305">IFERROR(INDEX(INVESTOR_LIST[INVESTOR NAME],MATCH(I3305,INVESTOR_LIST[INVESTOR CODE],0),)," ")</f>
        <v>MOHAMMAD HABIB RASHID</v>
      </c>
      <c r="I3305" s="148" t="s">
        <v>550</v>
      </c>
      <c r="J3305" s="133" t="s">
        <v>53</v>
      </c>
      <c r="K3305" s="218">
        <v>397968.02</v>
      </c>
      <c r="L3305" s="218"/>
    </row>
    <row r="3306" spans="1:14" ht="45" x14ac:dyDescent="0.2">
      <c r="A3306" s="163">
        <v>2021</v>
      </c>
      <c r="B3306" s="163">
        <v>6</v>
      </c>
      <c r="C3306" s="163">
        <v>15</v>
      </c>
      <c r="D3306" s="141">
        <f t="shared" si="110"/>
        <v>44362</v>
      </c>
      <c r="E3306" s="275">
        <f t="shared" si="111"/>
        <v>44362</v>
      </c>
      <c r="F3306" s="480"/>
      <c r="G3306" s="221" t="s">
        <v>74</v>
      </c>
      <c r="H3306" s="145" t="str" cm="1">
        <f t="array" ref="H3306">IFERROR(INDEX(INVESTOR_LIST[INVESTOR NAME],MATCH(I3306,INVESTOR_LIST[INVESTOR CODE],0),)," ")</f>
        <v>MOHAMMAD HABIB RASHID</v>
      </c>
      <c r="I3306" s="145" t="s">
        <v>550</v>
      </c>
      <c r="J3306" s="163" t="s">
        <v>52</v>
      </c>
      <c r="K3306" s="219"/>
      <c r="L3306" s="219">
        <v>1600008.02</v>
      </c>
    </row>
    <row r="3307" spans="1:14" x14ac:dyDescent="0.2">
      <c r="A3307" s="168">
        <v>2021</v>
      </c>
      <c r="B3307" s="168">
        <v>6</v>
      </c>
      <c r="C3307" s="168">
        <v>15</v>
      </c>
      <c r="D3307" s="141">
        <f t="shared" si="110"/>
        <v>44362</v>
      </c>
      <c r="E3307" s="275">
        <f t="shared" si="111"/>
        <v>44362</v>
      </c>
      <c r="F3307" s="479" t="s">
        <v>77</v>
      </c>
      <c r="G3307" s="220" t="s">
        <v>74</v>
      </c>
      <c r="H3307" s="220" t="str" cm="1">
        <f t="array" ref="H3307">IFERROR(INDEX(INVESTOR_LIST[INVESTOR NAME],MATCH(I3307,INVESTOR_LIST[INVESTOR CODE],0),)," ")</f>
        <v xml:space="preserve"> </v>
      </c>
      <c r="I3307" s="142" t="s">
        <v>348</v>
      </c>
      <c r="J3307" s="143" t="s">
        <v>61</v>
      </c>
      <c r="K3307" s="226">
        <v>100</v>
      </c>
      <c r="L3307" s="226"/>
    </row>
    <row r="3308" spans="1:14" x14ac:dyDescent="0.2">
      <c r="A3308" s="163">
        <v>2021</v>
      </c>
      <c r="B3308" s="163">
        <v>6</v>
      </c>
      <c r="C3308" s="163">
        <v>15</v>
      </c>
      <c r="D3308" s="141">
        <f t="shared" si="110"/>
        <v>44362</v>
      </c>
      <c r="E3308" s="275">
        <f t="shared" si="111"/>
        <v>44362</v>
      </c>
      <c r="F3308" s="480"/>
      <c r="G3308" s="221" t="s">
        <v>74</v>
      </c>
      <c r="H3308" s="221" t="str" cm="1">
        <f t="array" ref="H3308">IFERROR(INDEX(INVESTOR_LIST[INVESTOR NAME],MATCH(I3308,INVESTOR_LIST[INVESTOR CODE],0),)," ")</f>
        <v xml:space="preserve"> </v>
      </c>
      <c r="I3308" s="145" t="s">
        <v>348</v>
      </c>
      <c r="J3308" s="146" t="s">
        <v>52</v>
      </c>
      <c r="K3308" s="219"/>
      <c r="L3308" s="219">
        <v>100</v>
      </c>
    </row>
    <row r="3309" spans="1:14" x14ac:dyDescent="0.2">
      <c r="A3309" s="133">
        <v>2021</v>
      </c>
      <c r="B3309" s="133">
        <v>6</v>
      </c>
      <c r="C3309" s="133">
        <v>15</v>
      </c>
      <c r="D3309" s="141">
        <f t="shared" si="110"/>
        <v>44362</v>
      </c>
      <c r="E3309" s="275">
        <f t="shared" si="111"/>
        <v>44362</v>
      </c>
      <c r="F3309" s="479" t="s">
        <v>752</v>
      </c>
      <c r="G3309" s="174" t="s">
        <v>74</v>
      </c>
      <c r="H3309" s="148" t="str" cm="1">
        <f t="array" ref="H3309">IFERROR(INDEX(INVESTOR_LIST[INVESTOR NAME],MATCH(I3309,INVESTOR_LIST[INVESTOR CODE],0),)," ")</f>
        <v xml:space="preserve"> </v>
      </c>
      <c r="J3309" s="133" t="s">
        <v>52</v>
      </c>
      <c r="K3309" s="218">
        <v>1320000</v>
      </c>
      <c r="L3309" s="218"/>
    </row>
    <row r="3310" spans="1:14" x14ac:dyDescent="0.2">
      <c r="A3310" s="133">
        <v>2021</v>
      </c>
      <c r="B3310" s="133">
        <v>6</v>
      </c>
      <c r="C3310" s="133">
        <v>15</v>
      </c>
      <c r="D3310" s="141">
        <f t="shared" si="110"/>
        <v>44362</v>
      </c>
      <c r="E3310" s="275">
        <f t="shared" si="111"/>
        <v>44362</v>
      </c>
      <c r="F3310" s="481"/>
      <c r="G3310" s="174" t="s">
        <v>74</v>
      </c>
      <c r="H3310" s="148" t="str" cm="1">
        <f t="array" ref="H3310">IFERROR(INDEX(INVESTOR_LIST[INVESTOR NAME],MATCH(I3310,INVESTOR_LIST[INVESTOR CODE],0),)," ")</f>
        <v xml:space="preserve"> </v>
      </c>
      <c r="J3310" s="133" t="s">
        <v>79</v>
      </c>
      <c r="K3310" s="218">
        <v>200000</v>
      </c>
      <c r="L3310" s="218"/>
    </row>
    <row r="3311" spans="1:14" x14ac:dyDescent="0.2">
      <c r="A3311" s="133">
        <v>2021</v>
      </c>
      <c r="B3311" s="133">
        <v>6</v>
      </c>
      <c r="C3311" s="133">
        <v>15</v>
      </c>
      <c r="D3311" s="141">
        <f t="shared" si="110"/>
        <v>44362</v>
      </c>
      <c r="E3311" s="275">
        <f t="shared" si="111"/>
        <v>44362</v>
      </c>
      <c r="F3311" s="480"/>
      <c r="G3311" s="174" t="s">
        <v>74</v>
      </c>
      <c r="H3311" s="148" t="str" cm="1">
        <f t="array" ref="H3311">IFERROR(INDEX(INVESTOR_LIST[INVESTOR NAME],MATCH(I3311,INVESTOR_LIST[INVESTOR CODE],0),)," ")</f>
        <v xml:space="preserve"> </v>
      </c>
      <c r="J3311" s="133" t="s">
        <v>184</v>
      </c>
      <c r="K3311" s="218"/>
      <c r="L3311" s="218">
        <v>1520000</v>
      </c>
    </row>
    <row r="3312" spans="1:14" x14ac:dyDescent="0.2">
      <c r="A3312" s="168">
        <v>2021</v>
      </c>
      <c r="B3312" s="168">
        <v>6</v>
      </c>
      <c r="C3312" s="168">
        <v>15</v>
      </c>
      <c r="D3312" s="141">
        <f t="shared" si="110"/>
        <v>44362</v>
      </c>
      <c r="E3312" s="275">
        <f t="shared" si="111"/>
        <v>44362</v>
      </c>
      <c r="F3312" s="494" t="s">
        <v>275</v>
      </c>
      <c r="G3312" s="220" t="s">
        <v>74</v>
      </c>
      <c r="H3312" s="220" t="str" cm="1">
        <f t="array" ref="H3312">IFERROR(INDEX(INVESTOR_LIST[INVESTOR NAME],MATCH(I3312,INVESTOR_LIST[INVESTOR CODE],0),)," ")</f>
        <v xml:space="preserve"> </v>
      </c>
      <c r="I3312" s="142"/>
      <c r="J3312" s="143" t="s">
        <v>163</v>
      </c>
      <c r="K3312" s="226">
        <v>3150</v>
      </c>
      <c r="L3312" s="226"/>
    </row>
    <row r="3313" spans="1:12" x14ac:dyDescent="0.2">
      <c r="A3313" s="163">
        <v>2021</v>
      </c>
      <c r="B3313" s="163">
        <v>6</v>
      </c>
      <c r="C3313" s="163">
        <v>15</v>
      </c>
      <c r="D3313" s="141">
        <f t="shared" si="110"/>
        <v>44362</v>
      </c>
      <c r="E3313" s="275">
        <f t="shared" si="111"/>
        <v>44362</v>
      </c>
      <c r="F3313" s="495"/>
      <c r="G3313" s="221" t="s">
        <v>74</v>
      </c>
      <c r="H3313" s="221" t="str" cm="1">
        <f t="array" ref="H3313">IFERROR(INDEX(INVESTOR_LIST[INVESTOR NAME],MATCH(I3313,INVESTOR_LIST[INVESTOR CODE],0),)," ")</f>
        <v xml:space="preserve"> </v>
      </c>
      <c r="I3313" s="145"/>
      <c r="J3313" s="146" t="s">
        <v>52</v>
      </c>
      <c r="K3313" s="219"/>
      <c r="L3313" s="219">
        <v>3150</v>
      </c>
    </row>
    <row r="3314" spans="1:12" x14ac:dyDescent="0.2">
      <c r="A3314" s="168">
        <v>2021</v>
      </c>
      <c r="B3314" s="168">
        <v>6</v>
      </c>
      <c r="C3314" s="168">
        <v>15</v>
      </c>
      <c r="D3314" s="141">
        <f t="shared" si="110"/>
        <v>44362</v>
      </c>
      <c r="E3314" s="275">
        <f t="shared" si="111"/>
        <v>44362</v>
      </c>
      <c r="F3314" s="479" t="s">
        <v>544</v>
      </c>
      <c r="G3314" s="220" t="s">
        <v>74</v>
      </c>
      <c r="H3314" s="142" t="str" cm="1">
        <f t="array" ref="H3314">IFERROR(INDEX(INVESTOR_LIST[INVESTOR NAME],MATCH(I3314,INVESTOR_LIST[INVESTOR CODE],0),)," ")</f>
        <v xml:space="preserve"> </v>
      </c>
      <c r="I3314" s="142"/>
      <c r="J3314" s="168" t="s">
        <v>52</v>
      </c>
      <c r="K3314" s="226">
        <v>897247</v>
      </c>
      <c r="L3314" s="226"/>
    </row>
    <row r="3315" spans="1:12" x14ac:dyDescent="0.2">
      <c r="A3315" s="163">
        <v>2021</v>
      </c>
      <c r="B3315" s="163">
        <v>6</v>
      </c>
      <c r="C3315" s="163">
        <v>15</v>
      </c>
      <c r="D3315" s="141">
        <f t="shared" si="110"/>
        <v>44362</v>
      </c>
      <c r="E3315" s="275">
        <f t="shared" si="111"/>
        <v>44362</v>
      </c>
      <c r="F3315" s="480"/>
      <c r="G3315" s="221" t="s">
        <v>74</v>
      </c>
      <c r="H3315" s="145" t="str" cm="1">
        <f t="array" ref="H3315">IFERROR(INDEX(INVESTOR_LIST[INVESTOR NAME],MATCH(I3315,INVESTOR_LIST[INVESTOR CODE],0),)," ")</f>
        <v xml:space="preserve"> </v>
      </c>
      <c r="I3315" s="145"/>
      <c r="J3315" s="163" t="s">
        <v>190</v>
      </c>
      <c r="K3315" s="219"/>
      <c r="L3315" s="219">
        <v>897247</v>
      </c>
    </row>
    <row r="3316" spans="1:12" x14ac:dyDescent="0.2">
      <c r="A3316" s="133">
        <v>2021</v>
      </c>
      <c r="B3316" s="133">
        <v>6</v>
      </c>
      <c r="C3316" s="133">
        <v>15</v>
      </c>
      <c r="D3316" s="141">
        <f t="shared" si="110"/>
        <v>44362</v>
      </c>
      <c r="E3316" s="275">
        <f t="shared" si="111"/>
        <v>44362</v>
      </c>
      <c r="F3316" s="479" t="s">
        <v>738</v>
      </c>
      <c r="G3316" s="174" t="s">
        <v>94</v>
      </c>
      <c r="H3316" s="148" t="str" cm="1">
        <f t="array" ref="H3316">IFERROR(INDEX(INVESTOR_LIST[INVESTOR NAME],MATCH(I3316,INVESTOR_LIST[INVESTOR CODE],0),)," ")</f>
        <v xml:space="preserve"> </v>
      </c>
      <c r="J3316" s="133" t="s">
        <v>80</v>
      </c>
      <c r="K3316" s="218">
        <v>9048.6</v>
      </c>
      <c r="L3316" s="218"/>
    </row>
    <row r="3317" spans="1:12" x14ac:dyDescent="0.2">
      <c r="A3317" s="133">
        <v>2021</v>
      </c>
      <c r="B3317" s="133">
        <v>6</v>
      </c>
      <c r="C3317" s="133">
        <v>15</v>
      </c>
      <c r="D3317" s="141">
        <f t="shared" si="110"/>
        <v>44362</v>
      </c>
      <c r="E3317" s="275">
        <f t="shared" si="111"/>
        <v>44362</v>
      </c>
      <c r="F3317" s="481"/>
      <c r="G3317" s="174" t="s">
        <v>94</v>
      </c>
      <c r="H3317" s="148" t="str" cm="1">
        <f t="array" ref="H3317">IFERROR(INDEX(INVESTOR_LIST[INVESTOR NAME],MATCH(I3317,INVESTOR_LIST[INVESTOR CODE],0),)," ")</f>
        <v xml:space="preserve"> </v>
      </c>
      <c r="J3317" s="133" t="s">
        <v>190</v>
      </c>
      <c r="K3317" s="218">
        <v>5017951.4000000004</v>
      </c>
      <c r="L3317" s="218"/>
    </row>
    <row r="3318" spans="1:12" x14ac:dyDescent="0.2">
      <c r="A3318" s="133">
        <v>2021</v>
      </c>
      <c r="B3318" s="133">
        <v>6</v>
      </c>
      <c r="C3318" s="133">
        <v>15</v>
      </c>
      <c r="D3318" s="141">
        <f t="shared" si="110"/>
        <v>44362</v>
      </c>
      <c r="E3318" s="275">
        <f t="shared" si="111"/>
        <v>44362</v>
      </c>
      <c r="F3318" s="481"/>
      <c r="G3318" s="174" t="s">
        <v>94</v>
      </c>
      <c r="H3318" s="148" t="str" cm="1">
        <f t="array" ref="H3318">IFERROR(INDEX(INVESTOR_LIST[INVESTOR NAME],MATCH(I3318,INVESTOR_LIST[INVESTOR CODE],0),)," ")</f>
        <v xml:space="preserve"> </v>
      </c>
      <c r="J3318" s="133" t="s">
        <v>191</v>
      </c>
      <c r="K3318" s="218"/>
      <c r="L3318" s="218">
        <v>1462472.4999999995</v>
      </c>
    </row>
    <row r="3319" spans="1:12" x14ac:dyDescent="0.2">
      <c r="A3319" s="133">
        <v>2021</v>
      </c>
      <c r="B3319" s="133">
        <v>6</v>
      </c>
      <c r="C3319" s="133">
        <v>15</v>
      </c>
      <c r="D3319" s="141">
        <f t="shared" si="110"/>
        <v>44362</v>
      </c>
      <c r="E3319" s="275">
        <f t="shared" si="111"/>
        <v>44362</v>
      </c>
      <c r="F3319" s="480"/>
      <c r="G3319" s="174" t="s">
        <v>94</v>
      </c>
      <c r="H3319" s="148" t="str" cm="1">
        <f t="array" ref="H3319">IFERROR(INDEX(INVESTOR_LIST[INVESTOR NAME],MATCH(I3319,INVESTOR_LIST[INVESTOR CODE],0),)," ")</f>
        <v xml:space="preserve"> </v>
      </c>
      <c r="J3319" s="133" t="s">
        <v>79</v>
      </c>
      <c r="K3319" s="218"/>
      <c r="L3319" s="218">
        <v>3564527.5000000005</v>
      </c>
    </row>
    <row r="3320" spans="1:12" ht="33.75" x14ac:dyDescent="0.2">
      <c r="A3320" s="168">
        <v>2021</v>
      </c>
      <c r="B3320" s="168">
        <v>6</v>
      </c>
      <c r="C3320" s="168">
        <v>15</v>
      </c>
      <c r="D3320" s="141">
        <f t="shared" si="110"/>
        <v>44362</v>
      </c>
      <c r="E3320" s="275">
        <f t="shared" si="111"/>
        <v>44362</v>
      </c>
      <c r="F3320" s="479" t="s">
        <v>965</v>
      </c>
      <c r="G3320" s="220" t="s">
        <v>74</v>
      </c>
      <c r="H3320" s="142" t="str" cm="1">
        <f t="array" ref="H3320">IFERROR(INDEX(INVESTOR_LIST[INVESTOR NAME],MATCH(I3320,INVESTOR_LIST[INVESTOR CODE],0),)," ")</f>
        <v>RABEYA JAHAN SOAD</v>
      </c>
      <c r="I3320" s="142" t="s">
        <v>447</v>
      </c>
      <c r="J3320" s="168" t="s">
        <v>13</v>
      </c>
      <c r="K3320" s="226">
        <v>37570</v>
      </c>
      <c r="L3320" s="226"/>
    </row>
    <row r="3321" spans="1:12" ht="33.75" x14ac:dyDescent="0.2">
      <c r="A3321" s="133">
        <v>2021</v>
      </c>
      <c r="B3321" s="133">
        <v>6</v>
      </c>
      <c r="C3321" s="133">
        <v>15</v>
      </c>
      <c r="D3321" s="141">
        <f t="shared" si="110"/>
        <v>44362</v>
      </c>
      <c r="E3321" s="275">
        <f t="shared" si="111"/>
        <v>44362</v>
      </c>
      <c r="F3321" s="481"/>
      <c r="G3321" s="174" t="s">
        <v>74</v>
      </c>
      <c r="H3321" s="148" t="str" cm="1">
        <f t="array" ref="H3321">IFERROR(INDEX(INVESTOR_LIST[INVESTOR NAME],MATCH(I3321,INVESTOR_LIST[INVESTOR CODE],0),)," ")</f>
        <v>RABEYA JAHAN SOAD</v>
      </c>
      <c r="I3321" s="148" t="s">
        <v>447</v>
      </c>
      <c r="J3321" s="133" t="s">
        <v>53</v>
      </c>
      <c r="K3321" s="218">
        <v>12438.57</v>
      </c>
      <c r="L3321" s="218"/>
    </row>
    <row r="3322" spans="1:12" ht="33.75" x14ac:dyDescent="0.2">
      <c r="A3322" s="163">
        <v>2021</v>
      </c>
      <c r="B3322" s="163">
        <v>6</v>
      </c>
      <c r="C3322" s="163">
        <v>15</v>
      </c>
      <c r="D3322" s="141">
        <f t="shared" si="110"/>
        <v>44362</v>
      </c>
      <c r="E3322" s="275">
        <f t="shared" si="111"/>
        <v>44362</v>
      </c>
      <c r="F3322" s="480"/>
      <c r="G3322" s="221" t="s">
        <v>74</v>
      </c>
      <c r="H3322" s="145" t="str" cm="1">
        <f t="array" ref="H3322">IFERROR(INDEX(INVESTOR_LIST[INVESTOR NAME],MATCH(I3322,INVESTOR_LIST[INVESTOR CODE],0),)," ")</f>
        <v>RABEYA JAHAN SOAD</v>
      </c>
      <c r="I3322" s="145" t="s">
        <v>447</v>
      </c>
      <c r="J3322" s="163" t="s">
        <v>52</v>
      </c>
      <c r="K3322" s="219"/>
      <c r="L3322" s="219">
        <v>50008.57</v>
      </c>
    </row>
    <row r="3323" spans="1:12" x14ac:dyDescent="0.2">
      <c r="A3323" s="168">
        <v>2021</v>
      </c>
      <c r="B3323" s="168">
        <v>6</v>
      </c>
      <c r="C3323" s="168">
        <v>15</v>
      </c>
      <c r="D3323" s="141">
        <f t="shared" si="110"/>
        <v>44362</v>
      </c>
      <c r="E3323" s="275">
        <f t="shared" si="111"/>
        <v>44362</v>
      </c>
      <c r="F3323" s="479" t="s">
        <v>747</v>
      </c>
      <c r="G3323" s="220" t="s">
        <v>74</v>
      </c>
      <c r="H3323" s="142" t="str" cm="1">
        <f t="array" ref="H3323">IFERROR(INDEX(INVESTOR_LIST[INVESTOR NAME],MATCH(I3323,INVESTOR_LIST[INVESTOR CODE],0),)," ")</f>
        <v xml:space="preserve"> </v>
      </c>
      <c r="I3323" s="142"/>
      <c r="J3323" s="168" t="s">
        <v>534</v>
      </c>
      <c r="K3323" s="226">
        <v>989272.26</v>
      </c>
      <c r="L3323" s="226"/>
    </row>
    <row r="3324" spans="1:12" x14ac:dyDescent="0.2">
      <c r="A3324" s="133">
        <v>2021</v>
      </c>
      <c r="B3324" s="133">
        <v>6</v>
      </c>
      <c r="C3324" s="133">
        <v>15</v>
      </c>
      <c r="D3324" s="141">
        <f t="shared" si="110"/>
        <v>44362</v>
      </c>
      <c r="E3324" s="275">
        <f t="shared" si="111"/>
        <v>44362</v>
      </c>
      <c r="F3324" s="481"/>
      <c r="G3324" s="174" t="s">
        <v>74</v>
      </c>
      <c r="H3324" s="148" t="str" cm="1">
        <f t="array" ref="H3324">IFERROR(INDEX(INVESTOR_LIST[INVESTOR NAME],MATCH(I3324,INVESTOR_LIST[INVESTOR CODE],0),)," ")</f>
        <v xml:space="preserve"> </v>
      </c>
      <c r="J3324" s="133" t="s">
        <v>61</v>
      </c>
      <c r="K3324" s="218">
        <v>115</v>
      </c>
      <c r="L3324" s="218"/>
    </row>
    <row r="3325" spans="1:12" x14ac:dyDescent="0.2">
      <c r="A3325" s="163">
        <v>2021</v>
      </c>
      <c r="B3325" s="163">
        <v>6</v>
      </c>
      <c r="C3325" s="163">
        <v>15</v>
      </c>
      <c r="D3325" s="141">
        <f t="shared" si="110"/>
        <v>44362</v>
      </c>
      <c r="E3325" s="275">
        <f t="shared" si="111"/>
        <v>44362</v>
      </c>
      <c r="F3325" s="480"/>
      <c r="G3325" s="221" t="s">
        <v>74</v>
      </c>
      <c r="H3325" s="145" t="str" cm="1">
        <f t="array" ref="H3325">IFERROR(INDEX(INVESTOR_LIST[INVESTOR NAME],MATCH(I3325,INVESTOR_LIST[INVESTOR CODE],0),)," ")</f>
        <v xml:space="preserve"> </v>
      </c>
      <c r="I3325" s="145"/>
      <c r="J3325" s="163" t="s">
        <v>52</v>
      </c>
      <c r="K3325" s="219"/>
      <c r="L3325" s="219">
        <v>989387.26</v>
      </c>
    </row>
    <row r="3326" spans="1:12" x14ac:dyDescent="0.2">
      <c r="A3326" s="168">
        <v>2021</v>
      </c>
      <c r="B3326" s="168">
        <v>6</v>
      </c>
      <c r="C3326" s="168">
        <v>16</v>
      </c>
      <c r="D3326" s="141">
        <f t="shared" si="110"/>
        <v>44363</v>
      </c>
      <c r="E3326" s="275">
        <f t="shared" si="111"/>
        <v>44363</v>
      </c>
      <c r="F3326" s="479" t="s">
        <v>751</v>
      </c>
      <c r="G3326" s="220" t="s">
        <v>94</v>
      </c>
      <c r="H3326" s="142" t="str" cm="1">
        <f t="array" ref="H3326">IFERROR(INDEX(INVESTOR_LIST[INVESTOR NAME],MATCH(I3326,INVESTOR_LIST[INVESTOR CODE],0),)," ")</f>
        <v xml:space="preserve"> </v>
      </c>
      <c r="I3326" s="142"/>
      <c r="J3326" s="168" t="s">
        <v>79</v>
      </c>
      <c r="K3326" s="226">
        <v>3859251.8</v>
      </c>
      <c r="L3326" s="226"/>
    </row>
    <row r="3327" spans="1:12" x14ac:dyDescent="0.2">
      <c r="A3327" s="133">
        <v>2021</v>
      </c>
      <c r="B3327" s="133">
        <v>6</v>
      </c>
      <c r="C3327" s="133">
        <v>16</v>
      </c>
      <c r="D3327" s="141">
        <f t="shared" si="110"/>
        <v>44363</v>
      </c>
      <c r="E3327" s="275">
        <f t="shared" si="111"/>
        <v>44363</v>
      </c>
      <c r="F3327" s="481"/>
      <c r="G3327" s="174" t="s">
        <v>94</v>
      </c>
      <c r="H3327" s="148" t="str" cm="1">
        <f t="array" ref="H3327">IFERROR(INDEX(INVESTOR_LIST[INVESTOR NAME],MATCH(I3327,INVESTOR_LIST[INVESTOR CODE],0),)," ")</f>
        <v xml:space="preserve"> </v>
      </c>
      <c r="J3327" s="133" t="s">
        <v>80</v>
      </c>
      <c r="K3327" s="218">
        <f>6946.65+7071.88</f>
        <v>14018.529999999999</v>
      </c>
      <c r="L3327" s="218"/>
    </row>
    <row r="3328" spans="1:12" x14ac:dyDescent="0.2">
      <c r="A3328" s="133">
        <v>2021</v>
      </c>
      <c r="B3328" s="133">
        <v>6</v>
      </c>
      <c r="C3328" s="133">
        <v>16</v>
      </c>
      <c r="D3328" s="141">
        <f t="shared" si="110"/>
        <v>44363</v>
      </c>
      <c r="E3328" s="275">
        <f t="shared" si="111"/>
        <v>44363</v>
      </c>
      <c r="F3328" s="481"/>
      <c r="G3328" s="174" t="s">
        <v>94</v>
      </c>
      <c r="H3328" s="148" t="str" cm="1">
        <f t="array" ref="H3328">IFERROR(INDEX(INVESTOR_LIST[INVESTOR NAME],MATCH(I3328,INVESTOR_LIST[INVESTOR CODE],0),)," ")</f>
        <v xml:space="preserve"> </v>
      </c>
      <c r="J3328" s="133" t="s">
        <v>190</v>
      </c>
      <c r="K3328" s="218">
        <v>55550.67</v>
      </c>
      <c r="L3328" s="218"/>
    </row>
    <row r="3329" spans="1:12" x14ac:dyDescent="0.2">
      <c r="A3329" s="133">
        <v>2021</v>
      </c>
      <c r="B3329" s="133">
        <v>6</v>
      </c>
      <c r="C3329" s="133">
        <v>16</v>
      </c>
      <c r="D3329" s="141">
        <f t="shared" si="110"/>
        <v>44363</v>
      </c>
      <c r="E3329" s="275">
        <f t="shared" si="111"/>
        <v>44363</v>
      </c>
      <c r="F3329" s="481"/>
      <c r="G3329" s="174" t="s">
        <v>94</v>
      </c>
      <c r="H3329" s="148" t="str" cm="1">
        <f t="array" ref="H3329">IFERROR(INDEX(INVESTOR_LIST[INVESTOR NAME],MATCH(I3329,INVESTOR_LIST[INVESTOR CODE],0),)," ")</f>
        <v xml:space="preserve"> </v>
      </c>
      <c r="J3329" s="133" t="s">
        <v>191</v>
      </c>
      <c r="K3329" s="218"/>
      <c r="L3329" s="218">
        <v>1077198.9999999995</v>
      </c>
    </row>
    <row r="3330" spans="1:12" x14ac:dyDescent="0.2">
      <c r="A3330" s="163">
        <v>2021</v>
      </c>
      <c r="B3330" s="163">
        <v>6</v>
      </c>
      <c r="C3330" s="163">
        <v>16</v>
      </c>
      <c r="D3330" s="141">
        <f t="shared" si="110"/>
        <v>44363</v>
      </c>
      <c r="E3330" s="275">
        <f t="shared" si="111"/>
        <v>44363</v>
      </c>
      <c r="F3330" s="480"/>
      <c r="G3330" s="221" t="s">
        <v>94</v>
      </c>
      <c r="H3330" s="145" t="str" cm="1">
        <f t="array" ref="H3330">IFERROR(INDEX(INVESTOR_LIST[INVESTOR NAME],MATCH(I3330,INVESTOR_LIST[INVESTOR CODE],0),)," ")</f>
        <v xml:space="preserve"> </v>
      </c>
      <c r="I3330" s="145"/>
      <c r="J3330" s="163" t="s">
        <v>79</v>
      </c>
      <c r="K3330" s="219"/>
      <c r="L3330" s="219">
        <v>2851622.0000000005</v>
      </c>
    </row>
    <row r="3331" spans="1:12" x14ac:dyDescent="0.2">
      <c r="A3331" s="168">
        <v>2021</v>
      </c>
      <c r="B3331" s="168">
        <v>6</v>
      </c>
      <c r="C3331" s="168">
        <v>16</v>
      </c>
      <c r="D3331" s="141">
        <f t="shared" si="110"/>
        <v>44363</v>
      </c>
      <c r="E3331" s="275">
        <f t="shared" si="111"/>
        <v>44363</v>
      </c>
      <c r="F3331" s="479" t="s">
        <v>262</v>
      </c>
      <c r="G3331" s="220" t="s">
        <v>74</v>
      </c>
      <c r="H3331" s="220" t="str" cm="1">
        <f t="array" ref="H3331">IFERROR(INDEX(INVESTOR_LIST[INVESTOR NAME],MATCH(I3331,INVESTOR_LIST[INVESTOR CODE],0),)," ")</f>
        <v xml:space="preserve"> </v>
      </c>
      <c r="I3331" s="142" t="s">
        <v>348</v>
      </c>
      <c r="J3331" s="143" t="s">
        <v>52</v>
      </c>
      <c r="K3331" s="218">
        <v>5000000</v>
      </c>
      <c r="L3331" s="218"/>
    </row>
    <row r="3332" spans="1:12" x14ac:dyDescent="0.2">
      <c r="A3332" s="163">
        <v>2021</v>
      </c>
      <c r="B3332" s="163">
        <v>6</v>
      </c>
      <c r="C3332" s="163">
        <v>16</v>
      </c>
      <c r="D3332" s="141">
        <f t="shared" si="110"/>
        <v>44363</v>
      </c>
      <c r="E3332" s="275">
        <f t="shared" si="111"/>
        <v>44363</v>
      </c>
      <c r="F3332" s="480"/>
      <c r="G3332" s="221" t="s">
        <v>74</v>
      </c>
      <c r="H3332" s="221" t="str" cm="1">
        <f t="array" ref="H3332">IFERROR(INDEX(INVESTOR_LIST[INVESTOR NAME],MATCH(I3332,INVESTOR_LIST[INVESTOR CODE],0),)," ")</f>
        <v xml:space="preserve"> </v>
      </c>
      <c r="I3332" s="145" t="s">
        <v>348</v>
      </c>
      <c r="J3332" s="146" t="s">
        <v>96</v>
      </c>
      <c r="K3332" s="219"/>
      <c r="L3332" s="219">
        <v>5000000</v>
      </c>
    </row>
    <row r="3333" spans="1:12" x14ac:dyDescent="0.2">
      <c r="A3333" s="133">
        <v>2021</v>
      </c>
      <c r="B3333" s="133">
        <v>6</v>
      </c>
      <c r="C3333" s="133">
        <v>16</v>
      </c>
      <c r="D3333" s="141">
        <f t="shared" si="110"/>
        <v>44363</v>
      </c>
      <c r="E3333" s="275">
        <f t="shared" si="111"/>
        <v>44363</v>
      </c>
      <c r="F3333" s="481" t="s">
        <v>262</v>
      </c>
      <c r="G3333" s="174" t="s">
        <v>74</v>
      </c>
      <c r="H3333" s="174" t="str" cm="1">
        <f t="array" ref="H3333">IFERROR(INDEX(INVESTOR_LIST[INVESTOR NAME],MATCH(I3333,INVESTOR_LIST[INVESTOR CODE],0),)," ")</f>
        <v xml:space="preserve"> </v>
      </c>
      <c r="I3333" s="148" t="s">
        <v>348</v>
      </c>
      <c r="J3333" s="149" t="s">
        <v>52</v>
      </c>
      <c r="K3333" s="218">
        <v>2000000</v>
      </c>
      <c r="L3333" s="218"/>
    </row>
    <row r="3334" spans="1:12" x14ac:dyDescent="0.2">
      <c r="A3334" s="163">
        <v>2021</v>
      </c>
      <c r="B3334" s="163">
        <v>6</v>
      </c>
      <c r="C3334" s="163">
        <v>16</v>
      </c>
      <c r="D3334" s="141">
        <f t="shared" si="110"/>
        <v>44363</v>
      </c>
      <c r="E3334" s="275">
        <f t="shared" si="111"/>
        <v>44363</v>
      </c>
      <c r="F3334" s="480"/>
      <c r="G3334" s="221" t="s">
        <v>74</v>
      </c>
      <c r="H3334" s="221" t="str" cm="1">
        <f t="array" ref="H3334">IFERROR(INDEX(INVESTOR_LIST[INVESTOR NAME],MATCH(I3334,INVESTOR_LIST[INVESTOR CODE],0),)," ")</f>
        <v xml:space="preserve"> </v>
      </c>
      <c r="I3334" s="145" t="s">
        <v>348</v>
      </c>
      <c r="J3334" s="146" t="s">
        <v>96</v>
      </c>
      <c r="K3334" s="219"/>
      <c r="L3334" s="219">
        <v>2000000</v>
      </c>
    </row>
    <row r="3335" spans="1:12" x14ac:dyDescent="0.2">
      <c r="A3335" s="133">
        <v>2021</v>
      </c>
      <c r="B3335" s="133">
        <v>6</v>
      </c>
      <c r="C3335" s="133">
        <v>16</v>
      </c>
      <c r="D3335" s="141">
        <f t="shared" si="110"/>
        <v>44363</v>
      </c>
      <c r="E3335" s="275">
        <f t="shared" si="111"/>
        <v>44363</v>
      </c>
      <c r="F3335" s="481" t="s">
        <v>262</v>
      </c>
      <c r="G3335" s="174" t="s">
        <v>74</v>
      </c>
      <c r="H3335" s="174" t="str" cm="1">
        <f t="array" ref="H3335">IFERROR(INDEX(INVESTOR_LIST[INVESTOR NAME],MATCH(I3335,INVESTOR_LIST[INVESTOR CODE],0),)," ")</f>
        <v xml:space="preserve"> </v>
      </c>
      <c r="I3335" s="148" t="s">
        <v>348</v>
      </c>
      <c r="J3335" s="149" t="s">
        <v>52</v>
      </c>
      <c r="K3335" s="218">
        <v>3000000</v>
      </c>
      <c r="L3335" s="218"/>
    </row>
    <row r="3336" spans="1:12" x14ac:dyDescent="0.2">
      <c r="A3336" s="163">
        <v>2021</v>
      </c>
      <c r="B3336" s="163">
        <v>6</v>
      </c>
      <c r="C3336" s="163">
        <v>16</v>
      </c>
      <c r="D3336" s="141">
        <f t="shared" si="110"/>
        <v>44363</v>
      </c>
      <c r="E3336" s="275">
        <f t="shared" si="111"/>
        <v>44363</v>
      </c>
      <c r="F3336" s="480"/>
      <c r="G3336" s="221" t="s">
        <v>74</v>
      </c>
      <c r="H3336" s="221" t="str" cm="1">
        <f t="array" ref="H3336">IFERROR(INDEX(INVESTOR_LIST[INVESTOR NAME],MATCH(I3336,INVESTOR_LIST[INVESTOR CODE],0),)," ")</f>
        <v xml:space="preserve"> </v>
      </c>
      <c r="I3336" s="145" t="s">
        <v>348</v>
      </c>
      <c r="J3336" s="146" t="s">
        <v>96</v>
      </c>
      <c r="K3336" s="219"/>
      <c r="L3336" s="219">
        <v>3000000</v>
      </c>
    </row>
    <row r="3337" spans="1:12" x14ac:dyDescent="0.2">
      <c r="A3337" s="133">
        <v>2021</v>
      </c>
      <c r="B3337" s="133">
        <v>6</v>
      </c>
      <c r="C3337" s="133">
        <v>16</v>
      </c>
      <c r="D3337" s="141">
        <f t="shared" si="110"/>
        <v>44363</v>
      </c>
      <c r="E3337" s="275">
        <f t="shared" si="111"/>
        <v>44363</v>
      </c>
      <c r="F3337" s="481" t="s">
        <v>262</v>
      </c>
      <c r="G3337" s="174" t="s">
        <v>74</v>
      </c>
      <c r="H3337" s="174" t="str" cm="1">
        <f t="array" ref="H3337">IFERROR(INDEX(INVESTOR_LIST[INVESTOR NAME],MATCH(I3337,INVESTOR_LIST[INVESTOR CODE],0),)," ")</f>
        <v xml:space="preserve"> </v>
      </c>
      <c r="I3337" s="148" t="s">
        <v>348</v>
      </c>
      <c r="J3337" s="149" t="s">
        <v>52</v>
      </c>
      <c r="K3337" s="218">
        <v>5000000</v>
      </c>
      <c r="L3337" s="218"/>
    </row>
    <row r="3338" spans="1:12" x14ac:dyDescent="0.2">
      <c r="A3338" s="163">
        <v>2021</v>
      </c>
      <c r="B3338" s="163">
        <v>6</v>
      </c>
      <c r="C3338" s="163">
        <v>16</v>
      </c>
      <c r="D3338" s="141">
        <f t="shared" si="110"/>
        <v>44363</v>
      </c>
      <c r="E3338" s="275">
        <f t="shared" si="111"/>
        <v>44363</v>
      </c>
      <c r="F3338" s="480"/>
      <c r="G3338" s="221" t="s">
        <v>74</v>
      </c>
      <c r="H3338" s="221" t="str" cm="1">
        <f t="array" ref="H3338">IFERROR(INDEX(INVESTOR_LIST[INVESTOR NAME],MATCH(I3338,INVESTOR_LIST[INVESTOR CODE],0),)," ")</f>
        <v xml:space="preserve"> </v>
      </c>
      <c r="I3338" s="145" t="s">
        <v>348</v>
      </c>
      <c r="J3338" s="146" t="s">
        <v>96</v>
      </c>
      <c r="K3338" s="219"/>
      <c r="L3338" s="219">
        <v>5000000</v>
      </c>
    </row>
    <row r="3339" spans="1:12" x14ac:dyDescent="0.2">
      <c r="A3339" s="133">
        <v>2021</v>
      </c>
      <c r="B3339" s="133">
        <v>6</v>
      </c>
      <c r="C3339" s="133">
        <v>16</v>
      </c>
      <c r="D3339" s="141">
        <f t="shared" si="110"/>
        <v>44363</v>
      </c>
      <c r="E3339" s="275">
        <f t="shared" si="111"/>
        <v>44363</v>
      </c>
      <c r="F3339" s="481" t="s">
        <v>195</v>
      </c>
      <c r="G3339" s="174" t="s">
        <v>74</v>
      </c>
      <c r="H3339" s="174" t="str" cm="1">
        <f t="array" ref="H3339">IFERROR(INDEX(INVESTOR_LIST[INVESTOR NAME],MATCH(I3339,INVESTOR_LIST[INVESTOR CODE],0),)," ")</f>
        <v xml:space="preserve"> </v>
      </c>
      <c r="I3339" s="148" t="s">
        <v>348</v>
      </c>
      <c r="J3339" s="149" t="s">
        <v>52</v>
      </c>
      <c r="K3339" s="218">
        <v>3214</v>
      </c>
      <c r="L3339" s="218"/>
    </row>
    <row r="3340" spans="1:12" x14ac:dyDescent="0.2">
      <c r="A3340" s="163">
        <v>2021</v>
      </c>
      <c r="B3340" s="163">
        <v>6</v>
      </c>
      <c r="C3340" s="163">
        <v>16</v>
      </c>
      <c r="D3340" s="141">
        <f t="shared" si="110"/>
        <v>44363</v>
      </c>
      <c r="E3340" s="275">
        <f t="shared" si="111"/>
        <v>44363</v>
      </c>
      <c r="F3340" s="480"/>
      <c r="G3340" s="221" t="s">
        <v>74</v>
      </c>
      <c r="H3340" s="221" t="str" cm="1">
        <f t="array" ref="H3340">IFERROR(INDEX(INVESTOR_LIST[INVESTOR NAME],MATCH(I3340,INVESTOR_LIST[INVESTOR CODE],0),)," ")</f>
        <v xml:space="preserve"> </v>
      </c>
      <c r="I3340" s="145" t="s">
        <v>348</v>
      </c>
      <c r="J3340" s="146" t="s">
        <v>60</v>
      </c>
      <c r="K3340" s="219"/>
      <c r="L3340" s="219">
        <v>3214</v>
      </c>
    </row>
    <row r="3341" spans="1:12" x14ac:dyDescent="0.2">
      <c r="A3341" s="133">
        <v>2021</v>
      </c>
      <c r="B3341" s="133">
        <v>6</v>
      </c>
      <c r="C3341" s="133">
        <v>16</v>
      </c>
      <c r="D3341" s="141">
        <f t="shared" si="110"/>
        <v>44363</v>
      </c>
      <c r="E3341" s="275">
        <f t="shared" si="111"/>
        <v>44363</v>
      </c>
      <c r="F3341" s="481" t="s">
        <v>195</v>
      </c>
      <c r="G3341" s="174" t="s">
        <v>74</v>
      </c>
      <c r="H3341" s="174" t="str" cm="1">
        <f t="array" ref="H3341">IFERROR(INDEX(INVESTOR_LIST[INVESTOR NAME],MATCH(I3341,INVESTOR_LIST[INVESTOR CODE],0),)," ")</f>
        <v xml:space="preserve"> </v>
      </c>
      <c r="I3341" s="148" t="s">
        <v>348</v>
      </c>
      <c r="J3341" s="149" t="s">
        <v>52</v>
      </c>
      <c r="K3341" s="218">
        <v>13286</v>
      </c>
      <c r="L3341" s="218"/>
    </row>
    <row r="3342" spans="1:12" x14ac:dyDescent="0.2">
      <c r="A3342" s="163">
        <v>2021</v>
      </c>
      <c r="B3342" s="163">
        <v>6</v>
      </c>
      <c r="C3342" s="163">
        <v>16</v>
      </c>
      <c r="D3342" s="141">
        <f t="shared" ref="D3342:D3405" si="112">DATE(A3342,B3342,C3342)</f>
        <v>44363</v>
      </c>
      <c r="E3342" s="275">
        <f t="shared" si="111"/>
        <v>44363</v>
      </c>
      <c r="F3342" s="480"/>
      <c r="G3342" s="221" t="s">
        <v>74</v>
      </c>
      <c r="H3342" s="221" t="str" cm="1">
        <f t="array" ref="H3342">IFERROR(INDEX(INVESTOR_LIST[INVESTOR NAME],MATCH(I3342,INVESTOR_LIST[INVESTOR CODE],0),)," ")</f>
        <v xml:space="preserve"> </v>
      </c>
      <c r="I3342" s="145" t="s">
        <v>348</v>
      </c>
      <c r="J3342" s="146" t="s">
        <v>60</v>
      </c>
      <c r="K3342" s="219"/>
      <c r="L3342" s="219">
        <v>13286</v>
      </c>
    </row>
    <row r="3343" spans="1:12" x14ac:dyDescent="0.2">
      <c r="A3343" s="133">
        <v>2021</v>
      </c>
      <c r="B3343" s="133">
        <v>6</v>
      </c>
      <c r="C3343" s="133">
        <v>16</v>
      </c>
      <c r="D3343" s="141">
        <f t="shared" si="112"/>
        <v>44363</v>
      </c>
      <c r="E3343" s="275">
        <f t="shared" ref="E3343:E3406" si="113">DATE(A3343,B3343,C3343)</f>
        <v>44363</v>
      </c>
      <c r="F3343" s="481" t="s">
        <v>195</v>
      </c>
      <c r="G3343" s="174" t="s">
        <v>74</v>
      </c>
      <c r="H3343" s="174" t="str" cm="1">
        <f t="array" ref="H3343">IFERROR(INDEX(INVESTOR_LIST[INVESTOR NAME],MATCH(I3343,INVESTOR_LIST[INVESTOR CODE],0),)," ")</f>
        <v xml:space="preserve"> </v>
      </c>
      <c r="I3343" s="148" t="s">
        <v>348</v>
      </c>
      <c r="J3343" s="149" t="s">
        <v>52</v>
      </c>
      <c r="K3343" s="218">
        <v>13286</v>
      </c>
      <c r="L3343" s="218"/>
    </row>
    <row r="3344" spans="1:12" x14ac:dyDescent="0.2">
      <c r="A3344" s="163">
        <v>2021</v>
      </c>
      <c r="B3344" s="163">
        <v>6</v>
      </c>
      <c r="C3344" s="163">
        <v>16</v>
      </c>
      <c r="D3344" s="141">
        <f t="shared" si="112"/>
        <v>44363</v>
      </c>
      <c r="E3344" s="275">
        <f t="shared" si="113"/>
        <v>44363</v>
      </c>
      <c r="F3344" s="480"/>
      <c r="G3344" s="221" t="s">
        <v>74</v>
      </c>
      <c r="H3344" s="221" t="str" cm="1">
        <f t="array" ref="H3344">IFERROR(INDEX(INVESTOR_LIST[INVESTOR NAME],MATCH(I3344,INVESTOR_LIST[INVESTOR CODE],0),)," ")</f>
        <v xml:space="preserve"> </v>
      </c>
      <c r="I3344" s="145" t="s">
        <v>348</v>
      </c>
      <c r="J3344" s="146" t="s">
        <v>60</v>
      </c>
      <c r="K3344" s="219"/>
      <c r="L3344" s="219">
        <v>13286</v>
      </c>
    </row>
    <row r="3345" spans="1:12" x14ac:dyDescent="0.2">
      <c r="A3345" s="133">
        <v>2021</v>
      </c>
      <c r="B3345" s="133">
        <v>6</v>
      </c>
      <c r="C3345" s="133">
        <v>16</v>
      </c>
      <c r="D3345" s="141">
        <f t="shared" si="112"/>
        <v>44363</v>
      </c>
      <c r="E3345" s="275">
        <f t="shared" si="113"/>
        <v>44363</v>
      </c>
      <c r="F3345" s="481" t="s">
        <v>195</v>
      </c>
      <c r="G3345" s="174" t="s">
        <v>74</v>
      </c>
      <c r="H3345" s="174" t="str" cm="1">
        <f t="array" ref="H3345">IFERROR(INDEX(INVESTOR_LIST[INVESTOR NAME],MATCH(I3345,INVESTOR_LIST[INVESTOR CODE],0),)," ")</f>
        <v xml:space="preserve"> </v>
      </c>
      <c r="I3345" s="148" t="s">
        <v>348</v>
      </c>
      <c r="J3345" s="149" t="s">
        <v>52</v>
      </c>
      <c r="K3345" s="218">
        <v>6571</v>
      </c>
      <c r="L3345" s="218"/>
    </row>
    <row r="3346" spans="1:12" x14ac:dyDescent="0.2">
      <c r="A3346" s="163">
        <v>2021</v>
      </c>
      <c r="B3346" s="163">
        <v>6</v>
      </c>
      <c r="C3346" s="163">
        <v>16</v>
      </c>
      <c r="D3346" s="141">
        <f t="shared" si="112"/>
        <v>44363</v>
      </c>
      <c r="E3346" s="275">
        <f t="shared" si="113"/>
        <v>44363</v>
      </c>
      <c r="F3346" s="480"/>
      <c r="G3346" s="221" t="s">
        <v>74</v>
      </c>
      <c r="H3346" s="221" t="str" cm="1">
        <f t="array" ref="H3346">IFERROR(INDEX(INVESTOR_LIST[INVESTOR NAME],MATCH(I3346,INVESTOR_LIST[INVESTOR CODE],0),)," ")</f>
        <v xml:space="preserve"> </v>
      </c>
      <c r="I3346" s="145" t="s">
        <v>348</v>
      </c>
      <c r="J3346" s="146" t="s">
        <v>60</v>
      </c>
      <c r="K3346" s="219"/>
      <c r="L3346" s="219">
        <v>6571</v>
      </c>
    </row>
    <row r="3347" spans="1:12" x14ac:dyDescent="0.2">
      <c r="A3347" s="168">
        <v>2021</v>
      </c>
      <c r="B3347" s="168">
        <v>6</v>
      </c>
      <c r="C3347" s="168">
        <v>16</v>
      </c>
      <c r="D3347" s="141">
        <f t="shared" si="112"/>
        <v>44363</v>
      </c>
      <c r="E3347" s="275">
        <f t="shared" si="113"/>
        <v>44363</v>
      </c>
      <c r="F3347" s="479" t="s">
        <v>544</v>
      </c>
      <c r="G3347" s="220" t="s">
        <v>74</v>
      </c>
      <c r="H3347" s="142" t="str" cm="1">
        <f t="array" ref="H3347">IFERROR(INDEX(INVESTOR_LIST[INVESTOR NAME],MATCH(I3347,INVESTOR_LIST[INVESTOR CODE],0),)," ")</f>
        <v xml:space="preserve"> </v>
      </c>
      <c r="I3347" s="142"/>
      <c r="J3347" s="168" t="s">
        <v>52</v>
      </c>
      <c r="K3347" s="226">
        <v>2899014.89</v>
      </c>
      <c r="L3347" s="226"/>
    </row>
    <row r="3348" spans="1:12" x14ac:dyDescent="0.2">
      <c r="A3348" s="163">
        <v>2021</v>
      </c>
      <c r="B3348" s="163">
        <v>6</v>
      </c>
      <c r="C3348" s="163">
        <v>16</v>
      </c>
      <c r="D3348" s="141">
        <f t="shared" si="112"/>
        <v>44363</v>
      </c>
      <c r="E3348" s="275">
        <f t="shared" si="113"/>
        <v>44363</v>
      </c>
      <c r="F3348" s="480"/>
      <c r="G3348" s="221" t="s">
        <v>74</v>
      </c>
      <c r="H3348" s="145" t="str" cm="1">
        <f t="array" ref="H3348">IFERROR(INDEX(INVESTOR_LIST[INVESTOR NAME],MATCH(I3348,INVESTOR_LIST[INVESTOR CODE],0),)," ")</f>
        <v xml:space="preserve"> </v>
      </c>
      <c r="I3348" s="145"/>
      <c r="J3348" s="163" t="s">
        <v>190</v>
      </c>
      <c r="K3348" s="219"/>
      <c r="L3348" s="219">
        <v>2899014.89</v>
      </c>
    </row>
    <row r="3349" spans="1:12" x14ac:dyDescent="0.2">
      <c r="A3349" s="168">
        <v>2021</v>
      </c>
      <c r="B3349" s="168">
        <v>6</v>
      </c>
      <c r="C3349" s="168">
        <v>16</v>
      </c>
      <c r="D3349" s="141">
        <f t="shared" si="112"/>
        <v>44363</v>
      </c>
      <c r="E3349" s="275">
        <f t="shared" si="113"/>
        <v>44363</v>
      </c>
      <c r="F3349" s="479" t="s">
        <v>753</v>
      </c>
      <c r="G3349" s="220" t="s">
        <v>74</v>
      </c>
      <c r="H3349" s="142" t="str" cm="1">
        <f t="array" ref="H3349">IFERROR(INDEX(INVESTOR_LIST[INVESTOR NAME],MATCH(I3349,INVESTOR_LIST[INVESTOR CODE],0),)," ")</f>
        <v xml:space="preserve"> </v>
      </c>
      <c r="I3349" s="142"/>
      <c r="J3349" s="168" t="s">
        <v>52</v>
      </c>
      <c r="K3349" s="226">
        <v>357000</v>
      </c>
      <c r="L3349" s="226"/>
    </row>
    <row r="3350" spans="1:12" x14ac:dyDescent="0.2">
      <c r="A3350" s="163">
        <v>2021</v>
      </c>
      <c r="B3350" s="163">
        <v>6</v>
      </c>
      <c r="C3350" s="163">
        <v>16</v>
      </c>
      <c r="D3350" s="141">
        <f t="shared" si="112"/>
        <v>44363</v>
      </c>
      <c r="E3350" s="275">
        <f t="shared" si="113"/>
        <v>44363</v>
      </c>
      <c r="F3350" s="480"/>
      <c r="G3350" s="221" t="s">
        <v>74</v>
      </c>
      <c r="H3350" s="145" t="str" cm="1">
        <f t="array" ref="H3350">IFERROR(INDEX(INVESTOR_LIST[INVESTOR NAME],MATCH(I3350,INVESTOR_LIST[INVESTOR CODE],0),)," ")</f>
        <v xml:space="preserve"> </v>
      </c>
      <c r="I3350" s="145"/>
      <c r="J3350" s="163" t="s">
        <v>168</v>
      </c>
      <c r="K3350" s="219"/>
      <c r="L3350" s="219">
        <v>357000</v>
      </c>
    </row>
    <row r="3351" spans="1:12" x14ac:dyDescent="0.2">
      <c r="A3351" s="168">
        <v>2021</v>
      </c>
      <c r="B3351" s="168">
        <v>6</v>
      </c>
      <c r="C3351" s="133">
        <v>16</v>
      </c>
      <c r="D3351" s="141">
        <f t="shared" si="112"/>
        <v>44363</v>
      </c>
      <c r="E3351" s="275">
        <f t="shared" si="113"/>
        <v>44363</v>
      </c>
      <c r="F3351" s="479" t="s">
        <v>77</v>
      </c>
      <c r="G3351" s="220" t="s">
        <v>74</v>
      </c>
      <c r="H3351" s="220" t="str" cm="1">
        <f t="array" ref="H3351">IFERROR(INDEX(INVESTOR_LIST[INVESTOR NAME],MATCH(I3351,INVESTOR_LIST[INVESTOR CODE],0),)," ")</f>
        <v xml:space="preserve"> </v>
      </c>
      <c r="I3351" s="142" t="s">
        <v>348</v>
      </c>
      <c r="J3351" s="143" t="s">
        <v>61</v>
      </c>
      <c r="K3351" s="226">
        <v>60</v>
      </c>
      <c r="L3351" s="226"/>
    </row>
    <row r="3352" spans="1:12" x14ac:dyDescent="0.2">
      <c r="A3352" s="163">
        <v>2021</v>
      </c>
      <c r="B3352" s="163">
        <v>6</v>
      </c>
      <c r="C3352" s="163">
        <v>16</v>
      </c>
      <c r="D3352" s="141">
        <f t="shared" si="112"/>
        <v>44363</v>
      </c>
      <c r="E3352" s="275">
        <f t="shared" si="113"/>
        <v>44363</v>
      </c>
      <c r="F3352" s="480"/>
      <c r="G3352" s="221" t="s">
        <v>74</v>
      </c>
      <c r="H3352" s="221" t="str" cm="1">
        <f t="array" ref="H3352">IFERROR(INDEX(INVESTOR_LIST[INVESTOR NAME],MATCH(I3352,INVESTOR_LIST[INVESTOR CODE],0),)," ")</f>
        <v xml:space="preserve"> </v>
      </c>
      <c r="I3352" s="145" t="s">
        <v>348</v>
      </c>
      <c r="J3352" s="146" t="s">
        <v>52</v>
      </c>
      <c r="K3352" s="219"/>
      <c r="L3352" s="219">
        <v>60</v>
      </c>
    </row>
    <row r="3353" spans="1:12" x14ac:dyDescent="0.2">
      <c r="A3353" s="168">
        <v>2021</v>
      </c>
      <c r="B3353" s="168">
        <v>6</v>
      </c>
      <c r="C3353" s="133">
        <v>16</v>
      </c>
      <c r="D3353" s="141">
        <f t="shared" si="112"/>
        <v>44363</v>
      </c>
      <c r="E3353" s="275">
        <f t="shared" si="113"/>
        <v>44363</v>
      </c>
      <c r="F3353" s="479" t="s">
        <v>77</v>
      </c>
      <c r="G3353" s="220" t="s">
        <v>74</v>
      </c>
      <c r="H3353" s="220" t="str" cm="1">
        <f t="array" ref="H3353">IFERROR(INDEX(INVESTOR_LIST[INVESTOR NAME],MATCH(I3353,INVESTOR_LIST[INVESTOR CODE],0),)," ")</f>
        <v xml:space="preserve"> </v>
      </c>
      <c r="I3353" s="142" t="s">
        <v>348</v>
      </c>
      <c r="J3353" s="143" t="s">
        <v>61</v>
      </c>
      <c r="K3353" s="226">
        <v>60</v>
      </c>
      <c r="L3353" s="226"/>
    </row>
    <row r="3354" spans="1:12" x14ac:dyDescent="0.2">
      <c r="A3354" s="163">
        <v>2021</v>
      </c>
      <c r="B3354" s="163">
        <v>6</v>
      </c>
      <c r="C3354" s="163">
        <v>16</v>
      </c>
      <c r="D3354" s="141">
        <f t="shared" si="112"/>
        <v>44363</v>
      </c>
      <c r="E3354" s="275">
        <f t="shared" si="113"/>
        <v>44363</v>
      </c>
      <c r="F3354" s="480"/>
      <c r="G3354" s="221" t="s">
        <v>74</v>
      </c>
      <c r="H3354" s="221" t="str" cm="1">
        <f t="array" ref="H3354">IFERROR(INDEX(INVESTOR_LIST[INVESTOR NAME],MATCH(I3354,INVESTOR_LIST[INVESTOR CODE],0),)," ")</f>
        <v xml:space="preserve"> </v>
      </c>
      <c r="I3354" s="145" t="s">
        <v>348</v>
      </c>
      <c r="J3354" s="146" t="s">
        <v>52</v>
      </c>
      <c r="K3354" s="219"/>
      <c r="L3354" s="219">
        <v>60</v>
      </c>
    </row>
    <row r="3355" spans="1:12" x14ac:dyDescent="0.2">
      <c r="A3355" s="168">
        <v>2021</v>
      </c>
      <c r="B3355" s="168">
        <v>6</v>
      </c>
      <c r="C3355" s="168">
        <v>16</v>
      </c>
      <c r="D3355" s="141">
        <f t="shared" si="112"/>
        <v>44363</v>
      </c>
      <c r="E3355" s="275">
        <f t="shared" si="113"/>
        <v>44363</v>
      </c>
      <c r="F3355" s="479" t="s">
        <v>77</v>
      </c>
      <c r="G3355" s="220" t="s">
        <v>74</v>
      </c>
      <c r="H3355" s="220" t="str" cm="1">
        <f t="array" ref="H3355">IFERROR(INDEX(INVESTOR_LIST[INVESTOR NAME],MATCH(I3355,INVESTOR_LIST[INVESTOR CODE],0),)," ")</f>
        <v xml:space="preserve"> </v>
      </c>
      <c r="I3355" s="142" t="s">
        <v>348</v>
      </c>
      <c r="J3355" s="143" t="s">
        <v>61</v>
      </c>
      <c r="K3355" s="226">
        <v>60</v>
      </c>
      <c r="L3355" s="226"/>
    </row>
    <row r="3356" spans="1:12" x14ac:dyDescent="0.2">
      <c r="A3356" s="163">
        <v>2021</v>
      </c>
      <c r="B3356" s="163">
        <v>6</v>
      </c>
      <c r="C3356" s="163">
        <v>16</v>
      </c>
      <c r="D3356" s="141">
        <f t="shared" si="112"/>
        <v>44363</v>
      </c>
      <c r="E3356" s="275">
        <f t="shared" si="113"/>
        <v>44363</v>
      </c>
      <c r="F3356" s="480"/>
      <c r="G3356" s="221" t="s">
        <v>74</v>
      </c>
      <c r="H3356" s="221" t="str" cm="1">
        <f t="array" ref="H3356">IFERROR(INDEX(INVESTOR_LIST[INVESTOR NAME],MATCH(I3356,INVESTOR_LIST[INVESTOR CODE],0),)," ")</f>
        <v xml:space="preserve"> </v>
      </c>
      <c r="I3356" s="145" t="s">
        <v>348</v>
      </c>
      <c r="J3356" s="146" t="s">
        <v>52</v>
      </c>
      <c r="K3356" s="219"/>
      <c r="L3356" s="219">
        <v>60</v>
      </c>
    </row>
    <row r="3357" spans="1:12" x14ac:dyDescent="0.2">
      <c r="A3357" s="168">
        <v>2021</v>
      </c>
      <c r="B3357" s="168">
        <v>6</v>
      </c>
      <c r="C3357" s="168">
        <v>16</v>
      </c>
      <c r="D3357" s="141">
        <f t="shared" si="112"/>
        <v>44363</v>
      </c>
      <c r="E3357" s="275">
        <f t="shared" si="113"/>
        <v>44363</v>
      </c>
      <c r="F3357" s="479" t="s">
        <v>77</v>
      </c>
      <c r="G3357" s="220" t="s">
        <v>74</v>
      </c>
      <c r="H3357" s="220" t="str" cm="1">
        <f t="array" ref="H3357">IFERROR(INDEX(INVESTOR_LIST[INVESTOR NAME],MATCH(I3357,INVESTOR_LIST[INVESTOR CODE],0),)," ")</f>
        <v xml:space="preserve"> </v>
      </c>
      <c r="I3357" s="142" t="s">
        <v>348</v>
      </c>
      <c r="J3357" s="143" t="s">
        <v>61</v>
      </c>
      <c r="K3357" s="226">
        <v>60</v>
      </c>
      <c r="L3357" s="226"/>
    </row>
    <row r="3358" spans="1:12" x14ac:dyDescent="0.2">
      <c r="A3358" s="163">
        <v>2021</v>
      </c>
      <c r="B3358" s="163">
        <v>6</v>
      </c>
      <c r="C3358" s="163">
        <v>16</v>
      </c>
      <c r="D3358" s="141">
        <f t="shared" si="112"/>
        <v>44363</v>
      </c>
      <c r="E3358" s="275">
        <f t="shared" si="113"/>
        <v>44363</v>
      </c>
      <c r="F3358" s="480"/>
      <c r="G3358" s="221" t="s">
        <v>74</v>
      </c>
      <c r="H3358" s="221" t="str" cm="1">
        <f t="array" ref="H3358">IFERROR(INDEX(INVESTOR_LIST[INVESTOR NAME],MATCH(I3358,INVESTOR_LIST[INVESTOR CODE],0),)," ")</f>
        <v xml:space="preserve"> </v>
      </c>
      <c r="I3358" s="145" t="s">
        <v>348</v>
      </c>
      <c r="J3358" s="146" t="s">
        <v>52</v>
      </c>
      <c r="K3358" s="219"/>
      <c r="L3358" s="219">
        <v>60</v>
      </c>
    </row>
    <row r="3359" spans="1:12" x14ac:dyDescent="0.2">
      <c r="A3359" s="168">
        <v>2021</v>
      </c>
      <c r="B3359" s="168">
        <v>6</v>
      </c>
      <c r="C3359" s="168">
        <v>17</v>
      </c>
      <c r="D3359" s="141">
        <f t="shared" si="112"/>
        <v>44364</v>
      </c>
      <c r="E3359" s="275">
        <f t="shared" si="113"/>
        <v>44364</v>
      </c>
      <c r="F3359" s="479" t="s">
        <v>233</v>
      </c>
      <c r="G3359" s="220" t="s">
        <v>74</v>
      </c>
      <c r="H3359" s="220" t="str" cm="1">
        <f t="array" ref="H3359">IFERROR(INDEX(INVESTOR_LIST[INVESTOR NAME],MATCH(I3359,INVESTOR_LIST[INVESTOR CODE],0),)," ")</f>
        <v xml:space="preserve"> </v>
      </c>
      <c r="I3359" s="142" t="s">
        <v>348</v>
      </c>
      <c r="J3359" s="143" t="s">
        <v>163</v>
      </c>
      <c r="K3359" s="226">
        <v>8000</v>
      </c>
      <c r="L3359" s="226"/>
    </row>
    <row r="3360" spans="1:12" x14ac:dyDescent="0.2">
      <c r="A3360" s="163">
        <v>2021</v>
      </c>
      <c r="B3360" s="163">
        <v>6</v>
      </c>
      <c r="C3360" s="163">
        <v>17</v>
      </c>
      <c r="D3360" s="141">
        <f t="shared" si="112"/>
        <v>44364</v>
      </c>
      <c r="E3360" s="275">
        <f t="shared" si="113"/>
        <v>44364</v>
      </c>
      <c r="F3360" s="480"/>
      <c r="G3360" s="221" t="s">
        <v>74</v>
      </c>
      <c r="H3360" s="221" t="str" cm="1">
        <f t="array" ref="H3360">IFERROR(INDEX(INVESTOR_LIST[INVESTOR NAME],MATCH(I3360,INVESTOR_LIST[INVESTOR CODE],0),)," ")</f>
        <v xml:space="preserve"> </v>
      </c>
      <c r="I3360" s="145" t="s">
        <v>348</v>
      </c>
      <c r="J3360" s="146" t="s">
        <v>52</v>
      </c>
      <c r="K3360" s="219"/>
      <c r="L3360" s="219">
        <v>8000</v>
      </c>
    </row>
    <row r="3361" spans="1:14" x14ac:dyDescent="0.2">
      <c r="A3361" s="168">
        <v>2021</v>
      </c>
      <c r="B3361" s="168">
        <v>6</v>
      </c>
      <c r="C3361" s="168">
        <v>17</v>
      </c>
      <c r="D3361" s="141">
        <f t="shared" si="112"/>
        <v>44364</v>
      </c>
      <c r="E3361" s="275">
        <f t="shared" si="113"/>
        <v>44364</v>
      </c>
      <c r="F3361" s="479" t="s">
        <v>279</v>
      </c>
      <c r="G3361" s="220" t="s">
        <v>94</v>
      </c>
      <c r="H3361" s="142" t="str" cm="1">
        <f t="array" ref="H3361">IFERROR(INDEX(INVESTOR_LIST[INVESTOR NAME],MATCH(I3361,INVESTOR_LIST[INVESTOR CODE],0),)," ")</f>
        <v xml:space="preserve"> </v>
      </c>
      <c r="I3361" s="142"/>
      <c r="J3361" s="168" t="s">
        <v>80</v>
      </c>
      <c r="K3361" s="226">
        <f>7994.14</f>
        <v>7994.14</v>
      </c>
      <c r="L3361" s="226"/>
    </row>
    <row r="3362" spans="1:14" x14ac:dyDescent="0.2">
      <c r="A3362" s="133">
        <v>2021</v>
      </c>
      <c r="B3362" s="133">
        <v>6</v>
      </c>
      <c r="C3362" s="133">
        <v>17</v>
      </c>
      <c r="D3362" s="141">
        <f t="shared" si="112"/>
        <v>44364</v>
      </c>
      <c r="E3362" s="275">
        <f t="shared" si="113"/>
        <v>44364</v>
      </c>
      <c r="F3362" s="481"/>
      <c r="G3362" s="174" t="s">
        <v>94</v>
      </c>
      <c r="H3362" s="148" t="str" cm="1">
        <f t="array" ref="H3362">IFERROR(INDEX(INVESTOR_LIST[INVESTOR NAME],MATCH(I3362,INVESTOR_LIST[INVESTOR CODE],0),)," ")</f>
        <v xml:space="preserve"> </v>
      </c>
      <c r="J3362" s="133" t="s">
        <v>190</v>
      </c>
      <c r="K3362" s="218">
        <v>4433195.8600000003</v>
      </c>
      <c r="L3362" s="218"/>
    </row>
    <row r="3363" spans="1:14" x14ac:dyDescent="0.2">
      <c r="A3363" s="133">
        <v>2021</v>
      </c>
      <c r="B3363" s="133">
        <v>6</v>
      </c>
      <c r="C3363" s="133">
        <v>17</v>
      </c>
      <c r="D3363" s="141">
        <f t="shared" si="112"/>
        <v>44364</v>
      </c>
      <c r="E3363" s="275">
        <f t="shared" si="113"/>
        <v>44364</v>
      </c>
      <c r="F3363" s="481"/>
      <c r="G3363" s="174" t="s">
        <v>94</v>
      </c>
      <c r="H3363" s="148" t="str" cm="1">
        <f t="array" ref="H3363">IFERROR(INDEX(INVESTOR_LIST[INVESTOR NAME],MATCH(I3363,INVESTOR_LIST[INVESTOR CODE],0),)," ")</f>
        <v xml:space="preserve"> </v>
      </c>
      <c r="J3363" s="133" t="s">
        <v>191</v>
      </c>
      <c r="K3363" s="218"/>
      <c r="L3363" s="218">
        <v>142082.20000000001</v>
      </c>
    </row>
    <row r="3364" spans="1:14" x14ac:dyDescent="0.2">
      <c r="A3364" s="163">
        <v>2021</v>
      </c>
      <c r="B3364" s="163">
        <v>6</v>
      </c>
      <c r="C3364" s="163">
        <v>17</v>
      </c>
      <c r="D3364" s="141">
        <f t="shared" si="112"/>
        <v>44364</v>
      </c>
      <c r="E3364" s="275">
        <f t="shared" si="113"/>
        <v>44364</v>
      </c>
      <c r="F3364" s="480"/>
      <c r="G3364" s="221" t="s">
        <v>94</v>
      </c>
      <c r="H3364" s="145" t="str" cm="1">
        <f t="array" ref="H3364">IFERROR(INDEX(INVESTOR_LIST[INVESTOR NAME],MATCH(I3364,INVESTOR_LIST[INVESTOR CODE],0),)," ")</f>
        <v xml:space="preserve"> </v>
      </c>
      <c r="I3364" s="145"/>
      <c r="J3364" s="163" t="s">
        <v>79</v>
      </c>
      <c r="K3364" s="219"/>
      <c r="L3364" s="219">
        <v>4299107.8</v>
      </c>
    </row>
    <row r="3365" spans="1:14" x14ac:dyDescent="0.2">
      <c r="A3365" s="238">
        <v>2021</v>
      </c>
      <c r="B3365" s="238">
        <v>6</v>
      </c>
      <c r="C3365" s="238">
        <v>17</v>
      </c>
      <c r="D3365" s="141">
        <f t="shared" si="112"/>
        <v>44364</v>
      </c>
      <c r="E3365" s="275">
        <f t="shared" si="113"/>
        <v>44364</v>
      </c>
      <c r="F3365" s="477" t="s">
        <v>347</v>
      </c>
      <c r="G3365" s="239" t="s">
        <v>94</v>
      </c>
      <c r="H3365" s="239" t="str" cm="1">
        <f t="array" ref="H3365">IFERROR(INDEX(INVESTOR_LIST[INVESTOR NAME],MATCH(I3365,INVESTOR_LIST[INVESTOR CODE],0),)," ")</f>
        <v xml:space="preserve"> </v>
      </c>
      <c r="I3365" s="262" t="s">
        <v>348</v>
      </c>
      <c r="J3365" s="240" t="s">
        <v>83</v>
      </c>
      <c r="K3365" s="241">
        <v>3104039.4300000072</v>
      </c>
      <c r="L3365" s="241"/>
    </row>
    <row r="3366" spans="1:14" x14ac:dyDescent="0.2">
      <c r="A3366" s="242">
        <v>2021</v>
      </c>
      <c r="B3366" s="242">
        <v>6</v>
      </c>
      <c r="C3366" s="242">
        <v>17</v>
      </c>
      <c r="D3366" s="141">
        <f t="shared" si="112"/>
        <v>44364</v>
      </c>
      <c r="E3366" s="275">
        <f t="shared" si="113"/>
        <v>44364</v>
      </c>
      <c r="F3366" s="478"/>
      <c r="G3366" s="243" t="s">
        <v>94</v>
      </c>
      <c r="H3366" s="243" t="str" cm="1">
        <f t="array" ref="H3366">IFERROR(INDEX(INVESTOR_LIST[INVESTOR NAME],MATCH(I3366,INVESTOR_LIST[INVESTOR CODE],0),)," ")</f>
        <v xml:space="preserve"> </v>
      </c>
      <c r="I3366" s="263" t="s">
        <v>348</v>
      </c>
      <c r="J3366" s="244" t="s">
        <v>108</v>
      </c>
      <c r="K3366" s="245"/>
      <c r="L3366" s="245">
        <v>3104039.4300000072</v>
      </c>
    </row>
    <row r="3367" spans="1:14" ht="22.5" x14ac:dyDescent="0.2">
      <c r="A3367" s="246">
        <v>2021</v>
      </c>
      <c r="B3367" s="246">
        <v>6</v>
      </c>
      <c r="C3367" s="246">
        <v>17</v>
      </c>
      <c r="D3367" s="141">
        <f t="shared" si="112"/>
        <v>44364</v>
      </c>
      <c r="E3367" s="275">
        <f t="shared" si="113"/>
        <v>44364</v>
      </c>
      <c r="F3367" s="482" t="s">
        <v>148</v>
      </c>
      <c r="G3367" s="247" t="s">
        <v>94</v>
      </c>
      <c r="H3367" s="247" t="str" cm="1">
        <f t="array" ref="H3367">IFERROR(INDEX(INVESTOR_LIST[INVESTOR NAME],MATCH(I3367,INVESTOR_LIST[INVESTOR CODE],0),)," ")</f>
        <v xml:space="preserve"> </v>
      </c>
      <c r="I3367" s="248" t="s">
        <v>348</v>
      </c>
      <c r="J3367" s="249" t="s">
        <v>95</v>
      </c>
      <c r="K3367" s="250">
        <v>2747.2527472527472</v>
      </c>
      <c r="L3367" s="241"/>
    </row>
    <row r="3368" spans="1:14" x14ac:dyDescent="0.2">
      <c r="A3368" s="242">
        <v>2021</v>
      </c>
      <c r="B3368" s="242">
        <v>6</v>
      </c>
      <c r="C3368" s="242">
        <v>17</v>
      </c>
      <c r="D3368" s="141">
        <f t="shared" si="112"/>
        <v>44364</v>
      </c>
      <c r="E3368" s="275">
        <f t="shared" si="113"/>
        <v>44364</v>
      </c>
      <c r="F3368" s="478"/>
      <c r="G3368" s="243" t="s">
        <v>94</v>
      </c>
      <c r="H3368" s="243" t="str" cm="1">
        <f t="array" ref="H3368">IFERROR(INDEX(INVESTOR_LIST[INVESTOR NAME],MATCH(I3368,INVESTOR_LIST[INVESTOR CODE],0),)," ")</f>
        <v xml:space="preserve"> </v>
      </c>
      <c r="I3368" s="263" t="s">
        <v>348</v>
      </c>
      <c r="J3368" s="244" t="s">
        <v>63</v>
      </c>
      <c r="K3368" s="245"/>
      <c r="L3368" s="245">
        <v>2747.2527472527472</v>
      </c>
    </row>
    <row r="3369" spans="1:14" x14ac:dyDescent="0.2">
      <c r="A3369" s="246">
        <v>2021</v>
      </c>
      <c r="B3369" s="246">
        <v>6</v>
      </c>
      <c r="C3369" s="246">
        <v>17</v>
      </c>
      <c r="D3369" s="141">
        <f t="shared" si="112"/>
        <v>44364</v>
      </c>
      <c r="E3369" s="275">
        <f t="shared" si="113"/>
        <v>44364</v>
      </c>
      <c r="F3369" s="482" t="s">
        <v>137</v>
      </c>
      <c r="G3369" s="247" t="s">
        <v>94</v>
      </c>
      <c r="H3369" s="247" t="str" cm="1">
        <f t="array" ref="H3369">IFERROR(INDEX(INVESTOR_LIST[INVESTOR NAME],MATCH(I3369,INVESTOR_LIST[INVESTOR CODE],0),)," ")</f>
        <v xml:space="preserve"> </v>
      </c>
      <c r="I3369" s="248" t="s">
        <v>348</v>
      </c>
      <c r="J3369" s="249" t="s">
        <v>97</v>
      </c>
      <c r="K3369" s="250">
        <v>101019.10277691732</v>
      </c>
      <c r="L3369" s="252"/>
    </row>
    <row r="3370" spans="1:14" x14ac:dyDescent="0.2">
      <c r="A3370" s="242">
        <v>2021</v>
      </c>
      <c r="B3370" s="242">
        <v>6</v>
      </c>
      <c r="C3370" s="242">
        <v>17</v>
      </c>
      <c r="D3370" s="141">
        <f t="shared" si="112"/>
        <v>44364</v>
      </c>
      <c r="E3370" s="275">
        <f t="shared" si="113"/>
        <v>44364</v>
      </c>
      <c r="F3370" s="478"/>
      <c r="G3370" s="243" t="s">
        <v>94</v>
      </c>
      <c r="H3370" s="243" t="str" cm="1">
        <f t="array" ref="H3370">IFERROR(INDEX(INVESTOR_LIST[INVESTOR NAME],MATCH(I3370,INVESTOR_LIST[INVESTOR CODE],0),)," ")</f>
        <v xml:space="preserve"> </v>
      </c>
      <c r="I3370" s="263" t="s">
        <v>348</v>
      </c>
      <c r="J3370" s="244" t="s">
        <v>47</v>
      </c>
      <c r="K3370" s="245"/>
      <c r="L3370" s="245">
        <v>101019.10277691732</v>
      </c>
    </row>
    <row r="3371" spans="1:14" x14ac:dyDescent="0.2">
      <c r="A3371" s="246">
        <v>2021</v>
      </c>
      <c r="B3371" s="246">
        <v>6</v>
      </c>
      <c r="C3371" s="246">
        <v>17</v>
      </c>
      <c r="D3371" s="141">
        <f t="shared" si="112"/>
        <v>44364</v>
      </c>
      <c r="E3371" s="275">
        <f t="shared" si="113"/>
        <v>44364</v>
      </c>
      <c r="F3371" s="482" t="s">
        <v>138</v>
      </c>
      <c r="G3371" s="247" t="s">
        <v>94</v>
      </c>
      <c r="H3371" s="247" t="str" cm="1">
        <f t="array" ref="H3371">IFERROR(INDEX(INVESTOR_LIST[INVESTOR NAME],MATCH(I3371,INVESTOR_LIST[INVESTOR CODE],0),)," ")</f>
        <v xml:space="preserve"> </v>
      </c>
      <c r="I3371" s="248" t="s">
        <v>348</v>
      </c>
      <c r="J3371" s="249" t="s">
        <v>100</v>
      </c>
      <c r="K3371" s="250">
        <v>4811.5299287175649</v>
      </c>
      <c r="L3371" s="252"/>
    </row>
    <row r="3372" spans="1:14" x14ac:dyDescent="0.2">
      <c r="A3372" s="242">
        <v>2021</v>
      </c>
      <c r="B3372" s="242">
        <v>6</v>
      </c>
      <c r="C3372" s="242">
        <v>17</v>
      </c>
      <c r="D3372" s="141">
        <f t="shared" si="112"/>
        <v>44364</v>
      </c>
      <c r="E3372" s="275">
        <f t="shared" si="113"/>
        <v>44364</v>
      </c>
      <c r="F3372" s="478"/>
      <c r="G3372" s="243" t="s">
        <v>94</v>
      </c>
      <c r="H3372" s="243" t="str" cm="1">
        <f t="array" ref="H3372">IFERROR(INDEX(INVESTOR_LIST[INVESTOR NAME],MATCH(I3372,INVESTOR_LIST[INVESTOR CODE],0),)," ")</f>
        <v xml:space="preserve"> </v>
      </c>
      <c r="I3372" s="263" t="s">
        <v>348</v>
      </c>
      <c r="J3372" s="244" t="s">
        <v>48</v>
      </c>
      <c r="K3372" s="245"/>
      <c r="L3372" s="245">
        <v>4811.5299287175649</v>
      </c>
    </row>
    <row r="3373" spans="1:14" ht="11.25" customHeight="1" x14ac:dyDescent="0.2">
      <c r="A3373" s="168">
        <v>2021</v>
      </c>
      <c r="B3373" s="168">
        <v>6</v>
      </c>
      <c r="C3373" s="168">
        <v>20</v>
      </c>
      <c r="D3373" s="141">
        <f t="shared" si="112"/>
        <v>44367</v>
      </c>
      <c r="E3373" s="275">
        <f t="shared" si="113"/>
        <v>44367</v>
      </c>
      <c r="F3373" s="479" t="s">
        <v>254</v>
      </c>
      <c r="G3373" s="220" t="s">
        <v>74</v>
      </c>
      <c r="H3373" s="142" t="str" cm="1">
        <f t="array" ref="H3373">IFERROR(INDEX(INVESTOR_LIST[INVESTOR NAME],MATCH(I3373,INVESTOR_LIST[INVESTOR CODE],0),)," ")</f>
        <v xml:space="preserve"> </v>
      </c>
      <c r="I3373" s="142"/>
      <c r="J3373" s="168" t="s">
        <v>52</v>
      </c>
      <c r="K3373" s="226">
        <v>29000</v>
      </c>
      <c r="L3373" s="226"/>
      <c r="N3373" s="160"/>
    </row>
    <row r="3374" spans="1:14" x14ac:dyDescent="0.2">
      <c r="A3374" s="133">
        <v>2021</v>
      </c>
      <c r="B3374" s="133">
        <v>6</v>
      </c>
      <c r="C3374" s="133">
        <v>20</v>
      </c>
      <c r="D3374" s="141">
        <f t="shared" si="112"/>
        <v>44367</v>
      </c>
      <c r="E3374" s="275">
        <f t="shared" si="113"/>
        <v>44367</v>
      </c>
      <c r="F3374" s="481"/>
      <c r="G3374" s="174" t="s">
        <v>74</v>
      </c>
      <c r="H3374" s="148" t="str" cm="1">
        <f t="array" ref="H3374">IFERROR(INDEX(INVESTOR_LIST[INVESTOR NAME],MATCH(I3374,INVESTOR_LIST[INVESTOR CODE],0),)," ")</f>
        <v xml:space="preserve"> </v>
      </c>
      <c r="J3374" s="133" t="s">
        <v>13</v>
      </c>
      <c r="K3374" s="218"/>
      <c r="L3374" s="218">
        <v>21850</v>
      </c>
    </row>
    <row r="3375" spans="1:14" x14ac:dyDescent="0.2">
      <c r="A3375" s="163">
        <v>2021</v>
      </c>
      <c r="B3375" s="163">
        <v>6</v>
      </c>
      <c r="C3375" s="163">
        <v>20</v>
      </c>
      <c r="D3375" s="141">
        <f t="shared" si="112"/>
        <v>44367</v>
      </c>
      <c r="E3375" s="275">
        <f t="shared" si="113"/>
        <v>44367</v>
      </c>
      <c r="F3375" s="480"/>
      <c r="G3375" s="221" t="s">
        <v>74</v>
      </c>
      <c r="H3375" s="145" t="str" cm="1">
        <f t="array" ref="H3375">IFERROR(INDEX(INVESTOR_LIST[INVESTOR NAME],MATCH(I3375,INVESTOR_LIST[INVESTOR CODE],0),)," ")</f>
        <v xml:space="preserve"> </v>
      </c>
      <c r="I3375" s="145"/>
      <c r="J3375" s="163" t="s">
        <v>53</v>
      </c>
      <c r="K3375" s="219"/>
      <c r="L3375" s="219">
        <v>7150</v>
      </c>
    </row>
    <row r="3376" spans="1:14" ht="11.25" customHeight="1" x14ac:dyDescent="0.2">
      <c r="A3376" s="168">
        <v>2021</v>
      </c>
      <c r="B3376" s="168">
        <v>6</v>
      </c>
      <c r="C3376" s="168">
        <v>20</v>
      </c>
      <c r="D3376" s="141">
        <f t="shared" si="112"/>
        <v>44367</v>
      </c>
      <c r="E3376" s="275">
        <f t="shared" si="113"/>
        <v>44367</v>
      </c>
      <c r="F3376" s="479" t="s">
        <v>964</v>
      </c>
      <c r="G3376" s="220" t="s">
        <v>74</v>
      </c>
      <c r="H3376" s="142" t="str" cm="1">
        <f t="array" ref="H3376">IFERROR(INDEX(INVESTOR_LIST[INVESTOR NAME],MATCH(I3376,INVESTOR_LIST[INVESTOR CODE],0),)," ")</f>
        <v>QUAZI TOWFIQUE UDDIN</v>
      </c>
      <c r="I3376" s="142" t="s">
        <v>704</v>
      </c>
      <c r="J3376" s="168" t="s">
        <v>52</v>
      </c>
      <c r="K3376" s="226">
        <v>24000</v>
      </c>
      <c r="L3376" s="226"/>
      <c r="N3376" s="156">
        <f>K3376/13.28</f>
        <v>1807.2289156626507</v>
      </c>
    </row>
    <row r="3377" spans="1:14" ht="45" x14ac:dyDescent="0.2">
      <c r="A3377" s="133">
        <v>2021</v>
      </c>
      <c r="B3377" s="133">
        <v>6</v>
      </c>
      <c r="C3377" s="133">
        <v>20</v>
      </c>
      <c r="D3377" s="141">
        <f t="shared" si="112"/>
        <v>44367</v>
      </c>
      <c r="E3377" s="275">
        <f t="shared" si="113"/>
        <v>44367</v>
      </c>
      <c r="F3377" s="481"/>
      <c r="G3377" s="174" t="s">
        <v>74</v>
      </c>
      <c r="H3377" s="148" t="str" cm="1">
        <f t="array" ref="H3377">IFERROR(INDEX(INVESTOR_LIST[INVESTOR NAME],MATCH(I3377,INVESTOR_LIST[INVESTOR CODE],0),)," ")</f>
        <v>QUAZI TOWFIQUE UDDIN</v>
      </c>
      <c r="I3377" s="148" t="s">
        <v>704</v>
      </c>
      <c r="J3377" s="133" t="s">
        <v>13</v>
      </c>
      <c r="K3377" s="218"/>
      <c r="L3377" s="218">
        <v>18070</v>
      </c>
    </row>
    <row r="3378" spans="1:14" ht="45" x14ac:dyDescent="0.2">
      <c r="A3378" s="163">
        <v>2021</v>
      </c>
      <c r="B3378" s="163">
        <v>6</v>
      </c>
      <c r="C3378" s="163">
        <v>20</v>
      </c>
      <c r="D3378" s="141">
        <f t="shared" si="112"/>
        <v>44367</v>
      </c>
      <c r="E3378" s="275">
        <f t="shared" si="113"/>
        <v>44367</v>
      </c>
      <c r="F3378" s="480"/>
      <c r="G3378" s="221" t="s">
        <v>74</v>
      </c>
      <c r="H3378" s="145" t="str" cm="1">
        <f t="array" ref="H3378">IFERROR(INDEX(INVESTOR_LIST[INVESTOR NAME],MATCH(I3378,INVESTOR_LIST[INVESTOR CODE],0),)," ")</f>
        <v>QUAZI TOWFIQUE UDDIN</v>
      </c>
      <c r="I3378" s="145" t="s">
        <v>704</v>
      </c>
      <c r="J3378" s="163" t="s">
        <v>53</v>
      </c>
      <c r="K3378" s="219"/>
      <c r="L3378" s="219">
        <v>5930</v>
      </c>
    </row>
    <row r="3379" spans="1:14" ht="11.25" customHeight="1" x14ac:dyDescent="0.2">
      <c r="A3379" s="168">
        <v>2021</v>
      </c>
      <c r="B3379" s="168">
        <v>6</v>
      </c>
      <c r="C3379" s="168">
        <v>20</v>
      </c>
      <c r="D3379" s="141">
        <f t="shared" si="112"/>
        <v>44367</v>
      </c>
      <c r="E3379" s="275">
        <f t="shared" si="113"/>
        <v>44367</v>
      </c>
      <c r="F3379" s="479" t="s">
        <v>964</v>
      </c>
      <c r="G3379" s="220" t="s">
        <v>74</v>
      </c>
      <c r="H3379" s="142" t="str" cm="1">
        <f t="array" ref="H3379">IFERROR(INDEX(INVESTOR_LIST[INVESTOR NAME],MATCH(I3379,INVESTOR_LIST[INVESTOR CODE],0),)," ")</f>
        <v>MOHAMMAD AKIB NAWAZ</v>
      </c>
      <c r="I3379" s="142" t="s">
        <v>677</v>
      </c>
      <c r="J3379" s="168" t="s">
        <v>52</v>
      </c>
      <c r="K3379" s="226">
        <v>100000</v>
      </c>
      <c r="L3379" s="226"/>
      <c r="N3379" s="156">
        <f>L3402/13.31</f>
        <v>22539.444027047331</v>
      </c>
    </row>
    <row r="3380" spans="1:14" ht="45" x14ac:dyDescent="0.2">
      <c r="A3380" s="133">
        <v>2021</v>
      </c>
      <c r="B3380" s="133">
        <v>6</v>
      </c>
      <c r="C3380" s="133">
        <v>20</v>
      </c>
      <c r="D3380" s="141">
        <f t="shared" si="112"/>
        <v>44367</v>
      </c>
      <c r="E3380" s="275">
        <f t="shared" si="113"/>
        <v>44367</v>
      </c>
      <c r="F3380" s="481"/>
      <c r="G3380" s="174" t="s">
        <v>74</v>
      </c>
      <c r="H3380" s="148" t="str" cm="1">
        <f t="array" ref="H3380">IFERROR(INDEX(INVESTOR_LIST[INVESTOR NAME],MATCH(I3380,INVESTOR_LIST[INVESTOR CODE],0),)," ")</f>
        <v>MOHAMMAD AKIB NAWAZ</v>
      </c>
      <c r="I3380" s="148" t="s">
        <v>677</v>
      </c>
      <c r="J3380" s="133" t="s">
        <v>13</v>
      </c>
      <c r="K3380" s="218"/>
      <c r="L3380" s="218">
        <v>75300</v>
      </c>
    </row>
    <row r="3381" spans="1:14" ht="45" x14ac:dyDescent="0.2">
      <c r="A3381" s="163">
        <v>2021</v>
      </c>
      <c r="B3381" s="163">
        <v>6</v>
      </c>
      <c r="C3381" s="163">
        <v>20</v>
      </c>
      <c r="D3381" s="141">
        <f t="shared" si="112"/>
        <v>44367</v>
      </c>
      <c r="E3381" s="275">
        <f t="shared" si="113"/>
        <v>44367</v>
      </c>
      <c r="F3381" s="480"/>
      <c r="G3381" s="221" t="s">
        <v>74</v>
      </c>
      <c r="H3381" s="145" t="str" cm="1">
        <f t="array" ref="H3381">IFERROR(INDEX(INVESTOR_LIST[INVESTOR NAME],MATCH(I3381,INVESTOR_LIST[INVESTOR CODE],0),)," ")</f>
        <v>MOHAMMAD AKIB NAWAZ</v>
      </c>
      <c r="I3381" s="145" t="s">
        <v>677</v>
      </c>
      <c r="J3381" s="163" t="s">
        <v>53</v>
      </c>
      <c r="K3381" s="219"/>
      <c r="L3381" s="219">
        <v>24700</v>
      </c>
    </row>
    <row r="3382" spans="1:14" ht="56.25" x14ac:dyDescent="0.2">
      <c r="A3382" s="168">
        <v>2021</v>
      </c>
      <c r="B3382" s="168">
        <v>6</v>
      </c>
      <c r="C3382" s="168">
        <v>20</v>
      </c>
      <c r="D3382" s="141">
        <f t="shared" si="112"/>
        <v>44367</v>
      </c>
      <c r="E3382" s="275">
        <f t="shared" si="113"/>
        <v>44367</v>
      </c>
      <c r="F3382" s="479" t="s">
        <v>965</v>
      </c>
      <c r="G3382" s="220" t="s">
        <v>74</v>
      </c>
      <c r="H3382" s="142" t="str" cm="1">
        <f t="array" ref="H3382">IFERROR(INDEX(INVESTOR_LIST[INVESTOR NAME],MATCH(I3382,INVESTOR_LIST[INVESTOR CODE],0),)," ")</f>
        <v>CHOWDHURY MD. RAIYAN ALAM</v>
      </c>
      <c r="I3382" s="142" t="s">
        <v>542</v>
      </c>
      <c r="J3382" s="168" t="s">
        <v>13</v>
      </c>
      <c r="K3382" s="226">
        <v>20000</v>
      </c>
      <c r="L3382" s="226"/>
      <c r="N3382" s="156">
        <f>K3379/13.28</f>
        <v>7530.1204819277109</v>
      </c>
    </row>
    <row r="3383" spans="1:14" ht="56.25" x14ac:dyDescent="0.2">
      <c r="A3383" s="133">
        <v>2021</v>
      </c>
      <c r="B3383" s="133">
        <v>6</v>
      </c>
      <c r="C3383" s="133">
        <v>20</v>
      </c>
      <c r="D3383" s="141">
        <f t="shared" si="112"/>
        <v>44367</v>
      </c>
      <c r="E3383" s="275">
        <f t="shared" si="113"/>
        <v>44367</v>
      </c>
      <c r="F3383" s="481"/>
      <c r="G3383" s="174" t="s">
        <v>74</v>
      </c>
      <c r="H3383" s="148" t="str" cm="1">
        <f t="array" ref="H3383">IFERROR(INDEX(INVESTOR_LIST[INVESTOR NAME],MATCH(I3383,INVESTOR_LIST[INVESTOR CODE],0),)," ")</f>
        <v>CHOWDHURY MD. RAIYAN ALAM</v>
      </c>
      <c r="I3383" s="148" t="s">
        <v>542</v>
      </c>
      <c r="J3383" s="133" t="s">
        <v>53</v>
      </c>
      <c r="K3383" s="218">
        <v>6558.85</v>
      </c>
      <c r="L3383" s="218"/>
    </row>
    <row r="3384" spans="1:14" ht="56.25" x14ac:dyDescent="0.2">
      <c r="A3384" s="163">
        <v>2021</v>
      </c>
      <c r="B3384" s="163">
        <v>6</v>
      </c>
      <c r="C3384" s="163">
        <v>20</v>
      </c>
      <c r="D3384" s="141">
        <f t="shared" si="112"/>
        <v>44367</v>
      </c>
      <c r="E3384" s="275">
        <f t="shared" si="113"/>
        <v>44367</v>
      </c>
      <c r="F3384" s="480"/>
      <c r="G3384" s="221" t="s">
        <v>74</v>
      </c>
      <c r="H3384" s="145" t="str" cm="1">
        <f t="array" ref="H3384">IFERROR(INDEX(INVESTOR_LIST[INVESTOR NAME],MATCH(I3384,INVESTOR_LIST[INVESTOR CODE],0),)," ")</f>
        <v>CHOWDHURY MD. RAIYAN ALAM</v>
      </c>
      <c r="I3384" s="145" t="s">
        <v>542</v>
      </c>
      <c r="J3384" s="163" t="s">
        <v>52</v>
      </c>
      <c r="K3384" s="219"/>
      <c r="L3384" s="219">
        <v>26558.85</v>
      </c>
    </row>
    <row r="3385" spans="1:14" x14ac:dyDescent="0.2">
      <c r="A3385" s="168">
        <v>2021</v>
      </c>
      <c r="B3385" s="168">
        <v>6</v>
      </c>
      <c r="C3385" s="168">
        <v>20</v>
      </c>
      <c r="D3385" s="141">
        <f t="shared" si="112"/>
        <v>44367</v>
      </c>
      <c r="E3385" s="275">
        <f t="shared" si="113"/>
        <v>44367</v>
      </c>
      <c r="F3385" s="479" t="s">
        <v>766</v>
      </c>
      <c r="G3385" s="220" t="s">
        <v>74</v>
      </c>
      <c r="H3385" s="142" t="str" cm="1">
        <f t="array" ref="H3385">IFERROR(INDEX(INVESTOR_LIST[INVESTOR NAME],MATCH(I3385,INVESTOR_LIST[INVESTOR CODE],0),)," ")</f>
        <v xml:space="preserve"> </v>
      </c>
      <c r="I3385" s="142"/>
      <c r="J3385" s="168" t="s">
        <v>52</v>
      </c>
      <c r="K3385" s="226">
        <v>78125.399999999994</v>
      </c>
      <c r="L3385" s="226"/>
    </row>
    <row r="3386" spans="1:14" x14ac:dyDescent="0.2">
      <c r="A3386" s="163">
        <v>2021</v>
      </c>
      <c r="B3386" s="163">
        <v>6</v>
      </c>
      <c r="C3386" s="163">
        <v>20</v>
      </c>
      <c r="D3386" s="141">
        <f t="shared" si="112"/>
        <v>44367</v>
      </c>
      <c r="E3386" s="275">
        <f t="shared" si="113"/>
        <v>44367</v>
      </c>
      <c r="F3386" s="480"/>
      <c r="G3386" s="221" t="s">
        <v>74</v>
      </c>
      <c r="H3386" s="145" t="str" cm="1">
        <f t="array" ref="H3386">IFERROR(INDEX(INVESTOR_LIST[INVESTOR NAME],MATCH(I3386,INVESTOR_LIST[INVESTOR CODE],0),)," ")</f>
        <v xml:space="preserve"> </v>
      </c>
      <c r="I3386" s="145"/>
      <c r="J3386" s="163" t="s">
        <v>168</v>
      </c>
      <c r="K3386" s="219"/>
      <c r="L3386" s="219">
        <v>78125.399999999994</v>
      </c>
    </row>
    <row r="3387" spans="1:14" x14ac:dyDescent="0.2">
      <c r="A3387" s="168">
        <v>2021</v>
      </c>
      <c r="B3387" s="168">
        <v>6</v>
      </c>
      <c r="C3387" s="168">
        <v>20</v>
      </c>
      <c r="D3387" s="141">
        <f t="shared" si="112"/>
        <v>44367</v>
      </c>
      <c r="E3387" s="275">
        <f t="shared" si="113"/>
        <v>44367</v>
      </c>
      <c r="F3387" s="479" t="s">
        <v>544</v>
      </c>
      <c r="G3387" s="220" t="s">
        <v>74</v>
      </c>
      <c r="H3387" s="142" t="str" cm="1">
        <f t="array" ref="H3387">IFERROR(INDEX(INVESTOR_LIST[INVESTOR NAME],MATCH(I3387,INVESTOR_LIST[INVESTOR CODE],0),)," ")</f>
        <v xml:space="preserve"> </v>
      </c>
      <c r="I3387" s="142"/>
      <c r="J3387" s="168" t="s">
        <v>52</v>
      </c>
      <c r="K3387" s="226">
        <v>55550.67</v>
      </c>
      <c r="L3387" s="226"/>
    </row>
    <row r="3388" spans="1:14" x14ac:dyDescent="0.2">
      <c r="A3388" s="163">
        <v>2021</v>
      </c>
      <c r="B3388" s="163">
        <v>6</v>
      </c>
      <c r="C3388" s="163">
        <v>20</v>
      </c>
      <c r="D3388" s="141">
        <f t="shared" si="112"/>
        <v>44367</v>
      </c>
      <c r="E3388" s="275">
        <f t="shared" si="113"/>
        <v>44367</v>
      </c>
      <c r="F3388" s="480"/>
      <c r="G3388" s="221" t="s">
        <v>74</v>
      </c>
      <c r="H3388" s="145" t="str" cm="1">
        <f t="array" ref="H3388">IFERROR(INDEX(INVESTOR_LIST[INVESTOR NAME],MATCH(I3388,INVESTOR_LIST[INVESTOR CODE],0),)," ")</f>
        <v xml:space="preserve"> </v>
      </c>
      <c r="I3388" s="145"/>
      <c r="J3388" s="163" t="s">
        <v>190</v>
      </c>
      <c r="K3388" s="219"/>
      <c r="L3388" s="219">
        <v>55550.67</v>
      </c>
      <c r="N3388" s="160"/>
    </row>
    <row r="3389" spans="1:14" x14ac:dyDescent="0.2">
      <c r="A3389" s="168">
        <v>2021</v>
      </c>
      <c r="B3389" s="168">
        <v>6</v>
      </c>
      <c r="C3389" s="168">
        <v>21</v>
      </c>
      <c r="D3389" s="141">
        <f t="shared" si="112"/>
        <v>44368</v>
      </c>
      <c r="E3389" s="275">
        <f t="shared" si="113"/>
        <v>44368</v>
      </c>
      <c r="F3389" s="479" t="s">
        <v>735</v>
      </c>
      <c r="G3389" s="220" t="s">
        <v>74</v>
      </c>
      <c r="H3389" s="142" t="str" cm="1">
        <f t="array" ref="H3389">IFERROR(INDEX(INVESTOR_LIST[INVESTOR NAME],MATCH(I3389,INVESTOR_LIST[INVESTOR CODE],0),)," ")</f>
        <v xml:space="preserve"> </v>
      </c>
      <c r="I3389" s="142"/>
      <c r="J3389" s="168" t="s">
        <v>52</v>
      </c>
      <c r="K3389" s="226">
        <v>4433195.8600000003</v>
      </c>
      <c r="L3389" s="226"/>
    </row>
    <row r="3390" spans="1:14" x14ac:dyDescent="0.2">
      <c r="A3390" s="163">
        <v>2021</v>
      </c>
      <c r="B3390" s="163">
        <v>6</v>
      </c>
      <c r="C3390" s="163">
        <v>21</v>
      </c>
      <c r="D3390" s="141">
        <f t="shared" si="112"/>
        <v>44368</v>
      </c>
      <c r="E3390" s="275">
        <f t="shared" si="113"/>
        <v>44368</v>
      </c>
      <c r="F3390" s="480"/>
      <c r="G3390" s="221" t="s">
        <v>74</v>
      </c>
      <c r="H3390" s="145" t="str" cm="1">
        <f t="array" ref="H3390">IFERROR(INDEX(INVESTOR_LIST[INVESTOR NAME],MATCH(I3390,INVESTOR_LIST[INVESTOR CODE],0),)," ")</f>
        <v xml:space="preserve"> </v>
      </c>
      <c r="I3390" s="145"/>
      <c r="J3390" s="163" t="s">
        <v>190</v>
      </c>
      <c r="K3390" s="219"/>
      <c r="L3390" s="219">
        <v>4433195.8600000003</v>
      </c>
    </row>
    <row r="3391" spans="1:14" x14ac:dyDescent="0.2">
      <c r="A3391" s="168">
        <v>2021</v>
      </c>
      <c r="B3391" s="168">
        <v>6</v>
      </c>
      <c r="C3391" s="168">
        <v>21</v>
      </c>
      <c r="D3391" s="141">
        <f t="shared" si="112"/>
        <v>44368</v>
      </c>
      <c r="E3391" s="275">
        <f t="shared" si="113"/>
        <v>44368</v>
      </c>
      <c r="F3391" s="479" t="s">
        <v>274</v>
      </c>
      <c r="G3391" s="220" t="s">
        <v>94</v>
      </c>
      <c r="H3391" s="142" t="str" cm="1">
        <f t="array" ref="H3391">IFERROR(INDEX(INVESTOR_LIST[INVESTOR NAME],MATCH(I3391,INVESTOR_LIST[INVESTOR CODE],0),)," ")</f>
        <v xml:space="preserve"> </v>
      </c>
      <c r="I3391" s="142"/>
      <c r="J3391" s="168" t="s">
        <v>79</v>
      </c>
      <c r="K3391" s="226">
        <v>9916554.8000000007</v>
      </c>
      <c r="L3391" s="226"/>
      <c r="N3391" s="156">
        <f>K3397/13.28</f>
        <v>4000</v>
      </c>
    </row>
    <row r="3392" spans="1:14" x14ac:dyDescent="0.2">
      <c r="A3392" s="133">
        <v>2021</v>
      </c>
      <c r="B3392" s="133">
        <v>6</v>
      </c>
      <c r="C3392" s="133">
        <v>21</v>
      </c>
      <c r="D3392" s="141">
        <f t="shared" si="112"/>
        <v>44368</v>
      </c>
      <c r="E3392" s="275">
        <f t="shared" si="113"/>
        <v>44368</v>
      </c>
      <c r="F3392" s="481"/>
      <c r="G3392" s="174" t="s">
        <v>94</v>
      </c>
      <c r="H3392" s="148" t="str" cm="1">
        <f t="array" ref="H3392">IFERROR(INDEX(INVESTOR_LIST[INVESTOR NAME],MATCH(I3392,INVESTOR_LIST[INVESTOR CODE],0),)," ")</f>
        <v xml:space="preserve"> </v>
      </c>
      <c r="J3392" s="133" t="s">
        <v>80</v>
      </c>
      <c r="K3392" s="218">
        <v>17849.8</v>
      </c>
      <c r="L3392" s="218"/>
    </row>
    <row r="3393" spans="1:12" x14ac:dyDescent="0.2">
      <c r="A3393" s="163">
        <v>2021</v>
      </c>
      <c r="B3393" s="163">
        <v>6</v>
      </c>
      <c r="C3393" s="163">
        <v>21</v>
      </c>
      <c r="D3393" s="141">
        <f t="shared" si="112"/>
        <v>44368</v>
      </c>
      <c r="E3393" s="275">
        <f t="shared" si="113"/>
        <v>44368</v>
      </c>
      <c r="F3393" s="480"/>
      <c r="G3393" s="221" t="s">
        <v>94</v>
      </c>
      <c r="H3393" s="145" t="str" cm="1">
        <f t="array" ref="H3393">IFERROR(INDEX(INVESTOR_LIST[INVESTOR NAME],MATCH(I3393,INVESTOR_LIST[INVESTOR CODE],0),)," ")</f>
        <v xml:space="preserve"> </v>
      </c>
      <c r="I3393" s="145"/>
      <c r="J3393" s="163" t="s">
        <v>147</v>
      </c>
      <c r="K3393" s="219"/>
      <c r="L3393" s="219">
        <v>9934404.5999999996</v>
      </c>
    </row>
    <row r="3394" spans="1:12" ht="11.25" customHeight="1" x14ac:dyDescent="0.2">
      <c r="A3394" s="168">
        <v>2021</v>
      </c>
      <c r="B3394" s="168">
        <v>6</v>
      </c>
      <c r="C3394" s="168">
        <v>21</v>
      </c>
      <c r="D3394" s="141">
        <f t="shared" si="112"/>
        <v>44368</v>
      </c>
      <c r="E3394" s="275">
        <f t="shared" si="113"/>
        <v>44368</v>
      </c>
      <c r="F3394" s="479" t="s">
        <v>964</v>
      </c>
      <c r="G3394" s="220" t="s">
        <v>74</v>
      </c>
      <c r="H3394" s="142" t="str" cm="1">
        <f t="array" ref="H3394">IFERROR(INDEX(INVESTOR_LIST[INVESTOR NAME],MATCH(I3394,INVESTOR_LIST[INVESTOR CODE],0),)," ")</f>
        <v>MD. ATIQUR RAHMAN</v>
      </c>
      <c r="I3394" s="142" t="s">
        <v>755</v>
      </c>
      <c r="J3394" s="168" t="s">
        <v>52</v>
      </c>
      <c r="K3394" s="226">
        <v>400000</v>
      </c>
      <c r="L3394" s="226"/>
    </row>
    <row r="3395" spans="1:12" ht="33.75" x14ac:dyDescent="0.2">
      <c r="A3395" s="133">
        <v>2021</v>
      </c>
      <c r="B3395" s="133">
        <v>6</v>
      </c>
      <c r="C3395" s="133">
        <v>21</v>
      </c>
      <c r="D3395" s="141">
        <f t="shared" si="112"/>
        <v>44368</v>
      </c>
      <c r="E3395" s="275">
        <f t="shared" si="113"/>
        <v>44368</v>
      </c>
      <c r="F3395" s="481"/>
      <c r="G3395" s="174" t="s">
        <v>74</v>
      </c>
      <c r="H3395" s="148" t="str" cm="1">
        <f t="array" ref="H3395">IFERROR(INDEX(INVESTOR_LIST[INVESTOR NAME],MATCH(I3395,INVESTOR_LIST[INVESTOR CODE],0),)," ")</f>
        <v>MD. ATIQUR RAHMAN</v>
      </c>
      <c r="I3395" s="148" t="s">
        <v>755</v>
      </c>
      <c r="J3395" s="133" t="s">
        <v>13</v>
      </c>
      <c r="K3395" s="218"/>
      <c r="L3395" s="218">
        <v>301210</v>
      </c>
    </row>
    <row r="3396" spans="1:12" ht="33.75" x14ac:dyDescent="0.2">
      <c r="A3396" s="163">
        <v>2021</v>
      </c>
      <c r="B3396" s="163">
        <v>6</v>
      </c>
      <c r="C3396" s="163">
        <v>21</v>
      </c>
      <c r="D3396" s="141">
        <f t="shared" si="112"/>
        <v>44368</v>
      </c>
      <c r="E3396" s="275">
        <f t="shared" si="113"/>
        <v>44368</v>
      </c>
      <c r="F3396" s="480"/>
      <c r="G3396" s="221" t="s">
        <v>74</v>
      </c>
      <c r="H3396" s="145" t="str" cm="1">
        <f t="array" ref="H3396">IFERROR(INDEX(INVESTOR_LIST[INVESTOR NAME],MATCH(I3396,INVESTOR_LIST[INVESTOR CODE],0),)," ")</f>
        <v>MD. ATIQUR RAHMAN</v>
      </c>
      <c r="I3396" s="145" t="s">
        <v>755</v>
      </c>
      <c r="J3396" s="163" t="s">
        <v>53</v>
      </c>
      <c r="K3396" s="219"/>
      <c r="L3396" s="219">
        <v>98790</v>
      </c>
    </row>
    <row r="3397" spans="1:12" ht="11.25" customHeight="1" x14ac:dyDescent="0.2">
      <c r="A3397" s="168">
        <v>2021</v>
      </c>
      <c r="B3397" s="168">
        <v>6</v>
      </c>
      <c r="C3397" s="168">
        <v>21</v>
      </c>
      <c r="D3397" s="141">
        <f t="shared" si="112"/>
        <v>44368</v>
      </c>
      <c r="E3397" s="275">
        <f t="shared" si="113"/>
        <v>44368</v>
      </c>
      <c r="F3397" s="479" t="s">
        <v>964</v>
      </c>
      <c r="G3397" s="220" t="s">
        <v>74</v>
      </c>
      <c r="H3397" s="142" t="str" cm="1">
        <f t="array" ref="H3397">IFERROR(INDEX(INVESTOR_LIST[INVESTOR NAME],MATCH(I3397,INVESTOR_LIST[INVESTOR CODE],0),)," ")</f>
        <v>MAHMUDUL HASSAN</v>
      </c>
      <c r="I3397" s="142" t="s">
        <v>758</v>
      </c>
      <c r="J3397" s="168" t="s">
        <v>52</v>
      </c>
      <c r="K3397" s="226">
        <v>53120</v>
      </c>
      <c r="L3397" s="226"/>
    </row>
    <row r="3398" spans="1:12" ht="33.75" x14ac:dyDescent="0.2">
      <c r="A3398" s="133">
        <v>2021</v>
      </c>
      <c r="B3398" s="133">
        <v>6</v>
      </c>
      <c r="C3398" s="133">
        <v>21</v>
      </c>
      <c r="D3398" s="141">
        <f t="shared" si="112"/>
        <v>44368</v>
      </c>
      <c r="E3398" s="275">
        <f t="shared" si="113"/>
        <v>44368</v>
      </c>
      <c r="F3398" s="481"/>
      <c r="G3398" s="174" t="s">
        <v>74</v>
      </c>
      <c r="H3398" s="148" t="str" cm="1">
        <f t="array" ref="H3398">IFERROR(INDEX(INVESTOR_LIST[INVESTOR NAME],MATCH(I3398,INVESTOR_LIST[INVESTOR CODE],0),)," ")</f>
        <v>MAHMUDUL HASSAN</v>
      </c>
      <c r="I3398" s="148" t="s">
        <v>758</v>
      </c>
      <c r="J3398" s="133" t="s">
        <v>13</v>
      </c>
      <c r="K3398" s="218"/>
      <c r="L3398" s="218">
        <v>40000</v>
      </c>
    </row>
    <row r="3399" spans="1:12" ht="33.75" x14ac:dyDescent="0.2">
      <c r="A3399" s="163">
        <v>2021</v>
      </c>
      <c r="B3399" s="163">
        <v>6</v>
      </c>
      <c r="C3399" s="163">
        <v>21</v>
      </c>
      <c r="D3399" s="141">
        <f t="shared" si="112"/>
        <v>44368</v>
      </c>
      <c r="E3399" s="275">
        <f t="shared" si="113"/>
        <v>44368</v>
      </c>
      <c r="F3399" s="480"/>
      <c r="G3399" s="221" t="s">
        <v>74</v>
      </c>
      <c r="H3399" s="145" t="str" cm="1">
        <f t="array" ref="H3399">IFERROR(INDEX(INVESTOR_LIST[INVESTOR NAME],MATCH(I3399,INVESTOR_LIST[INVESTOR CODE],0),)," ")</f>
        <v>MAHMUDUL HASSAN</v>
      </c>
      <c r="I3399" s="145" t="s">
        <v>758</v>
      </c>
      <c r="J3399" s="163" t="s">
        <v>53</v>
      </c>
      <c r="K3399" s="219"/>
      <c r="L3399" s="219">
        <v>13120</v>
      </c>
    </row>
    <row r="3400" spans="1:12" ht="45" x14ac:dyDescent="0.2">
      <c r="A3400" s="168">
        <v>2021</v>
      </c>
      <c r="B3400" s="168">
        <v>6</v>
      </c>
      <c r="C3400" s="168">
        <v>21</v>
      </c>
      <c r="D3400" s="141">
        <f t="shared" si="112"/>
        <v>44368</v>
      </c>
      <c r="E3400" s="275">
        <f t="shared" si="113"/>
        <v>44368</v>
      </c>
      <c r="F3400" s="479" t="s">
        <v>965</v>
      </c>
      <c r="G3400" s="220" t="s">
        <v>74</v>
      </c>
      <c r="H3400" s="142" t="str" cm="1">
        <f t="array" ref="H3400">IFERROR(INDEX(INVESTOR_LIST[INVESTOR NAME],MATCH(I3400,INVESTOR_LIST[INVESTOR CODE],0),)," ")</f>
        <v>MOHAMMAD MONJUR ALAM</v>
      </c>
      <c r="I3400" s="142" t="s">
        <v>431</v>
      </c>
      <c r="J3400" s="168" t="s">
        <v>13</v>
      </c>
      <c r="K3400" s="226">
        <v>225390</v>
      </c>
      <c r="L3400" s="226"/>
    </row>
    <row r="3401" spans="1:12" ht="45" x14ac:dyDescent="0.2">
      <c r="A3401" s="133">
        <v>2021</v>
      </c>
      <c r="B3401" s="133">
        <v>6</v>
      </c>
      <c r="C3401" s="133">
        <v>21</v>
      </c>
      <c r="D3401" s="141">
        <f t="shared" si="112"/>
        <v>44368</v>
      </c>
      <c r="E3401" s="275">
        <f t="shared" si="113"/>
        <v>44368</v>
      </c>
      <c r="F3401" s="481"/>
      <c r="G3401" s="174" t="s">
        <v>74</v>
      </c>
      <c r="H3401" s="148" t="str" cm="1">
        <f t="array" ref="H3401">IFERROR(INDEX(INVESTOR_LIST[INVESTOR NAME],MATCH(I3401,INVESTOR_LIST[INVESTOR CODE],0),)," ")</f>
        <v>MOHAMMAD MONJUR ALAM</v>
      </c>
      <c r="I3401" s="148" t="s">
        <v>431</v>
      </c>
      <c r="J3401" s="133" t="s">
        <v>53</v>
      </c>
      <c r="K3401" s="218">
        <v>74610</v>
      </c>
      <c r="L3401" s="218"/>
    </row>
    <row r="3402" spans="1:12" ht="45" x14ac:dyDescent="0.2">
      <c r="A3402" s="163">
        <v>2021</v>
      </c>
      <c r="B3402" s="163">
        <v>6</v>
      </c>
      <c r="C3402" s="163">
        <v>21</v>
      </c>
      <c r="D3402" s="141">
        <f t="shared" si="112"/>
        <v>44368</v>
      </c>
      <c r="E3402" s="275">
        <f t="shared" si="113"/>
        <v>44368</v>
      </c>
      <c r="F3402" s="480"/>
      <c r="G3402" s="221" t="s">
        <v>74</v>
      </c>
      <c r="H3402" s="145" t="str" cm="1">
        <f t="array" ref="H3402">IFERROR(INDEX(INVESTOR_LIST[INVESTOR NAME],MATCH(I3402,INVESTOR_LIST[INVESTOR CODE],0),)," ")</f>
        <v>MOHAMMAD MONJUR ALAM</v>
      </c>
      <c r="I3402" s="145" t="s">
        <v>431</v>
      </c>
      <c r="J3402" s="163" t="s">
        <v>52</v>
      </c>
      <c r="K3402" s="219"/>
      <c r="L3402" s="219">
        <v>300000</v>
      </c>
    </row>
    <row r="3403" spans="1:12" x14ac:dyDescent="0.2">
      <c r="A3403" s="168">
        <v>2021</v>
      </c>
      <c r="B3403" s="168">
        <v>6</v>
      </c>
      <c r="C3403" s="133">
        <v>21</v>
      </c>
      <c r="D3403" s="141">
        <f t="shared" si="112"/>
        <v>44368</v>
      </c>
      <c r="E3403" s="275">
        <f t="shared" si="113"/>
        <v>44368</v>
      </c>
      <c r="F3403" s="479" t="s">
        <v>77</v>
      </c>
      <c r="G3403" s="220" t="s">
        <v>74</v>
      </c>
      <c r="H3403" s="220" t="str" cm="1">
        <f t="array" ref="H3403">IFERROR(INDEX(INVESTOR_LIST[INVESTOR NAME],MATCH(I3403,INVESTOR_LIST[INVESTOR CODE],0),)," ")</f>
        <v xml:space="preserve"> </v>
      </c>
      <c r="I3403" s="142" t="s">
        <v>348</v>
      </c>
      <c r="J3403" s="143" t="s">
        <v>61</v>
      </c>
      <c r="K3403" s="226">
        <v>58</v>
      </c>
      <c r="L3403" s="226"/>
    </row>
    <row r="3404" spans="1:12" x14ac:dyDescent="0.2">
      <c r="A3404" s="163">
        <v>2021</v>
      </c>
      <c r="B3404" s="163">
        <v>6</v>
      </c>
      <c r="C3404" s="163">
        <v>21</v>
      </c>
      <c r="D3404" s="141">
        <f t="shared" si="112"/>
        <v>44368</v>
      </c>
      <c r="E3404" s="275">
        <f t="shared" si="113"/>
        <v>44368</v>
      </c>
      <c r="F3404" s="480"/>
      <c r="G3404" s="221" t="s">
        <v>74</v>
      </c>
      <c r="H3404" s="221" t="str" cm="1">
        <f t="array" ref="H3404">IFERROR(INDEX(INVESTOR_LIST[INVESTOR NAME],MATCH(I3404,INVESTOR_LIST[INVESTOR CODE],0),)," ")</f>
        <v xml:space="preserve"> </v>
      </c>
      <c r="I3404" s="145" t="s">
        <v>348</v>
      </c>
      <c r="J3404" s="146" t="s">
        <v>52</v>
      </c>
      <c r="K3404" s="219"/>
      <c r="L3404" s="219">
        <v>58</v>
      </c>
    </row>
    <row r="3405" spans="1:12" x14ac:dyDescent="0.2">
      <c r="A3405" s="168">
        <v>2021</v>
      </c>
      <c r="B3405" s="168">
        <v>6</v>
      </c>
      <c r="C3405" s="133">
        <v>21</v>
      </c>
      <c r="D3405" s="141">
        <f t="shared" si="112"/>
        <v>44368</v>
      </c>
      <c r="E3405" s="275">
        <f t="shared" si="113"/>
        <v>44368</v>
      </c>
      <c r="F3405" s="479" t="s">
        <v>77</v>
      </c>
      <c r="G3405" s="220" t="s">
        <v>74</v>
      </c>
      <c r="H3405" s="220" t="str" cm="1">
        <f t="array" ref="H3405">IFERROR(INDEX(INVESTOR_LIST[INVESTOR NAME],MATCH(I3405,INVESTOR_LIST[INVESTOR CODE],0),)," ")</f>
        <v xml:space="preserve"> </v>
      </c>
      <c r="I3405" s="142" t="s">
        <v>348</v>
      </c>
      <c r="J3405" s="143" t="s">
        <v>61</v>
      </c>
      <c r="K3405" s="226">
        <v>10</v>
      </c>
      <c r="L3405" s="226"/>
    </row>
    <row r="3406" spans="1:12" x14ac:dyDescent="0.2">
      <c r="A3406" s="163">
        <v>2021</v>
      </c>
      <c r="B3406" s="163">
        <v>6</v>
      </c>
      <c r="C3406" s="163">
        <v>21</v>
      </c>
      <c r="D3406" s="141">
        <f t="shared" ref="D3406:D3469" si="114">DATE(A3406,B3406,C3406)</f>
        <v>44368</v>
      </c>
      <c r="E3406" s="275">
        <f t="shared" si="113"/>
        <v>44368</v>
      </c>
      <c r="F3406" s="480"/>
      <c r="G3406" s="221" t="s">
        <v>74</v>
      </c>
      <c r="H3406" s="221" t="str" cm="1">
        <f t="array" ref="H3406">IFERROR(INDEX(INVESTOR_LIST[INVESTOR NAME],MATCH(I3406,INVESTOR_LIST[INVESTOR CODE],0),)," ")</f>
        <v xml:space="preserve"> </v>
      </c>
      <c r="I3406" s="145" t="s">
        <v>348</v>
      </c>
      <c r="J3406" s="146" t="s">
        <v>52</v>
      </c>
      <c r="K3406" s="219"/>
      <c r="L3406" s="219">
        <v>10</v>
      </c>
    </row>
    <row r="3407" spans="1:12" x14ac:dyDescent="0.2">
      <c r="A3407" s="168">
        <v>2021</v>
      </c>
      <c r="B3407" s="168">
        <v>6</v>
      </c>
      <c r="C3407" s="168">
        <v>21</v>
      </c>
      <c r="D3407" s="141">
        <f t="shared" si="114"/>
        <v>44368</v>
      </c>
      <c r="E3407" s="275">
        <f t="shared" ref="E3407:E3470" si="115">DATE(A3407,B3407,C3407)</f>
        <v>44368</v>
      </c>
      <c r="F3407" s="479" t="s">
        <v>77</v>
      </c>
      <c r="G3407" s="220" t="s">
        <v>74</v>
      </c>
      <c r="H3407" s="220" t="str" cm="1">
        <f t="array" ref="H3407">IFERROR(INDEX(INVESTOR_LIST[INVESTOR NAME],MATCH(I3407,INVESTOR_LIST[INVESTOR CODE],0),)," ")</f>
        <v xml:space="preserve"> </v>
      </c>
      <c r="I3407" s="142" t="s">
        <v>348</v>
      </c>
      <c r="J3407" s="143" t="s">
        <v>61</v>
      </c>
      <c r="K3407" s="226">
        <v>10</v>
      </c>
      <c r="L3407" s="226"/>
    </row>
    <row r="3408" spans="1:12" x14ac:dyDescent="0.2">
      <c r="A3408" s="163">
        <v>2021</v>
      </c>
      <c r="B3408" s="163">
        <v>6</v>
      </c>
      <c r="C3408" s="163">
        <v>21</v>
      </c>
      <c r="D3408" s="141">
        <f t="shared" si="114"/>
        <v>44368</v>
      </c>
      <c r="E3408" s="275">
        <f t="shared" si="115"/>
        <v>44368</v>
      </c>
      <c r="F3408" s="480"/>
      <c r="G3408" s="221" t="s">
        <v>74</v>
      </c>
      <c r="H3408" s="221" t="str" cm="1">
        <f t="array" ref="H3408">IFERROR(INDEX(INVESTOR_LIST[INVESTOR NAME],MATCH(I3408,INVESTOR_LIST[INVESTOR CODE],0),)," ")</f>
        <v xml:space="preserve"> </v>
      </c>
      <c r="I3408" s="145" t="s">
        <v>348</v>
      </c>
      <c r="J3408" s="146" t="s">
        <v>52</v>
      </c>
      <c r="K3408" s="219"/>
      <c r="L3408" s="219">
        <v>10</v>
      </c>
    </row>
    <row r="3409" spans="1:14" x14ac:dyDescent="0.2">
      <c r="A3409" s="168">
        <v>2021</v>
      </c>
      <c r="B3409" s="168">
        <v>6</v>
      </c>
      <c r="C3409" s="168">
        <v>21</v>
      </c>
      <c r="D3409" s="141">
        <f t="shared" si="114"/>
        <v>44368</v>
      </c>
      <c r="E3409" s="275">
        <f t="shared" si="115"/>
        <v>44368</v>
      </c>
      <c r="F3409" s="479" t="s">
        <v>77</v>
      </c>
      <c r="G3409" s="220" t="s">
        <v>74</v>
      </c>
      <c r="H3409" s="220" t="str" cm="1">
        <f t="array" ref="H3409">IFERROR(INDEX(INVESTOR_LIST[INVESTOR NAME],MATCH(I3409,INVESTOR_LIST[INVESTOR CODE],0),)," ")</f>
        <v xml:space="preserve"> </v>
      </c>
      <c r="I3409" s="142" t="s">
        <v>348</v>
      </c>
      <c r="J3409" s="143" t="s">
        <v>61</v>
      </c>
      <c r="K3409" s="226">
        <v>10</v>
      </c>
      <c r="L3409" s="226"/>
      <c r="N3409" s="156">
        <f>K3415/13.28</f>
        <v>3012.0481927710844</v>
      </c>
    </row>
    <row r="3410" spans="1:14" x14ac:dyDescent="0.2">
      <c r="A3410" s="163">
        <v>2021</v>
      </c>
      <c r="B3410" s="163">
        <v>6</v>
      </c>
      <c r="C3410" s="163">
        <v>21</v>
      </c>
      <c r="D3410" s="141">
        <f t="shared" si="114"/>
        <v>44368</v>
      </c>
      <c r="E3410" s="275">
        <f t="shared" si="115"/>
        <v>44368</v>
      </c>
      <c r="F3410" s="480"/>
      <c r="G3410" s="221" t="s">
        <v>74</v>
      </c>
      <c r="H3410" s="221" t="str" cm="1">
        <f t="array" ref="H3410">IFERROR(INDEX(INVESTOR_LIST[INVESTOR NAME],MATCH(I3410,INVESTOR_LIST[INVESTOR CODE],0),)," ")</f>
        <v xml:space="preserve"> </v>
      </c>
      <c r="I3410" s="145" t="s">
        <v>348</v>
      </c>
      <c r="J3410" s="146" t="s">
        <v>52</v>
      </c>
      <c r="K3410" s="219"/>
      <c r="L3410" s="219">
        <v>10</v>
      </c>
    </row>
    <row r="3411" spans="1:14" x14ac:dyDescent="0.2">
      <c r="A3411" s="168">
        <v>2021</v>
      </c>
      <c r="B3411" s="168">
        <v>6</v>
      </c>
      <c r="C3411" s="168">
        <v>23</v>
      </c>
      <c r="D3411" s="141">
        <f t="shared" si="114"/>
        <v>44370</v>
      </c>
      <c r="E3411" s="275">
        <f t="shared" si="115"/>
        <v>44370</v>
      </c>
      <c r="F3411" s="479" t="s">
        <v>738</v>
      </c>
      <c r="G3411" s="220" t="s">
        <v>94</v>
      </c>
      <c r="H3411" s="142" t="str" cm="1">
        <f t="array" ref="H3411">IFERROR(INDEX(INVESTOR_LIST[INVESTOR NAME],MATCH(I3411,INVESTOR_LIST[INVESTOR CODE],0),)," ")</f>
        <v xml:space="preserve"> </v>
      </c>
      <c r="I3411" s="142"/>
      <c r="J3411" s="168" t="s">
        <v>80</v>
      </c>
      <c r="K3411" s="226">
        <v>1537.37</v>
      </c>
      <c r="L3411" s="226"/>
    </row>
    <row r="3412" spans="1:14" x14ac:dyDescent="0.2">
      <c r="A3412" s="133">
        <v>2021</v>
      </c>
      <c r="B3412" s="133">
        <v>6</v>
      </c>
      <c r="C3412" s="133">
        <v>23</v>
      </c>
      <c r="D3412" s="141">
        <f t="shared" si="114"/>
        <v>44370</v>
      </c>
      <c r="E3412" s="275">
        <f t="shared" si="115"/>
        <v>44370</v>
      </c>
      <c r="F3412" s="481"/>
      <c r="G3412" s="174" t="s">
        <v>94</v>
      </c>
      <c r="H3412" s="148" t="str" cm="1">
        <f t="array" ref="H3412">IFERROR(INDEX(INVESTOR_LIST[INVESTOR NAME],MATCH(I3412,INVESTOR_LIST[INVESTOR CODE],0),)," ")</f>
        <v xml:space="preserve"> </v>
      </c>
      <c r="J3412" s="133" t="s">
        <v>190</v>
      </c>
      <c r="K3412" s="218">
        <v>852558.83</v>
      </c>
      <c r="L3412" s="218"/>
      <c r="N3412" s="156">
        <f>K3418/13.28</f>
        <v>18825.30120481928</v>
      </c>
    </row>
    <row r="3413" spans="1:14" x14ac:dyDescent="0.2">
      <c r="A3413" s="133">
        <v>2021</v>
      </c>
      <c r="B3413" s="133">
        <v>6</v>
      </c>
      <c r="C3413" s="133">
        <v>23</v>
      </c>
      <c r="D3413" s="141">
        <f t="shared" si="114"/>
        <v>44370</v>
      </c>
      <c r="E3413" s="275">
        <f t="shared" si="115"/>
        <v>44370</v>
      </c>
      <c r="F3413" s="481"/>
      <c r="G3413" s="174" t="s">
        <v>94</v>
      </c>
      <c r="H3413" s="148" t="str" cm="1">
        <f t="array" ref="H3413">IFERROR(INDEX(INVESTOR_LIST[INVESTOR NAME],MATCH(I3413,INVESTOR_LIST[INVESTOR CODE],0),)," ")</f>
        <v xml:space="preserve"> </v>
      </c>
      <c r="J3413" s="133" t="s">
        <v>191</v>
      </c>
      <c r="K3413" s="218"/>
      <c r="L3413" s="218">
        <v>141190.70000000001</v>
      </c>
    </row>
    <row r="3414" spans="1:14" x14ac:dyDescent="0.2">
      <c r="A3414" s="163">
        <v>2021</v>
      </c>
      <c r="B3414" s="163">
        <v>6</v>
      </c>
      <c r="C3414" s="163">
        <v>23</v>
      </c>
      <c r="D3414" s="141">
        <f t="shared" si="114"/>
        <v>44370</v>
      </c>
      <c r="E3414" s="275">
        <f t="shared" si="115"/>
        <v>44370</v>
      </c>
      <c r="F3414" s="480"/>
      <c r="G3414" s="221" t="s">
        <v>94</v>
      </c>
      <c r="H3414" s="145" t="str" cm="1">
        <f t="array" ref="H3414">IFERROR(INDEX(INVESTOR_LIST[INVESTOR NAME],MATCH(I3414,INVESTOR_LIST[INVESTOR CODE],0),)," ")</f>
        <v xml:space="preserve"> </v>
      </c>
      <c r="I3414" s="145"/>
      <c r="J3414" s="163" t="s">
        <v>79</v>
      </c>
      <c r="K3414" s="219"/>
      <c r="L3414" s="219">
        <v>712905.5</v>
      </c>
    </row>
    <row r="3415" spans="1:14" ht="11.25" customHeight="1" x14ac:dyDescent="0.2">
      <c r="A3415" s="168">
        <v>2021</v>
      </c>
      <c r="B3415" s="168">
        <v>6</v>
      </c>
      <c r="C3415" s="168">
        <v>23</v>
      </c>
      <c r="D3415" s="141">
        <f t="shared" si="114"/>
        <v>44370</v>
      </c>
      <c r="E3415" s="275">
        <f t="shared" si="115"/>
        <v>44370</v>
      </c>
      <c r="F3415" s="479" t="s">
        <v>964</v>
      </c>
      <c r="G3415" s="220" t="s">
        <v>74</v>
      </c>
      <c r="H3415" s="142" t="str" cm="1">
        <f t="array" ref="H3415">IFERROR(INDEX(INVESTOR_LIST[INVESTOR NAME],MATCH(I3415,INVESTOR_LIST[INVESTOR CODE],0),)," ")</f>
        <v>S. M. ALI MANZIR PALLAB</v>
      </c>
      <c r="I3415" s="142" t="s">
        <v>762</v>
      </c>
      <c r="J3415" s="168" t="s">
        <v>52</v>
      </c>
      <c r="K3415" s="226">
        <v>40000</v>
      </c>
      <c r="L3415" s="226"/>
    </row>
    <row r="3416" spans="1:14" ht="33.75" x14ac:dyDescent="0.2">
      <c r="A3416" s="133">
        <v>2021</v>
      </c>
      <c r="B3416" s="133">
        <v>6</v>
      </c>
      <c r="C3416" s="133">
        <v>23</v>
      </c>
      <c r="D3416" s="141">
        <f t="shared" si="114"/>
        <v>44370</v>
      </c>
      <c r="E3416" s="275">
        <f t="shared" si="115"/>
        <v>44370</v>
      </c>
      <c r="F3416" s="481"/>
      <c r="G3416" s="174" t="s">
        <v>74</v>
      </c>
      <c r="H3416" s="148" t="str" cm="1">
        <f t="array" ref="H3416">IFERROR(INDEX(INVESTOR_LIST[INVESTOR NAME],MATCH(I3416,INVESTOR_LIST[INVESTOR CODE],0),)," ")</f>
        <v>S. M. ALI MANZIR PALLAB</v>
      </c>
      <c r="I3416" s="148" t="s">
        <v>762</v>
      </c>
      <c r="J3416" s="133" t="s">
        <v>13</v>
      </c>
      <c r="K3416" s="218"/>
      <c r="L3416" s="218">
        <v>30120</v>
      </c>
    </row>
    <row r="3417" spans="1:14" ht="33.75" x14ac:dyDescent="0.2">
      <c r="A3417" s="163">
        <v>2021</v>
      </c>
      <c r="B3417" s="163">
        <v>6</v>
      </c>
      <c r="C3417" s="163">
        <v>23</v>
      </c>
      <c r="D3417" s="141">
        <f t="shared" si="114"/>
        <v>44370</v>
      </c>
      <c r="E3417" s="275">
        <f t="shared" si="115"/>
        <v>44370</v>
      </c>
      <c r="F3417" s="480"/>
      <c r="G3417" s="221" t="s">
        <v>74</v>
      </c>
      <c r="H3417" s="145" t="str" cm="1">
        <f t="array" ref="H3417">IFERROR(INDEX(INVESTOR_LIST[INVESTOR NAME],MATCH(I3417,INVESTOR_LIST[INVESTOR CODE],0),)," ")</f>
        <v>S. M. ALI MANZIR PALLAB</v>
      </c>
      <c r="I3417" s="145" t="s">
        <v>762</v>
      </c>
      <c r="J3417" s="163" t="s">
        <v>53</v>
      </c>
      <c r="K3417" s="219"/>
      <c r="L3417" s="219">
        <v>9880</v>
      </c>
      <c r="N3417" s="156">
        <f>K3425/13.28</f>
        <v>12801.204819277109</v>
      </c>
    </row>
    <row r="3418" spans="1:14" ht="11.25" customHeight="1" x14ac:dyDescent="0.2">
      <c r="A3418" s="168">
        <v>2021</v>
      </c>
      <c r="B3418" s="168">
        <v>6</v>
      </c>
      <c r="C3418" s="168">
        <v>23</v>
      </c>
      <c r="D3418" s="141">
        <f t="shared" si="114"/>
        <v>44370</v>
      </c>
      <c r="E3418" s="275">
        <f t="shared" si="115"/>
        <v>44370</v>
      </c>
      <c r="F3418" s="479" t="s">
        <v>964</v>
      </c>
      <c r="G3418" s="220" t="s">
        <v>74</v>
      </c>
      <c r="H3418" s="142" t="str" cm="1">
        <f t="array" ref="H3418">IFERROR(INDEX(INVESTOR_LIST[INVESTOR NAME],MATCH(I3418,INVESTOR_LIST[INVESTOR CODE],0),)," ")</f>
        <v>TANVIR HASAN</v>
      </c>
      <c r="I3418" s="142" t="s">
        <v>760</v>
      </c>
      <c r="J3418" s="168" t="s">
        <v>52</v>
      </c>
      <c r="K3418" s="226">
        <v>250000</v>
      </c>
      <c r="L3418" s="226"/>
    </row>
    <row r="3419" spans="1:14" ht="22.5" x14ac:dyDescent="0.2">
      <c r="A3419" s="133">
        <v>2021</v>
      </c>
      <c r="B3419" s="133">
        <v>6</v>
      </c>
      <c r="C3419" s="133">
        <v>23</v>
      </c>
      <c r="D3419" s="141">
        <f t="shared" si="114"/>
        <v>44370</v>
      </c>
      <c r="E3419" s="275">
        <f t="shared" si="115"/>
        <v>44370</v>
      </c>
      <c r="F3419" s="481"/>
      <c r="G3419" s="174" t="s">
        <v>74</v>
      </c>
      <c r="H3419" s="148" t="str" cm="1">
        <f t="array" ref="H3419">IFERROR(INDEX(INVESTOR_LIST[INVESTOR NAME],MATCH(I3419,INVESTOR_LIST[INVESTOR CODE],0),)," ")</f>
        <v>TANVIR HASAN</v>
      </c>
      <c r="I3419" s="148" t="s">
        <v>760</v>
      </c>
      <c r="J3419" s="133" t="s">
        <v>13</v>
      </c>
      <c r="K3419" s="218"/>
      <c r="L3419" s="218">
        <v>188250</v>
      </c>
    </row>
    <row r="3420" spans="1:14" ht="22.5" x14ac:dyDescent="0.2">
      <c r="A3420" s="163">
        <v>2021</v>
      </c>
      <c r="B3420" s="163">
        <v>6</v>
      </c>
      <c r="C3420" s="163">
        <v>23</v>
      </c>
      <c r="D3420" s="141">
        <f t="shared" si="114"/>
        <v>44370</v>
      </c>
      <c r="E3420" s="275">
        <f t="shared" si="115"/>
        <v>44370</v>
      </c>
      <c r="F3420" s="480"/>
      <c r="G3420" s="221" t="s">
        <v>74</v>
      </c>
      <c r="H3420" s="145" t="str" cm="1">
        <f t="array" ref="H3420">IFERROR(INDEX(INVESTOR_LIST[INVESTOR NAME],MATCH(I3420,INVESTOR_LIST[INVESTOR CODE],0),)," ")</f>
        <v>TANVIR HASAN</v>
      </c>
      <c r="I3420" s="145" t="s">
        <v>760</v>
      </c>
      <c r="J3420" s="163" t="s">
        <v>53</v>
      </c>
      <c r="K3420" s="219"/>
      <c r="L3420" s="219">
        <v>61750</v>
      </c>
    </row>
    <row r="3421" spans="1:14" x14ac:dyDescent="0.2">
      <c r="A3421" s="168">
        <v>2021</v>
      </c>
      <c r="B3421" s="168">
        <v>6</v>
      </c>
      <c r="C3421" s="168">
        <v>23</v>
      </c>
      <c r="D3421" s="141">
        <f t="shared" si="114"/>
        <v>44370</v>
      </c>
      <c r="E3421" s="275">
        <f t="shared" si="115"/>
        <v>44370</v>
      </c>
      <c r="F3421" s="479" t="s">
        <v>77</v>
      </c>
      <c r="G3421" s="220" t="s">
        <v>74</v>
      </c>
      <c r="H3421" s="220" t="str" cm="1">
        <f t="array" ref="H3421">IFERROR(INDEX(INVESTOR_LIST[INVESTOR NAME],MATCH(I3421,INVESTOR_LIST[INVESTOR CODE],0),)," ")</f>
        <v xml:space="preserve"> </v>
      </c>
      <c r="I3421" s="142" t="s">
        <v>348</v>
      </c>
      <c r="J3421" s="143" t="s">
        <v>61</v>
      </c>
      <c r="K3421" s="226">
        <v>10</v>
      </c>
      <c r="L3421" s="226"/>
    </row>
    <row r="3422" spans="1:14" x14ac:dyDescent="0.2">
      <c r="A3422" s="163">
        <v>2021</v>
      </c>
      <c r="B3422" s="163">
        <v>6</v>
      </c>
      <c r="C3422" s="163">
        <v>23</v>
      </c>
      <c r="D3422" s="141">
        <f t="shared" si="114"/>
        <v>44370</v>
      </c>
      <c r="E3422" s="275">
        <f t="shared" si="115"/>
        <v>44370</v>
      </c>
      <c r="F3422" s="480"/>
      <c r="G3422" s="221" t="s">
        <v>74</v>
      </c>
      <c r="H3422" s="221" t="str" cm="1">
        <f t="array" ref="H3422">IFERROR(INDEX(INVESTOR_LIST[INVESTOR NAME],MATCH(I3422,INVESTOR_LIST[INVESTOR CODE],0),)," ")</f>
        <v xml:space="preserve"> </v>
      </c>
      <c r="I3422" s="145" t="s">
        <v>348</v>
      </c>
      <c r="J3422" s="146" t="s">
        <v>52</v>
      </c>
      <c r="K3422" s="219"/>
      <c r="L3422" s="219">
        <v>10</v>
      </c>
    </row>
    <row r="3423" spans="1:14" x14ac:dyDescent="0.2">
      <c r="A3423" s="168">
        <v>2021</v>
      </c>
      <c r="B3423" s="168">
        <v>6</v>
      </c>
      <c r="C3423" s="168">
        <v>23</v>
      </c>
      <c r="D3423" s="141">
        <f t="shared" si="114"/>
        <v>44370</v>
      </c>
      <c r="E3423" s="275">
        <f t="shared" si="115"/>
        <v>44370</v>
      </c>
      <c r="F3423" s="479" t="s">
        <v>544</v>
      </c>
      <c r="G3423" s="220" t="s">
        <v>74</v>
      </c>
      <c r="H3423" s="142" t="str" cm="1">
        <f t="array" ref="H3423">IFERROR(INDEX(INVESTOR_LIST[INVESTOR NAME],MATCH(I3423,INVESTOR_LIST[INVESTOR CODE],0),)," ")</f>
        <v xml:space="preserve"> </v>
      </c>
      <c r="I3423" s="142"/>
      <c r="J3423" s="168" t="s">
        <v>52</v>
      </c>
      <c r="K3423" s="226">
        <v>5017951.4000000004</v>
      </c>
      <c r="L3423" s="226"/>
    </row>
    <row r="3424" spans="1:14" x14ac:dyDescent="0.2">
      <c r="A3424" s="163">
        <v>2021</v>
      </c>
      <c r="B3424" s="163">
        <v>6</v>
      </c>
      <c r="C3424" s="163">
        <v>23</v>
      </c>
      <c r="D3424" s="141">
        <f t="shared" si="114"/>
        <v>44370</v>
      </c>
      <c r="E3424" s="275">
        <f t="shared" si="115"/>
        <v>44370</v>
      </c>
      <c r="F3424" s="480"/>
      <c r="G3424" s="221" t="s">
        <v>74</v>
      </c>
      <c r="H3424" s="145" t="str" cm="1">
        <f t="array" ref="H3424">IFERROR(INDEX(INVESTOR_LIST[INVESTOR NAME],MATCH(I3424,INVESTOR_LIST[INVESTOR CODE],0),)," ")</f>
        <v xml:space="preserve"> </v>
      </c>
      <c r="I3424" s="145"/>
      <c r="J3424" s="163" t="s">
        <v>190</v>
      </c>
      <c r="K3424" s="219"/>
      <c r="L3424" s="219">
        <v>5017951.4000000004</v>
      </c>
    </row>
    <row r="3425" spans="1:12" ht="11.25" customHeight="1" x14ac:dyDescent="0.2">
      <c r="A3425" s="168">
        <v>2021</v>
      </c>
      <c r="B3425" s="168">
        <v>6</v>
      </c>
      <c r="C3425" s="168">
        <v>24</v>
      </c>
      <c r="D3425" s="141">
        <f t="shared" si="114"/>
        <v>44371</v>
      </c>
      <c r="E3425" s="275">
        <f t="shared" si="115"/>
        <v>44371</v>
      </c>
      <c r="F3425" s="479" t="s">
        <v>964</v>
      </c>
      <c r="G3425" s="220" t="s">
        <v>74</v>
      </c>
      <c r="H3425" s="142" t="str" cm="1">
        <f t="array" ref="H3425">IFERROR(INDEX(INVESTOR_LIST[INVESTOR NAME],MATCH(I3425,INVESTOR_LIST[INVESTOR CODE],0),)," ")</f>
        <v>MUMINUL ALAM</v>
      </c>
      <c r="I3425" s="142" t="s">
        <v>628</v>
      </c>
      <c r="J3425" s="168" t="s">
        <v>52</v>
      </c>
      <c r="K3425" s="226">
        <v>170000</v>
      </c>
      <c r="L3425" s="226"/>
    </row>
    <row r="3426" spans="1:12" ht="22.5" x14ac:dyDescent="0.2">
      <c r="A3426" s="133">
        <v>2021</v>
      </c>
      <c r="B3426" s="133">
        <v>6</v>
      </c>
      <c r="C3426" s="133">
        <v>24</v>
      </c>
      <c r="D3426" s="141">
        <f t="shared" si="114"/>
        <v>44371</v>
      </c>
      <c r="E3426" s="275">
        <f t="shared" si="115"/>
        <v>44371</v>
      </c>
      <c r="F3426" s="481"/>
      <c r="G3426" s="174" t="s">
        <v>74</v>
      </c>
      <c r="H3426" s="148" t="str" cm="1">
        <f t="array" ref="H3426">IFERROR(INDEX(INVESTOR_LIST[INVESTOR NAME],MATCH(I3426,INVESTOR_LIST[INVESTOR CODE],0),)," ")</f>
        <v>MUMINUL ALAM</v>
      </c>
      <c r="I3426" s="148" t="s">
        <v>628</v>
      </c>
      <c r="J3426" s="133" t="s">
        <v>13</v>
      </c>
      <c r="K3426" s="218"/>
      <c r="L3426" s="218">
        <v>128010</v>
      </c>
    </row>
    <row r="3427" spans="1:12" ht="22.5" x14ac:dyDescent="0.2">
      <c r="A3427" s="163">
        <v>2021</v>
      </c>
      <c r="B3427" s="163">
        <v>6</v>
      </c>
      <c r="C3427" s="163">
        <v>24</v>
      </c>
      <c r="D3427" s="141">
        <f t="shared" si="114"/>
        <v>44371</v>
      </c>
      <c r="E3427" s="275">
        <f t="shared" si="115"/>
        <v>44371</v>
      </c>
      <c r="F3427" s="480"/>
      <c r="G3427" s="221" t="s">
        <v>74</v>
      </c>
      <c r="H3427" s="145" t="str" cm="1">
        <f t="array" ref="H3427">IFERROR(INDEX(INVESTOR_LIST[INVESTOR NAME],MATCH(I3427,INVESTOR_LIST[INVESTOR CODE],0),)," ")</f>
        <v>MUMINUL ALAM</v>
      </c>
      <c r="I3427" s="145" t="s">
        <v>628</v>
      </c>
      <c r="J3427" s="163" t="s">
        <v>53</v>
      </c>
      <c r="K3427" s="219"/>
      <c r="L3427" s="219">
        <v>41990</v>
      </c>
    </row>
    <row r="3428" spans="1:12" ht="11.25" customHeight="1" x14ac:dyDescent="0.2">
      <c r="A3428" s="168">
        <v>2021</v>
      </c>
      <c r="B3428" s="168">
        <v>6</v>
      </c>
      <c r="C3428" s="168">
        <v>24</v>
      </c>
      <c r="D3428" s="141">
        <f t="shared" si="114"/>
        <v>44371</v>
      </c>
      <c r="E3428" s="275">
        <f t="shared" si="115"/>
        <v>44371</v>
      </c>
      <c r="F3428" s="479" t="s">
        <v>964</v>
      </c>
      <c r="G3428" s="220" t="s">
        <v>74</v>
      </c>
      <c r="H3428" s="142" t="str" cm="1">
        <f t="array" ref="H3428">IFERROR(INDEX(INVESTOR_LIST[INVESTOR NAME],MATCH(I3428,INVESTOR_LIST[INVESTOR CODE],0),)," ")</f>
        <v>MD. WALID - AL - ZUBAYER</v>
      </c>
      <c r="I3428" s="142" t="s">
        <v>764</v>
      </c>
      <c r="J3428" s="168" t="s">
        <v>52</v>
      </c>
      <c r="K3428" s="226">
        <v>400000</v>
      </c>
      <c r="L3428" s="226"/>
    </row>
    <row r="3429" spans="1:12" ht="45" x14ac:dyDescent="0.2">
      <c r="A3429" s="133">
        <v>2021</v>
      </c>
      <c r="B3429" s="133">
        <v>6</v>
      </c>
      <c r="C3429" s="133">
        <v>24</v>
      </c>
      <c r="D3429" s="141">
        <f t="shared" si="114"/>
        <v>44371</v>
      </c>
      <c r="E3429" s="275">
        <f t="shared" si="115"/>
        <v>44371</v>
      </c>
      <c r="F3429" s="481"/>
      <c r="G3429" s="174" t="s">
        <v>74</v>
      </c>
      <c r="H3429" s="148" t="str" cm="1">
        <f t="array" ref="H3429">IFERROR(INDEX(INVESTOR_LIST[INVESTOR NAME],MATCH(I3429,INVESTOR_LIST[INVESTOR CODE],0),)," ")</f>
        <v>MD. WALID - AL - ZUBAYER</v>
      </c>
      <c r="I3429" s="148" t="s">
        <v>764</v>
      </c>
      <c r="J3429" s="133" t="s">
        <v>13</v>
      </c>
      <c r="K3429" s="218"/>
      <c r="L3429" s="218">
        <v>301210</v>
      </c>
    </row>
    <row r="3430" spans="1:12" ht="45" x14ac:dyDescent="0.2">
      <c r="A3430" s="163">
        <v>2021</v>
      </c>
      <c r="B3430" s="163">
        <v>6</v>
      </c>
      <c r="C3430" s="163">
        <v>24</v>
      </c>
      <c r="D3430" s="141">
        <f t="shared" si="114"/>
        <v>44371</v>
      </c>
      <c r="E3430" s="275">
        <f t="shared" si="115"/>
        <v>44371</v>
      </c>
      <c r="F3430" s="480"/>
      <c r="G3430" s="221" t="s">
        <v>74</v>
      </c>
      <c r="H3430" s="145" t="str" cm="1">
        <f t="array" ref="H3430">IFERROR(INDEX(INVESTOR_LIST[INVESTOR NAME],MATCH(I3430,INVESTOR_LIST[INVESTOR CODE],0),)," ")</f>
        <v>MD. WALID - AL - ZUBAYER</v>
      </c>
      <c r="I3430" s="145" t="s">
        <v>764</v>
      </c>
      <c r="J3430" s="163" t="s">
        <v>53</v>
      </c>
      <c r="K3430" s="219"/>
      <c r="L3430" s="219">
        <v>98790</v>
      </c>
    </row>
    <row r="3431" spans="1:12" x14ac:dyDescent="0.2">
      <c r="A3431" s="168">
        <v>2021</v>
      </c>
      <c r="B3431" s="168">
        <v>6</v>
      </c>
      <c r="C3431" s="168">
        <v>24</v>
      </c>
      <c r="D3431" s="141">
        <f t="shared" si="114"/>
        <v>44371</v>
      </c>
      <c r="E3431" s="275">
        <f t="shared" si="115"/>
        <v>44371</v>
      </c>
      <c r="F3431" s="479" t="s">
        <v>524</v>
      </c>
      <c r="G3431" s="220" t="s">
        <v>74</v>
      </c>
      <c r="H3431" s="142" t="str" cm="1">
        <f t="array" ref="H3431">IFERROR(INDEX(INVESTOR_LIST[INVESTOR NAME],MATCH(I3431,INVESTOR_LIST[INVESTOR CODE],0),)," ")</f>
        <v xml:space="preserve"> </v>
      </c>
      <c r="I3431" s="142"/>
      <c r="J3431" s="168" t="s">
        <v>147</v>
      </c>
      <c r="K3431" s="226">
        <v>9934404.5999999996</v>
      </c>
      <c r="L3431" s="226"/>
    </row>
    <row r="3432" spans="1:12" x14ac:dyDescent="0.2">
      <c r="A3432" s="163">
        <v>2021</v>
      </c>
      <c r="B3432" s="163">
        <v>6</v>
      </c>
      <c r="C3432" s="163">
        <v>24</v>
      </c>
      <c r="D3432" s="141">
        <f t="shared" si="114"/>
        <v>44371</v>
      </c>
      <c r="E3432" s="275">
        <f t="shared" si="115"/>
        <v>44371</v>
      </c>
      <c r="F3432" s="480"/>
      <c r="G3432" s="221" t="s">
        <v>74</v>
      </c>
      <c r="H3432" s="145" t="str" cm="1">
        <f t="array" ref="H3432">IFERROR(INDEX(INVESTOR_LIST[INVESTOR NAME],MATCH(I3432,INVESTOR_LIST[INVESTOR CODE],0),)," ")</f>
        <v xml:space="preserve"> </v>
      </c>
      <c r="I3432" s="145"/>
      <c r="J3432" s="163" t="s">
        <v>52</v>
      </c>
      <c r="K3432" s="219"/>
      <c r="L3432" s="219">
        <v>9934404.5999999996</v>
      </c>
    </row>
    <row r="3433" spans="1:12" x14ac:dyDescent="0.2">
      <c r="A3433" s="168">
        <v>2021</v>
      </c>
      <c r="B3433" s="168">
        <v>6</v>
      </c>
      <c r="C3433" s="168">
        <v>24</v>
      </c>
      <c r="D3433" s="141">
        <f t="shared" si="114"/>
        <v>44371</v>
      </c>
      <c r="E3433" s="275">
        <f t="shared" si="115"/>
        <v>44371</v>
      </c>
      <c r="F3433" s="479" t="s">
        <v>751</v>
      </c>
      <c r="G3433" s="220" t="s">
        <v>94</v>
      </c>
      <c r="H3433" s="142" t="str" cm="1">
        <f t="array" ref="H3433">IFERROR(INDEX(INVESTOR_LIST[INVESTOR NAME],MATCH(I3433,INVESTOR_LIST[INVESTOR CODE],0),)," ")</f>
        <v xml:space="preserve"> </v>
      </c>
      <c r="I3433" s="142"/>
      <c r="J3433" s="168" t="s">
        <v>79</v>
      </c>
      <c r="K3433" s="226">
        <v>2822900</v>
      </c>
      <c r="L3433" s="226"/>
    </row>
    <row r="3434" spans="1:12" x14ac:dyDescent="0.2">
      <c r="A3434" s="133">
        <v>2021</v>
      </c>
      <c r="B3434" s="133">
        <v>6</v>
      </c>
      <c r="C3434" s="133">
        <v>24</v>
      </c>
      <c r="D3434" s="141">
        <f t="shared" si="114"/>
        <v>44371</v>
      </c>
      <c r="E3434" s="275">
        <f t="shared" si="115"/>
        <v>44371</v>
      </c>
      <c r="F3434" s="481"/>
      <c r="G3434" s="174" t="s">
        <v>94</v>
      </c>
      <c r="H3434" s="148" t="str" cm="1">
        <f t="array" ref="H3434">IFERROR(INDEX(INVESTOR_LIST[INVESTOR NAME],MATCH(I3434,INVESTOR_LIST[INVESTOR CODE],0),)," ")</f>
        <v xml:space="preserve"> </v>
      </c>
      <c r="J3434" s="133" t="s">
        <v>80</v>
      </c>
      <c r="K3434" s="218">
        <f>5081.22+1543.5</f>
        <v>6624.72</v>
      </c>
      <c r="L3434" s="218"/>
    </row>
    <row r="3435" spans="1:12" x14ac:dyDescent="0.2">
      <c r="A3435" s="133">
        <v>2021</v>
      </c>
      <c r="B3435" s="133">
        <v>6</v>
      </c>
      <c r="C3435" s="133">
        <v>24</v>
      </c>
      <c r="D3435" s="141">
        <f t="shared" si="114"/>
        <v>44371</v>
      </c>
      <c r="E3435" s="275">
        <f t="shared" si="115"/>
        <v>44371</v>
      </c>
      <c r="F3435" s="481"/>
      <c r="G3435" s="174" t="s">
        <v>94</v>
      </c>
      <c r="H3435" s="148" t="str" cm="1">
        <f t="array" ref="H3435">IFERROR(INDEX(INVESTOR_LIST[INVESTOR NAME],MATCH(I3435,INVESTOR_LIST[INVESTOR CODE],0),)," ")</f>
        <v xml:space="preserve"> </v>
      </c>
      <c r="J3435" s="133" t="s">
        <v>147</v>
      </c>
      <c r="K3435" s="218"/>
      <c r="L3435" s="218">
        <v>1972024.72</v>
      </c>
    </row>
    <row r="3436" spans="1:12" x14ac:dyDescent="0.2">
      <c r="A3436" s="133">
        <v>2021</v>
      </c>
      <c r="B3436" s="133">
        <v>6</v>
      </c>
      <c r="C3436" s="133">
        <v>24</v>
      </c>
      <c r="D3436" s="141">
        <f t="shared" si="114"/>
        <v>44371</v>
      </c>
      <c r="E3436" s="275">
        <f t="shared" si="115"/>
        <v>44371</v>
      </c>
      <c r="F3436" s="481"/>
      <c r="G3436" s="174" t="s">
        <v>94</v>
      </c>
      <c r="H3436" s="148" t="str" cm="1">
        <f t="array" ref="H3436">IFERROR(INDEX(INVESTOR_LIST[INVESTOR NAME],MATCH(I3436,INVESTOR_LIST[INVESTOR CODE],0),)," ")</f>
        <v xml:space="preserve"> </v>
      </c>
      <c r="J3436" s="133" t="s">
        <v>191</v>
      </c>
      <c r="K3436" s="218"/>
      <c r="L3436" s="218">
        <v>144594.5</v>
      </c>
    </row>
    <row r="3437" spans="1:12" x14ac:dyDescent="0.2">
      <c r="A3437" s="163">
        <v>2021</v>
      </c>
      <c r="B3437" s="163">
        <v>6</v>
      </c>
      <c r="C3437" s="163">
        <v>24</v>
      </c>
      <c r="D3437" s="141">
        <f t="shared" si="114"/>
        <v>44371</v>
      </c>
      <c r="E3437" s="275">
        <f t="shared" si="115"/>
        <v>44371</v>
      </c>
      <c r="F3437" s="480"/>
      <c r="G3437" s="221" t="s">
        <v>94</v>
      </c>
      <c r="H3437" s="145" t="str" cm="1">
        <f t="array" ref="H3437">IFERROR(INDEX(INVESTOR_LIST[INVESTOR NAME],MATCH(I3437,INVESTOR_LIST[INVESTOR CODE],0),)," ")</f>
        <v xml:space="preserve"> </v>
      </c>
      <c r="I3437" s="145"/>
      <c r="J3437" s="163" t="s">
        <v>79</v>
      </c>
      <c r="K3437" s="219"/>
      <c r="L3437" s="219">
        <v>712905.5</v>
      </c>
    </row>
    <row r="3438" spans="1:12" x14ac:dyDescent="0.2">
      <c r="A3438" s="238">
        <v>2021</v>
      </c>
      <c r="B3438" s="238">
        <v>6</v>
      </c>
      <c r="C3438" s="238">
        <v>24</v>
      </c>
      <c r="D3438" s="141">
        <f t="shared" si="114"/>
        <v>44371</v>
      </c>
      <c r="E3438" s="275">
        <f t="shared" si="115"/>
        <v>44371</v>
      </c>
      <c r="F3438" s="477" t="s">
        <v>347</v>
      </c>
      <c r="G3438" s="239" t="s">
        <v>94</v>
      </c>
      <c r="H3438" s="239" t="str" cm="1">
        <f t="array" ref="H3438">IFERROR(INDEX(INVESTOR_LIST[INVESTOR NAME],MATCH(I3438,INVESTOR_LIST[INVESTOR CODE],0),)," ")</f>
        <v xml:space="preserve"> </v>
      </c>
      <c r="I3438" s="262" t="s">
        <v>348</v>
      </c>
      <c r="J3438" s="240" t="s">
        <v>108</v>
      </c>
      <c r="K3438" s="241">
        <v>1181733.3599999826</v>
      </c>
      <c r="L3438" s="241"/>
    </row>
    <row r="3439" spans="1:12" x14ac:dyDescent="0.2">
      <c r="A3439" s="242">
        <v>2021</v>
      </c>
      <c r="B3439" s="242">
        <v>6</v>
      </c>
      <c r="C3439" s="242">
        <v>24</v>
      </c>
      <c r="D3439" s="141">
        <f t="shared" si="114"/>
        <v>44371</v>
      </c>
      <c r="E3439" s="275">
        <f t="shared" si="115"/>
        <v>44371</v>
      </c>
      <c r="F3439" s="478"/>
      <c r="G3439" s="243" t="s">
        <v>94</v>
      </c>
      <c r="H3439" s="243" t="str" cm="1">
        <f t="array" ref="H3439">IFERROR(INDEX(INVESTOR_LIST[INVESTOR NAME],MATCH(I3439,INVESTOR_LIST[INVESTOR CODE],0),)," ")</f>
        <v xml:space="preserve"> </v>
      </c>
      <c r="I3439" s="263" t="s">
        <v>348</v>
      </c>
      <c r="J3439" s="244" t="s">
        <v>82</v>
      </c>
      <c r="K3439" s="245"/>
      <c r="L3439" s="245">
        <v>1181733.3599999826</v>
      </c>
    </row>
    <row r="3440" spans="1:12" ht="22.5" x14ac:dyDescent="0.2">
      <c r="A3440" s="246">
        <v>2021</v>
      </c>
      <c r="B3440" s="246">
        <v>6</v>
      </c>
      <c r="C3440" s="246">
        <v>24</v>
      </c>
      <c r="D3440" s="141">
        <f t="shared" si="114"/>
        <v>44371</v>
      </c>
      <c r="E3440" s="275">
        <f t="shared" si="115"/>
        <v>44371</v>
      </c>
      <c r="F3440" s="482" t="s">
        <v>148</v>
      </c>
      <c r="G3440" s="247" t="s">
        <v>94</v>
      </c>
      <c r="H3440" s="247" t="str" cm="1">
        <f t="array" ref="H3440">IFERROR(INDEX(INVESTOR_LIST[INVESTOR NAME],MATCH(I3440,INVESTOR_LIST[INVESTOR CODE],0),)," ")</f>
        <v xml:space="preserve"> </v>
      </c>
      <c r="I3440" s="248" t="s">
        <v>348</v>
      </c>
      <c r="J3440" s="249" t="s">
        <v>95</v>
      </c>
      <c r="K3440" s="250">
        <v>2747.2527472527472</v>
      </c>
      <c r="L3440" s="241"/>
    </row>
    <row r="3441" spans="1:14" x14ac:dyDescent="0.2">
      <c r="A3441" s="242">
        <v>2021</v>
      </c>
      <c r="B3441" s="242">
        <v>6</v>
      </c>
      <c r="C3441" s="242">
        <v>24</v>
      </c>
      <c r="D3441" s="141">
        <f t="shared" si="114"/>
        <v>44371</v>
      </c>
      <c r="E3441" s="275">
        <f t="shared" si="115"/>
        <v>44371</v>
      </c>
      <c r="F3441" s="478"/>
      <c r="G3441" s="243" t="s">
        <v>94</v>
      </c>
      <c r="H3441" s="243" t="str" cm="1">
        <f t="array" ref="H3441">IFERROR(INDEX(INVESTOR_LIST[INVESTOR NAME],MATCH(I3441,INVESTOR_LIST[INVESTOR CODE],0),)," ")</f>
        <v xml:space="preserve"> </v>
      </c>
      <c r="I3441" s="263" t="s">
        <v>348</v>
      </c>
      <c r="J3441" s="244" t="s">
        <v>63</v>
      </c>
      <c r="K3441" s="245"/>
      <c r="L3441" s="245">
        <v>2747.2527472527472</v>
      </c>
    </row>
    <row r="3442" spans="1:14" x14ac:dyDescent="0.2">
      <c r="A3442" s="246">
        <v>2021</v>
      </c>
      <c r="B3442" s="246">
        <v>6</v>
      </c>
      <c r="C3442" s="246">
        <v>24</v>
      </c>
      <c r="D3442" s="141">
        <f t="shared" si="114"/>
        <v>44371</v>
      </c>
      <c r="E3442" s="275">
        <f t="shared" si="115"/>
        <v>44371</v>
      </c>
      <c r="F3442" s="482" t="s">
        <v>137</v>
      </c>
      <c r="G3442" s="247" t="s">
        <v>94</v>
      </c>
      <c r="H3442" s="247" t="str" cm="1">
        <f t="array" ref="H3442">IFERROR(INDEX(INVESTOR_LIST[INVESTOR NAME],MATCH(I3442,INVESTOR_LIST[INVESTOR CODE],0),)," ")</f>
        <v xml:space="preserve"> </v>
      </c>
      <c r="I3442" s="248" t="s">
        <v>348</v>
      </c>
      <c r="J3442" s="249" t="s">
        <v>97</v>
      </c>
      <c r="K3442" s="250">
        <v>101732.2927580367</v>
      </c>
      <c r="L3442" s="252"/>
    </row>
    <row r="3443" spans="1:14" x14ac:dyDescent="0.2">
      <c r="A3443" s="242">
        <v>2021</v>
      </c>
      <c r="B3443" s="242">
        <v>6</v>
      </c>
      <c r="C3443" s="242">
        <v>24</v>
      </c>
      <c r="D3443" s="141">
        <f t="shared" si="114"/>
        <v>44371</v>
      </c>
      <c r="E3443" s="275">
        <f t="shared" si="115"/>
        <v>44371</v>
      </c>
      <c r="F3443" s="478"/>
      <c r="G3443" s="243" t="s">
        <v>94</v>
      </c>
      <c r="H3443" s="243" t="str" cm="1">
        <f t="array" ref="H3443">IFERROR(INDEX(INVESTOR_LIST[INVESTOR NAME],MATCH(I3443,INVESTOR_LIST[INVESTOR CODE],0),)," ")</f>
        <v xml:space="preserve"> </v>
      </c>
      <c r="I3443" s="263" t="s">
        <v>348</v>
      </c>
      <c r="J3443" s="244" t="s">
        <v>47</v>
      </c>
      <c r="K3443" s="245"/>
      <c r="L3443" s="245">
        <v>101732.2927580367</v>
      </c>
    </row>
    <row r="3444" spans="1:14" x14ac:dyDescent="0.2">
      <c r="A3444" s="246">
        <v>2021</v>
      </c>
      <c r="B3444" s="246">
        <v>6</v>
      </c>
      <c r="C3444" s="246">
        <v>24</v>
      </c>
      <c r="D3444" s="141">
        <f t="shared" si="114"/>
        <v>44371</v>
      </c>
      <c r="E3444" s="275">
        <f t="shared" si="115"/>
        <v>44371</v>
      </c>
      <c r="F3444" s="482" t="s">
        <v>138</v>
      </c>
      <c r="G3444" s="247" t="s">
        <v>94</v>
      </c>
      <c r="H3444" s="247" t="str" cm="1">
        <f t="array" ref="H3444">IFERROR(INDEX(INVESTOR_LIST[INVESTOR NAME],MATCH(I3444,INVESTOR_LIST[INVESTOR CODE],0),)," ")</f>
        <v xml:space="preserve"> </v>
      </c>
      <c r="I3444" s="248" t="s">
        <v>348</v>
      </c>
      <c r="J3444" s="249" t="s">
        <v>100</v>
      </c>
      <c r="K3444" s="250">
        <v>4859.0759274588563</v>
      </c>
      <c r="L3444" s="252"/>
    </row>
    <row r="3445" spans="1:14" x14ac:dyDescent="0.2">
      <c r="A3445" s="242">
        <v>2021</v>
      </c>
      <c r="B3445" s="242">
        <v>6</v>
      </c>
      <c r="C3445" s="242">
        <v>24</v>
      </c>
      <c r="D3445" s="141">
        <f t="shared" si="114"/>
        <v>44371</v>
      </c>
      <c r="E3445" s="275">
        <f t="shared" si="115"/>
        <v>44371</v>
      </c>
      <c r="F3445" s="478"/>
      <c r="G3445" s="243" t="s">
        <v>94</v>
      </c>
      <c r="H3445" s="243" t="str" cm="1">
        <f t="array" ref="H3445">IFERROR(INDEX(INVESTOR_LIST[INVESTOR NAME],MATCH(I3445,INVESTOR_LIST[INVESTOR CODE],0),)," ")</f>
        <v xml:space="preserve"> </v>
      </c>
      <c r="I3445" s="263" t="s">
        <v>348</v>
      </c>
      <c r="J3445" s="244" t="s">
        <v>48</v>
      </c>
      <c r="K3445" s="245"/>
      <c r="L3445" s="245">
        <v>4859.0759274588563</v>
      </c>
    </row>
    <row r="3446" spans="1:14" ht="11.25" customHeight="1" x14ac:dyDescent="0.2">
      <c r="A3446" s="168">
        <v>2021</v>
      </c>
      <c r="B3446" s="168">
        <v>6</v>
      </c>
      <c r="C3446" s="168">
        <v>26</v>
      </c>
      <c r="D3446" s="141">
        <f t="shared" si="114"/>
        <v>44373</v>
      </c>
      <c r="E3446" s="275">
        <f t="shared" si="115"/>
        <v>44373</v>
      </c>
      <c r="F3446" s="479" t="s">
        <v>964</v>
      </c>
      <c r="G3446" s="220" t="s">
        <v>74</v>
      </c>
      <c r="H3446" s="142" t="str" cm="1">
        <f t="array" ref="H3446">IFERROR(INDEX(INVESTOR_LIST[INVESTOR NAME],MATCH(I3446,INVESTOR_LIST[INVESTOR CODE],0),)," ")</f>
        <v>MEHEDI HASSAN RONI</v>
      </c>
      <c r="I3446" s="142" t="s">
        <v>769</v>
      </c>
      <c r="J3446" s="168" t="s">
        <v>52</v>
      </c>
      <c r="K3446" s="226">
        <v>100000</v>
      </c>
      <c r="L3446" s="226"/>
      <c r="N3446" s="156">
        <f>K3446/13.35</f>
        <v>7490.63670411985</v>
      </c>
    </row>
    <row r="3447" spans="1:14" ht="33.75" x14ac:dyDescent="0.2">
      <c r="A3447" s="133">
        <v>2021</v>
      </c>
      <c r="B3447" s="133">
        <v>6</v>
      </c>
      <c r="C3447" s="133">
        <v>26</v>
      </c>
      <c r="D3447" s="141">
        <f t="shared" si="114"/>
        <v>44373</v>
      </c>
      <c r="E3447" s="275">
        <f t="shared" si="115"/>
        <v>44373</v>
      </c>
      <c r="F3447" s="481"/>
      <c r="G3447" s="174" t="s">
        <v>74</v>
      </c>
      <c r="H3447" s="148" t="str" cm="1">
        <f t="array" ref="H3447">IFERROR(INDEX(INVESTOR_LIST[INVESTOR NAME],MATCH(I3447,INVESTOR_LIST[INVESTOR CODE],0),)," ")</f>
        <v>MEHEDI HASSAN RONI</v>
      </c>
      <c r="I3447" s="148" t="s">
        <v>769</v>
      </c>
      <c r="J3447" s="133" t="s">
        <v>13</v>
      </c>
      <c r="K3447" s="218"/>
      <c r="L3447" s="218">
        <v>74910</v>
      </c>
    </row>
    <row r="3448" spans="1:14" ht="33.75" x14ac:dyDescent="0.2">
      <c r="A3448" s="163">
        <v>2021</v>
      </c>
      <c r="B3448" s="163">
        <v>6</v>
      </c>
      <c r="C3448" s="163">
        <v>26</v>
      </c>
      <c r="D3448" s="141">
        <f t="shared" si="114"/>
        <v>44373</v>
      </c>
      <c r="E3448" s="275">
        <f t="shared" si="115"/>
        <v>44373</v>
      </c>
      <c r="F3448" s="480"/>
      <c r="G3448" s="221" t="s">
        <v>74</v>
      </c>
      <c r="H3448" s="145" t="str" cm="1">
        <f t="array" ref="H3448">IFERROR(INDEX(INVESTOR_LIST[INVESTOR NAME],MATCH(I3448,INVESTOR_LIST[INVESTOR CODE],0),)," ")</f>
        <v>MEHEDI HASSAN RONI</v>
      </c>
      <c r="I3448" s="145" t="s">
        <v>769</v>
      </c>
      <c r="J3448" s="163" t="s">
        <v>53</v>
      </c>
      <c r="K3448" s="219"/>
      <c r="L3448" s="219">
        <v>25090</v>
      </c>
      <c r="N3448" s="156">
        <v>112360.76723137045</v>
      </c>
    </row>
    <row r="3449" spans="1:14" ht="33.75" x14ac:dyDescent="0.2">
      <c r="A3449" s="168">
        <v>2021</v>
      </c>
      <c r="B3449" s="168">
        <v>6</v>
      </c>
      <c r="C3449" s="168">
        <v>27</v>
      </c>
      <c r="D3449" s="141">
        <f t="shared" si="114"/>
        <v>44374</v>
      </c>
      <c r="E3449" s="275">
        <f t="shared" si="115"/>
        <v>44374</v>
      </c>
      <c r="F3449" s="479" t="s">
        <v>965</v>
      </c>
      <c r="G3449" s="220" t="s">
        <v>74</v>
      </c>
      <c r="H3449" s="142" t="str" cm="1">
        <f t="array" ref="H3449">IFERROR(INDEX(INVESTOR_LIST[INVESTOR NAME],MATCH(I3449,INVESTOR_LIST[INVESTOR CODE],0),)," ")</f>
        <v>FARHANA AKHTER</v>
      </c>
      <c r="I3449" s="142" t="s">
        <v>665</v>
      </c>
      <c r="J3449" s="168" t="s">
        <v>13</v>
      </c>
      <c r="K3449" s="226">
        <v>1123610</v>
      </c>
      <c r="L3449" s="226"/>
    </row>
    <row r="3450" spans="1:14" ht="33.75" x14ac:dyDescent="0.2">
      <c r="A3450" s="133">
        <v>2021</v>
      </c>
      <c r="B3450" s="133">
        <v>6</v>
      </c>
      <c r="C3450" s="133">
        <v>27</v>
      </c>
      <c r="D3450" s="141">
        <f t="shared" si="114"/>
        <v>44374</v>
      </c>
      <c r="E3450" s="275">
        <f t="shared" si="115"/>
        <v>44374</v>
      </c>
      <c r="F3450" s="481"/>
      <c r="G3450" s="174" t="s">
        <v>74</v>
      </c>
      <c r="H3450" s="148" t="str" cm="1">
        <f t="array" ref="H3450">IFERROR(INDEX(INVESTOR_LIST[INVESTOR NAME],MATCH(I3450,INVESTOR_LIST[INVESTOR CODE],0),)," ")</f>
        <v>FARHANA AKHTER</v>
      </c>
      <c r="I3450" s="148" t="s">
        <v>665</v>
      </c>
      <c r="J3450" s="133" t="s">
        <v>53</v>
      </c>
      <c r="K3450" s="218">
        <v>376390</v>
      </c>
      <c r="L3450" s="218"/>
    </row>
    <row r="3451" spans="1:14" ht="33.75" x14ac:dyDescent="0.2">
      <c r="A3451" s="163">
        <v>2021</v>
      </c>
      <c r="B3451" s="163">
        <v>6</v>
      </c>
      <c r="C3451" s="163">
        <v>27</v>
      </c>
      <c r="D3451" s="141">
        <f t="shared" si="114"/>
        <v>44374</v>
      </c>
      <c r="E3451" s="275">
        <f t="shared" si="115"/>
        <v>44374</v>
      </c>
      <c r="F3451" s="480"/>
      <c r="G3451" s="221" t="s">
        <v>74</v>
      </c>
      <c r="H3451" s="145" t="str" cm="1">
        <f t="array" ref="H3451">IFERROR(INDEX(INVESTOR_LIST[INVESTOR NAME],MATCH(I3451,INVESTOR_LIST[INVESTOR CODE],0),)," ")</f>
        <v>FARHANA AKHTER</v>
      </c>
      <c r="I3451" s="145" t="s">
        <v>665</v>
      </c>
      <c r="J3451" s="163" t="s">
        <v>52</v>
      </c>
      <c r="K3451" s="219"/>
      <c r="L3451" s="219">
        <v>1500000</v>
      </c>
    </row>
    <row r="3452" spans="1:14" x14ac:dyDescent="0.2">
      <c r="A3452" s="168">
        <v>2021</v>
      </c>
      <c r="B3452" s="168">
        <v>6</v>
      </c>
      <c r="C3452" s="168">
        <v>27</v>
      </c>
      <c r="D3452" s="141">
        <f t="shared" si="114"/>
        <v>44374</v>
      </c>
      <c r="E3452" s="275">
        <f t="shared" si="115"/>
        <v>44374</v>
      </c>
      <c r="F3452" s="479" t="s">
        <v>77</v>
      </c>
      <c r="G3452" s="220" t="s">
        <v>74</v>
      </c>
      <c r="H3452" s="220" t="str" cm="1">
        <f t="array" ref="H3452">IFERROR(INDEX(INVESTOR_LIST[INVESTOR NAME],MATCH(I3452,INVESTOR_LIST[INVESTOR CODE],0),)," ")</f>
        <v xml:space="preserve"> </v>
      </c>
      <c r="I3452" s="142" t="s">
        <v>348</v>
      </c>
      <c r="J3452" s="143" t="s">
        <v>61</v>
      </c>
      <c r="K3452" s="226">
        <v>100</v>
      </c>
      <c r="L3452" s="226"/>
    </row>
    <row r="3453" spans="1:14" x14ac:dyDescent="0.2">
      <c r="A3453" s="163">
        <v>2021</v>
      </c>
      <c r="B3453" s="163">
        <v>6</v>
      </c>
      <c r="C3453" s="163">
        <v>27</v>
      </c>
      <c r="D3453" s="141">
        <f t="shared" si="114"/>
        <v>44374</v>
      </c>
      <c r="E3453" s="275">
        <f t="shared" si="115"/>
        <v>44374</v>
      </c>
      <c r="F3453" s="480"/>
      <c r="G3453" s="221" t="s">
        <v>74</v>
      </c>
      <c r="H3453" s="221" t="str" cm="1">
        <f t="array" ref="H3453">IFERROR(INDEX(INVESTOR_LIST[INVESTOR NAME],MATCH(I3453,INVESTOR_LIST[INVESTOR CODE],0),)," ")</f>
        <v xml:space="preserve"> </v>
      </c>
      <c r="I3453" s="145" t="s">
        <v>348</v>
      </c>
      <c r="J3453" s="146" t="s">
        <v>52</v>
      </c>
      <c r="K3453" s="219"/>
      <c r="L3453" s="219">
        <v>100</v>
      </c>
    </row>
    <row r="3454" spans="1:14" ht="11.25" customHeight="1" x14ac:dyDescent="0.2">
      <c r="A3454" s="168">
        <v>2021</v>
      </c>
      <c r="B3454" s="168">
        <v>6</v>
      </c>
      <c r="C3454" s="168">
        <v>27</v>
      </c>
      <c r="D3454" s="141">
        <f t="shared" si="114"/>
        <v>44374</v>
      </c>
      <c r="E3454" s="275">
        <f t="shared" si="115"/>
        <v>44374</v>
      </c>
      <c r="F3454" s="479" t="s">
        <v>964</v>
      </c>
      <c r="G3454" s="220" t="s">
        <v>74</v>
      </c>
      <c r="H3454" s="142" t="str" cm="1">
        <f t="array" ref="H3454">IFERROR(INDEX(INVESTOR_LIST[INVESTOR NAME],MATCH(I3454,INVESTOR_LIST[INVESTOR CODE],0),)," ")</f>
        <v>JOY SHREE SAHA</v>
      </c>
      <c r="I3454" s="142" t="s">
        <v>777</v>
      </c>
      <c r="J3454" s="168" t="s">
        <v>52</v>
      </c>
      <c r="K3454" s="226">
        <v>662500</v>
      </c>
      <c r="L3454" s="226"/>
      <c r="N3454" s="156">
        <f>K3454/13.28</f>
        <v>49887.048192771086</v>
      </c>
    </row>
    <row r="3455" spans="1:14" ht="33.75" x14ac:dyDescent="0.2">
      <c r="A3455" s="133">
        <v>2021</v>
      </c>
      <c r="B3455" s="133">
        <v>6</v>
      </c>
      <c r="C3455" s="133">
        <v>27</v>
      </c>
      <c r="D3455" s="141">
        <f t="shared" si="114"/>
        <v>44374</v>
      </c>
      <c r="E3455" s="275">
        <f t="shared" si="115"/>
        <v>44374</v>
      </c>
      <c r="F3455" s="481"/>
      <c r="G3455" s="174" t="s">
        <v>74</v>
      </c>
      <c r="H3455" s="148" t="str" cm="1">
        <f t="array" ref="H3455">IFERROR(INDEX(INVESTOR_LIST[INVESTOR NAME],MATCH(I3455,INVESTOR_LIST[INVESTOR CODE],0),)," ")</f>
        <v>JOY SHREE SAHA</v>
      </c>
      <c r="I3455" s="148" t="s">
        <v>777</v>
      </c>
      <c r="J3455" s="133" t="s">
        <v>13</v>
      </c>
      <c r="K3455" s="218"/>
      <c r="L3455" s="218">
        <v>498870</v>
      </c>
    </row>
    <row r="3456" spans="1:14" ht="33.75" x14ac:dyDescent="0.2">
      <c r="A3456" s="163">
        <v>2021</v>
      </c>
      <c r="B3456" s="163">
        <v>6</v>
      </c>
      <c r="C3456" s="163">
        <v>27</v>
      </c>
      <c r="D3456" s="141">
        <f t="shared" si="114"/>
        <v>44374</v>
      </c>
      <c r="E3456" s="275">
        <f t="shared" si="115"/>
        <v>44374</v>
      </c>
      <c r="F3456" s="480"/>
      <c r="G3456" s="221" t="s">
        <v>74</v>
      </c>
      <c r="H3456" s="145" t="str" cm="1">
        <f t="array" ref="H3456">IFERROR(INDEX(INVESTOR_LIST[INVESTOR NAME],MATCH(I3456,INVESTOR_LIST[INVESTOR CODE],0),)," ")</f>
        <v>JOY SHREE SAHA</v>
      </c>
      <c r="I3456" s="145" t="s">
        <v>777</v>
      </c>
      <c r="J3456" s="163" t="s">
        <v>53</v>
      </c>
      <c r="K3456" s="219"/>
      <c r="L3456" s="219">
        <v>163630</v>
      </c>
    </row>
    <row r="3457" spans="1:14" x14ac:dyDescent="0.2">
      <c r="A3457" s="168">
        <v>2021</v>
      </c>
      <c r="B3457" s="168">
        <v>6</v>
      </c>
      <c r="C3457" s="168">
        <v>27</v>
      </c>
      <c r="D3457" s="141">
        <f t="shared" si="114"/>
        <v>44374</v>
      </c>
      <c r="E3457" s="275">
        <f t="shared" si="115"/>
        <v>44374</v>
      </c>
      <c r="F3457" s="479" t="s">
        <v>77</v>
      </c>
      <c r="G3457" s="220" t="s">
        <v>74</v>
      </c>
      <c r="H3457" s="220" t="str" cm="1">
        <f t="array" ref="H3457">IFERROR(INDEX(INVESTOR_LIST[INVESTOR NAME],MATCH(I3457,INVESTOR_LIST[INVESTOR CODE],0),)," ")</f>
        <v xml:space="preserve"> </v>
      </c>
      <c r="I3457" s="142" t="s">
        <v>348</v>
      </c>
      <c r="J3457" s="143" t="s">
        <v>61</v>
      </c>
      <c r="K3457" s="226">
        <v>60</v>
      </c>
      <c r="L3457" s="226"/>
    </row>
    <row r="3458" spans="1:14" x14ac:dyDescent="0.2">
      <c r="A3458" s="163">
        <v>2021</v>
      </c>
      <c r="B3458" s="163">
        <v>6</v>
      </c>
      <c r="C3458" s="163">
        <v>27</v>
      </c>
      <c r="D3458" s="141">
        <f t="shared" si="114"/>
        <v>44374</v>
      </c>
      <c r="E3458" s="275">
        <f t="shared" si="115"/>
        <v>44374</v>
      </c>
      <c r="F3458" s="480"/>
      <c r="G3458" s="221" t="s">
        <v>74</v>
      </c>
      <c r="H3458" s="221" t="str" cm="1">
        <f t="array" ref="H3458">IFERROR(INDEX(INVESTOR_LIST[INVESTOR NAME],MATCH(I3458,INVESTOR_LIST[INVESTOR CODE],0),)," ")</f>
        <v xml:space="preserve"> </v>
      </c>
      <c r="I3458" s="145" t="s">
        <v>348</v>
      </c>
      <c r="J3458" s="146" t="s">
        <v>52</v>
      </c>
      <c r="K3458" s="219"/>
      <c r="L3458" s="219">
        <v>60</v>
      </c>
    </row>
    <row r="3459" spans="1:14" x14ac:dyDescent="0.2">
      <c r="A3459" s="168">
        <v>2021</v>
      </c>
      <c r="B3459" s="168">
        <v>6</v>
      </c>
      <c r="C3459" s="168">
        <v>27</v>
      </c>
      <c r="D3459" s="141">
        <f t="shared" si="114"/>
        <v>44374</v>
      </c>
      <c r="E3459" s="275">
        <f t="shared" si="115"/>
        <v>44374</v>
      </c>
      <c r="F3459" s="479" t="s">
        <v>544</v>
      </c>
      <c r="G3459" s="220" t="s">
        <v>74</v>
      </c>
      <c r="H3459" s="142" t="str" cm="1">
        <f t="array" ref="H3459">IFERROR(INDEX(INVESTOR_LIST[INVESTOR NAME],MATCH(I3459,INVESTOR_LIST[INVESTOR CODE],0),)," ")</f>
        <v xml:space="preserve"> </v>
      </c>
      <c r="I3459" s="142"/>
      <c r="J3459" s="168" t="s">
        <v>52</v>
      </c>
      <c r="K3459" s="226">
        <v>852558.83</v>
      </c>
      <c r="L3459" s="226"/>
    </row>
    <row r="3460" spans="1:14" x14ac:dyDescent="0.2">
      <c r="A3460" s="163">
        <v>2021</v>
      </c>
      <c r="B3460" s="163">
        <v>6</v>
      </c>
      <c r="C3460" s="163">
        <v>27</v>
      </c>
      <c r="D3460" s="141">
        <f t="shared" si="114"/>
        <v>44374</v>
      </c>
      <c r="E3460" s="275">
        <f t="shared" si="115"/>
        <v>44374</v>
      </c>
      <c r="F3460" s="480"/>
      <c r="G3460" s="221" t="s">
        <v>74</v>
      </c>
      <c r="H3460" s="145" t="str" cm="1">
        <f t="array" ref="H3460">IFERROR(INDEX(INVESTOR_LIST[INVESTOR NAME],MATCH(I3460,INVESTOR_LIST[INVESTOR CODE],0),)," ")</f>
        <v xml:space="preserve"> </v>
      </c>
      <c r="I3460" s="145"/>
      <c r="J3460" s="163" t="s">
        <v>190</v>
      </c>
      <c r="K3460" s="219"/>
      <c r="L3460" s="219">
        <v>852558.83</v>
      </c>
    </row>
    <row r="3461" spans="1:14" x14ac:dyDescent="0.2">
      <c r="A3461" s="168">
        <v>2021</v>
      </c>
      <c r="B3461" s="168">
        <v>6</v>
      </c>
      <c r="C3461" s="168">
        <v>27</v>
      </c>
      <c r="D3461" s="141">
        <f t="shared" si="114"/>
        <v>44374</v>
      </c>
      <c r="E3461" s="275">
        <f t="shared" si="115"/>
        <v>44374</v>
      </c>
      <c r="F3461" s="479" t="s">
        <v>524</v>
      </c>
      <c r="G3461" s="220" t="s">
        <v>74</v>
      </c>
      <c r="H3461" s="142" t="str" cm="1">
        <f t="array" ref="H3461">IFERROR(INDEX(INVESTOR_LIST[INVESTOR NAME],MATCH(I3461,INVESTOR_LIST[INVESTOR CODE],0),)," ")</f>
        <v xml:space="preserve"> </v>
      </c>
      <c r="I3461" s="142"/>
      <c r="J3461" s="168" t="s">
        <v>147</v>
      </c>
      <c r="K3461" s="226">
        <v>1972024.72</v>
      </c>
      <c r="L3461" s="226"/>
    </row>
    <row r="3462" spans="1:14" x14ac:dyDescent="0.2">
      <c r="A3462" s="163">
        <v>2021</v>
      </c>
      <c r="B3462" s="163">
        <v>6</v>
      </c>
      <c r="C3462" s="163">
        <v>27</v>
      </c>
      <c r="D3462" s="141">
        <f t="shared" si="114"/>
        <v>44374</v>
      </c>
      <c r="E3462" s="275">
        <f t="shared" si="115"/>
        <v>44374</v>
      </c>
      <c r="F3462" s="480"/>
      <c r="G3462" s="221" t="s">
        <v>74</v>
      </c>
      <c r="H3462" s="145" t="str" cm="1">
        <f t="array" ref="H3462">IFERROR(INDEX(INVESTOR_LIST[INVESTOR NAME],MATCH(I3462,INVESTOR_LIST[INVESTOR CODE],0),)," ")</f>
        <v xml:space="preserve"> </v>
      </c>
      <c r="I3462" s="145"/>
      <c r="J3462" s="163" t="s">
        <v>52</v>
      </c>
      <c r="K3462" s="219"/>
      <c r="L3462" s="219">
        <v>1972024.72</v>
      </c>
    </row>
    <row r="3463" spans="1:14" x14ac:dyDescent="0.2">
      <c r="A3463" s="168">
        <v>2021</v>
      </c>
      <c r="B3463" s="168">
        <v>6</v>
      </c>
      <c r="C3463" s="168">
        <v>27</v>
      </c>
      <c r="D3463" s="141">
        <f t="shared" si="114"/>
        <v>44374</v>
      </c>
      <c r="E3463" s="275">
        <f t="shared" si="115"/>
        <v>44374</v>
      </c>
      <c r="F3463" s="479" t="s">
        <v>274</v>
      </c>
      <c r="G3463" s="220" t="s">
        <v>94</v>
      </c>
      <c r="H3463" s="142" t="str" cm="1">
        <f t="array" ref="H3463">IFERROR(INDEX(INVESTOR_LIST[INVESTOR NAME],MATCH(I3463,INVESTOR_LIST[INVESTOR CODE],0),)," ")</f>
        <v xml:space="preserve"> </v>
      </c>
      <c r="I3463" s="142"/>
      <c r="J3463" s="168" t="s">
        <v>79</v>
      </c>
      <c r="K3463" s="226">
        <v>1023000</v>
      </c>
      <c r="L3463" s="226"/>
    </row>
    <row r="3464" spans="1:14" x14ac:dyDescent="0.2">
      <c r="A3464" s="133">
        <v>2021</v>
      </c>
      <c r="B3464" s="133">
        <v>6</v>
      </c>
      <c r="C3464" s="133">
        <v>27</v>
      </c>
      <c r="D3464" s="141">
        <f t="shared" si="114"/>
        <v>44374</v>
      </c>
      <c r="E3464" s="275">
        <f t="shared" si="115"/>
        <v>44374</v>
      </c>
      <c r="F3464" s="481"/>
      <c r="G3464" s="174" t="s">
        <v>94</v>
      </c>
      <c r="H3464" s="148" t="str" cm="1">
        <f t="array" ref="H3464">IFERROR(INDEX(INVESTOR_LIST[INVESTOR NAME],MATCH(I3464,INVESTOR_LIST[INVESTOR CODE],0),)," ")</f>
        <v xml:space="preserve"> </v>
      </c>
      <c r="J3464" s="133" t="s">
        <v>80</v>
      </c>
      <c r="K3464" s="218">
        <v>1841.4</v>
      </c>
      <c r="L3464" s="218"/>
    </row>
    <row r="3465" spans="1:14" x14ac:dyDescent="0.2">
      <c r="A3465" s="163">
        <v>2021</v>
      </c>
      <c r="B3465" s="163">
        <v>6</v>
      </c>
      <c r="C3465" s="163">
        <v>27</v>
      </c>
      <c r="D3465" s="141">
        <f t="shared" si="114"/>
        <v>44374</v>
      </c>
      <c r="E3465" s="275">
        <f t="shared" si="115"/>
        <v>44374</v>
      </c>
      <c r="F3465" s="480"/>
      <c r="G3465" s="221" t="s">
        <v>94</v>
      </c>
      <c r="H3465" s="145" t="str" cm="1">
        <f t="array" ref="H3465">IFERROR(INDEX(INVESTOR_LIST[INVESTOR NAME],MATCH(I3465,INVESTOR_LIST[INVESTOR CODE],0),)," ")</f>
        <v xml:space="preserve"> </v>
      </c>
      <c r="I3465" s="145"/>
      <c r="J3465" s="163" t="s">
        <v>147</v>
      </c>
      <c r="K3465" s="219"/>
      <c r="L3465" s="219">
        <v>1024841.4</v>
      </c>
      <c r="N3465" s="156">
        <v>3745.3589077123484</v>
      </c>
    </row>
    <row r="3466" spans="1:14" ht="33.75" x14ac:dyDescent="0.2">
      <c r="A3466" s="168">
        <v>2021</v>
      </c>
      <c r="B3466" s="168">
        <v>6</v>
      </c>
      <c r="C3466" s="168">
        <v>28</v>
      </c>
      <c r="D3466" s="141">
        <f t="shared" si="114"/>
        <v>44375</v>
      </c>
      <c r="E3466" s="275">
        <f t="shared" si="115"/>
        <v>44375</v>
      </c>
      <c r="F3466" s="479" t="s">
        <v>965</v>
      </c>
      <c r="G3466" s="220" t="s">
        <v>74</v>
      </c>
      <c r="H3466" s="142" t="str" cm="1">
        <f t="array" ref="H3466">IFERROR(INDEX(INVESTOR_LIST[INVESTOR NAME],MATCH(I3466,INVESTOR_LIST[INVESTOR CODE],0),)," ")</f>
        <v>AKASH DEEP PAUL</v>
      </c>
      <c r="I3466" s="142" t="s">
        <v>471</v>
      </c>
      <c r="J3466" s="168" t="s">
        <v>13</v>
      </c>
      <c r="K3466" s="226">
        <v>37450</v>
      </c>
      <c r="L3466" s="226"/>
    </row>
    <row r="3467" spans="1:14" ht="33.75" x14ac:dyDescent="0.2">
      <c r="A3467" s="133">
        <v>2021</v>
      </c>
      <c r="B3467" s="133">
        <v>6</v>
      </c>
      <c r="C3467" s="133">
        <v>28</v>
      </c>
      <c r="D3467" s="141">
        <f t="shared" si="114"/>
        <v>44375</v>
      </c>
      <c r="E3467" s="275">
        <f t="shared" si="115"/>
        <v>44375</v>
      </c>
      <c r="F3467" s="481"/>
      <c r="G3467" s="174" t="s">
        <v>74</v>
      </c>
      <c r="H3467" s="148" t="str" cm="1">
        <f t="array" ref="H3467">IFERROR(INDEX(INVESTOR_LIST[INVESTOR NAME],MATCH(I3467,INVESTOR_LIST[INVESTOR CODE],0),)," ")</f>
        <v>AKASH DEEP PAUL</v>
      </c>
      <c r="I3467" s="148" t="s">
        <v>471</v>
      </c>
      <c r="J3467" s="133" t="s">
        <v>53</v>
      </c>
      <c r="K3467" s="218">
        <v>12550</v>
      </c>
      <c r="L3467" s="218"/>
    </row>
    <row r="3468" spans="1:14" ht="33.75" x14ac:dyDescent="0.2">
      <c r="A3468" s="163">
        <v>2021</v>
      </c>
      <c r="B3468" s="163">
        <v>6</v>
      </c>
      <c r="C3468" s="163">
        <v>28</v>
      </c>
      <c r="D3468" s="141">
        <f t="shared" si="114"/>
        <v>44375</v>
      </c>
      <c r="E3468" s="275">
        <f t="shared" si="115"/>
        <v>44375</v>
      </c>
      <c r="F3468" s="480"/>
      <c r="G3468" s="221" t="s">
        <v>74</v>
      </c>
      <c r="H3468" s="145" t="str" cm="1">
        <f t="array" ref="H3468">IFERROR(INDEX(INVESTOR_LIST[INVESTOR NAME],MATCH(I3468,INVESTOR_LIST[INVESTOR CODE],0),)," ")</f>
        <v>AKASH DEEP PAUL</v>
      </c>
      <c r="I3468" s="145" t="s">
        <v>471</v>
      </c>
      <c r="J3468" s="163" t="s">
        <v>52</v>
      </c>
      <c r="K3468" s="219"/>
      <c r="L3468" s="219">
        <v>50000</v>
      </c>
    </row>
    <row r="3469" spans="1:14" ht="11.25" customHeight="1" x14ac:dyDescent="0.2">
      <c r="A3469" s="168">
        <v>2021</v>
      </c>
      <c r="B3469" s="168">
        <v>6</v>
      </c>
      <c r="C3469" s="168">
        <v>28</v>
      </c>
      <c r="D3469" s="141">
        <f t="shared" si="114"/>
        <v>44375</v>
      </c>
      <c r="E3469" s="275">
        <f t="shared" si="115"/>
        <v>44375</v>
      </c>
      <c r="F3469" s="479" t="s">
        <v>964</v>
      </c>
      <c r="G3469" s="220" t="s">
        <v>74</v>
      </c>
      <c r="H3469" s="142" t="str" cm="1">
        <f t="array" ref="H3469">IFERROR(INDEX(INVESTOR_LIST[INVESTOR NAME],MATCH(I3469,INVESTOR_LIST[INVESTOR CODE],0),)," ")</f>
        <v>SAJJAD CHOWDHURY</v>
      </c>
      <c r="I3469" s="142" t="s">
        <v>533</v>
      </c>
      <c r="J3469" s="168" t="s">
        <v>52</v>
      </c>
      <c r="K3469" s="226">
        <v>100000</v>
      </c>
      <c r="L3469" s="226"/>
      <c r="N3469" s="156">
        <f>K3469/13.35</f>
        <v>7490.63670411985</v>
      </c>
    </row>
    <row r="3470" spans="1:14" ht="33.75" x14ac:dyDescent="0.2">
      <c r="A3470" s="133">
        <v>2021</v>
      </c>
      <c r="B3470" s="133">
        <v>6</v>
      </c>
      <c r="C3470" s="133">
        <v>28</v>
      </c>
      <c r="D3470" s="141">
        <f t="shared" ref="D3470:D3533" si="116">DATE(A3470,B3470,C3470)</f>
        <v>44375</v>
      </c>
      <c r="E3470" s="275">
        <f t="shared" si="115"/>
        <v>44375</v>
      </c>
      <c r="F3470" s="481"/>
      <c r="G3470" s="174" t="s">
        <v>74</v>
      </c>
      <c r="H3470" s="148" t="str" cm="1">
        <f t="array" ref="H3470">IFERROR(INDEX(INVESTOR_LIST[INVESTOR NAME],MATCH(I3470,INVESTOR_LIST[INVESTOR CODE],0),)," ")</f>
        <v>SAJJAD CHOWDHURY</v>
      </c>
      <c r="I3470" s="148" t="s">
        <v>533</v>
      </c>
      <c r="J3470" s="133" t="s">
        <v>13</v>
      </c>
      <c r="K3470" s="218"/>
      <c r="L3470" s="218">
        <v>74910</v>
      </c>
    </row>
    <row r="3471" spans="1:14" ht="33.75" x14ac:dyDescent="0.2">
      <c r="A3471" s="163">
        <v>2021</v>
      </c>
      <c r="B3471" s="163">
        <v>6</v>
      </c>
      <c r="C3471" s="163">
        <v>28</v>
      </c>
      <c r="D3471" s="141">
        <f t="shared" si="116"/>
        <v>44375</v>
      </c>
      <c r="E3471" s="275">
        <f t="shared" ref="E3471:E3534" si="117">DATE(A3471,B3471,C3471)</f>
        <v>44375</v>
      </c>
      <c r="F3471" s="480"/>
      <c r="G3471" s="221" t="s">
        <v>74</v>
      </c>
      <c r="H3471" s="145" t="str" cm="1">
        <f t="array" ref="H3471">IFERROR(INDEX(INVESTOR_LIST[INVESTOR NAME],MATCH(I3471,INVESTOR_LIST[INVESTOR CODE],0),)," ")</f>
        <v>SAJJAD CHOWDHURY</v>
      </c>
      <c r="I3471" s="145" t="s">
        <v>533</v>
      </c>
      <c r="J3471" s="163" t="s">
        <v>53</v>
      </c>
      <c r="K3471" s="219"/>
      <c r="L3471" s="219">
        <v>25090</v>
      </c>
    </row>
    <row r="3472" spans="1:14" ht="11.25" customHeight="1" x14ac:dyDescent="0.2">
      <c r="A3472" s="168">
        <v>2021</v>
      </c>
      <c r="B3472" s="168">
        <v>6</v>
      </c>
      <c r="C3472" s="168">
        <v>28</v>
      </c>
      <c r="D3472" s="141">
        <f t="shared" si="116"/>
        <v>44375</v>
      </c>
      <c r="E3472" s="275">
        <f t="shared" si="117"/>
        <v>44375</v>
      </c>
      <c r="F3472" s="479" t="s">
        <v>964</v>
      </c>
      <c r="G3472" s="220" t="s">
        <v>74</v>
      </c>
      <c r="H3472" s="142" t="str" cm="1">
        <f t="array" ref="H3472">IFERROR(INDEX(INVESTOR_LIST[INVESTOR NAME],MATCH(I3472,INVESTOR_LIST[INVESTOR CODE],0),)," ")</f>
        <v>A S SALAHUDDIN AHMED</v>
      </c>
      <c r="I3472" s="142" t="s">
        <v>779</v>
      </c>
      <c r="J3472" s="168" t="s">
        <v>52</v>
      </c>
      <c r="K3472" s="226">
        <v>500000</v>
      </c>
      <c r="L3472" s="226"/>
      <c r="N3472" s="156">
        <f>K3472/13.35</f>
        <v>37453.183520599254</v>
      </c>
    </row>
    <row r="3473" spans="1:14" ht="45" x14ac:dyDescent="0.2">
      <c r="A3473" s="133">
        <v>2021</v>
      </c>
      <c r="B3473" s="133">
        <v>6</v>
      </c>
      <c r="C3473" s="133">
        <v>28</v>
      </c>
      <c r="D3473" s="141">
        <f t="shared" si="116"/>
        <v>44375</v>
      </c>
      <c r="E3473" s="275">
        <f t="shared" si="117"/>
        <v>44375</v>
      </c>
      <c r="F3473" s="481"/>
      <c r="G3473" s="174" t="s">
        <v>74</v>
      </c>
      <c r="H3473" s="148" t="str" cm="1">
        <f t="array" ref="H3473">IFERROR(INDEX(INVESTOR_LIST[INVESTOR NAME],MATCH(I3473,INVESTOR_LIST[INVESTOR CODE],0),)," ")</f>
        <v>A S SALAHUDDIN AHMED</v>
      </c>
      <c r="I3473" s="148" t="s">
        <v>779</v>
      </c>
      <c r="J3473" s="133" t="s">
        <v>13</v>
      </c>
      <c r="K3473" s="218"/>
      <c r="L3473" s="218">
        <v>374530</v>
      </c>
    </row>
    <row r="3474" spans="1:14" ht="45" x14ac:dyDescent="0.2">
      <c r="A3474" s="163">
        <v>2021</v>
      </c>
      <c r="B3474" s="163">
        <v>6</v>
      </c>
      <c r="C3474" s="163">
        <v>28</v>
      </c>
      <c r="D3474" s="141">
        <f t="shared" si="116"/>
        <v>44375</v>
      </c>
      <c r="E3474" s="275">
        <f t="shared" si="117"/>
        <v>44375</v>
      </c>
      <c r="F3474" s="480"/>
      <c r="G3474" s="221" t="s">
        <v>74</v>
      </c>
      <c r="H3474" s="145" t="str" cm="1">
        <f t="array" ref="H3474">IFERROR(INDEX(INVESTOR_LIST[INVESTOR NAME],MATCH(I3474,INVESTOR_LIST[INVESTOR CODE],0),)," ")</f>
        <v>A S SALAHUDDIN AHMED</v>
      </c>
      <c r="I3474" s="145" t="s">
        <v>779</v>
      </c>
      <c r="J3474" s="163" t="s">
        <v>53</v>
      </c>
      <c r="K3474" s="219"/>
      <c r="L3474" s="219">
        <v>125470</v>
      </c>
    </row>
    <row r="3475" spans="1:14" ht="11.25" customHeight="1" x14ac:dyDescent="0.2">
      <c r="A3475" s="168">
        <v>2021</v>
      </c>
      <c r="B3475" s="168">
        <v>6</v>
      </c>
      <c r="C3475" s="168">
        <v>28</v>
      </c>
      <c r="D3475" s="141">
        <f t="shared" si="116"/>
        <v>44375</v>
      </c>
      <c r="E3475" s="275">
        <f t="shared" si="117"/>
        <v>44375</v>
      </c>
      <c r="F3475" s="479" t="s">
        <v>964</v>
      </c>
      <c r="G3475" s="220" t="s">
        <v>74</v>
      </c>
      <c r="H3475" s="142" t="str" cm="1">
        <f t="array" ref="H3475">IFERROR(INDEX(INVESTOR_LIST[INVESTOR NAME],MATCH(I3475,INVESTOR_LIST[INVESTOR CODE],0),)," ")</f>
        <v>NITYANANDA BISWAS</v>
      </c>
      <c r="I3475" s="142" t="s">
        <v>749</v>
      </c>
      <c r="J3475" s="168" t="s">
        <v>52</v>
      </c>
      <c r="K3475" s="226">
        <v>100000</v>
      </c>
      <c r="L3475" s="226"/>
      <c r="N3475" s="156">
        <f>K3482/13.35</f>
        <v>22471.91011235955</v>
      </c>
    </row>
    <row r="3476" spans="1:14" ht="33.75" x14ac:dyDescent="0.2">
      <c r="A3476" s="133">
        <v>2021</v>
      </c>
      <c r="B3476" s="133">
        <v>6</v>
      </c>
      <c r="C3476" s="133">
        <v>28</v>
      </c>
      <c r="D3476" s="141">
        <f t="shared" si="116"/>
        <v>44375</v>
      </c>
      <c r="E3476" s="275">
        <f t="shared" si="117"/>
        <v>44375</v>
      </c>
      <c r="F3476" s="481"/>
      <c r="G3476" s="174" t="s">
        <v>74</v>
      </c>
      <c r="H3476" s="148" t="str" cm="1">
        <f t="array" ref="H3476">IFERROR(INDEX(INVESTOR_LIST[INVESTOR NAME],MATCH(I3476,INVESTOR_LIST[INVESTOR CODE],0),)," ")</f>
        <v>NITYANANDA BISWAS</v>
      </c>
      <c r="I3476" s="148" t="s">
        <v>749</v>
      </c>
      <c r="J3476" s="133" t="s">
        <v>13</v>
      </c>
      <c r="K3476" s="218"/>
      <c r="L3476" s="218">
        <v>74910</v>
      </c>
    </row>
    <row r="3477" spans="1:14" ht="33.75" x14ac:dyDescent="0.2">
      <c r="A3477" s="163">
        <v>2021</v>
      </c>
      <c r="B3477" s="163">
        <v>6</v>
      </c>
      <c r="C3477" s="163">
        <v>28</v>
      </c>
      <c r="D3477" s="141">
        <f t="shared" si="116"/>
        <v>44375</v>
      </c>
      <c r="E3477" s="275">
        <f t="shared" si="117"/>
        <v>44375</v>
      </c>
      <c r="F3477" s="480"/>
      <c r="G3477" s="221" t="s">
        <v>74</v>
      </c>
      <c r="H3477" s="145" t="str" cm="1">
        <f t="array" ref="H3477">IFERROR(INDEX(INVESTOR_LIST[INVESTOR NAME],MATCH(I3477,INVESTOR_LIST[INVESTOR CODE],0),)," ")</f>
        <v>NITYANANDA BISWAS</v>
      </c>
      <c r="I3477" s="145" t="s">
        <v>749</v>
      </c>
      <c r="J3477" s="163" t="s">
        <v>53</v>
      </c>
      <c r="K3477" s="219"/>
      <c r="L3477" s="219">
        <v>25090</v>
      </c>
    </row>
    <row r="3478" spans="1:14" x14ac:dyDescent="0.2">
      <c r="A3478" s="168">
        <v>2021</v>
      </c>
      <c r="B3478" s="168">
        <v>6</v>
      </c>
      <c r="C3478" s="168">
        <v>28</v>
      </c>
      <c r="D3478" s="141">
        <f t="shared" si="116"/>
        <v>44375</v>
      </c>
      <c r="E3478" s="275">
        <f t="shared" si="117"/>
        <v>44375</v>
      </c>
      <c r="F3478" s="479" t="s">
        <v>77</v>
      </c>
      <c r="G3478" s="220" t="s">
        <v>74</v>
      </c>
      <c r="H3478" s="220" t="str" cm="1">
        <f t="array" ref="H3478">IFERROR(INDEX(INVESTOR_LIST[INVESTOR NAME],MATCH(I3478,INVESTOR_LIST[INVESTOR CODE],0),)," ")</f>
        <v xml:space="preserve"> </v>
      </c>
      <c r="I3478" s="142" t="s">
        <v>348</v>
      </c>
      <c r="J3478" s="143" t="s">
        <v>61</v>
      </c>
      <c r="K3478" s="226">
        <v>60</v>
      </c>
      <c r="L3478" s="226"/>
    </row>
    <row r="3479" spans="1:14" x14ac:dyDescent="0.2">
      <c r="A3479" s="163">
        <v>2021</v>
      </c>
      <c r="B3479" s="163">
        <v>6</v>
      </c>
      <c r="C3479" s="163">
        <v>28</v>
      </c>
      <c r="D3479" s="141">
        <f t="shared" si="116"/>
        <v>44375</v>
      </c>
      <c r="E3479" s="275">
        <f t="shared" si="117"/>
        <v>44375</v>
      </c>
      <c r="F3479" s="480"/>
      <c r="G3479" s="221" t="s">
        <v>74</v>
      </c>
      <c r="H3479" s="221" t="str" cm="1">
        <f t="array" ref="H3479">IFERROR(INDEX(INVESTOR_LIST[INVESTOR NAME],MATCH(I3479,INVESTOR_LIST[INVESTOR CODE],0),)," ")</f>
        <v xml:space="preserve"> </v>
      </c>
      <c r="I3479" s="145" t="s">
        <v>348</v>
      </c>
      <c r="J3479" s="146" t="s">
        <v>52</v>
      </c>
      <c r="K3479" s="219"/>
      <c r="L3479" s="219">
        <v>60</v>
      </c>
    </row>
    <row r="3480" spans="1:14" x14ac:dyDescent="0.2">
      <c r="A3480" s="168">
        <v>2021</v>
      </c>
      <c r="B3480" s="168">
        <v>6</v>
      </c>
      <c r="C3480" s="168">
        <v>28</v>
      </c>
      <c r="D3480" s="141">
        <f t="shared" si="116"/>
        <v>44375</v>
      </c>
      <c r="E3480" s="275">
        <f t="shared" si="117"/>
        <v>44375</v>
      </c>
      <c r="F3480" s="479" t="s">
        <v>77</v>
      </c>
      <c r="G3480" s="220" t="s">
        <v>74</v>
      </c>
      <c r="H3480" s="220" t="str" cm="1">
        <f t="array" ref="H3480">IFERROR(INDEX(INVESTOR_LIST[INVESTOR NAME],MATCH(I3480,INVESTOR_LIST[INVESTOR CODE],0),)," ")</f>
        <v xml:space="preserve"> </v>
      </c>
      <c r="I3480" s="142" t="s">
        <v>348</v>
      </c>
      <c r="J3480" s="143" t="s">
        <v>61</v>
      </c>
      <c r="K3480" s="226">
        <v>10</v>
      </c>
      <c r="L3480" s="226"/>
    </row>
    <row r="3481" spans="1:14" x14ac:dyDescent="0.2">
      <c r="A3481" s="163">
        <v>2021</v>
      </c>
      <c r="B3481" s="163">
        <v>6</v>
      </c>
      <c r="C3481" s="163">
        <v>28</v>
      </c>
      <c r="D3481" s="141">
        <f t="shared" si="116"/>
        <v>44375</v>
      </c>
      <c r="E3481" s="275">
        <f t="shared" si="117"/>
        <v>44375</v>
      </c>
      <c r="F3481" s="480"/>
      <c r="G3481" s="221" t="s">
        <v>74</v>
      </c>
      <c r="H3481" s="221" t="str" cm="1">
        <f t="array" ref="H3481">IFERROR(INDEX(INVESTOR_LIST[INVESTOR NAME],MATCH(I3481,INVESTOR_LIST[INVESTOR CODE],0),)," ")</f>
        <v xml:space="preserve"> </v>
      </c>
      <c r="I3481" s="145" t="s">
        <v>348</v>
      </c>
      <c r="J3481" s="146" t="s">
        <v>52</v>
      </c>
      <c r="K3481" s="219"/>
      <c r="L3481" s="219">
        <v>10</v>
      </c>
    </row>
    <row r="3482" spans="1:14" ht="11.25" customHeight="1" x14ac:dyDescent="0.2">
      <c r="A3482" s="168">
        <v>2021</v>
      </c>
      <c r="B3482" s="168">
        <v>6</v>
      </c>
      <c r="C3482" s="168">
        <v>28</v>
      </c>
      <c r="D3482" s="141">
        <f t="shared" si="116"/>
        <v>44375</v>
      </c>
      <c r="E3482" s="275">
        <f t="shared" si="117"/>
        <v>44375</v>
      </c>
      <c r="F3482" s="479" t="s">
        <v>964</v>
      </c>
      <c r="G3482" s="220" t="s">
        <v>74</v>
      </c>
      <c r="H3482" s="142" t="str" cm="1">
        <f t="array" ref="H3482">IFERROR(INDEX(INVESTOR_LIST[INVESTOR NAME],MATCH(I3482,INVESTOR_LIST[INVESTOR CODE],0),)," ")</f>
        <v>MASTURA MUNIAT</v>
      </c>
      <c r="I3482" s="142" t="s">
        <v>775</v>
      </c>
      <c r="J3482" s="168" t="s">
        <v>52</v>
      </c>
      <c r="K3482" s="226">
        <v>300000</v>
      </c>
      <c r="L3482" s="226"/>
    </row>
    <row r="3483" spans="1:14" ht="33.75" x14ac:dyDescent="0.2">
      <c r="A3483" s="133">
        <v>2021</v>
      </c>
      <c r="B3483" s="133">
        <v>6</v>
      </c>
      <c r="C3483" s="133">
        <v>28</v>
      </c>
      <c r="D3483" s="141">
        <f t="shared" si="116"/>
        <v>44375</v>
      </c>
      <c r="E3483" s="275">
        <f t="shared" si="117"/>
        <v>44375</v>
      </c>
      <c r="F3483" s="481"/>
      <c r="G3483" s="174" t="s">
        <v>74</v>
      </c>
      <c r="H3483" s="148" t="str" cm="1">
        <f t="array" ref="H3483">IFERROR(INDEX(INVESTOR_LIST[INVESTOR NAME],MATCH(I3483,INVESTOR_LIST[INVESTOR CODE],0),)," ")</f>
        <v>MASTURA MUNIAT</v>
      </c>
      <c r="I3483" s="148" t="s">
        <v>775</v>
      </c>
      <c r="J3483" s="133" t="s">
        <v>13</v>
      </c>
      <c r="K3483" s="218"/>
      <c r="L3483" s="218">
        <v>224720</v>
      </c>
    </row>
    <row r="3484" spans="1:14" ht="33.75" x14ac:dyDescent="0.2">
      <c r="A3484" s="163">
        <v>2021</v>
      </c>
      <c r="B3484" s="163">
        <v>6</v>
      </c>
      <c r="C3484" s="163">
        <v>28</v>
      </c>
      <c r="D3484" s="141">
        <f t="shared" si="116"/>
        <v>44375</v>
      </c>
      <c r="E3484" s="275">
        <f t="shared" si="117"/>
        <v>44375</v>
      </c>
      <c r="F3484" s="480"/>
      <c r="G3484" s="221" t="s">
        <v>74</v>
      </c>
      <c r="H3484" s="145" t="str" cm="1">
        <f t="array" ref="H3484">IFERROR(INDEX(INVESTOR_LIST[INVESTOR NAME],MATCH(I3484,INVESTOR_LIST[INVESTOR CODE],0),)," ")</f>
        <v>MASTURA MUNIAT</v>
      </c>
      <c r="I3484" s="145" t="s">
        <v>775</v>
      </c>
      <c r="J3484" s="163" t="s">
        <v>53</v>
      </c>
      <c r="K3484" s="219"/>
      <c r="L3484" s="219">
        <v>75280</v>
      </c>
    </row>
    <row r="3485" spans="1:14" x14ac:dyDescent="0.2">
      <c r="A3485" s="168">
        <v>2021</v>
      </c>
      <c r="B3485" s="168">
        <v>6</v>
      </c>
      <c r="C3485" s="168">
        <v>28</v>
      </c>
      <c r="D3485" s="141">
        <f t="shared" si="116"/>
        <v>44375</v>
      </c>
      <c r="E3485" s="275">
        <f t="shared" si="117"/>
        <v>44375</v>
      </c>
      <c r="F3485" s="479" t="s">
        <v>524</v>
      </c>
      <c r="G3485" s="220" t="s">
        <v>74</v>
      </c>
      <c r="H3485" s="142" t="str" cm="1">
        <f t="array" ref="H3485">IFERROR(INDEX(INVESTOR_LIST[INVESTOR NAME],MATCH(I3485,INVESTOR_LIST[INVESTOR CODE],0),)," ")</f>
        <v xml:space="preserve"> </v>
      </c>
      <c r="I3485" s="142"/>
      <c r="J3485" s="168" t="s">
        <v>147</v>
      </c>
      <c r="K3485" s="226">
        <v>1024841.4</v>
      </c>
      <c r="L3485" s="226"/>
    </row>
    <row r="3486" spans="1:14" x14ac:dyDescent="0.2">
      <c r="A3486" s="163">
        <v>2021</v>
      </c>
      <c r="B3486" s="163">
        <v>6</v>
      </c>
      <c r="C3486" s="163">
        <v>28</v>
      </c>
      <c r="D3486" s="141">
        <f t="shared" si="116"/>
        <v>44375</v>
      </c>
      <c r="E3486" s="275">
        <f t="shared" si="117"/>
        <v>44375</v>
      </c>
      <c r="F3486" s="480"/>
      <c r="G3486" s="221" t="s">
        <v>74</v>
      </c>
      <c r="H3486" s="145" t="str" cm="1">
        <f t="array" ref="H3486">IFERROR(INDEX(INVESTOR_LIST[INVESTOR NAME],MATCH(I3486,INVESTOR_LIST[INVESTOR CODE],0),)," ")</f>
        <v xml:space="preserve"> </v>
      </c>
      <c r="I3486" s="145"/>
      <c r="J3486" s="163" t="s">
        <v>52</v>
      </c>
      <c r="K3486" s="219"/>
      <c r="L3486" s="219">
        <v>1024841.4</v>
      </c>
    </row>
    <row r="3487" spans="1:14" ht="11.25" customHeight="1" x14ac:dyDescent="0.2">
      <c r="A3487" s="168">
        <v>2021</v>
      </c>
      <c r="B3487" s="168">
        <v>6</v>
      </c>
      <c r="C3487" s="168">
        <v>29</v>
      </c>
      <c r="D3487" s="141">
        <f t="shared" si="116"/>
        <v>44376</v>
      </c>
      <c r="E3487" s="275">
        <f t="shared" si="117"/>
        <v>44376</v>
      </c>
      <c r="F3487" s="479" t="s">
        <v>964</v>
      </c>
      <c r="G3487" s="220" t="s">
        <v>74</v>
      </c>
      <c r="H3487" s="142" t="str" cm="1">
        <f t="array" ref="H3487">IFERROR(INDEX(INVESTOR_LIST[INVESTOR NAME],MATCH(I3487,INVESTOR_LIST[INVESTOR CODE],0),)," ")</f>
        <v>MOHAMMED SAJEDUR RAHMAN</v>
      </c>
      <c r="I3487" s="142" t="s">
        <v>781</v>
      </c>
      <c r="J3487" s="168" t="s">
        <v>52</v>
      </c>
      <c r="K3487" s="226">
        <v>100000</v>
      </c>
      <c r="L3487" s="226"/>
    </row>
    <row r="3488" spans="1:14" ht="45" x14ac:dyDescent="0.2">
      <c r="A3488" s="133">
        <v>2021</v>
      </c>
      <c r="B3488" s="133">
        <v>6</v>
      </c>
      <c r="C3488" s="133">
        <v>29</v>
      </c>
      <c r="D3488" s="141">
        <f t="shared" si="116"/>
        <v>44376</v>
      </c>
      <c r="E3488" s="275">
        <f t="shared" si="117"/>
        <v>44376</v>
      </c>
      <c r="F3488" s="481"/>
      <c r="G3488" s="174" t="s">
        <v>74</v>
      </c>
      <c r="H3488" s="148" t="str" cm="1">
        <f t="array" ref="H3488">IFERROR(INDEX(INVESTOR_LIST[INVESTOR NAME],MATCH(I3488,INVESTOR_LIST[INVESTOR CODE],0),)," ")</f>
        <v>MOHAMMED SAJEDUR RAHMAN</v>
      </c>
      <c r="I3488" s="148" t="s">
        <v>781</v>
      </c>
      <c r="J3488" s="133" t="s">
        <v>13</v>
      </c>
      <c r="K3488" s="218"/>
      <c r="L3488" s="218">
        <v>74910</v>
      </c>
    </row>
    <row r="3489" spans="1:14" ht="45" x14ac:dyDescent="0.2">
      <c r="A3489" s="163">
        <v>2021</v>
      </c>
      <c r="B3489" s="163">
        <v>6</v>
      </c>
      <c r="C3489" s="163">
        <v>29</v>
      </c>
      <c r="D3489" s="141">
        <f t="shared" si="116"/>
        <v>44376</v>
      </c>
      <c r="E3489" s="275">
        <f t="shared" si="117"/>
        <v>44376</v>
      </c>
      <c r="F3489" s="480"/>
      <c r="G3489" s="221" t="s">
        <v>74</v>
      </c>
      <c r="H3489" s="145" t="str" cm="1">
        <f t="array" ref="H3489">IFERROR(INDEX(INVESTOR_LIST[INVESTOR NAME],MATCH(I3489,INVESTOR_LIST[INVESTOR CODE],0),)," ")</f>
        <v>MOHAMMED SAJEDUR RAHMAN</v>
      </c>
      <c r="I3489" s="145" t="s">
        <v>781</v>
      </c>
      <c r="J3489" s="163" t="s">
        <v>53</v>
      </c>
      <c r="K3489" s="219"/>
      <c r="L3489" s="219">
        <v>25090</v>
      </c>
    </row>
    <row r="3490" spans="1:14" ht="11.25" customHeight="1" x14ac:dyDescent="0.2">
      <c r="A3490" s="168">
        <v>2021</v>
      </c>
      <c r="B3490" s="168">
        <v>6</v>
      </c>
      <c r="C3490" s="168">
        <v>29</v>
      </c>
      <c r="D3490" s="141">
        <f t="shared" si="116"/>
        <v>44376</v>
      </c>
      <c r="E3490" s="275">
        <f t="shared" si="117"/>
        <v>44376</v>
      </c>
      <c r="F3490" s="479" t="s">
        <v>964</v>
      </c>
      <c r="G3490" s="220" t="s">
        <v>74</v>
      </c>
      <c r="H3490" s="142" t="str" cm="1">
        <f t="array" ref="H3490">IFERROR(INDEX(INVESTOR_LIST[INVESTOR NAME],MATCH(I3490,INVESTOR_LIST[INVESTOR CODE],0),)," ")</f>
        <v>MONIR AHMED</v>
      </c>
      <c r="I3490" s="142" t="s">
        <v>407</v>
      </c>
      <c r="J3490" s="168" t="s">
        <v>52</v>
      </c>
      <c r="K3490" s="226">
        <v>100000</v>
      </c>
      <c r="L3490" s="226"/>
    </row>
    <row r="3491" spans="1:14" ht="22.5" x14ac:dyDescent="0.2">
      <c r="A3491" s="133">
        <v>2021</v>
      </c>
      <c r="B3491" s="133">
        <v>6</v>
      </c>
      <c r="C3491" s="133">
        <v>29</v>
      </c>
      <c r="D3491" s="141">
        <f t="shared" si="116"/>
        <v>44376</v>
      </c>
      <c r="E3491" s="275">
        <f t="shared" si="117"/>
        <v>44376</v>
      </c>
      <c r="F3491" s="481"/>
      <c r="G3491" s="174" t="s">
        <v>74</v>
      </c>
      <c r="H3491" s="148" t="str" cm="1">
        <f t="array" ref="H3491">IFERROR(INDEX(INVESTOR_LIST[INVESTOR NAME],MATCH(I3491,INVESTOR_LIST[INVESTOR CODE],0),)," ")</f>
        <v>MONIR AHMED</v>
      </c>
      <c r="I3491" s="148" t="s">
        <v>407</v>
      </c>
      <c r="J3491" s="133" t="s">
        <v>13</v>
      </c>
      <c r="K3491" s="218"/>
      <c r="L3491" s="218">
        <v>74910</v>
      </c>
    </row>
    <row r="3492" spans="1:14" ht="22.5" x14ac:dyDescent="0.2">
      <c r="A3492" s="163">
        <v>2021</v>
      </c>
      <c r="B3492" s="163">
        <v>6</v>
      </c>
      <c r="C3492" s="163">
        <v>29</v>
      </c>
      <c r="D3492" s="141">
        <f t="shared" si="116"/>
        <v>44376</v>
      </c>
      <c r="E3492" s="275">
        <f t="shared" si="117"/>
        <v>44376</v>
      </c>
      <c r="F3492" s="480"/>
      <c r="G3492" s="221" t="s">
        <v>74</v>
      </c>
      <c r="H3492" s="145" t="str" cm="1">
        <f t="array" ref="H3492">IFERROR(INDEX(INVESTOR_LIST[INVESTOR NAME],MATCH(I3492,INVESTOR_LIST[INVESTOR CODE],0),)," ")</f>
        <v>MONIR AHMED</v>
      </c>
      <c r="I3492" s="145" t="s">
        <v>407</v>
      </c>
      <c r="J3492" s="163" t="s">
        <v>53</v>
      </c>
      <c r="K3492" s="219"/>
      <c r="L3492" s="219">
        <v>25090</v>
      </c>
    </row>
    <row r="3493" spans="1:14" x14ac:dyDescent="0.2">
      <c r="A3493" s="168">
        <v>2021</v>
      </c>
      <c r="B3493" s="168">
        <v>6</v>
      </c>
      <c r="C3493" s="168">
        <v>29</v>
      </c>
      <c r="D3493" s="141">
        <f t="shared" si="116"/>
        <v>44376</v>
      </c>
      <c r="E3493" s="275">
        <f t="shared" si="117"/>
        <v>44376</v>
      </c>
      <c r="F3493" s="479" t="s">
        <v>77</v>
      </c>
      <c r="G3493" s="220" t="s">
        <v>74</v>
      </c>
      <c r="H3493" s="220" t="str" cm="1">
        <f t="array" ref="H3493">IFERROR(INDEX(INVESTOR_LIST[INVESTOR NAME],MATCH(I3493,INVESTOR_LIST[INVESTOR CODE],0),)," ")</f>
        <v xml:space="preserve"> </v>
      </c>
      <c r="I3493" s="142" t="s">
        <v>348</v>
      </c>
      <c r="J3493" s="143" t="s">
        <v>61</v>
      </c>
      <c r="K3493" s="226">
        <v>10</v>
      </c>
      <c r="L3493" s="226"/>
    </row>
    <row r="3494" spans="1:14" x14ac:dyDescent="0.2">
      <c r="A3494" s="163">
        <v>2021</v>
      </c>
      <c r="B3494" s="163">
        <v>6</v>
      </c>
      <c r="C3494" s="163">
        <v>29</v>
      </c>
      <c r="D3494" s="141">
        <f t="shared" si="116"/>
        <v>44376</v>
      </c>
      <c r="E3494" s="275">
        <f t="shared" si="117"/>
        <v>44376</v>
      </c>
      <c r="F3494" s="480"/>
      <c r="G3494" s="221" t="s">
        <v>74</v>
      </c>
      <c r="H3494" s="221" t="str" cm="1">
        <f t="array" ref="H3494">IFERROR(INDEX(INVESTOR_LIST[INVESTOR NAME],MATCH(I3494,INVESTOR_LIST[INVESTOR CODE],0),)," ")</f>
        <v xml:space="preserve"> </v>
      </c>
      <c r="I3494" s="145" t="s">
        <v>348</v>
      </c>
      <c r="J3494" s="146" t="s">
        <v>52</v>
      </c>
      <c r="K3494" s="219"/>
      <c r="L3494" s="219">
        <v>10</v>
      </c>
    </row>
    <row r="3495" spans="1:14" x14ac:dyDescent="0.2">
      <c r="A3495" s="168">
        <v>2021</v>
      </c>
      <c r="B3495" s="168">
        <v>6</v>
      </c>
      <c r="C3495" s="168">
        <v>30</v>
      </c>
      <c r="D3495" s="141">
        <f t="shared" si="116"/>
        <v>44377</v>
      </c>
      <c r="E3495" s="275">
        <f t="shared" si="117"/>
        <v>44377</v>
      </c>
      <c r="F3495" s="479" t="s">
        <v>274</v>
      </c>
      <c r="G3495" s="220" t="s">
        <v>94</v>
      </c>
      <c r="H3495" s="142" t="str" cm="1">
        <f t="array" ref="H3495">IFERROR(INDEX(INVESTOR_LIST[INVESTOR NAME],MATCH(I3495,INVESTOR_LIST[INVESTOR CODE],0),)," ")</f>
        <v xml:space="preserve"> </v>
      </c>
      <c r="I3495" s="142"/>
      <c r="J3495" s="168" t="s">
        <v>79</v>
      </c>
      <c r="K3495" s="226">
        <v>1489395.8</v>
      </c>
      <c r="L3495" s="226"/>
    </row>
    <row r="3496" spans="1:14" x14ac:dyDescent="0.2">
      <c r="A3496" s="133">
        <v>2021</v>
      </c>
      <c r="B3496" s="133">
        <v>6</v>
      </c>
      <c r="C3496" s="133">
        <v>30</v>
      </c>
      <c r="D3496" s="141">
        <f t="shared" si="116"/>
        <v>44377</v>
      </c>
      <c r="E3496" s="275">
        <f t="shared" si="117"/>
        <v>44377</v>
      </c>
      <c r="F3496" s="481"/>
      <c r="G3496" s="174" t="s">
        <v>94</v>
      </c>
      <c r="H3496" s="148" t="str" cm="1">
        <f t="array" ref="H3496">IFERROR(INDEX(INVESTOR_LIST[INVESTOR NAME],MATCH(I3496,INVESTOR_LIST[INVESTOR CODE],0),)," ")</f>
        <v xml:space="preserve"> </v>
      </c>
      <c r="J3496" s="133" t="s">
        <v>80</v>
      </c>
      <c r="K3496" s="218">
        <v>2680.91</v>
      </c>
      <c r="L3496" s="218"/>
    </row>
    <row r="3497" spans="1:14" x14ac:dyDescent="0.2">
      <c r="A3497" s="163">
        <v>2021</v>
      </c>
      <c r="B3497" s="163">
        <v>6</v>
      </c>
      <c r="C3497" s="163">
        <v>30</v>
      </c>
      <c r="D3497" s="141">
        <f t="shared" si="116"/>
        <v>44377</v>
      </c>
      <c r="E3497" s="275">
        <f t="shared" si="117"/>
        <v>44377</v>
      </c>
      <c r="F3497" s="480"/>
      <c r="G3497" s="221" t="s">
        <v>94</v>
      </c>
      <c r="H3497" s="145" t="str" cm="1">
        <f t="array" ref="H3497">IFERROR(INDEX(INVESTOR_LIST[INVESTOR NAME],MATCH(I3497,INVESTOR_LIST[INVESTOR CODE],0),)," ")</f>
        <v xml:space="preserve"> </v>
      </c>
      <c r="I3497" s="145"/>
      <c r="J3497" s="163" t="s">
        <v>147</v>
      </c>
      <c r="K3497" s="219"/>
      <c r="L3497" s="219">
        <v>1492076.71</v>
      </c>
    </row>
    <row r="3498" spans="1:14" ht="11.25" customHeight="1" x14ac:dyDescent="0.2">
      <c r="A3498" s="168">
        <v>2021</v>
      </c>
      <c r="B3498" s="168">
        <v>6</v>
      </c>
      <c r="C3498" s="168">
        <v>30</v>
      </c>
      <c r="D3498" s="141">
        <f t="shared" si="116"/>
        <v>44377</v>
      </c>
      <c r="E3498" s="275">
        <f t="shared" si="117"/>
        <v>44377</v>
      </c>
      <c r="F3498" s="479" t="s">
        <v>964</v>
      </c>
      <c r="G3498" s="220" t="s">
        <v>74</v>
      </c>
      <c r="H3498" s="142" t="str" cm="1">
        <f t="array" ref="H3498">IFERROR(INDEX(INVESTOR_LIST[INVESTOR NAME],MATCH(I3498,INVESTOR_LIST[INVESTOR CODE],0),)," ")</f>
        <v>JNANDIP PAUL</v>
      </c>
      <c r="I3498" s="142" t="s">
        <v>459</v>
      </c>
      <c r="J3498" s="168" t="s">
        <v>52</v>
      </c>
      <c r="K3498" s="226">
        <v>100000</v>
      </c>
      <c r="L3498" s="226"/>
    </row>
    <row r="3499" spans="1:14" ht="22.5" x14ac:dyDescent="0.2">
      <c r="A3499" s="133">
        <v>2021</v>
      </c>
      <c r="B3499" s="133">
        <v>6</v>
      </c>
      <c r="C3499" s="133">
        <v>30</v>
      </c>
      <c r="D3499" s="141">
        <f t="shared" si="116"/>
        <v>44377</v>
      </c>
      <c r="E3499" s="275">
        <f t="shared" si="117"/>
        <v>44377</v>
      </c>
      <c r="F3499" s="481"/>
      <c r="G3499" s="174" t="s">
        <v>74</v>
      </c>
      <c r="H3499" s="148" t="str" cm="1">
        <f t="array" ref="H3499">IFERROR(INDEX(INVESTOR_LIST[INVESTOR NAME],MATCH(I3499,INVESTOR_LIST[INVESTOR CODE],0),)," ")</f>
        <v>JNANDIP PAUL</v>
      </c>
      <c r="I3499" s="148" t="s">
        <v>459</v>
      </c>
      <c r="J3499" s="133" t="s">
        <v>13</v>
      </c>
      <c r="K3499" s="218"/>
      <c r="L3499" s="218">
        <v>74910</v>
      </c>
    </row>
    <row r="3500" spans="1:14" ht="22.5" x14ac:dyDescent="0.2">
      <c r="A3500" s="163">
        <v>2021</v>
      </c>
      <c r="B3500" s="163">
        <v>6</v>
      </c>
      <c r="C3500" s="163">
        <v>30</v>
      </c>
      <c r="D3500" s="141">
        <f t="shared" si="116"/>
        <v>44377</v>
      </c>
      <c r="E3500" s="275">
        <f t="shared" si="117"/>
        <v>44377</v>
      </c>
      <c r="F3500" s="480"/>
      <c r="G3500" s="221" t="s">
        <v>74</v>
      </c>
      <c r="H3500" s="145" t="str" cm="1">
        <f t="array" ref="H3500">IFERROR(INDEX(INVESTOR_LIST[INVESTOR NAME],MATCH(I3500,INVESTOR_LIST[INVESTOR CODE],0),)," ")</f>
        <v>JNANDIP PAUL</v>
      </c>
      <c r="I3500" s="145" t="s">
        <v>459</v>
      </c>
      <c r="J3500" s="163" t="s">
        <v>53</v>
      </c>
      <c r="K3500" s="219"/>
      <c r="L3500" s="219">
        <v>25090</v>
      </c>
    </row>
    <row r="3501" spans="1:14" ht="11.25" customHeight="1" x14ac:dyDescent="0.2">
      <c r="A3501" s="168">
        <v>2021</v>
      </c>
      <c r="B3501" s="168">
        <v>6</v>
      </c>
      <c r="C3501" s="168">
        <v>30</v>
      </c>
      <c r="D3501" s="141">
        <f t="shared" si="116"/>
        <v>44377</v>
      </c>
      <c r="E3501" s="275">
        <f t="shared" si="117"/>
        <v>44377</v>
      </c>
      <c r="F3501" s="479" t="s">
        <v>254</v>
      </c>
      <c r="G3501" s="220" t="s">
        <v>74</v>
      </c>
      <c r="H3501" s="142" t="str" cm="1">
        <f t="array" ref="H3501">IFERROR(INDEX(INVESTOR_LIST[INVESTOR NAME],MATCH(I3501,INVESTOR_LIST[INVESTOR CODE],0),)," ")</f>
        <v xml:space="preserve"> </v>
      </c>
      <c r="I3501" s="142"/>
      <c r="J3501" s="168" t="s">
        <v>52</v>
      </c>
      <c r="K3501" s="226">
        <v>491000</v>
      </c>
      <c r="L3501" s="226"/>
      <c r="N3501" s="160"/>
    </row>
    <row r="3502" spans="1:14" x14ac:dyDescent="0.2">
      <c r="A3502" s="133">
        <v>2021</v>
      </c>
      <c r="B3502" s="133">
        <v>6</v>
      </c>
      <c r="C3502" s="133">
        <v>30</v>
      </c>
      <c r="D3502" s="141">
        <f t="shared" si="116"/>
        <v>44377</v>
      </c>
      <c r="E3502" s="275">
        <f t="shared" si="117"/>
        <v>44377</v>
      </c>
      <c r="F3502" s="481"/>
      <c r="G3502" s="174" t="s">
        <v>74</v>
      </c>
      <c r="H3502" s="148" t="str" cm="1">
        <f t="array" ref="H3502">IFERROR(INDEX(INVESTOR_LIST[INVESTOR NAME],MATCH(I3502,INVESTOR_LIST[INVESTOR CODE],0),)," ")</f>
        <v xml:space="preserve"> </v>
      </c>
      <c r="J3502" s="133" t="s">
        <v>13</v>
      </c>
      <c r="K3502" s="218"/>
      <c r="L3502" s="218">
        <v>367910</v>
      </c>
    </row>
    <row r="3503" spans="1:14" x14ac:dyDescent="0.2">
      <c r="A3503" s="163">
        <v>2021</v>
      </c>
      <c r="B3503" s="163">
        <v>6</v>
      </c>
      <c r="C3503" s="163">
        <v>30</v>
      </c>
      <c r="D3503" s="141">
        <f t="shared" si="116"/>
        <v>44377</v>
      </c>
      <c r="E3503" s="275">
        <f t="shared" si="117"/>
        <v>44377</v>
      </c>
      <c r="F3503" s="480"/>
      <c r="G3503" s="221" t="s">
        <v>74</v>
      </c>
      <c r="H3503" s="145" t="str" cm="1">
        <f t="array" ref="H3503">IFERROR(INDEX(INVESTOR_LIST[INVESTOR NAME],MATCH(I3503,INVESTOR_LIST[INVESTOR CODE],0),)," ")</f>
        <v xml:space="preserve"> </v>
      </c>
      <c r="I3503" s="145"/>
      <c r="J3503" s="163" t="s">
        <v>53</v>
      </c>
      <c r="K3503" s="219"/>
      <c r="L3503" s="219">
        <v>123090</v>
      </c>
    </row>
    <row r="3504" spans="1:14" ht="11.25" customHeight="1" x14ac:dyDescent="0.2">
      <c r="A3504" s="168">
        <v>2021</v>
      </c>
      <c r="B3504" s="168">
        <v>6</v>
      </c>
      <c r="C3504" s="168">
        <v>30</v>
      </c>
      <c r="D3504" s="141">
        <f t="shared" si="116"/>
        <v>44377</v>
      </c>
      <c r="E3504" s="275">
        <f t="shared" si="117"/>
        <v>44377</v>
      </c>
      <c r="F3504" s="479" t="s">
        <v>964</v>
      </c>
      <c r="G3504" s="220" t="s">
        <v>74</v>
      </c>
      <c r="H3504" s="142" t="str" cm="1">
        <f t="array" ref="H3504">IFERROR(INDEX(INVESTOR_LIST[INVESTOR NAME],MATCH(I3504,INVESTOR_LIST[INVESTOR CODE],0),)," ")</f>
        <v>MD. ZAHID HOSSAIN</v>
      </c>
      <c r="I3504" s="142" t="s">
        <v>478</v>
      </c>
      <c r="J3504" s="168" t="s">
        <v>52</v>
      </c>
      <c r="K3504" s="226">
        <v>400000</v>
      </c>
      <c r="L3504" s="226"/>
      <c r="N3504" s="156">
        <f>K3504/13.35</f>
        <v>29962.5468164794</v>
      </c>
    </row>
    <row r="3505" spans="1:14" ht="33.75" x14ac:dyDescent="0.2">
      <c r="A3505" s="133">
        <v>2021</v>
      </c>
      <c r="B3505" s="133">
        <v>6</v>
      </c>
      <c r="C3505" s="133">
        <v>30</v>
      </c>
      <c r="D3505" s="141">
        <f t="shared" si="116"/>
        <v>44377</v>
      </c>
      <c r="E3505" s="275">
        <f t="shared" si="117"/>
        <v>44377</v>
      </c>
      <c r="F3505" s="481"/>
      <c r="G3505" s="174" t="s">
        <v>74</v>
      </c>
      <c r="H3505" s="148" t="str" cm="1">
        <f t="array" ref="H3505">IFERROR(INDEX(INVESTOR_LIST[INVESTOR NAME],MATCH(I3505,INVESTOR_LIST[INVESTOR CODE],0),)," ")</f>
        <v>MD. ZAHID HOSSAIN</v>
      </c>
      <c r="I3505" s="148" t="s">
        <v>478</v>
      </c>
      <c r="J3505" s="133" t="s">
        <v>13</v>
      </c>
      <c r="K3505" s="218"/>
      <c r="L3505" s="218">
        <v>299630</v>
      </c>
    </row>
    <row r="3506" spans="1:14" ht="33.75" x14ac:dyDescent="0.2">
      <c r="A3506" s="163">
        <v>2021</v>
      </c>
      <c r="B3506" s="163">
        <v>6</v>
      </c>
      <c r="C3506" s="163">
        <v>30</v>
      </c>
      <c r="D3506" s="141">
        <f t="shared" si="116"/>
        <v>44377</v>
      </c>
      <c r="E3506" s="275">
        <f t="shared" si="117"/>
        <v>44377</v>
      </c>
      <c r="F3506" s="480"/>
      <c r="G3506" s="221" t="s">
        <v>74</v>
      </c>
      <c r="H3506" s="145" t="str" cm="1">
        <f t="array" ref="H3506">IFERROR(INDEX(INVESTOR_LIST[INVESTOR NAME],MATCH(I3506,INVESTOR_LIST[INVESTOR CODE],0),)," ")</f>
        <v>MD. ZAHID HOSSAIN</v>
      </c>
      <c r="I3506" s="145" t="s">
        <v>478</v>
      </c>
      <c r="J3506" s="163" t="s">
        <v>53</v>
      </c>
      <c r="K3506" s="219"/>
      <c r="L3506" s="219">
        <v>100370</v>
      </c>
    </row>
    <row r="3507" spans="1:14" ht="11.25" customHeight="1" x14ac:dyDescent="0.2">
      <c r="A3507" s="168">
        <v>2021</v>
      </c>
      <c r="B3507" s="168">
        <v>6</v>
      </c>
      <c r="C3507" s="168">
        <v>30</v>
      </c>
      <c r="D3507" s="141">
        <f t="shared" si="116"/>
        <v>44377</v>
      </c>
      <c r="E3507" s="275">
        <f t="shared" si="117"/>
        <v>44377</v>
      </c>
      <c r="F3507" s="479" t="s">
        <v>964</v>
      </c>
      <c r="G3507" s="220" t="s">
        <v>74</v>
      </c>
      <c r="H3507" s="142" t="str" cm="1">
        <f t="array" ref="H3507">IFERROR(INDEX(INVESTOR_LIST[INVESTOR NAME],MATCH(I3507,INVESTOR_LIST[INVESTOR CODE],0),)," ")</f>
        <v>NAUSHEEN AHMED</v>
      </c>
      <c r="I3507" s="142" t="s">
        <v>787</v>
      </c>
      <c r="J3507" s="168" t="s">
        <v>52</v>
      </c>
      <c r="K3507" s="226">
        <v>275000</v>
      </c>
      <c r="L3507" s="226"/>
      <c r="N3507" s="156">
        <f>K3507/13.28</f>
        <v>20707.831325301206</v>
      </c>
    </row>
    <row r="3508" spans="1:14" ht="33.75" x14ac:dyDescent="0.2">
      <c r="A3508" s="133">
        <v>2021</v>
      </c>
      <c r="B3508" s="133">
        <v>6</v>
      </c>
      <c r="C3508" s="133">
        <v>30</v>
      </c>
      <c r="D3508" s="141">
        <f t="shared" si="116"/>
        <v>44377</v>
      </c>
      <c r="E3508" s="275">
        <f t="shared" si="117"/>
        <v>44377</v>
      </c>
      <c r="F3508" s="481"/>
      <c r="G3508" s="174" t="s">
        <v>74</v>
      </c>
      <c r="H3508" s="148" t="str" cm="1">
        <f t="array" ref="H3508">IFERROR(INDEX(INVESTOR_LIST[INVESTOR NAME],MATCH(I3508,INVESTOR_LIST[INVESTOR CODE],0),)," ")</f>
        <v>NAUSHEEN AHMED</v>
      </c>
      <c r="I3508" s="148" t="s">
        <v>787</v>
      </c>
      <c r="J3508" s="133" t="s">
        <v>13</v>
      </c>
      <c r="K3508" s="218"/>
      <c r="L3508" s="218">
        <v>207080</v>
      </c>
    </row>
    <row r="3509" spans="1:14" ht="33.75" x14ac:dyDescent="0.2">
      <c r="A3509" s="163">
        <v>2021</v>
      </c>
      <c r="B3509" s="163">
        <v>6</v>
      </c>
      <c r="C3509" s="163">
        <v>30</v>
      </c>
      <c r="D3509" s="141">
        <f t="shared" si="116"/>
        <v>44377</v>
      </c>
      <c r="E3509" s="275">
        <f t="shared" si="117"/>
        <v>44377</v>
      </c>
      <c r="F3509" s="480"/>
      <c r="G3509" s="221" t="s">
        <v>74</v>
      </c>
      <c r="H3509" s="145" t="str" cm="1">
        <f t="array" ref="H3509">IFERROR(INDEX(INVESTOR_LIST[INVESTOR NAME],MATCH(I3509,INVESTOR_LIST[INVESTOR CODE],0),)," ")</f>
        <v>NAUSHEEN AHMED</v>
      </c>
      <c r="I3509" s="145" t="s">
        <v>787</v>
      </c>
      <c r="J3509" s="163" t="s">
        <v>53</v>
      </c>
      <c r="K3509" s="219"/>
      <c r="L3509" s="219">
        <v>67920</v>
      </c>
    </row>
    <row r="3510" spans="1:14" ht="11.25" customHeight="1" x14ac:dyDescent="0.2">
      <c r="A3510" s="168">
        <v>2021</v>
      </c>
      <c r="B3510" s="168">
        <v>6</v>
      </c>
      <c r="C3510" s="168">
        <v>30</v>
      </c>
      <c r="D3510" s="141">
        <f t="shared" si="116"/>
        <v>44377</v>
      </c>
      <c r="E3510" s="275">
        <f t="shared" si="117"/>
        <v>44377</v>
      </c>
      <c r="F3510" s="479" t="s">
        <v>964</v>
      </c>
      <c r="G3510" s="220" t="s">
        <v>74</v>
      </c>
      <c r="H3510" s="142" t="str" cm="1">
        <f t="array" ref="H3510">IFERROR(INDEX(INVESTOR_LIST[INVESTOR NAME],MATCH(I3510,INVESTOR_LIST[INVESTOR CODE],0),)," ")</f>
        <v>IMTIAJ ARA</v>
      </c>
      <c r="I3510" s="142" t="s">
        <v>789</v>
      </c>
      <c r="J3510" s="168" t="s">
        <v>52</v>
      </c>
      <c r="K3510" s="226">
        <v>200000</v>
      </c>
      <c r="L3510" s="226"/>
      <c r="N3510" s="156">
        <f>K3510/13.35</f>
        <v>14981.2734082397</v>
      </c>
    </row>
    <row r="3511" spans="1:14" ht="22.5" x14ac:dyDescent="0.2">
      <c r="A3511" s="133">
        <v>2021</v>
      </c>
      <c r="B3511" s="133">
        <v>6</v>
      </c>
      <c r="C3511" s="133">
        <v>30</v>
      </c>
      <c r="D3511" s="141">
        <f t="shared" si="116"/>
        <v>44377</v>
      </c>
      <c r="E3511" s="275">
        <f t="shared" si="117"/>
        <v>44377</v>
      </c>
      <c r="F3511" s="481"/>
      <c r="G3511" s="174" t="s">
        <v>74</v>
      </c>
      <c r="H3511" s="148" t="str" cm="1">
        <f t="array" ref="H3511">IFERROR(INDEX(INVESTOR_LIST[INVESTOR NAME],MATCH(I3511,INVESTOR_LIST[INVESTOR CODE],0),)," ")</f>
        <v>IMTIAJ ARA</v>
      </c>
      <c r="I3511" s="148" t="s">
        <v>789</v>
      </c>
      <c r="J3511" s="133" t="s">
        <v>13</v>
      </c>
      <c r="K3511" s="218"/>
      <c r="L3511" s="218">
        <v>149810</v>
      </c>
    </row>
    <row r="3512" spans="1:14" ht="22.5" x14ac:dyDescent="0.2">
      <c r="A3512" s="163">
        <v>2021</v>
      </c>
      <c r="B3512" s="163">
        <v>6</v>
      </c>
      <c r="C3512" s="163">
        <v>30</v>
      </c>
      <c r="D3512" s="141">
        <f t="shared" si="116"/>
        <v>44377</v>
      </c>
      <c r="E3512" s="275">
        <f t="shared" si="117"/>
        <v>44377</v>
      </c>
      <c r="F3512" s="480"/>
      <c r="G3512" s="221" t="s">
        <v>74</v>
      </c>
      <c r="H3512" s="145" t="str" cm="1">
        <f t="array" ref="H3512">IFERROR(INDEX(INVESTOR_LIST[INVESTOR NAME],MATCH(I3512,INVESTOR_LIST[INVESTOR CODE],0),)," ")</f>
        <v>IMTIAJ ARA</v>
      </c>
      <c r="I3512" s="145" t="s">
        <v>789</v>
      </c>
      <c r="J3512" s="163" t="s">
        <v>53</v>
      </c>
      <c r="K3512" s="219"/>
      <c r="L3512" s="219">
        <v>50190</v>
      </c>
    </row>
    <row r="3513" spans="1:14" ht="11.25" customHeight="1" x14ac:dyDescent="0.2">
      <c r="A3513" s="168">
        <v>2021</v>
      </c>
      <c r="B3513" s="168">
        <v>6</v>
      </c>
      <c r="C3513" s="168">
        <v>30</v>
      </c>
      <c r="D3513" s="141">
        <f t="shared" si="116"/>
        <v>44377</v>
      </c>
      <c r="E3513" s="275">
        <f t="shared" si="117"/>
        <v>44377</v>
      </c>
      <c r="F3513" s="479" t="s">
        <v>964</v>
      </c>
      <c r="G3513" s="220" t="s">
        <v>74</v>
      </c>
      <c r="H3513" s="142" t="str" cm="1">
        <f t="array" ref="H3513">IFERROR(INDEX(INVESTOR_LIST[INVESTOR NAME],MATCH(I3513,INVESTOR_LIST[INVESTOR CODE],0),)," ")</f>
        <v>NADIRA AKTER</v>
      </c>
      <c r="I3513" s="142" t="s">
        <v>790</v>
      </c>
      <c r="J3513" s="168" t="s">
        <v>52</v>
      </c>
      <c r="K3513" s="226">
        <v>100000</v>
      </c>
      <c r="L3513" s="226"/>
    </row>
    <row r="3514" spans="1:14" ht="22.5" x14ac:dyDescent="0.2">
      <c r="A3514" s="133">
        <v>2021</v>
      </c>
      <c r="B3514" s="133">
        <v>6</v>
      </c>
      <c r="C3514" s="133">
        <v>30</v>
      </c>
      <c r="D3514" s="141">
        <f t="shared" si="116"/>
        <v>44377</v>
      </c>
      <c r="E3514" s="275">
        <f t="shared" si="117"/>
        <v>44377</v>
      </c>
      <c r="F3514" s="481"/>
      <c r="G3514" s="174" t="s">
        <v>74</v>
      </c>
      <c r="H3514" s="148" t="str" cm="1">
        <f t="array" ref="H3514">IFERROR(INDEX(INVESTOR_LIST[INVESTOR NAME],MATCH(I3514,INVESTOR_LIST[INVESTOR CODE],0),)," ")</f>
        <v>NADIRA AKTER</v>
      </c>
      <c r="I3514" s="148" t="s">
        <v>790</v>
      </c>
      <c r="J3514" s="133" t="s">
        <v>13</v>
      </c>
      <c r="K3514" s="218"/>
      <c r="L3514" s="218">
        <v>74910</v>
      </c>
    </row>
    <row r="3515" spans="1:14" ht="22.5" x14ac:dyDescent="0.2">
      <c r="A3515" s="163">
        <v>2021</v>
      </c>
      <c r="B3515" s="163">
        <v>6</v>
      </c>
      <c r="C3515" s="163">
        <v>30</v>
      </c>
      <c r="D3515" s="141">
        <f t="shared" si="116"/>
        <v>44377</v>
      </c>
      <c r="E3515" s="275">
        <f t="shared" si="117"/>
        <v>44377</v>
      </c>
      <c r="F3515" s="480"/>
      <c r="G3515" s="221" t="s">
        <v>74</v>
      </c>
      <c r="H3515" s="145" t="str" cm="1">
        <f t="array" ref="H3515">IFERROR(INDEX(INVESTOR_LIST[INVESTOR NAME],MATCH(I3515,INVESTOR_LIST[INVESTOR CODE],0),)," ")</f>
        <v>NADIRA AKTER</v>
      </c>
      <c r="I3515" s="145" t="s">
        <v>790</v>
      </c>
      <c r="J3515" s="163" t="s">
        <v>53</v>
      </c>
      <c r="K3515" s="219"/>
      <c r="L3515" s="219">
        <v>25090</v>
      </c>
    </row>
    <row r="3516" spans="1:14" ht="11.25" customHeight="1" x14ac:dyDescent="0.2">
      <c r="A3516" s="168">
        <v>2021</v>
      </c>
      <c r="B3516" s="168">
        <v>6</v>
      </c>
      <c r="C3516" s="168">
        <v>30</v>
      </c>
      <c r="D3516" s="141">
        <f t="shared" si="116"/>
        <v>44377</v>
      </c>
      <c r="E3516" s="275">
        <f t="shared" si="117"/>
        <v>44377</v>
      </c>
      <c r="F3516" s="479" t="s">
        <v>964</v>
      </c>
      <c r="G3516" s="220" t="s">
        <v>74</v>
      </c>
      <c r="H3516" s="142" t="str" cm="1">
        <f t="array" ref="H3516">IFERROR(INDEX(INVESTOR_LIST[INVESTOR NAME],MATCH(I3516,INVESTOR_LIST[INVESTOR CODE],0),)," ")</f>
        <v>SULTANA RAZIA</v>
      </c>
      <c r="I3516" s="142" t="s">
        <v>698</v>
      </c>
      <c r="J3516" s="168" t="s">
        <v>52</v>
      </c>
      <c r="K3516" s="226">
        <v>100000</v>
      </c>
      <c r="L3516" s="226"/>
      <c r="N3516" s="156">
        <f>K3516/13.28</f>
        <v>7530.1204819277109</v>
      </c>
    </row>
    <row r="3517" spans="1:14" ht="22.5" x14ac:dyDescent="0.2">
      <c r="A3517" s="133">
        <v>2021</v>
      </c>
      <c r="B3517" s="133">
        <v>6</v>
      </c>
      <c r="C3517" s="133">
        <v>30</v>
      </c>
      <c r="D3517" s="141">
        <f t="shared" si="116"/>
        <v>44377</v>
      </c>
      <c r="E3517" s="275">
        <f t="shared" si="117"/>
        <v>44377</v>
      </c>
      <c r="F3517" s="481"/>
      <c r="G3517" s="174" t="s">
        <v>74</v>
      </c>
      <c r="H3517" s="148" t="str" cm="1">
        <f t="array" ref="H3517">IFERROR(INDEX(INVESTOR_LIST[INVESTOR NAME],MATCH(I3517,INVESTOR_LIST[INVESTOR CODE],0),)," ")</f>
        <v>SULTANA RAZIA</v>
      </c>
      <c r="I3517" s="148" t="s">
        <v>698</v>
      </c>
      <c r="J3517" s="133" t="s">
        <v>13</v>
      </c>
      <c r="K3517" s="218"/>
      <c r="L3517" s="218">
        <v>75300</v>
      </c>
    </row>
    <row r="3518" spans="1:14" ht="22.5" x14ac:dyDescent="0.2">
      <c r="A3518" s="163">
        <v>2021</v>
      </c>
      <c r="B3518" s="163">
        <v>6</v>
      </c>
      <c r="C3518" s="163">
        <v>30</v>
      </c>
      <c r="D3518" s="141">
        <f t="shared" si="116"/>
        <v>44377</v>
      </c>
      <c r="E3518" s="275">
        <f t="shared" si="117"/>
        <v>44377</v>
      </c>
      <c r="F3518" s="480"/>
      <c r="G3518" s="221" t="s">
        <v>74</v>
      </c>
      <c r="H3518" s="145" t="str" cm="1">
        <f t="array" ref="H3518">IFERROR(INDEX(INVESTOR_LIST[INVESTOR NAME],MATCH(I3518,INVESTOR_LIST[INVESTOR CODE],0),)," ")</f>
        <v>SULTANA RAZIA</v>
      </c>
      <c r="I3518" s="145" t="s">
        <v>698</v>
      </c>
      <c r="J3518" s="163" t="s">
        <v>53</v>
      </c>
      <c r="K3518" s="219"/>
      <c r="L3518" s="219">
        <v>24700</v>
      </c>
    </row>
    <row r="3519" spans="1:14" ht="11.25" customHeight="1" x14ac:dyDescent="0.2">
      <c r="A3519" s="168">
        <v>2021</v>
      </c>
      <c r="B3519" s="168">
        <v>6</v>
      </c>
      <c r="C3519" s="168">
        <v>30</v>
      </c>
      <c r="D3519" s="141">
        <f t="shared" si="116"/>
        <v>44377</v>
      </c>
      <c r="E3519" s="275">
        <f t="shared" si="117"/>
        <v>44377</v>
      </c>
      <c r="F3519" s="479" t="s">
        <v>964</v>
      </c>
      <c r="G3519" s="220" t="s">
        <v>74</v>
      </c>
      <c r="H3519" s="142" t="str" cm="1">
        <f t="array" ref="H3519">IFERROR(INDEX(INVESTOR_LIST[INVESTOR NAME],MATCH(I3519,INVESTOR_LIST[INVESTOR CODE],0),)," ")</f>
        <v>HABIB REDWAN RAFI</v>
      </c>
      <c r="I3519" s="142" t="s">
        <v>785</v>
      </c>
      <c r="J3519" s="168" t="s">
        <v>52</v>
      </c>
      <c r="K3519" s="226">
        <v>100000</v>
      </c>
      <c r="L3519" s="226"/>
    </row>
    <row r="3520" spans="1:14" ht="33.75" x14ac:dyDescent="0.2">
      <c r="A3520" s="133">
        <v>2021</v>
      </c>
      <c r="B3520" s="133">
        <v>6</v>
      </c>
      <c r="C3520" s="133">
        <v>30</v>
      </c>
      <c r="D3520" s="141">
        <f t="shared" si="116"/>
        <v>44377</v>
      </c>
      <c r="E3520" s="275">
        <f t="shared" si="117"/>
        <v>44377</v>
      </c>
      <c r="F3520" s="481"/>
      <c r="G3520" s="174" t="s">
        <v>74</v>
      </c>
      <c r="H3520" s="148" t="str" cm="1">
        <f t="array" ref="H3520">IFERROR(INDEX(INVESTOR_LIST[INVESTOR NAME],MATCH(I3520,INVESTOR_LIST[INVESTOR CODE],0),)," ")</f>
        <v>HABIB REDWAN RAFI</v>
      </c>
      <c r="I3520" s="148" t="s">
        <v>785</v>
      </c>
      <c r="J3520" s="133" t="s">
        <v>13</v>
      </c>
      <c r="K3520" s="218"/>
      <c r="L3520" s="218">
        <v>74910</v>
      </c>
    </row>
    <row r="3521" spans="1:14" ht="33.75" x14ac:dyDescent="0.2">
      <c r="A3521" s="163">
        <v>2021</v>
      </c>
      <c r="B3521" s="163">
        <v>6</v>
      </c>
      <c r="C3521" s="163">
        <v>30</v>
      </c>
      <c r="D3521" s="141">
        <f t="shared" si="116"/>
        <v>44377</v>
      </c>
      <c r="E3521" s="275">
        <f t="shared" si="117"/>
        <v>44377</v>
      </c>
      <c r="F3521" s="480"/>
      <c r="G3521" s="221" t="s">
        <v>74</v>
      </c>
      <c r="H3521" s="145" t="str" cm="1">
        <f t="array" ref="H3521">IFERROR(INDEX(INVESTOR_LIST[INVESTOR NAME],MATCH(I3521,INVESTOR_LIST[INVESTOR CODE],0),)," ")</f>
        <v>HABIB REDWAN RAFI</v>
      </c>
      <c r="I3521" s="145" t="s">
        <v>785</v>
      </c>
      <c r="J3521" s="163" t="s">
        <v>53</v>
      </c>
      <c r="K3521" s="219"/>
      <c r="L3521" s="219">
        <v>25090</v>
      </c>
    </row>
    <row r="3522" spans="1:14" ht="11.25" customHeight="1" x14ac:dyDescent="0.2">
      <c r="A3522" s="168">
        <v>2021</v>
      </c>
      <c r="B3522" s="168">
        <v>6</v>
      </c>
      <c r="C3522" s="168">
        <v>30</v>
      </c>
      <c r="D3522" s="141">
        <f t="shared" si="116"/>
        <v>44377</v>
      </c>
      <c r="E3522" s="275">
        <f t="shared" si="117"/>
        <v>44377</v>
      </c>
      <c r="F3522" s="479" t="s">
        <v>964</v>
      </c>
      <c r="G3522" s="220" t="s">
        <v>74</v>
      </c>
      <c r="H3522" s="142" t="str" cm="1">
        <f t="array" ref="H3522">IFERROR(INDEX(INVESTOR_LIST[INVESTOR NAME],MATCH(I3522,INVESTOR_LIST[INVESTOR CODE],0),)," ")</f>
        <v>MD. OMAR FARUQUE Al QUADERI</v>
      </c>
      <c r="I3522" s="142" t="s">
        <v>424</v>
      </c>
      <c r="J3522" s="168" t="s">
        <v>52</v>
      </c>
      <c r="K3522" s="226">
        <v>80000</v>
      </c>
      <c r="L3522" s="226"/>
      <c r="N3522" s="156">
        <f>K3522/13.35</f>
        <v>5992.5093632958806</v>
      </c>
    </row>
    <row r="3523" spans="1:14" ht="56.25" x14ac:dyDescent="0.2">
      <c r="A3523" s="133">
        <v>2021</v>
      </c>
      <c r="B3523" s="133">
        <v>6</v>
      </c>
      <c r="C3523" s="133">
        <v>30</v>
      </c>
      <c r="D3523" s="141">
        <f t="shared" si="116"/>
        <v>44377</v>
      </c>
      <c r="E3523" s="275">
        <f t="shared" si="117"/>
        <v>44377</v>
      </c>
      <c r="F3523" s="481"/>
      <c r="G3523" s="174" t="s">
        <v>74</v>
      </c>
      <c r="H3523" s="148" t="str" cm="1">
        <f t="array" ref="H3523">IFERROR(INDEX(INVESTOR_LIST[INVESTOR NAME],MATCH(I3523,INVESTOR_LIST[INVESTOR CODE],0),)," ")</f>
        <v>MD. OMAR FARUQUE Al QUADERI</v>
      </c>
      <c r="I3523" s="148" t="s">
        <v>424</v>
      </c>
      <c r="J3523" s="133" t="s">
        <v>13</v>
      </c>
      <c r="K3523" s="218"/>
      <c r="L3523" s="218">
        <v>59930</v>
      </c>
    </row>
    <row r="3524" spans="1:14" ht="56.25" x14ac:dyDescent="0.2">
      <c r="A3524" s="163">
        <v>2021</v>
      </c>
      <c r="B3524" s="163">
        <v>6</v>
      </c>
      <c r="C3524" s="163">
        <v>30</v>
      </c>
      <c r="D3524" s="141">
        <f t="shared" si="116"/>
        <v>44377</v>
      </c>
      <c r="E3524" s="275">
        <f t="shared" si="117"/>
        <v>44377</v>
      </c>
      <c r="F3524" s="480"/>
      <c r="G3524" s="221" t="s">
        <v>74</v>
      </c>
      <c r="H3524" s="145" t="str" cm="1">
        <f t="array" ref="H3524">IFERROR(INDEX(INVESTOR_LIST[INVESTOR NAME],MATCH(I3524,INVESTOR_LIST[INVESTOR CODE],0),)," ")</f>
        <v>MD. OMAR FARUQUE Al QUADERI</v>
      </c>
      <c r="I3524" s="145" t="s">
        <v>424</v>
      </c>
      <c r="J3524" s="163" t="s">
        <v>53</v>
      </c>
      <c r="K3524" s="219"/>
      <c r="L3524" s="219">
        <v>20070</v>
      </c>
    </row>
    <row r="3525" spans="1:14" x14ac:dyDescent="0.2">
      <c r="A3525" s="168">
        <v>2021</v>
      </c>
      <c r="B3525" s="168">
        <v>6</v>
      </c>
      <c r="C3525" s="168">
        <v>30</v>
      </c>
      <c r="D3525" s="141">
        <f t="shared" si="116"/>
        <v>44377</v>
      </c>
      <c r="E3525" s="275">
        <f t="shared" si="117"/>
        <v>44377</v>
      </c>
      <c r="F3525" s="479" t="s">
        <v>77</v>
      </c>
      <c r="G3525" s="220" t="s">
        <v>74</v>
      </c>
      <c r="H3525" s="220" t="str" cm="1">
        <f t="array" ref="H3525">IFERROR(INDEX(INVESTOR_LIST[INVESTOR NAME],MATCH(I3525,INVESTOR_LIST[INVESTOR CODE],0),)," ")</f>
        <v xml:space="preserve"> </v>
      </c>
      <c r="I3525" s="142" t="s">
        <v>348</v>
      </c>
      <c r="J3525" s="143" t="s">
        <v>61</v>
      </c>
      <c r="K3525" s="226">
        <v>10</v>
      </c>
      <c r="L3525" s="226"/>
    </row>
    <row r="3526" spans="1:14" x14ac:dyDescent="0.2">
      <c r="A3526" s="163">
        <v>2021</v>
      </c>
      <c r="B3526" s="163">
        <v>6</v>
      </c>
      <c r="C3526" s="163">
        <v>30</v>
      </c>
      <c r="D3526" s="141">
        <f t="shared" si="116"/>
        <v>44377</v>
      </c>
      <c r="E3526" s="275">
        <f t="shared" si="117"/>
        <v>44377</v>
      </c>
      <c r="F3526" s="480"/>
      <c r="G3526" s="221" t="s">
        <v>74</v>
      </c>
      <c r="H3526" s="221" t="str" cm="1">
        <f t="array" ref="H3526">IFERROR(INDEX(INVESTOR_LIST[INVESTOR NAME],MATCH(I3526,INVESTOR_LIST[INVESTOR CODE],0),)," ")</f>
        <v xml:space="preserve"> </v>
      </c>
      <c r="I3526" s="145" t="s">
        <v>348</v>
      </c>
      <c r="J3526" s="146" t="s">
        <v>52</v>
      </c>
      <c r="K3526" s="219"/>
      <c r="L3526" s="219">
        <v>10</v>
      </c>
    </row>
    <row r="3527" spans="1:14" x14ac:dyDescent="0.2">
      <c r="A3527" s="168">
        <v>2021</v>
      </c>
      <c r="B3527" s="168">
        <v>6</v>
      </c>
      <c r="C3527" s="168">
        <v>30</v>
      </c>
      <c r="D3527" s="141">
        <f t="shared" si="116"/>
        <v>44377</v>
      </c>
      <c r="E3527" s="275">
        <f t="shared" si="117"/>
        <v>44377</v>
      </c>
      <c r="F3527" s="479" t="s">
        <v>77</v>
      </c>
      <c r="G3527" s="220" t="s">
        <v>74</v>
      </c>
      <c r="H3527" s="220" t="str" cm="1">
        <f t="array" ref="H3527">IFERROR(INDEX(INVESTOR_LIST[INVESTOR NAME],MATCH(I3527,INVESTOR_LIST[INVESTOR CODE],0),)," ")</f>
        <v xml:space="preserve"> </v>
      </c>
      <c r="I3527" s="142" t="s">
        <v>348</v>
      </c>
      <c r="J3527" s="143" t="s">
        <v>61</v>
      </c>
      <c r="K3527" s="226">
        <v>10</v>
      </c>
      <c r="L3527" s="226"/>
    </row>
    <row r="3528" spans="1:14" x14ac:dyDescent="0.2">
      <c r="A3528" s="163">
        <v>2021</v>
      </c>
      <c r="B3528" s="163">
        <v>6</v>
      </c>
      <c r="C3528" s="163">
        <v>30</v>
      </c>
      <c r="D3528" s="141">
        <f t="shared" si="116"/>
        <v>44377</v>
      </c>
      <c r="E3528" s="275">
        <f t="shared" si="117"/>
        <v>44377</v>
      </c>
      <c r="F3528" s="480"/>
      <c r="G3528" s="221" t="s">
        <v>74</v>
      </c>
      <c r="H3528" s="221" t="str" cm="1">
        <f t="array" ref="H3528">IFERROR(INDEX(INVESTOR_LIST[INVESTOR NAME],MATCH(I3528,INVESTOR_LIST[INVESTOR CODE],0),)," ")</f>
        <v xml:space="preserve"> </v>
      </c>
      <c r="I3528" s="145" t="s">
        <v>348</v>
      </c>
      <c r="J3528" s="146" t="s">
        <v>52</v>
      </c>
      <c r="K3528" s="219"/>
      <c r="L3528" s="219">
        <v>10</v>
      </c>
    </row>
    <row r="3529" spans="1:14" x14ac:dyDescent="0.2">
      <c r="A3529" s="168">
        <v>2021</v>
      </c>
      <c r="B3529" s="168">
        <v>6</v>
      </c>
      <c r="C3529" s="168">
        <v>30</v>
      </c>
      <c r="D3529" s="141">
        <f t="shared" si="116"/>
        <v>44377</v>
      </c>
      <c r="E3529" s="275">
        <f t="shared" si="117"/>
        <v>44377</v>
      </c>
      <c r="F3529" s="479" t="s">
        <v>77</v>
      </c>
      <c r="G3529" s="220" t="s">
        <v>74</v>
      </c>
      <c r="H3529" s="220" t="str" cm="1">
        <f t="array" ref="H3529">IFERROR(INDEX(INVESTOR_LIST[INVESTOR NAME],MATCH(I3529,INVESTOR_LIST[INVESTOR CODE],0),)," ")</f>
        <v xml:space="preserve"> </v>
      </c>
      <c r="I3529" s="142" t="s">
        <v>348</v>
      </c>
      <c r="J3529" s="143" t="s">
        <v>61</v>
      </c>
      <c r="K3529" s="226">
        <v>10</v>
      </c>
      <c r="L3529" s="226"/>
    </row>
    <row r="3530" spans="1:14" x14ac:dyDescent="0.2">
      <c r="A3530" s="163">
        <v>2021</v>
      </c>
      <c r="B3530" s="163">
        <v>6</v>
      </c>
      <c r="C3530" s="163">
        <v>30</v>
      </c>
      <c r="D3530" s="141">
        <f t="shared" si="116"/>
        <v>44377</v>
      </c>
      <c r="E3530" s="275">
        <f t="shared" si="117"/>
        <v>44377</v>
      </c>
      <c r="F3530" s="480"/>
      <c r="G3530" s="221" t="s">
        <v>74</v>
      </c>
      <c r="H3530" s="221" t="str" cm="1">
        <f t="array" ref="H3530">IFERROR(INDEX(INVESTOR_LIST[INVESTOR NAME],MATCH(I3530,INVESTOR_LIST[INVESTOR CODE],0),)," ")</f>
        <v xml:space="preserve"> </v>
      </c>
      <c r="I3530" s="145" t="s">
        <v>348</v>
      </c>
      <c r="J3530" s="146" t="s">
        <v>52</v>
      </c>
      <c r="K3530" s="219"/>
      <c r="L3530" s="219">
        <v>10</v>
      </c>
    </row>
    <row r="3531" spans="1:14" x14ac:dyDescent="0.2">
      <c r="A3531" s="168">
        <v>2021</v>
      </c>
      <c r="B3531" s="168">
        <v>6</v>
      </c>
      <c r="C3531" s="168">
        <v>30</v>
      </c>
      <c r="D3531" s="141">
        <f t="shared" si="116"/>
        <v>44377</v>
      </c>
      <c r="E3531" s="275">
        <f t="shared" si="117"/>
        <v>44377</v>
      </c>
      <c r="F3531" s="479" t="s">
        <v>77</v>
      </c>
      <c r="G3531" s="220" t="s">
        <v>74</v>
      </c>
      <c r="H3531" s="220" t="str" cm="1">
        <f t="array" ref="H3531">IFERROR(INDEX(INVESTOR_LIST[INVESTOR NAME],MATCH(I3531,INVESTOR_LIST[INVESTOR CODE],0),)," ")</f>
        <v xml:space="preserve"> </v>
      </c>
      <c r="I3531" s="142" t="s">
        <v>348</v>
      </c>
      <c r="J3531" s="143" t="s">
        <v>61</v>
      </c>
      <c r="K3531" s="226">
        <v>10</v>
      </c>
      <c r="L3531" s="226"/>
    </row>
    <row r="3532" spans="1:14" x14ac:dyDescent="0.2">
      <c r="A3532" s="163">
        <v>2021</v>
      </c>
      <c r="B3532" s="163">
        <v>6</v>
      </c>
      <c r="C3532" s="163">
        <v>30</v>
      </c>
      <c r="D3532" s="141">
        <f t="shared" si="116"/>
        <v>44377</v>
      </c>
      <c r="E3532" s="275">
        <f t="shared" si="117"/>
        <v>44377</v>
      </c>
      <c r="F3532" s="480"/>
      <c r="G3532" s="221" t="s">
        <v>74</v>
      </c>
      <c r="H3532" s="221" t="str" cm="1">
        <f t="array" ref="H3532">IFERROR(INDEX(INVESTOR_LIST[INVESTOR NAME],MATCH(I3532,INVESTOR_LIST[INVESTOR CODE],0),)," ")</f>
        <v xml:space="preserve"> </v>
      </c>
      <c r="I3532" s="145" t="s">
        <v>348</v>
      </c>
      <c r="J3532" s="146" t="s">
        <v>52</v>
      </c>
      <c r="K3532" s="219"/>
      <c r="L3532" s="219">
        <v>10</v>
      </c>
    </row>
    <row r="3533" spans="1:14" x14ac:dyDescent="0.2">
      <c r="A3533" s="168">
        <v>2021</v>
      </c>
      <c r="B3533" s="168">
        <v>6</v>
      </c>
      <c r="C3533" s="168">
        <v>30</v>
      </c>
      <c r="D3533" s="141">
        <f t="shared" si="116"/>
        <v>44377</v>
      </c>
      <c r="E3533" s="275">
        <f t="shared" si="117"/>
        <v>44377</v>
      </c>
      <c r="F3533" s="479" t="s">
        <v>77</v>
      </c>
      <c r="G3533" s="220" t="s">
        <v>74</v>
      </c>
      <c r="H3533" s="220" t="str" cm="1">
        <f t="array" ref="H3533">IFERROR(INDEX(INVESTOR_LIST[INVESTOR NAME],MATCH(I3533,INVESTOR_LIST[INVESTOR CODE],0),)," ")</f>
        <v xml:space="preserve"> </v>
      </c>
      <c r="I3533" s="142" t="s">
        <v>348</v>
      </c>
      <c r="J3533" s="143" t="s">
        <v>61</v>
      </c>
      <c r="K3533" s="226">
        <v>575</v>
      </c>
      <c r="L3533" s="226"/>
    </row>
    <row r="3534" spans="1:14" x14ac:dyDescent="0.2">
      <c r="A3534" s="163">
        <v>2021</v>
      </c>
      <c r="B3534" s="163">
        <v>6</v>
      </c>
      <c r="C3534" s="163">
        <v>30</v>
      </c>
      <c r="D3534" s="141">
        <f t="shared" ref="D3534:D3597" si="118">DATE(A3534,B3534,C3534)</f>
        <v>44377</v>
      </c>
      <c r="E3534" s="275">
        <f t="shared" si="117"/>
        <v>44377</v>
      </c>
      <c r="F3534" s="480"/>
      <c r="G3534" s="221" t="s">
        <v>74</v>
      </c>
      <c r="H3534" s="221" t="str" cm="1">
        <f t="array" ref="H3534">IFERROR(INDEX(INVESTOR_LIST[INVESTOR NAME],MATCH(I3534,INVESTOR_LIST[INVESTOR CODE],0),)," ")</f>
        <v xml:space="preserve"> </v>
      </c>
      <c r="I3534" s="145" t="s">
        <v>348</v>
      </c>
      <c r="J3534" s="146" t="s">
        <v>52</v>
      </c>
      <c r="K3534" s="219"/>
      <c r="L3534" s="219">
        <v>575</v>
      </c>
    </row>
    <row r="3535" spans="1:14" x14ac:dyDescent="0.2">
      <c r="A3535" s="168">
        <v>2021</v>
      </c>
      <c r="B3535" s="168">
        <v>6</v>
      </c>
      <c r="C3535" s="168">
        <v>30</v>
      </c>
      <c r="D3535" s="141">
        <f t="shared" si="118"/>
        <v>44377</v>
      </c>
      <c r="E3535" s="275">
        <f t="shared" ref="E3535:E3598" si="119">DATE(A3535,B3535,C3535)</f>
        <v>44377</v>
      </c>
      <c r="F3535" s="479" t="s">
        <v>77</v>
      </c>
      <c r="G3535" s="220" t="s">
        <v>74</v>
      </c>
      <c r="H3535" s="220" t="str" cm="1">
        <f t="array" ref="H3535">IFERROR(INDEX(INVESTOR_LIST[INVESTOR NAME],MATCH(I3535,INVESTOR_LIST[INVESTOR CODE],0),)," ")</f>
        <v xml:space="preserve"> </v>
      </c>
      <c r="I3535" s="142" t="s">
        <v>348</v>
      </c>
      <c r="J3535" s="143" t="s">
        <v>61</v>
      </c>
      <c r="K3535" s="226">
        <v>345</v>
      </c>
      <c r="L3535" s="226"/>
    </row>
    <row r="3536" spans="1:14" x14ac:dyDescent="0.2">
      <c r="A3536" s="163">
        <v>2021</v>
      </c>
      <c r="B3536" s="163">
        <v>6</v>
      </c>
      <c r="C3536" s="163">
        <v>30</v>
      </c>
      <c r="D3536" s="141">
        <f t="shared" si="118"/>
        <v>44377</v>
      </c>
      <c r="E3536" s="275">
        <f t="shared" si="119"/>
        <v>44377</v>
      </c>
      <c r="F3536" s="480"/>
      <c r="G3536" s="221" t="s">
        <v>74</v>
      </c>
      <c r="H3536" s="221" t="str" cm="1">
        <f t="array" ref="H3536">IFERROR(INDEX(INVESTOR_LIST[INVESTOR NAME],MATCH(I3536,INVESTOR_LIST[INVESTOR CODE],0),)," ")</f>
        <v xml:space="preserve"> </v>
      </c>
      <c r="I3536" s="145" t="s">
        <v>348</v>
      </c>
      <c r="J3536" s="146" t="s">
        <v>52</v>
      </c>
      <c r="K3536" s="219"/>
      <c r="L3536" s="219">
        <v>345</v>
      </c>
    </row>
    <row r="3537" spans="1:12" x14ac:dyDescent="0.2">
      <c r="A3537" s="168">
        <v>2021</v>
      </c>
      <c r="B3537" s="168">
        <v>6</v>
      </c>
      <c r="C3537" s="168">
        <v>30</v>
      </c>
      <c r="D3537" s="141">
        <f t="shared" si="118"/>
        <v>44377</v>
      </c>
      <c r="E3537" s="275">
        <f t="shared" si="119"/>
        <v>44377</v>
      </c>
      <c r="F3537" s="479" t="s">
        <v>955</v>
      </c>
      <c r="G3537" s="220" t="s">
        <v>74</v>
      </c>
      <c r="H3537" s="220" t="str" cm="1">
        <f t="array" ref="H3537">IFERROR(INDEX(INVESTOR_LIST[INVESTOR NAME],MATCH(I3537,INVESTOR_LIST[INVESTOR CODE],0),)," ")</f>
        <v xml:space="preserve"> </v>
      </c>
      <c r="I3537" s="142" t="s">
        <v>348</v>
      </c>
      <c r="J3537" s="143" t="s">
        <v>61</v>
      </c>
      <c r="K3537" s="226">
        <v>106.06</v>
      </c>
      <c r="L3537" s="226"/>
    </row>
    <row r="3538" spans="1:12" x14ac:dyDescent="0.2">
      <c r="A3538" s="163">
        <v>2021</v>
      </c>
      <c r="B3538" s="163">
        <v>6</v>
      </c>
      <c r="C3538" s="163">
        <v>30</v>
      </c>
      <c r="D3538" s="141">
        <f t="shared" si="118"/>
        <v>44377</v>
      </c>
      <c r="E3538" s="275">
        <f t="shared" si="119"/>
        <v>44377</v>
      </c>
      <c r="F3538" s="480"/>
      <c r="G3538" s="221" t="s">
        <v>74</v>
      </c>
      <c r="H3538" s="221" t="str" cm="1">
        <f t="array" ref="H3538">IFERROR(INDEX(INVESTOR_LIST[INVESTOR NAME],MATCH(I3538,INVESTOR_LIST[INVESTOR CODE],0),)," ")</f>
        <v xml:space="preserve"> </v>
      </c>
      <c r="I3538" s="145" t="s">
        <v>348</v>
      </c>
      <c r="J3538" s="146" t="s">
        <v>52</v>
      </c>
      <c r="K3538" s="219"/>
      <c r="L3538" s="219">
        <v>106.06</v>
      </c>
    </row>
    <row r="3539" spans="1:12" x14ac:dyDescent="0.2">
      <c r="A3539" s="168">
        <v>2021</v>
      </c>
      <c r="B3539" s="168">
        <v>6</v>
      </c>
      <c r="C3539" s="168">
        <v>30</v>
      </c>
      <c r="D3539" s="141">
        <f t="shared" si="118"/>
        <v>44377</v>
      </c>
      <c r="E3539" s="275">
        <f t="shared" si="119"/>
        <v>44377</v>
      </c>
      <c r="F3539" s="479" t="s">
        <v>956</v>
      </c>
      <c r="G3539" s="220" t="s">
        <v>74</v>
      </c>
      <c r="H3539" s="220" t="str" cm="1">
        <f t="array" ref="H3539">IFERROR(INDEX(INVESTOR_LIST[INVESTOR NAME],MATCH(I3539,INVESTOR_LIST[INVESTOR CODE],0),)," ")</f>
        <v xml:space="preserve"> </v>
      </c>
      <c r="I3539" s="142" t="s">
        <v>348</v>
      </c>
      <c r="J3539" s="143" t="s">
        <v>52</v>
      </c>
      <c r="K3539" s="226">
        <v>0.53</v>
      </c>
      <c r="L3539" s="226"/>
    </row>
    <row r="3540" spans="1:12" x14ac:dyDescent="0.2">
      <c r="A3540" s="163">
        <v>2021</v>
      </c>
      <c r="B3540" s="163">
        <v>6</v>
      </c>
      <c r="C3540" s="163">
        <v>30</v>
      </c>
      <c r="D3540" s="141">
        <f t="shared" si="118"/>
        <v>44377</v>
      </c>
      <c r="E3540" s="275">
        <f t="shared" si="119"/>
        <v>44377</v>
      </c>
      <c r="F3540" s="480"/>
      <c r="G3540" s="221" t="s">
        <v>74</v>
      </c>
      <c r="H3540" s="221" t="str" cm="1">
        <f t="array" ref="H3540">IFERROR(INDEX(INVESTOR_LIST[INVESTOR NAME],MATCH(I3540,INVESTOR_LIST[INVESTOR CODE],0),)," ")</f>
        <v xml:space="preserve"> </v>
      </c>
      <c r="I3540" s="145" t="s">
        <v>348</v>
      </c>
      <c r="J3540" s="146" t="s">
        <v>60</v>
      </c>
      <c r="K3540" s="219"/>
      <c r="L3540" s="219">
        <v>0.53</v>
      </c>
    </row>
    <row r="3541" spans="1:12" x14ac:dyDescent="0.2">
      <c r="A3541" s="168">
        <v>2021</v>
      </c>
      <c r="B3541" s="168">
        <v>6</v>
      </c>
      <c r="C3541" s="168">
        <v>30</v>
      </c>
      <c r="D3541" s="141">
        <f t="shared" si="118"/>
        <v>44377</v>
      </c>
      <c r="E3541" s="275">
        <f t="shared" si="119"/>
        <v>44377</v>
      </c>
      <c r="F3541" s="479" t="s">
        <v>791</v>
      </c>
      <c r="G3541" s="220" t="s">
        <v>74</v>
      </c>
      <c r="H3541" s="220" t="str" cm="1">
        <f t="array" ref="H3541">IFERROR(INDEX(INVESTOR_LIST[INVESTOR NAME],MATCH(I3541,INVESTOR_LIST[INVESTOR CODE],0),)," ")</f>
        <v xml:space="preserve"> </v>
      </c>
      <c r="I3541" s="142" t="s">
        <v>348</v>
      </c>
      <c r="J3541" s="143" t="s">
        <v>52</v>
      </c>
      <c r="K3541" s="226">
        <v>103068</v>
      </c>
      <c r="L3541" s="226"/>
    </row>
    <row r="3542" spans="1:12" x14ac:dyDescent="0.2">
      <c r="A3542" s="163">
        <v>2021</v>
      </c>
      <c r="B3542" s="163">
        <v>6</v>
      </c>
      <c r="C3542" s="163">
        <v>30</v>
      </c>
      <c r="D3542" s="141">
        <f t="shared" si="118"/>
        <v>44377</v>
      </c>
      <c r="E3542" s="275">
        <f t="shared" si="119"/>
        <v>44377</v>
      </c>
      <c r="F3542" s="480"/>
      <c r="G3542" s="221" t="s">
        <v>74</v>
      </c>
      <c r="H3542" s="221" t="str" cm="1">
        <f t="array" ref="H3542">IFERROR(INDEX(INVESTOR_LIST[INVESTOR NAME],MATCH(I3542,INVESTOR_LIST[INVESTOR CODE],0),)," ")</f>
        <v xml:space="preserve"> </v>
      </c>
      <c r="I3542" s="145" t="s">
        <v>348</v>
      </c>
      <c r="J3542" s="146" t="s">
        <v>60</v>
      </c>
      <c r="K3542" s="219"/>
      <c r="L3542" s="219">
        <v>103068</v>
      </c>
    </row>
    <row r="3543" spans="1:12" x14ac:dyDescent="0.2">
      <c r="A3543" s="168">
        <v>2021</v>
      </c>
      <c r="B3543" s="168">
        <v>6</v>
      </c>
      <c r="C3543" s="168">
        <v>30</v>
      </c>
      <c r="D3543" s="141">
        <f t="shared" si="118"/>
        <v>44377</v>
      </c>
      <c r="E3543" s="275">
        <f t="shared" si="119"/>
        <v>44377</v>
      </c>
      <c r="F3543" s="479" t="s">
        <v>791</v>
      </c>
      <c r="G3543" s="220" t="s">
        <v>74</v>
      </c>
      <c r="H3543" s="220" t="str" cm="1">
        <f t="array" ref="H3543">IFERROR(INDEX(INVESTOR_LIST[INVESTOR NAME],MATCH(I3543,INVESTOR_LIST[INVESTOR CODE],0),)," ")</f>
        <v xml:space="preserve"> </v>
      </c>
      <c r="I3543" s="142" t="s">
        <v>348</v>
      </c>
      <c r="J3543" s="143" t="s">
        <v>52</v>
      </c>
      <c r="K3543" s="226">
        <v>136251</v>
      </c>
      <c r="L3543" s="226"/>
    </row>
    <row r="3544" spans="1:12" x14ac:dyDescent="0.2">
      <c r="A3544" s="163">
        <v>2021</v>
      </c>
      <c r="B3544" s="163">
        <v>6</v>
      </c>
      <c r="C3544" s="163">
        <v>30</v>
      </c>
      <c r="D3544" s="141">
        <f t="shared" si="118"/>
        <v>44377</v>
      </c>
      <c r="E3544" s="275">
        <f t="shared" si="119"/>
        <v>44377</v>
      </c>
      <c r="F3544" s="480"/>
      <c r="G3544" s="221" t="s">
        <v>74</v>
      </c>
      <c r="H3544" s="221" t="str" cm="1">
        <f t="array" ref="H3544">IFERROR(INDEX(INVESTOR_LIST[INVESTOR NAME],MATCH(I3544,INVESTOR_LIST[INVESTOR CODE],0),)," ")</f>
        <v xml:space="preserve"> </v>
      </c>
      <c r="I3544" s="145" t="s">
        <v>348</v>
      </c>
      <c r="J3544" s="146" t="s">
        <v>60</v>
      </c>
      <c r="K3544" s="219"/>
      <c r="L3544" s="219">
        <v>136251</v>
      </c>
    </row>
    <row r="3545" spans="1:12" x14ac:dyDescent="0.2">
      <c r="A3545" s="238">
        <v>2021</v>
      </c>
      <c r="B3545" s="238">
        <v>6</v>
      </c>
      <c r="C3545" s="238">
        <v>30</v>
      </c>
      <c r="D3545" s="141">
        <f t="shared" si="118"/>
        <v>44377</v>
      </c>
      <c r="E3545" s="275">
        <f t="shared" si="119"/>
        <v>44377</v>
      </c>
      <c r="F3545" s="477" t="s">
        <v>347</v>
      </c>
      <c r="G3545" s="239" t="s">
        <v>94</v>
      </c>
      <c r="H3545" s="239" t="str" cm="1">
        <f t="array" ref="H3545">IFERROR(INDEX(INVESTOR_LIST[INVESTOR NAME],MATCH(I3545,INVESTOR_LIST[INVESTOR CODE],0),)," ")</f>
        <v xml:space="preserve"> </v>
      </c>
      <c r="I3545" s="262" t="s">
        <v>348</v>
      </c>
      <c r="J3545" s="240" t="s">
        <v>108</v>
      </c>
      <c r="K3545" s="241">
        <v>1989774.6399999838</v>
      </c>
      <c r="L3545" s="241"/>
    </row>
    <row r="3546" spans="1:12" x14ac:dyDescent="0.2">
      <c r="A3546" s="242">
        <v>2021</v>
      </c>
      <c r="B3546" s="242">
        <v>6</v>
      </c>
      <c r="C3546" s="242">
        <v>30</v>
      </c>
      <c r="D3546" s="141">
        <f t="shared" si="118"/>
        <v>44377</v>
      </c>
      <c r="E3546" s="275">
        <f t="shared" si="119"/>
        <v>44377</v>
      </c>
      <c r="F3546" s="478"/>
      <c r="G3546" s="243" t="s">
        <v>94</v>
      </c>
      <c r="H3546" s="243" t="str" cm="1">
        <f t="array" ref="H3546">IFERROR(INDEX(INVESTOR_LIST[INVESTOR NAME],MATCH(I3546,INVESTOR_LIST[INVESTOR CODE],0),)," ")</f>
        <v xml:space="preserve"> </v>
      </c>
      <c r="I3546" s="263" t="s">
        <v>348</v>
      </c>
      <c r="J3546" s="244" t="s">
        <v>82</v>
      </c>
      <c r="K3546" s="245"/>
      <c r="L3546" s="245">
        <v>1989774.6399999838</v>
      </c>
    </row>
    <row r="3547" spans="1:12" ht="22.5" x14ac:dyDescent="0.2">
      <c r="A3547" s="246">
        <v>2021</v>
      </c>
      <c r="B3547" s="246">
        <v>6</v>
      </c>
      <c r="C3547" s="246">
        <v>30</v>
      </c>
      <c r="D3547" s="141">
        <f t="shared" si="118"/>
        <v>44377</v>
      </c>
      <c r="E3547" s="275">
        <f t="shared" si="119"/>
        <v>44377</v>
      </c>
      <c r="F3547" s="482" t="s">
        <v>148</v>
      </c>
      <c r="G3547" s="247" t="s">
        <v>94</v>
      </c>
      <c r="H3547" s="247" t="str" cm="1">
        <f t="array" ref="H3547">IFERROR(INDEX(INVESTOR_LIST[INVESTOR NAME],MATCH(I3547,INVESTOR_LIST[INVESTOR CODE],0),)," ")</f>
        <v xml:space="preserve"> </v>
      </c>
      <c r="I3547" s="248" t="s">
        <v>348</v>
      </c>
      <c r="J3547" s="249" t="s">
        <v>95</v>
      </c>
      <c r="K3547" s="250">
        <v>2747.2527472527472</v>
      </c>
      <c r="L3547" s="241"/>
    </row>
    <row r="3548" spans="1:12" x14ac:dyDescent="0.2">
      <c r="A3548" s="242">
        <v>2021</v>
      </c>
      <c r="B3548" s="242">
        <v>6</v>
      </c>
      <c r="C3548" s="242">
        <v>30</v>
      </c>
      <c r="D3548" s="141">
        <f t="shared" si="118"/>
        <v>44377</v>
      </c>
      <c r="E3548" s="275">
        <f t="shared" si="119"/>
        <v>44377</v>
      </c>
      <c r="F3548" s="478"/>
      <c r="G3548" s="243" t="s">
        <v>94</v>
      </c>
      <c r="H3548" s="243" t="str" cm="1">
        <f t="array" ref="H3548">IFERROR(INDEX(INVESTOR_LIST[INVESTOR NAME],MATCH(I3548,INVESTOR_LIST[INVESTOR CODE],0),)," ")</f>
        <v xml:space="preserve"> </v>
      </c>
      <c r="I3548" s="263" t="s">
        <v>348</v>
      </c>
      <c r="J3548" s="244" t="s">
        <v>63</v>
      </c>
      <c r="K3548" s="245"/>
      <c r="L3548" s="245">
        <v>2747.2527472527472</v>
      </c>
    </row>
    <row r="3549" spans="1:12" x14ac:dyDescent="0.2">
      <c r="A3549" s="246">
        <v>2021</v>
      </c>
      <c r="B3549" s="246">
        <v>6</v>
      </c>
      <c r="C3549" s="246">
        <v>30</v>
      </c>
      <c r="D3549" s="141">
        <f t="shared" si="118"/>
        <v>44377</v>
      </c>
      <c r="E3549" s="275">
        <f t="shared" si="119"/>
        <v>44377</v>
      </c>
      <c r="F3549" s="482" t="s">
        <v>137</v>
      </c>
      <c r="G3549" s="247" t="s">
        <v>94</v>
      </c>
      <c r="H3549" s="247" t="str" cm="1">
        <f t="array" ref="H3549">IFERROR(INDEX(INVESTOR_LIST[INVESTOR NAME],MATCH(I3549,INVESTOR_LIST[INVESTOR CODE],0),)," ")</f>
        <v xml:space="preserve"> </v>
      </c>
      <c r="I3549" s="248" t="s">
        <v>348</v>
      </c>
      <c r="J3549" s="249" t="s">
        <v>97</v>
      </c>
      <c r="K3549" s="250">
        <v>102993.56982877724</v>
      </c>
      <c r="L3549" s="252"/>
    </row>
    <row r="3550" spans="1:12" x14ac:dyDescent="0.2">
      <c r="A3550" s="242">
        <v>2021</v>
      </c>
      <c r="B3550" s="242">
        <v>6</v>
      </c>
      <c r="C3550" s="242">
        <v>30</v>
      </c>
      <c r="D3550" s="141">
        <f t="shared" si="118"/>
        <v>44377</v>
      </c>
      <c r="E3550" s="275">
        <f t="shared" si="119"/>
        <v>44377</v>
      </c>
      <c r="F3550" s="478"/>
      <c r="G3550" s="243" t="s">
        <v>94</v>
      </c>
      <c r="H3550" s="243" t="str" cm="1">
        <f t="array" ref="H3550">IFERROR(INDEX(INVESTOR_LIST[INVESTOR NAME],MATCH(I3550,INVESTOR_LIST[INVESTOR CODE],0),)," ")</f>
        <v xml:space="preserve"> </v>
      </c>
      <c r="I3550" s="263" t="s">
        <v>348</v>
      </c>
      <c r="J3550" s="244" t="s">
        <v>47</v>
      </c>
      <c r="K3550" s="245"/>
      <c r="L3550" s="245">
        <v>102993.56982877724</v>
      </c>
    </row>
    <row r="3551" spans="1:12" x14ac:dyDescent="0.2">
      <c r="A3551" s="246">
        <v>2021</v>
      </c>
      <c r="B3551" s="246">
        <v>6</v>
      </c>
      <c r="C3551" s="246">
        <v>30</v>
      </c>
      <c r="D3551" s="141">
        <f t="shared" si="118"/>
        <v>44377</v>
      </c>
      <c r="E3551" s="275">
        <f t="shared" si="119"/>
        <v>44377</v>
      </c>
      <c r="F3551" s="482" t="s">
        <v>138</v>
      </c>
      <c r="G3551" s="247" t="s">
        <v>94</v>
      </c>
      <c r="H3551" s="247" t="str" cm="1">
        <f t="array" ref="H3551">IFERROR(INDEX(INVESTOR_LIST[INVESTOR NAME],MATCH(I3551,INVESTOR_LIST[INVESTOR CODE],0),)," ")</f>
        <v xml:space="preserve"> </v>
      </c>
      <c r="I3551" s="248" t="s">
        <v>348</v>
      </c>
      <c r="J3551" s="249" t="s">
        <v>100</v>
      </c>
      <c r="K3551" s="250">
        <v>4943.1610655082259</v>
      </c>
      <c r="L3551" s="252"/>
    </row>
    <row r="3552" spans="1:12" x14ac:dyDescent="0.2">
      <c r="A3552" s="242">
        <v>2021</v>
      </c>
      <c r="B3552" s="242">
        <v>6</v>
      </c>
      <c r="C3552" s="242">
        <v>30</v>
      </c>
      <c r="D3552" s="141">
        <f t="shared" si="118"/>
        <v>44377</v>
      </c>
      <c r="E3552" s="275">
        <f t="shared" si="119"/>
        <v>44377</v>
      </c>
      <c r="F3552" s="478"/>
      <c r="G3552" s="243" t="s">
        <v>94</v>
      </c>
      <c r="H3552" s="243" t="str" cm="1">
        <f t="array" ref="H3552">IFERROR(INDEX(INVESTOR_LIST[INVESTOR NAME],MATCH(I3552,INVESTOR_LIST[INVESTOR CODE],0),)," ")</f>
        <v xml:space="preserve"> </v>
      </c>
      <c r="I3552" s="263" t="s">
        <v>348</v>
      </c>
      <c r="J3552" s="244" t="s">
        <v>48</v>
      </c>
      <c r="K3552" s="245"/>
      <c r="L3552" s="245">
        <v>4943.1610655082259</v>
      </c>
    </row>
    <row r="3553" spans="1:14" x14ac:dyDescent="0.2">
      <c r="A3553" s="168">
        <v>2021</v>
      </c>
      <c r="B3553" s="168">
        <v>7</v>
      </c>
      <c r="C3553" s="168">
        <v>3</v>
      </c>
      <c r="D3553" s="141">
        <f t="shared" si="118"/>
        <v>44380</v>
      </c>
      <c r="E3553" s="275">
        <f t="shared" si="119"/>
        <v>44380</v>
      </c>
      <c r="F3553" s="479" t="s">
        <v>955</v>
      </c>
      <c r="G3553" s="220" t="s">
        <v>74</v>
      </c>
      <c r="H3553" s="220" t="str" cm="1">
        <f t="array" ref="H3553">IFERROR(INDEX(INVESTOR_LIST[INVESTOR NAME],MATCH(I3553,INVESTOR_LIST[INVESTOR CODE],0),)," ")</f>
        <v xml:space="preserve"> </v>
      </c>
      <c r="I3553" s="142" t="s">
        <v>348</v>
      </c>
      <c r="J3553" s="143" t="s">
        <v>61</v>
      </c>
      <c r="K3553" s="226">
        <v>0.53</v>
      </c>
      <c r="L3553" s="226"/>
      <c r="N3553" s="156">
        <f>K3558/13.46</f>
        <v>5200.5943536404156</v>
      </c>
    </row>
    <row r="3554" spans="1:14" x14ac:dyDescent="0.2">
      <c r="A3554" s="163">
        <v>2021</v>
      </c>
      <c r="B3554" s="163">
        <v>7</v>
      </c>
      <c r="C3554" s="163">
        <v>3</v>
      </c>
      <c r="D3554" s="141">
        <f t="shared" si="118"/>
        <v>44380</v>
      </c>
      <c r="E3554" s="275">
        <f t="shared" si="119"/>
        <v>44380</v>
      </c>
      <c r="F3554" s="480"/>
      <c r="G3554" s="221" t="s">
        <v>74</v>
      </c>
      <c r="H3554" s="221" t="str" cm="1">
        <f t="array" ref="H3554">IFERROR(INDEX(INVESTOR_LIST[INVESTOR NAME],MATCH(I3554,INVESTOR_LIST[INVESTOR CODE],0),)," ")</f>
        <v xml:space="preserve"> </v>
      </c>
      <c r="I3554" s="145" t="s">
        <v>348</v>
      </c>
      <c r="J3554" s="146" t="s">
        <v>52</v>
      </c>
      <c r="K3554" s="219"/>
      <c r="L3554" s="219">
        <v>0.53</v>
      </c>
    </row>
    <row r="3555" spans="1:14" ht="11.25" customHeight="1" x14ac:dyDescent="0.2">
      <c r="A3555" s="168">
        <v>2021</v>
      </c>
      <c r="B3555" s="168">
        <v>7</v>
      </c>
      <c r="C3555" s="168">
        <v>5</v>
      </c>
      <c r="D3555" s="141">
        <f t="shared" si="118"/>
        <v>44382</v>
      </c>
      <c r="E3555" s="275">
        <f t="shared" si="119"/>
        <v>44382</v>
      </c>
      <c r="F3555" s="479" t="s">
        <v>254</v>
      </c>
      <c r="G3555" s="220" t="s">
        <v>74</v>
      </c>
      <c r="H3555" s="142" t="str" cm="1">
        <f t="array" ref="H3555">IFERROR(INDEX(INVESTOR_LIST[INVESTOR NAME],MATCH(I3555,INVESTOR_LIST[INVESTOR CODE],0),)," ")</f>
        <v xml:space="preserve"> </v>
      </c>
      <c r="I3555" s="142"/>
      <c r="J3555" s="168" t="s">
        <v>52</v>
      </c>
      <c r="K3555" s="226">
        <v>12500</v>
      </c>
      <c r="L3555" s="226"/>
    </row>
    <row r="3556" spans="1:14" x14ac:dyDescent="0.2">
      <c r="A3556" s="133">
        <v>2021</v>
      </c>
      <c r="B3556" s="133">
        <v>7</v>
      </c>
      <c r="C3556" s="133">
        <v>5</v>
      </c>
      <c r="D3556" s="141">
        <f t="shared" si="118"/>
        <v>44382</v>
      </c>
      <c r="E3556" s="275">
        <f t="shared" si="119"/>
        <v>44382</v>
      </c>
      <c r="F3556" s="481"/>
      <c r="G3556" s="174" t="s">
        <v>74</v>
      </c>
      <c r="H3556" s="148" t="str" cm="1">
        <f t="array" ref="H3556">IFERROR(INDEX(INVESTOR_LIST[INVESTOR NAME],MATCH(I3556,INVESTOR_LIST[INVESTOR CODE],0),)," ")</f>
        <v xml:space="preserve"> </v>
      </c>
      <c r="J3556" s="133" t="s">
        <v>13</v>
      </c>
      <c r="K3556" s="218"/>
      <c r="L3556" s="218">
        <v>9280</v>
      </c>
      <c r="N3556" s="156">
        <f>K3561/13.46</f>
        <v>7429.4205052005937</v>
      </c>
    </row>
    <row r="3557" spans="1:14" x14ac:dyDescent="0.2">
      <c r="A3557" s="163">
        <v>2021</v>
      </c>
      <c r="B3557" s="163">
        <v>7</v>
      </c>
      <c r="C3557" s="163">
        <v>5</v>
      </c>
      <c r="D3557" s="141">
        <f t="shared" si="118"/>
        <v>44382</v>
      </c>
      <c r="E3557" s="275">
        <f t="shared" si="119"/>
        <v>44382</v>
      </c>
      <c r="F3557" s="480"/>
      <c r="G3557" s="221" t="s">
        <v>74</v>
      </c>
      <c r="H3557" s="145" t="str" cm="1">
        <f t="array" ref="H3557">IFERROR(INDEX(INVESTOR_LIST[INVESTOR NAME],MATCH(I3557,INVESTOR_LIST[INVESTOR CODE],0),)," ")</f>
        <v xml:space="preserve"> </v>
      </c>
      <c r="I3557" s="145"/>
      <c r="J3557" s="163" t="s">
        <v>53</v>
      </c>
      <c r="K3557" s="219"/>
      <c r="L3557" s="219">
        <v>3220</v>
      </c>
    </row>
    <row r="3558" spans="1:14" ht="11.25" customHeight="1" x14ac:dyDescent="0.2">
      <c r="A3558" s="168">
        <v>2021</v>
      </c>
      <c r="B3558" s="168">
        <v>7</v>
      </c>
      <c r="C3558" s="168">
        <v>5</v>
      </c>
      <c r="D3558" s="141">
        <f t="shared" si="118"/>
        <v>44382</v>
      </c>
      <c r="E3558" s="275">
        <f t="shared" si="119"/>
        <v>44382</v>
      </c>
      <c r="F3558" s="479" t="s">
        <v>964</v>
      </c>
      <c r="G3558" s="220" t="s">
        <v>74</v>
      </c>
      <c r="H3558" s="142" t="str" cm="1">
        <f t="array" ref="H3558">IFERROR(INDEX(INVESTOR_LIST[INVESTOR NAME],MATCH(I3558,INVESTOR_LIST[INVESTOR CODE],0),)," ")</f>
        <v>MONIR AHMED</v>
      </c>
      <c r="I3558" s="142" t="s">
        <v>407</v>
      </c>
      <c r="J3558" s="168" t="s">
        <v>52</v>
      </c>
      <c r="K3558" s="226">
        <v>70000</v>
      </c>
      <c r="L3558" s="226"/>
    </row>
    <row r="3559" spans="1:14" ht="22.5" x14ac:dyDescent="0.2">
      <c r="A3559" s="133">
        <v>2021</v>
      </c>
      <c r="B3559" s="133">
        <v>7</v>
      </c>
      <c r="C3559" s="133">
        <v>5</v>
      </c>
      <c r="D3559" s="141">
        <f t="shared" si="118"/>
        <v>44382</v>
      </c>
      <c r="E3559" s="275">
        <f t="shared" si="119"/>
        <v>44382</v>
      </c>
      <c r="F3559" s="481"/>
      <c r="G3559" s="174" t="s">
        <v>74</v>
      </c>
      <c r="H3559" s="148" t="str" cm="1">
        <f t="array" ref="H3559">IFERROR(INDEX(INVESTOR_LIST[INVESTOR NAME],MATCH(I3559,INVESTOR_LIST[INVESTOR CODE],0),)," ")</f>
        <v>MONIR AHMED</v>
      </c>
      <c r="I3559" s="148" t="s">
        <v>407</v>
      </c>
      <c r="J3559" s="133" t="s">
        <v>13</v>
      </c>
      <c r="K3559" s="218"/>
      <c r="L3559" s="218">
        <v>52010</v>
      </c>
      <c r="N3559" s="156">
        <f>K3585/13.46</f>
        <v>29754.829123328378</v>
      </c>
    </row>
    <row r="3560" spans="1:14" ht="22.5" x14ac:dyDescent="0.2">
      <c r="A3560" s="163">
        <v>2021</v>
      </c>
      <c r="B3560" s="163">
        <v>7</v>
      </c>
      <c r="C3560" s="163">
        <v>5</v>
      </c>
      <c r="D3560" s="141">
        <f t="shared" si="118"/>
        <v>44382</v>
      </c>
      <c r="E3560" s="275">
        <f t="shared" si="119"/>
        <v>44382</v>
      </c>
      <c r="F3560" s="480"/>
      <c r="G3560" s="221" t="s">
        <v>74</v>
      </c>
      <c r="H3560" s="145" t="str" cm="1">
        <f t="array" ref="H3560">IFERROR(INDEX(INVESTOR_LIST[INVESTOR NAME],MATCH(I3560,INVESTOR_LIST[INVESTOR CODE],0),)," ")</f>
        <v>MONIR AHMED</v>
      </c>
      <c r="I3560" s="145" t="s">
        <v>407</v>
      </c>
      <c r="J3560" s="163" t="s">
        <v>53</v>
      </c>
      <c r="K3560" s="219"/>
      <c r="L3560" s="219">
        <v>17990</v>
      </c>
    </row>
    <row r="3561" spans="1:14" ht="11.25" customHeight="1" x14ac:dyDescent="0.2">
      <c r="A3561" s="168">
        <v>2021</v>
      </c>
      <c r="B3561" s="168">
        <v>7</v>
      </c>
      <c r="C3561" s="168">
        <v>5</v>
      </c>
      <c r="D3561" s="141">
        <f t="shared" si="118"/>
        <v>44382</v>
      </c>
      <c r="E3561" s="275">
        <f t="shared" si="119"/>
        <v>44382</v>
      </c>
      <c r="F3561" s="479" t="s">
        <v>964</v>
      </c>
      <c r="G3561" s="220" t="s">
        <v>74</v>
      </c>
      <c r="H3561" s="142" t="str" cm="1">
        <f t="array" ref="H3561">IFERROR(INDEX(INVESTOR_LIST[INVESTOR NAME],MATCH(I3561,INVESTOR_LIST[INVESTOR CODE],0),)," ")</f>
        <v>MOHAMMAD SHAHIDUL ISLAM</v>
      </c>
      <c r="I3561" s="142" t="s">
        <v>805</v>
      </c>
      <c r="J3561" s="168" t="s">
        <v>52</v>
      </c>
      <c r="K3561" s="226">
        <v>100000</v>
      </c>
      <c r="L3561" s="226"/>
    </row>
    <row r="3562" spans="1:14" ht="56.25" x14ac:dyDescent="0.2">
      <c r="A3562" s="133">
        <v>2021</v>
      </c>
      <c r="B3562" s="133">
        <v>7</v>
      </c>
      <c r="C3562" s="133">
        <v>5</v>
      </c>
      <c r="D3562" s="141">
        <f t="shared" si="118"/>
        <v>44382</v>
      </c>
      <c r="E3562" s="275">
        <f t="shared" si="119"/>
        <v>44382</v>
      </c>
      <c r="F3562" s="481"/>
      <c r="G3562" s="174" t="s">
        <v>74</v>
      </c>
      <c r="H3562" s="148" t="str" cm="1">
        <f t="array" ref="H3562">IFERROR(INDEX(INVESTOR_LIST[INVESTOR NAME],MATCH(I3562,INVESTOR_LIST[INVESTOR CODE],0),)," ")</f>
        <v>MOHAMMAD SHAHIDUL ISLAM</v>
      </c>
      <c r="I3562" s="148" t="s">
        <v>805</v>
      </c>
      <c r="J3562" s="133" t="s">
        <v>13</v>
      </c>
      <c r="K3562" s="218"/>
      <c r="L3562" s="218">
        <v>74290</v>
      </c>
    </row>
    <row r="3563" spans="1:14" ht="56.25" x14ac:dyDescent="0.2">
      <c r="A3563" s="163">
        <v>2021</v>
      </c>
      <c r="B3563" s="163">
        <v>7</v>
      </c>
      <c r="C3563" s="163">
        <v>5</v>
      </c>
      <c r="D3563" s="141">
        <f t="shared" si="118"/>
        <v>44382</v>
      </c>
      <c r="E3563" s="275">
        <f t="shared" si="119"/>
        <v>44382</v>
      </c>
      <c r="F3563" s="480"/>
      <c r="G3563" s="221" t="s">
        <v>74</v>
      </c>
      <c r="H3563" s="145" t="str" cm="1">
        <f t="array" ref="H3563">IFERROR(INDEX(INVESTOR_LIST[INVESTOR NAME],MATCH(I3563,INVESTOR_LIST[INVESTOR CODE],0),)," ")</f>
        <v>MOHAMMAD SHAHIDUL ISLAM</v>
      </c>
      <c r="I3563" s="145" t="s">
        <v>805</v>
      </c>
      <c r="J3563" s="163" t="s">
        <v>53</v>
      </c>
      <c r="K3563" s="219"/>
      <c r="L3563" s="219">
        <v>25710</v>
      </c>
    </row>
    <row r="3564" spans="1:14" x14ac:dyDescent="0.2">
      <c r="A3564" s="168">
        <v>2021</v>
      </c>
      <c r="B3564" s="168">
        <v>7</v>
      </c>
      <c r="C3564" s="168">
        <v>5</v>
      </c>
      <c r="D3564" s="141">
        <f t="shared" si="118"/>
        <v>44382</v>
      </c>
      <c r="E3564" s="275">
        <f t="shared" si="119"/>
        <v>44382</v>
      </c>
      <c r="F3564" s="479" t="s">
        <v>274</v>
      </c>
      <c r="G3564" s="220" t="s">
        <v>74</v>
      </c>
      <c r="H3564" s="142" t="str" cm="1">
        <f t="array" ref="H3564">IFERROR(INDEX(INVESTOR_LIST[INVESTOR NAME],MATCH(I3564,INVESTOR_LIST[INVESTOR CODE],0),)," ")</f>
        <v xml:space="preserve"> </v>
      </c>
      <c r="I3564" s="142"/>
      <c r="J3564" s="168" t="s">
        <v>79</v>
      </c>
      <c r="K3564" s="226">
        <v>1634425.2</v>
      </c>
      <c r="L3564" s="226"/>
    </row>
    <row r="3565" spans="1:14" x14ac:dyDescent="0.2">
      <c r="A3565" s="133">
        <v>2021</v>
      </c>
      <c r="B3565" s="133">
        <v>7</v>
      </c>
      <c r="C3565" s="133">
        <v>5</v>
      </c>
      <c r="D3565" s="141">
        <f t="shared" si="118"/>
        <v>44382</v>
      </c>
      <c r="E3565" s="275">
        <f t="shared" si="119"/>
        <v>44382</v>
      </c>
      <c r="F3565" s="481"/>
      <c r="G3565" s="174" t="s">
        <v>74</v>
      </c>
      <c r="H3565" s="148" t="str" cm="1">
        <f t="array" ref="H3565">IFERROR(INDEX(INVESTOR_LIST[INVESTOR NAME],MATCH(I3565,INVESTOR_LIST[INVESTOR CODE],0),)," ")</f>
        <v xml:space="preserve"> </v>
      </c>
      <c r="J3565" s="133" t="s">
        <v>80</v>
      </c>
      <c r="K3565" s="218">
        <v>2941.97</v>
      </c>
      <c r="L3565" s="218"/>
    </row>
    <row r="3566" spans="1:14" x14ac:dyDescent="0.2">
      <c r="A3566" s="163">
        <v>2021</v>
      </c>
      <c r="B3566" s="163">
        <v>7</v>
      </c>
      <c r="C3566" s="163">
        <v>5</v>
      </c>
      <c r="D3566" s="141">
        <f t="shared" si="118"/>
        <v>44382</v>
      </c>
      <c r="E3566" s="275">
        <f t="shared" si="119"/>
        <v>44382</v>
      </c>
      <c r="F3566" s="480"/>
      <c r="G3566" s="221" t="s">
        <v>74</v>
      </c>
      <c r="H3566" s="145" t="str" cm="1">
        <f t="array" ref="H3566">IFERROR(INDEX(INVESTOR_LIST[INVESTOR NAME],MATCH(I3566,INVESTOR_LIST[INVESTOR CODE],0),)," ")</f>
        <v xml:space="preserve"> </v>
      </c>
      <c r="I3566" s="145"/>
      <c r="J3566" s="163" t="s">
        <v>147</v>
      </c>
      <c r="K3566" s="219"/>
      <c r="L3566" s="219">
        <v>1637367.17</v>
      </c>
    </row>
    <row r="3567" spans="1:14" x14ac:dyDescent="0.2">
      <c r="A3567" s="133">
        <v>2021</v>
      </c>
      <c r="B3567" s="133">
        <v>7</v>
      </c>
      <c r="C3567" s="133">
        <v>5</v>
      </c>
      <c r="D3567" s="141">
        <f t="shared" si="118"/>
        <v>44382</v>
      </c>
      <c r="E3567" s="275">
        <f t="shared" si="119"/>
        <v>44382</v>
      </c>
      <c r="F3567" s="479" t="s">
        <v>809</v>
      </c>
      <c r="G3567" s="174" t="s">
        <v>74</v>
      </c>
      <c r="H3567" s="148" t="str" cm="1">
        <f t="array" ref="H3567">IFERROR(INDEX(INVESTOR_LIST[INVESTOR NAME],MATCH(I3567,INVESTOR_LIST[INVESTOR CODE],0),)," ")</f>
        <v xml:space="preserve"> </v>
      </c>
      <c r="J3567" s="133" t="s">
        <v>810</v>
      </c>
      <c r="K3567" s="218">
        <v>8000000</v>
      </c>
      <c r="L3567" s="218"/>
    </row>
    <row r="3568" spans="1:14" x14ac:dyDescent="0.2">
      <c r="A3568" s="133">
        <v>2021</v>
      </c>
      <c r="B3568" s="133">
        <v>7</v>
      </c>
      <c r="C3568" s="133">
        <v>5</v>
      </c>
      <c r="D3568" s="141">
        <f t="shared" si="118"/>
        <v>44382</v>
      </c>
      <c r="E3568" s="275">
        <f t="shared" si="119"/>
        <v>44382</v>
      </c>
      <c r="F3568" s="481"/>
      <c r="G3568" s="174" t="s">
        <v>74</v>
      </c>
      <c r="H3568" s="148" t="str" cm="1">
        <f t="array" ref="H3568">IFERROR(INDEX(INVESTOR_LIST[INVESTOR NAME],MATCH(I3568,INVESTOR_LIST[INVESTOR CODE],0),)," ")</f>
        <v xml:space="preserve"> </v>
      </c>
      <c r="J3568" s="133" t="s">
        <v>185</v>
      </c>
      <c r="K3568" s="218">
        <v>3000</v>
      </c>
      <c r="L3568" s="218"/>
    </row>
    <row r="3569" spans="1:14" x14ac:dyDescent="0.2">
      <c r="A3569" s="133">
        <v>2021</v>
      </c>
      <c r="B3569" s="133">
        <v>7</v>
      </c>
      <c r="C3569" s="133">
        <v>5</v>
      </c>
      <c r="D3569" s="141">
        <f t="shared" si="118"/>
        <v>44382</v>
      </c>
      <c r="E3569" s="275">
        <f t="shared" si="119"/>
        <v>44382</v>
      </c>
      <c r="F3569" s="480"/>
      <c r="G3569" s="174" t="s">
        <v>74</v>
      </c>
      <c r="H3569" s="148" t="str" cm="1">
        <f t="array" ref="H3569">IFERROR(INDEX(INVESTOR_LIST[INVESTOR NAME],MATCH(I3569,INVESTOR_LIST[INVESTOR CODE],0),)," ")</f>
        <v xml:space="preserve"> </v>
      </c>
      <c r="J3569" s="133" t="s">
        <v>52</v>
      </c>
      <c r="K3569" s="218"/>
      <c r="L3569" s="218">
        <v>8003000</v>
      </c>
    </row>
    <row r="3570" spans="1:14" x14ac:dyDescent="0.2">
      <c r="A3570" s="168">
        <v>2021</v>
      </c>
      <c r="B3570" s="168">
        <v>7</v>
      </c>
      <c r="C3570" s="168">
        <v>5</v>
      </c>
      <c r="D3570" s="141">
        <f t="shared" si="118"/>
        <v>44382</v>
      </c>
      <c r="E3570" s="275">
        <f t="shared" si="119"/>
        <v>44382</v>
      </c>
      <c r="F3570" s="479" t="s">
        <v>77</v>
      </c>
      <c r="G3570" s="220" t="s">
        <v>74</v>
      </c>
      <c r="H3570" s="220" t="str" cm="1">
        <f t="array" ref="H3570">IFERROR(INDEX(INVESTOR_LIST[INVESTOR NAME],MATCH(I3570,INVESTOR_LIST[INVESTOR CODE],0),)," ")</f>
        <v xml:space="preserve"> </v>
      </c>
      <c r="I3570" s="142" t="s">
        <v>348</v>
      </c>
      <c r="J3570" s="143" t="s">
        <v>61</v>
      </c>
      <c r="K3570" s="226">
        <v>115</v>
      </c>
      <c r="L3570" s="226"/>
    </row>
    <row r="3571" spans="1:14" x14ac:dyDescent="0.2">
      <c r="A3571" s="163">
        <v>2021</v>
      </c>
      <c r="B3571" s="163">
        <v>7</v>
      </c>
      <c r="C3571" s="163">
        <v>5</v>
      </c>
      <c r="D3571" s="141">
        <f t="shared" si="118"/>
        <v>44382</v>
      </c>
      <c r="E3571" s="275">
        <f t="shared" si="119"/>
        <v>44382</v>
      </c>
      <c r="F3571" s="480"/>
      <c r="G3571" s="221" t="s">
        <v>74</v>
      </c>
      <c r="H3571" s="221" t="str" cm="1">
        <f t="array" ref="H3571">IFERROR(INDEX(INVESTOR_LIST[INVESTOR NAME],MATCH(I3571,INVESTOR_LIST[INVESTOR CODE],0),)," ")</f>
        <v xml:space="preserve"> </v>
      </c>
      <c r="I3571" s="145" t="s">
        <v>348</v>
      </c>
      <c r="J3571" s="146" t="s">
        <v>52</v>
      </c>
      <c r="K3571" s="219"/>
      <c r="L3571" s="219">
        <v>115</v>
      </c>
      <c r="N3571" s="156">
        <f>K3596/13.46</f>
        <v>22288.261515601782</v>
      </c>
    </row>
    <row r="3572" spans="1:14" x14ac:dyDescent="0.2">
      <c r="A3572" s="168">
        <v>2021</v>
      </c>
      <c r="B3572" s="168">
        <v>7</v>
      </c>
      <c r="C3572" s="168">
        <v>5</v>
      </c>
      <c r="D3572" s="141">
        <f t="shared" si="118"/>
        <v>44382</v>
      </c>
      <c r="E3572" s="275">
        <f t="shared" si="119"/>
        <v>44382</v>
      </c>
      <c r="F3572" s="479" t="s">
        <v>77</v>
      </c>
      <c r="G3572" s="220" t="s">
        <v>74</v>
      </c>
      <c r="H3572" s="220" t="str" cm="1">
        <f t="array" ref="H3572">IFERROR(INDEX(INVESTOR_LIST[INVESTOR NAME],MATCH(I3572,INVESTOR_LIST[INVESTOR CODE],0),)," ")</f>
        <v xml:space="preserve"> </v>
      </c>
      <c r="I3572" s="142" t="s">
        <v>348</v>
      </c>
      <c r="J3572" s="143" t="s">
        <v>61</v>
      </c>
      <c r="K3572" s="226">
        <v>402.5</v>
      </c>
      <c r="L3572" s="226"/>
    </row>
    <row r="3573" spans="1:14" x14ac:dyDescent="0.2">
      <c r="A3573" s="163">
        <v>2021</v>
      </c>
      <c r="B3573" s="163">
        <v>7</v>
      </c>
      <c r="C3573" s="163">
        <v>5</v>
      </c>
      <c r="D3573" s="141">
        <f t="shared" si="118"/>
        <v>44382</v>
      </c>
      <c r="E3573" s="275">
        <f t="shared" si="119"/>
        <v>44382</v>
      </c>
      <c r="F3573" s="480"/>
      <c r="G3573" s="221" t="s">
        <v>74</v>
      </c>
      <c r="H3573" s="221" t="str" cm="1">
        <f t="array" ref="H3573">IFERROR(INDEX(INVESTOR_LIST[INVESTOR NAME],MATCH(I3573,INVESTOR_LIST[INVESTOR CODE],0),)," ")</f>
        <v xml:space="preserve"> </v>
      </c>
      <c r="I3573" s="145" t="s">
        <v>348</v>
      </c>
      <c r="J3573" s="146" t="s">
        <v>52</v>
      </c>
      <c r="K3573" s="219"/>
      <c r="L3573" s="219">
        <v>402.5</v>
      </c>
    </row>
    <row r="3574" spans="1:14" x14ac:dyDescent="0.2">
      <c r="A3574" s="168">
        <v>2021</v>
      </c>
      <c r="B3574" s="168">
        <v>7</v>
      </c>
      <c r="C3574" s="168">
        <v>5</v>
      </c>
      <c r="D3574" s="141">
        <f t="shared" si="118"/>
        <v>44382</v>
      </c>
      <c r="E3574" s="275">
        <f t="shared" si="119"/>
        <v>44382</v>
      </c>
      <c r="F3574" s="479" t="s">
        <v>77</v>
      </c>
      <c r="G3574" s="220" t="s">
        <v>74</v>
      </c>
      <c r="H3574" s="220" t="str" cm="1">
        <f t="array" ref="H3574">IFERROR(INDEX(INVESTOR_LIST[INVESTOR NAME],MATCH(I3574,INVESTOR_LIST[INVESTOR CODE],0),)," ")</f>
        <v xml:space="preserve"> </v>
      </c>
      <c r="I3574" s="142" t="s">
        <v>348</v>
      </c>
      <c r="J3574" s="143" t="s">
        <v>61</v>
      </c>
      <c r="K3574" s="226">
        <v>402.5</v>
      </c>
      <c r="L3574" s="226"/>
    </row>
    <row r="3575" spans="1:14" x14ac:dyDescent="0.2">
      <c r="A3575" s="163">
        <v>2021</v>
      </c>
      <c r="B3575" s="163">
        <v>7</v>
      </c>
      <c r="C3575" s="163">
        <v>5</v>
      </c>
      <c r="D3575" s="141">
        <f t="shared" si="118"/>
        <v>44382</v>
      </c>
      <c r="E3575" s="275">
        <f t="shared" si="119"/>
        <v>44382</v>
      </c>
      <c r="F3575" s="480"/>
      <c r="G3575" s="221" t="s">
        <v>74</v>
      </c>
      <c r="H3575" s="221" t="str" cm="1">
        <f t="array" ref="H3575">IFERROR(INDEX(INVESTOR_LIST[INVESTOR NAME],MATCH(I3575,INVESTOR_LIST[INVESTOR CODE],0),)," ")</f>
        <v xml:space="preserve"> </v>
      </c>
      <c r="I3575" s="145" t="s">
        <v>348</v>
      </c>
      <c r="J3575" s="146" t="s">
        <v>52</v>
      </c>
      <c r="K3575" s="219"/>
      <c r="L3575" s="219">
        <v>402.5</v>
      </c>
      <c r="N3575" s="156">
        <f>L3603/13.46</f>
        <v>4457.652303120356</v>
      </c>
    </row>
    <row r="3576" spans="1:14" x14ac:dyDescent="0.2">
      <c r="A3576" s="168">
        <v>2021</v>
      </c>
      <c r="B3576" s="168">
        <v>7</v>
      </c>
      <c r="C3576" s="168">
        <v>5</v>
      </c>
      <c r="D3576" s="141">
        <f t="shared" si="118"/>
        <v>44382</v>
      </c>
      <c r="E3576" s="275">
        <f t="shared" si="119"/>
        <v>44382</v>
      </c>
      <c r="F3576" s="479" t="s">
        <v>524</v>
      </c>
      <c r="G3576" s="220" t="s">
        <v>74</v>
      </c>
      <c r="H3576" s="220" t="str" cm="1">
        <f t="array" ref="H3576">IFERROR(INDEX(INVESTOR_LIST[INVESTOR NAME],MATCH(I3576,INVESTOR_LIST[INVESTOR CODE],0),)," ")</f>
        <v xml:space="preserve"> </v>
      </c>
      <c r="I3576" s="142" t="s">
        <v>348</v>
      </c>
      <c r="J3576" s="143" t="s">
        <v>147</v>
      </c>
      <c r="K3576" s="226">
        <v>1492076.71</v>
      </c>
      <c r="L3576" s="226"/>
    </row>
    <row r="3577" spans="1:14" x14ac:dyDescent="0.2">
      <c r="A3577" s="163">
        <v>2021</v>
      </c>
      <c r="B3577" s="163">
        <v>7</v>
      </c>
      <c r="C3577" s="163">
        <v>5</v>
      </c>
      <c r="D3577" s="141">
        <f t="shared" si="118"/>
        <v>44382</v>
      </c>
      <c r="E3577" s="275">
        <f t="shared" si="119"/>
        <v>44382</v>
      </c>
      <c r="F3577" s="480"/>
      <c r="G3577" s="221" t="s">
        <v>74</v>
      </c>
      <c r="H3577" s="221" t="str" cm="1">
        <f t="array" ref="H3577">IFERROR(INDEX(INVESTOR_LIST[INVESTOR NAME],MATCH(I3577,INVESTOR_LIST[INVESTOR CODE],0),)," ")</f>
        <v xml:space="preserve"> </v>
      </c>
      <c r="I3577" s="145" t="s">
        <v>348</v>
      </c>
      <c r="J3577" s="146" t="s">
        <v>52</v>
      </c>
      <c r="K3577" s="219"/>
      <c r="L3577" s="219">
        <v>1492076.71</v>
      </c>
    </row>
    <row r="3578" spans="1:14" x14ac:dyDescent="0.2">
      <c r="A3578" s="168">
        <v>2021</v>
      </c>
      <c r="B3578" s="168">
        <v>7</v>
      </c>
      <c r="C3578" s="168">
        <v>6</v>
      </c>
      <c r="D3578" s="141">
        <f t="shared" si="118"/>
        <v>44383</v>
      </c>
      <c r="E3578" s="275">
        <f t="shared" si="119"/>
        <v>44383</v>
      </c>
      <c r="F3578" s="479" t="s">
        <v>524</v>
      </c>
      <c r="G3578" s="220" t="s">
        <v>74</v>
      </c>
      <c r="H3578" s="220" t="str" cm="1">
        <f t="array" ref="H3578">IFERROR(INDEX(INVESTOR_LIST[INVESTOR NAME],MATCH(I3578,INVESTOR_LIST[INVESTOR CODE],0),)," ")</f>
        <v xml:space="preserve"> </v>
      </c>
      <c r="I3578" s="142" t="s">
        <v>348</v>
      </c>
      <c r="J3578" s="143" t="s">
        <v>147</v>
      </c>
      <c r="K3578" s="226">
        <v>1637367.17</v>
      </c>
      <c r="L3578" s="226"/>
    </row>
    <row r="3579" spans="1:14" x14ac:dyDescent="0.2">
      <c r="A3579" s="163">
        <v>2021</v>
      </c>
      <c r="B3579" s="163">
        <v>7</v>
      </c>
      <c r="C3579" s="163">
        <v>6</v>
      </c>
      <c r="D3579" s="141">
        <f t="shared" si="118"/>
        <v>44383</v>
      </c>
      <c r="E3579" s="275">
        <f t="shared" si="119"/>
        <v>44383</v>
      </c>
      <c r="F3579" s="480"/>
      <c r="G3579" s="221" t="s">
        <v>74</v>
      </c>
      <c r="H3579" s="221" t="str" cm="1">
        <f t="array" ref="H3579">IFERROR(INDEX(INVESTOR_LIST[INVESTOR NAME],MATCH(I3579,INVESTOR_LIST[INVESTOR CODE],0),)," ")</f>
        <v xml:space="preserve"> </v>
      </c>
      <c r="I3579" s="145" t="s">
        <v>348</v>
      </c>
      <c r="J3579" s="146" t="s">
        <v>52</v>
      </c>
      <c r="K3579" s="219"/>
      <c r="L3579" s="219">
        <v>1637367.17</v>
      </c>
    </row>
    <row r="3580" spans="1:14" x14ac:dyDescent="0.2">
      <c r="A3580" s="168">
        <v>2021</v>
      </c>
      <c r="B3580" s="168">
        <v>7</v>
      </c>
      <c r="C3580" s="168">
        <v>6</v>
      </c>
      <c r="D3580" s="141">
        <f t="shared" si="118"/>
        <v>44383</v>
      </c>
      <c r="E3580" s="275">
        <f t="shared" si="119"/>
        <v>44383</v>
      </c>
      <c r="F3580" s="479" t="s">
        <v>811</v>
      </c>
      <c r="G3580" s="220" t="s">
        <v>74</v>
      </c>
      <c r="H3580" s="220" t="str" cm="1">
        <f t="array" ref="H3580">IFERROR(INDEX(INVESTOR_LIST[INVESTOR NAME],MATCH(I3580,INVESTOR_LIST[INVESTOR CODE],0),)," ")</f>
        <v xml:space="preserve"> </v>
      </c>
      <c r="I3580" s="142" t="s">
        <v>348</v>
      </c>
      <c r="J3580" s="143" t="s">
        <v>322</v>
      </c>
      <c r="K3580" s="226">
        <v>25233.78</v>
      </c>
      <c r="L3580" s="226"/>
    </row>
    <row r="3581" spans="1:14" x14ac:dyDescent="0.2">
      <c r="A3581" s="163">
        <v>2021</v>
      </c>
      <c r="B3581" s="163">
        <v>7</v>
      </c>
      <c r="C3581" s="163">
        <v>6</v>
      </c>
      <c r="D3581" s="141">
        <f t="shared" si="118"/>
        <v>44383</v>
      </c>
      <c r="E3581" s="275">
        <f t="shared" si="119"/>
        <v>44383</v>
      </c>
      <c r="F3581" s="480"/>
      <c r="G3581" s="221" t="s">
        <v>74</v>
      </c>
      <c r="H3581" s="221" t="str" cm="1">
        <f t="array" ref="H3581">IFERROR(INDEX(INVESTOR_LIST[INVESTOR NAME],MATCH(I3581,INVESTOR_LIST[INVESTOR CODE],0),)," ")</f>
        <v xml:space="preserve"> </v>
      </c>
      <c r="I3581" s="145" t="s">
        <v>348</v>
      </c>
      <c r="J3581" s="146" t="s">
        <v>52</v>
      </c>
      <c r="K3581" s="219"/>
      <c r="L3581" s="219">
        <v>25233.78</v>
      </c>
    </row>
    <row r="3582" spans="1:14" x14ac:dyDescent="0.2">
      <c r="A3582" s="168">
        <v>2021</v>
      </c>
      <c r="B3582" s="168">
        <v>7</v>
      </c>
      <c r="C3582" s="168">
        <v>6</v>
      </c>
      <c r="D3582" s="141">
        <f t="shared" si="118"/>
        <v>44383</v>
      </c>
      <c r="E3582" s="275">
        <f t="shared" si="119"/>
        <v>44383</v>
      </c>
      <c r="F3582" s="479" t="s">
        <v>274</v>
      </c>
      <c r="G3582" s="220" t="s">
        <v>74</v>
      </c>
      <c r="H3582" s="142" t="str" cm="1">
        <f t="array" ref="H3582">IFERROR(INDEX(INVESTOR_LIST[INVESTOR NAME],MATCH(I3582,INVESTOR_LIST[INVESTOR CODE],0),)," ")</f>
        <v xml:space="preserve"> </v>
      </c>
      <c r="I3582" s="142"/>
      <c r="J3582" s="168" t="s">
        <v>79</v>
      </c>
      <c r="K3582" s="226">
        <v>1212750</v>
      </c>
      <c r="L3582" s="226"/>
    </row>
    <row r="3583" spans="1:14" x14ac:dyDescent="0.2">
      <c r="A3583" s="133">
        <v>2021</v>
      </c>
      <c r="B3583" s="133">
        <v>7</v>
      </c>
      <c r="C3583" s="133">
        <v>6</v>
      </c>
      <c r="D3583" s="141">
        <f t="shared" si="118"/>
        <v>44383</v>
      </c>
      <c r="E3583" s="275">
        <f t="shared" si="119"/>
        <v>44383</v>
      </c>
      <c r="F3583" s="481"/>
      <c r="G3583" s="174" t="s">
        <v>74</v>
      </c>
      <c r="H3583" s="148" t="str" cm="1">
        <f t="array" ref="H3583">IFERROR(INDEX(INVESTOR_LIST[INVESTOR NAME],MATCH(I3583,INVESTOR_LIST[INVESTOR CODE],0),)," ")</f>
        <v xml:space="preserve"> </v>
      </c>
      <c r="J3583" s="133" t="s">
        <v>80</v>
      </c>
      <c r="K3583" s="218">
        <v>2182.9499999999998</v>
      </c>
      <c r="L3583" s="218"/>
    </row>
    <row r="3584" spans="1:14" x14ac:dyDescent="0.2">
      <c r="A3584" s="163">
        <v>2021</v>
      </c>
      <c r="B3584" s="163">
        <v>7</v>
      </c>
      <c r="C3584" s="163">
        <v>6</v>
      </c>
      <c r="D3584" s="141">
        <f t="shared" si="118"/>
        <v>44383</v>
      </c>
      <c r="E3584" s="275">
        <f t="shared" si="119"/>
        <v>44383</v>
      </c>
      <c r="F3584" s="480"/>
      <c r="G3584" s="221" t="s">
        <v>74</v>
      </c>
      <c r="H3584" s="145" t="str" cm="1">
        <f t="array" ref="H3584">IFERROR(INDEX(INVESTOR_LIST[INVESTOR NAME],MATCH(I3584,INVESTOR_LIST[INVESTOR CODE],0),)," ")</f>
        <v xml:space="preserve"> </v>
      </c>
      <c r="I3584" s="145"/>
      <c r="J3584" s="163" t="s">
        <v>147</v>
      </c>
      <c r="K3584" s="219"/>
      <c r="L3584" s="219">
        <v>1214932.95</v>
      </c>
    </row>
    <row r="3585" spans="1:14" ht="11.25" customHeight="1" x14ac:dyDescent="0.2">
      <c r="A3585" s="168">
        <v>2021</v>
      </c>
      <c r="B3585" s="168">
        <v>7</v>
      </c>
      <c r="C3585" s="168">
        <v>6</v>
      </c>
      <c r="D3585" s="141">
        <f t="shared" si="118"/>
        <v>44383</v>
      </c>
      <c r="E3585" s="275">
        <f t="shared" si="119"/>
        <v>44383</v>
      </c>
      <c r="F3585" s="479" t="s">
        <v>964</v>
      </c>
      <c r="G3585" s="220" t="s">
        <v>74</v>
      </c>
      <c r="H3585" s="142" t="str" cm="1">
        <f t="array" ref="H3585">IFERROR(INDEX(INVESTOR_LIST[INVESTOR NAME],MATCH(I3585,INVESTOR_LIST[INVESTOR CODE],0),)," ")</f>
        <v>SADIA AHMED</v>
      </c>
      <c r="I3585" s="142" t="s">
        <v>372</v>
      </c>
      <c r="J3585" s="168" t="s">
        <v>52</v>
      </c>
      <c r="K3585" s="226">
        <v>400500</v>
      </c>
      <c r="L3585" s="226"/>
    </row>
    <row r="3586" spans="1:14" ht="22.5" x14ac:dyDescent="0.2">
      <c r="A3586" s="133">
        <v>2021</v>
      </c>
      <c r="B3586" s="133">
        <v>7</v>
      </c>
      <c r="C3586" s="133">
        <v>6</v>
      </c>
      <c r="D3586" s="141">
        <f t="shared" si="118"/>
        <v>44383</v>
      </c>
      <c r="E3586" s="275">
        <f t="shared" si="119"/>
        <v>44383</v>
      </c>
      <c r="F3586" s="481"/>
      <c r="G3586" s="174" t="s">
        <v>74</v>
      </c>
      <c r="H3586" s="148" t="str" cm="1">
        <f t="array" ref="H3586">IFERROR(INDEX(INVESTOR_LIST[INVESTOR NAME],MATCH(I3586,INVESTOR_LIST[INVESTOR CODE],0),)," ")</f>
        <v>SADIA AHMED</v>
      </c>
      <c r="I3586" s="148" t="s">
        <v>372</v>
      </c>
      <c r="J3586" s="133" t="s">
        <v>13</v>
      </c>
      <c r="K3586" s="218"/>
      <c r="L3586" s="218">
        <v>297550</v>
      </c>
    </row>
    <row r="3587" spans="1:14" ht="22.5" x14ac:dyDescent="0.2">
      <c r="A3587" s="163">
        <v>2021</v>
      </c>
      <c r="B3587" s="163">
        <v>7</v>
      </c>
      <c r="C3587" s="163">
        <v>6</v>
      </c>
      <c r="D3587" s="141">
        <f t="shared" si="118"/>
        <v>44383</v>
      </c>
      <c r="E3587" s="275">
        <f t="shared" si="119"/>
        <v>44383</v>
      </c>
      <c r="F3587" s="480"/>
      <c r="G3587" s="221" t="s">
        <v>74</v>
      </c>
      <c r="H3587" s="145" t="str" cm="1">
        <f t="array" ref="H3587">IFERROR(INDEX(INVESTOR_LIST[INVESTOR NAME],MATCH(I3587,INVESTOR_LIST[INVESTOR CODE],0),)," ")</f>
        <v>SADIA AHMED</v>
      </c>
      <c r="I3587" s="145" t="s">
        <v>372</v>
      </c>
      <c r="J3587" s="163" t="s">
        <v>53</v>
      </c>
      <c r="K3587" s="219"/>
      <c r="L3587" s="219">
        <v>102950</v>
      </c>
    </row>
    <row r="3588" spans="1:14" ht="33.75" x14ac:dyDescent="0.2">
      <c r="A3588" s="168">
        <v>2021</v>
      </c>
      <c r="B3588" s="168">
        <v>7</v>
      </c>
      <c r="C3588" s="168">
        <v>6</v>
      </c>
      <c r="D3588" s="141">
        <f t="shared" si="118"/>
        <v>44383</v>
      </c>
      <c r="E3588" s="275">
        <f t="shared" si="119"/>
        <v>44383</v>
      </c>
      <c r="F3588" s="479" t="s">
        <v>965</v>
      </c>
      <c r="G3588" s="220" t="s">
        <v>74</v>
      </c>
      <c r="H3588" s="142" t="str" cm="1">
        <f t="array" ref="H3588">IFERROR(INDEX(INVESTOR_LIST[INVESTOR NAME],MATCH(I3588,INVESTOR_LIST[INVESTOR CODE],0),)," ")</f>
        <v>MAYA RANI SAHA</v>
      </c>
      <c r="I3588" s="142" t="s">
        <v>456</v>
      </c>
      <c r="J3588" s="168" t="s">
        <v>13</v>
      </c>
      <c r="K3588" s="226">
        <v>827590</v>
      </c>
      <c r="L3588" s="226"/>
      <c r="N3588" s="156">
        <f>K3607/13.32</f>
        <v>22522.522522522522</v>
      </c>
    </row>
    <row r="3589" spans="1:14" ht="33.75" x14ac:dyDescent="0.2">
      <c r="A3589" s="133">
        <v>2021</v>
      </c>
      <c r="B3589" s="133">
        <v>7</v>
      </c>
      <c r="C3589" s="133">
        <v>6</v>
      </c>
      <c r="D3589" s="141">
        <f t="shared" si="118"/>
        <v>44383</v>
      </c>
      <c r="E3589" s="275">
        <f t="shared" si="119"/>
        <v>44383</v>
      </c>
      <c r="F3589" s="481"/>
      <c r="G3589" s="174" t="s">
        <v>74</v>
      </c>
      <c r="H3589" s="148" t="str" cm="1">
        <f t="array" ref="H3589">IFERROR(INDEX(INVESTOR_LIST[INVESTOR NAME],MATCH(I3589,INVESTOR_LIST[INVESTOR CODE],0),)," ")</f>
        <v>MAYA RANI SAHA</v>
      </c>
      <c r="I3589" s="148" t="s">
        <v>456</v>
      </c>
      <c r="J3589" s="133" t="s">
        <v>53</v>
      </c>
      <c r="K3589" s="218">
        <v>286372</v>
      </c>
      <c r="L3589" s="218"/>
    </row>
    <row r="3590" spans="1:14" ht="33.75" x14ac:dyDescent="0.2">
      <c r="A3590" s="163">
        <v>2021</v>
      </c>
      <c r="B3590" s="163">
        <v>7</v>
      </c>
      <c r="C3590" s="163">
        <v>6</v>
      </c>
      <c r="D3590" s="141">
        <f t="shared" si="118"/>
        <v>44383</v>
      </c>
      <c r="E3590" s="275">
        <f t="shared" si="119"/>
        <v>44383</v>
      </c>
      <c r="F3590" s="480"/>
      <c r="G3590" s="221" t="s">
        <v>74</v>
      </c>
      <c r="H3590" s="145" t="str" cm="1">
        <f t="array" ref="H3590">IFERROR(INDEX(INVESTOR_LIST[INVESTOR NAME],MATCH(I3590,INVESTOR_LIST[INVESTOR CODE],0),)," ")</f>
        <v>MAYA RANI SAHA</v>
      </c>
      <c r="I3590" s="145" t="s">
        <v>456</v>
      </c>
      <c r="J3590" s="163" t="s">
        <v>52</v>
      </c>
      <c r="K3590" s="219"/>
      <c r="L3590" s="219">
        <v>1113962</v>
      </c>
    </row>
    <row r="3591" spans="1:14" x14ac:dyDescent="0.2">
      <c r="A3591" s="168">
        <v>2021</v>
      </c>
      <c r="B3591" s="168">
        <v>7</v>
      </c>
      <c r="C3591" s="168">
        <v>6</v>
      </c>
      <c r="D3591" s="141">
        <f t="shared" si="118"/>
        <v>44383</v>
      </c>
      <c r="E3591" s="275">
        <f t="shared" si="119"/>
        <v>44383</v>
      </c>
      <c r="F3591" s="479" t="s">
        <v>524</v>
      </c>
      <c r="G3591" s="220" t="s">
        <v>74</v>
      </c>
      <c r="H3591" s="220" t="str" cm="1">
        <f t="array" ref="H3591">IFERROR(INDEX(INVESTOR_LIST[INVESTOR NAME],MATCH(I3591,INVESTOR_LIST[INVESTOR CODE],0),)," ")</f>
        <v xml:space="preserve"> </v>
      </c>
      <c r="I3591" s="142" t="s">
        <v>348</v>
      </c>
      <c r="J3591" s="143" t="s">
        <v>147</v>
      </c>
      <c r="K3591" s="226">
        <v>1214932.95</v>
      </c>
      <c r="L3591" s="226"/>
      <c r="N3591" s="156">
        <f>K3610/13.32</f>
        <v>7507.5075075075074</v>
      </c>
    </row>
    <row r="3592" spans="1:14" x14ac:dyDescent="0.2">
      <c r="A3592" s="163">
        <v>2021</v>
      </c>
      <c r="B3592" s="163">
        <v>7</v>
      </c>
      <c r="C3592" s="163">
        <v>6</v>
      </c>
      <c r="D3592" s="141">
        <f t="shared" si="118"/>
        <v>44383</v>
      </c>
      <c r="E3592" s="275">
        <f t="shared" si="119"/>
        <v>44383</v>
      </c>
      <c r="F3592" s="480"/>
      <c r="G3592" s="221" t="s">
        <v>74</v>
      </c>
      <c r="H3592" s="221" t="str" cm="1">
        <f t="array" ref="H3592">IFERROR(INDEX(INVESTOR_LIST[INVESTOR NAME],MATCH(I3592,INVESTOR_LIST[INVESTOR CODE],0),)," ")</f>
        <v xml:space="preserve"> </v>
      </c>
      <c r="I3592" s="145" t="s">
        <v>348</v>
      </c>
      <c r="J3592" s="146" t="s">
        <v>52</v>
      </c>
      <c r="K3592" s="219"/>
      <c r="L3592" s="219">
        <v>1214932.95</v>
      </c>
    </row>
    <row r="3593" spans="1:14" ht="11.25" customHeight="1" x14ac:dyDescent="0.2">
      <c r="A3593" s="168">
        <v>2021</v>
      </c>
      <c r="B3593" s="168">
        <v>7</v>
      </c>
      <c r="C3593" s="168">
        <v>7</v>
      </c>
      <c r="D3593" s="141">
        <f t="shared" si="118"/>
        <v>44384</v>
      </c>
      <c r="E3593" s="275">
        <f t="shared" si="119"/>
        <v>44384</v>
      </c>
      <c r="F3593" s="479" t="s">
        <v>254</v>
      </c>
      <c r="G3593" s="220" t="s">
        <v>74</v>
      </c>
      <c r="H3593" s="142" t="str" cm="1">
        <f t="array" ref="H3593">IFERROR(INDEX(INVESTOR_LIST[INVESTOR NAME],MATCH(I3593,INVESTOR_LIST[INVESTOR CODE],0),)," ")</f>
        <v xml:space="preserve"> </v>
      </c>
      <c r="I3593" s="142"/>
      <c r="J3593" s="168" t="s">
        <v>52</v>
      </c>
      <c r="K3593" s="226">
        <v>295000</v>
      </c>
      <c r="L3593" s="226"/>
    </row>
    <row r="3594" spans="1:14" x14ac:dyDescent="0.2">
      <c r="A3594" s="133">
        <v>2021</v>
      </c>
      <c r="B3594" s="133">
        <v>7</v>
      </c>
      <c r="C3594" s="133">
        <v>7</v>
      </c>
      <c r="D3594" s="141">
        <f t="shared" si="118"/>
        <v>44384</v>
      </c>
      <c r="E3594" s="275">
        <f t="shared" si="119"/>
        <v>44384</v>
      </c>
      <c r="F3594" s="481"/>
      <c r="G3594" s="174" t="s">
        <v>74</v>
      </c>
      <c r="H3594" s="148" t="str" cm="1">
        <f t="array" ref="H3594">IFERROR(INDEX(INVESTOR_LIST[INVESTOR NAME],MATCH(I3594,INVESTOR_LIST[INVESTOR CODE],0),)," ")</f>
        <v xml:space="preserve"> </v>
      </c>
      <c r="J3594" s="133" t="s">
        <v>13</v>
      </c>
      <c r="K3594" s="218"/>
      <c r="L3594" s="218">
        <v>219160</v>
      </c>
      <c r="N3594" s="156">
        <f>K3613/13.46</f>
        <v>1783.0609212481424</v>
      </c>
    </row>
    <row r="3595" spans="1:14" x14ac:dyDescent="0.2">
      <c r="A3595" s="163">
        <v>2021</v>
      </c>
      <c r="B3595" s="163">
        <v>7</v>
      </c>
      <c r="C3595" s="163">
        <v>7</v>
      </c>
      <c r="D3595" s="141">
        <f t="shared" si="118"/>
        <v>44384</v>
      </c>
      <c r="E3595" s="275">
        <f t="shared" si="119"/>
        <v>44384</v>
      </c>
      <c r="F3595" s="480"/>
      <c r="G3595" s="221" t="s">
        <v>74</v>
      </c>
      <c r="H3595" s="145" t="str" cm="1">
        <f t="array" ref="H3595">IFERROR(INDEX(INVESTOR_LIST[INVESTOR NAME],MATCH(I3595,INVESTOR_LIST[INVESTOR CODE],0),)," ")</f>
        <v xml:space="preserve"> </v>
      </c>
      <c r="I3595" s="145"/>
      <c r="J3595" s="163" t="s">
        <v>53</v>
      </c>
      <c r="K3595" s="219"/>
      <c r="L3595" s="219">
        <v>75840</v>
      </c>
    </row>
    <row r="3596" spans="1:14" ht="11.25" customHeight="1" x14ac:dyDescent="0.2">
      <c r="A3596" s="168">
        <v>2021</v>
      </c>
      <c r="B3596" s="168">
        <v>7</v>
      </c>
      <c r="C3596" s="168">
        <v>7</v>
      </c>
      <c r="D3596" s="141">
        <f t="shared" si="118"/>
        <v>44384</v>
      </c>
      <c r="E3596" s="275">
        <f t="shared" si="119"/>
        <v>44384</v>
      </c>
      <c r="F3596" s="479" t="s">
        <v>964</v>
      </c>
      <c r="G3596" s="220" t="s">
        <v>74</v>
      </c>
      <c r="H3596" s="142" t="str" cm="1">
        <f t="array" ref="H3596">IFERROR(INDEX(INVESTOR_LIST[INVESTOR NAME],MATCH(I3596,INVESTOR_LIST[INVESTOR CODE],0),)," ")</f>
        <v>IFTEKHAR ALAM</v>
      </c>
      <c r="I3596" s="142" t="s">
        <v>452</v>
      </c>
      <c r="J3596" s="168" t="s">
        <v>52</v>
      </c>
      <c r="K3596" s="226">
        <v>300000</v>
      </c>
      <c r="L3596" s="226"/>
    </row>
    <row r="3597" spans="1:14" ht="22.5" x14ac:dyDescent="0.2">
      <c r="A3597" s="133">
        <v>2021</v>
      </c>
      <c r="B3597" s="133">
        <v>7</v>
      </c>
      <c r="C3597" s="133">
        <v>7</v>
      </c>
      <c r="D3597" s="141">
        <f t="shared" si="118"/>
        <v>44384</v>
      </c>
      <c r="E3597" s="275">
        <f t="shared" si="119"/>
        <v>44384</v>
      </c>
      <c r="F3597" s="481"/>
      <c r="G3597" s="174" t="s">
        <v>74</v>
      </c>
      <c r="H3597" s="148" t="str" cm="1">
        <f t="array" ref="H3597">IFERROR(INDEX(INVESTOR_LIST[INVESTOR NAME],MATCH(I3597,INVESTOR_LIST[INVESTOR CODE],0),)," ")</f>
        <v>IFTEKHAR ALAM</v>
      </c>
      <c r="I3597" s="148" t="s">
        <v>452</v>
      </c>
      <c r="J3597" s="133" t="s">
        <v>13</v>
      </c>
      <c r="K3597" s="218"/>
      <c r="L3597" s="218">
        <v>222880</v>
      </c>
    </row>
    <row r="3598" spans="1:14" ht="22.5" x14ac:dyDescent="0.2">
      <c r="A3598" s="163">
        <v>2021</v>
      </c>
      <c r="B3598" s="163">
        <v>7</v>
      </c>
      <c r="C3598" s="163">
        <v>7</v>
      </c>
      <c r="D3598" s="141">
        <f t="shared" ref="D3598:D3661" si="120">DATE(A3598,B3598,C3598)</f>
        <v>44384</v>
      </c>
      <c r="E3598" s="275">
        <f t="shared" si="119"/>
        <v>44384</v>
      </c>
      <c r="F3598" s="480"/>
      <c r="G3598" s="221" t="s">
        <v>74</v>
      </c>
      <c r="H3598" s="145" t="str" cm="1">
        <f t="array" ref="H3598">IFERROR(INDEX(INVESTOR_LIST[INVESTOR NAME],MATCH(I3598,INVESTOR_LIST[INVESTOR CODE],0),)," ")</f>
        <v>IFTEKHAR ALAM</v>
      </c>
      <c r="I3598" s="145" t="s">
        <v>452</v>
      </c>
      <c r="J3598" s="163" t="s">
        <v>53</v>
      </c>
      <c r="K3598" s="219"/>
      <c r="L3598" s="219">
        <v>77120</v>
      </c>
    </row>
    <row r="3599" spans="1:14" x14ac:dyDescent="0.2">
      <c r="A3599" s="168">
        <v>2021</v>
      </c>
      <c r="B3599" s="168">
        <v>7</v>
      </c>
      <c r="C3599" s="168">
        <v>7</v>
      </c>
      <c r="D3599" s="141">
        <f t="shared" si="120"/>
        <v>44384</v>
      </c>
      <c r="E3599" s="275">
        <f t="shared" ref="E3599:E3662" si="121">DATE(A3599,B3599,C3599)</f>
        <v>44384</v>
      </c>
      <c r="F3599" s="479" t="s">
        <v>77</v>
      </c>
      <c r="G3599" s="220" t="s">
        <v>74</v>
      </c>
      <c r="H3599" s="220" t="str" cm="1">
        <f t="array" ref="H3599">IFERROR(INDEX(INVESTOR_LIST[INVESTOR NAME],MATCH(I3599,INVESTOR_LIST[INVESTOR CODE],0),)," ")</f>
        <v xml:space="preserve"> </v>
      </c>
      <c r="I3599" s="142" t="s">
        <v>348</v>
      </c>
      <c r="J3599" s="143" t="s">
        <v>61</v>
      </c>
      <c r="K3599" s="226">
        <v>10</v>
      </c>
      <c r="L3599" s="226"/>
    </row>
    <row r="3600" spans="1:14" x14ac:dyDescent="0.2">
      <c r="A3600" s="163">
        <v>2021</v>
      </c>
      <c r="B3600" s="163">
        <v>7</v>
      </c>
      <c r="C3600" s="163">
        <v>7</v>
      </c>
      <c r="D3600" s="141">
        <f t="shared" si="120"/>
        <v>44384</v>
      </c>
      <c r="E3600" s="275">
        <f t="shared" si="121"/>
        <v>44384</v>
      </c>
      <c r="F3600" s="480"/>
      <c r="G3600" s="221" t="s">
        <v>74</v>
      </c>
      <c r="H3600" s="221" t="str" cm="1">
        <f t="array" ref="H3600">IFERROR(INDEX(INVESTOR_LIST[INVESTOR NAME],MATCH(I3600,INVESTOR_LIST[INVESTOR CODE],0),)," ")</f>
        <v xml:space="preserve"> </v>
      </c>
      <c r="I3600" s="145" t="s">
        <v>348</v>
      </c>
      <c r="J3600" s="146" t="s">
        <v>52</v>
      </c>
      <c r="K3600" s="219"/>
      <c r="L3600" s="219">
        <v>10</v>
      </c>
    </row>
    <row r="3601" spans="1:14" ht="22.5" x14ac:dyDescent="0.2">
      <c r="A3601" s="168">
        <v>2021</v>
      </c>
      <c r="B3601" s="168">
        <v>7</v>
      </c>
      <c r="C3601" s="168">
        <v>7</v>
      </c>
      <c r="D3601" s="141">
        <f t="shared" si="120"/>
        <v>44384</v>
      </c>
      <c r="E3601" s="275">
        <f t="shared" si="121"/>
        <v>44384</v>
      </c>
      <c r="F3601" s="479" t="s">
        <v>965</v>
      </c>
      <c r="G3601" s="220" t="s">
        <v>74</v>
      </c>
      <c r="H3601" s="142" t="str" cm="1">
        <f t="array" ref="H3601">IFERROR(INDEX(INVESTOR_LIST[INVESTOR NAME],MATCH(I3601,INVESTOR_LIST[INVESTOR CODE],0),)," ")</f>
        <v>MONIR AHMED</v>
      </c>
      <c r="I3601" s="142" t="s">
        <v>407</v>
      </c>
      <c r="J3601" s="168" t="s">
        <v>13</v>
      </c>
      <c r="K3601" s="226">
        <v>44580</v>
      </c>
      <c r="L3601" s="226"/>
    </row>
    <row r="3602" spans="1:14" ht="22.5" x14ac:dyDescent="0.2">
      <c r="A3602" s="133">
        <v>2021</v>
      </c>
      <c r="B3602" s="133">
        <v>7</v>
      </c>
      <c r="C3602" s="133">
        <v>7</v>
      </c>
      <c r="D3602" s="141">
        <f t="shared" si="120"/>
        <v>44384</v>
      </c>
      <c r="E3602" s="275">
        <f t="shared" si="121"/>
        <v>44384</v>
      </c>
      <c r="F3602" s="481"/>
      <c r="G3602" s="174" t="s">
        <v>74</v>
      </c>
      <c r="H3602" s="148" t="str" cm="1">
        <f t="array" ref="H3602">IFERROR(INDEX(INVESTOR_LIST[INVESTOR NAME],MATCH(I3602,INVESTOR_LIST[INVESTOR CODE],0),)," ")</f>
        <v>MONIR AHMED</v>
      </c>
      <c r="I3602" s="148" t="s">
        <v>407</v>
      </c>
      <c r="J3602" s="133" t="s">
        <v>53</v>
      </c>
      <c r="K3602" s="218">
        <v>15420</v>
      </c>
      <c r="L3602" s="218"/>
    </row>
    <row r="3603" spans="1:14" ht="22.5" x14ac:dyDescent="0.2">
      <c r="A3603" s="163">
        <v>2021</v>
      </c>
      <c r="B3603" s="163">
        <v>7</v>
      </c>
      <c r="C3603" s="163">
        <v>7</v>
      </c>
      <c r="D3603" s="141">
        <f t="shared" si="120"/>
        <v>44384</v>
      </c>
      <c r="E3603" s="275">
        <f t="shared" si="121"/>
        <v>44384</v>
      </c>
      <c r="F3603" s="480"/>
      <c r="G3603" s="221" t="s">
        <v>74</v>
      </c>
      <c r="H3603" s="145" t="str" cm="1">
        <f t="array" ref="H3603">IFERROR(INDEX(INVESTOR_LIST[INVESTOR NAME],MATCH(I3603,INVESTOR_LIST[INVESTOR CODE],0),)," ")</f>
        <v>MONIR AHMED</v>
      </c>
      <c r="I3603" s="145" t="s">
        <v>407</v>
      </c>
      <c r="J3603" s="163" t="s">
        <v>52</v>
      </c>
      <c r="K3603" s="219"/>
      <c r="L3603" s="219">
        <v>60000</v>
      </c>
    </row>
    <row r="3604" spans="1:14" x14ac:dyDescent="0.2">
      <c r="A3604" s="168">
        <v>2021</v>
      </c>
      <c r="B3604" s="168">
        <v>7</v>
      </c>
      <c r="C3604" s="168">
        <v>8</v>
      </c>
      <c r="D3604" s="141">
        <f t="shared" si="120"/>
        <v>44385</v>
      </c>
      <c r="E3604" s="275">
        <f t="shared" si="121"/>
        <v>44385</v>
      </c>
      <c r="F3604" s="479" t="s">
        <v>274</v>
      </c>
      <c r="G3604" s="220" t="s">
        <v>74</v>
      </c>
      <c r="H3604" s="142" t="str" cm="1">
        <f t="array" ref="H3604">IFERROR(INDEX(INVESTOR_LIST[INVESTOR NAME],MATCH(I3604,INVESTOR_LIST[INVESTOR CODE],0),)," ")</f>
        <v xml:space="preserve"> </v>
      </c>
      <c r="I3604" s="142"/>
      <c r="J3604" s="168" t="s">
        <v>79</v>
      </c>
      <c r="K3604" s="226">
        <v>507500</v>
      </c>
      <c r="L3604" s="226"/>
    </row>
    <row r="3605" spans="1:14" x14ac:dyDescent="0.2">
      <c r="A3605" s="133">
        <v>2021</v>
      </c>
      <c r="B3605" s="133">
        <v>7</v>
      </c>
      <c r="C3605" s="133">
        <v>8</v>
      </c>
      <c r="D3605" s="141">
        <f t="shared" si="120"/>
        <v>44385</v>
      </c>
      <c r="E3605" s="275">
        <f t="shared" si="121"/>
        <v>44385</v>
      </c>
      <c r="F3605" s="481"/>
      <c r="G3605" s="174" t="s">
        <v>74</v>
      </c>
      <c r="H3605" s="148" t="str" cm="1">
        <f t="array" ref="H3605">IFERROR(INDEX(INVESTOR_LIST[INVESTOR NAME],MATCH(I3605,INVESTOR_LIST[INVESTOR CODE],0),)," ")</f>
        <v xml:space="preserve"> </v>
      </c>
      <c r="J3605" s="133" t="s">
        <v>80</v>
      </c>
      <c r="K3605" s="218">
        <v>913.5</v>
      </c>
      <c r="L3605" s="218"/>
    </row>
    <row r="3606" spans="1:14" x14ac:dyDescent="0.2">
      <c r="A3606" s="163">
        <v>2021</v>
      </c>
      <c r="B3606" s="163">
        <v>7</v>
      </c>
      <c r="C3606" s="163">
        <v>8</v>
      </c>
      <c r="D3606" s="141">
        <f t="shared" si="120"/>
        <v>44385</v>
      </c>
      <c r="E3606" s="275">
        <f t="shared" si="121"/>
        <v>44385</v>
      </c>
      <c r="F3606" s="480"/>
      <c r="G3606" s="221" t="s">
        <v>74</v>
      </c>
      <c r="H3606" s="145" t="str" cm="1">
        <f t="array" ref="H3606">IFERROR(INDEX(INVESTOR_LIST[INVESTOR NAME],MATCH(I3606,INVESTOR_LIST[INVESTOR CODE],0),)," ")</f>
        <v xml:space="preserve"> </v>
      </c>
      <c r="I3606" s="145"/>
      <c r="J3606" s="163" t="s">
        <v>147</v>
      </c>
      <c r="K3606" s="219"/>
      <c r="L3606" s="219">
        <v>508413.5</v>
      </c>
    </row>
    <row r="3607" spans="1:14" ht="11.25" customHeight="1" x14ac:dyDescent="0.2">
      <c r="A3607" s="168">
        <v>2021</v>
      </c>
      <c r="B3607" s="168">
        <v>7</v>
      </c>
      <c r="C3607" s="168">
        <v>8</v>
      </c>
      <c r="D3607" s="141">
        <f t="shared" si="120"/>
        <v>44385</v>
      </c>
      <c r="E3607" s="275">
        <f t="shared" si="121"/>
        <v>44385</v>
      </c>
      <c r="F3607" s="479" t="s">
        <v>964</v>
      </c>
      <c r="G3607" s="220" t="s">
        <v>74</v>
      </c>
      <c r="H3607" s="142" t="str" cm="1">
        <f t="array" ref="H3607">IFERROR(INDEX(INVESTOR_LIST[INVESTOR NAME],MATCH(I3607,INVESTOR_LIST[INVESTOR CODE],0),)," ")</f>
        <v>MD. WALID - AL - ZUBAYER</v>
      </c>
      <c r="I3607" s="142" t="s">
        <v>764</v>
      </c>
      <c r="J3607" s="168" t="s">
        <v>52</v>
      </c>
      <c r="K3607" s="226">
        <v>300000</v>
      </c>
      <c r="L3607" s="226"/>
    </row>
    <row r="3608" spans="1:14" ht="45" x14ac:dyDescent="0.2">
      <c r="A3608" s="133">
        <v>2021</v>
      </c>
      <c r="B3608" s="133">
        <v>7</v>
      </c>
      <c r="C3608" s="133">
        <v>8</v>
      </c>
      <c r="D3608" s="141">
        <f t="shared" si="120"/>
        <v>44385</v>
      </c>
      <c r="E3608" s="275">
        <f t="shared" si="121"/>
        <v>44385</v>
      </c>
      <c r="F3608" s="481"/>
      <c r="G3608" s="174" t="s">
        <v>74</v>
      </c>
      <c r="H3608" s="148" t="str" cm="1">
        <f t="array" ref="H3608">IFERROR(INDEX(INVESTOR_LIST[INVESTOR NAME],MATCH(I3608,INVESTOR_LIST[INVESTOR CODE],0),)," ")</f>
        <v>MD. WALID - AL - ZUBAYER</v>
      </c>
      <c r="I3608" s="148" t="s">
        <v>764</v>
      </c>
      <c r="J3608" s="133" t="s">
        <v>13</v>
      </c>
      <c r="K3608" s="218"/>
      <c r="L3608" s="218">
        <v>225220</v>
      </c>
    </row>
    <row r="3609" spans="1:14" ht="45" x14ac:dyDescent="0.2">
      <c r="A3609" s="163">
        <v>2021</v>
      </c>
      <c r="B3609" s="163">
        <v>7</v>
      </c>
      <c r="C3609" s="163">
        <v>8</v>
      </c>
      <c r="D3609" s="141">
        <f t="shared" si="120"/>
        <v>44385</v>
      </c>
      <c r="E3609" s="275">
        <f t="shared" si="121"/>
        <v>44385</v>
      </c>
      <c r="F3609" s="480"/>
      <c r="G3609" s="221" t="s">
        <v>74</v>
      </c>
      <c r="H3609" s="145" t="str" cm="1">
        <f t="array" ref="H3609">IFERROR(INDEX(INVESTOR_LIST[INVESTOR NAME],MATCH(I3609,INVESTOR_LIST[INVESTOR CODE],0),)," ")</f>
        <v>MD. WALID - AL - ZUBAYER</v>
      </c>
      <c r="I3609" s="145" t="s">
        <v>764</v>
      </c>
      <c r="J3609" s="163" t="s">
        <v>53</v>
      </c>
      <c r="K3609" s="219"/>
      <c r="L3609" s="219">
        <v>74780</v>
      </c>
    </row>
    <row r="3610" spans="1:14" ht="11.25" customHeight="1" x14ac:dyDescent="0.2">
      <c r="A3610" s="168">
        <v>2021</v>
      </c>
      <c r="B3610" s="168">
        <v>7</v>
      </c>
      <c r="C3610" s="168">
        <v>8</v>
      </c>
      <c r="D3610" s="141">
        <f t="shared" si="120"/>
        <v>44385</v>
      </c>
      <c r="E3610" s="275">
        <f t="shared" si="121"/>
        <v>44385</v>
      </c>
      <c r="F3610" s="479" t="s">
        <v>964</v>
      </c>
      <c r="G3610" s="220" t="s">
        <v>74</v>
      </c>
      <c r="H3610" s="142" t="str" cm="1">
        <f t="array" ref="H3610">IFERROR(INDEX(INVESTOR_LIST[INVESTOR NAME],MATCH(I3610,INVESTOR_LIST[INVESTOR CODE],0),)," ")</f>
        <v>JAHAN ARA BEGUM</v>
      </c>
      <c r="I3610" s="142" t="s">
        <v>803</v>
      </c>
      <c r="J3610" s="168" t="s">
        <v>52</v>
      </c>
      <c r="K3610" s="226">
        <v>100000</v>
      </c>
      <c r="L3610" s="226"/>
    </row>
    <row r="3611" spans="1:14" ht="33.75" x14ac:dyDescent="0.2">
      <c r="A3611" s="133">
        <v>2021</v>
      </c>
      <c r="B3611" s="133">
        <v>7</v>
      </c>
      <c r="C3611" s="133">
        <v>8</v>
      </c>
      <c r="D3611" s="141">
        <f t="shared" si="120"/>
        <v>44385</v>
      </c>
      <c r="E3611" s="275">
        <f t="shared" si="121"/>
        <v>44385</v>
      </c>
      <c r="F3611" s="481"/>
      <c r="G3611" s="174" t="s">
        <v>74</v>
      </c>
      <c r="H3611" s="148" t="str" cm="1">
        <f t="array" ref="H3611">IFERROR(INDEX(INVESTOR_LIST[INVESTOR NAME],MATCH(I3611,INVESTOR_LIST[INVESTOR CODE],0),)," ")</f>
        <v>JAHAN ARA BEGUM</v>
      </c>
      <c r="I3611" s="148" t="s">
        <v>803</v>
      </c>
      <c r="J3611" s="133" t="s">
        <v>13</v>
      </c>
      <c r="K3611" s="218"/>
      <c r="L3611" s="218">
        <v>75070</v>
      </c>
    </row>
    <row r="3612" spans="1:14" ht="33.75" x14ac:dyDescent="0.2">
      <c r="A3612" s="163">
        <v>2021</v>
      </c>
      <c r="B3612" s="163">
        <v>7</v>
      </c>
      <c r="C3612" s="163">
        <v>8</v>
      </c>
      <c r="D3612" s="141">
        <f t="shared" si="120"/>
        <v>44385</v>
      </c>
      <c r="E3612" s="275">
        <f t="shared" si="121"/>
        <v>44385</v>
      </c>
      <c r="F3612" s="480"/>
      <c r="G3612" s="221" t="s">
        <v>74</v>
      </c>
      <c r="H3612" s="145" t="str" cm="1">
        <f t="array" ref="H3612">IFERROR(INDEX(INVESTOR_LIST[INVESTOR NAME],MATCH(I3612,INVESTOR_LIST[INVESTOR CODE],0),)," ")</f>
        <v>JAHAN ARA BEGUM</v>
      </c>
      <c r="I3612" s="145" t="s">
        <v>803</v>
      </c>
      <c r="J3612" s="163" t="s">
        <v>53</v>
      </c>
      <c r="K3612" s="219"/>
      <c r="L3612" s="219">
        <v>24930</v>
      </c>
    </row>
    <row r="3613" spans="1:14" ht="11.25" customHeight="1" x14ac:dyDescent="0.2">
      <c r="A3613" s="168">
        <v>2021</v>
      </c>
      <c r="B3613" s="168">
        <v>7</v>
      </c>
      <c r="C3613" s="168">
        <v>8</v>
      </c>
      <c r="D3613" s="141">
        <f t="shared" si="120"/>
        <v>44385</v>
      </c>
      <c r="E3613" s="275">
        <f t="shared" si="121"/>
        <v>44385</v>
      </c>
      <c r="F3613" s="479" t="s">
        <v>964</v>
      </c>
      <c r="G3613" s="220" t="s">
        <v>74</v>
      </c>
      <c r="H3613" s="142" t="str" cm="1">
        <f t="array" ref="H3613">IFERROR(INDEX(INVESTOR_LIST[INVESTOR NAME],MATCH(I3613,INVESTOR_LIST[INVESTOR CODE],0),)," ")</f>
        <v>QUAZI TOWFIQUE UDDIN</v>
      </c>
      <c r="I3613" s="142" t="s">
        <v>704</v>
      </c>
      <c r="J3613" s="168" t="s">
        <v>52</v>
      </c>
      <c r="K3613" s="226">
        <v>24000</v>
      </c>
      <c r="L3613" s="226"/>
    </row>
    <row r="3614" spans="1:14" ht="45" x14ac:dyDescent="0.2">
      <c r="A3614" s="133">
        <v>2021</v>
      </c>
      <c r="B3614" s="133">
        <v>7</v>
      </c>
      <c r="C3614" s="133">
        <v>8</v>
      </c>
      <c r="D3614" s="141">
        <f t="shared" si="120"/>
        <v>44385</v>
      </c>
      <c r="E3614" s="275">
        <f t="shared" si="121"/>
        <v>44385</v>
      </c>
      <c r="F3614" s="481"/>
      <c r="G3614" s="174" t="s">
        <v>74</v>
      </c>
      <c r="H3614" s="148" t="str" cm="1">
        <f t="array" ref="H3614">IFERROR(INDEX(INVESTOR_LIST[INVESTOR NAME],MATCH(I3614,INVESTOR_LIST[INVESTOR CODE],0),)," ")</f>
        <v>QUAZI TOWFIQUE UDDIN</v>
      </c>
      <c r="I3614" s="148" t="s">
        <v>704</v>
      </c>
      <c r="J3614" s="133" t="s">
        <v>13</v>
      </c>
      <c r="K3614" s="218"/>
      <c r="L3614" s="218">
        <v>17830</v>
      </c>
      <c r="N3614" s="156">
        <f>K3619/13.46</f>
        <v>14858.841010401187</v>
      </c>
    </row>
    <row r="3615" spans="1:14" ht="45" x14ac:dyDescent="0.2">
      <c r="A3615" s="163">
        <v>2021</v>
      </c>
      <c r="B3615" s="163">
        <v>7</v>
      </c>
      <c r="C3615" s="163">
        <v>8</v>
      </c>
      <c r="D3615" s="141">
        <f t="shared" si="120"/>
        <v>44385</v>
      </c>
      <c r="E3615" s="275">
        <f t="shared" si="121"/>
        <v>44385</v>
      </c>
      <c r="F3615" s="480"/>
      <c r="G3615" s="221" t="s">
        <v>74</v>
      </c>
      <c r="H3615" s="145" t="str" cm="1">
        <f t="array" ref="H3615">IFERROR(INDEX(INVESTOR_LIST[INVESTOR NAME],MATCH(I3615,INVESTOR_LIST[INVESTOR CODE],0),)," ")</f>
        <v>QUAZI TOWFIQUE UDDIN</v>
      </c>
      <c r="I3615" s="145" t="s">
        <v>704</v>
      </c>
      <c r="J3615" s="163" t="s">
        <v>53</v>
      </c>
      <c r="K3615" s="219"/>
      <c r="L3615" s="219">
        <v>6170</v>
      </c>
    </row>
    <row r="3616" spans="1:14" ht="11.25" customHeight="1" x14ac:dyDescent="0.2">
      <c r="A3616" s="168">
        <v>2021</v>
      </c>
      <c r="B3616" s="168">
        <v>7</v>
      </c>
      <c r="C3616" s="168">
        <v>8</v>
      </c>
      <c r="D3616" s="141">
        <f t="shared" si="120"/>
        <v>44385</v>
      </c>
      <c r="E3616" s="275">
        <f t="shared" si="121"/>
        <v>44385</v>
      </c>
      <c r="F3616" s="479" t="s">
        <v>254</v>
      </c>
      <c r="G3616" s="220" t="s">
        <v>74</v>
      </c>
      <c r="H3616" s="142" t="str" cm="1">
        <f t="array" ref="H3616">IFERROR(INDEX(INVESTOR_LIST[INVESTOR NAME],MATCH(I3616,INVESTOR_LIST[INVESTOR CODE],0),)," ")</f>
        <v xml:space="preserve"> </v>
      </c>
      <c r="I3616" s="142"/>
      <c r="J3616" s="168" t="s">
        <v>52</v>
      </c>
      <c r="K3616" s="226">
        <v>5000</v>
      </c>
      <c r="L3616" s="226"/>
    </row>
    <row r="3617" spans="1:14" x14ac:dyDescent="0.2">
      <c r="A3617" s="133">
        <v>2021</v>
      </c>
      <c r="B3617" s="133">
        <v>7</v>
      </c>
      <c r="C3617" s="133">
        <v>8</v>
      </c>
      <c r="D3617" s="141">
        <f t="shared" si="120"/>
        <v>44385</v>
      </c>
      <c r="E3617" s="275">
        <f t="shared" si="121"/>
        <v>44385</v>
      </c>
      <c r="F3617" s="481"/>
      <c r="G3617" s="174" t="s">
        <v>74</v>
      </c>
      <c r="H3617" s="148" t="str" cm="1">
        <f t="array" ref="H3617">IFERROR(INDEX(INVESTOR_LIST[INVESTOR NAME],MATCH(I3617,INVESTOR_LIST[INVESTOR CODE],0),)," ")</f>
        <v xml:space="preserve"> </v>
      </c>
      <c r="J3617" s="133" t="s">
        <v>13</v>
      </c>
      <c r="K3617" s="218"/>
      <c r="L3617" s="218">
        <v>3710</v>
      </c>
      <c r="N3617" s="156">
        <f>K3622/13.32</f>
        <v>30030.03003003003</v>
      </c>
    </row>
    <row r="3618" spans="1:14" x14ac:dyDescent="0.2">
      <c r="A3618" s="163">
        <v>2021</v>
      </c>
      <c r="B3618" s="163">
        <v>7</v>
      </c>
      <c r="C3618" s="163">
        <v>8</v>
      </c>
      <c r="D3618" s="141">
        <f t="shared" si="120"/>
        <v>44385</v>
      </c>
      <c r="E3618" s="275">
        <f t="shared" si="121"/>
        <v>44385</v>
      </c>
      <c r="F3618" s="480"/>
      <c r="G3618" s="221" t="s">
        <v>74</v>
      </c>
      <c r="H3618" s="145" t="str" cm="1">
        <f t="array" ref="H3618">IFERROR(INDEX(INVESTOR_LIST[INVESTOR NAME],MATCH(I3618,INVESTOR_LIST[INVESTOR CODE],0),)," ")</f>
        <v xml:space="preserve"> </v>
      </c>
      <c r="I3618" s="145"/>
      <c r="J3618" s="163" t="s">
        <v>53</v>
      </c>
      <c r="K3618" s="219"/>
      <c r="L3618" s="219">
        <v>1290</v>
      </c>
    </row>
    <row r="3619" spans="1:14" ht="11.25" customHeight="1" x14ac:dyDescent="0.2">
      <c r="A3619" s="168">
        <v>2021</v>
      </c>
      <c r="B3619" s="168">
        <v>7</v>
      </c>
      <c r="C3619" s="168">
        <v>8</v>
      </c>
      <c r="D3619" s="141">
        <f t="shared" si="120"/>
        <v>44385</v>
      </c>
      <c r="E3619" s="275">
        <f t="shared" si="121"/>
        <v>44385</v>
      </c>
      <c r="F3619" s="479" t="s">
        <v>964</v>
      </c>
      <c r="G3619" s="220" t="s">
        <v>74</v>
      </c>
      <c r="H3619" s="142" t="str" cm="1">
        <f t="array" ref="H3619">IFERROR(INDEX(INVESTOR_LIST[INVESTOR NAME],MATCH(I3619,INVESTOR_LIST[INVESTOR CODE],0),)," ")</f>
        <v>AMIT KANTI SARKER</v>
      </c>
      <c r="I3619" s="142" t="s">
        <v>494</v>
      </c>
      <c r="J3619" s="168" t="s">
        <v>52</v>
      </c>
      <c r="K3619" s="226">
        <v>200000</v>
      </c>
      <c r="L3619" s="226"/>
    </row>
    <row r="3620" spans="1:14" ht="33.75" x14ac:dyDescent="0.2">
      <c r="A3620" s="133">
        <v>2021</v>
      </c>
      <c r="B3620" s="133">
        <v>7</v>
      </c>
      <c r="C3620" s="133">
        <v>8</v>
      </c>
      <c r="D3620" s="141">
        <f t="shared" si="120"/>
        <v>44385</v>
      </c>
      <c r="E3620" s="275">
        <f t="shared" si="121"/>
        <v>44385</v>
      </c>
      <c r="F3620" s="481"/>
      <c r="G3620" s="174" t="s">
        <v>74</v>
      </c>
      <c r="H3620" s="148" t="str" cm="1">
        <f t="array" ref="H3620">IFERROR(INDEX(INVESTOR_LIST[INVESTOR NAME],MATCH(I3620,INVESTOR_LIST[INVESTOR CODE],0),)," ")</f>
        <v>AMIT KANTI SARKER</v>
      </c>
      <c r="I3620" s="148" t="s">
        <v>494</v>
      </c>
      <c r="J3620" s="133" t="s">
        <v>13</v>
      </c>
      <c r="K3620" s="218"/>
      <c r="L3620" s="218">
        <v>148590</v>
      </c>
    </row>
    <row r="3621" spans="1:14" ht="33.75" x14ac:dyDescent="0.2">
      <c r="A3621" s="163">
        <v>2021</v>
      </c>
      <c r="B3621" s="163">
        <v>7</v>
      </c>
      <c r="C3621" s="163">
        <v>8</v>
      </c>
      <c r="D3621" s="141">
        <f t="shared" si="120"/>
        <v>44385</v>
      </c>
      <c r="E3621" s="275">
        <f t="shared" si="121"/>
        <v>44385</v>
      </c>
      <c r="F3621" s="480"/>
      <c r="G3621" s="221" t="s">
        <v>74</v>
      </c>
      <c r="H3621" s="145" t="str" cm="1">
        <f t="array" ref="H3621">IFERROR(INDEX(INVESTOR_LIST[INVESTOR NAME],MATCH(I3621,INVESTOR_LIST[INVESTOR CODE],0),)," ")</f>
        <v>AMIT KANTI SARKER</v>
      </c>
      <c r="I3621" s="145" t="s">
        <v>494</v>
      </c>
      <c r="J3621" s="163" t="s">
        <v>53</v>
      </c>
      <c r="K3621" s="219"/>
      <c r="L3621" s="219">
        <v>51410</v>
      </c>
    </row>
    <row r="3622" spans="1:14" ht="11.25" customHeight="1" x14ac:dyDescent="0.2">
      <c r="A3622" s="168">
        <v>2021</v>
      </c>
      <c r="B3622" s="168">
        <v>7</v>
      </c>
      <c r="C3622" s="168">
        <v>8</v>
      </c>
      <c r="D3622" s="141">
        <f t="shared" si="120"/>
        <v>44385</v>
      </c>
      <c r="E3622" s="275">
        <f t="shared" si="121"/>
        <v>44385</v>
      </c>
      <c r="F3622" s="479" t="s">
        <v>964</v>
      </c>
      <c r="G3622" s="220" t="s">
        <v>74</v>
      </c>
      <c r="H3622" s="142" t="str" cm="1">
        <f t="array" ref="H3622">IFERROR(INDEX(INVESTOR_LIST[INVESTOR NAME],MATCH(I3622,INVESTOR_LIST[INVESTOR CODE],0),)," ")</f>
        <v>NAUSHEEN AHMED</v>
      </c>
      <c r="I3622" s="142" t="s">
        <v>787</v>
      </c>
      <c r="J3622" s="168" t="s">
        <v>52</v>
      </c>
      <c r="K3622" s="226">
        <v>400000</v>
      </c>
      <c r="L3622" s="226"/>
    </row>
    <row r="3623" spans="1:14" ht="33.75" x14ac:dyDescent="0.2">
      <c r="A3623" s="133">
        <v>2021</v>
      </c>
      <c r="B3623" s="133">
        <v>7</v>
      </c>
      <c r="C3623" s="133">
        <v>8</v>
      </c>
      <c r="D3623" s="141">
        <f t="shared" si="120"/>
        <v>44385</v>
      </c>
      <c r="E3623" s="275">
        <f t="shared" si="121"/>
        <v>44385</v>
      </c>
      <c r="F3623" s="481"/>
      <c r="G3623" s="174" t="s">
        <v>74</v>
      </c>
      <c r="H3623" s="148" t="str" cm="1">
        <f t="array" ref="H3623">IFERROR(INDEX(INVESTOR_LIST[INVESTOR NAME],MATCH(I3623,INVESTOR_LIST[INVESTOR CODE],0),)," ")</f>
        <v>NAUSHEEN AHMED</v>
      </c>
      <c r="I3623" s="148" t="s">
        <v>787</v>
      </c>
      <c r="J3623" s="133" t="s">
        <v>13</v>
      </c>
      <c r="K3623" s="218"/>
      <c r="L3623" s="218">
        <v>300300</v>
      </c>
    </row>
    <row r="3624" spans="1:14" ht="33.75" x14ac:dyDescent="0.2">
      <c r="A3624" s="163">
        <v>2021</v>
      </c>
      <c r="B3624" s="163">
        <v>7</v>
      </c>
      <c r="C3624" s="163">
        <v>8</v>
      </c>
      <c r="D3624" s="141">
        <f t="shared" si="120"/>
        <v>44385</v>
      </c>
      <c r="E3624" s="275">
        <f t="shared" si="121"/>
        <v>44385</v>
      </c>
      <c r="F3624" s="480"/>
      <c r="G3624" s="221" t="s">
        <v>74</v>
      </c>
      <c r="H3624" s="145" t="str" cm="1">
        <f t="array" ref="H3624">IFERROR(INDEX(INVESTOR_LIST[INVESTOR NAME],MATCH(I3624,INVESTOR_LIST[INVESTOR CODE],0),)," ")</f>
        <v>NAUSHEEN AHMED</v>
      </c>
      <c r="I3624" s="145" t="s">
        <v>787</v>
      </c>
      <c r="J3624" s="163" t="s">
        <v>53</v>
      </c>
      <c r="K3624" s="219"/>
      <c r="L3624" s="219">
        <v>99700</v>
      </c>
    </row>
    <row r="3625" spans="1:14" x14ac:dyDescent="0.2">
      <c r="A3625" s="168">
        <v>2021</v>
      </c>
      <c r="B3625" s="168">
        <v>7</v>
      </c>
      <c r="C3625" s="168">
        <v>8</v>
      </c>
      <c r="D3625" s="141">
        <f t="shared" si="120"/>
        <v>44385</v>
      </c>
      <c r="E3625" s="275">
        <f t="shared" si="121"/>
        <v>44385</v>
      </c>
      <c r="F3625" s="479" t="s">
        <v>77</v>
      </c>
      <c r="G3625" s="220" t="s">
        <v>74</v>
      </c>
      <c r="H3625" s="220" t="str" cm="1">
        <f t="array" ref="H3625">IFERROR(INDEX(INVESTOR_LIST[INVESTOR NAME],MATCH(I3625,INVESTOR_LIST[INVESTOR CODE],0),)," ")</f>
        <v xml:space="preserve"> </v>
      </c>
      <c r="I3625" s="142" t="s">
        <v>348</v>
      </c>
      <c r="J3625" s="143" t="s">
        <v>61</v>
      </c>
      <c r="K3625" s="226">
        <v>10</v>
      </c>
      <c r="L3625" s="226"/>
    </row>
    <row r="3626" spans="1:14" x14ac:dyDescent="0.2">
      <c r="A3626" s="163">
        <v>2021</v>
      </c>
      <c r="B3626" s="163">
        <v>7</v>
      </c>
      <c r="C3626" s="163">
        <v>8</v>
      </c>
      <c r="D3626" s="141">
        <f t="shared" si="120"/>
        <v>44385</v>
      </c>
      <c r="E3626" s="275">
        <f t="shared" si="121"/>
        <v>44385</v>
      </c>
      <c r="F3626" s="480"/>
      <c r="G3626" s="221" t="s">
        <v>74</v>
      </c>
      <c r="H3626" s="221" t="str" cm="1">
        <f t="array" ref="H3626">IFERROR(INDEX(INVESTOR_LIST[INVESTOR NAME],MATCH(I3626,INVESTOR_LIST[INVESTOR CODE],0),)," ")</f>
        <v xml:space="preserve"> </v>
      </c>
      <c r="I3626" s="145" t="s">
        <v>348</v>
      </c>
      <c r="J3626" s="146" t="s">
        <v>52</v>
      </c>
      <c r="K3626" s="219"/>
      <c r="L3626" s="219">
        <v>10</v>
      </c>
    </row>
    <row r="3627" spans="1:14" x14ac:dyDescent="0.2">
      <c r="A3627" s="168">
        <v>2021</v>
      </c>
      <c r="B3627" s="168">
        <v>7</v>
      </c>
      <c r="C3627" s="168">
        <v>8</v>
      </c>
      <c r="D3627" s="141">
        <f t="shared" si="120"/>
        <v>44385</v>
      </c>
      <c r="E3627" s="275">
        <f t="shared" si="121"/>
        <v>44385</v>
      </c>
      <c r="F3627" s="479" t="s">
        <v>77</v>
      </c>
      <c r="G3627" s="220" t="s">
        <v>74</v>
      </c>
      <c r="H3627" s="220" t="str" cm="1">
        <f t="array" ref="H3627">IFERROR(INDEX(INVESTOR_LIST[INVESTOR NAME],MATCH(I3627,INVESTOR_LIST[INVESTOR CODE],0),)," ")</f>
        <v xml:space="preserve"> </v>
      </c>
      <c r="I3627" s="142" t="s">
        <v>348</v>
      </c>
      <c r="J3627" s="143" t="s">
        <v>61</v>
      </c>
      <c r="K3627" s="226">
        <v>10</v>
      </c>
      <c r="L3627" s="226"/>
    </row>
    <row r="3628" spans="1:14" x14ac:dyDescent="0.2">
      <c r="A3628" s="163">
        <v>2021</v>
      </c>
      <c r="B3628" s="163">
        <v>7</v>
      </c>
      <c r="C3628" s="163">
        <v>8</v>
      </c>
      <c r="D3628" s="141">
        <f t="shared" si="120"/>
        <v>44385</v>
      </c>
      <c r="E3628" s="275">
        <f t="shared" si="121"/>
        <v>44385</v>
      </c>
      <c r="F3628" s="480"/>
      <c r="G3628" s="221" t="s">
        <v>74</v>
      </c>
      <c r="H3628" s="221" t="str" cm="1">
        <f t="array" ref="H3628">IFERROR(INDEX(INVESTOR_LIST[INVESTOR NAME],MATCH(I3628,INVESTOR_LIST[INVESTOR CODE],0),)," ")</f>
        <v xml:space="preserve"> </v>
      </c>
      <c r="I3628" s="145" t="s">
        <v>348</v>
      </c>
      <c r="J3628" s="146" t="s">
        <v>52</v>
      </c>
      <c r="K3628" s="219"/>
      <c r="L3628" s="219">
        <v>10</v>
      </c>
    </row>
    <row r="3629" spans="1:14" x14ac:dyDescent="0.2">
      <c r="A3629" s="238">
        <v>2021</v>
      </c>
      <c r="B3629" s="238">
        <v>7</v>
      </c>
      <c r="C3629" s="238">
        <v>8</v>
      </c>
      <c r="D3629" s="141">
        <f t="shared" si="120"/>
        <v>44385</v>
      </c>
      <c r="E3629" s="275">
        <f t="shared" si="121"/>
        <v>44385</v>
      </c>
      <c r="F3629" s="477" t="s">
        <v>347</v>
      </c>
      <c r="G3629" s="239" t="s">
        <v>94</v>
      </c>
      <c r="H3629" s="239" t="str" cm="1">
        <f t="array" ref="H3629">IFERROR(INDEX(INVESTOR_LIST[INVESTOR NAME],MATCH(I3629,INVESTOR_LIST[INVESTOR CODE],0),)," ")</f>
        <v xml:space="preserve"> </v>
      </c>
      <c r="I3629" s="262" t="s">
        <v>348</v>
      </c>
      <c r="J3629" s="240" t="s">
        <v>108</v>
      </c>
      <c r="K3629" s="241">
        <v>825127.47999998927</v>
      </c>
      <c r="L3629" s="241"/>
    </row>
    <row r="3630" spans="1:14" x14ac:dyDescent="0.2">
      <c r="A3630" s="242">
        <v>2021</v>
      </c>
      <c r="B3630" s="242">
        <v>7</v>
      </c>
      <c r="C3630" s="242">
        <v>8</v>
      </c>
      <c r="D3630" s="141">
        <f t="shared" si="120"/>
        <v>44385</v>
      </c>
      <c r="E3630" s="275">
        <f t="shared" si="121"/>
        <v>44385</v>
      </c>
      <c r="F3630" s="478"/>
      <c r="G3630" s="243" t="s">
        <v>94</v>
      </c>
      <c r="H3630" s="243" t="str" cm="1">
        <f t="array" ref="H3630">IFERROR(INDEX(INVESTOR_LIST[INVESTOR NAME],MATCH(I3630,INVESTOR_LIST[INVESTOR CODE],0),)," ")</f>
        <v xml:space="preserve"> </v>
      </c>
      <c r="I3630" s="263" t="s">
        <v>348</v>
      </c>
      <c r="J3630" s="244" t="s">
        <v>82</v>
      </c>
      <c r="K3630" s="245"/>
      <c r="L3630" s="245">
        <v>825127.47999998927</v>
      </c>
    </row>
    <row r="3631" spans="1:14" ht="22.5" x14ac:dyDescent="0.2">
      <c r="A3631" s="246">
        <v>2021</v>
      </c>
      <c r="B3631" s="246">
        <v>7</v>
      </c>
      <c r="C3631" s="246">
        <v>8</v>
      </c>
      <c r="D3631" s="141">
        <f t="shared" si="120"/>
        <v>44385</v>
      </c>
      <c r="E3631" s="275">
        <f t="shared" si="121"/>
        <v>44385</v>
      </c>
      <c r="F3631" s="482" t="s">
        <v>148</v>
      </c>
      <c r="G3631" s="247" t="s">
        <v>94</v>
      </c>
      <c r="H3631" s="247" t="str" cm="1">
        <f t="array" ref="H3631">IFERROR(INDEX(INVESTOR_LIST[INVESTOR NAME],MATCH(I3631,INVESTOR_LIST[INVESTOR CODE],0),)," ")</f>
        <v xml:space="preserve"> </v>
      </c>
      <c r="I3631" s="248" t="s">
        <v>348</v>
      </c>
      <c r="J3631" s="249" t="s">
        <v>95</v>
      </c>
      <c r="K3631" s="250">
        <v>2747.2527472527472</v>
      </c>
      <c r="L3631" s="241"/>
      <c r="M3631" s="133">
        <v>2747.2527472527472</v>
      </c>
      <c r="N3631" s="156">
        <f>L3639/13.49</f>
        <v>7491</v>
      </c>
    </row>
    <row r="3632" spans="1:14" x14ac:dyDescent="0.2">
      <c r="A3632" s="242">
        <v>2021</v>
      </c>
      <c r="B3632" s="242">
        <v>7</v>
      </c>
      <c r="C3632" s="242">
        <v>8</v>
      </c>
      <c r="D3632" s="141">
        <f t="shared" si="120"/>
        <v>44385</v>
      </c>
      <c r="E3632" s="275">
        <f t="shared" si="121"/>
        <v>44385</v>
      </c>
      <c r="F3632" s="478"/>
      <c r="G3632" s="243" t="s">
        <v>94</v>
      </c>
      <c r="H3632" s="243" t="str" cm="1">
        <f t="array" ref="H3632">IFERROR(INDEX(INVESTOR_LIST[INVESTOR NAME],MATCH(I3632,INVESTOR_LIST[INVESTOR CODE],0),)," ")</f>
        <v xml:space="preserve"> </v>
      </c>
      <c r="I3632" s="263" t="s">
        <v>348</v>
      </c>
      <c r="J3632" s="244" t="s">
        <v>63</v>
      </c>
      <c r="K3632" s="245"/>
      <c r="L3632" s="245">
        <v>2747.2527472527472</v>
      </c>
      <c r="M3632" s="133">
        <v>103487.03025674089</v>
      </c>
    </row>
    <row r="3633" spans="1:14" x14ac:dyDescent="0.2">
      <c r="A3633" s="246">
        <v>2021</v>
      </c>
      <c r="B3633" s="246">
        <v>7</v>
      </c>
      <c r="C3633" s="246">
        <v>8</v>
      </c>
      <c r="D3633" s="141">
        <f t="shared" si="120"/>
        <v>44385</v>
      </c>
      <c r="E3633" s="275">
        <f t="shared" si="121"/>
        <v>44385</v>
      </c>
      <c r="F3633" s="482" t="s">
        <v>137</v>
      </c>
      <c r="G3633" s="247" t="s">
        <v>94</v>
      </c>
      <c r="H3633" s="247" t="str" cm="1">
        <f t="array" ref="H3633">IFERROR(INDEX(INVESTOR_LIST[INVESTOR NAME],MATCH(I3633,INVESTOR_LIST[INVESTOR CODE],0),)," ")</f>
        <v xml:space="preserve"> </v>
      </c>
      <c r="I3633" s="248" t="s">
        <v>348</v>
      </c>
      <c r="J3633" s="249" t="s">
        <v>97</v>
      </c>
      <c r="K3633" s="250">
        <v>103487.03025674089</v>
      </c>
      <c r="L3633" s="252"/>
      <c r="M3633" s="133">
        <v>4976.0584273724699</v>
      </c>
    </row>
    <row r="3634" spans="1:14" x14ac:dyDescent="0.2">
      <c r="A3634" s="242">
        <v>2021</v>
      </c>
      <c r="B3634" s="242">
        <v>7</v>
      </c>
      <c r="C3634" s="242">
        <v>8</v>
      </c>
      <c r="D3634" s="141">
        <f t="shared" si="120"/>
        <v>44385</v>
      </c>
      <c r="E3634" s="275">
        <f t="shared" si="121"/>
        <v>44385</v>
      </c>
      <c r="F3634" s="478"/>
      <c r="G3634" s="243" t="s">
        <v>94</v>
      </c>
      <c r="H3634" s="243" t="str" cm="1">
        <f t="array" ref="H3634">IFERROR(INDEX(INVESTOR_LIST[INVESTOR NAME],MATCH(I3634,INVESTOR_LIST[INVESTOR CODE],0),)," ")</f>
        <v xml:space="preserve"> </v>
      </c>
      <c r="I3634" s="263" t="s">
        <v>348</v>
      </c>
      <c r="J3634" s="244" t="s">
        <v>47</v>
      </c>
      <c r="K3634" s="245"/>
      <c r="L3634" s="245">
        <v>103487.03025674089</v>
      </c>
      <c r="N3634" s="156">
        <f>L3642/13.49</f>
        <v>5189.0289103039286</v>
      </c>
    </row>
    <row r="3635" spans="1:14" x14ac:dyDescent="0.2">
      <c r="A3635" s="246">
        <v>2021</v>
      </c>
      <c r="B3635" s="246">
        <v>7</v>
      </c>
      <c r="C3635" s="246">
        <v>8</v>
      </c>
      <c r="D3635" s="141">
        <f t="shared" si="120"/>
        <v>44385</v>
      </c>
      <c r="E3635" s="275">
        <f t="shared" si="121"/>
        <v>44385</v>
      </c>
      <c r="F3635" s="482" t="s">
        <v>138</v>
      </c>
      <c r="G3635" s="247" t="s">
        <v>94</v>
      </c>
      <c r="H3635" s="247" t="str" cm="1">
        <f t="array" ref="H3635">IFERROR(INDEX(INVESTOR_LIST[INVESTOR NAME],MATCH(I3635,INVESTOR_LIST[INVESTOR CODE],0),)," ")</f>
        <v xml:space="preserve"> </v>
      </c>
      <c r="I3635" s="248" t="s">
        <v>348</v>
      </c>
      <c r="J3635" s="249" t="s">
        <v>100</v>
      </c>
      <c r="K3635" s="250">
        <v>4976.0584273724699</v>
      </c>
      <c r="L3635" s="252"/>
    </row>
    <row r="3636" spans="1:14" x14ac:dyDescent="0.2">
      <c r="A3636" s="242">
        <v>2021</v>
      </c>
      <c r="B3636" s="242">
        <v>7</v>
      </c>
      <c r="C3636" s="242">
        <v>8</v>
      </c>
      <c r="D3636" s="141">
        <f t="shared" si="120"/>
        <v>44385</v>
      </c>
      <c r="E3636" s="275">
        <f t="shared" si="121"/>
        <v>44385</v>
      </c>
      <c r="F3636" s="478"/>
      <c r="G3636" s="243" t="s">
        <v>94</v>
      </c>
      <c r="H3636" s="243" t="str" cm="1">
        <f t="array" ref="H3636">IFERROR(INDEX(INVESTOR_LIST[INVESTOR NAME],MATCH(I3636,INVESTOR_LIST[INVESTOR CODE],0),)," ")</f>
        <v xml:space="preserve"> </v>
      </c>
      <c r="I3636" s="263" t="s">
        <v>348</v>
      </c>
      <c r="J3636" s="244" t="s">
        <v>48</v>
      </c>
      <c r="K3636" s="245"/>
      <c r="L3636" s="245">
        <v>4976.0584273724699</v>
      </c>
    </row>
    <row r="3637" spans="1:14" ht="33.75" x14ac:dyDescent="0.2">
      <c r="A3637" s="168">
        <v>2021</v>
      </c>
      <c r="B3637" s="168">
        <v>7</v>
      </c>
      <c r="C3637" s="168">
        <v>12</v>
      </c>
      <c r="D3637" s="141">
        <f t="shared" si="120"/>
        <v>44389</v>
      </c>
      <c r="E3637" s="275">
        <f t="shared" si="121"/>
        <v>44389</v>
      </c>
      <c r="F3637" s="479" t="s">
        <v>965</v>
      </c>
      <c r="G3637" s="220" t="s">
        <v>74</v>
      </c>
      <c r="H3637" s="142" t="str" cm="1">
        <f t="array" ref="H3637">IFERROR(INDEX(INVESTOR_LIST[INVESTOR NAME],MATCH(I3637,INVESTOR_LIST[INVESTOR CODE],0),)," ")</f>
        <v>HABIB REDWAN RAFI</v>
      </c>
      <c r="I3637" s="142" t="s">
        <v>785</v>
      </c>
      <c r="J3637" s="168" t="s">
        <v>13</v>
      </c>
      <c r="K3637" s="226">
        <v>74910</v>
      </c>
      <c r="L3637" s="226"/>
    </row>
    <row r="3638" spans="1:14" ht="33.75" x14ac:dyDescent="0.2">
      <c r="A3638" s="133">
        <v>2021</v>
      </c>
      <c r="B3638" s="133">
        <v>7</v>
      </c>
      <c r="C3638" s="133">
        <v>12</v>
      </c>
      <c r="D3638" s="141">
        <f t="shared" si="120"/>
        <v>44389</v>
      </c>
      <c r="E3638" s="275">
        <f t="shared" si="121"/>
        <v>44389</v>
      </c>
      <c r="F3638" s="481"/>
      <c r="G3638" s="174" t="s">
        <v>74</v>
      </c>
      <c r="H3638" s="148" t="str" cm="1">
        <f t="array" ref="H3638">IFERROR(INDEX(INVESTOR_LIST[INVESTOR NAME],MATCH(I3638,INVESTOR_LIST[INVESTOR CODE],0),)," ")</f>
        <v>HABIB REDWAN RAFI</v>
      </c>
      <c r="I3638" s="148" t="s">
        <v>785</v>
      </c>
      <c r="J3638" s="133" t="s">
        <v>53</v>
      </c>
      <c r="K3638" s="218">
        <v>26143.59</v>
      </c>
      <c r="L3638" s="218"/>
    </row>
    <row r="3639" spans="1:14" ht="33.75" x14ac:dyDescent="0.2">
      <c r="A3639" s="163">
        <v>2021</v>
      </c>
      <c r="B3639" s="163">
        <v>7</v>
      </c>
      <c r="C3639" s="163">
        <v>12</v>
      </c>
      <c r="D3639" s="141">
        <f t="shared" si="120"/>
        <v>44389</v>
      </c>
      <c r="E3639" s="275">
        <f t="shared" si="121"/>
        <v>44389</v>
      </c>
      <c r="F3639" s="480"/>
      <c r="G3639" s="221" t="s">
        <v>74</v>
      </c>
      <c r="H3639" s="145" t="str" cm="1">
        <f t="array" ref="H3639">IFERROR(INDEX(INVESTOR_LIST[INVESTOR NAME],MATCH(I3639,INVESTOR_LIST[INVESTOR CODE],0),)," ")</f>
        <v>HABIB REDWAN RAFI</v>
      </c>
      <c r="I3639" s="145" t="s">
        <v>785</v>
      </c>
      <c r="J3639" s="163" t="s">
        <v>52</v>
      </c>
      <c r="K3639" s="219"/>
      <c r="L3639" s="219">
        <v>101053.59</v>
      </c>
    </row>
    <row r="3640" spans="1:14" ht="45" x14ac:dyDescent="0.2">
      <c r="A3640" s="168">
        <v>2021</v>
      </c>
      <c r="B3640" s="168">
        <v>7</v>
      </c>
      <c r="C3640" s="168">
        <v>12</v>
      </c>
      <c r="D3640" s="141">
        <f t="shared" si="120"/>
        <v>44389</v>
      </c>
      <c r="E3640" s="275">
        <f t="shared" si="121"/>
        <v>44389</v>
      </c>
      <c r="F3640" s="479" t="s">
        <v>965</v>
      </c>
      <c r="G3640" s="220" t="s">
        <v>74</v>
      </c>
      <c r="H3640" s="142" t="str" cm="1">
        <f t="array" ref="H3640">IFERROR(INDEX(INVESTOR_LIST[INVESTOR NAME],MATCH(I3640,INVESTOR_LIST[INVESTOR CODE],0),)," ")</f>
        <v>KABIR AHMED TALUKDER</v>
      </c>
      <c r="I3640" s="142" t="s">
        <v>509</v>
      </c>
      <c r="J3640" s="168" t="s">
        <v>13</v>
      </c>
      <c r="K3640" s="226">
        <v>51890</v>
      </c>
      <c r="L3640" s="226"/>
    </row>
    <row r="3641" spans="1:14" ht="45" x14ac:dyDescent="0.2">
      <c r="A3641" s="133">
        <v>2021</v>
      </c>
      <c r="B3641" s="133">
        <v>7</v>
      </c>
      <c r="C3641" s="133">
        <v>12</v>
      </c>
      <c r="D3641" s="141">
        <f t="shared" si="120"/>
        <v>44389</v>
      </c>
      <c r="E3641" s="275">
        <f t="shared" si="121"/>
        <v>44389</v>
      </c>
      <c r="F3641" s="481"/>
      <c r="G3641" s="174" t="s">
        <v>74</v>
      </c>
      <c r="H3641" s="148" t="str" cm="1">
        <f t="array" ref="H3641">IFERROR(INDEX(INVESTOR_LIST[INVESTOR NAME],MATCH(I3641,INVESTOR_LIST[INVESTOR CODE],0),)," ")</f>
        <v>KABIR AHMED TALUKDER</v>
      </c>
      <c r="I3641" s="148" t="s">
        <v>509</v>
      </c>
      <c r="J3641" s="133" t="s">
        <v>53</v>
      </c>
      <c r="K3641" s="218">
        <v>18110</v>
      </c>
      <c r="L3641" s="218"/>
    </row>
    <row r="3642" spans="1:14" ht="45" x14ac:dyDescent="0.2">
      <c r="A3642" s="163">
        <v>2021</v>
      </c>
      <c r="B3642" s="163">
        <v>7</v>
      </c>
      <c r="C3642" s="163">
        <v>12</v>
      </c>
      <c r="D3642" s="141">
        <f t="shared" si="120"/>
        <v>44389</v>
      </c>
      <c r="E3642" s="275">
        <f t="shared" si="121"/>
        <v>44389</v>
      </c>
      <c r="F3642" s="480"/>
      <c r="G3642" s="221" t="s">
        <v>74</v>
      </c>
      <c r="H3642" s="145" t="str" cm="1">
        <f t="array" ref="H3642">IFERROR(INDEX(INVESTOR_LIST[INVESTOR NAME],MATCH(I3642,INVESTOR_LIST[INVESTOR CODE],0),)," ")</f>
        <v>KABIR AHMED TALUKDER</v>
      </c>
      <c r="I3642" s="145" t="s">
        <v>509</v>
      </c>
      <c r="J3642" s="163" t="s">
        <v>52</v>
      </c>
      <c r="K3642" s="219"/>
      <c r="L3642" s="219">
        <v>70000</v>
      </c>
    </row>
    <row r="3643" spans="1:14" x14ac:dyDescent="0.2">
      <c r="A3643" s="168">
        <v>2021</v>
      </c>
      <c r="B3643" s="168">
        <v>7</v>
      </c>
      <c r="C3643" s="168">
        <v>12</v>
      </c>
      <c r="D3643" s="141">
        <f t="shared" si="120"/>
        <v>44389</v>
      </c>
      <c r="E3643" s="275">
        <f t="shared" si="121"/>
        <v>44389</v>
      </c>
      <c r="F3643" s="479" t="s">
        <v>812</v>
      </c>
      <c r="G3643" s="220" t="s">
        <v>94</v>
      </c>
      <c r="H3643" s="142" t="str" cm="1">
        <f t="array" ref="H3643">IFERROR(INDEX(INVESTOR_LIST[INVESTOR NAME],MATCH(I3643,INVESTOR_LIST[INVESTOR CODE],0),)," ")</f>
        <v xml:space="preserve"> </v>
      </c>
      <c r="I3643" s="142"/>
      <c r="J3643" s="168" t="s">
        <v>79</v>
      </c>
      <c r="K3643" s="226">
        <v>6324048.7999999998</v>
      </c>
      <c r="L3643" s="226"/>
    </row>
    <row r="3644" spans="1:14" x14ac:dyDescent="0.2">
      <c r="A3644" s="133">
        <v>2021</v>
      </c>
      <c r="B3644" s="133">
        <v>7</v>
      </c>
      <c r="C3644" s="133">
        <v>12</v>
      </c>
      <c r="D3644" s="141">
        <f t="shared" si="120"/>
        <v>44389</v>
      </c>
      <c r="E3644" s="275">
        <f t="shared" si="121"/>
        <v>44389</v>
      </c>
      <c r="F3644" s="481"/>
      <c r="G3644" s="174" t="s">
        <v>94</v>
      </c>
      <c r="H3644" s="148" t="str" cm="1">
        <f t="array" ref="H3644">IFERROR(INDEX(INVESTOR_LIST[INVESTOR NAME],MATCH(I3644,INVESTOR_LIST[INVESTOR CODE],0),)," ")</f>
        <v xml:space="preserve"> </v>
      </c>
      <c r="J3644" s="133" t="s">
        <v>80</v>
      </c>
      <c r="K3644" s="218">
        <f>11383.29+2610.93</f>
        <v>13994.220000000001</v>
      </c>
      <c r="L3644" s="218"/>
    </row>
    <row r="3645" spans="1:14" x14ac:dyDescent="0.2">
      <c r="A3645" s="133">
        <v>2021</v>
      </c>
      <c r="B3645" s="133">
        <v>7</v>
      </c>
      <c r="C3645" s="133">
        <v>12</v>
      </c>
      <c r="D3645" s="141">
        <f t="shared" si="120"/>
        <v>44389</v>
      </c>
      <c r="E3645" s="275">
        <f t="shared" si="121"/>
        <v>44389</v>
      </c>
      <c r="F3645" s="481"/>
      <c r="G3645" s="174" t="s">
        <v>94</v>
      </c>
      <c r="H3645" s="148" t="str" cm="1">
        <f t="array" ref="H3645">IFERROR(INDEX(INVESTOR_LIST[INVESTOR NAME],MATCH(I3645,INVESTOR_LIST[INVESTOR CODE],0),)," ")</f>
        <v xml:space="preserve"> </v>
      </c>
      <c r="J3645" s="133" t="s">
        <v>147</v>
      </c>
      <c r="K3645" s="218"/>
      <c r="L3645" s="218">
        <v>4887527.72</v>
      </c>
    </row>
    <row r="3646" spans="1:14" x14ac:dyDescent="0.2">
      <c r="A3646" s="133">
        <v>2021</v>
      </c>
      <c r="B3646" s="133">
        <v>7</v>
      </c>
      <c r="C3646" s="133">
        <v>12</v>
      </c>
      <c r="D3646" s="141">
        <f t="shared" si="120"/>
        <v>44389</v>
      </c>
      <c r="E3646" s="275">
        <f t="shared" si="121"/>
        <v>44389</v>
      </c>
      <c r="F3646" s="481"/>
      <c r="G3646" s="174" t="s">
        <v>94</v>
      </c>
      <c r="H3646" s="148" t="str" cm="1">
        <f t="array" ref="H3646">IFERROR(INDEX(INVESTOR_LIST[INVESTOR NAME],MATCH(I3646,INVESTOR_LIST[INVESTOR CODE],0),)," ")</f>
        <v xml:space="preserve"> </v>
      </c>
      <c r="J3646" s="133" t="s">
        <v>79</v>
      </c>
      <c r="K3646" s="218"/>
      <c r="L3646" s="218">
        <v>200000</v>
      </c>
    </row>
    <row r="3647" spans="1:14" x14ac:dyDescent="0.2">
      <c r="A3647" s="163">
        <v>2021</v>
      </c>
      <c r="B3647" s="163">
        <v>7</v>
      </c>
      <c r="C3647" s="163">
        <v>12</v>
      </c>
      <c r="D3647" s="141">
        <f t="shared" si="120"/>
        <v>44389</v>
      </c>
      <c r="E3647" s="275">
        <f t="shared" si="121"/>
        <v>44389</v>
      </c>
      <c r="F3647" s="480"/>
      <c r="G3647" s="221" t="s">
        <v>94</v>
      </c>
      <c r="H3647" s="145" t="str" cm="1">
        <f t="array" ref="H3647">IFERROR(INDEX(INVESTOR_LIST[INVESTOR NAME],MATCH(I3647,INVESTOR_LIST[INVESTOR CODE],0),)," ")</f>
        <v xml:space="preserve"> </v>
      </c>
      <c r="I3647" s="145"/>
      <c r="J3647" s="163" t="s">
        <v>191</v>
      </c>
      <c r="K3647" s="219"/>
      <c r="L3647" s="219">
        <v>1250515.3</v>
      </c>
      <c r="N3647" s="156">
        <f>K3652/13.49</f>
        <v>14825.796886582653</v>
      </c>
    </row>
    <row r="3648" spans="1:14" x14ac:dyDescent="0.2">
      <c r="A3648" s="168">
        <v>2021</v>
      </c>
      <c r="B3648" s="168">
        <v>7</v>
      </c>
      <c r="C3648" s="168">
        <v>12</v>
      </c>
      <c r="D3648" s="141">
        <f t="shared" si="120"/>
        <v>44389</v>
      </c>
      <c r="E3648" s="275">
        <f t="shared" si="121"/>
        <v>44389</v>
      </c>
      <c r="F3648" s="479" t="s">
        <v>524</v>
      </c>
      <c r="G3648" s="220" t="s">
        <v>74</v>
      </c>
      <c r="H3648" s="220" t="str" cm="1">
        <f t="array" ref="H3648">IFERROR(INDEX(INVESTOR_LIST[INVESTOR NAME],MATCH(I3648,INVESTOR_LIST[INVESTOR CODE],0),)," ")</f>
        <v xml:space="preserve"> </v>
      </c>
      <c r="I3648" s="142" t="s">
        <v>348</v>
      </c>
      <c r="J3648" s="143" t="s">
        <v>147</v>
      </c>
      <c r="K3648" s="226">
        <v>508413.5</v>
      </c>
      <c r="L3648" s="226"/>
    </row>
    <row r="3649" spans="1:14" x14ac:dyDescent="0.2">
      <c r="A3649" s="163">
        <v>2021</v>
      </c>
      <c r="B3649" s="163">
        <v>7</v>
      </c>
      <c r="C3649" s="163">
        <v>12</v>
      </c>
      <c r="D3649" s="141">
        <f t="shared" si="120"/>
        <v>44389</v>
      </c>
      <c r="E3649" s="275">
        <f t="shared" si="121"/>
        <v>44389</v>
      </c>
      <c r="F3649" s="480"/>
      <c r="G3649" s="221" t="s">
        <v>74</v>
      </c>
      <c r="H3649" s="221" t="str" cm="1">
        <f t="array" ref="H3649">IFERROR(INDEX(INVESTOR_LIST[INVESTOR NAME],MATCH(I3649,INVESTOR_LIST[INVESTOR CODE],0),)," ")</f>
        <v xml:space="preserve"> </v>
      </c>
      <c r="I3649" s="145" t="s">
        <v>348</v>
      </c>
      <c r="J3649" s="146" t="s">
        <v>52</v>
      </c>
      <c r="K3649" s="219"/>
      <c r="L3649" s="219">
        <v>508413.5</v>
      </c>
    </row>
    <row r="3650" spans="1:14" x14ac:dyDescent="0.2">
      <c r="A3650" s="168">
        <v>2021</v>
      </c>
      <c r="B3650" s="168">
        <v>7</v>
      </c>
      <c r="C3650" s="168">
        <v>13</v>
      </c>
      <c r="D3650" s="141">
        <f t="shared" si="120"/>
        <v>44390</v>
      </c>
      <c r="E3650" s="275">
        <f t="shared" si="121"/>
        <v>44390</v>
      </c>
      <c r="F3650" s="479" t="s">
        <v>524</v>
      </c>
      <c r="G3650" s="220" t="s">
        <v>74</v>
      </c>
      <c r="H3650" s="220" t="str" cm="1">
        <f t="array" ref="H3650">IFERROR(INDEX(INVESTOR_LIST[INVESTOR NAME],MATCH(I3650,INVESTOR_LIST[INVESTOR CODE],0),)," ")</f>
        <v xml:space="preserve"> </v>
      </c>
      <c r="I3650" s="142" t="s">
        <v>348</v>
      </c>
      <c r="J3650" s="143" t="s">
        <v>147</v>
      </c>
      <c r="K3650" s="226">
        <v>4887527.72</v>
      </c>
      <c r="L3650" s="226"/>
      <c r="N3650" s="156">
        <f>K3655/13.49</f>
        <v>29651.593773165307</v>
      </c>
    </row>
    <row r="3651" spans="1:14" x14ac:dyDescent="0.2">
      <c r="A3651" s="163">
        <v>2021</v>
      </c>
      <c r="B3651" s="163">
        <v>7</v>
      </c>
      <c r="C3651" s="163">
        <v>13</v>
      </c>
      <c r="D3651" s="141">
        <f t="shared" si="120"/>
        <v>44390</v>
      </c>
      <c r="E3651" s="275">
        <f t="shared" si="121"/>
        <v>44390</v>
      </c>
      <c r="F3651" s="480"/>
      <c r="G3651" s="221" t="s">
        <v>74</v>
      </c>
      <c r="H3651" s="221" t="str" cm="1">
        <f t="array" ref="H3651">IFERROR(INDEX(INVESTOR_LIST[INVESTOR NAME],MATCH(I3651,INVESTOR_LIST[INVESTOR CODE],0),)," ")</f>
        <v xml:space="preserve"> </v>
      </c>
      <c r="I3651" s="145" t="s">
        <v>348</v>
      </c>
      <c r="J3651" s="146" t="s">
        <v>52</v>
      </c>
      <c r="K3651" s="219"/>
      <c r="L3651" s="219">
        <v>4887527.72</v>
      </c>
    </row>
    <row r="3652" spans="1:14" ht="11.25" customHeight="1" x14ac:dyDescent="0.2">
      <c r="A3652" s="168">
        <v>2021</v>
      </c>
      <c r="B3652" s="168">
        <v>7</v>
      </c>
      <c r="C3652" s="168">
        <v>13</v>
      </c>
      <c r="D3652" s="141">
        <f t="shared" si="120"/>
        <v>44390</v>
      </c>
      <c r="E3652" s="275">
        <f t="shared" si="121"/>
        <v>44390</v>
      </c>
      <c r="F3652" s="479" t="s">
        <v>964</v>
      </c>
      <c r="G3652" s="220" t="s">
        <v>74</v>
      </c>
      <c r="H3652" s="142" t="str" cm="1">
        <f t="array" ref="H3652">IFERROR(INDEX(INVESTOR_LIST[INVESTOR NAME],MATCH(I3652,INVESTOR_LIST[INVESTOR CODE],0),)," ")</f>
        <v>MOHAMMAD ABDUL HANNAN</v>
      </c>
      <c r="I3652" s="142" t="s">
        <v>501</v>
      </c>
      <c r="J3652" s="168" t="s">
        <v>52</v>
      </c>
      <c r="K3652" s="226">
        <v>200000</v>
      </c>
      <c r="L3652" s="226"/>
    </row>
    <row r="3653" spans="1:14" ht="45" x14ac:dyDescent="0.2">
      <c r="A3653" s="133">
        <v>2021</v>
      </c>
      <c r="B3653" s="133">
        <v>7</v>
      </c>
      <c r="C3653" s="133">
        <v>13</v>
      </c>
      <c r="D3653" s="141">
        <f t="shared" si="120"/>
        <v>44390</v>
      </c>
      <c r="E3653" s="275">
        <f t="shared" si="121"/>
        <v>44390</v>
      </c>
      <c r="F3653" s="481"/>
      <c r="G3653" s="174" t="s">
        <v>74</v>
      </c>
      <c r="H3653" s="148" t="str" cm="1">
        <f t="array" ref="H3653">IFERROR(INDEX(INVESTOR_LIST[INVESTOR NAME],MATCH(I3653,INVESTOR_LIST[INVESTOR CODE],0),)," ")</f>
        <v>MOHAMMAD ABDUL HANNAN</v>
      </c>
      <c r="I3653" s="148" t="s">
        <v>501</v>
      </c>
      <c r="J3653" s="133" t="s">
        <v>13</v>
      </c>
      <c r="K3653" s="218"/>
      <c r="L3653" s="218">
        <v>148260</v>
      </c>
    </row>
    <row r="3654" spans="1:14" ht="45" x14ac:dyDescent="0.2">
      <c r="A3654" s="163">
        <v>2021</v>
      </c>
      <c r="B3654" s="163">
        <v>7</v>
      </c>
      <c r="C3654" s="163">
        <v>13</v>
      </c>
      <c r="D3654" s="141">
        <f t="shared" si="120"/>
        <v>44390</v>
      </c>
      <c r="E3654" s="275">
        <f t="shared" si="121"/>
        <v>44390</v>
      </c>
      <c r="F3654" s="480"/>
      <c r="G3654" s="221" t="s">
        <v>74</v>
      </c>
      <c r="H3654" s="145" t="str" cm="1">
        <f t="array" ref="H3654">IFERROR(INDEX(INVESTOR_LIST[INVESTOR NAME],MATCH(I3654,INVESTOR_LIST[INVESTOR CODE],0),)," ")</f>
        <v>MOHAMMAD ABDUL HANNAN</v>
      </c>
      <c r="I3654" s="145" t="s">
        <v>501</v>
      </c>
      <c r="J3654" s="163" t="s">
        <v>53</v>
      </c>
      <c r="K3654" s="219"/>
      <c r="L3654" s="219">
        <v>51740</v>
      </c>
    </row>
    <row r="3655" spans="1:14" ht="11.25" customHeight="1" x14ac:dyDescent="0.2">
      <c r="A3655" s="168">
        <v>2021</v>
      </c>
      <c r="B3655" s="168">
        <v>7</v>
      </c>
      <c r="C3655" s="168">
        <v>13</v>
      </c>
      <c r="D3655" s="141">
        <f t="shared" si="120"/>
        <v>44390</v>
      </c>
      <c r="E3655" s="275">
        <f t="shared" si="121"/>
        <v>44390</v>
      </c>
      <c r="F3655" s="479" t="s">
        <v>964</v>
      </c>
      <c r="G3655" s="220" t="s">
        <v>74</v>
      </c>
      <c r="H3655" s="142" t="str" cm="1">
        <f t="array" ref="H3655">IFERROR(INDEX(INVESTOR_LIST[INVESTOR NAME],MATCH(I3655,INVESTOR_LIST[INVESTOR CODE],0),)," ")</f>
        <v>MD. ARIFUL ISLAM</v>
      </c>
      <c r="I3655" s="142" t="s">
        <v>455</v>
      </c>
      <c r="J3655" s="168" t="s">
        <v>52</v>
      </c>
      <c r="K3655" s="226">
        <v>400000</v>
      </c>
      <c r="L3655" s="226"/>
    </row>
    <row r="3656" spans="1:14" ht="33.75" x14ac:dyDescent="0.2">
      <c r="A3656" s="133">
        <v>2021</v>
      </c>
      <c r="B3656" s="133">
        <v>7</v>
      </c>
      <c r="C3656" s="133">
        <v>13</v>
      </c>
      <c r="D3656" s="141">
        <f t="shared" si="120"/>
        <v>44390</v>
      </c>
      <c r="E3656" s="275">
        <f t="shared" si="121"/>
        <v>44390</v>
      </c>
      <c r="F3656" s="481"/>
      <c r="G3656" s="174" t="s">
        <v>74</v>
      </c>
      <c r="H3656" s="148" t="str" cm="1">
        <f t="array" ref="H3656">IFERROR(INDEX(INVESTOR_LIST[INVESTOR NAME],MATCH(I3656,INVESTOR_LIST[INVESTOR CODE],0),)," ")</f>
        <v>MD. ARIFUL ISLAM</v>
      </c>
      <c r="I3656" s="148" t="s">
        <v>455</v>
      </c>
      <c r="J3656" s="133" t="s">
        <v>13</v>
      </c>
      <c r="K3656" s="218"/>
      <c r="L3656" s="218">
        <v>296520</v>
      </c>
      <c r="N3656" s="156">
        <f>K3661/13.49</f>
        <v>37064.492216456631</v>
      </c>
    </row>
    <row r="3657" spans="1:14" ht="33.75" x14ac:dyDescent="0.2">
      <c r="A3657" s="163">
        <v>2021</v>
      </c>
      <c r="B3657" s="163">
        <v>7</v>
      </c>
      <c r="C3657" s="163">
        <v>13</v>
      </c>
      <c r="D3657" s="141">
        <f t="shared" si="120"/>
        <v>44390</v>
      </c>
      <c r="E3657" s="275">
        <f t="shared" si="121"/>
        <v>44390</v>
      </c>
      <c r="F3657" s="480"/>
      <c r="G3657" s="221" t="s">
        <v>74</v>
      </c>
      <c r="H3657" s="145" t="str" cm="1">
        <f t="array" ref="H3657">IFERROR(INDEX(INVESTOR_LIST[INVESTOR NAME],MATCH(I3657,INVESTOR_LIST[INVESTOR CODE],0),)," ")</f>
        <v>MD. ARIFUL ISLAM</v>
      </c>
      <c r="I3657" s="145" t="s">
        <v>455</v>
      </c>
      <c r="J3657" s="163" t="s">
        <v>53</v>
      </c>
      <c r="K3657" s="219"/>
      <c r="L3657" s="219">
        <v>103480</v>
      </c>
    </row>
    <row r="3658" spans="1:14" x14ac:dyDescent="0.2">
      <c r="A3658" s="168">
        <v>2021</v>
      </c>
      <c r="B3658" s="168">
        <v>7</v>
      </c>
      <c r="C3658" s="168">
        <v>13</v>
      </c>
      <c r="D3658" s="141">
        <f t="shared" si="120"/>
        <v>44390</v>
      </c>
      <c r="E3658" s="275">
        <f t="shared" si="121"/>
        <v>44390</v>
      </c>
      <c r="F3658" s="479" t="s">
        <v>274</v>
      </c>
      <c r="G3658" s="220" t="s">
        <v>74</v>
      </c>
      <c r="H3658" s="142" t="str" cm="1">
        <f t="array" ref="H3658">IFERROR(INDEX(INVESTOR_LIST[INVESTOR NAME],MATCH(I3658,INVESTOR_LIST[INVESTOR CODE],0),)," ")</f>
        <v xml:space="preserve"> </v>
      </c>
      <c r="I3658" s="142"/>
      <c r="J3658" s="168" t="s">
        <v>79</v>
      </c>
      <c r="K3658" s="226">
        <v>820000</v>
      </c>
      <c r="L3658" s="226"/>
    </row>
    <row r="3659" spans="1:14" x14ac:dyDescent="0.2">
      <c r="A3659" s="133">
        <v>2021</v>
      </c>
      <c r="B3659" s="133">
        <v>7</v>
      </c>
      <c r="C3659" s="133">
        <v>13</v>
      </c>
      <c r="D3659" s="141">
        <f t="shared" si="120"/>
        <v>44390</v>
      </c>
      <c r="E3659" s="275">
        <f t="shared" si="121"/>
        <v>44390</v>
      </c>
      <c r="F3659" s="481"/>
      <c r="G3659" s="174" t="s">
        <v>74</v>
      </c>
      <c r="H3659" s="148" t="str" cm="1">
        <f t="array" ref="H3659">IFERROR(INDEX(INVESTOR_LIST[INVESTOR NAME],MATCH(I3659,INVESTOR_LIST[INVESTOR CODE],0),)," ")</f>
        <v xml:space="preserve"> </v>
      </c>
      <c r="J3659" s="133" t="s">
        <v>80</v>
      </c>
      <c r="K3659" s="218">
        <v>1476</v>
      </c>
      <c r="L3659" s="218"/>
      <c r="N3659" s="156">
        <f>K3664/13.49</f>
        <v>74128.984432913261</v>
      </c>
    </row>
    <row r="3660" spans="1:14" ht="11.25" customHeight="1" x14ac:dyDescent="0.2">
      <c r="A3660" s="163">
        <v>2021</v>
      </c>
      <c r="B3660" s="163">
        <v>7</v>
      </c>
      <c r="C3660" s="163">
        <v>13</v>
      </c>
      <c r="D3660" s="141">
        <f t="shared" si="120"/>
        <v>44390</v>
      </c>
      <c r="E3660" s="275">
        <f t="shared" si="121"/>
        <v>44390</v>
      </c>
      <c r="F3660" s="480"/>
      <c r="G3660" s="221" t="s">
        <v>74</v>
      </c>
      <c r="H3660" s="145" t="str" cm="1">
        <f t="array" ref="H3660">IFERROR(INDEX(INVESTOR_LIST[INVESTOR NAME],MATCH(I3660,INVESTOR_LIST[INVESTOR CODE],0),)," ")</f>
        <v xml:space="preserve"> </v>
      </c>
      <c r="I3660" s="145"/>
      <c r="J3660" s="163" t="s">
        <v>147</v>
      </c>
      <c r="K3660" s="219"/>
      <c r="L3660" s="219">
        <v>821476</v>
      </c>
    </row>
    <row r="3661" spans="1:14" ht="11.25" customHeight="1" x14ac:dyDescent="0.2">
      <c r="A3661" s="168">
        <v>2021</v>
      </c>
      <c r="B3661" s="168">
        <v>7</v>
      </c>
      <c r="C3661" s="168">
        <v>14</v>
      </c>
      <c r="D3661" s="141">
        <f t="shared" si="120"/>
        <v>44391</v>
      </c>
      <c r="E3661" s="275">
        <f t="shared" si="121"/>
        <v>44391</v>
      </c>
      <c r="F3661" s="479" t="s">
        <v>964</v>
      </c>
      <c r="G3661" s="220" t="s">
        <v>74</v>
      </c>
      <c r="H3661" s="142" t="str" cm="1">
        <f t="array" ref="H3661">IFERROR(INDEX(INVESTOR_LIST[INVESTOR NAME],MATCH(I3661,INVESTOR_LIST[INVESTOR CODE],0),)," ")</f>
        <v>PRATIMA DEV</v>
      </c>
      <c r="I3661" s="142" t="s">
        <v>396</v>
      </c>
      <c r="J3661" s="168" t="s">
        <v>52</v>
      </c>
      <c r="K3661" s="226">
        <v>500000</v>
      </c>
      <c r="L3661" s="226"/>
    </row>
    <row r="3662" spans="1:14" ht="22.5" x14ac:dyDescent="0.2">
      <c r="A3662" s="133">
        <v>2021</v>
      </c>
      <c r="B3662" s="133">
        <v>7</v>
      </c>
      <c r="C3662" s="133">
        <v>14</v>
      </c>
      <c r="D3662" s="141">
        <f t="shared" ref="D3662:D3725" si="122">DATE(A3662,B3662,C3662)</f>
        <v>44391</v>
      </c>
      <c r="E3662" s="275">
        <f t="shared" si="121"/>
        <v>44391</v>
      </c>
      <c r="F3662" s="481"/>
      <c r="G3662" s="174" t="s">
        <v>74</v>
      </c>
      <c r="H3662" s="148" t="str" cm="1">
        <f t="array" ref="H3662">IFERROR(INDEX(INVESTOR_LIST[INVESTOR NAME],MATCH(I3662,INVESTOR_LIST[INVESTOR CODE],0),)," ")</f>
        <v>PRATIMA DEV</v>
      </c>
      <c r="I3662" s="148" t="s">
        <v>396</v>
      </c>
      <c r="J3662" s="133" t="s">
        <v>13</v>
      </c>
      <c r="K3662" s="218"/>
      <c r="L3662" s="218">
        <v>370640</v>
      </c>
      <c r="N3662" s="156">
        <f>K3667/13.49</f>
        <v>11119.34766493699</v>
      </c>
    </row>
    <row r="3663" spans="1:14" ht="11.25" customHeight="1" x14ac:dyDescent="0.2">
      <c r="A3663" s="163">
        <v>2021</v>
      </c>
      <c r="B3663" s="163">
        <v>7</v>
      </c>
      <c r="C3663" s="163">
        <v>14</v>
      </c>
      <c r="D3663" s="141">
        <f t="shared" si="122"/>
        <v>44391</v>
      </c>
      <c r="E3663" s="275">
        <f t="shared" ref="E3663:E3726" si="123">DATE(A3663,B3663,C3663)</f>
        <v>44391</v>
      </c>
      <c r="F3663" s="480"/>
      <c r="G3663" s="221" t="s">
        <v>74</v>
      </c>
      <c r="H3663" s="145" t="str" cm="1">
        <f t="array" ref="H3663">IFERROR(INDEX(INVESTOR_LIST[INVESTOR NAME],MATCH(I3663,INVESTOR_LIST[INVESTOR CODE],0),)," ")</f>
        <v>PRATIMA DEV</v>
      </c>
      <c r="I3663" s="145" t="s">
        <v>396</v>
      </c>
      <c r="J3663" s="163" t="s">
        <v>53</v>
      </c>
      <c r="K3663" s="219"/>
      <c r="L3663" s="219">
        <v>129360</v>
      </c>
    </row>
    <row r="3664" spans="1:14" ht="11.25" customHeight="1" x14ac:dyDescent="0.2">
      <c r="A3664" s="168">
        <v>2021</v>
      </c>
      <c r="B3664" s="168">
        <v>7</v>
      </c>
      <c r="C3664" s="168">
        <v>14</v>
      </c>
      <c r="D3664" s="141">
        <f t="shared" si="122"/>
        <v>44391</v>
      </c>
      <c r="E3664" s="275">
        <f t="shared" si="123"/>
        <v>44391</v>
      </c>
      <c r="F3664" s="479" t="s">
        <v>964</v>
      </c>
      <c r="G3664" s="220" t="s">
        <v>74</v>
      </c>
      <c r="H3664" s="142" t="str" cm="1">
        <f t="array" ref="H3664">IFERROR(INDEX(INVESTOR_LIST[INVESTOR NAME],MATCH(I3664,INVESTOR_LIST[INVESTOR CODE],0),)," ")</f>
        <v>MD. AHSAN-UZ ZAMAN</v>
      </c>
      <c r="I3664" s="142" t="s">
        <v>817</v>
      </c>
      <c r="J3664" s="168" t="s">
        <v>52</v>
      </c>
      <c r="K3664" s="226">
        <v>1000000</v>
      </c>
      <c r="L3664" s="226"/>
    </row>
    <row r="3665" spans="1:14" ht="45" x14ac:dyDescent="0.2">
      <c r="A3665" s="133">
        <v>2021</v>
      </c>
      <c r="B3665" s="133">
        <v>7</v>
      </c>
      <c r="C3665" s="133">
        <v>14</v>
      </c>
      <c r="D3665" s="141">
        <f t="shared" si="122"/>
        <v>44391</v>
      </c>
      <c r="E3665" s="275">
        <f t="shared" si="123"/>
        <v>44391</v>
      </c>
      <c r="F3665" s="481"/>
      <c r="G3665" s="174" t="s">
        <v>74</v>
      </c>
      <c r="H3665" s="148" t="str" cm="1">
        <f t="array" ref="H3665">IFERROR(INDEX(INVESTOR_LIST[INVESTOR NAME],MATCH(I3665,INVESTOR_LIST[INVESTOR CODE],0),)," ")</f>
        <v>MD. AHSAN-UZ ZAMAN</v>
      </c>
      <c r="I3665" s="148" t="s">
        <v>817</v>
      </c>
      <c r="J3665" s="133" t="s">
        <v>13</v>
      </c>
      <c r="K3665" s="218"/>
      <c r="L3665" s="218">
        <v>741290</v>
      </c>
      <c r="N3665" s="156">
        <f>K3670/13.49</f>
        <v>3706.4492216456633</v>
      </c>
    </row>
    <row r="3666" spans="1:14" ht="45" x14ac:dyDescent="0.2">
      <c r="A3666" s="163">
        <v>2021</v>
      </c>
      <c r="B3666" s="163">
        <v>7</v>
      </c>
      <c r="C3666" s="163">
        <v>14</v>
      </c>
      <c r="D3666" s="141">
        <f t="shared" si="122"/>
        <v>44391</v>
      </c>
      <c r="E3666" s="275">
        <f t="shared" si="123"/>
        <v>44391</v>
      </c>
      <c r="F3666" s="480"/>
      <c r="G3666" s="221" t="s">
        <v>74</v>
      </c>
      <c r="H3666" s="145" t="str" cm="1">
        <f t="array" ref="H3666">IFERROR(INDEX(INVESTOR_LIST[INVESTOR NAME],MATCH(I3666,INVESTOR_LIST[INVESTOR CODE],0),)," ")</f>
        <v>MD. AHSAN-UZ ZAMAN</v>
      </c>
      <c r="I3666" s="145" t="s">
        <v>817</v>
      </c>
      <c r="J3666" s="163" t="s">
        <v>53</v>
      </c>
      <c r="K3666" s="219"/>
      <c r="L3666" s="219">
        <v>258710</v>
      </c>
      <c r="M3666" s="156"/>
    </row>
    <row r="3667" spans="1:14" ht="11.25" customHeight="1" x14ac:dyDescent="0.2">
      <c r="A3667" s="168">
        <v>2021</v>
      </c>
      <c r="B3667" s="168">
        <v>7</v>
      </c>
      <c r="C3667" s="168">
        <v>14</v>
      </c>
      <c r="D3667" s="141">
        <f t="shared" si="122"/>
        <v>44391</v>
      </c>
      <c r="E3667" s="275">
        <f t="shared" si="123"/>
        <v>44391</v>
      </c>
      <c r="F3667" s="479" t="s">
        <v>964</v>
      </c>
      <c r="G3667" s="220" t="s">
        <v>74</v>
      </c>
      <c r="H3667" s="142" t="str" cm="1">
        <f t="array" ref="H3667">IFERROR(INDEX(INVESTOR_LIST[INVESTOR NAME],MATCH(I3667,INVESTOR_LIST[INVESTOR CODE],0),)," ")</f>
        <v>ANISUL HAQUE</v>
      </c>
      <c r="I3667" s="142" t="s">
        <v>489</v>
      </c>
      <c r="J3667" s="168" t="s">
        <v>52</v>
      </c>
      <c r="K3667" s="226">
        <v>150000</v>
      </c>
      <c r="L3667" s="226"/>
    </row>
    <row r="3668" spans="1:14" ht="22.5" x14ac:dyDescent="0.2">
      <c r="A3668" s="133">
        <v>2021</v>
      </c>
      <c r="B3668" s="133">
        <v>7</v>
      </c>
      <c r="C3668" s="133">
        <v>14</v>
      </c>
      <c r="D3668" s="141">
        <f t="shared" si="122"/>
        <v>44391</v>
      </c>
      <c r="E3668" s="275">
        <f t="shared" si="123"/>
        <v>44391</v>
      </c>
      <c r="F3668" s="481"/>
      <c r="G3668" s="174" t="s">
        <v>74</v>
      </c>
      <c r="H3668" s="148" t="str" cm="1">
        <f t="array" ref="H3668">IFERROR(INDEX(INVESTOR_LIST[INVESTOR NAME],MATCH(I3668,INVESTOR_LIST[INVESTOR CODE],0),)," ")</f>
        <v>ANISUL HAQUE</v>
      </c>
      <c r="I3668" s="148" t="s">
        <v>489</v>
      </c>
      <c r="J3668" s="133" t="s">
        <v>13</v>
      </c>
      <c r="K3668" s="218"/>
      <c r="L3668" s="218">
        <v>111190</v>
      </c>
    </row>
    <row r="3669" spans="1:14" ht="22.5" x14ac:dyDescent="0.2">
      <c r="A3669" s="163">
        <v>2021</v>
      </c>
      <c r="B3669" s="163">
        <v>7</v>
      </c>
      <c r="C3669" s="163">
        <v>14</v>
      </c>
      <c r="D3669" s="141">
        <f t="shared" si="122"/>
        <v>44391</v>
      </c>
      <c r="E3669" s="275">
        <f t="shared" si="123"/>
        <v>44391</v>
      </c>
      <c r="F3669" s="480"/>
      <c r="G3669" s="221" t="s">
        <v>74</v>
      </c>
      <c r="H3669" s="145" t="str" cm="1">
        <f t="array" ref="H3669">IFERROR(INDEX(INVESTOR_LIST[INVESTOR NAME],MATCH(I3669,INVESTOR_LIST[INVESTOR CODE],0),)," ")</f>
        <v>ANISUL HAQUE</v>
      </c>
      <c r="I3669" s="145" t="s">
        <v>489</v>
      </c>
      <c r="J3669" s="163" t="s">
        <v>53</v>
      </c>
      <c r="K3669" s="219"/>
      <c r="L3669" s="219">
        <v>38810</v>
      </c>
    </row>
    <row r="3670" spans="1:14" ht="11.25" customHeight="1" x14ac:dyDescent="0.2">
      <c r="A3670" s="168">
        <v>2021</v>
      </c>
      <c r="B3670" s="168">
        <v>7</v>
      </c>
      <c r="C3670" s="168">
        <v>14</v>
      </c>
      <c r="D3670" s="141">
        <f t="shared" si="122"/>
        <v>44391</v>
      </c>
      <c r="E3670" s="275">
        <f t="shared" si="123"/>
        <v>44391</v>
      </c>
      <c r="F3670" s="479" t="s">
        <v>964</v>
      </c>
      <c r="G3670" s="220" t="s">
        <v>74</v>
      </c>
      <c r="H3670" s="142" t="str" cm="1">
        <f t="array" ref="H3670">IFERROR(INDEX(INVESTOR_LIST[INVESTOR NAME],MATCH(I3670,INVESTOR_LIST[INVESTOR CODE],0),)," ")</f>
        <v>FARHAN SHAHRIAR DIPTO</v>
      </c>
      <c r="I3670" s="142" t="s">
        <v>822</v>
      </c>
      <c r="J3670" s="168" t="s">
        <v>52</v>
      </c>
      <c r="K3670" s="226">
        <v>50000</v>
      </c>
      <c r="L3670" s="226"/>
    </row>
    <row r="3671" spans="1:14" ht="33.75" x14ac:dyDescent="0.2">
      <c r="A3671" s="133">
        <v>2021</v>
      </c>
      <c r="B3671" s="133">
        <v>7</v>
      </c>
      <c r="C3671" s="133">
        <v>14</v>
      </c>
      <c r="D3671" s="141">
        <f t="shared" si="122"/>
        <v>44391</v>
      </c>
      <c r="E3671" s="275">
        <f t="shared" si="123"/>
        <v>44391</v>
      </c>
      <c r="F3671" s="481"/>
      <c r="G3671" s="174" t="s">
        <v>74</v>
      </c>
      <c r="H3671" s="148" t="str" cm="1">
        <f t="array" ref="H3671">IFERROR(INDEX(INVESTOR_LIST[INVESTOR NAME],MATCH(I3671,INVESTOR_LIST[INVESTOR CODE],0),)," ")</f>
        <v>FARHAN SHAHRIAR DIPTO</v>
      </c>
      <c r="I3671" s="148" t="s">
        <v>822</v>
      </c>
      <c r="J3671" s="133" t="s">
        <v>13</v>
      </c>
      <c r="K3671" s="218"/>
      <c r="L3671" s="218">
        <v>37060</v>
      </c>
    </row>
    <row r="3672" spans="1:14" ht="33.75" x14ac:dyDescent="0.2">
      <c r="A3672" s="163">
        <v>2021</v>
      </c>
      <c r="B3672" s="163">
        <v>7</v>
      </c>
      <c r="C3672" s="163">
        <v>14</v>
      </c>
      <c r="D3672" s="141">
        <f t="shared" si="122"/>
        <v>44391</v>
      </c>
      <c r="E3672" s="275">
        <f t="shared" si="123"/>
        <v>44391</v>
      </c>
      <c r="F3672" s="480"/>
      <c r="G3672" s="221" t="s">
        <v>74</v>
      </c>
      <c r="H3672" s="145" t="str" cm="1">
        <f t="array" ref="H3672">IFERROR(INDEX(INVESTOR_LIST[INVESTOR NAME],MATCH(I3672,INVESTOR_LIST[INVESTOR CODE],0),)," ")</f>
        <v>FARHAN SHAHRIAR DIPTO</v>
      </c>
      <c r="I3672" s="145" t="s">
        <v>822</v>
      </c>
      <c r="J3672" s="163" t="s">
        <v>53</v>
      </c>
      <c r="K3672" s="219"/>
      <c r="L3672" s="219">
        <v>12940</v>
      </c>
    </row>
    <row r="3673" spans="1:14" ht="11.25" customHeight="1" x14ac:dyDescent="0.2">
      <c r="A3673" s="168">
        <v>2021</v>
      </c>
      <c r="B3673" s="168">
        <v>7</v>
      </c>
      <c r="C3673" s="168">
        <v>14</v>
      </c>
      <c r="D3673" s="141">
        <f t="shared" si="122"/>
        <v>44391</v>
      </c>
      <c r="E3673" s="275">
        <f t="shared" si="123"/>
        <v>44391</v>
      </c>
      <c r="F3673" s="479" t="s">
        <v>964</v>
      </c>
      <c r="G3673" s="220" t="s">
        <v>74</v>
      </c>
      <c r="H3673" s="142" t="str" cm="1">
        <f t="array" ref="H3673">IFERROR(INDEX(INVESTOR_LIST[INVESTOR NAME],MATCH(I3673,INVESTOR_LIST[INVESTOR CODE],0),)," ")</f>
        <v>FARHANA AKHTER</v>
      </c>
      <c r="I3673" s="142" t="s">
        <v>665</v>
      </c>
      <c r="J3673" s="168" t="s">
        <v>52</v>
      </c>
      <c r="K3673" s="226">
        <v>1000000</v>
      </c>
      <c r="L3673" s="226"/>
    </row>
    <row r="3674" spans="1:14" ht="33.75" x14ac:dyDescent="0.2">
      <c r="A3674" s="133">
        <v>2021</v>
      </c>
      <c r="B3674" s="133">
        <v>7</v>
      </c>
      <c r="C3674" s="133">
        <v>14</v>
      </c>
      <c r="D3674" s="141">
        <f t="shared" si="122"/>
        <v>44391</v>
      </c>
      <c r="E3674" s="275">
        <f t="shared" si="123"/>
        <v>44391</v>
      </c>
      <c r="F3674" s="481"/>
      <c r="G3674" s="174" t="s">
        <v>74</v>
      </c>
      <c r="H3674" s="148" t="str" cm="1">
        <f t="array" ref="H3674">IFERROR(INDEX(INVESTOR_LIST[INVESTOR NAME],MATCH(I3674,INVESTOR_LIST[INVESTOR CODE],0),)," ")</f>
        <v>FARHANA AKHTER</v>
      </c>
      <c r="I3674" s="148" t="s">
        <v>665</v>
      </c>
      <c r="J3674" s="133" t="s">
        <v>13</v>
      </c>
      <c r="K3674" s="218"/>
      <c r="L3674" s="218">
        <v>741290</v>
      </c>
    </row>
    <row r="3675" spans="1:14" ht="33.75" x14ac:dyDescent="0.2">
      <c r="A3675" s="163">
        <v>2021</v>
      </c>
      <c r="B3675" s="163">
        <v>7</v>
      </c>
      <c r="C3675" s="163">
        <v>14</v>
      </c>
      <c r="D3675" s="141">
        <f t="shared" si="122"/>
        <v>44391</v>
      </c>
      <c r="E3675" s="275">
        <f t="shared" si="123"/>
        <v>44391</v>
      </c>
      <c r="F3675" s="480"/>
      <c r="G3675" s="221" t="s">
        <v>74</v>
      </c>
      <c r="H3675" s="145" t="str" cm="1">
        <f t="array" ref="H3675">IFERROR(INDEX(INVESTOR_LIST[INVESTOR NAME],MATCH(I3675,INVESTOR_LIST[INVESTOR CODE],0),)," ")</f>
        <v>FARHANA AKHTER</v>
      </c>
      <c r="I3675" s="145" t="s">
        <v>665</v>
      </c>
      <c r="J3675" s="163" t="s">
        <v>53</v>
      </c>
      <c r="K3675" s="219"/>
      <c r="L3675" s="219">
        <v>258710</v>
      </c>
    </row>
    <row r="3676" spans="1:14" x14ac:dyDescent="0.2">
      <c r="A3676" s="168">
        <v>2021</v>
      </c>
      <c r="B3676" s="168">
        <v>7</v>
      </c>
      <c r="C3676" s="168">
        <v>14</v>
      </c>
      <c r="D3676" s="141">
        <f t="shared" si="122"/>
        <v>44391</v>
      </c>
      <c r="E3676" s="275">
        <f t="shared" si="123"/>
        <v>44391</v>
      </c>
      <c r="F3676" s="479" t="s">
        <v>77</v>
      </c>
      <c r="G3676" s="220" t="s">
        <v>74</v>
      </c>
      <c r="H3676" s="220" t="str" cm="1">
        <f t="array" ref="H3676">IFERROR(INDEX(INVESTOR_LIST[INVESTOR NAME],MATCH(I3676,INVESTOR_LIST[INVESTOR CODE],0),)," ")</f>
        <v xml:space="preserve"> </v>
      </c>
      <c r="I3676" s="142" t="s">
        <v>348</v>
      </c>
      <c r="J3676" s="143" t="s">
        <v>61</v>
      </c>
      <c r="K3676" s="226">
        <v>60</v>
      </c>
      <c r="L3676" s="226"/>
    </row>
    <row r="3677" spans="1:14" x14ac:dyDescent="0.2">
      <c r="A3677" s="163">
        <v>2021</v>
      </c>
      <c r="B3677" s="163">
        <v>7</v>
      </c>
      <c r="C3677" s="163">
        <v>14</v>
      </c>
      <c r="D3677" s="141">
        <f t="shared" si="122"/>
        <v>44391</v>
      </c>
      <c r="E3677" s="275">
        <f t="shared" si="123"/>
        <v>44391</v>
      </c>
      <c r="F3677" s="480"/>
      <c r="G3677" s="221" t="s">
        <v>74</v>
      </c>
      <c r="H3677" s="221" t="str" cm="1">
        <f t="array" ref="H3677">IFERROR(INDEX(INVESTOR_LIST[INVESTOR NAME],MATCH(I3677,INVESTOR_LIST[INVESTOR CODE],0),)," ")</f>
        <v xml:space="preserve"> </v>
      </c>
      <c r="I3677" s="145" t="s">
        <v>348</v>
      </c>
      <c r="J3677" s="146" t="s">
        <v>52</v>
      </c>
      <c r="K3677" s="219"/>
      <c r="L3677" s="219">
        <v>60</v>
      </c>
    </row>
    <row r="3678" spans="1:14" ht="11.25" customHeight="1" x14ac:dyDescent="0.2">
      <c r="A3678" s="168">
        <v>2021</v>
      </c>
      <c r="B3678" s="168">
        <v>7</v>
      </c>
      <c r="C3678" s="168">
        <v>14</v>
      </c>
      <c r="D3678" s="141">
        <f t="shared" si="122"/>
        <v>44391</v>
      </c>
      <c r="E3678" s="275">
        <f t="shared" si="123"/>
        <v>44391</v>
      </c>
      <c r="F3678" s="479" t="s">
        <v>964</v>
      </c>
      <c r="G3678" s="220" t="s">
        <v>74</v>
      </c>
      <c r="H3678" s="142" t="str" cm="1">
        <f t="array" ref="H3678">IFERROR(INDEX(INVESTOR_LIST[INVESTOR NAME],MATCH(I3678,INVESTOR_LIST[INVESTOR CODE],0),)," ")</f>
        <v>MD. ARIFUL ISLAM</v>
      </c>
      <c r="I3678" s="142" t="s">
        <v>813</v>
      </c>
      <c r="J3678" s="168" t="s">
        <v>52</v>
      </c>
      <c r="K3678" s="226">
        <v>500000</v>
      </c>
      <c r="L3678" s="226"/>
    </row>
    <row r="3679" spans="1:14" ht="33.75" x14ac:dyDescent="0.2">
      <c r="A3679" s="133">
        <v>2021</v>
      </c>
      <c r="B3679" s="133">
        <v>7</v>
      </c>
      <c r="C3679" s="133">
        <v>14</v>
      </c>
      <c r="D3679" s="141">
        <f t="shared" si="122"/>
        <v>44391</v>
      </c>
      <c r="E3679" s="275">
        <f t="shared" si="123"/>
        <v>44391</v>
      </c>
      <c r="F3679" s="481"/>
      <c r="G3679" s="174" t="s">
        <v>74</v>
      </c>
      <c r="H3679" s="148" t="str" cm="1">
        <f t="array" ref="H3679">IFERROR(INDEX(INVESTOR_LIST[INVESTOR NAME],MATCH(I3679,INVESTOR_LIST[INVESTOR CODE],0),)," ")</f>
        <v>MD. ARIFUL ISLAM</v>
      </c>
      <c r="I3679" s="148" t="s">
        <v>813</v>
      </c>
      <c r="J3679" s="133" t="s">
        <v>13</v>
      </c>
      <c r="K3679" s="218"/>
      <c r="L3679" s="218">
        <v>370640</v>
      </c>
      <c r="M3679" s="160"/>
    </row>
    <row r="3680" spans="1:14" ht="33.75" x14ac:dyDescent="0.2">
      <c r="A3680" s="163">
        <v>2021</v>
      </c>
      <c r="B3680" s="163">
        <v>7</v>
      </c>
      <c r="C3680" s="163">
        <v>14</v>
      </c>
      <c r="D3680" s="141">
        <f t="shared" si="122"/>
        <v>44391</v>
      </c>
      <c r="E3680" s="275">
        <f t="shared" si="123"/>
        <v>44391</v>
      </c>
      <c r="F3680" s="480"/>
      <c r="G3680" s="221" t="s">
        <v>74</v>
      </c>
      <c r="H3680" s="145" t="str" cm="1">
        <f t="array" ref="H3680">IFERROR(INDEX(INVESTOR_LIST[INVESTOR NAME],MATCH(I3680,INVESTOR_LIST[INVESTOR CODE],0),)," ")</f>
        <v>MD. ARIFUL ISLAM</v>
      </c>
      <c r="I3680" s="145" t="s">
        <v>813</v>
      </c>
      <c r="J3680" s="163" t="s">
        <v>53</v>
      </c>
      <c r="K3680" s="219"/>
      <c r="L3680" s="219">
        <v>129360</v>
      </c>
    </row>
    <row r="3681" spans="1:14" ht="11.25" customHeight="1" x14ac:dyDescent="0.2">
      <c r="A3681" s="168">
        <v>2021</v>
      </c>
      <c r="B3681" s="168">
        <v>7</v>
      </c>
      <c r="C3681" s="168">
        <v>14</v>
      </c>
      <c r="D3681" s="141">
        <f t="shared" si="122"/>
        <v>44391</v>
      </c>
      <c r="E3681" s="275">
        <f t="shared" si="123"/>
        <v>44391</v>
      </c>
      <c r="F3681" s="479" t="s">
        <v>964</v>
      </c>
      <c r="G3681" s="220" t="s">
        <v>74</v>
      </c>
      <c r="H3681" s="142" t="str" cm="1">
        <f t="array" ref="H3681">IFERROR(INDEX(INVESTOR_LIST[INVESTOR NAME],MATCH(I3681,INVESTOR_LIST[INVESTOR CODE],0),)," ")</f>
        <v>JOY SHREE SAHA</v>
      </c>
      <c r="I3681" s="142" t="s">
        <v>777</v>
      </c>
      <c r="J3681" s="168" t="s">
        <v>52</v>
      </c>
      <c r="K3681" s="226">
        <v>662500</v>
      </c>
      <c r="L3681" s="226"/>
    </row>
    <row r="3682" spans="1:14" ht="33.75" x14ac:dyDescent="0.2">
      <c r="A3682" s="133">
        <v>2021</v>
      </c>
      <c r="B3682" s="133">
        <v>7</v>
      </c>
      <c r="C3682" s="133">
        <v>14</v>
      </c>
      <c r="D3682" s="141">
        <f t="shared" si="122"/>
        <v>44391</v>
      </c>
      <c r="E3682" s="275">
        <f t="shared" si="123"/>
        <v>44391</v>
      </c>
      <c r="F3682" s="481"/>
      <c r="G3682" s="174" t="s">
        <v>74</v>
      </c>
      <c r="H3682" s="148" t="str" cm="1">
        <f t="array" ref="H3682">IFERROR(INDEX(INVESTOR_LIST[INVESTOR NAME],MATCH(I3682,INVESTOR_LIST[INVESTOR CODE],0),)," ")</f>
        <v>JOY SHREE SAHA</v>
      </c>
      <c r="I3682" s="148" t="s">
        <v>777</v>
      </c>
      <c r="J3682" s="133" t="s">
        <v>13</v>
      </c>
      <c r="K3682" s="218"/>
      <c r="L3682" s="218">
        <v>498870</v>
      </c>
    </row>
    <row r="3683" spans="1:14" ht="33.75" x14ac:dyDescent="0.2">
      <c r="A3683" s="163">
        <v>2021</v>
      </c>
      <c r="B3683" s="163">
        <v>7</v>
      </c>
      <c r="C3683" s="163">
        <v>14</v>
      </c>
      <c r="D3683" s="141">
        <f t="shared" si="122"/>
        <v>44391</v>
      </c>
      <c r="E3683" s="275">
        <f t="shared" si="123"/>
        <v>44391</v>
      </c>
      <c r="F3683" s="480"/>
      <c r="G3683" s="221" t="s">
        <v>74</v>
      </c>
      <c r="H3683" s="145" t="str" cm="1">
        <f t="array" ref="H3683">IFERROR(INDEX(INVESTOR_LIST[INVESTOR NAME],MATCH(I3683,INVESTOR_LIST[INVESTOR CODE],0),)," ")</f>
        <v>JOY SHREE SAHA</v>
      </c>
      <c r="I3683" s="145" t="s">
        <v>777</v>
      </c>
      <c r="J3683" s="163" t="s">
        <v>53</v>
      </c>
      <c r="K3683" s="219"/>
      <c r="L3683" s="219">
        <v>163630.00000011921</v>
      </c>
    </row>
    <row r="3684" spans="1:14" ht="11.25" customHeight="1" x14ac:dyDescent="0.2">
      <c r="A3684" s="168">
        <v>2021</v>
      </c>
      <c r="B3684" s="168">
        <v>7</v>
      </c>
      <c r="C3684" s="168">
        <v>14</v>
      </c>
      <c r="D3684" s="141">
        <f t="shared" si="122"/>
        <v>44391</v>
      </c>
      <c r="E3684" s="275">
        <f t="shared" si="123"/>
        <v>44391</v>
      </c>
      <c r="F3684" s="479" t="s">
        <v>964</v>
      </c>
      <c r="G3684" s="220" t="s">
        <v>74</v>
      </c>
      <c r="H3684" s="142" t="str" cm="1">
        <f t="array" ref="H3684">IFERROR(INDEX(INVESTOR_LIST[INVESTOR NAME],MATCH(I3684,INVESTOR_LIST[INVESTOR CODE],0),)," ")</f>
        <v>HASIB MUSTABSIR</v>
      </c>
      <c r="I3684" s="142" t="s">
        <v>521</v>
      </c>
      <c r="J3684" s="168" t="s">
        <v>52</v>
      </c>
      <c r="K3684" s="226">
        <v>500000</v>
      </c>
      <c r="L3684" s="226"/>
    </row>
    <row r="3685" spans="1:14" ht="33.75" x14ac:dyDescent="0.2">
      <c r="A3685" s="133">
        <v>2021</v>
      </c>
      <c r="B3685" s="133">
        <v>7</v>
      </c>
      <c r="C3685" s="133">
        <v>14</v>
      </c>
      <c r="D3685" s="141">
        <f t="shared" si="122"/>
        <v>44391</v>
      </c>
      <c r="E3685" s="275">
        <f t="shared" si="123"/>
        <v>44391</v>
      </c>
      <c r="F3685" s="481"/>
      <c r="G3685" s="174" t="s">
        <v>74</v>
      </c>
      <c r="H3685" s="148" t="str" cm="1">
        <f t="array" ref="H3685">IFERROR(INDEX(INVESTOR_LIST[INVESTOR NAME],MATCH(I3685,INVESTOR_LIST[INVESTOR CODE],0),)," ")</f>
        <v>HASIB MUSTABSIR</v>
      </c>
      <c r="I3685" s="148" t="s">
        <v>521</v>
      </c>
      <c r="J3685" s="133" t="s">
        <v>13</v>
      </c>
      <c r="K3685" s="218"/>
      <c r="L3685" s="218">
        <v>370640</v>
      </c>
    </row>
    <row r="3686" spans="1:14" ht="33.75" x14ac:dyDescent="0.2">
      <c r="A3686" s="163">
        <v>2021</v>
      </c>
      <c r="B3686" s="163">
        <v>7</v>
      </c>
      <c r="C3686" s="163">
        <v>14</v>
      </c>
      <c r="D3686" s="141">
        <f t="shared" si="122"/>
        <v>44391</v>
      </c>
      <c r="E3686" s="275">
        <f t="shared" si="123"/>
        <v>44391</v>
      </c>
      <c r="F3686" s="480"/>
      <c r="G3686" s="221" t="s">
        <v>74</v>
      </c>
      <c r="H3686" s="145" t="str" cm="1">
        <f t="array" ref="H3686">IFERROR(INDEX(INVESTOR_LIST[INVESTOR NAME],MATCH(I3686,INVESTOR_LIST[INVESTOR CODE],0),)," ")</f>
        <v>HASIB MUSTABSIR</v>
      </c>
      <c r="I3686" s="145" t="s">
        <v>521</v>
      </c>
      <c r="J3686" s="163" t="s">
        <v>53</v>
      </c>
      <c r="K3686" s="219"/>
      <c r="L3686" s="219">
        <v>129360</v>
      </c>
    </row>
    <row r="3687" spans="1:14" x14ac:dyDescent="0.2">
      <c r="A3687" s="168">
        <v>2021</v>
      </c>
      <c r="B3687" s="168">
        <v>7</v>
      </c>
      <c r="C3687" s="168">
        <v>14</v>
      </c>
      <c r="D3687" s="141">
        <f t="shared" si="122"/>
        <v>44391</v>
      </c>
      <c r="E3687" s="275">
        <f t="shared" si="123"/>
        <v>44391</v>
      </c>
      <c r="F3687" s="479" t="s">
        <v>77</v>
      </c>
      <c r="G3687" s="220" t="s">
        <v>74</v>
      </c>
      <c r="H3687" s="220" t="str" cm="1">
        <f t="array" ref="H3687">IFERROR(INDEX(INVESTOR_LIST[INVESTOR NAME],MATCH(I3687,INVESTOR_LIST[INVESTOR CODE],0),)," ")</f>
        <v xml:space="preserve"> </v>
      </c>
      <c r="I3687" s="142" t="s">
        <v>348</v>
      </c>
      <c r="J3687" s="143" t="s">
        <v>61</v>
      </c>
      <c r="K3687" s="226">
        <v>60</v>
      </c>
      <c r="L3687" s="226"/>
    </row>
    <row r="3688" spans="1:14" x14ac:dyDescent="0.2">
      <c r="A3688" s="163">
        <v>2021</v>
      </c>
      <c r="B3688" s="163">
        <v>7</v>
      </c>
      <c r="C3688" s="163">
        <v>14</v>
      </c>
      <c r="D3688" s="141">
        <f t="shared" si="122"/>
        <v>44391</v>
      </c>
      <c r="E3688" s="275">
        <f t="shared" si="123"/>
        <v>44391</v>
      </c>
      <c r="F3688" s="480"/>
      <c r="G3688" s="221" t="s">
        <v>74</v>
      </c>
      <c r="H3688" s="221" t="str" cm="1">
        <f t="array" ref="H3688">IFERROR(INDEX(INVESTOR_LIST[INVESTOR NAME],MATCH(I3688,INVESTOR_LIST[INVESTOR CODE],0),)," ")</f>
        <v xml:space="preserve"> </v>
      </c>
      <c r="I3688" s="145" t="s">
        <v>348</v>
      </c>
      <c r="J3688" s="146" t="s">
        <v>52</v>
      </c>
      <c r="K3688" s="219"/>
      <c r="L3688" s="219">
        <v>60</v>
      </c>
      <c r="M3688" s="156">
        <v>51890.289103039286</v>
      </c>
    </row>
    <row r="3689" spans="1:14" x14ac:dyDescent="0.2">
      <c r="A3689" s="168">
        <v>2021</v>
      </c>
      <c r="B3689" s="168">
        <v>7</v>
      </c>
      <c r="C3689" s="168">
        <v>14</v>
      </c>
      <c r="D3689" s="141">
        <f t="shared" si="122"/>
        <v>44391</v>
      </c>
      <c r="E3689" s="275">
        <f t="shared" si="123"/>
        <v>44391</v>
      </c>
      <c r="F3689" s="479" t="s">
        <v>77</v>
      </c>
      <c r="G3689" s="220" t="s">
        <v>74</v>
      </c>
      <c r="H3689" s="220" t="str" cm="1">
        <f t="array" ref="H3689">IFERROR(INDEX(INVESTOR_LIST[INVESTOR NAME],MATCH(I3689,INVESTOR_LIST[INVESTOR CODE],0),)," ")</f>
        <v xml:space="preserve"> </v>
      </c>
      <c r="I3689" s="142" t="s">
        <v>348</v>
      </c>
      <c r="J3689" s="143" t="s">
        <v>61</v>
      </c>
      <c r="K3689" s="226">
        <v>60</v>
      </c>
      <c r="L3689" s="226"/>
    </row>
    <row r="3690" spans="1:14" x14ac:dyDescent="0.2">
      <c r="A3690" s="163">
        <v>2021</v>
      </c>
      <c r="B3690" s="163">
        <v>7</v>
      </c>
      <c r="C3690" s="163">
        <v>14</v>
      </c>
      <c r="D3690" s="141">
        <f t="shared" si="122"/>
        <v>44391</v>
      </c>
      <c r="E3690" s="275">
        <f t="shared" si="123"/>
        <v>44391</v>
      </c>
      <c r="F3690" s="480"/>
      <c r="G3690" s="221" t="s">
        <v>74</v>
      </c>
      <c r="H3690" s="221" t="str" cm="1">
        <f t="array" ref="H3690">IFERROR(INDEX(INVESTOR_LIST[INVESTOR NAME],MATCH(I3690,INVESTOR_LIST[INVESTOR CODE],0),)," ")</f>
        <v xml:space="preserve"> </v>
      </c>
      <c r="I3690" s="145" t="s">
        <v>348</v>
      </c>
      <c r="J3690" s="146" t="s">
        <v>52</v>
      </c>
      <c r="K3690" s="219"/>
      <c r="L3690" s="219">
        <v>60</v>
      </c>
    </row>
    <row r="3691" spans="1:14" x14ac:dyDescent="0.2">
      <c r="A3691" s="168">
        <v>2021</v>
      </c>
      <c r="B3691" s="168">
        <v>7</v>
      </c>
      <c r="C3691" s="168">
        <v>14</v>
      </c>
      <c r="D3691" s="141">
        <f t="shared" si="122"/>
        <v>44391</v>
      </c>
      <c r="E3691" s="275">
        <f t="shared" si="123"/>
        <v>44391</v>
      </c>
      <c r="F3691" s="479" t="s">
        <v>524</v>
      </c>
      <c r="G3691" s="220" t="s">
        <v>74</v>
      </c>
      <c r="H3691" s="220" t="str" cm="1">
        <f t="array" ref="H3691">IFERROR(INDEX(INVESTOR_LIST[INVESTOR NAME],MATCH(I3691,INVESTOR_LIST[INVESTOR CODE],0),)," ")</f>
        <v xml:space="preserve"> </v>
      </c>
      <c r="I3691" s="142" t="s">
        <v>348</v>
      </c>
      <c r="J3691" s="143" t="s">
        <v>147</v>
      </c>
      <c r="K3691" s="226">
        <v>821476</v>
      </c>
      <c r="L3691" s="226"/>
      <c r="N3691" s="156">
        <f>K3696/13.49</f>
        <v>14825.796886582653</v>
      </c>
    </row>
    <row r="3692" spans="1:14" x14ac:dyDescent="0.2">
      <c r="A3692" s="163">
        <v>2021</v>
      </c>
      <c r="B3692" s="163">
        <v>7</v>
      </c>
      <c r="C3692" s="163">
        <v>14</v>
      </c>
      <c r="D3692" s="141">
        <f t="shared" si="122"/>
        <v>44391</v>
      </c>
      <c r="E3692" s="275">
        <f t="shared" si="123"/>
        <v>44391</v>
      </c>
      <c r="F3692" s="480"/>
      <c r="G3692" s="221" t="s">
        <v>74</v>
      </c>
      <c r="H3692" s="221" t="str" cm="1">
        <f t="array" ref="H3692">IFERROR(INDEX(INVESTOR_LIST[INVESTOR NAME],MATCH(I3692,INVESTOR_LIST[INVESTOR CODE],0),)," ")</f>
        <v xml:space="preserve"> </v>
      </c>
      <c r="I3692" s="145" t="s">
        <v>348</v>
      </c>
      <c r="J3692" s="146" t="s">
        <v>52</v>
      </c>
      <c r="K3692" s="219"/>
      <c r="L3692" s="219">
        <v>821476</v>
      </c>
    </row>
    <row r="3693" spans="1:14" ht="11.25" customHeight="1" x14ac:dyDescent="0.2">
      <c r="A3693" s="168">
        <v>2021</v>
      </c>
      <c r="B3693" s="168">
        <v>7</v>
      </c>
      <c r="C3693" s="168">
        <v>15</v>
      </c>
      <c r="D3693" s="141">
        <f t="shared" si="122"/>
        <v>44392</v>
      </c>
      <c r="E3693" s="275">
        <f t="shared" si="123"/>
        <v>44392</v>
      </c>
      <c r="F3693" s="479" t="s">
        <v>964</v>
      </c>
      <c r="G3693" s="220" t="s">
        <v>74</v>
      </c>
      <c r="H3693" s="142" t="str" cm="1">
        <f t="array" ref="H3693">IFERROR(INDEX(INVESTOR_LIST[INVESTOR NAME],MATCH(I3693,INVESTOR_LIST[INVESTOR CODE],0),)," ")</f>
        <v>GOURI TOSH PAUL</v>
      </c>
      <c r="I3693" s="142" t="s">
        <v>819</v>
      </c>
      <c r="J3693" s="168" t="s">
        <v>52</v>
      </c>
      <c r="K3693" s="226">
        <v>700000</v>
      </c>
      <c r="L3693" s="226"/>
    </row>
    <row r="3694" spans="1:14" ht="33.75" x14ac:dyDescent="0.2">
      <c r="A3694" s="133">
        <v>2021</v>
      </c>
      <c r="B3694" s="133">
        <v>7</v>
      </c>
      <c r="C3694" s="133">
        <v>15</v>
      </c>
      <c r="D3694" s="141">
        <f t="shared" si="122"/>
        <v>44392</v>
      </c>
      <c r="E3694" s="275">
        <f t="shared" si="123"/>
        <v>44392</v>
      </c>
      <c r="F3694" s="481"/>
      <c r="G3694" s="174" t="s">
        <v>74</v>
      </c>
      <c r="H3694" s="148" t="str" cm="1">
        <f t="array" ref="H3694">IFERROR(INDEX(INVESTOR_LIST[INVESTOR NAME],MATCH(I3694,INVESTOR_LIST[INVESTOR CODE],0),)," ")</f>
        <v>GOURI TOSH PAUL</v>
      </c>
      <c r="I3694" s="148" t="s">
        <v>819</v>
      </c>
      <c r="J3694" s="133" t="s">
        <v>13</v>
      </c>
      <c r="K3694" s="218"/>
      <c r="L3694" s="218">
        <v>518900</v>
      </c>
    </row>
    <row r="3695" spans="1:14" ht="33.75" x14ac:dyDescent="0.2">
      <c r="A3695" s="163">
        <v>2021</v>
      </c>
      <c r="B3695" s="163">
        <v>7</v>
      </c>
      <c r="C3695" s="163">
        <v>15</v>
      </c>
      <c r="D3695" s="141">
        <f t="shared" si="122"/>
        <v>44392</v>
      </c>
      <c r="E3695" s="275">
        <f t="shared" si="123"/>
        <v>44392</v>
      </c>
      <c r="F3695" s="480"/>
      <c r="G3695" s="221" t="s">
        <v>74</v>
      </c>
      <c r="H3695" s="145" t="str" cm="1">
        <f t="array" ref="H3695">IFERROR(INDEX(INVESTOR_LIST[INVESTOR NAME],MATCH(I3695,INVESTOR_LIST[INVESTOR CODE],0),)," ")</f>
        <v>GOURI TOSH PAUL</v>
      </c>
      <c r="I3695" s="145" t="s">
        <v>819</v>
      </c>
      <c r="J3695" s="163" t="s">
        <v>53</v>
      </c>
      <c r="K3695" s="219"/>
      <c r="L3695" s="219">
        <v>181100</v>
      </c>
    </row>
    <row r="3696" spans="1:14" ht="11.25" customHeight="1" x14ac:dyDescent="0.2">
      <c r="A3696" s="168">
        <v>2021</v>
      </c>
      <c r="B3696" s="168">
        <v>7</v>
      </c>
      <c r="C3696" s="168">
        <v>15</v>
      </c>
      <c r="D3696" s="141">
        <f t="shared" si="122"/>
        <v>44392</v>
      </c>
      <c r="E3696" s="275">
        <f t="shared" si="123"/>
        <v>44392</v>
      </c>
      <c r="F3696" s="479" t="s">
        <v>964</v>
      </c>
      <c r="G3696" s="220" t="s">
        <v>74</v>
      </c>
      <c r="H3696" s="142" t="str" cm="1">
        <f t="array" ref="H3696">IFERROR(INDEX(INVESTOR_LIST[INVESTOR NAME],MATCH(I3696,INVESTOR_LIST[INVESTOR CODE],0),)," ")</f>
        <v>MOHAMMAD SAIFUDDOWLA</v>
      </c>
      <c r="I3696" s="142" t="s">
        <v>609</v>
      </c>
      <c r="J3696" s="168" t="s">
        <v>52</v>
      </c>
      <c r="K3696" s="226">
        <v>200000</v>
      </c>
      <c r="L3696" s="226"/>
    </row>
    <row r="3697" spans="1:13" ht="45" x14ac:dyDescent="0.2">
      <c r="A3697" s="133">
        <v>2021</v>
      </c>
      <c r="B3697" s="133">
        <v>7</v>
      </c>
      <c r="C3697" s="133">
        <v>15</v>
      </c>
      <c r="D3697" s="141">
        <f t="shared" si="122"/>
        <v>44392</v>
      </c>
      <c r="E3697" s="275">
        <f t="shared" si="123"/>
        <v>44392</v>
      </c>
      <c r="F3697" s="481"/>
      <c r="G3697" s="174" t="s">
        <v>74</v>
      </c>
      <c r="H3697" s="148" t="str" cm="1">
        <f t="array" ref="H3697">IFERROR(INDEX(INVESTOR_LIST[INVESTOR NAME],MATCH(I3697,INVESTOR_LIST[INVESTOR CODE],0),)," ")</f>
        <v>MOHAMMAD SAIFUDDOWLA</v>
      </c>
      <c r="I3697" s="148" t="s">
        <v>609</v>
      </c>
      <c r="J3697" s="133" t="s">
        <v>13</v>
      </c>
      <c r="K3697" s="218"/>
      <c r="L3697" s="218">
        <v>148260</v>
      </c>
      <c r="M3697" s="156">
        <v>7412.8984432913267</v>
      </c>
    </row>
    <row r="3698" spans="1:13" ht="45" x14ac:dyDescent="0.2">
      <c r="A3698" s="163">
        <v>2021</v>
      </c>
      <c r="B3698" s="163">
        <v>7</v>
      </c>
      <c r="C3698" s="163">
        <v>15</v>
      </c>
      <c r="D3698" s="141">
        <f t="shared" si="122"/>
        <v>44392</v>
      </c>
      <c r="E3698" s="275">
        <f t="shared" si="123"/>
        <v>44392</v>
      </c>
      <c r="F3698" s="480"/>
      <c r="G3698" s="221" t="s">
        <v>74</v>
      </c>
      <c r="H3698" s="145" t="str" cm="1">
        <f t="array" ref="H3698">IFERROR(INDEX(INVESTOR_LIST[INVESTOR NAME],MATCH(I3698,INVESTOR_LIST[INVESTOR CODE],0),)," ")</f>
        <v>MOHAMMAD SAIFUDDOWLA</v>
      </c>
      <c r="I3698" s="145" t="s">
        <v>609</v>
      </c>
      <c r="J3698" s="163" t="s">
        <v>53</v>
      </c>
      <c r="K3698" s="219"/>
      <c r="L3698" s="219">
        <v>51740</v>
      </c>
    </row>
    <row r="3699" spans="1:13" ht="11.25" customHeight="1" x14ac:dyDescent="0.2">
      <c r="A3699" s="168">
        <v>2021</v>
      </c>
      <c r="B3699" s="168">
        <v>7</v>
      </c>
      <c r="C3699" s="168">
        <v>15</v>
      </c>
      <c r="D3699" s="141">
        <f t="shared" si="122"/>
        <v>44392</v>
      </c>
      <c r="E3699" s="275">
        <f t="shared" si="123"/>
        <v>44392</v>
      </c>
      <c r="F3699" s="479" t="s">
        <v>964</v>
      </c>
      <c r="G3699" s="220" t="s">
        <v>74</v>
      </c>
      <c r="H3699" s="142" t="str" cm="1">
        <f t="array" ref="H3699">IFERROR(INDEX(INVESTOR_LIST[INVESTOR NAME],MATCH(I3699,INVESTOR_LIST[INVESTOR CODE],0),)," ")</f>
        <v>MD. MONIRUZZAMAN</v>
      </c>
      <c r="I3699" s="142" t="s">
        <v>468</v>
      </c>
      <c r="J3699" s="168" t="s">
        <v>52</v>
      </c>
      <c r="K3699" s="226">
        <v>145000</v>
      </c>
      <c r="L3699" s="226"/>
    </row>
    <row r="3700" spans="1:13" ht="33.75" x14ac:dyDescent="0.2">
      <c r="A3700" s="133">
        <v>2021</v>
      </c>
      <c r="B3700" s="133">
        <v>7</v>
      </c>
      <c r="C3700" s="133">
        <v>15</v>
      </c>
      <c r="D3700" s="141">
        <f t="shared" si="122"/>
        <v>44392</v>
      </c>
      <c r="E3700" s="275">
        <f t="shared" si="123"/>
        <v>44392</v>
      </c>
      <c r="F3700" s="481"/>
      <c r="G3700" s="174" t="s">
        <v>74</v>
      </c>
      <c r="H3700" s="148" t="str" cm="1">
        <f t="array" ref="H3700">IFERROR(INDEX(INVESTOR_LIST[INVESTOR NAME],MATCH(I3700,INVESTOR_LIST[INVESTOR CODE],0),)," ")</f>
        <v>MD. MONIRUZZAMAN</v>
      </c>
      <c r="I3700" s="148" t="s">
        <v>468</v>
      </c>
      <c r="J3700" s="133" t="s">
        <v>13</v>
      </c>
      <c r="K3700" s="218"/>
      <c r="L3700" s="218">
        <v>107490</v>
      </c>
    </row>
    <row r="3701" spans="1:13" ht="33.75" x14ac:dyDescent="0.2">
      <c r="A3701" s="163">
        <v>2021</v>
      </c>
      <c r="B3701" s="163">
        <v>7</v>
      </c>
      <c r="C3701" s="163">
        <v>15</v>
      </c>
      <c r="D3701" s="141">
        <f t="shared" si="122"/>
        <v>44392</v>
      </c>
      <c r="E3701" s="275">
        <f t="shared" si="123"/>
        <v>44392</v>
      </c>
      <c r="F3701" s="480"/>
      <c r="G3701" s="221" t="s">
        <v>74</v>
      </c>
      <c r="H3701" s="145" t="str" cm="1">
        <f t="array" ref="H3701">IFERROR(INDEX(INVESTOR_LIST[INVESTOR NAME],MATCH(I3701,INVESTOR_LIST[INVESTOR CODE],0),)," ")</f>
        <v>MD. MONIRUZZAMAN</v>
      </c>
      <c r="I3701" s="145" t="s">
        <v>468</v>
      </c>
      <c r="J3701" s="163" t="s">
        <v>53</v>
      </c>
      <c r="K3701" s="219"/>
      <c r="L3701" s="219">
        <v>37510</v>
      </c>
    </row>
    <row r="3702" spans="1:13" ht="11.25" customHeight="1" x14ac:dyDescent="0.2">
      <c r="A3702" s="168">
        <v>2021</v>
      </c>
      <c r="B3702" s="168">
        <v>7</v>
      </c>
      <c r="C3702" s="168">
        <v>15</v>
      </c>
      <c r="D3702" s="141">
        <f t="shared" si="122"/>
        <v>44392</v>
      </c>
      <c r="E3702" s="275">
        <f t="shared" si="123"/>
        <v>44392</v>
      </c>
      <c r="F3702" s="479" t="s">
        <v>964</v>
      </c>
      <c r="G3702" s="220" t="s">
        <v>74</v>
      </c>
      <c r="H3702" s="142" t="str" cm="1">
        <f t="array" ref="H3702">IFERROR(INDEX(INVESTOR_LIST[INVESTOR NAME],MATCH(I3702,INVESTOR_LIST[INVESTOR CODE],0),)," ")</f>
        <v>SHYAMAL KRISHNA SAHA</v>
      </c>
      <c r="I3702" s="142" t="s">
        <v>378</v>
      </c>
      <c r="J3702" s="168" t="s">
        <v>52</v>
      </c>
      <c r="K3702" s="226">
        <v>170000</v>
      </c>
      <c r="L3702" s="226"/>
    </row>
    <row r="3703" spans="1:13" ht="45" x14ac:dyDescent="0.2">
      <c r="A3703" s="133">
        <v>2021</v>
      </c>
      <c r="B3703" s="133">
        <v>7</v>
      </c>
      <c r="C3703" s="133">
        <v>15</v>
      </c>
      <c r="D3703" s="141">
        <f t="shared" si="122"/>
        <v>44392</v>
      </c>
      <c r="E3703" s="275">
        <f t="shared" si="123"/>
        <v>44392</v>
      </c>
      <c r="F3703" s="481"/>
      <c r="G3703" s="174" t="s">
        <v>74</v>
      </c>
      <c r="H3703" s="148" t="str" cm="1">
        <f t="array" ref="H3703">IFERROR(INDEX(INVESTOR_LIST[INVESTOR NAME],MATCH(I3703,INVESTOR_LIST[INVESTOR CODE],0),)," ")</f>
        <v>SHYAMAL KRISHNA SAHA</v>
      </c>
      <c r="I3703" s="148" t="s">
        <v>378</v>
      </c>
      <c r="J3703" s="133" t="s">
        <v>13</v>
      </c>
      <c r="K3703" s="218"/>
      <c r="L3703" s="218">
        <v>126020</v>
      </c>
    </row>
    <row r="3704" spans="1:13" ht="45" x14ac:dyDescent="0.2">
      <c r="A3704" s="163">
        <v>2021</v>
      </c>
      <c r="B3704" s="163">
        <v>7</v>
      </c>
      <c r="C3704" s="163">
        <v>15</v>
      </c>
      <c r="D3704" s="141">
        <f t="shared" si="122"/>
        <v>44392</v>
      </c>
      <c r="E3704" s="275">
        <f t="shared" si="123"/>
        <v>44392</v>
      </c>
      <c r="F3704" s="480"/>
      <c r="G3704" s="221" t="s">
        <v>74</v>
      </c>
      <c r="H3704" s="145" t="str" cm="1">
        <f t="array" ref="H3704">IFERROR(INDEX(INVESTOR_LIST[INVESTOR NAME],MATCH(I3704,INVESTOR_LIST[INVESTOR CODE],0),)," ")</f>
        <v>SHYAMAL KRISHNA SAHA</v>
      </c>
      <c r="I3704" s="145" t="s">
        <v>378</v>
      </c>
      <c r="J3704" s="163" t="s">
        <v>53</v>
      </c>
      <c r="K3704" s="219"/>
      <c r="L3704" s="219">
        <v>43980</v>
      </c>
    </row>
    <row r="3705" spans="1:13" ht="11.25" customHeight="1" x14ac:dyDescent="0.2">
      <c r="A3705" s="168">
        <v>2021</v>
      </c>
      <c r="B3705" s="168">
        <v>7</v>
      </c>
      <c r="C3705" s="168">
        <v>15</v>
      </c>
      <c r="D3705" s="141">
        <f t="shared" si="122"/>
        <v>44392</v>
      </c>
      <c r="E3705" s="275">
        <f t="shared" si="123"/>
        <v>44392</v>
      </c>
      <c r="F3705" s="479" t="s">
        <v>964</v>
      </c>
      <c r="G3705" s="220" t="s">
        <v>74</v>
      </c>
      <c r="H3705" s="142" t="str" cm="1">
        <f t="array" ref="H3705">IFERROR(INDEX(INVESTOR_LIST[INVESTOR NAME],MATCH(I3705,INVESTOR_LIST[INVESTOR CODE],0),)," ")</f>
        <v>NANDINI SAHA</v>
      </c>
      <c r="I3705" s="142" t="s">
        <v>463</v>
      </c>
      <c r="J3705" s="168" t="s">
        <v>52</v>
      </c>
      <c r="K3705" s="226">
        <v>100000</v>
      </c>
      <c r="L3705" s="226"/>
    </row>
    <row r="3706" spans="1:13" ht="22.5" x14ac:dyDescent="0.2">
      <c r="A3706" s="133">
        <v>2021</v>
      </c>
      <c r="B3706" s="133">
        <v>7</v>
      </c>
      <c r="C3706" s="133">
        <v>15</v>
      </c>
      <c r="D3706" s="141">
        <f t="shared" si="122"/>
        <v>44392</v>
      </c>
      <c r="E3706" s="275">
        <f t="shared" si="123"/>
        <v>44392</v>
      </c>
      <c r="F3706" s="481"/>
      <c r="G3706" s="174" t="s">
        <v>74</v>
      </c>
      <c r="H3706" s="148" t="str" cm="1">
        <f t="array" ref="H3706">IFERROR(INDEX(INVESTOR_LIST[INVESTOR NAME],MATCH(I3706,INVESTOR_LIST[INVESTOR CODE],0),)," ")</f>
        <v>NANDINI SAHA</v>
      </c>
      <c r="I3706" s="148" t="s">
        <v>463</v>
      </c>
      <c r="J3706" s="133" t="s">
        <v>13</v>
      </c>
      <c r="K3706" s="218"/>
      <c r="L3706" s="218">
        <v>74130</v>
      </c>
    </row>
    <row r="3707" spans="1:13" ht="22.5" x14ac:dyDescent="0.2">
      <c r="A3707" s="163">
        <v>2021</v>
      </c>
      <c r="B3707" s="163">
        <v>7</v>
      </c>
      <c r="C3707" s="163">
        <v>15</v>
      </c>
      <c r="D3707" s="141">
        <f t="shared" si="122"/>
        <v>44392</v>
      </c>
      <c r="E3707" s="275">
        <f t="shared" si="123"/>
        <v>44392</v>
      </c>
      <c r="F3707" s="480"/>
      <c r="G3707" s="221" t="s">
        <v>74</v>
      </c>
      <c r="H3707" s="145" t="str" cm="1">
        <f t="array" ref="H3707">IFERROR(INDEX(INVESTOR_LIST[INVESTOR NAME],MATCH(I3707,INVESTOR_LIST[INVESTOR CODE],0),)," ")</f>
        <v>NANDINI SAHA</v>
      </c>
      <c r="I3707" s="145" t="s">
        <v>463</v>
      </c>
      <c r="J3707" s="163" t="s">
        <v>53</v>
      </c>
      <c r="K3707" s="219"/>
      <c r="L3707" s="219">
        <v>25870</v>
      </c>
    </row>
    <row r="3708" spans="1:13" ht="11.25" customHeight="1" x14ac:dyDescent="0.2">
      <c r="A3708" s="168">
        <v>2021</v>
      </c>
      <c r="B3708" s="168">
        <v>7</v>
      </c>
      <c r="C3708" s="168">
        <v>15</v>
      </c>
      <c r="D3708" s="141">
        <f t="shared" si="122"/>
        <v>44392</v>
      </c>
      <c r="E3708" s="275">
        <f t="shared" si="123"/>
        <v>44392</v>
      </c>
      <c r="F3708" s="479" t="s">
        <v>964</v>
      </c>
      <c r="G3708" s="220" t="s">
        <v>74</v>
      </c>
      <c r="H3708" s="142" t="str" cm="1">
        <f t="array" ref="H3708">IFERROR(INDEX(INVESTOR_LIST[INVESTOR NAME],MATCH(I3708,INVESTOR_LIST[INVESTOR CODE],0),)," ")</f>
        <v>SHUVA SAHA</v>
      </c>
      <c r="I3708" s="142" t="s">
        <v>421</v>
      </c>
      <c r="J3708" s="168" t="s">
        <v>52</v>
      </c>
      <c r="K3708" s="226">
        <v>200000</v>
      </c>
      <c r="L3708" s="226"/>
    </row>
    <row r="3709" spans="1:13" ht="22.5" x14ac:dyDescent="0.2">
      <c r="A3709" s="133">
        <v>2021</v>
      </c>
      <c r="B3709" s="133">
        <v>7</v>
      </c>
      <c r="C3709" s="133">
        <v>15</v>
      </c>
      <c r="D3709" s="141">
        <f t="shared" si="122"/>
        <v>44392</v>
      </c>
      <c r="E3709" s="275">
        <f t="shared" si="123"/>
        <v>44392</v>
      </c>
      <c r="F3709" s="481"/>
      <c r="G3709" s="174" t="s">
        <v>74</v>
      </c>
      <c r="H3709" s="148" t="str" cm="1">
        <f t="array" ref="H3709">IFERROR(INDEX(INVESTOR_LIST[INVESTOR NAME],MATCH(I3709,INVESTOR_LIST[INVESTOR CODE],0),)," ")</f>
        <v>SHUVA SAHA</v>
      </c>
      <c r="I3709" s="148" t="s">
        <v>421</v>
      </c>
      <c r="J3709" s="133" t="s">
        <v>13</v>
      </c>
      <c r="K3709" s="218"/>
      <c r="L3709" s="218">
        <v>148260</v>
      </c>
    </row>
    <row r="3710" spans="1:13" ht="22.5" x14ac:dyDescent="0.2">
      <c r="A3710" s="163">
        <v>2021</v>
      </c>
      <c r="B3710" s="163">
        <v>7</v>
      </c>
      <c r="C3710" s="163">
        <v>15</v>
      </c>
      <c r="D3710" s="141">
        <f t="shared" si="122"/>
        <v>44392</v>
      </c>
      <c r="E3710" s="275">
        <f t="shared" si="123"/>
        <v>44392</v>
      </c>
      <c r="F3710" s="480"/>
      <c r="G3710" s="221" t="s">
        <v>74</v>
      </c>
      <c r="H3710" s="145" t="str" cm="1">
        <f t="array" ref="H3710">IFERROR(INDEX(INVESTOR_LIST[INVESTOR NAME],MATCH(I3710,INVESTOR_LIST[INVESTOR CODE],0),)," ")</f>
        <v>SHUVA SAHA</v>
      </c>
      <c r="I3710" s="145" t="s">
        <v>421</v>
      </c>
      <c r="J3710" s="163" t="s">
        <v>53</v>
      </c>
      <c r="K3710" s="219"/>
      <c r="L3710" s="219">
        <v>51740</v>
      </c>
    </row>
    <row r="3711" spans="1:13" ht="11.25" customHeight="1" x14ac:dyDescent="0.2">
      <c r="A3711" s="168">
        <v>2021</v>
      </c>
      <c r="B3711" s="168">
        <v>7</v>
      </c>
      <c r="C3711" s="168">
        <v>15</v>
      </c>
      <c r="D3711" s="141">
        <f t="shared" si="122"/>
        <v>44392</v>
      </c>
      <c r="E3711" s="275">
        <f t="shared" si="123"/>
        <v>44392</v>
      </c>
      <c r="F3711" s="479" t="s">
        <v>964</v>
      </c>
      <c r="G3711" s="220" t="s">
        <v>74</v>
      </c>
      <c r="H3711" s="142" t="str" cm="1">
        <f t="array" ref="H3711">IFERROR(INDEX(INVESTOR_LIST[INVESTOR NAME],MATCH(I3711,INVESTOR_LIST[INVESTOR CODE],0),)," ")</f>
        <v>MD MIZANUR RAHMAN</v>
      </c>
      <c r="I3711" s="142" t="s">
        <v>482</v>
      </c>
      <c r="J3711" s="168" t="s">
        <v>52</v>
      </c>
      <c r="K3711" s="226">
        <v>650000</v>
      </c>
      <c r="L3711" s="226"/>
    </row>
    <row r="3712" spans="1:13" ht="45" x14ac:dyDescent="0.2">
      <c r="A3712" s="133">
        <v>2021</v>
      </c>
      <c r="B3712" s="133">
        <v>7</v>
      </c>
      <c r="C3712" s="133">
        <v>15</v>
      </c>
      <c r="D3712" s="141">
        <f t="shared" si="122"/>
        <v>44392</v>
      </c>
      <c r="E3712" s="275">
        <f t="shared" si="123"/>
        <v>44392</v>
      </c>
      <c r="F3712" s="481"/>
      <c r="G3712" s="174" t="s">
        <v>74</v>
      </c>
      <c r="H3712" s="148" t="str" cm="1">
        <f t="array" ref="H3712">IFERROR(INDEX(INVESTOR_LIST[INVESTOR NAME],MATCH(I3712,INVESTOR_LIST[INVESTOR CODE],0),)," ")</f>
        <v>MD MIZANUR RAHMAN</v>
      </c>
      <c r="I3712" s="148" t="s">
        <v>482</v>
      </c>
      <c r="J3712" s="133" t="s">
        <v>13</v>
      </c>
      <c r="K3712" s="218"/>
      <c r="L3712" s="218">
        <v>481840</v>
      </c>
    </row>
    <row r="3713" spans="1:14" ht="45" x14ac:dyDescent="0.2">
      <c r="A3713" s="163">
        <v>2021</v>
      </c>
      <c r="B3713" s="163">
        <v>7</v>
      </c>
      <c r="C3713" s="163">
        <v>15</v>
      </c>
      <c r="D3713" s="141">
        <f t="shared" si="122"/>
        <v>44392</v>
      </c>
      <c r="E3713" s="275">
        <f t="shared" si="123"/>
        <v>44392</v>
      </c>
      <c r="F3713" s="480"/>
      <c r="G3713" s="221" t="s">
        <v>74</v>
      </c>
      <c r="H3713" s="145" t="str" cm="1">
        <f t="array" ref="H3713">IFERROR(INDEX(INVESTOR_LIST[INVESTOR NAME],MATCH(I3713,INVESTOR_LIST[INVESTOR CODE],0),)," ")</f>
        <v>MD MIZANUR RAHMAN</v>
      </c>
      <c r="I3713" s="145" t="s">
        <v>482</v>
      </c>
      <c r="J3713" s="163" t="s">
        <v>53</v>
      </c>
      <c r="K3713" s="219"/>
      <c r="L3713" s="219">
        <v>168160</v>
      </c>
    </row>
    <row r="3714" spans="1:14" ht="11.25" customHeight="1" x14ac:dyDescent="0.2">
      <c r="A3714" s="168">
        <v>2021</v>
      </c>
      <c r="B3714" s="168">
        <v>7</v>
      </c>
      <c r="C3714" s="168">
        <v>15</v>
      </c>
      <c r="D3714" s="141">
        <f t="shared" si="122"/>
        <v>44392</v>
      </c>
      <c r="E3714" s="275">
        <f t="shared" si="123"/>
        <v>44392</v>
      </c>
      <c r="F3714" s="479" t="s">
        <v>964</v>
      </c>
      <c r="G3714" s="220" t="s">
        <v>74</v>
      </c>
      <c r="H3714" s="142" t="str" cm="1">
        <f t="array" ref="H3714">IFERROR(INDEX(INVESTOR_LIST[INVESTOR NAME],MATCH(I3714,INVESTOR_LIST[INVESTOR CODE],0),)," ")</f>
        <v>IFTEKHAR ALAM</v>
      </c>
      <c r="I3714" s="142" t="s">
        <v>452</v>
      </c>
      <c r="J3714" s="168" t="s">
        <v>52</v>
      </c>
      <c r="K3714" s="226">
        <v>70000</v>
      </c>
      <c r="L3714" s="226"/>
    </row>
    <row r="3715" spans="1:14" ht="22.5" x14ac:dyDescent="0.2">
      <c r="A3715" s="133">
        <v>2021</v>
      </c>
      <c r="B3715" s="133">
        <v>7</v>
      </c>
      <c r="C3715" s="133">
        <v>15</v>
      </c>
      <c r="D3715" s="141">
        <f t="shared" si="122"/>
        <v>44392</v>
      </c>
      <c r="E3715" s="275">
        <f t="shared" si="123"/>
        <v>44392</v>
      </c>
      <c r="F3715" s="481"/>
      <c r="G3715" s="174" t="s">
        <v>74</v>
      </c>
      <c r="H3715" s="148" t="str" cm="1">
        <f t="array" ref="H3715">IFERROR(INDEX(INVESTOR_LIST[INVESTOR NAME],MATCH(I3715,INVESTOR_LIST[INVESTOR CODE],0),)," ")</f>
        <v>IFTEKHAR ALAM</v>
      </c>
      <c r="I3715" s="148" t="s">
        <v>452</v>
      </c>
      <c r="J3715" s="133" t="s">
        <v>13</v>
      </c>
      <c r="K3715" s="218"/>
      <c r="L3715" s="218">
        <v>52000</v>
      </c>
    </row>
    <row r="3716" spans="1:14" ht="22.5" x14ac:dyDescent="0.2">
      <c r="A3716" s="163">
        <v>2021</v>
      </c>
      <c r="B3716" s="163">
        <v>7</v>
      </c>
      <c r="C3716" s="163">
        <v>15</v>
      </c>
      <c r="D3716" s="141">
        <f t="shared" si="122"/>
        <v>44392</v>
      </c>
      <c r="E3716" s="275">
        <f t="shared" si="123"/>
        <v>44392</v>
      </c>
      <c r="F3716" s="480"/>
      <c r="G3716" s="221" t="s">
        <v>74</v>
      </c>
      <c r="H3716" s="145" t="str" cm="1">
        <f t="array" ref="H3716">IFERROR(INDEX(INVESTOR_LIST[INVESTOR NAME],MATCH(I3716,INVESTOR_LIST[INVESTOR CODE],0),)," ")</f>
        <v>IFTEKHAR ALAM</v>
      </c>
      <c r="I3716" s="145" t="s">
        <v>452</v>
      </c>
      <c r="J3716" s="163" t="s">
        <v>53</v>
      </c>
      <c r="K3716" s="219"/>
      <c r="L3716" s="219">
        <v>18000</v>
      </c>
    </row>
    <row r="3717" spans="1:14" ht="11.25" customHeight="1" x14ac:dyDescent="0.2">
      <c r="A3717" s="168">
        <v>2021</v>
      </c>
      <c r="B3717" s="168">
        <v>7</v>
      </c>
      <c r="C3717" s="168">
        <v>15</v>
      </c>
      <c r="D3717" s="141">
        <f t="shared" si="122"/>
        <v>44392</v>
      </c>
      <c r="E3717" s="275">
        <f t="shared" si="123"/>
        <v>44392</v>
      </c>
      <c r="F3717" s="479" t="s">
        <v>964</v>
      </c>
      <c r="G3717" s="220" t="s">
        <v>74</v>
      </c>
      <c r="H3717" s="142" t="str" cm="1">
        <f t="array" ref="H3717">IFERROR(INDEX(INVESTOR_LIST[INVESTOR NAME],MATCH(I3717,INVESTOR_LIST[INVESTOR CODE],0),)," ")</f>
        <v>SK. MOINUL HASSAN</v>
      </c>
      <c r="I3717" s="142" t="s">
        <v>815</v>
      </c>
      <c r="J3717" s="168" t="s">
        <v>52</v>
      </c>
      <c r="K3717" s="226">
        <v>500000</v>
      </c>
      <c r="L3717" s="226"/>
    </row>
    <row r="3718" spans="1:14" ht="33.75" x14ac:dyDescent="0.2">
      <c r="A3718" s="133">
        <v>2021</v>
      </c>
      <c r="B3718" s="133">
        <v>7</v>
      </c>
      <c r="C3718" s="133">
        <v>15</v>
      </c>
      <c r="D3718" s="141">
        <f t="shared" si="122"/>
        <v>44392</v>
      </c>
      <c r="E3718" s="275">
        <f t="shared" si="123"/>
        <v>44392</v>
      </c>
      <c r="F3718" s="481"/>
      <c r="G3718" s="174" t="s">
        <v>74</v>
      </c>
      <c r="H3718" s="148" t="str" cm="1">
        <f t="array" ref="H3718">IFERROR(INDEX(INVESTOR_LIST[INVESTOR NAME],MATCH(I3718,INVESTOR_LIST[INVESTOR CODE],0),)," ")</f>
        <v>SK. MOINUL HASSAN</v>
      </c>
      <c r="I3718" s="148" t="s">
        <v>815</v>
      </c>
      <c r="J3718" s="133" t="s">
        <v>13</v>
      </c>
      <c r="K3718" s="218"/>
      <c r="L3718" s="218">
        <v>370640</v>
      </c>
      <c r="N3718" s="156">
        <f>K3726/13.49</f>
        <v>22238.695329873979</v>
      </c>
    </row>
    <row r="3719" spans="1:14" ht="33.75" x14ac:dyDescent="0.2">
      <c r="A3719" s="163">
        <v>2021</v>
      </c>
      <c r="B3719" s="163">
        <v>7</v>
      </c>
      <c r="C3719" s="163">
        <v>15</v>
      </c>
      <c r="D3719" s="141">
        <f t="shared" si="122"/>
        <v>44392</v>
      </c>
      <c r="E3719" s="275">
        <f t="shared" si="123"/>
        <v>44392</v>
      </c>
      <c r="F3719" s="480"/>
      <c r="G3719" s="221" t="s">
        <v>74</v>
      </c>
      <c r="H3719" s="145" t="str" cm="1">
        <f t="array" ref="H3719">IFERROR(INDEX(INVESTOR_LIST[INVESTOR NAME],MATCH(I3719,INVESTOR_LIST[INVESTOR CODE],0),)," ")</f>
        <v>SK. MOINUL HASSAN</v>
      </c>
      <c r="I3719" s="145" t="s">
        <v>815</v>
      </c>
      <c r="J3719" s="163" t="s">
        <v>53</v>
      </c>
      <c r="K3719" s="219"/>
      <c r="L3719" s="219">
        <v>129360</v>
      </c>
    </row>
    <row r="3720" spans="1:14" ht="11.25" customHeight="1" x14ac:dyDescent="0.2">
      <c r="A3720" s="168">
        <v>2021</v>
      </c>
      <c r="B3720" s="168">
        <v>7</v>
      </c>
      <c r="C3720" s="168">
        <v>15</v>
      </c>
      <c r="D3720" s="141">
        <f t="shared" si="122"/>
        <v>44392</v>
      </c>
      <c r="E3720" s="275">
        <f t="shared" si="123"/>
        <v>44392</v>
      </c>
      <c r="F3720" s="479" t="s">
        <v>964</v>
      </c>
      <c r="G3720" s="220" t="s">
        <v>74</v>
      </c>
      <c r="H3720" s="142" t="str" cm="1">
        <f t="array" ref="H3720">IFERROR(INDEX(INVESTOR_LIST[INVESTOR NAME],MATCH(I3720,INVESTOR_LIST[INVESTOR CODE],0),)," ")</f>
        <v>ASMA UL HUSNA</v>
      </c>
      <c r="I3720" s="142" t="s">
        <v>620</v>
      </c>
      <c r="J3720" s="168" t="s">
        <v>52</v>
      </c>
      <c r="K3720" s="226">
        <v>100000</v>
      </c>
      <c r="L3720" s="226"/>
    </row>
    <row r="3721" spans="1:14" ht="22.5" x14ac:dyDescent="0.2">
      <c r="A3721" s="133">
        <v>2021</v>
      </c>
      <c r="B3721" s="133">
        <v>7</v>
      </c>
      <c r="C3721" s="133">
        <v>15</v>
      </c>
      <c r="D3721" s="141">
        <f t="shared" si="122"/>
        <v>44392</v>
      </c>
      <c r="E3721" s="275">
        <f t="shared" si="123"/>
        <v>44392</v>
      </c>
      <c r="F3721" s="481"/>
      <c r="G3721" s="174" t="s">
        <v>74</v>
      </c>
      <c r="H3721" s="148" t="str" cm="1">
        <f t="array" ref="H3721">IFERROR(INDEX(INVESTOR_LIST[INVESTOR NAME],MATCH(I3721,INVESTOR_LIST[INVESTOR CODE],0),)," ")</f>
        <v>ASMA UL HUSNA</v>
      </c>
      <c r="I3721" s="148" t="s">
        <v>620</v>
      </c>
      <c r="J3721" s="133" t="s">
        <v>13</v>
      </c>
      <c r="K3721" s="218"/>
      <c r="L3721" s="218">
        <v>74130</v>
      </c>
    </row>
    <row r="3722" spans="1:14" ht="22.5" x14ac:dyDescent="0.2">
      <c r="A3722" s="163">
        <v>2021</v>
      </c>
      <c r="B3722" s="163">
        <v>7</v>
      </c>
      <c r="C3722" s="163">
        <v>15</v>
      </c>
      <c r="D3722" s="141">
        <f t="shared" si="122"/>
        <v>44392</v>
      </c>
      <c r="E3722" s="275">
        <f t="shared" si="123"/>
        <v>44392</v>
      </c>
      <c r="F3722" s="480"/>
      <c r="G3722" s="221" t="s">
        <v>74</v>
      </c>
      <c r="H3722" s="145" t="str" cm="1">
        <f t="array" ref="H3722">IFERROR(INDEX(INVESTOR_LIST[INVESTOR NAME],MATCH(I3722,INVESTOR_LIST[INVESTOR CODE],0),)," ")</f>
        <v>ASMA UL HUSNA</v>
      </c>
      <c r="I3722" s="145" t="s">
        <v>620</v>
      </c>
      <c r="J3722" s="163" t="s">
        <v>53</v>
      </c>
      <c r="K3722" s="219"/>
      <c r="L3722" s="219">
        <v>25870</v>
      </c>
    </row>
    <row r="3723" spans="1:14" ht="11.25" customHeight="1" x14ac:dyDescent="0.2">
      <c r="A3723" s="168">
        <v>2021</v>
      </c>
      <c r="B3723" s="168">
        <v>7</v>
      </c>
      <c r="C3723" s="168">
        <v>15</v>
      </c>
      <c r="D3723" s="141">
        <f t="shared" si="122"/>
        <v>44392</v>
      </c>
      <c r="E3723" s="275">
        <f t="shared" si="123"/>
        <v>44392</v>
      </c>
      <c r="F3723" s="479" t="s">
        <v>964</v>
      </c>
      <c r="G3723" s="220" t="s">
        <v>74</v>
      </c>
      <c r="H3723" s="142" t="str" cm="1">
        <f t="array" ref="H3723">IFERROR(INDEX(INVESTOR_LIST[INVESTOR NAME],MATCH(I3723,INVESTOR_LIST[INVESTOR CODE],0),)," ")</f>
        <v>FAKARUDDIN ALI AHMED</v>
      </c>
      <c r="I3723" s="142" t="s">
        <v>458</v>
      </c>
      <c r="J3723" s="168" t="s">
        <v>52</v>
      </c>
      <c r="K3723" s="226">
        <v>200000</v>
      </c>
      <c r="L3723" s="226"/>
    </row>
    <row r="3724" spans="1:14" ht="33.75" x14ac:dyDescent="0.2">
      <c r="A3724" s="133">
        <v>2021</v>
      </c>
      <c r="B3724" s="133">
        <v>7</v>
      </c>
      <c r="C3724" s="133">
        <v>15</v>
      </c>
      <c r="D3724" s="141">
        <f t="shared" si="122"/>
        <v>44392</v>
      </c>
      <c r="E3724" s="275">
        <f t="shared" si="123"/>
        <v>44392</v>
      </c>
      <c r="F3724" s="481"/>
      <c r="G3724" s="174" t="s">
        <v>74</v>
      </c>
      <c r="H3724" s="148" t="str" cm="1">
        <f t="array" ref="H3724">IFERROR(INDEX(INVESTOR_LIST[INVESTOR NAME],MATCH(I3724,INVESTOR_LIST[INVESTOR CODE],0),)," ")</f>
        <v>FAKARUDDIN ALI AHMED</v>
      </c>
      <c r="I3724" s="148" t="s">
        <v>458</v>
      </c>
      <c r="J3724" s="133" t="s">
        <v>13</v>
      </c>
      <c r="K3724" s="218"/>
      <c r="L3724" s="218">
        <v>148260</v>
      </c>
    </row>
    <row r="3725" spans="1:14" ht="33.75" x14ac:dyDescent="0.2">
      <c r="A3725" s="163">
        <v>2021</v>
      </c>
      <c r="B3725" s="163">
        <v>7</v>
      </c>
      <c r="C3725" s="163">
        <v>15</v>
      </c>
      <c r="D3725" s="141">
        <f t="shared" si="122"/>
        <v>44392</v>
      </c>
      <c r="E3725" s="275">
        <f t="shared" si="123"/>
        <v>44392</v>
      </c>
      <c r="F3725" s="480"/>
      <c r="G3725" s="221" t="s">
        <v>74</v>
      </c>
      <c r="H3725" s="145" t="str" cm="1">
        <f t="array" ref="H3725">IFERROR(INDEX(INVESTOR_LIST[INVESTOR NAME],MATCH(I3725,INVESTOR_LIST[INVESTOR CODE],0),)," ")</f>
        <v>FAKARUDDIN ALI AHMED</v>
      </c>
      <c r="I3725" s="145" t="s">
        <v>458</v>
      </c>
      <c r="J3725" s="163" t="s">
        <v>53</v>
      </c>
      <c r="K3725" s="219"/>
      <c r="L3725" s="219">
        <v>51740</v>
      </c>
    </row>
    <row r="3726" spans="1:14" ht="11.25" customHeight="1" x14ac:dyDescent="0.2">
      <c r="A3726" s="168">
        <v>2021</v>
      </c>
      <c r="B3726" s="168">
        <v>7</v>
      </c>
      <c r="C3726" s="168">
        <v>15</v>
      </c>
      <c r="D3726" s="141">
        <f t="shared" ref="D3726:D3789" si="124">DATE(A3726,B3726,C3726)</f>
        <v>44392</v>
      </c>
      <c r="E3726" s="275">
        <f t="shared" si="123"/>
        <v>44392</v>
      </c>
      <c r="F3726" s="479" t="s">
        <v>964</v>
      </c>
      <c r="G3726" s="220" t="s">
        <v>74</v>
      </c>
      <c r="H3726" s="142" t="str" cm="1">
        <f t="array" ref="H3726">IFERROR(INDEX(INVESTOR_LIST[INVESTOR NAME],MATCH(I3726,INVESTOR_LIST[INVESTOR CODE],0),)," ")</f>
        <v>SULTANA RAZIA</v>
      </c>
      <c r="I3726" s="142" t="s">
        <v>698</v>
      </c>
      <c r="J3726" s="168" t="s">
        <v>52</v>
      </c>
      <c r="K3726" s="226">
        <v>300000</v>
      </c>
      <c r="L3726" s="226"/>
    </row>
    <row r="3727" spans="1:14" ht="22.5" x14ac:dyDescent="0.2">
      <c r="A3727" s="133">
        <v>2021</v>
      </c>
      <c r="B3727" s="133">
        <v>7</v>
      </c>
      <c r="C3727" s="133">
        <v>15</v>
      </c>
      <c r="D3727" s="141">
        <f t="shared" si="124"/>
        <v>44392</v>
      </c>
      <c r="E3727" s="275">
        <f t="shared" ref="E3727:E3790" si="125">DATE(A3727,B3727,C3727)</f>
        <v>44392</v>
      </c>
      <c r="F3727" s="481"/>
      <c r="G3727" s="174" t="s">
        <v>74</v>
      </c>
      <c r="H3727" s="148" t="str" cm="1">
        <f t="array" ref="H3727">IFERROR(INDEX(INVESTOR_LIST[INVESTOR NAME],MATCH(I3727,INVESTOR_LIST[INVESTOR CODE],0),)," ")</f>
        <v>SULTANA RAZIA</v>
      </c>
      <c r="I3727" s="148" t="s">
        <v>698</v>
      </c>
      <c r="J3727" s="133" t="s">
        <v>13</v>
      </c>
      <c r="K3727" s="218"/>
      <c r="L3727" s="218">
        <v>222390</v>
      </c>
    </row>
    <row r="3728" spans="1:14" ht="22.5" x14ac:dyDescent="0.2">
      <c r="A3728" s="163">
        <v>2021</v>
      </c>
      <c r="B3728" s="163">
        <v>7</v>
      </c>
      <c r="C3728" s="163">
        <v>15</v>
      </c>
      <c r="D3728" s="141">
        <f t="shared" si="124"/>
        <v>44392</v>
      </c>
      <c r="E3728" s="275">
        <f t="shared" si="125"/>
        <v>44392</v>
      </c>
      <c r="F3728" s="480"/>
      <c r="G3728" s="221" t="s">
        <v>74</v>
      </c>
      <c r="H3728" s="145" t="str" cm="1">
        <f t="array" ref="H3728">IFERROR(INDEX(INVESTOR_LIST[INVESTOR NAME],MATCH(I3728,INVESTOR_LIST[INVESTOR CODE],0),)," ")</f>
        <v>SULTANA RAZIA</v>
      </c>
      <c r="I3728" s="145" t="s">
        <v>698</v>
      </c>
      <c r="J3728" s="163" t="s">
        <v>53</v>
      </c>
      <c r="K3728" s="219"/>
      <c r="L3728" s="219">
        <v>77610</v>
      </c>
    </row>
    <row r="3729" spans="1:12" x14ac:dyDescent="0.2">
      <c r="A3729" s="168">
        <v>2021</v>
      </c>
      <c r="B3729" s="168">
        <v>7</v>
      </c>
      <c r="C3729" s="168">
        <v>15</v>
      </c>
      <c r="D3729" s="141">
        <f t="shared" si="124"/>
        <v>44392</v>
      </c>
      <c r="E3729" s="275">
        <f t="shared" si="125"/>
        <v>44392</v>
      </c>
      <c r="F3729" s="479" t="s">
        <v>77</v>
      </c>
      <c r="G3729" s="220" t="s">
        <v>74</v>
      </c>
      <c r="H3729" s="220" t="str" cm="1">
        <f t="array" ref="H3729">IFERROR(INDEX(INVESTOR_LIST[INVESTOR NAME],MATCH(I3729,INVESTOR_LIST[INVESTOR CODE],0),)," ")</f>
        <v xml:space="preserve"> </v>
      </c>
      <c r="I3729" s="142" t="s">
        <v>348</v>
      </c>
      <c r="J3729" s="143" t="s">
        <v>61</v>
      </c>
      <c r="K3729" s="226">
        <v>60</v>
      </c>
      <c r="L3729" s="226"/>
    </row>
    <row r="3730" spans="1:12" x14ac:dyDescent="0.2">
      <c r="A3730" s="163">
        <v>2021</v>
      </c>
      <c r="B3730" s="163">
        <v>7</v>
      </c>
      <c r="C3730" s="163">
        <v>15</v>
      </c>
      <c r="D3730" s="141">
        <f t="shared" si="124"/>
        <v>44392</v>
      </c>
      <c r="E3730" s="275">
        <f t="shared" si="125"/>
        <v>44392</v>
      </c>
      <c r="F3730" s="480"/>
      <c r="G3730" s="221" t="s">
        <v>74</v>
      </c>
      <c r="H3730" s="221" t="str" cm="1">
        <f t="array" ref="H3730">IFERROR(INDEX(INVESTOR_LIST[INVESTOR NAME],MATCH(I3730,INVESTOR_LIST[INVESTOR CODE],0),)," ")</f>
        <v xml:space="preserve"> </v>
      </c>
      <c r="I3730" s="145" t="s">
        <v>348</v>
      </c>
      <c r="J3730" s="146" t="s">
        <v>52</v>
      </c>
      <c r="K3730" s="219"/>
      <c r="L3730" s="219">
        <v>60</v>
      </c>
    </row>
    <row r="3731" spans="1:12" x14ac:dyDescent="0.2">
      <c r="A3731" s="168">
        <v>2021</v>
      </c>
      <c r="B3731" s="168">
        <v>7</v>
      </c>
      <c r="C3731" s="168">
        <v>15</v>
      </c>
      <c r="D3731" s="141">
        <f t="shared" si="124"/>
        <v>44392</v>
      </c>
      <c r="E3731" s="275">
        <f t="shared" si="125"/>
        <v>44392</v>
      </c>
      <c r="F3731" s="479" t="s">
        <v>233</v>
      </c>
      <c r="G3731" s="220" t="s">
        <v>74</v>
      </c>
      <c r="H3731" s="220" t="str" cm="1">
        <f t="array" ref="H3731">IFERROR(INDEX(INVESTOR_LIST[INVESTOR NAME],MATCH(I3731,INVESTOR_LIST[INVESTOR CODE],0),)," ")</f>
        <v xml:space="preserve"> </v>
      </c>
      <c r="I3731" s="142" t="s">
        <v>348</v>
      </c>
      <c r="J3731" s="143" t="s">
        <v>163</v>
      </c>
      <c r="K3731" s="226">
        <v>8000</v>
      </c>
      <c r="L3731" s="226"/>
    </row>
    <row r="3732" spans="1:12" x14ac:dyDescent="0.2">
      <c r="A3732" s="163">
        <v>2021</v>
      </c>
      <c r="B3732" s="163">
        <v>7</v>
      </c>
      <c r="C3732" s="163">
        <v>15</v>
      </c>
      <c r="D3732" s="141">
        <f t="shared" si="124"/>
        <v>44392</v>
      </c>
      <c r="E3732" s="275">
        <f t="shared" si="125"/>
        <v>44392</v>
      </c>
      <c r="F3732" s="480"/>
      <c r="G3732" s="221" t="s">
        <v>74</v>
      </c>
      <c r="H3732" s="221" t="str" cm="1">
        <f t="array" ref="H3732">IFERROR(INDEX(INVESTOR_LIST[INVESTOR NAME],MATCH(I3732,INVESTOR_LIST[INVESTOR CODE],0),)," ")</f>
        <v xml:space="preserve"> </v>
      </c>
      <c r="I3732" s="145" t="s">
        <v>348</v>
      </c>
      <c r="J3732" s="146" t="s">
        <v>52</v>
      </c>
      <c r="K3732" s="219"/>
      <c r="L3732" s="219">
        <v>8000</v>
      </c>
    </row>
    <row r="3733" spans="1:12" x14ac:dyDescent="0.2">
      <c r="A3733" s="168">
        <v>2021</v>
      </c>
      <c r="B3733" s="168">
        <v>7</v>
      </c>
      <c r="C3733" s="168">
        <v>15</v>
      </c>
      <c r="D3733" s="141">
        <f t="shared" si="124"/>
        <v>44392</v>
      </c>
      <c r="E3733" s="275">
        <f t="shared" si="125"/>
        <v>44392</v>
      </c>
      <c r="F3733" s="479" t="s">
        <v>821</v>
      </c>
      <c r="G3733" s="220" t="s">
        <v>74</v>
      </c>
      <c r="H3733" s="220" t="str" cm="1">
        <f t="array" ref="H3733">IFERROR(INDEX(INVESTOR_LIST[INVESTOR NAME],MATCH(I3733,INVESTOR_LIST[INVESTOR CODE],0),)," ")</f>
        <v xml:space="preserve"> </v>
      </c>
      <c r="I3733" s="142" t="s">
        <v>348</v>
      </c>
      <c r="J3733" s="143" t="s">
        <v>52</v>
      </c>
      <c r="K3733" s="226">
        <v>47812.5</v>
      </c>
      <c r="L3733" s="226"/>
    </row>
    <row r="3734" spans="1:12" x14ac:dyDescent="0.2">
      <c r="A3734" s="163">
        <v>2021</v>
      </c>
      <c r="B3734" s="163">
        <v>7</v>
      </c>
      <c r="C3734" s="163">
        <v>15</v>
      </c>
      <c r="D3734" s="141">
        <f t="shared" si="124"/>
        <v>44392</v>
      </c>
      <c r="E3734" s="275">
        <f t="shared" si="125"/>
        <v>44392</v>
      </c>
      <c r="F3734" s="480"/>
      <c r="G3734" s="221" t="s">
        <v>74</v>
      </c>
      <c r="H3734" s="221" t="str" cm="1">
        <f t="array" ref="H3734">IFERROR(INDEX(INVESTOR_LIST[INVESTOR NAME],MATCH(I3734,INVESTOR_LIST[INVESTOR CODE],0),)," ")</f>
        <v xml:space="preserve"> </v>
      </c>
      <c r="I3734" s="145" t="s">
        <v>348</v>
      </c>
      <c r="J3734" s="146" t="s">
        <v>60</v>
      </c>
      <c r="K3734" s="219"/>
      <c r="L3734" s="219">
        <v>47812.5</v>
      </c>
    </row>
    <row r="3735" spans="1:12" x14ac:dyDescent="0.2">
      <c r="A3735" s="168">
        <v>2021</v>
      </c>
      <c r="B3735" s="168">
        <v>7</v>
      </c>
      <c r="C3735" s="168">
        <v>15</v>
      </c>
      <c r="D3735" s="141">
        <f t="shared" si="124"/>
        <v>44392</v>
      </c>
      <c r="E3735" s="275">
        <f t="shared" si="125"/>
        <v>44392</v>
      </c>
      <c r="F3735" s="479" t="s">
        <v>274</v>
      </c>
      <c r="G3735" s="220" t="s">
        <v>74</v>
      </c>
      <c r="H3735" s="142" t="str" cm="1">
        <f t="array" ref="H3735">IFERROR(INDEX(INVESTOR_LIST[INVESTOR NAME],MATCH(I3735,INVESTOR_LIST[INVESTOR CODE],0),)," ")</f>
        <v xml:space="preserve"> </v>
      </c>
      <c r="I3735" s="142"/>
      <c r="J3735" s="168" t="s">
        <v>79</v>
      </c>
      <c r="K3735" s="226">
        <v>1348150</v>
      </c>
      <c r="L3735" s="226"/>
    </row>
    <row r="3736" spans="1:12" x14ac:dyDescent="0.2">
      <c r="A3736" s="133">
        <v>2021</v>
      </c>
      <c r="B3736" s="133">
        <v>7</v>
      </c>
      <c r="C3736" s="133">
        <v>15</v>
      </c>
      <c r="D3736" s="141">
        <f t="shared" si="124"/>
        <v>44392</v>
      </c>
      <c r="E3736" s="275">
        <f t="shared" si="125"/>
        <v>44392</v>
      </c>
      <c r="F3736" s="481"/>
      <c r="G3736" s="174" t="s">
        <v>74</v>
      </c>
      <c r="H3736" s="148" t="str" cm="1">
        <f t="array" ref="H3736">IFERROR(INDEX(INVESTOR_LIST[INVESTOR NAME],MATCH(I3736,INVESTOR_LIST[INVESTOR CODE],0),)," ")</f>
        <v xml:space="preserve"> </v>
      </c>
      <c r="J3736" s="133" t="s">
        <v>80</v>
      </c>
      <c r="K3736" s="218">
        <v>2426.67</v>
      </c>
      <c r="L3736" s="218"/>
    </row>
    <row r="3737" spans="1:12" x14ac:dyDescent="0.2">
      <c r="A3737" s="163">
        <v>2021</v>
      </c>
      <c r="B3737" s="163">
        <v>7</v>
      </c>
      <c r="C3737" s="163">
        <v>15</v>
      </c>
      <c r="D3737" s="141">
        <f t="shared" si="124"/>
        <v>44392</v>
      </c>
      <c r="E3737" s="275">
        <f t="shared" si="125"/>
        <v>44392</v>
      </c>
      <c r="F3737" s="480"/>
      <c r="G3737" s="221" t="s">
        <v>74</v>
      </c>
      <c r="H3737" s="145" t="str" cm="1">
        <f t="array" ref="H3737">IFERROR(INDEX(INVESTOR_LIST[INVESTOR NAME],MATCH(I3737,INVESTOR_LIST[INVESTOR CODE],0),)," ")</f>
        <v xml:space="preserve"> </v>
      </c>
      <c r="I3737" s="145"/>
      <c r="J3737" s="163" t="s">
        <v>147</v>
      </c>
      <c r="K3737" s="219"/>
      <c r="L3737" s="219">
        <v>1350576.67</v>
      </c>
    </row>
    <row r="3738" spans="1:12" x14ac:dyDescent="0.2">
      <c r="A3738" s="133">
        <v>2021</v>
      </c>
      <c r="B3738" s="133">
        <v>7</v>
      </c>
      <c r="C3738" s="133">
        <v>15</v>
      </c>
      <c r="D3738" s="141">
        <f t="shared" si="124"/>
        <v>44392</v>
      </c>
      <c r="E3738" s="275">
        <f t="shared" si="125"/>
        <v>44392</v>
      </c>
      <c r="F3738" s="479" t="s">
        <v>77</v>
      </c>
      <c r="G3738" s="174" t="s">
        <v>74</v>
      </c>
      <c r="H3738" s="148" t="str" cm="1">
        <f t="array" ref="H3738">IFERROR(INDEX(INVESTOR_LIST[INVESTOR NAME],MATCH(I3738,INVESTOR_LIST[INVESTOR CODE],0),)," ")</f>
        <v xml:space="preserve"> </v>
      </c>
      <c r="I3738" s="148" t="s">
        <v>348</v>
      </c>
      <c r="J3738" s="133" t="s">
        <v>61</v>
      </c>
      <c r="K3738" s="172">
        <v>10</v>
      </c>
    </row>
    <row r="3739" spans="1:12" x14ac:dyDescent="0.2">
      <c r="A3739" s="133">
        <v>2021</v>
      </c>
      <c r="B3739" s="133">
        <v>7</v>
      </c>
      <c r="C3739" s="133">
        <v>15</v>
      </c>
      <c r="D3739" s="141">
        <f t="shared" si="124"/>
        <v>44392</v>
      </c>
      <c r="E3739" s="275">
        <f t="shared" si="125"/>
        <v>44392</v>
      </c>
      <c r="F3739" s="480"/>
      <c r="G3739" s="174" t="s">
        <v>74</v>
      </c>
      <c r="H3739" s="148" t="str" cm="1">
        <f t="array" ref="H3739">IFERROR(INDEX(INVESTOR_LIST[INVESTOR NAME],MATCH(I3739,INVESTOR_LIST[INVESTOR CODE],0),)," ")</f>
        <v xml:space="preserve"> </v>
      </c>
      <c r="I3739" s="148" t="s">
        <v>348</v>
      </c>
      <c r="J3739" s="133" t="s">
        <v>52</v>
      </c>
      <c r="L3739" s="172">
        <v>10</v>
      </c>
    </row>
    <row r="3740" spans="1:12" x14ac:dyDescent="0.2">
      <c r="A3740" s="168">
        <v>2021</v>
      </c>
      <c r="B3740" s="168">
        <v>7</v>
      </c>
      <c r="C3740" s="168">
        <v>15</v>
      </c>
      <c r="D3740" s="141">
        <f t="shared" si="124"/>
        <v>44392</v>
      </c>
      <c r="E3740" s="275">
        <f t="shared" si="125"/>
        <v>44392</v>
      </c>
      <c r="F3740" s="479" t="s">
        <v>77</v>
      </c>
      <c r="G3740" s="220" t="s">
        <v>74</v>
      </c>
      <c r="H3740" s="142" t="str" cm="1">
        <f t="array" ref="H3740">IFERROR(INDEX(INVESTOR_LIST[INVESTOR NAME],MATCH(I3740,INVESTOR_LIST[INVESTOR CODE],0),)," ")</f>
        <v xml:space="preserve"> </v>
      </c>
      <c r="I3740" s="142" t="s">
        <v>348</v>
      </c>
      <c r="J3740" s="168" t="s">
        <v>61</v>
      </c>
      <c r="K3740" s="226">
        <v>10</v>
      </c>
      <c r="L3740" s="226"/>
    </row>
    <row r="3741" spans="1:12" x14ac:dyDescent="0.2">
      <c r="A3741" s="163">
        <v>2021</v>
      </c>
      <c r="B3741" s="163">
        <v>7</v>
      </c>
      <c r="C3741" s="163">
        <v>15</v>
      </c>
      <c r="D3741" s="141">
        <f t="shared" si="124"/>
        <v>44392</v>
      </c>
      <c r="E3741" s="275">
        <f t="shared" si="125"/>
        <v>44392</v>
      </c>
      <c r="F3741" s="480"/>
      <c r="G3741" s="221" t="s">
        <v>74</v>
      </c>
      <c r="H3741" s="145" t="str" cm="1">
        <f t="array" ref="H3741">IFERROR(INDEX(INVESTOR_LIST[INVESTOR NAME],MATCH(I3741,INVESTOR_LIST[INVESTOR CODE],0),)," ")</f>
        <v xml:space="preserve"> </v>
      </c>
      <c r="I3741" s="145" t="s">
        <v>348</v>
      </c>
      <c r="J3741" s="163" t="s">
        <v>52</v>
      </c>
      <c r="K3741" s="219"/>
      <c r="L3741" s="219">
        <v>10</v>
      </c>
    </row>
    <row r="3742" spans="1:12" x14ac:dyDescent="0.2">
      <c r="A3742" s="133">
        <v>2021</v>
      </c>
      <c r="B3742" s="133">
        <v>7</v>
      </c>
      <c r="C3742" s="133">
        <v>15</v>
      </c>
      <c r="D3742" s="141">
        <f t="shared" si="124"/>
        <v>44392</v>
      </c>
      <c r="E3742" s="275">
        <f t="shared" si="125"/>
        <v>44392</v>
      </c>
      <c r="F3742" s="479" t="s">
        <v>77</v>
      </c>
      <c r="G3742" s="174" t="s">
        <v>74</v>
      </c>
      <c r="H3742" s="148" t="str" cm="1">
        <f t="array" ref="H3742">IFERROR(INDEX(INVESTOR_LIST[INVESTOR NAME],MATCH(I3742,INVESTOR_LIST[INVESTOR CODE],0),)," ")</f>
        <v xml:space="preserve"> </v>
      </c>
      <c r="I3742" s="148" t="s">
        <v>348</v>
      </c>
      <c r="J3742" s="133" t="s">
        <v>61</v>
      </c>
      <c r="K3742" s="172">
        <v>10</v>
      </c>
    </row>
    <row r="3743" spans="1:12" x14ac:dyDescent="0.2">
      <c r="A3743" s="133">
        <v>2021</v>
      </c>
      <c r="B3743" s="133">
        <v>7</v>
      </c>
      <c r="C3743" s="133">
        <v>15</v>
      </c>
      <c r="D3743" s="141">
        <f t="shared" si="124"/>
        <v>44392</v>
      </c>
      <c r="E3743" s="275">
        <f t="shared" si="125"/>
        <v>44392</v>
      </c>
      <c r="F3743" s="480"/>
      <c r="G3743" s="174" t="s">
        <v>74</v>
      </c>
      <c r="H3743" s="148" t="str" cm="1">
        <f t="array" ref="H3743">IFERROR(INDEX(INVESTOR_LIST[INVESTOR NAME],MATCH(I3743,INVESTOR_LIST[INVESTOR CODE],0),)," ")</f>
        <v xml:space="preserve"> </v>
      </c>
      <c r="I3743" s="148" t="s">
        <v>348</v>
      </c>
      <c r="J3743" s="133" t="s">
        <v>52</v>
      </c>
      <c r="L3743" s="172">
        <v>10</v>
      </c>
    </row>
    <row r="3744" spans="1:12" x14ac:dyDescent="0.2">
      <c r="A3744" s="168">
        <v>2021</v>
      </c>
      <c r="B3744" s="168">
        <v>7</v>
      </c>
      <c r="C3744" s="168">
        <v>15</v>
      </c>
      <c r="D3744" s="141">
        <f t="shared" si="124"/>
        <v>44392</v>
      </c>
      <c r="E3744" s="275">
        <f t="shared" si="125"/>
        <v>44392</v>
      </c>
      <c r="F3744" s="479" t="s">
        <v>77</v>
      </c>
      <c r="G3744" s="220" t="s">
        <v>74</v>
      </c>
      <c r="H3744" s="220" t="str" cm="1">
        <f t="array" ref="H3744">IFERROR(INDEX(INVESTOR_LIST[INVESTOR NAME],MATCH(I3744,INVESTOR_LIST[INVESTOR CODE],0),)," ")</f>
        <v xml:space="preserve"> </v>
      </c>
      <c r="I3744" s="142" t="s">
        <v>348</v>
      </c>
      <c r="J3744" s="143" t="s">
        <v>61</v>
      </c>
      <c r="K3744" s="226">
        <v>10</v>
      </c>
      <c r="L3744" s="226"/>
    </row>
    <row r="3745" spans="1:14" x14ac:dyDescent="0.2">
      <c r="A3745" s="163">
        <v>2021</v>
      </c>
      <c r="B3745" s="163">
        <v>7</v>
      </c>
      <c r="C3745" s="163">
        <v>15</v>
      </c>
      <c r="D3745" s="141">
        <f t="shared" si="124"/>
        <v>44392</v>
      </c>
      <c r="E3745" s="275">
        <f t="shared" si="125"/>
        <v>44392</v>
      </c>
      <c r="F3745" s="480"/>
      <c r="G3745" s="221" t="s">
        <v>74</v>
      </c>
      <c r="H3745" s="221" t="str" cm="1">
        <f t="array" ref="H3745">IFERROR(INDEX(INVESTOR_LIST[INVESTOR NAME],MATCH(I3745,INVESTOR_LIST[INVESTOR CODE],0),)," ")</f>
        <v xml:space="preserve"> </v>
      </c>
      <c r="I3745" s="145" t="s">
        <v>348</v>
      </c>
      <c r="J3745" s="146" t="s">
        <v>52</v>
      </c>
      <c r="K3745" s="219"/>
      <c r="L3745" s="219">
        <v>10</v>
      </c>
    </row>
    <row r="3746" spans="1:14" x14ac:dyDescent="0.2">
      <c r="A3746" s="238">
        <v>2021</v>
      </c>
      <c r="B3746" s="238">
        <v>7</v>
      </c>
      <c r="C3746" s="238">
        <v>15</v>
      </c>
      <c r="D3746" s="141">
        <f t="shared" si="124"/>
        <v>44392</v>
      </c>
      <c r="E3746" s="275">
        <f t="shared" si="125"/>
        <v>44392</v>
      </c>
      <c r="F3746" s="477" t="s">
        <v>347</v>
      </c>
      <c r="G3746" s="239" t="s">
        <v>94</v>
      </c>
      <c r="H3746" s="239" t="str" cm="1">
        <f t="array" ref="H3746">IFERROR(INDEX(INVESTOR_LIST[INVESTOR NAME],MATCH(I3746,INVESTOR_LIST[INVESTOR CODE],0),)," ")</f>
        <v xml:space="preserve"> </v>
      </c>
      <c r="I3746" s="262" t="s">
        <v>348</v>
      </c>
      <c r="J3746" s="240" t="s">
        <v>108</v>
      </c>
      <c r="K3746" s="241">
        <v>2042665.7000000179</v>
      </c>
      <c r="L3746" s="241"/>
    </row>
    <row r="3747" spans="1:14" x14ac:dyDescent="0.2">
      <c r="A3747" s="242">
        <v>2021</v>
      </c>
      <c r="B3747" s="242">
        <v>7</v>
      </c>
      <c r="C3747" s="242">
        <v>15</v>
      </c>
      <c r="D3747" s="141">
        <f t="shared" si="124"/>
        <v>44392</v>
      </c>
      <c r="E3747" s="275">
        <f t="shared" si="125"/>
        <v>44392</v>
      </c>
      <c r="F3747" s="478"/>
      <c r="G3747" s="243" t="s">
        <v>94</v>
      </c>
      <c r="H3747" s="243" t="str" cm="1">
        <f t="array" ref="H3747">IFERROR(INDEX(INVESTOR_LIST[INVESTOR NAME],MATCH(I3747,INVESTOR_LIST[INVESTOR CODE],0),)," ")</f>
        <v xml:space="preserve"> </v>
      </c>
      <c r="I3747" s="263" t="s">
        <v>348</v>
      </c>
      <c r="J3747" s="244" t="s">
        <v>82</v>
      </c>
      <c r="K3747" s="245"/>
      <c r="L3747" s="245">
        <v>2042665.7000000179</v>
      </c>
    </row>
    <row r="3748" spans="1:14" ht="22.5" x14ac:dyDescent="0.2">
      <c r="A3748" s="246">
        <v>2021</v>
      </c>
      <c r="B3748" s="246">
        <v>7</v>
      </c>
      <c r="C3748" s="246">
        <v>15</v>
      </c>
      <c r="D3748" s="141">
        <f t="shared" si="124"/>
        <v>44392</v>
      </c>
      <c r="E3748" s="275">
        <f t="shared" si="125"/>
        <v>44392</v>
      </c>
      <c r="F3748" s="482" t="s">
        <v>148</v>
      </c>
      <c r="G3748" s="247" t="s">
        <v>94</v>
      </c>
      <c r="H3748" s="247" t="str" cm="1">
        <f t="array" ref="H3748">IFERROR(INDEX(INVESTOR_LIST[INVESTOR NAME],MATCH(I3748,INVESTOR_LIST[INVESTOR CODE],0),)," ")</f>
        <v xml:space="preserve"> </v>
      </c>
      <c r="I3748" s="248" t="s">
        <v>348</v>
      </c>
      <c r="J3748" s="249" t="s">
        <v>95</v>
      </c>
      <c r="K3748" s="250">
        <v>2747.2527472527472</v>
      </c>
      <c r="L3748" s="241"/>
      <c r="M3748" s="133">
        <v>2747.2527472527472</v>
      </c>
    </row>
    <row r="3749" spans="1:14" x14ac:dyDescent="0.2">
      <c r="A3749" s="242">
        <v>2021</v>
      </c>
      <c r="B3749" s="242">
        <v>7</v>
      </c>
      <c r="C3749" s="242">
        <v>15</v>
      </c>
      <c r="D3749" s="141">
        <f t="shared" si="124"/>
        <v>44392</v>
      </c>
      <c r="E3749" s="275">
        <f t="shared" si="125"/>
        <v>44392</v>
      </c>
      <c r="F3749" s="478"/>
      <c r="G3749" s="243" t="s">
        <v>94</v>
      </c>
      <c r="H3749" s="243" t="str" cm="1">
        <f t="array" ref="H3749">IFERROR(INDEX(INVESTOR_LIST[INVESTOR NAME],MATCH(I3749,INVESTOR_LIST[INVESTOR CODE],0),)," ")</f>
        <v xml:space="preserve"> </v>
      </c>
      <c r="I3749" s="263" t="s">
        <v>348</v>
      </c>
      <c r="J3749" s="244" t="s">
        <v>63</v>
      </c>
      <c r="K3749" s="245"/>
      <c r="L3749" s="245">
        <v>2747.2527472527472</v>
      </c>
      <c r="M3749" s="133">
        <v>106755.31468325111</v>
      </c>
      <c r="N3749" s="160"/>
    </row>
    <row r="3750" spans="1:14" x14ac:dyDescent="0.2">
      <c r="A3750" s="246">
        <v>2021</v>
      </c>
      <c r="B3750" s="246">
        <v>7</v>
      </c>
      <c r="C3750" s="246">
        <v>15</v>
      </c>
      <c r="D3750" s="141">
        <f t="shared" si="124"/>
        <v>44392</v>
      </c>
      <c r="E3750" s="275">
        <f t="shared" si="125"/>
        <v>44392</v>
      </c>
      <c r="F3750" s="482" t="s">
        <v>137</v>
      </c>
      <c r="G3750" s="247" t="s">
        <v>94</v>
      </c>
      <c r="H3750" s="247" t="str" cm="1">
        <f t="array" ref="H3750">IFERROR(INDEX(INVESTOR_LIST[INVESTOR NAME],MATCH(I3750,INVESTOR_LIST[INVESTOR CODE],0),)," ")</f>
        <v xml:space="preserve"> </v>
      </c>
      <c r="I3750" s="248" t="s">
        <v>348</v>
      </c>
      <c r="J3750" s="249" t="s">
        <v>97</v>
      </c>
      <c r="K3750" s="250">
        <v>106755.31468325111</v>
      </c>
      <c r="L3750" s="252"/>
      <c r="M3750" s="133">
        <v>5193.9440558064853</v>
      </c>
    </row>
    <row r="3751" spans="1:14" x14ac:dyDescent="0.2">
      <c r="A3751" s="242">
        <v>2021</v>
      </c>
      <c r="B3751" s="242">
        <v>7</v>
      </c>
      <c r="C3751" s="242">
        <v>15</v>
      </c>
      <c r="D3751" s="141">
        <f t="shared" si="124"/>
        <v>44392</v>
      </c>
      <c r="E3751" s="275">
        <f t="shared" si="125"/>
        <v>44392</v>
      </c>
      <c r="F3751" s="478"/>
      <c r="G3751" s="243" t="s">
        <v>94</v>
      </c>
      <c r="H3751" s="243" t="str" cm="1">
        <f t="array" ref="H3751">IFERROR(INDEX(INVESTOR_LIST[INVESTOR NAME],MATCH(I3751,INVESTOR_LIST[INVESTOR CODE],0),)," ")</f>
        <v xml:space="preserve"> </v>
      </c>
      <c r="I3751" s="263" t="s">
        <v>348</v>
      </c>
      <c r="J3751" s="244" t="s">
        <v>47</v>
      </c>
      <c r="K3751" s="245"/>
      <c r="L3751" s="245">
        <v>106755.31468325111</v>
      </c>
    </row>
    <row r="3752" spans="1:14" x14ac:dyDescent="0.2">
      <c r="A3752" s="246">
        <v>2021</v>
      </c>
      <c r="B3752" s="246">
        <v>7</v>
      </c>
      <c r="C3752" s="246">
        <v>15</v>
      </c>
      <c r="D3752" s="141">
        <f t="shared" si="124"/>
        <v>44392</v>
      </c>
      <c r="E3752" s="275">
        <f t="shared" si="125"/>
        <v>44392</v>
      </c>
      <c r="F3752" s="482" t="s">
        <v>138</v>
      </c>
      <c r="G3752" s="247" t="s">
        <v>94</v>
      </c>
      <c r="H3752" s="247" t="str" cm="1">
        <f t="array" ref="H3752">IFERROR(INDEX(INVESTOR_LIST[INVESTOR NAME],MATCH(I3752,INVESTOR_LIST[INVESTOR CODE],0),)," ")</f>
        <v xml:space="preserve"> </v>
      </c>
      <c r="I3752" s="248" t="s">
        <v>348</v>
      </c>
      <c r="J3752" s="249" t="s">
        <v>100</v>
      </c>
      <c r="K3752" s="250">
        <v>5193.9440558064853</v>
      </c>
      <c r="L3752" s="252"/>
    </row>
    <row r="3753" spans="1:14" x14ac:dyDescent="0.2">
      <c r="A3753" s="242">
        <v>2021</v>
      </c>
      <c r="B3753" s="242">
        <v>7</v>
      </c>
      <c r="C3753" s="242">
        <v>15</v>
      </c>
      <c r="D3753" s="141">
        <f t="shared" si="124"/>
        <v>44392</v>
      </c>
      <c r="E3753" s="275">
        <f t="shared" si="125"/>
        <v>44392</v>
      </c>
      <c r="F3753" s="478"/>
      <c r="G3753" s="243" t="s">
        <v>94</v>
      </c>
      <c r="H3753" s="243" t="str" cm="1">
        <f t="array" ref="H3753">IFERROR(INDEX(INVESTOR_LIST[INVESTOR NAME],MATCH(I3753,INVESTOR_LIST[INVESTOR CODE],0),)," ")</f>
        <v xml:space="preserve"> </v>
      </c>
      <c r="I3753" s="263" t="s">
        <v>348</v>
      </c>
      <c r="J3753" s="244" t="s">
        <v>48</v>
      </c>
      <c r="K3753" s="245"/>
      <c r="L3753" s="245">
        <v>5193.9440558064853</v>
      </c>
    </row>
    <row r="3754" spans="1:14" x14ac:dyDescent="0.2">
      <c r="A3754" s="168">
        <v>2021</v>
      </c>
      <c r="B3754" s="168">
        <v>7</v>
      </c>
      <c r="C3754" s="168">
        <v>18</v>
      </c>
      <c r="D3754" s="141">
        <f t="shared" si="124"/>
        <v>44395</v>
      </c>
      <c r="E3754" s="275">
        <f t="shared" si="125"/>
        <v>44395</v>
      </c>
      <c r="F3754" s="479" t="s">
        <v>274</v>
      </c>
      <c r="G3754" s="220" t="s">
        <v>74</v>
      </c>
      <c r="H3754" s="142" t="str" cm="1">
        <f t="array" ref="H3754">IFERROR(INDEX(INVESTOR_LIST[INVESTOR NAME],MATCH(I3754,INVESTOR_LIST[INVESTOR CODE],0),)," ")</f>
        <v xml:space="preserve"> </v>
      </c>
      <c r="I3754" s="142"/>
      <c r="J3754" s="168" t="s">
        <v>79</v>
      </c>
      <c r="K3754" s="226">
        <v>5767235.4000000004</v>
      </c>
      <c r="L3754" s="226"/>
    </row>
    <row r="3755" spans="1:14" x14ac:dyDescent="0.2">
      <c r="A3755" s="133">
        <v>2021</v>
      </c>
      <c r="B3755" s="133">
        <v>7</v>
      </c>
      <c r="C3755" s="133">
        <v>18</v>
      </c>
      <c r="D3755" s="141">
        <f t="shared" si="124"/>
        <v>44395</v>
      </c>
      <c r="E3755" s="275">
        <f t="shared" si="125"/>
        <v>44395</v>
      </c>
      <c r="F3755" s="481"/>
      <c r="G3755" s="174" t="s">
        <v>74</v>
      </c>
      <c r="H3755" s="148" t="str" cm="1">
        <f t="array" ref="H3755">IFERROR(INDEX(INVESTOR_LIST[INVESTOR NAME],MATCH(I3755,INVESTOR_LIST[INVESTOR CODE],0),)," ")</f>
        <v xml:space="preserve"> </v>
      </c>
      <c r="J3755" s="133" t="s">
        <v>80</v>
      </c>
      <c r="K3755" s="218">
        <v>10381.02</v>
      </c>
      <c r="L3755" s="218"/>
    </row>
    <row r="3756" spans="1:14" x14ac:dyDescent="0.2">
      <c r="A3756" s="163">
        <v>2021</v>
      </c>
      <c r="B3756" s="163">
        <v>7</v>
      </c>
      <c r="C3756" s="163">
        <v>18</v>
      </c>
      <c r="D3756" s="141">
        <f t="shared" si="124"/>
        <v>44395</v>
      </c>
      <c r="E3756" s="275">
        <f t="shared" si="125"/>
        <v>44395</v>
      </c>
      <c r="F3756" s="480"/>
      <c r="G3756" s="221" t="s">
        <v>74</v>
      </c>
      <c r="H3756" s="145" t="str" cm="1">
        <f t="array" ref="H3756">IFERROR(INDEX(INVESTOR_LIST[INVESTOR NAME],MATCH(I3756,INVESTOR_LIST[INVESTOR CODE],0),)," ")</f>
        <v xml:space="preserve"> </v>
      </c>
      <c r="I3756" s="145"/>
      <c r="J3756" s="163" t="s">
        <v>147</v>
      </c>
      <c r="K3756" s="219"/>
      <c r="L3756" s="219">
        <v>5777616.4199999999</v>
      </c>
    </row>
    <row r="3757" spans="1:14" ht="11.25" customHeight="1" x14ac:dyDescent="0.2">
      <c r="A3757" s="168">
        <v>2021</v>
      </c>
      <c r="B3757" s="168">
        <v>7</v>
      </c>
      <c r="C3757" s="168">
        <v>18</v>
      </c>
      <c r="D3757" s="141">
        <f t="shared" si="124"/>
        <v>44395</v>
      </c>
      <c r="E3757" s="275">
        <f t="shared" si="125"/>
        <v>44395</v>
      </c>
      <c r="F3757" s="479" t="s">
        <v>964</v>
      </c>
      <c r="G3757" s="220" t="s">
        <v>74</v>
      </c>
      <c r="H3757" s="142" t="str" cm="1">
        <f t="array" ref="H3757">IFERROR(INDEX(INVESTOR_LIST[INVESTOR NAME],MATCH(I3757,INVESTOR_LIST[INVESTOR CODE],0),)," ")</f>
        <v>RAJIB SAHA</v>
      </c>
      <c r="I3757" s="142" t="s">
        <v>824</v>
      </c>
      <c r="J3757" s="168" t="s">
        <v>52</v>
      </c>
      <c r="K3757" s="226">
        <v>200000</v>
      </c>
      <c r="L3757" s="226"/>
    </row>
    <row r="3758" spans="1:14" ht="22.5" x14ac:dyDescent="0.2">
      <c r="A3758" s="133">
        <v>2021</v>
      </c>
      <c r="B3758" s="133">
        <v>7</v>
      </c>
      <c r="C3758" s="133">
        <v>18</v>
      </c>
      <c r="D3758" s="141">
        <f t="shared" si="124"/>
        <v>44395</v>
      </c>
      <c r="E3758" s="275">
        <f t="shared" si="125"/>
        <v>44395</v>
      </c>
      <c r="F3758" s="481"/>
      <c r="G3758" s="174" t="s">
        <v>74</v>
      </c>
      <c r="H3758" s="148" t="str" cm="1">
        <f t="array" ref="H3758">IFERROR(INDEX(INVESTOR_LIST[INVESTOR NAME],MATCH(I3758,INVESTOR_LIST[INVESTOR CODE],0),)," ")</f>
        <v>RAJIB SAHA</v>
      </c>
      <c r="I3758" s="148" t="s">
        <v>824</v>
      </c>
      <c r="J3758" s="133" t="s">
        <v>13</v>
      </c>
      <c r="K3758" s="218"/>
      <c r="L3758" s="218">
        <v>148590</v>
      </c>
      <c r="N3758" s="160">
        <f>K3763/13.49</f>
        <v>38000</v>
      </c>
    </row>
    <row r="3759" spans="1:14" ht="22.5" x14ac:dyDescent="0.2">
      <c r="A3759" s="163">
        <v>2021</v>
      </c>
      <c r="B3759" s="163">
        <v>7</v>
      </c>
      <c r="C3759" s="163">
        <v>18</v>
      </c>
      <c r="D3759" s="141">
        <f t="shared" si="124"/>
        <v>44395</v>
      </c>
      <c r="E3759" s="275">
        <f t="shared" si="125"/>
        <v>44395</v>
      </c>
      <c r="F3759" s="480"/>
      <c r="G3759" s="221" t="s">
        <v>74</v>
      </c>
      <c r="H3759" s="145" t="str" cm="1">
        <f t="array" ref="H3759">IFERROR(INDEX(INVESTOR_LIST[INVESTOR NAME],MATCH(I3759,INVESTOR_LIST[INVESTOR CODE],0),)," ")</f>
        <v>RAJIB SAHA</v>
      </c>
      <c r="I3759" s="145" t="s">
        <v>824</v>
      </c>
      <c r="J3759" s="163" t="s">
        <v>53</v>
      </c>
      <c r="K3759" s="219"/>
      <c r="L3759" s="219">
        <v>51410</v>
      </c>
    </row>
    <row r="3760" spans="1:14" ht="11.25" customHeight="1" x14ac:dyDescent="0.2">
      <c r="A3760" s="168">
        <v>2021</v>
      </c>
      <c r="B3760" s="168">
        <v>7</v>
      </c>
      <c r="C3760" s="168">
        <v>18</v>
      </c>
      <c r="D3760" s="141">
        <f t="shared" si="124"/>
        <v>44395</v>
      </c>
      <c r="E3760" s="275">
        <f t="shared" si="125"/>
        <v>44395</v>
      </c>
      <c r="F3760" s="479" t="s">
        <v>254</v>
      </c>
      <c r="G3760" s="220" t="s">
        <v>74</v>
      </c>
      <c r="H3760" s="142" t="str" cm="1">
        <f t="array" ref="H3760">IFERROR(INDEX(INVESTOR_LIST[INVESTOR NAME],MATCH(I3760,INVESTOR_LIST[INVESTOR CODE],0),)," ")</f>
        <v xml:space="preserve"> </v>
      </c>
      <c r="I3760" s="142"/>
      <c r="J3760" s="168" t="s">
        <v>52</v>
      </c>
      <c r="K3760" s="226">
        <v>76000</v>
      </c>
      <c r="L3760" s="226"/>
    </row>
    <row r="3761" spans="1:14" x14ac:dyDescent="0.2">
      <c r="A3761" s="133">
        <v>2021</v>
      </c>
      <c r="B3761" s="133">
        <v>7</v>
      </c>
      <c r="C3761" s="133">
        <v>18</v>
      </c>
      <c r="D3761" s="141">
        <f t="shared" si="124"/>
        <v>44395</v>
      </c>
      <c r="E3761" s="275">
        <f t="shared" si="125"/>
        <v>44395</v>
      </c>
      <c r="F3761" s="481"/>
      <c r="G3761" s="174" t="s">
        <v>74</v>
      </c>
      <c r="H3761" s="148" t="str" cm="1">
        <f t="array" ref="H3761">IFERROR(INDEX(INVESTOR_LIST[INVESTOR NAME],MATCH(I3761,INVESTOR_LIST[INVESTOR CODE],0),)," ")</f>
        <v xml:space="preserve"> </v>
      </c>
      <c r="J3761" s="133" t="s">
        <v>13</v>
      </c>
      <c r="K3761" s="218"/>
      <c r="L3761" s="218">
        <v>56330</v>
      </c>
      <c r="N3761" s="160">
        <f>K3766/13.49</f>
        <v>51000</v>
      </c>
    </row>
    <row r="3762" spans="1:14" x14ac:dyDescent="0.2">
      <c r="A3762" s="163">
        <v>2021</v>
      </c>
      <c r="B3762" s="163">
        <v>7</v>
      </c>
      <c r="C3762" s="163">
        <v>18</v>
      </c>
      <c r="D3762" s="141">
        <f t="shared" si="124"/>
        <v>44395</v>
      </c>
      <c r="E3762" s="275">
        <f t="shared" si="125"/>
        <v>44395</v>
      </c>
      <c r="F3762" s="480"/>
      <c r="G3762" s="221" t="s">
        <v>74</v>
      </c>
      <c r="H3762" s="145" t="str" cm="1">
        <f t="array" ref="H3762">IFERROR(INDEX(INVESTOR_LIST[INVESTOR NAME],MATCH(I3762,INVESTOR_LIST[INVESTOR CODE],0),)," ")</f>
        <v xml:space="preserve"> </v>
      </c>
      <c r="I3762" s="145"/>
      <c r="J3762" s="163" t="s">
        <v>53</v>
      </c>
      <c r="K3762" s="219"/>
      <c r="L3762" s="219">
        <v>19670</v>
      </c>
    </row>
    <row r="3763" spans="1:14" ht="11.25" customHeight="1" x14ac:dyDescent="0.2">
      <c r="A3763" s="168">
        <v>2021</v>
      </c>
      <c r="B3763" s="168">
        <v>7</v>
      </c>
      <c r="C3763" s="168">
        <v>18</v>
      </c>
      <c r="D3763" s="141">
        <f t="shared" si="124"/>
        <v>44395</v>
      </c>
      <c r="E3763" s="275">
        <f t="shared" si="125"/>
        <v>44395</v>
      </c>
      <c r="F3763" s="479" t="s">
        <v>964</v>
      </c>
      <c r="G3763" s="220" t="s">
        <v>74</v>
      </c>
      <c r="H3763" s="142" t="str" cm="1">
        <f t="array" ref="H3763">IFERROR(INDEX(INVESTOR_LIST[INVESTOR NAME],MATCH(I3763,INVESTOR_LIST[INVESTOR CODE],0),)," ")</f>
        <v>ALVI RAHMAN</v>
      </c>
      <c r="I3763" s="142" t="s">
        <v>826</v>
      </c>
      <c r="J3763" s="168" t="s">
        <v>52</v>
      </c>
      <c r="K3763" s="226">
        <v>512620</v>
      </c>
      <c r="L3763" s="226"/>
    </row>
    <row r="3764" spans="1:14" ht="22.5" x14ac:dyDescent="0.2">
      <c r="A3764" s="133">
        <v>2021</v>
      </c>
      <c r="B3764" s="133">
        <v>7</v>
      </c>
      <c r="C3764" s="133">
        <v>18</v>
      </c>
      <c r="D3764" s="141">
        <f t="shared" si="124"/>
        <v>44395</v>
      </c>
      <c r="E3764" s="275">
        <f t="shared" si="125"/>
        <v>44395</v>
      </c>
      <c r="F3764" s="481"/>
      <c r="G3764" s="174" t="s">
        <v>74</v>
      </c>
      <c r="H3764" s="148" t="str" cm="1">
        <f t="array" ref="H3764">IFERROR(INDEX(INVESTOR_LIST[INVESTOR NAME],MATCH(I3764,INVESTOR_LIST[INVESTOR CODE],0),)," ")</f>
        <v>ALVI RAHMAN</v>
      </c>
      <c r="I3764" s="148" t="s">
        <v>826</v>
      </c>
      <c r="J3764" s="133" t="s">
        <v>13</v>
      </c>
      <c r="K3764" s="218"/>
      <c r="L3764" s="218">
        <v>380000</v>
      </c>
      <c r="N3764" s="160">
        <f>K3769/13.49</f>
        <v>74000</v>
      </c>
    </row>
    <row r="3765" spans="1:14" ht="22.5" x14ac:dyDescent="0.2">
      <c r="A3765" s="163">
        <v>2021</v>
      </c>
      <c r="B3765" s="163">
        <v>7</v>
      </c>
      <c r="C3765" s="163">
        <v>18</v>
      </c>
      <c r="D3765" s="141">
        <f t="shared" si="124"/>
        <v>44395</v>
      </c>
      <c r="E3765" s="275">
        <f t="shared" si="125"/>
        <v>44395</v>
      </c>
      <c r="F3765" s="480"/>
      <c r="G3765" s="221" t="s">
        <v>74</v>
      </c>
      <c r="H3765" s="145" t="str" cm="1">
        <f t="array" ref="H3765">IFERROR(INDEX(INVESTOR_LIST[INVESTOR NAME],MATCH(I3765,INVESTOR_LIST[INVESTOR CODE],0),)," ")</f>
        <v>ALVI RAHMAN</v>
      </c>
      <c r="I3765" s="145" t="s">
        <v>826</v>
      </c>
      <c r="J3765" s="163" t="s">
        <v>53</v>
      </c>
      <c r="K3765" s="219"/>
      <c r="L3765" s="219">
        <v>132620</v>
      </c>
    </row>
    <row r="3766" spans="1:14" ht="11.25" customHeight="1" x14ac:dyDescent="0.2">
      <c r="A3766" s="168">
        <v>2021</v>
      </c>
      <c r="B3766" s="168">
        <v>7</v>
      </c>
      <c r="C3766" s="168">
        <v>18</v>
      </c>
      <c r="D3766" s="141">
        <f t="shared" si="124"/>
        <v>44395</v>
      </c>
      <c r="E3766" s="275">
        <f t="shared" si="125"/>
        <v>44395</v>
      </c>
      <c r="F3766" s="479" t="s">
        <v>964</v>
      </c>
      <c r="G3766" s="220" t="s">
        <v>74</v>
      </c>
      <c r="H3766" s="142" t="str" cm="1">
        <f t="array" ref="H3766">IFERROR(INDEX(INVESTOR_LIST[INVESTOR NAME],MATCH(I3766,INVESTOR_LIST[INVESTOR CODE],0),)," ")</f>
        <v>MOHAMMAD MIZANUR RAHMAN</v>
      </c>
      <c r="I3766" s="142" t="s">
        <v>828</v>
      </c>
      <c r="J3766" s="168" t="s">
        <v>52</v>
      </c>
      <c r="K3766" s="226">
        <v>687990</v>
      </c>
      <c r="L3766" s="226"/>
    </row>
    <row r="3767" spans="1:14" ht="56.25" x14ac:dyDescent="0.2">
      <c r="A3767" s="133">
        <v>2021</v>
      </c>
      <c r="B3767" s="133">
        <v>7</v>
      </c>
      <c r="C3767" s="133">
        <v>18</v>
      </c>
      <c r="D3767" s="141">
        <f t="shared" si="124"/>
        <v>44395</v>
      </c>
      <c r="E3767" s="275">
        <f t="shared" si="125"/>
        <v>44395</v>
      </c>
      <c r="F3767" s="481"/>
      <c r="G3767" s="174" t="s">
        <v>74</v>
      </c>
      <c r="H3767" s="148" t="str" cm="1">
        <f t="array" ref="H3767">IFERROR(INDEX(INVESTOR_LIST[INVESTOR NAME],MATCH(I3767,INVESTOR_LIST[INVESTOR CODE],0),)," ")</f>
        <v>MOHAMMAD MIZANUR RAHMAN</v>
      </c>
      <c r="I3767" s="148" t="s">
        <v>828</v>
      </c>
      <c r="J3767" s="133" t="s">
        <v>13</v>
      </c>
      <c r="K3767" s="218"/>
      <c r="L3767" s="218">
        <v>510000</v>
      </c>
      <c r="N3767" s="160">
        <f>K3772/13.49</f>
        <v>5431.4306893995554</v>
      </c>
    </row>
    <row r="3768" spans="1:14" ht="56.25" x14ac:dyDescent="0.2">
      <c r="A3768" s="163">
        <v>2021</v>
      </c>
      <c r="B3768" s="163">
        <v>7</v>
      </c>
      <c r="C3768" s="163">
        <v>18</v>
      </c>
      <c r="D3768" s="141">
        <f t="shared" si="124"/>
        <v>44395</v>
      </c>
      <c r="E3768" s="275">
        <f t="shared" si="125"/>
        <v>44395</v>
      </c>
      <c r="F3768" s="480"/>
      <c r="G3768" s="221" t="s">
        <v>74</v>
      </c>
      <c r="H3768" s="145" t="str" cm="1">
        <f t="array" ref="H3768">IFERROR(INDEX(INVESTOR_LIST[INVESTOR NAME],MATCH(I3768,INVESTOR_LIST[INVESTOR CODE],0),)," ")</f>
        <v>MOHAMMAD MIZANUR RAHMAN</v>
      </c>
      <c r="I3768" s="145" t="s">
        <v>828</v>
      </c>
      <c r="J3768" s="163" t="s">
        <v>53</v>
      </c>
      <c r="K3768" s="219"/>
      <c r="L3768" s="219">
        <v>177990</v>
      </c>
    </row>
    <row r="3769" spans="1:14" ht="11.25" customHeight="1" x14ac:dyDescent="0.2">
      <c r="A3769" s="168">
        <v>2021</v>
      </c>
      <c r="B3769" s="168">
        <v>7</v>
      </c>
      <c r="C3769" s="168">
        <v>18</v>
      </c>
      <c r="D3769" s="141">
        <f t="shared" si="124"/>
        <v>44395</v>
      </c>
      <c r="E3769" s="275">
        <f t="shared" si="125"/>
        <v>44395</v>
      </c>
      <c r="F3769" s="479" t="s">
        <v>964</v>
      </c>
      <c r="G3769" s="220" t="s">
        <v>74</v>
      </c>
      <c r="H3769" s="142" t="str" cm="1">
        <f t="array" ref="H3769">IFERROR(INDEX(INVESTOR_LIST[INVESTOR NAME],MATCH(I3769,INVESTOR_LIST[INVESTOR CODE],0),)," ")</f>
        <v>UMME SALMA KATHA</v>
      </c>
      <c r="I3769" s="142" t="s">
        <v>830</v>
      </c>
      <c r="J3769" s="168" t="s">
        <v>52</v>
      </c>
      <c r="K3769" s="226">
        <v>998260</v>
      </c>
      <c r="L3769" s="226"/>
    </row>
    <row r="3770" spans="1:14" ht="33.75" x14ac:dyDescent="0.2">
      <c r="A3770" s="133">
        <v>2021</v>
      </c>
      <c r="B3770" s="133">
        <v>7</v>
      </c>
      <c r="C3770" s="133">
        <v>18</v>
      </c>
      <c r="D3770" s="141">
        <f t="shared" si="124"/>
        <v>44395</v>
      </c>
      <c r="E3770" s="275">
        <f t="shared" si="125"/>
        <v>44395</v>
      </c>
      <c r="F3770" s="481"/>
      <c r="G3770" s="174" t="s">
        <v>74</v>
      </c>
      <c r="H3770" s="148" t="str" cm="1">
        <f t="array" ref="H3770">IFERROR(INDEX(INVESTOR_LIST[INVESTOR NAME],MATCH(I3770,INVESTOR_LIST[INVESTOR CODE],0),)," ")</f>
        <v>UMME SALMA KATHA</v>
      </c>
      <c r="I3770" s="148" t="s">
        <v>830</v>
      </c>
      <c r="J3770" s="133" t="s">
        <v>13</v>
      </c>
      <c r="K3770" s="218"/>
      <c r="L3770" s="218">
        <v>740000</v>
      </c>
    </row>
    <row r="3771" spans="1:14" ht="33.75" x14ac:dyDescent="0.2">
      <c r="A3771" s="163">
        <v>2021</v>
      </c>
      <c r="B3771" s="163">
        <v>7</v>
      </c>
      <c r="C3771" s="163">
        <v>18</v>
      </c>
      <c r="D3771" s="141">
        <f t="shared" si="124"/>
        <v>44395</v>
      </c>
      <c r="E3771" s="275">
        <f t="shared" si="125"/>
        <v>44395</v>
      </c>
      <c r="F3771" s="480"/>
      <c r="G3771" s="221" t="s">
        <v>74</v>
      </c>
      <c r="H3771" s="145" t="str" cm="1">
        <f t="array" ref="H3771">IFERROR(INDEX(INVESTOR_LIST[INVESTOR NAME],MATCH(I3771,INVESTOR_LIST[INVESTOR CODE],0),)," ")</f>
        <v>UMME SALMA KATHA</v>
      </c>
      <c r="I3771" s="145" t="s">
        <v>830</v>
      </c>
      <c r="J3771" s="163" t="s">
        <v>53</v>
      </c>
      <c r="K3771" s="219"/>
      <c r="L3771" s="219">
        <v>258260</v>
      </c>
    </row>
    <row r="3772" spans="1:14" ht="11.25" customHeight="1" x14ac:dyDescent="0.2">
      <c r="A3772" s="168">
        <v>2021</v>
      </c>
      <c r="B3772" s="168">
        <v>7</v>
      </c>
      <c r="C3772" s="168">
        <v>18</v>
      </c>
      <c r="D3772" s="141">
        <f t="shared" si="124"/>
        <v>44395</v>
      </c>
      <c r="E3772" s="275">
        <f t="shared" si="125"/>
        <v>44395</v>
      </c>
      <c r="F3772" s="479" t="s">
        <v>965</v>
      </c>
      <c r="G3772" s="220" t="s">
        <v>74</v>
      </c>
      <c r="H3772" s="142" t="str" cm="1">
        <f t="array" ref="H3772">IFERROR(INDEX(INVESTOR_LIST[INVESTOR NAME],MATCH(I3772,INVESTOR_LIST[INVESTOR CODE],0),)," ")</f>
        <v>FAIYEAD AHMEDUL HYE</v>
      </c>
      <c r="I3772" s="142" t="s">
        <v>496</v>
      </c>
      <c r="J3772" s="168" t="s">
        <v>13</v>
      </c>
      <c r="K3772" s="226">
        <v>73270</v>
      </c>
      <c r="L3772" s="226"/>
    </row>
    <row r="3773" spans="1:14" ht="33.75" x14ac:dyDescent="0.2">
      <c r="A3773" s="133">
        <v>2021</v>
      </c>
      <c r="B3773" s="133">
        <v>7</v>
      </c>
      <c r="C3773" s="133">
        <v>18</v>
      </c>
      <c r="D3773" s="141">
        <f t="shared" si="124"/>
        <v>44395</v>
      </c>
      <c r="E3773" s="275">
        <f t="shared" si="125"/>
        <v>44395</v>
      </c>
      <c r="F3773" s="481"/>
      <c r="G3773" s="174" t="s">
        <v>74</v>
      </c>
      <c r="H3773" s="148" t="str" cm="1">
        <f t="array" ref="H3773">IFERROR(INDEX(INVESTOR_LIST[INVESTOR NAME],MATCH(I3773,INVESTOR_LIST[INVESTOR CODE],0),)," ")</f>
        <v>FAIYEAD AHMEDUL HYE</v>
      </c>
      <c r="I3773" s="148" t="s">
        <v>496</v>
      </c>
      <c r="J3773" s="133" t="s">
        <v>53</v>
      </c>
      <c r="K3773" s="218">
        <v>26743.55</v>
      </c>
      <c r="L3773" s="218"/>
    </row>
    <row r="3774" spans="1:14" ht="33.75" x14ac:dyDescent="0.2">
      <c r="A3774" s="163">
        <v>2021</v>
      </c>
      <c r="B3774" s="163">
        <v>7</v>
      </c>
      <c r="C3774" s="163">
        <v>18</v>
      </c>
      <c r="D3774" s="141">
        <f t="shared" si="124"/>
        <v>44395</v>
      </c>
      <c r="E3774" s="275">
        <f t="shared" si="125"/>
        <v>44395</v>
      </c>
      <c r="F3774" s="480"/>
      <c r="G3774" s="221" t="s">
        <v>74</v>
      </c>
      <c r="H3774" s="145" t="str" cm="1">
        <f t="array" ref="H3774">IFERROR(INDEX(INVESTOR_LIST[INVESTOR NAME],MATCH(I3774,INVESTOR_LIST[INVESTOR CODE],0),)," ")</f>
        <v>FAIYEAD AHMEDUL HYE</v>
      </c>
      <c r="I3774" s="145" t="s">
        <v>496</v>
      </c>
      <c r="J3774" s="163" t="s">
        <v>52</v>
      </c>
      <c r="K3774" s="219"/>
      <c r="L3774" s="219">
        <v>100013.55</v>
      </c>
    </row>
    <row r="3775" spans="1:14" x14ac:dyDescent="0.2">
      <c r="A3775" s="133">
        <v>2021</v>
      </c>
      <c r="B3775" s="133">
        <v>7</v>
      </c>
      <c r="C3775" s="133">
        <v>18</v>
      </c>
      <c r="D3775" s="141">
        <f t="shared" si="124"/>
        <v>44395</v>
      </c>
      <c r="E3775" s="275">
        <f t="shared" si="125"/>
        <v>44395</v>
      </c>
      <c r="F3775" s="479" t="s">
        <v>77</v>
      </c>
      <c r="G3775" s="174" t="s">
        <v>74</v>
      </c>
      <c r="H3775" s="148" t="str" cm="1">
        <f t="array" ref="H3775">IFERROR(INDEX(INVESTOR_LIST[INVESTOR NAME],MATCH(I3775,INVESTOR_LIST[INVESTOR CODE],0),)," ")</f>
        <v xml:space="preserve"> </v>
      </c>
      <c r="I3775" s="148" t="s">
        <v>348</v>
      </c>
      <c r="J3775" s="133" t="s">
        <v>61</v>
      </c>
      <c r="K3775" s="172">
        <v>60</v>
      </c>
    </row>
    <row r="3776" spans="1:14" x14ac:dyDescent="0.2">
      <c r="A3776" s="163">
        <v>2021</v>
      </c>
      <c r="B3776" s="163">
        <v>7</v>
      </c>
      <c r="C3776" s="163">
        <v>18</v>
      </c>
      <c r="D3776" s="141">
        <f t="shared" si="124"/>
        <v>44395</v>
      </c>
      <c r="E3776" s="275">
        <f t="shared" si="125"/>
        <v>44395</v>
      </c>
      <c r="F3776" s="480"/>
      <c r="G3776" s="221" t="s">
        <v>74</v>
      </c>
      <c r="H3776" s="145" t="str" cm="1">
        <f t="array" ref="H3776">IFERROR(INDEX(INVESTOR_LIST[INVESTOR NAME],MATCH(I3776,INVESTOR_LIST[INVESTOR CODE],0),)," ")</f>
        <v xml:space="preserve"> </v>
      </c>
      <c r="I3776" s="145" t="s">
        <v>348</v>
      </c>
      <c r="J3776" s="163" t="s">
        <v>52</v>
      </c>
      <c r="K3776" s="219"/>
      <c r="L3776" s="219">
        <v>60</v>
      </c>
      <c r="N3776" s="156">
        <f>K3785/13.65</f>
        <v>3663.003663003663</v>
      </c>
    </row>
    <row r="3777" spans="1:12" x14ac:dyDescent="0.2">
      <c r="A3777" s="133">
        <v>2021</v>
      </c>
      <c r="B3777" s="133">
        <v>7</v>
      </c>
      <c r="C3777" s="133">
        <v>18</v>
      </c>
      <c r="D3777" s="141">
        <f t="shared" si="124"/>
        <v>44395</v>
      </c>
      <c r="E3777" s="275">
        <f t="shared" si="125"/>
        <v>44395</v>
      </c>
      <c r="F3777" s="479" t="s">
        <v>77</v>
      </c>
      <c r="G3777" s="174" t="s">
        <v>74</v>
      </c>
      <c r="H3777" s="148" t="str" cm="1">
        <f t="array" ref="H3777">IFERROR(INDEX(INVESTOR_LIST[INVESTOR NAME],MATCH(I3777,INVESTOR_LIST[INVESTOR CODE],0),)," ")</f>
        <v xml:space="preserve"> </v>
      </c>
      <c r="I3777" s="148" t="s">
        <v>348</v>
      </c>
      <c r="J3777" s="133" t="s">
        <v>61</v>
      </c>
      <c r="K3777" s="172">
        <v>60</v>
      </c>
    </row>
    <row r="3778" spans="1:12" x14ac:dyDescent="0.2">
      <c r="A3778" s="163">
        <v>2021</v>
      </c>
      <c r="B3778" s="163">
        <v>7</v>
      </c>
      <c r="C3778" s="163">
        <v>18</v>
      </c>
      <c r="D3778" s="141">
        <f t="shared" si="124"/>
        <v>44395</v>
      </c>
      <c r="E3778" s="275">
        <f t="shared" si="125"/>
        <v>44395</v>
      </c>
      <c r="F3778" s="480"/>
      <c r="G3778" s="221" t="s">
        <v>74</v>
      </c>
      <c r="H3778" s="145" t="str" cm="1">
        <f t="array" ref="H3778">IFERROR(INDEX(INVESTOR_LIST[INVESTOR NAME],MATCH(I3778,INVESTOR_LIST[INVESTOR CODE],0),)," ")</f>
        <v xml:space="preserve"> </v>
      </c>
      <c r="I3778" s="145" t="s">
        <v>348</v>
      </c>
      <c r="J3778" s="163" t="s">
        <v>52</v>
      </c>
      <c r="K3778" s="219"/>
      <c r="L3778" s="219">
        <v>60</v>
      </c>
    </row>
    <row r="3779" spans="1:12" x14ac:dyDescent="0.2">
      <c r="A3779" s="133">
        <v>2021</v>
      </c>
      <c r="B3779" s="133">
        <v>7</v>
      </c>
      <c r="C3779" s="133">
        <v>18</v>
      </c>
      <c r="D3779" s="141">
        <f t="shared" si="124"/>
        <v>44395</v>
      </c>
      <c r="E3779" s="275">
        <f t="shared" si="125"/>
        <v>44395</v>
      </c>
      <c r="F3779" s="479" t="s">
        <v>77</v>
      </c>
      <c r="G3779" s="174" t="s">
        <v>74</v>
      </c>
      <c r="H3779" s="148" t="str" cm="1">
        <f t="array" ref="H3779">IFERROR(INDEX(INVESTOR_LIST[INVESTOR NAME],MATCH(I3779,INVESTOR_LIST[INVESTOR CODE],0),)," ")</f>
        <v xml:space="preserve"> </v>
      </c>
      <c r="I3779" s="148" t="s">
        <v>348</v>
      </c>
      <c r="J3779" s="133" t="s">
        <v>61</v>
      </c>
      <c r="K3779" s="172">
        <v>60</v>
      </c>
    </row>
    <row r="3780" spans="1:12" x14ac:dyDescent="0.2">
      <c r="A3780" s="163">
        <v>2021</v>
      </c>
      <c r="B3780" s="163">
        <v>7</v>
      </c>
      <c r="C3780" s="163">
        <v>18</v>
      </c>
      <c r="D3780" s="141">
        <f t="shared" si="124"/>
        <v>44395</v>
      </c>
      <c r="E3780" s="275">
        <f t="shared" si="125"/>
        <v>44395</v>
      </c>
      <c r="F3780" s="480"/>
      <c r="G3780" s="221" t="s">
        <v>74</v>
      </c>
      <c r="H3780" s="145" t="str" cm="1">
        <f t="array" ref="H3780">IFERROR(INDEX(INVESTOR_LIST[INVESTOR NAME],MATCH(I3780,INVESTOR_LIST[INVESTOR CODE],0),)," ")</f>
        <v xml:space="preserve"> </v>
      </c>
      <c r="I3780" s="145" t="s">
        <v>348</v>
      </c>
      <c r="J3780" s="163" t="s">
        <v>52</v>
      </c>
      <c r="K3780" s="219"/>
      <c r="L3780" s="219">
        <v>60</v>
      </c>
    </row>
    <row r="3781" spans="1:12" x14ac:dyDescent="0.2">
      <c r="A3781" s="168">
        <v>2021</v>
      </c>
      <c r="B3781" s="168">
        <v>7</v>
      </c>
      <c r="C3781" s="168">
        <v>18</v>
      </c>
      <c r="D3781" s="141">
        <f t="shared" si="124"/>
        <v>44395</v>
      </c>
      <c r="E3781" s="275">
        <f t="shared" si="125"/>
        <v>44395</v>
      </c>
      <c r="F3781" s="479" t="s">
        <v>524</v>
      </c>
      <c r="G3781" s="220" t="s">
        <v>74</v>
      </c>
      <c r="H3781" s="220" t="str" cm="1">
        <f t="array" ref="H3781">IFERROR(INDEX(INVESTOR_LIST[INVESTOR NAME],MATCH(I3781,INVESTOR_LIST[INVESTOR CODE],0),)," ")</f>
        <v xml:space="preserve"> </v>
      </c>
      <c r="I3781" s="142" t="s">
        <v>348</v>
      </c>
      <c r="J3781" s="143" t="s">
        <v>147</v>
      </c>
      <c r="K3781" s="226">
        <v>1350576.67</v>
      </c>
      <c r="L3781" s="226"/>
    </row>
    <row r="3782" spans="1:12" x14ac:dyDescent="0.2">
      <c r="A3782" s="163">
        <v>2021</v>
      </c>
      <c r="B3782" s="163">
        <v>7</v>
      </c>
      <c r="C3782" s="163">
        <v>18</v>
      </c>
      <c r="D3782" s="141">
        <f t="shared" si="124"/>
        <v>44395</v>
      </c>
      <c r="E3782" s="275">
        <f t="shared" si="125"/>
        <v>44395</v>
      </c>
      <c r="F3782" s="480"/>
      <c r="G3782" s="221" t="s">
        <v>74</v>
      </c>
      <c r="H3782" s="221" t="str" cm="1">
        <f t="array" ref="H3782">IFERROR(INDEX(INVESTOR_LIST[INVESTOR NAME],MATCH(I3782,INVESTOR_LIST[INVESTOR CODE],0),)," ")</f>
        <v xml:space="preserve"> </v>
      </c>
      <c r="I3782" s="145" t="s">
        <v>348</v>
      </c>
      <c r="J3782" s="146" t="s">
        <v>52</v>
      </c>
      <c r="K3782" s="219"/>
      <c r="L3782" s="219">
        <v>1350576.67</v>
      </c>
    </row>
    <row r="3783" spans="1:12" x14ac:dyDescent="0.2">
      <c r="A3783" s="168">
        <v>2021</v>
      </c>
      <c r="B3783" s="168">
        <v>7</v>
      </c>
      <c r="C3783" s="168">
        <v>18</v>
      </c>
      <c r="D3783" s="141">
        <f t="shared" si="124"/>
        <v>44395</v>
      </c>
      <c r="E3783" s="275">
        <f t="shared" si="125"/>
        <v>44395</v>
      </c>
      <c r="F3783" s="479" t="s">
        <v>275</v>
      </c>
      <c r="G3783" s="220" t="s">
        <v>74</v>
      </c>
      <c r="H3783" s="220" t="str" cm="1">
        <f t="array" ref="H3783">IFERROR(INDEX(INVESTOR_LIST[INVESTOR NAME],MATCH(I3783,INVESTOR_LIST[INVESTOR CODE],0),)," ")</f>
        <v xml:space="preserve"> </v>
      </c>
      <c r="I3783" s="142" t="s">
        <v>348</v>
      </c>
      <c r="J3783" s="143" t="s">
        <v>163</v>
      </c>
      <c r="K3783" s="226">
        <v>3150</v>
      </c>
      <c r="L3783" s="226"/>
    </row>
    <row r="3784" spans="1:12" x14ac:dyDescent="0.2">
      <c r="A3784" s="163">
        <v>2021</v>
      </c>
      <c r="B3784" s="163">
        <v>7</v>
      </c>
      <c r="C3784" s="163">
        <v>18</v>
      </c>
      <c r="D3784" s="141">
        <f t="shared" si="124"/>
        <v>44395</v>
      </c>
      <c r="E3784" s="275">
        <f t="shared" si="125"/>
        <v>44395</v>
      </c>
      <c r="F3784" s="480"/>
      <c r="G3784" s="221" t="s">
        <v>74</v>
      </c>
      <c r="H3784" s="221" t="str" cm="1">
        <f t="array" ref="H3784">IFERROR(INDEX(INVESTOR_LIST[INVESTOR NAME],MATCH(I3784,INVESTOR_LIST[INVESTOR CODE],0),)," ")</f>
        <v xml:space="preserve"> </v>
      </c>
      <c r="I3784" s="145" t="s">
        <v>348</v>
      </c>
      <c r="J3784" s="146" t="s">
        <v>52</v>
      </c>
      <c r="K3784" s="219"/>
      <c r="L3784" s="219">
        <v>3150</v>
      </c>
    </row>
    <row r="3785" spans="1:12" ht="11.25" customHeight="1" x14ac:dyDescent="0.2">
      <c r="A3785" s="168">
        <v>2021</v>
      </c>
      <c r="B3785" s="168">
        <v>7</v>
      </c>
      <c r="C3785" s="168">
        <v>19</v>
      </c>
      <c r="D3785" s="141">
        <f t="shared" si="124"/>
        <v>44396</v>
      </c>
      <c r="E3785" s="275">
        <f t="shared" si="125"/>
        <v>44396</v>
      </c>
      <c r="F3785" s="479" t="s">
        <v>964</v>
      </c>
      <c r="G3785" s="220" t="s">
        <v>74</v>
      </c>
      <c r="H3785" s="142" t="str" cm="1">
        <f t="array" ref="H3785">IFERROR(INDEX(INVESTOR_LIST[INVESTOR NAME],MATCH(I3785,INVESTOR_LIST[INVESTOR CODE],0),)," ")</f>
        <v>JHARNA RANI SAHA</v>
      </c>
      <c r="I3785" s="142" t="s">
        <v>445</v>
      </c>
      <c r="J3785" s="168" t="s">
        <v>52</v>
      </c>
      <c r="K3785" s="226">
        <v>50000</v>
      </c>
      <c r="L3785" s="226"/>
    </row>
    <row r="3786" spans="1:12" ht="33.75" x14ac:dyDescent="0.2">
      <c r="A3786" s="133">
        <v>2021</v>
      </c>
      <c r="B3786" s="133">
        <v>7</v>
      </c>
      <c r="C3786" s="133">
        <v>19</v>
      </c>
      <c r="D3786" s="141">
        <f t="shared" si="124"/>
        <v>44396</v>
      </c>
      <c r="E3786" s="275">
        <f t="shared" si="125"/>
        <v>44396</v>
      </c>
      <c r="F3786" s="481"/>
      <c r="G3786" s="174" t="s">
        <v>74</v>
      </c>
      <c r="H3786" s="148" t="str" cm="1">
        <f t="array" ref="H3786">IFERROR(INDEX(INVESTOR_LIST[INVESTOR NAME],MATCH(I3786,INVESTOR_LIST[INVESTOR CODE],0),)," ")</f>
        <v>JHARNA RANI SAHA</v>
      </c>
      <c r="I3786" s="148" t="s">
        <v>445</v>
      </c>
      <c r="J3786" s="133" t="s">
        <v>13</v>
      </c>
      <c r="K3786" s="218"/>
      <c r="L3786" s="218">
        <v>36630</v>
      </c>
    </row>
    <row r="3787" spans="1:12" ht="33.75" x14ac:dyDescent="0.2">
      <c r="A3787" s="163">
        <v>2021</v>
      </c>
      <c r="B3787" s="163">
        <v>7</v>
      </c>
      <c r="C3787" s="163">
        <v>19</v>
      </c>
      <c r="D3787" s="141">
        <f t="shared" si="124"/>
        <v>44396</v>
      </c>
      <c r="E3787" s="275">
        <f t="shared" si="125"/>
        <v>44396</v>
      </c>
      <c r="F3787" s="480"/>
      <c r="G3787" s="221" t="s">
        <v>74</v>
      </c>
      <c r="H3787" s="145" t="str" cm="1">
        <f t="array" ref="H3787">IFERROR(INDEX(INVESTOR_LIST[INVESTOR NAME],MATCH(I3787,INVESTOR_LIST[INVESTOR CODE],0),)," ")</f>
        <v>JHARNA RANI SAHA</v>
      </c>
      <c r="I3787" s="145" t="s">
        <v>445</v>
      </c>
      <c r="J3787" s="163" t="s">
        <v>53</v>
      </c>
      <c r="K3787" s="219"/>
      <c r="L3787" s="219">
        <v>13370</v>
      </c>
    </row>
    <row r="3788" spans="1:12" ht="11.25" customHeight="1" x14ac:dyDescent="0.2">
      <c r="A3788" s="168">
        <v>2021</v>
      </c>
      <c r="B3788" s="168">
        <v>7</v>
      </c>
      <c r="C3788" s="168">
        <v>19</v>
      </c>
      <c r="D3788" s="141">
        <f t="shared" si="124"/>
        <v>44396</v>
      </c>
      <c r="E3788" s="275">
        <f t="shared" si="125"/>
        <v>44396</v>
      </c>
      <c r="F3788" s="479" t="s">
        <v>964</v>
      </c>
      <c r="G3788" s="220" t="s">
        <v>74</v>
      </c>
      <c r="H3788" s="142" t="str" cm="1">
        <f t="array" ref="H3788">IFERROR(INDEX(INVESTOR_LIST[INVESTOR NAME],MATCH(I3788,INVESTOR_LIST[INVESTOR CODE],0),)," ")</f>
        <v>MD. ZAHIRUL ISLAM</v>
      </c>
      <c r="I3788" s="142" t="s">
        <v>832</v>
      </c>
      <c r="J3788" s="168" t="s">
        <v>52</v>
      </c>
      <c r="K3788" s="226">
        <v>204750</v>
      </c>
      <c r="L3788" s="226"/>
    </row>
    <row r="3789" spans="1:12" ht="33.75" x14ac:dyDescent="0.2">
      <c r="A3789" s="133">
        <v>2021</v>
      </c>
      <c r="B3789" s="133">
        <v>7</v>
      </c>
      <c r="C3789" s="133">
        <v>19</v>
      </c>
      <c r="D3789" s="141">
        <f t="shared" si="124"/>
        <v>44396</v>
      </c>
      <c r="E3789" s="275">
        <f t="shared" si="125"/>
        <v>44396</v>
      </c>
      <c r="F3789" s="481"/>
      <c r="G3789" s="174" t="s">
        <v>74</v>
      </c>
      <c r="H3789" s="148" t="str" cm="1">
        <f t="array" ref="H3789">IFERROR(INDEX(INVESTOR_LIST[INVESTOR NAME],MATCH(I3789,INVESTOR_LIST[INVESTOR CODE],0),)," ")</f>
        <v>MD. ZAHIRUL ISLAM</v>
      </c>
      <c r="I3789" s="148" t="s">
        <v>832</v>
      </c>
      <c r="J3789" s="133" t="s">
        <v>13</v>
      </c>
      <c r="K3789" s="218"/>
      <c r="L3789" s="218">
        <v>150000</v>
      </c>
    </row>
    <row r="3790" spans="1:12" ht="33.75" x14ac:dyDescent="0.2">
      <c r="A3790" s="163">
        <v>2021</v>
      </c>
      <c r="B3790" s="163">
        <v>7</v>
      </c>
      <c r="C3790" s="163">
        <v>19</v>
      </c>
      <c r="D3790" s="141">
        <f t="shared" ref="D3790:D3853" si="126">DATE(A3790,B3790,C3790)</f>
        <v>44396</v>
      </c>
      <c r="E3790" s="275">
        <f t="shared" si="125"/>
        <v>44396</v>
      </c>
      <c r="F3790" s="480"/>
      <c r="G3790" s="221" t="s">
        <v>74</v>
      </c>
      <c r="H3790" s="145" t="str" cm="1">
        <f t="array" ref="H3790">IFERROR(INDEX(INVESTOR_LIST[INVESTOR NAME],MATCH(I3790,INVESTOR_LIST[INVESTOR CODE],0),)," ")</f>
        <v>MD. ZAHIRUL ISLAM</v>
      </c>
      <c r="I3790" s="145" t="s">
        <v>832</v>
      </c>
      <c r="J3790" s="163" t="s">
        <v>53</v>
      </c>
      <c r="K3790" s="219"/>
      <c r="L3790" s="219">
        <v>54750</v>
      </c>
    </row>
    <row r="3791" spans="1:12" ht="11.25" customHeight="1" x14ac:dyDescent="0.2">
      <c r="A3791" s="168">
        <v>2021</v>
      </c>
      <c r="B3791" s="168">
        <v>7</v>
      </c>
      <c r="C3791" s="168">
        <v>19</v>
      </c>
      <c r="D3791" s="141">
        <f t="shared" si="126"/>
        <v>44396</v>
      </c>
      <c r="E3791" s="275">
        <f t="shared" ref="E3791:E3854" si="127">DATE(A3791,B3791,C3791)</f>
        <v>44396</v>
      </c>
      <c r="F3791" s="479" t="s">
        <v>964</v>
      </c>
      <c r="G3791" s="220" t="s">
        <v>74</v>
      </c>
      <c r="H3791" s="142" t="str" cm="1">
        <f t="array" ref="H3791">IFERROR(INDEX(INVESTOR_LIST[INVESTOR NAME],MATCH(I3791,INVESTOR_LIST[INVESTOR CODE],0),)," ")</f>
        <v>TRIPTI BARUA</v>
      </c>
      <c r="I3791" s="142" t="s">
        <v>498</v>
      </c>
      <c r="J3791" s="168" t="s">
        <v>52</v>
      </c>
      <c r="K3791" s="226">
        <v>500000</v>
      </c>
      <c r="L3791" s="226"/>
    </row>
    <row r="3792" spans="1:12" ht="22.5" x14ac:dyDescent="0.2">
      <c r="A3792" s="133">
        <v>2021</v>
      </c>
      <c r="B3792" s="133">
        <v>7</v>
      </c>
      <c r="C3792" s="133">
        <v>19</v>
      </c>
      <c r="D3792" s="141">
        <f t="shared" si="126"/>
        <v>44396</v>
      </c>
      <c r="E3792" s="275">
        <f t="shared" si="127"/>
        <v>44396</v>
      </c>
      <c r="F3792" s="481"/>
      <c r="G3792" s="174" t="s">
        <v>74</v>
      </c>
      <c r="H3792" s="148" t="str" cm="1">
        <f t="array" ref="H3792">IFERROR(INDEX(INVESTOR_LIST[INVESTOR NAME],MATCH(I3792,INVESTOR_LIST[INVESTOR CODE],0),)," ")</f>
        <v>TRIPTI BARUA</v>
      </c>
      <c r="I3792" s="148" t="s">
        <v>498</v>
      </c>
      <c r="J3792" s="133" t="s">
        <v>13</v>
      </c>
      <c r="K3792" s="218"/>
      <c r="L3792" s="218">
        <v>366300</v>
      </c>
    </row>
    <row r="3793" spans="1:13" ht="22.5" x14ac:dyDescent="0.2">
      <c r="A3793" s="163">
        <v>2021</v>
      </c>
      <c r="B3793" s="163">
        <v>7</v>
      </c>
      <c r="C3793" s="163">
        <v>19</v>
      </c>
      <c r="D3793" s="141">
        <f t="shared" si="126"/>
        <v>44396</v>
      </c>
      <c r="E3793" s="275">
        <f t="shared" si="127"/>
        <v>44396</v>
      </c>
      <c r="F3793" s="480"/>
      <c r="G3793" s="221" t="s">
        <v>74</v>
      </c>
      <c r="H3793" s="145" t="str" cm="1">
        <f t="array" ref="H3793">IFERROR(INDEX(INVESTOR_LIST[INVESTOR NAME],MATCH(I3793,INVESTOR_LIST[INVESTOR CODE],0),)," ")</f>
        <v>TRIPTI BARUA</v>
      </c>
      <c r="I3793" s="145" t="s">
        <v>498</v>
      </c>
      <c r="J3793" s="163" t="s">
        <v>53</v>
      </c>
      <c r="K3793" s="219"/>
      <c r="L3793" s="219">
        <v>133700</v>
      </c>
    </row>
    <row r="3794" spans="1:13" x14ac:dyDescent="0.2">
      <c r="A3794" s="168">
        <v>2021</v>
      </c>
      <c r="B3794" s="168">
        <v>7</v>
      </c>
      <c r="C3794" s="168">
        <v>19</v>
      </c>
      <c r="D3794" s="141">
        <f t="shared" si="126"/>
        <v>44396</v>
      </c>
      <c r="E3794" s="275">
        <f t="shared" si="127"/>
        <v>44396</v>
      </c>
      <c r="F3794" s="479" t="s">
        <v>524</v>
      </c>
      <c r="G3794" s="220" t="s">
        <v>74</v>
      </c>
      <c r="H3794" s="220" t="str" cm="1">
        <f t="array" ref="H3794">IFERROR(INDEX(INVESTOR_LIST[INVESTOR NAME],MATCH(I3794,INVESTOR_LIST[INVESTOR CODE],0),)," ")</f>
        <v xml:space="preserve"> </v>
      </c>
      <c r="I3794" s="142" t="s">
        <v>348</v>
      </c>
      <c r="J3794" s="143" t="s">
        <v>147</v>
      </c>
      <c r="K3794" s="226">
        <v>5777616.4199999999</v>
      </c>
      <c r="L3794" s="226"/>
    </row>
    <row r="3795" spans="1:13" x14ac:dyDescent="0.2">
      <c r="A3795" s="163">
        <v>2021</v>
      </c>
      <c r="B3795" s="163">
        <v>7</v>
      </c>
      <c r="C3795" s="163">
        <v>19</v>
      </c>
      <c r="D3795" s="141">
        <f t="shared" si="126"/>
        <v>44396</v>
      </c>
      <c r="E3795" s="275">
        <f t="shared" si="127"/>
        <v>44396</v>
      </c>
      <c r="F3795" s="480"/>
      <c r="G3795" s="221" t="s">
        <v>74</v>
      </c>
      <c r="H3795" s="221" t="str" cm="1">
        <f t="array" ref="H3795">IFERROR(INDEX(INVESTOR_LIST[INVESTOR NAME],MATCH(I3795,INVESTOR_LIST[INVESTOR CODE],0),)," ")</f>
        <v xml:space="preserve"> </v>
      </c>
      <c r="I3795" s="145" t="s">
        <v>348</v>
      </c>
      <c r="J3795" s="146" t="s">
        <v>52</v>
      </c>
      <c r="K3795" s="219"/>
      <c r="L3795" s="219">
        <v>5777616.4199999999</v>
      </c>
    </row>
    <row r="3796" spans="1:13" x14ac:dyDescent="0.2">
      <c r="A3796" s="168">
        <v>2021</v>
      </c>
      <c r="B3796" s="168">
        <v>7</v>
      </c>
      <c r="C3796" s="168">
        <v>19</v>
      </c>
      <c r="D3796" s="141">
        <f t="shared" si="126"/>
        <v>44396</v>
      </c>
      <c r="E3796" s="275">
        <f t="shared" si="127"/>
        <v>44396</v>
      </c>
      <c r="F3796" s="479" t="s">
        <v>274</v>
      </c>
      <c r="G3796" s="220" t="s">
        <v>74</v>
      </c>
      <c r="H3796" s="142" t="str" cm="1">
        <f t="array" ref="H3796">IFERROR(INDEX(INVESTOR_LIST[INVESTOR NAME],MATCH(I3796,INVESTOR_LIST[INVESTOR CODE],0),)," ")</f>
        <v xml:space="preserve"> </v>
      </c>
      <c r="I3796" s="142"/>
      <c r="J3796" s="168" t="s">
        <v>79</v>
      </c>
      <c r="K3796" s="226">
        <v>1996517.5</v>
      </c>
      <c r="L3796" s="226"/>
    </row>
    <row r="3797" spans="1:13" x14ac:dyDescent="0.2">
      <c r="A3797" s="133">
        <v>2021</v>
      </c>
      <c r="B3797" s="133">
        <v>7</v>
      </c>
      <c r="C3797" s="133">
        <v>19</v>
      </c>
      <c r="D3797" s="141">
        <f t="shared" si="126"/>
        <v>44396</v>
      </c>
      <c r="E3797" s="275">
        <f t="shared" si="127"/>
        <v>44396</v>
      </c>
      <c r="F3797" s="481"/>
      <c r="G3797" s="174" t="s">
        <v>74</v>
      </c>
      <c r="H3797" s="148" t="str" cm="1">
        <f t="array" ref="H3797">IFERROR(INDEX(INVESTOR_LIST[INVESTOR NAME],MATCH(I3797,INVESTOR_LIST[INVESTOR CODE],0),)," ")</f>
        <v xml:space="preserve"> </v>
      </c>
      <c r="J3797" s="133" t="s">
        <v>80</v>
      </c>
      <c r="K3797" s="218">
        <v>3593.73</v>
      </c>
      <c r="L3797" s="218"/>
    </row>
    <row r="3798" spans="1:13" x14ac:dyDescent="0.2">
      <c r="A3798" s="163">
        <v>2021</v>
      </c>
      <c r="B3798" s="163">
        <v>7</v>
      </c>
      <c r="C3798" s="163">
        <v>19</v>
      </c>
      <c r="D3798" s="141">
        <f t="shared" si="126"/>
        <v>44396</v>
      </c>
      <c r="E3798" s="275">
        <f t="shared" si="127"/>
        <v>44396</v>
      </c>
      <c r="F3798" s="480"/>
      <c r="G3798" s="221" t="s">
        <v>74</v>
      </c>
      <c r="H3798" s="145" t="str" cm="1">
        <f t="array" ref="H3798">IFERROR(INDEX(INVESTOR_LIST[INVESTOR NAME],MATCH(I3798,INVESTOR_LIST[INVESTOR CODE],0),)," ")</f>
        <v xml:space="preserve"> </v>
      </c>
      <c r="I3798" s="145"/>
      <c r="J3798" s="163" t="s">
        <v>147</v>
      </c>
      <c r="K3798" s="219"/>
      <c r="L3798" s="219">
        <v>2000111.23</v>
      </c>
    </row>
    <row r="3799" spans="1:13" x14ac:dyDescent="0.2">
      <c r="A3799" s="238">
        <v>2021</v>
      </c>
      <c r="B3799" s="238">
        <v>7</v>
      </c>
      <c r="C3799" s="238">
        <v>19</v>
      </c>
      <c r="D3799" s="141">
        <f t="shared" si="126"/>
        <v>44396</v>
      </c>
      <c r="E3799" s="275">
        <f t="shared" si="127"/>
        <v>44396</v>
      </c>
      <c r="F3799" s="477" t="s">
        <v>347</v>
      </c>
      <c r="G3799" s="239" t="s">
        <v>94</v>
      </c>
      <c r="H3799" s="239" t="str" cm="1">
        <f t="array" ref="H3799">IFERROR(INDEX(INVESTOR_LIST[INVESTOR NAME],MATCH(I3799,INVESTOR_LIST[INVESTOR CODE],0),)," ")</f>
        <v xml:space="preserve"> </v>
      </c>
      <c r="I3799" s="262" t="s">
        <v>348</v>
      </c>
      <c r="J3799" s="240" t="s">
        <v>108</v>
      </c>
      <c r="K3799" s="241">
        <v>10557604.110000014</v>
      </c>
      <c r="L3799" s="241"/>
    </row>
    <row r="3800" spans="1:13" x14ac:dyDescent="0.2">
      <c r="A3800" s="242">
        <v>2021</v>
      </c>
      <c r="B3800" s="242">
        <v>7</v>
      </c>
      <c r="C3800" s="242">
        <v>19</v>
      </c>
      <c r="D3800" s="141">
        <f t="shared" si="126"/>
        <v>44396</v>
      </c>
      <c r="E3800" s="275">
        <f t="shared" si="127"/>
        <v>44396</v>
      </c>
      <c r="F3800" s="478"/>
      <c r="G3800" s="243" t="s">
        <v>94</v>
      </c>
      <c r="H3800" s="243" t="str" cm="1">
        <f t="array" ref="H3800">IFERROR(INDEX(INVESTOR_LIST[INVESTOR NAME],MATCH(I3800,INVESTOR_LIST[INVESTOR CODE],0),)," ")</f>
        <v xml:space="preserve"> </v>
      </c>
      <c r="I3800" s="263" t="s">
        <v>348</v>
      </c>
      <c r="J3800" s="244" t="s">
        <v>82</v>
      </c>
      <c r="K3800" s="245"/>
      <c r="L3800" s="245">
        <v>10557604.110000014</v>
      </c>
    </row>
    <row r="3801" spans="1:13" ht="22.5" x14ac:dyDescent="0.2">
      <c r="A3801" s="246">
        <v>2021</v>
      </c>
      <c r="B3801" s="246">
        <v>7</v>
      </c>
      <c r="C3801" s="246">
        <v>19</v>
      </c>
      <c r="D3801" s="141">
        <f t="shared" si="126"/>
        <v>44396</v>
      </c>
      <c r="E3801" s="275">
        <f t="shared" si="127"/>
        <v>44396</v>
      </c>
      <c r="F3801" s="482" t="s">
        <v>148</v>
      </c>
      <c r="G3801" s="247" t="s">
        <v>94</v>
      </c>
      <c r="H3801" s="247" t="str" cm="1">
        <f t="array" ref="H3801">IFERROR(INDEX(INVESTOR_LIST[INVESTOR NAME],MATCH(I3801,INVESTOR_LIST[INVESTOR CODE],0),)," ")</f>
        <v xml:space="preserve"> </v>
      </c>
      <c r="I3801" s="248" t="s">
        <v>348</v>
      </c>
      <c r="J3801" s="249" t="s">
        <v>95</v>
      </c>
      <c r="K3801" s="250">
        <v>2747.2527472527472</v>
      </c>
      <c r="L3801" s="241"/>
      <c r="M3801" s="133">
        <v>2747.2527472527472</v>
      </c>
    </row>
    <row r="3802" spans="1:13" x14ac:dyDescent="0.2">
      <c r="A3802" s="242">
        <v>2021</v>
      </c>
      <c r="B3802" s="242">
        <v>7</v>
      </c>
      <c r="C3802" s="242">
        <v>19</v>
      </c>
      <c r="D3802" s="141">
        <f t="shared" si="126"/>
        <v>44396</v>
      </c>
      <c r="E3802" s="275">
        <f t="shared" si="127"/>
        <v>44396</v>
      </c>
      <c r="F3802" s="478"/>
      <c r="G3802" s="243" t="s">
        <v>94</v>
      </c>
      <c r="H3802" s="243" t="str" cm="1">
        <f t="array" ref="H3802">IFERROR(INDEX(INVESTOR_LIST[INVESTOR NAME],MATCH(I3802,INVESTOR_LIST[INVESTOR CODE],0),)," ")</f>
        <v xml:space="preserve"> </v>
      </c>
      <c r="I3802" s="263" t="s">
        <v>348</v>
      </c>
      <c r="J3802" s="244" t="s">
        <v>63</v>
      </c>
      <c r="K3802" s="245"/>
      <c r="L3802" s="245">
        <v>2747.2527472527472</v>
      </c>
      <c r="M3802" s="133">
        <v>110665.47121166854</v>
      </c>
    </row>
    <row r="3803" spans="1:13" x14ac:dyDescent="0.2">
      <c r="A3803" s="246">
        <v>2021</v>
      </c>
      <c r="B3803" s="246">
        <v>7</v>
      </c>
      <c r="C3803" s="246">
        <v>19</v>
      </c>
      <c r="D3803" s="141">
        <f t="shared" si="126"/>
        <v>44396</v>
      </c>
      <c r="E3803" s="275">
        <f t="shared" si="127"/>
        <v>44396</v>
      </c>
      <c r="F3803" s="482" t="s">
        <v>137</v>
      </c>
      <c r="G3803" s="247" t="s">
        <v>94</v>
      </c>
      <c r="H3803" s="247" t="str" cm="1">
        <f t="array" ref="H3803">IFERROR(INDEX(INVESTOR_LIST[INVESTOR NAME],MATCH(I3803,INVESTOR_LIST[INVESTOR CODE],0),)," ")</f>
        <v xml:space="preserve"> </v>
      </c>
      <c r="I3803" s="248" t="s">
        <v>348</v>
      </c>
      <c r="J3803" s="249" t="s">
        <v>97</v>
      </c>
      <c r="K3803" s="250">
        <v>110665.47121166854</v>
      </c>
      <c r="L3803" s="252"/>
      <c r="M3803" s="133">
        <v>5454.6211577009781</v>
      </c>
    </row>
    <row r="3804" spans="1:13" x14ac:dyDescent="0.2">
      <c r="A3804" s="242">
        <v>2021</v>
      </c>
      <c r="B3804" s="242">
        <v>7</v>
      </c>
      <c r="C3804" s="242">
        <v>19</v>
      </c>
      <c r="D3804" s="141">
        <f t="shared" si="126"/>
        <v>44396</v>
      </c>
      <c r="E3804" s="275">
        <f t="shared" si="127"/>
        <v>44396</v>
      </c>
      <c r="F3804" s="478"/>
      <c r="G3804" s="243" t="s">
        <v>94</v>
      </c>
      <c r="H3804" s="243" t="str" cm="1">
        <f t="array" ref="H3804">IFERROR(INDEX(INVESTOR_LIST[INVESTOR NAME],MATCH(I3804,INVESTOR_LIST[INVESTOR CODE],0),)," ")</f>
        <v xml:space="preserve"> </v>
      </c>
      <c r="I3804" s="263" t="s">
        <v>348</v>
      </c>
      <c r="J3804" s="244" t="s">
        <v>47</v>
      </c>
      <c r="K3804" s="245"/>
      <c r="L3804" s="245">
        <v>110665.47121166854</v>
      </c>
    </row>
    <row r="3805" spans="1:13" x14ac:dyDescent="0.2">
      <c r="A3805" s="246">
        <v>2021</v>
      </c>
      <c r="B3805" s="246">
        <v>7</v>
      </c>
      <c r="C3805" s="246">
        <v>19</v>
      </c>
      <c r="D3805" s="141">
        <f t="shared" si="126"/>
        <v>44396</v>
      </c>
      <c r="E3805" s="275">
        <f t="shared" si="127"/>
        <v>44396</v>
      </c>
      <c r="F3805" s="482" t="s">
        <v>138</v>
      </c>
      <c r="G3805" s="247" t="s">
        <v>94</v>
      </c>
      <c r="H3805" s="247" t="str" cm="1">
        <f t="array" ref="H3805">IFERROR(INDEX(INVESTOR_LIST[INVESTOR NAME],MATCH(I3805,INVESTOR_LIST[INVESTOR CODE],0),)," ")</f>
        <v xml:space="preserve"> </v>
      </c>
      <c r="I3805" s="248" t="s">
        <v>348</v>
      </c>
      <c r="J3805" s="249" t="s">
        <v>100</v>
      </c>
      <c r="K3805" s="250">
        <v>5454.6211577009781</v>
      </c>
      <c r="L3805" s="252"/>
    </row>
    <row r="3806" spans="1:13" x14ac:dyDescent="0.2">
      <c r="A3806" s="242">
        <v>2021</v>
      </c>
      <c r="B3806" s="242">
        <v>7</v>
      </c>
      <c r="C3806" s="242">
        <v>19</v>
      </c>
      <c r="D3806" s="141">
        <f t="shared" si="126"/>
        <v>44396</v>
      </c>
      <c r="E3806" s="275">
        <f t="shared" si="127"/>
        <v>44396</v>
      </c>
      <c r="F3806" s="478"/>
      <c r="G3806" s="243" t="s">
        <v>94</v>
      </c>
      <c r="H3806" s="243" t="str" cm="1">
        <f t="array" ref="H3806">IFERROR(INDEX(INVESTOR_LIST[INVESTOR NAME],MATCH(I3806,INVESTOR_LIST[INVESTOR CODE],0),)," ")</f>
        <v xml:space="preserve"> </v>
      </c>
      <c r="I3806" s="263" t="s">
        <v>348</v>
      </c>
      <c r="J3806" s="244" t="s">
        <v>48</v>
      </c>
      <c r="K3806" s="245"/>
      <c r="L3806" s="245">
        <v>5454.6211577009781</v>
      </c>
    </row>
    <row r="3807" spans="1:13" ht="11.25" customHeight="1" x14ac:dyDescent="0.2">
      <c r="A3807" s="168">
        <v>2021</v>
      </c>
      <c r="B3807" s="168">
        <v>7</v>
      </c>
      <c r="C3807" s="168">
        <v>25</v>
      </c>
      <c r="D3807" s="141">
        <f t="shared" si="126"/>
        <v>44402</v>
      </c>
      <c r="E3807" s="275">
        <f t="shared" si="127"/>
        <v>44402</v>
      </c>
      <c r="F3807" s="479" t="s">
        <v>964</v>
      </c>
      <c r="G3807" s="220" t="s">
        <v>74</v>
      </c>
      <c r="H3807" s="142" t="str" cm="1">
        <f t="array" ref="H3807">IFERROR(INDEX(INVESTOR_LIST[INVESTOR NAME],MATCH(I3807,INVESTOR_LIST[INVESTOR CODE],0),)," ")</f>
        <v>K.M SAKIB AHMED</v>
      </c>
      <c r="I3807" s="142" t="s">
        <v>552</v>
      </c>
      <c r="J3807" s="168" t="s">
        <v>52</v>
      </c>
      <c r="K3807" s="226">
        <v>1036000</v>
      </c>
      <c r="L3807" s="226"/>
    </row>
    <row r="3808" spans="1:13" ht="33.75" x14ac:dyDescent="0.2">
      <c r="A3808" s="133">
        <v>2021</v>
      </c>
      <c r="B3808" s="133">
        <v>7</v>
      </c>
      <c r="C3808" s="133">
        <v>25</v>
      </c>
      <c r="D3808" s="141">
        <f t="shared" si="126"/>
        <v>44402</v>
      </c>
      <c r="E3808" s="275">
        <f t="shared" si="127"/>
        <v>44402</v>
      </c>
      <c r="F3808" s="481"/>
      <c r="G3808" s="174" t="s">
        <v>74</v>
      </c>
      <c r="H3808" s="148" t="str" cm="1">
        <f t="array" ref="H3808">IFERROR(INDEX(INVESTOR_LIST[INVESTOR NAME],MATCH(I3808,INVESTOR_LIST[INVESTOR CODE],0),)," ")</f>
        <v>K.M SAKIB AHMED</v>
      </c>
      <c r="I3808" s="148" t="s">
        <v>552</v>
      </c>
      <c r="J3808" s="133" t="s">
        <v>13</v>
      </c>
      <c r="K3808" s="218"/>
      <c r="L3808" s="218">
        <v>758970</v>
      </c>
    </row>
    <row r="3809" spans="1:12" ht="33.75" x14ac:dyDescent="0.2">
      <c r="A3809" s="163">
        <v>2021</v>
      </c>
      <c r="B3809" s="163">
        <v>7</v>
      </c>
      <c r="C3809" s="163">
        <v>25</v>
      </c>
      <c r="D3809" s="141">
        <f t="shared" si="126"/>
        <v>44402</v>
      </c>
      <c r="E3809" s="275">
        <f t="shared" si="127"/>
        <v>44402</v>
      </c>
      <c r="F3809" s="480"/>
      <c r="G3809" s="221" t="s">
        <v>74</v>
      </c>
      <c r="H3809" s="145" t="str" cm="1">
        <f t="array" ref="H3809">IFERROR(INDEX(INVESTOR_LIST[INVESTOR NAME],MATCH(I3809,INVESTOR_LIST[INVESTOR CODE],0),)," ")</f>
        <v>K.M SAKIB AHMED</v>
      </c>
      <c r="I3809" s="145" t="s">
        <v>552</v>
      </c>
      <c r="J3809" s="163" t="s">
        <v>53</v>
      </c>
      <c r="K3809" s="219"/>
      <c r="L3809" s="219">
        <v>277030</v>
      </c>
    </row>
    <row r="3810" spans="1:12" ht="11.25" customHeight="1" x14ac:dyDescent="0.2">
      <c r="A3810" s="168">
        <v>2021</v>
      </c>
      <c r="B3810" s="168">
        <v>7</v>
      </c>
      <c r="C3810" s="168">
        <v>25</v>
      </c>
      <c r="D3810" s="141">
        <f t="shared" si="126"/>
        <v>44402</v>
      </c>
      <c r="E3810" s="275">
        <f t="shared" si="127"/>
        <v>44402</v>
      </c>
      <c r="F3810" s="479" t="s">
        <v>964</v>
      </c>
      <c r="G3810" s="220" t="s">
        <v>74</v>
      </c>
      <c r="H3810" s="142" t="str" cm="1">
        <f t="array" ref="H3810">IFERROR(INDEX(INVESTOR_LIST[INVESTOR NAME],MATCH(I3810,INVESTOR_LIST[INVESTOR CODE],0),)," ")</f>
        <v>UMME SALMA KATHA</v>
      </c>
      <c r="I3810" s="142" t="s">
        <v>830</v>
      </c>
      <c r="J3810" s="168" t="s">
        <v>52</v>
      </c>
      <c r="K3810" s="226">
        <v>354900</v>
      </c>
      <c r="L3810" s="226"/>
    </row>
    <row r="3811" spans="1:12" ht="33.75" x14ac:dyDescent="0.2">
      <c r="A3811" s="133">
        <v>2021</v>
      </c>
      <c r="B3811" s="133">
        <v>7</v>
      </c>
      <c r="C3811" s="133">
        <v>25</v>
      </c>
      <c r="D3811" s="141">
        <f t="shared" si="126"/>
        <v>44402</v>
      </c>
      <c r="E3811" s="275">
        <f t="shared" si="127"/>
        <v>44402</v>
      </c>
      <c r="F3811" s="481"/>
      <c r="G3811" s="174" t="s">
        <v>74</v>
      </c>
      <c r="H3811" s="148" t="str" cm="1">
        <f t="array" ref="H3811">IFERROR(INDEX(INVESTOR_LIST[INVESTOR NAME],MATCH(I3811,INVESTOR_LIST[INVESTOR CODE],0),)," ")</f>
        <v>UMME SALMA KATHA</v>
      </c>
      <c r="I3811" s="148" t="s">
        <v>830</v>
      </c>
      <c r="J3811" s="133" t="s">
        <v>13</v>
      </c>
      <c r="K3811" s="218"/>
      <c r="L3811" s="218">
        <v>260000</v>
      </c>
    </row>
    <row r="3812" spans="1:12" ht="33.75" x14ac:dyDescent="0.2">
      <c r="A3812" s="163">
        <v>2021</v>
      </c>
      <c r="B3812" s="163">
        <v>7</v>
      </c>
      <c r="C3812" s="163">
        <v>25</v>
      </c>
      <c r="D3812" s="141">
        <f t="shared" si="126"/>
        <v>44402</v>
      </c>
      <c r="E3812" s="275">
        <f t="shared" si="127"/>
        <v>44402</v>
      </c>
      <c r="F3812" s="480"/>
      <c r="G3812" s="221" t="s">
        <v>74</v>
      </c>
      <c r="H3812" s="145" t="str" cm="1">
        <f t="array" ref="H3812">IFERROR(INDEX(INVESTOR_LIST[INVESTOR NAME],MATCH(I3812,INVESTOR_LIST[INVESTOR CODE],0),)," ")</f>
        <v>UMME SALMA KATHA</v>
      </c>
      <c r="I3812" s="145" t="s">
        <v>830</v>
      </c>
      <c r="J3812" s="163" t="s">
        <v>53</v>
      </c>
      <c r="K3812" s="219"/>
      <c r="L3812" s="219">
        <v>94900</v>
      </c>
    </row>
    <row r="3813" spans="1:12" ht="11.25" customHeight="1" x14ac:dyDescent="0.2">
      <c r="A3813" s="168">
        <v>2021</v>
      </c>
      <c r="B3813" s="168">
        <v>7</v>
      </c>
      <c r="C3813" s="168">
        <v>25</v>
      </c>
      <c r="D3813" s="141">
        <f t="shared" si="126"/>
        <v>44402</v>
      </c>
      <c r="E3813" s="275">
        <f t="shared" si="127"/>
        <v>44402</v>
      </c>
      <c r="F3813" s="479" t="s">
        <v>964</v>
      </c>
      <c r="G3813" s="220" t="s">
        <v>74</v>
      </c>
      <c r="H3813" s="142" t="str" cm="1">
        <f t="array" ref="H3813">IFERROR(INDEX(INVESTOR_LIST[INVESTOR NAME],MATCH(I3813,INVESTOR_LIST[INVESTOR CODE],0),)," ")</f>
        <v>UMME SALMA KATHA</v>
      </c>
      <c r="I3813" s="142" t="s">
        <v>830</v>
      </c>
      <c r="J3813" s="168" t="s">
        <v>52</v>
      </c>
      <c r="K3813" s="226">
        <v>150150</v>
      </c>
      <c r="L3813" s="226"/>
    </row>
    <row r="3814" spans="1:12" ht="33.75" x14ac:dyDescent="0.2">
      <c r="A3814" s="133">
        <v>2021</v>
      </c>
      <c r="B3814" s="133">
        <v>7</v>
      </c>
      <c r="C3814" s="133">
        <v>25</v>
      </c>
      <c r="D3814" s="141">
        <f t="shared" si="126"/>
        <v>44402</v>
      </c>
      <c r="E3814" s="275">
        <f t="shared" si="127"/>
        <v>44402</v>
      </c>
      <c r="F3814" s="481"/>
      <c r="G3814" s="174" t="s">
        <v>74</v>
      </c>
      <c r="H3814" s="148" t="str" cm="1">
        <f t="array" ref="H3814">IFERROR(INDEX(INVESTOR_LIST[INVESTOR NAME],MATCH(I3814,INVESTOR_LIST[INVESTOR CODE],0),)," ")</f>
        <v>UMME SALMA KATHA</v>
      </c>
      <c r="I3814" s="148" t="s">
        <v>830</v>
      </c>
      <c r="J3814" s="133" t="s">
        <v>13</v>
      </c>
      <c r="K3814" s="218"/>
      <c r="L3814" s="218">
        <v>110000</v>
      </c>
    </row>
    <row r="3815" spans="1:12" ht="33.75" x14ac:dyDescent="0.2">
      <c r="A3815" s="163">
        <v>2021</v>
      </c>
      <c r="B3815" s="163">
        <v>7</v>
      </c>
      <c r="C3815" s="163">
        <v>25</v>
      </c>
      <c r="D3815" s="141">
        <f t="shared" si="126"/>
        <v>44402</v>
      </c>
      <c r="E3815" s="275">
        <f t="shared" si="127"/>
        <v>44402</v>
      </c>
      <c r="F3815" s="480"/>
      <c r="G3815" s="221" t="s">
        <v>74</v>
      </c>
      <c r="H3815" s="145" t="str" cm="1">
        <f t="array" ref="H3815">IFERROR(INDEX(INVESTOR_LIST[INVESTOR NAME],MATCH(I3815,INVESTOR_LIST[INVESTOR CODE],0),)," ")</f>
        <v>UMME SALMA KATHA</v>
      </c>
      <c r="I3815" s="145" t="s">
        <v>830</v>
      </c>
      <c r="J3815" s="163" t="s">
        <v>53</v>
      </c>
      <c r="K3815" s="219"/>
      <c r="L3815" s="219">
        <v>40150</v>
      </c>
    </row>
    <row r="3816" spans="1:12" ht="11.25" customHeight="1" x14ac:dyDescent="0.2">
      <c r="A3816" s="168">
        <v>2021</v>
      </c>
      <c r="B3816" s="168">
        <v>7</v>
      </c>
      <c r="C3816" s="168">
        <v>25</v>
      </c>
      <c r="D3816" s="141">
        <f t="shared" si="126"/>
        <v>44402</v>
      </c>
      <c r="E3816" s="275">
        <f t="shared" si="127"/>
        <v>44402</v>
      </c>
      <c r="F3816" s="479" t="s">
        <v>964</v>
      </c>
      <c r="G3816" s="220" t="s">
        <v>74</v>
      </c>
      <c r="H3816" s="142" t="str" cm="1">
        <f t="array" ref="H3816">IFERROR(INDEX(INVESTOR_LIST[INVESTOR NAME],MATCH(I3816,INVESTOR_LIST[INVESTOR CODE],0),)," ")</f>
        <v>HASINA JANNAT</v>
      </c>
      <c r="I3816" s="142" t="s">
        <v>741</v>
      </c>
      <c r="J3816" s="168" t="s">
        <v>52</v>
      </c>
      <c r="K3816" s="226">
        <v>200000</v>
      </c>
      <c r="L3816" s="226"/>
    </row>
    <row r="3817" spans="1:12" ht="22.5" x14ac:dyDescent="0.2">
      <c r="A3817" s="133">
        <v>2021</v>
      </c>
      <c r="B3817" s="133">
        <v>7</v>
      </c>
      <c r="C3817" s="133">
        <v>25</v>
      </c>
      <c r="D3817" s="141">
        <f t="shared" si="126"/>
        <v>44402</v>
      </c>
      <c r="E3817" s="275">
        <f t="shared" si="127"/>
        <v>44402</v>
      </c>
      <c r="F3817" s="481"/>
      <c r="G3817" s="174" t="s">
        <v>74</v>
      </c>
      <c r="H3817" s="148" t="str" cm="1">
        <f t="array" ref="H3817">IFERROR(INDEX(INVESTOR_LIST[INVESTOR NAME],MATCH(I3817,INVESTOR_LIST[INVESTOR CODE],0),)," ")</f>
        <v>HASINA JANNAT</v>
      </c>
      <c r="I3817" s="148" t="s">
        <v>741</v>
      </c>
      <c r="J3817" s="133" t="s">
        <v>13</v>
      </c>
      <c r="K3817" s="218"/>
      <c r="L3817" s="218">
        <v>146520</v>
      </c>
    </row>
    <row r="3818" spans="1:12" ht="22.5" x14ac:dyDescent="0.2">
      <c r="A3818" s="163">
        <v>2021</v>
      </c>
      <c r="B3818" s="163">
        <v>7</v>
      </c>
      <c r="C3818" s="163">
        <v>25</v>
      </c>
      <c r="D3818" s="141">
        <f t="shared" si="126"/>
        <v>44402</v>
      </c>
      <c r="E3818" s="275">
        <f t="shared" si="127"/>
        <v>44402</v>
      </c>
      <c r="F3818" s="480"/>
      <c r="G3818" s="221" t="s">
        <v>74</v>
      </c>
      <c r="H3818" s="145" t="str" cm="1">
        <f t="array" ref="H3818">IFERROR(INDEX(INVESTOR_LIST[INVESTOR NAME],MATCH(I3818,INVESTOR_LIST[INVESTOR CODE],0),)," ")</f>
        <v>HASINA JANNAT</v>
      </c>
      <c r="I3818" s="145" t="s">
        <v>741</v>
      </c>
      <c r="J3818" s="163" t="s">
        <v>53</v>
      </c>
      <c r="K3818" s="219"/>
      <c r="L3818" s="219">
        <v>53480</v>
      </c>
    </row>
    <row r="3819" spans="1:12" x14ac:dyDescent="0.2">
      <c r="A3819" s="133">
        <v>2021</v>
      </c>
      <c r="B3819" s="133">
        <v>7</v>
      </c>
      <c r="C3819" s="133">
        <v>25</v>
      </c>
      <c r="D3819" s="141">
        <f t="shared" si="126"/>
        <v>44402</v>
      </c>
      <c r="E3819" s="275">
        <f t="shared" si="127"/>
        <v>44402</v>
      </c>
      <c r="F3819" s="479" t="s">
        <v>77</v>
      </c>
      <c r="G3819" s="174" t="s">
        <v>74</v>
      </c>
      <c r="H3819" s="148" t="str" cm="1">
        <f t="array" ref="H3819">IFERROR(INDEX(INVESTOR_LIST[INVESTOR NAME],MATCH(I3819,INVESTOR_LIST[INVESTOR CODE],0),)," ")</f>
        <v xml:space="preserve"> </v>
      </c>
      <c r="I3819" s="148" t="s">
        <v>348</v>
      </c>
      <c r="J3819" s="133" t="s">
        <v>61</v>
      </c>
      <c r="K3819" s="172">
        <v>60</v>
      </c>
    </row>
    <row r="3820" spans="1:12" x14ac:dyDescent="0.2">
      <c r="A3820" s="163">
        <v>2021</v>
      </c>
      <c r="B3820" s="163">
        <v>7</v>
      </c>
      <c r="C3820" s="163">
        <v>25</v>
      </c>
      <c r="D3820" s="141">
        <f t="shared" si="126"/>
        <v>44402</v>
      </c>
      <c r="E3820" s="275">
        <f t="shared" si="127"/>
        <v>44402</v>
      </c>
      <c r="F3820" s="480"/>
      <c r="G3820" s="221" t="s">
        <v>74</v>
      </c>
      <c r="H3820" s="145" t="str" cm="1">
        <f t="array" ref="H3820">IFERROR(INDEX(INVESTOR_LIST[INVESTOR NAME],MATCH(I3820,INVESTOR_LIST[INVESTOR CODE],0),)," ")</f>
        <v xml:space="preserve"> </v>
      </c>
      <c r="I3820" s="145" t="s">
        <v>348</v>
      </c>
      <c r="J3820" s="163" t="s">
        <v>52</v>
      </c>
      <c r="K3820" s="219"/>
      <c r="L3820" s="219">
        <v>60</v>
      </c>
    </row>
    <row r="3821" spans="1:12" x14ac:dyDescent="0.2">
      <c r="A3821" s="133">
        <v>2021</v>
      </c>
      <c r="B3821" s="133">
        <v>7</v>
      </c>
      <c r="C3821" s="133">
        <v>25</v>
      </c>
      <c r="D3821" s="141">
        <f t="shared" si="126"/>
        <v>44402</v>
      </c>
      <c r="E3821" s="275">
        <f t="shared" si="127"/>
        <v>44402</v>
      </c>
      <c r="F3821" s="479" t="s">
        <v>77</v>
      </c>
      <c r="G3821" s="174" t="s">
        <v>74</v>
      </c>
      <c r="H3821" s="148" t="str" cm="1">
        <f t="array" ref="H3821">IFERROR(INDEX(INVESTOR_LIST[INVESTOR NAME],MATCH(I3821,INVESTOR_LIST[INVESTOR CODE],0),)," ")</f>
        <v xml:space="preserve"> </v>
      </c>
      <c r="I3821" s="148" t="s">
        <v>348</v>
      </c>
      <c r="J3821" s="133" t="s">
        <v>61</v>
      </c>
      <c r="K3821" s="172">
        <v>10</v>
      </c>
    </row>
    <row r="3822" spans="1:12" x14ac:dyDescent="0.2">
      <c r="A3822" s="163">
        <v>2021</v>
      </c>
      <c r="B3822" s="163">
        <v>7</v>
      </c>
      <c r="C3822" s="163">
        <v>25</v>
      </c>
      <c r="D3822" s="141">
        <f t="shared" si="126"/>
        <v>44402</v>
      </c>
      <c r="E3822" s="275">
        <f t="shared" si="127"/>
        <v>44402</v>
      </c>
      <c r="F3822" s="480"/>
      <c r="G3822" s="221" t="s">
        <v>74</v>
      </c>
      <c r="H3822" s="145" t="str" cm="1">
        <f t="array" ref="H3822">IFERROR(INDEX(INVESTOR_LIST[INVESTOR NAME],MATCH(I3822,INVESTOR_LIST[INVESTOR CODE],0),)," ")</f>
        <v xml:space="preserve"> </v>
      </c>
      <c r="I3822" s="145" t="s">
        <v>348</v>
      </c>
      <c r="J3822" s="163" t="s">
        <v>52</v>
      </c>
      <c r="K3822" s="219"/>
      <c r="L3822" s="219">
        <v>10</v>
      </c>
    </row>
    <row r="3823" spans="1:12" x14ac:dyDescent="0.2">
      <c r="A3823" s="133">
        <v>2021</v>
      </c>
      <c r="B3823" s="133">
        <v>7</v>
      </c>
      <c r="C3823" s="133">
        <v>25</v>
      </c>
      <c r="D3823" s="141">
        <f t="shared" si="126"/>
        <v>44402</v>
      </c>
      <c r="E3823" s="275">
        <f t="shared" si="127"/>
        <v>44402</v>
      </c>
      <c r="F3823" s="479" t="s">
        <v>77</v>
      </c>
      <c r="G3823" s="174" t="s">
        <v>74</v>
      </c>
      <c r="H3823" s="148" t="str" cm="1">
        <f t="array" ref="H3823">IFERROR(INDEX(INVESTOR_LIST[INVESTOR NAME],MATCH(I3823,INVESTOR_LIST[INVESTOR CODE],0),)," ")</f>
        <v xml:space="preserve"> </v>
      </c>
      <c r="I3823" s="148" t="s">
        <v>348</v>
      </c>
      <c r="J3823" s="133" t="s">
        <v>61</v>
      </c>
      <c r="K3823" s="172">
        <v>10</v>
      </c>
    </row>
    <row r="3824" spans="1:12" x14ac:dyDescent="0.2">
      <c r="A3824" s="163">
        <v>2021</v>
      </c>
      <c r="B3824" s="163">
        <v>7</v>
      </c>
      <c r="C3824" s="163">
        <v>25</v>
      </c>
      <c r="D3824" s="141">
        <f t="shared" si="126"/>
        <v>44402</v>
      </c>
      <c r="E3824" s="275">
        <f t="shared" si="127"/>
        <v>44402</v>
      </c>
      <c r="F3824" s="480"/>
      <c r="G3824" s="221" t="s">
        <v>74</v>
      </c>
      <c r="H3824" s="145" t="str" cm="1">
        <f t="array" ref="H3824">IFERROR(INDEX(INVESTOR_LIST[INVESTOR NAME],MATCH(I3824,INVESTOR_LIST[INVESTOR CODE],0),)," ")</f>
        <v xml:space="preserve"> </v>
      </c>
      <c r="I3824" s="145" t="s">
        <v>348</v>
      </c>
      <c r="J3824" s="163" t="s">
        <v>52</v>
      </c>
      <c r="K3824" s="219"/>
      <c r="L3824" s="219">
        <v>10</v>
      </c>
    </row>
    <row r="3825" spans="1:12" x14ac:dyDescent="0.2">
      <c r="A3825" s="133">
        <v>2021</v>
      </c>
      <c r="B3825" s="133">
        <v>7</v>
      </c>
      <c r="C3825" s="133">
        <v>25</v>
      </c>
      <c r="D3825" s="141">
        <f t="shared" si="126"/>
        <v>44402</v>
      </c>
      <c r="E3825" s="275">
        <f t="shared" si="127"/>
        <v>44402</v>
      </c>
      <c r="F3825" s="479" t="s">
        <v>77</v>
      </c>
      <c r="G3825" s="174" t="s">
        <v>74</v>
      </c>
      <c r="H3825" s="148" t="str" cm="1">
        <f t="array" ref="H3825">IFERROR(INDEX(INVESTOR_LIST[INVESTOR NAME],MATCH(I3825,INVESTOR_LIST[INVESTOR CODE],0),)," ")</f>
        <v xml:space="preserve"> </v>
      </c>
      <c r="I3825" s="148" t="s">
        <v>348</v>
      </c>
      <c r="J3825" s="133" t="s">
        <v>61</v>
      </c>
      <c r="K3825" s="172">
        <v>10</v>
      </c>
    </row>
    <row r="3826" spans="1:12" x14ac:dyDescent="0.2">
      <c r="A3826" s="163">
        <v>2021</v>
      </c>
      <c r="B3826" s="163">
        <v>7</v>
      </c>
      <c r="C3826" s="163">
        <v>25</v>
      </c>
      <c r="D3826" s="141">
        <f t="shared" si="126"/>
        <v>44402</v>
      </c>
      <c r="E3826" s="275">
        <f t="shared" si="127"/>
        <v>44402</v>
      </c>
      <c r="F3826" s="480"/>
      <c r="G3826" s="221" t="s">
        <v>74</v>
      </c>
      <c r="H3826" s="145" t="str" cm="1">
        <f t="array" ref="H3826">IFERROR(INDEX(INVESTOR_LIST[INVESTOR NAME],MATCH(I3826,INVESTOR_LIST[INVESTOR CODE],0),)," ")</f>
        <v xml:space="preserve"> </v>
      </c>
      <c r="I3826" s="145" t="s">
        <v>348</v>
      </c>
      <c r="J3826" s="163" t="s">
        <v>52</v>
      </c>
      <c r="K3826" s="219"/>
      <c r="L3826" s="219">
        <v>10</v>
      </c>
    </row>
    <row r="3827" spans="1:12" x14ac:dyDescent="0.2">
      <c r="A3827" s="168">
        <v>2021</v>
      </c>
      <c r="B3827" s="168">
        <v>7</v>
      </c>
      <c r="C3827" s="168">
        <v>25</v>
      </c>
      <c r="D3827" s="141">
        <f t="shared" si="126"/>
        <v>44402</v>
      </c>
      <c r="E3827" s="275">
        <f t="shared" si="127"/>
        <v>44402</v>
      </c>
      <c r="F3827" s="479" t="s">
        <v>524</v>
      </c>
      <c r="G3827" s="220" t="s">
        <v>74</v>
      </c>
      <c r="H3827" s="220" t="str" cm="1">
        <f t="array" ref="H3827">IFERROR(INDEX(INVESTOR_LIST[INVESTOR NAME],MATCH(I3827,INVESTOR_LIST[INVESTOR CODE],0),)," ")</f>
        <v xml:space="preserve"> </v>
      </c>
      <c r="I3827" s="142" t="s">
        <v>348</v>
      </c>
      <c r="J3827" s="143" t="s">
        <v>147</v>
      </c>
      <c r="K3827" s="226">
        <v>2000111.23</v>
      </c>
      <c r="L3827" s="226"/>
    </row>
    <row r="3828" spans="1:12" x14ac:dyDescent="0.2">
      <c r="A3828" s="163">
        <v>2021</v>
      </c>
      <c r="B3828" s="163">
        <v>7</v>
      </c>
      <c r="C3828" s="163">
        <v>25</v>
      </c>
      <c r="D3828" s="141">
        <f t="shared" si="126"/>
        <v>44402</v>
      </c>
      <c r="E3828" s="275">
        <f t="shared" si="127"/>
        <v>44402</v>
      </c>
      <c r="F3828" s="480"/>
      <c r="G3828" s="221" t="s">
        <v>74</v>
      </c>
      <c r="H3828" s="221" t="str" cm="1">
        <f t="array" ref="H3828">IFERROR(INDEX(INVESTOR_LIST[INVESTOR NAME],MATCH(I3828,INVESTOR_LIST[INVESTOR CODE],0),)," ")</f>
        <v xml:space="preserve"> </v>
      </c>
      <c r="I3828" s="145" t="s">
        <v>348</v>
      </c>
      <c r="J3828" s="146" t="s">
        <v>52</v>
      </c>
      <c r="K3828" s="219"/>
      <c r="L3828" s="219">
        <v>2000111.23</v>
      </c>
    </row>
    <row r="3829" spans="1:12" x14ac:dyDescent="0.2">
      <c r="A3829" s="168">
        <v>2021</v>
      </c>
      <c r="B3829" s="168">
        <v>7</v>
      </c>
      <c r="C3829" s="168">
        <v>25</v>
      </c>
      <c r="D3829" s="141">
        <f t="shared" si="126"/>
        <v>44402</v>
      </c>
      <c r="E3829" s="275">
        <f t="shared" si="127"/>
        <v>44402</v>
      </c>
      <c r="F3829" s="479" t="s">
        <v>836</v>
      </c>
      <c r="G3829" s="220" t="s">
        <v>94</v>
      </c>
      <c r="H3829" s="220" t="str" cm="1">
        <f t="array" ref="H3829">IFERROR(INDEX(INVESTOR_LIST[INVESTOR NAME],MATCH(I3829,INVESTOR_LIST[INVESTOR CODE],0),)," ")</f>
        <v xml:space="preserve"> </v>
      </c>
      <c r="I3829" s="142" t="s">
        <v>348</v>
      </c>
      <c r="J3829" s="143" t="s">
        <v>79</v>
      </c>
      <c r="K3829" s="226">
        <v>4417500</v>
      </c>
      <c r="L3829" s="226"/>
    </row>
    <row r="3830" spans="1:12" x14ac:dyDescent="0.2">
      <c r="A3830" s="133">
        <v>2021</v>
      </c>
      <c r="B3830" s="133">
        <v>7</v>
      </c>
      <c r="C3830" s="133">
        <v>25</v>
      </c>
      <c r="D3830" s="141">
        <f t="shared" si="126"/>
        <v>44402</v>
      </c>
      <c r="E3830" s="275">
        <f t="shared" si="127"/>
        <v>44402</v>
      </c>
      <c r="F3830" s="481"/>
      <c r="G3830" s="174" t="s">
        <v>94</v>
      </c>
      <c r="H3830" s="174" t="str" cm="1">
        <f t="array" ref="H3830">IFERROR(INDEX(INVESTOR_LIST[INVESTOR NAME],MATCH(I3830,INVESTOR_LIST[INVESTOR CODE],0),)," ")</f>
        <v xml:space="preserve"> </v>
      </c>
      <c r="I3830" s="148" t="s">
        <v>348</v>
      </c>
      <c r="J3830" s="149" t="s">
        <v>80</v>
      </c>
      <c r="K3830" s="218">
        <v>8179.92</v>
      </c>
      <c r="L3830" s="218"/>
    </row>
    <row r="3831" spans="1:12" x14ac:dyDescent="0.2">
      <c r="A3831" s="133">
        <v>2021</v>
      </c>
      <c r="B3831" s="133">
        <v>7</v>
      </c>
      <c r="C3831" s="133">
        <v>25</v>
      </c>
      <c r="D3831" s="141">
        <f t="shared" si="126"/>
        <v>44402</v>
      </c>
      <c r="E3831" s="275">
        <f t="shared" si="127"/>
        <v>44402</v>
      </c>
      <c r="F3831" s="481"/>
      <c r="G3831" s="174" t="s">
        <v>94</v>
      </c>
      <c r="H3831" s="174" t="str" cm="1">
        <f t="array" ref="H3831">IFERROR(INDEX(INVESTOR_LIST[INVESTOR NAME],MATCH(I3831,INVESTOR_LIST[INVESTOR CODE],0),)," ")</f>
        <v xml:space="preserve"> </v>
      </c>
      <c r="I3831" s="148" t="s">
        <v>348</v>
      </c>
      <c r="J3831" s="149" t="s">
        <v>147</v>
      </c>
      <c r="K3831" s="218"/>
      <c r="L3831" s="218">
        <v>4298779.92</v>
      </c>
    </row>
    <row r="3832" spans="1:12" x14ac:dyDescent="0.2">
      <c r="A3832" s="133">
        <v>2021</v>
      </c>
      <c r="B3832" s="133">
        <v>7</v>
      </c>
      <c r="C3832" s="133">
        <v>25</v>
      </c>
      <c r="D3832" s="141">
        <f t="shared" si="126"/>
        <v>44402</v>
      </c>
      <c r="E3832" s="275">
        <f t="shared" si="127"/>
        <v>44402</v>
      </c>
      <c r="F3832" s="481"/>
      <c r="G3832" s="174" t="s">
        <v>94</v>
      </c>
      <c r="H3832" s="174" t="str" cm="1">
        <f t="array" ref="H3832">IFERROR(INDEX(INVESTOR_LIST[INVESTOR NAME],MATCH(I3832,INVESTOR_LIST[INVESTOR CODE],0),)," ")</f>
        <v xml:space="preserve"> </v>
      </c>
      <c r="I3832" s="148" t="s">
        <v>348</v>
      </c>
      <c r="J3832" s="149" t="s">
        <v>79</v>
      </c>
      <c r="K3832" s="218"/>
      <c r="L3832" s="218">
        <v>96000</v>
      </c>
    </row>
    <row r="3833" spans="1:12" x14ac:dyDescent="0.2">
      <c r="A3833" s="163">
        <v>2021</v>
      </c>
      <c r="B3833" s="163">
        <v>7</v>
      </c>
      <c r="C3833" s="163">
        <v>25</v>
      </c>
      <c r="D3833" s="141">
        <f t="shared" si="126"/>
        <v>44402</v>
      </c>
      <c r="E3833" s="275">
        <f t="shared" si="127"/>
        <v>44402</v>
      </c>
      <c r="F3833" s="480"/>
      <c r="G3833" s="221" t="s">
        <v>94</v>
      </c>
      <c r="H3833" s="221" t="str" cm="1">
        <f t="array" ref="H3833">IFERROR(INDEX(INVESTOR_LIST[INVESTOR NAME],MATCH(I3833,INVESTOR_LIST[INVESTOR CODE],0),)," ")</f>
        <v xml:space="preserve"> </v>
      </c>
      <c r="I3833" s="145" t="s">
        <v>348</v>
      </c>
      <c r="J3833" s="146" t="s">
        <v>191</v>
      </c>
      <c r="K3833" s="219"/>
      <c r="L3833" s="219">
        <v>30900</v>
      </c>
    </row>
    <row r="3834" spans="1:12" x14ac:dyDescent="0.2">
      <c r="A3834" s="168">
        <v>2021</v>
      </c>
      <c r="B3834" s="168">
        <v>7</v>
      </c>
      <c r="C3834" s="168">
        <v>26</v>
      </c>
      <c r="D3834" s="141">
        <f t="shared" si="126"/>
        <v>44403</v>
      </c>
      <c r="E3834" s="275">
        <f t="shared" si="127"/>
        <v>44403</v>
      </c>
      <c r="F3834" s="479" t="s">
        <v>524</v>
      </c>
      <c r="G3834" s="220" t="s">
        <v>74</v>
      </c>
      <c r="H3834" s="220" t="str" cm="1">
        <f t="array" ref="H3834">IFERROR(INDEX(INVESTOR_LIST[INVESTOR NAME],MATCH(I3834,INVESTOR_LIST[INVESTOR CODE],0),)," ")</f>
        <v xml:space="preserve"> </v>
      </c>
      <c r="I3834" s="142" t="s">
        <v>348</v>
      </c>
      <c r="J3834" s="143" t="s">
        <v>147</v>
      </c>
      <c r="K3834" s="226">
        <v>4298779.92</v>
      </c>
      <c r="L3834" s="226"/>
    </row>
    <row r="3835" spans="1:12" x14ac:dyDescent="0.2">
      <c r="A3835" s="163">
        <v>2021</v>
      </c>
      <c r="B3835" s="163">
        <v>7</v>
      </c>
      <c r="C3835" s="163">
        <v>26</v>
      </c>
      <c r="D3835" s="141">
        <f t="shared" si="126"/>
        <v>44403</v>
      </c>
      <c r="E3835" s="275">
        <f t="shared" si="127"/>
        <v>44403</v>
      </c>
      <c r="F3835" s="480"/>
      <c r="G3835" s="221" t="s">
        <v>74</v>
      </c>
      <c r="H3835" s="221" t="str" cm="1">
        <f t="array" ref="H3835">IFERROR(INDEX(INVESTOR_LIST[INVESTOR NAME],MATCH(I3835,INVESTOR_LIST[INVESTOR CODE],0),)," ")</f>
        <v xml:space="preserve"> </v>
      </c>
      <c r="I3835" s="145" t="s">
        <v>348</v>
      </c>
      <c r="J3835" s="146" t="s">
        <v>52</v>
      </c>
      <c r="K3835" s="219"/>
      <c r="L3835" s="219">
        <v>4298779.92</v>
      </c>
    </row>
    <row r="3836" spans="1:12" x14ac:dyDescent="0.2">
      <c r="A3836" s="168">
        <v>2021</v>
      </c>
      <c r="B3836" s="168">
        <v>7</v>
      </c>
      <c r="C3836" s="168">
        <v>26</v>
      </c>
      <c r="D3836" s="141">
        <f t="shared" si="126"/>
        <v>44403</v>
      </c>
      <c r="E3836" s="275">
        <f t="shared" si="127"/>
        <v>44403</v>
      </c>
      <c r="F3836" s="479" t="s">
        <v>837</v>
      </c>
      <c r="G3836" s="220" t="s">
        <v>74</v>
      </c>
      <c r="H3836" s="220" t="str" cm="1">
        <f t="array" ref="H3836">IFERROR(INDEX(INVESTOR_LIST[INVESTOR NAME],MATCH(I3836,INVESTOR_LIST[INVESTOR CODE],0),)," ")</f>
        <v xml:space="preserve"> </v>
      </c>
      <c r="I3836" s="142" t="s">
        <v>348</v>
      </c>
      <c r="J3836" s="143" t="s">
        <v>79</v>
      </c>
      <c r="K3836" s="226">
        <v>1170960</v>
      </c>
      <c r="L3836" s="226"/>
    </row>
    <row r="3837" spans="1:12" x14ac:dyDescent="0.2">
      <c r="A3837" s="133">
        <v>2021</v>
      </c>
      <c r="B3837" s="133">
        <v>7</v>
      </c>
      <c r="C3837" s="133">
        <v>26</v>
      </c>
      <c r="D3837" s="141">
        <f t="shared" si="126"/>
        <v>44403</v>
      </c>
      <c r="E3837" s="275">
        <f t="shared" si="127"/>
        <v>44403</v>
      </c>
      <c r="F3837" s="481"/>
      <c r="G3837" s="174" t="s">
        <v>74</v>
      </c>
      <c r="H3837" s="174" t="str" cm="1">
        <f t="array" ref="H3837">IFERROR(INDEX(INVESTOR_LIST[INVESTOR NAME],MATCH(I3837,INVESTOR_LIST[INVESTOR CODE],0),)," ")</f>
        <v xml:space="preserve"> </v>
      </c>
      <c r="I3837" s="148" t="s">
        <v>348</v>
      </c>
      <c r="J3837" s="149" t="s">
        <v>52</v>
      </c>
      <c r="K3837" s="218">
        <v>6829040</v>
      </c>
      <c r="L3837" s="218"/>
    </row>
    <row r="3838" spans="1:12" x14ac:dyDescent="0.2">
      <c r="A3838" s="163">
        <v>2021</v>
      </c>
      <c r="B3838" s="163">
        <v>7</v>
      </c>
      <c r="C3838" s="163">
        <v>26</v>
      </c>
      <c r="D3838" s="141">
        <f t="shared" si="126"/>
        <v>44403</v>
      </c>
      <c r="E3838" s="275">
        <f t="shared" si="127"/>
        <v>44403</v>
      </c>
      <c r="F3838" s="480"/>
      <c r="G3838" s="221" t="s">
        <v>74</v>
      </c>
      <c r="H3838" s="221" t="str" cm="1">
        <f t="array" ref="H3838">IFERROR(INDEX(INVESTOR_LIST[INVESTOR NAME],MATCH(I3838,INVESTOR_LIST[INVESTOR CODE],0),)," ")</f>
        <v xml:space="preserve"> </v>
      </c>
      <c r="I3838" s="145" t="s">
        <v>348</v>
      </c>
      <c r="J3838" s="146" t="s">
        <v>184</v>
      </c>
      <c r="K3838" s="219"/>
      <c r="L3838" s="219">
        <v>8000000</v>
      </c>
    </row>
    <row r="3839" spans="1:12" ht="11.25" customHeight="1" x14ac:dyDescent="0.2">
      <c r="A3839" s="168">
        <v>2021</v>
      </c>
      <c r="B3839" s="168">
        <v>7</v>
      </c>
      <c r="C3839" s="168">
        <v>26</v>
      </c>
      <c r="D3839" s="141">
        <f t="shared" si="126"/>
        <v>44403</v>
      </c>
      <c r="E3839" s="275">
        <f t="shared" si="127"/>
        <v>44403</v>
      </c>
      <c r="F3839" s="479" t="s">
        <v>964</v>
      </c>
      <c r="G3839" s="220" t="s">
        <v>74</v>
      </c>
      <c r="H3839" s="142" t="str" cm="1">
        <f t="array" ref="H3839">IFERROR(INDEX(INVESTOR_LIST[INVESTOR NAME],MATCH(I3839,INVESTOR_LIST[INVESTOR CODE],0),)," ")</f>
        <v>ABACI INVESTMENTS LTD. EC PROVIDENT FUND</v>
      </c>
      <c r="I3839" s="142" t="s">
        <v>728</v>
      </c>
      <c r="J3839" s="168" t="s">
        <v>52</v>
      </c>
      <c r="K3839" s="226">
        <v>500000</v>
      </c>
      <c r="L3839" s="226"/>
    </row>
    <row r="3840" spans="1:12" ht="67.5" x14ac:dyDescent="0.2">
      <c r="A3840" s="133">
        <v>2021</v>
      </c>
      <c r="B3840" s="133">
        <v>7</v>
      </c>
      <c r="C3840" s="133">
        <v>26</v>
      </c>
      <c r="D3840" s="141">
        <f t="shared" si="126"/>
        <v>44403</v>
      </c>
      <c r="E3840" s="275">
        <f t="shared" si="127"/>
        <v>44403</v>
      </c>
      <c r="F3840" s="481"/>
      <c r="G3840" s="174" t="s">
        <v>74</v>
      </c>
      <c r="H3840" s="148" t="str" cm="1">
        <f t="array" ref="H3840">IFERROR(INDEX(INVESTOR_LIST[INVESTOR NAME],MATCH(I3840,INVESTOR_LIST[INVESTOR CODE],0),)," ")</f>
        <v>ABACI INVESTMENTS LTD. EC PROVIDENT FUND</v>
      </c>
      <c r="I3840" s="148" t="s">
        <v>728</v>
      </c>
      <c r="J3840" s="133" t="s">
        <v>13</v>
      </c>
      <c r="K3840" s="218"/>
      <c r="L3840" s="218">
        <v>366300</v>
      </c>
    </row>
    <row r="3841" spans="1:14" ht="67.5" x14ac:dyDescent="0.2">
      <c r="A3841" s="163">
        <v>2021</v>
      </c>
      <c r="B3841" s="163">
        <v>7</v>
      </c>
      <c r="C3841" s="163">
        <v>26</v>
      </c>
      <c r="D3841" s="141">
        <f t="shared" si="126"/>
        <v>44403</v>
      </c>
      <c r="E3841" s="275">
        <f t="shared" si="127"/>
        <v>44403</v>
      </c>
      <c r="F3841" s="480"/>
      <c r="G3841" s="221" t="s">
        <v>74</v>
      </c>
      <c r="H3841" s="145" t="str" cm="1">
        <f t="array" ref="H3841">IFERROR(INDEX(INVESTOR_LIST[INVESTOR NAME],MATCH(I3841,INVESTOR_LIST[INVESTOR CODE],0),)," ")</f>
        <v>ABACI INVESTMENTS LTD. EC PROVIDENT FUND</v>
      </c>
      <c r="I3841" s="145" t="s">
        <v>728</v>
      </c>
      <c r="J3841" s="163" t="s">
        <v>53</v>
      </c>
      <c r="K3841" s="219"/>
      <c r="L3841" s="219">
        <v>133700</v>
      </c>
    </row>
    <row r="3842" spans="1:14" x14ac:dyDescent="0.2">
      <c r="A3842" s="133">
        <v>2021</v>
      </c>
      <c r="B3842" s="133">
        <v>7</v>
      </c>
      <c r="C3842" s="133">
        <v>26</v>
      </c>
      <c r="D3842" s="141">
        <f t="shared" si="126"/>
        <v>44403</v>
      </c>
      <c r="E3842" s="275">
        <f t="shared" si="127"/>
        <v>44403</v>
      </c>
      <c r="F3842" s="479" t="s">
        <v>77</v>
      </c>
      <c r="G3842" s="174" t="s">
        <v>74</v>
      </c>
      <c r="H3842" s="148" t="str" cm="1">
        <f t="array" ref="H3842">IFERROR(INDEX(INVESTOR_LIST[INVESTOR NAME],MATCH(I3842,INVESTOR_LIST[INVESTOR CODE],0),)," ")</f>
        <v xml:space="preserve"> </v>
      </c>
      <c r="I3842" s="148" t="s">
        <v>348</v>
      </c>
      <c r="J3842" s="133" t="s">
        <v>61</v>
      </c>
      <c r="K3842" s="172">
        <v>60</v>
      </c>
    </row>
    <row r="3843" spans="1:14" x14ac:dyDescent="0.2">
      <c r="A3843" s="163">
        <v>2021</v>
      </c>
      <c r="B3843" s="163">
        <v>7</v>
      </c>
      <c r="C3843" s="163">
        <v>26</v>
      </c>
      <c r="D3843" s="141">
        <f t="shared" si="126"/>
        <v>44403</v>
      </c>
      <c r="E3843" s="275">
        <f t="shared" si="127"/>
        <v>44403</v>
      </c>
      <c r="F3843" s="480"/>
      <c r="G3843" s="221" t="s">
        <v>74</v>
      </c>
      <c r="H3843" s="145" t="str" cm="1">
        <f t="array" ref="H3843">IFERROR(INDEX(INVESTOR_LIST[INVESTOR NAME],MATCH(I3843,INVESTOR_LIST[INVESTOR CODE],0),)," ")</f>
        <v xml:space="preserve"> </v>
      </c>
      <c r="I3843" s="145" t="s">
        <v>348</v>
      </c>
      <c r="J3843" s="163" t="s">
        <v>52</v>
      </c>
      <c r="K3843" s="219"/>
      <c r="L3843" s="219">
        <v>60</v>
      </c>
    </row>
    <row r="3844" spans="1:14" x14ac:dyDescent="0.2">
      <c r="A3844" s="133">
        <v>2021</v>
      </c>
      <c r="B3844" s="133">
        <v>7</v>
      </c>
      <c r="C3844" s="133">
        <v>26</v>
      </c>
      <c r="D3844" s="141">
        <f t="shared" si="126"/>
        <v>44403</v>
      </c>
      <c r="E3844" s="275">
        <f t="shared" si="127"/>
        <v>44403</v>
      </c>
      <c r="F3844" s="479" t="s">
        <v>77</v>
      </c>
      <c r="G3844" s="174" t="s">
        <v>74</v>
      </c>
      <c r="H3844" s="148" t="str" cm="1">
        <f t="array" ref="H3844">IFERROR(INDEX(INVESTOR_LIST[INVESTOR NAME],MATCH(I3844,INVESTOR_LIST[INVESTOR CODE],0),)," ")</f>
        <v xml:space="preserve"> </v>
      </c>
      <c r="I3844" s="148" t="s">
        <v>348</v>
      </c>
      <c r="J3844" s="133" t="s">
        <v>61</v>
      </c>
      <c r="K3844" s="172">
        <v>60</v>
      </c>
    </row>
    <row r="3845" spans="1:14" x14ac:dyDescent="0.2">
      <c r="A3845" s="163">
        <v>2021</v>
      </c>
      <c r="B3845" s="163">
        <v>7</v>
      </c>
      <c r="C3845" s="163">
        <v>26</v>
      </c>
      <c r="D3845" s="141">
        <f t="shared" si="126"/>
        <v>44403</v>
      </c>
      <c r="E3845" s="275">
        <f t="shared" si="127"/>
        <v>44403</v>
      </c>
      <c r="F3845" s="480"/>
      <c r="G3845" s="221" t="s">
        <v>74</v>
      </c>
      <c r="H3845" s="145" t="str" cm="1">
        <f t="array" ref="H3845">IFERROR(INDEX(INVESTOR_LIST[INVESTOR NAME],MATCH(I3845,INVESTOR_LIST[INVESTOR CODE],0),)," ")</f>
        <v xml:space="preserve"> </v>
      </c>
      <c r="I3845" s="145" t="s">
        <v>348</v>
      </c>
      <c r="J3845" s="163" t="s">
        <v>52</v>
      </c>
      <c r="K3845" s="219"/>
      <c r="L3845" s="219">
        <v>60</v>
      </c>
    </row>
    <row r="3846" spans="1:14" x14ac:dyDescent="0.2">
      <c r="A3846" s="133">
        <v>2021</v>
      </c>
      <c r="B3846" s="133">
        <v>7</v>
      </c>
      <c r="C3846" s="133">
        <v>26</v>
      </c>
      <c r="D3846" s="141">
        <f t="shared" si="126"/>
        <v>44403</v>
      </c>
      <c r="E3846" s="275">
        <f t="shared" si="127"/>
        <v>44403</v>
      </c>
      <c r="F3846" s="481" t="s">
        <v>838</v>
      </c>
      <c r="G3846" s="174" t="s">
        <v>94</v>
      </c>
      <c r="H3846" s="174" t="str" cm="1">
        <f t="array" ref="H3846">IFERROR(INDEX(INVESTOR_LIST[INVESTOR NAME],MATCH(I3846,INVESTOR_LIST[INVESTOR CODE],0),)," ")</f>
        <v xml:space="preserve"> </v>
      </c>
      <c r="I3846" s="148" t="s">
        <v>348</v>
      </c>
      <c r="J3846" s="149" t="s">
        <v>190</v>
      </c>
      <c r="K3846" s="218">
        <v>27821505.09</v>
      </c>
      <c r="L3846" s="218"/>
    </row>
    <row r="3847" spans="1:14" x14ac:dyDescent="0.2">
      <c r="A3847" s="133">
        <v>2021</v>
      </c>
      <c r="B3847" s="133">
        <v>7</v>
      </c>
      <c r="C3847" s="133">
        <v>26</v>
      </c>
      <c r="D3847" s="141">
        <f t="shared" si="126"/>
        <v>44403</v>
      </c>
      <c r="E3847" s="275">
        <f t="shared" si="127"/>
        <v>44403</v>
      </c>
      <c r="F3847" s="481"/>
      <c r="G3847" s="174" t="s">
        <v>94</v>
      </c>
      <c r="H3847" s="174" t="str" cm="1">
        <f t="array" ref="H3847">IFERROR(INDEX(INVESTOR_LIST[INVESTOR NAME],MATCH(I3847,INVESTOR_LIST[INVESTOR CODE],0),)," ")</f>
        <v xml:space="preserve"> </v>
      </c>
      <c r="I3847" s="148" t="s">
        <v>348</v>
      </c>
      <c r="J3847" s="149" t="s">
        <v>80</v>
      </c>
      <c r="K3847" s="218">
        <v>50169.01</v>
      </c>
      <c r="L3847" s="218"/>
    </row>
    <row r="3848" spans="1:14" x14ac:dyDescent="0.2">
      <c r="A3848" s="133">
        <v>2021</v>
      </c>
      <c r="B3848" s="133">
        <v>7</v>
      </c>
      <c r="C3848" s="133">
        <v>26</v>
      </c>
      <c r="D3848" s="141">
        <f t="shared" si="126"/>
        <v>44403</v>
      </c>
      <c r="E3848" s="275">
        <f t="shared" si="127"/>
        <v>44403</v>
      </c>
      <c r="F3848" s="481"/>
      <c r="G3848" s="174" t="s">
        <v>94</v>
      </c>
      <c r="H3848" s="174" t="str" cm="1">
        <f t="array" ref="H3848">IFERROR(INDEX(INVESTOR_LIST[INVESTOR NAME],MATCH(I3848,INVESTOR_LIST[INVESTOR CODE],0),)," ")</f>
        <v xml:space="preserve"> </v>
      </c>
      <c r="I3848" s="148" t="s">
        <v>348</v>
      </c>
      <c r="J3848" s="149" t="s">
        <v>79</v>
      </c>
      <c r="K3848" s="218"/>
      <c r="L3848" s="218">
        <v>19200000</v>
      </c>
    </row>
    <row r="3849" spans="1:14" x14ac:dyDescent="0.2">
      <c r="A3849" s="163">
        <v>2021</v>
      </c>
      <c r="B3849" s="163">
        <v>7</v>
      </c>
      <c r="C3849" s="163">
        <v>26</v>
      </c>
      <c r="D3849" s="141">
        <f t="shared" si="126"/>
        <v>44403</v>
      </c>
      <c r="E3849" s="275">
        <f t="shared" si="127"/>
        <v>44403</v>
      </c>
      <c r="F3849" s="480"/>
      <c r="G3849" s="221" t="s">
        <v>94</v>
      </c>
      <c r="H3849" s="221" t="str" cm="1">
        <f t="array" ref="H3849">IFERROR(INDEX(INVESTOR_LIST[INVESTOR NAME],MATCH(I3849,INVESTOR_LIST[INVESTOR CODE],0),)," ")</f>
        <v xml:space="preserve"> </v>
      </c>
      <c r="I3849" s="145" t="s">
        <v>348</v>
      </c>
      <c r="J3849" s="146" t="s">
        <v>191</v>
      </c>
      <c r="K3849" s="219"/>
      <c r="L3849" s="219">
        <v>8671674.0999999996</v>
      </c>
    </row>
    <row r="3850" spans="1:14" ht="11.25" customHeight="1" x14ac:dyDescent="0.2">
      <c r="A3850" s="133">
        <v>2021</v>
      </c>
      <c r="B3850" s="133">
        <v>7</v>
      </c>
      <c r="C3850" s="133">
        <v>26</v>
      </c>
      <c r="D3850" s="141">
        <f t="shared" si="126"/>
        <v>44403</v>
      </c>
      <c r="E3850" s="275">
        <f t="shared" si="127"/>
        <v>44403</v>
      </c>
      <c r="F3850" s="479" t="s">
        <v>254</v>
      </c>
      <c r="G3850" s="174" t="s">
        <v>74</v>
      </c>
      <c r="H3850" s="174" t="str" cm="1">
        <f t="array" ref="H3850">IFERROR(INDEX(INVESTOR_LIST[INVESTOR NAME],MATCH(I3850,INVESTOR_LIST[INVESTOR CODE],0),)," ")</f>
        <v xml:space="preserve"> </v>
      </c>
      <c r="I3850" s="148" t="s">
        <v>348</v>
      </c>
      <c r="J3850" s="149" t="s">
        <v>52</v>
      </c>
      <c r="K3850" s="218">
        <v>49000</v>
      </c>
      <c r="L3850" s="218"/>
    </row>
    <row r="3851" spans="1:14" x14ac:dyDescent="0.2">
      <c r="A3851" s="133">
        <v>2021</v>
      </c>
      <c r="B3851" s="133">
        <v>7</v>
      </c>
      <c r="C3851" s="133">
        <v>26</v>
      </c>
      <c r="D3851" s="141">
        <f t="shared" si="126"/>
        <v>44403</v>
      </c>
      <c r="E3851" s="275">
        <f t="shared" si="127"/>
        <v>44403</v>
      </c>
      <c r="F3851" s="481"/>
      <c r="G3851" s="174" t="s">
        <v>74</v>
      </c>
      <c r="H3851" s="174" t="str" cm="1">
        <f t="array" ref="H3851">IFERROR(INDEX(INVESTOR_LIST[INVESTOR NAME],MATCH(I3851,INVESTOR_LIST[INVESTOR CODE],0),)," ")</f>
        <v xml:space="preserve"> </v>
      </c>
      <c r="I3851" s="148" t="s">
        <v>348</v>
      </c>
      <c r="J3851" s="149" t="s">
        <v>13</v>
      </c>
      <c r="K3851" s="218"/>
      <c r="L3851" s="218">
        <v>34730</v>
      </c>
      <c r="N3851" s="156">
        <f>K3856/13.65</f>
        <v>36630.03663003663</v>
      </c>
    </row>
    <row r="3852" spans="1:14" x14ac:dyDescent="0.2">
      <c r="A3852" s="163">
        <v>2021</v>
      </c>
      <c r="B3852" s="163">
        <v>7</v>
      </c>
      <c r="C3852" s="163">
        <v>26</v>
      </c>
      <c r="D3852" s="141">
        <f t="shared" si="126"/>
        <v>44403</v>
      </c>
      <c r="E3852" s="275">
        <f t="shared" si="127"/>
        <v>44403</v>
      </c>
      <c r="F3852" s="480"/>
      <c r="G3852" s="221" t="s">
        <v>74</v>
      </c>
      <c r="H3852" s="221" t="str" cm="1">
        <f t="array" ref="H3852">IFERROR(INDEX(INVESTOR_LIST[INVESTOR NAME],MATCH(I3852,INVESTOR_LIST[INVESTOR CODE],0),)," ")</f>
        <v xml:space="preserve"> </v>
      </c>
      <c r="I3852" s="145" t="s">
        <v>348</v>
      </c>
      <c r="J3852" s="146" t="s">
        <v>53</v>
      </c>
      <c r="K3852" s="219"/>
      <c r="L3852" s="219">
        <v>14270</v>
      </c>
    </row>
    <row r="3853" spans="1:14" ht="11.25" customHeight="1" x14ac:dyDescent="0.2">
      <c r="A3853" s="168">
        <v>2021</v>
      </c>
      <c r="B3853" s="168">
        <v>7</v>
      </c>
      <c r="C3853" s="168">
        <v>27</v>
      </c>
      <c r="D3853" s="141">
        <f t="shared" si="126"/>
        <v>44404</v>
      </c>
      <c r="E3853" s="275">
        <f t="shared" si="127"/>
        <v>44404</v>
      </c>
      <c r="F3853" s="479" t="s">
        <v>964</v>
      </c>
      <c r="G3853" s="220" t="s">
        <v>74</v>
      </c>
      <c r="H3853" s="142" t="str" cm="1">
        <f t="array" ref="H3853">IFERROR(INDEX(INVESTOR_LIST[INVESTOR NAME],MATCH(I3853,INVESTOR_LIST[INVESTOR CODE],0),)," ")</f>
        <v>TRIPTI BARUA</v>
      </c>
      <c r="I3853" s="142" t="s">
        <v>498</v>
      </c>
      <c r="J3853" s="168" t="s">
        <v>52</v>
      </c>
      <c r="K3853" s="226">
        <v>300000</v>
      </c>
      <c r="L3853" s="226"/>
    </row>
    <row r="3854" spans="1:14" ht="22.5" x14ac:dyDescent="0.2">
      <c r="A3854" s="133">
        <v>2021</v>
      </c>
      <c r="B3854" s="133">
        <v>7</v>
      </c>
      <c r="C3854" s="133">
        <v>27</v>
      </c>
      <c r="D3854" s="141">
        <f t="shared" ref="D3854:D3917" si="128">DATE(A3854,B3854,C3854)</f>
        <v>44404</v>
      </c>
      <c r="E3854" s="275">
        <f t="shared" si="127"/>
        <v>44404</v>
      </c>
      <c r="F3854" s="481"/>
      <c r="G3854" s="174" t="s">
        <v>74</v>
      </c>
      <c r="H3854" s="148" t="str" cm="1">
        <f t="array" ref="H3854">IFERROR(INDEX(INVESTOR_LIST[INVESTOR NAME],MATCH(I3854,INVESTOR_LIST[INVESTOR CODE],0),)," ")</f>
        <v>TRIPTI BARUA</v>
      </c>
      <c r="I3854" s="148" t="s">
        <v>498</v>
      </c>
      <c r="J3854" s="133" t="s">
        <v>13</v>
      </c>
      <c r="K3854" s="218"/>
      <c r="L3854" s="218">
        <v>212620</v>
      </c>
      <c r="N3854" s="156">
        <f>K3859/14.11</f>
        <v>70871.722182849044</v>
      </c>
    </row>
    <row r="3855" spans="1:14" ht="22.5" x14ac:dyDescent="0.2">
      <c r="A3855" s="163">
        <v>2021</v>
      </c>
      <c r="B3855" s="163">
        <v>7</v>
      </c>
      <c r="C3855" s="163">
        <v>27</v>
      </c>
      <c r="D3855" s="141">
        <f t="shared" si="128"/>
        <v>44404</v>
      </c>
      <c r="E3855" s="275">
        <f t="shared" ref="E3855:E3918" si="129">DATE(A3855,B3855,C3855)</f>
        <v>44404</v>
      </c>
      <c r="F3855" s="480"/>
      <c r="G3855" s="221" t="s">
        <v>74</v>
      </c>
      <c r="H3855" s="145" t="str" cm="1">
        <f t="array" ref="H3855">IFERROR(INDEX(INVESTOR_LIST[INVESTOR NAME],MATCH(I3855,INVESTOR_LIST[INVESTOR CODE],0),)," ")</f>
        <v>TRIPTI BARUA</v>
      </c>
      <c r="I3855" s="145" t="s">
        <v>498</v>
      </c>
      <c r="J3855" s="163" t="s">
        <v>53</v>
      </c>
      <c r="K3855" s="219"/>
      <c r="L3855" s="219">
        <v>87380</v>
      </c>
    </row>
    <row r="3856" spans="1:14" ht="11.25" customHeight="1" x14ac:dyDescent="0.2">
      <c r="A3856" s="168">
        <v>2021</v>
      </c>
      <c r="B3856" s="168">
        <v>7</v>
      </c>
      <c r="C3856" s="168">
        <v>27</v>
      </c>
      <c r="D3856" s="141">
        <f t="shared" si="128"/>
        <v>44404</v>
      </c>
      <c r="E3856" s="275">
        <f t="shared" si="129"/>
        <v>44404</v>
      </c>
      <c r="F3856" s="479" t="s">
        <v>964</v>
      </c>
      <c r="G3856" s="220" t="s">
        <v>74</v>
      </c>
      <c r="H3856" s="142" t="str" cm="1">
        <f t="array" ref="H3856">IFERROR(INDEX(INVESTOR_LIST[INVESTOR NAME],MATCH(I3856,INVESTOR_LIST[INVESTOR CODE],0),)," ")</f>
        <v>RAIS UDDIN AHMAD</v>
      </c>
      <c r="I3856" s="142" t="s">
        <v>849</v>
      </c>
      <c r="J3856" s="168" t="s">
        <v>52</v>
      </c>
      <c r="K3856" s="226">
        <v>500000</v>
      </c>
      <c r="L3856" s="226"/>
    </row>
    <row r="3857" spans="1:14" ht="11.25" customHeight="1" x14ac:dyDescent="0.2">
      <c r="A3857" s="133">
        <v>2021</v>
      </c>
      <c r="B3857" s="133">
        <v>7</v>
      </c>
      <c r="C3857" s="133">
        <v>27</v>
      </c>
      <c r="D3857" s="141">
        <f t="shared" si="128"/>
        <v>44404</v>
      </c>
      <c r="E3857" s="275">
        <f t="shared" si="129"/>
        <v>44404</v>
      </c>
      <c r="F3857" s="481"/>
      <c r="G3857" s="174" t="s">
        <v>74</v>
      </c>
      <c r="H3857" s="148" t="str" cm="1">
        <f t="array" ref="H3857">IFERROR(INDEX(INVESTOR_LIST[INVESTOR NAME],MATCH(I3857,INVESTOR_LIST[INVESTOR CODE],0),)," ")</f>
        <v>RAIS UDDIN AHMAD</v>
      </c>
      <c r="I3857" s="148" t="s">
        <v>849</v>
      </c>
      <c r="J3857" s="133" t="s">
        <v>13</v>
      </c>
      <c r="K3857" s="218"/>
      <c r="L3857" s="218">
        <v>366300</v>
      </c>
    </row>
    <row r="3858" spans="1:14" ht="33.75" x14ac:dyDescent="0.2">
      <c r="A3858" s="163">
        <v>2021</v>
      </c>
      <c r="B3858" s="163">
        <v>7</v>
      </c>
      <c r="C3858" s="163">
        <v>27</v>
      </c>
      <c r="D3858" s="141">
        <f t="shared" si="128"/>
        <v>44404</v>
      </c>
      <c r="E3858" s="275">
        <f t="shared" si="129"/>
        <v>44404</v>
      </c>
      <c r="F3858" s="480"/>
      <c r="G3858" s="221" t="s">
        <v>74</v>
      </c>
      <c r="H3858" s="145" t="str" cm="1">
        <f t="array" ref="H3858">IFERROR(INDEX(INVESTOR_LIST[INVESTOR NAME],MATCH(I3858,INVESTOR_LIST[INVESTOR CODE],0),)," ")</f>
        <v>RAIS UDDIN AHMAD</v>
      </c>
      <c r="I3858" s="145" t="s">
        <v>849</v>
      </c>
      <c r="J3858" s="163" t="s">
        <v>53</v>
      </c>
      <c r="K3858" s="219"/>
      <c r="L3858" s="219">
        <v>133700</v>
      </c>
    </row>
    <row r="3859" spans="1:14" ht="11.25" customHeight="1" x14ac:dyDescent="0.2">
      <c r="A3859" s="168">
        <v>2021</v>
      </c>
      <c r="B3859" s="168">
        <v>7</v>
      </c>
      <c r="C3859" s="168">
        <v>27</v>
      </c>
      <c r="D3859" s="141">
        <f t="shared" si="128"/>
        <v>44404</v>
      </c>
      <c r="E3859" s="275">
        <f t="shared" si="129"/>
        <v>44404</v>
      </c>
      <c r="F3859" s="479" t="s">
        <v>964</v>
      </c>
      <c r="G3859" s="220" t="s">
        <v>74</v>
      </c>
      <c r="H3859" s="142" t="str" cm="1">
        <f t="array" ref="H3859">IFERROR(INDEX(INVESTOR_LIST[INVESTOR NAME],MATCH(I3859,INVESTOR_LIST[INVESTOR CODE],0),)," ")</f>
        <v>SAYEM AHMED</v>
      </c>
      <c r="I3859" s="142" t="s">
        <v>847</v>
      </c>
      <c r="J3859" s="168" t="s">
        <v>52</v>
      </c>
      <c r="K3859" s="226">
        <v>1000000</v>
      </c>
      <c r="L3859" s="226"/>
    </row>
    <row r="3860" spans="1:14" ht="22.5" x14ac:dyDescent="0.2">
      <c r="A3860" s="133">
        <v>2021</v>
      </c>
      <c r="B3860" s="133">
        <v>7</v>
      </c>
      <c r="C3860" s="133">
        <v>27</v>
      </c>
      <c r="D3860" s="141">
        <f t="shared" si="128"/>
        <v>44404</v>
      </c>
      <c r="E3860" s="275">
        <f t="shared" si="129"/>
        <v>44404</v>
      </c>
      <c r="F3860" s="481"/>
      <c r="G3860" s="174" t="s">
        <v>74</v>
      </c>
      <c r="H3860" s="148" t="str" cm="1">
        <f t="array" ref="H3860">IFERROR(INDEX(INVESTOR_LIST[INVESTOR NAME],MATCH(I3860,INVESTOR_LIST[INVESTOR CODE],0),)," ")</f>
        <v>SAYEM AHMED</v>
      </c>
      <c r="I3860" s="148" t="s">
        <v>847</v>
      </c>
      <c r="J3860" s="133" t="s">
        <v>13</v>
      </c>
      <c r="K3860" s="218"/>
      <c r="L3860" s="218">
        <v>708720</v>
      </c>
    </row>
    <row r="3861" spans="1:14" ht="22.5" x14ac:dyDescent="0.2">
      <c r="A3861" s="163">
        <v>2021</v>
      </c>
      <c r="B3861" s="163">
        <v>7</v>
      </c>
      <c r="C3861" s="163">
        <v>27</v>
      </c>
      <c r="D3861" s="141">
        <f t="shared" si="128"/>
        <v>44404</v>
      </c>
      <c r="E3861" s="275">
        <f t="shared" si="129"/>
        <v>44404</v>
      </c>
      <c r="F3861" s="480"/>
      <c r="G3861" s="221" t="s">
        <v>74</v>
      </c>
      <c r="H3861" s="145" t="str" cm="1">
        <f t="array" ref="H3861">IFERROR(INDEX(INVESTOR_LIST[INVESTOR NAME],MATCH(I3861,INVESTOR_LIST[INVESTOR CODE],0),)," ")</f>
        <v>SAYEM AHMED</v>
      </c>
      <c r="I3861" s="145" t="s">
        <v>847</v>
      </c>
      <c r="J3861" s="163" t="s">
        <v>53</v>
      </c>
      <c r="K3861" s="219"/>
      <c r="L3861" s="219">
        <v>291280</v>
      </c>
    </row>
    <row r="3862" spans="1:14" x14ac:dyDescent="0.2">
      <c r="A3862" s="133">
        <v>2021</v>
      </c>
      <c r="B3862" s="133">
        <v>7</v>
      </c>
      <c r="C3862" s="133">
        <v>27</v>
      </c>
      <c r="D3862" s="141">
        <f t="shared" si="128"/>
        <v>44404</v>
      </c>
      <c r="E3862" s="275">
        <f t="shared" si="129"/>
        <v>44404</v>
      </c>
      <c r="F3862" s="481" t="s">
        <v>838</v>
      </c>
      <c r="G3862" s="174" t="s">
        <v>94</v>
      </c>
      <c r="H3862" s="174" t="str" cm="1">
        <f t="array" ref="H3862">IFERROR(INDEX(INVESTOR_LIST[INVESTOR NAME],MATCH(I3862,INVESTOR_LIST[INVESTOR CODE],0),)," ")</f>
        <v xml:space="preserve"> </v>
      </c>
      <c r="I3862" s="148" t="s">
        <v>348</v>
      </c>
      <c r="J3862" s="149" t="s">
        <v>190</v>
      </c>
      <c r="K3862" s="218">
        <v>4558986.13</v>
      </c>
      <c r="L3862" s="218"/>
    </row>
    <row r="3863" spans="1:14" x14ac:dyDescent="0.2">
      <c r="A3863" s="133">
        <v>2021</v>
      </c>
      <c r="B3863" s="133">
        <v>7</v>
      </c>
      <c r="C3863" s="133">
        <v>27</v>
      </c>
      <c r="D3863" s="141">
        <f t="shared" si="128"/>
        <v>44404</v>
      </c>
      <c r="E3863" s="275">
        <f t="shared" si="129"/>
        <v>44404</v>
      </c>
      <c r="F3863" s="481"/>
      <c r="G3863" s="174" t="s">
        <v>94</v>
      </c>
      <c r="H3863" s="174" t="str" cm="1">
        <f t="array" ref="H3863">IFERROR(INDEX(INVESTOR_LIST[INVESTOR NAME],MATCH(I3863,INVESTOR_LIST[INVESTOR CODE],0),)," ")</f>
        <v xml:space="preserve"> </v>
      </c>
      <c r="I3863" s="148" t="s">
        <v>348</v>
      </c>
      <c r="J3863" s="149" t="s">
        <v>80</v>
      </c>
      <c r="K3863" s="218">
        <v>8220.9699999999993</v>
      </c>
      <c r="L3863" s="218"/>
    </row>
    <row r="3864" spans="1:14" x14ac:dyDescent="0.2">
      <c r="A3864" s="133">
        <v>2021</v>
      </c>
      <c r="B3864" s="133">
        <v>7</v>
      </c>
      <c r="C3864" s="133">
        <v>27</v>
      </c>
      <c r="D3864" s="141">
        <f t="shared" si="128"/>
        <v>44404</v>
      </c>
      <c r="E3864" s="275">
        <f t="shared" si="129"/>
        <v>44404</v>
      </c>
      <c r="F3864" s="481"/>
      <c r="G3864" s="174" t="s">
        <v>94</v>
      </c>
      <c r="H3864" s="174" t="str" cm="1">
        <f t="array" ref="H3864">IFERROR(INDEX(INVESTOR_LIST[INVESTOR NAME],MATCH(I3864,INVESTOR_LIST[INVESTOR CODE],0),)," ")</f>
        <v xml:space="preserve"> </v>
      </c>
      <c r="I3864" s="148" t="s">
        <v>348</v>
      </c>
      <c r="J3864" s="149" t="s">
        <v>79</v>
      </c>
      <c r="K3864" s="218"/>
      <c r="L3864" s="218">
        <v>3200000</v>
      </c>
    </row>
    <row r="3865" spans="1:14" x14ac:dyDescent="0.2">
      <c r="A3865" s="163">
        <v>2021</v>
      </c>
      <c r="B3865" s="163">
        <v>7</v>
      </c>
      <c r="C3865" s="163">
        <v>27</v>
      </c>
      <c r="D3865" s="141">
        <f t="shared" si="128"/>
        <v>44404</v>
      </c>
      <c r="E3865" s="275">
        <f t="shared" si="129"/>
        <v>44404</v>
      </c>
      <c r="F3865" s="480"/>
      <c r="G3865" s="221" t="s">
        <v>94</v>
      </c>
      <c r="H3865" s="221" t="str" cm="1">
        <f t="array" ref="H3865">IFERROR(INDEX(INVESTOR_LIST[INVESTOR NAME],MATCH(I3865,INVESTOR_LIST[INVESTOR CODE],0),)," ")</f>
        <v xml:space="preserve"> </v>
      </c>
      <c r="I3865" s="145" t="s">
        <v>348</v>
      </c>
      <c r="J3865" s="146" t="s">
        <v>191</v>
      </c>
      <c r="K3865" s="219"/>
      <c r="L3865" s="219">
        <v>1367207.1</v>
      </c>
    </row>
    <row r="3866" spans="1:14" x14ac:dyDescent="0.2">
      <c r="A3866" s="133">
        <v>2021</v>
      </c>
      <c r="B3866" s="133">
        <v>7</v>
      </c>
      <c r="C3866" s="133">
        <v>27</v>
      </c>
      <c r="D3866" s="141">
        <f t="shared" si="128"/>
        <v>44404</v>
      </c>
      <c r="E3866" s="275">
        <f t="shared" si="129"/>
        <v>44404</v>
      </c>
      <c r="F3866" s="479" t="s">
        <v>77</v>
      </c>
      <c r="G3866" s="174" t="s">
        <v>74</v>
      </c>
      <c r="H3866" s="148" t="str" cm="1">
        <f t="array" ref="H3866">IFERROR(INDEX(INVESTOR_LIST[INVESTOR NAME],MATCH(I3866,INVESTOR_LIST[INVESTOR CODE],0),)," ")</f>
        <v xml:space="preserve"> </v>
      </c>
      <c r="I3866" s="148" t="s">
        <v>348</v>
      </c>
      <c r="J3866" s="133" t="s">
        <v>61</v>
      </c>
      <c r="K3866" s="172">
        <v>60</v>
      </c>
    </row>
    <row r="3867" spans="1:14" x14ac:dyDescent="0.2">
      <c r="A3867" s="163">
        <v>2021</v>
      </c>
      <c r="B3867" s="163">
        <v>7</v>
      </c>
      <c r="C3867" s="163">
        <v>27</v>
      </c>
      <c r="D3867" s="141">
        <f t="shared" si="128"/>
        <v>44404</v>
      </c>
      <c r="E3867" s="275">
        <f t="shared" si="129"/>
        <v>44404</v>
      </c>
      <c r="F3867" s="480"/>
      <c r="G3867" s="221" t="s">
        <v>74</v>
      </c>
      <c r="H3867" s="145" t="str" cm="1">
        <f t="array" ref="H3867">IFERROR(INDEX(INVESTOR_LIST[INVESTOR NAME],MATCH(I3867,INVESTOR_LIST[INVESTOR CODE],0),)," ")</f>
        <v xml:space="preserve"> </v>
      </c>
      <c r="I3867" s="145" t="s">
        <v>348</v>
      </c>
      <c r="J3867" s="163" t="s">
        <v>52</v>
      </c>
      <c r="K3867" s="219"/>
      <c r="L3867" s="219">
        <v>60</v>
      </c>
    </row>
    <row r="3868" spans="1:14" x14ac:dyDescent="0.2">
      <c r="A3868" s="133">
        <v>2021</v>
      </c>
      <c r="B3868" s="133">
        <v>7</v>
      </c>
      <c r="C3868" s="133">
        <v>27</v>
      </c>
      <c r="D3868" s="141">
        <f t="shared" si="128"/>
        <v>44404</v>
      </c>
      <c r="E3868" s="275">
        <f t="shared" si="129"/>
        <v>44404</v>
      </c>
      <c r="F3868" s="479" t="s">
        <v>77</v>
      </c>
      <c r="G3868" s="174" t="s">
        <v>74</v>
      </c>
      <c r="H3868" s="148" t="str" cm="1">
        <f t="array" ref="H3868">IFERROR(INDEX(INVESTOR_LIST[INVESTOR NAME],MATCH(I3868,INVESTOR_LIST[INVESTOR CODE],0),)," ")</f>
        <v xml:space="preserve"> </v>
      </c>
      <c r="I3868" s="148" t="s">
        <v>348</v>
      </c>
      <c r="J3868" s="133" t="s">
        <v>61</v>
      </c>
      <c r="K3868" s="172">
        <v>60</v>
      </c>
      <c r="N3868" s="156">
        <f>K3873/14.11</f>
        <v>7087.1722182849044</v>
      </c>
    </row>
    <row r="3869" spans="1:14" x14ac:dyDescent="0.2">
      <c r="A3869" s="163">
        <v>2021</v>
      </c>
      <c r="B3869" s="163">
        <v>7</v>
      </c>
      <c r="C3869" s="163">
        <v>27</v>
      </c>
      <c r="D3869" s="141">
        <f t="shared" si="128"/>
        <v>44404</v>
      </c>
      <c r="E3869" s="275">
        <f t="shared" si="129"/>
        <v>44404</v>
      </c>
      <c r="F3869" s="480"/>
      <c r="G3869" s="221" t="s">
        <v>74</v>
      </c>
      <c r="H3869" s="145" t="str" cm="1">
        <f t="array" ref="H3869">IFERROR(INDEX(INVESTOR_LIST[INVESTOR NAME],MATCH(I3869,INVESTOR_LIST[INVESTOR CODE],0),)," ")</f>
        <v xml:space="preserve"> </v>
      </c>
      <c r="I3869" s="145" t="s">
        <v>348</v>
      </c>
      <c r="J3869" s="163" t="s">
        <v>52</v>
      </c>
      <c r="K3869" s="219"/>
      <c r="L3869" s="219">
        <v>60</v>
      </c>
    </row>
    <row r="3870" spans="1:14" ht="11.25" customHeight="1" x14ac:dyDescent="0.2">
      <c r="A3870" s="133">
        <v>2021</v>
      </c>
      <c r="B3870" s="133">
        <v>7</v>
      </c>
      <c r="C3870" s="133">
        <v>28</v>
      </c>
      <c r="D3870" s="141">
        <f t="shared" si="128"/>
        <v>44405</v>
      </c>
      <c r="E3870" s="275">
        <f t="shared" si="129"/>
        <v>44405</v>
      </c>
      <c r="F3870" s="479" t="s">
        <v>254</v>
      </c>
      <c r="G3870" s="174" t="s">
        <v>74</v>
      </c>
      <c r="H3870" s="174" t="str" cm="1">
        <f t="array" ref="H3870">IFERROR(INDEX(INVESTOR_LIST[INVESTOR NAME],MATCH(I3870,INVESTOR_LIST[INVESTOR CODE],0),)," ")</f>
        <v xml:space="preserve"> </v>
      </c>
      <c r="I3870" s="148" t="s">
        <v>348</v>
      </c>
      <c r="J3870" s="149" t="s">
        <v>52</v>
      </c>
      <c r="K3870" s="218">
        <v>460000</v>
      </c>
      <c r="L3870" s="218"/>
    </row>
    <row r="3871" spans="1:14" x14ac:dyDescent="0.2">
      <c r="A3871" s="133">
        <v>2021</v>
      </c>
      <c r="B3871" s="133">
        <v>7</v>
      </c>
      <c r="C3871" s="133">
        <v>28</v>
      </c>
      <c r="D3871" s="141">
        <f t="shared" si="128"/>
        <v>44405</v>
      </c>
      <c r="E3871" s="275">
        <f t="shared" si="129"/>
        <v>44405</v>
      </c>
      <c r="F3871" s="481"/>
      <c r="G3871" s="174" t="s">
        <v>74</v>
      </c>
      <c r="H3871" s="174" t="str" cm="1">
        <f t="array" ref="H3871">IFERROR(INDEX(INVESTOR_LIST[INVESTOR NAME],MATCH(I3871,INVESTOR_LIST[INVESTOR CODE],0),)," ")</f>
        <v xml:space="preserve"> </v>
      </c>
      <c r="I3871" s="148" t="s">
        <v>348</v>
      </c>
      <c r="J3871" s="149" t="s">
        <v>13</v>
      </c>
      <c r="K3871" s="218"/>
      <c r="L3871" s="218">
        <v>325970</v>
      </c>
    </row>
    <row r="3872" spans="1:14" x14ac:dyDescent="0.2">
      <c r="A3872" s="163">
        <v>2021</v>
      </c>
      <c r="B3872" s="163">
        <v>7</v>
      </c>
      <c r="C3872" s="163">
        <v>28</v>
      </c>
      <c r="D3872" s="141">
        <f t="shared" si="128"/>
        <v>44405</v>
      </c>
      <c r="E3872" s="275">
        <f t="shared" si="129"/>
        <v>44405</v>
      </c>
      <c r="F3872" s="480"/>
      <c r="G3872" s="221" t="s">
        <v>74</v>
      </c>
      <c r="H3872" s="221" t="str" cm="1">
        <f t="array" ref="H3872">IFERROR(INDEX(INVESTOR_LIST[INVESTOR NAME],MATCH(I3872,INVESTOR_LIST[INVESTOR CODE],0),)," ")</f>
        <v xml:space="preserve"> </v>
      </c>
      <c r="I3872" s="145" t="s">
        <v>348</v>
      </c>
      <c r="J3872" s="146" t="s">
        <v>53</v>
      </c>
      <c r="K3872" s="219"/>
      <c r="L3872" s="219">
        <v>134030</v>
      </c>
    </row>
    <row r="3873" spans="1:14" ht="11.25" customHeight="1" x14ac:dyDescent="0.2">
      <c r="A3873" s="168">
        <v>2021</v>
      </c>
      <c r="B3873" s="168">
        <v>7</v>
      </c>
      <c r="C3873" s="168">
        <v>28</v>
      </c>
      <c r="D3873" s="141">
        <f t="shared" si="128"/>
        <v>44405</v>
      </c>
      <c r="E3873" s="275">
        <f t="shared" si="129"/>
        <v>44405</v>
      </c>
      <c r="F3873" s="479" t="s">
        <v>964</v>
      </c>
      <c r="G3873" s="220" t="s">
        <v>74</v>
      </c>
      <c r="H3873" s="142" t="str" cm="1">
        <f t="array" ref="H3873">IFERROR(INDEX(INVESTOR_LIST[INVESTOR NAME],MATCH(I3873,INVESTOR_LIST[INVESTOR CODE],0),)," ")</f>
        <v>FAKARUDDIN ALI AHMED</v>
      </c>
      <c r="I3873" s="142" t="s">
        <v>458</v>
      </c>
      <c r="J3873" s="168" t="s">
        <v>52</v>
      </c>
      <c r="K3873" s="226">
        <v>100000</v>
      </c>
      <c r="L3873" s="226"/>
    </row>
    <row r="3874" spans="1:14" ht="33.75" x14ac:dyDescent="0.2">
      <c r="A3874" s="133">
        <v>2021</v>
      </c>
      <c r="B3874" s="133">
        <v>7</v>
      </c>
      <c r="C3874" s="133">
        <v>28</v>
      </c>
      <c r="D3874" s="141">
        <f t="shared" si="128"/>
        <v>44405</v>
      </c>
      <c r="E3874" s="275">
        <f t="shared" si="129"/>
        <v>44405</v>
      </c>
      <c r="F3874" s="481"/>
      <c r="G3874" s="174" t="s">
        <v>74</v>
      </c>
      <c r="H3874" s="148" t="str" cm="1">
        <f t="array" ref="H3874">IFERROR(INDEX(INVESTOR_LIST[INVESTOR NAME],MATCH(I3874,INVESTOR_LIST[INVESTOR CODE],0),)," ")</f>
        <v>FAKARUDDIN ALI AHMED</v>
      </c>
      <c r="I3874" s="148" t="s">
        <v>458</v>
      </c>
      <c r="J3874" s="133" t="s">
        <v>13</v>
      </c>
      <c r="K3874" s="218"/>
      <c r="L3874" s="218">
        <v>70870</v>
      </c>
    </row>
    <row r="3875" spans="1:14" ht="33.75" x14ac:dyDescent="0.2">
      <c r="A3875" s="163">
        <v>2021</v>
      </c>
      <c r="B3875" s="163">
        <v>7</v>
      </c>
      <c r="C3875" s="163">
        <v>28</v>
      </c>
      <c r="D3875" s="141">
        <f t="shared" si="128"/>
        <v>44405</v>
      </c>
      <c r="E3875" s="275">
        <f t="shared" si="129"/>
        <v>44405</v>
      </c>
      <c r="F3875" s="480"/>
      <c r="G3875" s="221" t="s">
        <v>74</v>
      </c>
      <c r="H3875" s="145" t="str" cm="1">
        <f t="array" ref="H3875">IFERROR(INDEX(INVESTOR_LIST[INVESTOR NAME],MATCH(I3875,INVESTOR_LIST[INVESTOR CODE],0),)," ")</f>
        <v>FAKARUDDIN ALI AHMED</v>
      </c>
      <c r="I3875" s="145" t="s">
        <v>458</v>
      </c>
      <c r="J3875" s="163" t="s">
        <v>53</v>
      </c>
      <c r="K3875" s="219"/>
      <c r="L3875" s="219">
        <v>29130</v>
      </c>
    </row>
    <row r="3876" spans="1:14" x14ac:dyDescent="0.2">
      <c r="A3876" s="133">
        <v>2021</v>
      </c>
      <c r="B3876" s="133">
        <v>7</v>
      </c>
      <c r="C3876" s="133">
        <v>28</v>
      </c>
      <c r="D3876" s="141">
        <f t="shared" si="128"/>
        <v>44405</v>
      </c>
      <c r="E3876" s="275">
        <f t="shared" si="129"/>
        <v>44405</v>
      </c>
      <c r="F3876" s="479" t="s">
        <v>77</v>
      </c>
      <c r="G3876" s="174" t="s">
        <v>74</v>
      </c>
      <c r="H3876" s="148" t="str" cm="1">
        <f t="array" ref="H3876">IFERROR(INDEX(INVESTOR_LIST[INVESTOR NAME],MATCH(I3876,INVESTOR_LIST[INVESTOR CODE],0),)," ")</f>
        <v xml:space="preserve"> </v>
      </c>
      <c r="I3876" s="148" t="s">
        <v>348</v>
      </c>
      <c r="J3876" s="133" t="s">
        <v>61</v>
      </c>
      <c r="K3876" s="172">
        <v>10</v>
      </c>
    </row>
    <row r="3877" spans="1:14" x14ac:dyDescent="0.2">
      <c r="A3877" s="163">
        <v>2021</v>
      </c>
      <c r="B3877" s="163">
        <v>7</v>
      </c>
      <c r="C3877" s="163">
        <v>28</v>
      </c>
      <c r="D3877" s="141">
        <f t="shared" si="128"/>
        <v>44405</v>
      </c>
      <c r="E3877" s="275">
        <f t="shared" si="129"/>
        <v>44405</v>
      </c>
      <c r="F3877" s="480"/>
      <c r="G3877" s="221" t="s">
        <v>74</v>
      </c>
      <c r="H3877" s="145" t="str" cm="1">
        <f t="array" ref="H3877">IFERROR(INDEX(INVESTOR_LIST[INVESTOR NAME],MATCH(I3877,INVESTOR_LIST[INVESTOR CODE],0),)," ")</f>
        <v xml:space="preserve"> </v>
      </c>
      <c r="I3877" s="145" t="s">
        <v>348</v>
      </c>
      <c r="J3877" s="163" t="s">
        <v>52</v>
      </c>
      <c r="K3877" s="219"/>
      <c r="L3877" s="219">
        <v>10</v>
      </c>
    </row>
    <row r="3878" spans="1:14" x14ac:dyDescent="0.2">
      <c r="A3878" s="168">
        <v>2021</v>
      </c>
      <c r="B3878" s="168">
        <v>7</v>
      </c>
      <c r="C3878" s="168">
        <v>28</v>
      </c>
      <c r="D3878" s="141">
        <f t="shared" si="128"/>
        <v>44405</v>
      </c>
      <c r="E3878" s="275">
        <f t="shared" si="129"/>
        <v>44405</v>
      </c>
      <c r="F3878" s="479" t="s">
        <v>544</v>
      </c>
      <c r="G3878" s="220" t="s">
        <v>74</v>
      </c>
      <c r="H3878" s="220" t="str" cm="1">
        <f t="array" ref="H3878">IFERROR(INDEX(INVESTOR_LIST[INVESTOR NAME],MATCH(I3878,INVESTOR_LIST[INVESTOR CODE],0),)," ")</f>
        <v xml:space="preserve"> </v>
      </c>
      <c r="I3878" s="142" t="s">
        <v>348</v>
      </c>
      <c r="J3878" s="143" t="s">
        <v>52</v>
      </c>
      <c r="K3878" s="226">
        <v>27821505.09</v>
      </c>
      <c r="L3878" s="226"/>
    </row>
    <row r="3879" spans="1:14" x14ac:dyDescent="0.2">
      <c r="A3879" s="163">
        <v>2021</v>
      </c>
      <c r="B3879" s="163">
        <v>7</v>
      </c>
      <c r="C3879" s="163">
        <v>28</v>
      </c>
      <c r="D3879" s="141">
        <f t="shared" si="128"/>
        <v>44405</v>
      </c>
      <c r="E3879" s="275">
        <f t="shared" si="129"/>
        <v>44405</v>
      </c>
      <c r="F3879" s="480"/>
      <c r="G3879" s="221" t="s">
        <v>74</v>
      </c>
      <c r="H3879" s="221" t="str" cm="1">
        <f t="array" ref="H3879">IFERROR(INDEX(INVESTOR_LIST[INVESTOR NAME],MATCH(I3879,INVESTOR_LIST[INVESTOR CODE],0),)," ")</f>
        <v xml:space="preserve"> </v>
      </c>
      <c r="I3879" s="145" t="s">
        <v>348</v>
      </c>
      <c r="J3879" s="146" t="s">
        <v>190</v>
      </c>
      <c r="K3879" s="219"/>
      <c r="L3879" s="219">
        <v>27821505.09</v>
      </c>
      <c r="N3879" s="156">
        <f>K3886/14.11</f>
        <v>14174.344436569809</v>
      </c>
    </row>
    <row r="3880" spans="1:14" ht="11.25" customHeight="1" x14ac:dyDescent="0.2">
      <c r="A3880" s="168">
        <v>2021</v>
      </c>
      <c r="B3880" s="168">
        <v>7</v>
      </c>
      <c r="C3880" s="168">
        <v>29</v>
      </c>
      <c r="D3880" s="141">
        <f t="shared" si="128"/>
        <v>44406</v>
      </c>
      <c r="E3880" s="275">
        <f t="shared" si="129"/>
        <v>44406</v>
      </c>
      <c r="F3880" s="479" t="s">
        <v>964</v>
      </c>
      <c r="G3880" s="220" t="s">
        <v>74</v>
      </c>
      <c r="H3880" s="142" t="str" cm="1">
        <f t="array" ref="H3880">IFERROR(INDEX(INVESTOR_LIST[INVESTOR NAME],MATCH(I3880,INVESTOR_LIST[INVESTOR CODE],0),)," ")</f>
        <v>ADNAN RASHID</v>
      </c>
      <c r="I3880" s="142" t="s">
        <v>466</v>
      </c>
      <c r="J3880" s="168" t="s">
        <v>52</v>
      </c>
      <c r="K3880" s="226">
        <v>100000</v>
      </c>
      <c r="L3880" s="226"/>
    </row>
    <row r="3881" spans="1:14" ht="22.5" x14ac:dyDescent="0.2">
      <c r="A3881" s="133">
        <v>2021</v>
      </c>
      <c r="B3881" s="133">
        <v>7</v>
      </c>
      <c r="C3881" s="133">
        <v>29</v>
      </c>
      <c r="D3881" s="141">
        <f t="shared" si="128"/>
        <v>44406</v>
      </c>
      <c r="E3881" s="275">
        <f t="shared" si="129"/>
        <v>44406</v>
      </c>
      <c r="F3881" s="481"/>
      <c r="G3881" s="174" t="s">
        <v>74</v>
      </c>
      <c r="H3881" s="148" t="str" cm="1">
        <f t="array" ref="H3881">IFERROR(INDEX(INVESTOR_LIST[INVESTOR NAME],MATCH(I3881,INVESTOR_LIST[INVESTOR CODE],0),)," ")</f>
        <v>ADNAN RASHID</v>
      </c>
      <c r="I3881" s="148" t="s">
        <v>466</v>
      </c>
      <c r="J3881" s="133" t="s">
        <v>13</v>
      </c>
      <c r="K3881" s="218"/>
      <c r="L3881" s="218">
        <v>70870</v>
      </c>
    </row>
    <row r="3882" spans="1:14" ht="22.5" x14ac:dyDescent="0.2">
      <c r="A3882" s="163">
        <v>2021</v>
      </c>
      <c r="B3882" s="163">
        <v>7</v>
      </c>
      <c r="C3882" s="163">
        <v>29</v>
      </c>
      <c r="D3882" s="141">
        <f t="shared" si="128"/>
        <v>44406</v>
      </c>
      <c r="E3882" s="275">
        <f t="shared" si="129"/>
        <v>44406</v>
      </c>
      <c r="F3882" s="480"/>
      <c r="G3882" s="221" t="s">
        <v>74</v>
      </c>
      <c r="H3882" s="145" t="str" cm="1">
        <f t="array" ref="H3882">IFERROR(INDEX(INVESTOR_LIST[INVESTOR NAME],MATCH(I3882,INVESTOR_LIST[INVESTOR CODE],0),)," ")</f>
        <v>ADNAN RASHID</v>
      </c>
      <c r="I3882" s="145" t="s">
        <v>466</v>
      </c>
      <c r="J3882" s="163" t="s">
        <v>53</v>
      </c>
      <c r="K3882" s="219"/>
      <c r="L3882" s="219">
        <v>29130</v>
      </c>
    </row>
    <row r="3883" spans="1:14" ht="11.25" customHeight="1" x14ac:dyDescent="0.2">
      <c r="A3883" s="133">
        <v>2021</v>
      </c>
      <c r="B3883" s="133">
        <v>7</v>
      </c>
      <c r="C3883" s="133">
        <v>29</v>
      </c>
      <c r="D3883" s="141">
        <f t="shared" si="128"/>
        <v>44406</v>
      </c>
      <c r="E3883" s="275">
        <f t="shared" si="129"/>
        <v>44406</v>
      </c>
      <c r="F3883" s="479" t="s">
        <v>254</v>
      </c>
      <c r="G3883" s="174" t="s">
        <v>74</v>
      </c>
      <c r="H3883" s="174" t="str" cm="1">
        <f t="array" ref="H3883">IFERROR(INDEX(INVESTOR_LIST[INVESTOR NAME],MATCH(I3883,INVESTOR_LIST[INVESTOR CODE],0),)," ")</f>
        <v xml:space="preserve"> </v>
      </c>
      <c r="I3883" s="148" t="s">
        <v>348</v>
      </c>
      <c r="J3883" s="149" t="s">
        <v>52</v>
      </c>
      <c r="K3883" s="218">
        <v>7000</v>
      </c>
      <c r="L3883" s="218"/>
    </row>
    <row r="3884" spans="1:14" x14ac:dyDescent="0.2">
      <c r="A3884" s="133">
        <v>2021</v>
      </c>
      <c r="B3884" s="133">
        <v>7</v>
      </c>
      <c r="C3884" s="133">
        <v>29</v>
      </c>
      <c r="D3884" s="141">
        <f t="shared" si="128"/>
        <v>44406</v>
      </c>
      <c r="E3884" s="275">
        <f t="shared" si="129"/>
        <v>44406</v>
      </c>
      <c r="F3884" s="481"/>
      <c r="G3884" s="174" t="s">
        <v>74</v>
      </c>
      <c r="H3884" s="174" t="str" cm="1">
        <f t="array" ref="H3884">IFERROR(INDEX(INVESTOR_LIST[INVESTOR NAME],MATCH(I3884,INVESTOR_LIST[INVESTOR CODE],0),)," ")</f>
        <v xml:space="preserve"> </v>
      </c>
      <c r="I3884" s="148" t="s">
        <v>348</v>
      </c>
      <c r="J3884" s="149" t="s">
        <v>13</v>
      </c>
      <c r="K3884" s="218"/>
      <c r="L3884" s="218">
        <v>4960</v>
      </c>
    </row>
    <row r="3885" spans="1:14" x14ac:dyDescent="0.2">
      <c r="A3885" s="163">
        <v>2021</v>
      </c>
      <c r="B3885" s="163">
        <v>7</v>
      </c>
      <c r="C3885" s="163">
        <v>29</v>
      </c>
      <c r="D3885" s="141">
        <f t="shared" si="128"/>
        <v>44406</v>
      </c>
      <c r="E3885" s="275">
        <f t="shared" si="129"/>
        <v>44406</v>
      </c>
      <c r="F3885" s="480"/>
      <c r="G3885" s="221" t="s">
        <v>74</v>
      </c>
      <c r="H3885" s="221" t="str" cm="1">
        <f t="array" ref="H3885">IFERROR(INDEX(INVESTOR_LIST[INVESTOR NAME],MATCH(I3885,INVESTOR_LIST[INVESTOR CODE],0),)," ")</f>
        <v xml:space="preserve"> </v>
      </c>
      <c r="I3885" s="145" t="s">
        <v>348</v>
      </c>
      <c r="J3885" s="146" t="s">
        <v>53</v>
      </c>
      <c r="K3885" s="219"/>
      <c r="L3885" s="219">
        <v>2040</v>
      </c>
    </row>
    <row r="3886" spans="1:14" ht="11.25" customHeight="1" x14ac:dyDescent="0.2">
      <c r="A3886" s="168">
        <v>2021</v>
      </c>
      <c r="B3886" s="168">
        <v>7</v>
      </c>
      <c r="C3886" s="168">
        <v>29</v>
      </c>
      <c r="D3886" s="141">
        <f t="shared" si="128"/>
        <v>44406</v>
      </c>
      <c r="E3886" s="275">
        <f t="shared" si="129"/>
        <v>44406</v>
      </c>
      <c r="F3886" s="479" t="s">
        <v>964</v>
      </c>
      <c r="G3886" s="220" t="s">
        <v>74</v>
      </c>
      <c r="H3886" s="142" t="str" cm="1">
        <f t="array" ref="H3886">IFERROR(INDEX(INVESTOR_LIST[INVESTOR NAME],MATCH(I3886,INVESTOR_LIST[INVESTOR CODE],0),)," ")</f>
        <v>AMIT KANTI SARKER</v>
      </c>
      <c r="I3886" s="142" t="s">
        <v>494</v>
      </c>
      <c r="J3886" s="168" t="s">
        <v>52</v>
      </c>
      <c r="K3886" s="226">
        <v>200000</v>
      </c>
      <c r="L3886" s="226"/>
    </row>
    <row r="3887" spans="1:14" ht="33.75" x14ac:dyDescent="0.2">
      <c r="A3887" s="133">
        <v>2021</v>
      </c>
      <c r="B3887" s="133">
        <v>7</v>
      </c>
      <c r="C3887" s="133">
        <v>29</v>
      </c>
      <c r="D3887" s="141">
        <f t="shared" si="128"/>
        <v>44406</v>
      </c>
      <c r="E3887" s="275">
        <f t="shared" si="129"/>
        <v>44406</v>
      </c>
      <c r="F3887" s="481"/>
      <c r="G3887" s="174" t="s">
        <v>74</v>
      </c>
      <c r="H3887" s="148" t="str" cm="1">
        <f t="array" ref="H3887">IFERROR(INDEX(INVESTOR_LIST[INVESTOR NAME],MATCH(I3887,INVESTOR_LIST[INVESTOR CODE],0),)," ")</f>
        <v>AMIT KANTI SARKER</v>
      </c>
      <c r="I3887" s="148" t="s">
        <v>494</v>
      </c>
      <c r="J3887" s="133" t="s">
        <v>13</v>
      </c>
      <c r="K3887" s="218"/>
      <c r="L3887" s="218">
        <v>141740</v>
      </c>
    </row>
    <row r="3888" spans="1:14" ht="33.75" x14ac:dyDescent="0.2">
      <c r="A3888" s="163">
        <v>2021</v>
      </c>
      <c r="B3888" s="163">
        <v>7</v>
      </c>
      <c r="C3888" s="163">
        <v>29</v>
      </c>
      <c r="D3888" s="141">
        <f t="shared" si="128"/>
        <v>44406</v>
      </c>
      <c r="E3888" s="275">
        <f t="shared" si="129"/>
        <v>44406</v>
      </c>
      <c r="F3888" s="480"/>
      <c r="G3888" s="221" t="s">
        <v>74</v>
      </c>
      <c r="H3888" s="145" t="str" cm="1">
        <f t="array" ref="H3888">IFERROR(INDEX(INVESTOR_LIST[INVESTOR NAME],MATCH(I3888,INVESTOR_LIST[INVESTOR CODE],0),)," ")</f>
        <v>AMIT KANTI SARKER</v>
      </c>
      <c r="I3888" s="145" t="s">
        <v>494</v>
      </c>
      <c r="J3888" s="163" t="s">
        <v>53</v>
      </c>
      <c r="K3888" s="219"/>
      <c r="L3888" s="219">
        <v>58260</v>
      </c>
    </row>
    <row r="3889" spans="1:14" ht="11.25" customHeight="1" x14ac:dyDescent="0.2">
      <c r="A3889" s="168">
        <v>2021</v>
      </c>
      <c r="B3889" s="168">
        <v>7</v>
      </c>
      <c r="C3889" s="168">
        <v>29</v>
      </c>
      <c r="D3889" s="141">
        <f t="shared" si="128"/>
        <v>44406</v>
      </c>
      <c r="E3889" s="275">
        <f t="shared" si="129"/>
        <v>44406</v>
      </c>
      <c r="F3889" s="479" t="s">
        <v>964</v>
      </c>
      <c r="G3889" s="220" t="s">
        <v>74</v>
      </c>
      <c r="H3889" s="142" t="str" cm="1">
        <f t="array" ref="H3889">IFERROR(INDEX(INVESTOR_LIST[INVESTOR NAME],MATCH(I3889,INVESTOR_LIST[INVESTOR CODE],0),)," ")</f>
        <v>SUMAIYA CHOWDHURY RUPTY</v>
      </c>
      <c r="I3889" s="142" t="s">
        <v>853</v>
      </c>
      <c r="J3889" s="168" t="s">
        <v>52</v>
      </c>
      <c r="K3889" s="226">
        <v>200000</v>
      </c>
      <c r="L3889" s="226"/>
    </row>
    <row r="3890" spans="1:14" ht="45" x14ac:dyDescent="0.2">
      <c r="A3890" s="133">
        <v>2021</v>
      </c>
      <c r="B3890" s="133">
        <v>7</v>
      </c>
      <c r="C3890" s="133">
        <v>29</v>
      </c>
      <c r="D3890" s="141">
        <f t="shared" si="128"/>
        <v>44406</v>
      </c>
      <c r="E3890" s="275">
        <f t="shared" si="129"/>
        <v>44406</v>
      </c>
      <c r="F3890" s="481"/>
      <c r="G3890" s="174" t="s">
        <v>74</v>
      </c>
      <c r="H3890" s="148" t="str" cm="1">
        <f t="array" ref="H3890">IFERROR(INDEX(INVESTOR_LIST[INVESTOR NAME],MATCH(I3890,INVESTOR_LIST[INVESTOR CODE],0),)," ")</f>
        <v>SUMAIYA CHOWDHURY RUPTY</v>
      </c>
      <c r="I3890" s="148" t="s">
        <v>853</v>
      </c>
      <c r="J3890" s="133" t="s">
        <v>13</v>
      </c>
      <c r="K3890" s="218"/>
      <c r="L3890" s="218">
        <v>141740</v>
      </c>
    </row>
    <row r="3891" spans="1:14" ht="45" x14ac:dyDescent="0.2">
      <c r="A3891" s="163">
        <v>2021</v>
      </c>
      <c r="B3891" s="163">
        <v>7</v>
      </c>
      <c r="C3891" s="163">
        <v>29</v>
      </c>
      <c r="D3891" s="141">
        <f t="shared" si="128"/>
        <v>44406</v>
      </c>
      <c r="E3891" s="275">
        <f t="shared" si="129"/>
        <v>44406</v>
      </c>
      <c r="F3891" s="480"/>
      <c r="G3891" s="221" t="s">
        <v>74</v>
      </c>
      <c r="H3891" s="145" t="str" cm="1">
        <f t="array" ref="H3891">IFERROR(INDEX(INVESTOR_LIST[INVESTOR NAME],MATCH(I3891,INVESTOR_LIST[INVESTOR CODE],0),)," ")</f>
        <v>SUMAIYA CHOWDHURY RUPTY</v>
      </c>
      <c r="I3891" s="145" t="s">
        <v>853</v>
      </c>
      <c r="J3891" s="163" t="s">
        <v>53</v>
      </c>
      <c r="K3891" s="219"/>
      <c r="L3891" s="219">
        <v>58260</v>
      </c>
    </row>
    <row r="3892" spans="1:14" x14ac:dyDescent="0.2">
      <c r="A3892" s="168">
        <v>2021</v>
      </c>
      <c r="B3892" s="168">
        <v>7</v>
      </c>
      <c r="C3892" s="168">
        <v>29</v>
      </c>
      <c r="D3892" s="141">
        <f t="shared" si="128"/>
        <v>44406</v>
      </c>
      <c r="E3892" s="275">
        <f t="shared" si="129"/>
        <v>44406</v>
      </c>
      <c r="F3892" s="479" t="s">
        <v>544</v>
      </c>
      <c r="G3892" s="220" t="s">
        <v>74</v>
      </c>
      <c r="H3892" s="220" t="str" cm="1">
        <f t="array" ref="H3892">IFERROR(INDEX(INVESTOR_LIST[INVESTOR NAME],MATCH(I3892,INVESTOR_LIST[INVESTOR CODE],0),)," ")</f>
        <v xml:space="preserve"> </v>
      </c>
      <c r="I3892" s="142" t="s">
        <v>348</v>
      </c>
      <c r="J3892" s="143" t="s">
        <v>52</v>
      </c>
      <c r="K3892" s="226">
        <v>4558986.13</v>
      </c>
      <c r="L3892" s="226"/>
    </row>
    <row r="3893" spans="1:14" x14ac:dyDescent="0.2">
      <c r="A3893" s="163">
        <v>2021</v>
      </c>
      <c r="B3893" s="163">
        <v>7</v>
      </c>
      <c r="C3893" s="163">
        <v>29</v>
      </c>
      <c r="D3893" s="141">
        <f t="shared" si="128"/>
        <v>44406</v>
      </c>
      <c r="E3893" s="275">
        <f t="shared" si="129"/>
        <v>44406</v>
      </c>
      <c r="F3893" s="480"/>
      <c r="G3893" s="221" t="s">
        <v>74</v>
      </c>
      <c r="H3893" s="221" t="str" cm="1">
        <f t="array" ref="H3893">IFERROR(INDEX(INVESTOR_LIST[INVESTOR NAME],MATCH(I3893,INVESTOR_LIST[INVESTOR CODE],0),)," ")</f>
        <v xml:space="preserve"> </v>
      </c>
      <c r="I3893" s="145" t="s">
        <v>348</v>
      </c>
      <c r="J3893" s="146" t="s">
        <v>190</v>
      </c>
      <c r="K3893" s="219"/>
      <c r="L3893" s="219">
        <v>4558986.13</v>
      </c>
    </row>
    <row r="3894" spans="1:14" x14ac:dyDescent="0.2">
      <c r="A3894" s="133">
        <v>2021</v>
      </c>
      <c r="B3894" s="133">
        <v>7</v>
      </c>
      <c r="C3894" s="133">
        <v>29</v>
      </c>
      <c r="D3894" s="141">
        <f t="shared" si="128"/>
        <v>44406</v>
      </c>
      <c r="E3894" s="275">
        <f t="shared" si="129"/>
        <v>44406</v>
      </c>
      <c r="F3894" s="479" t="s">
        <v>77</v>
      </c>
      <c r="G3894" s="174" t="s">
        <v>74</v>
      </c>
      <c r="H3894" s="148" t="str" cm="1">
        <f t="array" ref="H3894">IFERROR(INDEX(INVESTOR_LIST[INVESTOR NAME],MATCH(I3894,INVESTOR_LIST[INVESTOR CODE],0),)," ")</f>
        <v xml:space="preserve"> </v>
      </c>
      <c r="I3894" s="148" t="s">
        <v>348</v>
      </c>
      <c r="J3894" s="133" t="s">
        <v>61</v>
      </c>
      <c r="K3894" s="172">
        <v>10</v>
      </c>
    </row>
    <row r="3895" spans="1:14" x14ac:dyDescent="0.2">
      <c r="A3895" s="163">
        <v>2021</v>
      </c>
      <c r="B3895" s="163">
        <v>7</v>
      </c>
      <c r="C3895" s="163">
        <v>29</v>
      </c>
      <c r="D3895" s="141">
        <f t="shared" si="128"/>
        <v>44406</v>
      </c>
      <c r="E3895" s="275">
        <f t="shared" si="129"/>
        <v>44406</v>
      </c>
      <c r="F3895" s="480"/>
      <c r="G3895" s="221" t="s">
        <v>74</v>
      </c>
      <c r="H3895" s="145" t="str" cm="1">
        <f t="array" ref="H3895">IFERROR(INDEX(INVESTOR_LIST[INVESTOR NAME],MATCH(I3895,INVESTOR_LIST[INVESTOR CODE],0),)," ")</f>
        <v xml:space="preserve"> </v>
      </c>
      <c r="I3895" s="145" t="s">
        <v>348</v>
      </c>
      <c r="J3895" s="163" t="s">
        <v>52</v>
      </c>
      <c r="K3895" s="219"/>
      <c r="L3895" s="219">
        <v>10</v>
      </c>
    </row>
    <row r="3896" spans="1:14" x14ac:dyDescent="0.2">
      <c r="A3896" s="133">
        <v>2021</v>
      </c>
      <c r="B3896" s="133">
        <v>7</v>
      </c>
      <c r="C3896" s="133">
        <v>29</v>
      </c>
      <c r="D3896" s="141">
        <f t="shared" si="128"/>
        <v>44406</v>
      </c>
      <c r="E3896" s="275">
        <f t="shared" si="129"/>
        <v>44406</v>
      </c>
      <c r="F3896" s="479" t="s">
        <v>77</v>
      </c>
      <c r="G3896" s="174" t="s">
        <v>74</v>
      </c>
      <c r="H3896" s="148" t="str" cm="1">
        <f t="array" ref="H3896">IFERROR(INDEX(INVESTOR_LIST[INVESTOR NAME],MATCH(I3896,INVESTOR_LIST[INVESTOR CODE],0),)," ")</f>
        <v xml:space="preserve"> </v>
      </c>
      <c r="I3896" s="148" t="s">
        <v>348</v>
      </c>
      <c r="J3896" s="133" t="s">
        <v>61</v>
      </c>
      <c r="K3896" s="172">
        <v>10</v>
      </c>
    </row>
    <row r="3897" spans="1:14" x14ac:dyDescent="0.2">
      <c r="A3897" s="163">
        <v>2021</v>
      </c>
      <c r="B3897" s="163">
        <v>7</v>
      </c>
      <c r="C3897" s="163">
        <v>29</v>
      </c>
      <c r="D3897" s="141">
        <f t="shared" si="128"/>
        <v>44406</v>
      </c>
      <c r="E3897" s="275">
        <f t="shared" si="129"/>
        <v>44406</v>
      </c>
      <c r="F3897" s="480"/>
      <c r="G3897" s="221" t="s">
        <v>74</v>
      </c>
      <c r="H3897" s="145" t="str" cm="1">
        <f t="array" ref="H3897">IFERROR(INDEX(INVESTOR_LIST[INVESTOR NAME],MATCH(I3897,INVESTOR_LIST[INVESTOR CODE],0),)," ")</f>
        <v xml:space="preserve"> </v>
      </c>
      <c r="I3897" s="145" t="s">
        <v>348</v>
      </c>
      <c r="J3897" s="163" t="s">
        <v>52</v>
      </c>
      <c r="K3897" s="219"/>
      <c r="L3897" s="219">
        <v>10</v>
      </c>
    </row>
    <row r="3898" spans="1:14" x14ac:dyDescent="0.2">
      <c r="A3898" s="238">
        <v>2021</v>
      </c>
      <c r="B3898" s="238">
        <v>7</v>
      </c>
      <c r="C3898" s="238">
        <v>29</v>
      </c>
      <c r="D3898" s="141">
        <f t="shared" si="128"/>
        <v>44406</v>
      </c>
      <c r="E3898" s="275">
        <f t="shared" si="129"/>
        <v>44406</v>
      </c>
      <c r="F3898" s="477" t="s">
        <v>347</v>
      </c>
      <c r="G3898" s="239" t="s">
        <v>94</v>
      </c>
      <c r="H3898" s="239" t="str" cm="1">
        <f t="array" ref="H3898">IFERROR(INDEX(INVESTOR_LIST[INVESTOR NAME],MATCH(I3898,INVESTOR_LIST[INVESTOR CODE],0),)," ")</f>
        <v xml:space="preserve"> </v>
      </c>
      <c r="I3898" s="262" t="s">
        <v>348</v>
      </c>
      <c r="J3898" s="240" t="s">
        <v>83</v>
      </c>
      <c r="K3898" s="241">
        <v>4170487.1700000465</v>
      </c>
      <c r="L3898" s="241"/>
    </row>
    <row r="3899" spans="1:14" x14ac:dyDescent="0.2">
      <c r="A3899" s="242">
        <v>2021</v>
      </c>
      <c r="B3899" s="242">
        <v>7</v>
      </c>
      <c r="C3899" s="242">
        <v>29</v>
      </c>
      <c r="D3899" s="141">
        <f t="shared" si="128"/>
        <v>44406</v>
      </c>
      <c r="E3899" s="275">
        <f t="shared" si="129"/>
        <v>44406</v>
      </c>
      <c r="F3899" s="478"/>
      <c r="G3899" s="243" t="s">
        <v>94</v>
      </c>
      <c r="H3899" s="243" t="str" cm="1">
        <f t="array" ref="H3899">IFERROR(INDEX(INVESTOR_LIST[INVESTOR NAME],MATCH(I3899,INVESTOR_LIST[INVESTOR CODE],0),)," ")</f>
        <v xml:space="preserve"> </v>
      </c>
      <c r="I3899" s="263" t="s">
        <v>348</v>
      </c>
      <c r="J3899" s="244" t="s">
        <v>108</v>
      </c>
      <c r="K3899" s="245"/>
      <c r="L3899" s="245">
        <v>4170487.1700000465</v>
      </c>
    </row>
    <row r="3900" spans="1:14" ht="22.5" x14ac:dyDescent="0.2">
      <c r="A3900" s="246">
        <v>2021</v>
      </c>
      <c r="B3900" s="246">
        <v>7</v>
      </c>
      <c r="C3900" s="246">
        <v>29</v>
      </c>
      <c r="D3900" s="141">
        <f t="shared" si="128"/>
        <v>44406</v>
      </c>
      <c r="E3900" s="275">
        <f t="shared" si="129"/>
        <v>44406</v>
      </c>
      <c r="F3900" s="482" t="s">
        <v>148</v>
      </c>
      <c r="G3900" s="247" t="s">
        <v>94</v>
      </c>
      <c r="H3900" s="247" t="str" cm="1">
        <f t="array" ref="H3900">IFERROR(INDEX(INVESTOR_LIST[INVESTOR NAME],MATCH(I3900,INVESTOR_LIST[INVESTOR CODE],0),)," ")</f>
        <v xml:space="preserve"> </v>
      </c>
      <c r="I3900" s="248" t="s">
        <v>348</v>
      </c>
      <c r="J3900" s="249" t="s">
        <v>95</v>
      </c>
      <c r="K3900" s="250">
        <v>2747.2527472527472</v>
      </c>
      <c r="L3900" s="241"/>
      <c r="M3900" s="127">
        <v>2747.2527472527472</v>
      </c>
    </row>
    <row r="3901" spans="1:14" ht="12" x14ac:dyDescent="0.2">
      <c r="A3901" s="242">
        <v>2021</v>
      </c>
      <c r="B3901" s="242">
        <v>7</v>
      </c>
      <c r="C3901" s="242">
        <v>29</v>
      </c>
      <c r="D3901" s="141">
        <f t="shared" si="128"/>
        <v>44406</v>
      </c>
      <c r="E3901" s="275">
        <f t="shared" si="129"/>
        <v>44406</v>
      </c>
      <c r="F3901" s="478"/>
      <c r="G3901" s="243" t="s">
        <v>94</v>
      </c>
      <c r="H3901" s="243" t="str" cm="1">
        <f t="array" ref="H3901">IFERROR(INDEX(INVESTOR_LIST[INVESTOR NAME],MATCH(I3901,INVESTOR_LIST[INVESTOR CODE],0),)," ")</f>
        <v xml:space="preserve"> </v>
      </c>
      <c r="I3901" s="263" t="s">
        <v>348</v>
      </c>
      <c r="J3901" s="244" t="s">
        <v>63</v>
      </c>
      <c r="K3901" s="245"/>
      <c r="L3901" s="245">
        <v>2747.2527472527472</v>
      </c>
      <c r="M3901" s="127">
        <v>113801.2058611541</v>
      </c>
      <c r="N3901" s="156">
        <f>K3906/14.11</f>
        <v>141.74344436569808</v>
      </c>
    </row>
    <row r="3902" spans="1:14" ht="12" x14ac:dyDescent="0.2">
      <c r="A3902" s="246">
        <v>2021</v>
      </c>
      <c r="B3902" s="246">
        <v>7</v>
      </c>
      <c r="C3902" s="246">
        <v>29</v>
      </c>
      <c r="D3902" s="141">
        <f t="shared" si="128"/>
        <v>44406</v>
      </c>
      <c r="E3902" s="275">
        <f t="shared" si="129"/>
        <v>44406</v>
      </c>
      <c r="F3902" s="482" t="s">
        <v>137</v>
      </c>
      <c r="G3902" s="247" t="s">
        <v>94</v>
      </c>
      <c r="H3902" s="247" t="str" cm="1">
        <f t="array" ref="H3902">IFERROR(INDEX(INVESTOR_LIST[INVESTOR NAME],MATCH(I3902,INVESTOR_LIST[INVESTOR CODE],0),)," ")</f>
        <v xml:space="preserve"> </v>
      </c>
      <c r="I3902" s="248" t="s">
        <v>348</v>
      </c>
      <c r="J3902" s="249" t="s">
        <v>97</v>
      </c>
      <c r="K3902" s="250">
        <v>113801.2058611541</v>
      </c>
      <c r="L3902" s="252"/>
      <c r="M3902" s="127">
        <v>5663.6701343333507</v>
      </c>
    </row>
    <row r="3903" spans="1:14" x14ac:dyDescent="0.2">
      <c r="A3903" s="242">
        <v>2021</v>
      </c>
      <c r="B3903" s="242">
        <v>7</v>
      </c>
      <c r="C3903" s="242">
        <v>29</v>
      </c>
      <c r="D3903" s="141">
        <f t="shared" si="128"/>
        <v>44406</v>
      </c>
      <c r="E3903" s="275">
        <f t="shared" si="129"/>
        <v>44406</v>
      </c>
      <c r="F3903" s="478"/>
      <c r="G3903" s="243" t="s">
        <v>94</v>
      </c>
      <c r="H3903" s="243" t="str" cm="1">
        <f t="array" ref="H3903">IFERROR(INDEX(INVESTOR_LIST[INVESTOR NAME],MATCH(I3903,INVESTOR_LIST[INVESTOR CODE],0),)," ")</f>
        <v xml:space="preserve"> </v>
      </c>
      <c r="I3903" s="263" t="s">
        <v>348</v>
      </c>
      <c r="J3903" s="244" t="s">
        <v>47</v>
      </c>
      <c r="K3903" s="245"/>
      <c r="L3903" s="245">
        <v>113801.2058611541</v>
      </c>
    </row>
    <row r="3904" spans="1:14" x14ac:dyDescent="0.2">
      <c r="A3904" s="246">
        <v>2021</v>
      </c>
      <c r="B3904" s="246">
        <v>7</v>
      </c>
      <c r="C3904" s="246">
        <v>29</v>
      </c>
      <c r="D3904" s="141">
        <f t="shared" si="128"/>
        <v>44406</v>
      </c>
      <c r="E3904" s="275">
        <f t="shared" si="129"/>
        <v>44406</v>
      </c>
      <c r="F3904" s="482" t="s">
        <v>138</v>
      </c>
      <c r="G3904" s="247" t="s">
        <v>94</v>
      </c>
      <c r="H3904" s="247" t="str" cm="1">
        <f t="array" ref="H3904">IFERROR(INDEX(INVESTOR_LIST[INVESTOR NAME],MATCH(I3904,INVESTOR_LIST[INVESTOR CODE],0),)," ")</f>
        <v xml:space="preserve"> </v>
      </c>
      <c r="I3904" s="248" t="s">
        <v>348</v>
      </c>
      <c r="J3904" s="249" t="s">
        <v>100</v>
      </c>
      <c r="K3904" s="250">
        <v>5663.6701343333507</v>
      </c>
      <c r="L3904" s="252"/>
      <c r="N3904" s="156">
        <f>K3909/14.45</f>
        <v>346.02076124567475</v>
      </c>
    </row>
    <row r="3905" spans="1:14" x14ac:dyDescent="0.2">
      <c r="A3905" s="242">
        <v>2021</v>
      </c>
      <c r="B3905" s="242">
        <v>7</v>
      </c>
      <c r="C3905" s="242">
        <v>29</v>
      </c>
      <c r="D3905" s="141">
        <f t="shared" si="128"/>
        <v>44406</v>
      </c>
      <c r="E3905" s="275">
        <f t="shared" si="129"/>
        <v>44406</v>
      </c>
      <c r="F3905" s="478"/>
      <c r="G3905" s="243" t="s">
        <v>94</v>
      </c>
      <c r="H3905" s="243" t="str" cm="1">
        <f t="array" ref="H3905">IFERROR(INDEX(INVESTOR_LIST[INVESTOR NAME],MATCH(I3905,INVESTOR_LIST[INVESTOR CODE],0),)," ")</f>
        <v xml:space="preserve"> </v>
      </c>
      <c r="I3905" s="263" t="s">
        <v>348</v>
      </c>
      <c r="J3905" s="244" t="s">
        <v>48</v>
      </c>
      <c r="K3905" s="245"/>
      <c r="L3905" s="245">
        <v>5663.6701343333507</v>
      </c>
    </row>
    <row r="3906" spans="1:14" ht="11.25" customHeight="1" x14ac:dyDescent="0.2">
      <c r="A3906" s="133">
        <v>2021</v>
      </c>
      <c r="B3906" s="133">
        <v>8</v>
      </c>
      <c r="C3906" s="133">
        <v>2</v>
      </c>
      <c r="D3906" s="141">
        <f t="shared" si="128"/>
        <v>44410</v>
      </c>
      <c r="E3906" s="275">
        <f t="shared" si="129"/>
        <v>44410</v>
      </c>
      <c r="F3906" s="479" t="s">
        <v>254</v>
      </c>
      <c r="G3906" s="174" t="s">
        <v>74</v>
      </c>
      <c r="H3906" s="174" t="str" cm="1">
        <f t="array" ref="H3906">IFERROR(INDEX(INVESTOR_LIST[INVESTOR NAME],MATCH(I3906,INVESTOR_LIST[INVESTOR CODE],0),)," ")</f>
        <v xml:space="preserve"> </v>
      </c>
      <c r="I3906" s="148" t="s">
        <v>348</v>
      </c>
      <c r="J3906" s="149" t="s">
        <v>52</v>
      </c>
      <c r="K3906" s="218">
        <v>2000</v>
      </c>
      <c r="L3906" s="218"/>
    </row>
    <row r="3907" spans="1:14" x14ac:dyDescent="0.2">
      <c r="A3907" s="133">
        <v>2021</v>
      </c>
      <c r="B3907" s="133">
        <v>8</v>
      </c>
      <c r="C3907" s="133">
        <v>2</v>
      </c>
      <c r="D3907" s="141">
        <f t="shared" si="128"/>
        <v>44410</v>
      </c>
      <c r="E3907" s="275">
        <f t="shared" si="129"/>
        <v>44410</v>
      </c>
      <c r="F3907" s="481"/>
      <c r="G3907" s="174" t="s">
        <v>74</v>
      </c>
      <c r="H3907" s="174" t="str" cm="1">
        <f t="array" ref="H3907">IFERROR(INDEX(INVESTOR_LIST[INVESTOR NAME],MATCH(I3907,INVESTOR_LIST[INVESTOR CODE],0),)," ")</f>
        <v xml:space="preserve"> </v>
      </c>
      <c r="I3907" s="148" t="s">
        <v>348</v>
      </c>
      <c r="J3907" s="149" t="s">
        <v>13</v>
      </c>
      <c r="K3907" s="218"/>
      <c r="L3907" s="218">
        <v>1420</v>
      </c>
      <c r="N3907" s="156">
        <f>K3912/13.65</f>
        <v>24322.344322344321</v>
      </c>
    </row>
    <row r="3908" spans="1:14" x14ac:dyDescent="0.2">
      <c r="A3908" s="163">
        <v>2021</v>
      </c>
      <c r="B3908" s="163">
        <v>8</v>
      </c>
      <c r="C3908" s="163">
        <v>2</v>
      </c>
      <c r="D3908" s="141">
        <f t="shared" si="128"/>
        <v>44410</v>
      </c>
      <c r="E3908" s="275">
        <f t="shared" si="129"/>
        <v>44410</v>
      </c>
      <c r="F3908" s="480"/>
      <c r="G3908" s="221" t="s">
        <v>74</v>
      </c>
      <c r="H3908" s="221" t="str" cm="1">
        <f t="array" ref="H3908">IFERROR(INDEX(INVESTOR_LIST[INVESTOR NAME],MATCH(I3908,INVESTOR_LIST[INVESTOR CODE],0),)," ")</f>
        <v xml:space="preserve"> </v>
      </c>
      <c r="I3908" s="145" t="s">
        <v>348</v>
      </c>
      <c r="J3908" s="146" t="s">
        <v>53</v>
      </c>
      <c r="K3908" s="219"/>
      <c r="L3908" s="219">
        <v>580</v>
      </c>
    </row>
    <row r="3909" spans="1:14" ht="11.25" customHeight="1" x14ac:dyDescent="0.2">
      <c r="A3909" s="168">
        <v>2021</v>
      </c>
      <c r="B3909" s="168">
        <v>8</v>
      </c>
      <c r="C3909" s="168">
        <v>2</v>
      </c>
      <c r="D3909" s="141">
        <f t="shared" si="128"/>
        <v>44410</v>
      </c>
      <c r="E3909" s="275">
        <f t="shared" si="129"/>
        <v>44410</v>
      </c>
      <c r="F3909" s="479" t="s">
        <v>964</v>
      </c>
      <c r="G3909" s="220" t="s">
        <v>74</v>
      </c>
      <c r="H3909" s="142" t="str" cm="1">
        <f t="array" ref="H3909">IFERROR(INDEX(INVESTOR_LIST[INVESTOR NAME],MATCH(I3909,INVESTOR_LIST[INVESTOR CODE],0),)," ")</f>
        <v>MORSHEDA MIM</v>
      </c>
      <c r="I3909" s="142" t="s">
        <v>373</v>
      </c>
      <c r="J3909" s="168" t="s">
        <v>52</v>
      </c>
      <c r="K3909" s="226">
        <v>5000</v>
      </c>
      <c r="L3909" s="226"/>
    </row>
    <row r="3910" spans="1:14" ht="22.5" x14ac:dyDescent="0.2">
      <c r="A3910" s="133">
        <v>2021</v>
      </c>
      <c r="B3910" s="133">
        <v>8</v>
      </c>
      <c r="C3910" s="133">
        <v>2</v>
      </c>
      <c r="D3910" s="141">
        <f t="shared" si="128"/>
        <v>44410</v>
      </c>
      <c r="E3910" s="275">
        <f t="shared" si="129"/>
        <v>44410</v>
      </c>
      <c r="F3910" s="481"/>
      <c r="G3910" s="174" t="s">
        <v>74</v>
      </c>
      <c r="H3910" s="148" t="str" cm="1">
        <f t="array" ref="H3910">IFERROR(INDEX(INVESTOR_LIST[INVESTOR NAME],MATCH(I3910,INVESTOR_LIST[INVESTOR CODE],0),)," ")</f>
        <v>MORSHEDA MIM</v>
      </c>
      <c r="I3910" s="148" t="s">
        <v>373</v>
      </c>
      <c r="J3910" s="133" t="s">
        <v>13</v>
      </c>
      <c r="K3910" s="218"/>
      <c r="L3910" s="218">
        <v>3460</v>
      </c>
      <c r="N3910" s="156">
        <f>K3915/14.11</f>
        <v>14174.344436569809</v>
      </c>
    </row>
    <row r="3911" spans="1:14" ht="22.5" x14ac:dyDescent="0.2">
      <c r="A3911" s="163">
        <v>2021</v>
      </c>
      <c r="B3911" s="163">
        <v>8</v>
      </c>
      <c r="C3911" s="163">
        <v>2</v>
      </c>
      <c r="D3911" s="141">
        <f t="shared" si="128"/>
        <v>44410</v>
      </c>
      <c r="E3911" s="275">
        <f t="shared" si="129"/>
        <v>44410</v>
      </c>
      <c r="F3911" s="480"/>
      <c r="G3911" s="221" t="s">
        <v>74</v>
      </c>
      <c r="H3911" s="145" t="str" cm="1">
        <f t="array" ref="H3911">IFERROR(INDEX(INVESTOR_LIST[INVESTOR NAME],MATCH(I3911,INVESTOR_LIST[INVESTOR CODE],0),)," ")</f>
        <v>MORSHEDA MIM</v>
      </c>
      <c r="I3911" s="145" t="s">
        <v>373</v>
      </c>
      <c r="J3911" s="163" t="s">
        <v>53</v>
      </c>
      <c r="K3911" s="219"/>
      <c r="L3911" s="219">
        <v>1540</v>
      </c>
    </row>
    <row r="3912" spans="1:14" ht="11.25" customHeight="1" x14ac:dyDescent="0.2">
      <c r="A3912" s="168">
        <v>2021</v>
      </c>
      <c r="B3912" s="168">
        <v>8</v>
      </c>
      <c r="C3912" s="168">
        <v>3</v>
      </c>
      <c r="D3912" s="141">
        <f t="shared" si="128"/>
        <v>44411</v>
      </c>
      <c r="E3912" s="275">
        <f t="shared" si="129"/>
        <v>44411</v>
      </c>
      <c r="F3912" s="479" t="s">
        <v>964</v>
      </c>
      <c r="G3912" s="220" t="s">
        <v>74</v>
      </c>
      <c r="H3912" s="142" t="str" cm="1">
        <f t="array" ref="H3912">IFERROR(INDEX(INVESTOR_LIST[INVESTOR NAME],MATCH(I3912,INVESTOR_LIST[INVESTOR CODE],0),)," ")</f>
        <v>JOY SHREE SAHA</v>
      </c>
      <c r="I3912" s="142" t="s">
        <v>777</v>
      </c>
      <c r="J3912" s="168" t="s">
        <v>52</v>
      </c>
      <c r="K3912" s="226">
        <v>332000</v>
      </c>
      <c r="L3912" s="226"/>
    </row>
    <row r="3913" spans="1:14" ht="33.75" x14ac:dyDescent="0.2">
      <c r="A3913" s="133">
        <v>2021</v>
      </c>
      <c r="B3913" s="133">
        <v>8</v>
      </c>
      <c r="C3913" s="133">
        <v>3</v>
      </c>
      <c r="D3913" s="141">
        <f t="shared" si="128"/>
        <v>44411</v>
      </c>
      <c r="E3913" s="275">
        <f t="shared" si="129"/>
        <v>44411</v>
      </c>
      <c r="F3913" s="481"/>
      <c r="G3913" s="174" t="s">
        <v>74</v>
      </c>
      <c r="H3913" s="148" t="str" cm="1">
        <f t="array" ref="H3913">IFERROR(INDEX(INVESTOR_LIST[INVESTOR NAME],MATCH(I3913,INVESTOR_LIST[INVESTOR CODE],0),)," ")</f>
        <v>JOY SHREE SAHA</v>
      </c>
      <c r="I3913" s="148" t="s">
        <v>777</v>
      </c>
      <c r="J3913" s="133" t="s">
        <v>13</v>
      </c>
      <c r="K3913" s="218"/>
      <c r="L3913" s="218">
        <v>243220</v>
      </c>
    </row>
    <row r="3914" spans="1:14" ht="33.75" x14ac:dyDescent="0.2">
      <c r="A3914" s="163">
        <v>2021</v>
      </c>
      <c r="B3914" s="163">
        <v>8</v>
      </c>
      <c r="C3914" s="163">
        <v>3</v>
      </c>
      <c r="D3914" s="141">
        <f t="shared" si="128"/>
        <v>44411</v>
      </c>
      <c r="E3914" s="275">
        <f t="shared" si="129"/>
        <v>44411</v>
      </c>
      <c r="F3914" s="480"/>
      <c r="G3914" s="221" t="s">
        <v>74</v>
      </c>
      <c r="H3914" s="145" t="str" cm="1">
        <f t="array" ref="H3914">IFERROR(INDEX(INVESTOR_LIST[INVESTOR NAME],MATCH(I3914,INVESTOR_LIST[INVESTOR CODE],0),)," ")</f>
        <v>JOY SHREE SAHA</v>
      </c>
      <c r="I3914" s="145" t="s">
        <v>777</v>
      </c>
      <c r="J3914" s="163" t="s">
        <v>53</v>
      </c>
      <c r="K3914" s="219"/>
      <c r="L3914" s="219">
        <v>88780</v>
      </c>
    </row>
    <row r="3915" spans="1:14" ht="11.25" customHeight="1" x14ac:dyDescent="0.2">
      <c r="A3915" s="168">
        <v>2021</v>
      </c>
      <c r="B3915" s="168">
        <v>8</v>
      </c>
      <c r="C3915" s="168">
        <v>3</v>
      </c>
      <c r="D3915" s="141">
        <f t="shared" si="128"/>
        <v>44411</v>
      </c>
      <c r="E3915" s="275">
        <f t="shared" si="129"/>
        <v>44411</v>
      </c>
      <c r="F3915" s="479" t="s">
        <v>964</v>
      </c>
      <c r="G3915" s="220" t="s">
        <v>74</v>
      </c>
      <c r="H3915" s="142" t="str" cm="1">
        <f t="array" ref="H3915">IFERROR(INDEX(INVESTOR_LIST[INVESTOR NAME],MATCH(I3915,INVESTOR_LIST[INVESTOR CODE],0),)," ")</f>
        <v>SHANJIDA SULTANA</v>
      </c>
      <c r="I3915" s="142" t="s">
        <v>464</v>
      </c>
      <c r="J3915" s="168" t="s">
        <v>52</v>
      </c>
      <c r="K3915" s="226">
        <v>200000</v>
      </c>
      <c r="L3915" s="226"/>
      <c r="N3915" s="156">
        <f>K3920/14.45</f>
        <v>3460.2076124567475</v>
      </c>
    </row>
    <row r="3916" spans="1:14" ht="33.75" x14ac:dyDescent="0.2">
      <c r="A3916" s="133">
        <v>2021</v>
      </c>
      <c r="B3916" s="133">
        <v>8</v>
      </c>
      <c r="C3916" s="133">
        <v>3</v>
      </c>
      <c r="D3916" s="141">
        <f t="shared" si="128"/>
        <v>44411</v>
      </c>
      <c r="E3916" s="275">
        <f t="shared" si="129"/>
        <v>44411</v>
      </c>
      <c r="F3916" s="481"/>
      <c r="G3916" s="174" t="s">
        <v>74</v>
      </c>
      <c r="H3916" s="148" t="str" cm="1">
        <f t="array" ref="H3916">IFERROR(INDEX(INVESTOR_LIST[INVESTOR NAME],MATCH(I3916,INVESTOR_LIST[INVESTOR CODE],0),)," ")</f>
        <v>SHANJIDA SULTANA</v>
      </c>
      <c r="I3916" s="148" t="s">
        <v>464</v>
      </c>
      <c r="J3916" s="133" t="s">
        <v>13</v>
      </c>
      <c r="K3916" s="218"/>
      <c r="L3916" s="218">
        <v>141740</v>
      </c>
    </row>
    <row r="3917" spans="1:14" ht="33.75" x14ac:dyDescent="0.2">
      <c r="A3917" s="163">
        <v>2021</v>
      </c>
      <c r="B3917" s="163">
        <v>8</v>
      </c>
      <c r="C3917" s="163">
        <v>3</v>
      </c>
      <c r="D3917" s="141">
        <f t="shared" si="128"/>
        <v>44411</v>
      </c>
      <c r="E3917" s="275">
        <f t="shared" si="129"/>
        <v>44411</v>
      </c>
      <c r="F3917" s="480"/>
      <c r="G3917" s="221" t="s">
        <v>74</v>
      </c>
      <c r="H3917" s="145" t="str" cm="1">
        <f t="array" ref="H3917">IFERROR(INDEX(INVESTOR_LIST[INVESTOR NAME],MATCH(I3917,INVESTOR_LIST[INVESTOR CODE],0),)," ")</f>
        <v>SHANJIDA SULTANA</v>
      </c>
      <c r="I3917" s="145" t="s">
        <v>464</v>
      </c>
      <c r="J3917" s="163" t="s">
        <v>53</v>
      </c>
      <c r="K3917" s="219"/>
      <c r="L3917" s="219">
        <v>58260</v>
      </c>
    </row>
    <row r="3918" spans="1:14" x14ac:dyDescent="0.2">
      <c r="A3918" s="133">
        <v>2021</v>
      </c>
      <c r="B3918" s="133">
        <v>8</v>
      </c>
      <c r="C3918" s="133">
        <v>3</v>
      </c>
      <c r="D3918" s="141">
        <f t="shared" ref="D3918:D3981" si="130">DATE(A3918,B3918,C3918)</f>
        <v>44411</v>
      </c>
      <c r="E3918" s="275">
        <f t="shared" si="129"/>
        <v>44411</v>
      </c>
      <c r="F3918" s="479" t="s">
        <v>77</v>
      </c>
      <c r="G3918" s="174" t="s">
        <v>74</v>
      </c>
      <c r="H3918" s="148" t="str" cm="1">
        <f t="array" ref="H3918">IFERROR(INDEX(INVESTOR_LIST[INVESTOR NAME],MATCH(I3918,INVESTOR_LIST[INVESTOR CODE],0),)," ")</f>
        <v xml:space="preserve"> </v>
      </c>
      <c r="I3918" s="148" t="s">
        <v>348</v>
      </c>
      <c r="J3918" s="133" t="s">
        <v>61</v>
      </c>
      <c r="K3918" s="172">
        <v>10</v>
      </c>
      <c r="N3918" s="156">
        <f>L3925/14.45</f>
        <v>6920.415224913495</v>
      </c>
    </row>
    <row r="3919" spans="1:14" x14ac:dyDescent="0.2">
      <c r="A3919" s="163">
        <v>2021</v>
      </c>
      <c r="B3919" s="163">
        <v>8</v>
      </c>
      <c r="C3919" s="163">
        <v>3</v>
      </c>
      <c r="D3919" s="141">
        <f t="shared" si="130"/>
        <v>44411</v>
      </c>
      <c r="E3919" s="275">
        <f t="shared" ref="E3919:E3982" si="131">DATE(A3919,B3919,C3919)</f>
        <v>44411</v>
      </c>
      <c r="F3919" s="480"/>
      <c r="G3919" s="221" t="s">
        <v>74</v>
      </c>
      <c r="H3919" s="145" t="str" cm="1">
        <f t="array" ref="H3919">IFERROR(INDEX(INVESTOR_LIST[INVESTOR NAME],MATCH(I3919,INVESTOR_LIST[INVESTOR CODE],0),)," ")</f>
        <v xml:space="preserve"> </v>
      </c>
      <c r="I3919" s="145" t="s">
        <v>348</v>
      </c>
      <c r="J3919" s="163" t="s">
        <v>52</v>
      </c>
      <c r="K3919" s="219"/>
      <c r="L3919" s="219">
        <v>10</v>
      </c>
    </row>
    <row r="3920" spans="1:14" ht="11.25" customHeight="1" x14ac:dyDescent="0.2">
      <c r="A3920" s="168">
        <v>2021</v>
      </c>
      <c r="B3920" s="168">
        <v>8</v>
      </c>
      <c r="C3920" s="168">
        <v>5</v>
      </c>
      <c r="D3920" s="141">
        <f t="shared" si="130"/>
        <v>44413</v>
      </c>
      <c r="E3920" s="275">
        <f t="shared" si="131"/>
        <v>44413</v>
      </c>
      <c r="F3920" s="479" t="s">
        <v>964</v>
      </c>
      <c r="G3920" s="220" t="s">
        <v>74</v>
      </c>
      <c r="H3920" s="142" t="str" cm="1">
        <f t="array" ref="H3920">IFERROR(INDEX(INVESTOR_LIST[INVESTOR NAME],MATCH(I3920,INVESTOR_LIST[INVESTOR CODE],0),)," ")</f>
        <v>FAIYEAD AHMEDUL HYE</v>
      </c>
      <c r="I3920" s="142" t="s">
        <v>496</v>
      </c>
      <c r="J3920" s="168" t="s">
        <v>52</v>
      </c>
      <c r="K3920" s="226">
        <v>50000</v>
      </c>
      <c r="L3920" s="226"/>
    </row>
    <row r="3921" spans="1:13" ht="33.75" x14ac:dyDescent="0.2">
      <c r="A3921" s="133">
        <v>2021</v>
      </c>
      <c r="B3921" s="133">
        <v>8</v>
      </c>
      <c r="C3921" s="133">
        <v>5</v>
      </c>
      <c r="D3921" s="141">
        <f t="shared" si="130"/>
        <v>44413</v>
      </c>
      <c r="E3921" s="275">
        <f t="shared" si="131"/>
        <v>44413</v>
      </c>
      <c r="F3921" s="481"/>
      <c r="G3921" s="174" t="s">
        <v>74</v>
      </c>
      <c r="H3921" s="148" t="str" cm="1">
        <f t="array" ref="H3921">IFERROR(INDEX(INVESTOR_LIST[INVESTOR NAME],MATCH(I3921,INVESTOR_LIST[INVESTOR CODE],0),)," ")</f>
        <v>FAIYEAD AHMEDUL HYE</v>
      </c>
      <c r="I3921" s="148" t="s">
        <v>496</v>
      </c>
      <c r="J3921" s="133" t="s">
        <v>13</v>
      </c>
      <c r="K3921" s="218"/>
      <c r="L3921" s="218">
        <v>34600</v>
      </c>
    </row>
    <row r="3922" spans="1:13" ht="33.75" x14ac:dyDescent="0.2">
      <c r="A3922" s="163">
        <v>2021</v>
      </c>
      <c r="B3922" s="163">
        <v>8</v>
      </c>
      <c r="C3922" s="163">
        <v>5</v>
      </c>
      <c r="D3922" s="141">
        <f t="shared" si="130"/>
        <v>44413</v>
      </c>
      <c r="E3922" s="275">
        <f t="shared" si="131"/>
        <v>44413</v>
      </c>
      <c r="F3922" s="480"/>
      <c r="G3922" s="221" t="s">
        <v>74</v>
      </c>
      <c r="H3922" s="145" t="str" cm="1">
        <f t="array" ref="H3922">IFERROR(INDEX(INVESTOR_LIST[INVESTOR NAME],MATCH(I3922,INVESTOR_LIST[INVESTOR CODE],0),)," ")</f>
        <v>FAIYEAD AHMEDUL HYE</v>
      </c>
      <c r="I3922" s="145" t="s">
        <v>496</v>
      </c>
      <c r="J3922" s="163" t="s">
        <v>53</v>
      </c>
      <c r="K3922" s="219"/>
      <c r="L3922" s="219">
        <v>15400</v>
      </c>
    </row>
    <row r="3923" spans="1:13" ht="22.5" x14ac:dyDescent="0.2">
      <c r="A3923" s="133">
        <v>2021</v>
      </c>
      <c r="B3923" s="133">
        <v>8</v>
      </c>
      <c r="C3923" s="133">
        <v>5</v>
      </c>
      <c r="D3923" s="141">
        <f t="shared" si="130"/>
        <v>44413</v>
      </c>
      <c r="E3923" s="275">
        <f t="shared" si="131"/>
        <v>44413</v>
      </c>
      <c r="F3923" s="479" t="s">
        <v>965</v>
      </c>
      <c r="G3923" s="174" t="s">
        <v>74</v>
      </c>
      <c r="H3923" s="174" t="str" cm="1">
        <f t="array" ref="H3923">IFERROR(INDEX(INVESTOR_LIST[INVESTOR NAME],MATCH(I3923,INVESTOR_LIST[INVESTOR CODE],0),)," ")</f>
        <v>JNANDIP PAUL</v>
      </c>
      <c r="I3923" s="148" t="s">
        <v>459</v>
      </c>
      <c r="J3923" s="149" t="s">
        <v>13</v>
      </c>
      <c r="K3923" s="218">
        <v>69200</v>
      </c>
      <c r="L3923" s="218"/>
    </row>
    <row r="3924" spans="1:13" ht="22.5" x14ac:dyDescent="0.2">
      <c r="A3924" s="133">
        <v>2021</v>
      </c>
      <c r="B3924" s="133">
        <v>8</v>
      </c>
      <c r="C3924" s="133">
        <v>5</v>
      </c>
      <c r="D3924" s="141">
        <f t="shared" si="130"/>
        <v>44413</v>
      </c>
      <c r="E3924" s="275">
        <f t="shared" si="131"/>
        <v>44413</v>
      </c>
      <c r="F3924" s="481"/>
      <c r="G3924" s="174" t="s">
        <v>74</v>
      </c>
      <c r="H3924" s="174" t="str" cm="1">
        <f t="array" ref="H3924">IFERROR(INDEX(INVESTOR_LIST[INVESTOR NAME],MATCH(I3924,INVESTOR_LIST[INVESTOR CODE],0),)," ")</f>
        <v>JNANDIP PAUL</v>
      </c>
      <c r="I3924" s="148" t="s">
        <v>459</v>
      </c>
      <c r="J3924" s="149" t="s">
        <v>53</v>
      </c>
      <c r="K3924" s="218">
        <v>30800</v>
      </c>
      <c r="L3924" s="218"/>
    </row>
    <row r="3925" spans="1:13" ht="22.5" x14ac:dyDescent="0.2">
      <c r="A3925" s="163">
        <v>2021</v>
      </c>
      <c r="B3925" s="163">
        <v>8</v>
      </c>
      <c r="C3925" s="163">
        <v>5</v>
      </c>
      <c r="D3925" s="141">
        <f t="shared" si="130"/>
        <v>44413</v>
      </c>
      <c r="E3925" s="275">
        <f t="shared" si="131"/>
        <v>44413</v>
      </c>
      <c r="F3925" s="480"/>
      <c r="G3925" s="221" t="s">
        <v>74</v>
      </c>
      <c r="H3925" s="221" t="str" cm="1">
        <f t="array" ref="H3925">IFERROR(INDEX(INVESTOR_LIST[INVESTOR NAME],MATCH(I3925,INVESTOR_LIST[INVESTOR CODE],0),)," ")</f>
        <v>JNANDIP PAUL</v>
      </c>
      <c r="I3925" s="145" t="s">
        <v>459</v>
      </c>
      <c r="J3925" s="146" t="s">
        <v>52</v>
      </c>
      <c r="K3925" s="219"/>
      <c r="L3925" s="219">
        <v>100000</v>
      </c>
    </row>
    <row r="3926" spans="1:13" ht="11.25" customHeight="1" x14ac:dyDescent="0.2">
      <c r="A3926" s="168">
        <v>2021</v>
      </c>
      <c r="B3926" s="168">
        <v>8</v>
      </c>
      <c r="C3926" s="168">
        <v>5</v>
      </c>
      <c r="D3926" s="141">
        <f t="shared" si="130"/>
        <v>44413</v>
      </c>
      <c r="E3926" s="275">
        <f t="shared" si="131"/>
        <v>44413</v>
      </c>
      <c r="F3926" s="479" t="s">
        <v>964</v>
      </c>
      <c r="G3926" s="220" t="s">
        <v>74</v>
      </c>
      <c r="H3926" s="142" t="str" cm="1">
        <f t="array" ref="H3926">IFERROR(INDEX(INVESTOR_LIST[INVESTOR NAME],MATCH(I3926,INVESTOR_LIST[INVESTOR CODE],0),)," ")</f>
        <v>SAILA SATTER</v>
      </c>
      <c r="I3926" s="142" t="s">
        <v>500</v>
      </c>
      <c r="J3926" s="168" t="s">
        <v>52</v>
      </c>
      <c r="K3926" s="226">
        <v>200000</v>
      </c>
      <c r="L3926" s="226"/>
    </row>
    <row r="3927" spans="1:13" ht="22.5" x14ac:dyDescent="0.2">
      <c r="A3927" s="133">
        <v>2021</v>
      </c>
      <c r="B3927" s="133">
        <v>8</v>
      </c>
      <c r="C3927" s="133">
        <v>5</v>
      </c>
      <c r="D3927" s="141">
        <f t="shared" si="130"/>
        <v>44413</v>
      </c>
      <c r="E3927" s="275">
        <f t="shared" si="131"/>
        <v>44413</v>
      </c>
      <c r="F3927" s="481"/>
      <c r="G3927" s="174" t="s">
        <v>74</v>
      </c>
      <c r="H3927" s="148" t="str" cm="1">
        <f t="array" ref="H3927">IFERROR(INDEX(INVESTOR_LIST[INVESTOR NAME],MATCH(I3927,INVESTOR_LIST[INVESTOR CODE],0),)," ")</f>
        <v>SAILA SATTER</v>
      </c>
      <c r="I3927" s="148" t="s">
        <v>500</v>
      </c>
      <c r="J3927" s="133" t="s">
        <v>13</v>
      </c>
      <c r="K3927" s="218"/>
      <c r="L3927" s="218">
        <v>141740</v>
      </c>
    </row>
    <row r="3928" spans="1:13" ht="22.5" x14ac:dyDescent="0.2">
      <c r="A3928" s="163">
        <v>2021</v>
      </c>
      <c r="B3928" s="163">
        <v>8</v>
      </c>
      <c r="C3928" s="163">
        <v>5</v>
      </c>
      <c r="D3928" s="141">
        <f t="shared" si="130"/>
        <v>44413</v>
      </c>
      <c r="E3928" s="275">
        <f t="shared" si="131"/>
        <v>44413</v>
      </c>
      <c r="F3928" s="480"/>
      <c r="G3928" s="221" t="s">
        <v>74</v>
      </c>
      <c r="H3928" s="145" t="str" cm="1">
        <f t="array" ref="H3928">IFERROR(INDEX(INVESTOR_LIST[INVESTOR NAME],MATCH(I3928,INVESTOR_LIST[INVESTOR CODE],0),)," ")</f>
        <v>SAILA SATTER</v>
      </c>
      <c r="I3928" s="145" t="s">
        <v>500</v>
      </c>
      <c r="J3928" s="163" t="s">
        <v>53</v>
      </c>
      <c r="K3928" s="219"/>
      <c r="L3928" s="219">
        <v>58260</v>
      </c>
    </row>
    <row r="3929" spans="1:13" ht="11.25" customHeight="1" x14ac:dyDescent="0.2">
      <c r="A3929" s="133">
        <v>2021</v>
      </c>
      <c r="B3929" s="133">
        <v>8</v>
      </c>
      <c r="C3929" s="133">
        <v>5</v>
      </c>
      <c r="D3929" s="141">
        <f t="shared" si="130"/>
        <v>44413</v>
      </c>
      <c r="E3929" s="275">
        <f t="shared" si="131"/>
        <v>44413</v>
      </c>
      <c r="F3929" s="479" t="s">
        <v>254</v>
      </c>
      <c r="G3929" s="174" t="s">
        <v>74</v>
      </c>
      <c r="H3929" s="174" t="str" cm="1">
        <f t="array" ref="H3929">IFERROR(INDEX(INVESTOR_LIST[INVESTOR NAME],MATCH(I3929,INVESTOR_LIST[INVESTOR CODE],0),)," ")</f>
        <v xml:space="preserve"> </v>
      </c>
      <c r="I3929" s="148" t="s">
        <v>348</v>
      </c>
      <c r="J3929" s="149" t="s">
        <v>52</v>
      </c>
      <c r="K3929" s="218">
        <v>12500</v>
      </c>
      <c r="L3929" s="218"/>
    </row>
    <row r="3930" spans="1:13" x14ac:dyDescent="0.2">
      <c r="A3930" s="133">
        <v>2021</v>
      </c>
      <c r="B3930" s="133">
        <v>8</v>
      </c>
      <c r="C3930" s="133">
        <v>5</v>
      </c>
      <c r="D3930" s="141">
        <f t="shared" si="130"/>
        <v>44413</v>
      </c>
      <c r="E3930" s="275">
        <f t="shared" si="131"/>
        <v>44413</v>
      </c>
      <c r="F3930" s="481"/>
      <c r="G3930" s="174" t="s">
        <v>74</v>
      </c>
      <c r="H3930" s="174" t="str" cm="1">
        <f t="array" ref="H3930">IFERROR(INDEX(INVESTOR_LIST[INVESTOR NAME],MATCH(I3930,INVESTOR_LIST[INVESTOR CODE],0),)," ")</f>
        <v xml:space="preserve"> </v>
      </c>
      <c r="I3930" s="148" t="s">
        <v>348</v>
      </c>
      <c r="J3930" s="149" t="s">
        <v>13</v>
      </c>
      <c r="K3930" s="218"/>
      <c r="L3930" s="218">
        <v>8650</v>
      </c>
    </row>
    <row r="3931" spans="1:13" x14ac:dyDescent="0.2">
      <c r="A3931" s="163">
        <v>2021</v>
      </c>
      <c r="B3931" s="163">
        <v>8</v>
      </c>
      <c r="C3931" s="163">
        <v>5</v>
      </c>
      <c r="D3931" s="141">
        <f t="shared" si="130"/>
        <v>44413</v>
      </c>
      <c r="E3931" s="275">
        <f t="shared" si="131"/>
        <v>44413</v>
      </c>
      <c r="F3931" s="480"/>
      <c r="G3931" s="221" t="s">
        <v>74</v>
      </c>
      <c r="H3931" s="221" t="str" cm="1">
        <f t="array" ref="H3931">IFERROR(INDEX(INVESTOR_LIST[INVESTOR NAME],MATCH(I3931,INVESTOR_LIST[INVESTOR CODE],0),)," ")</f>
        <v xml:space="preserve"> </v>
      </c>
      <c r="I3931" s="145" t="s">
        <v>348</v>
      </c>
      <c r="J3931" s="146" t="s">
        <v>53</v>
      </c>
      <c r="K3931" s="219"/>
      <c r="L3931" s="219">
        <v>3850</v>
      </c>
    </row>
    <row r="3932" spans="1:13" x14ac:dyDescent="0.2">
      <c r="A3932" s="133">
        <v>2021</v>
      </c>
      <c r="B3932" s="133">
        <v>8</v>
      </c>
      <c r="C3932" s="133">
        <v>5</v>
      </c>
      <c r="D3932" s="141">
        <f t="shared" si="130"/>
        <v>44413</v>
      </c>
      <c r="E3932" s="275">
        <f t="shared" si="131"/>
        <v>44413</v>
      </c>
      <c r="F3932" s="479" t="s">
        <v>77</v>
      </c>
      <c r="G3932" s="174" t="s">
        <v>74</v>
      </c>
      <c r="H3932" s="148" t="str" cm="1">
        <f t="array" ref="H3932">IFERROR(INDEX(INVESTOR_LIST[INVESTOR NAME],MATCH(I3932,INVESTOR_LIST[INVESTOR CODE],0),)," ")</f>
        <v xml:space="preserve"> </v>
      </c>
      <c r="I3932" s="148" t="s">
        <v>348</v>
      </c>
      <c r="J3932" s="133" t="s">
        <v>61</v>
      </c>
      <c r="K3932" s="172">
        <v>10</v>
      </c>
    </row>
    <row r="3933" spans="1:13" x14ac:dyDescent="0.2">
      <c r="A3933" s="163">
        <v>2021</v>
      </c>
      <c r="B3933" s="163">
        <v>8</v>
      </c>
      <c r="C3933" s="163">
        <v>5</v>
      </c>
      <c r="D3933" s="141">
        <f t="shared" si="130"/>
        <v>44413</v>
      </c>
      <c r="E3933" s="275">
        <f t="shared" si="131"/>
        <v>44413</v>
      </c>
      <c r="F3933" s="480"/>
      <c r="G3933" s="221" t="s">
        <v>74</v>
      </c>
      <c r="H3933" s="145" t="str" cm="1">
        <f t="array" ref="H3933">IFERROR(INDEX(INVESTOR_LIST[INVESTOR NAME],MATCH(I3933,INVESTOR_LIST[INVESTOR CODE],0),)," ")</f>
        <v xml:space="preserve"> </v>
      </c>
      <c r="I3933" s="145" t="s">
        <v>348</v>
      </c>
      <c r="J3933" s="163" t="s">
        <v>52</v>
      </c>
      <c r="K3933" s="219"/>
      <c r="L3933" s="219">
        <v>10</v>
      </c>
    </row>
    <row r="3934" spans="1:13" x14ac:dyDescent="0.2">
      <c r="A3934" s="238">
        <v>2021</v>
      </c>
      <c r="B3934" s="238">
        <v>8</v>
      </c>
      <c r="C3934" s="238">
        <v>5</v>
      </c>
      <c r="D3934" s="141">
        <f t="shared" si="130"/>
        <v>44413</v>
      </c>
      <c r="E3934" s="275">
        <f t="shared" si="131"/>
        <v>44413</v>
      </c>
      <c r="F3934" s="477" t="s">
        <v>347</v>
      </c>
      <c r="G3934" s="239" t="s">
        <v>94</v>
      </c>
      <c r="H3934" s="239" t="str" cm="1">
        <f t="array" ref="H3934">IFERROR(INDEX(INVESTOR_LIST[INVESTOR NAME],MATCH(I3934,INVESTOR_LIST[INVESTOR CODE],0),)," ")</f>
        <v xml:space="preserve"> </v>
      </c>
      <c r="I3934" s="262" t="s">
        <v>348</v>
      </c>
      <c r="J3934" s="240" t="s">
        <v>108</v>
      </c>
      <c r="K3934" s="241">
        <v>584641.60000002384</v>
      </c>
      <c r="L3934" s="241"/>
    </row>
    <row r="3935" spans="1:13" x14ac:dyDescent="0.2">
      <c r="A3935" s="242">
        <v>2021</v>
      </c>
      <c r="B3935" s="242">
        <v>8</v>
      </c>
      <c r="C3935" s="242">
        <v>5</v>
      </c>
      <c r="D3935" s="141">
        <f t="shared" si="130"/>
        <v>44413</v>
      </c>
      <c r="E3935" s="275">
        <f t="shared" si="131"/>
        <v>44413</v>
      </c>
      <c r="F3935" s="478"/>
      <c r="G3935" s="243" t="s">
        <v>94</v>
      </c>
      <c r="H3935" s="243" t="str" cm="1">
        <f t="array" ref="H3935">IFERROR(INDEX(INVESTOR_LIST[INVESTOR NAME],MATCH(I3935,INVESTOR_LIST[INVESTOR CODE],0),)," ")</f>
        <v xml:space="preserve"> </v>
      </c>
      <c r="I3935" s="263" t="s">
        <v>348</v>
      </c>
      <c r="J3935" s="244" t="s">
        <v>82</v>
      </c>
      <c r="K3935" s="245"/>
      <c r="L3935" s="245">
        <v>584641.60000002384</v>
      </c>
    </row>
    <row r="3936" spans="1:13" ht="22.5" x14ac:dyDescent="0.2">
      <c r="A3936" s="246">
        <v>2021</v>
      </c>
      <c r="B3936" s="246">
        <v>8</v>
      </c>
      <c r="C3936" s="246">
        <v>5</v>
      </c>
      <c r="D3936" s="141">
        <f t="shared" si="130"/>
        <v>44413</v>
      </c>
      <c r="E3936" s="275">
        <f t="shared" si="131"/>
        <v>44413</v>
      </c>
      <c r="F3936" s="482" t="s">
        <v>148</v>
      </c>
      <c r="G3936" s="247" t="s">
        <v>94</v>
      </c>
      <c r="H3936" s="247" t="str" cm="1">
        <f t="array" ref="H3936">IFERROR(INDEX(INVESTOR_LIST[INVESTOR NAME],MATCH(I3936,INVESTOR_LIST[INVESTOR CODE],0),)," ")</f>
        <v xml:space="preserve"> </v>
      </c>
      <c r="I3936" s="248" t="s">
        <v>348</v>
      </c>
      <c r="J3936" s="249" t="s">
        <v>95</v>
      </c>
      <c r="K3936" s="250">
        <v>2747.2527472527472</v>
      </c>
      <c r="L3936" s="241"/>
      <c r="M3936" s="133">
        <v>2747.2527472527472</v>
      </c>
    </row>
    <row r="3937" spans="1:14" x14ac:dyDescent="0.2">
      <c r="A3937" s="242">
        <v>2021</v>
      </c>
      <c r="B3937" s="242">
        <v>8</v>
      </c>
      <c r="C3937" s="242">
        <v>5</v>
      </c>
      <c r="D3937" s="141">
        <f t="shared" si="130"/>
        <v>44413</v>
      </c>
      <c r="E3937" s="275">
        <f t="shared" si="131"/>
        <v>44413</v>
      </c>
      <c r="F3937" s="478"/>
      <c r="G3937" s="243" t="s">
        <v>94</v>
      </c>
      <c r="H3937" s="243" t="str" cm="1">
        <f t="array" ref="H3937">IFERROR(INDEX(INVESTOR_LIST[INVESTOR NAME],MATCH(I3937,INVESTOR_LIST[INVESTOR CODE],0),)," ")</f>
        <v xml:space="preserve"> </v>
      </c>
      <c r="I3937" s="263" t="s">
        <v>348</v>
      </c>
      <c r="J3937" s="244" t="s">
        <v>63</v>
      </c>
      <c r="K3937" s="245"/>
      <c r="L3937" s="245">
        <v>2747.2527472527472</v>
      </c>
      <c r="M3937" s="133">
        <v>114136.94897786294</v>
      </c>
    </row>
    <row r="3938" spans="1:14" x14ac:dyDescent="0.2">
      <c r="A3938" s="246">
        <v>2021</v>
      </c>
      <c r="B3938" s="246">
        <v>8</v>
      </c>
      <c r="C3938" s="246">
        <v>5</v>
      </c>
      <c r="D3938" s="141">
        <f t="shared" si="130"/>
        <v>44413</v>
      </c>
      <c r="E3938" s="275">
        <f t="shared" si="131"/>
        <v>44413</v>
      </c>
      <c r="F3938" s="482" t="s">
        <v>137</v>
      </c>
      <c r="G3938" s="247" t="s">
        <v>94</v>
      </c>
      <c r="H3938" s="247" t="str" cm="1">
        <f t="array" ref="H3938">IFERROR(INDEX(INVESTOR_LIST[INVESTOR NAME],MATCH(I3938,INVESTOR_LIST[INVESTOR CODE],0),)," ")</f>
        <v xml:space="preserve"> </v>
      </c>
      <c r="I3938" s="248" t="s">
        <v>348</v>
      </c>
      <c r="J3938" s="249" t="s">
        <v>97</v>
      </c>
      <c r="K3938" s="250">
        <v>114136.94897786294</v>
      </c>
      <c r="L3938" s="252"/>
      <c r="M3938" s="133">
        <v>5686.0530087806055</v>
      </c>
    </row>
    <row r="3939" spans="1:14" x14ac:dyDescent="0.2">
      <c r="A3939" s="242">
        <v>2021</v>
      </c>
      <c r="B3939" s="242">
        <v>8</v>
      </c>
      <c r="C3939" s="242">
        <v>5</v>
      </c>
      <c r="D3939" s="141">
        <f t="shared" si="130"/>
        <v>44413</v>
      </c>
      <c r="E3939" s="275">
        <f t="shared" si="131"/>
        <v>44413</v>
      </c>
      <c r="F3939" s="478"/>
      <c r="G3939" s="243" t="s">
        <v>94</v>
      </c>
      <c r="H3939" s="243" t="str" cm="1">
        <f t="array" ref="H3939">IFERROR(INDEX(INVESTOR_LIST[INVESTOR NAME],MATCH(I3939,INVESTOR_LIST[INVESTOR CODE],0),)," ")</f>
        <v xml:space="preserve"> </v>
      </c>
      <c r="I3939" s="263" t="s">
        <v>348</v>
      </c>
      <c r="J3939" s="244" t="s">
        <v>47</v>
      </c>
      <c r="K3939" s="245"/>
      <c r="L3939" s="245">
        <v>114136.94897786294</v>
      </c>
    </row>
    <row r="3940" spans="1:14" x14ac:dyDescent="0.2">
      <c r="A3940" s="246">
        <v>2021</v>
      </c>
      <c r="B3940" s="246">
        <v>8</v>
      </c>
      <c r="C3940" s="246">
        <v>5</v>
      </c>
      <c r="D3940" s="141">
        <f t="shared" si="130"/>
        <v>44413</v>
      </c>
      <c r="E3940" s="275">
        <f t="shared" si="131"/>
        <v>44413</v>
      </c>
      <c r="F3940" s="482" t="s">
        <v>138</v>
      </c>
      <c r="G3940" s="247" t="s">
        <v>94</v>
      </c>
      <c r="H3940" s="247" t="str" cm="1">
        <f t="array" ref="H3940">IFERROR(INDEX(INVESTOR_LIST[INVESTOR NAME],MATCH(I3940,INVESTOR_LIST[INVESTOR CODE],0),)," ")</f>
        <v xml:space="preserve"> </v>
      </c>
      <c r="I3940" s="248" t="s">
        <v>348</v>
      </c>
      <c r="J3940" s="249" t="s">
        <v>100</v>
      </c>
      <c r="K3940" s="250">
        <v>5686.0530087806055</v>
      </c>
      <c r="L3940" s="252"/>
    </row>
    <row r="3941" spans="1:14" x14ac:dyDescent="0.2">
      <c r="A3941" s="242">
        <v>2021</v>
      </c>
      <c r="B3941" s="242">
        <v>8</v>
      </c>
      <c r="C3941" s="242">
        <v>5</v>
      </c>
      <c r="D3941" s="141">
        <f t="shared" si="130"/>
        <v>44413</v>
      </c>
      <c r="E3941" s="275">
        <f t="shared" si="131"/>
        <v>44413</v>
      </c>
      <c r="F3941" s="478"/>
      <c r="G3941" s="243" t="s">
        <v>94</v>
      </c>
      <c r="H3941" s="243" t="str" cm="1">
        <f t="array" ref="H3941">IFERROR(INDEX(INVESTOR_LIST[INVESTOR NAME],MATCH(I3941,INVESTOR_LIST[INVESTOR CODE],0),)," ")</f>
        <v xml:space="preserve"> </v>
      </c>
      <c r="I3941" s="263" t="s">
        <v>348</v>
      </c>
      <c r="J3941" s="244" t="s">
        <v>48</v>
      </c>
      <c r="K3941" s="245"/>
      <c r="L3941" s="245">
        <v>5686.0530087806055</v>
      </c>
    </row>
    <row r="3942" spans="1:14" x14ac:dyDescent="0.2">
      <c r="A3942" s="133">
        <v>2021</v>
      </c>
      <c r="B3942" s="133">
        <v>8</v>
      </c>
      <c r="C3942" s="133">
        <v>9</v>
      </c>
      <c r="D3942" s="141">
        <f t="shared" si="130"/>
        <v>44417</v>
      </c>
      <c r="E3942" s="275">
        <f t="shared" si="131"/>
        <v>44417</v>
      </c>
      <c r="F3942" s="481" t="s">
        <v>838</v>
      </c>
      <c r="G3942" s="174" t="s">
        <v>94</v>
      </c>
      <c r="H3942" s="174" t="str" cm="1">
        <f t="array" ref="H3942">IFERROR(INDEX(INVESTOR_LIST[INVESTOR NAME],MATCH(I3942,INVESTOR_LIST[INVESTOR CODE],0),)," ")</f>
        <v xml:space="preserve"> </v>
      </c>
      <c r="I3942" s="148" t="s">
        <v>348</v>
      </c>
      <c r="J3942" s="149" t="s">
        <v>190</v>
      </c>
      <c r="K3942" s="218">
        <v>39433600.119999997</v>
      </c>
      <c r="L3942" s="218"/>
    </row>
    <row r="3943" spans="1:14" x14ac:dyDescent="0.2">
      <c r="A3943" s="133">
        <v>2021</v>
      </c>
      <c r="B3943" s="133">
        <v>8</v>
      </c>
      <c r="C3943" s="133">
        <v>9</v>
      </c>
      <c r="D3943" s="141">
        <f t="shared" si="130"/>
        <v>44417</v>
      </c>
      <c r="E3943" s="275">
        <f t="shared" si="131"/>
        <v>44417</v>
      </c>
      <c r="F3943" s="481"/>
      <c r="G3943" s="174" t="s">
        <v>94</v>
      </c>
      <c r="H3943" s="174" t="str" cm="1">
        <f t="array" ref="H3943">IFERROR(INDEX(INVESTOR_LIST[INVESTOR NAME],MATCH(I3943,INVESTOR_LIST[INVESTOR CODE],0),)," ")</f>
        <v xml:space="preserve"> </v>
      </c>
      <c r="I3943" s="148" t="s">
        <v>348</v>
      </c>
      <c r="J3943" s="149" t="s">
        <v>80</v>
      </c>
      <c r="K3943" s="218">
        <v>71108.479999999996</v>
      </c>
      <c r="L3943" s="218"/>
      <c r="N3943" s="133">
        <f>90000*12.5</f>
        <v>1125000</v>
      </c>
    </row>
    <row r="3944" spans="1:14" x14ac:dyDescent="0.2">
      <c r="A3944" s="133">
        <v>2021</v>
      </c>
      <c r="B3944" s="133">
        <v>8</v>
      </c>
      <c r="C3944" s="133">
        <v>9</v>
      </c>
      <c r="D3944" s="141">
        <f t="shared" si="130"/>
        <v>44417</v>
      </c>
      <c r="E3944" s="275">
        <f t="shared" si="131"/>
        <v>44417</v>
      </c>
      <c r="F3944" s="481"/>
      <c r="G3944" s="174" t="s">
        <v>94</v>
      </c>
      <c r="H3944" s="174" t="str" cm="1">
        <f t="array" ref="H3944">IFERROR(INDEX(INVESTOR_LIST[INVESTOR NAME],MATCH(I3944,INVESTOR_LIST[INVESTOR CODE],0),)," ")</f>
        <v xml:space="preserve"> </v>
      </c>
      <c r="I3944" s="148" t="s">
        <v>348</v>
      </c>
      <c r="J3944" s="149" t="s">
        <v>79</v>
      </c>
      <c r="K3944" s="218"/>
      <c r="L3944" s="218">
        <v>37611947.890000001</v>
      </c>
    </row>
    <row r="3945" spans="1:14" x14ac:dyDescent="0.2">
      <c r="A3945" s="163">
        <v>2021</v>
      </c>
      <c r="B3945" s="163">
        <v>8</v>
      </c>
      <c r="C3945" s="163">
        <v>9</v>
      </c>
      <c r="D3945" s="141">
        <f t="shared" si="130"/>
        <v>44417</v>
      </c>
      <c r="E3945" s="275">
        <f t="shared" si="131"/>
        <v>44417</v>
      </c>
      <c r="F3945" s="480"/>
      <c r="G3945" s="221" t="s">
        <v>94</v>
      </c>
      <c r="H3945" s="221" t="str" cm="1">
        <f t="array" ref="H3945">IFERROR(INDEX(INVESTOR_LIST[INVESTOR NAME],MATCH(I3945,INVESTOR_LIST[INVESTOR CODE],0),)," ")</f>
        <v xml:space="preserve"> </v>
      </c>
      <c r="I3945" s="145" t="s">
        <v>348</v>
      </c>
      <c r="J3945" s="146" t="s">
        <v>191</v>
      </c>
      <c r="K3945" s="219"/>
      <c r="L3945" s="219">
        <v>1892760.71</v>
      </c>
    </row>
    <row r="3946" spans="1:14" ht="11.25" customHeight="1" x14ac:dyDescent="0.2">
      <c r="A3946" s="133">
        <v>2021</v>
      </c>
      <c r="B3946" s="133">
        <v>8</v>
      </c>
      <c r="C3946" s="133">
        <v>9</v>
      </c>
      <c r="D3946" s="141">
        <f t="shared" si="130"/>
        <v>44417</v>
      </c>
      <c r="E3946" s="275">
        <f t="shared" si="131"/>
        <v>44417</v>
      </c>
      <c r="F3946" s="479" t="s">
        <v>254</v>
      </c>
      <c r="G3946" s="174" t="s">
        <v>74</v>
      </c>
      <c r="H3946" s="174" t="str" cm="1">
        <f t="array" ref="H3946">IFERROR(INDEX(INVESTOR_LIST[INVESTOR NAME],MATCH(I3946,INVESTOR_LIST[INVESTOR CODE],0),)," ")</f>
        <v xml:space="preserve"> </v>
      </c>
      <c r="I3946" s="148" t="s">
        <v>348</v>
      </c>
      <c r="J3946" s="149" t="s">
        <v>52</v>
      </c>
      <c r="K3946" s="218">
        <v>310500</v>
      </c>
      <c r="L3946" s="218"/>
      <c r="N3946" s="156">
        <f>K3951/14.47</f>
        <v>14913.614374568071</v>
      </c>
    </row>
    <row r="3947" spans="1:14" x14ac:dyDescent="0.2">
      <c r="A3947" s="133">
        <v>2021</v>
      </c>
      <c r="B3947" s="133">
        <v>8</v>
      </c>
      <c r="C3947" s="133">
        <v>9</v>
      </c>
      <c r="D3947" s="141">
        <f t="shared" si="130"/>
        <v>44417</v>
      </c>
      <c r="E3947" s="275">
        <f t="shared" si="131"/>
        <v>44417</v>
      </c>
      <c r="F3947" s="481"/>
      <c r="G3947" s="174" t="s">
        <v>74</v>
      </c>
      <c r="H3947" s="174" t="str" cm="1">
        <f t="array" ref="H3947">IFERROR(INDEX(INVESTOR_LIST[INVESTOR NAME],MATCH(I3947,INVESTOR_LIST[INVESTOR CODE],0),)," ")</f>
        <v xml:space="preserve"> </v>
      </c>
      <c r="I3947" s="148" t="s">
        <v>348</v>
      </c>
      <c r="J3947" s="149" t="s">
        <v>13</v>
      </c>
      <c r="K3947" s="218"/>
      <c r="L3947" s="218">
        <v>214830</v>
      </c>
    </row>
    <row r="3948" spans="1:14" x14ac:dyDescent="0.2">
      <c r="A3948" s="163">
        <v>2021</v>
      </c>
      <c r="B3948" s="163">
        <v>8</v>
      </c>
      <c r="C3948" s="163">
        <v>9</v>
      </c>
      <c r="D3948" s="141">
        <f t="shared" si="130"/>
        <v>44417</v>
      </c>
      <c r="E3948" s="275">
        <f t="shared" si="131"/>
        <v>44417</v>
      </c>
      <c r="F3948" s="480"/>
      <c r="G3948" s="221" t="s">
        <v>74</v>
      </c>
      <c r="H3948" s="221" t="str" cm="1">
        <f t="array" ref="H3948">IFERROR(INDEX(INVESTOR_LIST[INVESTOR NAME],MATCH(I3948,INVESTOR_LIST[INVESTOR CODE],0),)," ")</f>
        <v xml:space="preserve"> </v>
      </c>
      <c r="I3948" s="145" t="s">
        <v>348</v>
      </c>
      <c r="J3948" s="146" t="s">
        <v>53</v>
      </c>
      <c r="K3948" s="219"/>
      <c r="L3948" s="219">
        <v>95670</v>
      </c>
    </row>
    <row r="3949" spans="1:14" x14ac:dyDescent="0.2">
      <c r="A3949" s="133">
        <v>2021</v>
      </c>
      <c r="B3949" s="133">
        <v>8</v>
      </c>
      <c r="C3949" s="133">
        <v>9</v>
      </c>
      <c r="D3949" s="141">
        <f t="shared" si="130"/>
        <v>44417</v>
      </c>
      <c r="E3949" s="275">
        <f t="shared" si="131"/>
        <v>44417</v>
      </c>
      <c r="F3949" s="479" t="s">
        <v>868</v>
      </c>
      <c r="G3949" s="174" t="s">
        <v>94</v>
      </c>
      <c r="H3949" s="174" t="str" cm="1">
        <f t="array" ref="H3949">IFERROR(INDEX(INVESTOR_LIST[INVESTOR NAME],MATCH(I3949,INVESTOR_LIST[INVESTOR CODE],0),)," ")</f>
        <v xml:space="preserve"> </v>
      </c>
      <c r="J3949" s="149" t="s">
        <v>168</v>
      </c>
      <c r="K3949" s="218">
        <v>1125000</v>
      </c>
      <c r="L3949" s="218"/>
    </row>
    <row r="3950" spans="1:14" x14ac:dyDescent="0.2">
      <c r="A3950" s="133">
        <v>2021</v>
      </c>
      <c r="B3950" s="133">
        <v>8</v>
      </c>
      <c r="C3950" s="133">
        <v>9</v>
      </c>
      <c r="D3950" s="141">
        <f t="shared" si="130"/>
        <v>44417</v>
      </c>
      <c r="E3950" s="275">
        <f t="shared" si="131"/>
        <v>44417</v>
      </c>
      <c r="F3950" s="480"/>
      <c r="G3950" s="174" t="s">
        <v>94</v>
      </c>
      <c r="H3950" s="174" t="str" cm="1">
        <f t="array" ref="H3950">IFERROR(INDEX(INVESTOR_LIST[INVESTOR NAME],MATCH(I3950,INVESTOR_LIST[INVESTOR CODE],0),)," ")</f>
        <v xml:space="preserve"> </v>
      </c>
      <c r="J3950" s="149" t="s">
        <v>166</v>
      </c>
      <c r="K3950" s="218"/>
      <c r="L3950" s="218">
        <v>1125000</v>
      </c>
    </row>
    <row r="3951" spans="1:14" ht="11.25" customHeight="1" x14ac:dyDescent="0.2">
      <c r="A3951" s="168">
        <v>2021</v>
      </c>
      <c r="B3951" s="168">
        <v>8</v>
      </c>
      <c r="C3951" s="168">
        <v>10</v>
      </c>
      <c r="D3951" s="141">
        <f t="shared" si="130"/>
        <v>44418</v>
      </c>
      <c r="E3951" s="275">
        <f t="shared" si="131"/>
        <v>44418</v>
      </c>
      <c r="F3951" s="479" t="s">
        <v>964</v>
      </c>
      <c r="G3951" s="220" t="s">
        <v>74</v>
      </c>
      <c r="H3951" s="142" t="str" cm="1">
        <f t="array" ref="H3951">IFERROR(INDEX(INVESTOR_LIST[INVESTOR NAME],MATCH(I3951,INVESTOR_LIST[INVESTOR CODE],0),)," ")</f>
        <v>IFTEKHAR ALAM</v>
      </c>
      <c r="I3951" s="142" t="s">
        <v>452</v>
      </c>
      <c r="J3951" s="168" t="s">
        <v>52</v>
      </c>
      <c r="K3951" s="226">
        <v>215800</v>
      </c>
      <c r="L3951" s="226"/>
      <c r="N3951" s="156">
        <f>L3958/14.47</f>
        <v>17602.335176226676</v>
      </c>
    </row>
    <row r="3952" spans="1:14" ht="22.5" x14ac:dyDescent="0.2">
      <c r="A3952" s="133">
        <v>2021</v>
      </c>
      <c r="B3952" s="133">
        <v>8</v>
      </c>
      <c r="C3952" s="133">
        <v>10</v>
      </c>
      <c r="D3952" s="141">
        <f t="shared" si="130"/>
        <v>44418</v>
      </c>
      <c r="E3952" s="275">
        <f t="shared" si="131"/>
        <v>44418</v>
      </c>
      <c r="F3952" s="481"/>
      <c r="G3952" s="174" t="s">
        <v>74</v>
      </c>
      <c r="H3952" s="148" t="str" cm="1">
        <f t="array" ref="H3952">IFERROR(INDEX(INVESTOR_LIST[INVESTOR NAME],MATCH(I3952,INVESTOR_LIST[INVESTOR CODE],0),)," ")</f>
        <v>IFTEKHAR ALAM</v>
      </c>
      <c r="I3952" s="148" t="s">
        <v>452</v>
      </c>
      <c r="J3952" s="133" t="s">
        <v>13</v>
      </c>
      <c r="K3952" s="218"/>
      <c r="L3952" s="218">
        <v>149140</v>
      </c>
    </row>
    <row r="3953" spans="1:14" ht="22.5" x14ac:dyDescent="0.2">
      <c r="A3953" s="163">
        <v>2021</v>
      </c>
      <c r="B3953" s="163">
        <v>8</v>
      </c>
      <c r="C3953" s="163">
        <v>10</v>
      </c>
      <c r="D3953" s="141">
        <f t="shared" si="130"/>
        <v>44418</v>
      </c>
      <c r="E3953" s="275">
        <f t="shared" si="131"/>
        <v>44418</v>
      </c>
      <c r="F3953" s="480"/>
      <c r="G3953" s="221" t="s">
        <v>74</v>
      </c>
      <c r="H3953" s="145" t="str" cm="1">
        <f t="array" ref="H3953">IFERROR(INDEX(INVESTOR_LIST[INVESTOR NAME],MATCH(I3953,INVESTOR_LIST[INVESTOR CODE],0),)," ")</f>
        <v>IFTEKHAR ALAM</v>
      </c>
      <c r="I3953" s="145" t="s">
        <v>452</v>
      </c>
      <c r="J3953" s="163" t="s">
        <v>53</v>
      </c>
      <c r="K3953" s="219"/>
      <c r="L3953" s="219">
        <v>66660</v>
      </c>
    </row>
    <row r="3954" spans="1:14" x14ac:dyDescent="0.2">
      <c r="A3954" s="133">
        <v>2021</v>
      </c>
      <c r="B3954" s="133">
        <v>8</v>
      </c>
      <c r="C3954" s="133">
        <v>10</v>
      </c>
      <c r="D3954" s="141">
        <f t="shared" si="130"/>
        <v>44418</v>
      </c>
      <c r="E3954" s="275">
        <f t="shared" si="131"/>
        <v>44418</v>
      </c>
      <c r="F3954" s="479" t="s">
        <v>77</v>
      </c>
      <c r="G3954" s="174" t="s">
        <v>74</v>
      </c>
      <c r="H3954" s="148" t="str" cm="1">
        <f t="array" ref="H3954">IFERROR(INDEX(INVESTOR_LIST[INVESTOR NAME],MATCH(I3954,INVESTOR_LIST[INVESTOR CODE],0),)," ")</f>
        <v xml:space="preserve"> </v>
      </c>
      <c r="I3954" s="148" t="s">
        <v>348</v>
      </c>
      <c r="J3954" s="133" t="s">
        <v>61</v>
      </c>
      <c r="K3954" s="172">
        <v>10</v>
      </c>
    </row>
    <row r="3955" spans="1:14" x14ac:dyDescent="0.2">
      <c r="A3955" s="163">
        <v>2021</v>
      </c>
      <c r="B3955" s="163">
        <v>8</v>
      </c>
      <c r="C3955" s="163">
        <v>10</v>
      </c>
      <c r="D3955" s="141">
        <f t="shared" si="130"/>
        <v>44418</v>
      </c>
      <c r="E3955" s="275">
        <f t="shared" si="131"/>
        <v>44418</v>
      </c>
      <c r="F3955" s="480"/>
      <c r="G3955" s="221" t="s">
        <v>74</v>
      </c>
      <c r="H3955" s="145" t="str" cm="1">
        <f t="array" ref="H3955">IFERROR(INDEX(INVESTOR_LIST[INVESTOR NAME],MATCH(I3955,INVESTOR_LIST[INVESTOR CODE],0),)," ")</f>
        <v xml:space="preserve"> </v>
      </c>
      <c r="I3955" s="145" t="s">
        <v>348</v>
      </c>
      <c r="J3955" s="163" t="s">
        <v>52</v>
      </c>
      <c r="K3955" s="219"/>
      <c r="L3955" s="219">
        <v>10</v>
      </c>
    </row>
    <row r="3956" spans="1:14" ht="33.75" x14ac:dyDescent="0.2">
      <c r="A3956" s="133">
        <v>2021</v>
      </c>
      <c r="B3956" s="133">
        <v>8</v>
      </c>
      <c r="C3956" s="133">
        <v>11</v>
      </c>
      <c r="D3956" s="141">
        <f t="shared" si="130"/>
        <v>44419</v>
      </c>
      <c r="E3956" s="275">
        <f t="shared" si="131"/>
        <v>44419</v>
      </c>
      <c r="F3956" s="479" t="s">
        <v>965</v>
      </c>
      <c r="G3956" s="174" t="s">
        <v>74</v>
      </c>
      <c r="H3956" s="174" t="str" cm="1">
        <f t="array" ref="H3956">IFERROR(INDEX(INVESTOR_LIST[INVESTOR NAME],MATCH(I3956,INVESTOR_LIST[INVESTOR CODE],0),)," ")</f>
        <v>NAUSHEEN AHMED</v>
      </c>
      <c r="I3956" s="148" t="s">
        <v>787</v>
      </c>
      <c r="J3956" s="149" t="s">
        <v>13</v>
      </c>
      <c r="K3956" s="218">
        <v>176000</v>
      </c>
      <c r="L3956" s="218"/>
    </row>
    <row r="3957" spans="1:14" ht="33.75" x14ac:dyDescent="0.2">
      <c r="A3957" s="133">
        <v>2021</v>
      </c>
      <c r="B3957" s="133">
        <v>8</v>
      </c>
      <c r="C3957" s="133">
        <v>11</v>
      </c>
      <c r="D3957" s="141">
        <f t="shared" si="130"/>
        <v>44419</v>
      </c>
      <c r="E3957" s="275">
        <f t="shared" si="131"/>
        <v>44419</v>
      </c>
      <c r="F3957" s="481"/>
      <c r="G3957" s="174" t="s">
        <v>74</v>
      </c>
      <c r="H3957" s="174" t="str" cm="1">
        <f t="array" ref="H3957">IFERROR(INDEX(INVESTOR_LIST[INVESTOR NAME],MATCH(I3957,INVESTOR_LIST[INVESTOR CODE],0),)," ")</f>
        <v>NAUSHEEN AHMED</v>
      </c>
      <c r="I3957" s="148" t="s">
        <v>787</v>
      </c>
      <c r="J3957" s="149" t="s">
        <v>53</v>
      </c>
      <c r="K3957" s="218">
        <v>78705.789999999994</v>
      </c>
      <c r="L3957" s="218"/>
    </row>
    <row r="3958" spans="1:14" ht="33.75" x14ac:dyDescent="0.2">
      <c r="A3958" s="163">
        <v>2021</v>
      </c>
      <c r="B3958" s="163">
        <v>8</v>
      </c>
      <c r="C3958" s="163">
        <v>11</v>
      </c>
      <c r="D3958" s="141">
        <f t="shared" si="130"/>
        <v>44419</v>
      </c>
      <c r="E3958" s="275">
        <f t="shared" si="131"/>
        <v>44419</v>
      </c>
      <c r="F3958" s="480"/>
      <c r="G3958" s="221" t="s">
        <v>74</v>
      </c>
      <c r="H3958" s="221" t="str" cm="1">
        <f t="array" ref="H3958">IFERROR(INDEX(INVESTOR_LIST[INVESTOR NAME],MATCH(I3958,INVESTOR_LIST[INVESTOR CODE],0),)," ")</f>
        <v>NAUSHEEN AHMED</v>
      </c>
      <c r="I3958" s="145" t="s">
        <v>787</v>
      </c>
      <c r="J3958" s="146" t="s">
        <v>52</v>
      </c>
      <c r="K3958" s="219"/>
      <c r="L3958" s="219">
        <v>254705.79</v>
      </c>
    </row>
    <row r="3959" spans="1:14" x14ac:dyDescent="0.2">
      <c r="A3959" s="168">
        <v>2021</v>
      </c>
      <c r="B3959" s="168">
        <v>8</v>
      </c>
      <c r="C3959" s="133">
        <v>11</v>
      </c>
      <c r="D3959" s="141">
        <f t="shared" si="130"/>
        <v>44419</v>
      </c>
      <c r="E3959" s="275">
        <f t="shared" si="131"/>
        <v>44419</v>
      </c>
      <c r="F3959" s="479" t="s">
        <v>836</v>
      </c>
      <c r="G3959" s="220" t="s">
        <v>94</v>
      </c>
      <c r="H3959" s="220" t="str" cm="1">
        <f t="array" ref="H3959">IFERROR(INDEX(INVESTOR_LIST[INVESTOR NAME],MATCH(I3959,INVESTOR_LIST[INVESTOR CODE],0),)," ")</f>
        <v xml:space="preserve"> </v>
      </c>
      <c r="I3959" s="142" t="s">
        <v>348</v>
      </c>
      <c r="J3959" s="143" t="s">
        <v>79</v>
      </c>
      <c r="K3959" s="226">
        <v>3638147.6</v>
      </c>
      <c r="L3959" s="226"/>
    </row>
    <row r="3960" spans="1:14" x14ac:dyDescent="0.2">
      <c r="A3960" s="133">
        <v>2021</v>
      </c>
      <c r="B3960" s="133">
        <v>8</v>
      </c>
      <c r="C3960" s="133">
        <v>11</v>
      </c>
      <c r="D3960" s="141">
        <f t="shared" si="130"/>
        <v>44419</v>
      </c>
      <c r="E3960" s="275">
        <f t="shared" si="131"/>
        <v>44419</v>
      </c>
      <c r="F3960" s="481"/>
      <c r="G3960" s="174" t="s">
        <v>94</v>
      </c>
      <c r="H3960" s="174" t="str" cm="1">
        <f t="array" ref="H3960">IFERROR(INDEX(INVESTOR_LIST[INVESTOR NAME],MATCH(I3960,INVESTOR_LIST[INVESTOR CODE],0),)," ")</f>
        <v xml:space="preserve"> </v>
      </c>
      <c r="I3960" s="148" t="s">
        <v>348</v>
      </c>
      <c r="J3960" s="149" t="s">
        <v>80</v>
      </c>
      <c r="K3960" s="218">
        <f>6548.67+53.86</f>
        <v>6602.53</v>
      </c>
      <c r="L3960" s="218"/>
    </row>
    <row r="3961" spans="1:14" x14ac:dyDescent="0.2">
      <c r="A3961" s="133">
        <v>2021</v>
      </c>
      <c r="B3961" s="133">
        <v>8</v>
      </c>
      <c r="C3961" s="133">
        <v>11</v>
      </c>
      <c r="D3961" s="141">
        <f t="shared" si="130"/>
        <v>44419</v>
      </c>
      <c r="E3961" s="275">
        <f t="shared" si="131"/>
        <v>44419</v>
      </c>
      <c r="F3961" s="481"/>
      <c r="G3961" s="174" t="s">
        <v>94</v>
      </c>
      <c r="H3961" s="174" t="str" cm="1">
        <f t="array" ref="H3961">IFERROR(INDEX(INVESTOR_LIST[INVESTOR NAME],MATCH(I3961,INVESTOR_LIST[INVESTOR CODE],0),)," ")</f>
        <v xml:space="preserve"> </v>
      </c>
      <c r="I3961" s="148" t="s">
        <v>348</v>
      </c>
      <c r="J3961" s="149" t="s">
        <v>147</v>
      </c>
      <c r="K3961" s="218"/>
      <c r="L3961" s="218">
        <v>3614827.93</v>
      </c>
    </row>
    <row r="3962" spans="1:14" x14ac:dyDescent="0.2">
      <c r="A3962" s="133">
        <v>2021</v>
      </c>
      <c r="B3962" s="133">
        <v>8</v>
      </c>
      <c r="C3962" s="133">
        <v>11</v>
      </c>
      <c r="D3962" s="141">
        <f t="shared" si="130"/>
        <v>44419</v>
      </c>
      <c r="E3962" s="275">
        <f t="shared" si="131"/>
        <v>44419</v>
      </c>
      <c r="F3962" s="481"/>
      <c r="G3962" s="174" t="s">
        <v>94</v>
      </c>
      <c r="H3962" s="174" t="str" cm="1">
        <f t="array" ref="H3962">IFERROR(INDEX(INVESTOR_LIST[INVESTOR NAME],MATCH(I3962,INVESTOR_LIST[INVESTOR CODE],0),)," ")</f>
        <v xml:space="preserve"> </v>
      </c>
      <c r="I3962" s="148" t="s">
        <v>348</v>
      </c>
      <c r="J3962" s="149" t="s">
        <v>79</v>
      </c>
      <c r="K3962" s="218"/>
      <c r="L3962" s="218">
        <v>22330</v>
      </c>
    </row>
    <row r="3963" spans="1:14" x14ac:dyDescent="0.2">
      <c r="A3963" s="163">
        <v>2021</v>
      </c>
      <c r="B3963" s="163">
        <v>8</v>
      </c>
      <c r="C3963" s="163">
        <v>11</v>
      </c>
      <c r="D3963" s="141">
        <f t="shared" si="130"/>
        <v>44419</v>
      </c>
      <c r="E3963" s="275">
        <f t="shared" si="131"/>
        <v>44419</v>
      </c>
      <c r="F3963" s="480"/>
      <c r="G3963" s="221" t="s">
        <v>94</v>
      </c>
      <c r="H3963" s="221" t="str" cm="1">
        <f t="array" ref="H3963">IFERROR(INDEX(INVESTOR_LIST[INVESTOR NAME],MATCH(I3963,INVESTOR_LIST[INVESTOR CODE],0),)," ")</f>
        <v xml:space="preserve"> </v>
      </c>
      <c r="I3963" s="145" t="s">
        <v>348</v>
      </c>
      <c r="J3963" s="146" t="s">
        <v>191</v>
      </c>
      <c r="K3963" s="219"/>
      <c r="L3963" s="219">
        <v>7592.2</v>
      </c>
    </row>
    <row r="3964" spans="1:14" x14ac:dyDescent="0.2">
      <c r="A3964" s="168">
        <v>2021</v>
      </c>
      <c r="B3964" s="168">
        <v>8</v>
      </c>
      <c r="C3964" s="168">
        <v>11</v>
      </c>
      <c r="D3964" s="141">
        <f t="shared" si="130"/>
        <v>44419</v>
      </c>
      <c r="E3964" s="275">
        <f t="shared" si="131"/>
        <v>44419</v>
      </c>
      <c r="F3964" s="479" t="s">
        <v>233</v>
      </c>
      <c r="G3964" s="220" t="s">
        <v>74</v>
      </c>
      <c r="H3964" s="220" t="str" cm="1">
        <f t="array" ref="H3964">IFERROR(INDEX(INVESTOR_LIST[INVESTOR NAME],MATCH(I3964,INVESTOR_LIST[INVESTOR CODE],0),)," ")</f>
        <v xml:space="preserve"> </v>
      </c>
      <c r="I3964" s="142" t="s">
        <v>348</v>
      </c>
      <c r="J3964" s="143" t="s">
        <v>163</v>
      </c>
      <c r="K3964" s="226">
        <v>8000</v>
      </c>
      <c r="L3964" s="226"/>
    </row>
    <row r="3965" spans="1:14" x14ac:dyDescent="0.2">
      <c r="A3965" s="163">
        <v>2021</v>
      </c>
      <c r="B3965" s="163">
        <v>8</v>
      </c>
      <c r="C3965" s="163">
        <v>11</v>
      </c>
      <c r="D3965" s="141">
        <f t="shared" si="130"/>
        <v>44419</v>
      </c>
      <c r="E3965" s="275">
        <f t="shared" si="131"/>
        <v>44419</v>
      </c>
      <c r="F3965" s="480"/>
      <c r="G3965" s="221" t="s">
        <v>74</v>
      </c>
      <c r="H3965" s="221" t="str" cm="1">
        <f t="array" ref="H3965">IFERROR(INDEX(INVESTOR_LIST[INVESTOR NAME],MATCH(I3965,INVESTOR_LIST[INVESTOR CODE],0),)," ")</f>
        <v xml:space="preserve"> </v>
      </c>
      <c r="I3965" s="145" t="s">
        <v>348</v>
      </c>
      <c r="J3965" s="146" t="s">
        <v>52</v>
      </c>
      <c r="K3965" s="219"/>
      <c r="L3965" s="219">
        <v>8000</v>
      </c>
    </row>
    <row r="3966" spans="1:14" x14ac:dyDescent="0.2">
      <c r="A3966" s="168">
        <v>2021</v>
      </c>
      <c r="B3966" s="168">
        <v>8</v>
      </c>
      <c r="C3966" s="168">
        <v>11</v>
      </c>
      <c r="D3966" s="141">
        <f t="shared" si="130"/>
        <v>44419</v>
      </c>
      <c r="E3966" s="275">
        <f t="shared" si="131"/>
        <v>44419</v>
      </c>
      <c r="F3966" s="479" t="s">
        <v>544</v>
      </c>
      <c r="G3966" s="220" t="s">
        <v>74</v>
      </c>
      <c r="H3966" s="220" t="str" cm="1">
        <f t="array" ref="H3966">IFERROR(INDEX(INVESTOR_LIST[INVESTOR NAME],MATCH(I3966,INVESTOR_LIST[INVESTOR CODE],0),)," ")</f>
        <v xml:space="preserve"> </v>
      </c>
      <c r="I3966" s="142" t="s">
        <v>348</v>
      </c>
      <c r="J3966" s="143" t="s">
        <v>52</v>
      </c>
      <c r="K3966" s="226">
        <v>39433600.119999997</v>
      </c>
      <c r="L3966" s="226"/>
      <c r="N3966" s="133">
        <f>20000</f>
        <v>20000</v>
      </c>
    </row>
    <row r="3967" spans="1:14" x14ac:dyDescent="0.2">
      <c r="A3967" s="163">
        <v>2021</v>
      </c>
      <c r="B3967" s="163">
        <v>8</v>
      </c>
      <c r="C3967" s="163">
        <v>11</v>
      </c>
      <c r="D3967" s="141">
        <f t="shared" si="130"/>
        <v>44419</v>
      </c>
      <c r="E3967" s="275">
        <f t="shared" si="131"/>
        <v>44419</v>
      </c>
      <c r="F3967" s="480"/>
      <c r="G3967" s="221" t="s">
        <v>74</v>
      </c>
      <c r="H3967" s="221" t="str" cm="1">
        <f t="array" ref="H3967">IFERROR(INDEX(INVESTOR_LIST[INVESTOR NAME],MATCH(I3967,INVESTOR_LIST[INVESTOR CODE],0),)," ")</f>
        <v xml:space="preserve"> </v>
      </c>
      <c r="I3967" s="145" t="s">
        <v>348</v>
      </c>
      <c r="J3967" s="146" t="s">
        <v>190</v>
      </c>
      <c r="K3967" s="219"/>
      <c r="L3967" s="219">
        <v>39433600.119999997</v>
      </c>
    </row>
    <row r="3968" spans="1:14" x14ac:dyDescent="0.2">
      <c r="A3968" s="168">
        <v>2021</v>
      </c>
      <c r="B3968" s="168">
        <v>8</v>
      </c>
      <c r="C3968" s="168">
        <v>12</v>
      </c>
      <c r="D3968" s="141">
        <f t="shared" si="130"/>
        <v>44420</v>
      </c>
      <c r="E3968" s="275">
        <f t="shared" si="131"/>
        <v>44420</v>
      </c>
      <c r="F3968" s="479" t="s">
        <v>274</v>
      </c>
      <c r="G3968" s="220" t="s">
        <v>74</v>
      </c>
      <c r="H3968" s="142" t="str" cm="1">
        <f t="array" ref="H3968">IFERROR(INDEX(INVESTOR_LIST[INVESTOR NAME],MATCH(I3968,INVESTOR_LIST[INVESTOR CODE],0),)," ")</f>
        <v xml:space="preserve"> </v>
      </c>
      <c r="I3968" s="142"/>
      <c r="J3968" s="168" t="s">
        <v>79</v>
      </c>
      <c r="K3968" s="226">
        <v>13268569</v>
      </c>
      <c r="L3968" s="226"/>
    </row>
    <row r="3969" spans="1:13" x14ac:dyDescent="0.2">
      <c r="A3969" s="133">
        <v>2021</v>
      </c>
      <c r="B3969" s="133">
        <v>8</v>
      </c>
      <c r="C3969" s="133">
        <v>12</v>
      </c>
      <c r="D3969" s="141">
        <f t="shared" si="130"/>
        <v>44420</v>
      </c>
      <c r="E3969" s="275">
        <f t="shared" si="131"/>
        <v>44420</v>
      </c>
      <c r="F3969" s="481"/>
      <c r="G3969" s="174" t="s">
        <v>74</v>
      </c>
      <c r="H3969" s="148" t="str" cm="1">
        <f t="array" ref="H3969">IFERROR(INDEX(INVESTOR_LIST[INVESTOR NAME],MATCH(I3969,INVESTOR_LIST[INVESTOR CODE],0),)," ")</f>
        <v xml:space="preserve"> </v>
      </c>
      <c r="J3969" s="133" t="s">
        <v>80</v>
      </c>
      <c r="K3969" s="218">
        <v>23883</v>
      </c>
      <c r="L3969" s="218"/>
    </row>
    <row r="3970" spans="1:13" x14ac:dyDescent="0.2">
      <c r="A3970" s="163">
        <v>2021</v>
      </c>
      <c r="B3970" s="163">
        <v>8</v>
      </c>
      <c r="C3970" s="163">
        <v>12</v>
      </c>
      <c r="D3970" s="141">
        <f t="shared" si="130"/>
        <v>44420</v>
      </c>
      <c r="E3970" s="275">
        <f t="shared" si="131"/>
        <v>44420</v>
      </c>
      <c r="F3970" s="480"/>
      <c r="G3970" s="221" t="s">
        <v>74</v>
      </c>
      <c r="H3970" s="145" t="str" cm="1">
        <f t="array" ref="H3970">IFERROR(INDEX(INVESTOR_LIST[INVESTOR NAME],MATCH(I3970,INVESTOR_LIST[INVESTOR CODE],0),)," ")</f>
        <v xml:space="preserve"> </v>
      </c>
      <c r="I3970" s="145"/>
      <c r="J3970" s="163" t="s">
        <v>147</v>
      </c>
      <c r="K3970" s="219"/>
      <c r="L3970" s="219">
        <v>13292452</v>
      </c>
    </row>
    <row r="3971" spans="1:13" ht="22.5" x14ac:dyDescent="0.2">
      <c r="A3971" s="133">
        <v>2021</v>
      </c>
      <c r="B3971" s="133">
        <v>8</v>
      </c>
      <c r="C3971" s="133">
        <v>12</v>
      </c>
      <c r="D3971" s="141">
        <f t="shared" si="130"/>
        <v>44420</v>
      </c>
      <c r="E3971" s="275">
        <f t="shared" si="131"/>
        <v>44420</v>
      </c>
      <c r="F3971" s="479" t="s">
        <v>965</v>
      </c>
      <c r="G3971" s="174" t="s">
        <v>74</v>
      </c>
      <c r="H3971" s="174" t="str" cm="1">
        <f t="array" ref="H3971">IFERROR(INDEX(INVESTOR_LIST[INVESTOR NAME],MATCH(I3971,INVESTOR_LIST[INVESTOR CODE],0),)," ")</f>
        <v>MONIR AHMED</v>
      </c>
      <c r="I3971" s="148" t="s">
        <v>407</v>
      </c>
      <c r="J3971" s="149" t="s">
        <v>13</v>
      </c>
      <c r="K3971" s="218">
        <v>138200</v>
      </c>
      <c r="L3971" s="218"/>
    </row>
    <row r="3972" spans="1:13" ht="22.5" x14ac:dyDescent="0.2">
      <c r="A3972" s="133">
        <v>2021</v>
      </c>
      <c r="B3972" s="133">
        <v>8</v>
      </c>
      <c r="C3972" s="133">
        <v>12</v>
      </c>
      <c r="D3972" s="141">
        <f t="shared" si="130"/>
        <v>44420</v>
      </c>
      <c r="E3972" s="275">
        <f t="shared" si="131"/>
        <v>44420</v>
      </c>
      <c r="F3972" s="481"/>
      <c r="G3972" s="174" t="s">
        <v>74</v>
      </c>
      <c r="H3972" s="174" t="str" cm="1">
        <f t="array" ref="H3972">IFERROR(INDEX(INVESTOR_LIST[INVESTOR NAME],MATCH(I3972,INVESTOR_LIST[INVESTOR CODE],0),)," ")</f>
        <v>MONIR AHMED</v>
      </c>
      <c r="I3972" s="148" t="s">
        <v>407</v>
      </c>
      <c r="J3972" s="149" t="s">
        <v>53</v>
      </c>
      <c r="K3972" s="218">
        <v>61801.93</v>
      </c>
      <c r="L3972" s="218"/>
    </row>
    <row r="3973" spans="1:13" ht="22.5" x14ac:dyDescent="0.2">
      <c r="A3973" s="163">
        <v>2021</v>
      </c>
      <c r="B3973" s="163">
        <v>8</v>
      </c>
      <c r="C3973" s="163">
        <v>12</v>
      </c>
      <c r="D3973" s="141">
        <f t="shared" si="130"/>
        <v>44420</v>
      </c>
      <c r="E3973" s="275">
        <f t="shared" si="131"/>
        <v>44420</v>
      </c>
      <c r="F3973" s="480"/>
      <c r="G3973" s="221" t="s">
        <v>74</v>
      </c>
      <c r="H3973" s="221" t="str" cm="1">
        <f t="array" ref="H3973">IFERROR(INDEX(INVESTOR_LIST[INVESTOR NAME],MATCH(I3973,INVESTOR_LIST[INVESTOR CODE],0),)," ")</f>
        <v>MONIR AHMED</v>
      </c>
      <c r="I3973" s="145" t="s">
        <v>407</v>
      </c>
      <c r="J3973" s="146" t="s">
        <v>52</v>
      </c>
      <c r="K3973" s="219"/>
      <c r="L3973" s="219">
        <v>200001.93</v>
      </c>
    </row>
    <row r="3974" spans="1:13" ht="11.25" customHeight="1" x14ac:dyDescent="0.2">
      <c r="A3974" s="133">
        <v>2021</v>
      </c>
      <c r="B3974" s="133">
        <v>8</v>
      </c>
      <c r="C3974" s="133">
        <v>12</v>
      </c>
      <c r="D3974" s="141">
        <f t="shared" si="130"/>
        <v>44420</v>
      </c>
      <c r="E3974" s="275">
        <f t="shared" si="131"/>
        <v>44420</v>
      </c>
      <c r="F3974" s="479" t="s">
        <v>254</v>
      </c>
      <c r="G3974" s="174" t="s">
        <v>74</v>
      </c>
      <c r="H3974" s="174" t="str" cm="1">
        <f t="array" ref="H3974">IFERROR(INDEX(INVESTOR_LIST[INVESTOR NAME],MATCH(I3974,INVESTOR_LIST[INVESTOR CODE],0),)," ")</f>
        <v xml:space="preserve"> </v>
      </c>
      <c r="I3974" s="148" t="s">
        <v>348</v>
      </c>
      <c r="J3974" s="149" t="s">
        <v>52</v>
      </c>
      <c r="K3974" s="218">
        <v>5000</v>
      </c>
      <c r="L3974" s="218"/>
    </row>
    <row r="3975" spans="1:13" x14ac:dyDescent="0.2">
      <c r="A3975" s="133">
        <v>2021</v>
      </c>
      <c r="B3975" s="133">
        <v>8</v>
      </c>
      <c r="C3975" s="133">
        <v>12</v>
      </c>
      <c r="D3975" s="141">
        <f t="shared" si="130"/>
        <v>44420</v>
      </c>
      <c r="E3975" s="275">
        <f t="shared" si="131"/>
        <v>44420</v>
      </c>
      <c r="F3975" s="481"/>
      <c r="G3975" s="174" t="s">
        <v>74</v>
      </c>
      <c r="H3975" s="174" t="str" cm="1">
        <f t="array" ref="H3975">IFERROR(INDEX(INVESTOR_LIST[INVESTOR NAME],MATCH(I3975,INVESTOR_LIST[INVESTOR CODE],0),)," ")</f>
        <v xml:space="preserve"> </v>
      </c>
      <c r="I3975" s="148" t="s">
        <v>348</v>
      </c>
      <c r="J3975" s="149" t="s">
        <v>13</v>
      </c>
      <c r="K3975" s="218"/>
      <c r="L3975" s="218">
        <v>3460</v>
      </c>
    </row>
    <row r="3976" spans="1:13" x14ac:dyDescent="0.2">
      <c r="A3976" s="163">
        <v>2021</v>
      </c>
      <c r="B3976" s="163">
        <v>8</v>
      </c>
      <c r="C3976" s="163">
        <v>12</v>
      </c>
      <c r="D3976" s="141">
        <f t="shared" si="130"/>
        <v>44420</v>
      </c>
      <c r="E3976" s="275">
        <f t="shared" si="131"/>
        <v>44420</v>
      </c>
      <c r="F3976" s="480"/>
      <c r="G3976" s="221" t="s">
        <v>74</v>
      </c>
      <c r="H3976" s="221" t="str" cm="1">
        <f t="array" ref="H3976">IFERROR(INDEX(INVESTOR_LIST[INVESTOR NAME],MATCH(I3976,INVESTOR_LIST[INVESTOR CODE],0),)," ")</f>
        <v xml:space="preserve"> </v>
      </c>
      <c r="I3976" s="145" t="s">
        <v>348</v>
      </c>
      <c r="J3976" s="146" t="s">
        <v>53</v>
      </c>
      <c r="K3976" s="219"/>
      <c r="L3976" s="219">
        <v>1540</v>
      </c>
    </row>
    <row r="3977" spans="1:13" x14ac:dyDescent="0.2">
      <c r="A3977" s="238">
        <v>2021</v>
      </c>
      <c r="B3977" s="238">
        <v>8</v>
      </c>
      <c r="C3977" s="238">
        <v>12</v>
      </c>
      <c r="D3977" s="141">
        <f t="shared" si="130"/>
        <v>44420</v>
      </c>
      <c r="E3977" s="275">
        <f t="shared" si="131"/>
        <v>44420</v>
      </c>
      <c r="F3977" s="477" t="s">
        <v>347</v>
      </c>
      <c r="G3977" s="239" t="s">
        <v>94</v>
      </c>
      <c r="H3977" s="239" t="str" cm="1">
        <f t="array" ref="H3977">IFERROR(INDEX(INVESTOR_LIST[INVESTOR NAME],MATCH(I3977,INVESTOR_LIST[INVESTOR CODE],0),)," ")</f>
        <v xml:space="preserve"> </v>
      </c>
      <c r="I3977" s="262" t="s">
        <v>348</v>
      </c>
      <c r="J3977" s="240" t="s">
        <v>83</v>
      </c>
      <c r="K3977" s="241">
        <v>1287607.4499999881</v>
      </c>
      <c r="L3977" s="241"/>
    </row>
    <row r="3978" spans="1:13" x14ac:dyDescent="0.2">
      <c r="A3978" s="242">
        <v>2021</v>
      </c>
      <c r="B3978" s="242">
        <v>8</v>
      </c>
      <c r="C3978" s="242">
        <v>12</v>
      </c>
      <c r="D3978" s="141">
        <f t="shared" si="130"/>
        <v>44420</v>
      </c>
      <c r="E3978" s="275">
        <f t="shared" si="131"/>
        <v>44420</v>
      </c>
      <c r="F3978" s="478"/>
      <c r="G3978" s="243" t="s">
        <v>94</v>
      </c>
      <c r="H3978" s="243" t="str" cm="1">
        <f t="array" ref="H3978">IFERROR(INDEX(INVESTOR_LIST[INVESTOR NAME],MATCH(I3978,INVESTOR_LIST[INVESTOR CODE],0),)," ")</f>
        <v xml:space="preserve"> </v>
      </c>
      <c r="I3978" s="263" t="s">
        <v>348</v>
      </c>
      <c r="J3978" s="244" t="s">
        <v>108</v>
      </c>
      <c r="K3978" s="245"/>
      <c r="L3978" s="245">
        <v>1287607.4499999881</v>
      </c>
    </row>
    <row r="3979" spans="1:13" ht="22.5" x14ac:dyDescent="0.2">
      <c r="A3979" s="246">
        <v>2021</v>
      </c>
      <c r="B3979" s="246">
        <v>8</v>
      </c>
      <c r="C3979" s="246">
        <v>12</v>
      </c>
      <c r="D3979" s="141">
        <f t="shared" si="130"/>
        <v>44420</v>
      </c>
      <c r="E3979" s="275">
        <f t="shared" si="131"/>
        <v>44420</v>
      </c>
      <c r="F3979" s="482" t="s">
        <v>148</v>
      </c>
      <c r="G3979" s="247" t="s">
        <v>94</v>
      </c>
      <c r="H3979" s="247" t="str" cm="1">
        <f t="array" ref="H3979">IFERROR(INDEX(INVESTOR_LIST[INVESTOR NAME],MATCH(I3979,INVESTOR_LIST[INVESTOR CODE],0),)," ")</f>
        <v xml:space="preserve"> </v>
      </c>
      <c r="I3979" s="248" t="s">
        <v>348</v>
      </c>
      <c r="J3979" s="249" t="s">
        <v>95</v>
      </c>
      <c r="K3979" s="250">
        <v>2747.2527472527472</v>
      </c>
      <c r="L3979" s="241"/>
      <c r="M3979" s="133">
        <v>2747.2527472527472</v>
      </c>
    </row>
    <row r="3980" spans="1:13" x14ac:dyDescent="0.2">
      <c r="A3980" s="242">
        <v>2021</v>
      </c>
      <c r="B3980" s="242">
        <v>8</v>
      </c>
      <c r="C3980" s="242">
        <v>12</v>
      </c>
      <c r="D3980" s="141">
        <f t="shared" si="130"/>
        <v>44420</v>
      </c>
      <c r="E3980" s="275">
        <f t="shared" si="131"/>
        <v>44420</v>
      </c>
      <c r="F3980" s="478"/>
      <c r="G3980" s="243" t="s">
        <v>94</v>
      </c>
      <c r="H3980" s="243" t="str" cm="1">
        <f t="array" ref="H3980">IFERROR(INDEX(INVESTOR_LIST[INVESTOR NAME],MATCH(I3980,INVESTOR_LIST[INVESTOR CODE],0),)," ")</f>
        <v xml:space="preserve"> </v>
      </c>
      <c r="I3980" s="263" t="s">
        <v>348</v>
      </c>
      <c r="J3980" s="244" t="s">
        <v>63</v>
      </c>
      <c r="K3980" s="245"/>
      <c r="L3980" s="245">
        <v>2747.2527472527472</v>
      </c>
      <c r="M3980" s="133">
        <v>114593.34216688201</v>
      </c>
    </row>
    <row r="3981" spans="1:13" x14ac:dyDescent="0.2">
      <c r="A3981" s="246">
        <v>2021</v>
      </c>
      <c r="B3981" s="246">
        <v>8</v>
      </c>
      <c r="C3981" s="246">
        <v>12</v>
      </c>
      <c r="D3981" s="141">
        <f t="shared" si="130"/>
        <v>44420</v>
      </c>
      <c r="E3981" s="275">
        <f t="shared" si="131"/>
        <v>44420</v>
      </c>
      <c r="F3981" s="482" t="s">
        <v>137</v>
      </c>
      <c r="G3981" s="247" t="s">
        <v>94</v>
      </c>
      <c r="H3981" s="247" t="str" cm="1">
        <f t="array" ref="H3981">IFERROR(INDEX(INVESTOR_LIST[INVESTOR NAME],MATCH(I3981,INVESTOR_LIST[INVESTOR CODE],0),)," ")</f>
        <v xml:space="preserve"> </v>
      </c>
      <c r="I3981" s="248" t="s">
        <v>348</v>
      </c>
      <c r="J3981" s="249" t="s">
        <v>97</v>
      </c>
      <c r="K3981" s="250">
        <v>114593.34216688201</v>
      </c>
      <c r="L3981" s="252"/>
      <c r="M3981" s="133">
        <v>5716.4792213818773</v>
      </c>
    </row>
    <row r="3982" spans="1:13" x14ac:dyDescent="0.2">
      <c r="A3982" s="242">
        <v>2021</v>
      </c>
      <c r="B3982" s="242">
        <v>8</v>
      </c>
      <c r="C3982" s="242">
        <v>12</v>
      </c>
      <c r="D3982" s="141">
        <f t="shared" ref="D3982:D4045" si="132">DATE(A3982,B3982,C3982)</f>
        <v>44420</v>
      </c>
      <c r="E3982" s="275">
        <f t="shared" si="131"/>
        <v>44420</v>
      </c>
      <c r="F3982" s="478"/>
      <c r="G3982" s="243" t="s">
        <v>94</v>
      </c>
      <c r="H3982" s="243" t="str" cm="1">
        <f t="array" ref="H3982">IFERROR(INDEX(INVESTOR_LIST[INVESTOR NAME],MATCH(I3982,INVESTOR_LIST[INVESTOR CODE],0),)," ")</f>
        <v xml:space="preserve"> </v>
      </c>
      <c r="I3982" s="263" t="s">
        <v>348</v>
      </c>
      <c r="J3982" s="244" t="s">
        <v>47</v>
      </c>
      <c r="K3982" s="245"/>
      <c r="L3982" s="245">
        <v>114593.34216688201</v>
      </c>
    </row>
    <row r="3983" spans="1:13" x14ac:dyDescent="0.2">
      <c r="A3983" s="246">
        <v>2021</v>
      </c>
      <c r="B3983" s="246">
        <v>8</v>
      </c>
      <c r="C3983" s="246">
        <v>12</v>
      </c>
      <c r="D3983" s="141">
        <f t="shared" si="132"/>
        <v>44420</v>
      </c>
      <c r="E3983" s="275">
        <f t="shared" ref="E3983:E4046" si="133">DATE(A3983,B3983,C3983)</f>
        <v>44420</v>
      </c>
      <c r="F3983" s="482" t="s">
        <v>138</v>
      </c>
      <c r="G3983" s="247" t="s">
        <v>94</v>
      </c>
      <c r="H3983" s="247" t="str" cm="1">
        <f t="array" ref="H3983">IFERROR(INDEX(INVESTOR_LIST[INVESTOR NAME],MATCH(I3983,INVESTOR_LIST[INVESTOR CODE],0),)," ")</f>
        <v xml:space="preserve"> </v>
      </c>
      <c r="I3983" s="248" t="s">
        <v>348</v>
      </c>
      <c r="J3983" s="249" t="s">
        <v>100</v>
      </c>
      <c r="K3983" s="250">
        <v>5716.4792213818773</v>
      </c>
      <c r="L3983" s="252"/>
    </row>
    <row r="3984" spans="1:13" x14ac:dyDescent="0.2">
      <c r="A3984" s="242">
        <v>2021</v>
      </c>
      <c r="B3984" s="242">
        <v>8</v>
      </c>
      <c r="C3984" s="242">
        <v>12</v>
      </c>
      <c r="D3984" s="141">
        <f t="shared" si="132"/>
        <v>44420</v>
      </c>
      <c r="E3984" s="275">
        <f t="shared" si="133"/>
        <v>44420</v>
      </c>
      <c r="F3984" s="478"/>
      <c r="G3984" s="243" t="s">
        <v>94</v>
      </c>
      <c r="H3984" s="243" t="str" cm="1">
        <f t="array" ref="H3984">IFERROR(INDEX(INVESTOR_LIST[INVESTOR NAME],MATCH(I3984,INVESTOR_LIST[INVESTOR CODE],0),)," ")</f>
        <v xml:space="preserve"> </v>
      </c>
      <c r="I3984" s="263" t="s">
        <v>348</v>
      </c>
      <c r="J3984" s="244" t="s">
        <v>48</v>
      </c>
      <c r="K3984" s="245"/>
      <c r="L3984" s="245">
        <v>5716.4792213818773</v>
      </c>
    </row>
    <row r="3985" spans="1:14" x14ac:dyDescent="0.2">
      <c r="A3985" s="168">
        <v>2021</v>
      </c>
      <c r="B3985" s="168">
        <v>8</v>
      </c>
      <c r="C3985" s="168">
        <v>16</v>
      </c>
      <c r="D3985" s="141">
        <f t="shared" si="132"/>
        <v>44424</v>
      </c>
      <c r="E3985" s="275">
        <f t="shared" si="133"/>
        <v>44424</v>
      </c>
      <c r="F3985" s="479" t="s">
        <v>524</v>
      </c>
      <c r="G3985" s="220" t="s">
        <v>74</v>
      </c>
      <c r="H3985" s="220" t="str" cm="1">
        <f t="array" ref="H3985">IFERROR(INDEX(INVESTOR_LIST[INVESTOR NAME],MATCH(I3985,INVESTOR_LIST[INVESTOR CODE],0),)," ")</f>
        <v xml:space="preserve"> </v>
      </c>
      <c r="I3985" s="142" t="s">
        <v>348</v>
      </c>
      <c r="J3985" s="143" t="s">
        <v>147</v>
      </c>
      <c r="K3985" s="226">
        <v>3614827.93</v>
      </c>
      <c r="L3985" s="226"/>
    </row>
    <row r="3986" spans="1:14" x14ac:dyDescent="0.2">
      <c r="A3986" s="163">
        <v>2021</v>
      </c>
      <c r="B3986" s="163">
        <v>8</v>
      </c>
      <c r="C3986" s="163">
        <v>16</v>
      </c>
      <c r="D3986" s="141">
        <f t="shared" si="132"/>
        <v>44424</v>
      </c>
      <c r="E3986" s="275">
        <f t="shared" si="133"/>
        <v>44424</v>
      </c>
      <c r="F3986" s="480"/>
      <c r="G3986" s="221" t="s">
        <v>74</v>
      </c>
      <c r="H3986" s="221" t="str" cm="1">
        <f t="array" ref="H3986">IFERROR(INDEX(INVESTOR_LIST[INVESTOR NAME],MATCH(I3986,INVESTOR_LIST[INVESTOR CODE],0),)," ")</f>
        <v xml:space="preserve"> </v>
      </c>
      <c r="I3986" s="145" t="s">
        <v>348</v>
      </c>
      <c r="J3986" s="146" t="s">
        <v>52</v>
      </c>
      <c r="K3986" s="219"/>
      <c r="L3986" s="219">
        <v>3614827.93</v>
      </c>
    </row>
    <row r="3987" spans="1:14" x14ac:dyDescent="0.2">
      <c r="A3987" s="168">
        <v>2021</v>
      </c>
      <c r="B3987" s="168">
        <v>8</v>
      </c>
      <c r="C3987" s="168">
        <v>16</v>
      </c>
      <c r="D3987" s="141">
        <f t="shared" si="132"/>
        <v>44424</v>
      </c>
      <c r="E3987" s="275">
        <f t="shared" si="133"/>
        <v>44424</v>
      </c>
      <c r="F3987" s="479" t="s">
        <v>524</v>
      </c>
      <c r="G3987" s="220" t="s">
        <v>74</v>
      </c>
      <c r="H3987" s="220" t="str" cm="1">
        <f t="array" ref="H3987">IFERROR(INDEX(INVESTOR_LIST[INVESTOR NAME],MATCH(I3987,INVESTOR_LIST[INVESTOR CODE],0),)," ")</f>
        <v xml:space="preserve"> </v>
      </c>
      <c r="I3987" s="142" t="s">
        <v>348</v>
      </c>
      <c r="J3987" s="143" t="s">
        <v>147</v>
      </c>
      <c r="K3987" s="226">
        <v>13292452</v>
      </c>
      <c r="L3987" s="226"/>
    </row>
    <row r="3988" spans="1:14" x14ac:dyDescent="0.2">
      <c r="A3988" s="163">
        <v>2021</v>
      </c>
      <c r="B3988" s="163">
        <v>8</v>
      </c>
      <c r="C3988" s="163">
        <v>16</v>
      </c>
      <c r="D3988" s="141">
        <f t="shared" si="132"/>
        <v>44424</v>
      </c>
      <c r="E3988" s="275">
        <f t="shared" si="133"/>
        <v>44424</v>
      </c>
      <c r="F3988" s="480"/>
      <c r="G3988" s="221" t="s">
        <v>74</v>
      </c>
      <c r="H3988" s="221" t="str" cm="1">
        <f t="array" ref="H3988">IFERROR(INDEX(INVESTOR_LIST[INVESTOR NAME],MATCH(I3988,INVESTOR_LIST[INVESTOR CODE],0),)," ")</f>
        <v xml:space="preserve"> </v>
      </c>
      <c r="I3988" s="145" t="s">
        <v>348</v>
      </c>
      <c r="J3988" s="146" t="s">
        <v>52</v>
      </c>
      <c r="K3988" s="219"/>
      <c r="L3988" s="219">
        <v>13292452</v>
      </c>
    </row>
    <row r="3989" spans="1:14" x14ac:dyDescent="0.2">
      <c r="A3989" s="133">
        <v>2021</v>
      </c>
      <c r="B3989" s="133">
        <v>8</v>
      </c>
      <c r="C3989" s="133">
        <v>16</v>
      </c>
      <c r="D3989" s="141">
        <f t="shared" si="132"/>
        <v>44424</v>
      </c>
      <c r="E3989" s="275">
        <f t="shared" si="133"/>
        <v>44424</v>
      </c>
      <c r="F3989" s="481" t="s">
        <v>838</v>
      </c>
      <c r="G3989" s="174" t="s">
        <v>94</v>
      </c>
      <c r="H3989" s="174" t="str" cm="1">
        <f t="array" ref="H3989">IFERROR(INDEX(INVESTOR_LIST[INVESTOR NAME],MATCH(I3989,INVESTOR_LIST[INVESTOR CODE],0),)," ")</f>
        <v xml:space="preserve"> </v>
      </c>
      <c r="I3989" s="148" t="s">
        <v>348</v>
      </c>
      <c r="J3989" s="149" t="s">
        <v>190</v>
      </c>
      <c r="K3989" s="218">
        <v>14693886.710000001</v>
      </c>
      <c r="L3989" s="218"/>
    </row>
    <row r="3990" spans="1:14" x14ac:dyDescent="0.2">
      <c r="A3990" s="133">
        <v>2021</v>
      </c>
      <c r="B3990" s="133">
        <v>8</v>
      </c>
      <c r="C3990" s="133">
        <v>16</v>
      </c>
      <c r="D3990" s="141">
        <f t="shared" si="132"/>
        <v>44424</v>
      </c>
      <c r="E3990" s="275">
        <f t="shared" si="133"/>
        <v>44424</v>
      </c>
      <c r="F3990" s="481"/>
      <c r="G3990" s="174" t="s">
        <v>94</v>
      </c>
      <c r="H3990" s="174" t="str" cm="1">
        <f t="array" ref="H3990">IFERROR(INDEX(INVESTOR_LIST[INVESTOR NAME],MATCH(I3990,INVESTOR_LIST[INVESTOR CODE],0),)," ")</f>
        <v xml:space="preserve"> </v>
      </c>
      <c r="I3990" s="148" t="s">
        <v>348</v>
      </c>
      <c r="J3990" s="149" t="s">
        <v>80</v>
      </c>
      <c r="K3990" s="172">
        <v>26496.69</v>
      </c>
      <c r="L3990" s="218"/>
    </row>
    <row r="3991" spans="1:14" x14ac:dyDescent="0.2">
      <c r="A3991" s="133">
        <v>2021</v>
      </c>
      <c r="B3991" s="133">
        <v>8</v>
      </c>
      <c r="C3991" s="133">
        <v>16</v>
      </c>
      <c r="D3991" s="141">
        <f t="shared" si="132"/>
        <v>44424</v>
      </c>
      <c r="E3991" s="275">
        <f t="shared" si="133"/>
        <v>44424</v>
      </c>
      <c r="F3991" s="481"/>
      <c r="G3991" s="174" t="s">
        <v>94</v>
      </c>
      <c r="H3991" s="174" t="str" cm="1">
        <f t="array" ref="H3991">IFERROR(INDEX(INVESTOR_LIST[INVESTOR NAME],MATCH(I3991,INVESTOR_LIST[INVESTOR CODE],0),)," ")</f>
        <v xml:space="preserve"> </v>
      </c>
      <c r="I3991" s="148" t="s">
        <v>348</v>
      </c>
      <c r="J3991" s="149" t="s">
        <v>79</v>
      </c>
      <c r="K3991" s="218"/>
      <c r="L3991" s="218">
        <v>13089010</v>
      </c>
    </row>
    <row r="3992" spans="1:14" x14ac:dyDescent="0.2">
      <c r="A3992" s="163">
        <v>2021</v>
      </c>
      <c r="B3992" s="163">
        <v>8</v>
      </c>
      <c r="C3992" s="163">
        <v>16</v>
      </c>
      <c r="D3992" s="141">
        <f t="shared" si="132"/>
        <v>44424</v>
      </c>
      <c r="E3992" s="275">
        <f t="shared" si="133"/>
        <v>44424</v>
      </c>
      <c r="F3992" s="480"/>
      <c r="G3992" s="221" t="s">
        <v>94</v>
      </c>
      <c r="H3992" s="221" t="str" cm="1">
        <f t="array" ref="H3992">IFERROR(INDEX(INVESTOR_LIST[INVESTOR NAME],MATCH(I3992,INVESTOR_LIST[INVESTOR CODE],0),)," ")</f>
        <v xml:space="preserve"> </v>
      </c>
      <c r="I3992" s="145" t="s">
        <v>348</v>
      </c>
      <c r="J3992" s="146" t="s">
        <v>191</v>
      </c>
      <c r="K3992" s="219"/>
      <c r="L3992" s="219">
        <v>1631373.4</v>
      </c>
      <c r="N3992" s="156">
        <f>K4003/14.54</f>
        <v>687.75790921595603</v>
      </c>
    </row>
    <row r="3993" spans="1:14" x14ac:dyDescent="0.2">
      <c r="A3993" s="168">
        <v>2021</v>
      </c>
      <c r="B3993" s="168">
        <v>8</v>
      </c>
      <c r="C3993" s="133">
        <v>17</v>
      </c>
      <c r="D3993" s="141">
        <f t="shared" si="132"/>
        <v>44425</v>
      </c>
      <c r="E3993" s="275">
        <f t="shared" si="133"/>
        <v>44425</v>
      </c>
      <c r="F3993" s="479" t="s">
        <v>836</v>
      </c>
      <c r="G3993" s="220" t="s">
        <v>94</v>
      </c>
      <c r="H3993" s="220" t="str" cm="1">
        <f t="array" ref="H3993">IFERROR(INDEX(INVESTOR_LIST[INVESTOR NAME],MATCH(I3993,INVESTOR_LIST[INVESTOR CODE],0),)," ")</f>
        <v xml:space="preserve"> </v>
      </c>
      <c r="I3993" s="142" t="s">
        <v>348</v>
      </c>
      <c r="J3993" s="143" t="s">
        <v>79</v>
      </c>
      <c r="K3993" s="226">
        <v>1837500</v>
      </c>
      <c r="L3993" s="226"/>
    </row>
    <row r="3994" spans="1:14" x14ac:dyDescent="0.2">
      <c r="A3994" s="133">
        <v>2021</v>
      </c>
      <c r="B3994" s="133">
        <v>8</v>
      </c>
      <c r="C3994" s="133">
        <v>17</v>
      </c>
      <c r="D3994" s="141">
        <f t="shared" si="132"/>
        <v>44425</v>
      </c>
      <c r="E3994" s="275">
        <f t="shared" si="133"/>
        <v>44425</v>
      </c>
      <c r="F3994" s="481"/>
      <c r="G3994" s="174" t="s">
        <v>94</v>
      </c>
      <c r="H3994" s="174" t="str" cm="1">
        <f t="array" ref="H3994">IFERROR(INDEX(INVESTOR_LIST[INVESTOR NAME],MATCH(I3994,INVESTOR_LIST[INVESTOR CODE],0),)," ")</f>
        <v xml:space="preserve"> </v>
      </c>
      <c r="I3994" s="148" t="s">
        <v>348</v>
      </c>
      <c r="J3994" s="149" t="s">
        <v>80</v>
      </c>
      <c r="K3994" s="218">
        <v>40409.26</v>
      </c>
      <c r="L3994" s="218"/>
      <c r="N3994" s="156">
        <f>K4006/14.54</f>
        <v>1650.6189821182945</v>
      </c>
    </row>
    <row r="3995" spans="1:14" x14ac:dyDescent="0.2">
      <c r="A3995" s="133">
        <v>2021</v>
      </c>
      <c r="B3995" s="133">
        <v>8</v>
      </c>
      <c r="C3995" s="133">
        <v>17</v>
      </c>
      <c r="D3995" s="141">
        <f t="shared" si="132"/>
        <v>44425</v>
      </c>
      <c r="E3995" s="275">
        <f t="shared" si="133"/>
        <v>44425</v>
      </c>
      <c r="F3995" s="481"/>
      <c r="G3995" s="174" t="s">
        <v>94</v>
      </c>
      <c r="H3995" s="174" t="str" cm="1">
        <f t="array" ref="H3995">IFERROR(INDEX(INVESTOR_LIST[INVESTOR NAME],MATCH(I3995,INVESTOR_LIST[INVESTOR CODE],0),)," ")</f>
        <v xml:space="preserve"> </v>
      </c>
      <c r="I3995" s="148" t="s">
        <v>348</v>
      </c>
      <c r="J3995" s="149" t="s">
        <v>190</v>
      </c>
      <c r="K3995" s="218">
        <v>18734180.34</v>
      </c>
      <c r="L3995" s="218"/>
    </row>
    <row r="3996" spans="1:14" x14ac:dyDescent="0.2">
      <c r="A3996" s="133">
        <v>2021</v>
      </c>
      <c r="B3996" s="133">
        <v>8</v>
      </c>
      <c r="C3996" s="133">
        <v>17</v>
      </c>
      <c r="D3996" s="141">
        <f t="shared" si="132"/>
        <v>44425</v>
      </c>
      <c r="E3996" s="275">
        <f t="shared" si="133"/>
        <v>44425</v>
      </c>
      <c r="F3996" s="481"/>
      <c r="G3996" s="174" t="s">
        <v>94</v>
      </c>
      <c r="H3996" s="174" t="str" cm="1">
        <f t="array" ref="H3996">IFERROR(INDEX(INVESTOR_LIST[INVESTOR NAME],MATCH(I3996,INVESTOR_LIST[INVESTOR CODE],0),)," ")</f>
        <v xml:space="preserve"> </v>
      </c>
      <c r="I3996" s="148" t="s">
        <v>348</v>
      </c>
      <c r="J3996" s="149" t="s">
        <v>79</v>
      </c>
      <c r="K3996" s="218"/>
      <c r="L3996" s="218">
        <v>18930491.760000002</v>
      </c>
    </row>
    <row r="3997" spans="1:14" x14ac:dyDescent="0.2">
      <c r="A3997" s="163">
        <v>2021</v>
      </c>
      <c r="B3997" s="163">
        <v>8</v>
      </c>
      <c r="C3997" s="163">
        <v>17</v>
      </c>
      <c r="D3997" s="141">
        <f t="shared" si="132"/>
        <v>44425</v>
      </c>
      <c r="E3997" s="275">
        <f t="shared" si="133"/>
        <v>44425</v>
      </c>
      <c r="F3997" s="480"/>
      <c r="G3997" s="221" t="s">
        <v>94</v>
      </c>
      <c r="H3997" s="221" t="str" cm="1">
        <f t="array" ref="H3997">IFERROR(INDEX(INVESTOR_LIST[INVESTOR NAME],MATCH(I3997,INVESTOR_LIST[INVESTOR CODE],0),)," ")</f>
        <v xml:space="preserve"> </v>
      </c>
      <c r="I3997" s="145" t="s">
        <v>348</v>
      </c>
      <c r="J3997" s="146" t="s">
        <v>191</v>
      </c>
      <c r="K3997" s="219"/>
      <c r="L3997" s="219">
        <v>1681597.8399999999</v>
      </c>
    </row>
    <row r="3998" spans="1:14" x14ac:dyDescent="0.2">
      <c r="A3998" s="168">
        <v>2021</v>
      </c>
      <c r="B3998" s="168">
        <v>8</v>
      </c>
      <c r="C3998" s="168">
        <v>18</v>
      </c>
      <c r="D3998" s="141">
        <f t="shared" si="132"/>
        <v>44426</v>
      </c>
      <c r="E3998" s="275">
        <f t="shared" si="133"/>
        <v>44426</v>
      </c>
      <c r="F3998" s="479" t="s">
        <v>544</v>
      </c>
      <c r="G3998" s="220" t="s">
        <v>74</v>
      </c>
      <c r="H3998" s="220" t="str" cm="1">
        <f t="array" ref="H3998">IFERROR(INDEX(INVESTOR_LIST[INVESTOR NAME],MATCH(I3998,INVESTOR_LIST[INVESTOR CODE],0),)," ")</f>
        <v xml:space="preserve"> </v>
      </c>
      <c r="I3998" s="142" t="s">
        <v>348</v>
      </c>
      <c r="J3998" s="143" t="s">
        <v>52</v>
      </c>
      <c r="K3998" s="226">
        <v>14693886.710000001</v>
      </c>
      <c r="L3998" s="226"/>
    </row>
    <row r="3999" spans="1:14" x14ac:dyDescent="0.2">
      <c r="A3999" s="163">
        <v>2021</v>
      </c>
      <c r="B3999" s="163">
        <v>8</v>
      </c>
      <c r="C3999" s="163">
        <v>18</v>
      </c>
      <c r="D3999" s="141">
        <f t="shared" si="132"/>
        <v>44426</v>
      </c>
      <c r="E3999" s="275">
        <f t="shared" si="133"/>
        <v>44426</v>
      </c>
      <c r="F3999" s="480"/>
      <c r="G3999" s="221" t="s">
        <v>74</v>
      </c>
      <c r="H3999" s="221" t="str" cm="1">
        <f t="array" ref="H3999">IFERROR(INDEX(INVESTOR_LIST[INVESTOR NAME],MATCH(I3999,INVESTOR_LIST[INVESTOR CODE],0),)," ")</f>
        <v xml:space="preserve"> </v>
      </c>
      <c r="I3999" s="145" t="s">
        <v>348</v>
      </c>
      <c r="J3999" s="146" t="s">
        <v>190</v>
      </c>
      <c r="K3999" s="219"/>
      <c r="L3999" s="219">
        <v>14693886.710000001</v>
      </c>
    </row>
    <row r="4000" spans="1:14" ht="11.25" customHeight="1" x14ac:dyDescent="0.2">
      <c r="A4000" s="133">
        <v>2021</v>
      </c>
      <c r="B4000" s="133">
        <v>8</v>
      </c>
      <c r="C4000" s="133">
        <v>18</v>
      </c>
      <c r="D4000" s="141">
        <f t="shared" si="132"/>
        <v>44426</v>
      </c>
      <c r="E4000" s="275">
        <f t="shared" si="133"/>
        <v>44426</v>
      </c>
      <c r="F4000" s="479" t="s">
        <v>254</v>
      </c>
      <c r="G4000" s="174" t="s">
        <v>74</v>
      </c>
      <c r="H4000" s="174" t="str" cm="1">
        <f t="array" ref="H4000">IFERROR(INDEX(INVESTOR_LIST[INVESTOR NAME],MATCH(I4000,INVESTOR_LIST[INVESTOR CODE],0),)," ")</f>
        <v xml:space="preserve"> </v>
      </c>
      <c r="I4000" s="148" t="s">
        <v>348</v>
      </c>
      <c r="J4000" s="149" t="s">
        <v>52</v>
      </c>
      <c r="K4000" s="218">
        <v>3000</v>
      </c>
      <c r="L4000" s="218"/>
    </row>
    <row r="4001" spans="1:14" x14ac:dyDescent="0.2">
      <c r="A4001" s="133">
        <v>2021</v>
      </c>
      <c r="B4001" s="133">
        <v>8</v>
      </c>
      <c r="C4001" s="133">
        <v>18</v>
      </c>
      <c r="D4001" s="141">
        <f t="shared" si="132"/>
        <v>44426</v>
      </c>
      <c r="E4001" s="275">
        <f t="shared" si="133"/>
        <v>44426</v>
      </c>
      <c r="F4001" s="481"/>
      <c r="G4001" s="174" t="s">
        <v>74</v>
      </c>
      <c r="H4001" s="174" t="str" cm="1">
        <f t="array" ref="H4001">IFERROR(INDEX(INVESTOR_LIST[INVESTOR NAME],MATCH(I4001,INVESTOR_LIST[INVESTOR CODE],0),)," ")</f>
        <v xml:space="preserve"> </v>
      </c>
      <c r="I4001" s="148" t="s">
        <v>348</v>
      </c>
      <c r="J4001" s="149" t="s">
        <v>13</v>
      </c>
      <c r="K4001" s="218"/>
      <c r="L4001" s="218">
        <v>2060</v>
      </c>
    </row>
    <row r="4002" spans="1:14" x14ac:dyDescent="0.2">
      <c r="A4002" s="163">
        <v>2021</v>
      </c>
      <c r="B4002" s="163">
        <v>8</v>
      </c>
      <c r="C4002" s="163">
        <v>18</v>
      </c>
      <c r="D4002" s="141">
        <f t="shared" si="132"/>
        <v>44426</v>
      </c>
      <c r="E4002" s="275">
        <f t="shared" si="133"/>
        <v>44426</v>
      </c>
      <c r="F4002" s="480"/>
      <c r="G4002" s="221" t="s">
        <v>74</v>
      </c>
      <c r="H4002" s="221" t="str" cm="1">
        <f t="array" ref="H4002">IFERROR(INDEX(INVESTOR_LIST[INVESTOR NAME],MATCH(I4002,INVESTOR_LIST[INVESTOR CODE],0),)," ")</f>
        <v xml:space="preserve"> </v>
      </c>
      <c r="I4002" s="145" t="s">
        <v>348</v>
      </c>
      <c r="J4002" s="146" t="s">
        <v>53</v>
      </c>
      <c r="K4002" s="219"/>
      <c r="L4002" s="219">
        <v>940</v>
      </c>
    </row>
    <row r="4003" spans="1:14" ht="11.25" customHeight="1" x14ac:dyDescent="0.2">
      <c r="A4003" s="168">
        <v>2021</v>
      </c>
      <c r="B4003" s="168">
        <v>8</v>
      </c>
      <c r="C4003" s="133">
        <v>18</v>
      </c>
      <c r="D4003" s="141">
        <f t="shared" si="132"/>
        <v>44426</v>
      </c>
      <c r="E4003" s="275">
        <f t="shared" si="133"/>
        <v>44426</v>
      </c>
      <c r="F4003" s="479" t="s">
        <v>964</v>
      </c>
      <c r="G4003" s="220" t="s">
        <v>74</v>
      </c>
      <c r="H4003" s="142" t="str" cm="1">
        <f t="array" ref="H4003">IFERROR(INDEX(INVESTOR_LIST[INVESTOR NAME],MATCH(I4003,INVESTOR_LIST[INVESTOR CODE],0),)," ")</f>
        <v>MORSHEDA MIM</v>
      </c>
      <c r="I4003" s="142" t="s">
        <v>373</v>
      </c>
      <c r="J4003" s="168" t="s">
        <v>52</v>
      </c>
      <c r="K4003" s="226">
        <v>10000</v>
      </c>
      <c r="L4003" s="226"/>
    </row>
    <row r="4004" spans="1:14" ht="22.5" x14ac:dyDescent="0.2">
      <c r="A4004" s="133">
        <v>2021</v>
      </c>
      <c r="B4004" s="133">
        <v>8</v>
      </c>
      <c r="C4004" s="133">
        <v>18</v>
      </c>
      <c r="D4004" s="141">
        <f t="shared" si="132"/>
        <v>44426</v>
      </c>
      <c r="E4004" s="275">
        <f t="shared" si="133"/>
        <v>44426</v>
      </c>
      <c r="F4004" s="481"/>
      <c r="G4004" s="174" t="s">
        <v>74</v>
      </c>
      <c r="H4004" s="148" t="str" cm="1">
        <f t="array" ref="H4004">IFERROR(INDEX(INVESTOR_LIST[INVESTOR NAME],MATCH(I4004,INVESTOR_LIST[INVESTOR CODE],0),)," ")</f>
        <v>MORSHEDA MIM</v>
      </c>
      <c r="I4004" s="148" t="s">
        <v>373</v>
      </c>
      <c r="J4004" s="133" t="s">
        <v>13</v>
      </c>
      <c r="K4004" s="218"/>
      <c r="L4004" s="218">
        <v>6880</v>
      </c>
    </row>
    <row r="4005" spans="1:14" ht="22.5" x14ac:dyDescent="0.2">
      <c r="A4005" s="163">
        <v>2021</v>
      </c>
      <c r="B4005" s="163">
        <v>8</v>
      </c>
      <c r="C4005" s="163">
        <v>18</v>
      </c>
      <c r="D4005" s="141">
        <f t="shared" si="132"/>
        <v>44426</v>
      </c>
      <c r="E4005" s="275">
        <f t="shared" si="133"/>
        <v>44426</v>
      </c>
      <c r="F4005" s="480"/>
      <c r="G4005" s="221" t="s">
        <v>74</v>
      </c>
      <c r="H4005" s="145" t="str" cm="1">
        <f t="array" ref="H4005">IFERROR(INDEX(INVESTOR_LIST[INVESTOR NAME],MATCH(I4005,INVESTOR_LIST[INVESTOR CODE],0),)," ")</f>
        <v>MORSHEDA MIM</v>
      </c>
      <c r="I4005" s="145" t="s">
        <v>373</v>
      </c>
      <c r="J4005" s="163" t="s">
        <v>53</v>
      </c>
      <c r="K4005" s="219"/>
      <c r="L4005" s="219">
        <v>3120</v>
      </c>
      <c r="N4005" s="156">
        <f>K4020/14.54</f>
        <v>2063.2737276478679</v>
      </c>
    </row>
    <row r="4006" spans="1:14" ht="11.25" customHeight="1" x14ac:dyDescent="0.2">
      <c r="A4006" s="168">
        <v>2021</v>
      </c>
      <c r="B4006" s="168">
        <v>8</v>
      </c>
      <c r="C4006" s="133">
        <v>18</v>
      </c>
      <c r="D4006" s="141">
        <f t="shared" si="132"/>
        <v>44426</v>
      </c>
      <c r="E4006" s="275">
        <f t="shared" si="133"/>
        <v>44426</v>
      </c>
      <c r="F4006" s="479" t="s">
        <v>964</v>
      </c>
      <c r="G4006" s="220" t="s">
        <v>74</v>
      </c>
      <c r="H4006" s="142" t="str" cm="1">
        <f t="array" ref="H4006">IFERROR(INDEX(INVESTOR_LIST[INVESTOR NAME],MATCH(I4006,INVESTOR_LIST[INVESTOR CODE],0),)," ")</f>
        <v>QUAZI TOWFIQUE UDDIN</v>
      </c>
      <c r="I4006" s="142" t="s">
        <v>704</v>
      </c>
      <c r="J4006" s="168" t="s">
        <v>52</v>
      </c>
      <c r="K4006" s="226">
        <v>24000</v>
      </c>
      <c r="L4006" s="226"/>
    </row>
    <row r="4007" spans="1:14" ht="45" x14ac:dyDescent="0.2">
      <c r="A4007" s="133">
        <v>2021</v>
      </c>
      <c r="B4007" s="133">
        <v>8</v>
      </c>
      <c r="C4007" s="133">
        <v>18</v>
      </c>
      <c r="D4007" s="141">
        <f t="shared" si="132"/>
        <v>44426</v>
      </c>
      <c r="E4007" s="275">
        <f t="shared" si="133"/>
        <v>44426</v>
      </c>
      <c r="F4007" s="481"/>
      <c r="G4007" s="174" t="s">
        <v>74</v>
      </c>
      <c r="H4007" s="148" t="str" cm="1">
        <f t="array" ref="H4007">IFERROR(INDEX(INVESTOR_LIST[INVESTOR NAME],MATCH(I4007,INVESTOR_LIST[INVESTOR CODE],0),)," ")</f>
        <v>QUAZI TOWFIQUE UDDIN</v>
      </c>
      <c r="I4007" s="148" t="s">
        <v>704</v>
      </c>
      <c r="J4007" s="133" t="s">
        <v>13</v>
      </c>
      <c r="K4007" s="218"/>
      <c r="L4007" s="218">
        <v>16510</v>
      </c>
    </row>
    <row r="4008" spans="1:14" ht="45" x14ac:dyDescent="0.2">
      <c r="A4008" s="163">
        <v>2021</v>
      </c>
      <c r="B4008" s="163">
        <v>8</v>
      </c>
      <c r="C4008" s="163">
        <v>18</v>
      </c>
      <c r="D4008" s="141">
        <f t="shared" si="132"/>
        <v>44426</v>
      </c>
      <c r="E4008" s="275">
        <f t="shared" si="133"/>
        <v>44426</v>
      </c>
      <c r="F4008" s="480"/>
      <c r="G4008" s="221" t="s">
        <v>74</v>
      </c>
      <c r="H4008" s="145" t="str" cm="1">
        <f t="array" ref="H4008">IFERROR(INDEX(INVESTOR_LIST[INVESTOR NAME],MATCH(I4008,INVESTOR_LIST[INVESTOR CODE],0),)," ")</f>
        <v>QUAZI TOWFIQUE UDDIN</v>
      </c>
      <c r="I4008" s="145" t="s">
        <v>704</v>
      </c>
      <c r="J4008" s="163" t="s">
        <v>53</v>
      </c>
      <c r="K4008" s="219"/>
      <c r="L4008" s="219">
        <v>7490</v>
      </c>
    </row>
    <row r="4009" spans="1:14" x14ac:dyDescent="0.2">
      <c r="A4009" s="133">
        <v>2021</v>
      </c>
      <c r="B4009" s="133">
        <v>8</v>
      </c>
      <c r="C4009" s="133">
        <v>18</v>
      </c>
      <c r="D4009" s="141">
        <f t="shared" si="132"/>
        <v>44426</v>
      </c>
      <c r="E4009" s="275">
        <f t="shared" si="133"/>
        <v>44426</v>
      </c>
      <c r="F4009" s="481" t="s">
        <v>838</v>
      </c>
      <c r="G4009" s="174" t="s">
        <v>94</v>
      </c>
      <c r="H4009" s="174" t="str" cm="1">
        <f t="array" ref="H4009">IFERROR(INDEX(INVESTOR_LIST[INVESTOR NAME],MATCH(I4009,INVESTOR_LIST[INVESTOR CODE],0),)," ")</f>
        <v xml:space="preserve"> </v>
      </c>
      <c r="I4009" s="148" t="s">
        <v>348</v>
      </c>
      <c r="J4009" s="149" t="s">
        <v>190</v>
      </c>
      <c r="K4009" s="218">
        <v>6568156</v>
      </c>
      <c r="L4009" s="218"/>
    </row>
    <row r="4010" spans="1:14" x14ac:dyDescent="0.2">
      <c r="A4010" s="133">
        <v>2021</v>
      </c>
      <c r="B4010" s="133">
        <v>8</v>
      </c>
      <c r="C4010" s="133">
        <v>18</v>
      </c>
      <c r="D4010" s="141">
        <f t="shared" si="132"/>
        <v>44426</v>
      </c>
      <c r="E4010" s="275">
        <f t="shared" si="133"/>
        <v>44426</v>
      </c>
      <c r="F4010" s="481"/>
      <c r="G4010" s="174" t="s">
        <v>94</v>
      </c>
      <c r="H4010" s="174" t="str" cm="1">
        <f t="array" ref="H4010">IFERROR(INDEX(INVESTOR_LIST[INVESTOR NAME],MATCH(I4010,INVESTOR_LIST[INVESTOR CODE],0),)," ")</f>
        <v xml:space="preserve"> </v>
      </c>
      <c r="I4010" s="148" t="s">
        <v>348</v>
      </c>
      <c r="J4010" s="149" t="s">
        <v>80</v>
      </c>
      <c r="K4010" s="218">
        <v>11844</v>
      </c>
      <c r="L4010" s="218"/>
    </row>
    <row r="4011" spans="1:14" x14ac:dyDescent="0.2">
      <c r="A4011" s="133">
        <v>2021</v>
      </c>
      <c r="B4011" s="133">
        <v>8</v>
      </c>
      <c r="C4011" s="133">
        <v>18</v>
      </c>
      <c r="D4011" s="141">
        <f t="shared" si="132"/>
        <v>44426</v>
      </c>
      <c r="E4011" s="275">
        <f t="shared" si="133"/>
        <v>44426</v>
      </c>
      <c r="F4011" s="481"/>
      <c r="G4011" s="174" t="s">
        <v>94</v>
      </c>
      <c r="H4011" s="174" t="str" cm="1">
        <f t="array" ref="H4011">IFERROR(INDEX(INVESTOR_LIST[INVESTOR NAME],MATCH(I4011,INVESTOR_LIST[INVESTOR CODE],0),)," ")</f>
        <v xml:space="preserve"> </v>
      </c>
      <c r="I4011" s="148" t="s">
        <v>348</v>
      </c>
      <c r="J4011" s="149" t="s">
        <v>79</v>
      </c>
      <c r="K4011" s="218"/>
      <c r="L4011" s="218">
        <v>6313712.5300000003</v>
      </c>
    </row>
    <row r="4012" spans="1:14" x14ac:dyDescent="0.2">
      <c r="A4012" s="163">
        <v>2021</v>
      </c>
      <c r="B4012" s="163">
        <v>8</v>
      </c>
      <c r="C4012" s="163">
        <v>18</v>
      </c>
      <c r="D4012" s="141">
        <f t="shared" si="132"/>
        <v>44426</v>
      </c>
      <c r="E4012" s="275">
        <f t="shared" si="133"/>
        <v>44426</v>
      </c>
      <c r="F4012" s="480"/>
      <c r="G4012" s="221" t="s">
        <v>94</v>
      </c>
      <c r="H4012" s="221" t="str" cm="1">
        <f t="array" ref="H4012">IFERROR(INDEX(INVESTOR_LIST[INVESTOR NAME],MATCH(I4012,INVESTOR_LIST[INVESTOR CODE],0),)," ")</f>
        <v xml:space="preserve"> </v>
      </c>
      <c r="I4012" s="145" t="s">
        <v>348</v>
      </c>
      <c r="J4012" s="146" t="s">
        <v>191</v>
      </c>
      <c r="K4012" s="219"/>
      <c r="L4012" s="219">
        <v>266287.46999999997</v>
      </c>
    </row>
    <row r="4013" spans="1:14" x14ac:dyDescent="0.2">
      <c r="A4013" s="168">
        <v>2021</v>
      </c>
      <c r="B4013" s="168">
        <v>8</v>
      </c>
      <c r="C4013" s="168">
        <v>18</v>
      </c>
      <c r="D4013" s="141">
        <f t="shared" si="132"/>
        <v>44426</v>
      </c>
      <c r="E4013" s="275">
        <f t="shared" si="133"/>
        <v>44426</v>
      </c>
      <c r="F4013" s="479" t="s">
        <v>546</v>
      </c>
      <c r="G4013" s="220" t="s">
        <v>94</v>
      </c>
      <c r="H4013" s="220" t="str" cm="1">
        <f t="array" ref="H4013">IFERROR(INDEX(INVESTOR_LIST[INVESTOR NAME],MATCH(I4013,INVESTOR_LIST[INVESTOR CODE],0),)," ")</f>
        <v xml:space="preserve"> </v>
      </c>
      <c r="I4013" s="142"/>
      <c r="J4013" s="143" t="s">
        <v>168</v>
      </c>
      <c r="K4013" s="226">
        <v>260000</v>
      </c>
      <c r="L4013" s="226"/>
    </row>
    <row r="4014" spans="1:14" x14ac:dyDescent="0.2">
      <c r="A4014" s="163">
        <v>2021</v>
      </c>
      <c r="B4014" s="163">
        <v>8</v>
      </c>
      <c r="C4014" s="163">
        <v>18</v>
      </c>
      <c r="D4014" s="141">
        <f t="shared" si="132"/>
        <v>44426</v>
      </c>
      <c r="E4014" s="275">
        <f t="shared" si="133"/>
        <v>44426</v>
      </c>
      <c r="F4014" s="480"/>
      <c r="G4014" s="221" t="s">
        <v>94</v>
      </c>
      <c r="H4014" s="221" t="str" cm="1">
        <f t="array" ref="H4014">IFERROR(INDEX(INVESTOR_LIST[INVESTOR NAME],MATCH(I4014,INVESTOR_LIST[INVESTOR CODE],0),)," ")</f>
        <v xml:space="preserve"> </v>
      </c>
      <c r="I4014" s="145"/>
      <c r="J4014" s="146" t="s">
        <v>166</v>
      </c>
      <c r="K4014" s="219"/>
      <c r="L4014" s="219">
        <v>260000</v>
      </c>
    </row>
    <row r="4015" spans="1:14" x14ac:dyDescent="0.2">
      <c r="A4015" s="168">
        <v>2021</v>
      </c>
      <c r="B4015" s="168">
        <v>8</v>
      </c>
      <c r="C4015" s="168">
        <v>19</v>
      </c>
      <c r="D4015" s="141">
        <f t="shared" si="132"/>
        <v>44427</v>
      </c>
      <c r="E4015" s="275">
        <f t="shared" si="133"/>
        <v>44427</v>
      </c>
      <c r="F4015" s="479" t="s">
        <v>544</v>
      </c>
      <c r="G4015" s="220" t="s">
        <v>74</v>
      </c>
      <c r="H4015" s="220" t="str" cm="1">
        <f t="array" ref="H4015">IFERROR(INDEX(INVESTOR_LIST[INVESTOR NAME],MATCH(I4015,INVESTOR_LIST[INVESTOR CODE],0),)," ")</f>
        <v xml:space="preserve"> </v>
      </c>
      <c r="I4015" s="142" t="s">
        <v>348</v>
      </c>
      <c r="J4015" s="143" t="s">
        <v>52</v>
      </c>
      <c r="K4015" s="226">
        <v>18734180.34</v>
      </c>
      <c r="L4015" s="226"/>
    </row>
    <row r="4016" spans="1:14" x14ac:dyDescent="0.2">
      <c r="A4016" s="163">
        <v>2021</v>
      </c>
      <c r="B4016" s="163">
        <v>8</v>
      </c>
      <c r="C4016" s="163">
        <v>19</v>
      </c>
      <c r="D4016" s="141">
        <f t="shared" si="132"/>
        <v>44427</v>
      </c>
      <c r="E4016" s="275">
        <f t="shared" si="133"/>
        <v>44427</v>
      </c>
      <c r="F4016" s="480"/>
      <c r="G4016" s="221" t="s">
        <v>74</v>
      </c>
      <c r="H4016" s="221" t="str" cm="1">
        <f t="array" ref="H4016">IFERROR(INDEX(INVESTOR_LIST[INVESTOR NAME],MATCH(I4016,INVESTOR_LIST[INVESTOR CODE],0),)," ")</f>
        <v xml:space="preserve"> </v>
      </c>
      <c r="I4016" s="145" t="s">
        <v>348</v>
      </c>
      <c r="J4016" s="146" t="s">
        <v>190</v>
      </c>
      <c r="K4016" s="219"/>
      <c r="L4016" s="219">
        <v>18734180.34</v>
      </c>
    </row>
    <row r="4017" spans="1:13" ht="11.25" customHeight="1" x14ac:dyDescent="0.2">
      <c r="A4017" s="168">
        <v>2021</v>
      </c>
      <c r="B4017" s="168">
        <v>8</v>
      </c>
      <c r="C4017" s="133">
        <v>19</v>
      </c>
      <c r="D4017" s="141">
        <f t="shared" si="132"/>
        <v>44427</v>
      </c>
      <c r="E4017" s="275">
        <f t="shared" si="133"/>
        <v>44427</v>
      </c>
      <c r="F4017" s="479" t="s">
        <v>964</v>
      </c>
      <c r="G4017" s="220" t="s">
        <v>74</v>
      </c>
      <c r="H4017" s="142" t="str" cm="1">
        <f t="array" ref="H4017">IFERROR(INDEX(INVESTOR_LIST[INVESTOR NAME],MATCH(I4017,INVESTOR_LIST[INVESTOR CODE],0),)," ")</f>
        <v>MUSHFIQUR RAHMAN</v>
      </c>
      <c r="I4017" s="142" t="s">
        <v>865</v>
      </c>
      <c r="J4017" s="168" t="s">
        <v>52</v>
      </c>
      <c r="K4017" s="226">
        <v>436200</v>
      </c>
      <c r="L4017" s="226"/>
    </row>
    <row r="4018" spans="1:13" ht="33.75" x14ac:dyDescent="0.2">
      <c r="A4018" s="133">
        <v>2021</v>
      </c>
      <c r="B4018" s="133">
        <v>8</v>
      </c>
      <c r="C4018" s="133">
        <v>19</v>
      </c>
      <c r="D4018" s="141">
        <f t="shared" si="132"/>
        <v>44427</v>
      </c>
      <c r="E4018" s="275">
        <f t="shared" si="133"/>
        <v>44427</v>
      </c>
      <c r="F4018" s="481"/>
      <c r="G4018" s="174" t="s">
        <v>74</v>
      </c>
      <c r="H4018" s="148" t="str" cm="1">
        <f t="array" ref="H4018">IFERROR(INDEX(INVESTOR_LIST[INVESTOR NAME],MATCH(I4018,INVESTOR_LIST[INVESTOR CODE],0),)," ")</f>
        <v>MUSHFIQUR RAHMAN</v>
      </c>
      <c r="I4018" s="148" t="s">
        <v>865</v>
      </c>
      <c r="J4018" s="133" t="s">
        <v>13</v>
      </c>
      <c r="K4018" s="218"/>
      <c r="L4018" s="218">
        <v>300000</v>
      </c>
    </row>
    <row r="4019" spans="1:13" ht="33.75" x14ac:dyDescent="0.2">
      <c r="A4019" s="163">
        <v>2021</v>
      </c>
      <c r="B4019" s="163">
        <v>8</v>
      </c>
      <c r="C4019" s="163">
        <v>19</v>
      </c>
      <c r="D4019" s="141">
        <f t="shared" si="132"/>
        <v>44427</v>
      </c>
      <c r="E4019" s="275">
        <f t="shared" si="133"/>
        <v>44427</v>
      </c>
      <c r="F4019" s="480"/>
      <c r="G4019" s="221" t="s">
        <v>74</v>
      </c>
      <c r="H4019" s="145" t="str" cm="1">
        <f t="array" ref="H4019">IFERROR(INDEX(INVESTOR_LIST[INVESTOR NAME],MATCH(I4019,INVESTOR_LIST[INVESTOR CODE],0),)," ")</f>
        <v>MUSHFIQUR RAHMAN</v>
      </c>
      <c r="I4019" s="145" t="s">
        <v>865</v>
      </c>
      <c r="J4019" s="163" t="s">
        <v>53</v>
      </c>
      <c r="K4019" s="219"/>
      <c r="L4019" s="219">
        <v>136200</v>
      </c>
    </row>
    <row r="4020" spans="1:13" ht="11.25" customHeight="1" x14ac:dyDescent="0.2">
      <c r="A4020" s="168">
        <v>2021</v>
      </c>
      <c r="B4020" s="168">
        <v>8</v>
      </c>
      <c r="C4020" s="133">
        <v>19</v>
      </c>
      <c r="D4020" s="141">
        <f t="shared" si="132"/>
        <v>44427</v>
      </c>
      <c r="E4020" s="275">
        <f t="shared" si="133"/>
        <v>44427</v>
      </c>
      <c r="F4020" s="479" t="s">
        <v>964</v>
      </c>
      <c r="G4020" s="220" t="s">
        <v>74</v>
      </c>
      <c r="H4020" s="142" t="str" cm="1">
        <f t="array" ref="H4020">IFERROR(INDEX(INVESTOR_LIST[INVESTOR NAME],MATCH(I4020,INVESTOR_LIST[INVESTOR CODE],0),)," ")</f>
        <v>FAIYEAD AHMEDUL HYE</v>
      </c>
      <c r="I4020" s="142" t="s">
        <v>496</v>
      </c>
      <c r="J4020" s="168" t="s">
        <v>52</v>
      </c>
      <c r="K4020" s="226">
        <v>30000</v>
      </c>
      <c r="L4020" s="226"/>
    </row>
    <row r="4021" spans="1:13" ht="33.75" x14ac:dyDescent="0.2">
      <c r="A4021" s="133">
        <v>2021</v>
      </c>
      <c r="B4021" s="133">
        <v>8</v>
      </c>
      <c r="C4021" s="133">
        <v>19</v>
      </c>
      <c r="D4021" s="141">
        <f t="shared" si="132"/>
        <v>44427</v>
      </c>
      <c r="E4021" s="275">
        <f t="shared" si="133"/>
        <v>44427</v>
      </c>
      <c r="F4021" s="481"/>
      <c r="G4021" s="174" t="s">
        <v>74</v>
      </c>
      <c r="H4021" s="148" t="str" cm="1">
        <f t="array" ref="H4021">IFERROR(INDEX(INVESTOR_LIST[INVESTOR NAME],MATCH(I4021,INVESTOR_LIST[INVESTOR CODE],0),)," ")</f>
        <v>FAIYEAD AHMEDUL HYE</v>
      </c>
      <c r="I4021" s="148" t="s">
        <v>496</v>
      </c>
      <c r="J4021" s="133" t="s">
        <v>13</v>
      </c>
      <c r="K4021" s="218"/>
      <c r="L4021" s="218">
        <v>20630</v>
      </c>
    </row>
    <row r="4022" spans="1:13" ht="33.75" x14ac:dyDescent="0.2">
      <c r="A4022" s="163">
        <v>2021</v>
      </c>
      <c r="B4022" s="163">
        <v>8</v>
      </c>
      <c r="C4022" s="163">
        <v>19</v>
      </c>
      <c r="D4022" s="141">
        <f t="shared" si="132"/>
        <v>44427</v>
      </c>
      <c r="E4022" s="275">
        <f t="shared" si="133"/>
        <v>44427</v>
      </c>
      <c r="F4022" s="480"/>
      <c r="G4022" s="221" t="s">
        <v>74</v>
      </c>
      <c r="H4022" s="145" t="str" cm="1">
        <f t="array" ref="H4022">IFERROR(INDEX(INVESTOR_LIST[INVESTOR NAME],MATCH(I4022,INVESTOR_LIST[INVESTOR CODE],0),)," ")</f>
        <v>FAIYEAD AHMEDUL HYE</v>
      </c>
      <c r="I4022" s="145" t="s">
        <v>496</v>
      </c>
      <c r="J4022" s="163" t="s">
        <v>53</v>
      </c>
      <c r="K4022" s="219"/>
      <c r="L4022" s="219">
        <v>9370</v>
      </c>
    </row>
    <row r="4023" spans="1:13" x14ac:dyDescent="0.2">
      <c r="A4023" s="133">
        <v>2021</v>
      </c>
      <c r="B4023" s="133">
        <v>8</v>
      </c>
      <c r="C4023" s="133">
        <v>19</v>
      </c>
      <c r="D4023" s="141">
        <f t="shared" si="132"/>
        <v>44427</v>
      </c>
      <c r="E4023" s="275">
        <f t="shared" si="133"/>
        <v>44427</v>
      </c>
      <c r="F4023" s="481" t="s">
        <v>838</v>
      </c>
      <c r="G4023" s="174" t="s">
        <v>94</v>
      </c>
      <c r="H4023" s="174" t="str" cm="1">
        <f t="array" ref="H4023">IFERROR(INDEX(INVESTOR_LIST[INVESTOR NAME],MATCH(I4023,INVESTOR_LIST[INVESTOR CODE],0),)," ")</f>
        <v xml:space="preserve"> </v>
      </c>
      <c r="I4023" s="148" t="s">
        <v>348</v>
      </c>
      <c r="J4023" s="149" t="s">
        <v>190</v>
      </c>
      <c r="K4023" s="218">
        <v>5036173.54</v>
      </c>
      <c r="L4023" s="218"/>
    </row>
    <row r="4024" spans="1:13" x14ac:dyDescent="0.2">
      <c r="A4024" s="133">
        <v>2021</v>
      </c>
      <c r="B4024" s="133">
        <v>8</v>
      </c>
      <c r="C4024" s="133">
        <v>19</v>
      </c>
      <c r="D4024" s="141">
        <f t="shared" si="132"/>
        <v>44427</v>
      </c>
      <c r="E4024" s="275">
        <f t="shared" si="133"/>
        <v>44427</v>
      </c>
      <c r="F4024" s="481"/>
      <c r="G4024" s="174" t="s">
        <v>94</v>
      </c>
      <c r="H4024" s="174" t="str" cm="1">
        <f t="array" ref="H4024">IFERROR(INDEX(INVESTOR_LIST[INVESTOR NAME],MATCH(I4024,INVESTOR_LIST[INVESTOR CODE],0),)," ")</f>
        <v xml:space="preserve"> </v>
      </c>
      <c r="I4024" s="148" t="s">
        <v>348</v>
      </c>
      <c r="J4024" s="149" t="s">
        <v>80</v>
      </c>
      <c r="K4024" s="218">
        <v>9081.4599999999991</v>
      </c>
      <c r="L4024" s="218"/>
    </row>
    <row r="4025" spans="1:13" x14ac:dyDescent="0.2">
      <c r="A4025" s="133">
        <v>2021</v>
      </c>
      <c r="B4025" s="133">
        <v>8</v>
      </c>
      <c r="C4025" s="133">
        <v>19</v>
      </c>
      <c r="D4025" s="141">
        <f t="shared" si="132"/>
        <v>44427</v>
      </c>
      <c r="E4025" s="275">
        <f t="shared" si="133"/>
        <v>44427</v>
      </c>
      <c r="F4025" s="481"/>
      <c r="G4025" s="174" t="s">
        <v>94</v>
      </c>
      <c r="H4025" s="174" t="str" cm="1">
        <f t="array" ref="H4025">IFERROR(INDEX(INVESTOR_LIST[INVESTOR NAME],MATCH(I4025,INVESTOR_LIST[INVESTOR CODE],0),)," ")</f>
        <v xml:space="preserve"> </v>
      </c>
      <c r="I4025" s="148" t="s">
        <v>348</v>
      </c>
      <c r="J4025" s="149" t="s">
        <v>79</v>
      </c>
      <c r="K4025" s="218"/>
      <c r="L4025" s="218">
        <v>4894409.41</v>
      </c>
    </row>
    <row r="4026" spans="1:13" x14ac:dyDescent="0.2">
      <c r="A4026" s="163">
        <v>2021</v>
      </c>
      <c r="B4026" s="163">
        <v>8</v>
      </c>
      <c r="C4026" s="163">
        <v>19</v>
      </c>
      <c r="D4026" s="141">
        <f t="shared" si="132"/>
        <v>44427</v>
      </c>
      <c r="E4026" s="275">
        <f t="shared" si="133"/>
        <v>44427</v>
      </c>
      <c r="F4026" s="480"/>
      <c r="G4026" s="221" t="s">
        <v>94</v>
      </c>
      <c r="H4026" s="221" t="str" cm="1">
        <f t="array" ref="H4026">IFERROR(INDEX(INVESTOR_LIST[INVESTOR NAME],MATCH(I4026,INVESTOR_LIST[INVESTOR CODE],0),)," ")</f>
        <v xml:space="preserve"> </v>
      </c>
      <c r="I4026" s="145" t="s">
        <v>348</v>
      </c>
      <c r="J4026" s="146" t="s">
        <v>191</v>
      </c>
      <c r="K4026" s="219"/>
      <c r="L4026" s="219">
        <v>150845.59</v>
      </c>
    </row>
    <row r="4027" spans="1:13" x14ac:dyDescent="0.2">
      <c r="A4027" s="133">
        <v>2021</v>
      </c>
      <c r="B4027" s="133">
        <v>8</v>
      </c>
      <c r="C4027" s="133">
        <v>19</v>
      </c>
      <c r="D4027" s="141">
        <f t="shared" si="132"/>
        <v>44427</v>
      </c>
      <c r="E4027" s="275">
        <f t="shared" si="133"/>
        <v>44427</v>
      </c>
      <c r="F4027" s="479" t="s">
        <v>77</v>
      </c>
      <c r="G4027" s="174" t="s">
        <v>74</v>
      </c>
      <c r="H4027" s="148" t="str" cm="1">
        <f t="array" ref="H4027">IFERROR(INDEX(INVESTOR_LIST[INVESTOR NAME],MATCH(I4027,INVESTOR_LIST[INVESTOR CODE],0),)," ")</f>
        <v xml:space="preserve"> </v>
      </c>
      <c r="I4027" s="148" t="s">
        <v>348</v>
      </c>
      <c r="J4027" s="133" t="s">
        <v>61</v>
      </c>
      <c r="K4027" s="172">
        <v>10</v>
      </c>
    </row>
    <row r="4028" spans="1:13" x14ac:dyDescent="0.2">
      <c r="A4028" s="163">
        <v>2021</v>
      </c>
      <c r="B4028" s="163">
        <v>8</v>
      </c>
      <c r="C4028" s="163">
        <v>19</v>
      </c>
      <c r="D4028" s="141">
        <f t="shared" si="132"/>
        <v>44427</v>
      </c>
      <c r="E4028" s="275">
        <f t="shared" si="133"/>
        <v>44427</v>
      </c>
      <c r="F4028" s="480"/>
      <c r="G4028" s="221" t="s">
        <v>74</v>
      </c>
      <c r="H4028" s="145" t="str" cm="1">
        <f t="array" ref="H4028">IFERROR(INDEX(INVESTOR_LIST[INVESTOR NAME],MATCH(I4028,INVESTOR_LIST[INVESTOR CODE],0),)," ")</f>
        <v xml:space="preserve"> </v>
      </c>
      <c r="I4028" s="145" t="s">
        <v>348</v>
      </c>
      <c r="J4028" s="163" t="s">
        <v>52</v>
      </c>
      <c r="K4028" s="219"/>
      <c r="L4028" s="219">
        <v>10</v>
      </c>
    </row>
    <row r="4029" spans="1:13" x14ac:dyDescent="0.2">
      <c r="A4029" s="238">
        <v>2021</v>
      </c>
      <c r="B4029" s="238">
        <v>8</v>
      </c>
      <c r="C4029" s="238">
        <v>19</v>
      </c>
      <c r="D4029" s="141">
        <f t="shared" si="132"/>
        <v>44427</v>
      </c>
      <c r="E4029" s="275">
        <f t="shared" si="133"/>
        <v>44427</v>
      </c>
      <c r="F4029" s="477" t="s">
        <v>347</v>
      </c>
      <c r="G4029" s="239" t="s">
        <v>94</v>
      </c>
      <c r="H4029" s="239" t="str" cm="1">
        <f t="array" ref="H4029">IFERROR(INDEX(INVESTOR_LIST[INVESTOR NAME],MATCH(I4029,INVESTOR_LIST[INVESTOR CODE],0),)," ")</f>
        <v xml:space="preserve"> </v>
      </c>
      <c r="I4029" s="262" t="s">
        <v>348</v>
      </c>
      <c r="J4029" s="240" t="s">
        <v>83</v>
      </c>
      <c r="K4029" s="241">
        <v>4034539.3700000346</v>
      </c>
      <c r="L4029" s="241"/>
    </row>
    <row r="4030" spans="1:13" x14ac:dyDescent="0.2">
      <c r="A4030" s="242">
        <v>2021</v>
      </c>
      <c r="B4030" s="242">
        <v>8</v>
      </c>
      <c r="C4030" s="242">
        <v>19</v>
      </c>
      <c r="D4030" s="141">
        <f t="shared" si="132"/>
        <v>44427</v>
      </c>
      <c r="E4030" s="275">
        <f t="shared" si="133"/>
        <v>44427</v>
      </c>
      <c r="F4030" s="478"/>
      <c r="G4030" s="243" t="s">
        <v>94</v>
      </c>
      <c r="H4030" s="243" t="str" cm="1">
        <f t="array" ref="H4030">IFERROR(INDEX(INVESTOR_LIST[INVESTOR NAME],MATCH(I4030,INVESTOR_LIST[INVESTOR CODE],0),)," ")</f>
        <v xml:space="preserve"> </v>
      </c>
      <c r="I4030" s="263" t="s">
        <v>348</v>
      </c>
      <c r="J4030" s="244" t="s">
        <v>108</v>
      </c>
      <c r="K4030" s="245"/>
      <c r="L4030" s="245">
        <v>4034539.3700000346</v>
      </c>
    </row>
    <row r="4031" spans="1:13" ht="22.5" x14ac:dyDescent="0.2">
      <c r="A4031" s="246">
        <v>2021</v>
      </c>
      <c r="B4031" s="246">
        <v>8</v>
      </c>
      <c r="C4031" s="246">
        <v>19</v>
      </c>
      <c r="D4031" s="141">
        <f t="shared" si="132"/>
        <v>44427</v>
      </c>
      <c r="E4031" s="275">
        <f t="shared" si="133"/>
        <v>44427</v>
      </c>
      <c r="F4031" s="482" t="s">
        <v>148</v>
      </c>
      <c r="G4031" s="247" t="s">
        <v>94</v>
      </c>
      <c r="H4031" s="247" t="str" cm="1">
        <f t="array" ref="H4031">IFERROR(INDEX(INVESTOR_LIST[INVESTOR NAME],MATCH(I4031,INVESTOR_LIST[INVESTOR CODE],0),)," ")</f>
        <v xml:space="preserve"> </v>
      </c>
      <c r="I4031" s="248" t="s">
        <v>348</v>
      </c>
      <c r="J4031" s="249" t="s">
        <v>95</v>
      </c>
      <c r="K4031" s="250">
        <v>2747.2527472527472</v>
      </c>
      <c r="L4031" s="241"/>
      <c r="M4031" s="133">
        <v>2747.2527472527472</v>
      </c>
    </row>
    <row r="4032" spans="1:13" x14ac:dyDescent="0.2">
      <c r="A4032" s="242">
        <v>2021</v>
      </c>
      <c r="B4032" s="242">
        <v>8</v>
      </c>
      <c r="C4032" s="242">
        <v>19</v>
      </c>
      <c r="D4032" s="141">
        <f t="shared" si="132"/>
        <v>44427</v>
      </c>
      <c r="E4032" s="275">
        <f t="shared" si="133"/>
        <v>44427</v>
      </c>
      <c r="F4032" s="478"/>
      <c r="G4032" s="243" t="s">
        <v>94</v>
      </c>
      <c r="H4032" s="243" t="str" cm="1">
        <f t="array" ref="H4032">IFERROR(INDEX(INVESTOR_LIST[INVESTOR NAME],MATCH(I4032,INVESTOR_LIST[INVESTOR CODE],0),)," ")</f>
        <v xml:space="preserve"> </v>
      </c>
      <c r="I4032" s="263" t="s">
        <v>348</v>
      </c>
      <c r="J4032" s="244" t="s">
        <v>63</v>
      </c>
      <c r="K4032" s="245"/>
      <c r="L4032" s="245">
        <v>2747.2527472527472</v>
      </c>
      <c r="M4032" s="133">
        <v>114664.84210318906</v>
      </c>
    </row>
    <row r="4033" spans="1:13" x14ac:dyDescent="0.2">
      <c r="A4033" s="246">
        <v>2021</v>
      </c>
      <c r="B4033" s="246">
        <v>8</v>
      </c>
      <c r="C4033" s="246">
        <v>19</v>
      </c>
      <c r="D4033" s="141">
        <f t="shared" si="132"/>
        <v>44427</v>
      </c>
      <c r="E4033" s="275">
        <f t="shared" si="133"/>
        <v>44427</v>
      </c>
      <c r="F4033" s="482" t="s">
        <v>137</v>
      </c>
      <c r="G4033" s="247" t="s">
        <v>94</v>
      </c>
      <c r="H4033" s="247" t="str" cm="1">
        <f t="array" ref="H4033">IFERROR(INDEX(INVESTOR_LIST[INVESTOR NAME],MATCH(I4033,INVESTOR_LIST[INVESTOR CODE],0),)," ")</f>
        <v xml:space="preserve"> </v>
      </c>
      <c r="I4033" s="248" t="s">
        <v>348</v>
      </c>
      <c r="J4033" s="249" t="s">
        <v>97</v>
      </c>
      <c r="K4033" s="250">
        <v>114664.84210318906</v>
      </c>
      <c r="L4033" s="252"/>
      <c r="M4033" s="133">
        <v>5721.2458838023467</v>
      </c>
    </row>
    <row r="4034" spans="1:13" x14ac:dyDescent="0.2">
      <c r="A4034" s="242">
        <v>2021</v>
      </c>
      <c r="B4034" s="242">
        <v>8</v>
      </c>
      <c r="C4034" s="242">
        <v>19</v>
      </c>
      <c r="D4034" s="141">
        <f t="shared" si="132"/>
        <v>44427</v>
      </c>
      <c r="E4034" s="275">
        <f t="shared" si="133"/>
        <v>44427</v>
      </c>
      <c r="F4034" s="478"/>
      <c r="G4034" s="243" t="s">
        <v>94</v>
      </c>
      <c r="H4034" s="243" t="str" cm="1">
        <f t="array" ref="H4034">IFERROR(INDEX(INVESTOR_LIST[INVESTOR NAME],MATCH(I4034,INVESTOR_LIST[INVESTOR CODE],0),)," ")</f>
        <v xml:space="preserve"> </v>
      </c>
      <c r="I4034" s="263" t="s">
        <v>348</v>
      </c>
      <c r="J4034" s="244" t="s">
        <v>47</v>
      </c>
      <c r="K4034" s="245"/>
      <c r="L4034" s="245">
        <v>114664.84210318906</v>
      </c>
    </row>
    <row r="4035" spans="1:13" x14ac:dyDescent="0.2">
      <c r="A4035" s="246">
        <v>2021</v>
      </c>
      <c r="B4035" s="246">
        <v>8</v>
      </c>
      <c r="C4035" s="246">
        <v>19</v>
      </c>
      <c r="D4035" s="141">
        <f t="shared" si="132"/>
        <v>44427</v>
      </c>
      <c r="E4035" s="275">
        <f t="shared" si="133"/>
        <v>44427</v>
      </c>
      <c r="F4035" s="482" t="s">
        <v>138</v>
      </c>
      <c r="G4035" s="247" t="s">
        <v>94</v>
      </c>
      <c r="H4035" s="247" t="str" cm="1">
        <f t="array" ref="H4035">IFERROR(INDEX(INVESTOR_LIST[INVESTOR NAME],MATCH(I4035,INVESTOR_LIST[INVESTOR CODE],0),)," ")</f>
        <v xml:space="preserve"> </v>
      </c>
      <c r="I4035" s="248" t="s">
        <v>348</v>
      </c>
      <c r="J4035" s="249" t="s">
        <v>100</v>
      </c>
      <c r="K4035" s="250">
        <v>5721.2458838023467</v>
      </c>
      <c r="L4035" s="252"/>
    </row>
    <row r="4036" spans="1:13" x14ac:dyDescent="0.2">
      <c r="A4036" s="242">
        <v>2021</v>
      </c>
      <c r="B4036" s="242">
        <v>8</v>
      </c>
      <c r="C4036" s="242">
        <v>19</v>
      </c>
      <c r="D4036" s="141">
        <f t="shared" si="132"/>
        <v>44427</v>
      </c>
      <c r="E4036" s="275">
        <f t="shared" si="133"/>
        <v>44427</v>
      </c>
      <c r="F4036" s="478"/>
      <c r="G4036" s="243" t="s">
        <v>94</v>
      </c>
      <c r="H4036" s="243" t="str" cm="1">
        <f t="array" ref="H4036">IFERROR(INDEX(INVESTOR_LIST[INVESTOR NAME],MATCH(I4036,INVESTOR_LIST[INVESTOR CODE],0),)," ")</f>
        <v xml:space="preserve"> </v>
      </c>
      <c r="I4036" s="263" t="s">
        <v>348</v>
      </c>
      <c r="J4036" s="244" t="s">
        <v>48</v>
      </c>
      <c r="K4036" s="245"/>
      <c r="L4036" s="245">
        <v>5721.2458838023467</v>
      </c>
    </row>
    <row r="4037" spans="1:13" ht="11.25" customHeight="1" x14ac:dyDescent="0.2">
      <c r="A4037" s="168">
        <v>2021</v>
      </c>
      <c r="B4037" s="168">
        <v>8</v>
      </c>
      <c r="C4037" s="133">
        <v>22</v>
      </c>
      <c r="D4037" s="141">
        <f t="shared" si="132"/>
        <v>44430</v>
      </c>
      <c r="E4037" s="275">
        <f t="shared" si="133"/>
        <v>44430</v>
      </c>
      <c r="F4037" s="479" t="s">
        <v>254</v>
      </c>
      <c r="G4037" s="220" t="s">
        <v>74</v>
      </c>
      <c r="H4037" s="142" t="str" cm="1">
        <f t="array" ref="H4037">IFERROR(INDEX(INVESTOR_LIST[INVESTOR NAME],MATCH(I4037,INVESTOR_LIST[INVESTOR CODE],0),)," ")</f>
        <v xml:space="preserve"> </v>
      </c>
      <c r="I4037" s="142"/>
      <c r="J4037" s="168" t="s">
        <v>52</v>
      </c>
      <c r="K4037" s="226">
        <v>67000</v>
      </c>
      <c r="L4037" s="226"/>
    </row>
    <row r="4038" spans="1:13" x14ac:dyDescent="0.2">
      <c r="A4038" s="133">
        <v>2021</v>
      </c>
      <c r="B4038" s="133">
        <v>8</v>
      </c>
      <c r="C4038" s="133">
        <v>22</v>
      </c>
      <c r="D4038" s="141">
        <f t="shared" si="132"/>
        <v>44430</v>
      </c>
      <c r="E4038" s="275">
        <f t="shared" si="133"/>
        <v>44430</v>
      </c>
      <c r="F4038" s="481"/>
      <c r="G4038" s="174" t="s">
        <v>74</v>
      </c>
      <c r="H4038" s="148" t="str" cm="1">
        <f t="array" ref="H4038">IFERROR(INDEX(INVESTOR_LIST[INVESTOR NAME],MATCH(I4038,INVESTOR_LIST[INVESTOR CODE],0),)," ")</f>
        <v xml:space="preserve"> </v>
      </c>
      <c r="J4038" s="133" t="s">
        <v>13</v>
      </c>
      <c r="K4038" s="218"/>
      <c r="L4038" s="218">
        <v>46140</v>
      </c>
    </row>
    <row r="4039" spans="1:13" x14ac:dyDescent="0.2">
      <c r="A4039" s="163">
        <v>2021</v>
      </c>
      <c r="B4039" s="163">
        <v>8</v>
      </c>
      <c r="C4039" s="163">
        <v>22</v>
      </c>
      <c r="D4039" s="141">
        <f t="shared" si="132"/>
        <v>44430</v>
      </c>
      <c r="E4039" s="275">
        <f t="shared" si="133"/>
        <v>44430</v>
      </c>
      <c r="F4039" s="480"/>
      <c r="G4039" s="221" t="s">
        <v>74</v>
      </c>
      <c r="H4039" s="145" t="str" cm="1">
        <f t="array" ref="H4039">IFERROR(INDEX(INVESTOR_LIST[INVESTOR NAME],MATCH(I4039,INVESTOR_LIST[INVESTOR CODE],0),)," ")</f>
        <v xml:space="preserve"> </v>
      </c>
      <c r="I4039" s="145"/>
      <c r="J4039" s="163" t="s">
        <v>53</v>
      </c>
      <c r="K4039" s="219"/>
      <c r="L4039" s="219">
        <v>20860</v>
      </c>
    </row>
    <row r="4040" spans="1:13" x14ac:dyDescent="0.2">
      <c r="A4040" s="168">
        <v>2021</v>
      </c>
      <c r="B4040" s="168">
        <v>8</v>
      </c>
      <c r="C4040" s="133">
        <v>22</v>
      </c>
      <c r="D4040" s="141">
        <f t="shared" si="132"/>
        <v>44430</v>
      </c>
      <c r="E4040" s="275">
        <f t="shared" si="133"/>
        <v>44430</v>
      </c>
      <c r="F4040" s="479" t="s">
        <v>836</v>
      </c>
      <c r="G4040" s="220" t="s">
        <v>94</v>
      </c>
      <c r="H4040" s="220" t="str" cm="1">
        <f t="array" ref="H4040">IFERROR(INDEX(INVESTOR_LIST[INVESTOR NAME],MATCH(I4040,INVESTOR_LIST[INVESTOR CODE],0),)," ")</f>
        <v xml:space="preserve"> </v>
      </c>
      <c r="I4040" s="142" t="s">
        <v>348</v>
      </c>
      <c r="J4040" s="143" t="s">
        <v>79</v>
      </c>
      <c r="K4040" s="226">
        <v>2324436</v>
      </c>
      <c r="L4040" s="226"/>
    </row>
    <row r="4041" spans="1:13" x14ac:dyDescent="0.2">
      <c r="A4041" s="133">
        <v>2021</v>
      </c>
      <c r="B4041" s="133">
        <v>8</v>
      </c>
      <c r="C4041" s="133">
        <v>22</v>
      </c>
      <c r="D4041" s="141">
        <f t="shared" si="132"/>
        <v>44430</v>
      </c>
      <c r="E4041" s="275">
        <f t="shared" si="133"/>
        <v>44430</v>
      </c>
      <c r="F4041" s="481"/>
      <c r="G4041" s="174" t="s">
        <v>94</v>
      </c>
      <c r="H4041" s="174" t="str" cm="1">
        <f t="array" ref="H4041">IFERROR(INDEX(INVESTOR_LIST[INVESTOR NAME],MATCH(I4041,INVESTOR_LIST[INVESTOR CODE],0),)," ")</f>
        <v xml:space="preserve"> </v>
      </c>
      <c r="I4041" s="148" t="s">
        <v>348</v>
      </c>
      <c r="J4041" s="149" t="s">
        <v>80</v>
      </c>
      <c r="K4041" s="218">
        <f>4183.98+5380.12</f>
        <v>9564.0999999999985</v>
      </c>
      <c r="L4041" s="218"/>
    </row>
    <row r="4042" spans="1:13" x14ac:dyDescent="0.2">
      <c r="A4042" s="133">
        <v>2021</v>
      </c>
      <c r="B4042" s="133">
        <v>8</v>
      </c>
      <c r="C4042" s="133">
        <v>22</v>
      </c>
      <c r="D4042" s="141">
        <f t="shared" si="132"/>
        <v>44430</v>
      </c>
      <c r="E4042" s="275">
        <f t="shared" si="133"/>
        <v>44430</v>
      </c>
      <c r="F4042" s="481"/>
      <c r="G4042" s="174" t="s">
        <v>94</v>
      </c>
      <c r="H4042" s="174" t="str" cm="1">
        <f t="array" ref="H4042">IFERROR(INDEX(INVESTOR_LIST[INVESTOR NAME],MATCH(I4042,INVESTOR_LIST[INVESTOR CODE],0),)," ")</f>
        <v xml:space="preserve"> </v>
      </c>
      <c r="I4042" s="148" t="s">
        <v>348</v>
      </c>
      <c r="J4042" s="149" t="s">
        <v>190</v>
      </c>
      <c r="K4042" s="218">
        <v>654952.69999999995</v>
      </c>
    </row>
    <row r="4043" spans="1:13" x14ac:dyDescent="0.2">
      <c r="A4043" s="133">
        <v>2021</v>
      </c>
      <c r="B4043" s="133">
        <v>8</v>
      </c>
      <c r="C4043" s="133">
        <v>22</v>
      </c>
      <c r="D4043" s="141">
        <f t="shared" si="132"/>
        <v>44430</v>
      </c>
      <c r="E4043" s="275">
        <f t="shared" si="133"/>
        <v>44430</v>
      </c>
      <c r="F4043" s="481"/>
      <c r="G4043" s="174" t="s">
        <v>94</v>
      </c>
      <c r="H4043" s="174" t="str" cm="1">
        <f t="array" ref="H4043">IFERROR(INDEX(INVESTOR_LIST[INVESTOR NAME],MATCH(I4043,INVESTOR_LIST[INVESTOR CODE],0),)," ")</f>
        <v xml:space="preserve"> </v>
      </c>
      <c r="I4043" s="148" t="s">
        <v>348</v>
      </c>
      <c r="J4043" s="149" t="s">
        <v>79</v>
      </c>
      <c r="K4043" s="218"/>
      <c r="L4043" s="218">
        <v>1851980.78</v>
      </c>
    </row>
    <row r="4044" spans="1:13" x14ac:dyDescent="0.2">
      <c r="A4044" s="163">
        <v>2021</v>
      </c>
      <c r="B4044" s="163">
        <v>8</v>
      </c>
      <c r="C4044" s="163">
        <v>22</v>
      </c>
      <c r="D4044" s="141">
        <f t="shared" si="132"/>
        <v>44430</v>
      </c>
      <c r="E4044" s="275">
        <f t="shared" si="133"/>
        <v>44430</v>
      </c>
      <c r="F4044" s="480"/>
      <c r="G4044" s="221" t="s">
        <v>94</v>
      </c>
      <c r="H4044" s="221" t="str" cm="1">
        <f t="array" ref="H4044">IFERROR(INDEX(INVESTOR_LIST[INVESTOR NAME],MATCH(I4044,INVESTOR_LIST[INVESTOR CODE],0),)," ")</f>
        <v xml:space="preserve"> </v>
      </c>
      <c r="I4044" s="145" t="s">
        <v>348</v>
      </c>
      <c r="J4044" s="146" t="s">
        <v>191</v>
      </c>
      <c r="K4044" s="219"/>
      <c r="L4044" s="219">
        <v>1136972.02</v>
      </c>
    </row>
    <row r="4045" spans="1:13" x14ac:dyDescent="0.2">
      <c r="A4045" s="168">
        <v>2021</v>
      </c>
      <c r="B4045" s="168">
        <v>8</v>
      </c>
      <c r="C4045" s="168">
        <v>22</v>
      </c>
      <c r="D4045" s="141">
        <f t="shared" si="132"/>
        <v>44430</v>
      </c>
      <c r="E4045" s="275">
        <f t="shared" si="133"/>
        <v>44430</v>
      </c>
      <c r="F4045" s="479" t="s">
        <v>544</v>
      </c>
      <c r="G4045" s="220" t="s">
        <v>74</v>
      </c>
      <c r="H4045" s="220" t="str" cm="1">
        <f t="array" ref="H4045">IFERROR(INDEX(INVESTOR_LIST[INVESTOR NAME],MATCH(I4045,INVESTOR_LIST[INVESTOR CODE],0),)," ")</f>
        <v xml:space="preserve"> </v>
      </c>
      <c r="I4045" s="142" t="s">
        <v>348</v>
      </c>
      <c r="J4045" s="143" t="s">
        <v>52</v>
      </c>
      <c r="K4045" s="226">
        <v>6568156</v>
      </c>
      <c r="L4045" s="226"/>
    </row>
    <row r="4046" spans="1:13" x14ac:dyDescent="0.2">
      <c r="A4046" s="163">
        <v>2021</v>
      </c>
      <c r="B4046" s="163">
        <v>8</v>
      </c>
      <c r="C4046" s="163">
        <v>22</v>
      </c>
      <c r="D4046" s="141">
        <f t="shared" ref="D4046:D4109" si="134">DATE(A4046,B4046,C4046)</f>
        <v>44430</v>
      </c>
      <c r="E4046" s="275">
        <f t="shared" si="133"/>
        <v>44430</v>
      </c>
      <c r="F4046" s="480"/>
      <c r="G4046" s="221" t="s">
        <v>74</v>
      </c>
      <c r="H4046" s="221" t="str" cm="1">
        <f t="array" ref="H4046">IFERROR(INDEX(INVESTOR_LIST[INVESTOR NAME],MATCH(I4046,INVESTOR_LIST[INVESTOR CODE],0),)," ")</f>
        <v xml:space="preserve"> </v>
      </c>
      <c r="I4046" s="145" t="s">
        <v>348</v>
      </c>
      <c r="J4046" s="146" t="s">
        <v>190</v>
      </c>
      <c r="K4046" s="219"/>
      <c r="L4046" s="219">
        <v>6568156</v>
      </c>
    </row>
    <row r="4047" spans="1:13" x14ac:dyDescent="0.2">
      <c r="A4047" s="168">
        <v>2021</v>
      </c>
      <c r="B4047" s="168">
        <v>8</v>
      </c>
      <c r="C4047" s="168">
        <v>23</v>
      </c>
      <c r="D4047" s="141">
        <f t="shared" si="134"/>
        <v>44431</v>
      </c>
      <c r="E4047" s="275">
        <f t="shared" ref="E4047:E4110" si="135">DATE(A4047,B4047,C4047)</f>
        <v>44431</v>
      </c>
      <c r="F4047" s="479" t="s">
        <v>274</v>
      </c>
      <c r="G4047" s="220" t="s">
        <v>74</v>
      </c>
      <c r="H4047" s="142" t="str" cm="1">
        <f t="array" ref="H4047">IFERROR(INDEX(INVESTOR_LIST[INVESTOR NAME],MATCH(I4047,INVESTOR_LIST[INVESTOR CODE],0),)," ")</f>
        <v xml:space="preserve"> </v>
      </c>
      <c r="I4047" s="142"/>
      <c r="J4047" s="168" t="s">
        <v>79</v>
      </c>
      <c r="K4047" s="226">
        <v>6076251.5</v>
      </c>
      <c r="L4047" s="226"/>
    </row>
    <row r="4048" spans="1:13" x14ac:dyDescent="0.2">
      <c r="A4048" s="133">
        <v>2021</v>
      </c>
      <c r="B4048" s="133">
        <v>8</v>
      </c>
      <c r="C4048" s="133">
        <v>23</v>
      </c>
      <c r="D4048" s="141">
        <f t="shared" si="134"/>
        <v>44431</v>
      </c>
      <c r="E4048" s="275">
        <f t="shared" si="135"/>
        <v>44431</v>
      </c>
      <c r="F4048" s="481"/>
      <c r="G4048" s="174" t="s">
        <v>74</v>
      </c>
      <c r="H4048" s="148" t="str" cm="1">
        <f t="array" ref="H4048">IFERROR(INDEX(INVESTOR_LIST[INVESTOR NAME],MATCH(I4048,INVESTOR_LIST[INVESTOR CODE],0),)," ")</f>
        <v xml:space="preserve"> </v>
      </c>
      <c r="J4048" s="133" t="s">
        <v>80</v>
      </c>
      <c r="K4048" s="218">
        <v>10937.25</v>
      </c>
      <c r="L4048" s="218"/>
    </row>
    <row r="4049" spans="1:14" x14ac:dyDescent="0.2">
      <c r="A4049" s="163">
        <v>2021</v>
      </c>
      <c r="B4049" s="163">
        <v>8</v>
      </c>
      <c r="C4049" s="163">
        <v>23</v>
      </c>
      <c r="D4049" s="141">
        <f t="shared" si="134"/>
        <v>44431</v>
      </c>
      <c r="E4049" s="275">
        <f t="shared" si="135"/>
        <v>44431</v>
      </c>
      <c r="F4049" s="480"/>
      <c r="G4049" s="221" t="s">
        <v>74</v>
      </c>
      <c r="H4049" s="145" t="str" cm="1">
        <f t="array" ref="H4049">IFERROR(INDEX(INVESTOR_LIST[INVESTOR NAME],MATCH(I4049,INVESTOR_LIST[INVESTOR CODE],0),)," ")</f>
        <v xml:space="preserve"> </v>
      </c>
      <c r="I4049" s="145"/>
      <c r="J4049" s="163" t="s">
        <v>147</v>
      </c>
      <c r="K4049" s="219"/>
      <c r="L4049" s="219">
        <v>6087188.75</v>
      </c>
      <c r="N4049" s="156">
        <f>K4058/14.52</f>
        <v>6887.0523415977959</v>
      </c>
    </row>
    <row r="4050" spans="1:14" ht="33.75" x14ac:dyDescent="0.2">
      <c r="A4050" s="133">
        <v>2021</v>
      </c>
      <c r="B4050" s="133">
        <v>8</v>
      </c>
      <c r="C4050" s="168">
        <v>23</v>
      </c>
      <c r="D4050" s="141">
        <f t="shared" si="134"/>
        <v>44431</v>
      </c>
      <c r="E4050" s="275">
        <f t="shared" si="135"/>
        <v>44431</v>
      </c>
      <c r="F4050" s="479" t="s">
        <v>965</v>
      </c>
      <c r="G4050" s="174" t="s">
        <v>74</v>
      </c>
      <c r="H4050" s="174" t="str" cm="1">
        <f t="array" ref="H4050">IFERROR(INDEX(INVESTOR_LIST[INVESTOR NAME],MATCH(I4050,INVESTOR_LIST[INVESTOR CODE],0),)," ")</f>
        <v>FARHANA AKHTER</v>
      </c>
      <c r="I4050" s="148" t="s">
        <v>665</v>
      </c>
      <c r="J4050" s="149" t="s">
        <v>13</v>
      </c>
      <c r="K4050" s="218">
        <v>2240660</v>
      </c>
      <c r="L4050" s="218"/>
    </row>
    <row r="4051" spans="1:14" ht="33.75" x14ac:dyDescent="0.2">
      <c r="A4051" s="133">
        <v>2021</v>
      </c>
      <c r="B4051" s="133">
        <v>8</v>
      </c>
      <c r="C4051" s="133">
        <v>23</v>
      </c>
      <c r="D4051" s="141">
        <f t="shared" si="134"/>
        <v>44431</v>
      </c>
      <c r="E4051" s="275">
        <f t="shared" si="135"/>
        <v>44431</v>
      </c>
      <c r="F4051" s="481"/>
      <c r="G4051" s="174" t="s">
        <v>74</v>
      </c>
      <c r="H4051" s="174" t="str" cm="1">
        <f t="array" ref="H4051">IFERROR(INDEX(INVESTOR_LIST[INVESTOR NAME],MATCH(I4051,INVESTOR_LIST[INVESTOR CODE],0),)," ")</f>
        <v>FARHANA AKHTER</v>
      </c>
      <c r="I4051" s="148" t="s">
        <v>665</v>
      </c>
      <c r="J4051" s="149" t="s">
        <v>53</v>
      </c>
      <c r="K4051" s="218">
        <v>1013302.08</v>
      </c>
      <c r="L4051" s="218"/>
    </row>
    <row r="4052" spans="1:14" ht="33.75" x14ac:dyDescent="0.2">
      <c r="A4052" s="163">
        <v>2021</v>
      </c>
      <c r="B4052" s="163">
        <v>8</v>
      </c>
      <c r="C4052" s="163">
        <v>23</v>
      </c>
      <c r="D4052" s="141">
        <f t="shared" si="134"/>
        <v>44431</v>
      </c>
      <c r="E4052" s="275">
        <f t="shared" si="135"/>
        <v>44431</v>
      </c>
      <c r="F4052" s="480"/>
      <c r="G4052" s="221" t="s">
        <v>74</v>
      </c>
      <c r="H4052" s="221" t="str" cm="1">
        <f t="array" ref="H4052">IFERROR(INDEX(INVESTOR_LIST[INVESTOR NAME],MATCH(I4052,INVESTOR_LIST[INVESTOR CODE],0),)," ")</f>
        <v>FARHANA AKHTER</v>
      </c>
      <c r="I4052" s="145" t="s">
        <v>665</v>
      </c>
      <c r="J4052" s="146" t="s">
        <v>52</v>
      </c>
      <c r="K4052" s="219"/>
      <c r="L4052" s="219">
        <v>3253962.08</v>
      </c>
    </row>
    <row r="4053" spans="1:14" x14ac:dyDescent="0.2">
      <c r="A4053" s="168">
        <v>2021</v>
      </c>
      <c r="B4053" s="168">
        <v>8</v>
      </c>
      <c r="C4053" s="168">
        <v>23</v>
      </c>
      <c r="D4053" s="141">
        <f t="shared" si="134"/>
        <v>44431</v>
      </c>
      <c r="E4053" s="275">
        <f t="shared" si="135"/>
        <v>44431</v>
      </c>
      <c r="F4053" s="479" t="s">
        <v>544</v>
      </c>
      <c r="G4053" s="220" t="s">
        <v>74</v>
      </c>
      <c r="H4053" s="220" t="str" cm="1">
        <f t="array" ref="H4053">IFERROR(INDEX(INVESTOR_LIST[INVESTOR NAME],MATCH(I4053,INVESTOR_LIST[INVESTOR CODE],0),)," ")</f>
        <v xml:space="preserve"> </v>
      </c>
      <c r="I4053" s="142" t="s">
        <v>348</v>
      </c>
      <c r="J4053" s="143" t="s">
        <v>52</v>
      </c>
      <c r="K4053" s="226">
        <v>5036173.54</v>
      </c>
      <c r="L4053" s="226"/>
    </row>
    <row r="4054" spans="1:14" x14ac:dyDescent="0.2">
      <c r="A4054" s="163">
        <v>2021</v>
      </c>
      <c r="B4054" s="163">
        <v>8</v>
      </c>
      <c r="C4054" s="163">
        <v>23</v>
      </c>
      <c r="D4054" s="141">
        <f t="shared" si="134"/>
        <v>44431</v>
      </c>
      <c r="E4054" s="275">
        <f t="shared" si="135"/>
        <v>44431</v>
      </c>
      <c r="F4054" s="480"/>
      <c r="G4054" s="221" t="s">
        <v>74</v>
      </c>
      <c r="H4054" s="221" t="str" cm="1">
        <f t="array" ref="H4054">IFERROR(INDEX(INVESTOR_LIST[INVESTOR NAME],MATCH(I4054,INVESTOR_LIST[INVESTOR CODE],0),)," ")</f>
        <v xml:space="preserve"> </v>
      </c>
      <c r="I4054" s="145" t="s">
        <v>348</v>
      </c>
      <c r="J4054" s="146" t="s">
        <v>190</v>
      </c>
      <c r="K4054" s="219"/>
      <c r="L4054" s="219">
        <v>5036173.54</v>
      </c>
    </row>
    <row r="4055" spans="1:14" x14ac:dyDescent="0.2">
      <c r="A4055" s="168">
        <v>2021</v>
      </c>
      <c r="B4055" s="168">
        <v>8</v>
      </c>
      <c r="C4055" s="168">
        <v>24</v>
      </c>
      <c r="D4055" s="141">
        <f t="shared" si="134"/>
        <v>44432</v>
      </c>
      <c r="E4055" s="275">
        <f t="shared" si="135"/>
        <v>44432</v>
      </c>
      <c r="F4055" s="479" t="s">
        <v>274</v>
      </c>
      <c r="G4055" s="220" t="s">
        <v>74</v>
      </c>
      <c r="H4055" s="142" t="str" cm="1">
        <f t="array" ref="H4055">IFERROR(INDEX(INVESTOR_LIST[INVESTOR NAME],MATCH(I4055,INVESTOR_LIST[INVESTOR CODE],0),)," ")</f>
        <v xml:space="preserve"> </v>
      </c>
      <c r="I4055" s="142"/>
      <c r="J4055" s="168" t="s">
        <v>79</v>
      </c>
      <c r="K4055" s="226">
        <v>14941630.9</v>
      </c>
      <c r="L4055" s="226"/>
    </row>
    <row r="4056" spans="1:14" x14ac:dyDescent="0.2">
      <c r="A4056" s="133">
        <v>2021</v>
      </c>
      <c r="B4056" s="133">
        <v>8</v>
      </c>
      <c r="C4056" s="133">
        <v>24</v>
      </c>
      <c r="D4056" s="141">
        <f t="shared" si="134"/>
        <v>44432</v>
      </c>
      <c r="E4056" s="275">
        <f t="shared" si="135"/>
        <v>44432</v>
      </c>
      <c r="F4056" s="481"/>
      <c r="G4056" s="174" t="s">
        <v>74</v>
      </c>
      <c r="H4056" s="148" t="str" cm="1">
        <f t="array" ref="H4056">IFERROR(INDEX(INVESTOR_LIST[INVESTOR NAME],MATCH(I4056,INVESTOR_LIST[INVESTOR CODE],0),)," ")</f>
        <v xml:space="preserve"> </v>
      </c>
      <c r="J4056" s="133" t="s">
        <v>80</v>
      </c>
      <c r="K4056" s="218">
        <v>26894.94</v>
      </c>
      <c r="L4056" s="218"/>
    </row>
    <row r="4057" spans="1:14" x14ac:dyDescent="0.2">
      <c r="A4057" s="163">
        <v>2021</v>
      </c>
      <c r="B4057" s="163">
        <v>8</v>
      </c>
      <c r="C4057" s="163">
        <v>24</v>
      </c>
      <c r="D4057" s="141">
        <f t="shared" si="134"/>
        <v>44432</v>
      </c>
      <c r="E4057" s="275">
        <f t="shared" si="135"/>
        <v>44432</v>
      </c>
      <c r="F4057" s="480"/>
      <c r="G4057" s="221" t="s">
        <v>74</v>
      </c>
      <c r="H4057" s="145" t="str" cm="1">
        <f t="array" ref="H4057">IFERROR(INDEX(INVESTOR_LIST[INVESTOR NAME],MATCH(I4057,INVESTOR_LIST[INVESTOR CODE],0),)," ")</f>
        <v xml:space="preserve"> </v>
      </c>
      <c r="I4057" s="145"/>
      <c r="J4057" s="163" t="s">
        <v>147</v>
      </c>
      <c r="K4057" s="219"/>
      <c r="L4057" s="219">
        <v>14968525.84</v>
      </c>
      <c r="N4057" s="156">
        <f>K4070/14.52</f>
        <v>1239.6694214876034</v>
      </c>
    </row>
    <row r="4058" spans="1:14" ht="11.25" customHeight="1" x14ac:dyDescent="0.2">
      <c r="A4058" s="168">
        <v>2021</v>
      </c>
      <c r="B4058" s="168">
        <v>8</v>
      </c>
      <c r="C4058" s="168">
        <v>24</v>
      </c>
      <c r="D4058" s="141">
        <f t="shared" si="134"/>
        <v>44432</v>
      </c>
      <c r="E4058" s="275">
        <f t="shared" si="135"/>
        <v>44432</v>
      </c>
      <c r="F4058" s="479" t="s">
        <v>964</v>
      </c>
      <c r="G4058" s="220" t="s">
        <v>74</v>
      </c>
      <c r="H4058" s="142" t="str" cm="1">
        <f t="array" ref="H4058">IFERROR(INDEX(INVESTOR_LIST[INVESTOR NAME],MATCH(I4058,INVESTOR_LIST[INVESTOR CODE],0),)," ")</f>
        <v>JANNATUL FERDOUS SHARNA</v>
      </c>
      <c r="I4058" s="142" t="s">
        <v>870</v>
      </c>
      <c r="J4058" s="168" t="s">
        <v>52</v>
      </c>
      <c r="K4058" s="226">
        <v>100000</v>
      </c>
      <c r="L4058" s="226"/>
    </row>
    <row r="4059" spans="1:14" ht="56.25" x14ac:dyDescent="0.2">
      <c r="A4059" s="133">
        <v>2021</v>
      </c>
      <c r="B4059" s="133">
        <v>8</v>
      </c>
      <c r="C4059" s="133">
        <v>24</v>
      </c>
      <c r="D4059" s="141">
        <f t="shared" si="134"/>
        <v>44432</v>
      </c>
      <c r="E4059" s="275">
        <f t="shared" si="135"/>
        <v>44432</v>
      </c>
      <c r="F4059" s="481"/>
      <c r="G4059" s="174" t="s">
        <v>74</v>
      </c>
      <c r="H4059" s="148" t="str" cm="1">
        <f t="array" ref="H4059">IFERROR(INDEX(INVESTOR_LIST[INVESTOR NAME],MATCH(I4059,INVESTOR_LIST[INVESTOR CODE],0),)," ")</f>
        <v>JANNATUL FERDOUS SHARNA</v>
      </c>
      <c r="I4059" s="148" t="s">
        <v>870</v>
      </c>
      <c r="J4059" s="133" t="s">
        <v>13</v>
      </c>
      <c r="K4059" s="218"/>
      <c r="L4059" s="218">
        <v>68870</v>
      </c>
    </row>
    <row r="4060" spans="1:14" ht="56.25" x14ac:dyDescent="0.2">
      <c r="A4060" s="163">
        <v>2021</v>
      </c>
      <c r="B4060" s="163">
        <v>8</v>
      </c>
      <c r="C4060" s="163">
        <v>24</v>
      </c>
      <c r="D4060" s="141">
        <f t="shared" si="134"/>
        <v>44432</v>
      </c>
      <c r="E4060" s="275">
        <f t="shared" si="135"/>
        <v>44432</v>
      </c>
      <c r="F4060" s="480"/>
      <c r="G4060" s="221" t="s">
        <v>74</v>
      </c>
      <c r="H4060" s="145" t="str" cm="1">
        <f t="array" ref="H4060">IFERROR(INDEX(INVESTOR_LIST[INVESTOR NAME],MATCH(I4060,INVESTOR_LIST[INVESTOR CODE],0),)," ")</f>
        <v>JANNATUL FERDOUS SHARNA</v>
      </c>
      <c r="I4060" s="145" t="s">
        <v>870</v>
      </c>
      <c r="J4060" s="163" t="s">
        <v>53</v>
      </c>
      <c r="K4060" s="219"/>
      <c r="L4060" s="219">
        <v>31130</v>
      </c>
    </row>
    <row r="4061" spans="1:14" x14ac:dyDescent="0.2">
      <c r="A4061" s="133">
        <v>2021</v>
      </c>
      <c r="B4061" s="133">
        <v>8</v>
      </c>
      <c r="C4061" s="133">
        <v>24</v>
      </c>
      <c r="D4061" s="141">
        <f t="shared" si="134"/>
        <v>44432</v>
      </c>
      <c r="E4061" s="275">
        <f t="shared" si="135"/>
        <v>44432</v>
      </c>
      <c r="F4061" s="479" t="s">
        <v>77</v>
      </c>
      <c r="G4061" s="174" t="s">
        <v>74</v>
      </c>
      <c r="H4061" s="148" t="str" cm="1">
        <f t="array" ref="H4061">IFERROR(INDEX(INVESTOR_LIST[INVESTOR NAME],MATCH(I4061,INVESTOR_LIST[INVESTOR CODE],0),)," ")</f>
        <v xml:space="preserve"> </v>
      </c>
      <c r="I4061" s="148" t="s">
        <v>348</v>
      </c>
      <c r="J4061" s="133" t="s">
        <v>61</v>
      </c>
      <c r="K4061" s="172">
        <v>10</v>
      </c>
    </row>
    <row r="4062" spans="1:14" x14ac:dyDescent="0.2">
      <c r="A4062" s="163">
        <v>2021</v>
      </c>
      <c r="B4062" s="163">
        <v>8</v>
      </c>
      <c r="C4062" s="163">
        <v>24</v>
      </c>
      <c r="D4062" s="141">
        <f t="shared" si="134"/>
        <v>44432</v>
      </c>
      <c r="E4062" s="275">
        <f t="shared" si="135"/>
        <v>44432</v>
      </c>
      <c r="F4062" s="480"/>
      <c r="G4062" s="221" t="s">
        <v>74</v>
      </c>
      <c r="H4062" s="145" t="str" cm="1">
        <f t="array" ref="H4062">IFERROR(INDEX(INVESTOR_LIST[INVESTOR NAME],MATCH(I4062,INVESTOR_LIST[INVESTOR CODE],0),)," ")</f>
        <v xml:space="preserve"> </v>
      </c>
      <c r="I4062" s="145" t="s">
        <v>348</v>
      </c>
      <c r="J4062" s="163" t="s">
        <v>52</v>
      </c>
      <c r="K4062" s="219"/>
      <c r="L4062" s="219">
        <v>10</v>
      </c>
    </row>
    <row r="4063" spans="1:14" x14ac:dyDescent="0.2">
      <c r="A4063" s="168">
        <v>2021</v>
      </c>
      <c r="B4063" s="168">
        <v>8</v>
      </c>
      <c r="C4063" s="168">
        <v>24</v>
      </c>
      <c r="D4063" s="141">
        <f t="shared" si="134"/>
        <v>44432</v>
      </c>
      <c r="E4063" s="275">
        <f t="shared" si="135"/>
        <v>44432</v>
      </c>
      <c r="F4063" s="479" t="s">
        <v>524</v>
      </c>
      <c r="G4063" s="220" t="s">
        <v>74</v>
      </c>
      <c r="H4063" s="220" t="str" cm="1">
        <f t="array" ref="H4063">IFERROR(INDEX(INVESTOR_LIST[INVESTOR NAME],MATCH(I4063,INVESTOR_LIST[INVESTOR CODE],0),)," ")</f>
        <v xml:space="preserve"> </v>
      </c>
      <c r="I4063" s="142" t="s">
        <v>348</v>
      </c>
      <c r="J4063" s="143" t="s">
        <v>147</v>
      </c>
      <c r="K4063" s="226">
        <v>6087188.75</v>
      </c>
      <c r="L4063" s="226"/>
    </row>
    <row r="4064" spans="1:14" x14ac:dyDescent="0.2">
      <c r="A4064" s="163">
        <v>2021</v>
      </c>
      <c r="B4064" s="163">
        <v>8</v>
      </c>
      <c r="C4064" s="163">
        <v>24</v>
      </c>
      <c r="D4064" s="141">
        <f t="shared" si="134"/>
        <v>44432</v>
      </c>
      <c r="E4064" s="275">
        <f t="shared" si="135"/>
        <v>44432</v>
      </c>
      <c r="F4064" s="480"/>
      <c r="G4064" s="221" t="s">
        <v>74</v>
      </c>
      <c r="H4064" s="221" t="str" cm="1">
        <f t="array" ref="H4064">IFERROR(INDEX(INVESTOR_LIST[INVESTOR NAME],MATCH(I4064,INVESTOR_LIST[INVESTOR CODE],0),)," ")</f>
        <v xml:space="preserve"> </v>
      </c>
      <c r="I4064" s="145" t="s">
        <v>348</v>
      </c>
      <c r="J4064" s="146" t="s">
        <v>52</v>
      </c>
      <c r="K4064" s="219"/>
      <c r="L4064" s="219">
        <v>6087188.75</v>
      </c>
    </row>
    <row r="4065" spans="1:14" x14ac:dyDescent="0.2">
      <c r="A4065" s="168">
        <v>2021</v>
      </c>
      <c r="B4065" s="168">
        <v>8</v>
      </c>
      <c r="C4065" s="168">
        <v>24</v>
      </c>
      <c r="D4065" s="141">
        <f t="shared" si="134"/>
        <v>44432</v>
      </c>
      <c r="E4065" s="275">
        <f t="shared" si="135"/>
        <v>44432</v>
      </c>
      <c r="F4065" s="479" t="s">
        <v>544</v>
      </c>
      <c r="G4065" s="220" t="s">
        <v>74</v>
      </c>
      <c r="H4065" s="220" t="str" cm="1">
        <f t="array" ref="H4065">IFERROR(INDEX(INVESTOR_LIST[INVESTOR NAME],MATCH(I4065,INVESTOR_LIST[INVESTOR CODE],0),)," ")</f>
        <v xml:space="preserve"> </v>
      </c>
      <c r="I4065" s="142" t="s">
        <v>348</v>
      </c>
      <c r="J4065" s="143" t="s">
        <v>52</v>
      </c>
      <c r="K4065" s="226">
        <v>654952.69999999995</v>
      </c>
      <c r="L4065" s="226"/>
    </row>
    <row r="4066" spans="1:14" x14ac:dyDescent="0.2">
      <c r="A4066" s="163">
        <v>2021</v>
      </c>
      <c r="B4066" s="163">
        <v>8</v>
      </c>
      <c r="C4066" s="163">
        <v>24</v>
      </c>
      <c r="D4066" s="141">
        <f t="shared" si="134"/>
        <v>44432</v>
      </c>
      <c r="E4066" s="275">
        <f t="shared" si="135"/>
        <v>44432</v>
      </c>
      <c r="F4066" s="480"/>
      <c r="G4066" s="221" t="s">
        <v>74</v>
      </c>
      <c r="H4066" s="221" t="str" cm="1">
        <f t="array" ref="H4066">IFERROR(INDEX(INVESTOR_LIST[INVESTOR NAME],MATCH(I4066,INVESTOR_LIST[INVESTOR CODE],0),)," ")</f>
        <v xml:space="preserve"> </v>
      </c>
      <c r="I4066" s="145" t="s">
        <v>348</v>
      </c>
      <c r="J4066" s="146" t="s">
        <v>190</v>
      </c>
      <c r="K4066" s="219"/>
      <c r="L4066" s="219">
        <v>654952.69999999995</v>
      </c>
    </row>
    <row r="4067" spans="1:14" ht="11.25" customHeight="1" x14ac:dyDescent="0.2">
      <c r="A4067" s="168">
        <v>2021</v>
      </c>
      <c r="B4067" s="168">
        <v>8</v>
      </c>
      <c r="C4067" s="133">
        <v>25</v>
      </c>
      <c r="D4067" s="141">
        <f t="shared" si="134"/>
        <v>44433</v>
      </c>
      <c r="E4067" s="275">
        <f t="shared" si="135"/>
        <v>44433</v>
      </c>
      <c r="F4067" s="479" t="s">
        <v>254</v>
      </c>
      <c r="G4067" s="220" t="s">
        <v>74</v>
      </c>
      <c r="H4067" s="142" t="str" cm="1">
        <f t="array" ref="H4067">IFERROR(INDEX(INVESTOR_LIST[INVESTOR NAME],MATCH(I4067,INVESTOR_LIST[INVESTOR CODE],0),)," ")</f>
        <v xml:space="preserve"> </v>
      </c>
      <c r="I4067" s="142"/>
      <c r="J4067" s="168" t="s">
        <v>52</v>
      </c>
      <c r="K4067" s="226">
        <v>2000</v>
      </c>
      <c r="L4067" s="226"/>
    </row>
    <row r="4068" spans="1:14" x14ac:dyDescent="0.2">
      <c r="A4068" s="133">
        <v>2021</v>
      </c>
      <c r="B4068" s="133">
        <v>8</v>
      </c>
      <c r="C4068" s="133">
        <v>25</v>
      </c>
      <c r="D4068" s="141">
        <f t="shared" si="134"/>
        <v>44433</v>
      </c>
      <c r="E4068" s="275">
        <f t="shared" si="135"/>
        <v>44433</v>
      </c>
      <c r="F4068" s="481"/>
      <c r="G4068" s="174" t="s">
        <v>74</v>
      </c>
      <c r="H4068" s="148" t="str" cm="1">
        <f t="array" ref="H4068">IFERROR(INDEX(INVESTOR_LIST[INVESTOR NAME],MATCH(I4068,INVESTOR_LIST[INVESTOR CODE],0),)," ")</f>
        <v xml:space="preserve"> </v>
      </c>
      <c r="J4068" s="133" t="s">
        <v>13</v>
      </c>
      <c r="K4068" s="218"/>
      <c r="L4068" s="218">
        <v>1380</v>
      </c>
      <c r="N4068" s="156">
        <f>K4083/14.52</f>
        <v>13774.104683195592</v>
      </c>
    </row>
    <row r="4069" spans="1:14" x14ac:dyDescent="0.2">
      <c r="A4069" s="163">
        <v>2021</v>
      </c>
      <c r="B4069" s="163">
        <v>8</v>
      </c>
      <c r="C4069" s="163">
        <v>25</v>
      </c>
      <c r="D4069" s="141">
        <f t="shared" si="134"/>
        <v>44433</v>
      </c>
      <c r="E4069" s="275">
        <f t="shared" si="135"/>
        <v>44433</v>
      </c>
      <c r="F4069" s="480"/>
      <c r="G4069" s="221" t="s">
        <v>74</v>
      </c>
      <c r="H4069" s="145" t="str" cm="1">
        <f t="array" ref="H4069">IFERROR(INDEX(INVESTOR_LIST[INVESTOR NAME],MATCH(I4069,INVESTOR_LIST[INVESTOR CODE],0),)," ")</f>
        <v xml:space="preserve"> </v>
      </c>
      <c r="I4069" s="145"/>
      <c r="J4069" s="163" t="s">
        <v>53</v>
      </c>
      <c r="K4069" s="219"/>
      <c r="L4069" s="219">
        <v>620</v>
      </c>
    </row>
    <row r="4070" spans="1:14" ht="11.25" customHeight="1" x14ac:dyDescent="0.2">
      <c r="A4070" s="168">
        <v>2021</v>
      </c>
      <c r="B4070" s="168">
        <v>8</v>
      </c>
      <c r="C4070" s="133">
        <v>25</v>
      </c>
      <c r="D4070" s="141">
        <f t="shared" si="134"/>
        <v>44433</v>
      </c>
      <c r="E4070" s="275">
        <f t="shared" si="135"/>
        <v>44433</v>
      </c>
      <c r="F4070" s="479" t="s">
        <v>964</v>
      </c>
      <c r="G4070" s="220" t="s">
        <v>74</v>
      </c>
      <c r="H4070" s="142" t="str" cm="1">
        <f t="array" ref="H4070">IFERROR(INDEX(INVESTOR_LIST[INVESTOR NAME],MATCH(I4070,INVESTOR_LIST[INVESTOR CODE],0),)," ")</f>
        <v>SANJEEDA SARMIN BADHAN</v>
      </c>
      <c r="I4070" s="142" t="s">
        <v>435</v>
      </c>
      <c r="J4070" s="168" t="s">
        <v>52</v>
      </c>
      <c r="K4070" s="226">
        <v>18000</v>
      </c>
      <c r="L4070" s="226"/>
    </row>
    <row r="4071" spans="1:14" ht="45" x14ac:dyDescent="0.2">
      <c r="A4071" s="133">
        <v>2021</v>
      </c>
      <c r="B4071" s="133">
        <v>8</v>
      </c>
      <c r="C4071" s="133">
        <v>25</v>
      </c>
      <c r="D4071" s="141">
        <f t="shared" si="134"/>
        <v>44433</v>
      </c>
      <c r="E4071" s="275">
        <f t="shared" si="135"/>
        <v>44433</v>
      </c>
      <c r="F4071" s="481"/>
      <c r="G4071" s="174" t="s">
        <v>74</v>
      </c>
      <c r="H4071" s="148" t="str" cm="1">
        <f t="array" ref="H4071">IFERROR(INDEX(INVESTOR_LIST[INVESTOR NAME],MATCH(I4071,INVESTOR_LIST[INVESTOR CODE],0),)," ")</f>
        <v>SANJEEDA SARMIN BADHAN</v>
      </c>
      <c r="I4071" s="148" t="s">
        <v>435</v>
      </c>
      <c r="J4071" s="133" t="s">
        <v>13</v>
      </c>
      <c r="K4071" s="218"/>
      <c r="L4071" s="218">
        <v>12400</v>
      </c>
    </row>
    <row r="4072" spans="1:14" ht="45" x14ac:dyDescent="0.2">
      <c r="A4072" s="163">
        <v>2021</v>
      </c>
      <c r="B4072" s="163">
        <v>8</v>
      </c>
      <c r="C4072" s="163">
        <v>25</v>
      </c>
      <c r="D4072" s="141">
        <f t="shared" si="134"/>
        <v>44433</v>
      </c>
      <c r="E4072" s="275">
        <f t="shared" si="135"/>
        <v>44433</v>
      </c>
      <c r="F4072" s="480"/>
      <c r="G4072" s="221" t="s">
        <v>74</v>
      </c>
      <c r="H4072" s="145" t="str" cm="1">
        <f t="array" ref="H4072">IFERROR(INDEX(INVESTOR_LIST[INVESTOR NAME],MATCH(I4072,INVESTOR_LIST[INVESTOR CODE],0),)," ")</f>
        <v>SANJEEDA SARMIN BADHAN</v>
      </c>
      <c r="I4072" s="145" t="s">
        <v>435</v>
      </c>
      <c r="J4072" s="163" t="s">
        <v>53</v>
      </c>
      <c r="K4072" s="219"/>
      <c r="L4072" s="219">
        <v>5600</v>
      </c>
    </row>
    <row r="4073" spans="1:14" x14ac:dyDescent="0.2">
      <c r="A4073" s="168">
        <v>2021</v>
      </c>
      <c r="B4073" s="168">
        <v>8</v>
      </c>
      <c r="C4073" s="168">
        <v>25</v>
      </c>
      <c r="D4073" s="141">
        <f t="shared" si="134"/>
        <v>44433</v>
      </c>
      <c r="E4073" s="275">
        <f t="shared" si="135"/>
        <v>44433</v>
      </c>
      <c r="F4073" s="479" t="s">
        <v>524</v>
      </c>
      <c r="G4073" s="220" t="s">
        <v>74</v>
      </c>
      <c r="H4073" s="220" t="str" cm="1">
        <f t="array" ref="H4073">IFERROR(INDEX(INVESTOR_LIST[INVESTOR NAME],MATCH(I4073,INVESTOR_LIST[INVESTOR CODE],0),)," ")</f>
        <v xml:space="preserve"> </v>
      </c>
      <c r="I4073" s="142" t="s">
        <v>348</v>
      </c>
      <c r="J4073" s="143" t="s">
        <v>147</v>
      </c>
      <c r="K4073" s="226">
        <v>14968525.84</v>
      </c>
      <c r="L4073" s="226"/>
    </row>
    <row r="4074" spans="1:14" x14ac:dyDescent="0.2">
      <c r="A4074" s="163">
        <v>2021</v>
      </c>
      <c r="B4074" s="163">
        <v>8</v>
      </c>
      <c r="C4074" s="163">
        <v>25</v>
      </c>
      <c r="D4074" s="141">
        <f t="shared" si="134"/>
        <v>44433</v>
      </c>
      <c r="E4074" s="275">
        <f t="shared" si="135"/>
        <v>44433</v>
      </c>
      <c r="F4074" s="480"/>
      <c r="G4074" s="221" t="s">
        <v>74</v>
      </c>
      <c r="H4074" s="221" t="str" cm="1">
        <f t="array" ref="H4074">IFERROR(INDEX(INVESTOR_LIST[INVESTOR NAME],MATCH(I4074,INVESTOR_LIST[INVESTOR CODE],0),)," ")</f>
        <v xml:space="preserve"> </v>
      </c>
      <c r="I4074" s="145" t="s">
        <v>348</v>
      </c>
      <c r="J4074" s="146" t="s">
        <v>52</v>
      </c>
      <c r="K4074" s="219"/>
      <c r="L4074" s="219">
        <v>14968525.84</v>
      </c>
    </row>
    <row r="4075" spans="1:14" ht="33.75" x14ac:dyDescent="0.2">
      <c r="A4075" s="133">
        <v>2021</v>
      </c>
      <c r="B4075" s="133">
        <v>8</v>
      </c>
      <c r="C4075" s="168">
        <v>26</v>
      </c>
      <c r="D4075" s="141">
        <f t="shared" si="134"/>
        <v>44434</v>
      </c>
      <c r="E4075" s="275">
        <f t="shared" si="135"/>
        <v>44434</v>
      </c>
      <c r="F4075" s="479" t="s">
        <v>965</v>
      </c>
      <c r="G4075" s="174" t="s">
        <v>74</v>
      </c>
      <c r="H4075" s="174" t="str" cm="1">
        <f t="array" ref="H4075">IFERROR(INDEX(INVESTOR_LIST[INVESTOR NAME],MATCH(I4075,INVESTOR_LIST[INVESTOR CODE],0),)," ")</f>
        <v>SATINATH GHOSH</v>
      </c>
      <c r="I4075" s="148" t="s">
        <v>487</v>
      </c>
      <c r="J4075" s="149" t="s">
        <v>13</v>
      </c>
      <c r="K4075" s="218">
        <v>531790</v>
      </c>
      <c r="L4075" s="218"/>
    </row>
    <row r="4076" spans="1:14" ht="33.75" x14ac:dyDescent="0.2">
      <c r="A4076" s="133">
        <v>2021</v>
      </c>
      <c r="B4076" s="133">
        <v>8</v>
      </c>
      <c r="C4076" s="133">
        <v>26</v>
      </c>
      <c r="D4076" s="141">
        <f t="shared" si="134"/>
        <v>44434</v>
      </c>
      <c r="E4076" s="275">
        <f t="shared" si="135"/>
        <v>44434</v>
      </c>
      <c r="F4076" s="481"/>
      <c r="G4076" s="174" t="s">
        <v>74</v>
      </c>
      <c r="H4076" s="174" t="str" cm="1">
        <f t="array" ref="H4076">IFERROR(INDEX(INVESTOR_LIST[INVESTOR NAME],MATCH(I4076,INVESTOR_LIST[INVESTOR CODE],0),)," ")</f>
        <v>SATINATH GHOSH</v>
      </c>
      <c r="I4076" s="148" t="s">
        <v>487</v>
      </c>
      <c r="J4076" s="149" t="s">
        <v>53</v>
      </c>
      <c r="K4076" s="218">
        <v>240493.39</v>
      </c>
      <c r="L4076" s="218"/>
    </row>
    <row r="4077" spans="1:14" ht="33.75" x14ac:dyDescent="0.2">
      <c r="A4077" s="163">
        <v>2021</v>
      </c>
      <c r="B4077" s="163">
        <v>8</v>
      </c>
      <c r="C4077" s="163">
        <v>26</v>
      </c>
      <c r="D4077" s="141">
        <f t="shared" si="134"/>
        <v>44434</v>
      </c>
      <c r="E4077" s="275">
        <f t="shared" si="135"/>
        <v>44434</v>
      </c>
      <c r="F4077" s="480"/>
      <c r="G4077" s="221" t="s">
        <v>74</v>
      </c>
      <c r="H4077" s="221" t="str" cm="1">
        <f t="array" ref="H4077">IFERROR(INDEX(INVESTOR_LIST[INVESTOR NAME],MATCH(I4077,INVESTOR_LIST[INVESTOR CODE],0),)," ")</f>
        <v>SATINATH GHOSH</v>
      </c>
      <c r="I4077" s="145" t="s">
        <v>487</v>
      </c>
      <c r="J4077" s="146" t="s">
        <v>52</v>
      </c>
      <c r="K4077" s="219"/>
      <c r="L4077" s="219">
        <v>772283.39</v>
      </c>
    </row>
    <row r="4078" spans="1:14" x14ac:dyDescent="0.2">
      <c r="A4078" s="133">
        <v>2021</v>
      </c>
      <c r="B4078" s="133">
        <v>8</v>
      </c>
      <c r="C4078" s="133">
        <v>26</v>
      </c>
      <c r="D4078" s="141">
        <f t="shared" si="134"/>
        <v>44434</v>
      </c>
      <c r="E4078" s="275">
        <f t="shared" si="135"/>
        <v>44434</v>
      </c>
      <c r="F4078" s="479" t="s">
        <v>77</v>
      </c>
      <c r="G4078" s="174" t="s">
        <v>74</v>
      </c>
      <c r="H4078" s="148" t="str" cm="1">
        <f t="array" ref="H4078">IFERROR(INDEX(INVESTOR_LIST[INVESTOR NAME],MATCH(I4078,INVESTOR_LIST[INVESTOR CODE],0),)," ")</f>
        <v xml:space="preserve"> </v>
      </c>
      <c r="I4078" s="148" t="s">
        <v>348</v>
      </c>
      <c r="J4078" s="133" t="s">
        <v>61</v>
      </c>
      <c r="K4078" s="172">
        <v>100</v>
      </c>
    </row>
    <row r="4079" spans="1:14" x14ac:dyDescent="0.2">
      <c r="A4079" s="163">
        <v>2021</v>
      </c>
      <c r="B4079" s="163">
        <v>8</v>
      </c>
      <c r="C4079" s="163">
        <v>26</v>
      </c>
      <c r="D4079" s="141">
        <f t="shared" si="134"/>
        <v>44434</v>
      </c>
      <c r="E4079" s="275">
        <f t="shared" si="135"/>
        <v>44434</v>
      </c>
      <c r="F4079" s="480"/>
      <c r="G4079" s="221" t="s">
        <v>74</v>
      </c>
      <c r="H4079" s="145" t="str" cm="1">
        <f t="array" ref="H4079">IFERROR(INDEX(INVESTOR_LIST[INVESTOR NAME],MATCH(I4079,INVESTOR_LIST[INVESTOR CODE],0),)," ")</f>
        <v xml:space="preserve"> </v>
      </c>
      <c r="I4079" s="145" t="s">
        <v>348</v>
      </c>
      <c r="J4079" s="163" t="s">
        <v>52</v>
      </c>
      <c r="K4079" s="219"/>
      <c r="L4079" s="219">
        <v>100</v>
      </c>
    </row>
    <row r="4080" spans="1:14" ht="33.75" x14ac:dyDescent="0.2">
      <c r="A4080" s="133">
        <v>2021</v>
      </c>
      <c r="B4080" s="133">
        <v>8</v>
      </c>
      <c r="C4080" s="168">
        <v>26</v>
      </c>
      <c r="D4080" s="141">
        <f t="shared" si="134"/>
        <v>44434</v>
      </c>
      <c r="E4080" s="275">
        <f t="shared" si="135"/>
        <v>44434</v>
      </c>
      <c r="F4080" s="479" t="s">
        <v>965</v>
      </c>
      <c r="G4080" s="174" t="s">
        <v>74</v>
      </c>
      <c r="H4080" s="174" t="str" cm="1">
        <f t="array" ref="H4080">IFERROR(INDEX(INVESTOR_LIST[INVESTOR NAME],MATCH(I4080,INVESTOR_LIST[INVESTOR CODE],0),)," ")</f>
        <v>GOPI NATH GHOSH</v>
      </c>
      <c r="I4080" s="148" t="s">
        <v>696</v>
      </c>
      <c r="J4080" s="149" t="s">
        <v>13</v>
      </c>
      <c r="K4080" s="218">
        <v>10000</v>
      </c>
      <c r="L4080" s="218"/>
    </row>
    <row r="4081" spans="1:14" ht="33.75" x14ac:dyDescent="0.2">
      <c r="A4081" s="133">
        <v>2021</v>
      </c>
      <c r="B4081" s="133">
        <v>8</v>
      </c>
      <c r="C4081" s="133">
        <v>26</v>
      </c>
      <c r="D4081" s="141">
        <f t="shared" si="134"/>
        <v>44434</v>
      </c>
      <c r="E4081" s="275">
        <f t="shared" si="135"/>
        <v>44434</v>
      </c>
      <c r="F4081" s="481"/>
      <c r="G4081" s="174" t="s">
        <v>74</v>
      </c>
      <c r="H4081" s="174" t="str" cm="1">
        <f t="array" ref="H4081">IFERROR(INDEX(INVESTOR_LIST[INVESTOR NAME],MATCH(I4081,INVESTOR_LIST[INVESTOR CODE],0),)," ")</f>
        <v>GOPI NATH GHOSH</v>
      </c>
      <c r="I4081" s="148" t="s">
        <v>696</v>
      </c>
      <c r="J4081" s="149" t="s">
        <v>53</v>
      </c>
      <c r="K4081" s="218">
        <v>4522.34</v>
      </c>
      <c r="L4081" s="218"/>
    </row>
    <row r="4082" spans="1:14" ht="33.75" x14ac:dyDescent="0.2">
      <c r="A4082" s="163">
        <v>2021</v>
      </c>
      <c r="B4082" s="163">
        <v>8</v>
      </c>
      <c r="C4082" s="163">
        <v>26</v>
      </c>
      <c r="D4082" s="141">
        <f t="shared" si="134"/>
        <v>44434</v>
      </c>
      <c r="E4082" s="275">
        <f t="shared" si="135"/>
        <v>44434</v>
      </c>
      <c r="F4082" s="480"/>
      <c r="G4082" s="221" t="s">
        <v>74</v>
      </c>
      <c r="H4082" s="221" t="str" cm="1">
        <f t="array" ref="H4082">IFERROR(INDEX(INVESTOR_LIST[INVESTOR NAME],MATCH(I4082,INVESTOR_LIST[INVESTOR CODE],0),)," ")</f>
        <v>GOPI NATH GHOSH</v>
      </c>
      <c r="I4082" s="145" t="s">
        <v>696</v>
      </c>
      <c r="J4082" s="146" t="s">
        <v>52</v>
      </c>
      <c r="K4082" s="219"/>
      <c r="L4082" s="219">
        <v>14522.34</v>
      </c>
    </row>
    <row r="4083" spans="1:14" ht="11.25" customHeight="1" x14ac:dyDescent="0.2">
      <c r="A4083" s="168">
        <v>2021</v>
      </c>
      <c r="B4083" s="168">
        <v>8</v>
      </c>
      <c r="C4083" s="133">
        <v>26</v>
      </c>
      <c r="D4083" s="141">
        <f t="shared" si="134"/>
        <v>44434</v>
      </c>
      <c r="E4083" s="275">
        <f t="shared" si="135"/>
        <v>44434</v>
      </c>
      <c r="F4083" s="479" t="s">
        <v>964</v>
      </c>
      <c r="G4083" s="220" t="s">
        <v>74</v>
      </c>
      <c r="H4083" s="142" t="str" cm="1">
        <f t="array" ref="H4083">IFERROR(INDEX(INVESTOR_LIST[INVESTOR NAME],MATCH(I4083,INVESTOR_LIST[INVESTOR CODE],0),)," ")</f>
        <v>A.T.M. MORSHED KAMAL</v>
      </c>
      <c r="I4083" s="142" t="s">
        <v>872</v>
      </c>
      <c r="J4083" s="168" t="s">
        <v>52</v>
      </c>
      <c r="K4083" s="226">
        <v>200000</v>
      </c>
      <c r="L4083" s="226"/>
    </row>
    <row r="4084" spans="1:14" ht="33.75" x14ac:dyDescent="0.2">
      <c r="A4084" s="133">
        <v>2021</v>
      </c>
      <c r="B4084" s="133">
        <v>8</v>
      </c>
      <c r="C4084" s="133">
        <v>26</v>
      </c>
      <c r="D4084" s="141">
        <f t="shared" si="134"/>
        <v>44434</v>
      </c>
      <c r="E4084" s="275">
        <f t="shared" si="135"/>
        <v>44434</v>
      </c>
      <c r="F4084" s="481"/>
      <c r="G4084" s="174" t="s">
        <v>74</v>
      </c>
      <c r="H4084" s="148" t="str" cm="1">
        <f t="array" ref="H4084">IFERROR(INDEX(INVESTOR_LIST[INVESTOR NAME],MATCH(I4084,INVESTOR_LIST[INVESTOR CODE],0),)," ")</f>
        <v>A.T.M. MORSHED KAMAL</v>
      </c>
      <c r="I4084" s="148" t="s">
        <v>872</v>
      </c>
      <c r="J4084" s="133" t="s">
        <v>13</v>
      </c>
      <c r="K4084" s="218"/>
      <c r="L4084" s="218">
        <v>137740</v>
      </c>
    </row>
    <row r="4085" spans="1:14" ht="33.75" x14ac:dyDescent="0.2">
      <c r="A4085" s="163">
        <v>2021</v>
      </c>
      <c r="B4085" s="163">
        <v>8</v>
      </c>
      <c r="C4085" s="163">
        <v>26</v>
      </c>
      <c r="D4085" s="141">
        <f t="shared" si="134"/>
        <v>44434</v>
      </c>
      <c r="E4085" s="275">
        <f t="shared" si="135"/>
        <v>44434</v>
      </c>
      <c r="F4085" s="480"/>
      <c r="G4085" s="221" t="s">
        <v>74</v>
      </c>
      <c r="H4085" s="145" t="str" cm="1">
        <f t="array" ref="H4085">IFERROR(INDEX(INVESTOR_LIST[INVESTOR NAME],MATCH(I4085,INVESTOR_LIST[INVESTOR CODE],0),)," ")</f>
        <v>A.T.M. MORSHED KAMAL</v>
      </c>
      <c r="I4085" s="145" t="s">
        <v>872</v>
      </c>
      <c r="J4085" s="163" t="s">
        <v>53</v>
      </c>
      <c r="K4085" s="219"/>
      <c r="L4085" s="219">
        <v>62260</v>
      </c>
    </row>
    <row r="4086" spans="1:14" x14ac:dyDescent="0.2">
      <c r="A4086" s="168">
        <v>2021</v>
      </c>
      <c r="B4086" s="168">
        <v>8</v>
      </c>
      <c r="C4086" s="133">
        <v>26</v>
      </c>
      <c r="D4086" s="141">
        <f t="shared" si="134"/>
        <v>44434</v>
      </c>
      <c r="E4086" s="275">
        <f t="shared" si="135"/>
        <v>44434</v>
      </c>
      <c r="F4086" s="479" t="s">
        <v>836</v>
      </c>
      <c r="G4086" s="220" t="s">
        <v>94</v>
      </c>
      <c r="H4086" s="220" t="str" cm="1">
        <f t="array" ref="H4086">IFERROR(INDEX(INVESTOR_LIST[INVESTOR NAME],MATCH(I4086,INVESTOR_LIST[INVESTOR CODE],0),)," ")</f>
        <v xml:space="preserve"> </v>
      </c>
      <c r="I4086" s="142" t="s">
        <v>348</v>
      </c>
      <c r="J4086" s="143" t="s">
        <v>79</v>
      </c>
      <c r="K4086" s="226">
        <v>1892994</v>
      </c>
      <c r="L4086" s="226"/>
    </row>
    <row r="4087" spans="1:14" x14ac:dyDescent="0.2">
      <c r="A4087" s="133">
        <v>2021</v>
      </c>
      <c r="B4087" s="133">
        <v>8</v>
      </c>
      <c r="C4087" s="133">
        <v>26</v>
      </c>
      <c r="D4087" s="141">
        <f t="shared" si="134"/>
        <v>44434</v>
      </c>
      <c r="E4087" s="275">
        <f t="shared" si="135"/>
        <v>44434</v>
      </c>
      <c r="F4087" s="481"/>
      <c r="G4087" s="174" t="s">
        <v>94</v>
      </c>
      <c r="H4087" s="174" t="str" cm="1">
        <f t="array" ref="H4087">IFERROR(INDEX(INVESTOR_LIST[INVESTOR NAME],MATCH(I4087,INVESTOR_LIST[INVESTOR CODE],0),)," ")</f>
        <v xml:space="preserve"> </v>
      </c>
      <c r="I4087" s="148" t="s">
        <v>348</v>
      </c>
      <c r="J4087" s="149" t="s">
        <v>80</v>
      </c>
      <c r="K4087" s="218">
        <f>3407.39+14334.3</f>
        <v>17741.689999999999</v>
      </c>
      <c r="L4087" s="218"/>
    </row>
    <row r="4088" spans="1:14" x14ac:dyDescent="0.2">
      <c r="A4088" s="133">
        <v>2021</v>
      </c>
      <c r="B4088" s="133">
        <v>8</v>
      </c>
      <c r="C4088" s="133">
        <v>26</v>
      </c>
      <c r="D4088" s="141">
        <f t="shared" si="134"/>
        <v>44434</v>
      </c>
      <c r="E4088" s="275">
        <f t="shared" si="135"/>
        <v>44434</v>
      </c>
      <c r="F4088" s="481"/>
      <c r="G4088" s="174" t="s">
        <v>94</v>
      </c>
      <c r="H4088" s="174" t="str" cm="1">
        <f t="array" ref="H4088">IFERROR(INDEX(INVESTOR_LIST[INVESTOR NAME],MATCH(I4088,INVESTOR_LIST[INVESTOR CODE],0),)," ")</f>
        <v xml:space="preserve"> </v>
      </c>
      <c r="I4088" s="148" t="s">
        <v>348</v>
      </c>
      <c r="J4088" s="149" t="s">
        <v>190</v>
      </c>
      <c r="K4088" s="218">
        <v>6052764.3099999996</v>
      </c>
    </row>
    <row r="4089" spans="1:14" x14ac:dyDescent="0.2">
      <c r="A4089" s="133">
        <v>2021</v>
      </c>
      <c r="B4089" s="133">
        <v>8</v>
      </c>
      <c r="C4089" s="133">
        <v>26</v>
      </c>
      <c r="D4089" s="141">
        <f t="shared" si="134"/>
        <v>44434</v>
      </c>
      <c r="E4089" s="275">
        <f t="shared" si="135"/>
        <v>44434</v>
      </c>
      <c r="F4089" s="481"/>
      <c r="G4089" s="174" t="s">
        <v>94</v>
      </c>
      <c r="H4089" s="174" t="str" cm="1">
        <f t="array" ref="H4089">IFERROR(INDEX(INVESTOR_LIST[INVESTOR NAME],MATCH(I4089,INVESTOR_LIST[INVESTOR CODE],0),)," ")</f>
        <v xml:space="preserve"> </v>
      </c>
      <c r="I4089" s="148" t="s">
        <v>348</v>
      </c>
      <c r="J4089" s="149" t="s">
        <v>79</v>
      </c>
      <c r="K4089" s="218"/>
      <c r="L4089" s="218">
        <v>7333723.3599999994</v>
      </c>
    </row>
    <row r="4090" spans="1:14" x14ac:dyDescent="0.2">
      <c r="A4090" s="163">
        <v>2021</v>
      </c>
      <c r="B4090" s="163">
        <v>8</v>
      </c>
      <c r="C4090" s="163">
        <v>26</v>
      </c>
      <c r="D4090" s="141">
        <f t="shared" si="134"/>
        <v>44434</v>
      </c>
      <c r="E4090" s="275">
        <f t="shared" si="135"/>
        <v>44434</v>
      </c>
      <c r="F4090" s="480"/>
      <c r="G4090" s="221" t="s">
        <v>94</v>
      </c>
      <c r="H4090" s="221" t="str" cm="1">
        <f t="array" ref="H4090">IFERROR(INDEX(INVESTOR_LIST[INVESTOR NAME],MATCH(I4090,INVESTOR_LIST[INVESTOR CODE],0),)," ")</f>
        <v xml:space="preserve"> </v>
      </c>
      <c r="I4090" s="145" t="s">
        <v>348</v>
      </c>
      <c r="J4090" s="146" t="s">
        <v>191</v>
      </c>
      <c r="K4090" s="219"/>
      <c r="L4090" s="219">
        <v>629776.64000000001</v>
      </c>
    </row>
    <row r="4091" spans="1:14" ht="11.25" customHeight="1" x14ac:dyDescent="0.2">
      <c r="A4091" s="168">
        <v>2021</v>
      </c>
      <c r="B4091" s="168">
        <v>8</v>
      </c>
      <c r="C4091" s="133">
        <v>26</v>
      </c>
      <c r="D4091" s="141">
        <f t="shared" si="134"/>
        <v>44434</v>
      </c>
      <c r="E4091" s="275">
        <f t="shared" si="135"/>
        <v>44434</v>
      </c>
      <c r="F4091" s="479" t="s">
        <v>254</v>
      </c>
      <c r="G4091" s="220" t="s">
        <v>74</v>
      </c>
      <c r="H4091" s="142" t="str" cm="1">
        <f t="array" ref="H4091">IFERROR(INDEX(INVESTOR_LIST[INVESTOR NAME],MATCH(I4091,INVESTOR_LIST[INVESTOR CODE],0),)," ")</f>
        <v xml:space="preserve"> </v>
      </c>
      <c r="I4091" s="142"/>
      <c r="J4091" s="168" t="s">
        <v>52</v>
      </c>
      <c r="K4091" s="226">
        <v>49000</v>
      </c>
      <c r="L4091" s="226"/>
    </row>
    <row r="4092" spans="1:14" x14ac:dyDescent="0.2">
      <c r="A4092" s="133">
        <v>2021</v>
      </c>
      <c r="B4092" s="133">
        <v>8</v>
      </c>
      <c r="C4092" s="133">
        <v>26</v>
      </c>
      <c r="D4092" s="141">
        <f t="shared" si="134"/>
        <v>44434</v>
      </c>
      <c r="E4092" s="275">
        <f t="shared" si="135"/>
        <v>44434</v>
      </c>
      <c r="F4092" s="481"/>
      <c r="G4092" s="174" t="s">
        <v>74</v>
      </c>
      <c r="H4092" s="148" t="str" cm="1">
        <f t="array" ref="H4092">IFERROR(INDEX(INVESTOR_LIST[INVESTOR NAME],MATCH(I4092,INVESTOR_LIST[INVESTOR CODE],0),)," ")</f>
        <v xml:space="preserve"> </v>
      </c>
      <c r="J4092" s="133" t="s">
        <v>13</v>
      </c>
      <c r="K4092" s="218"/>
      <c r="L4092" s="218">
        <v>33740</v>
      </c>
    </row>
    <row r="4093" spans="1:14" x14ac:dyDescent="0.2">
      <c r="A4093" s="163">
        <v>2021</v>
      </c>
      <c r="B4093" s="163">
        <v>8</v>
      </c>
      <c r="C4093" s="163">
        <v>26</v>
      </c>
      <c r="D4093" s="141">
        <f t="shared" si="134"/>
        <v>44434</v>
      </c>
      <c r="E4093" s="275">
        <f t="shared" si="135"/>
        <v>44434</v>
      </c>
      <c r="F4093" s="480"/>
      <c r="G4093" s="221" t="s">
        <v>74</v>
      </c>
      <c r="H4093" s="145" t="str" cm="1">
        <f t="array" ref="H4093">IFERROR(INDEX(INVESTOR_LIST[INVESTOR NAME],MATCH(I4093,INVESTOR_LIST[INVESTOR CODE],0),)," ")</f>
        <v xml:space="preserve"> </v>
      </c>
      <c r="I4093" s="145"/>
      <c r="J4093" s="163" t="s">
        <v>53</v>
      </c>
      <c r="K4093" s="219"/>
      <c r="L4093" s="219">
        <v>15260</v>
      </c>
    </row>
    <row r="4094" spans="1:14" x14ac:dyDescent="0.2">
      <c r="A4094" s="133">
        <v>2021</v>
      </c>
      <c r="B4094" s="133">
        <v>8</v>
      </c>
      <c r="C4094" s="133">
        <v>26</v>
      </c>
      <c r="D4094" s="141">
        <f t="shared" si="134"/>
        <v>44434</v>
      </c>
      <c r="E4094" s="275">
        <f t="shared" si="135"/>
        <v>44434</v>
      </c>
      <c r="F4094" s="479" t="s">
        <v>77</v>
      </c>
      <c r="G4094" s="174" t="s">
        <v>74</v>
      </c>
      <c r="H4094" s="148" t="str" cm="1">
        <f t="array" ref="H4094">IFERROR(INDEX(INVESTOR_LIST[INVESTOR NAME],MATCH(I4094,INVESTOR_LIST[INVESTOR CODE],0),)," ")</f>
        <v xml:space="preserve"> </v>
      </c>
      <c r="I4094" s="148" t="s">
        <v>348</v>
      </c>
      <c r="J4094" s="133" t="s">
        <v>61</v>
      </c>
      <c r="K4094" s="172">
        <v>10</v>
      </c>
    </row>
    <row r="4095" spans="1:14" x14ac:dyDescent="0.2">
      <c r="A4095" s="163">
        <v>2021</v>
      </c>
      <c r="B4095" s="163">
        <v>8</v>
      </c>
      <c r="C4095" s="163">
        <v>26</v>
      </c>
      <c r="D4095" s="141">
        <f t="shared" si="134"/>
        <v>44434</v>
      </c>
      <c r="E4095" s="275">
        <f t="shared" si="135"/>
        <v>44434</v>
      </c>
      <c r="F4095" s="480"/>
      <c r="G4095" s="221" t="s">
        <v>74</v>
      </c>
      <c r="H4095" s="145" t="str" cm="1">
        <f t="array" ref="H4095">IFERROR(INDEX(INVESTOR_LIST[INVESTOR NAME],MATCH(I4095,INVESTOR_LIST[INVESTOR CODE],0),)," ")</f>
        <v xml:space="preserve"> </v>
      </c>
      <c r="I4095" s="145" t="s">
        <v>348</v>
      </c>
      <c r="J4095" s="163" t="s">
        <v>52</v>
      </c>
      <c r="K4095" s="219"/>
      <c r="L4095" s="219">
        <v>10</v>
      </c>
    </row>
    <row r="4096" spans="1:14" x14ac:dyDescent="0.2">
      <c r="A4096" s="238">
        <v>2021</v>
      </c>
      <c r="B4096" s="238">
        <v>8</v>
      </c>
      <c r="C4096" s="238">
        <v>26</v>
      </c>
      <c r="D4096" s="141">
        <f t="shared" si="134"/>
        <v>44434</v>
      </c>
      <c r="E4096" s="275">
        <f t="shared" si="135"/>
        <v>44434</v>
      </c>
      <c r="F4096" s="477" t="s">
        <v>347</v>
      </c>
      <c r="G4096" s="239" t="s">
        <v>94</v>
      </c>
      <c r="H4096" s="239" t="str" cm="1">
        <f t="array" ref="H4096">IFERROR(INDEX(INVESTOR_LIST[INVESTOR NAME],MATCH(I4096,INVESTOR_LIST[INVESTOR CODE],0),)," ")</f>
        <v xml:space="preserve"> </v>
      </c>
      <c r="I4096" s="262" t="s">
        <v>348</v>
      </c>
      <c r="J4096" s="240" t="s">
        <v>83</v>
      </c>
      <c r="K4096" s="241">
        <v>39343.739999979734</v>
      </c>
      <c r="L4096" s="241"/>
      <c r="N4096" s="160"/>
    </row>
    <row r="4097" spans="1:14" x14ac:dyDescent="0.2">
      <c r="A4097" s="242">
        <v>2021</v>
      </c>
      <c r="B4097" s="242">
        <v>8</v>
      </c>
      <c r="C4097" s="242">
        <v>26</v>
      </c>
      <c r="D4097" s="141">
        <f t="shared" si="134"/>
        <v>44434</v>
      </c>
      <c r="E4097" s="275">
        <f t="shared" si="135"/>
        <v>44434</v>
      </c>
      <c r="F4097" s="478"/>
      <c r="G4097" s="243" t="s">
        <v>94</v>
      </c>
      <c r="H4097" s="243" t="str" cm="1">
        <f t="array" ref="H4097">IFERROR(INDEX(INVESTOR_LIST[INVESTOR NAME],MATCH(I4097,INVESTOR_LIST[INVESTOR CODE],0),)," ")</f>
        <v xml:space="preserve"> </v>
      </c>
      <c r="I4097" s="263" t="s">
        <v>348</v>
      </c>
      <c r="J4097" s="244" t="s">
        <v>108</v>
      </c>
      <c r="K4097" s="245"/>
      <c r="L4097" s="245">
        <v>39343.739999979734</v>
      </c>
      <c r="N4097" s="264"/>
    </row>
    <row r="4098" spans="1:14" ht="22.5" x14ac:dyDescent="0.2">
      <c r="A4098" s="246">
        <v>2021</v>
      </c>
      <c r="B4098" s="246">
        <v>8</v>
      </c>
      <c r="C4098" s="246">
        <v>26</v>
      </c>
      <c r="D4098" s="141">
        <f t="shared" si="134"/>
        <v>44434</v>
      </c>
      <c r="E4098" s="275">
        <f t="shared" si="135"/>
        <v>44434</v>
      </c>
      <c r="F4098" s="482" t="s">
        <v>148</v>
      </c>
      <c r="G4098" s="247" t="s">
        <v>94</v>
      </c>
      <c r="H4098" s="247" t="str" cm="1">
        <f t="array" ref="H4098">IFERROR(INDEX(INVESTOR_LIST[INVESTOR NAME],MATCH(I4098,INVESTOR_LIST[INVESTOR CODE],0),)," ")</f>
        <v xml:space="preserve"> </v>
      </c>
      <c r="I4098" s="248" t="s">
        <v>348</v>
      </c>
      <c r="J4098" s="249" t="s">
        <v>95</v>
      </c>
      <c r="K4098" s="250">
        <v>2747.2527472527472</v>
      </c>
      <c r="L4098" s="241"/>
      <c r="M4098" s="133">
        <v>2747.2527472527472</v>
      </c>
    </row>
    <row r="4099" spans="1:14" x14ac:dyDescent="0.2">
      <c r="A4099" s="242">
        <v>2021</v>
      </c>
      <c r="B4099" s="242">
        <v>8</v>
      </c>
      <c r="C4099" s="242">
        <v>26</v>
      </c>
      <c r="D4099" s="141">
        <f t="shared" si="134"/>
        <v>44434</v>
      </c>
      <c r="E4099" s="275">
        <f t="shared" si="135"/>
        <v>44434</v>
      </c>
      <c r="F4099" s="478"/>
      <c r="G4099" s="243" t="s">
        <v>94</v>
      </c>
      <c r="H4099" s="243" t="str" cm="1">
        <f t="array" ref="H4099">IFERROR(INDEX(INVESTOR_LIST[INVESTOR NAME],MATCH(I4099,INVESTOR_LIST[INVESTOR CODE],0),)," ")</f>
        <v xml:space="preserve"> </v>
      </c>
      <c r="I4099" s="263" t="s">
        <v>348</v>
      </c>
      <c r="J4099" s="244" t="s">
        <v>63</v>
      </c>
      <c r="K4099" s="245"/>
      <c r="L4099" s="245">
        <v>2747.2527472527472</v>
      </c>
      <c r="M4099" s="133">
        <v>114068.95146547726</v>
      </c>
      <c r="N4099" s="160"/>
    </row>
    <row r="4100" spans="1:14" x14ac:dyDescent="0.2">
      <c r="A4100" s="246">
        <v>2021</v>
      </c>
      <c r="B4100" s="246">
        <v>8</v>
      </c>
      <c r="C4100" s="246">
        <v>26</v>
      </c>
      <c r="D4100" s="141">
        <f t="shared" si="134"/>
        <v>44434</v>
      </c>
      <c r="E4100" s="275">
        <f t="shared" si="135"/>
        <v>44434</v>
      </c>
      <c r="F4100" s="482" t="s">
        <v>137</v>
      </c>
      <c r="G4100" s="247" t="s">
        <v>94</v>
      </c>
      <c r="H4100" s="247" t="str" cm="1">
        <f t="array" ref="H4100">IFERROR(INDEX(INVESTOR_LIST[INVESTOR NAME],MATCH(I4100,INVESTOR_LIST[INVESTOR CODE],0),)," ")</f>
        <v xml:space="preserve"> </v>
      </c>
      <c r="I4100" s="248" t="s">
        <v>348</v>
      </c>
      <c r="J4100" s="249" t="s">
        <v>97</v>
      </c>
      <c r="K4100" s="250">
        <v>114068.95146547726</v>
      </c>
      <c r="L4100" s="252"/>
      <c r="M4100" s="133">
        <v>5681.5198412882291</v>
      </c>
    </row>
    <row r="4101" spans="1:14" x14ac:dyDescent="0.2">
      <c r="A4101" s="242">
        <v>2021</v>
      </c>
      <c r="B4101" s="242">
        <v>8</v>
      </c>
      <c r="C4101" s="242">
        <v>26</v>
      </c>
      <c r="D4101" s="141">
        <f t="shared" si="134"/>
        <v>44434</v>
      </c>
      <c r="E4101" s="275">
        <f t="shared" si="135"/>
        <v>44434</v>
      </c>
      <c r="F4101" s="478"/>
      <c r="G4101" s="243" t="s">
        <v>94</v>
      </c>
      <c r="H4101" s="243" t="str" cm="1">
        <f t="array" ref="H4101">IFERROR(INDEX(INVESTOR_LIST[INVESTOR NAME],MATCH(I4101,INVESTOR_LIST[INVESTOR CODE],0),)," ")</f>
        <v xml:space="preserve"> </v>
      </c>
      <c r="I4101" s="263" t="s">
        <v>348</v>
      </c>
      <c r="J4101" s="244" t="s">
        <v>47</v>
      </c>
      <c r="K4101" s="245"/>
      <c r="L4101" s="245">
        <v>114068.95146547726</v>
      </c>
    </row>
    <row r="4102" spans="1:14" x14ac:dyDescent="0.2">
      <c r="A4102" s="246">
        <v>2021</v>
      </c>
      <c r="B4102" s="246">
        <v>8</v>
      </c>
      <c r="C4102" s="246">
        <v>26</v>
      </c>
      <c r="D4102" s="141">
        <f t="shared" si="134"/>
        <v>44434</v>
      </c>
      <c r="E4102" s="275">
        <f t="shared" si="135"/>
        <v>44434</v>
      </c>
      <c r="F4102" s="482" t="s">
        <v>138</v>
      </c>
      <c r="G4102" s="247" t="s">
        <v>94</v>
      </c>
      <c r="H4102" s="247" t="str" cm="1">
        <f t="array" ref="H4102">IFERROR(INDEX(INVESTOR_LIST[INVESTOR NAME],MATCH(I4102,INVESTOR_LIST[INVESTOR CODE],0),)," ")</f>
        <v xml:space="preserve"> </v>
      </c>
      <c r="I4102" s="248" t="s">
        <v>348</v>
      </c>
      <c r="J4102" s="249" t="s">
        <v>100</v>
      </c>
      <c r="K4102" s="250">
        <v>5681.5198412882291</v>
      </c>
      <c r="L4102" s="252"/>
    </row>
    <row r="4103" spans="1:14" x14ac:dyDescent="0.2">
      <c r="A4103" s="242">
        <v>2021</v>
      </c>
      <c r="B4103" s="242">
        <v>8</v>
      </c>
      <c r="C4103" s="242">
        <v>26</v>
      </c>
      <c r="D4103" s="141">
        <f t="shared" si="134"/>
        <v>44434</v>
      </c>
      <c r="E4103" s="275">
        <f t="shared" si="135"/>
        <v>44434</v>
      </c>
      <c r="F4103" s="478"/>
      <c r="G4103" s="243" t="s">
        <v>94</v>
      </c>
      <c r="H4103" s="243" t="str" cm="1">
        <f t="array" ref="H4103">IFERROR(INDEX(INVESTOR_LIST[INVESTOR NAME],MATCH(I4103,INVESTOR_LIST[INVESTOR CODE],0),)," ")</f>
        <v xml:space="preserve"> </v>
      </c>
      <c r="I4103" s="263" t="s">
        <v>348</v>
      </c>
      <c r="J4103" s="244" t="s">
        <v>48</v>
      </c>
      <c r="K4103" s="245"/>
      <c r="L4103" s="245">
        <v>5681.5198412882291</v>
      </c>
      <c r="N4103" s="160"/>
    </row>
    <row r="4104" spans="1:14" x14ac:dyDescent="0.2">
      <c r="A4104" s="133">
        <v>2021</v>
      </c>
      <c r="B4104" s="133">
        <v>8</v>
      </c>
      <c r="C4104" s="133">
        <v>29</v>
      </c>
      <c r="D4104" s="141">
        <f t="shared" si="134"/>
        <v>44437</v>
      </c>
      <c r="E4104" s="275">
        <f t="shared" si="135"/>
        <v>44437</v>
      </c>
      <c r="F4104" s="481" t="s">
        <v>838</v>
      </c>
      <c r="G4104" s="174" t="s">
        <v>94</v>
      </c>
      <c r="H4104" s="174" t="str" cm="1">
        <f t="array" ref="H4104">IFERROR(INDEX(INVESTOR_LIST[INVESTOR NAME],MATCH(I4104,INVESTOR_LIST[INVESTOR CODE],0),)," ")</f>
        <v xml:space="preserve"> </v>
      </c>
      <c r="I4104" s="148" t="s">
        <v>348</v>
      </c>
      <c r="J4104" s="149" t="s">
        <v>190</v>
      </c>
      <c r="K4104" s="218">
        <v>3422905.96</v>
      </c>
      <c r="L4104" s="218"/>
    </row>
    <row r="4105" spans="1:14" x14ac:dyDescent="0.2">
      <c r="A4105" s="133">
        <v>2021</v>
      </c>
      <c r="B4105" s="133">
        <v>8</v>
      </c>
      <c r="C4105" s="133">
        <v>29</v>
      </c>
      <c r="D4105" s="141">
        <f t="shared" si="134"/>
        <v>44437</v>
      </c>
      <c r="E4105" s="275">
        <f t="shared" si="135"/>
        <v>44437</v>
      </c>
      <c r="F4105" s="481"/>
      <c r="G4105" s="174" t="s">
        <v>94</v>
      </c>
      <c r="H4105" s="174" t="str" cm="1">
        <f t="array" ref="H4105">IFERROR(INDEX(INVESTOR_LIST[INVESTOR NAME],MATCH(I4105,INVESTOR_LIST[INVESTOR CODE],0),)," ")</f>
        <v xml:space="preserve"> </v>
      </c>
      <c r="I4105" s="148" t="s">
        <v>348</v>
      </c>
      <c r="J4105" s="149" t="s">
        <v>80</v>
      </c>
      <c r="K4105" s="218">
        <v>6172.34</v>
      </c>
      <c r="L4105" s="218"/>
    </row>
    <row r="4106" spans="1:14" x14ac:dyDescent="0.2">
      <c r="A4106" s="133">
        <v>2021</v>
      </c>
      <c r="B4106" s="133">
        <v>8</v>
      </c>
      <c r="C4106" s="133">
        <v>29</v>
      </c>
      <c r="D4106" s="141">
        <f t="shared" si="134"/>
        <v>44437</v>
      </c>
      <c r="E4106" s="275">
        <f t="shared" si="135"/>
        <v>44437</v>
      </c>
      <c r="F4106" s="481"/>
      <c r="G4106" s="174" t="s">
        <v>94</v>
      </c>
      <c r="H4106" s="174" t="str" cm="1">
        <f t="array" ref="H4106">IFERROR(INDEX(INVESTOR_LIST[INVESTOR NAME],MATCH(I4106,INVESTOR_LIST[INVESTOR CODE],0),)," ")</f>
        <v xml:space="preserve"> </v>
      </c>
      <c r="I4106" s="148" t="s">
        <v>348</v>
      </c>
      <c r="J4106" s="149" t="s">
        <v>79</v>
      </c>
      <c r="K4106" s="218"/>
      <c r="L4106" s="218">
        <v>3342396.5</v>
      </c>
    </row>
    <row r="4107" spans="1:14" x14ac:dyDescent="0.2">
      <c r="A4107" s="163">
        <v>2021</v>
      </c>
      <c r="B4107" s="163">
        <v>8</v>
      </c>
      <c r="C4107" s="163">
        <v>29</v>
      </c>
      <c r="D4107" s="141">
        <f t="shared" si="134"/>
        <v>44437</v>
      </c>
      <c r="E4107" s="275">
        <f t="shared" si="135"/>
        <v>44437</v>
      </c>
      <c r="F4107" s="480"/>
      <c r="G4107" s="221" t="s">
        <v>94</v>
      </c>
      <c r="H4107" s="221" t="str" cm="1">
        <f t="array" ref="H4107">IFERROR(INDEX(INVESTOR_LIST[INVESTOR NAME],MATCH(I4107,INVESTOR_LIST[INVESTOR CODE],0),)," ")</f>
        <v xml:space="preserve"> </v>
      </c>
      <c r="I4107" s="145" t="s">
        <v>348</v>
      </c>
      <c r="J4107" s="146" t="s">
        <v>191</v>
      </c>
      <c r="K4107" s="219"/>
      <c r="L4107" s="219">
        <v>86681.8</v>
      </c>
    </row>
    <row r="4108" spans="1:14" ht="11.25" customHeight="1" x14ac:dyDescent="0.2">
      <c r="A4108" s="168">
        <v>2021</v>
      </c>
      <c r="B4108" s="168">
        <v>8</v>
      </c>
      <c r="C4108" s="133">
        <v>29</v>
      </c>
      <c r="D4108" s="141">
        <f t="shared" si="134"/>
        <v>44437</v>
      </c>
      <c r="E4108" s="275">
        <f t="shared" si="135"/>
        <v>44437</v>
      </c>
      <c r="F4108" s="479" t="s">
        <v>254</v>
      </c>
      <c r="G4108" s="220" t="s">
        <v>74</v>
      </c>
      <c r="H4108" s="142" t="str" cm="1">
        <f t="array" ref="H4108">IFERROR(INDEX(INVESTOR_LIST[INVESTOR NAME],MATCH(I4108,INVESTOR_LIST[INVESTOR CODE],0),)," ")</f>
        <v xml:space="preserve"> </v>
      </c>
      <c r="I4108" s="142"/>
      <c r="J4108" s="168" t="s">
        <v>52</v>
      </c>
      <c r="K4108" s="226">
        <v>479000</v>
      </c>
      <c r="L4108" s="226"/>
    </row>
    <row r="4109" spans="1:14" x14ac:dyDescent="0.2">
      <c r="A4109" s="133">
        <v>2021</v>
      </c>
      <c r="B4109" s="133">
        <v>8</v>
      </c>
      <c r="C4109" s="133">
        <v>29</v>
      </c>
      <c r="D4109" s="141">
        <f t="shared" si="134"/>
        <v>44437</v>
      </c>
      <c r="E4109" s="275">
        <f t="shared" si="135"/>
        <v>44437</v>
      </c>
      <c r="F4109" s="481"/>
      <c r="G4109" s="174" t="s">
        <v>74</v>
      </c>
      <c r="H4109" s="148" t="str" cm="1">
        <f t="array" ref="H4109">IFERROR(INDEX(INVESTOR_LIST[INVESTOR NAME],MATCH(I4109,INVESTOR_LIST[INVESTOR CODE],0),)," ")</f>
        <v xml:space="preserve"> </v>
      </c>
      <c r="J4109" s="133" t="s">
        <v>13</v>
      </c>
      <c r="K4109" s="218"/>
      <c r="L4109" s="218">
        <v>329810</v>
      </c>
    </row>
    <row r="4110" spans="1:14" x14ac:dyDescent="0.2">
      <c r="A4110" s="163">
        <v>2021</v>
      </c>
      <c r="B4110" s="163">
        <v>8</v>
      </c>
      <c r="C4110" s="163">
        <v>29</v>
      </c>
      <c r="D4110" s="141">
        <f t="shared" ref="D4110:D4173" si="136">DATE(A4110,B4110,C4110)</f>
        <v>44437</v>
      </c>
      <c r="E4110" s="275">
        <f t="shared" si="135"/>
        <v>44437</v>
      </c>
      <c r="F4110" s="480"/>
      <c r="G4110" s="221" t="s">
        <v>74</v>
      </c>
      <c r="H4110" s="145" t="str" cm="1">
        <f t="array" ref="H4110">IFERROR(INDEX(INVESTOR_LIST[INVESTOR NAME],MATCH(I4110,INVESTOR_LIST[INVESTOR CODE],0),)," ")</f>
        <v xml:space="preserve"> </v>
      </c>
      <c r="I4110" s="145"/>
      <c r="J4110" s="163" t="s">
        <v>53</v>
      </c>
      <c r="K4110" s="219"/>
      <c r="L4110" s="219">
        <v>149190</v>
      </c>
    </row>
    <row r="4111" spans="1:14" x14ac:dyDescent="0.2">
      <c r="A4111" s="168">
        <v>2021</v>
      </c>
      <c r="B4111" s="168">
        <v>8</v>
      </c>
      <c r="C4111" s="168">
        <v>29</v>
      </c>
      <c r="D4111" s="141">
        <f t="shared" si="136"/>
        <v>44437</v>
      </c>
      <c r="E4111" s="275">
        <f t="shared" ref="E4111:E4174" si="137">DATE(A4111,B4111,C4111)</f>
        <v>44437</v>
      </c>
      <c r="F4111" s="479" t="s">
        <v>547</v>
      </c>
      <c r="G4111" s="220" t="s">
        <v>74</v>
      </c>
      <c r="H4111" s="220" t="str" cm="1">
        <f t="array" ref="H4111">IFERROR(INDEX(INVESTOR_LIST[INVESTOR NAME],MATCH(I4111,INVESTOR_LIST[INVESTOR CODE],0),)," ")</f>
        <v xml:space="preserve"> </v>
      </c>
      <c r="I4111" s="142"/>
      <c r="J4111" s="143" t="s">
        <v>52</v>
      </c>
      <c r="K4111" s="226">
        <v>260000</v>
      </c>
      <c r="L4111" s="226"/>
    </row>
    <row r="4112" spans="1:14" x14ac:dyDescent="0.2">
      <c r="A4112" s="163">
        <v>2021</v>
      </c>
      <c r="B4112" s="163">
        <v>8</v>
      </c>
      <c r="C4112" s="163">
        <v>29</v>
      </c>
      <c r="D4112" s="141">
        <f t="shared" si="136"/>
        <v>44437</v>
      </c>
      <c r="E4112" s="275">
        <f t="shared" si="137"/>
        <v>44437</v>
      </c>
      <c r="F4112" s="480"/>
      <c r="G4112" s="221" t="s">
        <v>74</v>
      </c>
      <c r="H4112" s="221" t="str" cm="1">
        <f t="array" ref="H4112">IFERROR(INDEX(INVESTOR_LIST[INVESTOR NAME],MATCH(I4112,INVESTOR_LIST[INVESTOR CODE],0),)," ")</f>
        <v xml:space="preserve"> </v>
      </c>
      <c r="I4112" s="145"/>
      <c r="J4112" s="146" t="s">
        <v>168</v>
      </c>
      <c r="K4112" s="219"/>
      <c r="L4112" s="219">
        <v>260000</v>
      </c>
    </row>
    <row r="4113" spans="1:14" x14ac:dyDescent="0.2">
      <c r="A4113" s="133">
        <v>2021</v>
      </c>
      <c r="B4113" s="133">
        <v>8</v>
      </c>
      <c r="C4113" s="133">
        <v>29</v>
      </c>
      <c r="D4113" s="141">
        <f t="shared" si="136"/>
        <v>44437</v>
      </c>
      <c r="E4113" s="275">
        <f t="shared" si="137"/>
        <v>44437</v>
      </c>
      <c r="F4113" s="479" t="s">
        <v>688</v>
      </c>
      <c r="G4113" s="174" t="s">
        <v>74</v>
      </c>
      <c r="H4113" s="174" t="str" cm="1">
        <f t="array" ref="H4113">IFERROR(INDEX(INVESTOR_LIST[INVESTOR NAME],MATCH(I4113,INVESTOR_LIST[INVESTOR CODE],0),)," ")</f>
        <v xml:space="preserve"> </v>
      </c>
      <c r="J4113" s="149" t="s">
        <v>52</v>
      </c>
      <c r="K4113" s="218">
        <v>1125000</v>
      </c>
      <c r="L4113" s="218"/>
    </row>
    <row r="4114" spans="1:14" x14ac:dyDescent="0.2">
      <c r="A4114" s="133">
        <v>2021</v>
      </c>
      <c r="B4114" s="133">
        <v>8</v>
      </c>
      <c r="C4114" s="133">
        <v>29</v>
      </c>
      <c r="D4114" s="141">
        <f t="shared" si="136"/>
        <v>44437</v>
      </c>
      <c r="E4114" s="275">
        <f t="shared" si="137"/>
        <v>44437</v>
      </c>
      <c r="F4114" s="480"/>
      <c r="G4114" s="174" t="s">
        <v>74</v>
      </c>
      <c r="H4114" s="174" t="str" cm="1">
        <f t="array" ref="H4114">IFERROR(INDEX(INVESTOR_LIST[INVESTOR NAME],MATCH(I4114,INVESTOR_LIST[INVESTOR CODE],0),)," ")</f>
        <v xml:space="preserve"> </v>
      </c>
      <c r="J4114" s="149" t="s">
        <v>168</v>
      </c>
      <c r="K4114" s="218"/>
      <c r="L4114" s="218">
        <v>1125000</v>
      </c>
    </row>
    <row r="4115" spans="1:14" x14ac:dyDescent="0.2">
      <c r="A4115" s="168">
        <v>2021</v>
      </c>
      <c r="B4115" s="168">
        <v>8</v>
      </c>
      <c r="C4115" s="168">
        <v>31</v>
      </c>
      <c r="D4115" s="141">
        <f t="shared" si="136"/>
        <v>44439</v>
      </c>
      <c r="E4115" s="275">
        <f t="shared" si="137"/>
        <v>44439</v>
      </c>
      <c r="F4115" s="479" t="s">
        <v>544</v>
      </c>
      <c r="G4115" s="220" t="s">
        <v>74</v>
      </c>
      <c r="H4115" s="220" t="str" cm="1">
        <f t="array" ref="H4115">IFERROR(INDEX(INVESTOR_LIST[INVESTOR NAME],MATCH(I4115,INVESTOR_LIST[INVESTOR CODE],0),)," ")</f>
        <v xml:space="preserve"> </v>
      </c>
      <c r="I4115" s="142" t="s">
        <v>348</v>
      </c>
      <c r="J4115" s="143" t="s">
        <v>52</v>
      </c>
      <c r="K4115" s="226">
        <v>6052764.3099999996</v>
      </c>
      <c r="L4115" s="226"/>
    </row>
    <row r="4116" spans="1:14" x14ac:dyDescent="0.2">
      <c r="A4116" s="163">
        <v>2021</v>
      </c>
      <c r="B4116" s="163">
        <v>8</v>
      </c>
      <c r="C4116" s="163">
        <v>31</v>
      </c>
      <c r="D4116" s="141">
        <f t="shared" si="136"/>
        <v>44439</v>
      </c>
      <c r="E4116" s="275">
        <f t="shared" si="137"/>
        <v>44439</v>
      </c>
      <c r="F4116" s="480"/>
      <c r="G4116" s="221" t="s">
        <v>74</v>
      </c>
      <c r="H4116" s="221" t="str" cm="1">
        <f t="array" ref="H4116">IFERROR(INDEX(INVESTOR_LIST[INVESTOR NAME],MATCH(I4116,INVESTOR_LIST[INVESTOR CODE],0),)," ")</f>
        <v xml:space="preserve"> </v>
      </c>
      <c r="I4116" s="145" t="s">
        <v>348</v>
      </c>
      <c r="J4116" s="146" t="s">
        <v>190</v>
      </c>
      <c r="K4116" s="219"/>
      <c r="L4116" s="219">
        <v>6052764.3099999996</v>
      </c>
    </row>
    <row r="4117" spans="1:14" x14ac:dyDescent="0.2">
      <c r="A4117" s="168">
        <v>2021</v>
      </c>
      <c r="B4117" s="168">
        <v>9</v>
      </c>
      <c r="C4117" s="168">
        <v>1</v>
      </c>
      <c r="D4117" s="141">
        <f t="shared" si="136"/>
        <v>44440</v>
      </c>
      <c r="E4117" s="275">
        <f t="shared" si="137"/>
        <v>44440</v>
      </c>
      <c r="F4117" s="479" t="s">
        <v>274</v>
      </c>
      <c r="G4117" s="220" t="s">
        <v>74</v>
      </c>
      <c r="H4117" s="142" t="str" cm="1">
        <f t="array" ref="H4117">IFERROR(INDEX(INVESTOR_LIST[INVESTOR NAME],MATCH(I4117,INVESTOR_LIST[INVESTOR CODE],0),)," ")</f>
        <v xml:space="preserve"> </v>
      </c>
      <c r="I4117" s="142"/>
      <c r="J4117" s="168" t="s">
        <v>79</v>
      </c>
      <c r="K4117" s="226">
        <v>697500</v>
      </c>
      <c r="L4117" s="226"/>
    </row>
    <row r="4118" spans="1:14" x14ac:dyDescent="0.2">
      <c r="A4118" s="133">
        <v>2021</v>
      </c>
      <c r="B4118" s="133">
        <v>9</v>
      </c>
      <c r="C4118" s="133">
        <v>1</v>
      </c>
      <c r="D4118" s="141">
        <f t="shared" si="136"/>
        <v>44440</v>
      </c>
      <c r="E4118" s="275">
        <f t="shared" si="137"/>
        <v>44440</v>
      </c>
      <c r="F4118" s="481"/>
      <c r="G4118" s="174" t="s">
        <v>74</v>
      </c>
      <c r="H4118" s="148" t="str" cm="1">
        <f t="array" ref="H4118">IFERROR(INDEX(INVESTOR_LIST[INVESTOR NAME],MATCH(I4118,INVESTOR_LIST[INVESTOR CODE],0),)," ")</f>
        <v xml:space="preserve"> </v>
      </c>
      <c r="J4118" s="133" t="s">
        <v>80</v>
      </c>
      <c r="K4118" s="218">
        <v>1255.5</v>
      </c>
      <c r="L4118" s="218"/>
    </row>
    <row r="4119" spans="1:14" x14ac:dyDescent="0.2">
      <c r="A4119" s="163">
        <v>2021</v>
      </c>
      <c r="B4119" s="163">
        <v>9</v>
      </c>
      <c r="C4119" s="163">
        <v>1</v>
      </c>
      <c r="D4119" s="141">
        <f t="shared" si="136"/>
        <v>44440</v>
      </c>
      <c r="E4119" s="275">
        <f t="shared" si="137"/>
        <v>44440</v>
      </c>
      <c r="F4119" s="480"/>
      <c r="G4119" s="221" t="s">
        <v>74</v>
      </c>
      <c r="H4119" s="145" t="str" cm="1">
        <f t="array" ref="H4119">IFERROR(INDEX(INVESTOR_LIST[INVESTOR NAME],MATCH(I4119,INVESTOR_LIST[INVESTOR CODE],0),)," ")</f>
        <v xml:space="preserve"> </v>
      </c>
      <c r="I4119" s="145"/>
      <c r="J4119" s="163" t="s">
        <v>147</v>
      </c>
      <c r="K4119" s="219"/>
      <c r="L4119" s="219">
        <v>698755.5</v>
      </c>
    </row>
    <row r="4120" spans="1:14" ht="11.25" customHeight="1" x14ac:dyDescent="0.2">
      <c r="A4120" s="168">
        <v>2021</v>
      </c>
      <c r="B4120" s="168">
        <v>9</v>
      </c>
      <c r="C4120" s="133">
        <v>1</v>
      </c>
      <c r="D4120" s="141">
        <f t="shared" si="136"/>
        <v>44440</v>
      </c>
      <c r="E4120" s="275">
        <f t="shared" si="137"/>
        <v>44440</v>
      </c>
      <c r="F4120" s="479" t="s">
        <v>964</v>
      </c>
      <c r="G4120" s="220" t="s">
        <v>74</v>
      </c>
      <c r="H4120" s="265" t="str" cm="1">
        <f t="array" ref="H4120">IFERROR(INDEX(INVESTOR_LIST[INVESTOR NAME],MATCH(I4120,INVESTOR_LIST[INVESTOR CODE],0),)," ")</f>
        <v>KHANDAKAR MOHAMMAD NURUL HADIUZZAMAN</v>
      </c>
      <c r="I4120" s="142" t="s">
        <v>873</v>
      </c>
      <c r="J4120" s="168" t="s">
        <v>52</v>
      </c>
      <c r="K4120" s="226">
        <v>500000</v>
      </c>
      <c r="L4120" s="226"/>
    </row>
    <row r="4121" spans="1:14" x14ac:dyDescent="0.2">
      <c r="A4121" s="133">
        <v>2021</v>
      </c>
      <c r="B4121" s="133">
        <v>9</v>
      </c>
      <c r="C4121" s="133">
        <v>1</v>
      </c>
      <c r="D4121" s="141">
        <f t="shared" si="136"/>
        <v>44440</v>
      </c>
      <c r="E4121" s="275">
        <f t="shared" si="137"/>
        <v>44440</v>
      </c>
      <c r="F4121" s="481"/>
      <c r="G4121" s="174" t="s">
        <v>74</v>
      </c>
      <c r="H4121" s="266" t="str" cm="1">
        <f t="array" ref="H4121">IFERROR(INDEX(INVESTOR_LIST[INVESTOR NAME],MATCH(I4121,INVESTOR_LIST[INVESTOR CODE],0),)," ")</f>
        <v>KHANDAKAR MOHAMMAD NURUL HADIUZZAMAN</v>
      </c>
      <c r="I4121" s="148" t="s">
        <v>873</v>
      </c>
      <c r="J4121" s="133" t="s">
        <v>13</v>
      </c>
      <c r="K4121" s="218"/>
      <c r="L4121" s="218">
        <v>342470</v>
      </c>
    </row>
    <row r="4122" spans="1:14" x14ac:dyDescent="0.2">
      <c r="A4122" s="163">
        <v>2021</v>
      </c>
      <c r="B4122" s="163">
        <v>9</v>
      </c>
      <c r="C4122" s="163">
        <v>1</v>
      </c>
      <c r="D4122" s="141">
        <f t="shared" si="136"/>
        <v>44440</v>
      </c>
      <c r="E4122" s="275">
        <f t="shared" si="137"/>
        <v>44440</v>
      </c>
      <c r="F4122" s="480"/>
      <c r="G4122" s="221" t="s">
        <v>74</v>
      </c>
      <c r="H4122" s="267" t="str" cm="1">
        <f t="array" ref="H4122">IFERROR(INDEX(INVESTOR_LIST[INVESTOR NAME],MATCH(I4122,INVESTOR_LIST[INVESTOR CODE],0),)," ")</f>
        <v>KHANDAKAR MOHAMMAD NURUL HADIUZZAMAN</v>
      </c>
      <c r="I4122" s="145" t="s">
        <v>873</v>
      </c>
      <c r="J4122" s="163" t="s">
        <v>53</v>
      </c>
      <c r="K4122" s="219"/>
      <c r="L4122" s="219">
        <v>157530</v>
      </c>
    </row>
    <row r="4123" spans="1:14" x14ac:dyDescent="0.2">
      <c r="A4123" s="133">
        <v>2021</v>
      </c>
      <c r="B4123" s="133">
        <v>9</v>
      </c>
      <c r="C4123" s="133">
        <v>1</v>
      </c>
      <c r="D4123" s="141">
        <f t="shared" si="136"/>
        <v>44440</v>
      </c>
      <c r="E4123" s="275">
        <f t="shared" si="137"/>
        <v>44440</v>
      </c>
      <c r="F4123" s="479" t="s">
        <v>77</v>
      </c>
      <c r="G4123" s="174" t="s">
        <v>74</v>
      </c>
      <c r="H4123" s="148" t="str" cm="1">
        <f t="array" ref="H4123">IFERROR(INDEX(INVESTOR_LIST[INVESTOR NAME],MATCH(I4123,INVESTOR_LIST[INVESTOR CODE],0),)," ")</f>
        <v xml:space="preserve"> </v>
      </c>
      <c r="I4123" s="148" t="s">
        <v>348</v>
      </c>
      <c r="J4123" s="133" t="s">
        <v>61</v>
      </c>
      <c r="K4123" s="172">
        <v>60</v>
      </c>
    </row>
    <row r="4124" spans="1:14" x14ac:dyDescent="0.2">
      <c r="A4124" s="163">
        <v>2021</v>
      </c>
      <c r="B4124" s="163">
        <v>9</v>
      </c>
      <c r="C4124" s="163">
        <v>1</v>
      </c>
      <c r="D4124" s="141">
        <f t="shared" si="136"/>
        <v>44440</v>
      </c>
      <c r="E4124" s="275">
        <f t="shared" si="137"/>
        <v>44440</v>
      </c>
      <c r="F4124" s="480"/>
      <c r="G4124" s="221" t="s">
        <v>74</v>
      </c>
      <c r="H4124" s="145" t="str" cm="1">
        <f t="array" ref="H4124">IFERROR(INDEX(INVESTOR_LIST[INVESTOR NAME],MATCH(I4124,INVESTOR_LIST[INVESTOR CODE],0),)," ")</f>
        <v xml:space="preserve"> </v>
      </c>
      <c r="I4124" s="145" t="s">
        <v>348</v>
      </c>
      <c r="J4124" s="163" t="s">
        <v>52</v>
      </c>
      <c r="K4124" s="219"/>
      <c r="L4124" s="219">
        <v>60</v>
      </c>
      <c r="N4124" s="156">
        <f>K4129/14.6</f>
        <v>2397.2602739726026</v>
      </c>
    </row>
    <row r="4125" spans="1:14" x14ac:dyDescent="0.2">
      <c r="A4125" s="168">
        <v>2021</v>
      </c>
      <c r="B4125" s="168">
        <v>9</v>
      </c>
      <c r="C4125" s="168">
        <v>2</v>
      </c>
      <c r="D4125" s="141">
        <f t="shared" si="136"/>
        <v>44441</v>
      </c>
      <c r="E4125" s="275">
        <f t="shared" si="137"/>
        <v>44441</v>
      </c>
      <c r="F4125" s="479" t="s">
        <v>544</v>
      </c>
      <c r="G4125" s="220" t="s">
        <v>74</v>
      </c>
      <c r="H4125" s="220" t="str" cm="1">
        <f t="array" ref="H4125">IFERROR(INDEX(INVESTOR_LIST[INVESTOR NAME],MATCH(I4125,INVESTOR_LIST[INVESTOR CODE],0),)," ")</f>
        <v xml:space="preserve"> </v>
      </c>
      <c r="I4125" s="142" t="s">
        <v>348</v>
      </c>
      <c r="J4125" s="143" t="s">
        <v>52</v>
      </c>
      <c r="K4125" s="226">
        <v>3422905.96</v>
      </c>
      <c r="L4125" s="226"/>
    </row>
    <row r="4126" spans="1:14" x14ac:dyDescent="0.2">
      <c r="A4126" s="163">
        <v>2021</v>
      </c>
      <c r="B4126" s="163">
        <v>9</v>
      </c>
      <c r="C4126" s="163">
        <v>2</v>
      </c>
      <c r="D4126" s="141">
        <f t="shared" si="136"/>
        <v>44441</v>
      </c>
      <c r="E4126" s="275">
        <f t="shared" si="137"/>
        <v>44441</v>
      </c>
      <c r="F4126" s="480"/>
      <c r="G4126" s="221" t="s">
        <v>74</v>
      </c>
      <c r="H4126" s="221" t="str" cm="1">
        <f t="array" ref="H4126">IFERROR(INDEX(INVESTOR_LIST[INVESTOR NAME],MATCH(I4126,INVESTOR_LIST[INVESTOR CODE],0),)," ")</f>
        <v xml:space="preserve"> </v>
      </c>
      <c r="I4126" s="145" t="s">
        <v>348</v>
      </c>
      <c r="J4126" s="146" t="s">
        <v>190</v>
      </c>
      <c r="K4126" s="219"/>
      <c r="L4126" s="219">
        <v>3422905.96</v>
      </c>
      <c r="N4126" s="156">
        <f>L4134/14.6</f>
        <v>1581.8075342465754</v>
      </c>
    </row>
    <row r="4127" spans="1:14" x14ac:dyDescent="0.2">
      <c r="A4127" s="168">
        <v>2021</v>
      </c>
      <c r="B4127" s="168">
        <v>9</v>
      </c>
      <c r="C4127" s="168">
        <v>2</v>
      </c>
      <c r="D4127" s="141">
        <f t="shared" si="136"/>
        <v>44441</v>
      </c>
      <c r="E4127" s="275">
        <f t="shared" si="137"/>
        <v>44441</v>
      </c>
      <c r="F4127" s="479" t="s">
        <v>524</v>
      </c>
      <c r="G4127" s="220" t="s">
        <v>74</v>
      </c>
      <c r="H4127" s="220" t="str" cm="1">
        <f t="array" ref="H4127">IFERROR(INDEX(INVESTOR_LIST[INVESTOR NAME],MATCH(I4127,INVESTOR_LIST[INVESTOR CODE],0),)," ")</f>
        <v xml:space="preserve"> </v>
      </c>
      <c r="I4127" s="142" t="s">
        <v>348</v>
      </c>
      <c r="J4127" s="143" t="s">
        <v>147</v>
      </c>
      <c r="K4127" s="226">
        <v>698755.5</v>
      </c>
      <c r="L4127" s="226"/>
    </row>
    <row r="4128" spans="1:14" x14ac:dyDescent="0.2">
      <c r="A4128" s="163">
        <v>2021</v>
      </c>
      <c r="B4128" s="163">
        <v>9</v>
      </c>
      <c r="C4128" s="163">
        <v>2</v>
      </c>
      <c r="D4128" s="141">
        <f t="shared" si="136"/>
        <v>44441</v>
      </c>
      <c r="E4128" s="275">
        <f t="shared" si="137"/>
        <v>44441</v>
      </c>
      <c r="F4128" s="480"/>
      <c r="G4128" s="221" t="s">
        <v>74</v>
      </c>
      <c r="H4128" s="221" t="str" cm="1">
        <f t="array" ref="H4128">IFERROR(INDEX(INVESTOR_LIST[INVESTOR NAME],MATCH(I4128,INVESTOR_LIST[INVESTOR CODE],0),)," ")</f>
        <v xml:space="preserve"> </v>
      </c>
      <c r="I4128" s="145" t="s">
        <v>348</v>
      </c>
      <c r="J4128" s="146" t="s">
        <v>52</v>
      </c>
      <c r="K4128" s="219"/>
      <c r="L4128" s="219">
        <v>698755.5</v>
      </c>
    </row>
    <row r="4129" spans="1:14" ht="11.25" customHeight="1" x14ac:dyDescent="0.2">
      <c r="A4129" s="168">
        <v>2021</v>
      </c>
      <c r="B4129" s="168">
        <v>9</v>
      </c>
      <c r="C4129" s="133">
        <v>2</v>
      </c>
      <c r="D4129" s="141">
        <f t="shared" si="136"/>
        <v>44441</v>
      </c>
      <c r="E4129" s="275">
        <f t="shared" si="137"/>
        <v>44441</v>
      </c>
      <c r="F4129" s="479" t="s">
        <v>964</v>
      </c>
      <c r="G4129" s="220" t="s">
        <v>74</v>
      </c>
      <c r="H4129" s="142" t="str" cm="1">
        <f t="array" ref="H4129">IFERROR(INDEX(INVESTOR_LIST[INVESTOR NAME],MATCH(I4129,INVESTOR_LIST[INVESTOR CODE],0),)," ")</f>
        <v>FAIYEAD AHMEDUL HYE</v>
      </c>
      <c r="I4129" s="142" t="s">
        <v>496</v>
      </c>
      <c r="J4129" s="168" t="s">
        <v>52</v>
      </c>
      <c r="K4129" s="226">
        <v>35000</v>
      </c>
      <c r="L4129" s="226"/>
    </row>
    <row r="4130" spans="1:14" ht="33.75" x14ac:dyDescent="0.2">
      <c r="A4130" s="133">
        <v>2021</v>
      </c>
      <c r="B4130" s="133">
        <v>9</v>
      </c>
      <c r="C4130" s="133">
        <v>2</v>
      </c>
      <c r="D4130" s="141">
        <f t="shared" si="136"/>
        <v>44441</v>
      </c>
      <c r="E4130" s="275">
        <f t="shared" si="137"/>
        <v>44441</v>
      </c>
      <c r="F4130" s="481"/>
      <c r="G4130" s="174" t="s">
        <v>74</v>
      </c>
      <c r="H4130" s="148" t="str" cm="1">
        <f t="array" ref="H4130">IFERROR(INDEX(INVESTOR_LIST[INVESTOR NAME],MATCH(I4130,INVESTOR_LIST[INVESTOR CODE],0),)," ")</f>
        <v>FAIYEAD AHMEDUL HYE</v>
      </c>
      <c r="I4130" s="148" t="s">
        <v>496</v>
      </c>
      <c r="J4130" s="133" t="s">
        <v>13</v>
      </c>
      <c r="K4130" s="218"/>
      <c r="L4130" s="218">
        <v>23980</v>
      </c>
      <c r="N4130" s="156">
        <f>K4135/14.6</f>
        <v>63013.698630136991</v>
      </c>
    </row>
    <row r="4131" spans="1:14" ht="33.75" x14ac:dyDescent="0.2">
      <c r="A4131" s="163">
        <v>2021</v>
      </c>
      <c r="B4131" s="163">
        <v>9</v>
      </c>
      <c r="C4131" s="163">
        <v>2</v>
      </c>
      <c r="D4131" s="141">
        <f t="shared" si="136"/>
        <v>44441</v>
      </c>
      <c r="E4131" s="275">
        <f t="shared" si="137"/>
        <v>44441</v>
      </c>
      <c r="F4131" s="480"/>
      <c r="G4131" s="221" t="s">
        <v>74</v>
      </c>
      <c r="H4131" s="145" t="str" cm="1">
        <f t="array" ref="H4131">IFERROR(INDEX(INVESTOR_LIST[INVESTOR NAME],MATCH(I4131,INVESTOR_LIST[INVESTOR CODE],0),)," ")</f>
        <v>FAIYEAD AHMEDUL HYE</v>
      </c>
      <c r="I4131" s="145" t="s">
        <v>496</v>
      </c>
      <c r="J4131" s="163" t="s">
        <v>53</v>
      </c>
      <c r="K4131" s="219"/>
      <c r="L4131" s="219">
        <v>11020</v>
      </c>
    </row>
    <row r="4132" spans="1:14" ht="45" x14ac:dyDescent="0.2">
      <c r="A4132" s="133">
        <v>2021</v>
      </c>
      <c r="B4132" s="133">
        <v>9</v>
      </c>
      <c r="C4132" s="168">
        <v>2</v>
      </c>
      <c r="D4132" s="141">
        <f t="shared" si="136"/>
        <v>44441</v>
      </c>
      <c r="E4132" s="275">
        <f t="shared" si="137"/>
        <v>44441</v>
      </c>
      <c r="F4132" s="479" t="s">
        <v>965</v>
      </c>
      <c r="G4132" s="174" t="s">
        <v>74</v>
      </c>
      <c r="H4132" s="174" t="str" cm="1">
        <f t="array" ref="H4132">IFERROR(INDEX(INVESTOR_LIST[INVESTOR NAME],MATCH(I4132,INVESTOR_LIST[INVESTOR CODE],0),)," ")</f>
        <v>SABRIA ISLAM TALUKDER</v>
      </c>
      <c r="I4132" s="148" t="s">
        <v>508</v>
      </c>
      <c r="J4132" s="149" t="s">
        <v>13</v>
      </c>
      <c r="K4132" s="218">
        <v>15820</v>
      </c>
      <c r="L4132" s="218"/>
    </row>
    <row r="4133" spans="1:14" ht="45" x14ac:dyDescent="0.2">
      <c r="A4133" s="133">
        <v>2021</v>
      </c>
      <c r="B4133" s="133">
        <v>9</v>
      </c>
      <c r="C4133" s="133">
        <v>2</v>
      </c>
      <c r="D4133" s="141">
        <f t="shared" si="136"/>
        <v>44441</v>
      </c>
      <c r="E4133" s="275">
        <f t="shared" si="137"/>
        <v>44441</v>
      </c>
      <c r="F4133" s="481"/>
      <c r="G4133" s="174" t="s">
        <v>74</v>
      </c>
      <c r="H4133" s="174" t="str" cm="1">
        <f t="array" ref="H4133">IFERROR(INDEX(INVESTOR_LIST[INVESTOR NAME],MATCH(I4133,INVESTOR_LIST[INVESTOR CODE],0),)," ")</f>
        <v>SABRIA ISLAM TALUKDER</v>
      </c>
      <c r="I4133" s="148" t="s">
        <v>508</v>
      </c>
      <c r="J4133" s="149" t="s">
        <v>53</v>
      </c>
      <c r="K4133" s="218">
        <v>7274.39</v>
      </c>
      <c r="L4133" s="218"/>
    </row>
    <row r="4134" spans="1:14" ht="45" x14ac:dyDescent="0.2">
      <c r="A4134" s="163">
        <v>2021</v>
      </c>
      <c r="B4134" s="163">
        <v>9</v>
      </c>
      <c r="C4134" s="163">
        <v>2</v>
      </c>
      <c r="D4134" s="141">
        <f t="shared" si="136"/>
        <v>44441</v>
      </c>
      <c r="E4134" s="275">
        <f t="shared" si="137"/>
        <v>44441</v>
      </c>
      <c r="F4134" s="480"/>
      <c r="G4134" s="221" t="s">
        <v>74</v>
      </c>
      <c r="H4134" s="221" t="str" cm="1">
        <f t="array" ref="H4134">IFERROR(INDEX(INVESTOR_LIST[INVESTOR NAME],MATCH(I4134,INVESTOR_LIST[INVESTOR CODE],0),)," ")</f>
        <v>SABRIA ISLAM TALUKDER</v>
      </c>
      <c r="I4134" s="145" t="s">
        <v>508</v>
      </c>
      <c r="J4134" s="146" t="s">
        <v>52</v>
      </c>
      <c r="K4134" s="219"/>
      <c r="L4134" s="219">
        <v>23094.39</v>
      </c>
    </row>
    <row r="4135" spans="1:14" ht="11.25" customHeight="1" x14ac:dyDescent="0.2">
      <c r="A4135" s="168">
        <v>2021</v>
      </c>
      <c r="B4135" s="168">
        <v>9</v>
      </c>
      <c r="C4135" s="133">
        <v>2</v>
      </c>
      <c r="D4135" s="141">
        <f t="shared" si="136"/>
        <v>44441</v>
      </c>
      <c r="E4135" s="275">
        <f t="shared" si="137"/>
        <v>44441</v>
      </c>
      <c r="F4135" s="479" t="s">
        <v>964</v>
      </c>
      <c r="G4135" s="220" t="s">
        <v>74</v>
      </c>
      <c r="H4135" s="142" t="str" cm="1">
        <f t="array" ref="H4135">IFERROR(INDEX(INVESTOR_LIST[INVESTOR NAME],MATCH(I4135,INVESTOR_LIST[INVESTOR CODE],0),)," ")</f>
        <v>SYED NAYEEMUDDIN HOSSAIN</v>
      </c>
      <c r="I4135" s="142" t="s">
        <v>876</v>
      </c>
      <c r="J4135" s="168" t="s">
        <v>52</v>
      </c>
      <c r="K4135" s="226">
        <v>920000</v>
      </c>
      <c r="L4135" s="226"/>
    </row>
    <row r="4136" spans="1:14" ht="45" x14ac:dyDescent="0.2">
      <c r="A4136" s="133">
        <v>2021</v>
      </c>
      <c r="B4136" s="133">
        <v>9</v>
      </c>
      <c r="C4136" s="133">
        <v>2</v>
      </c>
      <c r="D4136" s="141">
        <f t="shared" si="136"/>
        <v>44441</v>
      </c>
      <c r="E4136" s="275">
        <f t="shared" si="137"/>
        <v>44441</v>
      </c>
      <c r="F4136" s="481"/>
      <c r="G4136" s="174" t="s">
        <v>74</v>
      </c>
      <c r="H4136" s="148" t="str" cm="1">
        <f t="array" ref="H4136">IFERROR(INDEX(INVESTOR_LIST[INVESTOR NAME],MATCH(I4136,INVESTOR_LIST[INVESTOR CODE],0),)," ")</f>
        <v>SYED NAYEEMUDDIN HOSSAIN</v>
      </c>
      <c r="I4136" s="148" t="s">
        <v>876</v>
      </c>
      <c r="J4136" s="133" t="s">
        <v>13</v>
      </c>
      <c r="K4136" s="218"/>
      <c r="L4136" s="218">
        <v>630140</v>
      </c>
    </row>
    <row r="4137" spans="1:14" ht="45" x14ac:dyDescent="0.2">
      <c r="A4137" s="163">
        <v>2021</v>
      </c>
      <c r="B4137" s="163">
        <v>9</v>
      </c>
      <c r="C4137" s="163">
        <v>2</v>
      </c>
      <c r="D4137" s="141">
        <f t="shared" si="136"/>
        <v>44441</v>
      </c>
      <c r="E4137" s="275">
        <f t="shared" si="137"/>
        <v>44441</v>
      </c>
      <c r="F4137" s="480"/>
      <c r="G4137" s="221" t="s">
        <v>74</v>
      </c>
      <c r="H4137" s="145" t="str" cm="1">
        <f t="array" ref="H4137">IFERROR(INDEX(INVESTOR_LIST[INVESTOR NAME],MATCH(I4137,INVESTOR_LIST[INVESTOR CODE],0),)," ")</f>
        <v>SYED NAYEEMUDDIN HOSSAIN</v>
      </c>
      <c r="I4137" s="145" t="s">
        <v>876</v>
      </c>
      <c r="J4137" s="163" t="s">
        <v>53</v>
      </c>
      <c r="K4137" s="219"/>
      <c r="L4137" s="219">
        <v>289860</v>
      </c>
    </row>
    <row r="4138" spans="1:14" x14ac:dyDescent="0.2">
      <c r="A4138" s="168">
        <v>2021</v>
      </c>
      <c r="B4138" s="168">
        <v>9</v>
      </c>
      <c r="C4138" s="133">
        <v>2</v>
      </c>
      <c r="D4138" s="141">
        <f t="shared" si="136"/>
        <v>44441</v>
      </c>
      <c r="E4138" s="275">
        <f t="shared" si="137"/>
        <v>44441</v>
      </c>
      <c r="F4138" s="479" t="s">
        <v>915</v>
      </c>
      <c r="G4138" s="220" t="s">
        <v>74</v>
      </c>
      <c r="H4138" s="142" t="str" cm="1">
        <f t="array" ref="H4138">IFERROR(INDEX(INVESTOR_LIST[INVESTOR NAME],MATCH(I4138,INVESTOR_LIST[INVESTOR CODE],0),)," ")</f>
        <v xml:space="preserve"> </v>
      </c>
      <c r="I4138" s="142"/>
      <c r="J4138" s="168" t="s">
        <v>52</v>
      </c>
      <c r="K4138" s="226">
        <v>2240421.12</v>
      </c>
      <c r="L4138" s="226"/>
    </row>
    <row r="4139" spans="1:14" x14ac:dyDescent="0.2">
      <c r="A4139" s="133">
        <v>2021</v>
      </c>
      <c r="B4139" s="133">
        <v>9</v>
      </c>
      <c r="C4139" s="133">
        <v>2</v>
      </c>
      <c r="D4139" s="141">
        <f t="shared" si="136"/>
        <v>44441</v>
      </c>
      <c r="E4139" s="275">
        <f t="shared" si="137"/>
        <v>44441</v>
      </c>
      <c r="F4139" s="481"/>
      <c r="G4139" s="174" t="s">
        <v>74</v>
      </c>
      <c r="H4139" s="148" t="str" cm="1">
        <f t="array" ref="H4139">IFERROR(INDEX(INVESTOR_LIST[INVESTOR NAME],MATCH(I4139,INVESTOR_LIST[INVESTOR CODE],0),)," ")</f>
        <v xml:space="preserve"> </v>
      </c>
      <c r="J4139" s="133" t="s">
        <v>79</v>
      </c>
      <c r="K4139" s="218"/>
      <c r="L4139" s="218">
        <v>1892154.34</v>
      </c>
    </row>
    <row r="4140" spans="1:14" x14ac:dyDescent="0.2">
      <c r="A4140" s="163">
        <v>2021</v>
      </c>
      <c r="B4140" s="163">
        <v>9</v>
      </c>
      <c r="C4140" s="163">
        <v>2</v>
      </c>
      <c r="D4140" s="141">
        <f t="shared" si="136"/>
        <v>44441</v>
      </c>
      <c r="E4140" s="275">
        <f t="shared" si="137"/>
        <v>44441</v>
      </c>
      <c r="F4140" s="480"/>
      <c r="G4140" s="221" t="s">
        <v>74</v>
      </c>
      <c r="H4140" s="145" t="str" cm="1">
        <f t="array" ref="H4140">IFERROR(INDEX(INVESTOR_LIST[INVESTOR NAME],MATCH(I4140,INVESTOR_LIST[INVESTOR CODE],0),)," ")</f>
        <v xml:space="preserve"> </v>
      </c>
      <c r="I4140" s="145"/>
      <c r="J4140" s="163" t="s">
        <v>191</v>
      </c>
      <c r="K4140" s="219"/>
      <c r="L4140" s="219">
        <v>348266.78</v>
      </c>
    </row>
    <row r="4141" spans="1:14" x14ac:dyDescent="0.2">
      <c r="A4141" s="168">
        <v>2021</v>
      </c>
      <c r="B4141" s="168">
        <v>9</v>
      </c>
      <c r="C4141" s="133">
        <v>2</v>
      </c>
      <c r="D4141" s="141">
        <f t="shared" si="136"/>
        <v>44441</v>
      </c>
      <c r="E4141" s="275">
        <f t="shared" si="137"/>
        <v>44441</v>
      </c>
      <c r="F4141" s="479" t="s">
        <v>916</v>
      </c>
      <c r="G4141" s="220" t="s">
        <v>74</v>
      </c>
      <c r="H4141" s="142" t="str" cm="1">
        <f t="array" ref="H4141">IFERROR(INDEX(INVESTOR_LIST[INVESTOR NAME],MATCH(I4141,INVESTOR_LIST[INVESTOR CODE],0),)," ")</f>
        <v xml:space="preserve"> </v>
      </c>
      <c r="I4141" s="142"/>
      <c r="J4141" s="168" t="s">
        <v>52</v>
      </c>
      <c r="K4141" s="226">
        <v>2745874.35</v>
      </c>
      <c r="L4141" s="226"/>
    </row>
    <row r="4142" spans="1:14" x14ac:dyDescent="0.2">
      <c r="A4142" s="133">
        <v>2021</v>
      </c>
      <c r="B4142" s="133">
        <v>9</v>
      </c>
      <c r="C4142" s="133">
        <v>2</v>
      </c>
      <c r="D4142" s="141">
        <f t="shared" si="136"/>
        <v>44441</v>
      </c>
      <c r="E4142" s="275">
        <f t="shared" si="137"/>
        <v>44441</v>
      </c>
      <c r="F4142" s="481"/>
      <c r="G4142" s="174" t="s">
        <v>74</v>
      </c>
      <c r="H4142" s="148" t="str" cm="1">
        <f t="array" ref="H4142">IFERROR(INDEX(INVESTOR_LIST[INVESTOR NAME],MATCH(I4142,INVESTOR_LIST[INVESTOR CODE],0),)," ")</f>
        <v xml:space="preserve"> </v>
      </c>
      <c r="J4142" s="133" t="s">
        <v>79</v>
      </c>
      <c r="K4142" s="218"/>
      <c r="L4142" s="218">
        <v>2069161.66</v>
      </c>
    </row>
    <row r="4143" spans="1:14" x14ac:dyDescent="0.2">
      <c r="A4143" s="163">
        <v>2021</v>
      </c>
      <c r="B4143" s="163">
        <v>9</v>
      </c>
      <c r="C4143" s="163">
        <v>2</v>
      </c>
      <c r="D4143" s="141">
        <f t="shared" si="136"/>
        <v>44441</v>
      </c>
      <c r="E4143" s="275">
        <f t="shared" si="137"/>
        <v>44441</v>
      </c>
      <c r="F4143" s="480"/>
      <c r="G4143" s="221" t="s">
        <v>74</v>
      </c>
      <c r="H4143" s="145" t="str" cm="1">
        <f t="array" ref="H4143">IFERROR(INDEX(INVESTOR_LIST[INVESTOR NAME],MATCH(I4143,INVESTOR_LIST[INVESTOR CODE],0),)," ")</f>
        <v xml:space="preserve"> </v>
      </c>
      <c r="I4143" s="145"/>
      <c r="J4143" s="163" t="s">
        <v>191</v>
      </c>
      <c r="K4143" s="219"/>
      <c r="L4143" s="219">
        <v>676712.69</v>
      </c>
    </row>
    <row r="4144" spans="1:14" x14ac:dyDescent="0.2">
      <c r="A4144" s="133">
        <v>2021</v>
      </c>
      <c r="B4144" s="133">
        <v>9</v>
      </c>
      <c r="C4144" s="133">
        <v>2</v>
      </c>
      <c r="D4144" s="141">
        <f t="shared" si="136"/>
        <v>44441</v>
      </c>
      <c r="E4144" s="275">
        <f t="shared" si="137"/>
        <v>44441</v>
      </c>
      <c r="F4144" s="479" t="s">
        <v>77</v>
      </c>
      <c r="G4144" s="174" t="s">
        <v>74</v>
      </c>
      <c r="H4144" s="148" t="str" cm="1">
        <f t="array" ref="H4144">IFERROR(INDEX(INVESTOR_LIST[INVESTOR NAME],MATCH(I4144,INVESTOR_LIST[INVESTOR CODE],0),)," ")</f>
        <v xml:space="preserve"> </v>
      </c>
      <c r="I4144" s="148" t="s">
        <v>348</v>
      </c>
      <c r="J4144" s="133" t="s">
        <v>61</v>
      </c>
      <c r="K4144" s="172">
        <v>60</v>
      </c>
    </row>
    <row r="4145" spans="1:13" x14ac:dyDescent="0.2">
      <c r="A4145" s="163">
        <v>2021</v>
      </c>
      <c r="B4145" s="163">
        <v>9</v>
      </c>
      <c r="C4145" s="163">
        <v>2</v>
      </c>
      <c r="D4145" s="141">
        <f t="shared" si="136"/>
        <v>44441</v>
      </c>
      <c r="E4145" s="275">
        <f t="shared" si="137"/>
        <v>44441</v>
      </c>
      <c r="F4145" s="480"/>
      <c r="G4145" s="221" t="s">
        <v>74</v>
      </c>
      <c r="H4145" s="145" t="str" cm="1">
        <f t="array" ref="H4145">IFERROR(INDEX(INVESTOR_LIST[INVESTOR NAME],MATCH(I4145,INVESTOR_LIST[INVESTOR CODE],0),)," ")</f>
        <v xml:space="preserve"> </v>
      </c>
      <c r="I4145" s="145" t="s">
        <v>348</v>
      </c>
      <c r="J4145" s="163" t="s">
        <v>52</v>
      </c>
      <c r="K4145" s="219"/>
      <c r="L4145" s="219">
        <v>60</v>
      </c>
    </row>
    <row r="4146" spans="1:13" x14ac:dyDescent="0.2">
      <c r="A4146" s="133">
        <v>2021</v>
      </c>
      <c r="B4146" s="133">
        <v>9</v>
      </c>
      <c r="C4146" s="133">
        <v>2</v>
      </c>
      <c r="D4146" s="141">
        <f t="shared" si="136"/>
        <v>44441</v>
      </c>
      <c r="E4146" s="275">
        <f t="shared" si="137"/>
        <v>44441</v>
      </c>
      <c r="F4146" s="479" t="s">
        <v>77</v>
      </c>
      <c r="G4146" s="174" t="s">
        <v>74</v>
      </c>
      <c r="H4146" s="148" t="str" cm="1">
        <f t="array" ref="H4146">IFERROR(INDEX(INVESTOR_LIST[INVESTOR NAME],MATCH(I4146,INVESTOR_LIST[INVESTOR CODE],0),)," ")</f>
        <v xml:space="preserve"> </v>
      </c>
      <c r="I4146" s="148" t="s">
        <v>348</v>
      </c>
      <c r="J4146" s="133" t="s">
        <v>61</v>
      </c>
      <c r="K4146" s="172">
        <v>60</v>
      </c>
    </row>
    <row r="4147" spans="1:13" x14ac:dyDescent="0.2">
      <c r="A4147" s="163">
        <v>2021</v>
      </c>
      <c r="B4147" s="163">
        <v>9</v>
      </c>
      <c r="C4147" s="163">
        <v>2</v>
      </c>
      <c r="D4147" s="141">
        <f t="shared" si="136"/>
        <v>44441</v>
      </c>
      <c r="E4147" s="275">
        <f t="shared" si="137"/>
        <v>44441</v>
      </c>
      <c r="F4147" s="480"/>
      <c r="G4147" s="221" t="s">
        <v>74</v>
      </c>
      <c r="H4147" s="145" t="str" cm="1">
        <f t="array" ref="H4147">IFERROR(INDEX(INVESTOR_LIST[INVESTOR NAME],MATCH(I4147,INVESTOR_LIST[INVESTOR CODE],0),)," ")</f>
        <v xml:space="preserve"> </v>
      </c>
      <c r="I4147" s="145" t="s">
        <v>348</v>
      </c>
      <c r="J4147" s="163" t="s">
        <v>52</v>
      </c>
      <c r="K4147" s="219"/>
      <c r="L4147" s="219">
        <v>60</v>
      </c>
    </row>
    <row r="4148" spans="1:13" x14ac:dyDescent="0.2">
      <c r="A4148" s="133">
        <v>2021</v>
      </c>
      <c r="B4148" s="133">
        <v>9</v>
      </c>
      <c r="C4148" s="133">
        <v>2</v>
      </c>
      <c r="D4148" s="141">
        <f t="shared" si="136"/>
        <v>44441</v>
      </c>
      <c r="E4148" s="275">
        <f t="shared" si="137"/>
        <v>44441</v>
      </c>
      <c r="F4148" s="479" t="s">
        <v>77</v>
      </c>
      <c r="G4148" s="174" t="s">
        <v>74</v>
      </c>
      <c r="H4148" s="148" t="str" cm="1">
        <f t="array" ref="H4148">IFERROR(INDEX(INVESTOR_LIST[INVESTOR NAME],MATCH(I4148,INVESTOR_LIST[INVESTOR CODE],0),)," ")</f>
        <v xml:space="preserve"> </v>
      </c>
      <c r="I4148" s="148" t="s">
        <v>348</v>
      </c>
      <c r="J4148" s="133" t="s">
        <v>61</v>
      </c>
      <c r="K4148" s="172">
        <v>60</v>
      </c>
    </row>
    <row r="4149" spans="1:13" x14ac:dyDescent="0.2">
      <c r="A4149" s="163">
        <v>2021</v>
      </c>
      <c r="B4149" s="163">
        <v>9</v>
      </c>
      <c r="C4149" s="163">
        <v>2</v>
      </c>
      <c r="D4149" s="141">
        <f t="shared" si="136"/>
        <v>44441</v>
      </c>
      <c r="E4149" s="275">
        <f t="shared" si="137"/>
        <v>44441</v>
      </c>
      <c r="F4149" s="480"/>
      <c r="G4149" s="221" t="s">
        <v>74</v>
      </c>
      <c r="H4149" s="145" t="str" cm="1">
        <f t="array" ref="H4149">IFERROR(INDEX(INVESTOR_LIST[INVESTOR NAME],MATCH(I4149,INVESTOR_LIST[INVESTOR CODE],0),)," ")</f>
        <v xml:space="preserve"> </v>
      </c>
      <c r="I4149" s="145" t="s">
        <v>348</v>
      </c>
      <c r="J4149" s="163" t="s">
        <v>52</v>
      </c>
      <c r="K4149" s="219"/>
      <c r="L4149" s="219">
        <v>60</v>
      </c>
    </row>
    <row r="4150" spans="1:13" x14ac:dyDescent="0.2">
      <c r="A4150" s="168">
        <v>2021</v>
      </c>
      <c r="B4150" s="168">
        <v>9</v>
      </c>
      <c r="C4150" s="168">
        <v>2</v>
      </c>
      <c r="D4150" s="141">
        <f t="shared" si="136"/>
        <v>44441</v>
      </c>
      <c r="E4150" s="275">
        <f t="shared" si="137"/>
        <v>44441</v>
      </c>
      <c r="F4150" s="479" t="s">
        <v>274</v>
      </c>
      <c r="G4150" s="220" t="s">
        <v>74</v>
      </c>
      <c r="H4150" s="142" t="str" cm="1">
        <f t="array" ref="H4150">IFERROR(INDEX(INVESTOR_LIST[INVESTOR NAME],MATCH(I4150,INVESTOR_LIST[INVESTOR CODE],0),)," ")</f>
        <v xml:space="preserve"> </v>
      </c>
      <c r="I4150" s="142"/>
      <c r="J4150" s="168" t="s">
        <v>79</v>
      </c>
      <c r="K4150" s="226">
        <v>1864752.4</v>
      </c>
      <c r="L4150" s="226"/>
    </row>
    <row r="4151" spans="1:13" x14ac:dyDescent="0.2">
      <c r="A4151" s="133">
        <v>2021</v>
      </c>
      <c r="B4151" s="133">
        <v>9</v>
      </c>
      <c r="C4151" s="133">
        <v>2</v>
      </c>
      <c r="D4151" s="141">
        <f t="shared" si="136"/>
        <v>44441</v>
      </c>
      <c r="E4151" s="275">
        <f t="shared" si="137"/>
        <v>44441</v>
      </c>
      <c r="F4151" s="481"/>
      <c r="G4151" s="174" t="s">
        <v>74</v>
      </c>
      <c r="H4151" s="148" t="str" cm="1">
        <f t="array" ref="H4151">IFERROR(INDEX(INVESTOR_LIST[INVESTOR NAME],MATCH(I4151,INVESTOR_LIST[INVESTOR CODE],0),)," ")</f>
        <v xml:space="preserve"> </v>
      </c>
      <c r="J4151" s="133" t="s">
        <v>80</v>
      </c>
      <c r="K4151" s="218">
        <v>3356.55</v>
      </c>
      <c r="L4151" s="218"/>
    </row>
    <row r="4152" spans="1:13" x14ac:dyDescent="0.2">
      <c r="A4152" s="163">
        <v>2021</v>
      </c>
      <c r="B4152" s="163">
        <v>9</v>
      </c>
      <c r="C4152" s="163">
        <v>2</v>
      </c>
      <c r="D4152" s="141">
        <f t="shared" si="136"/>
        <v>44441</v>
      </c>
      <c r="E4152" s="275">
        <f t="shared" si="137"/>
        <v>44441</v>
      </c>
      <c r="F4152" s="480"/>
      <c r="G4152" s="221" t="s">
        <v>74</v>
      </c>
      <c r="H4152" s="145" t="str" cm="1">
        <f t="array" ref="H4152">IFERROR(INDEX(INVESTOR_LIST[INVESTOR NAME],MATCH(I4152,INVESTOR_LIST[INVESTOR CODE],0),)," ")</f>
        <v xml:space="preserve"> </v>
      </c>
      <c r="I4152" s="145"/>
      <c r="J4152" s="163" t="s">
        <v>147</v>
      </c>
      <c r="K4152" s="219"/>
      <c r="L4152" s="219">
        <v>1868108.95</v>
      </c>
    </row>
    <row r="4153" spans="1:13" x14ac:dyDescent="0.2">
      <c r="A4153" s="238">
        <v>2021</v>
      </c>
      <c r="B4153" s="238">
        <v>9</v>
      </c>
      <c r="C4153" s="238">
        <v>2</v>
      </c>
      <c r="D4153" s="141">
        <f t="shared" si="136"/>
        <v>44441</v>
      </c>
      <c r="E4153" s="275">
        <f t="shared" si="137"/>
        <v>44441</v>
      </c>
      <c r="F4153" s="477" t="s">
        <v>347</v>
      </c>
      <c r="G4153" s="239" t="s">
        <v>94</v>
      </c>
      <c r="H4153" s="239" t="str" cm="1">
        <f t="array" ref="H4153">IFERROR(INDEX(INVESTOR_LIST[INVESTOR NAME],MATCH(I4153,INVESTOR_LIST[INVESTOR CODE],0),)," ")</f>
        <v xml:space="preserve"> </v>
      </c>
      <c r="I4153" s="262" t="s">
        <v>348</v>
      </c>
      <c r="J4153" s="240" t="s">
        <v>108</v>
      </c>
      <c r="K4153" s="241">
        <v>168841.0000000298</v>
      </c>
      <c r="L4153" s="241"/>
    </row>
    <row r="4154" spans="1:13" x14ac:dyDescent="0.2">
      <c r="A4154" s="242">
        <v>2021</v>
      </c>
      <c r="B4154" s="242">
        <v>9</v>
      </c>
      <c r="C4154" s="242">
        <v>2</v>
      </c>
      <c r="D4154" s="141">
        <f t="shared" si="136"/>
        <v>44441</v>
      </c>
      <c r="E4154" s="275">
        <f t="shared" si="137"/>
        <v>44441</v>
      </c>
      <c r="F4154" s="478"/>
      <c r="G4154" s="243" t="s">
        <v>94</v>
      </c>
      <c r="H4154" s="243" t="str" cm="1">
        <f t="array" ref="H4154">IFERROR(INDEX(INVESTOR_LIST[INVESTOR NAME],MATCH(I4154,INVESTOR_LIST[INVESTOR CODE],0),)," ")</f>
        <v xml:space="preserve"> </v>
      </c>
      <c r="I4154" s="263" t="s">
        <v>348</v>
      </c>
      <c r="J4154" s="244" t="s">
        <v>82</v>
      </c>
      <c r="K4154" s="245"/>
      <c r="L4154" s="245">
        <v>168841.0000000298</v>
      </c>
    </row>
    <row r="4155" spans="1:13" ht="22.5" x14ac:dyDescent="0.2">
      <c r="A4155" s="246">
        <v>2021</v>
      </c>
      <c r="B4155" s="246">
        <v>9</v>
      </c>
      <c r="C4155" s="246">
        <v>2</v>
      </c>
      <c r="D4155" s="141">
        <f t="shared" si="136"/>
        <v>44441</v>
      </c>
      <c r="E4155" s="275">
        <f t="shared" si="137"/>
        <v>44441</v>
      </c>
      <c r="F4155" s="482" t="s">
        <v>148</v>
      </c>
      <c r="G4155" s="247" t="s">
        <v>94</v>
      </c>
      <c r="H4155" s="247" t="str" cm="1">
        <f t="array" ref="H4155">IFERROR(INDEX(INVESTOR_LIST[INVESTOR NAME],MATCH(I4155,INVESTOR_LIST[INVESTOR CODE],0),)," ")</f>
        <v xml:space="preserve"> </v>
      </c>
      <c r="I4155" s="248" t="s">
        <v>348</v>
      </c>
      <c r="J4155" s="249" t="s">
        <v>95</v>
      </c>
      <c r="K4155" s="250">
        <v>2747.2527472527472</v>
      </c>
      <c r="L4155" s="241"/>
      <c r="M4155" s="133">
        <v>2747.2527472527472</v>
      </c>
    </row>
    <row r="4156" spans="1:13" x14ac:dyDescent="0.2">
      <c r="A4156" s="242">
        <v>2021</v>
      </c>
      <c r="B4156" s="242">
        <v>9</v>
      </c>
      <c r="C4156" s="242">
        <v>2</v>
      </c>
      <c r="D4156" s="141">
        <f t="shared" si="136"/>
        <v>44441</v>
      </c>
      <c r="E4156" s="275">
        <f t="shared" si="137"/>
        <v>44441</v>
      </c>
      <c r="F4156" s="478"/>
      <c r="G4156" s="243" t="s">
        <v>94</v>
      </c>
      <c r="H4156" s="243" t="str" cm="1">
        <f t="array" ref="H4156">IFERROR(INDEX(INVESTOR_LIST[INVESTOR NAME],MATCH(I4156,INVESTOR_LIST[INVESTOR CODE],0),)," ")</f>
        <v xml:space="preserve"> </v>
      </c>
      <c r="I4156" s="263" t="s">
        <v>348</v>
      </c>
      <c r="J4156" s="244" t="s">
        <v>63</v>
      </c>
      <c r="K4156" s="245"/>
      <c r="L4156" s="245">
        <v>2747.2527472527472</v>
      </c>
      <c r="M4156" s="133">
        <v>114951.03389796171</v>
      </c>
    </row>
    <row r="4157" spans="1:13" x14ac:dyDescent="0.2">
      <c r="A4157" s="246">
        <v>2021</v>
      </c>
      <c r="B4157" s="246">
        <v>9</v>
      </c>
      <c r="C4157" s="246">
        <v>2</v>
      </c>
      <c r="D4157" s="141">
        <f t="shared" si="136"/>
        <v>44441</v>
      </c>
      <c r="E4157" s="275">
        <f t="shared" si="137"/>
        <v>44441</v>
      </c>
      <c r="F4157" s="482" t="s">
        <v>137</v>
      </c>
      <c r="G4157" s="247" t="s">
        <v>94</v>
      </c>
      <c r="H4157" s="247" t="str" cm="1">
        <f t="array" ref="H4157">IFERROR(INDEX(INVESTOR_LIST[INVESTOR NAME],MATCH(I4157,INVESTOR_LIST[INVESTOR CODE],0),)," ")</f>
        <v xml:space="preserve"> </v>
      </c>
      <c r="I4157" s="248" t="s">
        <v>348</v>
      </c>
      <c r="J4157" s="249" t="s">
        <v>97</v>
      </c>
      <c r="K4157" s="250">
        <v>114951.03389796171</v>
      </c>
      <c r="L4157" s="252"/>
      <c r="M4157" s="133">
        <v>5740.3253367871903</v>
      </c>
    </row>
    <row r="4158" spans="1:13" x14ac:dyDescent="0.2">
      <c r="A4158" s="242">
        <v>2021</v>
      </c>
      <c r="B4158" s="242">
        <v>9</v>
      </c>
      <c r="C4158" s="242">
        <v>2</v>
      </c>
      <c r="D4158" s="141">
        <f t="shared" si="136"/>
        <v>44441</v>
      </c>
      <c r="E4158" s="275">
        <f t="shared" si="137"/>
        <v>44441</v>
      </c>
      <c r="F4158" s="478"/>
      <c r="G4158" s="243" t="s">
        <v>94</v>
      </c>
      <c r="H4158" s="243" t="str" cm="1">
        <f t="array" ref="H4158">IFERROR(INDEX(INVESTOR_LIST[INVESTOR NAME],MATCH(I4158,INVESTOR_LIST[INVESTOR CODE],0),)," ")</f>
        <v xml:space="preserve"> </v>
      </c>
      <c r="I4158" s="263" t="s">
        <v>348</v>
      </c>
      <c r="J4158" s="244" t="s">
        <v>47</v>
      </c>
      <c r="K4158" s="245"/>
      <c r="L4158" s="245">
        <v>114951.03389796171</v>
      </c>
    </row>
    <row r="4159" spans="1:13" x14ac:dyDescent="0.2">
      <c r="A4159" s="246">
        <v>2021</v>
      </c>
      <c r="B4159" s="246">
        <v>9</v>
      </c>
      <c r="C4159" s="246">
        <v>2</v>
      </c>
      <c r="D4159" s="141">
        <f t="shared" si="136"/>
        <v>44441</v>
      </c>
      <c r="E4159" s="275">
        <f t="shared" si="137"/>
        <v>44441</v>
      </c>
      <c r="F4159" s="482" t="s">
        <v>138</v>
      </c>
      <c r="G4159" s="247" t="s">
        <v>94</v>
      </c>
      <c r="H4159" s="247" t="str" cm="1">
        <f t="array" ref="H4159">IFERROR(INDEX(INVESTOR_LIST[INVESTOR NAME],MATCH(I4159,INVESTOR_LIST[INVESTOR CODE],0),)," ")</f>
        <v xml:space="preserve"> </v>
      </c>
      <c r="I4159" s="248" t="s">
        <v>348</v>
      </c>
      <c r="J4159" s="249" t="s">
        <v>100</v>
      </c>
      <c r="K4159" s="250">
        <v>5740.3253367871903</v>
      </c>
      <c r="L4159" s="252"/>
    </row>
    <row r="4160" spans="1:13" x14ac:dyDescent="0.2">
      <c r="A4160" s="242">
        <v>2021</v>
      </c>
      <c r="B4160" s="242">
        <v>9</v>
      </c>
      <c r="C4160" s="242">
        <v>2</v>
      </c>
      <c r="D4160" s="141">
        <f t="shared" si="136"/>
        <v>44441</v>
      </c>
      <c r="E4160" s="275">
        <f t="shared" si="137"/>
        <v>44441</v>
      </c>
      <c r="F4160" s="478"/>
      <c r="G4160" s="243" t="s">
        <v>94</v>
      </c>
      <c r="H4160" s="243" t="str" cm="1">
        <f t="array" ref="H4160">IFERROR(INDEX(INVESTOR_LIST[INVESTOR NAME],MATCH(I4160,INVESTOR_LIST[INVESTOR CODE],0),)," ")</f>
        <v xml:space="preserve"> </v>
      </c>
      <c r="I4160" s="263" t="s">
        <v>348</v>
      </c>
      <c r="J4160" s="244" t="s">
        <v>48</v>
      </c>
      <c r="K4160" s="245"/>
      <c r="L4160" s="245">
        <v>5740.3253367871903</v>
      </c>
    </row>
    <row r="4161" spans="1:15" ht="11.25" customHeight="1" x14ac:dyDescent="0.2">
      <c r="A4161" s="133">
        <v>2021</v>
      </c>
      <c r="B4161" s="133">
        <v>9</v>
      </c>
      <c r="C4161" s="133">
        <v>5</v>
      </c>
      <c r="D4161" s="141">
        <f t="shared" si="136"/>
        <v>44444</v>
      </c>
      <c r="E4161" s="275">
        <f t="shared" si="137"/>
        <v>44444</v>
      </c>
      <c r="F4161" s="479" t="s">
        <v>895</v>
      </c>
      <c r="G4161" s="174" t="s">
        <v>94</v>
      </c>
      <c r="H4161" s="148" t="str" cm="1">
        <f t="array" ref="H4161">IFERROR(INDEX(INVESTOR_LIST[INVESTOR NAME],MATCH(I4161,INVESTOR_LIST[INVESTOR CODE],0),)," ")</f>
        <v xml:space="preserve"> </v>
      </c>
      <c r="I4161" s="148" t="s">
        <v>348</v>
      </c>
      <c r="J4161" s="133" t="s">
        <v>168</v>
      </c>
      <c r="K4161" s="172">
        <v>100000</v>
      </c>
    </row>
    <row r="4162" spans="1:15" x14ac:dyDescent="0.2">
      <c r="A4162" s="163">
        <v>2021</v>
      </c>
      <c r="B4162" s="163">
        <v>9</v>
      </c>
      <c r="C4162" s="163">
        <v>5</v>
      </c>
      <c r="D4162" s="141">
        <f t="shared" si="136"/>
        <v>44444</v>
      </c>
      <c r="E4162" s="275">
        <f t="shared" si="137"/>
        <v>44444</v>
      </c>
      <c r="F4162" s="480"/>
      <c r="G4162" s="221" t="s">
        <v>94</v>
      </c>
      <c r="H4162" s="145" t="str" cm="1">
        <f t="array" ref="H4162">IFERROR(INDEX(INVESTOR_LIST[INVESTOR NAME],MATCH(I4162,INVESTOR_LIST[INVESTOR CODE],0),)," ")</f>
        <v xml:space="preserve"> </v>
      </c>
      <c r="I4162" s="145" t="s">
        <v>348</v>
      </c>
      <c r="J4162" s="163" t="s">
        <v>166</v>
      </c>
      <c r="K4162" s="219"/>
      <c r="L4162" s="219">
        <v>100000</v>
      </c>
      <c r="N4162" s="160"/>
    </row>
    <row r="4163" spans="1:15" x14ac:dyDescent="0.2">
      <c r="A4163" s="133">
        <v>2021</v>
      </c>
      <c r="B4163" s="133">
        <v>9</v>
      </c>
      <c r="C4163" s="133">
        <v>5</v>
      </c>
      <c r="D4163" s="141">
        <f t="shared" si="136"/>
        <v>44444</v>
      </c>
      <c r="E4163" s="275">
        <f t="shared" si="137"/>
        <v>44444</v>
      </c>
      <c r="F4163" s="479" t="s">
        <v>77</v>
      </c>
      <c r="G4163" s="174" t="s">
        <v>74</v>
      </c>
      <c r="H4163" s="148" t="str" cm="1">
        <f t="array" ref="H4163">IFERROR(INDEX(INVESTOR_LIST[INVESTOR NAME],MATCH(I4163,INVESTOR_LIST[INVESTOR CODE],0),)," ")</f>
        <v xml:space="preserve"> </v>
      </c>
      <c r="I4163" s="148" t="s">
        <v>348</v>
      </c>
      <c r="J4163" s="133" t="s">
        <v>61</v>
      </c>
      <c r="K4163" s="172">
        <v>60</v>
      </c>
    </row>
    <row r="4164" spans="1:15" ht="11.25" customHeight="1" x14ac:dyDescent="0.2">
      <c r="A4164" s="163">
        <v>2021</v>
      </c>
      <c r="B4164" s="163">
        <v>9</v>
      </c>
      <c r="C4164" s="163">
        <v>5</v>
      </c>
      <c r="D4164" s="141">
        <f t="shared" si="136"/>
        <v>44444</v>
      </c>
      <c r="E4164" s="275">
        <f t="shared" si="137"/>
        <v>44444</v>
      </c>
      <c r="F4164" s="480"/>
      <c r="G4164" s="221" t="s">
        <v>74</v>
      </c>
      <c r="H4164" s="145" t="str" cm="1">
        <f t="array" ref="H4164">IFERROR(INDEX(INVESTOR_LIST[INVESTOR NAME],MATCH(I4164,INVESTOR_LIST[INVESTOR CODE],0),)," ")</f>
        <v xml:space="preserve"> </v>
      </c>
      <c r="I4164" s="145" t="s">
        <v>348</v>
      </c>
      <c r="J4164" s="163" t="s">
        <v>52</v>
      </c>
      <c r="K4164" s="219"/>
      <c r="L4164" s="219">
        <v>60</v>
      </c>
    </row>
    <row r="4165" spans="1:15" x14ac:dyDescent="0.2">
      <c r="A4165" s="168">
        <v>2021</v>
      </c>
      <c r="B4165" s="168">
        <v>9</v>
      </c>
      <c r="C4165" s="168">
        <v>5</v>
      </c>
      <c r="D4165" s="141">
        <f t="shared" si="136"/>
        <v>44444</v>
      </c>
      <c r="E4165" s="275">
        <f t="shared" si="137"/>
        <v>44444</v>
      </c>
      <c r="F4165" s="479" t="s">
        <v>524</v>
      </c>
      <c r="G4165" s="220" t="s">
        <v>74</v>
      </c>
      <c r="H4165" s="220" t="str" cm="1">
        <f t="array" ref="H4165">IFERROR(INDEX(INVESTOR_LIST[INVESTOR NAME],MATCH(I4165,INVESTOR_LIST[INVESTOR CODE],0),)," ")</f>
        <v xml:space="preserve"> </v>
      </c>
      <c r="I4165" s="142" t="s">
        <v>348</v>
      </c>
      <c r="J4165" s="143" t="s">
        <v>147</v>
      </c>
      <c r="K4165" s="226">
        <v>1868108.95</v>
      </c>
      <c r="L4165" s="226"/>
    </row>
    <row r="4166" spans="1:15" x14ac:dyDescent="0.2">
      <c r="A4166" s="163">
        <v>2021</v>
      </c>
      <c r="B4166" s="163">
        <v>9</v>
      </c>
      <c r="C4166" s="163">
        <v>5</v>
      </c>
      <c r="D4166" s="141">
        <f t="shared" si="136"/>
        <v>44444</v>
      </c>
      <c r="E4166" s="275">
        <f t="shared" si="137"/>
        <v>44444</v>
      </c>
      <c r="F4166" s="480"/>
      <c r="G4166" s="221" t="s">
        <v>74</v>
      </c>
      <c r="H4166" s="221" t="str" cm="1">
        <f t="array" ref="H4166">IFERROR(INDEX(INVESTOR_LIST[INVESTOR NAME],MATCH(I4166,INVESTOR_LIST[INVESTOR CODE],0),)," ")</f>
        <v xml:space="preserve"> </v>
      </c>
      <c r="I4166" s="145" t="s">
        <v>348</v>
      </c>
      <c r="J4166" s="146" t="s">
        <v>52</v>
      </c>
      <c r="K4166" s="219"/>
      <c r="L4166" s="219">
        <v>1868108.95</v>
      </c>
    </row>
    <row r="4167" spans="1:15" ht="11.25" customHeight="1" x14ac:dyDescent="0.2">
      <c r="A4167" s="168">
        <v>2021</v>
      </c>
      <c r="B4167" s="168">
        <v>9</v>
      </c>
      <c r="C4167" s="168">
        <v>5</v>
      </c>
      <c r="D4167" s="141">
        <f t="shared" si="136"/>
        <v>44444</v>
      </c>
      <c r="E4167" s="275">
        <f t="shared" si="137"/>
        <v>44444</v>
      </c>
      <c r="F4167" s="479" t="s">
        <v>274</v>
      </c>
      <c r="G4167" s="220" t="s">
        <v>74</v>
      </c>
      <c r="H4167" s="142" t="str" cm="1">
        <f t="array" ref="H4167">IFERROR(INDEX(INVESTOR_LIST[INVESTOR NAME],MATCH(I4167,INVESTOR_LIST[INVESTOR CODE],0),)," ")</f>
        <v xml:space="preserve"> </v>
      </c>
      <c r="I4167" s="142"/>
      <c r="J4167" s="168" t="s">
        <v>79</v>
      </c>
      <c r="K4167" s="226">
        <v>19308556</v>
      </c>
      <c r="L4167" s="226"/>
    </row>
    <row r="4168" spans="1:15" x14ac:dyDescent="0.2">
      <c r="A4168" s="133">
        <v>2021</v>
      </c>
      <c r="B4168" s="133">
        <v>9</v>
      </c>
      <c r="C4168" s="133">
        <v>5</v>
      </c>
      <c r="D4168" s="141">
        <f t="shared" si="136"/>
        <v>44444</v>
      </c>
      <c r="E4168" s="275">
        <f t="shared" si="137"/>
        <v>44444</v>
      </c>
      <c r="F4168" s="481"/>
      <c r="G4168" s="174" t="s">
        <v>74</v>
      </c>
      <c r="H4168" s="148" t="str" cm="1">
        <f t="array" ref="H4168">IFERROR(INDEX(INVESTOR_LIST[INVESTOR NAME],MATCH(I4168,INVESTOR_LIST[INVESTOR CODE],0),)," ")</f>
        <v xml:space="preserve"> </v>
      </c>
      <c r="J4168" s="133" t="s">
        <v>80</v>
      </c>
      <c r="K4168" s="218">
        <v>34755.4</v>
      </c>
      <c r="L4168" s="218"/>
    </row>
    <row r="4169" spans="1:15" x14ac:dyDescent="0.2">
      <c r="A4169" s="163">
        <v>2021</v>
      </c>
      <c r="B4169" s="163">
        <v>9</v>
      </c>
      <c r="C4169" s="163">
        <v>5</v>
      </c>
      <c r="D4169" s="141">
        <f t="shared" si="136"/>
        <v>44444</v>
      </c>
      <c r="E4169" s="275">
        <f t="shared" si="137"/>
        <v>44444</v>
      </c>
      <c r="F4169" s="480"/>
      <c r="G4169" s="221" t="s">
        <v>74</v>
      </c>
      <c r="H4169" s="145" t="str" cm="1">
        <f t="array" ref="H4169">IFERROR(INDEX(INVESTOR_LIST[INVESTOR NAME],MATCH(I4169,INVESTOR_LIST[INVESTOR CODE],0),)," ")</f>
        <v xml:space="preserve"> </v>
      </c>
      <c r="I4169" s="145"/>
      <c r="J4169" s="163" t="s">
        <v>147</v>
      </c>
      <c r="K4169" s="219"/>
      <c r="L4169" s="219">
        <v>19343311.399999999</v>
      </c>
    </row>
    <row r="4170" spans="1:15" ht="11.25" customHeight="1" x14ac:dyDescent="0.2">
      <c r="A4170" s="168">
        <v>2021</v>
      </c>
      <c r="B4170" s="168">
        <v>9</v>
      </c>
      <c r="C4170" s="133">
        <v>5</v>
      </c>
      <c r="D4170" s="141">
        <f t="shared" si="136"/>
        <v>44444</v>
      </c>
      <c r="E4170" s="275">
        <f t="shared" si="137"/>
        <v>44444</v>
      </c>
      <c r="F4170" s="479" t="s">
        <v>254</v>
      </c>
      <c r="G4170" s="220" t="s">
        <v>74</v>
      </c>
      <c r="H4170" s="142" t="str" cm="1">
        <f t="array" ref="H4170">IFERROR(INDEX(INVESTOR_LIST[INVESTOR NAME],MATCH(I4170,INVESTOR_LIST[INVESTOR CODE],0),)," ")</f>
        <v xml:space="preserve"> </v>
      </c>
      <c r="I4170" s="142"/>
      <c r="J4170" s="168" t="s">
        <v>52</v>
      </c>
      <c r="K4170" s="226">
        <v>14000</v>
      </c>
      <c r="L4170" s="226"/>
    </row>
    <row r="4171" spans="1:15" x14ac:dyDescent="0.2">
      <c r="A4171" s="133">
        <v>2021</v>
      </c>
      <c r="B4171" s="133">
        <v>9</v>
      </c>
      <c r="C4171" s="133">
        <v>5</v>
      </c>
      <c r="D4171" s="141">
        <f t="shared" si="136"/>
        <v>44444</v>
      </c>
      <c r="E4171" s="275">
        <f t="shared" si="137"/>
        <v>44444</v>
      </c>
      <c r="F4171" s="481"/>
      <c r="G4171" s="174" t="s">
        <v>74</v>
      </c>
      <c r="H4171" s="148" t="str" cm="1">
        <f t="array" ref="H4171">IFERROR(INDEX(INVESTOR_LIST[INVESTOR NAME],MATCH(I4171,INVESTOR_LIST[INVESTOR CODE],0),)," ")</f>
        <v xml:space="preserve"> </v>
      </c>
      <c r="J4171" s="133" t="s">
        <v>13</v>
      </c>
      <c r="K4171" s="218"/>
      <c r="L4171" s="218">
        <v>9550</v>
      </c>
    </row>
    <row r="4172" spans="1:15" x14ac:dyDescent="0.2">
      <c r="A4172" s="163">
        <v>2021</v>
      </c>
      <c r="B4172" s="163">
        <v>9</v>
      </c>
      <c r="C4172" s="163">
        <v>5</v>
      </c>
      <c r="D4172" s="141">
        <f t="shared" si="136"/>
        <v>44444</v>
      </c>
      <c r="E4172" s="275">
        <f t="shared" si="137"/>
        <v>44444</v>
      </c>
      <c r="F4172" s="480"/>
      <c r="G4172" s="221" t="s">
        <v>74</v>
      </c>
      <c r="H4172" s="145" t="str" cm="1">
        <f t="array" ref="H4172">IFERROR(INDEX(INVESTOR_LIST[INVESTOR NAME],MATCH(I4172,INVESTOR_LIST[INVESTOR CODE],0),)," ")</f>
        <v xml:space="preserve"> </v>
      </c>
      <c r="I4172" s="145"/>
      <c r="J4172" s="163" t="s">
        <v>53</v>
      </c>
      <c r="K4172" s="219"/>
      <c r="L4172" s="219">
        <v>4450</v>
      </c>
    </row>
    <row r="4173" spans="1:15" ht="11.25" customHeight="1" x14ac:dyDescent="0.2">
      <c r="A4173" s="168">
        <v>2021</v>
      </c>
      <c r="B4173" s="168">
        <v>9</v>
      </c>
      <c r="C4173" s="133">
        <v>5</v>
      </c>
      <c r="D4173" s="141">
        <f t="shared" si="136"/>
        <v>44444</v>
      </c>
      <c r="E4173" s="275">
        <f t="shared" si="137"/>
        <v>44444</v>
      </c>
      <c r="F4173" s="479" t="s">
        <v>964</v>
      </c>
      <c r="G4173" s="220" t="s">
        <v>74</v>
      </c>
      <c r="H4173" s="142" t="str" cm="1">
        <f t="array" ref="H4173">IFERROR(INDEX(INVESTOR_LIST[INVESTOR NAME],MATCH(I4173,INVESTOR_LIST[INVESTOR CODE],0),)," ")</f>
        <v>UMME SALMA KATHA</v>
      </c>
      <c r="I4173" s="142" t="s">
        <v>830</v>
      </c>
      <c r="J4173" s="168" t="s">
        <v>52</v>
      </c>
      <c r="K4173" s="226">
        <v>1387000</v>
      </c>
      <c r="L4173" s="226"/>
    </row>
    <row r="4174" spans="1:15" ht="33.75" x14ac:dyDescent="0.2">
      <c r="A4174" s="133">
        <v>2021</v>
      </c>
      <c r="B4174" s="133">
        <v>9</v>
      </c>
      <c r="C4174" s="133">
        <v>5</v>
      </c>
      <c r="D4174" s="141">
        <f t="shared" ref="D4174:D4237" si="138">DATE(A4174,B4174,C4174)</f>
        <v>44444</v>
      </c>
      <c r="E4174" s="275">
        <f t="shared" si="137"/>
        <v>44444</v>
      </c>
      <c r="F4174" s="481"/>
      <c r="G4174" s="174" t="s">
        <v>74</v>
      </c>
      <c r="H4174" s="148" t="str" cm="1">
        <f t="array" ref="H4174">IFERROR(INDEX(INVESTOR_LIST[INVESTOR NAME],MATCH(I4174,INVESTOR_LIST[INVESTOR CODE],0),)," ")</f>
        <v>UMME SALMA KATHA</v>
      </c>
      <c r="I4174" s="148" t="s">
        <v>830</v>
      </c>
      <c r="J4174" s="133" t="s">
        <v>13</v>
      </c>
      <c r="K4174" s="218"/>
      <c r="L4174" s="218">
        <v>945500</v>
      </c>
    </row>
    <row r="4175" spans="1:15" ht="33.75" x14ac:dyDescent="0.2">
      <c r="A4175" s="163">
        <v>2021</v>
      </c>
      <c r="B4175" s="163">
        <v>9</v>
      </c>
      <c r="C4175" s="163">
        <v>5</v>
      </c>
      <c r="D4175" s="141">
        <f t="shared" si="138"/>
        <v>44444</v>
      </c>
      <c r="E4175" s="275">
        <f t="shared" ref="E4175:E4238" si="139">DATE(A4175,B4175,C4175)</f>
        <v>44444</v>
      </c>
      <c r="F4175" s="480"/>
      <c r="G4175" s="221" t="s">
        <v>74</v>
      </c>
      <c r="H4175" s="145" t="str" cm="1">
        <f t="array" ref="H4175">IFERROR(INDEX(INVESTOR_LIST[INVESTOR NAME],MATCH(I4175,INVESTOR_LIST[INVESTOR CODE],0),)," ")</f>
        <v>UMME SALMA KATHA</v>
      </c>
      <c r="I4175" s="145" t="s">
        <v>830</v>
      </c>
      <c r="J4175" s="163" t="s">
        <v>53</v>
      </c>
      <c r="K4175" s="219"/>
      <c r="L4175" s="219">
        <v>441500</v>
      </c>
      <c r="O4175" s="264"/>
    </row>
    <row r="4176" spans="1:15" x14ac:dyDescent="0.2">
      <c r="A4176" s="168">
        <v>2021</v>
      </c>
      <c r="B4176" s="168">
        <v>9</v>
      </c>
      <c r="C4176" s="168">
        <v>6</v>
      </c>
      <c r="D4176" s="141">
        <f t="shared" si="138"/>
        <v>44445</v>
      </c>
      <c r="E4176" s="275">
        <f t="shared" si="139"/>
        <v>44445</v>
      </c>
      <c r="F4176" s="479" t="s">
        <v>524</v>
      </c>
      <c r="G4176" s="220" t="s">
        <v>74</v>
      </c>
      <c r="H4176" s="220" t="str" cm="1">
        <f t="array" ref="H4176">IFERROR(INDEX(INVESTOR_LIST[INVESTOR NAME],MATCH(I4176,INVESTOR_LIST[INVESTOR CODE],0),)," ")</f>
        <v xml:space="preserve"> </v>
      </c>
      <c r="I4176" s="142" t="s">
        <v>348</v>
      </c>
      <c r="J4176" s="143" t="s">
        <v>147</v>
      </c>
      <c r="K4176" s="226">
        <v>19343311.399999999</v>
      </c>
      <c r="L4176" s="226"/>
      <c r="N4176" s="156">
        <f>L4192/14.67</f>
        <v>74126.546693933196</v>
      </c>
      <c r="O4176" s="160"/>
    </row>
    <row r="4177" spans="1:15" x14ac:dyDescent="0.2">
      <c r="A4177" s="163">
        <v>2021</v>
      </c>
      <c r="B4177" s="163">
        <v>9</v>
      </c>
      <c r="C4177" s="163">
        <v>6</v>
      </c>
      <c r="D4177" s="141">
        <f t="shared" si="138"/>
        <v>44445</v>
      </c>
      <c r="E4177" s="275">
        <f t="shared" si="139"/>
        <v>44445</v>
      </c>
      <c r="F4177" s="480"/>
      <c r="G4177" s="221" t="s">
        <v>74</v>
      </c>
      <c r="H4177" s="221" t="str" cm="1">
        <f t="array" ref="H4177">IFERROR(INDEX(INVESTOR_LIST[INVESTOR NAME],MATCH(I4177,INVESTOR_LIST[INVESTOR CODE],0),)," ")</f>
        <v xml:space="preserve"> </v>
      </c>
      <c r="I4177" s="145" t="s">
        <v>348</v>
      </c>
      <c r="J4177" s="146" t="s">
        <v>52</v>
      </c>
      <c r="K4177" s="219"/>
      <c r="L4177" s="219">
        <v>19343311.399999999</v>
      </c>
      <c r="O4177" s="160"/>
    </row>
    <row r="4178" spans="1:15" ht="11.25" customHeight="1" x14ac:dyDescent="0.2">
      <c r="A4178" s="168">
        <v>2021</v>
      </c>
      <c r="B4178" s="168">
        <v>9</v>
      </c>
      <c r="C4178" s="133">
        <v>6</v>
      </c>
      <c r="D4178" s="141">
        <f t="shared" si="138"/>
        <v>44445</v>
      </c>
      <c r="E4178" s="275">
        <f t="shared" si="139"/>
        <v>44445</v>
      </c>
      <c r="F4178" s="479" t="s">
        <v>254</v>
      </c>
      <c r="G4178" s="220" t="s">
        <v>74</v>
      </c>
      <c r="H4178" s="142" t="str" cm="1">
        <f t="array" ref="H4178">IFERROR(INDEX(INVESTOR_LIST[INVESTOR NAME],MATCH(I4178,INVESTOR_LIST[INVESTOR CODE],0),)," ")</f>
        <v xml:space="preserve"> </v>
      </c>
      <c r="I4178" s="142"/>
      <c r="J4178" s="168" t="s">
        <v>52</v>
      </c>
      <c r="K4178" s="226">
        <v>10000</v>
      </c>
      <c r="L4178" s="226"/>
    </row>
    <row r="4179" spans="1:15" x14ac:dyDescent="0.2">
      <c r="A4179" s="133">
        <v>2021</v>
      </c>
      <c r="B4179" s="133">
        <v>9</v>
      </c>
      <c r="C4179" s="133">
        <v>6</v>
      </c>
      <c r="D4179" s="141">
        <f t="shared" si="138"/>
        <v>44445</v>
      </c>
      <c r="E4179" s="275">
        <f t="shared" si="139"/>
        <v>44445</v>
      </c>
      <c r="F4179" s="481"/>
      <c r="G4179" s="174" t="s">
        <v>74</v>
      </c>
      <c r="H4179" s="148" t="str" cm="1">
        <f t="array" ref="H4179">IFERROR(INDEX(INVESTOR_LIST[INVESTOR NAME],MATCH(I4179,INVESTOR_LIST[INVESTOR CODE],0),)," ")</f>
        <v xml:space="preserve"> </v>
      </c>
      <c r="J4179" s="133" t="s">
        <v>13</v>
      </c>
      <c r="K4179" s="218"/>
      <c r="L4179" s="218">
        <v>6820</v>
      </c>
    </row>
    <row r="4180" spans="1:15" x14ac:dyDescent="0.2">
      <c r="A4180" s="163">
        <v>2021</v>
      </c>
      <c r="B4180" s="163">
        <v>9</v>
      </c>
      <c r="C4180" s="163">
        <v>6</v>
      </c>
      <c r="D4180" s="141">
        <f t="shared" si="138"/>
        <v>44445</v>
      </c>
      <c r="E4180" s="275">
        <f t="shared" si="139"/>
        <v>44445</v>
      </c>
      <c r="F4180" s="480"/>
      <c r="G4180" s="221" t="s">
        <v>74</v>
      </c>
      <c r="H4180" s="145" t="str" cm="1">
        <f t="array" ref="H4180">IFERROR(INDEX(INVESTOR_LIST[INVESTOR NAME],MATCH(I4180,INVESTOR_LIST[INVESTOR CODE],0),)," ")</f>
        <v xml:space="preserve"> </v>
      </c>
      <c r="I4180" s="145"/>
      <c r="J4180" s="163" t="s">
        <v>53</v>
      </c>
      <c r="K4180" s="219"/>
      <c r="L4180" s="219">
        <v>3180</v>
      </c>
    </row>
    <row r="4181" spans="1:15" x14ac:dyDescent="0.2">
      <c r="A4181" s="168">
        <v>2021</v>
      </c>
      <c r="B4181" s="168">
        <v>9</v>
      </c>
      <c r="C4181" s="168">
        <v>6</v>
      </c>
      <c r="D4181" s="141">
        <f t="shared" si="138"/>
        <v>44445</v>
      </c>
      <c r="E4181" s="275">
        <f t="shared" si="139"/>
        <v>44445</v>
      </c>
      <c r="F4181" s="479" t="s">
        <v>274</v>
      </c>
      <c r="G4181" s="220" t="s">
        <v>74</v>
      </c>
      <c r="H4181" s="142" t="str" cm="1">
        <f t="array" ref="H4181">IFERROR(INDEX(INVESTOR_LIST[INVESTOR NAME],MATCH(I4181,INVESTOR_LIST[INVESTOR CODE],0),)," ")</f>
        <v xml:space="preserve"> </v>
      </c>
      <c r="I4181" s="142"/>
      <c r="J4181" s="168" t="s">
        <v>79</v>
      </c>
      <c r="K4181" s="226">
        <v>7447659.9000000004</v>
      </c>
      <c r="L4181" s="226"/>
    </row>
    <row r="4182" spans="1:15" x14ac:dyDescent="0.2">
      <c r="A4182" s="133">
        <v>2021</v>
      </c>
      <c r="B4182" s="133">
        <v>9</v>
      </c>
      <c r="C4182" s="133">
        <v>6</v>
      </c>
      <c r="D4182" s="141">
        <f t="shared" si="138"/>
        <v>44445</v>
      </c>
      <c r="E4182" s="275">
        <f t="shared" si="139"/>
        <v>44445</v>
      </c>
      <c r="F4182" s="481"/>
      <c r="G4182" s="174" t="s">
        <v>74</v>
      </c>
      <c r="H4182" s="148" t="str" cm="1">
        <f t="array" ref="H4182">IFERROR(INDEX(INVESTOR_LIST[INVESTOR NAME],MATCH(I4182,INVESTOR_LIST[INVESTOR CODE],0),)," ")</f>
        <v xml:space="preserve"> </v>
      </c>
      <c r="J4182" s="133" t="s">
        <v>80</v>
      </c>
      <c r="K4182" s="218">
        <v>13405.79</v>
      </c>
      <c r="L4182" s="218"/>
      <c r="N4182" s="156">
        <f>L4195/14.67</f>
        <v>22471.256305385141</v>
      </c>
    </row>
    <row r="4183" spans="1:15" x14ac:dyDescent="0.2">
      <c r="A4183" s="163">
        <v>2021</v>
      </c>
      <c r="B4183" s="163">
        <v>9</v>
      </c>
      <c r="C4183" s="163">
        <v>6</v>
      </c>
      <c r="D4183" s="141">
        <f t="shared" si="138"/>
        <v>44445</v>
      </c>
      <c r="E4183" s="275">
        <f t="shared" si="139"/>
        <v>44445</v>
      </c>
      <c r="F4183" s="480"/>
      <c r="G4183" s="221" t="s">
        <v>74</v>
      </c>
      <c r="H4183" s="145" t="str" cm="1">
        <f t="array" ref="H4183">IFERROR(INDEX(INVESTOR_LIST[INVESTOR NAME],MATCH(I4183,INVESTOR_LIST[INVESTOR CODE],0),)," ")</f>
        <v xml:space="preserve"> </v>
      </c>
      <c r="I4183" s="145"/>
      <c r="J4183" s="163" t="s">
        <v>147</v>
      </c>
      <c r="K4183" s="219"/>
      <c r="L4183" s="219">
        <v>7461065.6900000004</v>
      </c>
    </row>
    <row r="4184" spans="1:15" x14ac:dyDescent="0.2">
      <c r="A4184" s="168">
        <v>2021</v>
      </c>
      <c r="B4184" s="168">
        <v>9</v>
      </c>
      <c r="C4184" s="168">
        <v>6</v>
      </c>
      <c r="D4184" s="141">
        <f t="shared" si="138"/>
        <v>44445</v>
      </c>
      <c r="E4184" s="275">
        <f t="shared" si="139"/>
        <v>44445</v>
      </c>
      <c r="F4184" s="479" t="s">
        <v>877</v>
      </c>
      <c r="G4184" s="220" t="s">
        <v>74</v>
      </c>
      <c r="H4184" s="142" t="str" cm="1">
        <f t="array" ref="H4184">IFERROR(INDEX(INVESTOR_LIST[INVESTOR NAME],MATCH(I4184,INVESTOR_LIST[INVESTOR CODE],0),)," ")</f>
        <v xml:space="preserve"> </v>
      </c>
      <c r="I4184" s="142"/>
      <c r="J4184" s="168" t="s">
        <v>79</v>
      </c>
      <c r="K4184" s="226">
        <v>3369066</v>
      </c>
      <c r="L4184" s="226"/>
    </row>
    <row r="4185" spans="1:15" x14ac:dyDescent="0.2">
      <c r="A4185" s="133">
        <v>2021</v>
      </c>
      <c r="B4185" s="133">
        <v>9</v>
      </c>
      <c r="C4185" s="133">
        <v>6</v>
      </c>
      <c r="D4185" s="141">
        <f t="shared" si="138"/>
        <v>44445</v>
      </c>
      <c r="E4185" s="275">
        <f t="shared" si="139"/>
        <v>44445</v>
      </c>
      <c r="F4185" s="481"/>
      <c r="G4185" s="174" t="s">
        <v>74</v>
      </c>
      <c r="H4185" s="148" t="str" cm="1">
        <f t="array" ref="H4185">IFERROR(INDEX(INVESTOR_LIST[INVESTOR NAME],MATCH(I4185,INVESTOR_LIST[INVESTOR CODE],0),)," ")</f>
        <v xml:space="preserve"> </v>
      </c>
      <c r="J4185" s="133" t="s">
        <v>80</v>
      </c>
      <c r="K4185" s="218">
        <v>6064.32</v>
      </c>
      <c r="L4185" s="218"/>
    </row>
    <row r="4186" spans="1:15" x14ac:dyDescent="0.2">
      <c r="A4186" s="163">
        <v>2021</v>
      </c>
      <c r="B4186" s="163">
        <v>9</v>
      </c>
      <c r="C4186" s="163">
        <v>6</v>
      </c>
      <c r="D4186" s="141">
        <f t="shared" si="138"/>
        <v>44445</v>
      </c>
      <c r="E4186" s="275">
        <f t="shared" si="139"/>
        <v>44445</v>
      </c>
      <c r="F4186" s="480"/>
      <c r="G4186" s="221" t="s">
        <v>74</v>
      </c>
      <c r="H4186" s="145" t="str" cm="1">
        <f t="array" ref="H4186">IFERROR(INDEX(INVESTOR_LIST[INVESTOR NAME],MATCH(I4186,INVESTOR_LIST[INVESTOR CODE],0),)," ")</f>
        <v xml:space="preserve"> </v>
      </c>
      <c r="I4186" s="145"/>
      <c r="J4186" s="163" t="s">
        <v>147</v>
      </c>
      <c r="K4186" s="219"/>
      <c r="L4186" s="219">
        <v>3375130.32</v>
      </c>
    </row>
    <row r="4187" spans="1:15" x14ac:dyDescent="0.2">
      <c r="A4187" s="133">
        <v>2021</v>
      </c>
      <c r="B4187" s="133">
        <v>9</v>
      </c>
      <c r="C4187" s="133">
        <v>7</v>
      </c>
      <c r="D4187" s="141">
        <f t="shared" si="138"/>
        <v>44446</v>
      </c>
      <c r="E4187" s="275">
        <f t="shared" si="139"/>
        <v>44446</v>
      </c>
      <c r="F4187" s="479" t="s">
        <v>891</v>
      </c>
      <c r="G4187" s="220" t="s">
        <v>74</v>
      </c>
      <c r="H4187" s="142" t="str" cm="1">
        <f t="array" ref="H4187">IFERROR(INDEX(INVESTOR_LIST[INVESTOR NAME],MATCH(I4187,INVESTOR_LIST[INVESTOR CODE],0),)," ")</f>
        <v xml:space="preserve"> </v>
      </c>
      <c r="I4187" s="142"/>
      <c r="J4187" s="168" t="s">
        <v>184</v>
      </c>
      <c r="K4187" s="226">
        <v>10000000</v>
      </c>
      <c r="L4187" s="226"/>
      <c r="M4187" s="160"/>
    </row>
    <row r="4188" spans="1:15" x14ac:dyDescent="0.2">
      <c r="A4188" s="133">
        <v>2021</v>
      </c>
      <c r="B4188" s="133">
        <v>9</v>
      </c>
      <c r="C4188" s="133">
        <v>7</v>
      </c>
      <c r="D4188" s="141">
        <f t="shared" si="138"/>
        <v>44446</v>
      </c>
      <c r="E4188" s="275">
        <f t="shared" si="139"/>
        <v>44446</v>
      </c>
      <c r="F4188" s="481"/>
      <c r="G4188" s="174" t="s">
        <v>74</v>
      </c>
      <c r="H4188" s="148" t="str" cm="1">
        <f t="array" ref="H4188">IFERROR(INDEX(INVESTOR_LIST[INVESTOR NAME],MATCH(I4188,INVESTOR_LIST[INVESTOR CODE],0),)," ")</f>
        <v xml:space="preserve"> </v>
      </c>
      <c r="J4188" s="133" t="s">
        <v>61</v>
      </c>
      <c r="K4188" s="218">
        <v>115</v>
      </c>
      <c r="L4188" s="218"/>
    </row>
    <row r="4189" spans="1:15" x14ac:dyDescent="0.2">
      <c r="A4189" s="163">
        <v>2021</v>
      </c>
      <c r="B4189" s="163">
        <v>9</v>
      </c>
      <c r="C4189" s="163">
        <v>7</v>
      </c>
      <c r="D4189" s="141">
        <f t="shared" si="138"/>
        <v>44446</v>
      </c>
      <c r="E4189" s="275">
        <f t="shared" si="139"/>
        <v>44446</v>
      </c>
      <c r="F4189" s="480"/>
      <c r="G4189" s="221" t="s">
        <v>74</v>
      </c>
      <c r="H4189" s="145" t="str" cm="1">
        <f t="array" ref="H4189">IFERROR(INDEX(INVESTOR_LIST[INVESTOR NAME],MATCH(I4189,INVESTOR_LIST[INVESTOR CODE],0),)," ")</f>
        <v xml:space="preserve"> </v>
      </c>
      <c r="I4189" s="145"/>
      <c r="J4189" s="163" t="s">
        <v>52</v>
      </c>
      <c r="K4189" s="219"/>
      <c r="L4189" s="219">
        <v>10000115</v>
      </c>
    </row>
    <row r="4190" spans="1:15" ht="45" x14ac:dyDescent="0.2">
      <c r="A4190" s="133">
        <v>2021</v>
      </c>
      <c r="B4190" s="133">
        <v>9</v>
      </c>
      <c r="C4190" s="133">
        <v>7</v>
      </c>
      <c r="D4190" s="141">
        <f t="shared" si="138"/>
        <v>44446</v>
      </c>
      <c r="E4190" s="275">
        <f t="shared" si="139"/>
        <v>44446</v>
      </c>
      <c r="F4190" s="479" t="s">
        <v>965</v>
      </c>
      <c r="G4190" s="174" t="s">
        <v>74</v>
      </c>
      <c r="H4190" s="174" t="str" cm="1">
        <f t="array" ref="H4190">IFERROR(INDEX(INVESTOR_LIST[INVESTOR NAME],MATCH(I4190,INVESTOR_LIST[INVESTOR CODE],0),)," ")</f>
        <v>MD. AHSAN-UZ ZAMAN</v>
      </c>
      <c r="I4190" s="148" t="s">
        <v>817</v>
      </c>
      <c r="J4190" s="149" t="s">
        <v>13</v>
      </c>
      <c r="K4190" s="218">
        <v>741290</v>
      </c>
      <c r="L4190" s="218"/>
    </row>
    <row r="4191" spans="1:15" ht="45" x14ac:dyDescent="0.2">
      <c r="A4191" s="133">
        <v>2021</v>
      </c>
      <c r="B4191" s="133">
        <v>9</v>
      </c>
      <c r="C4191" s="133">
        <v>7</v>
      </c>
      <c r="D4191" s="141">
        <f t="shared" si="138"/>
        <v>44446</v>
      </c>
      <c r="E4191" s="275">
        <f t="shared" si="139"/>
        <v>44446</v>
      </c>
      <c r="F4191" s="481"/>
      <c r="G4191" s="174" t="s">
        <v>74</v>
      </c>
      <c r="H4191" s="174" t="str" cm="1">
        <f t="array" ref="H4191">IFERROR(INDEX(INVESTOR_LIST[INVESTOR NAME],MATCH(I4191,INVESTOR_LIST[INVESTOR CODE],0),)," ")</f>
        <v>MD. AHSAN-UZ ZAMAN</v>
      </c>
      <c r="I4191" s="148" t="s">
        <v>817</v>
      </c>
      <c r="J4191" s="149" t="s">
        <v>53</v>
      </c>
      <c r="K4191" s="218">
        <v>346146.44</v>
      </c>
      <c r="L4191" s="218"/>
    </row>
    <row r="4192" spans="1:15" ht="45" x14ac:dyDescent="0.2">
      <c r="A4192" s="163">
        <v>2021</v>
      </c>
      <c r="B4192" s="163">
        <v>9</v>
      </c>
      <c r="C4192" s="163">
        <v>7</v>
      </c>
      <c r="D4192" s="141">
        <f t="shared" si="138"/>
        <v>44446</v>
      </c>
      <c r="E4192" s="275">
        <f t="shared" si="139"/>
        <v>44446</v>
      </c>
      <c r="F4192" s="480"/>
      <c r="G4192" s="221" t="s">
        <v>74</v>
      </c>
      <c r="H4192" s="221" t="str" cm="1">
        <f t="array" ref="H4192">IFERROR(INDEX(INVESTOR_LIST[INVESTOR NAME],MATCH(I4192,INVESTOR_LIST[INVESTOR CODE],0),)," ")</f>
        <v>MD. AHSAN-UZ ZAMAN</v>
      </c>
      <c r="I4192" s="145" t="s">
        <v>817</v>
      </c>
      <c r="J4192" s="146" t="s">
        <v>52</v>
      </c>
      <c r="K4192" s="219"/>
      <c r="L4192" s="219">
        <v>1087436.44</v>
      </c>
    </row>
    <row r="4193" spans="1:14" ht="11.25" customHeight="1" x14ac:dyDescent="0.2">
      <c r="A4193" s="133">
        <v>2021</v>
      </c>
      <c r="B4193" s="133">
        <v>9</v>
      </c>
      <c r="C4193" s="168">
        <v>7</v>
      </c>
      <c r="D4193" s="141">
        <f t="shared" si="138"/>
        <v>44446</v>
      </c>
      <c r="E4193" s="275">
        <f t="shared" si="139"/>
        <v>44446</v>
      </c>
      <c r="F4193" s="479" t="s">
        <v>965</v>
      </c>
      <c r="G4193" s="174" t="s">
        <v>74</v>
      </c>
      <c r="H4193" s="174" t="str" cm="1">
        <f t="array" ref="H4193">IFERROR(INDEX(INVESTOR_LIST[INVESTOR NAME],MATCH(I4193,INVESTOR_LIST[INVESTOR CODE],0),)," ")</f>
        <v>MASTURA MUNIAT</v>
      </c>
      <c r="I4193" s="148" t="s">
        <v>775</v>
      </c>
      <c r="J4193" s="149" t="s">
        <v>13</v>
      </c>
      <c r="K4193" s="218">
        <v>224720</v>
      </c>
      <c r="L4193" s="218"/>
    </row>
    <row r="4194" spans="1:14" ht="33.75" x14ac:dyDescent="0.2">
      <c r="A4194" s="133">
        <v>2021</v>
      </c>
      <c r="B4194" s="133">
        <v>9</v>
      </c>
      <c r="C4194" s="133">
        <v>7</v>
      </c>
      <c r="D4194" s="141">
        <f t="shared" si="138"/>
        <v>44446</v>
      </c>
      <c r="E4194" s="275">
        <f t="shared" si="139"/>
        <v>44446</v>
      </c>
      <c r="F4194" s="481"/>
      <c r="G4194" s="174" t="s">
        <v>74</v>
      </c>
      <c r="H4194" s="174" t="str" cm="1">
        <f t="array" ref="H4194">IFERROR(INDEX(INVESTOR_LIST[INVESTOR NAME],MATCH(I4194,INVESTOR_LIST[INVESTOR CODE],0),)," ")</f>
        <v>MASTURA MUNIAT</v>
      </c>
      <c r="I4194" s="148" t="s">
        <v>775</v>
      </c>
      <c r="J4194" s="149" t="s">
        <v>53</v>
      </c>
      <c r="K4194" s="218">
        <v>104933.33</v>
      </c>
      <c r="L4194" s="218"/>
    </row>
    <row r="4195" spans="1:14" ht="33.75" x14ac:dyDescent="0.2">
      <c r="A4195" s="163">
        <v>2021</v>
      </c>
      <c r="B4195" s="163">
        <v>9</v>
      </c>
      <c r="C4195" s="163">
        <v>7</v>
      </c>
      <c r="D4195" s="141">
        <f t="shared" si="138"/>
        <v>44446</v>
      </c>
      <c r="E4195" s="275">
        <f t="shared" si="139"/>
        <v>44446</v>
      </c>
      <c r="F4195" s="480"/>
      <c r="G4195" s="221" t="s">
        <v>74</v>
      </c>
      <c r="H4195" s="221" t="str" cm="1">
        <f t="array" ref="H4195">IFERROR(INDEX(INVESTOR_LIST[INVESTOR NAME],MATCH(I4195,INVESTOR_LIST[INVESTOR CODE],0),)," ")</f>
        <v>MASTURA MUNIAT</v>
      </c>
      <c r="I4195" s="145" t="s">
        <v>775</v>
      </c>
      <c r="J4195" s="146" t="s">
        <v>52</v>
      </c>
      <c r="K4195" s="219"/>
      <c r="L4195" s="219">
        <v>329653.33</v>
      </c>
    </row>
    <row r="4196" spans="1:14" x14ac:dyDescent="0.2">
      <c r="A4196" s="168">
        <v>2021</v>
      </c>
      <c r="B4196" s="168">
        <v>9</v>
      </c>
      <c r="C4196" s="168">
        <v>7</v>
      </c>
      <c r="D4196" s="141">
        <f t="shared" si="138"/>
        <v>44446</v>
      </c>
      <c r="E4196" s="275">
        <f t="shared" si="139"/>
        <v>44446</v>
      </c>
      <c r="F4196" s="479" t="s">
        <v>877</v>
      </c>
      <c r="G4196" s="220" t="s">
        <v>74</v>
      </c>
      <c r="H4196" s="142" t="str" cm="1">
        <f t="array" ref="H4196">IFERROR(INDEX(INVESTOR_LIST[INVESTOR NAME],MATCH(I4196,INVESTOR_LIST[INVESTOR CODE],0),)," ")</f>
        <v xml:space="preserve"> </v>
      </c>
      <c r="I4196" s="142"/>
      <c r="J4196" s="168" t="s">
        <v>79</v>
      </c>
      <c r="K4196" s="226">
        <v>20257387.699999999</v>
      </c>
      <c r="L4196" s="226"/>
    </row>
    <row r="4197" spans="1:14" x14ac:dyDescent="0.2">
      <c r="A4197" s="133">
        <v>2021</v>
      </c>
      <c r="B4197" s="133">
        <v>9</v>
      </c>
      <c r="C4197" s="133">
        <v>7</v>
      </c>
      <c r="D4197" s="141">
        <f t="shared" si="138"/>
        <v>44446</v>
      </c>
      <c r="E4197" s="275">
        <f t="shared" si="139"/>
        <v>44446</v>
      </c>
      <c r="F4197" s="481"/>
      <c r="G4197" s="174" t="s">
        <v>74</v>
      </c>
      <c r="H4197" s="148" t="str" cm="1">
        <f t="array" ref="H4197">IFERROR(INDEX(INVESTOR_LIST[INVESTOR NAME],MATCH(I4197,INVESTOR_LIST[INVESTOR CODE],0),)," ")</f>
        <v xml:space="preserve"> </v>
      </c>
      <c r="J4197" s="133" t="s">
        <v>80</v>
      </c>
      <c r="K4197" s="218">
        <v>36463.300000000003</v>
      </c>
      <c r="L4197" s="218"/>
    </row>
    <row r="4198" spans="1:14" ht="11.25" customHeight="1" x14ac:dyDescent="0.2">
      <c r="A4198" s="163">
        <v>2021</v>
      </c>
      <c r="B4198" s="163">
        <v>9</v>
      </c>
      <c r="C4198" s="163">
        <v>7</v>
      </c>
      <c r="D4198" s="141">
        <f t="shared" si="138"/>
        <v>44446</v>
      </c>
      <c r="E4198" s="275">
        <f t="shared" si="139"/>
        <v>44446</v>
      </c>
      <c r="F4198" s="480"/>
      <c r="G4198" s="221" t="s">
        <v>74</v>
      </c>
      <c r="H4198" s="145" t="str" cm="1">
        <f t="array" ref="H4198">IFERROR(INDEX(INVESTOR_LIST[INVESTOR NAME],MATCH(I4198,INVESTOR_LIST[INVESTOR CODE],0),)," ")</f>
        <v xml:space="preserve"> </v>
      </c>
      <c r="I4198" s="145"/>
      <c r="J4198" s="163" t="s">
        <v>147</v>
      </c>
      <c r="K4198" s="219"/>
      <c r="L4198" s="219">
        <v>20293851</v>
      </c>
    </row>
    <row r="4199" spans="1:14" x14ac:dyDescent="0.2">
      <c r="A4199" s="168">
        <v>2021</v>
      </c>
      <c r="B4199" s="168">
        <v>9</v>
      </c>
      <c r="C4199" s="133">
        <v>7</v>
      </c>
      <c r="D4199" s="141">
        <f t="shared" si="138"/>
        <v>44446</v>
      </c>
      <c r="E4199" s="275">
        <f t="shared" si="139"/>
        <v>44446</v>
      </c>
      <c r="F4199" s="479" t="s">
        <v>880</v>
      </c>
      <c r="G4199" s="220" t="s">
        <v>74</v>
      </c>
      <c r="H4199" s="142" t="str" cm="1">
        <f t="array" ref="H4199">IFERROR(INDEX(INVESTOR_LIST[INVESTOR NAME],MATCH(I4199,INVESTOR_LIST[INVESTOR CODE],0),)," ")</f>
        <v xml:space="preserve"> </v>
      </c>
      <c r="I4199" s="142"/>
      <c r="J4199" s="168" t="s">
        <v>52</v>
      </c>
      <c r="K4199" s="226">
        <v>321500</v>
      </c>
      <c r="L4199" s="226"/>
    </row>
    <row r="4200" spans="1:14" x14ac:dyDescent="0.2">
      <c r="A4200" s="133">
        <v>2021</v>
      </c>
      <c r="B4200" s="133">
        <v>9</v>
      </c>
      <c r="C4200" s="133">
        <v>7</v>
      </c>
      <c r="D4200" s="141">
        <f t="shared" si="138"/>
        <v>44446</v>
      </c>
      <c r="E4200" s="275">
        <f t="shared" si="139"/>
        <v>44446</v>
      </c>
      <c r="F4200" s="481"/>
      <c r="G4200" s="174" t="s">
        <v>74</v>
      </c>
      <c r="H4200" s="148" t="str" cm="1">
        <f t="array" ref="H4200">IFERROR(INDEX(INVESTOR_LIST[INVESTOR NAME],MATCH(I4200,INVESTOR_LIST[INVESTOR CODE],0),)," ")</f>
        <v xml:space="preserve"> </v>
      </c>
      <c r="J4200" s="133" t="s">
        <v>13</v>
      </c>
      <c r="K4200" s="218"/>
      <c r="L4200" s="218">
        <v>219150</v>
      </c>
      <c r="N4200" s="156">
        <f>K4215/14.67</f>
        <v>13633.265167007499</v>
      </c>
    </row>
    <row r="4201" spans="1:14" x14ac:dyDescent="0.2">
      <c r="A4201" s="163">
        <v>2021</v>
      </c>
      <c r="B4201" s="163">
        <v>9</v>
      </c>
      <c r="C4201" s="163">
        <v>7</v>
      </c>
      <c r="D4201" s="141">
        <f t="shared" si="138"/>
        <v>44446</v>
      </c>
      <c r="E4201" s="275">
        <f t="shared" si="139"/>
        <v>44446</v>
      </c>
      <c r="F4201" s="480"/>
      <c r="G4201" s="221" t="s">
        <v>74</v>
      </c>
      <c r="H4201" s="145" t="str" cm="1">
        <f t="array" ref="H4201">IFERROR(INDEX(INVESTOR_LIST[INVESTOR NAME],MATCH(I4201,INVESTOR_LIST[INVESTOR CODE],0),)," ")</f>
        <v xml:space="preserve"> </v>
      </c>
      <c r="I4201" s="145"/>
      <c r="J4201" s="163" t="s">
        <v>53</v>
      </c>
      <c r="K4201" s="219"/>
      <c r="L4201" s="219">
        <v>102350</v>
      </c>
    </row>
    <row r="4202" spans="1:14" x14ac:dyDescent="0.2">
      <c r="A4202" s="168">
        <v>2021</v>
      </c>
      <c r="B4202" s="168">
        <v>9</v>
      </c>
      <c r="C4202" s="168">
        <v>7</v>
      </c>
      <c r="D4202" s="141">
        <f t="shared" si="138"/>
        <v>44446</v>
      </c>
      <c r="E4202" s="275">
        <f t="shared" si="139"/>
        <v>44446</v>
      </c>
      <c r="F4202" s="479" t="s">
        <v>233</v>
      </c>
      <c r="G4202" s="220" t="s">
        <v>74</v>
      </c>
      <c r="H4202" s="220" t="str" cm="1">
        <f t="array" ref="H4202">IFERROR(INDEX(INVESTOR_LIST[INVESTOR NAME],MATCH(I4202,INVESTOR_LIST[INVESTOR CODE],0),)," ")</f>
        <v xml:space="preserve"> </v>
      </c>
      <c r="I4202" s="142" t="s">
        <v>348</v>
      </c>
      <c r="J4202" s="143" t="s">
        <v>163</v>
      </c>
      <c r="K4202" s="226">
        <v>10000</v>
      </c>
      <c r="L4202" s="226"/>
    </row>
    <row r="4203" spans="1:14" x14ac:dyDescent="0.2">
      <c r="A4203" s="163">
        <v>2021</v>
      </c>
      <c r="B4203" s="163">
        <v>9</v>
      </c>
      <c r="C4203" s="163">
        <v>7</v>
      </c>
      <c r="D4203" s="141">
        <f t="shared" si="138"/>
        <v>44446</v>
      </c>
      <c r="E4203" s="275">
        <f t="shared" si="139"/>
        <v>44446</v>
      </c>
      <c r="F4203" s="480"/>
      <c r="G4203" s="221" t="s">
        <v>74</v>
      </c>
      <c r="H4203" s="221" t="str" cm="1">
        <f t="array" ref="H4203">IFERROR(INDEX(INVESTOR_LIST[INVESTOR NAME],MATCH(I4203,INVESTOR_LIST[INVESTOR CODE],0),)," ")</f>
        <v xml:space="preserve"> </v>
      </c>
      <c r="I4203" s="145" t="s">
        <v>348</v>
      </c>
      <c r="J4203" s="146" t="s">
        <v>52</v>
      </c>
      <c r="K4203" s="219"/>
      <c r="L4203" s="219">
        <v>10000</v>
      </c>
      <c r="N4203" s="156">
        <f>K4218/14.67</f>
        <v>19999.386503067486</v>
      </c>
    </row>
    <row r="4204" spans="1:14" x14ac:dyDescent="0.2">
      <c r="A4204" s="168">
        <v>2021</v>
      </c>
      <c r="B4204" s="168">
        <v>9</v>
      </c>
      <c r="C4204" s="168">
        <v>7</v>
      </c>
      <c r="D4204" s="141">
        <f t="shared" si="138"/>
        <v>44446</v>
      </c>
      <c r="E4204" s="275">
        <f t="shared" si="139"/>
        <v>44446</v>
      </c>
      <c r="F4204" s="479" t="s">
        <v>524</v>
      </c>
      <c r="G4204" s="220" t="s">
        <v>74</v>
      </c>
      <c r="H4204" s="220" t="str" cm="1">
        <f t="array" ref="H4204">IFERROR(INDEX(INVESTOR_LIST[INVESTOR NAME],MATCH(I4204,INVESTOR_LIST[INVESTOR CODE],0),)," ")</f>
        <v xml:space="preserve"> </v>
      </c>
      <c r="I4204" s="142" t="s">
        <v>348</v>
      </c>
      <c r="J4204" s="143" t="s">
        <v>147</v>
      </c>
      <c r="K4204" s="226">
        <v>7461065.6900000004</v>
      </c>
      <c r="L4204" s="226"/>
    </row>
    <row r="4205" spans="1:14" x14ac:dyDescent="0.2">
      <c r="A4205" s="163">
        <v>2021</v>
      </c>
      <c r="B4205" s="163">
        <v>9</v>
      </c>
      <c r="C4205" s="163">
        <v>7</v>
      </c>
      <c r="D4205" s="141">
        <f t="shared" si="138"/>
        <v>44446</v>
      </c>
      <c r="E4205" s="275">
        <f t="shared" si="139"/>
        <v>44446</v>
      </c>
      <c r="F4205" s="480"/>
      <c r="G4205" s="221" t="s">
        <v>74</v>
      </c>
      <c r="H4205" s="221" t="str" cm="1">
        <f t="array" ref="H4205">IFERROR(INDEX(INVESTOR_LIST[INVESTOR NAME],MATCH(I4205,INVESTOR_LIST[INVESTOR CODE],0),)," ")</f>
        <v xml:space="preserve"> </v>
      </c>
      <c r="I4205" s="145" t="s">
        <v>348</v>
      </c>
      <c r="J4205" s="146" t="s">
        <v>52</v>
      </c>
      <c r="K4205" s="219"/>
      <c r="L4205" s="219">
        <v>7461065.6900000004</v>
      </c>
    </row>
    <row r="4206" spans="1:14" x14ac:dyDescent="0.2">
      <c r="A4206" s="168">
        <v>2021</v>
      </c>
      <c r="B4206" s="168">
        <v>9</v>
      </c>
      <c r="C4206" s="168">
        <v>8</v>
      </c>
      <c r="D4206" s="141">
        <f t="shared" si="138"/>
        <v>44447</v>
      </c>
      <c r="E4206" s="275">
        <f t="shared" si="139"/>
        <v>44447</v>
      </c>
      <c r="F4206" s="479" t="s">
        <v>877</v>
      </c>
      <c r="G4206" s="220" t="s">
        <v>74</v>
      </c>
      <c r="H4206" s="142" t="str" cm="1">
        <f t="array" ref="H4206">IFERROR(INDEX(INVESTOR_LIST[INVESTOR NAME],MATCH(I4206,INVESTOR_LIST[INVESTOR CODE],0),)," ")</f>
        <v xml:space="preserve"> </v>
      </c>
      <c r="I4206" s="142"/>
      <c r="J4206" s="168" t="s">
        <v>79</v>
      </c>
      <c r="K4206" s="226">
        <v>1198500</v>
      </c>
      <c r="L4206" s="226"/>
      <c r="N4206" s="156">
        <f>K4221/14.67</f>
        <v>6816.6325835037496</v>
      </c>
    </row>
    <row r="4207" spans="1:14" x14ac:dyDescent="0.2">
      <c r="A4207" s="133">
        <v>2021</v>
      </c>
      <c r="B4207" s="133">
        <v>9</v>
      </c>
      <c r="C4207" s="133">
        <v>8</v>
      </c>
      <c r="D4207" s="141">
        <f t="shared" si="138"/>
        <v>44447</v>
      </c>
      <c r="E4207" s="275">
        <f t="shared" si="139"/>
        <v>44447</v>
      </c>
      <c r="F4207" s="481"/>
      <c r="G4207" s="174" t="s">
        <v>74</v>
      </c>
      <c r="H4207" s="148" t="str" cm="1">
        <f t="array" ref="H4207">IFERROR(INDEX(INVESTOR_LIST[INVESTOR NAME],MATCH(I4207,INVESTOR_LIST[INVESTOR CODE],0),)," ")</f>
        <v xml:space="preserve"> </v>
      </c>
      <c r="J4207" s="133" t="s">
        <v>80</v>
      </c>
      <c r="K4207" s="218">
        <v>2157.3000000000002</v>
      </c>
      <c r="L4207" s="218"/>
    </row>
    <row r="4208" spans="1:14" x14ac:dyDescent="0.2">
      <c r="A4208" s="163">
        <v>2021</v>
      </c>
      <c r="B4208" s="163">
        <v>9</v>
      </c>
      <c r="C4208" s="163">
        <v>8</v>
      </c>
      <c r="D4208" s="141">
        <f t="shared" si="138"/>
        <v>44447</v>
      </c>
      <c r="E4208" s="275">
        <f t="shared" si="139"/>
        <v>44447</v>
      </c>
      <c r="F4208" s="480"/>
      <c r="G4208" s="221" t="s">
        <v>74</v>
      </c>
      <c r="H4208" s="145" t="str" cm="1">
        <f t="array" ref="H4208">IFERROR(INDEX(INVESTOR_LIST[INVESTOR NAME],MATCH(I4208,INVESTOR_LIST[INVESTOR CODE],0),)," ")</f>
        <v xml:space="preserve"> </v>
      </c>
      <c r="I4208" s="145"/>
      <c r="J4208" s="163" t="s">
        <v>147</v>
      </c>
      <c r="K4208" s="219"/>
      <c r="L4208" s="219">
        <v>1200657.3</v>
      </c>
    </row>
    <row r="4209" spans="1:14" x14ac:dyDescent="0.2">
      <c r="A4209" s="133">
        <v>2021</v>
      </c>
      <c r="B4209" s="133">
        <v>9</v>
      </c>
      <c r="C4209" s="133">
        <v>8</v>
      </c>
      <c r="D4209" s="141">
        <f t="shared" si="138"/>
        <v>44447</v>
      </c>
      <c r="E4209" s="275">
        <f t="shared" si="139"/>
        <v>44447</v>
      </c>
      <c r="F4209" s="479" t="s">
        <v>77</v>
      </c>
      <c r="G4209" s="174" t="s">
        <v>74</v>
      </c>
      <c r="H4209" s="148" t="str" cm="1">
        <f t="array" ref="H4209">IFERROR(INDEX(INVESTOR_LIST[INVESTOR NAME],MATCH(I4209,INVESTOR_LIST[INVESTOR CODE],0),)," ")</f>
        <v xml:space="preserve"> </v>
      </c>
      <c r="I4209" s="148" t="s">
        <v>348</v>
      </c>
      <c r="J4209" s="133" t="s">
        <v>61</v>
      </c>
      <c r="K4209" s="172">
        <v>60</v>
      </c>
      <c r="N4209" s="156">
        <f>K4224/14.67</f>
        <v>16359.918200408998</v>
      </c>
    </row>
    <row r="4210" spans="1:14" x14ac:dyDescent="0.2">
      <c r="A4210" s="163">
        <v>2021</v>
      </c>
      <c r="B4210" s="163">
        <v>9</v>
      </c>
      <c r="C4210" s="163">
        <v>8</v>
      </c>
      <c r="D4210" s="141">
        <f t="shared" si="138"/>
        <v>44447</v>
      </c>
      <c r="E4210" s="275">
        <f t="shared" si="139"/>
        <v>44447</v>
      </c>
      <c r="F4210" s="480"/>
      <c r="G4210" s="221" t="s">
        <v>74</v>
      </c>
      <c r="H4210" s="145" t="str" cm="1">
        <f t="array" ref="H4210">IFERROR(INDEX(INVESTOR_LIST[INVESTOR NAME],MATCH(I4210,INVESTOR_LIST[INVESTOR CODE],0),)," ")</f>
        <v xml:space="preserve"> </v>
      </c>
      <c r="I4210" s="145" t="s">
        <v>348</v>
      </c>
      <c r="J4210" s="163" t="s">
        <v>52</v>
      </c>
      <c r="K4210" s="219"/>
      <c r="L4210" s="219">
        <v>60</v>
      </c>
    </row>
    <row r="4211" spans="1:14" x14ac:dyDescent="0.2">
      <c r="A4211" s="133">
        <v>2021</v>
      </c>
      <c r="B4211" s="133">
        <v>9</v>
      </c>
      <c r="C4211" s="133">
        <v>8</v>
      </c>
      <c r="D4211" s="141">
        <f t="shared" si="138"/>
        <v>44447</v>
      </c>
      <c r="E4211" s="275">
        <f t="shared" si="139"/>
        <v>44447</v>
      </c>
      <c r="F4211" s="479" t="s">
        <v>77</v>
      </c>
      <c r="G4211" s="174" t="s">
        <v>74</v>
      </c>
      <c r="H4211" s="148" t="str" cm="1">
        <f t="array" ref="H4211">IFERROR(INDEX(INVESTOR_LIST[INVESTOR NAME],MATCH(I4211,INVESTOR_LIST[INVESTOR CODE],0),)," ")</f>
        <v xml:space="preserve"> </v>
      </c>
      <c r="I4211" s="148" t="s">
        <v>348</v>
      </c>
      <c r="J4211" s="133" t="s">
        <v>61</v>
      </c>
      <c r="K4211" s="172">
        <v>10</v>
      </c>
    </row>
    <row r="4212" spans="1:14" x14ac:dyDescent="0.2">
      <c r="A4212" s="163">
        <v>2021</v>
      </c>
      <c r="B4212" s="163">
        <v>9</v>
      </c>
      <c r="C4212" s="163">
        <v>8</v>
      </c>
      <c r="D4212" s="141">
        <f t="shared" si="138"/>
        <v>44447</v>
      </c>
      <c r="E4212" s="275">
        <f t="shared" si="139"/>
        <v>44447</v>
      </c>
      <c r="F4212" s="480"/>
      <c r="G4212" s="221" t="s">
        <v>74</v>
      </c>
      <c r="H4212" s="145" t="str" cm="1">
        <f t="array" ref="H4212">IFERROR(INDEX(INVESTOR_LIST[INVESTOR NAME],MATCH(I4212,INVESTOR_LIST[INVESTOR CODE],0),)," ")</f>
        <v xml:space="preserve"> </v>
      </c>
      <c r="I4212" s="145" t="s">
        <v>348</v>
      </c>
      <c r="J4212" s="163" t="s">
        <v>52</v>
      </c>
      <c r="K4212" s="219"/>
      <c r="L4212" s="219">
        <v>10</v>
      </c>
      <c r="N4212" s="156">
        <f>K4227/14.67</f>
        <v>34083.162917518748</v>
      </c>
    </row>
    <row r="4213" spans="1:14" x14ac:dyDescent="0.2">
      <c r="A4213" s="133">
        <v>2021</v>
      </c>
      <c r="B4213" s="133">
        <v>9</v>
      </c>
      <c r="C4213" s="133">
        <v>8</v>
      </c>
      <c r="D4213" s="141">
        <f t="shared" si="138"/>
        <v>44447</v>
      </c>
      <c r="E4213" s="275">
        <f t="shared" si="139"/>
        <v>44447</v>
      </c>
      <c r="F4213" s="479" t="s">
        <v>77</v>
      </c>
      <c r="G4213" s="174" t="s">
        <v>74</v>
      </c>
      <c r="H4213" s="148" t="str" cm="1">
        <f t="array" ref="H4213">IFERROR(INDEX(INVESTOR_LIST[INVESTOR NAME],MATCH(I4213,INVESTOR_LIST[INVESTOR CODE],0),)," ")</f>
        <v xml:space="preserve"> </v>
      </c>
      <c r="I4213" s="148" t="s">
        <v>348</v>
      </c>
      <c r="J4213" s="133" t="s">
        <v>61</v>
      </c>
      <c r="K4213" s="172">
        <v>25</v>
      </c>
    </row>
    <row r="4214" spans="1:14" x14ac:dyDescent="0.2">
      <c r="A4214" s="163">
        <v>2021</v>
      </c>
      <c r="B4214" s="163">
        <v>9</v>
      </c>
      <c r="C4214" s="163">
        <v>8</v>
      </c>
      <c r="D4214" s="141">
        <f t="shared" si="138"/>
        <v>44447</v>
      </c>
      <c r="E4214" s="275">
        <f t="shared" si="139"/>
        <v>44447</v>
      </c>
      <c r="F4214" s="480"/>
      <c r="G4214" s="221" t="s">
        <v>74</v>
      </c>
      <c r="H4214" s="145" t="str" cm="1">
        <f t="array" ref="H4214">IFERROR(INDEX(INVESTOR_LIST[INVESTOR NAME],MATCH(I4214,INVESTOR_LIST[INVESTOR CODE],0),)," ")</f>
        <v xml:space="preserve"> </v>
      </c>
      <c r="I4214" s="145" t="s">
        <v>348</v>
      </c>
      <c r="J4214" s="163" t="s">
        <v>52</v>
      </c>
      <c r="K4214" s="219"/>
      <c r="L4214" s="219">
        <v>25</v>
      </c>
    </row>
    <row r="4215" spans="1:14" ht="11.25" customHeight="1" x14ac:dyDescent="0.2">
      <c r="A4215" s="168">
        <v>2021</v>
      </c>
      <c r="B4215" s="168">
        <v>9</v>
      </c>
      <c r="C4215" s="133">
        <v>8</v>
      </c>
      <c r="D4215" s="141">
        <f t="shared" si="138"/>
        <v>44447</v>
      </c>
      <c r="E4215" s="275">
        <f t="shared" si="139"/>
        <v>44447</v>
      </c>
      <c r="F4215" s="479" t="s">
        <v>964</v>
      </c>
      <c r="G4215" s="220" t="s">
        <v>74</v>
      </c>
      <c r="H4215" s="142" t="str" cm="1">
        <f t="array" ref="H4215">IFERROR(INDEX(INVESTOR_LIST[INVESTOR NAME],MATCH(I4215,INVESTOR_LIST[INVESTOR CODE],0),)," ")</f>
        <v>ANWAR ZAHID</v>
      </c>
      <c r="I4215" s="142" t="s">
        <v>879</v>
      </c>
      <c r="J4215" s="168" t="s">
        <v>52</v>
      </c>
      <c r="K4215" s="226">
        <v>200000</v>
      </c>
      <c r="L4215" s="226"/>
      <c r="N4215" s="156">
        <f>K4230/14.67</f>
        <v>58623.040218132242</v>
      </c>
    </row>
    <row r="4216" spans="1:14" ht="22.5" x14ac:dyDescent="0.2">
      <c r="A4216" s="133">
        <v>2021</v>
      </c>
      <c r="B4216" s="133">
        <v>9</v>
      </c>
      <c r="C4216" s="133">
        <v>8</v>
      </c>
      <c r="D4216" s="141">
        <f t="shared" si="138"/>
        <v>44447</v>
      </c>
      <c r="E4216" s="275">
        <f t="shared" si="139"/>
        <v>44447</v>
      </c>
      <c r="F4216" s="481"/>
      <c r="G4216" s="174" t="s">
        <v>74</v>
      </c>
      <c r="H4216" s="148" t="str" cm="1">
        <f t="array" ref="H4216">IFERROR(INDEX(INVESTOR_LIST[INVESTOR NAME],MATCH(I4216,INVESTOR_LIST[INVESTOR CODE],0),)," ")</f>
        <v>ANWAR ZAHID</v>
      </c>
      <c r="I4216" s="148" t="s">
        <v>879</v>
      </c>
      <c r="J4216" s="133" t="s">
        <v>13</v>
      </c>
      <c r="K4216" s="218"/>
      <c r="L4216" s="218">
        <v>136330</v>
      </c>
    </row>
    <row r="4217" spans="1:14" ht="22.5" x14ac:dyDescent="0.2">
      <c r="A4217" s="163">
        <v>2021</v>
      </c>
      <c r="B4217" s="163">
        <v>9</v>
      </c>
      <c r="C4217" s="163">
        <v>8</v>
      </c>
      <c r="D4217" s="141">
        <f t="shared" si="138"/>
        <v>44447</v>
      </c>
      <c r="E4217" s="275">
        <f t="shared" si="139"/>
        <v>44447</v>
      </c>
      <c r="F4217" s="480"/>
      <c r="G4217" s="221" t="s">
        <v>74</v>
      </c>
      <c r="H4217" s="145" t="str" cm="1">
        <f t="array" ref="H4217">IFERROR(INDEX(INVESTOR_LIST[INVESTOR NAME],MATCH(I4217,INVESTOR_LIST[INVESTOR CODE],0),)," ")</f>
        <v>ANWAR ZAHID</v>
      </c>
      <c r="I4217" s="145" t="s">
        <v>879</v>
      </c>
      <c r="J4217" s="163" t="s">
        <v>53</v>
      </c>
      <c r="K4217" s="219"/>
      <c r="L4217" s="219">
        <v>63670</v>
      </c>
    </row>
    <row r="4218" spans="1:14" ht="11.25" customHeight="1" x14ac:dyDescent="0.2">
      <c r="A4218" s="168">
        <v>2021</v>
      </c>
      <c r="B4218" s="168">
        <v>9</v>
      </c>
      <c r="C4218" s="133">
        <v>8</v>
      </c>
      <c r="D4218" s="141">
        <f t="shared" si="138"/>
        <v>44447</v>
      </c>
      <c r="E4218" s="275">
        <f t="shared" si="139"/>
        <v>44447</v>
      </c>
      <c r="F4218" s="479" t="s">
        <v>964</v>
      </c>
      <c r="G4218" s="220" t="s">
        <v>74</v>
      </c>
      <c r="H4218" s="142" t="str" cm="1">
        <f t="array" ref="H4218">IFERROR(INDEX(INVESTOR_LIST[INVESTOR NAME],MATCH(I4218,INVESTOR_LIST[INVESTOR CODE],0),)," ")</f>
        <v>JAHAN ARA BEGUM</v>
      </c>
      <c r="I4218" s="142" t="s">
        <v>803</v>
      </c>
      <c r="J4218" s="168" t="s">
        <v>52</v>
      </c>
      <c r="K4218" s="226">
        <v>293391</v>
      </c>
      <c r="L4218" s="226"/>
    </row>
    <row r="4219" spans="1:14" ht="33.75" x14ac:dyDescent="0.2">
      <c r="A4219" s="133">
        <v>2021</v>
      </c>
      <c r="B4219" s="133">
        <v>9</v>
      </c>
      <c r="C4219" s="133">
        <v>8</v>
      </c>
      <c r="D4219" s="141">
        <f t="shared" si="138"/>
        <v>44447</v>
      </c>
      <c r="E4219" s="275">
        <f t="shared" si="139"/>
        <v>44447</v>
      </c>
      <c r="F4219" s="481"/>
      <c r="G4219" s="174" t="s">
        <v>74</v>
      </c>
      <c r="H4219" s="148" t="str" cm="1">
        <f t="array" ref="H4219">IFERROR(INDEX(INVESTOR_LIST[INVESTOR NAME],MATCH(I4219,INVESTOR_LIST[INVESTOR CODE],0),)," ")</f>
        <v>JAHAN ARA BEGUM</v>
      </c>
      <c r="I4219" s="148" t="s">
        <v>803</v>
      </c>
      <c r="J4219" s="133" t="s">
        <v>13</v>
      </c>
      <c r="K4219" s="218"/>
      <c r="L4219" s="218">
        <v>200000</v>
      </c>
    </row>
    <row r="4220" spans="1:14" ht="33.75" x14ac:dyDescent="0.2">
      <c r="A4220" s="163">
        <v>2021</v>
      </c>
      <c r="B4220" s="163">
        <v>9</v>
      </c>
      <c r="C4220" s="163">
        <v>8</v>
      </c>
      <c r="D4220" s="141">
        <f t="shared" si="138"/>
        <v>44447</v>
      </c>
      <c r="E4220" s="275">
        <f t="shared" si="139"/>
        <v>44447</v>
      </c>
      <c r="F4220" s="480"/>
      <c r="G4220" s="221" t="s">
        <v>74</v>
      </c>
      <c r="H4220" s="145" t="str" cm="1">
        <f t="array" ref="H4220">IFERROR(INDEX(INVESTOR_LIST[INVESTOR NAME],MATCH(I4220,INVESTOR_LIST[INVESTOR CODE],0),)," ")</f>
        <v>JAHAN ARA BEGUM</v>
      </c>
      <c r="I4220" s="145" t="s">
        <v>803</v>
      </c>
      <c r="J4220" s="163" t="s">
        <v>53</v>
      </c>
      <c r="K4220" s="219"/>
      <c r="L4220" s="219">
        <v>93391</v>
      </c>
    </row>
    <row r="4221" spans="1:14" ht="11.25" customHeight="1" x14ac:dyDescent="0.2">
      <c r="A4221" s="168">
        <v>2021</v>
      </c>
      <c r="B4221" s="168">
        <v>9</v>
      </c>
      <c r="C4221" s="133">
        <v>8</v>
      </c>
      <c r="D4221" s="141">
        <f t="shared" si="138"/>
        <v>44447</v>
      </c>
      <c r="E4221" s="275">
        <f t="shared" si="139"/>
        <v>44447</v>
      </c>
      <c r="F4221" s="479" t="s">
        <v>964</v>
      </c>
      <c r="G4221" s="220" t="s">
        <v>74</v>
      </c>
      <c r="H4221" s="142" t="str" cm="1">
        <f t="array" ref="H4221">IFERROR(INDEX(INVESTOR_LIST[INVESTOR NAME],MATCH(I4221,INVESTOR_LIST[INVESTOR CODE],0),)," ")</f>
        <v>SHAHNAZ PARVEEN</v>
      </c>
      <c r="I4221" s="142" t="s">
        <v>881</v>
      </c>
      <c r="J4221" s="168" t="s">
        <v>52</v>
      </c>
      <c r="K4221" s="226">
        <v>100000</v>
      </c>
      <c r="L4221" s="226"/>
      <c r="N4221" s="156">
        <f>K4240/14.67</f>
        <v>681.66325835037492</v>
      </c>
    </row>
    <row r="4222" spans="1:14" ht="33.75" x14ac:dyDescent="0.2">
      <c r="A4222" s="133">
        <v>2021</v>
      </c>
      <c r="B4222" s="133">
        <v>9</v>
      </c>
      <c r="C4222" s="133">
        <v>8</v>
      </c>
      <c r="D4222" s="141">
        <f t="shared" si="138"/>
        <v>44447</v>
      </c>
      <c r="E4222" s="275">
        <f t="shared" si="139"/>
        <v>44447</v>
      </c>
      <c r="F4222" s="481"/>
      <c r="G4222" s="174" t="s">
        <v>74</v>
      </c>
      <c r="H4222" s="148" t="str" cm="1">
        <f t="array" ref="H4222">IFERROR(INDEX(INVESTOR_LIST[INVESTOR NAME],MATCH(I4222,INVESTOR_LIST[INVESTOR CODE],0),)," ")</f>
        <v>SHAHNAZ PARVEEN</v>
      </c>
      <c r="I4222" s="148" t="s">
        <v>881</v>
      </c>
      <c r="J4222" s="133" t="s">
        <v>13</v>
      </c>
      <c r="K4222" s="218"/>
      <c r="L4222" s="218">
        <v>68170</v>
      </c>
    </row>
    <row r="4223" spans="1:14" ht="33.75" x14ac:dyDescent="0.2">
      <c r="A4223" s="163">
        <v>2021</v>
      </c>
      <c r="B4223" s="163">
        <v>9</v>
      </c>
      <c r="C4223" s="163">
        <v>8</v>
      </c>
      <c r="D4223" s="141">
        <f t="shared" si="138"/>
        <v>44447</v>
      </c>
      <c r="E4223" s="275">
        <f t="shared" si="139"/>
        <v>44447</v>
      </c>
      <c r="F4223" s="480"/>
      <c r="G4223" s="221" t="s">
        <v>74</v>
      </c>
      <c r="H4223" s="145" t="str" cm="1">
        <f t="array" ref="H4223">IFERROR(INDEX(INVESTOR_LIST[INVESTOR NAME],MATCH(I4223,INVESTOR_LIST[INVESTOR CODE],0),)," ")</f>
        <v>SHAHNAZ PARVEEN</v>
      </c>
      <c r="I4223" s="145" t="s">
        <v>881</v>
      </c>
      <c r="J4223" s="163" t="s">
        <v>53</v>
      </c>
      <c r="K4223" s="219"/>
      <c r="L4223" s="219">
        <v>31830</v>
      </c>
    </row>
    <row r="4224" spans="1:14" ht="11.25" customHeight="1" x14ac:dyDescent="0.2">
      <c r="A4224" s="168">
        <v>2021</v>
      </c>
      <c r="B4224" s="168">
        <v>9</v>
      </c>
      <c r="C4224" s="133">
        <v>8</v>
      </c>
      <c r="D4224" s="141">
        <f t="shared" si="138"/>
        <v>44447</v>
      </c>
      <c r="E4224" s="275">
        <f t="shared" si="139"/>
        <v>44447</v>
      </c>
      <c r="F4224" s="479" t="s">
        <v>964</v>
      </c>
      <c r="G4224" s="220" t="s">
        <v>74</v>
      </c>
      <c r="H4224" s="142" t="str" cm="1">
        <f t="array" ref="H4224">IFERROR(INDEX(INVESTOR_LIST[INVESTOR NAME],MATCH(I4224,INVESTOR_LIST[INVESTOR CODE],0),)," ")</f>
        <v>QUAZI TOWFIQUE UDDIN</v>
      </c>
      <c r="I4224" s="142" t="s">
        <v>704</v>
      </c>
      <c r="J4224" s="168" t="s">
        <v>52</v>
      </c>
      <c r="K4224" s="226">
        <v>240000</v>
      </c>
      <c r="L4224" s="226"/>
    </row>
    <row r="4225" spans="1:14" ht="45" x14ac:dyDescent="0.2">
      <c r="A4225" s="133">
        <v>2021</v>
      </c>
      <c r="B4225" s="133">
        <v>9</v>
      </c>
      <c r="C4225" s="133">
        <v>8</v>
      </c>
      <c r="D4225" s="141">
        <f t="shared" si="138"/>
        <v>44447</v>
      </c>
      <c r="E4225" s="275">
        <f t="shared" si="139"/>
        <v>44447</v>
      </c>
      <c r="F4225" s="481"/>
      <c r="G4225" s="174" t="s">
        <v>74</v>
      </c>
      <c r="H4225" s="148" t="str" cm="1">
        <f t="array" ref="H4225">IFERROR(INDEX(INVESTOR_LIST[INVESTOR NAME],MATCH(I4225,INVESTOR_LIST[INVESTOR CODE],0),)," ")</f>
        <v>QUAZI TOWFIQUE UDDIN</v>
      </c>
      <c r="I4225" s="148" t="s">
        <v>704</v>
      </c>
      <c r="J4225" s="133" t="s">
        <v>13</v>
      </c>
      <c r="K4225" s="218"/>
      <c r="L4225" s="218">
        <v>163600</v>
      </c>
      <c r="N4225" s="156">
        <f>K4243/14.67</f>
        <v>1635.9918200408997</v>
      </c>
    </row>
    <row r="4226" spans="1:14" ht="45" x14ac:dyDescent="0.2">
      <c r="A4226" s="163">
        <v>2021</v>
      </c>
      <c r="B4226" s="163">
        <v>9</v>
      </c>
      <c r="C4226" s="163">
        <v>8</v>
      </c>
      <c r="D4226" s="141">
        <f t="shared" si="138"/>
        <v>44447</v>
      </c>
      <c r="E4226" s="275">
        <f t="shared" si="139"/>
        <v>44447</v>
      </c>
      <c r="F4226" s="480"/>
      <c r="G4226" s="221" t="s">
        <v>74</v>
      </c>
      <c r="H4226" s="145" t="str" cm="1">
        <f t="array" ref="H4226">IFERROR(INDEX(INVESTOR_LIST[INVESTOR NAME],MATCH(I4226,INVESTOR_LIST[INVESTOR CODE],0),)," ")</f>
        <v>QUAZI TOWFIQUE UDDIN</v>
      </c>
      <c r="I4226" s="145" t="s">
        <v>704</v>
      </c>
      <c r="J4226" s="163" t="s">
        <v>53</v>
      </c>
      <c r="K4226" s="219"/>
      <c r="L4226" s="219">
        <v>76400</v>
      </c>
    </row>
    <row r="4227" spans="1:14" ht="11.25" customHeight="1" x14ac:dyDescent="0.2">
      <c r="A4227" s="168">
        <v>2021</v>
      </c>
      <c r="B4227" s="168">
        <v>9</v>
      </c>
      <c r="C4227" s="133">
        <v>8</v>
      </c>
      <c r="D4227" s="141">
        <f t="shared" si="138"/>
        <v>44447</v>
      </c>
      <c r="E4227" s="275">
        <f t="shared" si="139"/>
        <v>44447</v>
      </c>
      <c r="F4227" s="479" t="s">
        <v>964</v>
      </c>
      <c r="G4227" s="220" t="s">
        <v>74</v>
      </c>
      <c r="H4227" s="142" t="str" cm="1">
        <f t="array" ref="H4227">IFERROR(INDEX(INVESTOR_LIST[INVESTOR NAME],MATCH(I4227,INVESTOR_LIST[INVESTOR CODE],0),)," ")</f>
        <v>ISTIAK AHMED PROBAL</v>
      </c>
      <c r="I4227" s="142" t="s">
        <v>497</v>
      </c>
      <c r="J4227" s="168" t="s">
        <v>52</v>
      </c>
      <c r="K4227" s="226">
        <v>500000</v>
      </c>
      <c r="L4227" s="226"/>
    </row>
    <row r="4228" spans="1:14" ht="33.75" x14ac:dyDescent="0.2">
      <c r="A4228" s="133">
        <v>2021</v>
      </c>
      <c r="B4228" s="133">
        <v>9</v>
      </c>
      <c r="C4228" s="133">
        <v>8</v>
      </c>
      <c r="D4228" s="141">
        <f t="shared" si="138"/>
        <v>44447</v>
      </c>
      <c r="E4228" s="275">
        <f t="shared" si="139"/>
        <v>44447</v>
      </c>
      <c r="F4228" s="481"/>
      <c r="G4228" s="174" t="s">
        <v>74</v>
      </c>
      <c r="H4228" s="148" t="str" cm="1">
        <f t="array" ref="H4228">IFERROR(INDEX(INVESTOR_LIST[INVESTOR NAME],MATCH(I4228,INVESTOR_LIST[INVESTOR CODE],0),)," ")</f>
        <v>ISTIAK AHMED PROBAL</v>
      </c>
      <c r="I4228" s="148" t="s">
        <v>497</v>
      </c>
      <c r="J4228" s="133" t="s">
        <v>13</v>
      </c>
      <c r="K4228" s="218"/>
      <c r="L4228" s="218">
        <v>340840</v>
      </c>
    </row>
    <row r="4229" spans="1:14" ht="33.75" x14ac:dyDescent="0.2">
      <c r="A4229" s="163">
        <v>2021</v>
      </c>
      <c r="B4229" s="163">
        <v>9</v>
      </c>
      <c r="C4229" s="163">
        <v>8</v>
      </c>
      <c r="D4229" s="141">
        <f t="shared" si="138"/>
        <v>44447</v>
      </c>
      <c r="E4229" s="275">
        <f t="shared" si="139"/>
        <v>44447</v>
      </c>
      <c r="F4229" s="480"/>
      <c r="G4229" s="221" t="s">
        <v>74</v>
      </c>
      <c r="H4229" s="145" t="str" cm="1">
        <f t="array" ref="H4229">IFERROR(INDEX(INVESTOR_LIST[INVESTOR NAME],MATCH(I4229,INVESTOR_LIST[INVESTOR CODE],0),)," ")</f>
        <v>ISTIAK AHMED PROBAL</v>
      </c>
      <c r="I4229" s="145" t="s">
        <v>497</v>
      </c>
      <c r="J4229" s="163" t="s">
        <v>53</v>
      </c>
      <c r="K4229" s="219"/>
      <c r="L4229" s="219">
        <v>159160</v>
      </c>
    </row>
    <row r="4230" spans="1:14" ht="11.25" customHeight="1" x14ac:dyDescent="0.2">
      <c r="A4230" s="168">
        <v>2021</v>
      </c>
      <c r="B4230" s="168">
        <v>9</v>
      </c>
      <c r="C4230" s="133">
        <v>8</v>
      </c>
      <c r="D4230" s="141">
        <f t="shared" si="138"/>
        <v>44447</v>
      </c>
      <c r="E4230" s="275">
        <f t="shared" si="139"/>
        <v>44447</v>
      </c>
      <c r="F4230" s="479" t="s">
        <v>964</v>
      </c>
      <c r="G4230" s="220" t="s">
        <v>74</v>
      </c>
      <c r="H4230" s="142" t="str" cm="1">
        <f t="array" ref="H4230">IFERROR(INDEX(INVESTOR_LIST[INVESTOR NAME],MATCH(I4230,INVESTOR_LIST[INVESTOR CODE],0),)," ")</f>
        <v>QUAZI TOWFIQUE UDDIN</v>
      </c>
      <c r="I4230" s="142" t="s">
        <v>704</v>
      </c>
      <c r="J4230" s="168" t="s">
        <v>52</v>
      </c>
      <c r="K4230" s="226">
        <v>860000</v>
      </c>
      <c r="L4230" s="226"/>
    </row>
    <row r="4231" spans="1:14" ht="45" x14ac:dyDescent="0.2">
      <c r="A4231" s="133">
        <v>2021</v>
      </c>
      <c r="B4231" s="133">
        <v>9</v>
      </c>
      <c r="C4231" s="133">
        <v>8</v>
      </c>
      <c r="D4231" s="141">
        <f t="shared" si="138"/>
        <v>44447</v>
      </c>
      <c r="E4231" s="275">
        <f t="shared" si="139"/>
        <v>44447</v>
      </c>
      <c r="F4231" s="481"/>
      <c r="G4231" s="174" t="s">
        <v>74</v>
      </c>
      <c r="H4231" s="148" t="str" cm="1">
        <f t="array" ref="H4231">IFERROR(INDEX(INVESTOR_LIST[INVESTOR NAME],MATCH(I4231,INVESTOR_LIST[INVESTOR CODE],0),)," ")</f>
        <v>QUAZI TOWFIQUE UDDIN</v>
      </c>
      <c r="I4231" s="148" t="s">
        <v>704</v>
      </c>
      <c r="J4231" s="133" t="s">
        <v>13</v>
      </c>
      <c r="K4231" s="218"/>
      <c r="L4231" s="218">
        <v>586250</v>
      </c>
    </row>
    <row r="4232" spans="1:14" ht="45" x14ac:dyDescent="0.2">
      <c r="A4232" s="163">
        <v>2021</v>
      </c>
      <c r="B4232" s="163">
        <v>9</v>
      </c>
      <c r="C4232" s="163">
        <v>8</v>
      </c>
      <c r="D4232" s="141">
        <f t="shared" si="138"/>
        <v>44447</v>
      </c>
      <c r="E4232" s="275">
        <f t="shared" si="139"/>
        <v>44447</v>
      </c>
      <c r="F4232" s="480"/>
      <c r="G4232" s="221" t="s">
        <v>74</v>
      </c>
      <c r="H4232" s="145" t="str" cm="1">
        <f t="array" ref="H4232">IFERROR(INDEX(INVESTOR_LIST[INVESTOR NAME],MATCH(I4232,INVESTOR_LIST[INVESTOR CODE],0),)," ")</f>
        <v>QUAZI TOWFIQUE UDDIN</v>
      </c>
      <c r="I4232" s="145" t="s">
        <v>704</v>
      </c>
      <c r="J4232" s="163" t="s">
        <v>53</v>
      </c>
      <c r="K4232" s="219"/>
      <c r="L4232" s="219">
        <v>273750</v>
      </c>
    </row>
    <row r="4233" spans="1:14" ht="11.25" customHeight="1" x14ac:dyDescent="0.2">
      <c r="A4233" s="168">
        <v>2021</v>
      </c>
      <c r="B4233" s="168">
        <v>9</v>
      </c>
      <c r="C4233" s="133">
        <v>9</v>
      </c>
      <c r="D4233" s="141">
        <f t="shared" si="138"/>
        <v>44448</v>
      </c>
      <c r="E4233" s="275">
        <f t="shared" si="139"/>
        <v>44448</v>
      </c>
      <c r="F4233" s="479" t="s">
        <v>254</v>
      </c>
      <c r="G4233" s="220" t="s">
        <v>74</v>
      </c>
      <c r="H4233" s="142" t="str" cm="1">
        <f t="array" ref="H4233">IFERROR(INDEX(INVESTOR_LIST[INVESTOR NAME],MATCH(I4233,INVESTOR_LIST[INVESTOR CODE],0),)," ")</f>
        <v xml:space="preserve"> </v>
      </c>
      <c r="I4233" s="142"/>
      <c r="J4233" s="168" t="s">
        <v>52</v>
      </c>
      <c r="K4233" s="226">
        <v>5000</v>
      </c>
      <c r="L4233" s="226"/>
    </row>
    <row r="4234" spans="1:14" x14ac:dyDescent="0.2">
      <c r="A4234" s="133">
        <v>2021</v>
      </c>
      <c r="B4234" s="133">
        <v>9</v>
      </c>
      <c r="C4234" s="133">
        <v>9</v>
      </c>
      <c r="D4234" s="141">
        <f t="shared" si="138"/>
        <v>44448</v>
      </c>
      <c r="E4234" s="275">
        <f t="shared" si="139"/>
        <v>44448</v>
      </c>
      <c r="F4234" s="481"/>
      <c r="G4234" s="174" t="s">
        <v>74</v>
      </c>
      <c r="H4234" s="148" t="str" cm="1">
        <f t="array" ref="H4234">IFERROR(INDEX(INVESTOR_LIST[INVESTOR NAME],MATCH(I4234,INVESTOR_LIST[INVESTOR CODE],0),)," ")</f>
        <v xml:space="preserve"> </v>
      </c>
      <c r="J4234" s="133" t="s">
        <v>13</v>
      </c>
      <c r="K4234" s="218"/>
      <c r="L4234" s="218">
        <v>3410</v>
      </c>
    </row>
    <row r="4235" spans="1:14" x14ac:dyDescent="0.2">
      <c r="A4235" s="163">
        <v>2021</v>
      </c>
      <c r="B4235" s="163">
        <v>9</v>
      </c>
      <c r="C4235" s="163">
        <v>9</v>
      </c>
      <c r="D4235" s="141">
        <f t="shared" si="138"/>
        <v>44448</v>
      </c>
      <c r="E4235" s="275">
        <f t="shared" si="139"/>
        <v>44448</v>
      </c>
      <c r="F4235" s="480"/>
      <c r="G4235" s="221" t="s">
        <v>74</v>
      </c>
      <c r="H4235" s="145" t="str" cm="1">
        <f t="array" ref="H4235">IFERROR(INDEX(INVESTOR_LIST[INVESTOR NAME],MATCH(I4235,INVESTOR_LIST[INVESTOR CODE],0),)," ")</f>
        <v xml:space="preserve"> </v>
      </c>
      <c r="I4235" s="145"/>
      <c r="J4235" s="163" t="s">
        <v>53</v>
      </c>
      <c r="K4235" s="219"/>
      <c r="L4235" s="219">
        <v>1590</v>
      </c>
    </row>
    <row r="4236" spans="1:14" x14ac:dyDescent="0.2">
      <c r="A4236" s="133">
        <v>2021</v>
      </c>
      <c r="B4236" s="133">
        <v>9</v>
      </c>
      <c r="C4236" s="133">
        <v>9</v>
      </c>
      <c r="D4236" s="141">
        <f t="shared" si="138"/>
        <v>44448</v>
      </c>
      <c r="E4236" s="275">
        <f t="shared" si="139"/>
        <v>44448</v>
      </c>
      <c r="F4236" s="481" t="s">
        <v>893</v>
      </c>
      <c r="G4236" s="174" t="s">
        <v>94</v>
      </c>
      <c r="H4236" s="174" t="str" cm="1">
        <f t="array" ref="H4236">IFERROR(INDEX(INVESTOR_LIST[INVESTOR NAME],MATCH(I4236,INVESTOR_LIST[INVESTOR CODE],0),)," ")</f>
        <v xml:space="preserve"> </v>
      </c>
      <c r="I4236" s="148" t="s">
        <v>348</v>
      </c>
      <c r="J4236" s="149" t="s">
        <v>190</v>
      </c>
      <c r="K4236" s="218">
        <v>3242338.27</v>
      </c>
      <c r="L4236" s="218"/>
    </row>
    <row r="4237" spans="1:14" x14ac:dyDescent="0.2">
      <c r="A4237" s="133">
        <v>2021</v>
      </c>
      <c r="B4237" s="133">
        <v>9</v>
      </c>
      <c r="C4237" s="133">
        <v>9</v>
      </c>
      <c r="D4237" s="141">
        <f t="shared" si="138"/>
        <v>44448</v>
      </c>
      <c r="E4237" s="275">
        <f t="shared" si="139"/>
        <v>44448</v>
      </c>
      <c r="F4237" s="481"/>
      <c r="G4237" s="174" t="s">
        <v>94</v>
      </c>
      <c r="H4237" s="174" t="str" cm="1">
        <f t="array" ref="H4237">IFERROR(INDEX(INVESTOR_LIST[INVESTOR NAME],MATCH(I4237,INVESTOR_LIST[INVESTOR CODE],0),)," ")</f>
        <v xml:space="preserve"> </v>
      </c>
      <c r="I4237" s="148" t="s">
        <v>348</v>
      </c>
      <c r="J4237" s="149" t="s">
        <v>80</v>
      </c>
      <c r="K4237" s="218">
        <v>5846.73</v>
      </c>
      <c r="L4237" s="218"/>
      <c r="N4237" s="156">
        <f>L4254/14.67</f>
        <v>681.66325835037492</v>
      </c>
    </row>
    <row r="4238" spans="1:14" x14ac:dyDescent="0.2">
      <c r="A4238" s="133">
        <v>2021</v>
      </c>
      <c r="B4238" s="133">
        <v>9</v>
      </c>
      <c r="C4238" s="133">
        <v>9</v>
      </c>
      <c r="D4238" s="141">
        <f t="shared" ref="D4238:D4301" si="140">DATE(A4238,B4238,C4238)</f>
        <v>44448</v>
      </c>
      <c r="E4238" s="275">
        <f t="shared" si="139"/>
        <v>44448</v>
      </c>
      <c r="F4238" s="481"/>
      <c r="G4238" s="174" t="s">
        <v>94</v>
      </c>
      <c r="H4238" s="174" t="str" cm="1">
        <f t="array" ref="H4238">IFERROR(INDEX(INVESTOR_LIST[INVESTOR NAME],MATCH(I4238,INVESTOR_LIST[INVESTOR CODE],0),)," ")</f>
        <v xml:space="preserve"> </v>
      </c>
      <c r="I4238" s="148" t="s">
        <v>348</v>
      </c>
      <c r="J4238" s="149" t="s">
        <v>79</v>
      </c>
      <c r="K4238" s="218"/>
      <c r="L4238" s="218">
        <v>2355727.92</v>
      </c>
    </row>
    <row r="4239" spans="1:14" x14ac:dyDescent="0.2">
      <c r="A4239" s="163">
        <v>2021</v>
      </c>
      <c r="B4239" s="163">
        <v>9</v>
      </c>
      <c r="C4239" s="163">
        <v>9</v>
      </c>
      <c r="D4239" s="141">
        <f t="shared" si="140"/>
        <v>44448</v>
      </c>
      <c r="E4239" s="275">
        <f t="shared" ref="E4239:E4302" si="141">DATE(A4239,B4239,C4239)</f>
        <v>44448</v>
      </c>
      <c r="F4239" s="480"/>
      <c r="G4239" s="221" t="s">
        <v>94</v>
      </c>
      <c r="H4239" s="221" t="str" cm="1">
        <f t="array" ref="H4239">IFERROR(INDEX(INVESTOR_LIST[INVESTOR NAME],MATCH(I4239,INVESTOR_LIST[INVESTOR CODE],0),)," ")</f>
        <v xml:space="preserve"> </v>
      </c>
      <c r="I4239" s="145" t="s">
        <v>348</v>
      </c>
      <c r="J4239" s="146" t="s">
        <v>191</v>
      </c>
      <c r="K4239" s="219"/>
      <c r="L4239" s="219">
        <v>892457.08</v>
      </c>
    </row>
    <row r="4240" spans="1:14" ht="11.25" customHeight="1" x14ac:dyDescent="0.2">
      <c r="A4240" s="168">
        <v>2021</v>
      </c>
      <c r="B4240" s="168">
        <v>9</v>
      </c>
      <c r="C4240" s="133">
        <v>9</v>
      </c>
      <c r="D4240" s="141">
        <f t="shared" si="140"/>
        <v>44448</v>
      </c>
      <c r="E4240" s="275">
        <f t="shared" si="141"/>
        <v>44448</v>
      </c>
      <c r="F4240" s="479" t="s">
        <v>964</v>
      </c>
      <c r="G4240" s="220" t="s">
        <v>74</v>
      </c>
      <c r="H4240" s="142" t="str" cm="1">
        <f t="array" ref="H4240">IFERROR(INDEX(INVESTOR_LIST[INVESTOR NAME],MATCH(I4240,INVESTOR_LIST[INVESTOR CODE],0),)," ")</f>
        <v>ALI IMAM</v>
      </c>
      <c r="I4240" s="142" t="s">
        <v>384</v>
      </c>
      <c r="J4240" s="168" t="s">
        <v>52</v>
      </c>
      <c r="K4240" s="226">
        <v>10000</v>
      </c>
      <c r="L4240" s="226"/>
    </row>
    <row r="4241" spans="1:14" ht="22.5" x14ac:dyDescent="0.2">
      <c r="A4241" s="133">
        <v>2021</v>
      </c>
      <c r="B4241" s="133">
        <v>9</v>
      </c>
      <c r="C4241" s="133">
        <v>9</v>
      </c>
      <c r="D4241" s="141">
        <f t="shared" si="140"/>
        <v>44448</v>
      </c>
      <c r="E4241" s="275">
        <f t="shared" si="141"/>
        <v>44448</v>
      </c>
      <c r="F4241" s="481"/>
      <c r="G4241" s="174" t="s">
        <v>74</v>
      </c>
      <c r="H4241" s="148" t="str" cm="1">
        <f t="array" ref="H4241">IFERROR(INDEX(INVESTOR_LIST[INVESTOR NAME],MATCH(I4241,INVESTOR_LIST[INVESTOR CODE],0),)," ")</f>
        <v>ALI IMAM</v>
      </c>
      <c r="I4241" s="148" t="s">
        <v>384</v>
      </c>
      <c r="J4241" s="133" t="s">
        <v>13</v>
      </c>
      <c r="K4241" s="218"/>
      <c r="L4241" s="218">
        <v>6820</v>
      </c>
    </row>
    <row r="4242" spans="1:14" ht="22.5" x14ac:dyDescent="0.2">
      <c r="A4242" s="163">
        <v>2021</v>
      </c>
      <c r="B4242" s="163">
        <v>9</v>
      </c>
      <c r="C4242" s="163">
        <v>9</v>
      </c>
      <c r="D4242" s="141">
        <f t="shared" si="140"/>
        <v>44448</v>
      </c>
      <c r="E4242" s="275">
        <f t="shared" si="141"/>
        <v>44448</v>
      </c>
      <c r="F4242" s="480"/>
      <c r="G4242" s="221" t="s">
        <v>74</v>
      </c>
      <c r="H4242" s="145" t="str" cm="1">
        <f t="array" ref="H4242">IFERROR(INDEX(INVESTOR_LIST[INVESTOR NAME],MATCH(I4242,INVESTOR_LIST[INVESTOR CODE],0),)," ")</f>
        <v>ALI IMAM</v>
      </c>
      <c r="I4242" s="145" t="s">
        <v>384</v>
      </c>
      <c r="J4242" s="163" t="s">
        <v>53</v>
      </c>
      <c r="K4242" s="219"/>
      <c r="L4242" s="219">
        <v>3180</v>
      </c>
    </row>
    <row r="4243" spans="1:14" ht="11.25" customHeight="1" x14ac:dyDescent="0.2">
      <c r="A4243" s="168">
        <v>2021</v>
      </c>
      <c r="B4243" s="168">
        <v>9</v>
      </c>
      <c r="C4243" s="133">
        <v>9</v>
      </c>
      <c r="D4243" s="141">
        <f t="shared" si="140"/>
        <v>44448</v>
      </c>
      <c r="E4243" s="275">
        <f t="shared" si="141"/>
        <v>44448</v>
      </c>
      <c r="F4243" s="479" t="s">
        <v>964</v>
      </c>
      <c r="G4243" s="220" t="s">
        <v>74</v>
      </c>
      <c r="H4243" s="142" t="str" cm="1">
        <f t="array" ref="H4243">IFERROR(INDEX(INVESTOR_LIST[INVESTOR NAME],MATCH(I4243,INVESTOR_LIST[INVESTOR CODE],0),)," ")</f>
        <v>QUAZI TOWFIQUE UDDIN</v>
      </c>
      <c r="I4243" s="142" t="s">
        <v>704</v>
      </c>
      <c r="J4243" s="168" t="s">
        <v>52</v>
      </c>
      <c r="K4243" s="226">
        <v>24000</v>
      </c>
      <c r="L4243" s="226"/>
      <c r="N4243" s="156">
        <f>K4246/14.67</f>
        <v>3408.3162917518748</v>
      </c>
    </row>
    <row r="4244" spans="1:14" ht="45" x14ac:dyDescent="0.2">
      <c r="A4244" s="133">
        <v>2021</v>
      </c>
      <c r="B4244" s="133">
        <v>9</v>
      </c>
      <c r="C4244" s="133">
        <v>9</v>
      </c>
      <c r="D4244" s="141">
        <f t="shared" si="140"/>
        <v>44448</v>
      </c>
      <c r="E4244" s="275">
        <f t="shared" si="141"/>
        <v>44448</v>
      </c>
      <c r="F4244" s="481"/>
      <c r="G4244" s="174" t="s">
        <v>74</v>
      </c>
      <c r="H4244" s="148" t="str" cm="1">
        <f t="array" ref="H4244">IFERROR(INDEX(INVESTOR_LIST[INVESTOR NAME],MATCH(I4244,INVESTOR_LIST[INVESTOR CODE],0),)," ")</f>
        <v>QUAZI TOWFIQUE UDDIN</v>
      </c>
      <c r="I4244" s="148" t="s">
        <v>704</v>
      </c>
      <c r="J4244" s="133" t="s">
        <v>13</v>
      </c>
      <c r="K4244" s="218"/>
      <c r="L4244" s="218">
        <v>16360</v>
      </c>
    </row>
    <row r="4245" spans="1:14" ht="45" x14ac:dyDescent="0.2">
      <c r="A4245" s="163">
        <v>2021</v>
      </c>
      <c r="B4245" s="163">
        <v>9</v>
      </c>
      <c r="C4245" s="163">
        <v>9</v>
      </c>
      <c r="D4245" s="141">
        <f t="shared" si="140"/>
        <v>44448</v>
      </c>
      <c r="E4245" s="275">
        <f t="shared" si="141"/>
        <v>44448</v>
      </c>
      <c r="F4245" s="480"/>
      <c r="G4245" s="221" t="s">
        <v>74</v>
      </c>
      <c r="H4245" s="145" t="str" cm="1">
        <f t="array" ref="H4245">IFERROR(INDEX(INVESTOR_LIST[INVESTOR NAME],MATCH(I4245,INVESTOR_LIST[INVESTOR CODE],0),)," ")</f>
        <v>QUAZI TOWFIQUE UDDIN</v>
      </c>
      <c r="I4245" s="145" t="s">
        <v>704</v>
      </c>
      <c r="J4245" s="163" t="s">
        <v>53</v>
      </c>
      <c r="K4245" s="219"/>
      <c r="L4245" s="219">
        <v>7640</v>
      </c>
    </row>
    <row r="4246" spans="1:14" ht="11.25" customHeight="1" x14ac:dyDescent="0.2">
      <c r="A4246" s="168">
        <v>2021</v>
      </c>
      <c r="B4246" s="168">
        <v>9</v>
      </c>
      <c r="C4246" s="133">
        <v>9</v>
      </c>
      <c r="D4246" s="141">
        <f t="shared" si="140"/>
        <v>44448</v>
      </c>
      <c r="E4246" s="275">
        <f t="shared" si="141"/>
        <v>44448</v>
      </c>
      <c r="F4246" s="479" t="s">
        <v>964</v>
      </c>
      <c r="G4246" s="220" t="s">
        <v>74</v>
      </c>
      <c r="H4246" s="142" t="str" cm="1">
        <f t="array" ref="H4246">IFERROR(INDEX(INVESTOR_LIST[INVESTOR NAME],MATCH(I4246,INVESTOR_LIST[INVESTOR CODE],0),)," ")</f>
        <v>CHAYAN KUMAR BARUA</v>
      </c>
      <c r="I4246" s="142" t="s">
        <v>888</v>
      </c>
      <c r="J4246" s="168" t="s">
        <v>52</v>
      </c>
      <c r="K4246" s="226">
        <v>50000</v>
      </c>
      <c r="L4246" s="226"/>
    </row>
    <row r="4247" spans="1:14" ht="33.75" x14ac:dyDescent="0.2">
      <c r="A4247" s="133">
        <v>2021</v>
      </c>
      <c r="B4247" s="133">
        <v>9</v>
      </c>
      <c r="C4247" s="133">
        <v>9</v>
      </c>
      <c r="D4247" s="141">
        <f t="shared" si="140"/>
        <v>44448</v>
      </c>
      <c r="E4247" s="275">
        <f t="shared" si="141"/>
        <v>44448</v>
      </c>
      <c r="F4247" s="481"/>
      <c r="G4247" s="174" t="s">
        <v>74</v>
      </c>
      <c r="H4247" s="148" t="str" cm="1">
        <f t="array" ref="H4247">IFERROR(INDEX(INVESTOR_LIST[INVESTOR NAME],MATCH(I4247,INVESTOR_LIST[INVESTOR CODE],0),)," ")</f>
        <v>CHAYAN KUMAR BARUA</v>
      </c>
      <c r="I4247" s="148" t="s">
        <v>888</v>
      </c>
      <c r="J4247" s="133" t="s">
        <v>13</v>
      </c>
      <c r="K4247" s="218"/>
      <c r="L4247" s="218">
        <v>34080</v>
      </c>
    </row>
    <row r="4248" spans="1:14" ht="33.75" x14ac:dyDescent="0.2">
      <c r="A4248" s="163">
        <v>2021</v>
      </c>
      <c r="B4248" s="163">
        <v>9</v>
      </c>
      <c r="C4248" s="163">
        <v>9</v>
      </c>
      <c r="D4248" s="141">
        <f t="shared" si="140"/>
        <v>44448</v>
      </c>
      <c r="E4248" s="275">
        <f t="shared" si="141"/>
        <v>44448</v>
      </c>
      <c r="F4248" s="480"/>
      <c r="G4248" s="221" t="s">
        <v>74</v>
      </c>
      <c r="H4248" s="145" t="str" cm="1">
        <f t="array" ref="H4248">IFERROR(INDEX(INVESTOR_LIST[INVESTOR NAME],MATCH(I4248,INVESTOR_LIST[INVESTOR CODE],0),)," ")</f>
        <v>CHAYAN KUMAR BARUA</v>
      </c>
      <c r="I4248" s="145" t="s">
        <v>888</v>
      </c>
      <c r="J4248" s="163" t="s">
        <v>53</v>
      </c>
      <c r="K4248" s="219"/>
      <c r="L4248" s="219">
        <v>15920</v>
      </c>
    </row>
    <row r="4249" spans="1:14" ht="11.25" customHeight="1" x14ac:dyDescent="0.2">
      <c r="A4249" s="168">
        <v>2021</v>
      </c>
      <c r="B4249" s="168">
        <v>9</v>
      </c>
      <c r="C4249" s="133">
        <v>9</v>
      </c>
      <c r="D4249" s="141">
        <f t="shared" si="140"/>
        <v>44448</v>
      </c>
      <c r="E4249" s="275">
        <f t="shared" si="141"/>
        <v>44448</v>
      </c>
      <c r="F4249" s="479" t="s">
        <v>964</v>
      </c>
      <c r="G4249" s="220" t="s">
        <v>74</v>
      </c>
      <c r="H4249" s="142" t="str" cm="1">
        <f t="array" ref="H4249">IFERROR(INDEX(INVESTOR_LIST[INVESTOR NAME],MATCH(I4249,INVESTOR_LIST[INVESTOR CODE],0),)," ")</f>
        <v>SHUVA SAHA</v>
      </c>
      <c r="I4249" s="142" t="s">
        <v>421</v>
      </c>
      <c r="J4249" s="168" t="s">
        <v>52</v>
      </c>
      <c r="K4249" s="226">
        <v>100000</v>
      </c>
      <c r="L4249" s="226"/>
    </row>
    <row r="4250" spans="1:14" ht="22.5" x14ac:dyDescent="0.2">
      <c r="A4250" s="133">
        <v>2021</v>
      </c>
      <c r="B4250" s="133">
        <v>9</v>
      </c>
      <c r="C4250" s="133">
        <v>9</v>
      </c>
      <c r="D4250" s="141">
        <f t="shared" si="140"/>
        <v>44448</v>
      </c>
      <c r="E4250" s="275">
        <f t="shared" si="141"/>
        <v>44448</v>
      </c>
      <c r="F4250" s="481"/>
      <c r="G4250" s="174" t="s">
        <v>74</v>
      </c>
      <c r="H4250" s="148" t="str" cm="1">
        <f t="array" ref="H4250">IFERROR(INDEX(INVESTOR_LIST[INVESTOR NAME],MATCH(I4250,INVESTOR_LIST[INVESTOR CODE],0),)," ")</f>
        <v>SHUVA SAHA</v>
      </c>
      <c r="I4250" s="148" t="s">
        <v>421</v>
      </c>
      <c r="J4250" s="133" t="s">
        <v>13</v>
      </c>
      <c r="K4250" s="218"/>
      <c r="L4250" s="218">
        <v>68170</v>
      </c>
    </row>
    <row r="4251" spans="1:14" ht="22.5" x14ac:dyDescent="0.2">
      <c r="A4251" s="163">
        <v>2021</v>
      </c>
      <c r="B4251" s="163">
        <v>9</v>
      </c>
      <c r="C4251" s="163">
        <v>9</v>
      </c>
      <c r="D4251" s="141">
        <f t="shared" si="140"/>
        <v>44448</v>
      </c>
      <c r="E4251" s="275">
        <f t="shared" si="141"/>
        <v>44448</v>
      </c>
      <c r="F4251" s="480"/>
      <c r="G4251" s="221" t="s">
        <v>74</v>
      </c>
      <c r="H4251" s="145" t="str" cm="1">
        <f t="array" ref="H4251">IFERROR(INDEX(INVESTOR_LIST[INVESTOR NAME],MATCH(I4251,INVESTOR_LIST[INVESTOR CODE],0),)," ")</f>
        <v>SHUVA SAHA</v>
      </c>
      <c r="I4251" s="145" t="s">
        <v>421</v>
      </c>
      <c r="J4251" s="163" t="s">
        <v>53</v>
      </c>
      <c r="K4251" s="219"/>
      <c r="L4251" s="219">
        <v>31830</v>
      </c>
    </row>
    <row r="4252" spans="1:14" ht="22.5" x14ac:dyDescent="0.2">
      <c r="A4252" s="133">
        <v>2021</v>
      </c>
      <c r="B4252" s="133">
        <v>9</v>
      </c>
      <c r="C4252" s="133">
        <v>9</v>
      </c>
      <c r="D4252" s="141">
        <f t="shared" si="140"/>
        <v>44448</v>
      </c>
      <c r="E4252" s="275">
        <f t="shared" si="141"/>
        <v>44448</v>
      </c>
      <c r="F4252" s="479" t="s">
        <v>965</v>
      </c>
      <c r="G4252" s="174" t="s">
        <v>74</v>
      </c>
      <c r="H4252" s="174" t="str" cm="1">
        <f t="array" ref="H4252">IFERROR(INDEX(INVESTOR_LIST[INVESTOR NAME],MATCH(I4252,INVESTOR_LIST[INVESTOR CODE],0),)," ")</f>
        <v>TAHMID HASAN</v>
      </c>
      <c r="I4252" s="148" t="s">
        <v>559</v>
      </c>
      <c r="J4252" s="149" t="s">
        <v>13</v>
      </c>
      <c r="K4252" s="218">
        <v>6820</v>
      </c>
      <c r="L4252" s="218"/>
    </row>
    <row r="4253" spans="1:14" ht="22.5" x14ac:dyDescent="0.2">
      <c r="A4253" s="133">
        <v>2021</v>
      </c>
      <c r="B4253" s="133">
        <v>9</v>
      </c>
      <c r="C4253" s="133">
        <v>9</v>
      </c>
      <c r="D4253" s="141">
        <f t="shared" si="140"/>
        <v>44448</v>
      </c>
      <c r="E4253" s="275">
        <f t="shared" si="141"/>
        <v>44448</v>
      </c>
      <c r="F4253" s="481"/>
      <c r="G4253" s="174" t="s">
        <v>74</v>
      </c>
      <c r="H4253" s="174" t="str" cm="1">
        <f t="array" ref="H4253">IFERROR(INDEX(INVESTOR_LIST[INVESTOR NAME],MATCH(I4253,INVESTOR_LIST[INVESTOR CODE],0),)," ")</f>
        <v>TAHMID HASAN</v>
      </c>
      <c r="I4253" s="148" t="s">
        <v>559</v>
      </c>
      <c r="J4253" s="149" t="s">
        <v>53</v>
      </c>
      <c r="K4253" s="218">
        <v>3180</v>
      </c>
      <c r="L4253" s="218"/>
    </row>
    <row r="4254" spans="1:14" ht="22.5" x14ac:dyDescent="0.2">
      <c r="A4254" s="163">
        <v>2021</v>
      </c>
      <c r="B4254" s="163">
        <v>9</v>
      </c>
      <c r="C4254" s="163">
        <v>9</v>
      </c>
      <c r="D4254" s="141">
        <f t="shared" si="140"/>
        <v>44448</v>
      </c>
      <c r="E4254" s="275">
        <f t="shared" si="141"/>
        <v>44448</v>
      </c>
      <c r="F4254" s="480"/>
      <c r="G4254" s="221" t="s">
        <v>74</v>
      </c>
      <c r="H4254" s="221" t="str" cm="1">
        <f t="array" ref="H4254">IFERROR(INDEX(INVESTOR_LIST[INVESTOR NAME],MATCH(I4254,INVESTOR_LIST[INVESTOR CODE],0),)," ")</f>
        <v>TAHMID HASAN</v>
      </c>
      <c r="I4254" s="145" t="s">
        <v>559</v>
      </c>
      <c r="J4254" s="146" t="s">
        <v>52</v>
      </c>
      <c r="K4254" s="219"/>
      <c r="L4254" s="219">
        <v>10000</v>
      </c>
    </row>
    <row r="4255" spans="1:14" ht="11.25" customHeight="1" x14ac:dyDescent="0.2">
      <c r="A4255" s="168">
        <v>2021</v>
      </c>
      <c r="B4255" s="168">
        <v>9</v>
      </c>
      <c r="C4255" s="133">
        <v>9</v>
      </c>
      <c r="D4255" s="141">
        <f t="shared" si="140"/>
        <v>44448</v>
      </c>
      <c r="E4255" s="275">
        <f t="shared" si="141"/>
        <v>44448</v>
      </c>
      <c r="F4255" s="479" t="s">
        <v>964</v>
      </c>
      <c r="G4255" s="220" t="s">
        <v>74</v>
      </c>
      <c r="H4255" s="142" t="str" cm="1">
        <f t="array" ref="H4255">IFERROR(INDEX(INVESTOR_LIST[INVESTOR NAME],MATCH(I4255,INVESTOR_LIST[INVESTOR CODE],0),)," ")</f>
        <v>EKUSH WEALTH MANAGEMENT LIMITED</v>
      </c>
      <c r="I4255" s="142" t="s">
        <v>371</v>
      </c>
      <c r="J4255" s="168" t="s">
        <v>52</v>
      </c>
      <c r="K4255" s="226">
        <v>500000</v>
      </c>
      <c r="L4255" s="226"/>
    </row>
    <row r="4256" spans="1:14" ht="56.25" x14ac:dyDescent="0.2">
      <c r="A4256" s="133">
        <v>2021</v>
      </c>
      <c r="B4256" s="133">
        <v>9</v>
      </c>
      <c r="C4256" s="133">
        <v>9</v>
      </c>
      <c r="D4256" s="141">
        <f t="shared" si="140"/>
        <v>44448</v>
      </c>
      <c r="E4256" s="275">
        <f t="shared" si="141"/>
        <v>44448</v>
      </c>
      <c r="F4256" s="481"/>
      <c r="G4256" s="174" t="s">
        <v>74</v>
      </c>
      <c r="H4256" s="148" t="str" cm="1">
        <f t="array" ref="H4256">IFERROR(INDEX(INVESTOR_LIST[INVESTOR NAME],MATCH(I4256,INVESTOR_LIST[INVESTOR CODE],0),)," ")</f>
        <v>EKUSH WEALTH MANAGEMENT LIMITED</v>
      </c>
      <c r="I4256" s="148" t="s">
        <v>371</v>
      </c>
      <c r="J4256" s="133" t="s">
        <v>13</v>
      </c>
      <c r="K4256" s="218"/>
      <c r="L4256" s="218">
        <v>340840</v>
      </c>
    </row>
    <row r="4257" spans="1:12" ht="56.25" x14ac:dyDescent="0.2">
      <c r="A4257" s="163">
        <v>2021</v>
      </c>
      <c r="B4257" s="163">
        <v>9</v>
      </c>
      <c r="C4257" s="163">
        <v>9</v>
      </c>
      <c r="D4257" s="141">
        <f t="shared" si="140"/>
        <v>44448</v>
      </c>
      <c r="E4257" s="275">
        <f t="shared" si="141"/>
        <v>44448</v>
      </c>
      <c r="F4257" s="480"/>
      <c r="G4257" s="221" t="s">
        <v>74</v>
      </c>
      <c r="H4257" s="145" t="str" cm="1">
        <f t="array" ref="H4257">IFERROR(INDEX(INVESTOR_LIST[INVESTOR NAME],MATCH(I4257,INVESTOR_LIST[INVESTOR CODE],0),)," ")</f>
        <v>EKUSH WEALTH MANAGEMENT LIMITED</v>
      </c>
      <c r="I4257" s="145" t="s">
        <v>371</v>
      </c>
      <c r="J4257" s="163" t="s">
        <v>53</v>
      </c>
      <c r="K4257" s="219"/>
      <c r="L4257" s="219">
        <v>159160</v>
      </c>
    </row>
    <row r="4258" spans="1:12" ht="11.25" customHeight="1" x14ac:dyDescent="0.2">
      <c r="A4258" s="168">
        <v>2021</v>
      </c>
      <c r="B4258" s="168">
        <v>9</v>
      </c>
      <c r="C4258" s="133">
        <v>9</v>
      </c>
      <c r="D4258" s="141">
        <f t="shared" si="140"/>
        <v>44448</v>
      </c>
      <c r="E4258" s="275">
        <f t="shared" si="141"/>
        <v>44448</v>
      </c>
      <c r="F4258" s="479" t="s">
        <v>964</v>
      </c>
      <c r="G4258" s="220" t="s">
        <v>74</v>
      </c>
      <c r="H4258" s="142" t="str" cm="1">
        <f t="array" ref="H4258">IFERROR(INDEX(INVESTOR_LIST[INVESTOR NAME],MATCH(I4258,INVESTOR_LIST[INVESTOR CODE],0),)," ")</f>
        <v>MD. MOSABBIR ALAM</v>
      </c>
      <c r="I4258" s="142" t="s">
        <v>889</v>
      </c>
      <c r="J4258" s="168" t="s">
        <v>52</v>
      </c>
      <c r="K4258" s="226">
        <v>10000</v>
      </c>
      <c r="L4258" s="226"/>
    </row>
    <row r="4259" spans="1:12" ht="33.75" x14ac:dyDescent="0.2">
      <c r="A4259" s="133">
        <v>2021</v>
      </c>
      <c r="B4259" s="133">
        <v>9</v>
      </c>
      <c r="C4259" s="133">
        <v>9</v>
      </c>
      <c r="D4259" s="141">
        <f t="shared" si="140"/>
        <v>44448</v>
      </c>
      <c r="E4259" s="275">
        <f t="shared" si="141"/>
        <v>44448</v>
      </c>
      <c r="F4259" s="481"/>
      <c r="G4259" s="174" t="s">
        <v>74</v>
      </c>
      <c r="H4259" s="148" t="str" cm="1">
        <f t="array" ref="H4259">IFERROR(INDEX(INVESTOR_LIST[INVESTOR NAME],MATCH(I4259,INVESTOR_LIST[INVESTOR CODE],0),)," ")</f>
        <v>MD. MOSABBIR ALAM</v>
      </c>
      <c r="I4259" s="148" t="s">
        <v>889</v>
      </c>
      <c r="J4259" s="133" t="s">
        <v>13</v>
      </c>
      <c r="K4259" s="218"/>
      <c r="L4259" s="218">
        <v>6820</v>
      </c>
    </row>
    <row r="4260" spans="1:12" ht="33.75" x14ac:dyDescent="0.2">
      <c r="A4260" s="163">
        <v>2021</v>
      </c>
      <c r="B4260" s="163">
        <v>9</v>
      </c>
      <c r="C4260" s="163">
        <v>9</v>
      </c>
      <c r="D4260" s="141">
        <f t="shared" si="140"/>
        <v>44448</v>
      </c>
      <c r="E4260" s="275">
        <f t="shared" si="141"/>
        <v>44448</v>
      </c>
      <c r="F4260" s="480"/>
      <c r="G4260" s="221" t="s">
        <v>74</v>
      </c>
      <c r="H4260" s="145" t="str" cm="1">
        <f t="array" ref="H4260">IFERROR(INDEX(INVESTOR_LIST[INVESTOR NAME],MATCH(I4260,INVESTOR_LIST[INVESTOR CODE],0),)," ")</f>
        <v>MD. MOSABBIR ALAM</v>
      </c>
      <c r="I4260" s="145" t="s">
        <v>889</v>
      </c>
      <c r="J4260" s="163" t="s">
        <v>53</v>
      </c>
      <c r="K4260" s="219"/>
      <c r="L4260" s="219">
        <v>3180</v>
      </c>
    </row>
    <row r="4261" spans="1:12" ht="11.25" customHeight="1" x14ac:dyDescent="0.2">
      <c r="A4261" s="168">
        <v>2021</v>
      </c>
      <c r="B4261" s="168">
        <v>9</v>
      </c>
      <c r="C4261" s="133">
        <v>9</v>
      </c>
      <c r="D4261" s="141">
        <f t="shared" si="140"/>
        <v>44448</v>
      </c>
      <c r="E4261" s="275">
        <f t="shared" si="141"/>
        <v>44448</v>
      </c>
      <c r="F4261" s="479" t="s">
        <v>964</v>
      </c>
      <c r="G4261" s="220" t="s">
        <v>74</v>
      </c>
      <c r="H4261" s="142" t="str" cm="1">
        <f t="array" ref="H4261">IFERROR(INDEX(INVESTOR_LIST[INVESTOR NAME],MATCH(I4261,INVESTOR_LIST[INVESTOR CODE],0),)," ")</f>
        <v>FARUK-E AZAM bIN HAIDER</v>
      </c>
      <c r="I4261" s="142" t="s">
        <v>515</v>
      </c>
      <c r="J4261" s="168" t="s">
        <v>52</v>
      </c>
      <c r="K4261" s="226">
        <v>50000</v>
      </c>
      <c r="L4261" s="226"/>
    </row>
    <row r="4262" spans="1:12" ht="45" x14ac:dyDescent="0.2">
      <c r="A4262" s="133">
        <v>2021</v>
      </c>
      <c r="B4262" s="133">
        <v>9</v>
      </c>
      <c r="C4262" s="133">
        <v>9</v>
      </c>
      <c r="D4262" s="141">
        <f t="shared" si="140"/>
        <v>44448</v>
      </c>
      <c r="E4262" s="275">
        <f t="shared" si="141"/>
        <v>44448</v>
      </c>
      <c r="F4262" s="481"/>
      <c r="G4262" s="174" t="s">
        <v>74</v>
      </c>
      <c r="H4262" s="148" t="str" cm="1">
        <f t="array" ref="H4262">IFERROR(INDEX(INVESTOR_LIST[INVESTOR NAME],MATCH(I4262,INVESTOR_LIST[INVESTOR CODE],0),)," ")</f>
        <v>FARUK-E AZAM bIN HAIDER</v>
      </c>
      <c r="I4262" s="148" t="s">
        <v>515</v>
      </c>
      <c r="J4262" s="133" t="s">
        <v>13</v>
      </c>
      <c r="K4262" s="218"/>
      <c r="L4262" s="218">
        <v>34080</v>
      </c>
    </row>
    <row r="4263" spans="1:12" ht="45" x14ac:dyDescent="0.2">
      <c r="A4263" s="163">
        <v>2021</v>
      </c>
      <c r="B4263" s="163">
        <v>9</v>
      </c>
      <c r="C4263" s="163">
        <v>9</v>
      </c>
      <c r="D4263" s="141">
        <f t="shared" si="140"/>
        <v>44448</v>
      </c>
      <c r="E4263" s="275">
        <f t="shared" si="141"/>
        <v>44448</v>
      </c>
      <c r="F4263" s="480"/>
      <c r="G4263" s="221" t="s">
        <v>74</v>
      </c>
      <c r="H4263" s="145" t="str" cm="1">
        <f t="array" ref="H4263">IFERROR(INDEX(INVESTOR_LIST[INVESTOR NAME],MATCH(I4263,INVESTOR_LIST[INVESTOR CODE],0),)," ")</f>
        <v>FARUK-E AZAM bIN HAIDER</v>
      </c>
      <c r="I4263" s="145" t="s">
        <v>515</v>
      </c>
      <c r="J4263" s="163" t="s">
        <v>53</v>
      </c>
      <c r="K4263" s="219"/>
      <c r="L4263" s="219">
        <v>15920</v>
      </c>
    </row>
    <row r="4264" spans="1:12" x14ac:dyDescent="0.2">
      <c r="A4264" s="168">
        <v>2021</v>
      </c>
      <c r="B4264" s="168">
        <v>9</v>
      </c>
      <c r="C4264" s="168">
        <v>9</v>
      </c>
      <c r="D4264" s="141">
        <f t="shared" si="140"/>
        <v>44448</v>
      </c>
      <c r="E4264" s="275">
        <f t="shared" si="141"/>
        <v>44448</v>
      </c>
      <c r="F4264" s="479" t="s">
        <v>892</v>
      </c>
      <c r="G4264" s="220" t="s">
        <v>74</v>
      </c>
      <c r="H4264" s="220" t="str" cm="1">
        <f t="array" ref="H4264">IFERROR(INDEX(INVESTOR_LIST[INVESTOR NAME],MATCH(I4264,INVESTOR_LIST[INVESTOR CODE],0),)," ")</f>
        <v xml:space="preserve"> </v>
      </c>
      <c r="I4264" s="142" t="s">
        <v>348</v>
      </c>
      <c r="J4264" s="143" t="s">
        <v>147</v>
      </c>
      <c r="K4264" s="226">
        <v>1200657.3</v>
      </c>
      <c r="L4264" s="226"/>
    </row>
    <row r="4265" spans="1:12" x14ac:dyDescent="0.2">
      <c r="A4265" s="163">
        <v>2021</v>
      </c>
      <c r="B4265" s="163">
        <v>9</v>
      </c>
      <c r="C4265" s="163">
        <v>9</v>
      </c>
      <c r="D4265" s="141">
        <f t="shared" si="140"/>
        <v>44448</v>
      </c>
      <c r="E4265" s="275">
        <f t="shared" si="141"/>
        <v>44448</v>
      </c>
      <c r="F4265" s="480"/>
      <c r="G4265" s="221" t="s">
        <v>74</v>
      </c>
      <c r="H4265" s="221" t="str" cm="1">
        <f t="array" ref="H4265">IFERROR(INDEX(INVESTOR_LIST[INVESTOR NAME],MATCH(I4265,INVESTOR_LIST[INVESTOR CODE],0),)," ")</f>
        <v xml:space="preserve"> </v>
      </c>
      <c r="I4265" s="145" t="s">
        <v>348</v>
      </c>
      <c r="J4265" s="146" t="s">
        <v>52</v>
      </c>
      <c r="K4265" s="219"/>
      <c r="L4265" s="219">
        <v>1200657.3</v>
      </c>
    </row>
    <row r="4266" spans="1:12" x14ac:dyDescent="0.2">
      <c r="A4266" s="168">
        <v>2021</v>
      </c>
      <c r="B4266" s="168">
        <v>9</v>
      </c>
      <c r="C4266" s="168">
        <v>9</v>
      </c>
      <c r="D4266" s="141">
        <f t="shared" si="140"/>
        <v>44448</v>
      </c>
      <c r="E4266" s="275">
        <f t="shared" si="141"/>
        <v>44448</v>
      </c>
      <c r="F4266" s="479" t="s">
        <v>892</v>
      </c>
      <c r="G4266" s="220" t="s">
        <v>74</v>
      </c>
      <c r="H4266" s="220" t="str" cm="1">
        <f t="array" ref="H4266">IFERROR(INDEX(INVESTOR_LIST[INVESTOR NAME],MATCH(I4266,INVESTOR_LIST[INVESTOR CODE],0),)," ")</f>
        <v xml:space="preserve"> </v>
      </c>
      <c r="I4266" s="142" t="s">
        <v>348</v>
      </c>
      <c r="J4266" s="143" t="s">
        <v>147</v>
      </c>
      <c r="K4266" s="226">
        <v>20293851</v>
      </c>
      <c r="L4266" s="226"/>
    </row>
    <row r="4267" spans="1:12" x14ac:dyDescent="0.2">
      <c r="A4267" s="163">
        <v>2021</v>
      </c>
      <c r="B4267" s="163">
        <v>9</v>
      </c>
      <c r="C4267" s="163">
        <v>9</v>
      </c>
      <c r="D4267" s="141">
        <f t="shared" si="140"/>
        <v>44448</v>
      </c>
      <c r="E4267" s="275">
        <f t="shared" si="141"/>
        <v>44448</v>
      </c>
      <c r="F4267" s="480"/>
      <c r="G4267" s="221" t="s">
        <v>74</v>
      </c>
      <c r="H4267" s="221" t="str" cm="1">
        <f t="array" ref="H4267">IFERROR(INDEX(INVESTOR_LIST[INVESTOR NAME],MATCH(I4267,INVESTOR_LIST[INVESTOR CODE],0),)," ")</f>
        <v xml:space="preserve"> </v>
      </c>
      <c r="I4267" s="145" t="s">
        <v>348</v>
      </c>
      <c r="J4267" s="146" t="s">
        <v>52</v>
      </c>
      <c r="K4267" s="219"/>
      <c r="L4267" s="219">
        <v>20293851</v>
      </c>
    </row>
    <row r="4268" spans="1:12" x14ac:dyDescent="0.2">
      <c r="A4268" s="168">
        <v>2021</v>
      </c>
      <c r="B4268" s="168">
        <v>9</v>
      </c>
      <c r="C4268" s="168">
        <v>9</v>
      </c>
      <c r="D4268" s="141">
        <f t="shared" si="140"/>
        <v>44448</v>
      </c>
      <c r="E4268" s="275">
        <f t="shared" si="141"/>
        <v>44448</v>
      </c>
      <c r="F4268" s="479" t="s">
        <v>892</v>
      </c>
      <c r="G4268" s="220" t="s">
        <v>74</v>
      </c>
      <c r="H4268" s="220" t="str" cm="1">
        <f t="array" ref="H4268">IFERROR(INDEX(INVESTOR_LIST[INVESTOR NAME],MATCH(I4268,INVESTOR_LIST[INVESTOR CODE],0),)," ")</f>
        <v xml:space="preserve"> </v>
      </c>
      <c r="I4268" s="142" t="s">
        <v>348</v>
      </c>
      <c r="J4268" s="143" t="s">
        <v>147</v>
      </c>
      <c r="K4268" s="226">
        <v>3375130.32</v>
      </c>
      <c r="L4268" s="226"/>
    </row>
    <row r="4269" spans="1:12" x14ac:dyDescent="0.2">
      <c r="A4269" s="163">
        <v>2021</v>
      </c>
      <c r="B4269" s="163">
        <v>9</v>
      </c>
      <c r="C4269" s="163">
        <v>9</v>
      </c>
      <c r="D4269" s="141">
        <f t="shared" si="140"/>
        <v>44448</v>
      </c>
      <c r="E4269" s="275">
        <f t="shared" si="141"/>
        <v>44448</v>
      </c>
      <c r="F4269" s="480"/>
      <c r="G4269" s="221" t="s">
        <v>74</v>
      </c>
      <c r="H4269" s="221" t="str" cm="1">
        <f t="array" ref="H4269">IFERROR(INDEX(INVESTOR_LIST[INVESTOR NAME],MATCH(I4269,INVESTOR_LIST[INVESTOR CODE],0),)," ")</f>
        <v xml:space="preserve"> </v>
      </c>
      <c r="I4269" s="145" t="s">
        <v>348</v>
      </c>
      <c r="J4269" s="146" t="s">
        <v>52</v>
      </c>
      <c r="K4269" s="219"/>
      <c r="L4269" s="219">
        <v>3375130.32</v>
      </c>
    </row>
    <row r="4270" spans="1:12" x14ac:dyDescent="0.2">
      <c r="A4270" s="168">
        <v>2021</v>
      </c>
      <c r="B4270" s="168">
        <v>9</v>
      </c>
      <c r="C4270" s="168">
        <v>9</v>
      </c>
      <c r="D4270" s="141">
        <f t="shared" si="140"/>
        <v>44448</v>
      </c>
      <c r="E4270" s="275">
        <f t="shared" si="141"/>
        <v>44448</v>
      </c>
      <c r="F4270" s="479" t="s">
        <v>362</v>
      </c>
      <c r="G4270" s="220" t="s">
        <v>74</v>
      </c>
      <c r="H4270" s="220" t="str" cm="1">
        <f t="array" ref="H4270">IFERROR(INDEX(INVESTOR_LIST[INVESTOR NAME],MATCH(I4270,INVESTOR_LIST[INVESTOR CODE],0),)," ")</f>
        <v xml:space="preserve"> </v>
      </c>
      <c r="I4270" s="142" t="s">
        <v>348</v>
      </c>
      <c r="J4270" s="143" t="s">
        <v>104</v>
      </c>
      <c r="K4270" s="226">
        <v>23595.57</v>
      </c>
      <c r="L4270" s="226"/>
    </row>
    <row r="4271" spans="1:12" x14ac:dyDescent="0.2">
      <c r="A4271" s="163">
        <v>2021</v>
      </c>
      <c r="B4271" s="163">
        <v>9</v>
      </c>
      <c r="C4271" s="163">
        <v>9</v>
      </c>
      <c r="D4271" s="141">
        <f t="shared" si="140"/>
        <v>44448</v>
      </c>
      <c r="E4271" s="275">
        <f t="shared" si="141"/>
        <v>44448</v>
      </c>
      <c r="F4271" s="480"/>
      <c r="G4271" s="221" t="s">
        <v>74</v>
      </c>
      <c r="H4271" s="221" t="str" cm="1">
        <f t="array" ref="H4271">IFERROR(INDEX(INVESTOR_LIST[INVESTOR NAME],MATCH(I4271,INVESTOR_LIST[INVESTOR CODE],0),)," ")</f>
        <v xml:space="preserve"> </v>
      </c>
      <c r="I4271" s="145" t="s">
        <v>348</v>
      </c>
      <c r="J4271" s="146" t="s">
        <v>52</v>
      </c>
      <c r="K4271" s="219"/>
      <c r="L4271" s="219">
        <v>23595.57</v>
      </c>
    </row>
    <row r="4272" spans="1:12" x14ac:dyDescent="0.2">
      <c r="A4272" s="133">
        <v>2021</v>
      </c>
      <c r="B4272" s="133">
        <v>9</v>
      </c>
      <c r="C4272" s="133">
        <v>9</v>
      </c>
      <c r="D4272" s="141">
        <f t="shared" si="140"/>
        <v>44448</v>
      </c>
      <c r="E4272" s="275">
        <f t="shared" si="141"/>
        <v>44448</v>
      </c>
      <c r="F4272" s="479" t="s">
        <v>77</v>
      </c>
      <c r="G4272" s="174" t="s">
        <v>74</v>
      </c>
      <c r="H4272" s="148" t="str" cm="1">
        <f t="array" ref="H4272">IFERROR(INDEX(INVESTOR_LIST[INVESTOR NAME],MATCH(I4272,INVESTOR_LIST[INVESTOR CODE],0),)," ")</f>
        <v xml:space="preserve"> </v>
      </c>
      <c r="I4272" s="148" t="s">
        <v>348</v>
      </c>
      <c r="J4272" s="133" t="s">
        <v>61</v>
      </c>
      <c r="K4272" s="172">
        <v>10</v>
      </c>
    </row>
    <row r="4273" spans="1:13" x14ac:dyDescent="0.2">
      <c r="A4273" s="163">
        <v>2021</v>
      </c>
      <c r="B4273" s="163">
        <v>9</v>
      </c>
      <c r="C4273" s="163">
        <v>9</v>
      </c>
      <c r="D4273" s="141">
        <f t="shared" si="140"/>
        <v>44448</v>
      </c>
      <c r="E4273" s="275">
        <f t="shared" si="141"/>
        <v>44448</v>
      </c>
      <c r="F4273" s="480"/>
      <c r="G4273" s="221" t="s">
        <v>74</v>
      </c>
      <c r="H4273" s="145" t="str" cm="1">
        <f t="array" ref="H4273">IFERROR(INDEX(INVESTOR_LIST[INVESTOR NAME],MATCH(I4273,INVESTOR_LIST[INVESTOR CODE],0),)," ")</f>
        <v xml:space="preserve"> </v>
      </c>
      <c r="I4273" s="145" t="s">
        <v>348</v>
      </c>
      <c r="J4273" s="163" t="s">
        <v>52</v>
      </c>
      <c r="K4273" s="219"/>
      <c r="L4273" s="219">
        <v>10</v>
      </c>
    </row>
    <row r="4274" spans="1:13" x14ac:dyDescent="0.2">
      <c r="A4274" s="238">
        <v>2021</v>
      </c>
      <c r="B4274" s="238">
        <v>9</v>
      </c>
      <c r="C4274" s="238">
        <v>9</v>
      </c>
      <c r="D4274" s="141">
        <f t="shared" si="140"/>
        <v>44448</v>
      </c>
      <c r="E4274" s="275">
        <f t="shared" si="141"/>
        <v>44448</v>
      </c>
      <c r="F4274" s="477" t="s">
        <v>347</v>
      </c>
      <c r="G4274" s="239" t="s">
        <v>94</v>
      </c>
      <c r="H4274" s="239" t="str" cm="1">
        <f t="array" ref="H4274">IFERROR(INDEX(INVESTOR_LIST[INVESTOR NAME],MATCH(I4274,INVESTOR_LIST[INVESTOR CODE],0),)," ")</f>
        <v xml:space="preserve"> </v>
      </c>
      <c r="I4274" s="262" t="s">
        <v>348</v>
      </c>
      <c r="J4274" s="240" t="s">
        <v>108</v>
      </c>
      <c r="K4274" s="241">
        <v>11710344.880000025</v>
      </c>
      <c r="L4274" s="241"/>
    </row>
    <row r="4275" spans="1:13" x14ac:dyDescent="0.2">
      <c r="A4275" s="242">
        <v>2021</v>
      </c>
      <c r="B4275" s="242">
        <v>9</v>
      </c>
      <c r="C4275" s="242">
        <v>9</v>
      </c>
      <c r="D4275" s="141">
        <f t="shared" si="140"/>
        <v>44448</v>
      </c>
      <c r="E4275" s="275">
        <f t="shared" si="141"/>
        <v>44448</v>
      </c>
      <c r="F4275" s="478"/>
      <c r="G4275" s="243" t="s">
        <v>94</v>
      </c>
      <c r="H4275" s="243" t="str" cm="1">
        <f t="array" ref="H4275">IFERROR(INDEX(INVESTOR_LIST[INVESTOR NAME],MATCH(I4275,INVESTOR_LIST[INVESTOR CODE],0),)," ")</f>
        <v xml:space="preserve"> </v>
      </c>
      <c r="I4275" s="263" t="s">
        <v>348</v>
      </c>
      <c r="J4275" s="244" t="s">
        <v>82</v>
      </c>
      <c r="K4275" s="245"/>
      <c r="L4275" s="245">
        <v>11710344.880000025</v>
      </c>
    </row>
    <row r="4276" spans="1:13" ht="22.5" x14ac:dyDescent="0.2">
      <c r="A4276" s="246">
        <v>2021</v>
      </c>
      <c r="B4276" s="246">
        <v>9</v>
      </c>
      <c r="C4276" s="246">
        <v>9</v>
      </c>
      <c r="D4276" s="141">
        <f t="shared" si="140"/>
        <v>44448</v>
      </c>
      <c r="E4276" s="275">
        <f t="shared" si="141"/>
        <v>44448</v>
      </c>
      <c r="F4276" s="482" t="s">
        <v>148</v>
      </c>
      <c r="G4276" s="247" t="s">
        <v>94</v>
      </c>
      <c r="H4276" s="247" t="str" cm="1">
        <f t="array" ref="H4276">IFERROR(INDEX(INVESTOR_LIST[INVESTOR NAME],MATCH(I4276,INVESTOR_LIST[INVESTOR CODE],0),)," ")</f>
        <v xml:space="preserve"> </v>
      </c>
      <c r="I4276" s="248" t="s">
        <v>348</v>
      </c>
      <c r="J4276" s="249" t="s">
        <v>95</v>
      </c>
      <c r="K4276" s="250">
        <v>2747.2527472527472</v>
      </c>
      <c r="L4276" s="241"/>
      <c r="M4276" s="172">
        <v>2747.2527472527472</v>
      </c>
    </row>
    <row r="4277" spans="1:13" x14ac:dyDescent="0.2">
      <c r="A4277" s="242">
        <v>2021</v>
      </c>
      <c r="B4277" s="242">
        <v>9</v>
      </c>
      <c r="C4277" s="242">
        <v>9</v>
      </c>
      <c r="D4277" s="141">
        <f t="shared" si="140"/>
        <v>44448</v>
      </c>
      <c r="E4277" s="275">
        <f t="shared" si="141"/>
        <v>44448</v>
      </c>
      <c r="F4277" s="478"/>
      <c r="G4277" s="243" t="s">
        <v>94</v>
      </c>
      <c r="H4277" s="243" t="str" cm="1">
        <f t="array" ref="H4277">IFERROR(INDEX(INVESTOR_LIST[INVESTOR NAME],MATCH(I4277,INVESTOR_LIST[INVESTOR CODE],0),)," ")</f>
        <v xml:space="preserve"> </v>
      </c>
      <c r="I4277" s="263" t="s">
        <v>348</v>
      </c>
      <c r="J4277" s="244" t="s">
        <v>63</v>
      </c>
      <c r="K4277" s="245"/>
      <c r="L4277" s="245">
        <v>2747.2527472527472</v>
      </c>
      <c r="M4277" s="172">
        <v>119478.32125412075</v>
      </c>
    </row>
    <row r="4278" spans="1:13" x14ac:dyDescent="0.2">
      <c r="A4278" s="246">
        <v>2021</v>
      </c>
      <c r="B4278" s="246">
        <v>9</v>
      </c>
      <c r="C4278" s="246">
        <v>9</v>
      </c>
      <c r="D4278" s="141">
        <f t="shared" si="140"/>
        <v>44448</v>
      </c>
      <c r="E4278" s="275">
        <f t="shared" si="141"/>
        <v>44448</v>
      </c>
      <c r="F4278" s="482" t="s">
        <v>137</v>
      </c>
      <c r="G4278" s="247" t="s">
        <v>94</v>
      </c>
      <c r="H4278" s="247" t="str" cm="1">
        <f t="array" ref="H4278">IFERROR(INDEX(INVESTOR_LIST[INVESTOR NAME],MATCH(I4278,INVESTOR_LIST[INVESTOR CODE],0),)," ")</f>
        <v xml:space="preserve"> </v>
      </c>
      <c r="I4278" s="248" t="s">
        <v>348</v>
      </c>
      <c r="J4278" s="249" t="s">
        <v>97</v>
      </c>
      <c r="K4278" s="250">
        <v>119478.32125412075</v>
      </c>
      <c r="L4278" s="252"/>
      <c r="M4278" s="172">
        <v>6042.1444938644599</v>
      </c>
    </row>
    <row r="4279" spans="1:13" x14ac:dyDescent="0.2">
      <c r="A4279" s="242">
        <v>2021</v>
      </c>
      <c r="B4279" s="242">
        <v>9</v>
      </c>
      <c r="C4279" s="242">
        <v>9</v>
      </c>
      <c r="D4279" s="141">
        <f t="shared" si="140"/>
        <v>44448</v>
      </c>
      <c r="E4279" s="275">
        <f t="shared" si="141"/>
        <v>44448</v>
      </c>
      <c r="F4279" s="478"/>
      <c r="G4279" s="243" t="s">
        <v>94</v>
      </c>
      <c r="H4279" s="243" t="str" cm="1">
        <f t="array" ref="H4279">IFERROR(INDEX(INVESTOR_LIST[INVESTOR NAME],MATCH(I4279,INVESTOR_LIST[INVESTOR CODE],0),)," ")</f>
        <v xml:space="preserve"> </v>
      </c>
      <c r="I4279" s="263" t="s">
        <v>348</v>
      </c>
      <c r="J4279" s="244" t="s">
        <v>47</v>
      </c>
      <c r="K4279" s="245"/>
      <c r="L4279" s="245">
        <v>119478.32125412075</v>
      </c>
    </row>
    <row r="4280" spans="1:13" x14ac:dyDescent="0.2">
      <c r="A4280" s="246">
        <v>2021</v>
      </c>
      <c r="B4280" s="246">
        <v>9</v>
      </c>
      <c r="C4280" s="246">
        <v>9</v>
      </c>
      <c r="D4280" s="141">
        <f t="shared" si="140"/>
        <v>44448</v>
      </c>
      <c r="E4280" s="275">
        <f t="shared" si="141"/>
        <v>44448</v>
      </c>
      <c r="F4280" s="482" t="s">
        <v>138</v>
      </c>
      <c r="G4280" s="247" t="s">
        <v>94</v>
      </c>
      <c r="H4280" s="247" t="str" cm="1">
        <f t="array" ref="H4280">IFERROR(INDEX(INVESTOR_LIST[INVESTOR NAME],MATCH(I4280,INVESTOR_LIST[INVESTOR CODE],0),)," ")</f>
        <v xml:space="preserve"> </v>
      </c>
      <c r="I4280" s="248" t="s">
        <v>348</v>
      </c>
      <c r="J4280" s="249" t="s">
        <v>100</v>
      </c>
      <c r="K4280" s="250">
        <v>6042.1444938644599</v>
      </c>
      <c r="L4280" s="252"/>
      <c r="M4280" s="172"/>
    </row>
    <row r="4281" spans="1:13" x14ac:dyDescent="0.2">
      <c r="A4281" s="242">
        <v>2021</v>
      </c>
      <c r="B4281" s="242">
        <v>9</v>
      </c>
      <c r="C4281" s="242">
        <v>9</v>
      </c>
      <c r="D4281" s="141">
        <f t="shared" si="140"/>
        <v>44448</v>
      </c>
      <c r="E4281" s="275">
        <f t="shared" si="141"/>
        <v>44448</v>
      </c>
      <c r="F4281" s="478"/>
      <c r="G4281" s="243" t="s">
        <v>94</v>
      </c>
      <c r="H4281" s="243" t="str" cm="1">
        <f t="array" ref="H4281">IFERROR(INDEX(INVESTOR_LIST[INVESTOR NAME],MATCH(I4281,INVESTOR_LIST[INVESTOR CODE],0),)," ")</f>
        <v xml:space="preserve"> </v>
      </c>
      <c r="I4281" s="263" t="s">
        <v>348</v>
      </c>
      <c r="J4281" s="244" t="s">
        <v>48</v>
      </c>
      <c r="K4281" s="245"/>
      <c r="L4281" s="245">
        <v>6042.1444938644599</v>
      </c>
    </row>
    <row r="4282" spans="1:13" ht="22.5" x14ac:dyDescent="0.2">
      <c r="A4282" s="133">
        <v>2021</v>
      </c>
      <c r="B4282" s="133">
        <v>9</v>
      </c>
      <c r="C4282" s="133">
        <v>12</v>
      </c>
      <c r="D4282" s="141">
        <f t="shared" si="140"/>
        <v>44451</v>
      </c>
      <c r="E4282" s="275">
        <f t="shared" si="141"/>
        <v>44451</v>
      </c>
      <c r="F4282" s="479" t="s">
        <v>965</v>
      </c>
      <c r="G4282" s="174" t="s">
        <v>74</v>
      </c>
      <c r="H4282" s="174" t="str" cm="1">
        <f t="array" ref="H4282">IFERROR(INDEX(INVESTOR_LIST[INVESTOR NAME],MATCH(I4282,INVESTOR_LIST[INVESTOR CODE],0),)," ")</f>
        <v>NASRIN AKHTER</v>
      </c>
      <c r="I4282" s="148" t="s">
        <v>379</v>
      </c>
      <c r="J4282" s="149" t="s">
        <v>13</v>
      </c>
      <c r="K4282" s="218">
        <v>6000</v>
      </c>
      <c r="L4282" s="218"/>
    </row>
    <row r="4283" spans="1:13" ht="22.5" x14ac:dyDescent="0.2">
      <c r="A4283" s="133">
        <v>2021</v>
      </c>
      <c r="B4283" s="133">
        <v>9</v>
      </c>
      <c r="C4283" s="133">
        <v>12</v>
      </c>
      <c r="D4283" s="141">
        <f t="shared" si="140"/>
        <v>44451</v>
      </c>
      <c r="E4283" s="275">
        <f t="shared" si="141"/>
        <v>44451</v>
      </c>
      <c r="F4283" s="481"/>
      <c r="G4283" s="174" t="s">
        <v>74</v>
      </c>
      <c r="H4283" s="174" t="str" cm="1">
        <f t="array" ref="H4283">IFERROR(INDEX(INVESTOR_LIST[INVESTOR NAME],MATCH(I4283,INVESTOR_LIST[INVESTOR CODE],0),)," ")</f>
        <v>NASRIN AKHTER</v>
      </c>
      <c r="I4283" s="148" t="s">
        <v>379</v>
      </c>
      <c r="J4283" s="149" t="s">
        <v>53</v>
      </c>
      <c r="K4283" s="218">
        <v>2801.71</v>
      </c>
      <c r="L4283" s="218"/>
    </row>
    <row r="4284" spans="1:13" ht="22.5" x14ac:dyDescent="0.2">
      <c r="A4284" s="163">
        <v>2021</v>
      </c>
      <c r="B4284" s="163">
        <v>9</v>
      </c>
      <c r="C4284" s="163">
        <v>12</v>
      </c>
      <c r="D4284" s="141">
        <f t="shared" si="140"/>
        <v>44451</v>
      </c>
      <c r="E4284" s="275">
        <f t="shared" si="141"/>
        <v>44451</v>
      </c>
      <c r="F4284" s="480"/>
      <c r="G4284" s="221" t="s">
        <v>74</v>
      </c>
      <c r="H4284" s="221" t="str" cm="1">
        <f t="array" ref="H4284">IFERROR(INDEX(INVESTOR_LIST[INVESTOR NAME],MATCH(I4284,INVESTOR_LIST[INVESTOR CODE],0),)," ")</f>
        <v>NASRIN AKHTER</v>
      </c>
      <c r="I4284" s="145" t="s">
        <v>379</v>
      </c>
      <c r="J4284" s="146" t="s">
        <v>52</v>
      </c>
      <c r="K4284" s="219"/>
      <c r="L4284" s="219">
        <v>8801.7099999999991</v>
      </c>
    </row>
    <row r="4285" spans="1:13" x14ac:dyDescent="0.2">
      <c r="A4285" s="168">
        <v>2021</v>
      </c>
      <c r="B4285" s="168">
        <v>9</v>
      </c>
      <c r="C4285" s="168">
        <v>12</v>
      </c>
      <c r="D4285" s="141">
        <f t="shared" si="140"/>
        <v>44451</v>
      </c>
      <c r="E4285" s="275">
        <f t="shared" si="141"/>
        <v>44451</v>
      </c>
      <c r="F4285" s="479" t="s">
        <v>894</v>
      </c>
      <c r="G4285" s="220" t="s">
        <v>74</v>
      </c>
      <c r="H4285" s="142" t="str" cm="1">
        <f t="array" ref="H4285">IFERROR(INDEX(INVESTOR_LIST[INVESTOR NAME],MATCH(I4285,INVESTOR_LIST[INVESTOR CODE],0),)," ")</f>
        <v xml:space="preserve"> </v>
      </c>
      <c r="I4285" s="142"/>
      <c r="J4285" s="168" t="s">
        <v>79</v>
      </c>
      <c r="K4285" s="226">
        <v>13271100</v>
      </c>
      <c r="L4285" s="226"/>
      <c r="M4285" s="160"/>
    </row>
    <row r="4286" spans="1:13" x14ac:dyDescent="0.2">
      <c r="A4286" s="133">
        <v>2021</v>
      </c>
      <c r="B4286" s="133">
        <v>9</v>
      </c>
      <c r="C4286" s="133">
        <v>12</v>
      </c>
      <c r="D4286" s="141">
        <f t="shared" si="140"/>
        <v>44451</v>
      </c>
      <c r="E4286" s="275">
        <f t="shared" si="141"/>
        <v>44451</v>
      </c>
      <c r="F4286" s="481"/>
      <c r="G4286" s="174" t="s">
        <v>74</v>
      </c>
      <c r="H4286" s="148" t="str" cm="1">
        <f t="array" ref="H4286">IFERROR(INDEX(INVESTOR_LIST[INVESTOR NAME],MATCH(I4286,INVESTOR_LIST[INVESTOR CODE],0),)," ")</f>
        <v xml:space="preserve"> </v>
      </c>
      <c r="J4286" s="133" t="s">
        <v>80</v>
      </c>
      <c r="K4286" s="218">
        <v>23887.980100000001</v>
      </c>
      <c r="L4286" s="218"/>
    </row>
    <row r="4287" spans="1:13" x14ac:dyDescent="0.2">
      <c r="A4287" s="163">
        <v>2021</v>
      </c>
      <c r="B4287" s="163">
        <v>9</v>
      </c>
      <c r="C4287" s="163">
        <v>12</v>
      </c>
      <c r="D4287" s="141">
        <f t="shared" si="140"/>
        <v>44451</v>
      </c>
      <c r="E4287" s="275">
        <f t="shared" si="141"/>
        <v>44451</v>
      </c>
      <c r="F4287" s="480"/>
      <c r="G4287" s="221" t="s">
        <v>74</v>
      </c>
      <c r="H4287" s="145" t="str" cm="1">
        <f t="array" ref="H4287">IFERROR(INDEX(INVESTOR_LIST[INVESTOR NAME],MATCH(I4287,INVESTOR_LIST[INVESTOR CODE],0),)," ")</f>
        <v xml:space="preserve"> </v>
      </c>
      <c r="I4287" s="145"/>
      <c r="J4287" s="163" t="s">
        <v>147</v>
      </c>
      <c r="K4287" s="219"/>
      <c r="L4287" s="219">
        <v>13294987.9801</v>
      </c>
    </row>
    <row r="4288" spans="1:13" ht="56.25" x14ac:dyDescent="0.2">
      <c r="A4288" s="133">
        <v>2021</v>
      </c>
      <c r="B4288" s="133">
        <v>9</v>
      </c>
      <c r="C4288" s="133">
        <v>12</v>
      </c>
      <c r="D4288" s="141">
        <f t="shared" si="140"/>
        <v>44451</v>
      </c>
      <c r="E4288" s="275">
        <f t="shared" si="141"/>
        <v>44451</v>
      </c>
      <c r="F4288" s="479" t="s">
        <v>965</v>
      </c>
      <c r="G4288" s="174" t="s">
        <v>74</v>
      </c>
      <c r="H4288" s="174" t="str" cm="1">
        <f t="array" ref="H4288">IFERROR(INDEX(INVESTOR_LIST[INVESTOR NAME],MATCH(I4288,INVESTOR_LIST[INVESTOR CODE],0),)," ")</f>
        <v>AROORA SAMEERA CHOWDHURY</v>
      </c>
      <c r="I4288" s="148" t="s">
        <v>413</v>
      </c>
      <c r="J4288" s="149" t="s">
        <v>13</v>
      </c>
      <c r="K4288" s="218">
        <v>701190</v>
      </c>
      <c r="L4288" s="218"/>
    </row>
    <row r="4289" spans="1:12" ht="56.25" x14ac:dyDescent="0.2">
      <c r="A4289" s="133">
        <v>2021</v>
      </c>
      <c r="B4289" s="133">
        <v>9</v>
      </c>
      <c r="C4289" s="133">
        <v>12</v>
      </c>
      <c r="D4289" s="141">
        <f t="shared" si="140"/>
        <v>44451</v>
      </c>
      <c r="E4289" s="275">
        <f t="shared" si="141"/>
        <v>44451</v>
      </c>
      <c r="F4289" s="481"/>
      <c r="G4289" s="174" t="s">
        <v>74</v>
      </c>
      <c r="H4289" s="174" t="str" cm="1">
        <f t="array" ref="H4289">IFERROR(INDEX(INVESTOR_LIST[INVESTOR NAME],MATCH(I4289,INVESTOR_LIST[INVESTOR CODE],0),)," ")</f>
        <v>AROORA SAMEERA CHOWDHURY</v>
      </c>
      <c r="I4289" s="148" t="s">
        <v>413</v>
      </c>
      <c r="J4289" s="149" t="s">
        <v>53</v>
      </c>
      <c r="K4289" s="218">
        <v>369503.62</v>
      </c>
      <c r="L4289" s="218"/>
    </row>
    <row r="4290" spans="1:12" ht="56.25" x14ac:dyDescent="0.2">
      <c r="A4290" s="163">
        <v>2021</v>
      </c>
      <c r="B4290" s="163">
        <v>9</v>
      </c>
      <c r="C4290" s="163">
        <v>12</v>
      </c>
      <c r="D4290" s="141">
        <f t="shared" si="140"/>
        <v>44451</v>
      </c>
      <c r="E4290" s="275">
        <f t="shared" si="141"/>
        <v>44451</v>
      </c>
      <c r="F4290" s="480"/>
      <c r="G4290" s="221" t="s">
        <v>74</v>
      </c>
      <c r="H4290" s="221" t="str" cm="1">
        <f t="array" ref="H4290">IFERROR(INDEX(INVESTOR_LIST[INVESTOR NAME],MATCH(I4290,INVESTOR_LIST[INVESTOR CODE],0),)," ")</f>
        <v>AROORA SAMEERA CHOWDHURY</v>
      </c>
      <c r="I4290" s="145" t="s">
        <v>413</v>
      </c>
      <c r="J4290" s="146" t="s">
        <v>52</v>
      </c>
      <c r="K4290" s="219"/>
      <c r="L4290" s="219">
        <v>1070693.6200000001</v>
      </c>
    </row>
    <row r="4291" spans="1:12" ht="45" x14ac:dyDescent="0.2">
      <c r="A4291" s="133">
        <v>2021</v>
      </c>
      <c r="B4291" s="133">
        <v>9</v>
      </c>
      <c r="C4291" s="133">
        <v>12</v>
      </c>
      <c r="D4291" s="141">
        <f t="shared" si="140"/>
        <v>44451</v>
      </c>
      <c r="E4291" s="275">
        <f t="shared" si="141"/>
        <v>44451</v>
      </c>
      <c r="F4291" s="479" t="s">
        <v>965</v>
      </c>
      <c r="G4291" s="174" t="s">
        <v>74</v>
      </c>
      <c r="H4291" s="174" t="str" cm="1">
        <f t="array" ref="H4291">IFERROR(INDEX(INVESTOR_LIST[INVESTOR NAME],MATCH(I4291,INVESTOR_LIST[INVESTOR CODE],0),)," ")</f>
        <v>MD. HARUN OR RASHID</v>
      </c>
      <c r="I4291" s="148" t="s">
        <v>522</v>
      </c>
      <c r="J4291" s="149" t="s">
        <v>13</v>
      </c>
      <c r="K4291" s="218">
        <v>140000</v>
      </c>
      <c r="L4291" s="218"/>
    </row>
    <row r="4292" spans="1:12" ht="45" x14ac:dyDescent="0.2">
      <c r="A4292" s="133">
        <v>2021</v>
      </c>
      <c r="B4292" s="133">
        <v>9</v>
      </c>
      <c r="C4292" s="133">
        <v>12</v>
      </c>
      <c r="D4292" s="141">
        <f t="shared" si="140"/>
        <v>44451</v>
      </c>
      <c r="E4292" s="275">
        <f t="shared" si="141"/>
        <v>44451</v>
      </c>
      <c r="F4292" s="481"/>
      <c r="G4292" s="174" t="s">
        <v>74</v>
      </c>
      <c r="H4292" s="174" t="str" cm="1">
        <f t="array" ref="H4292">IFERROR(INDEX(INVESTOR_LIST[INVESTOR NAME],MATCH(I4292,INVESTOR_LIST[INVESTOR CODE],0),)," ")</f>
        <v>MD. HARUN OR RASHID</v>
      </c>
      <c r="I4292" s="148" t="s">
        <v>522</v>
      </c>
      <c r="J4292" s="149" t="s">
        <v>53</v>
      </c>
      <c r="K4292" s="218">
        <v>73775.31</v>
      </c>
      <c r="L4292" s="218"/>
    </row>
    <row r="4293" spans="1:12" ht="45" x14ac:dyDescent="0.2">
      <c r="A4293" s="163">
        <v>2021</v>
      </c>
      <c r="B4293" s="163">
        <v>9</v>
      </c>
      <c r="C4293" s="163">
        <v>12</v>
      </c>
      <c r="D4293" s="141">
        <f t="shared" si="140"/>
        <v>44451</v>
      </c>
      <c r="E4293" s="275">
        <f t="shared" si="141"/>
        <v>44451</v>
      </c>
      <c r="F4293" s="480"/>
      <c r="G4293" s="221" t="s">
        <v>74</v>
      </c>
      <c r="H4293" s="221" t="str" cm="1">
        <f t="array" ref="H4293">IFERROR(INDEX(INVESTOR_LIST[INVESTOR NAME],MATCH(I4293,INVESTOR_LIST[INVESTOR CODE],0),)," ")</f>
        <v>MD. HARUN OR RASHID</v>
      </c>
      <c r="I4293" s="145" t="s">
        <v>522</v>
      </c>
      <c r="J4293" s="146" t="s">
        <v>52</v>
      </c>
      <c r="K4293" s="219"/>
      <c r="L4293" s="219">
        <v>213775.31</v>
      </c>
    </row>
    <row r="4294" spans="1:12" x14ac:dyDescent="0.2">
      <c r="A4294" s="168">
        <v>2021</v>
      </c>
      <c r="B4294" s="168">
        <v>9</v>
      </c>
      <c r="C4294" s="168">
        <v>12</v>
      </c>
      <c r="D4294" s="141">
        <f t="shared" si="140"/>
        <v>44451</v>
      </c>
      <c r="E4294" s="275">
        <f t="shared" si="141"/>
        <v>44451</v>
      </c>
      <c r="F4294" s="479" t="s">
        <v>877</v>
      </c>
      <c r="G4294" s="220" t="s">
        <v>74</v>
      </c>
      <c r="H4294" s="142" t="str" cm="1">
        <f t="array" ref="H4294">IFERROR(INDEX(INVESTOR_LIST[INVESTOR NAME],MATCH(I4294,INVESTOR_LIST[INVESTOR CODE],0),)," ")</f>
        <v xml:space="preserve"> </v>
      </c>
      <c r="I4294" s="142"/>
      <c r="J4294" s="168" t="s">
        <v>79</v>
      </c>
      <c r="K4294" s="226">
        <v>2519904</v>
      </c>
      <c r="L4294" s="226"/>
    </row>
    <row r="4295" spans="1:12" x14ac:dyDescent="0.2">
      <c r="A4295" s="133">
        <v>2021</v>
      </c>
      <c r="B4295" s="133">
        <v>9</v>
      </c>
      <c r="C4295" s="133">
        <v>12</v>
      </c>
      <c r="D4295" s="141">
        <f t="shared" si="140"/>
        <v>44451</v>
      </c>
      <c r="E4295" s="275">
        <f t="shared" si="141"/>
        <v>44451</v>
      </c>
      <c r="F4295" s="481"/>
      <c r="G4295" s="174" t="s">
        <v>74</v>
      </c>
      <c r="H4295" s="148" t="str" cm="1">
        <f t="array" ref="H4295">IFERROR(INDEX(INVESTOR_LIST[INVESTOR NAME],MATCH(I4295,INVESTOR_LIST[INVESTOR CODE],0),)," ")</f>
        <v xml:space="preserve"> </v>
      </c>
      <c r="J4295" s="133" t="s">
        <v>80</v>
      </c>
      <c r="K4295" s="218">
        <v>4535.8271999999997</v>
      </c>
      <c r="L4295" s="218"/>
    </row>
    <row r="4296" spans="1:12" x14ac:dyDescent="0.2">
      <c r="A4296" s="163">
        <v>2021</v>
      </c>
      <c r="B4296" s="163">
        <v>9</v>
      </c>
      <c r="C4296" s="163">
        <v>12</v>
      </c>
      <c r="D4296" s="141">
        <f t="shared" si="140"/>
        <v>44451</v>
      </c>
      <c r="E4296" s="275">
        <f t="shared" si="141"/>
        <v>44451</v>
      </c>
      <c r="F4296" s="480"/>
      <c r="G4296" s="221" t="s">
        <v>74</v>
      </c>
      <c r="H4296" s="145" t="str" cm="1">
        <f t="array" ref="H4296">IFERROR(INDEX(INVESTOR_LIST[INVESTOR NAME],MATCH(I4296,INVESTOR_LIST[INVESTOR CODE],0),)," ")</f>
        <v xml:space="preserve"> </v>
      </c>
      <c r="I4296" s="145"/>
      <c r="J4296" s="163" t="s">
        <v>147</v>
      </c>
      <c r="K4296" s="219"/>
      <c r="L4296" s="219">
        <v>2524439.8272000002</v>
      </c>
    </row>
    <row r="4297" spans="1:12" x14ac:dyDescent="0.2">
      <c r="A4297" s="168">
        <v>2021</v>
      </c>
      <c r="B4297" s="168">
        <v>9</v>
      </c>
      <c r="C4297" s="168">
        <v>12</v>
      </c>
      <c r="D4297" s="141">
        <f t="shared" si="140"/>
        <v>44451</v>
      </c>
      <c r="E4297" s="275">
        <f t="shared" si="141"/>
        <v>44451</v>
      </c>
      <c r="F4297" s="479" t="s">
        <v>896</v>
      </c>
      <c r="G4297" s="220" t="s">
        <v>74</v>
      </c>
      <c r="H4297" s="220" t="str" cm="1">
        <f t="array" ref="H4297">IFERROR(INDEX(INVESTOR_LIST[INVESTOR NAME],MATCH(I4297,INVESTOR_LIST[INVESTOR CODE],0),)," ")</f>
        <v xml:space="preserve"> </v>
      </c>
      <c r="I4297" s="142" t="s">
        <v>348</v>
      </c>
      <c r="J4297" s="143" t="s">
        <v>147</v>
      </c>
      <c r="K4297" s="226">
        <v>13294987.9801</v>
      </c>
      <c r="L4297" s="226"/>
    </row>
    <row r="4298" spans="1:12" ht="11.25" customHeight="1" x14ac:dyDescent="0.2">
      <c r="A4298" s="163">
        <v>2021</v>
      </c>
      <c r="B4298" s="163">
        <v>9</v>
      </c>
      <c r="C4298" s="163">
        <v>12</v>
      </c>
      <c r="D4298" s="141">
        <f t="shared" si="140"/>
        <v>44451</v>
      </c>
      <c r="E4298" s="275">
        <f t="shared" si="141"/>
        <v>44451</v>
      </c>
      <c r="F4298" s="480"/>
      <c r="G4298" s="221" t="s">
        <v>74</v>
      </c>
      <c r="H4298" s="221" t="str" cm="1">
        <f t="array" ref="H4298">IFERROR(INDEX(INVESTOR_LIST[INVESTOR NAME],MATCH(I4298,INVESTOR_LIST[INVESTOR CODE],0),)," ")</f>
        <v xml:space="preserve"> </v>
      </c>
      <c r="I4298" s="145" t="s">
        <v>348</v>
      </c>
      <c r="J4298" s="146" t="s">
        <v>52</v>
      </c>
      <c r="K4298" s="219"/>
      <c r="L4298" s="219">
        <v>13294987.9801</v>
      </c>
    </row>
    <row r="4299" spans="1:12" x14ac:dyDescent="0.2">
      <c r="A4299" s="168">
        <v>2021</v>
      </c>
      <c r="B4299" s="168">
        <v>9</v>
      </c>
      <c r="C4299" s="168">
        <v>12</v>
      </c>
      <c r="D4299" s="141">
        <f t="shared" si="140"/>
        <v>44451</v>
      </c>
      <c r="E4299" s="275">
        <f t="shared" si="141"/>
        <v>44451</v>
      </c>
      <c r="F4299" s="479" t="s">
        <v>892</v>
      </c>
      <c r="G4299" s="220" t="s">
        <v>74</v>
      </c>
      <c r="H4299" s="220" t="str" cm="1">
        <f t="array" ref="H4299">IFERROR(INDEX(INVESTOR_LIST[INVESTOR NAME],MATCH(I4299,INVESTOR_LIST[INVESTOR CODE],0),)," ")</f>
        <v xml:space="preserve"> </v>
      </c>
      <c r="I4299" s="142" t="s">
        <v>348</v>
      </c>
      <c r="J4299" s="143" t="s">
        <v>147</v>
      </c>
      <c r="K4299" s="226">
        <v>2524439.8272000002</v>
      </c>
      <c r="L4299" s="226"/>
    </row>
    <row r="4300" spans="1:12" x14ac:dyDescent="0.2">
      <c r="A4300" s="163">
        <v>2021</v>
      </c>
      <c r="B4300" s="163">
        <v>9</v>
      </c>
      <c r="C4300" s="163">
        <v>12</v>
      </c>
      <c r="D4300" s="141">
        <f t="shared" si="140"/>
        <v>44451</v>
      </c>
      <c r="E4300" s="275">
        <f t="shared" si="141"/>
        <v>44451</v>
      </c>
      <c r="F4300" s="480"/>
      <c r="G4300" s="221" t="s">
        <v>74</v>
      </c>
      <c r="H4300" s="221" t="str" cm="1">
        <f t="array" ref="H4300">IFERROR(INDEX(INVESTOR_LIST[INVESTOR NAME],MATCH(I4300,INVESTOR_LIST[INVESTOR CODE],0),)," ")</f>
        <v xml:space="preserve"> </v>
      </c>
      <c r="I4300" s="145" t="s">
        <v>348</v>
      </c>
      <c r="J4300" s="146" t="s">
        <v>52</v>
      </c>
      <c r="K4300" s="219"/>
      <c r="L4300" s="219">
        <v>2524439.8272000002</v>
      </c>
    </row>
    <row r="4301" spans="1:12" x14ac:dyDescent="0.2">
      <c r="A4301" s="168">
        <v>2021</v>
      </c>
      <c r="B4301" s="168">
        <v>9</v>
      </c>
      <c r="C4301" s="168">
        <v>12</v>
      </c>
      <c r="D4301" s="141">
        <f t="shared" si="140"/>
        <v>44451</v>
      </c>
      <c r="E4301" s="275">
        <f t="shared" si="141"/>
        <v>44451</v>
      </c>
      <c r="F4301" s="479" t="s">
        <v>275</v>
      </c>
      <c r="G4301" s="220" t="s">
        <v>74</v>
      </c>
      <c r="H4301" s="220" t="str" cm="1">
        <f t="array" ref="H4301">IFERROR(INDEX(INVESTOR_LIST[INVESTOR NAME],MATCH(I4301,INVESTOR_LIST[INVESTOR CODE],0),)," ")</f>
        <v xml:space="preserve"> </v>
      </c>
      <c r="I4301" s="142" t="s">
        <v>348</v>
      </c>
      <c r="J4301" s="143" t="s">
        <v>163</v>
      </c>
      <c r="K4301" s="226">
        <v>3150</v>
      </c>
      <c r="L4301" s="226"/>
    </row>
    <row r="4302" spans="1:12" x14ac:dyDescent="0.2">
      <c r="A4302" s="163">
        <v>2021</v>
      </c>
      <c r="B4302" s="163">
        <v>9</v>
      </c>
      <c r="C4302" s="163">
        <v>12</v>
      </c>
      <c r="D4302" s="141">
        <f t="shared" ref="D4302:D4365" si="142">DATE(A4302,B4302,C4302)</f>
        <v>44451</v>
      </c>
      <c r="E4302" s="275">
        <f t="shared" si="141"/>
        <v>44451</v>
      </c>
      <c r="F4302" s="480"/>
      <c r="G4302" s="221" t="s">
        <v>74</v>
      </c>
      <c r="H4302" s="221" t="str" cm="1">
        <f t="array" ref="H4302">IFERROR(INDEX(INVESTOR_LIST[INVESTOR NAME],MATCH(I4302,INVESTOR_LIST[INVESTOR CODE],0),)," ")</f>
        <v xml:space="preserve"> </v>
      </c>
      <c r="I4302" s="145" t="s">
        <v>348</v>
      </c>
      <c r="J4302" s="146" t="s">
        <v>52</v>
      </c>
      <c r="K4302" s="219"/>
      <c r="L4302" s="219">
        <v>3150</v>
      </c>
    </row>
    <row r="4303" spans="1:12" x14ac:dyDescent="0.2">
      <c r="A4303" s="168">
        <v>2021</v>
      </c>
      <c r="B4303" s="168">
        <v>9</v>
      </c>
      <c r="C4303" s="168">
        <v>12</v>
      </c>
      <c r="D4303" s="141">
        <f t="shared" si="142"/>
        <v>44451</v>
      </c>
      <c r="E4303" s="275">
        <f t="shared" ref="E4303:E4366" si="143">DATE(A4303,B4303,C4303)</f>
        <v>44451</v>
      </c>
      <c r="F4303" s="479" t="s">
        <v>275</v>
      </c>
      <c r="G4303" s="220" t="s">
        <v>74</v>
      </c>
      <c r="H4303" s="220" t="str" cm="1">
        <f t="array" ref="H4303">IFERROR(INDEX(INVESTOR_LIST[INVESTOR NAME],MATCH(I4303,INVESTOR_LIST[INVESTOR CODE],0),)," ")</f>
        <v xml:space="preserve"> </v>
      </c>
      <c r="I4303" s="142" t="s">
        <v>348</v>
      </c>
      <c r="J4303" s="143" t="s">
        <v>163</v>
      </c>
      <c r="K4303" s="226">
        <v>3150</v>
      </c>
      <c r="L4303" s="226"/>
    </row>
    <row r="4304" spans="1:12" x14ac:dyDescent="0.2">
      <c r="A4304" s="163">
        <v>2021</v>
      </c>
      <c r="B4304" s="163">
        <v>9</v>
      </c>
      <c r="C4304" s="163">
        <v>12</v>
      </c>
      <c r="D4304" s="141">
        <f t="shared" si="142"/>
        <v>44451</v>
      </c>
      <c r="E4304" s="275">
        <f t="shared" si="143"/>
        <v>44451</v>
      </c>
      <c r="F4304" s="480"/>
      <c r="G4304" s="221" t="s">
        <v>74</v>
      </c>
      <c r="H4304" s="221" t="str" cm="1">
        <f t="array" ref="H4304">IFERROR(INDEX(INVESTOR_LIST[INVESTOR NAME],MATCH(I4304,INVESTOR_LIST[INVESTOR CODE],0),)," ")</f>
        <v xml:space="preserve"> </v>
      </c>
      <c r="I4304" s="145" t="s">
        <v>348</v>
      </c>
      <c r="J4304" s="146" t="s">
        <v>52</v>
      </c>
      <c r="K4304" s="219"/>
      <c r="L4304" s="219">
        <v>3150</v>
      </c>
    </row>
    <row r="4305" spans="1:14" ht="11.25" customHeight="1" x14ac:dyDescent="0.2">
      <c r="A4305" s="168">
        <v>2021</v>
      </c>
      <c r="B4305" s="168">
        <v>9</v>
      </c>
      <c r="C4305" s="133">
        <v>13</v>
      </c>
      <c r="D4305" s="141">
        <f t="shared" si="142"/>
        <v>44452</v>
      </c>
      <c r="E4305" s="275">
        <f t="shared" si="143"/>
        <v>44452</v>
      </c>
      <c r="F4305" s="479" t="s">
        <v>964</v>
      </c>
      <c r="G4305" s="220" t="s">
        <v>74</v>
      </c>
      <c r="H4305" s="142" t="str" cm="1">
        <f t="array" ref="H4305">IFERROR(INDEX(INVESTOR_LIST[INVESTOR NAME],MATCH(I4305,INVESTOR_LIST[INVESTOR CODE],0),)," ")</f>
        <v>NAUSHEEN AHMED</v>
      </c>
      <c r="I4305" s="142" t="s">
        <v>787</v>
      </c>
      <c r="J4305" s="168" t="s">
        <v>52</v>
      </c>
      <c r="K4305" s="226">
        <v>403618</v>
      </c>
      <c r="L4305" s="226"/>
    </row>
    <row r="4306" spans="1:14" ht="33.75" x14ac:dyDescent="0.2">
      <c r="A4306" s="133">
        <v>2021</v>
      </c>
      <c r="B4306" s="133">
        <v>9</v>
      </c>
      <c r="C4306" s="133">
        <v>13</v>
      </c>
      <c r="D4306" s="141">
        <f t="shared" si="142"/>
        <v>44452</v>
      </c>
      <c r="E4306" s="275">
        <f t="shared" si="143"/>
        <v>44452</v>
      </c>
      <c r="F4306" s="481"/>
      <c r="G4306" s="174" t="s">
        <v>74</v>
      </c>
      <c r="H4306" s="148" t="str" cm="1">
        <f t="array" ref="H4306">IFERROR(INDEX(INVESTOR_LIST[INVESTOR NAME],MATCH(I4306,INVESTOR_LIST[INVESTOR CODE],0),)," ")</f>
        <v>NAUSHEEN AHMED</v>
      </c>
      <c r="I4306" s="148" t="s">
        <v>787</v>
      </c>
      <c r="J4306" s="133" t="s">
        <v>13</v>
      </c>
      <c r="K4306" s="218"/>
      <c r="L4306" s="218">
        <v>275140</v>
      </c>
    </row>
    <row r="4307" spans="1:14" ht="33.75" x14ac:dyDescent="0.2">
      <c r="A4307" s="163">
        <v>2021</v>
      </c>
      <c r="B4307" s="163">
        <v>9</v>
      </c>
      <c r="C4307" s="163">
        <v>13</v>
      </c>
      <c r="D4307" s="141">
        <f t="shared" si="142"/>
        <v>44452</v>
      </c>
      <c r="E4307" s="275">
        <f t="shared" si="143"/>
        <v>44452</v>
      </c>
      <c r="F4307" s="480"/>
      <c r="G4307" s="221" t="s">
        <v>74</v>
      </c>
      <c r="H4307" s="145" t="str" cm="1">
        <f t="array" ref="H4307">IFERROR(INDEX(INVESTOR_LIST[INVESTOR NAME],MATCH(I4307,INVESTOR_LIST[INVESTOR CODE],0),)," ")</f>
        <v>NAUSHEEN AHMED</v>
      </c>
      <c r="I4307" s="145" t="s">
        <v>787</v>
      </c>
      <c r="J4307" s="163" t="s">
        <v>53</v>
      </c>
      <c r="K4307" s="219"/>
      <c r="L4307" s="219">
        <v>128478</v>
      </c>
    </row>
    <row r="4308" spans="1:14" x14ac:dyDescent="0.2">
      <c r="A4308" s="133">
        <v>2021</v>
      </c>
      <c r="B4308" s="133">
        <v>9</v>
      </c>
      <c r="C4308" s="133">
        <v>13</v>
      </c>
      <c r="D4308" s="141">
        <f t="shared" si="142"/>
        <v>44452</v>
      </c>
      <c r="E4308" s="275">
        <f t="shared" si="143"/>
        <v>44452</v>
      </c>
      <c r="F4308" s="481" t="s">
        <v>279</v>
      </c>
      <c r="G4308" s="174" t="s">
        <v>94</v>
      </c>
      <c r="H4308" s="174" t="str" cm="1">
        <f t="array" ref="H4308">IFERROR(INDEX(INVESTOR_LIST[INVESTOR NAME],MATCH(I4308,INVESTOR_LIST[INVESTOR CODE],0),)," ")</f>
        <v xml:space="preserve"> </v>
      </c>
      <c r="I4308" s="148" t="s">
        <v>348</v>
      </c>
      <c r="J4308" s="149" t="s">
        <v>190</v>
      </c>
      <c r="K4308" s="218">
        <v>21548839.539999999</v>
      </c>
      <c r="L4308" s="218"/>
    </row>
    <row r="4309" spans="1:14" x14ac:dyDescent="0.2">
      <c r="A4309" s="133">
        <v>2021</v>
      </c>
      <c r="B4309" s="133">
        <v>9</v>
      </c>
      <c r="C4309" s="133">
        <v>13</v>
      </c>
      <c r="D4309" s="141">
        <f t="shared" si="142"/>
        <v>44452</v>
      </c>
      <c r="E4309" s="275">
        <f t="shared" si="143"/>
        <v>44452</v>
      </c>
      <c r="F4309" s="481"/>
      <c r="G4309" s="174" t="s">
        <v>94</v>
      </c>
      <c r="H4309" s="174" t="str" cm="1">
        <f t="array" ref="H4309">IFERROR(INDEX(INVESTOR_LIST[INVESTOR NAME],MATCH(I4309,INVESTOR_LIST[INVESTOR CODE],0),)," ")</f>
        <v xml:space="preserve"> </v>
      </c>
      <c r="I4309" s="148" t="s">
        <v>348</v>
      </c>
      <c r="J4309" s="149" t="s">
        <v>80</v>
      </c>
      <c r="K4309" s="218">
        <v>38857.86</v>
      </c>
      <c r="L4309" s="218"/>
    </row>
    <row r="4310" spans="1:14" x14ac:dyDescent="0.2">
      <c r="A4310" s="133">
        <v>2021</v>
      </c>
      <c r="B4310" s="133">
        <v>9</v>
      </c>
      <c r="C4310" s="133">
        <v>13</v>
      </c>
      <c r="D4310" s="141">
        <f t="shared" si="142"/>
        <v>44452</v>
      </c>
      <c r="E4310" s="275">
        <f t="shared" si="143"/>
        <v>44452</v>
      </c>
      <c r="F4310" s="481"/>
      <c r="G4310" s="174" t="s">
        <v>94</v>
      </c>
      <c r="H4310" s="174" t="str" cm="1">
        <f t="array" ref="H4310">IFERROR(INDEX(INVESTOR_LIST[INVESTOR NAME],MATCH(I4310,INVESTOR_LIST[INVESTOR CODE],0),)," ")</f>
        <v xml:space="preserve"> </v>
      </c>
      <c r="I4310" s="148" t="s">
        <v>348</v>
      </c>
      <c r="J4310" s="149" t="s">
        <v>79</v>
      </c>
      <c r="K4310" s="218"/>
      <c r="L4310" s="218">
        <v>19570302.189999998</v>
      </c>
    </row>
    <row r="4311" spans="1:14" x14ac:dyDescent="0.2">
      <c r="A4311" s="163">
        <v>2021</v>
      </c>
      <c r="B4311" s="163">
        <v>9</v>
      </c>
      <c r="C4311" s="163">
        <v>13</v>
      </c>
      <c r="D4311" s="141">
        <f t="shared" si="142"/>
        <v>44452</v>
      </c>
      <c r="E4311" s="275">
        <f t="shared" si="143"/>
        <v>44452</v>
      </c>
      <c r="F4311" s="480"/>
      <c r="G4311" s="221" t="s">
        <v>94</v>
      </c>
      <c r="H4311" s="221" t="str" cm="1">
        <f t="array" ref="H4311">IFERROR(INDEX(INVESTOR_LIST[INVESTOR NAME],MATCH(I4311,INVESTOR_LIST[INVESTOR CODE],0),)," ")</f>
        <v xml:space="preserve"> </v>
      </c>
      <c r="I4311" s="145" t="s">
        <v>348</v>
      </c>
      <c r="J4311" s="146" t="s">
        <v>191</v>
      </c>
      <c r="K4311" s="219"/>
      <c r="L4311" s="219">
        <v>2017395.2100000002</v>
      </c>
      <c r="N4311" s="156">
        <f>K4316/15.27</f>
        <v>1309.7576948264571</v>
      </c>
    </row>
    <row r="4312" spans="1:14" x14ac:dyDescent="0.2">
      <c r="A4312" s="133">
        <v>2021</v>
      </c>
      <c r="B4312" s="133">
        <v>9</v>
      </c>
      <c r="C4312" s="133">
        <v>13</v>
      </c>
      <c r="D4312" s="141">
        <f t="shared" si="142"/>
        <v>44452</v>
      </c>
      <c r="E4312" s="275">
        <f t="shared" si="143"/>
        <v>44452</v>
      </c>
      <c r="F4312" s="481" t="s">
        <v>893</v>
      </c>
      <c r="G4312" s="174" t="s">
        <v>94</v>
      </c>
      <c r="H4312" s="174" t="str" cm="1">
        <f t="array" ref="H4312">IFERROR(INDEX(INVESTOR_LIST[INVESTOR NAME],MATCH(I4312,INVESTOR_LIST[INVESTOR CODE],0),)," ")</f>
        <v xml:space="preserve"> </v>
      </c>
      <c r="I4312" s="148" t="s">
        <v>348</v>
      </c>
      <c r="J4312" s="149" t="s">
        <v>190</v>
      </c>
      <c r="K4312" s="218">
        <v>13010777.07</v>
      </c>
      <c r="L4312" s="218"/>
    </row>
    <row r="4313" spans="1:14" x14ac:dyDescent="0.2">
      <c r="A4313" s="133">
        <v>2021</v>
      </c>
      <c r="B4313" s="133">
        <v>9</v>
      </c>
      <c r="C4313" s="133">
        <v>13</v>
      </c>
      <c r="D4313" s="141">
        <f t="shared" si="142"/>
        <v>44452</v>
      </c>
      <c r="E4313" s="275">
        <f t="shared" si="143"/>
        <v>44452</v>
      </c>
      <c r="F4313" s="481"/>
      <c r="G4313" s="174" t="s">
        <v>94</v>
      </c>
      <c r="H4313" s="174" t="str" cm="1">
        <f t="array" ref="H4313">IFERROR(INDEX(INVESTOR_LIST[INVESTOR NAME],MATCH(I4313,INVESTOR_LIST[INVESTOR CODE],0),)," ")</f>
        <v xml:space="preserve"> </v>
      </c>
      <c r="I4313" s="148" t="s">
        <v>348</v>
      </c>
      <c r="J4313" s="149" t="s">
        <v>80</v>
      </c>
      <c r="K4313" s="218">
        <v>23461.63</v>
      </c>
      <c r="L4313" s="218"/>
      <c r="N4313" s="160"/>
    </row>
    <row r="4314" spans="1:14" x14ac:dyDescent="0.2">
      <c r="A4314" s="133">
        <v>2021</v>
      </c>
      <c r="B4314" s="133">
        <v>9</v>
      </c>
      <c r="C4314" s="133">
        <v>13</v>
      </c>
      <c r="D4314" s="141">
        <f t="shared" si="142"/>
        <v>44452</v>
      </c>
      <c r="E4314" s="275">
        <f t="shared" si="143"/>
        <v>44452</v>
      </c>
      <c r="F4314" s="481"/>
      <c r="G4314" s="174" t="s">
        <v>94</v>
      </c>
      <c r="H4314" s="174" t="str" cm="1">
        <f t="array" ref="H4314">IFERROR(INDEX(INVESTOR_LIST[INVESTOR NAME],MATCH(I4314,INVESTOR_LIST[INVESTOR CODE],0),)," ")</f>
        <v xml:space="preserve"> </v>
      </c>
      <c r="I4314" s="148" t="s">
        <v>348</v>
      </c>
      <c r="J4314" s="149" t="s">
        <v>79</v>
      </c>
      <c r="K4314" s="218"/>
      <c r="L4314" s="218">
        <v>11686298.24</v>
      </c>
      <c r="N4314" s="156">
        <f>K4319/15.15</f>
        <v>13201.320132013201</v>
      </c>
    </row>
    <row r="4315" spans="1:14" x14ac:dyDescent="0.2">
      <c r="A4315" s="163">
        <v>2021</v>
      </c>
      <c r="B4315" s="163">
        <v>9</v>
      </c>
      <c r="C4315" s="163">
        <v>13</v>
      </c>
      <c r="D4315" s="141">
        <f t="shared" si="142"/>
        <v>44452</v>
      </c>
      <c r="E4315" s="275">
        <f t="shared" si="143"/>
        <v>44452</v>
      </c>
      <c r="F4315" s="480"/>
      <c r="G4315" s="221" t="s">
        <v>94</v>
      </c>
      <c r="H4315" s="221" t="str" cm="1">
        <f t="array" ref="H4315">IFERROR(INDEX(INVESTOR_LIST[INVESTOR NAME],MATCH(I4315,INVESTOR_LIST[INVESTOR CODE],0),)," ")</f>
        <v xml:space="preserve"> </v>
      </c>
      <c r="I4315" s="145" t="s">
        <v>348</v>
      </c>
      <c r="J4315" s="146" t="s">
        <v>191</v>
      </c>
      <c r="K4315" s="219"/>
      <c r="L4315" s="219">
        <v>1347940.4600000002</v>
      </c>
    </row>
    <row r="4316" spans="1:14" ht="11.25" customHeight="1" x14ac:dyDescent="0.2">
      <c r="A4316" s="168">
        <v>2021</v>
      </c>
      <c r="B4316" s="168">
        <v>9</v>
      </c>
      <c r="C4316" s="133">
        <v>14</v>
      </c>
      <c r="D4316" s="141">
        <f t="shared" si="142"/>
        <v>44453</v>
      </c>
      <c r="E4316" s="275">
        <f t="shared" si="143"/>
        <v>44453</v>
      </c>
      <c r="F4316" s="479" t="s">
        <v>964</v>
      </c>
      <c r="G4316" s="220" t="s">
        <v>74</v>
      </c>
      <c r="H4316" s="142" t="str" cm="1">
        <f t="array" ref="H4316">IFERROR(INDEX(INVESTOR_LIST[INVESTOR NAME],MATCH(I4316,INVESTOR_LIST[INVESTOR CODE],0),)," ")</f>
        <v>KAMRUL HASAN MAHMUD</v>
      </c>
      <c r="I4316" s="142" t="s">
        <v>517</v>
      </c>
      <c r="J4316" s="168" t="s">
        <v>52</v>
      </c>
      <c r="K4316" s="226">
        <v>20000</v>
      </c>
      <c r="L4316" s="226"/>
      <c r="N4316" s="160"/>
    </row>
    <row r="4317" spans="1:14" ht="45" x14ac:dyDescent="0.2">
      <c r="A4317" s="133">
        <v>2021</v>
      </c>
      <c r="B4317" s="133">
        <v>9</v>
      </c>
      <c r="C4317" s="133">
        <v>14</v>
      </c>
      <c r="D4317" s="141">
        <f t="shared" si="142"/>
        <v>44453</v>
      </c>
      <c r="E4317" s="275">
        <f t="shared" si="143"/>
        <v>44453</v>
      </c>
      <c r="F4317" s="481"/>
      <c r="G4317" s="174" t="s">
        <v>74</v>
      </c>
      <c r="H4317" s="148" t="str" cm="1">
        <f t="array" ref="H4317">IFERROR(INDEX(INVESTOR_LIST[INVESTOR NAME],MATCH(I4317,INVESTOR_LIST[INVESTOR CODE],0),)," ")</f>
        <v>KAMRUL HASAN MAHMUD</v>
      </c>
      <c r="I4317" s="148" t="s">
        <v>517</v>
      </c>
      <c r="J4317" s="133" t="s">
        <v>13</v>
      </c>
      <c r="K4317" s="218"/>
      <c r="L4317" s="218">
        <v>13100</v>
      </c>
    </row>
    <row r="4318" spans="1:14" ht="45" x14ac:dyDescent="0.2">
      <c r="A4318" s="163">
        <v>2021</v>
      </c>
      <c r="B4318" s="163">
        <v>9</v>
      </c>
      <c r="C4318" s="163">
        <v>14</v>
      </c>
      <c r="D4318" s="141">
        <f t="shared" si="142"/>
        <v>44453</v>
      </c>
      <c r="E4318" s="275">
        <f t="shared" si="143"/>
        <v>44453</v>
      </c>
      <c r="F4318" s="480"/>
      <c r="G4318" s="221" t="s">
        <v>74</v>
      </c>
      <c r="H4318" s="145" t="str" cm="1">
        <f t="array" ref="H4318">IFERROR(INDEX(INVESTOR_LIST[INVESTOR NAME],MATCH(I4318,INVESTOR_LIST[INVESTOR CODE],0),)," ")</f>
        <v>KAMRUL HASAN MAHMUD</v>
      </c>
      <c r="I4318" s="145" t="s">
        <v>517</v>
      </c>
      <c r="J4318" s="163" t="s">
        <v>53</v>
      </c>
      <c r="K4318" s="219"/>
      <c r="L4318" s="219">
        <v>6900</v>
      </c>
    </row>
    <row r="4319" spans="1:14" ht="11.25" customHeight="1" x14ac:dyDescent="0.2">
      <c r="A4319" s="168">
        <v>2021</v>
      </c>
      <c r="B4319" s="168">
        <v>9</v>
      </c>
      <c r="C4319" s="133">
        <v>14</v>
      </c>
      <c r="D4319" s="141">
        <f t="shared" si="142"/>
        <v>44453</v>
      </c>
      <c r="E4319" s="275">
        <f t="shared" si="143"/>
        <v>44453</v>
      </c>
      <c r="F4319" s="479" t="s">
        <v>964</v>
      </c>
      <c r="G4319" s="220" t="s">
        <v>74</v>
      </c>
      <c r="H4319" s="142" t="str" cm="1">
        <f t="array" ref="H4319">IFERROR(INDEX(INVESTOR_LIST[INVESTOR NAME],MATCH(I4319,INVESTOR_LIST[INVESTOR CODE],0),)," ")</f>
        <v>SAMMIR BIN DELOWER</v>
      </c>
      <c r="I4319" s="142" t="s">
        <v>899</v>
      </c>
      <c r="J4319" s="168" t="s">
        <v>52</v>
      </c>
      <c r="K4319" s="226">
        <v>200000</v>
      </c>
      <c r="L4319" s="226"/>
    </row>
    <row r="4320" spans="1:14" ht="45" x14ac:dyDescent="0.2">
      <c r="A4320" s="133">
        <v>2021</v>
      </c>
      <c r="B4320" s="133">
        <v>9</v>
      </c>
      <c r="C4320" s="133">
        <v>14</v>
      </c>
      <c r="D4320" s="141">
        <f t="shared" si="142"/>
        <v>44453</v>
      </c>
      <c r="E4320" s="275">
        <f t="shared" si="143"/>
        <v>44453</v>
      </c>
      <c r="F4320" s="481"/>
      <c r="G4320" s="174" t="s">
        <v>74</v>
      </c>
      <c r="H4320" s="148" t="str" cm="1">
        <f t="array" ref="H4320">IFERROR(INDEX(INVESTOR_LIST[INVESTOR NAME],MATCH(I4320,INVESTOR_LIST[INVESTOR CODE],0),)," ")</f>
        <v>SAMMIR BIN DELOWER</v>
      </c>
      <c r="I4320" s="148" t="s">
        <v>899</v>
      </c>
      <c r="J4320" s="133" t="s">
        <v>13</v>
      </c>
      <c r="K4320" s="218"/>
      <c r="L4320" s="218">
        <v>132010</v>
      </c>
    </row>
    <row r="4321" spans="1:12" ht="45" x14ac:dyDescent="0.2">
      <c r="A4321" s="163">
        <v>2021</v>
      </c>
      <c r="B4321" s="163">
        <v>9</v>
      </c>
      <c r="C4321" s="163">
        <v>14</v>
      </c>
      <c r="D4321" s="141">
        <f t="shared" si="142"/>
        <v>44453</v>
      </c>
      <c r="E4321" s="275">
        <f t="shared" si="143"/>
        <v>44453</v>
      </c>
      <c r="F4321" s="480"/>
      <c r="G4321" s="221" t="s">
        <v>74</v>
      </c>
      <c r="H4321" s="145" t="str" cm="1">
        <f t="array" ref="H4321">IFERROR(INDEX(INVESTOR_LIST[INVESTOR NAME],MATCH(I4321,INVESTOR_LIST[INVESTOR CODE],0),)," ")</f>
        <v>SAMMIR BIN DELOWER</v>
      </c>
      <c r="I4321" s="145" t="s">
        <v>899</v>
      </c>
      <c r="J4321" s="163" t="s">
        <v>53</v>
      </c>
      <c r="K4321" s="219"/>
      <c r="L4321" s="219">
        <v>67990</v>
      </c>
    </row>
    <row r="4322" spans="1:12" ht="67.5" x14ac:dyDescent="0.2">
      <c r="A4322" s="133">
        <v>2021</v>
      </c>
      <c r="B4322" s="133">
        <v>9</v>
      </c>
      <c r="C4322" s="133">
        <v>14</v>
      </c>
      <c r="D4322" s="141">
        <f t="shared" si="142"/>
        <v>44453</v>
      </c>
      <c r="E4322" s="275">
        <f t="shared" si="143"/>
        <v>44453</v>
      </c>
      <c r="F4322" s="479" t="s">
        <v>965</v>
      </c>
      <c r="G4322" s="174" t="s">
        <v>74</v>
      </c>
      <c r="H4322" s="174" t="str" cm="1">
        <f t="array" ref="H4322">IFERROR(INDEX(INVESTOR_LIST[INVESTOR NAME],MATCH(I4322,INVESTOR_LIST[INVESTOR CODE],0),)," ")</f>
        <v>COMMUNITY BANK BANGLADESH LIMITED</v>
      </c>
      <c r="I4322" s="148" t="s">
        <v>449</v>
      </c>
      <c r="J4322" s="149" t="s">
        <v>13</v>
      </c>
      <c r="K4322" s="218">
        <v>4492360</v>
      </c>
      <c r="L4322" s="218"/>
    </row>
    <row r="4323" spans="1:12" ht="67.5" x14ac:dyDescent="0.2">
      <c r="A4323" s="133">
        <v>2021</v>
      </c>
      <c r="B4323" s="133">
        <v>9</v>
      </c>
      <c r="C4323" s="133">
        <v>14</v>
      </c>
      <c r="D4323" s="141">
        <f t="shared" si="142"/>
        <v>44453</v>
      </c>
      <c r="E4323" s="275">
        <f t="shared" si="143"/>
        <v>44453</v>
      </c>
      <c r="F4323" s="481"/>
      <c r="G4323" s="174" t="s">
        <v>74</v>
      </c>
      <c r="H4323" s="174" t="str" cm="1">
        <f t="array" ref="H4323">IFERROR(INDEX(INVESTOR_LIST[INVESTOR NAME],MATCH(I4323,INVESTOR_LIST[INVESTOR CODE],0),)," ")</f>
        <v>COMMUNITY BANK BANGLADESH LIMITED</v>
      </c>
      <c r="I4323" s="148" t="s">
        <v>449</v>
      </c>
      <c r="J4323" s="149" t="s">
        <v>53</v>
      </c>
      <c r="K4323" s="218">
        <v>2367338.9500000002</v>
      </c>
      <c r="L4323" s="218"/>
    </row>
    <row r="4324" spans="1:12" ht="67.5" x14ac:dyDescent="0.2">
      <c r="A4324" s="163">
        <v>2021</v>
      </c>
      <c r="B4324" s="163">
        <v>9</v>
      </c>
      <c r="C4324" s="163">
        <v>14</v>
      </c>
      <c r="D4324" s="141">
        <f t="shared" si="142"/>
        <v>44453</v>
      </c>
      <c r="E4324" s="275">
        <f t="shared" si="143"/>
        <v>44453</v>
      </c>
      <c r="F4324" s="480"/>
      <c r="G4324" s="221" t="s">
        <v>74</v>
      </c>
      <c r="H4324" s="221" t="str" cm="1">
        <f t="array" ref="H4324">IFERROR(INDEX(INVESTOR_LIST[INVESTOR NAME],MATCH(I4324,INVESTOR_LIST[INVESTOR CODE],0),)," ")</f>
        <v>COMMUNITY BANK BANGLADESH LIMITED</v>
      </c>
      <c r="I4324" s="145" t="s">
        <v>449</v>
      </c>
      <c r="J4324" s="146" t="s">
        <v>52</v>
      </c>
      <c r="K4324" s="219"/>
      <c r="L4324" s="219">
        <v>6859698.9500000002</v>
      </c>
    </row>
    <row r="4325" spans="1:12" x14ac:dyDescent="0.2">
      <c r="A4325" s="133">
        <v>2021</v>
      </c>
      <c r="B4325" s="133">
        <v>9</v>
      </c>
      <c r="C4325" s="133">
        <v>14</v>
      </c>
      <c r="D4325" s="141">
        <f t="shared" si="142"/>
        <v>44453</v>
      </c>
      <c r="E4325" s="275">
        <f t="shared" si="143"/>
        <v>44453</v>
      </c>
      <c r="F4325" s="479" t="s">
        <v>77</v>
      </c>
      <c r="G4325" s="174" t="s">
        <v>74</v>
      </c>
      <c r="H4325" s="148" t="str" cm="1">
        <f t="array" ref="H4325">IFERROR(INDEX(INVESTOR_LIST[INVESTOR NAME],MATCH(I4325,INVESTOR_LIST[INVESTOR CODE],0),)," ")</f>
        <v xml:space="preserve"> </v>
      </c>
      <c r="I4325" s="148" t="s">
        <v>348</v>
      </c>
      <c r="J4325" s="133" t="s">
        <v>61</v>
      </c>
      <c r="K4325" s="172">
        <v>100</v>
      </c>
    </row>
    <row r="4326" spans="1:12" x14ac:dyDescent="0.2">
      <c r="A4326" s="163">
        <v>2021</v>
      </c>
      <c r="B4326" s="163">
        <v>9</v>
      </c>
      <c r="C4326" s="163">
        <v>14</v>
      </c>
      <c r="D4326" s="141">
        <f t="shared" si="142"/>
        <v>44453</v>
      </c>
      <c r="E4326" s="275">
        <f t="shared" si="143"/>
        <v>44453</v>
      </c>
      <c r="F4326" s="480"/>
      <c r="G4326" s="221" t="s">
        <v>74</v>
      </c>
      <c r="H4326" s="145" t="str" cm="1">
        <f t="array" ref="H4326">IFERROR(INDEX(INVESTOR_LIST[INVESTOR NAME],MATCH(I4326,INVESTOR_LIST[INVESTOR CODE],0),)," ")</f>
        <v xml:space="preserve"> </v>
      </c>
      <c r="I4326" s="145" t="s">
        <v>348</v>
      </c>
      <c r="J4326" s="163" t="s">
        <v>52</v>
      </c>
      <c r="K4326" s="219"/>
      <c r="L4326" s="219">
        <v>100</v>
      </c>
    </row>
    <row r="4327" spans="1:12" ht="33.75" x14ac:dyDescent="0.2">
      <c r="A4327" s="133">
        <v>2021</v>
      </c>
      <c r="B4327" s="133">
        <v>9</v>
      </c>
      <c r="C4327" s="133">
        <v>14</v>
      </c>
      <c r="D4327" s="141">
        <f t="shared" si="142"/>
        <v>44453</v>
      </c>
      <c r="E4327" s="275">
        <f t="shared" si="143"/>
        <v>44453</v>
      </c>
      <c r="F4327" s="479" t="s">
        <v>965</v>
      </c>
      <c r="G4327" s="174" t="s">
        <v>74</v>
      </c>
      <c r="H4327" s="174" t="str" cm="1">
        <f t="array" ref="H4327">IFERROR(INDEX(INVESTOR_LIST[INVESTOR NAME],MATCH(I4327,INVESTOR_LIST[INVESTOR CODE],0),)," ")</f>
        <v>NANI GOPAL DATTA</v>
      </c>
      <c r="I4327" s="148" t="s">
        <v>460</v>
      </c>
      <c r="J4327" s="149" t="s">
        <v>13</v>
      </c>
      <c r="K4327" s="218">
        <v>233280</v>
      </c>
      <c r="L4327" s="218"/>
    </row>
    <row r="4328" spans="1:12" ht="33.75" x14ac:dyDescent="0.2">
      <c r="A4328" s="133">
        <v>2021</v>
      </c>
      <c r="B4328" s="133">
        <v>9</v>
      </c>
      <c r="C4328" s="133">
        <v>14</v>
      </c>
      <c r="D4328" s="141">
        <f t="shared" si="142"/>
        <v>44453</v>
      </c>
      <c r="E4328" s="275">
        <f t="shared" si="143"/>
        <v>44453</v>
      </c>
      <c r="F4328" s="481"/>
      <c r="G4328" s="174" t="s">
        <v>74</v>
      </c>
      <c r="H4328" s="174" t="str" cm="1">
        <f t="array" ref="H4328">IFERROR(INDEX(INVESTOR_LIST[INVESTOR NAME],MATCH(I4328,INVESTOR_LIST[INVESTOR CODE],0),)," ")</f>
        <v>NANI GOPAL DATTA</v>
      </c>
      <c r="I4328" s="148" t="s">
        <v>460</v>
      </c>
      <c r="J4328" s="149" t="s">
        <v>53</v>
      </c>
      <c r="K4328" s="218">
        <v>122930.49</v>
      </c>
      <c r="L4328" s="218"/>
    </row>
    <row r="4329" spans="1:12" ht="33.75" x14ac:dyDescent="0.2">
      <c r="A4329" s="163">
        <v>2021</v>
      </c>
      <c r="B4329" s="163">
        <v>9</v>
      </c>
      <c r="C4329" s="163">
        <v>14</v>
      </c>
      <c r="D4329" s="141">
        <f t="shared" si="142"/>
        <v>44453</v>
      </c>
      <c r="E4329" s="275">
        <f t="shared" si="143"/>
        <v>44453</v>
      </c>
      <c r="F4329" s="480"/>
      <c r="G4329" s="221" t="s">
        <v>74</v>
      </c>
      <c r="H4329" s="221" t="str" cm="1">
        <f t="array" ref="H4329">IFERROR(INDEX(INVESTOR_LIST[INVESTOR NAME],MATCH(I4329,INVESTOR_LIST[INVESTOR CODE],0),)," ")</f>
        <v>NANI GOPAL DATTA</v>
      </c>
      <c r="I4329" s="145" t="s">
        <v>460</v>
      </c>
      <c r="J4329" s="146" t="s">
        <v>52</v>
      </c>
      <c r="K4329" s="219"/>
      <c r="L4329" s="219">
        <v>356210.49</v>
      </c>
    </row>
    <row r="4330" spans="1:12" x14ac:dyDescent="0.2">
      <c r="A4330" s="133">
        <v>2021</v>
      </c>
      <c r="B4330" s="133">
        <v>9</v>
      </c>
      <c r="C4330" s="133">
        <v>14</v>
      </c>
      <c r="D4330" s="141">
        <f t="shared" si="142"/>
        <v>44453</v>
      </c>
      <c r="E4330" s="275">
        <f t="shared" si="143"/>
        <v>44453</v>
      </c>
      <c r="F4330" s="479" t="s">
        <v>254</v>
      </c>
      <c r="G4330" s="174" t="s">
        <v>74</v>
      </c>
      <c r="H4330" s="174" t="str" cm="1">
        <f t="array" ref="H4330">IFERROR(INDEX(INVESTOR_LIST[INVESTOR NAME],MATCH(I4330,INVESTOR_LIST[INVESTOR CODE],0),)," ")</f>
        <v xml:space="preserve"> </v>
      </c>
      <c r="J4330" s="149" t="s">
        <v>13</v>
      </c>
      <c r="K4330" s="218">
        <v>15740</v>
      </c>
      <c r="L4330" s="218"/>
    </row>
    <row r="4331" spans="1:12" x14ac:dyDescent="0.2">
      <c r="A4331" s="133">
        <v>2021</v>
      </c>
      <c r="B4331" s="133">
        <v>9</v>
      </c>
      <c r="C4331" s="133">
        <v>14</v>
      </c>
      <c r="D4331" s="141">
        <f t="shared" si="142"/>
        <v>44453</v>
      </c>
      <c r="E4331" s="275">
        <f t="shared" si="143"/>
        <v>44453</v>
      </c>
      <c r="F4331" s="481"/>
      <c r="G4331" s="174" t="s">
        <v>74</v>
      </c>
      <c r="H4331" s="174" t="str" cm="1">
        <f t="array" ref="H4331">IFERROR(INDEX(INVESTOR_LIST[INVESTOR NAME],MATCH(I4331,INVESTOR_LIST[INVESTOR CODE],0),)," ")</f>
        <v xml:space="preserve"> </v>
      </c>
      <c r="J4331" s="149" t="s">
        <v>53</v>
      </c>
      <c r="K4331" s="218">
        <v>8294.4500000000007</v>
      </c>
      <c r="L4331" s="218"/>
    </row>
    <row r="4332" spans="1:12" x14ac:dyDescent="0.2">
      <c r="A4332" s="163">
        <v>2021</v>
      </c>
      <c r="B4332" s="163">
        <v>9</v>
      </c>
      <c r="C4332" s="163">
        <v>14</v>
      </c>
      <c r="D4332" s="141">
        <f t="shared" si="142"/>
        <v>44453</v>
      </c>
      <c r="E4332" s="275">
        <f t="shared" si="143"/>
        <v>44453</v>
      </c>
      <c r="F4332" s="480"/>
      <c r="G4332" s="221" t="s">
        <v>74</v>
      </c>
      <c r="H4332" s="221" t="str" cm="1">
        <f t="array" ref="H4332">IFERROR(INDEX(INVESTOR_LIST[INVESTOR NAME],MATCH(I4332,INVESTOR_LIST[INVESTOR CODE],0),)," ")</f>
        <v xml:space="preserve"> </v>
      </c>
      <c r="I4332" s="145"/>
      <c r="J4332" s="146" t="s">
        <v>52</v>
      </c>
      <c r="K4332" s="219"/>
      <c r="L4332" s="219">
        <v>24034.45</v>
      </c>
    </row>
    <row r="4333" spans="1:12" x14ac:dyDescent="0.2">
      <c r="A4333" s="133">
        <v>2021</v>
      </c>
      <c r="B4333" s="133">
        <v>9</v>
      </c>
      <c r="C4333" s="133">
        <v>14</v>
      </c>
      <c r="D4333" s="141">
        <f t="shared" si="142"/>
        <v>44453</v>
      </c>
      <c r="E4333" s="275">
        <f t="shared" si="143"/>
        <v>44453</v>
      </c>
      <c r="F4333" s="481" t="s">
        <v>279</v>
      </c>
      <c r="G4333" s="174" t="s">
        <v>94</v>
      </c>
      <c r="H4333" s="174" t="str" cm="1">
        <f t="array" ref="H4333">IFERROR(INDEX(INVESTOR_LIST[INVESTOR NAME],MATCH(I4333,INVESTOR_LIST[INVESTOR CODE],0),)," ")</f>
        <v xml:space="preserve"> </v>
      </c>
      <c r="I4333" s="148" t="s">
        <v>348</v>
      </c>
      <c r="J4333" s="149" t="s">
        <v>190</v>
      </c>
      <c r="K4333" s="218">
        <v>7015669.5199999996</v>
      </c>
      <c r="L4333" s="218"/>
    </row>
    <row r="4334" spans="1:12" x14ac:dyDescent="0.2">
      <c r="A4334" s="133">
        <v>2021</v>
      </c>
      <c r="B4334" s="133">
        <v>9</v>
      </c>
      <c r="C4334" s="133">
        <v>14</v>
      </c>
      <c r="D4334" s="141">
        <f t="shared" si="142"/>
        <v>44453</v>
      </c>
      <c r="E4334" s="275">
        <f t="shared" si="143"/>
        <v>44453</v>
      </c>
      <c r="F4334" s="481"/>
      <c r="G4334" s="174" t="s">
        <v>94</v>
      </c>
      <c r="H4334" s="174" t="str" cm="1">
        <f t="array" ref="H4334">IFERROR(INDEX(INVESTOR_LIST[INVESTOR NAME],MATCH(I4334,INVESTOR_LIST[INVESTOR CODE],0),)," ")</f>
        <v xml:space="preserve"> </v>
      </c>
      <c r="I4334" s="148" t="s">
        <v>348</v>
      </c>
      <c r="J4334" s="149" t="s">
        <v>80</v>
      </c>
      <c r="K4334" s="218">
        <v>12650.98</v>
      </c>
      <c r="L4334" s="218"/>
    </row>
    <row r="4335" spans="1:12" x14ac:dyDescent="0.2">
      <c r="A4335" s="133">
        <v>2021</v>
      </c>
      <c r="B4335" s="133">
        <v>9</v>
      </c>
      <c r="C4335" s="133">
        <v>14</v>
      </c>
      <c r="D4335" s="141">
        <f t="shared" si="142"/>
        <v>44453</v>
      </c>
      <c r="E4335" s="275">
        <f t="shared" si="143"/>
        <v>44453</v>
      </c>
      <c r="F4335" s="481"/>
      <c r="G4335" s="174" t="s">
        <v>94</v>
      </c>
      <c r="H4335" s="174" t="str" cm="1">
        <f t="array" ref="H4335">IFERROR(INDEX(INVESTOR_LIST[INVESTOR NAME],MATCH(I4335,INVESTOR_LIST[INVESTOR CODE],0),)," ")</f>
        <v xml:space="preserve"> </v>
      </c>
      <c r="I4335" s="148" t="s">
        <v>348</v>
      </c>
      <c r="J4335" s="149" t="s">
        <v>79</v>
      </c>
      <c r="K4335" s="218"/>
      <c r="L4335" s="218">
        <v>6981890.1200000001</v>
      </c>
    </row>
    <row r="4336" spans="1:12" x14ac:dyDescent="0.2">
      <c r="A4336" s="163">
        <v>2021</v>
      </c>
      <c r="B4336" s="163">
        <v>9</v>
      </c>
      <c r="C4336" s="163">
        <v>14</v>
      </c>
      <c r="D4336" s="141">
        <f t="shared" si="142"/>
        <v>44453</v>
      </c>
      <c r="E4336" s="275">
        <f t="shared" si="143"/>
        <v>44453</v>
      </c>
      <c r="F4336" s="480"/>
      <c r="G4336" s="221" t="s">
        <v>94</v>
      </c>
      <c r="H4336" s="221" t="str" cm="1">
        <f t="array" ref="H4336">IFERROR(INDEX(INVESTOR_LIST[INVESTOR NAME],MATCH(I4336,INVESTOR_LIST[INVESTOR CODE],0),)," ")</f>
        <v xml:space="preserve"> </v>
      </c>
      <c r="I4336" s="145" t="s">
        <v>348</v>
      </c>
      <c r="J4336" s="146" t="s">
        <v>191</v>
      </c>
      <c r="K4336" s="219"/>
      <c r="L4336" s="219">
        <v>46430.380000000005</v>
      </c>
    </row>
    <row r="4337" spans="1:12" x14ac:dyDescent="0.2">
      <c r="A4337" s="168">
        <v>2021</v>
      </c>
      <c r="B4337" s="168">
        <v>9</v>
      </c>
      <c r="C4337" s="168">
        <v>14</v>
      </c>
      <c r="D4337" s="141">
        <f t="shared" si="142"/>
        <v>44453</v>
      </c>
      <c r="E4337" s="275">
        <f t="shared" si="143"/>
        <v>44453</v>
      </c>
      <c r="F4337" s="479" t="s">
        <v>897</v>
      </c>
      <c r="G4337" s="220" t="s">
        <v>94</v>
      </c>
      <c r="H4337" s="220" t="str" cm="1">
        <f t="array" ref="H4337">IFERROR(INDEX(INVESTOR_LIST[INVESTOR NAME],MATCH(I4337,INVESTOR_LIST[INVESTOR CODE],0),)," ")</f>
        <v xml:space="preserve"> </v>
      </c>
      <c r="I4337" s="142" t="s">
        <v>348</v>
      </c>
      <c r="J4337" s="143" t="s">
        <v>79</v>
      </c>
      <c r="K4337" s="226">
        <v>2055000</v>
      </c>
      <c r="L4337" s="226"/>
    </row>
    <row r="4338" spans="1:12" x14ac:dyDescent="0.2">
      <c r="A4338" s="133">
        <v>2021</v>
      </c>
      <c r="B4338" s="133">
        <v>9</v>
      </c>
      <c r="C4338" s="133">
        <v>14</v>
      </c>
      <c r="D4338" s="141">
        <f t="shared" si="142"/>
        <v>44453</v>
      </c>
      <c r="E4338" s="275">
        <f t="shared" si="143"/>
        <v>44453</v>
      </c>
      <c r="F4338" s="481"/>
      <c r="G4338" s="174" t="s">
        <v>94</v>
      </c>
      <c r="H4338" s="174" t="str" cm="1">
        <f t="array" ref="H4338">IFERROR(INDEX(INVESTOR_LIST[INVESTOR NAME],MATCH(I4338,INVESTOR_LIST[INVESTOR CODE],0),)," ")</f>
        <v xml:space="preserve"> </v>
      </c>
      <c r="I4338" s="148" t="s">
        <v>348</v>
      </c>
      <c r="J4338" s="149" t="s">
        <v>190</v>
      </c>
      <c r="K4338" s="218">
        <v>13272996.18</v>
      </c>
      <c r="L4338" s="218"/>
    </row>
    <row r="4339" spans="1:12" x14ac:dyDescent="0.2">
      <c r="A4339" s="133">
        <v>2021</v>
      </c>
      <c r="B4339" s="133">
        <v>9</v>
      </c>
      <c r="C4339" s="133">
        <v>14</v>
      </c>
      <c r="D4339" s="141">
        <f t="shared" si="142"/>
        <v>44453</v>
      </c>
      <c r="E4339" s="275">
        <f t="shared" si="143"/>
        <v>44453</v>
      </c>
      <c r="F4339" s="481"/>
      <c r="G4339" s="174" t="s">
        <v>94</v>
      </c>
      <c r="H4339" s="174" t="str" cm="1">
        <f t="array" ref="H4339">IFERROR(INDEX(INVESTOR_LIST[INVESTOR NAME],MATCH(I4339,INVESTOR_LIST[INVESTOR CODE],0),)," ")</f>
        <v xml:space="preserve"> </v>
      </c>
      <c r="I4339" s="148" t="s">
        <v>348</v>
      </c>
      <c r="J4339" s="149" t="s">
        <v>80</v>
      </c>
      <c r="K4339" s="218">
        <f>3699+27646.82</f>
        <v>31345.82</v>
      </c>
      <c r="L4339" s="218"/>
    </row>
    <row r="4340" spans="1:12" x14ac:dyDescent="0.2">
      <c r="A4340" s="133">
        <v>2021</v>
      </c>
      <c r="B4340" s="133">
        <v>9</v>
      </c>
      <c r="C4340" s="133">
        <v>14</v>
      </c>
      <c r="D4340" s="141">
        <f t="shared" si="142"/>
        <v>44453</v>
      </c>
      <c r="E4340" s="275">
        <f t="shared" si="143"/>
        <v>44453</v>
      </c>
      <c r="F4340" s="481"/>
      <c r="G4340" s="174" t="s">
        <v>94</v>
      </c>
      <c r="H4340" s="174" t="str" cm="1">
        <f t="array" ref="H4340">IFERROR(INDEX(INVESTOR_LIST[INVESTOR NAME],MATCH(I4340,INVESTOR_LIST[INVESTOR CODE],0),)," ")</f>
        <v xml:space="preserve"> </v>
      </c>
      <c r="I4340" s="148" t="s">
        <v>348</v>
      </c>
      <c r="J4340" s="149" t="s">
        <v>79</v>
      </c>
      <c r="K4340" s="218"/>
      <c r="L4340" s="218">
        <v>14886272.380000001</v>
      </c>
    </row>
    <row r="4341" spans="1:12" x14ac:dyDescent="0.2">
      <c r="A4341" s="163">
        <v>2021</v>
      </c>
      <c r="B4341" s="163">
        <v>9</v>
      </c>
      <c r="C4341" s="163">
        <v>14</v>
      </c>
      <c r="D4341" s="141">
        <f t="shared" si="142"/>
        <v>44453</v>
      </c>
      <c r="E4341" s="275">
        <f t="shared" si="143"/>
        <v>44453</v>
      </c>
      <c r="F4341" s="480"/>
      <c r="G4341" s="221" t="s">
        <v>94</v>
      </c>
      <c r="H4341" s="145" t="str" cm="1">
        <f t="array" ref="H4341">IFERROR(INDEX(INVESTOR_LIST[INVESTOR NAME],MATCH(I4341,INVESTOR_LIST[INVESTOR CODE],0),)," ")</f>
        <v xml:space="preserve"> </v>
      </c>
      <c r="I4341" s="145"/>
      <c r="J4341" s="163" t="s">
        <v>191</v>
      </c>
      <c r="K4341" s="219"/>
      <c r="L4341" s="219">
        <v>473069.62</v>
      </c>
    </row>
    <row r="4342" spans="1:12" x14ac:dyDescent="0.2">
      <c r="A4342" s="168">
        <v>2021</v>
      </c>
      <c r="B4342" s="168">
        <v>9</v>
      </c>
      <c r="C4342" s="168">
        <v>14</v>
      </c>
      <c r="D4342" s="141">
        <f t="shared" si="142"/>
        <v>44453</v>
      </c>
      <c r="E4342" s="275">
        <f t="shared" si="143"/>
        <v>44453</v>
      </c>
      <c r="F4342" s="479" t="s">
        <v>900</v>
      </c>
      <c r="G4342" s="220" t="s">
        <v>74</v>
      </c>
      <c r="H4342" s="220" t="str" cm="1">
        <f t="array" ref="H4342">IFERROR(INDEX(INVESTOR_LIST[INVESTOR NAME],MATCH(I4342,INVESTOR_LIST[INVESTOR CODE],0),)," ")</f>
        <v xml:space="preserve"> </v>
      </c>
      <c r="I4342" s="142" t="s">
        <v>348</v>
      </c>
      <c r="J4342" s="143" t="s">
        <v>52</v>
      </c>
      <c r="K4342" s="226">
        <v>3242338.27</v>
      </c>
      <c r="L4342" s="226"/>
    </row>
    <row r="4343" spans="1:12" x14ac:dyDescent="0.2">
      <c r="A4343" s="163">
        <v>2021</v>
      </c>
      <c r="B4343" s="163">
        <v>9</v>
      </c>
      <c r="C4343" s="163">
        <v>14</v>
      </c>
      <c r="D4343" s="141">
        <f t="shared" si="142"/>
        <v>44453</v>
      </c>
      <c r="E4343" s="275">
        <f t="shared" si="143"/>
        <v>44453</v>
      </c>
      <c r="F4343" s="480"/>
      <c r="G4343" s="221" t="s">
        <v>74</v>
      </c>
      <c r="H4343" s="221" t="str" cm="1">
        <f t="array" ref="H4343">IFERROR(INDEX(INVESTOR_LIST[INVESTOR NAME],MATCH(I4343,INVESTOR_LIST[INVESTOR CODE],0),)," ")</f>
        <v xml:space="preserve"> </v>
      </c>
      <c r="I4343" s="145" t="s">
        <v>348</v>
      </c>
      <c r="J4343" s="146" t="s">
        <v>190</v>
      </c>
      <c r="K4343" s="219"/>
      <c r="L4343" s="219">
        <v>3242338.27</v>
      </c>
    </row>
    <row r="4344" spans="1:12" x14ac:dyDescent="0.2">
      <c r="A4344" s="168">
        <v>2021</v>
      </c>
      <c r="B4344" s="168">
        <v>9</v>
      </c>
      <c r="C4344" s="168">
        <v>14</v>
      </c>
      <c r="D4344" s="141">
        <f t="shared" si="142"/>
        <v>44453</v>
      </c>
      <c r="E4344" s="275">
        <f t="shared" si="143"/>
        <v>44453</v>
      </c>
      <c r="F4344" s="479" t="s">
        <v>901</v>
      </c>
      <c r="G4344" s="220" t="s">
        <v>74</v>
      </c>
      <c r="H4344" s="220" t="str" cm="1">
        <f t="array" ref="H4344">IFERROR(INDEX(INVESTOR_LIST[INVESTOR NAME],MATCH(I4344,INVESTOR_LIST[INVESTOR CODE],0),)," ")</f>
        <v xml:space="preserve"> </v>
      </c>
      <c r="I4344" s="142"/>
      <c r="J4344" s="143" t="s">
        <v>184</v>
      </c>
      <c r="K4344" s="226">
        <v>10000000</v>
      </c>
      <c r="L4344" s="226"/>
    </row>
    <row r="4345" spans="1:12" x14ac:dyDescent="0.2">
      <c r="A4345" s="133">
        <v>2021</v>
      </c>
      <c r="B4345" s="133">
        <v>9</v>
      </c>
      <c r="C4345" s="133">
        <v>14</v>
      </c>
      <c r="D4345" s="141">
        <f t="shared" si="142"/>
        <v>44453</v>
      </c>
      <c r="E4345" s="275">
        <f t="shared" si="143"/>
        <v>44453</v>
      </c>
      <c r="F4345" s="481"/>
      <c r="G4345" s="174" t="s">
        <v>74</v>
      </c>
      <c r="H4345" s="174" t="str" cm="1">
        <f t="array" ref="H4345">IFERROR(INDEX(INVESTOR_LIST[INVESTOR NAME],MATCH(I4345,INVESTOR_LIST[INVESTOR CODE],0),)," ")</f>
        <v xml:space="preserve"> </v>
      </c>
      <c r="J4345" s="149" t="s">
        <v>61</v>
      </c>
      <c r="K4345" s="218">
        <v>115</v>
      </c>
      <c r="L4345" s="218"/>
    </row>
    <row r="4346" spans="1:12" x14ac:dyDescent="0.2">
      <c r="A4346" s="163">
        <v>2021</v>
      </c>
      <c r="B4346" s="163">
        <v>9</v>
      </c>
      <c r="C4346" s="163">
        <v>14</v>
      </c>
      <c r="D4346" s="141">
        <f t="shared" si="142"/>
        <v>44453</v>
      </c>
      <c r="E4346" s="275">
        <f t="shared" si="143"/>
        <v>44453</v>
      </c>
      <c r="F4346" s="480"/>
      <c r="G4346" s="221" t="s">
        <v>74</v>
      </c>
      <c r="H4346" s="221" t="str" cm="1">
        <f t="array" ref="H4346">IFERROR(INDEX(INVESTOR_LIST[INVESTOR NAME],MATCH(I4346,INVESTOR_LIST[INVESTOR CODE],0),)," ")</f>
        <v xml:space="preserve"> </v>
      </c>
      <c r="I4346" s="145"/>
      <c r="J4346" s="146" t="s">
        <v>52</v>
      </c>
      <c r="K4346" s="219"/>
      <c r="L4346" s="219">
        <v>10000115</v>
      </c>
    </row>
    <row r="4347" spans="1:12" x14ac:dyDescent="0.2">
      <c r="A4347" s="133">
        <v>2021</v>
      </c>
      <c r="B4347" s="133">
        <v>9</v>
      </c>
      <c r="C4347" s="133">
        <v>15</v>
      </c>
      <c r="D4347" s="141">
        <f t="shared" si="142"/>
        <v>44454</v>
      </c>
      <c r="E4347" s="275">
        <f t="shared" si="143"/>
        <v>44454</v>
      </c>
      <c r="F4347" s="481" t="s">
        <v>279</v>
      </c>
      <c r="G4347" s="174" t="s">
        <v>94</v>
      </c>
      <c r="H4347" s="174" t="str" cm="1">
        <f t="array" ref="H4347">IFERROR(INDEX(INVESTOR_LIST[INVESTOR NAME],MATCH(I4347,INVESTOR_LIST[INVESTOR CODE],0),)," ")</f>
        <v xml:space="preserve"> </v>
      </c>
      <c r="I4347" s="148" t="s">
        <v>348</v>
      </c>
      <c r="J4347" s="149" t="s">
        <v>190</v>
      </c>
      <c r="K4347" s="218">
        <v>7704995.4000000004</v>
      </c>
      <c r="L4347" s="218"/>
    </row>
    <row r="4348" spans="1:12" x14ac:dyDescent="0.2">
      <c r="A4348" s="133">
        <v>2021</v>
      </c>
      <c r="B4348" s="133">
        <v>9</v>
      </c>
      <c r="C4348" s="133">
        <v>15</v>
      </c>
      <c r="D4348" s="141">
        <f t="shared" si="142"/>
        <v>44454</v>
      </c>
      <c r="E4348" s="275">
        <f t="shared" si="143"/>
        <v>44454</v>
      </c>
      <c r="F4348" s="481"/>
      <c r="G4348" s="174" t="s">
        <v>94</v>
      </c>
      <c r="H4348" s="174" t="str" cm="1">
        <f t="array" ref="H4348">IFERROR(INDEX(INVESTOR_LIST[INVESTOR NAME],MATCH(I4348,INVESTOR_LIST[INVESTOR CODE],0),)," ")</f>
        <v xml:space="preserve"> </v>
      </c>
      <c r="I4348" s="148" t="s">
        <v>348</v>
      </c>
      <c r="J4348" s="149" t="s">
        <v>80</v>
      </c>
      <c r="K4348" s="218">
        <v>13894</v>
      </c>
      <c r="L4348" s="218"/>
    </row>
    <row r="4349" spans="1:12" x14ac:dyDescent="0.2">
      <c r="A4349" s="133">
        <v>2021</v>
      </c>
      <c r="B4349" s="133">
        <v>9</v>
      </c>
      <c r="C4349" s="133">
        <v>15</v>
      </c>
      <c r="D4349" s="141">
        <f t="shared" si="142"/>
        <v>44454</v>
      </c>
      <c r="E4349" s="275">
        <f t="shared" si="143"/>
        <v>44454</v>
      </c>
      <c r="F4349" s="481"/>
      <c r="G4349" s="174" t="s">
        <v>94</v>
      </c>
      <c r="H4349" s="174" t="str" cm="1">
        <f t="array" ref="H4349">IFERROR(INDEX(INVESTOR_LIST[INVESTOR NAME],MATCH(I4349,INVESTOR_LIST[INVESTOR CODE],0),)," ")</f>
        <v xml:space="preserve"> </v>
      </c>
      <c r="I4349" s="148" t="s">
        <v>348</v>
      </c>
      <c r="J4349" s="149" t="s">
        <v>79</v>
      </c>
      <c r="K4349" s="218"/>
      <c r="L4349" s="218">
        <v>7098670.4500000002</v>
      </c>
    </row>
    <row r="4350" spans="1:12" x14ac:dyDescent="0.2">
      <c r="A4350" s="163">
        <v>2021</v>
      </c>
      <c r="B4350" s="163">
        <v>9</v>
      </c>
      <c r="C4350" s="163">
        <v>15</v>
      </c>
      <c r="D4350" s="141">
        <f t="shared" si="142"/>
        <v>44454</v>
      </c>
      <c r="E4350" s="275">
        <f t="shared" si="143"/>
        <v>44454</v>
      </c>
      <c r="F4350" s="480"/>
      <c r="G4350" s="221" t="s">
        <v>94</v>
      </c>
      <c r="H4350" s="221" t="str" cm="1">
        <f t="array" ref="H4350">IFERROR(INDEX(INVESTOR_LIST[INVESTOR NAME],MATCH(I4350,INVESTOR_LIST[INVESTOR CODE],0),)," ")</f>
        <v xml:space="preserve"> </v>
      </c>
      <c r="I4350" s="145" t="s">
        <v>348</v>
      </c>
      <c r="J4350" s="146" t="s">
        <v>191</v>
      </c>
      <c r="K4350" s="219"/>
      <c r="L4350" s="219">
        <v>620218.94999999995</v>
      </c>
    </row>
    <row r="4351" spans="1:12" x14ac:dyDescent="0.2">
      <c r="A4351" s="168">
        <v>2021</v>
      </c>
      <c r="B4351" s="168">
        <v>9</v>
      </c>
      <c r="C4351" s="168">
        <v>15</v>
      </c>
      <c r="D4351" s="141">
        <f t="shared" si="142"/>
        <v>44454</v>
      </c>
      <c r="E4351" s="275">
        <f t="shared" si="143"/>
        <v>44454</v>
      </c>
      <c r="F4351" s="479" t="s">
        <v>897</v>
      </c>
      <c r="G4351" s="220" t="s">
        <v>94</v>
      </c>
      <c r="H4351" s="220" t="str" cm="1">
        <f t="array" ref="H4351">IFERROR(INDEX(INVESTOR_LIST[INVESTOR NAME],MATCH(I4351,INVESTOR_LIST[INVESTOR CODE],0),)," ")</f>
        <v xml:space="preserve"> </v>
      </c>
      <c r="I4351" s="142" t="s">
        <v>348</v>
      </c>
      <c r="J4351" s="143" t="s">
        <v>79</v>
      </c>
      <c r="K4351" s="226">
        <v>1012500</v>
      </c>
      <c r="L4351" s="226"/>
    </row>
    <row r="4352" spans="1:12" x14ac:dyDescent="0.2">
      <c r="A4352" s="133">
        <v>2021</v>
      </c>
      <c r="B4352" s="133">
        <v>9</v>
      </c>
      <c r="C4352" s="133">
        <v>15</v>
      </c>
      <c r="D4352" s="141">
        <f t="shared" si="142"/>
        <v>44454</v>
      </c>
      <c r="E4352" s="275">
        <f t="shared" si="143"/>
        <v>44454</v>
      </c>
      <c r="F4352" s="481"/>
      <c r="G4352" s="174" t="s">
        <v>94</v>
      </c>
      <c r="H4352" s="174" t="str" cm="1">
        <f t="array" ref="H4352">IFERROR(INDEX(INVESTOR_LIST[INVESTOR NAME],MATCH(I4352,INVESTOR_LIST[INVESTOR CODE],0),)," ")</f>
        <v xml:space="preserve"> </v>
      </c>
      <c r="I4352" s="148" t="s">
        <v>348</v>
      </c>
      <c r="J4352" s="149" t="s">
        <v>190</v>
      </c>
      <c r="K4352" s="218">
        <v>7214415.3600000003</v>
      </c>
      <c r="L4352" s="218"/>
    </row>
    <row r="4353" spans="1:12" x14ac:dyDescent="0.2">
      <c r="A4353" s="133">
        <v>2021</v>
      </c>
      <c r="B4353" s="133">
        <v>9</v>
      </c>
      <c r="C4353" s="133">
        <v>15</v>
      </c>
      <c r="D4353" s="141">
        <f t="shared" si="142"/>
        <v>44454</v>
      </c>
      <c r="E4353" s="275">
        <f t="shared" si="143"/>
        <v>44454</v>
      </c>
      <c r="F4353" s="481"/>
      <c r="G4353" s="174" t="s">
        <v>94</v>
      </c>
      <c r="H4353" s="174" t="str" cm="1">
        <f t="array" ref="H4353">IFERROR(INDEX(INVESTOR_LIST[INVESTOR NAME],MATCH(I4353,INVESTOR_LIST[INVESTOR CODE],0),)," ")</f>
        <v xml:space="preserve"> </v>
      </c>
      <c r="I4353" s="148" t="s">
        <v>348</v>
      </c>
      <c r="J4353" s="149" t="s">
        <v>80</v>
      </c>
      <c r="K4353" s="218">
        <f>1822.5+14838.44</f>
        <v>16660.940000000002</v>
      </c>
      <c r="L4353" s="218"/>
    </row>
    <row r="4354" spans="1:12" x14ac:dyDescent="0.2">
      <c r="A4354" s="133">
        <v>2021</v>
      </c>
      <c r="B4354" s="133">
        <v>9</v>
      </c>
      <c r="C4354" s="133">
        <v>15</v>
      </c>
      <c r="D4354" s="141">
        <f t="shared" si="142"/>
        <v>44454</v>
      </c>
      <c r="E4354" s="275">
        <f t="shared" si="143"/>
        <v>44454</v>
      </c>
      <c r="F4354" s="481"/>
      <c r="G4354" s="174" t="s">
        <v>94</v>
      </c>
      <c r="H4354" s="174" t="str" cm="1">
        <f t="array" ref="H4354">IFERROR(INDEX(INVESTOR_LIST[INVESTOR NAME],MATCH(I4354,INVESTOR_LIST[INVESTOR CODE],0),)," ")</f>
        <v xml:space="preserve"> </v>
      </c>
      <c r="I4354" s="148" t="s">
        <v>348</v>
      </c>
      <c r="J4354" s="149" t="s">
        <v>79</v>
      </c>
      <c r="K4354" s="218"/>
      <c r="L4354" s="218">
        <v>7059171.4499999993</v>
      </c>
    </row>
    <row r="4355" spans="1:12" x14ac:dyDescent="0.2">
      <c r="A4355" s="163">
        <v>2021</v>
      </c>
      <c r="B4355" s="163">
        <v>9</v>
      </c>
      <c r="C4355" s="163">
        <v>15</v>
      </c>
      <c r="D4355" s="141">
        <f t="shared" si="142"/>
        <v>44454</v>
      </c>
      <c r="E4355" s="275">
        <f t="shared" si="143"/>
        <v>44454</v>
      </c>
      <c r="F4355" s="480"/>
      <c r="G4355" s="221" t="s">
        <v>94</v>
      </c>
      <c r="H4355" s="145" t="str" cm="1">
        <f t="array" ref="H4355">IFERROR(INDEX(INVESTOR_LIST[INVESTOR NAME],MATCH(I4355,INVESTOR_LIST[INVESTOR CODE],0),)," ")</f>
        <v xml:space="preserve"> </v>
      </c>
      <c r="I4355" s="145"/>
      <c r="J4355" s="163" t="s">
        <v>191</v>
      </c>
      <c r="K4355" s="219"/>
      <c r="L4355" s="219">
        <v>1184404.8499999999</v>
      </c>
    </row>
    <row r="4356" spans="1:12" ht="67.5" x14ac:dyDescent="0.2">
      <c r="A4356" s="133">
        <v>2021</v>
      </c>
      <c r="B4356" s="133">
        <v>9</v>
      </c>
      <c r="C4356" s="133">
        <v>15</v>
      </c>
      <c r="D4356" s="141">
        <f t="shared" si="142"/>
        <v>44454</v>
      </c>
      <c r="E4356" s="275">
        <f t="shared" si="143"/>
        <v>44454</v>
      </c>
      <c r="F4356" s="479" t="s">
        <v>965</v>
      </c>
      <c r="G4356" s="174" t="s">
        <v>74</v>
      </c>
      <c r="H4356" s="174" t="str" cm="1">
        <f t="array" ref="H4356">IFERROR(INDEX(INVESTOR_LIST[INVESTOR NAME],MATCH(I4356,INVESTOR_LIST[INVESTOR CODE],0),)," ")</f>
        <v>KHAN SALAHUDDIN MOHAMMAD MINHAJ</v>
      </c>
      <c r="I4356" s="148" t="s">
        <v>454</v>
      </c>
      <c r="J4356" s="149" t="s">
        <v>13</v>
      </c>
      <c r="K4356" s="218">
        <v>4397540</v>
      </c>
      <c r="L4356" s="218"/>
    </row>
    <row r="4357" spans="1:12" ht="67.5" x14ac:dyDescent="0.2">
      <c r="A4357" s="133">
        <v>2021</v>
      </c>
      <c r="B4357" s="133">
        <v>9</v>
      </c>
      <c r="C4357" s="133">
        <v>15</v>
      </c>
      <c r="D4357" s="141">
        <f t="shared" si="142"/>
        <v>44454</v>
      </c>
      <c r="E4357" s="275">
        <f t="shared" si="143"/>
        <v>44454</v>
      </c>
      <c r="F4357" s="481"/>
      <c r="G4357" s="174" t="s">
        <v>74</v>
      </c>
      <c r="H4357" s="174" t="str" cm="1">
        <f t="array" ref="H4357">IFERROR(INDEX(INVESTOR_LIST[INVESTOR NAME],MATCH(I4357,INVESTOR_LIST[INVESTOR CODE],0),)," ")</f>
        <v>KHAN SALAHUDDIN MOHAMMAD MINHAJ</v>
      </c>
      <c r="I4357" s="148" t="s">
        <v>454</v>
      </c>
      <c r="J4357" s="149" t="s">
        <v>53</v>
      </c>
      <c r="K4357" s="218">
        <v>2317356.14</v>
      </c>
      <c r="L4357" s="218"/>
    </row>
    <row r="4358" spans="1:12" ht="67.5" x14ac:dyDescent="0.2">
      <c r="A4358" s="163">
        <v>2021</v>
      </c>
      <c r="B4358" s="163">
        <v>9</v>
      </c>
      <c r="C4358" s="163">
        <v>15</v>
      </c>
      <c r="D4358" s="141">
        <f t="shared" si="142"/>
        <v>44454</v>
      </c>
      <c r="E4358" s="275">
        <f t="shared" si="143"/>
        <v>44454</v>
      </c>
      <c r="F4358" s="480"/>
      <c r="G4358" s="221" t="s">
        <v>74</v>
      </c>
      <c r="H4358" s="221" t="str" cm="1">
        <f t="array" ref="H4358">IFERROR(INDEX(INVESTOR_LIST[INVESTOR NAME],MATCH(I4358,INVESTOR_LIST[INVESTOR CODE],0),)," ")</f>
        <v>KHAN SALAHUDDIN MOHAMMAD MINHAJ</v>
      </c>
      <c r="I4358" s="145" t="s">
        <v>454</v>
      </c>
      <c r="J4358" s="146" t="s">
        <v>52</v>
      </c>
      <c r="K4358" s="219"/>
      <c r="L4358" s="219">
        <v>6714896.1399999997</v>
      </c>
    </row>
    <row r="4359" spans="1:12" x14ac:dyDescent="0.2">
      <c r="A4359" s="168">
        <v>2021</v>
      </c>
      <c r="B4359" s="168">
        <v>9</v>
      </c>
      <c r="C4359" s="133">
        <v>15</v>
      </c>
      <c r="D4359" s="141">
        <f t="shared" si="142"/>
        <v>44454</v>
      </c>
      <c r="E4359" s="275">
        <f t="shared" si="143"/>
        <v>44454</v>
      </c>
      <c r="F4359" s="479" t="s">
        <v>902</v>
      </c>
      <c r="G4359" s="220" t="s">
        <v>74</v>
      </c>
      <c r="H4359" s="220" t="str" cm="1">
        <f t="array" ref="H4359">IFERROR(INDEX(INVESTOR_LIST[INVESTOR NAME],MATCH(I4359,INVESTOR_LIST[INVESTOR CODE],0),)," ")</f>
        <v xml:space="preserve"> </v>
      </c>
      <c r="I4359" s="142"/>
      <c r="J4359" s="143" t="s">
        <v>79</v>
      </c>
      <c r="K4359" s="226">
        <v>272440</v>
      </c>
      <c r="L4359" s="226"/>
    </row>
    <row r="4360" spans="1:12" x14ac:dyDescent="0.2">
      <c r="A4360" s="133">
        <v>2021</v>
      </c>
      <c r="B4360" s="133">
        <v>9</v>
      </c>
      <c r="C4360" s="133">
        <v>15</v>
      </c>
      <c r="D4360" s="141">
        <f t="shared" si="142"/>
        <v>44454</v>
      </c>
      <c r="E4360" s="275">
        <f t="shared" si="143"/>
        <v>44454</v>
      </c>
      <c r="F4360" s="481"/>
      <c r="G4360" s="174" t="s">
        <v>74</v>
      </c>
      <c r="H4360" s="174" t="str" cm="1">
        <f t="array" ref="H4360">IFERROR(INDEX(INVESTOR_LIST[INVESTOR NAME],MATCH(I4360,INVESTOR_LIST[INVESTOR CODE],0),)," ")</f>
        <v xml:space="preserve"> </v>
      </c>
      <c r="J4360" s="149" t="s">
        <v>52</v>
      </c>
      <c r="K4360" s="218">
        <v>9727560</v>
      </c>
      <c r="L4360" s="218"/>
    </row>
    <row r="4361" spans="1:12" x14ac:dyDescent="0.2">
      <c r="A4361" s="163">
        <v>2021</v>
      </c>
      <c r="B4361" s="163">
        <v>9</v>
      </c>
      <c r="C4361" s="163">
        <v>15</v>
      </c>
      <c r="D4361" s="141">
        <f t="shared" si="142"/>
        <v>44454</v>
      </c>
      <c r="E4361" s="275">
        <f t="shared" si="143"/>
        <v>44454</v>
      </c>
      <c r="F4361" s="480"/>
      <c r="G4361" s="221" t="s">
        <v>74</v>
      </c>
      <c r="H4361" s="221" t="str" cm="1">
        <f t="array" ref="H4361">IFERROR(INDEX(INVESTOR_LIST[INVESTOR NAME],MATCH(I4361,INVESTOR_LIST[INVESTOR CODE],0),)," ")</f>
        <v xml:space="preserve"> </v>
      </c>
      <c r="I4361" s="145"/>
      <c r="J4361" s="146" t="s">
        <v>184</v>
      </c>
      <c r="K4361" s="219"/>
      <c r="L4361" s="219">
        <v>10000000</v>
      </c>
    </row>
    <row r="4362" spans="1:12" x14ac:dyDescent="0.2">
      <c r="A4362" s="168">
        <v>2021</v>
      </c>
      <c r="B4362" s="168">
        <v>9</v>
      </c>
      <c r="C4362" s="168">
        <v>15</v>
      </c>
      <c r="D4362" s="141">
        <f t="shared" si="142"/>
        <v>44454</v>
      </c>
      <c r="E4362" s="275">
        <f t="shared" si="143"/>
        <v>44454</v>
      </c>
      <c r="F4362" s="479" t="s">
        <v>900</v>
      </c>
      <c r="G4362" s="220" t="s">
        <v>74</v>
      </c>
      <c r="H4362" s="220" t="str" cm="1">
        <f t="array" ref="H4362">IFERROR(INDEX(INVESTOR_LIST[INVESTOR NAME],MATCH(I4362,INVESTOR_LIST[INVESTOR CODE],0),)," ")</f>
        <v xml:space="preserve"> </v>
      </c>
      <c r="I4362" s="142" t="s">
        <v>348</v>
      </c>
      <c r="J4362" s="143" t="s">
        <v>52</v>
      </c>
      <c r="K4362" s="226">
        <v>13010777.07</v>
      </c>
      <c r="L4362" s="226"/>
    </row>
    <row r="4363" spans="1:12" x14ac:dyDescent="0.2">
      <c r="A4363" s="163">
        <v>2021</v>
      </c>
      <c r="B4363" s="163">
        <v>9</v>
      </c>
      <c r="C4363" s="163">
        <v>15</v>
      </c>
      <c r="D4363" s="141">
        <f t="shared" si="142"/>
        <v>44454</v>
      </c>
      <c r="E4363" s="275">
        <f t="shared" si="143"/>
        <v>44454</v>
      </c>
      <c r="F4363" s="480"/>
      <c r="G4363" s="221" t="s">
        <v>74</v>
      </c>
      <c r="H4363" s="221" t="str" cm="1">
        <f t="array" ref="H4363">IFERROR(INDEX(INVESTOR_LIST[INVESTOR NAME],MATCH(I4363,INVESTOR_LIST[INVESTOR CODE],0),)," ")</f>
        <v xml:space="preserve"> </v>
      </c>
      <c r="I4363" s="145" t="s">
        <v>348</v>
      </c>
      <c r="J4363" s="146" t="s">
        <v>190</v>
      </c>
      <c r="K4363" s="219"/>
      <c r="L4363" s="219">
        <v>13010777.07</v>
      </c>
    </row>
    <row r="4364" spans="1:12" x14ac:dyDescent="0.2">
      <c r="A4364" s="168">
        <v>2021</v>
      </c>
      <c r="B4364" s="168">
        <v>9</v>
      </c>
      <c r="C4364" s="168">
        <v>15</v>
      </c>
      <c r="D4364" s="141">
        <f t="shared" si="142"/>
        <v>44454</v>
      </c>
      <c r="E4364" s="275">
        <f t="shared" si="143"/>
        <v>44454</v>
      </c>
      <c r="F4364" s="479" t="s">
        <v>903</v>
      </c>
      <c r="G4364" s="220" t="s">
        <v>74</v>
      </c>
      <c r="H4364" s="220" t="str" cm="1">
        <f t="array" ref="H4364">IFERROR(INDEX(INVESTOR_LIST[INVESTOR NAME],MATCH(I4364,INVESTOR_LIST[INVESTOR CODE],0),)," ")</f>
        <v xml:space="preserve"> </v>
      </c>
      <c r="I4364" s="142" t="s">
        <v>348</v>
      </c>
      <c r="J4364" s="143" t="s">
        <v>52</v>
      </c>
      <c r="K4364" s="226">
        <v>21548839.539999999</v>
      </c>
      <c r="L4364" s="226"/>
    </row>
    <row r="4365" spans="1:12" x14ac:dyDescent="0.2">
      <c r="A4365" s="163">
        <v>2021</v>
      </c>
      <c r="B4365" s="163">
        <v>9</v>
      </c>
      <c r="C4365" s="163">
        <v>15</v>
      </c>
      <c r="D4365" s="141">
        <f t="shared" si="142"/>
        <v>44454</v>
      </c>
      <c r="E4365" s="275">
        <f t="shared" si="143"/>
        <v>44454</v>
      </c>
      <c r="F4365" s="480"/>
      <c r="G4365" s="221" t="s">
        <v>74</v>
      </c>
      <c r="H4365" s="221" t="str" cm="1">
        <f t="array" ref="H4365">IFERROR(INDEX(INVESTOR_LIST[INVESTOR NAME],MATCH(I4365,INVESTOR_LIST[INVESTOR CODE],0),)," ")</f>
        <v xml:space="preserve"> </v>
      </c>
      <c r="I4365" s="145" t="s">
        <v>348</v>
      </c>
      <c r="J4365" s="146" t="s">
        <v>190</v>
      </c>
      <c r="K4365" s="219"/>
      <c r="L4365" s="219">
        <v>21548839.539999999</v>
      </c>
    </row>
    <row r="4366" spans="1:12" x14ac:dyDescent="0.2">
      <c r="A4366" s="168">
        <v>2021</v>
      </c>
      <c r="B4366" s="168">
        <v>9</v>
      </c>
      <c r="C4366" s="168">
        <v>16</v>
      </c>
      <c r="D4366" s="141">
        <f t="shared" ref="D4366:D4429" si="144">DATE(A4366,B4366,C4366)</f>
        <v>44455</v>
      </c>
      <c r="E4366" s="275">
        <f t="shared" si="143"/>
        <v>44455</v>
      </c>
      <c r="F4366" s="479" t="s">
        <v>544</v>
      </c>
      <c r="G4366" s="220" t="s">
        <v>74</v>
      </c>
      <c r="H4366" s="220" t="str" cm="1">
        <f t="array" ref="H4366">IFERROR(INDEX(INVESTOR_LIST[INVESTOR NAME],MATCH(I4366,INVESTOR_LIST[INVESTOR CODE],0),)," ")</f>
        <v xml:space="preserve"> </v>
      </c>
      <c r="I4366" s="142" t="s">
        <v>348</v>
      </c>
      <c r="J4366" s="143" t="s">
        <v>52</v>
      </c>
      <c r="K4366" s="226">
        <v>13272996.18</v>
      </c>
      <c r="L4366" s="226"/>
    </row>
    <row r="4367" spans="1:12" x14ac:dyDescent="0.2">
      <c r="A4367" s="163">
        <v>2021</v>
      </c>
      <c r="B4367" s="163">
        <v>9</v>
      </c>
      <c r="C4367" s="163">
        <v>16</v>
      </c>
      <c r="D4367" s="141">
        <f t="shared" si="144"/>
        <v>44455</v>
      </c>
      <c r="E4367" s="275">
        <f t="shared" ref="E4367:E4430" si="145">DATE(A4367,B4367,C4367)</f>
        <v>44455</v>
      </c>
      <c r="F4367" s="480"/>
      <c r="G4367" s="221" t="s">
        <v>74</v>
      </c>
      <c r="H4367" s="221" t="str" cm="1">
        <f t="array" ref="H4367">IFERROR(INDEX(INVESTOR_LIST[INVESTOR NAME],MATCH(I4367,INVESTOR_LIST[INVESTOR CODE],0),)," ")</f>
        <v xml:space="preserve"> </v>
      </c>
      <c r="I4367" s="145" t="s">
        <v>348</v>
      </c>
      <c r="J4367" s="146" t="s">
        <v>190</v>
      </c>
      <c r="K4367" s="219"/>
      <c r="L4367" s="219">
        <v>13272996.18</v>
      </c>
    </row>
    <row r="4368" spans="1:12" x14ac:dyDescent="0.2">
      <c r="A4368" s="168">
        <v>2021</v>
      </c>
      <c r="B4368" s="168">
        <v>9</v>
      </c>
      <c r="C4368" s="168">
        <v>16</v>
      </c>
      <c r="D4368" s="141">
        <f t="shared" si="144"/>
        <v>44455</v>
      </c>
      <c r="E4368" s="275">
        <f t="shared" si="145"/>
        <v>44455</v>
      </c>
      <c r="F4368" s="479" t="s">
        <v>903</v>
      </c>
      <c r="G4368" s="220" t="s">
        <v>74</v>
      </c>
      <c r="H4368" s="220" t="str" cm="1">
        <f t="array" ref="H4368">IFERROR(INDEX(INVESTOR_LIST[INVESTOR NAME],MATCH(I4368,INVESTOR_LIST[INVESTOR CODE],0),)," ")</f>
        <v xml:space="preserve"> </v>
      </c>
      <c r="I4368" s="142" t="s">
        <v>348</v>
      </c>
      <c r="J4368" s="143" t="s">
        <v>52</v>
      </c>
      <c r="K4368" s="226">
        <v>7015669.5199999996</v>
      </c>
      <c r="L4368" s="226"/>
    </row>
    <row r="4369" spans="1:13" x14ac:dyDescent="0.2">
      <c r="A4369" s="163">
        <v>2021</v>
      </c>
      <c r="B4369" s="163">
        <v>9</v>
      </c>
      <c r="C4369" s="163">
        <v>16</v>
      </c>
      <c r="D4369" s="141">
        <f t="shared" si="144"/>
        <v>44455</v>
      </c>
      <c r="E4369" s="275">
        <f t="shared" si="145"/>
        <v>44455</v>
      </c>
      <c r="F4369" s="480"/>
      <c r="G4369" s="221" t="s">
        <v>74</v>
      </c>
      <c r="H4369" s="221" t="str" cm="1">
        <f t="array" ref="H4369">IFERROR(INDEX(INVESTOR_LIST[INVESTOR NAME],MATCH(I4369,INVESTOR_LIST[INVESTOR CODE],0),)," ")</f>
        <v xml:space="preserve"> </v>
      </c>
      <c r="I4369" s="145" t="s">
        <v>348</v>
      </c>
      <c r="J4369" s="146" t="s">
        <v>190</v>
      </c>
      <c r="K4369" s="219"/>
      <c r="L4369" s="219">
        <v>7015669.5199999996</v>
      </c>
    </row>
    <row r="4370" spans="1:13" ht="22.5" x14ac:dyDescent="0.2">
      <c r="A4370" s="133">
        <v>2021</v>
      </c>
      <c r="B4370" s="133">
        <v>9</v>
      </c>
      <c r="C4370" s="133">
        <v>16</v>
      </c>
      <c r="D4370" s="141">
        <f t="shared" si="144"/>
        <v>44455</v>
      </c>
      <c r="E4370" s="275">
        <f t="shared" si="145"/>
        <v>44455</v>
      </c>
      <c r="F4370" s="479" t="s">
        <v>965</v>
      </c>
      <c r="G4370" s="174" t="s">
        <v>74</v>
      </c>
      <c r="H4370" s="174" t="str" cm="1">
        <f t="array" ref="H4370">IFERROR(INDEX(INVESTOR_LIST[INVESTOR NAME],MATCH(I4370,INVESTOR_LIST[INVESTOR CODE],0),)," ")</f>
        <v>SK FEROZ ALAM</v>
      </c>
      <c r="I4370" s="148" t="s">
        <v>462</v>
      </c>
      <c r="J4370" s="149" t="s">
        <v>13</v>
      </c>
      <c r="K4370" s="218">
        <v>156740</v>
      </c>
      <c r="L4370" s="218"/>
    </row>
    <row r="4371" spans="1:13" ht="22.5" x14ac:dyDescent="0.2">
      <c r="A4371" s="133">
        <v>2021</v>
      </c>
      <c r="B4371" s="133">
        <v>9</v>
      </c>
      <c r="C4371" s="133">
        <v>16</v>
      </c>
      <c r="D4371" s="141">
        <f t="shared" si="144"/>
        <v>44455</v>
      </c>
      <c r="E4371" s="275">
        <f t="shared" si="145"/>
        <v>44455</v>
      </c>
      <c r="F4371" s="481"/>
      <c r="G4371" s="174" t="s">
        <v>74</v>
      </c>
      <c r="H4371" s="174" t="str" cm="1">
        <f t="array" ref="H4371">IFERROR(INDEX(INVESTOR_LIST[INVESTOR NAME],MATCH(I4371,INVESTOR_LIST[INVESTOR CODE],0),)," ")</f>
        <v>SK FEROZ ALAM</v>
      </c>
      <c r="I4371" s="148" t="s">
        <v>462</v>
      </c>
      <c r="J4371" s="149" t="s">
        <v>53</v>
      </c>
      <c r="K4371" s="218">
        <v>82596.72</v>
      </c>
      <c r="L4371" s="218"/>
    </row>
    <row r="4372" spans="1:13" ht="22.5" x14ac:dyDescent="0.2">
      <c r="A4372" s="163">
        <v>2021</v>
      </c>
      <c r="B4372" s="163">
        <v>9</v>
      </c>
      <c r="C4372" s="163">
        <v>16</v>
      </c>
      <c r="D4372" s="141">
        <f t="shared" si="144"/>
        <v>44455</v>
      </c>
      <c r="E4372" s="275">
        <f t="shared" si="145"/>
        <v>44455</v>
      </c>
      <c r="F4372" s="480"/>
      <c r="G4372" s="221" t="s">
        <v>74</v>
      </c>
      <c r="H4372" s="221" t="str" cm="1">
        <f t="array" ref="H4372">IFERROR(INDEX(INVESTOR_LIST[INVESTOR NAME],MATCH(I4372,INVESTOR_LIST[INVESTOR CODE],0),)," ")</f>
        <v>SK FEROZ ALAM</v>
      </c>
      <c r="I4372" s="145" t="s">
        <v>462</v>
      </c>
      <c r="J4372" s="146" t="s">
        <v>52</v>
      </c>
      <c r="K4372" s="219"/>
      <c r="L4372" s="219">
        <v>239336.72</v>
      </c>
    </row>
    <row r="4373" spans="1:13" ht="56.25" x14ac:dyDescent="0.2">
      <c r="A4373" s="133">
        <v>2021</v>
      </c>
      <c r="B4373" s="133">
        <v>9</v>
      </c>
      <c r="C4373" s="133">
        <v>16</v>
      </c>
      <c r="D4373" s="141">
        <f t="shared" si="144"/>
        <v>44455</v>
      </c>
      <c r="E4373" s="275">
        <f t="shared" si="145"/>
        <v>44455</v>
      </c>
      <c r="F4373" s="479" t="s">
        <v>965</v>
      </c>
      <c r="G4373" s="174" t="s">
        <v>74</v>
      </c>
      <c r="H4373" s="174" t="str" cm="1">
        <f t="array" ref="H4373">IFERROR(INDEX(INVESTOR_LIST[INVESTOR NAME],MATCH(I4373,INVESTOR_LIST[INVESTOR CODE],0),)," ")</f>
        <v>SK FEROZ ALAM &amp; MD BULBUL ISLAM</v>
      </c>
      <c r="I4373" s="148" t="s">
        <v>553</v>
      </c>
      <c r="J4373" s="149" t="s">
        <v>13</v>
      </c>
      <c r="K4373" s="218">
        <v>150000</v>
      </c>
      <c r="L4373" s="218"/>
    </row>
    <row r="4374" spans="1:13" ht="56.25" x14ac:dyDescent="0.2">
      <c r="A4374" s="133">
        <v>2021</v>
      </c>
      <c r="B4374" s="133">
        <v>9</v>
      </c>
      <c r="C4374" s="133">
        <v>16</v>
      </c>
      <c r="D4374" s="141">
        <f t="shared" si="144"/>
        <v>44455</v>
      </c>
      <c r="E4374" s="275">
        <f t="shared" si="145"/>
        <v>44455</v>
      </c>
      <c r="F4374" s="481"/>
      <c r="G4374" s="174" t="s">
        <v>74</v>
      </c>
      <c r="H4374" s="174" t="str" cm="1">
        <f t="array" ref="H4374">IFERROR(INDEX(INVESTOR_LIST[INVESTOR NAME],MATCH(I4374,INVESTOR_LIST[INVESTOR CODE],0),)," ")</f>
        <v>SK FEROZ ALAM &amp; MD BULBUL ISLAM</v>
      </c>
      <c r="I4374" s="148" t="s">
        <v>553</v>
      </c>
      <c r="J4374" s="149" t="s">
        <v>53</v>
      </c>
      <c r="K4374" s="218">
        <v>79044.97</v>
      </c>
      <c r="L4374" s="218"/>
    </row>
    <row r="4375" spans="1:13" ht="56.25" x14ac:dyDescent="0.2">
      <c r="A4375" s="163">
        <v>2021</v>
      </c>
      <c r="B4375" s="163">
        <v>9</v>
      </c>
      <c r="C4375" s="163">
        <v>16</v>
      </c>
      <c r="D4375" s="141">
        <f t="shared" si="144"/>
        <v>44455</v>
      </c>
      <c r="E4375" s="275">
        <f t="shared" si="145"/>
        <v>44455</v>
      </c>
      <c r="F4375" s="480"/>
      <c r="G4375" s="221" t="s">
        <v>74</v>
      </c>
      <c r="H4375" s="221" t="str" cm="1">
        <f t="array" ref="H4375">IFERROR(INDEX(INVESTOR_LIST[INVESTOR NAME],MATCH(I4375,INVESTOR_LIST[INVESTOR CODE],0),)," ")</f>
        <v>SK FEROZ ALAM &amp; MD BULBUL ISLAM</v>
      </c>
      <c r="I4375" s="145" t="s">
        <v>553</v>
      </c>
      <c r="J4375" s="146" t="s">
        <v>52</v>
      </c>
      <c r="K4375" s="219"/>
      <c r="L4375" s="219">
        <v>229044.97</v>
      </c>
    </row>
    <row r="4376" spans="1:13" ht="33.75" x14ac:dyDescent="0.2">
      <c r="A4376" s="133">
        <v>2021</v>
      </c>
      <c r="B4376" s="133">
        <v>9</v>
      </c>
      <c r="C4376" s="133">
        <v>16</v>
      </c>
      <c r="D4376" s="141">
        <f t="shared" si="144"/>
        <v>44455</v>
      </c>
      <c r="E4376" s="275">
        <f t="shared" si="145"/>
        <v>44455</v>
      </c>
      <c r="F4376" s="479" t="s">
        <v>965</v>
      </c>
      <c r="G4376" s="174" t="s">
        <v>74</v>
      </c>
      <c r="H4376" s="174" t="str" cm="1">
        <f t="array" ref="H4376">IFERROR(INDEX(INVESTOR_LIST[INVESTOR NAME],MATCH(I4376,INVESTOR_LIST[INVESTOR CODE],0),)," ")</f>
        <v>S. M. ALI MANZIR PALLAB</v>
      </c>
      <c r="I4376" s="148" t="s">
        <v>762</v>
      </c>
      <c r="J4376" s="149" t="s">
        <v>13</v>
      </c>
      <c r="K4376" s="218">
        <v>30120</v>
      </c>
      <c r="L4376" s="218"/>
    </row>
    <row r="4377" spans="1:13" ht="33.75" x14ac:dyDescent="0.2">
      <c r="A4377" s="133">
        <v>2021</v>
      </c>
      <c r="B4377" s="133">
        <v>9</v>
      </c>
      <c r="C4377" s="133">
        <v>16</v>
      </c>
      <c r="D4377" s="141">
        <f t="shared" si="144"/>
        <v>44455</v>
      </c>
      <c r="E4377" s="275">
        <f t="shared" si="145"/>
        <v>44455</v>
      </c>
      <c r="F4377" s="481"/>
      <c r="G4377" s="174" t="s">
        <v>74</v>
      </c>
      <c r="H4377" s="174" t="str" cm="1">
        <f t="array" ref="H4377">IFERROR(INDEX(INVESTOR_LIST[INVESTOR NAME],MATCH(I4377,INVESTOR_LIST[INVESTOR CODE],0),)," ")</f>
        <v>S. M. ALI MANZIR PALLAB</v>
      </c>
      <c r="I4377" s="148" t="s">
        <v>762</v>
      </c>
      <c r="J4377" s="149" t="s">
        <v>53</v>
      </c>
      <c r="K4377" s="218">
        <v>15872.23</v>
      </c>
      <c r="L4377" s="218"/>
    </row>
    <row r="4378" spans="1:13" ht="33.75" x14ac:dyDescent="0.2">
      <c r="A4378" s="163">
        <v>2021</v>
      </c>
      <c r="B4378" s="163">
        <v>9</v>
      </c>
      <c r="C4378" s="163">
        <v>16</v>
      </c>
      <c r="D4378" s="141">
        <f t="shared" si="144"/>
        <v>44455</v>
      </c>
      <c r="E4378" s="275">
        <f t="shared" si="145"/>
        <v>44455</v>
      </c>
      <c r="F4378" s="480"/>
      <c r="G4378" s="221" t="s">
        <v>74</v>
      </c>
      <c r="H4378" s="221" t="str" cm="1">
        <f t="array" ref="H4378">IFERROR(INDEX(INVESTOR_LIST[INVESTOR NAME],MATCH(I4378,INVESTOR_LIST[INVESTOR CODE],0),)," ")</f>
        <v>S. M. ALI MANZIR PALLAB</v>
      </c>
      <c r="I4378" s="145" t="s">
        <v>762</v>
      </c>
      <c r="J4378" s="146" t="s">
        <v>52</v>
      </c>
      <c r="K4378" s="219"/>
      <c r="L4378" s="219">
        <v>45992.23</v>
      </c>
    </row>
    <row r="4379" spans="1:13" x14ac:dyDescent="0.2">
      <c r="A4379" s="238">
        <v>2021</v>
      </c>
      <c r="B4379" s="238">
        <v>9</v>
      </c>
      <c r="C4379" s="238">
        <v>16</v>
      </c>
      <c r="D4379" s="141">
        <f t="shared" si="144"/>
        <v>44455</v>
      </c>
      <c r="E4379" s="275">
        <f t="shared" si="145"/>
        <v>44455</v>
      </c>
      <c r="F4379" s="477" t="s">
        <v>347</v>
      </c>
      <c r="G4379" s="239" t="s">
        <v>94</v>
      </c>
      <c r="H4379" s="239" t="str" cm="1">
        <f t="array" ref="H4379">IFERROR(INDEX(INVESTOR_LIST[INVESTOR NAME],MATCH(I4379,INVESTOR_LIST[INVESTOR CODE],0),)," ")</f>
        <v xml:space="preserve"> </v>
      </c>
      <c r="I4379" s="262" t="s">
        <v>348</v>
      </c>
      <c r="J4379" s="240" t="s">
        <v>83</v>
      </c>
      <c r="K4379" s="241">
        <v>8032607.1700000465</v>
      </c>
      <c r="L4379" s="241"/>
    </row>
    <row r="4380" spans="1:13" x14ac:dyDescent="0.2">
      <c r="A4380" s="242">
        <v>2021</v>
      </c>
      <c r="B4380" s="242">
        <v>9</v>
      </c>
      <c r="C4380" s="242">
        <v>16</v>
      </c>
      <c r="D4380" s="141">
        <f t="shared" si="144"/>
        <v>44455</v>
      </c>
      <c r="E4380" s="275">
        <f t="shared" si="145"/>
        <v>44455</v>
      </c>
      <c r="F4380" s="478"/>
      <c r="G4380" s="243" t="s">
        <v>94</v>
      </c>
      <c r="H4380" s="243" t="str" cm="1">
        <f t="array" ref="H4380">IFERROR(INDEX(INVESTOR_LIST[INVESTOR NAME],MATCH(I4380,INVESTOR_LIST[INVESTOR CODE],0),)," ")</f>
        <v xml:space="preserve"> </v>
      </c>
      <c r="I4380" s="263" t="s">
        <v>348</v>
      </c>
      <c r="J4380" s="244" t="s">
        <v>108</v>
      </c>
      <c r="K4380" s="245"/>
      <c r="L4380" s="245">
        <v>8032607.1700000465</v>
      </c>
    </row>
    <row r="4381" spans="1:13" ht="22.5" x14ac:dyDescent="0.2">
      <c r="A4381" s="246">
        <v>2021</v>
      </c>
      <c r="B4381" s="246">
        <v>9</v>
      </c>
      <c r="C4381" s="246">
        <v>16</v>
      </c>
      <c r="D4381" s="141">
        <f t="shared" si="144"/>
        <v>44455</v>
      </c>
      <c r="E4381" s="275">
        <f t="shared" si="145"/>
        <v>44455</v>
      </c>
      <c r="F4381" s="482" t="s">
        <v>148</v>
      </c>
      <c r="G4381" s="247" t="s">
        <v>94</v>
      </c>
      <c r="H4381" s="247" t="str" cm="1">
        <f t="array" ref="H4381">IFERROR(INDEX(INVESTOR_LIST[INVESTOR NAME],MATCH(I4381,INVESTOR_LIST[INVESTOR CODE],0),)," ")</f>
        <v xml:space="preserve"> </v>
      </c>
      <c r="I4381" s="248" t="s">
        <v>348</v>
      </c>
      <c r="J4381" s="249" t="s">
        <v>95</v>
      </c>
      <c r="K4381" s="250">
        <v>2747.2527472527472</v>
      </c>
      <c r="L4381" s="241"/>
      <c r="M4381" s="133">
        <v>2747.2527472527472</v>
      </c>
    </row>
    <row r="4382" spans="1:13" x14ac:dyDescent="0.2">
      <c r="A4382" s="242">
        <v>2021</v>
      </c>
      <c r="B4382" s="242">
        <v>9</v>
      </c>
      <c r="C4382" s="242">
        <v>16</v>
      </c>
      <c r="D4382" s="141">
        <f t="shared" si="144"/>
        <v>44455</v>
      </c>
      <c r="E4382" s="275">
        <f t="shared" si="145"/>
        <v>44455</v>
      </c>
      <c r="F4382" s="478"/>
      <c r="G4382" s="243" t="s">
        <v>94</v>
      </c>
      <c r="H4382" s="243" t="str" cm="1">
        <f t="array" ref="H4382">IFERROR(INDEX(INVESTOR_LIST[INVESTOR NAME],MATCH(I4382,INVESTOR_LIST[INVESTOR CODE],0),)," ")</f>
        <v xml:space="preserve"> </v>
      </c>
      <c r="I4382" s="263" t="s">
        <v>348</v>
      </c>
      <c r="J4382" s="244" t="s">
        <v>63</v>
      </c>
      <c r="K4382" s="245"/>
      <c r="L4382" s="245">
        <v>2747.2527472527472</v>
      </c>
      <c r="M4382" s="133">
        <v>114348.87162552595</v>
      </c>
    </row>
    <row r="4383" spans="1:13" x14ac:dyDescent="0.2">
      <c r="A4383" s="246">
        <v>2021</v>
      </c>
      <c r="B4383" s="246">
        <v>9</v>
      </c>
      <c r="C4383" s="246">
        <v>16</v>
      </c>
      <c r="D4383" s="141">
        <f t="shared" si="144"/>
        <v>44455</v>
      </c>
      <c r="E4383" s="275">
        <f t="shared" si="145"/>
        <v>44455</v>
      </c>
      <c r="F4383" s="482" t="s">
        <v>137</v>
      </c>
      <c r="G4383" s="247" t="s">
        <v>94</v>
      </c>
      <c r="H4383" s="247" t="str" cm="1">
        <f t="array" ref="H4383">IFERROR(INDEX(INVESTOR_LIST[INVESTOR NAME],MATCH(I4383,INVESTOR_LIST[INVESTOR CODE],0),)," ")</f>
        <v xml:space="preserve"> </v>
      </c>
      <c r="I4383" s="248" t="s">
        <v>348</v>
      </c>
      <c r="J4383" s="249" t="s">
        <v>97</v>
      </c>
      <c r="K4383" s="250">
        <v>114348.87162552595</v>
      </c>
      <c r="L4383" s="252"/>
      <c r="M4383" s="133">
        <v>5700.1811852914734</v>
      </c>
    </row>
    <row r="4384" spans="1:13" x14ac:dyDescent="0.2">
      <c r="A4384" s="242">
        <v>2021</v>
      </c>
      <c r="B4384" s="242">
        <v>9</v>
      </c>
      <c r="C4384" s="242">
        <v>16</v>
      </c>
      <c r="D4384" s="141">
        <f t="shared" si="144"/>
        <v>44455</v>
      </c>
      <c r="E4384" s="275">
        <f t="shared" si="145"/>
        <v>44455</v>
      </c>
      <c r="F4384" s="478"/>
      <c r="G4384" s="243" t="s">
        <v>94</v>
      </c>
      <c r="H4384" s="243" t="str" cm="1">
        <f t="array" ref="H4384">IFERROR(INDEX(INVESTOR_LIST[INVESTOR NAME],MATCH(I4384,INVESTOR_LIST[INVESTOR CODE],0),)," ")</f>
        <v xml:space="preserve"> </v>
      </c>
      <c r="I4384" s="263" t="s">
        <v>348</v>
      </c>
      <c r="J4384" s="244" t="s">
        <v>47</v>
      </c>
      <c r="K4384" s="245"/>
      <c r="L4384" s="245">
        <v>114348.87162552595</v>
      </c>
    </row>
    <row r="4385" spans="1:12" x14ac:dyDescent="0.2">
      <c r="A4385" s="246">
        <v>2021</v>
      </c>
      <c r="B4385" s="246">
        <v>9</v>
      </c>
      <c r="C4385" s="246">
        <v>16</v>
      </c>
      <c r="D4385" s="141">
        <f t="shared" si="144"/>
        <v>44455</v>
      </c>
      <c r="E4385" s="275">
        <f t="shared" si="145"/>
        <v>44455</v>
      </c>
      <c r="F4385" s="482" t="s">
        <v>138</v>
      </c>
      <c r="G4385" s="247" t="s">
        <v>94</v>
      </c>
      <c r="H4385" s="247" t="str" cm="1">
        <f t="array" ref="H4385">IFERROR(INDEX(INVESTOR_LIST[INVESTOR NAME],MATCH(I4385,INVESTOR_LIST[INVESTOR CODE],0),)," ")</f>
        <v xml:space="preserve"> </v>
      </c>
      <c r="I4385" s="248" t="s">
        <v>348</v>
      </c>
      <c r="J4385" s="249" t="s">
        <v>100</v>
      </c>
      <c r="K4385" s="250">
        <v>5700.1811852914734</v>
      </c>
      <c r="L4385" s="252"/>
    </row>
    <row r="4386" spans="1:12" x14ac:dyDescent="0.2">
      <c r="A4386" s="242">
        <v>2021</v>
      </c>
      <c r="B4386" s="242">
        <v>9</v>
      </c>
      <c r="C4386" s="242">
        <v>16</v>
      </c>
      <c r="D4386" s="141">
        <f t="shared" si="144"/>
        <v>44455</v>
      </c>
      <c r="E4386" s="275">
        <f t="shared" si="145"/>
        <v>44455</v>
      </c>
      <c r="F4386" s="478"/>
      <c r="G4386" s="243" t="s">
        <v>94</v>
      </c>
      <c r="H4386" s="243" t="str" cm="1">
        <f t="array" ref="H4386">IFERROR(INDEX(INVESTOR_LIST[INVESTOR NAME],MATCH(I4386,INVESTOR_LIST[INVESTOR CODE],0),)," ")</f>
        <v xml:space="preserve"> </v>
      </c>
      <c r="I4386" s="263" t="s">
        <v>348</v>
      </c>
      <c r="J4386" s="244" t="s">
        <v>48</v>
      </c>
      <c r="K4386" s="245"/>
      <c r="L4386" s="245">
        <v>5700.1811852914734</v>
      </c>
    </row>
    <row r="4387" spans="1:12" ht="22.5" x14ac:dyDescent="0.2">
      <c r="A4387" s="133">
        <v>2021</v>
      </c>
      <c r="B4387" s="133">
        <v>9</v>
      </c>
      <c r="C4387" s="133">
        <v>19</v>
      </c>
      <c r="D4387" s="141">
        <f t="shared" si="144"/>
        <v>44458</v>
      </c>
      <c r="E4387" s="275">
        <f t="shared" si="145"/>
        <v>44458</v>
      </c>
      <c r="F4387" s="479" t="s">
        <v>965</v>
      </c>
      <c r="G4387" s="174" t="s">
        <v>74</v>
      </c>
      <c r="H4387" s="174" t="str" cm="1">
        <f t="array" ref="H4387">IFERROR(INDEX(INVESTOR_LIST[INVESTOR NAME],MATCH(I4387,INVESTOR_LIST[INVESTOR CODE],0),)," ")</f>
        <v>JHARNA AHMED</v>
      </c>
      <c r="I4387" s="148" t="s">
        <v>719</v>
      </c>
      <c r="J4387" s="149" t="s">
        <v>13</v>
      </c>
      <c r="K4387" s="218">
        <v>378790</v>
      </c>
      <c r="L4387" s="218"/>
    </row>
    <row r="4388" spans="1:12" ht="22.5" x14ac:dyDescent="0.2">
      <c r="A4388" s="133">
        <v>2021</v>
      </c>
      <c r="B4388" s="133">
        <v>9</v>
      </c>
      <c r="C4388" s="133">
        <v>19</v>
      </c>
      <c r="D4388" s="141">
        <f t="shared" si="144"/>
        <v>44458</v>
      </c>
      <c r="E4388" s="275">
        <f t="shared" si="145"/>
        <v>44458</v>
      </c>
      <c r="F4388" s="481"/>
      <c r="G4388" s="174" t="s">
        <v>74</v>
      </c>
      <c r="H4388" s="174" t="str" cm="1">
        <f t="array" ref="H4388">IFERROR(INDEX(INVESTOR_LIST[INVESTOR NAME],MATCH(I4388,INVESTOR_LIST[INVESTOR CODE],0),)," ")</f>
        <v>JHARNA AHMED</v>
      </c>
      <c r="I4388" s="148" t="s">
        <v>719</v>
      </c>
      <c r="J4388" s="149" t="s">
        <v>53</v>
      </c>
      <c r="K4388" s="218">
        <v>194697.75</v>
      </c>
      <c r="L4388" s="218"/>
    </row>
    <row r="4389" spans="1:12" ht="22.5" x14ac:dyDescent="0.2">
      <c r="A4389" s="163">
        <v>2021</v>
      </c>
      <c r="B4389" s="163">
        <v>9</v>
      </c>
      <c r="C4389" s="163">
        <v>19</v>
      </c>
      <c r="D4389" s="141">
        <f t="shared" si="144"/>
        <v>44458</v>
      </c>
      <c r="E4389" s="275">
        <f t="shared" si="145"/>
        <v>44458</v>
      </c>
      <c r="F4389" s="480"/>
      <c r="G4389" s="221" t="s">
        <v>74</v>
      </c>
      <c r="H4389" s="221" t="str" cm="1">
        <f t="array" ref="H4389">IFERROR(INDEX(INVESTOR_LIST[INVESTOR NAME],MATCH(I4389,INVESTOR_LIST[INVESTOR CODE],0),)," ")</f>
        <v>JHARNA AHMED</v>
      </c>
      <c r="I4389" s="145" t="s">
        <v>719</v>
      </c>
      <c r="J4389" s="146" t="s">
        <v>52</v>
      </c>
      <c r="K4389" s="219"/>
      <c r="L4389" s="219">
        <v>573487.75</v>
      </c>
    </row>
    <row r="4390" spans="1:12" ht="11.25" customHeight="1" x14ac:dyDescent="0.2">
      <c r="A4390" s="168">
        <v>2021</v>
      </c>
      <c r="B4390" s="168">
        <v>9</v>
      </c>
      <c r="C4390" s="133">
        <v>19</v>
      </c>
      <c r="D4390" s="141">
        <f t="shared" si="144"/>
        <v>44458</v>
      </c>
      <c r="E4390" s="275">
        <f t="shared" si="145"/>
        <v>44458</v>
      </c>
      <c r="F4390" s="479" t="s">
        <v>254</v>
      </c>
      <c r="G4390" s="220" t="s">
        <v>74</v>
      </c>
      <c r="H4390" s="142" t="str" cm="1">
        <f t="array" ref="H4390">IFERROR(INDEX(INVESTOR_LIST[INVESTOR NAME],MATCH(I4390,INVESTOR_LIST[INVESTOR CODE],0),)," ")</f>
        <v xml:space="preserve"> </v>
      </c>
      <c r="I4390" s="142"/>
      <c r="J4390" s="168" t="s">
        <v>52</v>
      </c>
      <c r="K4390" s="226">
        <v>67000</v>
      </c>
      <c r="L4390" s="226"/>
    </row>
    <row r="4391" spans="1:12" x14ac:dyDescent="0.2">
      <c r="A4391" s="133">
        <v>2021</v>
      </c>
      <c r="B4391" s="133">
        <v>9</v>
      </c>
      <c r="C4391" s="133">
        <v>19</v>
      </c>
      <c r="D4391" s="141">
        <f t="shared" si="144"/>
        <v>44458</v>
      </c>
      <c r="E4391" s="275">
        <f t="shared" si="145"/>
        <v>44458</v>
      </c>
      <c r="F4391" s="481"/>
      <c r="G4391" s="174" t="s">
        <v>74</v>
      </c>
      <c r="H4391" s="148" t="str" cm="1">
        <f t="array" ref="H4391">IFERROR(INDEX(INVESTOR_LIST[INVESTOR NAME],MATCH(I4391,INVESTOR_LIST[INVESTOR CODE],0),)," ")</f>
        <v xml:space="preserve"> </v>
      </c>
      <c r="J4391" s="133" t="s">
        <v>13</v>
      </c>
      <c r="K4391" s="218"/>
      <c r="L4391" s="218">
        <v>44260</v>
      </c>
    </row>
    <row r="4392" spans="1:12" x14ac:dyDescent="0.2">
      <c r="A4392" s="163">
        <v>2021</v>
      </c>
      <c r="B4392" s="163">
        <v>9</v>
      </c>
      <c r="C4392" s="163">
        <v>19</v>
      </c>
      <c r="D4392" s="141">
        <f t="shared" si="144"/>
        <v>44458</v>
      </c>
      <c r="E4392" s="275">
        <f t="shared" si="145"/>
        <v>44458</v>
      </c>
      <c r="F4392" s="480"/>
      <c r="G4392" s="221" t="s">
        <v>74</v>
      </c>
      <c r="H4392" s="145" t="str" cm="1">
        <f t="array" ref="H4392">IFERROR(INDEX(INVESTOR_LIST[INVESTOR NAME],MATCH(I4392,INVESTOR_LIST[INVESTOR CODE],0),)," ")</f>
        <v xml:space="preserve"> </v>
      </c>
      <c r="I4392" s="145"/>
      <c r="J4392" s="163" t="s">
        <v>53</v>
      </c>
      <c r="K4392" s="219"/>
      <c r="L4392" s="219">
        <v>22740</v>
      </c>
    </row>
    <row r="4393" spans="1:12" x14ac:dyDescent="0.2">
      <c r="A4393" s="168">
        <v>2021</v>
      </c>
      <c r="B4393" s="168">
        <v>9</v>
      </c>
      <c r="C4393" s="168">
        <v>19</v>
      </c>
      <c r="D4393" s="141">
        <f t="shared" si="144"/>
        <v>44458</v>
      </c>
      <c r="E4393" s="275">
        <f t="shared" si="145"/>
        <v>44458</v>
      </c>
      <c r="F4393" s="479" t="s">
        <v>544</v>
      </c>
      <c r="G4393" s="220" t="s">
        <v>74</v>
      </c>
      <c r="H4393" s="220" t="str" cm="1">
        <f t="array" ref="H4393">IFERROR(INDEX(INVESTOR_LIST[INVESTOR NAME],MATCH(I4393,INVESTOR_LIST[INVESTOR CODE],0),)," ")</f>
        <v xml:space="preserve"> </v>
      </c>
      <c r="I4393" s="142" t="s">
        <v>348</v>
      </c>
      <c r="J4393" s="143" t="s">
        <v>52</v>
      </c>
      <c r="K4393" s="226">
        <v>7214415.3600000003</v>
      </c>
      <c r="L4393" s="226"/>
    </row>
    <row r="4394" spans="1:12" x14ac:dyDescent="0.2">
      <c r="A4394" s="163">
        <v>2021</v>
      </c>
      <c r="B4394" s="163">
        <v>9</v>
      </c>
      <c r="C4394" s="163">
        <v>19</v>
      </c>
      <c r="D4394" s="141">
        <f t="shared" si="144"/>
        <v>44458</v>
      </c>
      <c r="E4394" s="275">
        <f t="shared" si="145"/>
        <v>44458</v>
      </c>
      <c r="F4394" s="480"/>
      <c r="G4394" s="221" t="s">
        <v>74</v>
      </c>
      <c r="H4394" s="221" t="str" cm="1">
        <f t="array" ref="H4394">IFERROR(INDEX(INVESTOR_LIST[INVESTOR NAME],MATCH(I4394,INVESTOR_LIST[INVESTOR CODE],0),)," ")</f>
        <v xml:space="preserve"> </v>
      </c>
      <c r="I4394" s="145" t="s">
        <v>348</v>
      </c>
      <c r="J4394" s="146" t="s">
        <v>190</v>
      </c>
      <c r="K4394" s="219"/>
      <c r="L4394" s="219">
        <v>7214415.3600000003</v>
      </c>
    </row>
    <row r="4395" spans="1:12" x14ac:dyDescent="0.2">
      <c r="A4395" s="168">
        <v>2021</v>
      </c>
      <c r="B4395" s="168">
        <v>9</v>
      </c>
      <c r="C4395" s="168">
        <v>19</v>
      </c>
      <c r="D4395" s="141">
        <f t="shared" si="144"/>
        <v>44458</v>
      </c>
      <c r="E4395" s="275">
        <f t="shared" si="145"/>
        <v>44458</v>
      </c>
      <c r="F4395" s="479" t="s">
        <v>903</v>
      </c>
      <c r="G4395" s="220" t="s">
        <v>74</v>
      </c>
      <c r="H4395" s="220" t="str" cm="1">
        <f t="array" ref="H4395">IFERROR(INDEX(INVESTOR_LIST[INVESTOR NAME],MATCH(I4395,INVESTOR_LIST[INVESTOR CODE],0),)," ")</f>
        <v xml:space="preserve"> </v>
      </c>
      <c r="I4395" s="142" t="s">
        <v>348</v>
      </c>
      <c r="J4395" s="143" t="s">
        <v>52</v>
      </c>
      <c r="K4395" s="226">
        <v>7704995.4000000004</v>
      </c>
      <c r="L4395" s="226"/>
    </row>
    <row r="4396" spans="1:12" x14ac:dyDescent="0.2">
      <c r="A4396" s="163">
        <v>2021</v>
      </c>
      <c r="B4396" s="163">
        <v>9</v>
      </c>
      <c r="C4396" s="163">
        <v>19</v>
      </c>
      <c r="D4396" s="141">
        <f t="shared" si="144"/>
        <v>44458</v>
      </c>
      <c r="E4396" s="275">
        <f t="shared" si="145"/>
        <v>44458</v>
      </c>
      <c r="F4396" s="480"/>
      <c r="G4396" s="221" t="s">
        <v>74</v>
      </c>
      <c r="H4396" s="221" t="str" cm="1">
        <f t="array" ref="H4396">IFERROR(INDEX(INVESTOR_LIST[INVESTOR NAME],MATCH(I4396,INVESTOR_LIST[INVESTOR CODE],0),)," ")</f>
        <v xml:space="preserve"> </v>
      </c>
      <c r="I4396" s="145" t="s">
        <v>348</v>
      </c>
      <c r="J4396" s="146" t="s">
        <v>190</v>
      </c>
      <c r="K4396" s="219"/>
      <c r="L4396" s="219">
        <v>7704995.4000000004</v>
      </c>
    </row>
    <row r="4397" spans="1:12" x14ac:dyDescent="0.2">
      <c r="A4397" s="168">
        <v>2021</v>
      </c>
      <c r="B4397" s="168">
        <v>9</v>
      </c>
      <c r="C4397" s="133">
        <v>22</v>
      </c>
      <c r="D4397" s="141">
        <f t="shared" si="144"/>
        <v>44461</v>
      </c>
      <c r="E4397" s="275">
        <f t="shared" si="145"/>
        <v>44461</v>
      </c>
      <c r="F4397" s="479" t="s">
        <v>906</v>
      </c>
      <c r="G4397" s="220" t="s">
        <v>74</v>
      </c>
      <c r="H4397" s="220" t="str" cm="1">
        <f t="array" ref="H4397">IFERROR(INDEX(INVESTOR_LIST[INVESTOR NAME],MATCH(I4397,INVESTOR_LIST[INVESTOR CODE],0),)," ")</f>
        <v xml:space="preserve"> </v>
      </c>
      <c r="I4397" s="142"/>
      <c r="J4397" s="143" t="s">
        <v>79</v>
      </c>
      <c r="K4397" s="226">
        <v>266490</v>
      </c>
      <c r="L4397" s="226"/>
    </row>
    <row r="4398" spans="1:12" x14ac:dyDescent="0.2">
      <c r="A4398" s="133">
        <v>2021</v>
      </c>
      <c r="B4398" s="133">
        <v>9</v>
      </c>
      <c r="C4398" s="133">
        <v>22</v>
      </c>
      <c r="D4398" s="141">
        <f t="shared" si="144"/>
        <v>44461</v>
      </c>
      <c r="E4398" s="275">
        <f t="shared" si="145"/>
        <v>44461</v>
      </c>
      <c r="F4398" s="481"/>
      <c r="G4398" s="174" t="s">
        <v>74</v>
      </c>
      <c r="H4398" s="174" t="str" cm="1">
        <f t="array" ref="H4398">IFERROR(INDEX(INVESTOR_LIST[INVESTOR NAME],MATCH(I4398,INVESTOR_LIST[INVESTOR CODE],0),)," ")</f>
        <v xml:space="preserve"> </v>
      </c>
      <c r="J4398" s="149" t="s">
        <v>52</v>
      </c>
      <c r="K4398" s="218">
        <v>9733510</v>
      </c>
      <c r="L4398" s="218"/>
    </row>
    <row r="4399" spans="1:12" x14ac:dyDescent="0.2">
      <c r="A4399" s="163">
        <v>2021</v>
      </c>
      <c r="B4399" s="163">
        <v>9</v>
      </c>
      <c r="C4399" s="163">
        <v>22</v>
      </c>
      <c r="D4399" s="141">
        <f t="shared" si="144"/>
        <v>44461</v>
      </c>
      <c r="E4399" s="275">
        <f t="shared" si="145"/>
        <v>44461</v>
      </c>
      <c r="F4399" s="480"/>
      <c r="G4399" s="221" t="s">
        <v>74</v>
      </c>
      <c r="H4399" s="221" t="str" cm="1">
        <f t="array" ref="H4399">IFERROR(INDEX(INVESTOR_LIST[INVESTOR NAME],MATCH(I4399,INVESTOR_LIST[INVESTOR CODE],0),)," ")</f>
        <v xml:space="preserve"> </v>
      </c>
      <c r="I4399" s="145"/>
      <c r="J4399" s="146" t="s">
        <v>184</v>
      </c>
      <c r="K4399" s="219"/>
      <c r="L4399" s="219">
        <v>10000000</v>
      </c>
    </row>
    <row r="4400" spans="1:12" x14ac:dyDescent="0.2">
      <c r="A4400" s="168">
        <v>2021</v>
      </c>
      <c r="B4400" s="168">
        <v>9</v>
      </c>
      <c r="C4400" s="168">
        <v>22</v>
      </c>
      <c r="D4400" s="141">
        <f t="shared" si="144"/>
        <v>44461</v>
      </c>
      <c r="E4400" s="275">
        <f t="shared" si="145"/>
        <v>44461</v>
      </c>
      <c r="F4400" s="479" t="s">
        <v>907</v>
      </c>
      <c r="G4400" s="220" t="s">
        <v>74</v>
      </c>
      <c r="H4400" s="220" t="str" cm="1">
        <f t="array" ref="H4400">IFERROR(INDEX(INVESTOR_LIST[INVESTOR NAME],MATCH(I4400,INVESTOR_LIST[INVESTOR CODE],0),)," ")</f>
        <v xml:space="preserve"> </v>
      </c>
      <c r="I4400" s="142" t="s">
        <v>348</v>
      </c>
      <c r="J4400" s="143" t="s">
        <v>104</v>
      </c>
      <c r="K4400" s="226">
        <v>26000</v>
      </c>
      <c r="L4400" s="226"/>
    </row>
    <row r="4401" spans="1:15" x14ac:dyDescent="0.2">
      <c r="A4401" s="163">
        <v>2021</v>
      </c>
      <c r="B4401" s="163">
        <v>9</v>
      </c>
      <c r="C4401" s="163">
        <v>22</v>
      </c>
      <c r="D4401" s="141">
        <f t="shared" si="144"/>
        <v>44461</v>
      </c>
      <c r="E4401" s="275">
        <f t="shared" si="145"/>
        <v>44461</v>
      </c>
      <c r="F4401" s="480"/>
      <c r="G4401" s="221" t="s">
        <v>74</v>
      </c>
      <c r="H4401" s="221" t="str" cm="1">
        <f t="array" ref="H4401">IFERROR(INDEX(INVESTOR_LIST[INVESTOR NAME],MATCH(I4401,INVESTOR_LIST[INVESTOR CODE],0),)," ")</f>
        <v xml:space="preserve"> </v>
      </c>
      <c r="I4401" s="145" t="s">
        <v>348</v>
      </c>
      <c r="J4401" s="146" t="s">
        <v>52</v>
      </c>
      <c r="K4401" s="219"/>
      <c r="L4401" s="219">
        <v>26000</v>
      </c>
    </row>
    <row r="4402" spans="1:15" x14ac:dyDescent="0.2">
      <c r="A4402" s="168">
        <v>2021</v>
      </c>
      <c r="B4402" s="168">
        <v>9</v>
      </c>
      <c r="C4402" s="168">
        <v>22</v>
      </c>
      <c r="D4402" s="141">
        <f t="shared" si="144"/>
        <v>44461</v>
      </c>
      <c r="E4402" s="275">
        <f t="shared" si="145"/>
        <v>44461</v>
      </c>
      <c r="F4402" s="479" t="s">
        <v>908</v>
      </c>
      <c r="G4402" s="220" t="s">
        <v>74</v>
      </c>
      <c r="H4402" s="220" t="str" cm="1">
        <f t="array" ref="H4402">IFERROR(INDEX(INVESTOR_LIST[INVESTOR NAME],MATCH(I4402,INVESTOR_LIST[INVESTOR CODE],0),)," ")</f>
        <v xml:space="preserve"> </v>
      </c>
      <c r="I4402" s="142" t="s">
        <v>348</v>
      </c>
      <c r="J4402" s="143" t="s">
        <v>175</v>
      </c>
      <c r="K4402" s="226">
        <v>1800</v>
      </c>
      <c r="L4402" s="226"/>
    </row>
    <row r="4403" spans="1:15" x14ac:dyDescent="0.2">
      <c r="A4403" s="163">
        <v>2021</v>
      </c>
      <c r="B4403" s="163">
        <v>9</v>
      </c>
      <c r="C4403" s="163">
        <v>22</v>
      </c>
      <c r="D4403" s="141">
        <f t="shared" si="144"/>
        <v>44461</v>
      </c>
      <c r="E4403" s="275">
        <f t="shared" si="145"/>
        <v>44461</v>
      </c>
      <c r="F4403" s="480"/>
      <c r="G4403" s="221" t="s">
        <v>74</v>
      </c>
      <c r="H4403" s="221" t="str" cm="1">
        <f t="array" ref="H4403">IFERROR(INDEX(INVESTOR_LIST[INVESTOR NAME],MATCH(I4403,INVESTOR_LIST[INVESTOR CODE],0),)," ")</f>
        <v xml:space="preserve"> </v>
      </c>
      <c r="I4403" s="145" t="s">
        <v>348</v>
      </c>
      <c r="J4403" s="146" t="s">
        <v>52</v>
      </c>
      <c r="K4403" s="219"/>
      <c r="L4403" s="219">
        <v>1800</v>
      </c>
    </row>
    <row r="4404" spans="1:15" ht="33.75" x14ac:dyDescent="0.2">
      <c r="A4404" s="133">
        <v>2021</v>
      </c>
      <c r="B4404" s="133">
        <v>9</v>
      </c>
      <c r="C4404" s="133">
        <v>22</v>
      </c>
      <c r="D4404" s="141">
        <f t="shared" si="144"/>
        <v>44461</v>
      </c>
      <c r="E4404" s="275">
        <f t="shared" si="145"/>
        <v>44461</v>
      </c>
      <c r="F4404" s="479" t="s">
        <v>965</v>
      </c>
      <c r="G4404" s="174" t="s">
        <v>74</v>
      </c>
      <c r="H4404" s="174" t="str" cm="1">
        <f t="array" ref="H4404">IFERROR(INDEX(INVESTOR_LIST[INVESTOR NAME],MATCH(I4404,INVESTOR_LIST[INVESTOR CODE],0),)," ")</f>
        <v>NITYANANDA BISWAS</v>
      </c>
      <c r="I4404" s="148" t="s">
        <v>749</v>
      </c>
      <c r="J4404" s="149" t="s">
        <v>13</v>
      </c>
      <c r="K4404" s="218">
        <v>112450</v>
      </c>
      <c r="L4404" s="218"/>
    </row>
    <row r="4405" spans="1:15" ht="33.75" x14ac:dyDescent="0.2">
      <c r="A4405" s="133">
        <v>2021</v>
      </c>
      <c r="B4405" s="133">
        <v>9</v>
      </c>
      <c r="C4405" s="133">
        <v>22</v>
      </c>
      <c r="D4405" s="141">
        <f t="shared" si="144"/>
        <v>44461</v>
      </c>
      <c r="E4405" s="275">
        <f t="shared" si="145"/>
        <v>44461</v>
      </c>
      <c r="F4405" s="481"/>
      <c r="G4405" s="174" t="s">
        <v>74</v>
      </c>
      <c r="H4405" s="174" t="str" cm="1">
        <f t="array" ref="H4405">IFERROR(INDEX(INVESTOR_LIST[INVESTOR NAME],MATCH(I4405,INVESTOR_LIST[INVESTOR CODE],0),)," ")</f>
        <v>NITYANANDA BISWAS</v>
      </c>
      <c r="I4405" s="148" t="s">
        <v>749</v>
      </c>
      <c r="J4405" s="149" t="s">
        <v>53</v>
      </c>
      <c r="K4405" s="218">
        <v>57799.21</v>
      </c>
      <c r="L4405" s="218"/>
    </row>
    <row r="4406" spans="1:15" ht="33.75" x14ac:dyDescent="0.2">
      <c r="A4406" s="163">
        <v>2021</v>
      </c>
      <c r="B4406" s="163">
        <v>9</v>
      </c>
      <c r="C4406" s="163">
        <v>22</v>
      </c>
      <c r="D4406" s="141">
        <f t="shared" si="144"/>
        <v>44461</v>
      </c>
      <c r="E4406" s="275">
        <f t="shared" si="145"/>
        <v>44461</v>
      </c>
      <c r="F4406" s="480"/>
      <c r="G4406" s="221" t="s">
        <v>74</v>
      </c>
      <c r="H4406" s="221" t="str" cm="1">
        <f t="array" ref="H4406">IFERROR(INDEX(INVESTOR_LIST[INVESTOR NAME],MATCH(I4406,INVESTOR_LIST[INVESTOR CODE],0),)," ")</f>
        <v>NITYANANDA BISWAS</v>
      </c>
      <c r="I4406" s="145" t="s">
        <v>749</v>
      </c>
      <c r="J4406" s="146" t="s">
        <v>52</v>
      </c>
      <c r="K4406" s="219"/>
      <c r="L4406" s="219">
        <v>170249.21</v>
      </c>
    </row>
    <row r="4407" spans="1:15" ht="22.5" x14ac:dyDescent="0.2">
      <c r="A4407" s="133">
        <v>2021</v>
      </c>
      <c r="B4407" s="133">
        <v>9</v>
      </c>
      <c r="C4407" s="133">
        <v>23</v>
      </c>
      <c r="D4407" s="141">
        <f t="shared" si="144"/>
        <v>44462</v>
      </c>
      <c r="E4407" s="275">
        <f t="shared" si="145"/>
        <v>44462</v>
      </c>
      <c r="F4407" s="479" t="s">
        <v>965</v>
      </c>
      <c r="G4407" s="174" t="s">
        <v>74</v>
      </c>
      <c r="H4407" s="174" t="str" cm="1">
        <f t="array" ref="H4407">IFERROR(INDEX(INVESTOR_LIST[INVESTOR NAME],MATCH(I4407,INVESTOR_LIST[INVESTOR CODE],0),)," ")</f>
        <v>NADIRA AKTER</v>
      </c>
      <c r="I4407" s="148" t="s">
        <v>790</v>
      </c>
      <c r="J4407" s="149" t="s">
        <v>13</v>
      </c>
      <c r="K4407" s="218">
        <v>74910</v>
      </c>
      <c r="L4407" s="218"/>
    </row>
    <row r="4408" spans="1:15" ht="22.5" x14ac:dyDescent="0.2">
      <c r="A4408" s="133">
        <v>2021</v>
      </c>
      <c r="B4408" s="133">
        <v>9</v>
      </c>
      <c r="C4408" s="133">
        <v>23</v>
      </c>
      <c r="D4408" s="141">
        <f t="shared" si="144"/>
        <v>44462</v>
      </c>
      <c r="E4408" s="275">
        <f t="shared" si="145"/>
        <v>44462</v>
      </c>
      <c r="F4408" s="481"/>
      <c r="G4408" s="174" t="s">
        <v>74</v>
      </c>
      <c r="H4408" s="174" t="str" cm="1">
        <f t="array" ref="H4408">IFERROR(INDEX(INVESTOR_LIST[INVESTOR NAME],MATCH(I4408,INVESTOR_LIST[INVESTOR CODE],0),)," ")</f>
        <v>NADIRA AKTER</v>
      </c>
      <c r="I4408" s="148" t="s">
        <v>790</v>
      </c>
      <c r="J4408" s="149" t="s">
        <v>53</v>
      </c>
      <c r="K4408" s="218">
        <v>38503.68</v>
      </c>
      <c r="L4408" s="218"/>
    </row>
    <row r="4409" spans="1:15" ht="22.5" x14ac:dyDescent="0.2">
      <c r="A4409" s="163">
        <v>2021</v>
      </c>
      <c r="B4409" s="163">
        <v>9</v>
      </c>
      <c r="C4409" s="163">
        <v>23</v>
      </c>
      <c r="D4409" s="141">
        <f t="shared" si="144"/>
        <v>44462</v>
      </c>
      <c r="E4409" s="275">
        <f t="shared" si="145"/>
        <v>44462</v>
      </c>
      <c r="F4409" s="480"/>
      <c r="G4409" s="221" t="s">
        <v>74</v>
      </c>
      <c r="H4409" s="221" t="str" cm="1">
        <f t="array" ref="H4409">IFERROR(INDEX(INVESTOR_LIST[INVESTOR NAME],MATCH(I4409,INVESTOR_LIST[INVESTOR CODE],0),)," ")</f>
        <v>NADIRA AKTER</v>
      </c>
      <c r="I4409" s="145" t="s">
        <v>790</v>
      </c>
      <c r="J4409" s="146" t="s">
        <v>52</v>
      </c>
      <c r="K4409" s="219"/>
      <c r="L4409" s="219">
        <v>113413.68</v>
      </c>
    </row>
    <row r="4410" spans="1:15" ht="22.5" x14ac:dyDescent="0.2">
      <c r="A4410" s="133">
        <v>2021</v>
      </c>
      <c r="B4410" s="133">
        <v>9</v>
      </c>
      <c r="C4410" s="133">
        <v>23</v>
      </c>
      <c r="D4410" s="141">
        <f t="shared" si="144"/>
        <v>44462</v>
      </c>
      <c r="E4410" s="275">
        <f t="shared" si="145"/>
        <v>44462</v>
      </c>
      <c r="F4410" s="479" t="s">
        <v>965</v>
      </c>
      <c r="G4410" s="174" t="s">
        <v>74</v>
      </c>
      <c r="H4410" s="174" t="str" cm="1">
        <f t="array" ref="H4410">IFERROR(INDEX(INVESTOR_LIST[INVESTOR NAME],MATCH(I4410,INVESTOR_LIST[INVESTOR CODE],0),)," ")</f>
        <v>IMTIAJ ARA</v>
      </c>
      <c r="I4410" s="148" t="s">
        <v>789</v>
      </c>
      <c r="J4410" s="149" t="s">
        <v>13</v>
      </c>
      <c r="K4410" s="218">
        <v>149810</v>
      </c>
      <c r="L4410" s="218"/>
      <c r="O4410" s="133">
        <v>15.139991697083614</v>
      </c>
    </row>
    <row r="4411" spans="1:15" ht="22.5" x14ac:dyDescent="0.2">
      <c r="A4411" s="133">
        <v>2021</v>
      </c>
      <c r="B4411" s="133">
        <v>9</v>
      </c>
      <c r="C4411" s="133">
        <v>23</v>
      </c>
      <c r="D4411" s="141">
        <f t="shared" si="144"/>
        <v>44462</v>
      </c>
      <c r="E4411" s="275">
        <f t="shared" si="145"/>
        <v>44462</v>
      </c>
      <c r="F4411" s="481"/>
      <c r="G4411" s="174" t="s">
        <v>74</v>
      </c>
      <c r="H4411" s="174" t="str" cm="1">
        <f t="array" ref="H4411">IFERROR(INDEX(INVESTOR_LIST[INVESTOR NAME],MATCH(I4411,INVESTOR_LIST[INVESTOR CODE],0),)," ")</f>
        <v>IMTIAJ ARA</v>
      </c>
      <c r="I4411" s="148" t="s">
        <v>789</v>
      </c>
      <c r="J4411" s="149" t="s">
        <v>53</v>
      </c>
      <c r="K4411" s="218">
        <v>77002.22</v>
      </c>
      <c r="L4411" s="218"/>
    </row>
    <row r="4412" spans="1:15" ht="22.5" x14ac:dyDescent="0.2">
      <c r="A4412" s="163">
        <v>2021</v>
      </c>
      <c r="B4412" s="163">
        <v>9</v>
      </c>
      <c r="C4412" s="163">
        <v>23</v>
      </c>
      <c r="D4412" s="141">
        <f t="shared" si="144"/>
        <v>44462</v>
      </c>
      <c r="E4412" s="275">
        <f t="shared" si="145"/>
        <v>44462</v>
      </c>
      <c r="F4412" s="480"/>
      <c r="G4412" s="221" t="s">
        <v>74</v>
      </c>
      <c r="H4412" s="221" t="str" cm="1">
        <f t="array" ref="H4412">IFERROR(INDEX(INVESTOR_LIST[INVESTOR NAME],MATCH(I4412,INVESTOR_LIST[INVESTOR CODE],0),)," ")</f>
        <v>IMTIAJ ARA</v>
      </c>
      <c r="I4412" s="145" t="s">
        <v>789</v>
      </c>
      <c r="J4412" s="146" t="s">
        <v>52</v>
      </c>
      <c r="K4412" s="219"/>
      <c r="L4412" s="219">
        <v>226812.22</v>
      </c>
      <c r="N4412" s="156">
        <v>2832.7485812466721</v>
      </c>
      <c r="O4412" s="160"/>
    </row>
    <row r="4413" spans="1:15" x14ac:dyDescent="0.2">
      <c r="A4413" s="168">
        <v>2021</v>
      </c>
      <c r="B4413" s="168">
        <v>9</v>
      </c>
      <c r="C4413" s="168">
        <v>23</v>
      </c>
      <c r="D4413" s="141">
        <f t="shared" si="144"/>
        <v>44462</v>
      </c>
      <c r="E4413" s="275">
        <f t="shared" si="145"/>
        <v>44462</v>
      </c>
      <c r="F4413" s="479" t="s">
        <v>909</v>
      </c>
      <c r="G4413" s="220" t="s">
        <v>94</v>
      </c>
      <c r="H4413" s="220" t="str" cm="1">
        <f t="array" ref="H4413">IFERROR(INDEX(INVESTOR_LIST[INVESTOR NAME],MATCH(I4413,INVESTOR_LIST[INVESTOR CODE],0),)," ")</f>
        <v xml:space="preserve"> </v>
      </c>
      <c r="I4413" s="142" t="s">
        <v>348</v>
      </c>
      <c r="J4413" s="143" t="s">
        <v>79</v>
      </c>
      <c r="K4413" s="226">
        <v>6634095.7000000002</v>
      </c>
      <c r="L4413" s="226"/>
    </row>
    <row r="4414" spans="1:15" x14ac:dyDescent="0.2">
      <c r="A4414" s="133">
        <v>2021</v>
      </c>
      <c r="B4414" s="133">
        <v>9</v>
      </c>
      <c r="C4414" s="133">
        <v>23</v>
      </c>
      <c r="D4414" s="141">
        <f t="shared" si="144"/>
        <v>44462</v>
      </c>
      <c r="E4414" s="275">
        <f t="shared" si="145"/>
        <v>44462</v>
      </c>
      <c r="F4414" s="481"/>
      <c r="G4414" s="174" t="s">
        <v>94</v>
      </c>
      <c r="H4414" s="174" t="str" cm="1">
        <f t="array" ref="H4414">IFERROR(INDEX(INVESTOR_LIST[INVESTOR NAME],MATCH(I4414,INVESTOR_LIST[INVESTOR CODE],0),)," ")</f>
        <v xml:space="preserve"> </v>
      </c>
      <c r="I4414" s="148" t="s">
        <v>348</v>
      </c>
      <c r="J4414" s="149" t="s">
        <v>80</v>
      </c>
      <c r="K4414" s="218">
        <f>11941.37+2133.9</f>
        <v>14075.27</v>
      </c>
      <c r="L4414" s="218"/>
    </row>
    <row r="4415" spans="1:15" x14ac:dyDescent="0.2">
      <c r="A4415" s="133">
        <v>2021</v>
      </c>
      <c r="B4415" s="133">
        <v>9</v>
      </c>
      <c r="C4415" s="133">
        <v>23</v>
      </c>
      <c r="D4415" s="141">
        <f t="shared" si="144"/>
        <v>44462</v>
      </c>
      <c r="E4415" s="275">
        <f t="shared" si="145"/>
        <v>44462</v>
      </c>
      <c r="F4415" s="481"/>
      <c r="G4415" s="174" t="s">
        <v>94</v>
      </c>
      <c r="H4415" s="174" t="str" cm="1">
        <f t="array" ref="H4415">IFERROR(INDEX(INVESTOR_LIST[INVESTOR NAME],MATCH(I4415,INVESTOR_LIST[INVESTOR CODE],0),)," ")</f>
        <v xml:space="preserve"> </v>
      </c>
      <c r="I4415" s="148" t="s">
        <v>348</v>
      </c>
      <c r="J4415" s="149" t="s">
        <v>191</v>
      </c>
      <c r="K4415" s="218">
        <v>74490.399999999994</v>
      </c>
      <c r="L4415" s="218"/>
      <c r="N4415" s="156">
        <v>30121.000006086164</v>
      </c>
    </row>
    <row r="4416" spans="1:15" x14ac:dyDescent="0.2">
      <c r="A4416" s="133">
        <v>2021</v>
      </c>
      <c r="B4416" s="133">
        <v>9</v>
      </c>
      <c r="C4416" s="133">
        <v>23</v>
      </c>
      <c r="D4416" s="141">
        <f t="shared" si="144"/>
        <v>44462</v>
      </c>
      <c r="E4416" s="275">
        <f t="shared" si="145"/>
        <v>44462</v>
      </c>
      <c r="F4416" s="481"/>
      <c r="G4416" s="174" t="s">
        <v>94</v>
      </c>
      <c r="H4416" s="174" t="str" cm="1">
        <f t="array" ref="H4416">IFERROR(INDEX(INVESTOR_LIST[INVESTOR NAME],MATCH(I4416,INVESTOR_LIST[INVESTOR CODE],0),)," ")</f>
        <v xml:space="preserve"> </v>
      </c>
      <c r="I4416" s="148" t="s">
        <v>348</v>
      </c>
      <c r="J4416" s="149" t="s">
        <v>147</v>
      </c>
      <c r="K4416" s="218"/>
      <c r="L4416" s="218">
        <v>5462670.9699999997</v>
      </c>
    </row>
    <row r="4417" spans="1:14" x14ac:dyDescent="0.2">
      <c r="A4417" s="163">
        <v>2021</v>
      </c>
      <c r="B4417" s="163">
        <v>9</v>
      </c>
      <c r="C4417" s="163">
        <v>23</v>
      </c>
      <c r="D4417" s="141">
        <f t="shared" si="144"/>
        <v>44462</v>
      </c>
      <c r="E4417" s="275">
        <f t="shared" si="145"/>
        <v>44462</v>
      </c>
      <c r="F4417" s="480"/>
      <c r="G4417" s="221" t="s">
        <v>94</v>
      </c>
      <c r="H4417" s="145" t="str" cm="1">
        <f t="array" ref="H4417">IFERROR(INDEX(INVESTOR_LIST[INVESTOR NAME],MATCH(I4417,INVESTOR_LIST[INVESTOR CODE],0),)," ")</f>
        <v xml:space="preserve"> </v>
      </c>
      <c r="I4417" s="145"/>
      <c r="J4417" s="163" t="s">
        <v>79</v>
      </c>
      <c r="K4417" s="219"/>
      <c r="L4417" s="219">
        <v>1259990.3999999999</v>
      </c>
    </row>
    <row r="4418" spans="1:14" ht="33.75" x14ac:dyDescent="0.2">
      <c r="A4418" s="133">
        <v>2021</v>
      </c>
      <c r="B4418" s="133">
        <v>9</v>
      </c>
      <c r="C4418" s="133">
        <v>23</v>
      </c>
      <c r="D4418" s="141">
        <f t="shared" si="144"/>
        <v>44462</v>
      </c>
      <c r="E4418" s="275">
        <f t="shared" si="145"/>
        <v>44462</v>
      </c>
      <c r="F4418" s="479" t="s">
        <v>965</v>
      </c>
      <c r="G4418" s="174" t="s">
        <v>74</v>
      </c>
      <c r="H4418" s="174" t="str" cm="1">
        <f t="array" ref="H4418">IFERROR(INDEX(INVESTOR_LIST[INVESTOR NAME],MATCH(I4418,INVESTOR_LIST[INVESTOR CODE],0),)," ")</f>
        <v>JHARNA RANI SAHA</v>
      </c>
      <c r="I4418" s="148" t="s">
        <v>445</v>
      </c>
      <c r="J4418" s="149" t="s">
        <v>13</v>
      </c>
      <c r="K4418" s="218">
        <v>28330</v>
      </c>
      <c r="L4418" s="218"/>
      <c r="N4418" s="156">
        <f>L4426/O4410</f>
        <v>50000.000339882565</v>
      </c>
    </row>
    <row r="4419" spans="1:14" ht="33.75" x14ac:dyDescent="0.2">
      <c r="A4419" s="133">
        <v>2021</v>
      </c>
      <c r="B4419" s="133">
        <v>9</v>
      </c>
      <c r="C4419" s="133">
        <v>23</v>
      </c>
      <c r="D4419" s="141">
        <f t="shared" si="144"/>
        <v>44462</v>
      </c>
      <c r="E4419" s="275">
        <f t="shared" si="145"/>
        <v>44462</v>
      </c>
      <c r="F4419" s="481"/>
      <c r="G4419" s="174" t="s">
        <v>74</v>
      </c>
      <c r="H4419" s="174" t="str" cm="1">
        <f t="array" ref="H4419">IFERROR(INDEX(INVESTOR_LIST[INVESTOR NAME],MATCH(I4419,INVESTOR_LIST[INVESTOR CODE],0),)," ")</f>
        <v>JHARNA RANI SAHA</v>
      </c>
      <c r="I4419" s="148" t="s">
        <v>445</v>
      </c>
      <c r="J4419" s="149" t="s">
        <v>53</v>
      </c>
      <c r="K4419" s="218">
        <v>14557.79</v>
      </c>
      <c r="L4419" s="218"/>
    </row>
    <row r="4420" spans="1:14" ht="33.75" x14ac:dyDescent="0.2">
      <c r="A4420" s="163">
        <v>2021</v>
      </c>
      <c r="B4420" s="163">
        <v>9</v>
      </c>
      <c r="C4420" s="163">
        <v>23</v>
      </c>
      <c r="D4420" s="141">
        <f t="shared" si="144"/>
        <v>44462</v>
      </c>
      <c r="E4420" s="275">
        <f t="shared" si="145"/>
        <v>44462</v>
      </c>
      <c r="F4420" s="480"/>
      <c r="G4420" s="221" t="s">
        <v>74</v>
      </c>
      <c r="H4420" s="221" t="str" cm="1">
        <f t="array" ref="H4420">IFERROR(INDEX(INVESTOR_LIST[INVESTOR NAME],MATCH(I4420,INVESTOR_LIST[INVESTOR CODE],0),)," ")</f>
        <v>JHARNA RANI SAHA</v>
      </c>
      <c r="I4420" s="145" t="s">
        <v>445</v>
      </c>
      <c r="J4420" s="146" t="s">
        <v>52</v>
      </c>
      <c r="K4420" s="219"/>
      <c r="L4420" s="219">
        <v>42887.79</v>
      </c>
    </row>
    <row r="4421" spans="1:14" ht="45" x14ac:dyDescent="0.2">
      <c r="A4421" s="133">
        <v>2021</v>
      </c>
      <c r="B4421" s="133">
        <v>9</v>
      </c>
      <c r="C4421" s="133">
        <v>23</v>
      </c>
      <c r="D4421" s="141">
        <f t="shared" si="144"/>
        <v>44462</v>
      </c>
      <c r="E4421" s="275">
        <f t="shared" si="145"/>
        <v>44462</v>
      </c>
      <c r="F4421" s="479" t="s">
        <v>965</v>
      </c>
      <c r="G4421" s="174" t="s">
        <v>74</v>
      </c>
      <c r="H4421" s="174" t="str" cm="1">
        <f t="array" ref="H4421">IFERROR(INDEX(INVESTOR_LIST[INVESTOR NAME],MATCH(I4421,INVESTOR_LIST[INVESTOR CODE],0),)," ")</f>
        <v>MD. WALID - AL - ZUBAYER</v>
      </c>
      <c r="I4421" s="148" t="s">
        <v>764</v>
      </c>
      <c r="J4421" s="149" t="s">
        <v>13</v>
      </c>
      <c r="K4421" s="218">
        <v>301210</v>
      </c>
      <c r="L4421" s="218"/>
      <c r="N4421" s="156">
        <f>L4429/O4410</f>
        <v>51890.00005537198</v>
      </c>
    </row>
    <row r="4422" spans="1:14" ht="45" x14ac:dyDescent="0.2">
      <c r="A4422" s="133">
        <v>2021</v>
      </c>
      <c r="B4422" s="133">
        <v>9</v>
      </c>
      <c r="C4422" s="133">
        <v>23</v>
      </c>
      <c r="D4422" s="141">
        <f t="shared" si="144"/>
        <v>44462</v>
      </c>
      <c r="E4422" s="275">
        <f t="shared" si="145"/>
        <v>44462</v>
      </c>
      <c r="F4422" s="481"/>
      <c r="G4422" s="174" t="s">
        <v>74</v>
      </c>
      <c r="H4422" s="174" t="str" cm="1">
        <f t="array" ref="H4422">IFERROR(INDEX(INVESTOR_LIST[INVESTOR NAME],MATCH(I4422,INVESTOR_LIST[INVESTOR CODE],0),)," ")</f>
        <v>MD. WALID - AL - ZUBAYER</v>
      </c>
      <c r="I4422" s="148" t="s">
        <v>764</v>
      </c>
      <c r="J4422" s="149" t="s">
        <v>53</v>
      </c>
      <c r="K4422" s="218">
        <v>154821.69</v>
      </c>
      <c r="L4422" s="218"/>
      <c r="N4422" s="156"/>
    </row>
    <row r="4423" spans="1:14" ht="45" x14ac:dyDescent="0.2">
      <c r="A4423" s="163">
        <v>2021</v>
      </c>
      <c r="B4423" s="163">
        <v>9</v>
      </c>
      <c r="C4423" s="163">
        <v>23</v>
      </c>
      <c r="D4423" s="141">
        <f t="shared" si="144"/>
        <v>44462</v>
      </c>
      <c r="E4423" s="275">
        <f t="shared" si="145"/>
        <v>44462</v>
      </c>
      <c r="F4423" s="480"/>
      <c r="G4423" s="221" t="s">
        <v>74</v>
      </c>
      <c r="H4423" s="221" t="str" cm="1">
        <f t="array" ref="H4423">IFERROR(INDEX(INVESTOR_LIST[INVESTOR NAME],MATCH(I4423,INVESTOR_LIST[INVESTOR CODE],0),)," ")</f>
        <v>MD. WALID - AL - ZUBAYER</v>
      </c>
      <c r="I4423" s="145" t="s">
        <v>764</v>
      </c>
      <c r="J4423" s="146" t="s">
        <v>52</v>
      </c>
      <c r="K4423" s="219"/>
      <c r="L4423" s="219">
        <v>456031.69</v>
      </c>
      <c r="N4423" s="156"/>
    </row>
    <row r="4424" spans="1:14" ht="45" x14ac:dyDescent="0.2">
      <c r="A4424" s="133">
        <v>2021</v>
      </c>
      <c r="B4424" s="133">
        <v>9</v>
      </c>
      <c r="C4424" s="133">
        <v>23</v>
      </c>
      <c r="D4424" s="141">
        <f t="shared" si="144"/>
        <v>44462</v>
      </c>
      <c r="E4424" s="275">
        <f t="shared" si="145"/>
        <v>44462</v>
      </c>
      <c r="F4424" s="479" t="s">
        <v>965</v>
      </c>
      <c r="G4424" s="174" t="s">
        <v>74</v>
      </c>
      <c r="H4424" s="174" t="str" cm="1">
        <f t="array" ref="H4424">IFERROR(INDEX(INVESTOR_LIST[INVESTOR NAME],MATCH(I4424,INVESTOR_LIST[INVESTOR CODE],0),)," ")</f>
        <v>MOHAMMAD HABIB RASHID</v>
      </c>
      <c r="I4424" s="148" t="s">
        <v>550</v>
      </c>
      <c r="J4424" s="149" t="s">
        <v>13</v>
      </c>
      <c r="K4424" s="218">
        <v>500000</v>
      </c>
      <c r="L4424" s="218"/>
      <c r="N4424" s="156"/>
    </row>
    <row r="4425" spans="1:14" ht="45" x14ac:dyDescent="0.2">
      <c r="A4425" s="133">
        <v>2021</v>
      </c>
      <c r="B4425" s="133">
        <v>9</v>
      </c>
      <c r="C4425" s="133">
        <v>23</v>
      </c>
      <c r="D4425" s="141">
        <f t="shared" si="144"/>
        <v>44462</v>
      </c>
      <c r="E4425" s="275">
        <f t="shared" si="145"/>
        <v>44462</v>
      </c>
      <c r="F4425" s="481"/>
      <c r="G4425" s="174" t="s">
        <v>74</v>
      </c>
      <c r="H4425" s="174" t="str" cm="1">
        <f t="array" ref="H4425">IFERROR(INDEX(INVESTOR_LIST[INVESTOR NAME],MATCH(I4425,INVESTOR_LIST[INVESTOR CODE],0),)," ")</f>
        <v>MOHAMMAD HABIB RASHID</v>
      </c>
      <c r="I4425" s="148" t="s">
        <v>550</v>
      </c>
      <c r="J4425" s="149" t="s">
        <v>53</v>
      </c>
      <c r="K4425" s="218">
        <v>256999.59</v>
      </c>
      <c r="L4425" s="218"/>
      <c r="N4425" s="156"/>
    </row>
    <row r="4426" spans="1:14" ht="45" x14ac:dyDescent="0.2">
      <c r="A4426" s="163">
        <v>2021</v>
      </c>
      <c r="B4426" s="163">
        <v>9</v>
      </c>
      <c r="C4426" s="163">
        <v>23</v>
      </c>
      <c r="D4426" s="141">
        <f t="shared" si="144"/>
        <v>44462</v>
      </c>
      <c r="E4426" s="275">
        <f t="shared" si="145"/>
        <v>44462</v>
      </c>
      <c r="F4426" s="480"/>
      <c r="G4426" s="221" t="s">
        <v>74</v>
      </c>
      <c r="H4426" s="221" t="str" cm="1">
        <f t="array" ref="H4426">IFERROR(INDEX(INVESTOR_LIST[INVESTOR NAME],MATCH(I4426,INVESTOR_LIST[INVESTOR CODE],0),)," ")</f>
        <v>MOHAMMAD HABIB RASHID</v>
      </c>
      <c r="I4426" s="145" t="s">
        <v>550</v>
      </c>
      <c r="J4426" s="146" t="s">
        <v>52</v>
      </c>
      <c r="K4426" s="219"/>
      <c r="L4426" s="219">
        <v>756999.59</v>
      </c>
      <c r="N4426" s="156"/>
    </row>
    <row r="4427" spans="1:14" ht="33.75" x14ac:dyDescent="0.2">
      <c r="A4427" s="133">
        <v>2021</v>
      </c>
      <c r="B4427" s="133">
        <v>9</v>
      </c>
      <c r="C4427" s="133">
        <v>23</v>
      </c>
      <c r="D4427" s="141">
        <f t="shared" si="144"/>
        <v>44462</v>
      </c>
      <c r="E4427" s="275">
        <f t="shared" si="145"/>
        <v>44462</v>
      </c>
      <c r="F4427" s="479" t="s">
        <v>965</v>
      </c>
      <c r="G4427" s="174" t="s">
        <v>74</v>
      </c>
      <c r="H4427" s="174" t="str" cm="1">
        <f t="array" ref="H4427">IFERROR(INDEX(INVESTOR_LIST[INVESTOR NAME],MATCH(I4427,INVESTOR_LIST[INVESTOR CODE],0),)," ")</f>
        <v>GOURI TOSH PAUL</v>
      </c>
      <c r="I4427" s="148" t="s">
        <v>819</v>
      </c>
      <c r="J4427" s="149" t="s">
        <v>13</v>
      </c>
      <c r="K4427" s="218">
        <v>518900</v>
      </c>
      <c r="L4427" s="218"/>
      <c r="N4427" s="156">
        <f>L4435/O4410</f>
        <v>43662.000166574413</v>
      </c>
    </row>
    <row r="4428" spans="1:14" ht="33.75" x14ac:dyDescent="0.2">
      <c r="A4428" s="133">
        <v>2021</v>
      </c>
      <c r="B4428" s="133">
        <v>9</v>
      </c>
      <c r="C4428" s="133">
        <v>23</v>
      </c>
      <c r="D4428" s="141">
        <f t="shared" si="144"/>
        <v>44462</v>
      </c>
      <c r="E4428" s="275">
        <f t="shared" si="145"/>
        <v>44462</v>
      </c>
      <c r="F4428" s="481"/>
      <c r="G4428" s="174" t="s">
        <v>74</v>
      </c>
      <c r="H4428" s="174" t="str" cm="1">
        <f t="array" ref="H4428">IFERROR(INDEX(INVESTOR_LIST[INVESTOR NAME],MATCH(I4428,INVESTOR_LIST[INVESTOR CODE],0),)," ")</f>
        <v>GOURI TOSH PAUL</v>
      </c>
      <c r="I4428" s="148" t="s">
        <v>819</v>
      </c>
      <c r="J4428" s="149" t="s">
        <v>53</v>
      </c>
      <c r="K4428" s="218">
        <v>266714.17</v>
      </c>
      <c r="L4428" s="218"/>
      <c r="N4428" s="156"/>
    </row>
    <row r="4429" spans="1:14" ht="33.75" x14ac:dyDescent="0.2">
      <c r="A4429" s="163">
        <v>2021</v>
      </c>
      <c r="B4429" s="163">
        <v>9</v>
      </c>
      <c r="C4429" s="163">
        <v>23</v>
      </c>
      <c r="D4429" s="141">
        <f t="shared" si="144"/>
        <v>44462</v>
      </c>
      <c r="E4429" s="275">
        <f t="shared" si="145"/>
        <v>44462</v>
      </c>
      <c r="F4429" s="480"/>
      <c r="G4429" s="221" t="s">
        <v>74</v>
      </c>
      <c r="H4429" s="221" t="str" cm="1">
        <f t="array" ref="H4429">IFERROR(INDEX(INVESTOR_LIST[INVESTOR NAME],MATCH(I4429,INVESTOR_LIST[INVESTOR CODE],0),)," ")</f>
        <v>GOURI TOSH PAUL</v>
      </c>
      <c r="I4429" s="145" t="s">
        <v>819</v>
      </c>
      <c r="J4429" s="146" t="s">
        <v>52</v>
      </c>
      <c r="K4429" s="219"/>
      <c r="L4429" s="219">
        <v>785614.17</v>
      </c>
      <c r="N4429" s="156"/>
    </row>
    <row r="4430" spans="1:14" ht="33.75" x14ac:dyDescent="0.2">
      <c r="A4430" s="133">
        <v>2021</v>
      </c>
      <c r="B4430" s="133">
        <v>9</v>
      </c>
      <c r="C4430" s="133">
        <v>23</v>
      </c>
      <c r="D4430" s="141">
        <f t="shared" ref="D4430:D4493" si="146">DATE(A4430,B4430,C4430)</f>
        <v>44462</v>
      </c>
      <c r="E4430" s="275">
        <f t="shared" si="145"/>
        <v>44462</v>
      </c>
      <c r="F4430" s="479" t="s">
        <v>965</v>
      </c>
      <c r="G4430" s="174" t="s">
        <v>74</v>
      </c>
      <c r="H4430" s="174" t="str" cm="1">
        <f t="array" ref="H4430">IFERROR(INDEX(INVESTOR_LIST[INVESTOR NAME],MATCH(I4430,INVESTOR_LIST[INVESTOR CODE],0),)," ")</f>
        <v>AKASH DEEP PAUL</v>
      </c>
      <c r="I4430" s="148" t="s">
        <v>471</v>
      </c>
      <c r="J4430" s="149" t="s">
        <v>13</v>
      </c>
      <c r="K4430" s="218">
        <v>740490</v>
      </c>
      <c r="L4430" s="218"/>
      <c r="N4430" s="156">
        <f>L4438/O4410</f>
        <v>33138.000339633159</v>
      </c>
    </row>
    <row r="4431" spans="1:14" ht="33.75" x14ac:dyDescent="0.2">
      <c r="A4431" s="133">
        <v>2021</v>
      </c>
      <c r="B4431" s="133">
        <v>9</v>
      </c>
      <c r="C4431" s="133">
        <v>23</v>
      </c>
      <c r="D4431" s="141">
        <f t="shared" si="146"/>
        <v>44462</v>
      </c>
      <c r="E4431" s="275">
        <f t="shared" ref="E4431:E4494" si="147">DATE(A4431,B4431,C4431)</f>
        <v>44462</v>
      </c>
      <c r="F4431" s="481"/>
      <c r="G4431" s="174" t="s">
        <v>74</v>
      </c>
      <c r="H4431" s="174" t="str" cm="1">
        <f t="array" ref="H4431">IFERROR(INDEX(INVESTOR_LIST[INVESTOR NAME],MATCH(I4431,INVESTOR_LIST[INVESTOR CODE],0),)," ")</f>
        <v>AKASH DEEP PAUL</v>
      </c>
      <c r="I4431" s="148" t="s">
        <v>471</v>
      </c>
      <c r="J4431" s="149" t="s">
        <v>53</v>
      </c>
      <c r="K4431" s="218">
        <v>380611.25</v>
      </c>
      <c r="L4431" s="218"/>
      <c r="N4431" s="156"/>
    </row>
    <row r="4432" spans="1:14" ht="33.75" x14ac:dyDescent="0.2">
      <c r="A4432" s="163">
        <v>2021</v>
      </c>
      <c r="B4432" s="163">
        <v>9</v>
      </c>
      <c r="C4432" s="163">
        <v>23</v>
      </c>
      <c r="D4432" s="141">
        <f t="shared" si="146"/>
        <v>44462</v>
      </c>
      <c r="E4432" s="275">
        <f t="shared" si="147"/>
        <v>44462</v>
      </c>
      <c r="F4432" s="480"/>
      <c r="G4432" s="221" t="s">
        <v>74</v>
      </c>
      <c r="H4432" s="221" t="str" cm="1">
        <f t="array" ref="H4432">IFERROR(INDEX(INVESTOR_LIST[INVESTOR NAME],MATCH(I4432,INVESTOR_LIST[INVESTOR CODE],0),)," ")</f>
        <v>AKASH DEEP PAUL</v>
      </c>
      <c r="I4432" s="145" t="s">
        <v>471</v>
      </c>
      <c r="J4432" s="146" t="s">
        <v>52</v>
      </c>
      <c r="K4432" s="219"/>
      <c r="L4432" s="219">
        <v>1121101.25</v>
      </c>
      <c r="N4432" s="156"/>
    </row>
    <row r="4433" spans="1:14" ht="33.75" x14ac:dyDescent="0.2">
      <c r="A4433" s="133">
        <v>2021</v>
      </c>
      <c r="B4433" s="133">
        <v>9</v>
      </c>
      <c r="C4433" s="133">
        <v>23</v>
      </c>
      <c r="D4433" s="141">
        <f t="shared" si="146"/>
        <v>44462</v>
      </c>
      <c r="E4433" s="275">
        <f t="shared" si="147"/>
        <v>44462</v>
      </c>
      <c r="F4433" s="479" t="s">
        <v>965</v>
      </c>
      <c r="G4433" s="174" t="s">
        <v>74</v>
      </c>
      <c r="H4433" s="174" t="str" cm="1">
        <f t="array" ref="H4433">IFERROR(INDEX(INVESTOR_LIST[INVESTOR NAME],MATCH(I4433,INVESTOR_LIST[INVESTOR CODE],0),)," ")</f>
        <v>LILY RANI PAUL</v>
      </c>
      <c r="I4433" s="148" t="s">
        <v>451</v>
      </c>
      <c r="J4433" s="149" t="s">
        <v>13</v>
      </c>
      <c r="K4433" s="218">
        <v>436620</v>
      </c>
      <c r="L4433" s="218"/>
      <c r="N4433" s="156">
        <f>L4441/O4410</f>
        <v>22521.999801735878</v>
      </c>
    </row>
    <row r="4434" spans="1:14" ht="33.75" x14ac:dyDescent="0.2">
      <c r="A4434" s="133">
        <v>2021</v>
      </c>
      <c r="B4434" s="133">
        <v>9</v>
      </c>
      <c r="C4434" s="133">
        <v>23</v>
      </c>
      <c r="D4434" s="141">
        <f t="shared" si="146"/>
        <v>44462</v>
      </c>
      <c r="E4434" s="275">
        <f t="shared" si="147"/>
        <v>44462</v>
      </c>
      <c r="F4434" s="481"/>
      <c r="G4434" s="174" t="s">
        <v>74</v>
      </c>
      <c r="H4434" s="174" t="str" cm="1">
        <f t="array" ref="H4434">IFERROR(INDEX(INVESTOR_LIST[INVESTOR NAME],MATCH(I4434,INVESTOR_LIST[INVESTOR CODE],0),)," ")</f>
        <v>LILY RANI PAUL</v>
      </c>
      <c r="I4434" s="148" t="s">
        <v>451</v>
      </c>
      <c r="J4434" s="149" t="s">
        <v>53</v>
      </c>
      <c r="K4434" s="218">
        <v>224422.32</v>
      </c>
      <c r="L4434" s="218"/>
      <c r="N4434" s="156"/>
    </row>
    <row r="4435" spans="1:14" ht="33.75" x14ac:dyDescent="0.2">
      <c r="A4435" s="163">
        <v>2021</v>
      </c>
      <c r="B4435" s="163">
        <v>9</v>
      </c>
      <c r="C4435" s="163">
        <v>23</v>
      </c>
      <c r="D4435" s="141">
        <f t="shared" si="146"/>
        <v>44462</v>
      </c>
      <c r="E4435" s="275">
        <f t="shared" si="147"/>
        <v>44462</v>
      </c>
      <c r="F4435" s="480"/>
      <c r="G4435" s="221" t="s">
        <v>74</v>
      </c>
      <c r="H4435" s="221" t="str" cm="1">
        <f t="array" ref="H4435">IFERROR(INDEX(INVESTOR_LIST[INVESTOR NAME],MATCH(I4435,INVESTOR_LIST[INVESTOR CODE],0),)," ")</f>
        <v>LILY RANI PAUL</v>
      </c>
      <c r="I4435" s="145" t="s">
        <v>451</v>
      </c>
      <c r="J4435" s="146" t="s">
        <v>52</v>
      </c>
      <c r="K4435" s="219"/>
      <c r="L4435" s="219">
        <v>661042.31999999995</v>
      </c>
      <c r="N4435" s="156"/>
    </row>
    <row r="4436" spans="1:14" ht="33.75" x14ac:dyDescent="0.2">
      <c r="A4436" s="133">
        <v>2021</v>
      </c>
      <c r="B4436" s="133">
        <v>9</v>
      </c>
      <c r="C4436" s="133">
        <v>23</v>
      </c>
      <c r="D4436" s="141">
        <f t="shared" si="146"/>
        <v>44462</v>
      </c>
      <c r="E4436" s="275">
        <f t="shared" si="147"/>
        <v>44462</v>
      </c>
      <c r="F4436" s="479" t="s">
        <v>965</v>
      </c>
      <c r="G4436" s="174" t="s">
        <v>74</v>
      </c>
      <c r="H4436" s="174" t="str" cm="1">
        <f t="array" ref="H4436">IFERROR(INDEX(INVESTOR_LIST[INVESTOR NAME],MATCH(I4436,INVESTOR_LIST[INVESTOR CODE],0),)," ")</f>
        <v>NAUSHEEN AHMED</v>
      </c>
      <c r="I4436" s="148" t="s">
        <v>787</v>
      </c>
      <c r="J4436" s="149" t="s">
        <v>13</v>
      </c>
      <c r="K4436" s="218">
        <v>331380</v>
      </c>
      <c r="L4436" s="218"/>
      <c r="N4436" s="156">
        <f>L4444/O4410</f>
        <v>7507.0001538966044</v>
      </c>
    </row>
    <row r="4437" spans="1:14" ht="33.75" x14ac:dyDescent="0.2">
      <c r="A4437" s="133">
        <v>2021</v>
      </c>
      <c r="B4437" s="133">
        <v>9</v>
      </c>
      <c r="C4437" s="133">
        <v>23</v>
      </c>
      <c r="D4437" s="141">
        <f t="shared" si="146"/>
        <v>44462</v>
      </c>
      <c r="E4437" s="275">
        <f t="shared" si="147"/>
        <v>44462</v>
      </c>
      <c r="F4437" s="481"/>
      <c r="G4437" s="174" t="s">
        <v>74</v>
      </c>
      <c r="H4437" s="174" t="str" cm="1">
        <f t="array" ref="H4437">IFERROR(INDEX(INVESTOR_LIST[INVESTOR NAME],MATCH(I4437,INVESTOR_LIST[INVESTOR CODE],0),)," ")</f>
        <v>NAUSHEEN AHMED</v>
      </c>
      <c r="I4437" s="148" t="s">
        <v>787</v>
      </c>
      <c r="J4437" s="149" t="s">
        <v>53</v>
      </c>
      <c r="K4437" s="218">
        <v>170329.05</v>
      </c>
      <c r="L4437" s="218"/>
    </row>
    <row r="4438" spans="1:14" ht="33.75" x14ac:dyDescent="0.2">
      <c r="A4438" s="163">
        <v>2021</v>
      </c>
      <c r="B4438" s="163">
        <v>9</v>
      </c>
      <c r="C4438" s="163">
        <v>23</v>
      </c>
      <c r="D4438" s="141">
        <f t="shared" si="146"/>
        <v>44462</v>
      </c>
      <c r="E4438" s="275">
        <f t="shared" si="147"/>
        <v>44462</v>
      </c>
      <c r="F4438" s="480"/>
      <c r="G4438" s="221" t="s">
        <v>74</v>
      </c>
      <c r="H4438" s="221" t="str" cm="1">
        <f t="array" ref="H4438">IFERROR(INDEX(INVESTOR_LIST[INVESTOR NAME],MATCH(I4438,INVESTOR_LIST[INVESTOR CODE],0),)," ")</f>
        <v>NAUSHEEN AHMED</v>
      </c>
      <c r="I4438" s="145" t="s">
        <v>787</v>
      </c>
      <c r="J4438" s="146" t="s">
        <v>52</v>
      </c>
      <c r="K4438" s="219"/>
      <c r="L4438" s="219">
        <v>501709.05</v>
      </c>
    </row>
    <row r="4439" spans="1:14" ht="45" x14ac:dyDescent="0.2">
      <c r="A4439" s="133">
        <v>2021</v>
      </c>
      <c r="B4439" s="133">
        <v>9</v>
      </c>
      <c r="C4439" s="133">
        <v>23</v>
      </c>
      <c r="D4439" s="141">
        <f t="shared" si="146"/>
        <v>44462</v>
      </c>
      <c r="E4439" s="275">
        <f t="shared" si="147"/>
        <v>44462</v>
      </c>
      <c r="F4439" s="479" t="s">
        <v>965</v>
      </c>
      <c r="G4439" s="174" t="s">
        <v>74</v>
      </c>
      <c r="H4439" s="174" t="str" cm="1">
        <f t="array" ref="H4439">IFERROR(INDEX(INVESTOR_LIST[INVESTOR NAME],MATCH(I4439,INVESTOR_LIST[INVESTOR CODE],0),)," ")</f>
        <v>MD. WALID - AL - ZUBAYER</v>
      </c>
      <c r="I4439" s="148" t="s">
        <v>764</v>
      </c>
      <c r="J4439" s="149" t="s">
        <v>13</v>
      </c>
      <c r="K4439" s="218">
        <v>225220</v>
      </c>
      <c r="L4439" s="218"/>
    </row>
    <row r="4440" spans="1:14" ht="45" x14ac:dyDescent="0.2">
      <c r="A4440" s="133">
        <v>2021</v>
      </c>
      <c r="B4440" s="133">
        <v>9</v>
      </c>
      <c r="C4440" s="133">
        <v>23</v>
      </c>
      <c r="D4440" s="141">
        <f t="shared" si="146"/>
        <v>44462</v>
      </c>
      <c r="E4440" s="275">
        <f t="shared" si="147"/>
        <v>44462</v>
      </c>
      <c r="F4440" s="481"/>
      <c r="G4440" s="174" t="s">
        <v>74</v>
      </c>
      <c r="H4440" s="174" t="str" cm="1">
        <f t="array" ref="H4440">IFERROR(INDEX(INVESTOR_LIST[INVESTOR NAME],MATCH(I4440,INVESTOR_LIST[INVESTOR CODE],0),)," ")</f>
        <v>MD. WALID - AL - ZUBAYER</v>
      </c>
      <c r="I4440" s="148" t="s">
        <v>764</v>
      </c>
      <c r="J4440" s="149" t="s">
        <v>53</v>
      </c>
      <c r="K4440" s="218">
        <v>115762.89</v>
      </c>
      <c r="L4440" s="218"/>
    </row>
    <row r="4441" spans="1:14" ht="45" x14ac:dyDescent="0.2">
      <c r="A4441" s="163">
        <v>2021</v>
      </c>
      <c r="B4441" s="163">
        <v>9</v>
      </c>
      <c r="C4441" s="163">
        <v>23</v>
      </c>
      <c r="D4441" s="141">
        <f t="shared" si="146"/>
        <v>44462</v>
      </c>
      <c r="E4441" s="275">
        <f t="shared" si="147"/>
        <v>44462</v>
      </c>
      <c r="F4441" s="480"/>
      <c r="G4441" s="221" t="s">
        <v>74</v>
      </c>
      <c r="H4441" s="221" t="str" cm="1">
        <f t="array" ref="H4441">IFERROR(INDEX(INVESTOR_LIST[INVESTOR NAME],MATCH(I4441,INVESTOR_LIST[INVESTOR CODE],0),)," ")</f>
        <v>MD. WALID - AL - ZUBAYER</v>
      </c>
      <c r="I4441" s="145" t="s">
        <v>764</v>
      </c>
      <c r="J4441" s="146" t="s">
        <v>52</v>
      </c>
      <c r="K4441" s="219"/>
      <c r="L4441" s="219">
        <v>340982.89</v>
      </c>
    </row>
    <row r="4442" spans="1:14" ht="33.75" x14ac:dyDescent="0.2">
      <c r="A4442" s="133">
        <v>2021</v>
      </c>
      <c r="B4442" s="133">
        <v>9</v>
      </c>
      <c r="C4442" s="133">
        <v>23</v>
      </c>
      <c r="D4442" s="141">
        <f t="shared" si="146"/>
        <v>44462</v>
      </c>
      <c r="E4442" s="275">
        <f t="shared" si="147"/>
        <v>44462</v>
      </c>
      <c r="F4442" s="479" t="s">
        <v>965</v>
      </c>
      <c r="G4442" s="174" t="s">
        <v>74</v>
      </c>
      <c r="H4442" s="174" t="str" cm="1">
        <f t="array" ref="H4442">IFERROR(INDEX(INVESTOR_LIST[INVESTOR NAME],MATCH(I4442,INVESTOR_LIST[INVESTOR CODE],0),)," ")</f>
        <v>JAHAN ARA BEGUM</v>
      </c>
      <c r="I4442" s="148" t="s">
        <v>803</v>
      </c>
      <c r="J4442" s="149" t="s">
        <v>13</v>
      </c>
      <c r="K4442" s="218">
        <v>75070</v>
      </c>
      <c r="L4442" s="218"/>
    </row>
    <row r="4443" spans="1:14" ht="33.75" x14ac:dyDescent="0.2">
      <c r="A4443" s="133">
        <v>2021</v>
      </c>
      <c r="B4443" s="133">
        <v>9</v>
      </c>
      <c r="C4443" s="133">
        <v>23</v>
      </c>
      <c r="D4443" s="141">
        <f t="shared" si="146"/>
        <v>44462</v>
      </c>
      <c r="E4443" s="275">
        <f t="shared" si="147"/>
        <v>44462</v>
      </c>
      <c r="F4443" s="481"/>
      <c r="G4443" s="174" t="s">
        <v>74</v>
      </c>
      <c r="H4443" s="174" t="str" cm="1">
        <f t="array" ref="H4443">IFERROR(INDEX(INVESTOR_LIST[INVESTOR NAME],MATCH(I4443,INVESTOR_LIST[INVESTOR CODE],0),)," ")</f>
        <v>JAHAN ARA BEGUM</v>
      </c>
      <c r="I4443" s="148" t="s">
        <v>803</v>
      </c>
      <c r="J4443" s="149" t="s">
        <v>53</v>
      </c>
      <c r="K4443" s="218">
        <v>38585.919999999998</v>
      </c>
      <c r="L4443" s="218"/>
    </row>
    <row r="4444" spans="1:14" ht="33.75" x14ac:dyDescent="0.2">
      <c r="A4444" s="163">
        <v>2021</v>
      </c>
      <c r="B4444" s="163">
        <v>9</v>
      </c>
      <c r="C4444" s="163">
        <v>23</v>
      </c>
      <c r="D4444" s="141">
        <f t="shared" si="146"/>
        <v>44462</v>
      </c>
      <c r="E4444" s="275">
        <f t="shared" si="147"/>
        <v>44462</v>
      </c>
      <c r="F4444" s="480"/>
      <c r="G4444" s="221" t="s">
        <v>74</v>
      </c>
      <c r="H4444" s="221" t="str" cm="1">
        <f t="array" ref="H4444">IFERROR(INDEX(INVESTOR_LIST[INVESTOR NAME],MATCH(I4444,INVESTOR_LIST[INVESTOR CODE],0),)," ")</f>
        <v>JAHAN ARA BEGUM</v>
      </c>
      <c r="I4444" s="145" t="s">
        <v>803</v>
      </c>
      <c r="J4444" s="146" t="s">
        <v>52</v>
      </c>
      <c r="K4444" s="219"/>
      <c r="L4444" s="219">
        <v>113655.92</v>
      </c>
    </row>
    <row r="4445" spans="1:14" x14ac:dyDescent="0.2">
      <c r="A4445" s="238">
        <v>2021</v>
      </c>
      <c r="B4445" s="238">
        <v>9</v>
      </c>
      <c r="C4445" s="238">
        <v>23</v>
      </c>
      <c r="D4445" s="141">
        <f t="shared" si="146"/>
        <v>44462</v>
      </c>
      <c r="E4445" s="275">
        <f t="shared" si="147"/>
        <v>44462</v>
      </c>
      <c r="F4445" s="477" t="s">
        <v>347</v>
      </c>
      <c r="G4445" s="239" t="s">
        <v>94</v>
      </c>
      <c r="H4445" s="239" t="str" cm="1">
        <f t="array" ref="H4445">IFERROR(INDEX(INVESTOR_LIST[INVESTOR NAME],MATCH(I4445,INVESTOR_LIST[INVESTOR CODE],0),)," ")</f>
        <v xml:space="preserve"> </v>
      </c>
      <c r="I4445" s="262" t="s">
        <v>348</v>
      </c>
      <c r="J4445" s="240" t="s">
        <v>83</v>
      </c>
      <c r="K4445" s="241">
        <v>1147273.5799999833</v>
      </c>
      <c r="L4445" s="241"/>
    </row>
    <row r="4446" spans="1:14" x14ac:dyDescent="0.2">
      <c r="A4446" s="242">
        <v>2021</v>
      </c>
      <c r="B4446" s="242">
        <v>9</v>
      </c>
      <c r="C4446" s="242">
        <v>23</v>
      </c>
      <c r="D4446" s="141">
        <f t="shared" si="146"/>
        <v>44462</v>
      </c>
      <c r="E4446" s="275">
        <f t="shared" si="147"/>
        <v>44462</v>
      </c>
      <c r="F4446" s="478"/>
      <c r="G4446" s="243" t="s">
        <v>94</v>
      </c>
      <c r="H4446" s="243" t="str" cm="1">
        <f t="array" ref="H4446">IFERROR(INDEX(INVESTOR_LIST[INVESTOR NAME],MATCH(I4446,INVESTOR_LIST[INVESTOR CODE],0),)," ")</f>
        <v xml:space="preserve"> </v>
      </c>
      <c r="I4446" s="263" t="s">
        <v>348</v>
      </c>
      <c r="J4446" s="244" t="s">
        <v>108</v>
      </c>
      <c r="K4446" s="245"/>
      <c r="L4446" s="245">
        <v>1147273.5799999833</v>
      </c>
    </row>
    <row r="4447" spans="1:14" ht="22.5" x14ac:dyDescent="0.2">
      <c r="A4447" s="246">
        <v>2021</v>
      </c>
      <c r="B4447" s="246">
        <v>9</v>
      </c>
      <c r="C4447" s="246">
        <v>23</v>
      </c>
      <c r="D4447" s="141">
        <f t="shared" si="146"/>
        <v>44462</v>
      </c>
      <c r="E4447" s="275">
        <f t="shared" si="147"/>
        <v>44462</v>
      </c>
      <c r="F4447" s="482" t="s">
        <v>148</v>
      </c>
      <c r="G4447" s="247" t="s">
        <v>94</v>
      </c>
      <c r="H4447" s="247" t="str" cm="1">
        <f t="array" ref="H4447">IFERROR(INDEX(INVESTOR_LIST[INVESTOR NAME],MATCH(I4447,INVESTOR_LIST[INVESTOR CODE],0),)," ")</f>
        <v xml:space="preserve"> </v>
      </c>
      <c r="I4447" s="248" t="s">
        <v>348</v>
      </c>
      <c r="J4447" s="249" t="s">
        <v>95</v>
      </c>
      <c r="K4447" s="250">
        <v>2747.2527472527472</v>
      </c>
      <c r="L4447" s="241"/>
      <c r="M4447" s="133">
        <v>2747.2527472527472</v>
      </c>
    </row>
    <row r="4448" spans="1:14" x14ac:dyDescent="0.2">
      <c r="A4448" s="242">
        <v>2021</v>
      </c>
      <c r="B4448" s="242">
        <v>9</v>
      </c>
      <c r="C4448" s="242">
        <v>23</v>
      </c>
      <c r="D4448" s="141">
        <f t="shared" si="146"/>
        <v>44462</v>
      </c>
      <c r="E4448" s="275">
        <f t="shared" si="147"/>
        <v>44462</v>
      </c>
      <c r="F4448" s="478"/>
      <c r="G4448" s="243" t="s">
        <v>94</v>
      </c>
      <c r="H4448" s="243" t="str" cm="1">
        <f t="array" ref="H4448">IFERROR(INDEX(INVESTOR_LIST[INVESTOR NAME],MATCH(I4448,INVESTOR_LIST[INVESTOR CODE],0),)," ")</f>
        <v xml:space="preserve"> </v>
      </c>
      <c r="I4448" s="263" t="s">
        <v>348</v>
      </c>
      <c r="J4448" s="244" t="s">
        <v>63</v>
      </c>
      <c r="K4448" s="245"/>
      <c r="L4448" s="245">
        <v>2747.2527472527472</v>
      </c>
      <c r="M4448" s="133">
        <v>112434.74063930729</v>
      </c>
    </row>
    <row r="4449" spans="1:13" x14ac:dyDescent="0.2">
      <c r="A4449" s="246">
        <v>2021</v>
      </c>
      <c r="B4449" s="246">
        <v>9</v>
      </c>
      <c r="C4449" s="246">
        <v>23</v>
      </c>
      <c r="D4449" s="141">
        <f t="shared" si="146"/>
        <v>44462</v>
      </c>
      <c r="E4449" s="275">
        <f t="shared" si="147"/>
        <v>44462</v>
      </c>
      <c r="F4449" s="482" t="s">
        <v>137</v>
      </c>
      <c r="G4449" s="247" t="s">
        <v>94</v>
      </c>
      <c r="H4449" s="247" t="str" cm="1">
        <f t="array" ref="H4449">IFERROR(INDEX(INVESTOR_LIST[INVESTOR NAME],MATCH(I4449,INVESTOR_LIST[INVESTOR CODE],0),)," ")</f>
        <v xml:space="preserve"> </v>
      </c>
      <c r="I4449" s="248" t="s">
        <v>348</v>
      </c>
      <c r="J4449" s="249" t="s">
        <v>97</v>
      </c>
      <c r="K4449" s="250">
        <v>112434.74063930729</v>
      </c>
      <c r="L4449" s="252"/>
      <c r="M4449" s="133">
        <v>5572.572452876896</v>
      </c>
    </row>
    <row r="4450" spans="1:13" x14ac:dyDescent="0.2">
      <c r="A4450" s="242">
        <v>2021</v>
      </c>
      <c r="B4450" s="242">
        <v>9</v>
      </c>
      <c r="C4450" s="242">
        <v>23</v>
      </c>
      <c r="D4450" s="141">
        <f t="shared" si="146"/>
        <v>44462</v>
      </c>
      <c r="E4450" s="275">
        <f t="shared" si="147"/>
        <v>44462</v>
      </c>
      <c r="F4450" s="478"/>
      <c r="G4450" s="243" t="s">
        <v>94</v>
      </c>
      <c r="H4450" s="243" t="str" cm="1">
        <f t="array" ref="H4450">IFERROR(INDEX(INVESTOR_LIST[INVESTOR NAME],MATCH(I4450,INVESTOR_LIST[INVESTOR CODE],0),)," ")</f>
        <v xml:space="preserve"> </v>
      </c>
      <c r="I4450" s="263" t="s">
        <v>348</v>
      </c>
      <c r="J4450" s="244" t="s">
        <v>47</v>
      </c>
      <c r="K4450" s="245"/>
      <c r="L4450" s="245">
        <v>112434.74063930729</v>
      </c>
    </row>
    <row r="4451" spans="1:13" x14ac:dyDescent="0.2">
      <c r="A4451" s="246">
        <v>2021</v>
      </c>
      <c r="B4451" s="246">
        <v>9</v>
      </c>
      <c r="C4451" s="246">
        <v>23</v>
      </c>
      <c r="D4451" s="141">
        <f t="shared" si="146"/>
        <v>44462</v>
      </c>
      <c r="E4451" s="275">
        <f t="shared" si="147"/>
        <v>44462</v>
      </c>
      <c r="F4451" s="482" t="s">
        <v>138</v>
      </c>
      <c r="G4451" s="247" t="s">
        <v>94</v>
      </c>
      <c r="H4451" s="247" t="str" cm="1">
        <f t="array" ref="H4451">IFERROR(INDEX(INVESTOR_LIST[INVESTOR NAME],MATCH(I4451,INVESTOR_LIST[INVESTOR CODE],0),)," ")</f>
        <v xml:space="preserve"> </v>
      </c>
      <c r="I4451" s="248" t="s">
        <v>348</v>
      </c>
      <c r="J4451" s="249" t="s">
        <v>100</v>
      </c>
      <c r="K4451" s="250">
        <v>5572.572452876896</v>
      </c>
      <c r="L4451" s="252"/>
    </row>
    <row r="4452" spans="1:13" x14ac:dyDescent="0.2">
      <c r="A4452" s="242">
        <v>2021</v>
      </c>
      <c r="B4452" s="242">
        <v>9</v>
      </c>
      <c r="C4452" s="242">
        <v>23</v>
      </c>
      <c r="D4452" s="141">
        <f t="shared" si="146"/>
        <v>44462</v>
      </c>
      <c r="E4452" s="275">
        <f t="shared" si="147"/>
        <v>44462</v>
      </c>
      <c r="F4452" s="478"/>
      <c r="G4452" s="243" t="s">
        <v>94</v>
      </c>
      <c r="H4452" s="243" t="str" cm="1">
        <f t="array" ref="H4452">IFERROR(INDEX(INVESTOR_LIST[INVESTOR NAME],MATCH(I4452,INVESTOR_LIST[INVESTOR CODE],0),)," ")</f>
        <v xml:space="preserve"> </v>
      </c>
      <c r="I4452" s="263" t="s">
        <v>348</v>
      </c>
      <c r="J4452" s="244" t="s">
        <v>48</v>
      </c>
      <c r="K4452" s="245"/>
      <c r="L4452" s="245">
        <v>5572.572452876896</v>
      </c>
    </row>
    <row r="4453" spans="1:13" x14ac:dyDescent="0.2">
      <c r="A4453" s="168">
        <v>2021</v>
      </c>
      <c r="B4453" s="168">
        <v>9</v>
      </c>
      <c r="C4453" s="168">
        <v>23</v>
      </c>
      <c r="D4453" s="141">
        <f t="shared" si="146"/>
        <v>44462</v>
      </c>
      <c r="E4453" s="275">
        <f t="shared" si="147"/>
        <v>44462</v>
      </c>
      <c r="F4453" s="479" t="s">
        <v>909</v>
      </c>
      <c r="G4453" s="220" t="s">
        <v>94</v>
      </c>
      <c r="H4453" s="220" t="str" cm="1">
        <f t="array" ref="H4453">IFERROR(INDEX(INVESTOR_LIST[INVESTOR NAME],MATCH(I4453,INVESTOR_LIST[INVESTOR CODE],0),)," ")</f>
        <v xml:space="preserve"> </v>
      </c>
      <c r="I4453" s="142" t="s">
        <v>348</v>
      </c>
      <c r="J4453" s="143" t="s">
        <v>79</v>
      </c>
      <c r="K4453" s="226">
        <v>966090</v>
      </c>
      <c r="L4453" s="226"/>
    </row>
    <row r="4454" spans="1:13" x14ac:dyDescent="0.2">
      <c r="A4454" s="133">
        <v>2021</v>
      </c>
      <c r="B4454" s="133">
        <v>9</v>
      </c>
      <c r="C4454" s="133">
        <v>23</v>
      </c>
      <c r="D4454" s="141">
        <f t="shared" si="146"/>
        <v>44462</v>
      </c>
      <c r="E4454" s="275">
        <f t="shared" si="147"/>
        <v>44462</v>
      </c>
      <c r="F4454" s="481"/>
      <c r="G4454" s="174" t="s">
        <v>94</v>
      </c>
      <c r="H4454" s="174" t="str" cm="1">
        <f t="array" ref="H4454">IFERROR(INDEX(INVESTOR_LIST[INVESTOR NAME],MATCH(I4454,INVESTOR_LIST[INVESTOR CODE],0),)," ")</f>
        <v xml:space="preserve"> </v>
      </c>
      <c r="I4454" s="148" t="s">
        <v>348</v>
      </c>
      <c r="J4454" s="149" t="s">
        <v>80</v>
      </c>
      <c r="K4454" s="218">
        <f>1738.96+7788.55</f>
        <v>9527.51</v>
      </c>
      <c r="L4454" s="218"/>
    </row>
    <row r="4455" spans="1:13" x14ac:dyDescent="0.2">
      <c r="A4455" s="133">
        <v>2021</v>
      </c>
      <c r="B4455" s="133">
        <v>9</v>
      </c>
      <c r="C4455" s="133">
        <v>23</v>
      </c>
      <c r="D4455" s="141">
        <f t="shared" si="146"/>
        <v>44462</v>
      </c>
      <c r="E4455" s="275">
        <f t="shared" si="147"/>
        <v>44462</v>
      </c>
      <c r="F4455" s="481"/>
      <c r="G4455" s="174" t="s">
        <v>94</v>
      </c>
      <c r="H4455" s="174" t="str" cm="1">
        <f t="array" ref="H4455">IFERROR(INDEX(INVESTOR_LIST[INVESTOR NAME],MATCH(I4455,INVESTOR_LIST[INVESTOR CODE],0),)," ")</f>
        <v xml:space="preserve"> </v>
      </c>
      <c r="I4455" s="148" t="s">
        <v>348</v>
      </c>
      <c r="J4455" s="149" t="s">
        <v>190</v>
      </c>
      <c r="K4455" s="218">
        <v>3351354.49</v>
      </c>
      <c r="L4455" s="218"/>
    </row>
    <row r="4456" spans="1:13" x14ac:dyDescent="0.2">
      <c r="A4456" s="133">
        <v>2021</v>
      </c>
      <c r="B4456" s="133">
        <v>9</v>
      </c>
      <c r="C4456" s="133">
        <v>23</v>
      </c>
      <c r="D4456" s="141">
        <f t="shared" si="146"/>
        <v>44462</v>
      </c>
      <c r="E4456" s="275">
        <f t="shared" si="147"/>
        <v>44462</v>
      </c>
      <c r="F4456" s="481"/>
      <c r="G4456" s="174" t="s">
        <v>94</v>
      </c>
      <c r="H4456" s="174" t="str" cm="1">
        <f t="array" ref="H4456">IFERROR(INDEX(INVESTOR_LIST[INVESTOR NAME],MATCH(I4456,INVESTOR_LIST[INVESTOR CODE],0),)," ")</f>
        <v xml:space="preserve"> </v>
      </c>
      <c r="I4456" s="148" t="s">
        <v>348</v>
      </c>
      <c r="J4456" s="149" t="s">
        <v>191</v>
      </c>
      <c r="K4456" s="218"/>
      <c r="L4456" s="218">
        <v>557296.51</v>
      </c>
    </row>
    <row r="4457" spans="1:13" x14ac:dyDescent="0.2">
      <c r="A4457" s="163">
        <v>2021</v>
      </c>
      <c r="B4457" s="163">
        <v>9</v>
      </c>
      <c r="C4457" s="163">
        <v>23</v>
      </c>
      <c r="D4457" s="141">
        <f t="shared" si="146"/>
        <v>44462</v>
      </c>
      <c r="E4457" s="275">
        <f t="shared" si="147"/>
        <v>44462</v>
      </c>
      <c r="F4457" s="480"/>
      <c r="G4457" s="221" t="s">
        <v>94</v>
      </c>
      <c r="H4457" s="145" t="str" cm="1">
        <f t="array" ref="H4457">IFERROR(INDEX(INVESTOR_LIST[INVESTOR NAME],MATCH(I4457,INVESTOR_LIST[INVESTOR CODE],0),)," ")</f>
        <v xml:space="preserve"> </v>
      </c>
      <c r="I4457" s="145"/>
      <c r="J4457" s="163" t="s">
        <v>79</v>
      </c>
      <c r="K4457" s="219"/>
      <c r="L4457" s="219">
        <v>3769675.49</v>
      </c>
    </row>
    <row r="4458" spans="1:13" x14ac:dyDescent="0.2">
      <c r="A4458" s="168">
        <v>2021</v>
      </c>
      <c r="B4458" s="168">
        <v>9</v>
      </c>
      <c r="C4458" s="168">
        <v>26</v>
      </c>
      <c r="D4458" s="141">
        <f t="shared" si="146"/>
        <v>44465</v>
      </c>
      <c r="E4458" s="275">
        <f t="shared" si="147"/>
        <v>44465</v>
      </c>
      <c r="F4458" s="479" t="s">
        <v>892</v>
      </c>
      <c r="G4458" s="220" t="s">
        <v>74</v>
      </c>
      <c r="H4458" s="220" t="str" cm="1">
        <f t="array" ref="H4458">IFERROR(INDEX(INVESTOR_LIST[INVESTOR NAME],MATCH(I4458,INVESTOR_LIST[INVESTOR CODE],0),)," ")</f>
        <v xml:space="preserve"> </v>
      </c>
      <c r="I4458" s="142" t="s">
        <v>348</v>
      </c>
      <c r="J4458" s="143" t="s">
        <v>147</v>
      </c>
      <c r="K4458" s="226">
        <v>5462670.9699999997</v>
      </c>
      <c r="L4458" s="226"/>
    </row>
    <row r="4459" spans="1:13" x14ac:dyDescent="0.2">
      <c r="A4459" s="163">
        <v>2021</v>
      </c>
      <c r="B4459" s="163">
        <v>9</v>
      </c>
      <c r="C4459" s="163">
        <v>26</v>
      </c>
      <c r="D4459" s="141">
        <f t="shared" si="146"/>
        <v>44465</v>
      </c>
      <c r="E4459" s="275">
        <f t="shared" si="147"/>
        <v>44465</v>
      </c>
      <c r="F4459" s="480"/>
      <c r="G4459" s="221" t="s">
        <v>74</v>
      </c>
      <c r="H4459" s="221" t="str" cm="1">
        <f t="array" ref="H4459">IFERROR(INDEX(INVESTOR_LIST[INVESTOR NAME],MATCH(I4459,INVESTOR_LIST[INVESTOR CODE],0),)," ")</f>
        <v xml:space="preserve"> </v>
      </c>
      <c r="I4459" s="145" t="s">
        <v>348</v>
      </c>
      <c r="J4459" s="146" t="s">
        <v>52</v>
      </c>
      <c r="K4459" s="219"/>
      <c r="L4459" s="219">
        <v>5462670.9699999997</v>
      </c>
    </row>
    <row r="4460" spans="1:13" ht="11.25" customHeight="1" x14ac:dyDescent="0.2">
      <c r="A4460" s="168">
        <v>2021</v>
      </c>
      <c r="B4460" s="168">
        <v>9</v>
      </c>
      <c r="C4460" s="133">
        <v>26</v>
      </c>
      <c r="D4460" s="141">
        <f t="shared" si="146"/>
        <v>44465</v>
      </c>
      <c r="E4460" s="275">
        <f t="shared" si="147"/>
        <v>44465</v>
      </c>
      <c r="F4460" s="479" t="s">
        <v>254</v>
      </c>
      <c r="G4460" s="220" t="s">
        <v>74</v>
      </c>
      <c r="H4460" s="142" t="str" cm="1">
        <f t="array" ref="H4460">IFERROR(INDEX(INVESTOR_LIST[INVESTOR NAME],MATCH(I4460,INVESTOR_LIST[INVESTOR CODE],0),)," ")</f>
        <v xml:space="preserve"> </v>
      </c>
      <c r="I4460" s="142"/>
      <c r="J4460" s="168" t="s">
        <v>52</v>
      </c>
      <c r="K4460" s="226">
        <v>9000</v>
      </c>
      <c r="L4460" s="226"/>
    </row>
    <row r="4461" spans="1:13" x14ac:dyDescent="0.2">
      <c r="A4461" s="133">
        <v>2021</v>
      </c>
      <c r="B4461" s="133">
        <v>9</v>
      </c>
      <c r="C4461" s="133">
        <v>26</v>
      </c>
      <c r="D4461" s="141">
        <f t="shared" si="146"/>
        <v>44465</v>
      </c>
      <c r="E4461" s="275">
        <f t="shared" si="147"/>
        <v>44465</v>
      </c>
      <c r="F4461" s="481"/>
      <c r="G4461" s="174" t="s">
        <v>74</v>
      </c>
      <c r="H4461" s="148" t="str" cm="1">
        <f t="array" ref="H4461">IFERROR(INDEX(INVESTOR_LIST[INVESTOR NAME],MATCH(I4461,INVESTOR_LIST[INVESTOR CODE],0),)," ")</f>
        <v xml:space="preserve"> </v>
      </c>
      <c r="J4461" s="133" t="s">
        <v>13</v>
      </c>
      <c r="K4461" s="218"/>
      <c r="L4461" s="218">
        <v>5980</v>
      </c>
    </row>
    <row r="4462" spans="1:13" x14ac:dyDescent="0.2">
      <c r="A4462" s="163">
        <v>2021</v>
      </c>
      <c r="B4462" s="163">
        <v>9</v>
      </c>
      <c r="C4462" s="163">
        <v>26</v>
      </c>
      <c r="D4462" s="141">
        <f t="shared" si="146"/>
        <v>44465</v>
      </c>
      <c r="E4462" s="275">
        <f t="shared" si="147"/>
        <v>44465</v>
      </c>
      <c r="F4462" s="480"/>
      <c r="G4462" s="221" t="s">
        <v>74</v>
      </c>
      <c r="H4462" s="145" t="str" cm="1">
        <f t="array" ref="H4462">IFERROR(INDEX(INVESTOR_LIST[INVESTOR NAME],MATCH(I4462,INVESTOR_LIST[INVESTOR CODE],0),)," ")</f>
        <v xml:space="preserve"> </v>
      </c>
      <c r="I4462" s="145"/>
      <c r="J4462" s="163" t="s">
        <v>53</v>
      </c>
      <c r="K4462" s="219"/>
      <c r="L4462" s="219">
        <v>3020</v>
      </c>
    </row>
    <row r="4463" spans="1:13" x14ac:dyDescent="0.2">
      <c r="A4463" s="168">
        <v>2021</v>
      </c>
      <c r="B4463" s="168">
        <v>9</v>
      </c>
      <c r="C4463" s="168">
        <v>27</v>
      </c>
      <c r="D4463" s="141">
        <f t="shared" si="146"/>
        <v>44466</v>
      </c>
      <c r="E4463" s="275">
        <f t="shared" si="147"/>
        <v>44466</v>
      </c>
      <c r="F4463" s="479" t="s">
        <v>910</v>
      </c>
      <c r="G4463" s="220" t="s">
        <v>74</v>
      </c>
      <c r="H4463" s="220" t="str" cm="1">
        <f t="array" ref="H4463">IFERROR(INDEX(INVESTOR_LIST[INVESTOR NAME],MATCH(I4463,INVESTOR_LIST[INVESTOR CODE],0),)," ")</f>
        <v xml:space="preserve"> </v>
      </c>
      <c r="I4463" s="142"/>
      <c r="J4463" s="143" t="s">
        <v>184</v>
      </c>
      <c r="K4463" s="226">
        <v>11000000</v>
      </c>
      <c r="L4463" s="226"/>
    </row>
    <row r="4464" spans="1:13" x14ac:dyDescent="0.2">
      <c r="A4464" s="133">
        <v>2021</v>
      </c>
      <c r="B4464" s="133">
        <v>9</v>
      </c>
      <c r="C4464" s="133">
        <v>27</v>
      </c>
      <c r="D4464" s="141">
        <f t="shared" si="146"/>
        <v>44466</v>
      </c>
      <c r="E4464" s="275">
        <f t="shared" si="147"/>
        <v>44466</v>
      </c>
      <c r="F4464" s="481"/>
      <c r="G4464" s="174" t="s">
        <v>74</v>
      </c>
      <c r="H4464" s="174" t="str" cm="1">
        <f t="array" ref="H4464">IFERROR(INDEX(INVESTOR_LIST[INVESTOR NAME],MATCH(I4464,INVESTOR_LIST[INVESTOR CODE],0),)," ")</f>
        <v xml:space="preserve"> </v>
      </c>
      <c r="J4464" s="149" t="s">
        <v>61</v>
      </c>
      <c r="K4464" s="218">
        <v>115</v>
      </c>
      <c r="L4464" s="218"/>
    </row>
    <row r="4465" spans="1:12" x14ac:dyDescent="0.2">
      <c r="A4465" s="163">
        <v>2021</v>
      </c>
      <c r="B4465" s="163">
        <v>9</v>
      </c>
      <c r="C4465" s="163">
        <v>27</v>
      </c>
      <c r="D4465" s="141">
        <f t="shared" si="146"/>
        <v>44466</v>
      </c>
      <c r="E4465" s="275">
        <f t="shared" si="147"/>
        <v>44466</v>
      </c>
      <c r="F4465" s="480"/>
      <c r="G4465" s="221" t="s">
        <v>74</v>
      </c>
      <c r="H4465" s="221" t="str" cm="1">
        <f t="array" ref="H4465">IFERROR(INDEX(INVESTOR_LIST[INVESTOR NAME],MATCH(I4465,INVESTOR_LIST[INVESTOR CODE],0),)," ")</f>
        <v xml:space="preserve"> </v>
      </c>
      <c r="I4465" s="145"/>
      <c r="J4465" s="146" t="s">
        <v>52</v>
      </c>
      <c r="K4465" s="219"/>
      <c r="L4465" s="219">
        <v>11000115</v>
      </c>
    </row>
    <row r="4466" spans="1:12" x14ac:dyDescent="0.2">
      <c r="A4466" s="168">
        <v>2021</v>
      </c>
      <c r="B4466" s="168">
        <v>9</v>
      </c>
      <c r="C4466" s="133">
        <v>28</v>
      </c>
      <c r="D4466" s="141">
        <f t="shared" si="146"/>
        <v>44467</v>
      </c>
      <c r="E4466" s="275">
        <f t="shared" si="147"/>
        <v>44467</v>
      </c>
      <c r="F4466" s="479" t="s">
        <v>912</v>
      </c>
      <c r="G4466" s="220" t="s">
        <v>74</v>
      </c>
      <c r="H4466" s="142" t="str" cm="1">
        <f t="array" ref="H4466">IFERROR(INDEX(INVESTOR_LIST[INVESTOR NAME],MATCH(I4466,INVESTOR_LIST[INVESTOR CODE],0),)," ")</f>
        <v xml:space="preserve"> </v>
      </c>
      <c r="I4466" s="142"/>
      <c r="J4466" s="168" t="s">
        <v>52</v>
      </c>
      <c r="K4466" s="226">
        <v>478000</v>
      </c>
      <c r="L4466" s="226"/>
    </row>
    <row r="4467" spans="1:12" x14ac:dyDescent="0.2">
      <c r="A4467" s="133">
        <v>2021</v>
      </c>
      <c r="B4467" s="133">
        <v>9</v>
      </c>
      <c r="C4467" s="133">
        <v>28</v>
      </c>
      <c r="D4467" s="141">
        <f t="shared" si="146"/>
        <v>44467</v>
      </c>
      <c r="E4467" s="275">
        <f t="shared" si="147"/>
        <v>44467</v>
      </c>
      <c r="F4467" s="481"/>
      <c r="G4467" s="174" t="s">
        <v>74</v>
      </c>
      <c r="H4467" s="148" t="str" cm="1">
        <f t="array" ref="H4467">IFERROR(INDEX(INVESTOR_LIST[INVESTOR NAME],MATCH(I4467,INVESTOR_LIST[INVESTOR CODE],0),)," ")</f>
        <v xml:space="preserve"> </v>
      </c>
      <c r="J4467" s="133" t="s">
        <v>13</v>
      </c>
      <c r="K4467" s="218"/>
      <c r="L4467" s="218">
        <v>317380</v>
      </c>
    </row>
    <row r="4468" spans="1:12" x14ac:dyDescent="0.2">
      <c r="A4468" s="163">
        <v>2021</v>
      </c>
      <c r="B4468" s="163">
        <v>9</v>
      </c>
      <c r="C4468" s="163">
        <v>28</v>
      </c>
      <c r="D4468" s="141">
        <f t="shared" si="146"/>
        <v>44467</v>
      </c>
      <c r="E4468" s="275">
        <f t="shared" si="147"/>
        <v>44467</v>
      </c>
      <c r="F4468" s="480"/>
      <c r="G4468" s="221" t="s">
        <v>74</v>
      </c>
      <c r="H4468" s="145" t="str" cm="1">
        <f t="array" ref="H4468">IFERROR(INDEX(INVESTOR_LIST[INVESTOR NAME],MATCH(I4468,INVESTOR_LIST[INVESTOR CODE],0),)," ")</f>
        <v xml:space="preserve"> </v>
      </c>
      <c r="I4468" s="145"/>
      <c r="J4468" s="163" t="s">
        <v>53</v>
      </c>
      <c r="K4468" s="219"/>
      <c r="L4468" s="219">
        <v>160620</v>
      </c>
    </row>
    <row r="4469" spans="1:12" x14ac:dyDescent="0.2">
      <c r="A4469" s="168">
        <v>2021</v>
      </c>
      <c r="B4469" s="168">
        <v>9</v>
      </c>
      <c r="C4469" s="168">
        <v>28</v>
      </c>
      <c r="D4469" s="141">
        <f t="shared" si="146"/>
        <v>44467</v>
      </c>
      <c r="E4469" s="275">
        <f t="shared" si="147"/>
        <v>44467</v>
      </c>
      <c r="F4469" s="479" t="s">
        <v>903</v>
      </c>
      <c r="G4469" s="220" t="s">
        <v>74</v>
      </c>
      <c r="H4469" s="220" t="str" cm="1">
        <f t="array" ref="H4469">IFERROR(INDEX(INVESTOR_LIST[INVESTOR NAME],MATCH(I4469,INVESTOR_LIST[INVESTOR CODE],0),)," ")</f>
        <v xml:space="preserve"> </v>
      </c>
      <c r="I4469" s="142" t="s">
        <v>348</v>
      </c>
      <c r="J4469" s="143" t="s">
        <v>52</v>
      </c>
      <c r="K4469" s="226">
        <v>3351354.49</v>
      </c>
      <c r="L4469" s="226"/>
    </row>
    <row r="4470" spans="1:12" x14ac:dyDescent="0.2">
      <c r="A4470" s="163">
        <v>2021</v>
      </c>
      <c r="B4470" s="163">
        <v>9</v>
      </c>
      <c r="C4470" s="163">
        <v>28</v>
      </c>
      <c r="D4470" s="141">
        <f t="shared" si="146"/>
        <v>44467</v>
      </c>
      <c r="E4470" s="275">
        <f t="shared" si="147"/>
        <v>44467</v>
      </c>
      <c r="F4470" s="480"/>
      <c r="G4470" s="221" t="s">
        <v>74</v>
      </c>
      <c r="H4470" s="221" t="str" cm="1">
        <f t="array" ref="H4470">IFERROR(INDEX(INVESTOR_LIST[INVESTOR NAME],MATCH(I4470,INVESTOR_LIST[INVESTOR CODE],0),)," ")</f>
        <v xml:space="preserve"> </v>
      </c>
      <c r="I4470" s="145" t="s">
        <v>348</v>
      </c>
      <c r="J4470" s="146" t="s">
        <v>190</v>
      </c>
      <c r="K4470" s="219"/>
      <c r="L4470" s="219">
        <v>3351354.49</v>
      </c>
    </row>
    <row r="4471" spans="1:12" ht="11.25" customHeight="1" x14ac:dyDescent="0.2">
      <c r="A4471" s="168">
        <v>2021</v>
      </c>
      <c r="B4471" s="168">
        <v>9</v>
      </c>
      <c r="C4471" s="168">
        <v>28</v>
      </c>
      <c r="D4471" s="141">
        <f t="shared" si="146"/>
        <v>44467</v>
      </c>
      <c r="E4471" s="275">
        <f t="shared" si="147"/>
        <v>44467</v>
      </c>
      <c r="F4471" s="479" t="s">
        <v>911</v>
      </c>
      <c r="G4471" s="220" t="s">
        <v>74</v>
      </c>
      <c r="H4471" s="220" t="str" cm="1">
        <f t="array" ref="H4471">IFERROR(INDEX(INVESTOR_LIST[INVESTOR NAME],MATCH(I4471,INVESTOR_LIST[INVESTOR CODE],0),)," ")</f>
        <v xml:space="preserve"> </v>
      </c>
      <c r="I4471" s="142" t="s">
        <v>348</v>
      </c>
      <c r="J4471" s="143" t="s">
        <v>101</v>
      </c>
      <c r="K4471" s="226">
        <v>256808.8</v>
      </c>
      <c r="L4471" s="226"/>
    </row>
    <row r="4472" spans="1:12" x14ac:dyDescent="0.2">
      <c r="A4472" s="163">
        <v>2021</v>
      </c>
      <c r="B4472" s="163">
        <v>9</v>
      </c>
      <c r="C4472" s="163">
        <v>28</v>
      </c>
      <c r="D4472" s="141">
        <f t="shared" si="146"/>
        <v>44467</v>
      </c>
      <c r="E4472" s="275">
        <f t="shared" si="147"/>
        <v>44467</v>
      </c>
      <c r="F4472" s="480"/>
      <c r="G4472" s="221" t="s">
        <v>74</v>
      </c>
      <c r="H4472" s="221" t="str" cm="1">
        <f t="array" ref="H4472">IFERROR(INDEX(INVESTOR_LIST[INVESTOR NAME],MATCH(I4472,INVESTOR_LIST[INVESTOR CODE],0),)," ")</f>
        <v xml:space="preserve"> </v>
      </c>
      <c r="I4472" s="145" t="s">
        <v>348</v>
      </c>
      <c r="J4472" s="146" t="s">
        <v>52</v>
      </c>
      <c r="K4472" s="219"/>
      <c r="L4472" s="219">
        <v>256808.8</v>
      </c>
    </row>
    <row r="4473" spans="1:12" x14ac:dyDescent="0.2">
      <c r="A4473" s="133">
        <v>2021</v>
      </c>
      <c r="B4473" s="133">
        <v>9</v>
      </c>
      <c r="C4473" s="133">
        <v>29</v>
      </c>
      <c r="D4473" s="141">
        <f t="shared" si="146"/>
        <v>44468</v>
      </c>
      <c r="E4473" s="275">
        <f t="shared" si="147"/>
        <v>44468</v>
      </c>
      <c r="F4473" s="481" t="s">
        <v>360</v>
      </c>
      <c r="G4473" s="174" t="s">
        <v>94</v>
      </c>
      <c r="H4473" s="174" t="str" cm="1">
        <f t="array" ref="H4473">IFERROR(INDEX(INVESTOR_LIST[INVESTOR NAME],MATCH(I4473,INVESTOR_LIST[INVESTOR CODE],0),)," ")</f>
        <v xml:space="preserve"> </v>
      </c>
      <c r="I4473" s="148" t="s">
        <v>348</v>
      </c>
      <c r="J4473" s="149" t="s">
        <v>190</v>
      </c>
      <c r="K4473" s="218">
        <v>976239.6</v>
      </c>
      <c r="L4473" s="218"/>
    </row>
    <row r="4474" spans="1:12" x14ac:dyDescent="0.2">
      <c r="A4474" s="133">
        <v>2021</v>
      </c>
      <c r="B4474" s="133">
        <v>9</v>
      </c>
      <c r="C4474" s="133">
        <v>29</v>
      </c>
      <c r="D4474" s="141">
        <f t="shared" si="146"/>
        <v>44468</v>
      </c>
      <c r="E4474" s="275">
        <f t="shared" si="147"/>
        <v>44468</v>
      </c>
      <c r="F4474" s="481"/>
      <c r="G4474" s="174" t="s">
        <v>94</v>
      </c>
      <c r="H4474" s="174" t="str" cm="1">
        <f t="array" ref="H4474">IFERROR(INDEX(INVESTOR_LIST[INVESTOR NAME],MATCH(I4474,INVESTOR_LIST[INVESTOR CODE],0),)," ")</f>
        <v xml:space="preserve"> </v>
      </c>
      <c r="I4474" s="148" t="s">
        <v>348</v>
      </c>
      <c r="J4474" s="149" t="s">
        <v>80</v>
      </c>
      <c r="K4474" s="218">
        <v>1760.4</v>
      </c>
      <c r="L4474" s="218"/>
    </row>
    <row r="4475" spans="1:12" x14ac:dyDescent="0.2">
      <c r="A4475" s="133">
        <v>2021</v>
      </c>
      <c r="B4475" s="133">
        <v>9</v>
      </c>
      <c r="C4475" s="133">
        <v>29</v>
      </c>
      <c r="D4475" s="141">
        <f t="shared" si="146"/>
        <v>44468</v>
      </c>
      <c r="E4475" s="275">
        <f t="shared" si="147"/>
        <v>44468</v>
      </c>
      <c r="F4475" s="481"/>
      <c r="G4475" s="174" t="s">
        <v>94</v>
      </c>
      <c r="H4475" s="174" t="str" cm="1">
        <f t="array" ref="H4475">IFERROR(INDEX(INVESTOR_LIST[INVESTOR NAME],MATCH(I4475,INVESTOR_LIST[INVESTOR CODE],0),)," ")</f>
        <v xml:space="preserve"> </v>
      </c>
      <c r="I4475" s="148" t="s">
        <v>348</v>
      </c>
      <c r="J4475" s="149" t="s">
        <v>79</v>
      </c>
      <c r="K4475" s="218"/>
      <c r="L4475" s="218">
        <v>966090</v>
      </c>
    </row>
    <row r="4476" spans="1:12" x14ac:dyDescent="0.2">
      <c r="A4476" s="163">
        <v>2021</v>
      </c>
      <c r="B4476" s="163">
        <v>9</v>
      </c>
      <c r="C4476" s="163">
        <v>29</v>
      </c>
      <c r="D4476" s="141">
        <f t="shared" si="146"/>
        <v>44468</v>
      </c>
      <c r="E4476" s="275">
        <f t="shared" si="147"/>
        <v>44468</v>
      </c>
      <c r="F4476" s="480"/>
      <c r="G4476" s="221" t="s">
        <v>94</v>
      </c>
      <c r="H4476" s="221" t="str" cm="1">
        <f t="array" ref="H4476">IFERROR(INDEX(INVESTOR_LIST[INVESTOR NAME],MATCH(I4476,INVESTOR_LIST[INVESTOR CODE],0),)," ")</f>
        <v xml:space="preserve"> </v>
      </c>
      <c r="I4476" s="145" t="s">
        <v>348</v>
      </c>
      <c r="J4476" s="146" t="s">
        <v>191</v>
      </c>
      <c r="K4476" s="219"/>
      <c r="L4476" s="219">
        <v>11910</v>
      </c>
    </row>
    <row r="4477" spans="1:12" ht="11.25" customHeight="1" x14ac:dyDescent="0.2">
      <c r="A4477" s="168">
        <v>2021</v>
      </c>
      <c r="B4477" s="168">
        <v>9</v>
      </c>
      <c r="C4477" s="133">
        <v>30</v>
      </c>
      <c r="D4477" s="141">
        <f t="shared" si="146"/>
        <v>44469</v>
      </c>
      <c r="E4477" s="275">
        <f t="shared" si="147"/>
        <v>44469</v>
      </c>
      <c r="F4477" s="479" t="s">
        <v>254</v>
      </c>
      <c r="G4477" s="220" t="s">
        <v>74</v>
      </c>
      <c r="H4477" s="142" t="str" cm="1">
        <f t="array" ref="H4477">IFERROR(INDEX(INVESTOR_LIST[INVESTOR NAME],MATCH(I4477,INVESTOR_LIST[INVESTOR CODE],0),)," ")</f>
        <v xml:space="preserve"> </v>
      </c>
      <c r="I4477" s="142"/>
      <c r="J4477" s="168" t="s">
        <v>52</v>
      </c>
      <c r="K4477" s="226">
        <v>10000</v>
      </c>
      <c r="L4477" s="226"/>
    </row>
    <row r="4478" spans="1:12" x14ac:dyDescent="0.2">
      <c r="A4478" s="133">
        <v>2021</v>
      </c>
      <c r="B4478" s="133">
        <v>9</v>
      </c>
      <c r="C4478" s="133">
        <v>30</v>
      </c>
      <c r="D4478" s="141">
        <f t="shared" si="146"/>
        <v>44469</v>
      </c>
      <c r="E4478" s="275">
        <f t="shared" si="147"/>
        <v>44469</v>
      </c>
      <c r="F4478" s="481"/>
      <c r="G4478" s="174" t="s">
        <v>74</v>
      </c>
      <c r="H4478" s="148" t="str" cm="1">
        <f t="array" ref="H4478">IFERROR(INDEX(INVESTOR_LIST[INVESTOR NAME],MATCH(I4478,INVESTOR_LIST[INVESTOR CODE],0),)," ")</f>
        <v xml:space="preserve"> </v>
      </c>
      <c r="J4478" s="133" t="s">
        <v>13</v>
      </c>
      <c r="K4478" s="218"/>
      <c r="L4478" s="218">
        <v>6640</v>
      </c>
    </row>
    <row r="4479" spans="1:12" x14ac:dyDescent="0.2">
      <c r="A4479" s="163">
        <v>2021</v>
      </c>
      <c r="B4479" s="163">
        <v>9</v>
      </c>
      <c r="C4479" s="163">
        <v>30</v>
      </c>
      <c r="D4479" s="141">
        <f t="shared" si="146"/>
        <v>44469</v>
      </c>
      <c r="E4479" s="275">
        <f t="shared" si="147"/>
        <v>44469</v>
      </c>
      <c r="F4479" s="480"/>
      <c r="G4479" s="221" t="s">
        <v>74</v>
      </c>
      <c r="H4479" s="145" t="str" cm="1">
        <f t="array" ref="H4479">IFERROR(INDEX(INVESTOR_LIST[INVESTOR NAME],MATCH(I4479,INVESTOR_LIST[INVESTOR CODE],0),)," ")</f>
        <v xml:space="preserve"> </v>
      </c>
      <c r="I4479" s="145"/>
      <c r="J4479" s="163" t="s">
        <v>53</v>
      </c>
      <c r="K4479" s="219"/>
      <c r="L4479" s="219">
        <v>3360</v>
      </c>
    </row>
    <row r="4480" spans="1:12" x14ac:dyDescent="0.2">
      <c r="A4480" s="168">
        <v>2021</v>
      </c>
      <c r="B4480" s="168">
        <v>9</v>
      </c>
      <c r="C4480" s="168">
        <v>30</v>
      </c>
      <c r="D4480" s="141">
        <f t="shared" si="146"/>
        <v>44469</v>
      </c>
      <c r="E4480" s="275">
        <f t="shared" si="147"/>
        <v>44469</v>
      </c>
      <c r="F4480" s="479" t="s">
        <v>274</v>
      </c>
      <c r="G4480" s="220" t="s">
        <v>74</v>
      </c>
      <c r="H4480" s="220" t="str" cm="1">
        <f t="array" ref="H4480">IFERROR(INDEX(INVESTOR_LIST[INVESTOR NAME],MATCH(I4480,INVESTOR_LIST[INVESTOR CODE],0),)," ")</f>
        <v xml:space="preserve"> </v>
      </c>
      <c r="I4480" s="142"/>
      <c r="J4480" s="143" t="s">
        <v>79</v>
      </c>
      <c r="K4480" s="226">
        <v>1600000</v>
      </c>
      <c r="L4480" s="226"/>
    </row>
    <row r="4481" spans="1:14" x14ac:dyDescent="0.2">
      <c r="A4481" s="133">
        <v>2021</v>
      </c>
      <c r="B4481" s="133">
        <v>9</v>
      </c>
      <c r="C4481" s="133">
        <v>30</v>
      </c>
      <c r="D4481" s="141">
        <f t="shared" si="146"/>
        <v>44469</v>
      </c>
      <c r="E4481" s="275">
        <f t="shared" si="147"/>
        <v>44469</v>
      </c>
      <c r="F4481" s="481"/>
      <c r="G4481" s="174" t="s">
        <v>74</v>
      </c>
      <c r="H4481" s="174" t="str" cm="1">
        <f t="array" ref="H4481">IFERROR(INDEX(INVESTOR_LIST[INVESTOR NAME],MATCH(I4481,INVESTOR_LIST[INVESTOR CODE],0),)," ")</f>
        <v xml:space="preserve"> </v>
      </c>
      <c r="J4481" s="149" t="s">
        <v>80</v>
      </c>
      <c r="K4481" s="218">
        <v>2880</v>
      </c>
      <c r="L4481" s="218"/>
    </row>
    <row r="4482" spans="1:14" x14ac:dyDescent="0.2">
      <c r="A4482" s="163">
        <v>2021</v>
      </c>
      <c r="B4482" s="163">
        <v>9</v>
      </c>
      <c r="C4482" s="163">
        <v>30</v>
      </c>
      <c r="D4482" s="141">
        <f t="shared" si="146"/>
        <v>44469</v>
      </c>
      <c r="E4482" s="275">
        <f t="shared" si="147"/>
        <v>44469</v>
      </c>
      <c r="F4482" s="480"/>
      <c r="G4482" s="221" t="s">
        <v>74</v>
      </c>
      <c r="H4482" s="221" t="str" cm="1">
        <f t="array" ref="H4482">IFERROR(INDEX(INVESTOR_LIST[INVESTOR NAME],MATCH(I4482,INVESTOR_LIST[INVESTOR CODE],0),)," ")</f>
        <v xml:space="preserve"> </v>
      </c>
      <c r="I4482" s="145"/>
      <c r="J4482" s="146" t="s">
        <v>147</v>
      </c>
      <c r="K4482" s="219"/>
      <c r="L4482" s="219">
        <v>1602880</v>
      </c>
    </row>
    <row r="4483" spans="1:14" x14ac:dyDescent="0.2">
      <c r="A4483" s="168">
        <v>2021</v>
      </c>
      <c r="B4483" s="168">
        <v>9</v>
      </c>
      <c r="C4483" s="168">
        <v>30</v>
      </c>
      <c r="D4483" s="141">
        <f t="shared" si="146"/>
        <v>44469</v>
      </c>
      <c r="E4483" s="275">
        <f t="shared" si="147"/>
        <v>44469</v>
      </c>
      <c r="F4483" s="479" t="s">
        <v>913</v>
      </c>
      <c r="G4483" s="220" t="s">
        <v>74</v>
      </c>
      <c r="H4483" s="220" t="str" cm="1">
        <f t="array" ref="H4483">IFERROR(INDEX(INVESTOR_LIST[INVESTOR NAME],MATCH(I4483,INVESTOR_LIST[INVESTOR CODE],0),)," ")</f>
        <v xml:space="preserve"> </v>
      </c>
      <c r="I4483" s="142" t="s">
        <v>348</v>
      </c>
      <c r="J4483" s="143" t="s">
        <v>147</v>
      </c>
      <c r="K4483" s="226">
        <v>1602880</v>
      </c>
      <c r="L4483" s="226"/>
    </row>
    <row r="4484" spans="1:14" x14ac:dyDescent="0.2">
      <c r="A4484" s="163">
        <v>2021</v>
      </c>
      <c r="B4484" s="163">
        <v>9</v>
      </c>
      <c r="C4484" s="163">
        <v>30</v>
      </c>
      <c r="D4484" s="141">
        <f t="shared" si="146"/>
        <v>44469</v>
      </c>
      <c r="E4484" s="275">
        <f t="shared" si="147"/>
        <v>44469</v>
      </c>
      <c r="F4484" s="480"/>
      <c r="G4484" s="221" t="s">
        <v>74</v>
      </c>
      <c r="H4484" s="221" t="str" cm="1">
        <f t="array" ref="H4484">IFERROR(INDEX(INVESTOR_LIST[INVESTOR NAME],MATCH(I4484,INVESTOR_LIST[INVESTOR CODE],0),)," ")</f>
        <v xml:space="preserve"> </v>
      </c>
      <c r="I4484" s="145" t="s">
        <v>348</v>
      </c>
      <c r="J4484" s="146" t="s">
        <v>52</v>
      </c>
      <c r="K4484" s="219"/>
      <c r="L4484" s="219">
        <v>1602880</v>
      </c>
    </row>
    <row r="4485" spans="1:14" x14ac:dyDescent="0.2">
      <c r="A4485" s="133">
        <v>2021</v>
      </c>
      <c r="B4485" s="133">
        <v>9</v>
      </c>
      <c r="C4485" s="133">
        <v>30</v>
      </c>
      <c r="D4485" s="141">
        <f t="shared" si="146"/>
        <v>44469</v>
      </c>
      <c r="E4485" s="275">
        <f t="shared" si="147"/>
        <v>44469</v>
      </c>
      <c r="F4485" s="479" t="s">
        <v>77</v>
      </c>
      <c r="G4485" s="174" t="s">
        <v>74</v>
      </c>
      <c r="H4485" s="148" t="str" cm="1">
        <f t="array" ref="H4485">IFERROR(INDEX(INVESTOR_LIST[INVESTOR NAME],MATCH(I4485,INVESTOR_LIST[INVESTOR CODE],0),)," ")</f>
        <v xml:space="preserve"> </v>
      </c>
      <c r="I4485" s="148" t="s">
        <v>348</v>
      </c>
      <c r="J4485" s="133" t="s">
        <v>61</v>
      </c>
      <c r="K4485" s="172">
        <v>10</v>
      </c>
    </row>
    <row r="4486" spans="1:14" x14ac:dyDescent="0.2">
      <c r="A4486" s="163">
        <v>2021</v>
      </c>
      <c r="B4486" s="163">
        <v>9</v>
      </c>
      <c r="C4486" s="163">
        <v>30</v>
      </c>
      <c r="D4486" s="141">
        <f t="shared" si="146"/>
        <v>44469</v>
      </c>
      <c r="E4486" s="275">
        <f t="shared" si="147"/>
        <v>44469</v>
      </c>
      <c r="F4486" s="480"/>
      <c r="G4486" s="221" t="s">
        <v>74</v>
      </c>
      <c r="H4486" s="145" t="str" cm="1">
        <f t="array" ref="H4486">IFERROR(INDEX(INVESTOR_LIST[INVESTOR NAME],MATCH(I4486,INVESTOR_LIST[INVESTOR CODE],0),)," ")</f>
        <v xml:space="preserve"> </v>
      </c>
      <c r="I4486" s="145" t="s">
        <v>348</v>
      </c>
      <c r="J4486" s="163" t="s">
        <v>52</v>
      </c>
      <c r="K4486" s="219"/>
      <c r="L4486" s="219">
        <v>10</v>
      </c>
    </row>
    <row r="4487" spans="1:14" x14ac:dyDescent="0.2">
      <c r="A4487" s="238">
        <v>2021</v>
      </c>
      <c r="B4487" s="238">
        <v>9</v>
      </c>
      <c r="C4487" s="238">
        <v>30</v>
      </c>
      <c r="D4487" s="141">
        <f t="shared" si="146"/>
        <v>44469</v>
      </c>
      <c r="E4487" s="275">
        <f t="shared" si="147"/>
        <v>44469</v>
      </c>
      <c r="F4487" s="477" t="s">
        <v>347</v>
      </c>
      <c r="G4487" s="239" t="s">
        <v>94</v>
      </c>
      <c r="H4487" s="239" t="str" cm="1">
        <f t="array" ref="H4487">IFERROR(INDEX(INVESTOR_LIST[INVESTOR NAME],MATCH(I4487,INVESTOR_LIST[INVESTOR CODE],0),)," ")</f>
        <v xml:space="preserve"> </v>
      </c>
      <c r="I4487" s="262" t="s">
        <v>348</v>
      </c>
      <c r="J4487" s="240" t="s">
        <v>83</v>
      </c>
      <c r="K4487" s="241">
        <v>940155.56999999285</v>
      </c>
      <c r="L4487" s="241"/>
    </row>
    <row r="4488" spans="1:14" x14ac:dyDescent="0.2">
      <c r="A4488" s="242">
        <v>2021</v>
      </c>
      <c r="B4488" s="242">
        <v>9</v>
      </c>
      <c r="C4488" s="242">
        <v>30</v>
      </c>
      <c r="D4488" s="141">
        <f t="shared" si="146"/>
        <v>44469</v>
      </c>
      <c r="E4488" s="275">
        <f t="shared" si="147"/>
        <v>44469</v>
      </c>
      <c r="F4488" s="478"/>
      <c r="G4488" s="243" t="s">
        <v>94</v>
      </c>
      <c r="H4488" s="243" t="str" cm="1">
        <f t="array" ref="H4488">IFERROR(INDEX(INVESTOR_LIST[INVESTOR NAME],MATCH(I4488,INVESTOR_LIST[INVESTOR CODE],0),)," ")</f>
        <v xml:space="preserve"> </v>
      </c>
      <c r="I4488" s="263" t="s">
        <v>348</v>
      </c>
      <c r="J4488" s="244" t="s">
        <v>108</v>
      </c>
      <c r="K4488" s="245"/>
      <c r="L4488" s="245">
        <v>940155.56999999285</v>
      </c>
    </row>
    <row r="4489" spans="1:14" ht="22.5" x14ac:dyDescent="0.2">
      <c r="A4489" s="246">
        <v>2021</v>
      </c>
      <c r="B4489" s="246">
        <v>9</v>
      </c>
      <c r="C4489" s="246">
        <v>30</v>
      </c>
      <c r="D4489" s="141">
        <f t="shared" si="146"/>
        <v>44469</v>
      </c>
      <c r="E4489" s="275">
        <f t="shared" si="147"/>
        <v>44469</v>
      </c>
      <c r="F4489" s="482" t="s">
        <v>148</v>
      </c>
      <c r="G4489" s="247" t="s">
        <v>94</v>
      </c>
      <c r="H4489" s="247" t="str" cm="1">
        <f t="array" ref="H4489">IFERROR(INDEX(INVESTOR_LIST[INVESTOR NAME],MATCH(I4489,INVESTOR_LIST[INVESTOR CODE],0),)," ")</f>
        <v xml:space="preserve"> </v>
      </c>
      <c r="I4489" s="248" t="s">
        <v>348</v>
      </c>
      <c r="J4489" s="249" t="s">
        <v>95</v>
      </c>
      <c r="K4489" s="250">
        <v>2747.2527472527472</v>
      </c>
      <c r="L4489" s="241"/>
      <c r="M4489" s="133">
        <v>2747.2527472527472</v>
      </c>
    </row>
    <row r="4490" spans="1:14" x14ac:dyDescent="0.2">
      <c r="A4490" s="242">
        <v>2021</v>
      </c>
      <c r="B4490" s="242">
        <v>9</v>
      </c>
      <c r="C4490" s="242">
        <v>30</v>
      </c>
      <c r="D4490" s="141">
        <f t="shared" si="146"/>
        <v>44469</v>
      </c>
      <c r="E4490" s="275">
        <f t="shared" si="147"/>
        <v>44469</v>
      </c>
      <c r="F4490" s="478"/>
      <c r="G4490" s="243" t="s">
        <v>94</v>
      </c>
      <c r="H4490" s="243" t="str" cm="1">
        <f t="array" ref="H4490">IFERROR(INDEX(INVESTOR_LIST[INVESTOR NAME],MATCH(I4490,INVESTOR_LIST[INVESTOR CODE],0),)," ")</f>
        <v xml:space="preserve"> </v>
      </c>
      <c r="I4490" s="263" t="s">
        <v>348</v>
      </c>
      <c r="J4490" s="244" t="s">
        <v>63</v>
      </c>
      <c r="K4490" s="245"/>
      <c r="L4490" s="245">
        <v>2747.2527472527472</v>
      </c>
      <c r="M4490" s="133">
        <v>112200.05573473821</v>
      </c>
      <c r="N4490" s="156"/>
    </row>
    <row r="4491" spans="1:14" x14ac:dyDescent="0.2">
      <c r="A4491" s="246">
        <v>2021</v>
      </c>
      <c r="B4491" s="246">
        <v>9</v>
      </c>
      <c r="C4491" s="246">
        <v>30</v>
      </c>
      <c r="D4491" s="141">
        <f t="shared" si="146"/>
        <v>44469</v>
      </c>
      <c r="E4491" s="275">
        <f t="shared" si="147"/>
        <v>44469</v>
      </c>
      <c r="F4491" s="482" t="s">
        <v>137</v>
      </c>
      <c r="G4491" s="247" t="s">
        <v>94</v>
      </c>
      <c r="H4491" s="247" t="str" cm="1">
        <f t="array" ref="H4491">IFERROR(INDEX(INVESTOR_LIST[INVESTOR NAME],MATCH(I4491,INVESTOR_LIST[INVESTOR CODE],0),)," ")</f>
        <v xml:space="preserve"> </v>
      </c>
      <c r="I4491" s="248" t="s">
        <v>348</v>
      </c>
      <c r="J4491" s="249" t="s">
        <v>97</v>
      </c>
      <c r="K4491" s="250">
        <v>112200.05573473821</v>
      </c>
      <c r="L4491" s="252"/>
      <c r="M4491" s="133">
        <v>5556.9267925722907</v>
      </c>
    </row>
    <row r="4492" spans="1:14" x14ac:dyDescent="0.2">
      <c r="A4492" s="242">
        <v>2021</v>
      </c>
      <c r="B4492" s="242">
        <v>9</v>
      </c>
      <c r="C4492" s="242">
        <v>30</v>
      </c>
      <c r="D4492" s="141">
        <f t="shared" si="146"/>
        <v>44469</v>
      </c>
      <c r="E4492" s="275">
        <f t="shared" si="147"/>
        <v>44469</v>
      </c>
      <c r="F4492" s="478"/>
      <c r="G4492" s="243" t="s">
        <v>94</v>
      </c>
      <c r="H4492" s="243" t="str" cm="1">
        <f t="array" ref="H4492">IFERROR(INDEX(INVESTOR_LIST[INVESTOR NAME],MATCH(I4492,INVESTOR_LIST[INVESTOR CODE],0),)," ")</f>
        <v xml:space="preserve"> </v>
      </c>
      <c r="I4492" s="263" t="s">
        <v>348</v>
      </c>
      <c r="J4492" s="244" t="s">
        <v>47</v>
      </c>
      <c r="K4492" s="245"/>
      <c r="L4492" s="245">
        <v>112200.05573473821</v>
      </c>
    </row>
    <row r="4493" spans="1:14" x14ac:dyDescent="0.2">
      <c r="A4493" s="246">
        <v>2021</v>
      </c>
      <c r="B4493" s="246">
        <v>9</v>
      </c>
      <c r="C4493" s="246">
        <v>30</v>
      </c>
      <c r="D4493" s="141">
        <f t="shared" si="146"/>
        <v>44469</v>
      </c>
      <c r="E4493" s="275">
        <f t="shared" si="147"/>
        <v>44469</v>
      </c>
      <c r="F4493" s="482" t="s">
        <v>138</v>
      </c>
      <c r="G4493" s="247" t="s">
        <v>94</v>
      </c>
      <c r="H4493" s="247" t="str" cm="1">
        <f t="array" ref="H4493">IFERROR(INDEX(INVESTOR_LIST[INVESTOR NAME],MATCH(I4493,INVESTOR_LIST[INVESTOR CODE],0),)," ")</f>
        <v xml:space="preserve"> </v>
      </c>
      <c r="I4493" s="248" t="s">
        <v>348</v>
      </c>
      <c r="J4493" s="249" t="s">
        <v>100</v>
      </c>
      <c r="K4493" s="250">
        <v>5556.9267925722907</v>
      </c>
      <c r="L4493" s="252"/>
    </row>
    <row r="4494" spans="1:14" x14ac:dyDescent="0.2">
      <c r="A4494" s="242">
        <v>2021</v>
      </c>
      <c r="B4494" s="242">
        <v>9</v>
      </c>
      <c r="C4494" s="242">
        <v>30</v>
      </c>
      <c r="D4494" s="141">
        <f t="shared" ref="D4494:D4557" si="148">DATE(A4494,B4494,C4494)</f>
        <v>44469</v>
      </c>
      <c r="E4494" s="275">
        <f t="shared" si="147"/>
        <v>44469</v>
      </c>
      <c r="F4494" s="478"/>
      <c r="G4494" s="243" t="s">
        <v>94</v>
      </c>
      <c r="H4494" s="243" t="str" cm="1">
        <f t="array" ref="H4494">IFERROR(INDEX(INVESTOR_LIST[INVESTOR NAME],MATCH(I4494,INVESTOR_LIST[INVESTOR CODE],0),)," ")</f>
        <v xml:space="preserve"> </v>
      </c>
      <c r="I4494" s="263" t="s">
        <v>348</v>
      </c>
      <c r="J4494" s="244" t="s">
        <v>48</v>
      </c>
      <c r="K4494" s="245"/>
      <c r="L4494" s="245">
        <v>5556.9267925722907</v>
      </c>
    </row>
    <row r="4495" spans="1:14" ht="11.25" customHeight="1" x14ac:dyDescent="0.2">
      <c r="A4495" s="168">
        <v>2021</v>
      </c>
      <c r="B4495" s="168">
        <v>10</v>
      </c>
      <c r="C4495" s="133">
        <v>3</v>
      </c>
      <c r="D4495" s="141">
        <f t="shared" si="148"/>
        <v>44472</v>
      </c>
      <c r="E4495" s="275">
        <f t="shared" ref="E4495:E4558" si="149">DATE(A4495,B4495,C4495)</f>
        <v>44472</v>
      </c>
      <c r="F4495" s="479" t="s">
        <v>254</v>
      </c>
      <c r="G4495" s="220" t="s">
        <v>74</v>
      </c>
      <c r="H4495" s="142" t="str" cm="1">
        <f t="array" ref="H4495">IFERROR(INDEX(INVESTOR_LIST[INVESTOR NAME],MATCH(I4495,INVESTOR_LIST[INVESTOR CODE],0),)," ")</f>
        <v xml:space="preserve"> </v>
      </c>
      <c r="I4495" s="142"/>
      <c r="J4495" s="168" t="s">
        <v>52</v>
      </c>
      <c r="K4495" s="226">
        <v>3000</v>
      </c>
      <c r="L4495" s="226"/>
    </row>
    <row r="4496" spans="1:14" x14ac:dyDescent="0.2">
      <c r="A4496" s="133">
        <v>2021</v>
      </c>
      <c r="B4496" s="133">
        <v>10</v>
      </c>
      <c r="C4496" s="133">
        <v>3</v>
      </c>
      <c r="D4496" s="141">
        <f t="shared" si="148"/>
        <v>44472</v>
      </c>
      <c r="E4496" s="275">
        <f t="shared" si="149"/>
        <v>44472</v>
      </c>
      <c r="F4496" s="481"/>
      <c r="G4496" s="174" t="s">
        <v>74</v>
      </c>
      <c r="H4496" s="148" t="str" cm="1">
        <f t="array" ref="H4496">IFERROR(INDEX(INVESTOR_LIST[INVESTOR NAME],MATCH(I4496,INVESTOR_LIST[INVESTOR CODE],0),)," ")</f>
        <v xml:space="preserve"> </v>
      </c>
      <c r="J4496" s="133" t="s">
        <v>13</v>
      </c>
      <c r="K4496" s="218"/>
      <c r="L4496" s="218">
        <v>2000</v>
      </c>
    </row>
    <row r="4497" spans="1:14" x14ac:dyDescent="0.2">
      <c r="A4497" s="163">
        <v>2021</v>
      </c>
      <c r="B4497" s="163">
        <v>10</v>
      </c>
      <c r="C4497" s="163">
        <v>3</v>
      </c>
      <c r="D4497" s="141">
        <f t="shared" si="148"/>
        <v>44472</v>
      </c>
      <c r="E4497" s="275">
        <f t="shared" si="149"/>
        <v>44472</v>
      </c>
      <c r="F4497" s="480"/>
      <c r="G4497" s="221" t="s">
        <v>74</v>
      </c>
      <c r="H4497" s="145" t="str" cm="1">
        <f t="array" ref="H4497">IFERROR(INDEX(INVESTOR_LIST[INVESTOR NAME],MATCH(I4497,INVESTOR_LIST[INVESTOR CODE],0),)," ")</f>
        <v xml:space="preserve"> </v>
      </c>
      <c r="I4497" s="145"/>
      <c r="J4497" s="163" t="s">
        <v>53</v>
      </c>
      <c r="K4497" s="219"/>
      <c r="L4497" s="219">
        <v>1000</v>
      </c>
    </row>
    <row r="4498" spans="1:14" x14ac:dyDescent="0.2">
      <c r="A4498" s="168">
        <v>2021</v>
      </c>
      <c r="B4498" s="168">
        <v>10</v>
      </c>
      <c r="C4498" s="168">
        <v>4</v>
      </c>
      <c r="D4498" s="141">
        <f t="shared" si="148"/>
        <v>44473</v>
      </c>
      <c r="E4498" s="275">
        <f t="shared" si="149"/>
        <v>44473</v>
      </c>
      <c r="F4498" s="479" t="s">
        <v>914</v>
      </c>
      <c r="G4498" s="220" t="s">
        <v>94</v>
      </c>
      <c r="H4498" s="220" t="str" cm="1">
        <f t="array" ref="H4498">IFERROR(INDEX(INVESTOR_LIST[INVESTOR NAME],MATCH(I4498,INVESTOR_LIST[INVESTOR CODE],0),)," ")</f>
        <v xml:space="preserve"> </v>
      </c>
      <c r="I4498" s="142" t="s">
        <v>348</v>
      </c>
      <c r="J4498" s="143" t="s">
        <v>79</v>
      </c>
      <c r="K4498" s="226">
        <v>5091327</v>
      </c>
      <c r="L4498" s="226"/>
      <c r="M4498" s="160"/>
    </row>
    <row r="4499" spans="1:14" x14ac:dyDescent="0.2">
      <c r="A4499" s="133">
        <v>2021</v>
      </c>
      <c r="B4499" s="133">
        <v>10</v>
      </c>
      <c r="C4499" s="133">
        <v>4</v>
      </c>
      <c r="D4499" s="141">
        <f t="shared" si="148"/>
        <v>44473</v>
      </c>
      <c r="E4499" s="275">
        <f t="shared" si="149"/>
        <v>44473</v>
      </c>
      <c r="F4499" s="481"/>
      <c r="G4499" s="174" t="s">
        <v>94</v>
      </c>
      <c r="H4499" s="174" t="str" cm="1">
        <f t="array" ref="H4499">IFERROR(INDEX(INVESTOR_LIST[INVESTOR NAME],MATCH(I4499,INVESTOR_LIST[INVESTOR CODE],0),)," ")</f>
        <v xml:space="preserve"> </v>
      </c>
      <c r="I4499" s="148" t="s">
        <v>348</v>
      </c>
      <c r="J4499" s="149" t="s">
        <v>80</v>
      </c>
      <c r="K4499" s="218">
        <v>18588.07</v>
      </c>
      <c r="L4499" s="218"/>
    </row>
    <row r="4500" spans="1:14" x14ac:dyDescent="0.2">
      <c r="A4500" s="133">
        <v>2021</v>
      </c>
      <c r="B4500" s="133">
        <v>10</v>
      </c>
      <c r="C4500" s="133">
        <v>4</v>
      </c>
      <c r="D4500" s="141">
        <f t="shared" si="148"/>
        <v>44473</v>
      </c>
      <c r="E4500" s="275">
        <f t="shared" si="149"/>
        <v>44473</v>
      </c>
      <c r="F4500" s="481"/>
      <c r="G4500" s="174" t="s">
        <v>94</v>
      </c>
      <c r="H4500" s="174" t="str" cm="1">
        <f t="array" ref="H4500">IFERROR(INDEX(INVESTOR_LIST[INVESTOR NAME],MATCH(I4500,INVESTOR_LIST[INVESTOR CODE],0),)," ")</f>
        <v xml:space="preserve"> </v>
      </c>
      <c r="I4500" s="148" t="s">
        <v>348</v>
      </c>
      <c r="J4500" s="149" t="s">
        <v>190</v>
      </c>
      <c r="K4500" s="254">
        <v>125463.03</v>
      </c>
      <c r="L4500" s="218"/>
    </row>
    <row r="4501" spans="1:14" x14ac:dyDescent="0.2">
      <c r="A4501" s="133">
        <v>2021</v>
      </c>
      <c r="B4501" s="133">
        <v>10</v>
      </c>
      <c r="C4501" s="133">
        <v>4</v>
      </c>
      <c r="D4501" s="141">
        <f t="shared" si="148"/>
        <v>44473</v>
      </c>
      <c r="E4501" s="275">
        <f t="shared" si="149"/>
        <v>44473</v>
      </c>
      <c r="F4501" s="481"/>
      <c r="G4501" s="174" t="s">
        <v>94</v>
      </c>
      <c r="H4501" s="174" t="str" cm="1">
        <f t="array" ref="H4501">IFERROR(INDEX(INVESTOR_LIST[INVESTOR NAME],MATCH(I4501,INVESTOR_LIST[INVESTOR CODE],0),)," ")</f>
        <v xml:space="preserve"> </v>
      </c>
      <c r="I4501" s="148" t="s">
        <v>348</v>
      </c>
      <c r="J4501" s="149" t="s">
        <v>191</v>
      </c>
      <c r="K4501" s="218"/>
      <c r="L4501" s="218">
        <v>254065.02000000002</v>
      </c>
      <c r="N4501" s="160">
        <f>L4509/15.03</f>
        <v>1996.0079840319363</v>
      </c>
    </row>
    <row r="4502" spans="1:14" x14ac:dyDescent="0.2">
      <c r="A4502" s="163">
        <v>2021</v>
      </c>
      <c r="B4502" s="163">
        <v>10</v>
      </c>
      <c r="C4502" s="163">
        <v>4</v>
      </c>
      <c r="D4502" s="141">
        <f t="shared" si="148"/>
        <v>44473</v>
      </c>
      <c r="E4502" s="275">
        <f t="shared" si="149"/>
        <v>44473</v>
      </c>
      <c r="F4502" s="480"/>
      <c r="G4502" s="221" t="s">
        <v>94</v>
      </c>
      <c r="H4502" s="145" t="str" cm="1">
        <f t="array" ref="H4502">IFERROR(INDEX(INVESTOR_LIST[INVESTOR NAME],MATCH(I4502,INVESTOR_LIST[INVESTOR CODE],0),)," ")</f>
        <v xml:space="preserve"> </v>
      </c>
      <c r="I4502" s="145"/>
      <c r="J4502" s="163" t="s">
        <v>79</v>
      </c>
      <c r="K4502" s="219"/>
      <c r="L4502" s="219">
        <v>4981313.08</v>
      </c>
    </row>
    <row r="4503" spans="1:14" x14ac:dyDescent="0.2">
      <c r="A4503" s="168">
        <v>2021</v>
      </c>
      <c r="B4503" s="168">
        <v>10</v>
      </c>
      <c r="C4503" s="168">
        <v>4</v>
      </c>
      <c r="D4503" s="141">
        <f t="shared" si="148"/>
        <v>44473</v>
      </c>
      <c r="E4503" s="275">
        <f t="shared" si="149"/>
        <v>44473</v>
      </c>
      <c r="F4503" s="479" t="s">
        <v>544</v>
      </c>
      <c r="G4503" s="220" t="s">
        <v>74</v>
      </c>
      <c r="H4503" s="220" t="str" cm="1">
        <f t="array" ref="H4503">IFERROR(INDEX(INVESTOR_LIST[INVESTOR NAME],MATCH(I4503,INVESTOR_LIST[INVESTOR CODE],0),)," ")</f>
        <v xml:space="preserve"> </v>
      </c>
      <c r="I4503" s="142" t="s">
        <v>348</v>
      </c>
      <c r="J4503" s="143" t="s">
        <v>52</v>
      </c>
      <c r="K4503" s="226">
        <v>976239.6</v>
      </c>
      <c r="L4503" s="226"/>
    </row>
    <row r="4504" spans="1:14" x14ac:dyDescent="0.2">
      <c r="A4504" s="163">
        <v>2021</v>
      </c>
      <c r="B4504" s="163">
        <v>10</v>
      </c>
      <c r="C4504" s="163">
        <v>4</v>
      </c>
      <c r="D4504" s="141">
        <f t="shared" si="148"/>
        <v>44473</v>
      </c>
      <c r="E4504" s="275">
        <f t="shared" si="149"/>
        <v>44473</v>
      </c>
      <c r="F4504" s="480"/>
      <c r="G4504" s="221" t="s">
        <v>74</v>
      </c>
      <c r="H4504" s="221" t="str" cm="1">
        <f t="array" ref="H4504">IFERROR(INDEX(INVESTOR_LIST[INVESTOR NAME],MATCH(I4504,INVESTOR_LIST[INVESTOR CODE],0),)," ")</f>
        <v xml:space="preserve"> </v>
      </c>
      <c r="I4504" s="145" t="s">
        <v>348</v>
      </c>
      <c r="J4504" s="146" t="s">
        <v>190</v>
      </c>
      <c r="K4504" s="219"/>
      <c r="L4504" s="219">
        <v>976239.6</v>
      </c>
    </row>
    <row r="4505" spans="1:14" x14ac:dyDescent="0.2">
      <c r="A4505" s="133">
        <v>2021</v>
      </c>
      <c r="B4505" s="168">
        <v>10</v>
      </c>
      <c r="C4505" s="168">
        <v>4</v>
      </c>
      <c r="D4505" s="141">
        <f t="shared" si="148"/>
        <v>44473</v>
      </c>
      <c r="E4505" s="275">
        <f t="shared" si="149"/>
        <v>44473</v>
      </c>
      <c r="F4505" s="493" t="s">
        <v>917</v>
      </c>
      <c r="G4505" s="174" t="s">
        <v>74</v>
      </c>
      <c r="H4505" s="148" t="str" cm="1">
        <f t="array" ref="H4505">IFERROR(INDEX(INVESTOR_LIST[INVESTOR NAME],MATCH(I4505,INVESTOR_LIST[INVESTOR CODE],0),)," ")</f>
        <v xml:space="preserve"> </v>
      </c>
      <c r="I4505" s="148" t="s">
        <v>348</v>
      </c>
      <c r="J4505" s="133" t="s">
        <v>163</v>
      </c>
      <c r="K4505" s="172">
        <v>3000</v>
      </c>
    </row>
    <row r="4506" spans="1:14" x14ac:dyDescent="0.2">
      <c r="A4506" s="163">
        <v>2021</v>
      </c>
      <c r="B4506" s="163">
        <v>10</v>
      </c>
      <c r="C4506" s="163">
        <v>4</v>
      </c>
      <c r="D4506" s="141">
        <f t="shared" si="148"/>
        <v>44473</v>
      </c>
      <c r="E4506" s="275">
        <f t="shared" si="149"/>
        <v>44473</v>
      </c>
      <c r="F4506" s="480"/>
      <c r="G4506" s="221" t="s">
        <v>74</v>
      </c>
      <c r="H4506" s="145" t="str" cm="1">
        <f t="array" ref="H4506">IFERROR(INDEX(INVESTOR_LIST[INVESTOR NAME],MATCH(I4506,INVESTOR_LIST[INVESTOR CODE],0),)," ")</f>
        <v xml:space="preserve"> </v>
      </c>
      <c r="I4506" s="145" t="s">
        <v>348</v>
      </c>
      <c r="J4506" s="163" t="s">
        <v>52</v>
      </c>
      <c r="K4506" s="219"/>
      <c r="L4506" s="219">
        <v>3000</v>
      </c>
    </row>
    <row r="4507" spans="1:14" ht="45" x14ac:dyDescent="0.2">
      <c r="A4507" s="133">
        <v>2021</v>
      </c>
      <c r="B4507" s="133">
        <v>10</v>
      </c>
      <c r="C4507" s="133">
        <v>4</v>
      </c>
      <c r="D4507" s="141">
        <f t="shared" si="148"/>
        <v>44473</v>
      </c>
      <c r="E4507" s="275">
        <f t="shared" si="149"/>
        <v>44473</v>
      </c>
      <c r="F4507" s="479" t="s">
        <v>965</v>
      </c>
      <c r="G4507" s="174" t="s">
        <v>74</v>
      </c>
      <c r="H4507" s="174" t="str" cm="1">
        <f t="array" ref="H4507">IFERROR(INDEX(INVESTOR_LIST[INVESTOR NAME],MATCH(I4507,INVESTOR_LIST[INVESTOR CODE],0),)," ")</f>
        <v>SHYAMAL KRISHNA SAHA</v>
      </c>
      <c r="I4507" s="148" t="s">
        <v>378</v>
      </c>
      <c r="J4507" s="149" t="s">
        <v>13</v>
      </c>
      <c r="K4507" s="218">
        <v>19960</v>
      </c>
      <c r="L4507" s="218"/>
    </row>
    <row r="4508" spans="1:14" ht="45" x14ac:dyDescent="0.2">
      <c r="A4508" s="133">
        <v>2021</v>
      </c>
      <c r="B4508" s="133">
        <v>10</v>
      </c>
      <c r="C4508" s="133">
        <v>4</v>
      </c>
      <c r="D4508" s="141">
        <f t="shared" si="148"/>
        <v>44473</v>
      </c>
      <c r="E4508" s="275">
        <f t="shared" si="149"/>
        <v>44473</v>
      </c>
      <c r="F4508" s="481"/>
      <c r="G4508" s="174" t="s">
        <v>74</v>
      </c>
      <c r="H4508" s="174" t="str" cm="1">
        <f t="array" ref="H4508">IFERROR(INDEX(INVESTOR_LIST[INVESTOR NAME],MATCH(I4508,INVESTOR_LIST[INVESTOR CODE],0),)," ")</f>
        <v>SHYAMAL KRISHNA SAHA</v>
      </c>
      <c r="I4508" s="148" t="s">
        <v>378</v>
      </c>
      <c r="J4508" s="149" t="s">
        <v>53</v>
      </c>
      <c r="K4508" s="218">
        <v>10040</v>
      </c>
      <c r="L4508" s="218"/>
    </row>
    <row r="4509" spans="1:14" ht="45" x14ac:dyDescent="0.2">
      <c r="A4509" s="163">
        <v>2021</v>
      </c>
      <c r="B4509" s="163">
        <v>10</v>
      </c>
      <c r="C4509" s="163">
        <v>4</v>
      </c>
      <c r="D4509" s="141">
        <f t="shared" si="148"/>
        <v>44473</v>
      </c>
      <c r="E4509" s="275">
        <f t="shared" si="149"/>
        <v>44473</v>
      </c>
      <c r="F4509" s="480"/>
      <c r="G4509" s="221" t="s">
        <v>74</v>
      </c>
      <c r="H4509" s="221" t="str" cm="1">
        <f t="array" ref="H4509">IFERROR(INDEX(INVESTOR_LIST[INVESTOR NAME],MATCH(I4509,INVESTOR_LIST[INVESTOR CODE],0),)," ")</f>
        <v>SHYAMAL KRISHNA SAHA</v>
      </c>
      <c r="I4509" s="145" t="s">
        <v>378</v>
      </c>
      <c r="J4509" s="146" t="s">
        <v>52</v>
      </c>
      <c r="K4509" s="219"/>
      <c r="L4509" s="219">
        <v>30000</v>
      </c>
    </row>
    <row r="4510" spans="1:14" ht="33.75" x14ac:dyDescent="0.2">
      <c r="A4510" s="133">
        <v>2021</v>
      </c>
      <c r="B4510" s="133">
        <v>10</v>
      </c>
      <c r="C4510" s="133">
        <v>4</v>
      </c>
      <c r="D4510" s="141">
        <f t="shared" si="148"/>
        <v>44473</v>
      </c>
      <c r="E4510" s="275">
        <f t="shared" si="149"/>
        <v>44473</v>
      </c>
      <c r="F4510" s="479" t="s">
        <v>965</v>
      </c>
      <c r="G4510" s="174" t="s">
        <v>74</v>
      </c>
      <c r="H4510" s="174" t="str" cm="1">
        <f t="array" ref="H4510">IFERROR(INDEX(INVESTOR_LIST[INVESTOR NAME],MATCH(I4510,INVESTOR_LIST[INVESTOR CODE],0),)," ")</f>
        <v>MD MINHAZUL AZIZ</v>
      </c>
      <c r="I4510" s="148" t="s">
        <v>623</v>
      </c>
      <c r="J4510" s="149" t="s">
        <v>13</v>
      </c>
      <c r="K4510" s="218">
        <v>38810</v>
      </c>
      <c r="L4510" s="218"/>
    </row>
    <row r="4511" spans="1:14" ht="33.75" x14ac:dyDescent="0.2">
      <c r="A4511" s="133">
        <v>2021</v>
      </c>
      <c r="B4511" s="133">
        <v>10</v>
      </c>
      <c r="C4511" s="133">
        <v>4</v>
      </c>
      <c r="D4511" s="141">
        <f t="shared" si="148"/>
        <v>44473</v>
      </c>
      <c r="E4511" s="275">
        <f t="shared" si="149"/>
        <v>44473</v>
      </c>
      <c r="F4511" s="481"/>
      <c r="G4511" s="174" t="s">
        <v>74</v>
      </c>
      <c r="H4511" s="174" t="str" cm="1">
        <f t="array" ref="H4511">IFERROR(INDEX(INVESTOR_LIST[INVESTOR NAME],MATCH(I4511,INVESTOR_LIST[INVESTOR CODE],0),)," ")</f>
        <v>MD MINHAZUL AZIZ</v>
      </c>
      <c r="I4511" s="148" t="s">
        <v>623</v>
      </c>
      <c r="J4511" s="149" t="s">
        <v>53</v>
      </c>
      <c r="K4511" s="218">
        <v>19637.86</v>
      </c>
      <c r="L4511" s="218"/>
    </row>
    <row r="4512" spans="1:14" ht="33.75" x14ac:dyDescent="0.2">
      <c r="A4512" s="163">
        <v>2021</v>
      </c>
      <c r="B4512" s="163">
        <v>10</v>
      </c>
      <c r="C4512" s="163">
        <v>4</v>
      </c>
      <c r="D4512" s="141">
        <f t="shared" si="148"/>
        <v>44473</v>
      </c>
      <c r="E4512" s="275">
        <f t="shared" si="149"/>
        <v>44473</v>
      </c>
      <c r="F4512" s="480"/>
      <c r="G4512" s="221" t="s">
        <v>74</v>
      </c>
      <c r="H4512" s="221" t="str" cm="1">
        <f t="array" ref="H4512">IFERROR(INDEX(INVESTOR_LIST[INVESTOR NAME],MATCH(I4512,INVESTOR_LIST[INVESTOR CODE],0),)," ")</f>
        <v>MD MINHAZUL AZIZ</v>
      </c>
      <c r="I4512" s="145" t="s">
        <v>623</v>
      </c>
      <c r="J4512" s="146" t="s">
        <v>52</v>
      </c>
      <c r="K4512" s="219"/>
      <c r="L4512" s="219">
        <v>58447.86</v>
      </c>
    </row>
    <row r="4513" spans="1:12" ht="45" x14ac:dyDescent="0.2">
      <c r="A4513" s="133">
        <v>2021</v>
      </c>
      <c r="B4513" s="133">
        <v>10</v>
      </c>
      <c r="C4513" s="133">
        <v>4</v>
      </c>
      <c r="D4513" s="141">
        <f t="shared" si="148"/>
        <v>44473</v>
      </c>
      <c r="E4513" s="275">
        <f t="shared" si="149"/>
        <v>44473</v>
      </c>
      <c r="F4513" s="479" t="s">
        <v>965</v>
      </c>
      <c r="G4513" s="174" t="s">
        <v>74</v>
      </c>
      <c r="H4513" s="174" t="str" cm="1">
        <f t="array" ref="H4513">IFERROR(INDEX(INVESTOR_LIST[INVESTOR NAME],MATCH(I4513,INVESTOR_LIST[INVESTOR CODE],0),)," ")</f>
        <v>MOHAMMAD MONJUR ALAM</v>
      </c>
      <c r="I4513" s="148" t="s">
        <v>431</v>
      </c>
      <c r="J4513" s="149" t="s">
        <v>13</v>
      </c>
      <c r="K4513" s="218">
        <v>8000</v>
      </c>
      <c r="L4513" s="218"/>
    </row>
    <row r="4514" spans="1:12" ht="45" x14ac:dyDescent="0.2">
      <c r="A4514" s="133">
        <v>2021</v>
      </c>
      <c r="B4514" s="133">
        <v>10</v>
      </c>
      <c r="C4514" s="133">
        <v>4</v>
      </c>
      <c r="D4514" s="141">
        <f t="shared" si="148"/>
        <v>44473</v>
      </c>
      <c r="E4514" s="275">
        <f t="shared" si="149"/>
        <v>44473</v>
      </c>
      <c r="F4514" s="481"/>
      <c r="G4514" s="174" t="s">
        <v>74</v>
      </c>
      <c r="H4514" s="174" t="str" cm="1">
        <f t="array" ref="H4514">IFERROR(INDEX(INVESTOR_LIST[INVESTOR NAME],MATCH(I4514,INVESTOR_LIST[INVESTOR CODE],0),)," ")</f>
        <v>MOHAMMAD MONJUR ALAM</v>
      </c>
      <c r="I4514" s="148" t="s">
        <v>431</v>
      </c>
      <c r="J4514" s="149" t="s">
        <v>53</v>
      </c>
      <c r="K4514" s="218">
        <v>4022.17</v>
      </c>
      <c r="L4514" s="218"/>
    </row>
    <row r="4515" spans="1:12" ht="45" x14ac:dyDescent="0.2">
      <c r="A4515" s="163">
        <v>2021</v>
      </c>
      <c r="B4515" s="163">
        <v>10</v>
      </c>
      <c r="C4515" s="163">
        <v>4</v>
      </c>
      <c r="D4515" s="141">
        <f t="shared" si="148"/>
        <v>44473</v>
      </c>
      <c r="E4515" s="275">
        <f t="shared" si="149"/>
        <v>44473</v>
      </c>
      <c r="F4515" s="480"/>
      <c r="G4515" s="221" t="s">
        <v>74</v>
      </c>
      <c r="H4515" s="221" t="str" cm="1">
        <f t="array" ref="H4515">IFERROR(INDEX(INVESTOR_LIST[INVESTOR NAME],MATCH(I4515,INVESTOR_LIST[INVESTOR CODE],0),)," ")</f>
        <v>MOHAMMAD MONJUR ALAM</v>
      </c>
      <c r="I4515" s="145" t="s">
        <v>431</v>
      </c>
      <c r="J4515" s="146" t="s">
        <v>52</v>
      </c>
      <c r="K4515" s="219"/>
      <c r="L4515" s="219">
        <v>12022.17</v>
      </c>
    </row>
    <row r="4516" spans="1:12" ht="45" x14ac:dyDescent="0.2">
      <c r="A4516" s="133">
        <v>2021</v>
      </c>
      <c r="B4516" s="133">
        <v>10</v>
      </c>
      <c r="C4516" s="133">
        <v>4</v>
      </c>
      <c r="D4516" s="141">
        <f t="shared" si="148"/>
        <v>44473</v>
      </c>
      <c r="E4516" s="275">
        <f t="shared" si="149"/>
        <v>44473</v>
      </c>
      <c r="F4516" s="479" t="s">
        <v>965</v>
      </c>
      <c r="G4516" s="174" t="s">
        <v>74</v>
      </c>
      <c r="H4516" s="174" t="str" cm="1">
        <f t="array" ref="H4516">IFERROR(INDEX(INVESTOR_LIST[INVESTOR NAME],MATCH(I4516,INVESTOR_LIST[INVESTOR CODE],0),)," ")</f>
        <v>SANJEEDA SARMIN BADHAN</v>
      </c>
      <c r="I4516" s="148" t="s">
        <v>435</v>
      </c>
      <c r="J4516" s="149" t="s">
        <v>13</v>
      </c>
      <c r="K4516" s="218">
        <v>57000</v>
      </c>
      <c r="L4516" s="218"/>
    </row>
    <row r="4517" spans="1:12" ht="45" x14ac:dyDescent="0.2">
      <c r="A4517" s="133">
        <v>2021</v>
      </c>
      <c r="B4517" s="133">
        <v>10</v>
      </c>
      <c r="C4517" s="133">
        <v>4</v>
      </c>
      <c r="D4517" s="141">
        <f t="shared" si="148"/>
        <v>44473</v>
      </c>
      <c r="E4517" s="275">
        <f t="shared" si="149"/>
        <v>44473</v>
      </c>
      <c r="F4517" s="481"/>
      <c r="G4517" s="174" t="s">
        <v>74</v>
      </c>
      <c r="H4517" s="174" t="str" cm="1">
        <f t="array" ref="H4517">IFERROR(INDEX(INVESTOR_LIST[INVESTOR NAME],MATCH(I4517,INVESTOR_LIST[INVESTOR CODE],0),)," ")</f>
        <v>SANJEEDA SARMIN BADHAN</v>
      </c>
      <c r="I4517" s="148" t="s">
        <v>435</v>
      </c>
      <c r="J4517" s="149" t="s">
        <v>53</v>
      </c>
      <c r="K4517" s="218">
        <v>28657.96</v>
      </c>
      <c r="L4517" s="218"/>
    </row>
    <row r="4518" spans="1:12" ht="45" x14ac:dyDescent="0.2">
      <c r="A4518" s="163">
        <v>2021</v>
      </c>
      <c r="B4518" s="163">
        <v>10</v>
      </c>
      <c r="C4518" s="163">
        <v>4</v>
      </c>
      <c r="D4518" s="141">
        <f t="shared" si="148"/>
        <v>44473</v>
      </c>
      <c r="E4518" s="275">
        <f t="shared" si="149"/>
        <v>44473</v>
      </c>
      <c r="F4518" s="480"/>
      <c r="G4518" s="221" t="s">
        <v>74</v>
      </c>
      <c r="H4518" s="221" t="str" cm="1">
        <f t="array" ref="H4518">IFERROR(INDEX(INVESTOR_LIST[INVESTOR NAME],MATCH(I4518,INVESTOR_LIST[INVESTOR CODE],0),)," ")</f>
        <v>SANJEEDA SARMIN BADHAN</v>
      </c>
      <c r="I4518" s="145" t="s">
        <v>435</v>
      </c>
      <c r="J4518" s="146" t="s">
        <v>52</v>
      </c>
      <c r="K4518" s="219"/>
      <c r="L4518" s="219">
        <v>85657.96</v>
      </c>
    </row>
    <row r="4519" spans="1:12" x14ac:dyDescent="0.2">
      <c r="A4519" s="168">
        <v>2021</v>
      </c>
      <c r="B4519" s="168">
        <v>10</v>
      </c>
      <c r="C4519" s="168">
        <v>5</v>
      </c>
      <c r="D4519" s="141">
        <f t="shared" si="148"/>
        <v>44474</v>
      </c>
      <c r="E4519" s="275">
        <f t="shared" si="149"/>
        <v>44474</v>
      </c>
      <c r="F4519" s="479" t="s">
        <v>914</v>
      </c>
      <c r="G4519" s="220" t="s">
        <v>94</v>
      </c>
      <c r="H4519" s="220" t="str" cm="1">
        <f t="array" ref="H4519">IFERROR(INDEX(INVESTOR_LIST[INVESTOR NAME],MATCH(I4519,INVESTOR_LIST[INVESTOR CODE],0),)," ")</f>
        <v xml:space="preserve"> </v>
      </c>
      <c r="I4519" s="142" t="s">
        <v>348</v>
      </c>
      <c r="J4519" s="143" t="s">
        <v>79</v>
      </c>
      <c r="K4519" s="226">
        <v>920500</v>
      </c>
      <c r="L4519" s="226"/>
    </row>
    <row r="4520" spans="1:12" x14ac:dyDescent="0.2">
      <c r="A4520" s="133">
        <v>2021</v>
      </c>
      <c r="B4520" s="133">
        <v>10</v>
      </c>
      <c r="C4520" s="133">
        <v>5</v>
      </c>
      <c r="D4520" s="141">
        <f t="shared" si="148"/>
        <v>44474</v>
      </c>
      <c r="E4520" s="275">
        <f t="shared" si="149"/>
        <v>44474</v>
      </c>
      <c r="F4520" s="481"/>
      <c r="G4520" s="174" t="s">
        <v>94</v>
      </c>
      <c r="H4520" s="174" t="str" cm="1">
        <f t="array" ref="H4520">IFERROR(INDEX(INVESTOR_LIST[INVESTOR NAME],MATCH(I4520,INVESTOR_LIST[INVESTOR CODE],0),)," ")</f>
        <v xml:space="preserve"> </v>
      </c>
      <c r="I4520" s="148" t="s">
        <v>348</v>
      </c>
      <c r="J4520" s="149" t="s">
        <v>80</v>
      </c>
      <c r="K4520" s="218">
        <v>3332.78</v>
      </c>
      <c r="L4520" s="218"/>
    </row>
    <row r="4521" spans="1:12" x14ac:dyDescent="0.2">
      <c r="A4521" s="133">
        <v>2021</v>
      </c>
      <c r="B4521" s="133">
        <v>10</v>
      </c>
      <c r="C4521" s="133">
        <v>5</v>
      </c>
      <c r="D4521" s="141">
        <f t="shared" si="148"/>
        <v>44474</v>
      </c>
      <c r="E4521" s="275">
        <f t="shared" si="149"/>
        <v>44474</v>
      </c>
      <c r="F4521" s="481"/>
      <c r="G4521" s="174" t="s">
        <v>94</v>
      </c>
      <c r="H4521" s="174" t="str" cm="1">
        <f t="array" ref="H4521">IFERROR(INDEX(INVESTOR_LIST[INVESTOR NAME],MATCH(I4521,INVESTOR_LIST[INVESTOR CODE],0),)," ")</f>
        <v xml:space="preserve"> </v>
      </c>
      <c r="I4521" s="148" t="s">
        <v>348</v>
      </c>
      <c r="J4521" s="149" t="s">
        <v>190</v>
      </c>
      <c r="K4521" s="254">
        <v>7209.92</v>
      </c>
      <c r="L4521" s="218"/>
    </row>
    <row r="4522" spans="1:12" x14ac:dyDescent="0.2">
      <c r="A4522" s="133">
        <v>2021</v>
      </c>
      <c r="B4522" s="133">
        <v>10</v>
      </c>
      <c r="C4522" s="133">
        <v>5</v>
      </c>
      <c r="D4522" s="141">
        <f t="shared" si="148"/>
        <v>44474</v>
      </c>
      <c r="E4522" s="275">
        <f t="shared" si="149"/>
        <v>44474</v>
      </c>
      <c r="F4522" s="481"/>
      <c r="G4522" s="174" t="s">
        <v>94</v>
      </c>
      <c r="H4522" s="174" t="str" cm="1">
        <f t="array" ref="H4522">IFERROR(INDEX(INVESTOR_LIST[INVESTOR NAME],MATCH(I4522,INVESTOR_LIST[INVESTOR CODE],0),)," ")</f>
        <v xml:space="preserve"> </v>
      </c>
      <c r="I4522" s="148" t="s">
        <v>348</v>
      </c>
      <c r="J4522" s="149" t="s">
        <v>191</v>
      </c>
      <c r="K4522" s="218"/>
      <c r="L4522" s="218">
        <v>267713.41000000003</v>
      </c>
    </row>
    <row r="4523" spans="1:12" x14ac:dyDescent="0.2">
      <c r="A4523" s="163">
        <v>2021</v>
      </c>
      <c r="B4523" s="163">
        <v>10</v>
      </c>
      <c r="C4523" s="163">
        <v>5</v>
      </c>
      <c r="D4523" s="141">
        <f t="shared" si="148"/>
        <v>44474</v>
      </c>
      <c r="E4523" s="275">
        <f t="shared" si="149"/>
        <v>44474</v>
      </c>
      <c r="F4523" s="480"/>
      <c r="G4523" s="221" t="s">
        <v>94</v>
      </c>
      <c r="H4523" s="145" t="str" cm="1">
        <f t="array" ref="H4523">IFERROR(INDEX(INVESTOR_LIST[INVESTOR NAME],MATCH(I4523,INVESTOR_LIST[INVESTOR CODE],0),)," ")</f>
        <v xml:space="preserve"> </v>
      </c>
      <c r="I4523" s="145"/>
      <c r="J4523" s="163" t="s">
        <v>79</v>
      </c>
      <c r="K4523" s="219"/>
      <c r="L4523" s="219">
        <v>663329.29</v>
      </c>
    </row>
    <row r="4524" spans="1:12" x14ac:dyDescent="0.2">
      <c r="A4524" s="168">
        <v>2021</v>
      </c>
      <c r="B4524" s="168">
        <v>10</v>
      </c>
      <c r="C4524" s="168">
        <v>5</v>
      </c>
      <c r="D4524" s="141">
        <f t="shared" si="148"/>
        <v>44474</v>
      </c>
      <c r="E4524" s="275">
        <f t="shared" si="149"/>
        <v>44474</v>
      </c>
      <c r="F4524" s="479" t="s">
        <v>920</v>
      </c>
      <c r="G4524" s="220" t="s">
        <v>74</v>
      </c>
      <c r="H4524" s="220" t="str" cm="1">
        <f t="array" ref="H4524">IFERROR(INDEX(INVESTOR_LIST[INVESTOR NAME],MATCH(I4524,INVESTOR_LIST[INVESTOR CODE],0),)," ")</f>
        <v xml:space="preserve"> </v>
      </c>
      <c r="I4524" s="142" t="s">
        <v>348</v>
      </c>
      <c r="J4524" s="143" t="s">
        <v>184</v>
      </c>
      <c r="K4524" s="226">
        <v>1280000</v>
      </c>
      <c r="L4524" s="226"/>
    </row>
    <row r="4525" spans="1:12" x14ac:dyDescent="0.2">
      <c r="A4525" s="133">
        <v>2021</v>
      </c>
      <c r="B4525" s="133">
        <v>10</v>
      </c>
      <c r="C4525" s="133">
        <v>5</v>
      </c>
      <c r="D4525" s="141">
        <f t="shared" si="148"/>
        <v>44474</v>
      </c>
      <c r="E4525" s="275">
        <f t="shared" si="149"/>
        <v>44474</v>
      </c>
      <c r="F4525" s="481"/>
      <c r="G4525" s="174" t="s">
        <v>74</v>
      </c>
      <c r="H4525" s="174" t="str" cm="1">
        <f t="array" ref="H4525">IFERROR(INDEX(INVESTOR_LIST[INVESTOR NAME],MATCH(I4525,INVESTOR_LIST[INVESTOR CODE],0),)," ")</f>
        <v xml:space="preserve"> </v>
      </c>
      <c r="I4525" s="148" t="s">
        <v>348</v>
      </c>
      <c r="J4525" s="149" t="s">
        <v>185</v>
      </c>
      <c r="K4525" s="218">
        <v>3000</v>
      </c>
      <c r="L4525" s="218"/>
    </row>
    <row r="4526" spans="1:12" x14ac:dyDescent="0.2">
      <c r="A4526" s="133">
        <v>2021</v>
      </c>
      <c r="B4526" s="133">
        <v>10</v>
      </c>
      <c r="C4526" s="133">
        <v>5</v>
      </c>
      <c r="D4526" s="141">
        <f t="shared" si="148"/>
        <v>44474</v>
      </c>
      <c r="E4526" s="275">
        <f t="shared" si="149"/>
        <v>44474</v>
      </c>
      <c r="F4526" s="481"/>
      <c r="G4526" s="174" t="s">
        <v>74</v>
      </c>
      <c r="H4526" s="174" t="str" cm="1">
        <f t="array" ref="H4526">IFERROR(INDEX(INVESTOR_LIST[INVESTOR NAME],MATCH(I4526,INVESTOR_LIST[INVESTOR CODE],0),)," ")</f>
        <v xml:space="preserve"> </v>
      </c>
      <c r="I4526" s="148" t="s">
        <v>348</v>
      </c>
      <c r="J4526" s="149" t="s">
        <v>61</v>
      </c>
      <c r="K4526" s="218">
        <v>115</v>
      </c>
      <c r="L4526" s="218"/>
    </row>
    <row r="4527" spans="1:12" x14ac:dyDescent="0.2">
      <c r="A4527" s="163">
        <v>2021</v>
      </c>
      <c r="B4527" s="163">
        <v>10</v>
      </c>
      <c r="C4527" s="163">
        <v>5</v>
      </c>
      <c r="D4527" s="141">
        <f t="shared" si="148"/>
        <v>44474</v>
      </c>
      <c r="E4527" s="275">
        <f t="shared" si="149"/>
        <v>44474</v>
      </c>
      <c r="F4527" s="480"/>
      <c r="G4527" s="221" t="s">
        <v>74</v>
      </c>
      <c r="H4527" s="221" t="str" cm="1">
        <f t="array" ref="H4527">IFERROR(INDEX(INVESTOR_LIST[INVESTOR NAME],MATCH(I4527,INVESTOR_LIST[INVESTOR CODE],0),)," ")</f>
        <v xml:space="preserve"> </v>
      </c>
      <c r="I4527" s="145" t="s">
        <v>348</v>
      </c>
      <c r="J4527" s="146" t="s">
        <v>52</v>
      </c>
      <c r="K4527" s="219"/>
      <c r="L4527" s="219">
        <v>1283115</v>
      </c>
    </row>
    <row r="4528" spans="1:12" x14ac:dyDescent="0.2">
      <c r="A4528" s="168">
        <v>2021</v>
      </c>
      <c r="B4528" s="168">
        <v>10</v>
      </c>
      <c r="C4528" s="133">
        <v>6</v>
      </c>
      <c r="D4528" s="141">
        <f t="shared" si="148"/>
        <v>44475</v>
      </c>
      <c r="E4528" s="275">
        <f t="shared" si="149"/>
        <v>44475</v>
      </c>
      <c r="F4528" s="479" t="s">
        <v>918</v>
      </c>
      <c r="G4528" s="220" t="s">
        <v>74</v>
      </c>
      <c r="H4528" s="220" t="str" cm="1">
        <f t="array" ref="H4528">IFERROR(INDEX(INVESTOR_LIST[INVESTOR NAME],MATCH(I4528,INVESTOR_LIST[INVESTOR CODE],0),)," ")</f>
        <v xml:space="preserve"> </v>
      </c>
      <c r="I4528" s="142"/>
      <c r="J4528" s="143" t="s">
        <v>79</v>
      </c>
      <c r="K4528" s="226">
        <v>269600</v>
      </c>
      <c r="L4528" s="226"/>
    </row>
    <row r="4529" spans="1:14" x14ac:dyDescent="0.2">
      <c r="A4529" s="133">
        <v>2021</v>
      </c>
      <c r="B4529" s="133">
        <v>10</v>
      </c>
      <c r="C4529" s="133">
        <v>6</v>
      </c>
      <c r="D4529" s="141">
        <f t="shared" si="148"/>
        <v>44475</v>
      </c>
      <c r="E4529" s="275">
        <f t="shared" si="149"/>
        <v>44475</v>
      </c>
      <c r="F4529" s="481"/>
      <c r="G4529" s="174" t="s">
        <v>74</v>
      </c>
      <c r="H4529" s="174" t="str" cm="1">
        <f t="array" ref="H4529">IFERROR(INDEX(INVESTOR_LIST[INVESTOR NAME],MATCH(I4529,INVESTOR_LIST[INVESTOR CODE],0),)," ")</f>
        <v xml:space="preserve"> </v>
      </c>
      <c r="J4529" s="149" t="s">
        <v>52</v>
      </c>
      <c r="K4529" s="218">
        <v>10730400</v>
      </c>
      <c r="L4529" s="218"/>
      <c r="N4529" s="160"/>
    </row>
    <row r="4530" spans="1:14" x14ac:dyDescent="0.2">
      <c r="A4530" s="163">
        <v>2021</v>
      </c>
      <c r="B4530" s="163">
        <v>10</v>
      </c>
      <c r="C4530" s="163">
        <v>6</v>
      </c>
      <c r="D4530" s="141">
        <f t="shared" si="148"/>
        <v>44475</v>
      </c>
      <c r="E4530" s="275">
        <f t="shared" si="149"/>
        <v>44475</v>
      </c>
      <c r="F4530" s="480"/>
      <c r="G4530" s="221" t="s">
        <v>74</v>
      </c>
      <c r="H4530" s="221" t="str" cm="1">
        <f t="array" ref="H4530">IFERROR(INDEX(INVESTOR_LIST[INVESTOR NAME],MATCH(I4530,INVESTOR_LIST[INVESTOR CODE],0),)," ")</f>
        <v xml:space="preserve"> </v>
      </c>
      <c r="I4530" s="145"/>
      <c r="J4530" s="146" t="s">
        <v>184</v>
      </c>
      <c r="K4530" s="219"/>
      <c r="L4530" s="219">
        <v>11000000</v>
      </c>
    </row>
    <row r="4531" spans="1:14" ht="33.75" x14ac:dyDescent="0.2">
      <c r="A4531" s="133">
        <v>2021</v>
      </c>
      <c r="B4531" s="133">
        <v>10</v>
      </c>
      <c r="C4531" s="133">
        <v>6</v>
      </c>
      <c r="D4531" s="141">
        <f t="shared" si="148"/>
        <v>44475</v>
      </c>
      <c r="E4531" s="275">
        <f t="shared" si="149"/>
        <v>44475</v>
      </c>
      <c r="F4531" s="479" t="s">
        <v>965</v>
      </c>
      <c r="G4531" s="174" t="s">
        <v>74</v>
      </c>
      <c r="H4531" s="174" t="str" cm="1">
        <f t="array" ref="H4531">IFERROR(INDEX(INVESTOR_LIST[INVESTOR NAME],MATCH(I4531,INVESTOR_LIST[INVESTOR CODE],0),)," ")</f>
        <v>FARHANA AKHTER</v>
      </c>
      <c r="I4531" s="148" t="s">
        <v>665</v>
      </c>
      <c r="J4531" s="149" t="s">
        <v>13</v>
      </c>
      <c r="K4531" s="218">
        <v>500000</v>
      </c>
      <c r="L4531" s="218"/>
    </row>
    <row r="4532" spans="1:14" ht="33.75" x14ac:dyDescent="0.2">
      <c r="A4532" s="133">
        <v>2021</v>
      </c>
      <c r="B4532" s="133">
        <v>10</v>
      </c>
      <c r="C4532" s="133">
        <v>6</v>
      </c>
      <c r="D4532" s="141">
        <f t="shared" si="148"/>
        <v>44475</v>
      </c>
      <c r="E4532" s="275">
        <f t="shared" si="149"/>
        <v>44475</v>
      </c>
      <c r="F4532" s="481"/>
      <c r="G4532" s="174" t="s">
        <v>74</v>
      </c>
      <c r="H4532" s="174" t="str" cm="1">
        <f t="array" ref="H4532">IFERROR(INDEX(INVESTOR_LIST[INVESTOR NAME],MATCH(I4532,INVESTOR_LIST[INVESTOR CODE],0),)," ")</f>
        <v>FARHANA AKHTER</v>
      </c>
      <c r="I4532" s="148" t="s">
        <v>665</v>
      </c>
      <c r="J4532" s="149" t="s">
        <v>53</v>
      </c>
      <c r="K4532" s="218">
        <v>251385.58</v>
      </c>
      <c r="L4532" s="218"/>
    </row>
    <row r="4533" spans="1:14" ht="33.75" x14ac:dyDescent="0.2">
      <c r="A4533" s="163">
        <v>2021</v>
      </c>
      <c r="B4533" s="163">
        <v>10</v>
      </c>
      <c r="C4533" s="163">
        <v>6</v>
      </c>
      <c r="D4533" s="141">
        <f t="shared" si="148"/>
        <v>44475</v>
      </c>
      <c r="E4533" s="275">
        <f t="shared" si="149"/>
        <v>44475</v>
      </c>
      <c r="F4533" s="480"/>
      <c r="G4533" s="221" t="s">
        <v>74</v>
      </c>
      <c r="H4533" s="221" t="str" cm="1">
        <f t="array" ref="H4533">IFERROR(INDEX(INVESTOR_LIST[INVESTOR NAME],MATCH(I4533,INVESTOR_LIST[INVESTOR CODE],0),)," ")</f>
        <v>FARHANA AKHTER</v>
      </c>
      <c r="I4533" s="145" t="s">
        <v>665</v>
      </c>
      <c r="J4533" s="146" t="s">
        <v>52</v>
      </c>
      <c r="K4533" s="219"/>
      <c r="L4533" s="219">
        <v>751385.58</v>
      </c>
    </row>
    <row r="4534" spans="1:14" ht="11.25" customHeight="1" x14ac:dyDescent="0.2">
      <c r="A4534" s="168">
        <v>2021</v>
      </c>
      <c r="B4534" s="168">
        <v>10</v>
      </c>
      <c r="C4534" s="133">
        <v>6</v>
      </c>
      <c r="D4534" s="141">
        <f t="shared" si="148"/>
        <v>44475</v>
      </c>
      <c r="E4534" s="275">
        <f t="shared" si="149"/>
        <v>44475</v>
      </c>
      <c r="F4534" s="479" t="s">
        <v>254</v>
      </c>
      <c r="G4534" s="220" t="s">
        <v>74</v>
      </c>
      <c r="H4534" s="142" t="str" cm="1">
        <f t="array" ref="H4534">IFERROR(INDEX(INVESTOR_LIST[INVESTOR NAME],MATCH(I4534,INVESTOR_LIST[INVESTOR CODE],0),)," ")</f>
        <v xml:space="preserve"> </v>
      </c>
      <c r="I4534" s="142"/>
      <c r="J4534" s="168" t="s">
        <v>52</v>
      </c>
      <c r="K4534" s="226">
        <v>5000</v>
      </c>
      <c r="L4534" s="226"/>
    </row>
    <row r="4535" spans="1:14" x14ac:dyDescent="0.2">
      <c r="A4535" s="133">
        <v>2021</v>
      </c>
      <c r="B4535" s="133">
        <v>10</v>
      </c>
      <c r="C4535" s="133">
        <v>6</v>
      </c>
      <c r="D4535" s="141">
        <f t="shared" si="148"/>
        <v>44475</v>
      </c>
      <c r="E4535" s="275">
        <f t="shared" si="149"/>
        <v>44475</v>
      </c>
      <c r="F4535" s="481"/>
      <c r="G4535" s="174" t="s">
        <v>74</v>
      </c>
      <c r="H4535" s="148" t="str" cm="1">
        <f t="array" ref="H4535">IFERROR(INDEX(INVESTOR_LIST[INVESTOR NAME],MATCH(I4535,INVESTOR_LIST[INVESTOR CODE],0),)," ")</f>
        <v xml:space="preserve"> </v>
      </c>
      <c r="J4535" s="133" t="s">
        <v>13</v>
      </c>
      <c r="K4535" s="218"/>
      <c r="L4535" s="218">
        <v>3330</v>
      </c>
    </row>
    <row r="4536" spans="1:14" x14ac:dyDescent="0.2">
      <c r="A4536" s="163">
        <v>2021</v>
      </c>
      <c r="B4536" s="163">
        <v>10</v>
      </c>
      <c r="C4536" s="163">
        <v>6</v>
      </c>
      <c r="D4536" s="141">
        <f t="shared" si="148"/>
        <v>44475</v>
      </c>
      <c r="E4536" s="275">
        <f t="shared" si="149"/>
        <v>44475</v>
      </c>
      <c r="F4536" s="480"/>
      <c r="G4536" s="221" t="s">
        <v>74</v>
      </c>
      <c r="H4536" s="145" t="str" cm="1">
        <f t="array" ref="H4536">IFERROR(INDEX(INVESTOR_LIST[INVESTOR NAME],MATCH(I4536,INVESTOR_LIST[INVESTOR CODE],0),)," ")</f>
        <v xml:space="preserve"> </v>
      </c>
      <c r="I4536" s="145"/>
      <c r="J4536" s="163" t="s">
        <v>53</v>
      </c>
      <c r="K4536" s="219"/>
      <c r="L4536" s="219">
        <v>1670</v>
      </c>
    </row>
    <row r="4537" spans="1:14" ht="56.25" x14ac:dyDescent="0.2">
      <c r="A4537" s="133">
        <v>2021</v>
      </c>
      <c r="B4537" s="133">
        <v>10</v>
      </c>
      <c r="C4537" s="133">
        <v>7</v>
      </c>
      <c r="D4537" s="141">
        <f t="shared" si="148"/>
        <v>44476</v>
      </c>
      <c r="E4537" s="275">
        <f t="shared" si="149"/>
        <v>44476</v>
      </c>
      <c r="F4537" s="479" t="s">
        <v>965</v>
      </c>
      <c r="G4537" s="174" t="s">
        <v>74</v>
      </c>
      <c r="H4537" s="174" t="str" cm="1">
        <f t="array" ref="H4537">IFERROR(INDEX(INVESTOR_LIST[INVESTOR NAME],MATCH(I4537,INVESTOR_LIST[INVESTOR CODE],0),)," ")</f>
        <v>MOHAMMAD SHAHIDUL ISLAM</v>
      </c>
      <c r="I4537" s="148" t="s">
        <v>805</v>
      </c>
      <c r="J4537" s="149" t="s">
        <v>13</v>
      </c>
      <c r="K4537" s="218">
        <v>74290</v>
      </c>
      <c r="L4537" s="218"/>
    </row>
    <row r="4538" spans="1:14" ht="56.25" x14ac:dyDescent="0.2">
      <c r="A4538" s="133">
        <v>2021</v>
      </c>
      <c r="B4538" s="133">
        <v>10</v>
      </c>
      <c r="C4538" s="133">
        <v>7</v>
      </c>
      <c r="D4538" s="141">
        <f t="shared" si="148"/>
        <v>44476</v>
      </c>
      <c r="E4538" s="275">
        <f t="shared" si="149"/>
        <v>44476</v>
      </c>
      <c r="F4538" s="481"/>
      <c r="G4538" s="174" t="s">
        <v>74</v>
      </c>
      <c r="H4538" s="174" t="str" cm="1">
        <f t="array" ref="H4538">IFERROR(INDEX(INVESTOR_LIST[INVESTOR NAME],MATCH(I4538,INVESTOR_LIST[INVESTOR CODE],0),)," ")</f>
        <v>MOHAMMAD SHAHIDUL ISLAM</v>
      </c>
      <c r="I4538" s="148" t="s">
        <v>805</v>
      </c>
      <c r="J4538" s="149" t="s">
        <v>53</v>
      </c>
      <c r="K4538" s="218">
        <v>37350.870000000003</v>
      </c>
      <c r="L4538" s="218"/>
    </row>
    <row r="4539" spans="1:14" ht="56.25" x14ac:dyDescent="0.2">
      <c r="A4539" s="163">
        <v>2021</v>
      </c>
      <c r="B4539" s="163">
        <v>10</v>
      </c>
      <c r="C4539" s="163">
        <v>7</v>
      </c>
      <c r="D4539" s="141">
        <f t="shared" si="148"/>
        <v>44476</v>
      </c>
      <c r="E4539" s="275">
        <f t="shared" si="149"/>
        <v>44476</v>
      </c>
      <c r="F4539" s="480"/>
      <c r="G4539" s="221" t="s">
        <v>74</v>
      </c>
      <c r="H4539" s="221" t="str" cm="1">
        <f t="array" ref="H4539">IFERROR(INDEX(INVESTOR_LIST[INVESTOR NAME],MATCH(I4539,INVESTOR_LIST[INVESTOR CODE],0),)," ")</f>
        <v>MOHAMMAD SHAHIDUL ISLAM</v>
      </c>
      <c r="I4539" s="145" t="s">
        <v>805</v>
      </c>
      <c r="J4539" s="146" t="s">
        <v>52</v>
      </c>
      <c r="K4539" s="219"/>
      <c r="L4539" s="219">
        <v>111640.87</v>
      </c>
    </row>
    <row r="4540" spans="1:14" ht="11.25" customHeight="1" x14ac:dyDescent="0.2">
      <c r="A4540" s="168">
        <v>2021</v>
      </c>
      <c r="B4540" s="168">
        <v>10</v>
      </c>
      <c r="C4540" s="133">
        <v>7</v>
      </c>
      <c r="D4540" s="141">
        <f t="shared" si="148"/>
        <v>44476</v>
      </c>
      <c r="E4540" s="275">
        <f t="shared" si="149"/>
        <v>44476</v>
      </c>
      <c r="F4540" s="479" t="s">
        <v>254</v>
      </c>
      <c r="G4540" s="220" t="s">
        <v>74</v>
      </c>
      <c r="H4540" s="142" t="str" cm="1">
        <f t="array" ref="H4540">IFERROR(INDEX(INVESTOR_LIST[INVESTOR NAME],MATCH(I4540,INVESTOR_LIST[INVESTOR CODE],0),)," ")</f>
        <v xml:space="preserve"> </v>
      </c>
      <c r="I4540" s="142"/>
      <c r="J4540" s="168" t="s">
        <v>52</v>
      </c>
      <c r="K4540" s="226">
        <v>5000</v>
      </c>
      <c r="L4540" s="226"/>
    </row>
    <row r="4541" spans="1:14" x14ac:dyDescent="0.2">
      <c r="A4541" s="133">
        <v>2021</v>
      </c>
      <c r="B4541" s="133">
        <v>10</v>
      </c>
      <c r="C4541" s="133">
        <v>7</v>
      </c>
      <c r="D4541" s="141">
        <f t="shared" si="148"/>
        <v>44476</v>
      </c>
      <c r="E4541" s="275">
        <f t="shared" si="149"/>
        <v>44476</v>
      </c>
      <c r="F4541" s="481"/>
      <c r="G4541" s="174" t="s">
        <v>74</v>
      </c>
      <c r="H4541" s="148" t="str" cm="1">
        <f t="array" ref="H4541">IFERROR(INDEX(INVESTOR_LIST[INVESTOR NAME],MATCH(I4541,INVESTOR_LIST[INVESTOR CODE],0),)," ")</f>
        <v xml:space="preserve"> </v>
      </c>
      <c r="J4541" s="133" t="s">
        <v>13</v>
      </c>
      <c r="K4541" s="218"/>
      <c r="L4541" s="218">
        <v>3330</v>
      </c>
    </row>
    <row r="4542" spans="1:14" x14ac:dyDescent="0.2">
      <c r="A4542" s="163">
        <v>2021</v>
      </c>
      <c r="B4542" s="163">
        <v>10</v>
      </c>
      <c r="C4542" s="163">
        <v>7</v>
      </c>
      <c r="D4542" s="141">
        <f t="shared" si="148"/>
        <v>44476</v>
      </c>
      <c r="E4542" s="275">
        <f t="shared" si="149"/>
        <v>44476</v>
      </c>
      <c r="F4542" s="480"/>
      <c r="G4542" s="221" t="s">
        <v>74</v>
      </c>
      <c r="H4542" s="145" t="str" cm="1">
        <f t="array" ref="H4542">IFERROR(INDEX(INVESTOR_LIST[INVESTOR NAME],MATCH(I4542,INVESTOR_LIST[INVESTOR CODE],0),)," ")</f>
        <v xml:space="preserve"> </v>
      </c>
      <c r="I4542" s="145"/>
      <c r="J4542" s="163" t="s">
        <v>53</v>
      </c>
      <c r="K4542" s="219"/>
      <c r="L4542" s="219">
        <v>1670</v>
      </c>
    </row>
    <row r="4543" spans="1:14" x14ac:dyDescent="0.2">
      <c r="A4543" s="133">
        <v>2021</v>
      </c>
      <c r="B4543" s="133">
        <v>10</v>
      </c>
      <c r="C4543" s="133">
        <v>7</v>
      </c>
      <c r="D4543" s="141">
        <f t="shared" si="148"/>
        <v>44476</v>
      </c>
      <c r="E4543" s="275">
        <f t="shared" si="149"/>
        <v>44476</v>
      </c>
      <c r="F4543" s="479" t="s">
        <v>919</v>
      </c>
      <c r="G4543" s="174" t="s">
        <v>74</v>
      </c>
      <c r="H4543" s="148" t="str" cm="1">
        <f t="array" ref="H4543">IFERROR(INDEX(INVESTOR_LIST[INVESTOR NAME],MATCH(I4543,INVESTOR_LIST[INVESTOR CODE],0),)," ")</f>
        <v xml:space="preserve"> </v>
      </c>
      <c r="I4543" s="148" t="s">
        <v>348</v>
      </c>
      <c r="J4543" s="133" t="s">
        <v>52</v>
      </c>
      <c r="K4543" s="172">
        <v>100000</v>
      </c>
    </row>
    <row r="4544" spans="1:14" x14ac:dyDescent="0.2">
      <c r="A4544" s="163">
        <v>2021</v>
      </c>
      <c r="B4544" s="163">
        <v>10</v>
      </c>
      <c r="C4544" s="163">
        <v>7</v>
      </c>
      <c r="D4544" s="141">
        <f t="shared" si="148"/>
        <v>44476</v>
      </c>
      <c r="E4544" s="275">
        <f t="shared" si="149"/>
        <v>44476</v>
      </c>
      <c r="F4544" s="480"/>
      <c r="G4544" s="221" t="s">
        <v>74</v>
      </c>
      <c r="H4544" s="145" t="str" cm="1">
        <f t="array" ref="H4544">IFERROR(INDEX(INVESTOR_LIST[INVESTOR NAME],MATCH(I4544,INVESTOR_LIST[INVESTOR CODE],0),)," ")</f>
        <v xml:space="preserve"> </v>
      </c>
      <c r="I4544" s="145" t="s">
        <v>348</v>
      </c>
      <c r="J4544" s="163" t="s">
        <v>168</v>
      </c>
      <c r="K4544" s="219"/>
      <c r="L4544" s="219">
        <v>100000</v>
      </c>
    </row>
    <row r="4545" spans="1:15" x14ac:dyDescent="0.2">
      <c r="A4545" s="238">
        <v>2021</v>
      </c>
      <c r="B4545" s="238">
        <v>10</v>
      </c>
      <c r="C4545" s="238">
        <v>7</v>
      </c>
      <c r="D4545" s="141">
        <f t="shared" si="148"/>
        <v>44476</v>
      </c>
      <c r="E4545" s="275">
        <f t="shared" si="149"/>
        <v>44476</v>
      </c>
      <c r="F4545" s="477" t="s">
        <v>347</v>
      </c>
      <c r="G4545" s="239" t="s">
        <v>94</v>
      </c>
      <c r="H4545" s="239" t="str" cm="1">
        <f t="array" ref="H4545">IFERROR(INDEX(INVESTOR_LIST[INVESTOR NAME],MATCH(I4545,INVESTOR_LIST[INVESTOR CODE],0),)," ")</f>
        <v xml:space="preserve"> </v>
      </c>
      <c r="I4545" s="262" t="s">
        <v>348</v>
      </c>
      <c r="J4545" s="240" t="s">
        <v>83</v>
      </c>
      <c r="K4545" s="241">
        <v>128724.1697076261</v>
      </c>
      <c r="L4545" s="241"/>
    </row>
    <row r="4546" spans="1:15" x14ac:dyDescent="0.2">
      <c r="A4546" s="242">
        <v>2021</v>
      </c>
      <c r="B4546" s="242">
        <v>10</v>
      </c>
      <c r="C4546" s="242">
        <v>7</v>
      </c>
      <c r="D4546" s="141">
        <f t="shared" si="148"/>
        <v>44476</v>
      </c>
      <c r="E4546" s="275">
        <f t="shared" si="149"/>
        <v>44476</v>
      </c>
      <c r="F4546" s="478"/>
      <c r="G4546" s="243" t="s">
        <v>94</v>
      </c>
      <c r="H4546" s="243" t="str" cm="1">
        <f t="array" ref="H4546">IFERROR(INDEX(INVESTOR_LIST[INVESTOR NAME],MATCH(I4546,INVESTOR_LIST[INVESTOR CODE],0),)," ")</f>
        <v xml:space="preserve"> </v>
      </c>
      <c r="I4546" s="263" t="s">
        <v>348</v>
      </c>
      <c r="J4546" s="244" t="s">
        <v>108</v>
      </c>
      <c r="K4546" s="245"/>
      <c r="L4546" s="245">
        <v>128724.1697076261</v>
      </c>
    </row>
    <row r="4547" spans="1:15" ht="22.5" x14ac:dyDescent="0.2">
      <c r="A4547" s="246">
        <v>2021</v>
      </c>
      <c r="B4547" s="246">
        <v>10</v>
      </c>
      <c r="C4547" s="246">
        <v>7</v>
      </c>
      <c r="D4547" s="141">
        <f t="shared" si="148"/>
        <v>44476</v>
      </c>
      <c r="E4547" s="275">
        <f t="shared" si="149"/>
        <v>44476</v>
      </c>
      <c r="F4547" s="482" t="s">
        <v>148</v>
      </c>
      <c r="G4547" s="247" t="s">
        <v>94</v>
      </c>
      <c r="H4547" s="247" t="str" cm="1">
        <f t="array" ref="H4547">IFERROR(INDEX(INVESTOR_LIST[INVESTOR NAME],MATCH(I4547,INVESTOR_LIST[INVESTOR CODE],0),)," ")</f>
        <v xml:space="preserve"> </v>
      </c>
      <c r="I4547" s="248" t="s">
        <v>348</v>
      </c>
      <c r="J4547" s="249" t="s">
        <v>95</v>
      </c>
      <c r="K4547" s="250">
        <v>2747.2527472527472</v>
      </c>
      <c r="L4547" s="241"/>
      <c r="M4547" s="133">
        <v>2747.2527472527472</v>
      </c>
    </row>
    <row r="4548" spans="1:15" x14ac:dyDescent="0.2">
      <c r="A4548" s="242">
        <v>2021</v>
      </c>
      <c r="B4548" s="242">
        <v>10</v>
      </c>
      <c r="C4548" s="242">
        <v>7</v>
      </c>
      <c r="D4548" s="141">
        <f t="shared" si="148"/>
        <v>44476</v>
      </c>
      <c r="E4548" s="275">
        <f t="shared" si="149"/>
        <v>44476</v>
      </c>
      <c r="F4548" s="478"/>
      <c r="G4548" s="243" t="s">
        <v>94</v>
      </c>
      <c r="H4548" s="243" t="str" cm="1">
        <f t="array" ref="H4548">IFERROR(INDEX(INVESTOR_LIST[INVESTOR NAME],MATCH(I4548,INVESTOR_LIST[INVESTOR CODE],0),)," ")</f>
        <v xml:space="preserve"> </v>
      </c>
      <c r="I4548" s="263" t="s">
        <v>348</v>
      </c>
      <c r="J4548" s="244" t="s">
        <v>63</v>
      </c>
      <c r="K4548" s="245"/>
      <c r="L4548" s="245">
        <v>2747.2527472527472</v>
      </c>
      <c r="M4548" s="133">
        <v>111971.69796599334</v>
      </c>
    </row>
    <row r="4549" spans="1:15" x14ac:dyDescent="0.2">
      <c r="A4549" s="246">
        <v>2021</v>
      </c>
      <c r="B4549" s="246">
        <v>10</v>
      </c>
      <c r="C4549" s="246">
        <v>7</v>
      </c>
      <c r="D4549" s="141">
        <f t="shared" si="148"/>
        <v>44476</v>
      </c>
      <c r="E4549" s="275">
        <f t="shared" si="149"/>
        <v>44476</v>
      </c>
      <c r="F4549" s="482" t="s">
        <v>137</v>
      </c>
      <c r="G4549" s="247" t="s">
        <v>94</v>
      </c>
      <c r="H4549" s="247" t="str" cm="1">
        <f t="array" ref="H4549">IFERROR(INDEX(INVESTOR_LIST[INVESTOR NAME],MATCH(I4549,INVESTOR_LIST[INVESTOR CODE],0),)," ")</f>
        <v xml:space="preserve"> </v>
      </c>
      <c r="I4549" s="248" t="s">
        <v>348</v>
      </c>
      <c r="J4549" s="249" t="s">
        <v>97</v>
      </c>
      <c r="K4549" s="250">
        <v>111971.69796599334</v>
      </c>
      <c r="L4549" s="252"/>
      <c r="M4549" s="133">
        <v>5541.7029413226346</v>
      </c>
      <c r="O4549" s="160"/>
    </row>
    <row r="4550" spans="1:15" x14ac:dyDescent="0.2">
      <c r="A4550" s="242">
        <v>2021</v>
      </c>
      <c r="B4550" s="242">
        <v>10</v>
      </c>
      <c r="C4550" s="242">
        <v>7</v>
      </c>
      <c r="D4550" s="141">
        <f t="shared" si="148"/>
        <v>44476</v>
      </c>
      <c r="E4550" s="275">
        <f t="shared" si="149"/>
        <v>44476</v>
      </c>
      <c r="F4550" s="478"/>
      <c r="G4550" s="243" t="s">
        <v>94</v>
      </c>
      <c r="H4550" s="243" t="str" cm="1">
        <f t="array" ref="H4550">IFERROR(INDEX(INVESTOR_LIST[INVESTOR NAME],MATCH(I4550,INVESTOR_LIST[INVESTOR CODE],0),)," ")</f>
        <v xml:space="preserve"> </v>
      </c>
      <c r="I4550" s="263" t="s">
        <v>348</v>
      </c>
      <c r="J4550" s="244" t="s">
        <v>47</v>
      </c>
      <c r="K4550" s="245"/>
      <c r="L4550" s="245">
        <v>111971.69796599334</v>
      </c>
    </row>
    <row r="4551" spans="1:15" x14ac:dyDescent="0.2">
      <c r="A4551" s="246">
        <v>2021</v>
      </c>
      <c r="B4551" s="246">
        <v>10</v>
      </c>
      <c r="C4551" s="246">
        <v>7</v>
      </c>
      <c r="D4551" s="141">
        <f t="shared" si="148"/>
        <v>44476</v>
      </c>
      <c r="E4551" s="275">
        <f t="shared" si="149"/>
        <v>44476</v>
      </c>
      <c r="F4551" s="482" t="s">
        <v>138</v>
      </c>
      <c r="G4551" s="247" t="s">
        <v>94</v>
      </c>
      <c r="H4551" s="247" t="str" cm="1">
        <f t="array" ref="H4551">IFERROR(INDEX(INVESTOR_LIST[INVESTOR NAME],MATCH(I4551,INVESTOR_LIST[INVESTOR CODE],0),)," ")</f>
        <v xml:space="preserve"> </v>
      </c>
      <c r="I4551" s="248" t="s">
        <v>348</v>
      </c>
      <c r="J4551" s="249" t="s">
        <v>100</v>
      </c>
      <c r="K4551" s="250">
        <v>5541.7029413226346</v>
      </c>
      <c r="L4551" s="252"/>
    </row>
    <row r="4552" spans="1:15" x14ac:dyDescent="0.2">
      <c r="A4552" s="242">
        <v>2021</v>
      </c>
      <c r="B4552" s="242">
        <v>10</v>
      </c>
      <c r="C4552" s="242">
        <v>7</v>
      </c>
      <c r="D4552" s="141">
        <f t="shared" si="148"/>
        <v>44476</v>
      </c>
      <c r="E4552" s="275">
        <f t="shared" si="149"/>
        <v>44476</v>
      </c>
      <c r="F4552" s="478"/>
      <c r="G4552" s="243" t="s">
        <v>94</v>
      </c>
      <c r="H4552" s="243" t="str" cm="1">
        <f t="array" ref="H4552">IFERROR(INDEX(INVESTOR_LIST[INVESTOR NAME],MATCH(I4552,INVESTOR_LIST[INVESTOR CODE],0),)," ")</f>
        <v xml:space="preserve"> </v>
      </c>
      <c r="I4552" s="263" t="s">
        <v>348</v>
      </c>
      <c r="J4552" s="244" t="s">
        <v>48</v>
      </c>
      <c r="K4552" s="245"/>
      <c r="L4552" s="245">
        <v>5541.7029413226346</v>
      </c>
    </row>
    <row r="4553" spans="1:15" ht="11.25" customHeight="1" x14ac:dyDescent="0.2">
      <c r="A4553" s="168">
        <v>2021</v>
      </c>
      <c r="B4553" s="168">
        <v>10</v>
      </c>
      <c r="C4553" s="133">
        <v>10</v>
      </c>
      <c r="D4553" s="141">
        <f t="shared" si="148"/>
        <v>44479</v>
      </c>
      <c r="E4553" s="275">
        <f t="shared" si="149"/>
        <v>44479</v>
      </c>
      <c r="F4553" s="479" t="s">
        <v>969</v>
      </c>
      <c r="G4553" s="220" t="s">
        <v>74</v>
      </c>
      <c r="H4553" s="142" t="str" cm="1">
        <f t="array" ref="H4553">IFERROR(INDEX(INVESTOR_LIST[INVESTOR NAME],MATCH(I4553,INVESTOR_LIST[INVESTOR CODE],0),)," ")</f>
        <v>MD. ZAHID HOSSAIN</v>
      </c>
      <c r="I4553" s="142" t="s">
        <v>478</v>
      </c>
      <c r="J4553" s="168" t="s">
        <v>13</v>
      </c>
      <c r="K4553" s="226">
        <v>179330</v>
      </c>
      <c r="L4553" s="226"/>
    </row>
    <row r="4554" spans="1:15" ht="33.75" x14ac:dyDescent="0.2">
      <c r="A4554" s="133">
        <v>2021</v>
      </c>
      <c r="B4554" s="133">
        <v>10</v>
      </c>
      <c r="C4554" s="133">
        <v>10</v>
      </c>
      <c r="D4554" s="141">
        <f t="shared" si="148"/>
        <v>44479</v>
      </c>
      <c r="E4554" s="275">
        <f t="shared" si="149"/>
        <v>44479</v>
      </c>
      <c r="F4554" s="481"/>
      <c r="G4554" s="174" t="s">
        <v>74</v>
      </c>
      <c r="H4554" s="148" t="str" cm="1">
        <f t="array" ref="H4554">IFERROR(INDEX(INVESTOR_LIST[INVESTOR NAME],MATCH(I4554,INVESTOR_LIST[INVESTOR CODE],0),)," ")</f>
        <v>MD. ZAHID HOSSAIN</v>
      </c>
      <c r="I4554" s="148" t="s">
        <v>478</v>
      </c>
      <c r="J4554" s="133" t="s">
        <v>53</v>
      </c>
      <c r="K4554" s="218">
        <v>90434.82</v>
      </c>
      <c r="L4554" s="218"/>
    </row>
    <row r="4555" spans="1:15" ht="33.75" x14ac:dyDescent="0.2">
      <c r="A4555" s="163">
        <v>2021</v>
      </c>
      <c r="B4555" s="163">
        <v>10</v>
      </c>
      <c r="C4555" s="163">
        <v>10</v>
      </c>
      <c r="D4555" s="141">
        <f t="shared" si="148"/>
        <v>44479</v>
      </c>
      <c r="E4555" s="275">
        <f t="shared" si="149"/>
        <v>44479</v>
      </c>
      <c r="F4555" s="480"/>
      <c r="G4555" s="221" t="s">
        <v>74</v>
      </c>
      <c r="H4555" s="145" t="str" cm="1">
        <f t="array" ref="H4555">IFERROR(INDEX(INVESTOR_LIST[INVESTOR NAME],MATCH(I4555,INVESTOR_LIST[INVESTOR CODE],0),)," ")</f>
        <v>MD. ZAHID HOSSAIN</v>
      </c>
      <c r="I4555" s="145" t="s">
        <v>478</v>
      </c>
      <c r="J4555" s="163" t="s">
        <v>52</v>
      </c>
      <c r="K4555" s="219"/>
      <c r="L4555" s="219">
        <v>269764.82</v>
      </c>
    </row>
    <row r="4556" spans="1:15" ht="33.75" x14ac:dyDescent="0.2">
      <c r="A4556" s="168">
        <v>2021</v>
      </c>
      <c r="B4556" s="168">
        <v>10</v>
      </c>
      <c r="C4556" s="133">
        <v>10</v>
      </c>
      <c r="D4556" s="141">
        <f t="shared" si="148"/>
        <v>44479</v>
      </c>
      <c r="E4556" s="275">
        <f t="shared" si="149"/>
        <v>44479</v>
      </c>
      <c r="F4556" s="479" t="s">
        <v>965</v>
      </c>
      <c r="G4556" s="220" t="s">
        <v>74</v>
      </c>
      <c r="H4556" s="142" t="str" cm="1">
        <f t="array" ref="H4556">IFERROR(INDEX(INVESTOR_LIST[INVESTOR NAME],MATCH(I4556,INVESTOR_LIST[INVESTOR CODE],0),)," ")</f>
        <v>MD. ZAHID HOSSAIN</v>
      </c>
      <c r="I4556" s="142" t="s">
        <v>478</v>
      </c>
      <c r="J4556" s="168" t="s">
        <v>13</v>
      </c>
      <c r="K4556" s="226">
        <v>470250</v>
      </c>
      <c r="L4556" s="226"/>
    </row>
    <row r="4557" spans="1:15" ht="33.75" x14ac:dyDescent="0.2">
      <c r="A4557" s="133">
        <v>2021</v>
      </c>
      <c r="B4557" s="133">
        <v>10</v>
      </c>
      <c r="C4557" s="133">
        <v>10</v>
      </c>
      <c r="D4557" s="141">
        <f t="shared" si="148"/>
        <v>44479</v>
      </c>
      <c r="E4557" s="275">
        <f t="shared" si="149"/>
        <v>44479</v>
      </c>
      <c r="F4557" s="481"/>
      <c r="G4557" s="174" t="s">
        <v>74</v>
      </c>
      <c r="H4557" s="148" t="str" cm="1">
        <f t="array" ref="H4557">IFERROR(INDEX(INVESTOR_LIST[INVESTOR NAME],MATCH(I4557,INVESTOR_LIST[INVESTOR CODE],0),)," ")</f>
        <v>MD. ZAHID HOSSAIN</v>
      </c>
      <c r="I4557" s="148" t="s">
        <v>478</v>
      </c>
      <c r="J4557" s="133" t="s">
        <v>53</v>
      </c>
      <c r="K4557" s="218">
        <v>236155.27</v>
      </c>
      <c r="L4557" s="218"/>
    </row>
    <row r="4558" spans="1:15" ht="33.75" x14ac:dyDescent="0.2">
      <c r="A4558" s="163">
        <v>2021</v>
      </c>
      <c r="B4558" s="163">
        <v>10</v>
      </c>
      <c r="C4558" s="163">
        <v>10</v>
      </c>
      <c r="D4558" s="141">
        <f t="shared" ref="D4558:D4621" si="150">DATE(A4558,B4558,C4558)</f>
        <v>44479</v>
      </c>
      <c r="E4558" s="275">
        <f t="shared" si="149"/>
        <v>44479</v>
      </c>
      <c r="F4558" s="480"/>
      <c r="G4558" s="221" t="s">
        <v>74</v>
      </c>
      <c r="H4558" s="145" t="str" cm="1">
        <f t="array" ref="H4558">IFERROR(INDEX(INVESTOR_LIST[INVESTOR NAME],MATCH(I4558,INVESTOR_LIST[INVESTOR CODE],0),)," ")</f>
        <v>MD. ZAHID HOSSAIN</v>
      </c>
      <c r="I4558" s="145" t="s">
        <v>478</v>
      </c>
      <c r="J4558" s="163" t="s">
        <v>52</v>
      </c>
      <c r="K4558" s="219"/>
      <c r="L4558" s="219">
        <v>706405.27</v>
      </c>
    </row>
    <row r="4559" spans="1:15" ht="33.75" x14ac:dyDescent="0.2">
      <c r="A4559" s="168">
        <v>2021</v>
      </c>
      <c r="B4559" s="168">
        <v>10</v>
      </c>
      <c r="C4559" s="133">
        <v>10</v>
      </c>
      <c r="D4559" s="141">
        <f t="shared" si="150"/>
        <v>44479</v>
      </c>
      <c r="E4559" s="275">
        <f t="shared" ref="E4559:E4622" si="151">DATE(A4559,B4559,C4559)</f>
        <v>44479</v>
      </c>
      <c r="F4559" s="479" t="s">
        <v>965</v>
      </c>
      <c r="G4559" s="220" t="s">
        <v>74</v>
      </c>
      <c r="H4559" s="142" t="str" cm="1">
        <f t="array" ref="H4559">IFERROR(INDEX(INVESTOR_LIST[INVESTOR NAME],MATCH(I4559,INVESTOR_LIST[INVESTOR CODE],0),)," ")</f>
        <v>MD. ARIFUL ISLAM</v>
      </c>
      <c r="I4559" s="142" t="s">
        <v>455</v>
      </c>
      <c r="J4559" s="168" t="s">
        <v>13</v>
      </c>
      <c r="K4559" s="226">
        <v>380410</v>
      </c>
      <c r="L4559" s="226"/>
    </row>
    <row r="4560" spans="1:15" ht="33.75" x14ac:dyDescent="0.2">
      <c r="A4560" s="133">
        <v>2021</v>
      </c>
      <c r="B4560" s="133">
        <v>10</v>
      </c>
      <c r="C4560" s="133">
        <v>10</v>
      </c>
      <c r="D4560" s="141">
        <f t="shared" si="150"/>
        <v>44479</v>
      </c>
      <c r="E4560" s="275">
        <f t="shared" si="151"/>
        <v>44479</v>
      </c>
      <c r="F4560" s="481"/>
      <c r="G4560" s="174" t="s">
        <v>74</v>
      </c>
      <c r="H4560" s="148" t="str" cm="1">
        <f t="array" ref="H4560">IFERROR(INDEX(INVESTOR_LIST[INVESTOR NAME],MATCH(I4560,INVESTOR_LIST[INVESTOR CODE],0),)," ")</f>
        <v>MD. ARIFUL ISLAM</v>
      </c>
      <c r="I4560" s="148" t="s">
        <v>455</v>
      </c>
      <c r="J4560" s="133" t="s">
        <v>53</v>
      </c>
      <c r="K4560" s="218">
        <v>191838.01</v>
      </c>
      <c r="L4560" s="218"/>
    </row>
    <row r="4561" spans="1:14" ht="33.75" x14ac:dyDescent="0.2">
      <c r="A4561" s="163">
        <v>2021</v>
      </c>
      <c r="B4561" s="163">
        <v>10</v>
      </c>
      <c r="C4561" s="163">
        <v>10</v>
      </c>
      <c r="D4561" s="141">
        <f t="shared" si="150"/>
        <v>44479</v>
      </c>
      <c r="E4561" s="275">
        <f t="shared" si="151"/>
        <v>44479</v>
      </c>
      <c r="F4561" s="480"/>
      <c r="G4561" s="221" t="s">
        <v>74</v>
      </c>
      <c r="H4561" s="145" t="str" cm="1">
        <f t="array" ref="H4561">IFERROR(INDEX(INVESTOR_LIST[INVESTOR NAME],MATCH(I4561,INVESTOR_LIST[INVESTOR CODE],0),)," ")</f>
        <v>MD. ARIFUL ISLAM</v>
      </c>
      <c r="I4561" s="145" t="s">
        <v>455</v>
      </c>
      <c r="J4561" s="163" t="s">
        <v>52</v>
      </c>
      <c r="K4561" s="219"/>
      <c r="L4561" s="219">
        <v>572248.01</v>
      </c>
      <c r="N4561" s="156"/>
    </row>
    <row r="4562" spans="1:14" ht="11.25" customHeight="1" x14ac:dyDescent="0.2">
      <c r="A4562" s="168">
        <v>2021</v>
      </c>
      <c r="B4562" s="168">
        <v>10</v>
      </c>
      <c r="C4562" s="133">
        <v>10</v>
      </c>
      <c r="D4562" s="141">
        <f t="shared" si="150"/>
        <v>44479</v>
      </c>
      <c r="E4562" s="275">
        <f t="shared" si="151"/>
        <v>44479</v>
      </c>
      <c r="F4562" s="479" t="s">
        <v>969</v>
      </c>
      <c r="G4562" s="220" t="s">
        <v>74</v>
      </c>
      <c r="H4562" s="142" t="str" cm="1">
        <f t="array" ref="H4562">IFERROR(INDEX(INVESTOR_LIST[INVESTOR NAME],MATCH(I4562,INVESTOR_LIST[INVESTOR CODE],0),)," ")</f>
        <v>MINHAJ UDDIN</v>
      </c>
      <c r="I4562" s="142" t="s">
        <v>390</v>
      </c>
      <c r="J4562" s="168" t="s">
        <v>13</v>
      </c>
      <c r="K4562" s="226">
        <v>18620</v>
      </c>
      <c r="L4562" s="226"/>
    </row>
    <row r="4563" spans="1:14" ht="22.5" x14ac:dyDescent="0.2">
      <c r="A4563" s="133">
        <v>2021</v>
      </c>
      <c r="B4563" s="133">
        <v>10</v>
      </c>
      <c r="C4563" s="133">
        <v>10</v>
      </c>
      <c r="D4563" s="141">
        <f t="shared" si="150"/>
        <v>44479</v>
      </c>
      <c r="E4563" s="275">
        <f t="shared" si="151"/>
        <v>44479</v>
      </c>
      <c r="F4563" s="481"/>
      <c r="G4563" s="174" t="s">
        <v>74</v>
      </c>
      <c r="H4563" s="148" t="str" cm="1">
        <f t="array" ref="H4563">IFERROR(INDEX(INVESTOR_LIST[INVESTOR NAME],MATCH(I4563,INVESTOR_LIST[INVESTOR CODE],0),)," ")</f>
        <v>MINHAJ UDDIN</v>
      </c>
      <c r="I4563" s="148" t="s">
        <v>390</v>
      </c>
      <c r="J4563" s="133" t="s">
        <v>53</v>
      </c>
      <c r="K4563" s="218">
        <v>9389.93</v>
      </c>
      <c r="L4563" s="218"/>
    </row>
    <row r="4564" spans="1:14" ht="22.5" x14ac:dyDescent="0.2">
      <c r="A4564" s="163">
        <v>2021</v>
      </c>
      <c r="B4564" s="163">
        <v>10</v>
      </c>
      <c r="C4564" s="163">
        <v>10</v>
      </c>
      <c r="D4564" s="141">
        <f t="shared" si="150"/>
        <v>44479</v>
      </c>
      <c r="E4564" s="275">
        <f t="shared" si="151"/>
        <v>44479</v>
      </c>
      <c r="F4564" s="480"/>
      <c r="G4564" s="221" t="s">
        <v>74</v>
      </c>
      <c r="H4564" s="145" t="str" cm="1">
        <f t="array" ref="H4564">IFERROR(INDEX(INVESTOR_LIST[INVESTOR NAME],MATCH(I4564,INVESTOR_LIST[INVESTOR CODE],0),)," ")</f>
        <v>MINHAJ UDDIN</v>
      </c>
      <c r="I4564" s="145" t="s">
        <v>390</v>
      </c>
      <c r="J4564" s="163" t="s">
        <v>52</v>
      </c>
      <c r="K4564" s="219"/>
      <c r="L4564" s="219">
        <v>28009.93</v>
      </c>
    </row>
    <row r="4565" spans="1:14" ht="11.25" customHeight="1" x14ac:dyDescent="0.2">
      <c r="A4565" s="168">
        <v>2021</v>
      </c>
      <c r="B4565" s="168">
        <v>10</v>
      </c>
      <c r="C4565" s="133">
        <v>10</v>
      </c>
      <c r="D4565" s="141">
        <f t="shared" si="150"/>
        <v>44479</v>
      </c>
      <c r="E4565" s="275">
        <f t="shared" si="151"/>
        <v>44479</v>
      </c>
      <c r="F4565" s="479" t="s">
        <v>254</v>
      </c>
      <c r="G4565" s="220" t="s">
        <v>74</v>
      </c>
      <c r="H4565" s="142" t="str" cm="1">
        <f t="array" ref="H4565">IFERROR(INDEX(INVESTOR_LIST[INVESTOR NAME],MATCH(I4565,INVESTOR_LIST[INVESTOR CODE],0),)," ")</f>
        <v xml:space="preserve"> </v>
      </c>
      <c r="I4565" s="142"/>
      <c r="J4565" s="168" t="s">
        <v>52</v>
      </c>
      <c r="K4565" s="226">
        <v>336500</v>
      </c>
      <c r="L4565" s="226"/>
    </row>
    <row r="4566" spans="1:14" x14ac:dyDescent="0.2">
      <c r="A4566" s="133">
        <v>2021</v>
      </c>
      <c r="B4566" s="133">
        <v>10</v>
      </c>
      <c r="C4566" s="133">
        <v>10</v>
      </c>
      <c r="D4566" s="141">
        <f t="shared" si="150"/>
        <v>44479</v>
      </c>
      <c r="E4566" s="275">
        <f t="shared" si="151"/>
        <v>44479</v>
      </c>
      <c r="F4566" s="481"/>
      <c r="G4566" s="174" t="s">
        <v>74</v>
      </c>
      <c r="H4566" s="148" t="str" cm="1">
        <f t="array" ref="H4566">IFERROR(INDEX(INVESTOR_LIST[INVESTOR NAME],MATCH(I4566,INVESTOR_LIST[INVESTOR CODE],0),)," ")</f>
        <v xml:space="preserve"> </v>
      </c>
      <c r="J4566" s="133" t="s">
        <v>13</v>
      </c>
      <c r="K4566" s="218"/>
      <c r="L4566" s="218">
        <v>223650</v>
      </c>
    </row>
    <row r="4567" spans="1:14" x14ac:dyDescent="0.2">
      <c r="A4567" s="163">
        <v>2021</v>
      </c>
      <c r="B4567" s="163">
        <v>10</v>
      </c>
      <c r="C4567" s="163">
        <v>10</v>
      </c>
      <c r="D4567" s="141">
        <f t="shared" si="150"/>
        <v>44479</v>
      </c>
      <c r="E4567" s="275">
        <f t="shared" si="151"/>
        <v>44479</v>
      </c>
      <c r="F4567" s="480"/>
      <c r="G4567" s="221" t="s">
        <v>74</v>
      </c>
      <c r="H4567" s="145" t="str" cm="1">
        <f t="array" ref="H4567">IFERROR(INDEX(INVESTOR_LIST[INVESTOR NAME],MATCH(I4567,INVESTOR_LIST[INVESTOR CODE],0),)," ")</f>
        <v xml:space="preserve"> </v>
      </c>
      <c r="I4567" s="145"/>
      <c r="J4567" s="163" t="s">
        <v>53</v>
      </c>
      <c r="K4567" s="219"/>
      <c r="L4567" s="219">
        <v>112850</v>
      </c>
    </row>
    <row r="4568" spans="1:14" ht="33.75" x14ac:dyDescent="0.2">
      <c r="A4568" s="168">
        <v>2021</v>
      </c>
      <c r="B4568" s="168">
        <v>10</v>
      </c>
      <c r="C4568" s="133">
        <v>11</v>
      </c>
      <c r="D4568" s="141">
        <f t="shared" si="150"/>
        <v>44480</v>
      </c>
      <c r="E4568" s="275">
        <f t="shared" si="151"/>
        <v>44480</v>
      </c>
      <c r="F4568" s="479" t="s">
        <v>965</v>
      </c>
      <c r="G4568" s="220" t="s">
        <v>74</v>
      </c>
      <c r="H4568" s="142" t="str" cm="1">
        <f t="array" ref="H4568">IFERROR(INDEX(INVESTOR_LIST[INVESTOR NAME],MATCH(I4568,INVESTOR_LIST[INVESTOR CODE],0),)," ")</f>
        <v>MD KAMRUL ISLAM</v>
      </c>
      <c r="I4568" s="142" t="s">
        <v>516</v>
      </c>
      <c r="J4568" s="168" t="s">
        <v>13</v>
      </c>
      <c r="K4568" s="226">
        <v>401610</v>
      </c>
      <c r="L4568" s="226"/>
    </row>
    <row r="4569" spans="1:14" ht="33.75" x14ac:dyDescent="0.2">
      <c r="A4569" s="133">
        <v>2021</v>
      </c>
      <c r="B4569" s="133">
        <v>10</v>
      </c>
      <c r="C4569" s="133">
        <v>11</v>
      </c>
      <c r="D4569" s="141">
        <f t="shared" si="150"/>
        <v>44480</v>
      </c>
      <c r="E4569" s="275">
        <f t="shared" si="151"/>
        <v>44480</v>
      </c>
      <c r="F4569" s="481"/>
      <c r="G4569" s="174" t="s">
        <v>74</v>
      </c>
      <c r="H4569" s="148" t="str" cm="1">
        <f t="array" ref="H4569">IFERROR(INDEX(INVESTOR_LIST[INVESTOR NAME],MATCH(I4569,INVESTOR_LIST[INVESTOR CODE],0),)," ")</f>
        <v>MD KAMRUL ISLAM</v>
      </c>
      <c r="I4569" s="148" t="s">
        <v>516</v>
      </c>
      <c r="J4569" s="133" t="s">
        <v>53</v>
      </c>
      <c r="K4569" s="218">
        <v>202529.02</v>
      </c>
      <c r="L4569" s="218"/>
    </row>
    <row r="4570" spans="1:14" ht="33.75" x14ac:dyDescent="0.2">
      <c r="A4570" s="163">
        <v>2021</v>
      </c>
      <c r="B4570" s="163">
        <v>10</v>
      </c>
      <c r="C4570" s="163">
        <v>11</v>
      </c>
      <c r="D4570" s="141">
        <f t="shared" si="150"/>
        <v>44480</v>
      </c>
      <c r="E4570" s="275">
        <f t="shared" si="151"/>
        <v>44480</v>
      </c>
      <c r="F4570" s="480"/>
      <c r="G4570" s="221" t="s">
        <v>74</v>
      </c>
      <c r="H4570" s="145" t="str" cm="1">
        <f t="array" ref="H4570">IFERROR(INDEX(INVESTOR_LIST[INVESTOR NAME],MATCH(I4570,INVESTOR_LIST[INVESTOR CODE],0),)," ")</f>
        <v>MD KAMRUL ISLAM</v>
      </c>
      <c r="I4570" s="145" t="s">
        <v>516</v>
      </c>
      <c r="J4570" s="163" t="s">
        <v>52</v>
      </c>
      <c r="K4570" s="219"/>
      <c r="L4570" s="219">
        <v>604139.02</v>
      </c>
    </row>
    <row r="4571" spans="1:14" ht="11.25" customHeight="1" x14ac:dyDescent="0.2">
      <c r="A4571" s="168">
        <v>2021</v>
      </c>
      <c r="B4571" s="168">
        <v>10</v>
      </c>
      <c r="C4571" s="133">
        <v>11</v>
      </c>
      <c r="D4571" s="141">
        <f t="shared" si="150"/>
        <v>44480</v>
      </c>
      <c r="E4571" s="275">
        <f t="shared" si="151"/>
        <v>44480</v>
      </c>
      <c r="F4571" s="479" t="s">
        <v>969</v>
      </c>
      <c r="G4571" s="220" t="s">
        <v>74</v>
      </c>
      <c r="H4571" s="142" t="str" cm="1">
        <f t="array" ref="H4571">IFERROR(INDEX(INVESTOR_LIST[INVESTOR NAME],MATCH(I4571,INVESTOR_LIST[INVESTOR CODE],0),)," ")</f>
        <v>RAKIBUL ISLAM</v>
      </c>
      <c r="I4571" s="142" t="s">
        <v>656</v>
      </c>
      <c r="J4571" s="168" t="s">
        <v>13</v>
      </c>
      <c r="K4571" s="226">
        <v>7730</v>
      </c>
      <c r="L4571" s="226"/>
    </row>
    <row r="4572" spans="1:14" ht="22.5" x14ac:dyDescent="0.2">
      <c r="A4572" s="133">
        <v>2021</v>
      </c>
      <c r="B4572" s="133">
        <v>10</v>
      </c>
      <c r="C4572" s="133">
        <v>11</v>
      </c>
      <c r="D4572" s="141">
        <f t="shared" si="150"/>
        <v>44480</v>
      </c>
      <c r="E4572" s="275">
        <f t="shared" si="151"/>
        <v>44480</v>
      </c>
      <c r="F4572" s="481"/>
      <c r="G4572" s="174" t="s">
        <v>74</v>
      </c>
      <c r="H4572" s="148" t="str" cm="1">
        <f t="array" ref="H4572">IFERROR(INDEX(INVESTOR_LIST[INVESTOR NAME],MATCH(I4572,INVESTOR_LIST[INVESTOR CODE],0),)," ")</f>
        <v>RAKIBUL ISLAM</v>
      </c>
      <c r="I4572" s="148" t="s">
        <v>656</v>
      </c>
      <c r="J4572" s="133" t="s">
        <v>53</v>
      </c>
      <c r="K4572" s="218">
        <v>3898.18</v>
      </c>
      <c r="L4572" s="218"/>
    </row>
    <row r="4573" spans="1:14" ht="22.5" x14ac:dyDescent="0.2">
      <c r="A4573" s="163">
        <v>2021</v>
      </c>
      <c r="B4573" s="163">
        <v>10</v>
      </c>
      <c r="C4573" s="163">
        <v>11</v>
      </c>
      <c r="D4573" s="141">
        <f t="shared" si="150"/>
        <v>44480</v>
      </c>
      <c r="E4573" s="275">
        <f t="shared" si="151"/>
        <v>44480</v>
      </c>
      <c r="F4573" s="480"/>
      <c r="G4573" s="221" t="s">
        <v>74</v>
      </c>
      <c r="H4573" s="145" t="str" cm="1">
        <f t="array" ref="H4573">IFERROR(INDEX(INVESTOR_LIST[INVESTOR NAME],MATCH(I4573,INVESTOR_LIST[INVESTOR CODE],0),)," ")</f>
        <v>RAKIBUL ISLAM</v>
      </c>
      <c r="I4573" s="145" t="s">
        <v>656</v>
      </c>
      <c r="J4573" s="163" t="s">
        <v>52</v>
      </c>
      <c r="K4573" s="219"/>
      <c r="L4573" s="219">
        <v>11628.18</v>
      </c>
    </row>
    <row r="4574" spans="1:14" x14ac:dyDescent="0.2">
      <c r="A4574" s="168">
        <v>2021</v>
      </c>
      <c r="B4574" s="168">
        <v>10</v>
      </c>
      <c r="C4574" s="168">
        <v>11</v>
      </c>
      <c r="D4574" s="141">
        <f t="shared" si="150"/>
        <v>44480</v>
      </c>
      <c r="E4574" s="275">
        <f t="shared" si="151"/>
        <v>44480</v>
      </c>
      <c r="F4574" s="479" t="s">
        <v>275</v>
      </c>
      <c r="G4574" s="220" t="s">
        <v>74</v>
      </c>
      <c r="H4574" s="220" t="str" cm="1">
        <f t="array" ref="H4574">IFERROR(INDEX(INVESTOR_LIST[INVESTOR NAME],MATCH(I4574,INVESTOR_LIST[INVESTOR CODE],0),)," ")</f>
        <v xml:space="preserve"> </v>
      </c>
      <c r="I4574" s="142" t="s">
        <v>348</v>
      </c>
      <c r="J4574" s="143" t="s">
        <v>163</v>
      </c>
      <c r="K4574" s="226">
        <v>3150</v>
      </c>
      <c r="L4574" s="226"/>
      <c r="N4574" s="156">
        <f>K4579/15.04</f>
        <v>6648.9361702127662</v>
      </c>
    </row>
    <row r="4575" spans="1:14" x14ac:dyDescent="0.2">
      <c r="A4575" s="163">
        <v>2021</v>
      </c>
      <c r="B4575" s="163">
        <v>10</v>
      </c>
      <c r="C4575" s="163">
        <v>11</v>
      </c>
      <c r="D4575" s="141">
        <f t="shared" si="150"/>
        <v>44480</v>
      </c>
      <c r="E4575" s="275">
        <f t="shared" si="151"/>
        <v>44480</v>
      </c>
      <c r="F4575" s="480"/>
      <c r="G4575" s="221" t="s">
        <v>74</v>
      </c>
      <c r="H4575" s="221" t="str" cm="1">
        <f t="array" ref="H4575">IFERROR(INDEX(INVESTOR_LIST[INVESTOR NAME],MATCH(I4575,INVESTOR_LIST[INVESTOR CODE],0),)," ")</f>
        <v xml:space="preserve"> </v>
      </c>
      <c r="I4575" s="145" t="s">
        <v>348</v>
      </c>
      <c r="J4575" s="146" t="s">
        <v>52</v>
      </c>
      <c r="K4575" s="219"/>
      <c r="L4575" s="219">
        <v>3150</v>
      </c>
    </row>
    <row r="4576" spans="1:14" x14ac:dyDescent="0.2">
      <c r="A4576" s="168">
        <v>2021</v>
      </c>
      <c r="B4576" s="168">
        <v>10</v>
      </c>
      <c r="C4576" s="168">
        <v>12</v>
      </c>
      <c r="D4576" s="141">
        <f t="shared" si="150"/>
        <v>44481</v>
      </c>
      <c r="E4576" s="275">
        <f t="shared" si="151"/>
        <v>44481</v>
      </c>
      <c r="F4576" s="479" t="s">
        <v>931</v>
      </c>
      <c r="G4576" s="220" t="s">
        <v>74</v>
      </c>
      <c r="H4576" s="220" t="str" cm="1">
        <f t="array" ref="H4576">IFERROR(INDEX(INVESTOR_LIST[INVESTOR NAME],MATCH(I4576,INVESTOR_LIST[INVESTOR CODE],0),)," ")</f>
        <v xml:space="preserve"> </v>
      </c>
      <c r="I4576" s="142" t="s">
        <v>348</v>
      </c>
      <c r="J4576" s="143" t="s">
        <v>184</v>
      </c>
      <c r="K4576" s="226">
        <v>22000000</v>
      </c>
      <c r="L4576" s="226"/>
    </row>
    <row r="4577" spans="1:14" x14ac:dyDescent="0.2">
      <c r="A4577" s="133">
        <v>2021</v>
      </c>
      <c r="B4577" s="133">
        <v>10</v>
      </c>
      <c r="C4577" s="133">
        <v>12</v>
      </c>
      <c r="D4577" s="141">
        <f t="shared" si="150"/>
        <v>44481</v>
      </c>
      <c r="E4577" s="275">
        <f t="shared" si="151"/>
        <v>44481</v>
      </c>
      <c r="F4577" s="481"/>
      <c r="G4577" s="174" t="s">
        <v>74</v>
      </c>
      <c r="H4577" s="174" t="str" cm="1">
        <f t="array" ref="H4577">IFERROR(INDEX(INVESTOR_LIST[INVESTOR NAME],MATCH(I4577,INVESTOR_LIST[INVESTOR CODE],0),)," ")</f>
        <v xml:space="preserve"> </v>
      </c>
      <c r="I4577" s="148" t="s">
        <v>348</v>
      </c>
      <c r="J4577" s="149" t="s">
        <v>61</v>
      </c>
      <c r="K4577" s="218">
        <v>115</v>
      </c>
      <c r="L4577" s="218"/>
      <c r="N4577" s="160"/>
    </row>
    <row r="4578" spans="1:14" x14ac:dyDescent="0.2">
      <c r="A4578" s="163">
        <v>2021</v>
      </c>
      <c r="B4578" s="163">
        <v>10</v>
      </c>
      <c r="C4578" s="163">
        <v>12</v>
      </c>
      <c r="D4578" s="141">
        <f t="shared" si="150"/>
        <v>44481</v>
      </c>
      <c r="E4578" s="275">
        <f t="shared" si="151"/>
        <v>44481</v>
      </c>
      <c r="F4578" s="480"/>
      <c r="G4578" s="221" t="s">
        <v>74</v>
      </c>
      <c r="H4578" s="221" t="str" cm="1">
        <f t="array" ref="H4578">IFERROR(INDEX(INVESTOR_LIST[INVESTOR NAME],MATCH(I4578,INVESTOR_LIST[INVESTOR CODE],0),)," ")</f>
        <v xml:space="preserve"> </v>
      </c>
      <c r="I4578" s="145" t="s">
        <v>348</v>
      </c>
      <c r="J4578" s="146" t="s">
        <v>52</v>
      </c>
      <c r="K4578" s="219"/>
      <c r="L4578" s="219">
        <v>22000115</v>
      </c>
    </row>
    <row r="4579" spans="1:14" ht="33.75" x14ac:dyDescent="0.2">
      <c r="A4579" s="168">
        <v>2021</v>
      </c>
      <c r="B4579" s="168">
        <v>10</v>
      </c>
      <c r="C4579" s="133">
        <v>13</v>
      </c>
      <c r="D4579" s="141">
        <f t="shared" si="150"/>
        <v>44482</v>
      </c>
      <c r="E4579" s="275">
        <f t="shared" si="151"/>
        <v>44482</v>
      </c>
      <c r="F4579" s="479" t="s">
        <v>964</v>
      </c>
      <c r="G4579" s="220" t="s">
        <v>74</v>
      </c>
      <c r="H4579" s="142" t="str" cm="1">
        <f t="array" ref="H4579">IFERROR(INDEX(INVESTOR_LIST[INVESTOR NAME],MATCH(I4579,INVESTOR_LIST[INVESTOR CODE],0),)," ")</f>
        <v>MST. NASIRA KHATUN</v>
      </c>
      <c r="I4579" s="142" t="s">
        <v>926</v>
      </c>
      <c r="J4579" s="168" t="s">
        <v>52</v>
      </c>
      <c r="K4579" s="226">
        <v>100000</v>
      </c>
      <c r="L4579" s="226"/>
    </row>
    <row r="4580" spans="1:14" ht="33.75" x14ac:dyDescent="0.2">
      <c r="A4580" s="133">
        <v>2021</v>
      </c>
      <c r="B4580" s="133">
        <v>10</v>
      </c>
      <c r="C4580" s="133">
        <v>13</v>
      </c>
      <c r="D4580" s="141">
        <f t="shared" si="150"/>
        <v>44482</v>
      </c>
      <c r="E4580" s="275">
        <f t="shared" si="151"/>
        <v>44482</v>
      </c>
      <c r="F4580" s="481"/>
      <c r="G4580" s="174" t="s">
        <v>74</v>
      </c>
      <c r="H4580" s="148" t="str" cm="1">
        <f t="array" ref="H4580">IFERROR(INDEX(INVESTOR_LIST[INVESTOR NAME],MATCH(I4580,INVESTOR_LIST[INVESTOR CODE],0),)," ")</f>
        <v>MST. NASIRA KHATUN</v>
      </c>
      <c r="I4580" s="148" t="s">
        <v>926</v>
      </c>
      <c r="J4580" s="133" t="s">
        <v>13</v>
      </c>
      <c r="K4580" s="218"/>
      <c r="L4580" s="218">
        <v>66490</v>
      </c>
    </row>
    <row r="4581" spans="1:14" ht="33.75" x14ac:dyDescent="0.2">
      <c r="A4581" s="163">
        <v>2021</v>
      </c>
      <c r="B4581" s="163">
        <v>10</v>
      </c>
      <c r="C4581" s="163">
        <v>13</v>
      </c>
      <c r="D4581" s="141">
        <f t="shared" si="150"/>
        <v>44482</v>
      </c>
      <c r="E4581" s="275">
        <f t="shared" si="151"/>
        <v>44482</v>
      </c>
      <c r="F4581" s="480"/>
      <c r="G4581" s="221" t="s">
        <v>74</v>
      </c>
      <c r="H4581" s="145" t="str" cm="1">
        <f t="array" ref="H4581">IFERROR(INDEX(INVESTOR_LIST[INVESTOR NAME],MATCH(I4581,INVESTOR_LIST[INVESTOR CODE],0),)," ")</f>
        <v>MST. NASIRA KHATUN</v>
      </c>
      <c r="I4581" s="145" t="s">
        <v>926</v>
      </c>
      <c r="J4581" s="163" t="s">
        <v>53</v>
      </c>
      <c r="K4581" s="219"/>
      <c r="L4581" s="219">
        <v>33510</v>
      </c>
    </row>
    <row r="4582" spans="1:14" x14ac:dyDescent="0.2">
      <c r="A4582" s="133">
        <v>2021</v>
      </c>
      <c r="B4582" s="133">
        <v>10</v>
      </c>
      <c r="C4582" s="133">
        <v>13</v>
      </c>
      <c r="D4582" s="141">
        <f t="shared" si="150"/>
        <v>44482</v>
      </c>
      <c r="E4582" s="275">
        <f t="shared" si="151"/>
        <v>44482</v>
      </c>
      <c r="F4582" s="479" t="s">
        <v>77</v>
      </c>
      <c r="G4582" s="174" t="s">
        <v>74</v>
      </c>
      <c r="H4582" s="148" t="str" cm="1">
        <f t="array" ref="H4582">IFERROR(INDEX(INVESTOR_LIST[INVESTOR NAME],MATCH(I4582,INVESTOR_LIST[INVESTOR CODE],0),)," ")</f>
        <v xml:space="preserve"> </v>
      </c>
      <c r="I4582" s="148" t="s">
        <v>348</v>
      </c>
      <c r="J4582" s="133" t="s">
        <v>61</v>
      </c>
      <c r="K4582" s="172">
        <v>10</v>
      </c>
    </row>
    <row r="4583" spans="1:14" x14ac:dyDescent="0.2">
      <c r="A4583" s="163">
        <v>2021</v>
      </c>
      <c r="B4583" s="163">
        <v>10</v>
      </c>
      <c r="C4583" s="163">
        <v>13</v>
      </c>
      <c r="D4583" s="141">
        <f t="shared" si="150"/>
        <v>44482</v>
      </c>
      <c r="E4583" s="275">
        <f t="shared" si="151"/>
        <v>44482</v>
      </c>
      <c r="F4583" s="480"/>
      <c r="G4583" s="221" t="s">
        <v>74</v>
      </c>
      <c r="H4583" s="145" t="str" cm="1">
        <f t="array" ref="H4583">IFERROR(INDEX(INVESTOR_LIST[INVESTOR NAME],MATCH(I4583,INVESTOR_LIST[INVESTOR CODE],0),)," ")</f>
        <v xml:space="preserve"> </v>
      </c>
      <c r="I4583" s="145" t="s">
        <v>348</v>
      </c>
      <c r="J4583" s="163" t="s">
        <v>52</v>
      </c>
      <c r="K4583" s="219"/>
      <c r="L4583" s="219">
        <v>10</v>
      </c>
    </row>
    <row r="4584" spans="1:14" ht="33.75" x14ac:dyDescent="0.2">
      <c r="A4584" s="168">
        <v>2021</v>
      </c>
      <c r="B4584" s="168">
        <v>10</v>
      </c>
      <c r="C4584" s="133">
        <v>13</v>
      </c>
      <c r="D4584" s="141">
        <f t="shared" si="150"/>
        <v>44482</v>
      </c>
      <c r="E4584" s="275">
        <f t="shared" si="151"/>
        <v>44482</v>
      </c>
      <c r="F4584" s="479" t="s">
        <v>965</v>
      </c>
      <c r="G4584" s="220" t="s">
        <v>74</v>
      </c>
      <c r="H4584" s="142" t="str" cm="1">
        <f t="array" ref="H4584">IFERROR(INDEX(INVESTOR_LIST[INVESTOR NAME],MATCH(I4584,INVESTOR_LIST[INVESTOR CODE],0),)," ")</f>
        <v>FARHANA AKHTER</v>
      </c>
      <c r="I4584" s="142" t="s">
        <v>665</v>
      </c>
      <c r="J4584" s="168" t="s">
        <v>13</v>
      </c>
      <c r="K4584" s="226">
        <v>400000</v>
      </c>
      <c r="L4584" s="226"/>
    </row>
    <row r="4585" spans="1:14" ht="33.75" x14ac:dyDescent="0.2">
      <c r="A4585" s="133">
        <v>2021</v>
      </c>
      <c r="B4585" s="133">
        <v>10</v>
      </c>
      <c r="C4585" s="133">
        <v>13</v>
      </c>
      <c r="D4585" s="141">
        <f t="shared" si="150"/>
        <v>44482</v>
      </c>
      <c r="E4585" s="275">
        <f t="shared" si="151"/>
        <v>44482</v>
      </c>
      <c r="F4585" s="481"/>
      <c r="G4585" s="174" t="s">
        <v>74</v>
      </c>
      <c r="H4585" s="148" t="str" cm="1">
        <f t="array" ref="H4585">IFERROR(INDEX(INVESTOR_LIST[INVESTOR NAME],MATCH(I4585,INVESTOR_LIST[INVESTOR CODE],0),)," ")</f>
        <v>FARHANA AKHTER</v>
      </c>
      <c r="I4585" s="148" t="s">
        <v>665</v>
      </c>
      <c r="J4585" s="133" t="s">
        <v>53</v>
      </c>
      <c r="K4585" s="218">
        <v>201717</v>
      </c>
      <c r="L4585" s="218"/>
    </row>
    <row r="4586" spans="1:14" ht="33.75" x14ac:dyDescent="0.2">
      <c r="A4586" s="163">
        <v>2021</v>
      </c>
      <c r="B4586" s="163">
        <v>10</v>
      </c>
      <c r="C4586" s="163">
        <v>13</v>
      </c>
      <c r="D4586" s="141">
        <f t="shared" si="150"/>
        <v>44482</v>
      </c>
      <c r="E4586" s="275">
        <f t="shared" si="151"/>
        <v>44482</v>
      </c>
      <c r="F4586" s="480"/>
      <c r="G4586" s="221" t="s">
        <v>74</v>
      </c>
      <c r="H4586" s="145" t="str" cm="1">
        <f t="array" ref="H4586">IFERROR(INDEX(INVESTOR_LIST[INVESTOR NAME],MATCH(I4586,INVESTOR_LIST[INVESTOR CODE],0),)," ")</f>
        <v>FARHANA AKHTER</v>
      </c>
      <c r="I4586" s="145" t="s">
        <v>665</v>
      </c>
      <c r="J4586" s="163" t="s">
        <v>52</v>
      </c>
      <c r="K4586" s="219"/>
      <c r="L4586" s="219">
        <v>601717</v>
      </c>
    </row>
    <row r="4587" spans="1:14" ht="45" x14ac:dyDescent="0.2">
      <c r="A4587" s="168">
        <v>2021</v>
      </c>
      <c r="B4587" s="168">
        <v>10</v>
      </c>
      <c r="C4587" s="133">
        <v>13</v>
      </c>
      <c r="D4587" s="141">
        <f t="shared" si="150"/>
        <v>44482</v>
      </c>
      <c r="E4587" s="275">
        <f t="shared" si="151"/>
        <v>44482</v>
      </c>
      <c r="F4587" s="479" t="s">
        <v>965</v>
      </c>
      <c r="G4587" s="220" t="s">
        <v>74</v>
      </c>
      <c r="H4587" s="142" t="str" cm="1">
        <f t="array" ref="H4587">IFERROR(INDEX(INVESTOR_LIST[INVESTOR NAME],MATCH(I4587,INVESTOR_LIST[INVESTOR CODE],0),)," ")</f>
        <v>MD MIZANUR RAHMAN</v>
      </c>
      <c r="I4587" s="142" t="s">
        <v>482</v>
      </c>
      <c r="J4587" s="168" t="s">
        <v>13</v>
      </c>
      <c r="K4587" s="226">
        <v>481840</v>
      </c>
      <c r="L4587" s="226"/>
    </row>
    <row r="4588" spans="1:14" ht="45" x14ac:dyDescent="0.2">
      <c r="A4588" s="133">
        <v>2021</v>
      </c>
      <c r="B4588" s="133">
        <v>10</v>
      </c>
      <c r="C4588" s="133">
        <v>13</v>
      </c>
      <c r="D4588" s="141">
        <f t="shared" si="150"/>
        <v>44482</v>
      </c>
      <c r="E4588" s="275">
        <f t="shared" si="151"/>
        <v>44482</v>
      </c>
      <c r="F4588" s="481"/>
      <c r="G4588" s="174" t="s">
        <v>74</v>
      </c>
      <c r="H4588" s="148" t="str" cm="1">
        <f t="array" ref="H4588">IFERROR(INDEX(INVESTOR_LIST[INVESTOR NAME],MATCH(I4588,INVESTOR_LIST[INVESTOR CODE],0),)," ")</f>
        <v>MD MIZANUR RAHMAN</v>
      </c>
      <c r="I4588" s="148" t="s">
        <v>482</v>
      </c>
      <c r="J4588" s="133" t="s">
        <v>53</v>
      </c>
      <c r="K4588" s="218">
        <v>242988.42</v>
      </c>
      <c r="L4588" s="218"/>
    </row>
    <row r="4589" spans="1:14" ht="45" x14ac:dyDescent="0.2">
      <c r="A4589" s="163">
        <v>2021</v>
      </c>
      <c r="B4589" s="163">
        <v>10</v>
      </c>
      <c r="C4589" s="163">
        <v>13</v>
      </c>
      <c r="D4589" s="141">
        <f t="shared" si="150"/>
        <v>44482</v>
      </c>
      <c r="E4589" s="275">
        <f t="shared" si="151"/>
        <v>44482</v>
      </c>
      <c r="F4589" s="480"/>
      <c r="G4589" s="221" t="s">
        <v>74</v>
      </c>
      <c r="H4589" s="145" t="str" cm="1">
        <f t="array" ref="H4589">IFERROR(INDEX(INVESTOR_LIST[INVESTOR NAME],MATCH(I4589,INVESTOR_LIST[INVESTOR CODE],0),)," ")</f>
        <v>MD MIZANUR RAHMAN</v>
      </c>
      <c r="I4589" s="145" t="s">
        <v>482</v>
      </c>
      <c r="J4589" s="163" t="s">
        <v>52</v>
      </c>
      <c r="K4589" s="219"/>
      <c r="L4589" s="219">
        <v>724828.42</v>
      </c>
    </row>
    <row r="4590" spans="1:14" x14ac:dyDescent="0.2">
      <c r="A4590" s="238">
        <v>2021</v>
      </c>
      <c r="B4590" s="238">
        <v>10</v>
      </c>
      <c r="C4590" s="238">
        <v>14</v>
      </c>
      <c r="D4590" s="141">
        <f t="shared" si="150"/>
        <v>44483</v>
      </c>
      <c r="E4590" s="275">
        <f t="shared" si="151"/>
        <v>44483</v>
      </c>
      <c r="F4590" s="477" t="s">
        <v>347</v>
      </c>
      <c r="G4590" s="239" t="s">
        <v>94</v>
      </c>
      <c r="H4590" s="239" t="str" cm="1">
        <f t="array" ref="H4590">IFERROR(INDEX(INVESTOR_LIST[INVESTOR NAME],MATCH(I4590,INVESTOR_LIST[INVESTOR CODE],0),)," ")</f>
        <v xml:space="preserve"> </v>
      </c>
      <c r="I4590" s="262" t="s">
        <v>348</v>
      </c>
      <c r="J4590" s="240" t="s">
        <v>83</v>
      </c>
      <c r="K4590" s="241">
        <v>1181515</v>
      </c>
      <c r="L4590" s="241"/>
    </row>
    <row r="4591" spans="1:14" x14ac:dyDescent="0.2">
      <c r="A4591" s="242">
        <v>2021</v>
      </c>
      <c r="B4591" s="242">
        <v>10</v>
      </c>
      <c r="C4591" s="242">
        <v>14</v>
      </c>
      <c r="D4591" s="141">
        <f t="shared" si="150"/>
        <v>44483</v>
      </c>
      <c r="E4591" s="275">
        <f t="shared" si="151"/>
        <v>44483</v>
      </c>
      <c r="F4591" s="478"/>
      <c r="G4591" s="243" t="s">
        <v>94</v>
      </c>
      <c r="H4591" s="243" t="str" cm="1">
        <f t="array" ref="H4591">IFERROR(INDEX(INVESTOR_LIST[INVESTOR NAME],MATCH(I4591,INVESTOR_LIST[INVESTOR CODE],0),)," ")</f>
        <v xml:space="preserve"> </v>
      </c>
      <c r="I4591" s="263" t="s">
        <v>348</v>
      </c>
      <c r="J4591" s="244" t="s">
        <v>108</v>
      </c>
      <c r="K4591" s="245"/>
      <c r="L4591" s="245">
        <v>1181515</v>
      </c>
    </row>
    <row r="4592" spans="1:14" ht="22.5" x14ac:dyDescent="0.2">
      <c r="A4592" s="246">
        <v>2021</v>
      </c>
      <c r="B4592" s="246">
        <v>10</v>
      </c>
      <c r="C4592" s="246">
        <v>14</v>
      </c>
      <c r="D4592" s="141">
        <f t="shared" si="150"/>
        <v>44483</v>
      </c>
      <c r="E4592" s="275">
        <f t="shared" si="151"/>
        <v>44483</v>
      </c>
      <c r="F4592" s="482" t="s">
        <v>148</v>
      </c>
      <c r="G4592" s="247" t="s">
        <v>94</v>
      </c>
      <c r="H4592" s="247" t="str" cm="1">
        <f t="array" ref="H4592">IFERROR(INDEX(INVESTOR_LIST[INVESTOR NAME],MATCH(I4592,INVESTOR_LIST[INVESTOR CODE],0),)," ")</f>
        <v xml:space="preserve"> </v>
      </c>
      <c r="I4592" s="248" t="s">
        <v>348</v>
      </c>
      <c r="J4592" s="249" t="s">
        <v>95</v>
      </c>
      <c r="K4592" s="250">
        <v>2747.2527472527472</v>
      </c>
      <c r="L4592" s="241"/>
      <c r="M4592" s="133">
        <v>2747.2527472527472</v>
      </c>
    </row>
    <row r="4593" spans="1:13" x14ac:dyDescent="0.2">
      <c r="A4593" s="242">
        <v>2021</v>
      </c>
      <c r="B4593" s="242">
        <v>10</v>
      </c>
      <c r="C4593" s="242">
        <v>14</v>
      </c>
      <c r="D4593" s="141">
        <f t="shared" si="150"/>
        <v>44483</v>
      </c>
      <c r="E4593" s="275">
        <f t="shared" si="151"/>
        <v>44483</v>
      </c>
      <c r="F4593" s="478"/>
      <c r="G4593" s="243" t="s">
        <v>94</v>
      </c>
      <c r="H4593" s="243" t="str" cm="1">
        <f t="array" ref="H4593">IFERROR(INDEX(INVESTOR_LIST[INVESTOR NAME],MATCH(I4593,INVESTOR_LIST[INVESTOR CODE],0),)," ")</f>
        <v xml:space="preserve"> </v>
      </c>
      <c r="I4593" s="263" t="s">
        <v>348</v>
      </c>
      <c r="J4593" s="244" t="s">
        <v>63</v>
      </c>
      <c r="K4593" s="245"/>
      <c r="L4593" s="245">
        <v>2747.2527472527472</v>
      </c>
      <c r="M4593" s="133">
        <v>110706.13316686224</v>
      </c>
    </row>
    <row r="4594" spans="1:13" x14ac:dyDescent="0.2">
      <c r="A4594" s="246">
        <v>2021</v>
      </c>
      <c r="B4594" s="246">
        <v>10</v>
      </c>
      <c r="C4594" s="246">
        <v>14</v>
      </c>
      <c r="D4594" s="141">
        <f t="shared" si="150"/>
        <v>44483</v>
      </c>
      <c r="E4594" s="275">
        <f t="shared" si="151"/>
        <v>44483</v>
      </c>
      <c r="F4594" s="482" t="s">
        <v>137</v>
      </c>
      <c r="G4594" s="247" t="s">
        <v>94</v>
      </c>
      <c r="H4594" s="247" t="str" cm="1">
        <f t="array" ref="H4594">IFERROR(INDEX(INVESTOR_LIST[INVESTOR NAME],MATCH(I4594,INVESTOR_LIST[INVESTOR CODE],0),)," ")</f>
        <v xml:space="preserve"> </v>
      </c>
      <c r="I4594" s="248" t="s">
        <v>348</v>
      </c>
      <c r="J4594" s="249" t="s">
        <v>97</v>
      </c>
      <c r="K4594" s="250">
        <v>110706.13316686224</v>
      </c>
      <c r="L4594" s="252"/>
      <c r="M4594" s="133">
        <v>5457.3319547138926</v>
      </c>
    </row>
    <row r="4595" spans="1:13" x14ac:dyDescent="0.2">
      <c r="A4595" s="242">
        <v>2021</v>
      </c>
      <c r="B4595" s="242">
        <v>10</v>
      </c>
      <c r="C4595" s="242">
        <v>14</v>
      </c>
      <c r="D4595" s="141">
        <f t="shared" si="150"/>
        <v>44483</v>
      </c>
      <c r="E4595" s="275">
        <f t="shared" si="151"/>
        <v>44483</v>
      </c>
      <c r="F4595" s="478"/>
      <c r="G4595" s="243" t="s">
        <v>94</v>
      </c>
      <c r="H4595" s="243" t="str" cm="1">
        <f t="array" ref="H4595">IFERROR(INDEX(INVESTOR_LIST[INVESTOR NAME],MATCH(I4595,INVESTOR_LIST[INVESTOR CODE],0),)," ")</f>
        <v xml:space="preserve"> </v>
      </c>
      <c r="I4595" s="263" t="s">
        <v>348</v>
      </c>
      <c r="J4595" s="244" t="s">
        <v>47</v>
      </c>
      <c r="K4595" s="245"/>
      <c r="L4595" s="245">
        <v>110706.13316686224</v>
      </c>
    </row>
    <row r="4596" spans="1:13" x14ac:dyDescent="0.2">
      <c r="A4596" s="246">
        <v>2021</v>
      </c>
      <c r="B4596" s="246">
        <v>10</v>
      </c>
      <c r="C4596" s="246">
        <v>14</v>
      </c>
      <c r="D4596" s="141">
        <f t="shared" si="150"/>
        <v>44483</v>
      </c>
      <c r="E4596" s="275">
        <f t="shared" si="151"/>
        <v>44483</v>
      </c>
      <c r="F4596" s="482" t="s">
        <v>138</v>
      </c>
      <c r="G4596" s="247" t="s">
        <v>94</v>
      </c>
      <c r="H4596" s="247" t="str" cm="1">
        <f t="array" ref="H4596">IFERROR(INDEX(INVESTOR_LIST[INVESTOR NAME],MATCH(I4596,INVESTOR_LIST[INVESTOR CODE],0),)," ")</f>
        <v xml:space="preserve"> </v>
      </c>
      <c r="I4596" s="248" t="s">
        <v>348</v>
      </c>
      <c r="J4596" s="249" t="s">
        <v>100</v>
      </c>
      <c r="K4596" s="250">
        <v>5457.3319547138926</v>
      </c>
      <c r="L4596" s="252"/>
    </row>
    <row r="4597" spans="1:13" x14ac:dyDescent="0.2">
      <c r="A4597" s="242">
        <v>2021</v>
      </c>
      <c r="B4597" s="242">
        <v>10</v>
      </c>
      <c r="C4597" s="242">
        <v>14</v>
      </c>
      <c r="D4597" s="141">
        <f t="shared" si="150"/>
        <v>44483</v>
      </c>
      <c r="E4597" s="275">
        <f t="shared" si="151"/>
        <v>44483</v>
      </c>
      <c r="F4597" s="478"/>
      <c r="G4597" s="243" t="s">
        <v>94</v>
      </c>
      <c r="H4597" s="243" t="str" cm="1">
        <f t="array" ref="H4597">IFERROR(INDEX(INVESTOR_LIST[INVESTOR NAME],MATCH(I4597,INVESTOR_LIST[INVESTOR CODE],0),)," ")</f>
        <v xml:space="preserve"> </v>
      </c>
      <c r="I4597" s="263" t="s">
        <v>348</v>
      </c>
      <c r="J4597" s="244" t="s">
        <v>48</v>
      </c>
      <c r="K4597" s="245"/>
      <c r="L4597" s="245">
        <v>5457.3319547138926</v>
      </c>
    </row>
    <row r="4598" spans="1:13" ht="56.25" x14ac:dyDescent="0.2">
      <c r="A4598" s="168">
        <v>2021</v>
      </c>
      <c r="B4598" s="168">
        <v>10</v>
      </c>
      <c r="C4598" s="133">
        <v>17</v>
      </c>
      <c r="D4598" s="141">
        <f t="shared" si="150"/>
        <v>44486</v>
      </c>
      <c r="E4598" s="275">
        <f t="shared" si="151"/>
        <v>44486</v>
      </c>
      <c r="F4598" s="479" t="s">
        <v>965</v>
      </c>
      <c r="G4598" s="220" t="s">
        <v>74</v>
      </c>
      <c r="H4598" s="142" t="str" cm="1">
        <f t="array" ref="H4598">IFERROR(INDEX(INVESTOR_LIST[INVESTOR NAME],MATCH(I4598,INVESTOR_LIST[INVESTOR CODE],0),)," ")</f>
        <v>EKUSH WEALTH MANAGEMENT LIMITED</v>
      </c>
      <c r="I4598" s="142" t="s">
        <v>371</v>
      </c>
      <c r="J4598" s="168" t="s">
        <v>13</v>
      </c>
      <c r="K4598" s="226">
        <v>6678450</v>
      </c>
      <c r="L4598" s="226"/>
    </row>
    <row r="4599" spans="1:13" ht="56.25" x14ac:dyDescent="0.2">
      <c r="A4599" s="133">
        <v>2021</v>
      </c>
      <c r="B4599" s="133">
        <v>10</v>
      </c>
      <c r="C4599" s="133">
        <v>17</v>
      </c>
      <c r="D4599" s="141">
        <f t="shared" si="150"/>
        <v>44486</v>
      </c>
      <c r="E4599" s="275">
        <f t="shared" si="151"/>
        <v>44486</v>
      </c>
      <c r="F4599" s="481"/>
      <c r="G4599" s="174" t="s">
        <v>74</v>
      </c>
      <c r="H4599" s="148" t="str" cm="1">
        <f t="array" ref="H4599">IFERROR(INDEX(INVESTOR_LIST[INVESTOR NAME],MATCH(I4599,INVESTOR_LIST[INVESTOR CODE],0),)," ")</f>
        <v>EKUSH WEALTH MANAGEMENT LIMITED</v>
      </c>
      <c r="I4599" s="148" t="s">
        <v>371</v>
      </c>
      <c r="J4599" s="133" t="s">
        <v>53</v>
      </c>
      <c r="K4599" s="218">
        <v>3321550</v>
      </c>
      <c r="L4599" s="218"/>
    </row>
    <row r="4600" spans="1:13" ht="56.25" x14ac:dyDescent="0.2">
      <c r="A4600" s="163">
        <v>2021</v>
      </c>
      <c r="B4600" s="163">
        <v>10</v>
      </c>
      <c r="C4600" s="163">
        <v>17</v>
      </c>
      <c r="D4600" s="141">
        <f t="shared" si="150"/>
        <v>44486</v>
      </c>
      <c r="E4600" s="275">
        <f t="shared" si="151"/>
        <v>44486</v>
      </c>
      <c r="F4600" s="480"/>
      <c r="G4600" s="221" t="s">
        <v>74</v>
      </c>
      <c r="H4600" s="145" t="str" cm="1">
        <f t="array" ref="H4600">IFERROR(INDEX(INVESTOR_LIST[INVESTOR NAME],MATCH(I4600,INVESTOR_LIST[INVESTOR CODE],0),)," ")</f>
        <v>EKUSH WEALTH MANAGEMENT LIMITED</v>
      </c>
      <c r="I4600" s="145" t="s">
        <v>371</v>
      </c>
      <c r="J4600" s="163" t="s">
        <v>52</v>
      </c>
      <c r="K4600" s="219"/>
      <c r="L4600" s="219">
        <v>10000000</v>
      </c>
    </row>
    <row r="4601" spans="1:13" x14ac:dyDescent="0.2">
      <c r="A4601" s="133">
        <v>2021</v>
      </c>
      <c r="B4601" s="133">
        <v>10</v>
      </c>
      <c r="C4601" s="133">
        <v>17</v>
      </c>
      <c r="D4601" s="141">
        <f t="shared" si="150"/>
        <v>44486</v>
      </c>
      <c r="E4601" s="275">
        <f t="shared" si="151"/>
        <v>44486</v>
      </c>
      <c r="F4601" s="479" t="s">
        <v>77</v>
      </c>
      <c r="G4601" s="174" t="s">
        <v>74</v>
      </c>
      <c r="H4601" s="148" t="str" cm="1">
        <f t="array" ref="H4601">IFERROR(INDEX(INVESTOR_LIST[INVESTOR NAME],MATCH(I4601,INVESTOR_LIST[INVESTOR CODE],0),)," ")</f>
        <v xml:space="preserve"> </v>
      </c>
      <c r="I4601" s="148" t="s">
        <v>348</v>
      </c>
      <c r="J4601" s="133" t="s">
        <v>61</v>
      </c>
      <c r="K4601" s="172">
        <v>100</v>
      </c>
    </row>
    <row r="4602" spans="1:13" x14ac:dyDescent="0.2">
      <c r="A4602" s="163">
        <v>2021</v>
      </c>
      <c r="B4602" s="163">
        <v>10</v>
      </c>
      <c r="C4602" s="163">
        <v>17</v>
      </c>
      <c r="D4602" s="141">
        <f t="shared" si="150"/>
        <v>44486</v>
      </c>
      <c r="E4602" s="275">
        <f t="shared" si="151"/>
        <v>44486</v>
      </c>
      <c r="F4602" s="480"/>
      <c r="G4602" s="221" t="s">
        <v>74</v>
      </c>
      <c r="H4602" s="145" t="str" cm="1">
        <f t="array" ref="H4602">IFERROR(INDEX(INVESTOR_LIST[INVESTOR NAME],MATCH(I4602,INVESTOR_LIST[INVESTOR CODE],0),)," ")</f>
        <v xml:space="preserve"> </v>
      </c>
      <c r="I4602" s="145" t="s">
        <v>348</v>
      </c>
      <c r="J4602" s="163" t="s">
        <v>52</v>
      </c>
      <c r="K4602" s="219"/>
      <c r="L4602" s="219">
        <v>100</v>
      </c>
    </row>
    <row r="4603" spans="1:13" x14ac:dyDescent="0.2">
      <c r="A4603" s="168">
        <v>2021</v>
      </c>
      <c r="B4603" s="168">
        <v>10</v>
      </c>
      <c r="C4603" s="133">
        <v>17</v>
      </c>
      <c r="D4603" s="141">
        <f t="shared" si="150"/>
        <v>44486</v>
      </c>
      <c r="E4603" s="275">
        <f t="shared" si="151"/>
        <v>44486</v>
      </c>
      <c r="F4603" s="479" t="s">
        <v>929</v>
      </c>
      <c r="G4603" s="220" t="s">
        <v>74</v>
      </c>
      <c r="H4603" s="220" t="str" cm="1">
        <f t="array" ref="H4603">IFERROR(INDEX(INVESTOR_LIST[INVESTOR NAME],MATCH(I4603,INVESTOR_LIST[INVESTOR CODE],0),)," ")</f>
        <v xml:space="preserve"> </v>
      </c>
      <c r="I4603" s="142" t="s">
        <v>348</v>
      </c>
      <c r="J4603" s="143" t="s">
        <v>184</v>
      </c>
      <c r="K4603" s="226">
        <v>2400000</v>
      </c>
      <c r="L4603" s="226"/>
    </row>
    <row r="4604" spans="1:13" x14ac:dyDescent="0.2">
      <c r="A4604" s="133">
        <v>2021</v>
      </c>
      <c r="B4604" s="133">
        <v>10</v>
      </c>
      <c r="C4604" s="133">
        <v>17</v>
      </c>
      <c r="D4604" s="141">
        <f t="shared" si="150"/>
        <v>44486</v>
      </c>
      <c r="E4604" s="275">
        <f t="shared" si="151"/>
        <v>44486</v>
      </c>
      <c r="F4604" s="481"/>
      <c r="G4604" s="174" t="s">
        <v>74</v>
      </c>
      <c r="H4604" s="174" t="str" cm="1">
        <f t="array" ref="H4604">IFERROR(INDEX(INVESTOR_LIST[INVESTOR NAME],MATCH(I4604,INVESTOR_LIST[INVESTOR CODE],0),)," ")</f>
        <v xml:space="preserve"> </v>
      </c>
      <c r="J4604" s="149" t="s">
        <v>185</v>
      </c>
      <c r="K4604" s="218">
        <v>3000</v>
      </c>
      <c r="L4604" s="218"/>
    </row>
    <row r="4605" spans="1:13" x14ac:dyDescent="0.2">
      <c r="A4605" s="133">
        <v>2021</v>
      </c>
      <c r="B4605" s="133">
        <v>10</v>
      </c>
      <c r="C4605" s="133">
        <v>17</v>
      </c>
      <c r="D4605" s="141">
        <f t="shared" si="150"/>
        <v>44486</v>
      </c>
      <c r="E4605" s="275">
        <f t="shared" si="151"/>
        <v>44486</v>
      </c>
      <c r="F4605" s="481"/>
      <c r="G4605" s="174" t="s">
        <v>74</v>
      </c>
      <c r="H4605" s="174" t="str" cm="1">
        <f t="array" ref="H4605">IFERROR(INDEX(INVESTOR_LIST[INVESTOR NAME],MATCH(I4605,INVESTOR_LIST[INVESTOR CODE],0),)," ")</f>
        <v xml:space="preserve"> </v>
      </c>
      <c r="I4605" s="148" t="s">
        <v>348</v>
      </c>
      <c r="J4605" s="149" t="s">
        <v>61</v>
      </c>
      <c r="K4605" s="218">
        <v>115</v>
      </c>
      <c r="L4605" s="218"/>
    </row>
    <row r="4606" spans="1:13" x14ac:dyDescent="0.2">
      <c r="A4606" s="163">
        <v>2021</v>
      </c>
      <c r="B4606" s="163">
        <v>10</v>
      </c>
      <c r="C4606" s="163">
        <v>17</v>
      </c>
      <c r="D4606" s="141">
        <f t="shared" si="150"/>
        <v>44486</v>
      </c>
      <c r="E4606" s="275">
        <f t="shared" si="151"/>
        <v>44486</v>
      </c>
      <c r="F4606" s="480"/>
      <c r="G4606" s="221" t="s">
        <v>74</v>
      </c>
      <c r="H4606" s="221" t="str" cm="1">
        <f t="array" ref="H4606">IFERROR(INDEX(INVESTOR_LIST[INVESTOR NAME],MATCH(I4606,INVESTOR_LIST[INVESTOR CODE],0),)," ")</f>
        <v xml:space="preserve"> </v>
      </c>
      <c r="I4606" s="145" t="s">
        <v>348</v>
      </c>
      <c r="J4606" s="146" t="s">
        <v>52</v>
      </c>
      <c r="K4606" s="219"/>
      <c r="L4606" s="219">
        <v>2403115</v>
      </c>
    </row>
    <row r="4607" spans="1:13" x14ac:dyDescent="0.2">
      <c r="A4607" s="168">
        <v>2021</v>
      </c>
      <c r="B4607" s="168">
        <v>10</v>
      </c>
      <c r="C4607" s="133">
        <v>17</v>
      </c>
      <c r="D4607" s="141">
        <f t="shared" si="150"/>
        <v>44486</v>
      </c>
      <c r="E4607" s="275">
        <f t="shared" si="151"/>
        <v>44486</v>
      </c>
      <c r="F4607" s="479" t="s">
        <v>916</v>
      </c>
      <c r="G4607" s="220" t="s">
        <v>74</v>
      </c>
      <c r="H4607" s="142" t="str" cm="1">
        <f t="array" ref="H4607">IFERROR(INDEX(INVESTOR_LIST[INVESTOR NAME],MATCH(I4607,INVESTOR_LIST[INVESTOR CODE],0),)," ")</f>
        <v xml:space="preserve"> </v>
      </c>
      <c r="I4607" s="142"/>
      <c r="J4607" s="168" t="s">
        <v>52</v>
      </c>
      <c r="K4607" s="226">
        <v>3000025</v>
      </c>
      <c r="L4607" s="226"/>
    </row>
    <row r="4608" spans="1:13" x14ac:dyDescent="0.2">
      <c r="A4608" s="133">
        <v>2021</v>
      </c>
      <c r="B4608" s="133">
        <v>10</v>
      </c>
      <c r="C4608" s="133">
        <v>17</v>
      </c>
      <c r="D4608" s="141">
        <f t="shared" si="150"/>
        <v>44486</v>
      </c>
      <c r="E4608" s="275">
        <f t="shared" si="151"/>
        <v>44486</v>
      </c>
      <c r="F4608" s="481"/>
      <c r="G4608" s="174" t="s">
        <v>74</v>
      </c>
      <c r="H4608" s="148" t="str" cm="1">
        <f t="array" ref="H4608">IFERROR(INDEX(INVESTOR_LIST[INVESTOR NAME],MATCH(I4608,INVESTOR_LIST[INVESTOR CODE],0),)," ")</f>
        <v xml:space="preserve"> </v>
      </c>
      <c r="J4608" s="133" t="s">
        <v>79</v>
      </c>
      <c r="K4608" s="218"/>
      <c r="L4608" s="218">
        <v>2129710.13</v>
      </c>
    </row>
    <row r="4609" spans="1:14" x14ac:dyDescent="0.2">
      <c r="A4609" s="163">
        <v>2021</v>
      </c>
      <c r="B4609" s="163">
        <v>10</v>
      </c>
      <c r="C4609" s="163">
        <v>17</v>
      </c>
      <c r="D4609" s="141">
        <f t="shared" si="150"/>
        <v>44486</v>
      </c>
      <c r="E4609" s="275">
        <f t="shared" si="151"/>
        <v>44486</v>
      </c>
      <c r="F4609" s="480"/>
      <c r="G4609" s="221" t="s">
        <v>74</v>
      </c>
      <c r="H4609" s="145" t="str" cm="1">
        <f t="array" ref="H4609">IFERROR(INDEX(INVESTOR_LIST[INVESTOR NAME],MATCH(I4609,INVESTOR_LIST[INVESTOR CODE],0),)," ")</f>
        <v xml:space="preserve"> </v>
      </c>
      <c r="I4609" s="145"/>
      <c r="J4609" s="163" t="s">
        <v>191</v>
      </c>
      <c r="K4609" s="219"/>
      <c r="L4609" s="219">
        <v>870314.87</v>
      </c>
    </row>
    <row r="4610" spans="1:14" x14ac:dyDescent="0.2">
      <c r="A4610" s="133">
        <v>2021</v>
      </c>
      <c r="B4610" s="133">
        <v>10</v>
      </c>
      <c r="C4610" s="133">
        <v>17</v>
      </c>
      <c r="D4610" s="141">
        <f t="shared" si="150"/>
        <v>44486</v>
      </c>
      <c r="E4610" s="275">
        <f t="shared" si="151"/>
        <v>44486</v>
      </c>
      <c r="F4610" s="479" t="s">
        <v>77</v>
      </c>
      <c r="G4610" s="174" t="s">
        <v>74</v>
      </c>
      <c r="H4610" s="148" t="str" cm="1">
        <f t="array" ref="H4610">IFERROR(INDEX(INVESTOR_LIST[INVESTOR NAME],MATCH(I4610,INVESTOR_LIST[INVESTOR CODE],0),)," ")</f>
        <v xml:space="preserve"> </v>
      </c>
      <c r="I4610" s="148" t="s">
        <v>348</v>
      </c>
      <c r="J4610" s="133" t="s">
        <v>61</v>
      </c>
      <c r="K4610" s="172">
        <v>25</v>
      </c>
    </row>
    <row r="4611" spans="1:14" x14ac:dyDescent="0.2">
      <c r="A4611" s="163">
        <v>2021</v>
      </c>
      <c r="B4611" s="163">
        <v>10</v>
      </c>
      <c r="C4611" s="163">
        <v>17</v>
      </c>
      <c r="D4611" s="141">
        <f t="shared" si="150"/>
        <v>44486</v>
      </c>
      <c r="E4611" s="275">
        <f t="shared" si="151"/>
        <v>44486</v>
      </c>
      <c r="F4611" s="480"/>
      <c r="G4611" s="221" t="s">
        <v>74</v>
      </c>
      <c r="H4611" s="145" t="str" cm="1">
        <f t="array" ref="H4611">IFERROR(INDEX(INVESTOR_LIST[INVESTOR NAME],MATCH(I4611,INVESTOR_LIST[INVESTOR CODE],0),)," ")</f>
        <v xml:space="preserve"> </v>
      </c>
      <c r="I4611" s="145" t="s">
        <v>348</v>
      </c>
      <c r="J4611" s="163" t="s">
        <v>52</v>
      </c>
      <c r="K4611" s="219"/>
      <c r="L4611" s="219">
        <v>25</v>
      </c>
    </row>
    <row r="4612" spans="1:14" x14ac:dyDescent="0.2">
      <c r="A4612" s="133">
        <v>2021</v>
      </c>
      <c r="B4612" s="133">
        <v>10</v>
      </c>
      <c r="C4612" s="133">
        <v>18</v>
      </c>
      <c r="D4612" s="141">
        <f t="shared" si="150"/>
        <v>44487</v>
      </c>
      <c r="E4612" s="275">
        <f t="shared" si="151"/>
        <v>44487</v>
      </c>
      <c r="F4612" s="481" t="s">
        <v>893</v>
      </c>
      <c r="G4612" s="174" t="s">
        <v>94</v>
      </c>
      <c r="H4612" s="174" t="str" cm="1">
        <f t="array" ref="H4612">IFERROR(INDEX(INVESTOR_LIST[INVESTOR NAME],MATCH(I4612,INVESTOR_LIST[INVESTOR CODE],0),)," ")</f>
        <v xml:space="preserve"> </v>
      </c>
      <c r="I4612" s="148" t="s">
        <v>348</v>
      </c>
      <c r="J4612" s="149" t="s">
        <v>190</v>
      </c>
      <c r="K4612" s="254">
        <v>2060951.3</v>
      </c>
      <c r="L4612" s="218"/>
    </row>
    <row r="4613" spans="1:14" x14ac:dyDescent="0.2">
      <c r="A4613" s="133">
        <v>2021</v>
      </c>
      <c r="B4613" s="133">
        <v>10</v>
      </c>
      <c r="C4613" s="133">
        <v>18</v>
      </c>
      <c r="D4613" s="141">
        <f t="shared" si="150"/>
        <v>44487</v>
      </c>
      <c r="E4613" s="275">
        <f t="shared" si="151"/>
        <v>44487</v>
      </c>
      <c r="F4613" s="481"/>
      <c r="G4613" s="174" t="s">
        <v>94</v>
      </c>
      <c r="H4613" s="174" t="str" cm="1">
        <f t="array" ref="H4613">IFERROR(INDEX(INVESTOR_LIST[INVESTOR NAME],MATCH(I4613,INVESTOR_LIST[INVESTOR CODE],0),)," ")</f>
        <v xml:space="preserve"> </v>
      </c>
      <c r="I4613" s="148" t="s">
        <v>348</v>
      </c>
      <c r="J4613" s="149" t="s">
        <v>80</v>
      </c>
      <c r="K4613" s="218">
        <v>3716.4</v>
      </c>
      <c r="L4613" s="218"/>
    </row>
    <row r="4614" spans="1:14" x14ac:dyDescent="0.2">
      <c r="A4614" s="133">
        <v>2021</v>
      </c>
      <c r="B4614" s="133">
        <v>10</v>
      </c>
      <c r="C4614" s="133">
        <v>18</v>
      </c>
      <c r="D4614" s="141">
        <f t="shared" si="150"/>
        <v>44487</v>
      </c>
      <c r="E4614" s="275">
        <f t="shared" si="151"/>
        <v>44487</v>
      </c>
      <c r="F4614" s="481"/>
      <c r="G4614" s="174" t="s">
        <v>94</v>
      </c>
      <c r="H4614" s="174" t="str" cm="1">
        <f t="array" ref="H4614">IFERROR(INDEX(INVESTOR_LIST[INVESTOR NAME],MATCH(I4614,INVESTOR_LIST[INVESTOR CODE],0),)," ")</f>
        <v xml:space="preserve"> </v>
      </c>
      <c r="I4614" s="148" t="s">
        <v>348</v>
      </c>
      <c r="J4614" s="149" t="s">
        <v>79</v>
      </c>
      <c r="K4614" s="218"/>
      <c r="L4614" s="218">
        <v>2026038.49</v>
      </c>
    </row>
    <row r="4615" spans="1:14" x14ac:dyDescent="0.2">
      <c r="A4615" s="163">
        <v>2021</v>
      </c>
      <c r="B4615" s="163">
        <v>10</v>
      </c>
      <c r="C4615" s="163">
        <v>18</v>
      </c>
      <c r="D4615" s="141">
        <f t="shared" si="150"/>
        <v>44487</v>
      </c>
      <c r="E4615" s="275">
        <f t="shared" si="151"/>
        <v>44487</v>
      </c>
      <c r="F4615" s="480"/>
      <c r="G4615" s="221" t="s">
        <v>94</v>
      </c>
      <c r="H4615" s="221" t="str" cm="1">
        <f t="array" ref="H4615">IFERROR(INDEX(INVESTOR_LIST[INVESTOR NAME],MATCH(I4615,INVESTOR_LIST[INVESTOR CODE],0),)," ")</f>
        <v xml:space="preserve"> </v>
      </c>
      <c r="I4615" s="145" t="s">
        <v>348</v>
      </c>
      <c r="J4615" s="146" t="s">
        <v>191</v>
      </c>
      <c r="K4615" s="219"/>
      <c r="L4615" s="219">
        <v>38629.21</v>
      </c>
    </row>
    <row r="4616" spans="1:14" x14ac:dyDescent="0.2">
      <c r="A4616" s="168">
        <v>2021</v>
      </c>
      <c r="B4616" s="168">
        <v>10</v>
      </c>
      <c r="C4616" s="133">
        <v>18</v>
      </c>
      <c r="D4616" s="141">
        <f t="shared" si="150"/>
        <v>44487</v>
      </c>
      <c r="E4616" s="275">
        <f t="shared" si="151"/>
        <v>44487</v>
      </c>
      <c r="F4616" s="479" t="s">
        <v>930</v>
      </c>
      <c r="G4616" s="220" t="s">
        <v>74</v>
      </c>
      <c r="H4616" s="220" t="str" cm="1">
        <f t="array" ref="H4616">IFERROR(INDEX(INVESTOR_LIST[INVESTOR NAME],MATCH(I4616,INVESTOR_LIST[INVESTOR CODE],0),)," ")</f>
        <v xml:space="preserve"> </v>
      </c>
      <c r="I4616" s="142"/>
      <c r="J4616" s="143" t="s">
        <v>79</v>
      </c>
      <c r="K4616" s="226">
        <v>179780</v>
      </c>
      <c r="L4616" s="226"/>
    </row>
    <row r="4617" spans="1:14" x14ac:dyDescent="0.2">
      <c r="A4617" s="133">
        <v>2021</v>
      </c>
      <c r="B4617" s="133">
        <v>10</v>
      </c>
      <c r="C4617" s="133">
        <v>18</v>
      </c>
      <c r="D4617" s="141">
        <f t="shared" si="150"/>
        <v>44487</v>
      </c>
      <c r="E4617" s="275">
        <f t="shared" si="151"/>
        <v>44487</v>
      </c>
      <c r="F4617" s="481"/>
      <c r="G4617" s="174" t="s">
        <v>74</v>
      </c>
      <c r="H4617" s="174" t="str" cm="1">
        <f t="array" ref="H4617">IFERROR(INDEX(INVESTOR_LIST[INVESTOR NAME],MATCH(I4617,INVESTOR_LIST[INVESTOR CODE],0),)," ")</f>
        <v xml:space="preserve"> </v>
      </c>
      <c r="J4617" s="149" t="s">
        <v>52</v>
      </c>
      <c r="K4617" s="218">
        <v>1100220</v>
      </c>
      <c r="L4617" s="218"/>
    </row>
    <row r="4618" spans="1:14" x14ac:dyDescent="0.2">
      <c r="A4618" s="163">
        <v>2021</v>
      </c>
      <c r="B4618" s="163">
        <v>10</v>
      </c>
      <c r="C4618" s="163">
        <v>18</v>
      </c>
      <c r="D4618" s="141">
        <f t="shared" si="150"/>
        <v>44487</v>
      </c>
      <c r="E4618" s="275">
        <f t="shared" si="151"/>
        <v>44487</v>
      </c>
      <c r="F4618" s="480"/>
      <c r="G4618" s="221" t="s">
        <v>74</v>
      </c>
      <c r="H4618" s="221" t="str" cm="1">
        <f t="array" ref="H4618">IFERROR(INDEX(INVESTOR_LIST[INVESTOR NAME],MATCH(I4618,INVESTOR_LIST[INVESTOR CODE],0),)," ")</f>
        <v xml:space="preserve"> </v>
      </c>
      <c r="I4618" s="145"/>
      <c r="J4618" s="146" t="s">
        <v>184</v>
      </c>
      <c r="K4618" s="219"/>
      <c r="L4618" s="219">
        <v>1280000</v>
      </c>
    </row>
    <row r="4619" spans="1:14" ht="11.25" customHeight="1" x14ac:dyDescent="0.2">
      <c r="A4619" s="133">
        <v>2021</v>
      </c>
      <c r="B4619" s="133">
        <v>10</v>
      </c>
      <c r="C4619" s="133">
        <v>19</v>
      </c>
      <c r="D4619" s="141">
        <f t="shared" si="150"/>
        <v>44488</v>
      </c>
      <c r="E4619" s="275">
        <f t="shared" si="151"/>
        <v>44488</v>
      </c>
      <c r="F4619" s="481" t="s">
        <v>893</v>
      </c>
      <c r="G4619" s="174" t="s">
        <v>94</v>
      </c>
      <c r="H4619" s="174" t="str" cm="1">
        <f t="array" ref="H4619">IFERROR(INDEX(INVESTOR_LIST[INVESTOR NAME],MATCH(I4619,INVESTOR_LIST[INVESTOR CODE],0),)," ")</f>
        <v xml:space="preserve"> </v>
      </c>
      <c r="I4619" s="148" t="s">
        <v>348</v>
      </c>
      <c r="J4619" s="149" t="s">
        <v>190</v>
      </c>
      <c r="K4619" s="254">
        <v>5054360.75</v>
      </c>
      <c r="L4619" s="218"/>
      <c r="N4619" s="160"/>
    </row>
    <row r="4620" spans="1:14" x14ac:dyDescent="0.2">
      <c r="A4620" s="133">
        <v>2021</v>
      </c>
      <c r="B4620" s="133">
        <v>10</v>
      </c>
      <c r="C4620" s="133">
        <v>19</v>
      </c>
      <c r="D4620" s="141">
        <f t="shared" si="150"/>
        <v>44488</v>
      </c>
      <c r="E4620" s="275">
        <f t="shared" si="151"/>
        <v>44488</v>
      </c>
      <c r="F4620" s="481"/>
      <c r="G4620" s="174" t="s">
        <v>94</v>
      </c>
      <c r="H4620" s="174" t="str" cm="1">
        <f t="array" ref="H4620">IFERROR(INDEX(INVESTOR_LIST[INVESTOR NAME],MATCH(I4620,INVESTOR_LIST[INVESTOR CODE],0),)," ")</f>
        <v xml:space="preserve"> </v>
      </c>
      <c r="I4620" s="148" t="s">
        <v>348</v>
      </c>
      <c r="J4620" s="149" t="s">
        <v>80</v>
      </c>
      <c r="K4620" s="218">
        <v>9114.25</v>
      </c>
      <c r="L4620" s="218"/>
    </row>
    <row r="4621" spans="1:14" x14ac:dyDescent="0.2">
      <c r="A4621" s="133">
        <v>2021</v>
      </c>
      <c r="B4621" s="133">
        <v>10</v>
      </c>
      <c r="C4621" s="133">
        <v>19</v>
      </c>
      <c r="D4621" s="141">
        <f t="shared" si="150"/>
        <v>44488</v>
      </c>
      <c r="E4621" s="275">
        <f t="shared" si="151"/>
        <v>44488</v>
      </c>
      <c r="F4621" s="481"/>
      <c r="G4621" s="174" t="s">
        <v>94</v>
      </c>
      <c r="H4621" s="174" t="str" cm="1">
        <f t="array" ref="H4621">IFERROR(INDEX(INVESTOR_LIST[INVESTOR NAME],MATCH(I4621,INVESTOR_LIST[INVESTOR CODE],0),)," ")</f>
        <v xml:space="preserve"> </v>
      </c>
      <c r="I4621" s="148" t="s">
        <v>348</v>
      </c>
      <c r="J4621" s="149" t="s">
        <v>79</v>
      </c>
      <c r="K4621" s="218"/>
      <c r="L4621" s="218">
        <v>4959711.2</v>
      </c>
      <c r="N4621" s="160"/>
    </row>
    <row r="4622" spans="1:14" x14ac:dyDescent="0.2">
      <c r="A4622" s="163">
        <v>2021</v>
      </c>
      <c r="B4622" s="163">
        <v>10</v>
      </c>
      <c r="C4622" s="163">
        <v>19</v>
      </c>
      <c r="D4622" s="141">
        <f t="shared" ref="D4622:D4685" si="152">DATE(A4622,B4622,C4622)</f>
        <v>44488</v>
      </c>
      <c r="E4622" s="275">
        <f t="shared" si="151"/>
        <v>44488</v>
      </c>
      <c r="F4622" s="480"/>
      <c r="G4622" s="221" t="s">
        <v>94</v>
      </c>
      <c r="H4622" s="221" t="str" cm="1">
        <f t="array" ref="H4622">IFERROR(INDEX(INVESTOR_LIST[INVESTOR NAME],MATCH(I4622,INVESTOR_LIST[INVESTOR CODE],0),)," ")</f>
        <v xml:space="preserve"> </v>
      </c>
      <c r="I4622" s="145" t="s">
        <v>348</v>
      </c>
      <c r="J4622" s="146" t="s">
        <v>191</v>
      </c>
      <c r="K4622" s="219"/>
      <c r="L4622" s="219">
        <v>103763.8</v>
      </c>
      <c r="N4622" s="160"/>
    </row>
    <row r="4623" spans="1:14" ht="22.5" x14ac:dyDescent="0.2">
      <c r="A4623" s="168">
        <v>2021</v>
      </c>
      <c r="B4623" s="168">
        <v>10</v>
      </c>
      <c r="C4623" s="133">
        <v>19</v>
      </c>
      <c r="D4623" s="141">
        <f t="shared" si="152"/>
        <v>44488</v>
      </c>
      <c r="E4623" s="275">
        <f t="shared" ref="E4623:E4686" si="153">DATE(A4623,B4623,C4623)</f>
        <v>44488</v>
      </c>
      <c r="F4623" s="479" t="s">
        <v>965</v>
      </c>
      <c r="G4623" s="220" t="s">
        <v>74</v>
      </c>
      <c r="H4623" s="142" t="str" cm="1">
        <f t="array" ref="H4623">IFERROR(INDEX(INVESTOR_LIST[INVESTOR NAME],MATCH(I4623,INVESTOR_LIST[INVESTOR CODE],0),)," ")</f>
        <v>TANVIR HASAN</v>
      </c>
      <c r="I4623" s="142" t="s">
        <v>760</v>
      </c>
      <c r="J4623" s="168" t="s">
        <v>13</v>
      </c>
      <c r="K4623" s="226">
        <v>188250</v>
      </c>
      <c r="L4623" s="226"/>
    </row>
    <row r="4624" spans="1:14" ht="22.5" x14ac:dyDescent="0.2">
      <c r="A4624" s="133">
        <v>2021</v>
      </c>
      <c r="B4624" s="133">
        <v>10</v>
      </c>
      <c r="C4624" s="133">
        <v>19</v>
      </c>
      <c r="D4624" s="141">
        <f t="shared" si="152"/>
        <v>44488</v>
      </c>
      <c r="E4624" s="275">
        <f t="shared" si="153"/>
        <v>44488</v>
      </c>
      <c r="F4624" s="481"/>
      <c r="G4624" s="174" t="s">
        <v>74</v>
      </c>
      <c r="H4624" s="148" t="str" cm="1">
        <f t="array" ref="H4624">IFERROR(INDEX(INVESTOR_LIST[INVESTOR NAME],MATCH(I4624,INVESTOR_LIST[INVESTOR CODE],0),)," ")</f>
        <v>TANVIR HASAN</v>
      </c>
      <c r="I4624" s="148" t="s">
        <v>760</v>
      </c>
      <c r="J4624" s="133" t="s">
        <v>53</v>
      </c>
      <c r="K4624" s="218">
        <v>93626.87</v>
      </c>
      <c r="L4624" s="218"/>
    </row>
    <row r="4625" spans="1:12" ht="22.5" x14ac:dyDescent="0.2">
      <c r="A4625" s="163">
        <v>2021</v>
      </c>
      <c r="B4625" s="163">
        <v>10</v>
      </c>
      <c r="C4625" s="163">
        <v>19</v>
      </c>
      <c r="D4625" s="141">
        <f t="shared" si="152"/>
        <v>44488</v>
      </c>
      <c r="E4625" s="275">
        <f t="shared" si="153"/>
        <v>44488</v>
      </c>
      <c r="F4625" s="480"/>
      <c r="G4625" s="221" t="s">
        <v>74</v>
      </c>
      <c r="H4625" s="145" t="str" cm="1">
        <f t="array" ref="H4625">IFERROR(INDEX(INVESTOR_LIST[INVESTOR NAME],MATCH(I4625,INVESTOR_LIST[INVESTOR CODE],0),)," ")</f>
        <v>TANVIR HASAN</v>
      </c>
      <c r="I4625" s="145" t="s">
        <v>760</v>
      </c>
      <c r="J4625" s="163" t="s">
        <v>52</v>
      </c>
      <c r="K4625" s="219"/>
      <c r="L4625" s="219">
        <v>281876.87</v>
      </c>
    </row>
    <row r="4626" spans="1:12" ht="11.25" customHeight="1" x14ac:dyDescent="0.2">
      <c r="A4626" s="168">
        <v>2021</v>
      </c>
      <c r="B4626" s="168">
        <v>10</v>
      </c>
      <c r="C4626" s="133">
        <v>19</v>
      </c>
      <c r="D4626" s="141">
        <f t="shared" si="152"/>
        <v>44488</v>
      </c>
      <c r="E4626" s="275">
        <f t="shared" si="153"/>
        <v>44488</v>
      </c>
      <c r="F4626" s="479" t="s">
        <v>254</v>
      </c>
      <c r="G4626" s="220" t="s">
        <v>74</v>
      </c>
      <c r="H4626" s="142" t="str" cm="1">
        <f t="array" ref="H4626">IFERROR(INDEX(INVESTOR_LIST[INVESTOR NAME],MATCH(I4626,INVESTOR_LIST[INVESTOR CODE],0),)," ")</f>
        <v xml:space="preserve"> </v>
      </c>
      <c r="I4626" s="142"/>
      <c r="J4626" s="168" t="s">
        <v>52</v>
      </c>
      <c r="K4626" s="226">
        <v>21000</v>
      </c>
      <c r="L4626" s="226"/>
    </row>
    <row r="4627" spans="1:12" x14ac:dyDescent="0.2">
      <c r="A4627" s="133">
        <v>2021</v>
      </c>
      <c r="B4627" s="133">
        <v>10</v>
      </c>
      <c r="C4627" s="133">
        <v>19</v>
      </c>
      <c r="D4627" s="141">
        <f t="shared" si="152"/>
        <v>44488</v>
      </c>
      <c r="E4627" s="275">
        <f t="shared" si="153"/>
        <v>44488</v>
      </c>
      <c r="F4627" s="481"/>
      <c r="G4627" s="174" t="s">
        <v>74</v>
      </c>
      <c r="H4627" s="148" t="str" cm="1">
        <f t="array" ref="H4627">IFERROR(INDEX(INVESTOR_LIST[INVESTOR NAME],MATCH(I4627,INVESTOR_LIST[INVESTOR CODE],0),)," ")</f>
        <v xml:space="preserve"> </v>
      </c>
      <c r="J4627" s="133" t="s">
        <v>13</v>
      </c>
      <c r="K4627" s="218"/>
      <c r="L4627" s="218">
        <v>14040</v>
      </c>
    </row>
    <row r="4628" spans="1:12" x14ac:dyDescent="0.2">
      <c r="A4628" s="163">
        <v>2021</v>
      </c>
      <c r="B4628" s="163">
        <v>10</v>
      </c>
      <c r="C4628" s="163">
        <v>19</v>
      </c>
      <c r="D4628" s="141">
        <f t="shared" si="152"/>
        <v>44488</v>
      </c>
      <c r="E4628" s="275">
        <f t="shared" si="153"/>
        <v>44488</v>
      </c>
      <c r="F4628" s="480"/>
      <c r="G4628" s="221" t="s">
        <v>74</v>
      </c>
      <c r="H4628" s="145" t="str" cm="1">
        <f t="array" ref="H4628">IFERROR(INDEX(INVESTOR_LIST[INVESTOR NAME],MATCH(I4628,INVESTOR_LIST[INVESTOR CODE],0),)," ")</f>
        <v xml:space="preserve"> </v>
      </c>
      <c r="I4628" s="145"/>
      <c r="J4628" s="163" t="s">
        <v>53</v>
      </c>
      <c r="K4628" s="219"/>
      <c r="L4628" s="219">
        <v>6960</v>
      </c>
    </row>
    <row r="4629" spans="1:12" x14ac:dyDescent="0.2">
      <c r="A4629" s="168">
        <v>2021</v>
      </c>
      <c r="B4629" s="168">
        <v>10</v>
      </c>
      <c r="C4629" s="168">
        <v>21</v>
      </c>
      <c r="D4629" s="141">
        <f t="shared" si="152"/>
        <v>44490</v>
      </c>
      <c r="E4629" s="275">
        <f t="shared" si="153"/>
        <v>44490</v>
      </c>
      <c r="F4629" s="479" t="s">
        <v>914</v>
      </c>
      <c r="G4629" s="220" t="s">
        <v>94</v>
      </c>
      <c r="H4629" s="220" t="str" cm="1">
        <f t="array" ref="H4629">IFERROR(INDEX(INVESTOR_LIST[INVESTOR NAME],MATCH(I4629,INVESTOR_LIST[INVESTOR CODE],0),)," ")</f>
        <v xml:space="preserve"> </v>
      </c>
      <c r="I4629" s="142" t="s">
        <v>348</v>
      </c>
      <c r="J4629" s="143" t="s">
        <v>79</v>
      </c>
      <c r="K4629" s="226">
        <v>1430000</v>
      </c>
      <c r="L4629" s="226"/>
    </row>
    <row r="4630" spans="1:12" x14ac:dyDescent="0.2">
      <c r="A4630" s="133">
        <v>2021</v>
      </c>
      <c r="B4630" s="133">
        <v>10</v>
      </c>
      <c r="C4630" s="133">
        <v>21</v>
      </c>
      <c r="D4630" s="141">
        <f t="shared" si="152"/>
        <v>44490</v>
      </c>
      <c r="E4630" s="275">
        <f t="shared" si="153"/>
        <v>44490</v>
      </c>
      <c r="F4630" s="481"/>
      <c r="G4630" s="174" t="s">
        <v>94</v>
      </c>
      <c r="H4630" s="174" t="str" cm="1">
        <f t="array" ref="H4630">IFERROR(INDEX(INVESTOR_LIST[INVESTOR NAME],MATCH(I4630,INVESTOR_LIST[INVESTOR CODE],0),)," ")</f>
        <v xml:space="preserve"> </v>
      </c>
      <c r="I4630" s="148" t="s">
        <v>348</v>
      </c>
      <c r="J4630" s="149" t="s">
        <v>80</v>
      </c>
      <c r="K4630" s="218">
        <v>5768.14</v>
      </c>
      <c r="L4630" s="218"/>
    </row>
    <row r="4631" spans="1:12" x14ac:dyDescent="0.2">
      <c r="A4631" s="133">
        <v>2021</v>
      </c>
      <c r="B4631" s="133">
        <v>10</v>
      </c>
      <c r="C4631" s="133">
        <v>21</v>
      </c>
      <c r="D4631" s="141">
        <f t="shared" si="152"/>
        <v>44490</v>
      </c>
      <c r="E4631" s="275">
        <f t="shared" si="153"/>
        <v>44490</v>
      </c>
      <c r="F4631" s="481"/>
      <c r="G4631" s="174" t="s">
        <v>94</v>
      </c>
      <c r="H4631" s="174" t="str" cm="1">
        <f t="array" ref="H4631">IFERROR(INDEX(INVESTOR_LIST[INVESTOR NAME],MATCH(I4631,INVESTOR_LIST[INVESTOR CODE],0),)," ")</f>
        <v xml:space="preserve"> </v>
      </c>
      <c r="I4631" s="148" t="s">
        <v>348</v>
      </c>
      <c r="J4631" s="149" t="s">
        <v>190</v>
      </c>
      <c r="K4631" s="254">
        <v>338751.86</v>
      </c>
      <c r="L4631" s="218"/>
    </row>
    <row r="4632" spans="1:12" x14ac:dyDescent="0.2">
      <c r="A4632" s="133">
        <v>2021</v>
      </c>
      <c r="B4632" s="133">
        <v>10</v>
      </c>
      <c r="C4632" s="133">
        <v>21</v>
      </c>
      <c r="D4632" s="141">
        <f t="shared" si="152"/>
        <v>44490</v>
      </c>
      <c r="E4632" s="275">
        <f t="shared" si="153"/>
        <v>44490</v>
      </c>
      <c r="F4632" s="481"/>
      <c r="G4632" s="174" t="s">
        <v>94</v>
      </c>
      <c r="H4632" s="174" t="str" cm="1">
        <f t="array" ref="H4632">IFERROR(INDEX(INVESTOR_LIST[INVESTOR NAME],MATCH(I4632,INVESTOR_LIST[INVESTOR CODE],0),)," ")</f>
        <v xml:space="preserve"> </v>
      </c>
      <c r="I4632" s="148" t="s">
        <v>348</v>
      </c>
      <c r="J4632" s="149" t="s">
        <v>191</v>
      </c>
      <c r="K4632" s="218"/>
      <c r="L4632" s="218">
        <v>540211.18000000005</v>
      </c>
    </row>
    <row r="4633" spans="1:12" x14ac:dyDescent="0.2">
      <c r="A4633" s="163">
        <v>2021</v>
      </c>
      <c r="B4633" s="163">
        <v>10</v>
      </c>
      <c r="C4633" s="163">
        <v>21</v>
      </c>
      <c r="D4633" s="141">
        <f t="shared" si="152"/>
        <v>44490</v>
      </c>
      <c r="E4633" s="275">
        <f t="shared" si="153"/>
        <v>44490</v>
      </c>
      <c r="F4633" s="480"/>
      <c r="G4633" s="221" t="s">
        <v>94</v>
      </c>
      <c r="H4633" s="145" t="str" cm="1">
        <f t="array" ref="H4633">IFERROR(INDEX(INVESTOR_LIST[INVESTOR NAME],MATCH(I4633,INVESTOR_LIST[INVESTOR CODE],0),)," ")</f>
        <v xml:space="preserve"> </v>
      </c>
      <c r="I4633" s="145"/>
      <c r="J4633" s="163" t="s">
        <v>79</v>
      </c>
      <c r="K4633" s="219"/>
      <c r="L4633" s="219">
        <v>1234308.82</v>
      </c>
    </row>
    <row r="4634" spans="1:12" x14ac:dyDescent="0.2">
      <c r="A4634" s="168">
        <v>2021</v>
      </c>
      <c r="B4634" s="168">
        <v>10</v>
      </c>
      <c r="C4634" s="133">
        <v>21</v>
      </c>
      <c r="D4634" s="141">
        <f t="shared" si="152"/>
        <v>44490</v>
      </c>
      <c r="E4634" s="275">
        <f t="shared" si="153"/>
        <v>44490</v>
      </c>
      <c r="F4634" s="479" t="s">
        <v>932</v>
      </c>
      <c r="G4634" s="220" t="s">
        <v>74</v>
      </c>
      <c r="H4634" s="220" t="str" cm="1">
        <f t="array" ref="H4634">IFERROR(INDEX(INVESTOR_LIST[INVESTOR NAME],MATCH(I4634,INVESTOR_LIST[INVESTOR CODE],0),)," ")</f>
        <v xml:space="preserve"> </v>
      </c>
      <c r="I4634" s="142"/>
      <c r="J4634" s="143" t="s">
        <v>79</v>
      </c>
      <c r="K4634" s="226">
        <v>865260</v>
      </c>
      <c r="L4634" s="226"/>
    </row>
    <row r="4635" spans="1:12" x14ac:dyDescent="0.2">
      <c r="A4635" s="133">
        <v>2021</v>
      </c>
      <c r="B4635" s="133">
        <v>10</v>
      </c>
      <c r="C4635" s="133">
        <v>21</v>
      </c>
      <c r="D4635" s="141">
        <f t="shared" si="152"/>
        <v>44490</v>
      </c>
      <c r="E4635" s="275">
        <f t="shared" si="153"/>
        <v>44490</v>
      </c>
      <c r="F4635" s="481"/>
      <c r="G4635" s="174" t="s">
        <v>74</v>
      </c>
      <c r="H4635" s="174" t="str" cm="1">
        <f t="array" ref="H4635">IFERROR(INDEX(INVESTOR_LIST[INVESTOR NAME],MATCH(I4635,INVESTOR_LIST[INVESTOR CODE],0),)," ")</f>
        <v xml:space="preserve"> </v>
      </c>
      <c r="J4635" s="149" t="s">
        <v>52</v>
      </c>
      <c r="K4635" s="218">
        <v>21134740</v>
      </c>
      <c r="L4635" s="218"/>
    </row>
    <row r="4636" spans="1:12" x14ac:dyDescent="0.2">
      <c r="A4636" s="163">
        <v>2021</v>
      </c>
      <c r="B4636" s="163">
        <v>10</v>
      </c>
      <c r="C4636" s="163">
        <v>21</v>
      </c>
      <c r="D4636" s="141">
        <f t="shared" si="152"/>
        <v>44490</v>
      </c>
      <c r="E4636" s="275">
        <f t="shared" si="153"/>
        <v>44490</v>
      </c>
      <c r="F4636" s="480"/>
      <c r="G4636" s="221" t="s">
        <v>74</v>
      </c>
      <c r="H4636" s="221" t="str" cm="1">
        <f t="array" ref="H4636">IFERROR(INDEX(INVESTOR_LIST[INVESTOR NAME],MATCH(I4636,INVESTOR_LIST[INVESTOR CODE],0),)," ")</f>
        <v xml:space="preserve"> </v>
      </c>
      <c r="I4636" s="145"/>
      <c r="J4636" s="146" t="s">
        <v>184</v>
      </c>
      <c r="K4636" s="219"/>
      <c r="L4636" s="219">
        <v>22000000</v>
      </c>
    </row>
    <row r="4637" spans="1:12" ht="33.75" x14ac:dyDescent="0.2">
      <c r="A4637" s="168">
        <v>2021</v>
      </c>
      <c r="B4637" s="168">
        <v>10</v>
      </c>
      <c r="C4637" s="133">
        <v>21</v>
      </c>
      <c r="D4637" s="141">
        <f t="shared" si="152"/>
        <v>44490</v>
      </c>
      <c r="E4637" s="275">
        <f t="shared" si="153"/>
        <v>44490</v>
      </c>
      <c r="F4637" s="479" t="s">
        <v>965</v>
      </c>
      <c r="G4637" s="220" t="s">
        <v>74</v>
      </c>
      <c r="H4637" s="142" t="str" cm="1">
        <f t="array" ref="H4637">IFERROR(INDEX(INVESTOR_LIST[INVESTOR NAME],MATCH(I4637,INVESTOR_LIST[INVESTOR CODE],0),)," ")</f>
        <v>NAUSHEEN AHMED</v>
      </c>
      <c r="I4637" s="142" t="s">
        <v>787</v>
      </c>
      <c r="J4637" s="168" t="s">
        <v>13</v>
      </c>
      <c r="K4637" s="226">
        <v>275140</v>
      </c>
      <c r="L4637" s="226"/>
    </row>
    <row r="4638" spans="1:12" ht="33.75" x14ac:dyDescent="0.2">
      <c r="A4638" s="133">
        <v>2021</v>
      </c>
      <c r="B4638" s="133">
        <v>10</v>
      </c>
      <c r="C4638" s="133">
        <v>21</v>
      </c>
      <c r="D4638" s="141">
        <f t="shared" si="152"/>
        <v>44490</v>
      </c>
      <c r="E4638" s="275">
        <f t="shared" si="153"/>
        <v>44490</v>
      </c>
      <c r="F4638" s="481"/>
      <c r="G4638" s="174" t="s">
        <v>74</v>
      </c>
      <c r="H4638" s="148" t="str" cm="1">
        <f t="array" ref="H4638">IFERROR(INDEX(INVESTOR_LIST[INVESTOR NAME],MATCH(I4638,INVESTOR_LIST[INVESTOR CODE],0),)," ")</f>
        <v>NAUSHEEN AHMED</v>
      </c>
      <c r="I4638" s="148" t="s">
        <v>787</v>
      </c>
      <c r="J4638" s="133" t="s">
        <v>53</v>
      </c>
      <c r="K4638" s="218">
        <v>136841.96</v>
      </c>
      <c r="L4638" s="218"/>
    </row>
    <row r="4639" spans="1:12" ht="33.75" x14ac:dyDescent="0.2">
      <c r="A4639" s="163">
        <v>2021</v>
      </c>
      <c r="B4639" s="163">
        <v>10</v>
      </c>
      <c r="C4639" s="163">
        <v>21</v>
      </c>
      <c r="D4639" s="141">
        <f t="shared" si="152"/>
        <v>44490</v>
      </c>
      <c r="E4639" s="275">
        <f t="shared" si="153"/>
        <v>44490</v>
      </c>
      <c r="F4639" s="480"/>
      <c r="G4639" s="221" t="s">
        <v>74</v>
      </c>
      <c r="H4639" s="145" t="str" cm="1">
        <f t="array" ref="H4639">IFERROR(INDEX(INVESTOR_LIST[INVESTOR NAME],MATCH(I4639,INVESTOR_LIST[INVESTOR CODE],0),)," ")</f>
        <v>NAUSHEEN AHMED</v>
      </c>
      <c r="I4639" s="145" t="s">
        <v>787</v>
      </c>
      <c r="J4639" s="163" t="s">
        <v>52</v>
      </c>
      <c r="K4639" s="219"/>
      <c r="L4639" s="219">
        <v>411981.96</v>
      </c>
    </row>
    <row r="4640" spans="1:12" ht="33.75" x14ac:dyDescent="0.2">
      <c r="A4640" s="168">
        <v>2021</v>
      </c>
      <c r="B4640" s="168">
        <v>10</v>
      </c>
      <c r="C4640" s="133">
        <v>21</v>
      </c>
      <c r="D4640" s="141">
        <f t="shared" si="152"/>
        <v>44490</v>
      </c>
      <c r="E4640" s="275">
        <f t="shared" si="153"/>
        <v>44490</v>
      </c>
      <c r="F4640" s="479" t="s">
        <v>965</v>
      </c>
      <c r="G4640" s="220" t="s">
        <v>74</v>
      </c>
      <c r="H4640" s="142" t="str" cm="1">
        <f t="array" ref="H4640">IFERROR(INDEX(INVESTOR_LIST[INVESTOR NAME],MATCH(I4640,INVESTOR_LIST[INVESTOR CODE],0),)," ")</f>
        <v>JAHAN ARA BEGUM</v>
      </c>
      <c r="I4640" s="142" t="s">
        <v>803</v>
      </c>
      <c r="J4640" s="168" t="s">
        <v>13</v>
      </c>
      <c r="K4640" s="226">
        <v>200000</v>
      </c>
      <c r="L4640" s="226"/>
    </row>
    <row r="4641" spans="1:13" ht="33.75" x14ac:dyDescent="0.2">
      <c r="A4641" s="133">
        <v>2021</v>
      </c>
      <c r="B4641" s="133">
        <v>10</v>
      </c>
      <c r="C4641" s="133">
        <v>21</v>
      </c>
      <c r="D4641" s="141">
        <f t="shared" si="152"/>
        <v>44490</v>
      </c>
      <c r="E4641" s="275">
        <f t="shared" si="153"/>
        <v>44490</v>
      </c>
      <c r="F4641" s="481"/>
      <c r="G4641" s="174" t="s">
        <v>74</v>
      </c>
      <c r="H4641" s="148" t="str" cm="1">
        <f t="array" ref="H4641">IFERROR(INDEX(INVESTOR_LIST[INVESTOR NAME],MATCH(I4641,INVESTOR_LIST[INVESTOR CODE],0),)," ")</f>
        <v>JAHAN ARA BEGUM</v>
      </c>
      <c r="I4641" s="148" t="s">
        <v>803</v>
      </c>
      <c r="J4641" s="133" t="s">
        <v>53</v>
      </c>
      <c r="K4641" s="218">
        <v>99470.78</v>
      </c>
      <c r="L4641" s="218"/>
    </row>
    <row r="4642" spans="1:13" ht="33.75" x14ac:dyDescent="0.2">
      <c r="A4642" s="163">
        <v>2021</v>
      </c>
      <c r="B4642" s="163">
        <v>10</v>
      </c>
      <c r="C4642" s="163">
        <v>21</v>
      </c>
      <c r="D4642" s="141">
        <f t="shared" si="152"/>
        <v>44490</v>
      </c>
      <c r="E4642" s="275">
        <f t="shared" si="153"/>
        <v>44490</v>
      </c>
      <c r="F4642" s="480"/>
      <c r="G4642" s="221" t="s">
        <v>74</v>
      </c>
      <c r="H4642" s="145" t="str" cm="1">
        <f t="array" ref="H4642">IFERROR(INDEX(INVESTOR_LIST[INVESTOR NAME],MATCH(I4642,INVESTOR_LIST[INVESTOR CODE],0),)," ")</f>
        <v>JAHAN ARA BEGUM</v>
      </c>
      <c r="I4642" s="145" t="s">
        <v>803</v>
      </c>
      <c r="J4642" s="163" t="s">
        <v>52</v>
      </c>
      <c r="K4642" s="219"/>
      <c r="L4642" s="219">
        <v>299470.78000000003</v>
      </c>
    </row>
    <row r="4643" spans="1:13" ht="45" x14ac:dyDescent="0.2">
      <c r="A4643" s="168">
        <v>2021</v>
      </c>
      <c r="B4643" s="168">
        <v>10</v>
      </c>
      <c r="C4643" s="133">
        <v>21</v>
      </c>
      <c r="D4643" s="141">
        <f t="shared" si="152"/>
        <v>44490</v>
      </c>
      <c r="E4643" s="275">
        <f t="shared" si="153"/>
        <v>44490</v>
      </c>
      <c r="F4643" s="479" t="s">
        <v>965</v>
      </c>
      <c r="G4643" s="220" t="s">
        <v>74</v>
      </c>
      <c r="H4643" s="142" t="str" cm="1">
        <f t="array" ref="H4643">IFERROR(INDEX(INVESTOR_LIST[INVESTOR NAME],MATCH(I4643,INVESTOR_LIST[INVESTOR CODE],0),)," ")</f>
        <v>MOHAMMAD SAIFUDDOWLA</v>
      </c>
      <c r="I4643" s="142" t="s">
        <v>609</v>
      </c>
      <c r="J4643" s="168" t="s">
        <v>13</v>
      </c>
      <c r="K4643" s="226">
        <v>148260</v>
      </c>
      <c r="L4643" s="226"/>
    </row>
    <row r="4644" spans="1:13" ht="45" x14ac:dyDescent="0.2">
      <c r="A4644" s="133">
        <v>2021</v>
      </c>
      <c r="B4644" s="133">
        <v>10</v>
      </c>
      <c r="C4644" s="133">
        <v>21</v>
      </c>
      <c r="D4644" s="141">
        <f t="shared" si="152"/>
        <v>44490</v>
      </c>
      <c r="E4644" s="275">
        <f t="shared" si="153"/>
        <v>44490</v>
      </c>
      <c r="F4644" s="481"/>
      <c r="G4644" s="174" t="s">
        <v>74</v>
      </c>
      <c r="H4644" s="148" t="str" cm="1">
        <f t="array" ref="H4644">IFERROR(INDEX(INVESTOR_LIST[INVESTOR NAME],MATCH(I4644,INVESTOR_LIST[INVESTOR CODE],0),)," ")</f>
        <v>MOHAMMAD SAIFUDDOWLA</v>
      </c>
      <c r="I4644" s="148" t="s">
        <v>609</v>
      </c>
      <c r="J4644" s="133" t="s">
        <v>53</v>
      </c>
      <c r="K4644" s="218">
        <v>73737.69</v>
      </c>
      <c r="L4644" s="218"/>
    </row>
    <row r="4645" spans="1:13" ht="45" x14ac:dyDescent="0.2">
      <c r="A4645" s="163">
        <v>2021</v>
      </c>
      <c r="B4645" s="163">
        <v>10</v>
      </c>
      <c r="C4645" s="163">
        <v>21</v>
      </c>
      <c r="D4645" s="141">
        <f t="shared" si="152"/>
        <v>44490</v>
      </c>
      <c r="E4645" s="275">
        <f t="shared" si="153"/>
        <v>44490</v>
      </c>
      <c r="F4645" s="480"/>
      <c r="G4645" s="221" t="s">
        <v>74</v>
      </c>
      <c r="H4645" s="145" t="str" cm="1">
        <f t="array" ref="H4645">IFERROR(INDEX(INVESTOR_LIST[INVESTOR NAME],MATCH(I4645,INVESTOR_LIST[INVESTOR CODE],0),)," ")</f>
        <v>MOHAMMAD SAIFUDDOWLA</v>
      </c>
      <c r="I4645" s="145" t="s">
        <v>609</v>
      </c>
      <c r="J4645" s="163" t="s">
        <v>52</v>
      </c>
      <c r="K4645" s="219"/>
      <c r="L4645" s="219">
        <v>221997.69</v>
      </c>
    </row>
    <row r="4646" spans="1:13" ht="33.75" x14ac:dyDescent="0.2">
      <c r="A4646" s="168">
        <v>2021</v>
      </c>
      <c r="B4646" s="168">
        <v>10</v>
      </c>
      <c r="C4646" s="133">
        <v>21</v>
      </c>
      <c r="D4646" s="141">
        <f t="shared" si="152"/>
        <v>44490</v>
      </c>
      <c r="E4646" s="275">
        <f t="shared" si="153"/>
        <v>44490</v>
      </c>
      <c r="F4646" s="479" t="s">
        <v>965</v>
      </c>
      <c r="G4646" s="220" t="s">
        <v>74</v>
      </c>
      <c r="H4646" s="142" t="str" cm="1">
        <f t="array" ref="H4646">IFERROR(INDEX(INVESTOR_LIST[INVESTOR NAME],MATCH(I4646,INVESTOR_LIST[INVESTOR CODE],0),)," ")</f>
        <v>UMME SALMA KATHA</v>
      </c>
      <c r="I4646" s="142" t="s">
        <v>830</v>
      </c>
      <c r="J4646" s="168" t="s">
        <v>13</v>
      </c>
      <c r="K4646" s="226">
        <v>1315500</v>
      </c>
      <c r="L4646" s="226"/>
    </row>
    <row r="4647" spans="1:13" ht="33.75" x14ac:dyDescent="0.2">
      <c r="A4647" s="133">
        <v>2021</v>
      </c>
      <c r="B4647" s="133">
        <v>10</v>
      </c>
      <c r="C4647" s="133">
        <v>21</v>
      </c>
      <c r="D4647" s="141">
        <f t="shared" si="152"/>
        <v>44490</v>
      </c>
      <c r="E4647" s="275">
        <f t="shared" si="153"/>
        <v>44490</v>
      </c>
      <c r="F4647" s="481"/>
      <c r="G4647" s="174" t="s">
        <v>74</v>
      </c>
      <c r="H4647" s="148" t="str" cm="1">
        <f t="array" ref="H4647">IFERROR(INDEX(INVESTOR_LIST[INVESTOR NAME],MATCH(I4647,INVESTOR_LIST[INVESTOR CODE],0),)," ")</f>
        <v>UMME SALMA KATHA</v>
      </c>
      <c r="I4647" s="148" t="s">
        <v>830</v>
      </c>
      <c r="J4647" s="133" t="s">
        <v>53</v>
      </c>
      <c r="K4647" s="218">
        <v>653803</v>
      </c>
      <c r="L4647" s="218"/>
    </row>
    <row r="4648" spans="1:13" ht="33.75" x14ac:dyDescent="0.2">
      <c r="A4648" s="163">
        <v>2021</v>
      </c>
      <c r="B4648" s="163">
        <v>10</v>
      </c>
      <c r="C4648" s="163">
        <v>21</v>
      </c>
      <c r="D4648" s="141">
        <f t="shared" si="152"/>
        <v>44490</v>
      </c>
      <c r="E4648" s="275">
        <f t="shared" si="153"/>
        <v>44490</v>
      </c>
      <c r="F4648" s="480"/>
      <c r="G4648" s="221" t="s">
        <v>74</v>
      </c>
      <c r="H4648" s="145" t="str" cm="1">
        <f t="array" ref="H4648">IFERROR(INDEX(INVESTOR_LIST[INVESTOR NAME],MATCH(I4648,INVESTOR_LIST[INVESTOR CODE],0),)," ")</f>
        <v>UMME SALMA KATHA</v>
      </c>
      <c r="I4648" s="145" t="s">
        <v>830</v>
      </c>
      <c r="J4648" s="163" t="s">
        <v>52</v>
      </c>
      <c r="K4648" s="219"/>
      <c r="L4648" s="219">
        <v>1969303</v>
      </c>
    </row>
    <row r="4649" spans="1:13" x14ac:dyDescent="0.2">
      <c r="A4649" s="238">
        <v>2021</v>
      </c>
      <c r="B4649" s="238">
        <v>10</v>
      </c>
      <c r="C4649" s="238">
        <v>21</v>
      </c>
      <c r="D4649" s="141">
        <f t="shared" si="152"/>
        <v>44490</v>
      </c>
      <c r="E4649" s="275">
        <f t="shared" si="153"/>
        <v>44490</v>
      </c>
      <c r="F4649" s="477" t="s">
        <v>347</v>
      </c>
      <c r="G4649" s="239" t="s">
        <v>94</v>
      </c>
      <c r="H4649" s="239" t="str" cm="1">
        <f t="array" ref="H4649">IFERROR(INDEX(INVESTOR_LIST[INVESTOR NAME],MATCH(I4649,INVESTOR_LIST[INVESTOR CODE],0),)," ")</f>
        <v xml:space="preserve"> </v>
      </c>
      <c r="I4649" s="262" t="s">
        <v>348</v>
      </c>
      <c r="J4649" s="240" t="s">
        <v>83</v>
      </c>
      <c r="K4649" s="241">
        <v>3183363.5700000226</v>
      </c>
      <c r="L4649" s="241"/>
    </row>
    <row r="4650" spans="1:13" x14ac:dyDescent="0.2">
      <c r="A4650" s="242">
        <v>2021</v>
      </c>
      <c r="B4650" s="242">
        <v>10</v>
      </c>
      <c r="C4650" s="242">
        <v>21</v>
      </c>
      <c r="D4650" s="141">
        <f t="shared" si="152"/>
        <v>44490</v>
      </c>
      <c r="E4650" s="275">
        <f t="shared" si="153"/>
        <v>44490</v>
      </c>
      <c r="F4650" s="478"/>
      <c r="G4650" s="243" t="s">
        <v>94</v>
      </c>
      <c r="H4650" s="243" t="str" cm="1">
        <f t="array" ref="H4650">IFERROR(INDEX(INVESTOR_LIST[INVESTOR NAME],MATCH(I4650,INVESTOR_LIST[INVESTOR CODE],0),)," ")</f>
        <v xml:space="preserve"> </v>
      </c>
      <c r="I4650" s="263" t="s">
        <v>348</v>
      </c>
      <c r="J4650" s="244" t="s">
        <v>108</v>
      </c>
      <c r="K4650" s="245"/>
      <c r="L4650" s="245">
        <v>3183363.5700000226</v>
      </c>
    </row>
    <row r="4651" spans="1:13" ht="22.5" x14ac:dyDescent="0.2">
      <c r="A4651" s="246">
        <v>2021</v>
      </c>
      <c r="B4651" s="246">
        <v>10</v>
      </c>
      <c r="C4651" s="246">
        <v>21</v>
      </c>
      <c r="D4651" s="141">
        <f t="shared" si="152"/>
        <v>44490</v>
      </c>
      <c r="E4651" s="275">
        <f t="shared" si="153"/>
        <v>44490</v>
      </c>
      <c r="F4651" s="482" t="s">
        <v>148</v>
      </c>
      <c r="G4651" s="247" t="s">
        <v>94</v>
      </c>
      <c r="H4651" s="247" t="str" cm="1">
        <f t="array" ref="H4651">IFERROR(INDEX(INVESTOR_LIST[INVESTOR NAME],MATCH(I4651,INVESTOR_LIST[INVESTOR CODE],0),)," ")</f>
        <v xml:space="preserve"> </v>
      </c>
      <c r="I4651" s="248" t="s">
        <v>348</v>
      </c>
      <c r="J4651" s="249" t="s">
        <v>95</v>
      </c>
      <c r="K4651" s="250">
        <v>2747.2527472527472</v>
      </c>
      <c r="L4651" s="241"/>
      <c r="M4651" s="133">
        <v>2747.2527472527472</v>
      </c>
    </row>
    <row r="4652" spans="1:13" x14ac:dyDescent="0.2">
      <c r="A4652" s="242">
        <v>2021</v>
      </c>
      <c r="B4652" s="242">
        <v>10</v>
      </c>
      <c r="C4652" s="242">
        <v>21</v>
      </c>
      <c r="D4652" s="141">
        <f t="shared" si="152"/>
        <v>44490</v>
      </c>
      <c r="E4652" s="275">
        <f t="shared" si="153"/>
        <v>44490</v>
      </c>
      <c r="F4652" s="478"/>
      <c r="G4652" s="243" t="s">
        <v>94</v>
      </c>
      <c r="H4652" s="243" t="str" cm="1">
        <f t="array" ref="H4652">IFERROR(INDEX(INVESTOR_LIST[INVESTOR NAME],MATCH(I4652,INVESTOR_LIST[INVESTOR CODE],0),)," ")</f>
        <v xml:space="preserve"> </v>
      </c>
      <c r="I4652" s="263" t="s">
        <v>348</v>
      </c>
      <c r="J4652" s="244" t="s">
        <v>63</v>
      </c>
      <c r="K4652" s="245"/>
      <c r="L4652" s="245">
        <v>2747.2527472527472</v>
      </c>
      <c r="M4652" s="133">
        <v>106398.0078828616</v>
      </c>
    </row>
    <row r="4653" spans="1:13" x14ac:dyDescent="0.2">
      <c r="A4653" s="246">
        <v>2021</v>
      </c>
      <c r="B4653" s="246">
        <v>10</v>
      </c>
      <c r="C4653" s="246">
        <v>21</v>
      </c>
      <c r="D4653" s="141">
        <f t="shared" si="152"/>
        <v>44490</v>
      </c>
      <c r="E4653" s="275">
        <f t="shared" si="153"/>
        <v>44490</v>
      </c>
      <c r="F4653" s="482" t="s">
        <v>137</v>
      </c>
      <c r="G4653" s="247" t="s">
        <v>94</v>
      </c>
      <c r="H4653" s="247" t="str" cm="1">
        <f t="array" ref="H4653">IFERROR(INDEX(INVESTOR_LIST[INVESTOR NAME],MATCH(I4653,INVESTOR_LIST[INVESTOR CODE],0),)," ")</f>
        <v xml:space="preserve"> </v>
      </c>
      <c r="I4653" s="248" t="s">
        <v>348</v>
      </c>
      <c r="J4653" s="249" t="s">
        <v>97</v>
      </c>
      <c r="K4653" s="250">
        <v>106398.0078828616</v>
      </c>
      <c r="L4653" s="252"/>
      <c r="M4653" s="133">
        <v>5170.1236024471827</v>
      </c>
    </row>
    <row r="4654" spans="1:13" x14ac:dyDescent="0.2">
      <c r="A4654" s="242">
        <v>2021</v>
      </c>
      <c r="B4654" s="242">
        <v>10</v>
      </c>
      <c r="C4654" s="242">
        <v>21</v>
      </c>
      <c r="D4654" s="141">
        <f t="shared" si="152"/>
        <v>44490</v>
      </c>
      <c r="E4654" s="275">
        <f t="shared" si="153"/>
        <v>44490</v>
      </c>
      <c r="F4654" s="478"/>
      <c r="G4654" s="243" t="s">
        <v>94</v>
      </c>
      <c r="H4654" s="243" t="str" cm="1">
        <f t="array" ref="H4654">IFERROR(INDEX(INVESTOR_LIST[INVESTOR NAME],MATCH(I4654,INVESTOR_LIST[INVESTOR CODE],0),)," ")</f>
        <v xml:space="preserve"> </v>
      </c>
      <c r="I4654" s="263" t="s">
        <v>348</v>
      </c>
      <c r="J4654" s="244" t="s">
        <v>47</v>
      </c>
      <c r="K4654" s="245"/>
      <c r="L4654" s="245">
        <v>106398.0078828616</v>
      </c>
    </row>
    <row r="4655" spans="1:13" x14ac:dyDescent="0.2">
      <c r="A4655" s="246">
        <v>2021</v>
      </c>
      <c r="B4655" s="246">
        <v>10</v>
      </c>
      <c r="C4655" s="246">
        <v>21</v>
      </c>
      <c r="D4655" s="141">
        <f t="shared" si="152"/>
        <v>44490</v>
      </c>
      <c r="E4655" s="275">
        <f t="shared" si="153"/>
        <v>44490</v>
      </c>
      <c r="F4655" s="482" t="s">
        <v>138</v>
      </c>
      <c r="G4655" s="247" t="s">
        <v>94</v>
      </c>
      <c r="H4655" s="247" t="str" cm="1">
        <f t="array" ref="H4655">IFERROR(INDEX(INVESTOR_LIST[INVESTOR NAME],MATCH(I4655,INVESTOR_LIST[INVESTOR CODE],0),)," ")</f>
        <v xml:space="preserve"> </v>
      </c>
      <c r="I4655" s="248" t="s">
        <v>348</v>
      </c>
      <c r="J4655" s="249" t="s">
        <v>100</v>
      </c>
      <c r="K4655" s="250">
        <v>5170.1236024471827</v>
      </c>
      <c r="L4655" s="252"/>
    </row>
    <row r="4656" spans="1:13" x14ac:dyDescent="0.2">
      <c r="A4656" s="242">
        <v>2021</v>
      </c>
      <c r="B4656" s="242">
        <v>10</v>
      </c>
      <c r="C4656" s="242">
        <v>21</v>
      </c>
      <c r="D4656" s="141">
        <f t="shared" si="152"/>
        <v>44490</v>
      </c>
      <c r="E4656" s="275">
        <f t="shared" si="153"/>
        <v>44490</v>
      </c>
      <c r="F4656" s="478"/>
      <c r="G4656" s="243" t="s">
        <v>94</v>
      </c>
      <c r="H4656" s="243" t="str" cm="1">
        <f t="array" ref="H4656">IFERROR(INDEX(INVESTOR_LIST[INVESTOR NAME],MATCH(I4656,INVESTOR_LIST[INVESTOR CODE],0),)," ")</f>
        <v xml:space="preserve"> </v>
      </c>
      <c r="I4656" s="263" t="s">
        <v>348</v>
      </c>
      <c r="J4656" s="244" t="s">
        <v>48</v>
      </c>
      <c r="K4656" s="245"/>
      <c r="L4656" s="245">
        <v>5170.1236024471827</v>
      </c>
      <c r="M4656" s="160"/>
    </row>
    <row r="4657" spans="1:14" x14ac:dyDescent="0.2">
      <c r="A4657" s="168">
        <v>2021</v>
      </c>
      <c r="B4657" s="168">
        <v>10</v>
      </c>
      <c r="C4657" s="168">
        <v>24</v>
      </c>
      <c r="D4657" s="141">
        <f t="shared" si="152"/>
        <v>44493</v>
      </c>
      <c r="E4657" s="275">
        <f t="shared" si="153"/>
        <v>44493</v>
      </c>
      <c r="F4657" s="479" t="s">
        <v>894</v>
      </c>
      <c r="G4657" s="220" t="s">
        <v>94</v>
      </c>
      <c r="H4657" s="142" t="str" cm="1">
        <f t="array" ref="H4657">IFERROR(INDEX(INVESTOR_LIST[INVESTOR NAME],MATCH(I4657,INVESTOR_LIST[INVESTOR CODE],0),)," ")</f>
        <v xml:space="preserve"> </v>
      </c>
      <c r="I4657" s="142"/>
      <c r="J4657" s="168" t="s">
        <v>79</v>
      </c>
      <c r="K4657" s="226">
        <v>10730706.100000001</v>
      </c>
      <c r="L4657" s="226"/>
      <c r="M4657" s="264">
        <v>126380</v>
      </c>
    </row>
    <row r="4658" spans="1:14" x14ac:dyDescent="0.2">
      <c r="A4658" s="133">
        <v>2021</v>
      </c>
      <c r="B4658" s="133">
        <v>10</v>
      </c>
      <c r="C4658" s="133">
        <v>24</v>
      </c>
      <c r="D4658" s="141">
        <f t="shared" si="152"/>
        <v>44493</v>
      </c>
      <c r="E4658" s="275">
        <f t="shared" si="153"/>
        <v>44493</v>
      </c>
      <c r="F4658" s="481"/>
      <c r="G4658" s="174" t="s">
        <v>94</v>
      </c>
      <c r="H4658" s="148" t="str" cm="1">
        <f t="array" ref="H4658">IFERROR(INDEX(INVESTOR_LIST[INVESTOR NAME],MATCH(I4658,INVESTOR_LIST[INVESTOR CODE],0),)," ")</f>
        <v xml:space="preserve"> </v>
      </c>
      <c r="J4658" s="133" t="s">
        <v>80</v>
      </c>
      <c r="K4658" s="218">
        <v>19315.27</v>
      </c>
      <c r="L4658" s="218"/>
      <c r="M4658" s="264">
        <v>4344558.2</v>
      </c>
    </row>
    <row r="4659" spans="1:14" x14ac:dyDescent="0.2">
      <c r="A4659" s="133">
        <v>2021</v>
      </c>
      <c r="B4659" s="133">
        <v>10</v>
      </c>
      <c r="C4659" s="133">
        <v>24</v>
      </c>
      <c r="D4659" s="141">
        <f t="shared" si="152"/>
        <v>44493</v>
      </c>
      <c r="E4659" s="275">
        <f t="shared" si="153"/>
        <v>44493</v>
      </c>
      <c r="F4659" s="481"/>
      <c r="G4659" s="174" t="s">
        <v>94</v>
      </c>
      <c r="H4659" s="148" t="str" cm="1">
        <f t="array" ref="H4659">IFERROR(INDEX(INVESTOR_LIST[INVESTOR NAME],MATCH(I4659,INVESTOR_LIST[INVESTOR CODE],0),)," ")</f>
        <v xml:space="preserve"> </v>
      </c>
      <c r="J4659" s="133" t="s">
        <v>190</v>
      </c>
      <c r="K4659" s="218"/>
      <c r="L4659" s="218">
        <v>7655083.5700000003</v>
      </c>
      <c r="M4659" s="264">
        <v>2034376.5</v>
      </c>
    </row>
    <row r="4660" spans="1:14" x14ac:dyDescent="0.2">
      <c r="A4660" s="163">
        <v>2021</v>
      </c>
      <c r="B4660" s="163">
        <v>10</v>
      </c>
      <c r="C4660" s="163">
        <v>24</v>
      </c>
      <c r="D4660" s="141">
        <f t="shared" si="152"/>
        <v>44493</v>
      </c>
      <c r="E4660" s="275">
        <f t="shared" si="153"/>
        <v>44493</v>
      </c>
      <c r="F4660" s="480"/>
      <c r="G4660" s="221" t="s">
        <v>94</v>
      </c>
      <c r="H4660" s="145" t="str" cm="1">
        <f t="array" ref="H4660">IFERROR(INDEX(INVESTOR_LIST[INVESTOR NAME],MATCH(I4660,INVESTOR_LIST[INVESTOR CODE],0),)," ")</f>
        <v xml:space="preserve"> </v>
      </c>
      <c r="I4660" s="145"/>
      <c r="J4660" s="163" t="s">
        <v>147</v>
      </c>
      <c r="K4660" s="219"/>
      <c r="L4660" s="219">
        <v>3094937.8</v>
      </c>
      <c r="M4660" s="264">
        <v>1450000</v>
      </c>
    </row>
    <row r="4661" spans="1:14" x14ac:dyDescent="0.2">
      <c r="A4661" s="168">
        <v>2021</v>
      </c>
      <c r="B4661" s="168">
        <v>10</v>
      </c>
      <c r="C4661" s="168">
        <v>24</v>
      </c>
      <c r="D4661" s="141">
        <f t="shared" si="152"/>
        <v>44493</v>
      </c>
      <c r="E4661" s="275">
        <f t="shared" si="153"/>
        <v>44493</v>
      </c>
      <c r="F4661" s="479" t="s">
        <v>896</v>
      </c>
      <c r="G4661" s="220" t="s">
        <v>74</v>
      </c>
      <c r="H4661" s="220" t="str" cm="1">
        <f t="array" ref="H4661">IFERROR(INDEX(INVESTOR_LIST[INVESTOR NAME],MATCH(I4661,INVESTOR_LIST[INVESTOR CODE],0),)," ")</f>
        <v xml:space="preserve"> </v>
      </c>
      <c r="I4661" s="142" t="s">
        <v>348</v>
      </c>
      <c r="J4661" s="143" t="s">
        <v>147</v>
      </c>
      <c r="K4661" s="226">
        <v>3094937.8</v>
      </c>
      <c r="L4661" s="226"/>
      <c r="M4661" s="264">
        <v>485861.4</v>
      </c>
    </row>
    <row r="4662" spans="1:14" x14ac:dyDescent="0.2">
      <c r="A4662" s="163">
        <v>2021</v>
      </c>
      <c r="B4662" s="163">
        <v>10</v>
      </c>
      <c r="C4662" s="163">
        <v>24</v>
      </c>
      <c r="D4662" s="141">
        <f t="shared" si="152"/>
        <v>44493</v>
      </c>
      <c r="E4662" s="275">
        <f t="shared" si="153"/>
        <v>44493</v>
      </c>
      <c r="F4662" s="480"/>
      <c r="G4662" s="221" t="s">
        <v>74</v>
      </c>
      <c r="H4662" s="221" t="str" cm="1">
        <f t="array" ref="H4662">IFERROR(INDEX(INVESTOR_LIST[INVESTOR NAME],MATCH(I4662,INVESTOR_LIST[INVESTOR CODE],0),)," ")</f>
        <v xml:space="preserve"> </v>
      </c>
      <c r="I4662" s="145" t="s">
        <v>348</v>
      </c>
      <c r="J4662" s="146" t="s">
        <v>52</v>
      </c>
      <c r="K4662" s="219"/>
      <c r="L4662" s="219">
        <v>3094937.8</v>
      </c>
      <c r="M4662" s="264">
        <v>2289530</v>
      </c>
    </row>
    <row r="4663" spans="1:14" x14ac:dyDescent="0.2">
      <c r="A4663" s="168">
        <v>2021</v>
      </c>
      <c r="B4663" s="168">
        <v>10</v>
      </c>
      <c r="C4663" s="133">
        <v>25</v>
      </c>
      <c r="D4663" s="141">
        <f t="shared" si="152"/>
        <v>44494</v>
      </c>
      <c r="E4663" s="275">
        <f t="shared" si="153"/>
        <v>44494</v>
      </c>
      <c r="F4663" s="479" t="s">
        <v>894</v>
      </c>
      <c r="G4663" s="220" t="s">
        <v>94</v>
      </c>
      <c r="H4663" s="220" t="str" cm="1">
        <f t="array" ref="H4663">IFERROR(INDEX(INVESTOR_LIST[INVESTOR NAME],MATCH(I4663,INVESTOR_LIST[INVESTOR CODE],0),)," ")</f>
        <v xml:space="preserve"> </v>
      </c>
      <c r="I4663" s="142"/>
      <c r="J4663" s="143" t="s">
        <v>79</v>
      </c>
      <c r="K4663" s="226">
        <v>7124406.5999999996</v>
      </c>
      <c r="L4663" s="226"/>
      <c r="N4663" s="156">
        <f>K4668/14.87</f>
        <v>1613.9878950907869</v>
      </c>
    </row>
    <row r="4664" spans="1:14" x14ac:dyDescent="0.2">
      <c r="A4664" s="133">
        <v>2021</v>
      </c>
      <c r="B4664" s="133">
        <v>10</v>
      </c>
      <c r="C4664" s="133">
        <v>25</v>
      </c>
      <c r="D4664" s="141">
        <f t="shared" si="152"/>
        <v>44494</v>
      </c>
      <c r="E4664" s="275">
        <f t="shared" si="153"/>
        <v>44494</v>
      </c>
      <c r="F4664" s="481"/>
      <c r="G4664" s="174" t="s">
        <v>94</v>
      </c>
      <c r="H4664" s="174" t="str" cm="1">
        <f t="array" ref="H4664">IFERROR(INDEX(INVESTOR_LIST[INVESTOR NAME],MATCH(I4664,INVESTOR_LIST[INVESTOR CODE],0),)," ")</f>
        <v xml:space="preserve"> </v>
      </c>
      <c r="J4664" s="149" t="s">
        <v>80</v>
      </c>
      <c r="K4664" s="218">
        <v>12823.93</v>
      </c>
      <c r="L4664" s="218"/>
    </row>
    <row r="4665" spans="1:14" x14ac:dyDescent="0.2">
      <c r="A4665" s="163">
        <v>2021</v>
      </c>
      <c r="B4665" s="163">
        <v>10</v>
      </c>
      <c r="C4665" s="163">
        <v>25</v>
      </c>
      <c r="D4665" s="141">
        <f t="shared" si="152"/>
        <v>44494</v>
      </c>
      <c r="E4665" s="275">
        <f t="shared" si="153"/>
        <v>44494</v>
      </c>
      <c r="F4665" s="480"/>
      <c r="G4665" s="221" t="s">
        <v>94</v>
      </c>
      <c r="H4665" s="221" t="str" cm="1">
        <f t="array" ref="H4665">IFERROR(INDEX(INVESTOR_LIST[INVESTOR NAME],MATCH(I4665,INVESTOR_LIST[INVESTOR CODE],0),)," ")</f>
        <v xml:space="preserve"> </v>
      </c>
      <c r="I4665" s="145"/>
      <c r="J4665" s="146" t="s">
        <v>147</v>
      </c>
      <c r="K4665" s="219"/>
      <c r="L4665" s="219">
        <v>7137230.5300000003</v>
      </c>
    </row>
    <row r="4666" spans="1:14" x14ac:dyDescent="0.2">
      <c r="A4666" s="168">
        <v>2021</v>
      </c>
      <c r="B4666" s="168">
        <v>10</v>
      </c>
      <c r="C4666" s="168">
        <v>25</v>
      </c>
      <c r="D4666" s="141">
        <f t="shared" si="152"/>
        <v>44494</v>
      </c>
      <c r="E4666" s="275">
        <f t="shared" si="153"/>
        <v>44494</v>
      </c>
      <c r="F4666" s="479" t="s">
        <v>896</v>
      </c>
      <c r="G4666" s="220" t="s">
        <v>74</v>
      </c>
      <c r="H4666" s="220" t="str" cm="1">
        <f t="array" ref="H4666">IFERROR(INDEX(INVESTOR_LIST[INVESTOR NAME],MATCH(I4666,INVESTOR_LIST[INVESTOR CODE],0),)," ")</f>
        <v xml:space="preserve"> </v>
      </c>
      <c r="I4666" s="142" t="s">
        <v>348</v>
      </c>
      <c r="J4666" s="143" t="s">
        <v>147</v>
      </c>
      <c r="K4666" s="226">
        <v>7137230.5300000003</v>
      </c>
      <c r="L4666" s="226"/>
    </row>
    <row r="4667" spans="1:14" x14ac:dyDescent="0.2">
      <c r="A4667" s="163">
        <v>2021</v>
      </c>
      <c r="B4667" s="163">
        <v>10</v>
      </c>
      <c r="C4667" s="163">
        <v>25</v>
      </c>
      <c r="D4667" s="141">
        <f t="shared" si="152"/>
        <v>44494</v>
      </c>
      <c r="E4667" s="275">
        <f t="shared" si="153"/>
        <v>44494</v>
      </c>
      <c r="F4667" s="480"/>
      <c r="G4667" s="221" t="s">
        <v>74</v>
      </c>
      <c r="H4667" s="221" t="str" cm="1">
        <f t="array" ref="H4667">IFERROR(INDEX(INVESTOR_LIST[INVESTOR NAME],MATCH(I4667,INVESTOR_LIST[INVESTOR CODE],0),)," ")</f>
        <v xml:space="preserve"> </v>
      </c>
      <c r="I4667" s="145" t="s">
        <v>348</v>
      </c>
      <c r="J4667" s="146" t="s">
        <v>52</v>
      </c>
      <c r="K4667" s="219"/>
      <c r="L4667" s="219">
        <v>7137230.5300000003</v>
      </c>
    </row>
    <row r="4668" spans="1:14" ht="11.25" customHeight="1" x14ac:dyDescent="0.2">
      <c r="A4668" s="168">
        <v>2021</v>
      </c>
      <c r="B4668" s="168">
        <v>10</v>
      </c>
      <c r="C4668" s="133">
        <v>25</v>
      </c>
      <c r="D4668" s="141">
        <f t="shared" si="152"/>
        <v>44494</v>
      </c>
      <c r="E4668" s="275">
        <f t="shared" si="153"/>
        <v>44494</v>
      </c>
      <c r="F4668" s="479" t="s">
        <v>964</v>
      </c>
      <c r="G4668" s="220" t="s">
        <v>74</v>
      </c>
      <c r="H4668" s="142" t="str" cm="1">
        <f t="array" ref="H4668">IFERROR(INDEX(INVESTOR_LIST[INVESTOR NAME],MATCH(I4668,INVESTOR_LIST[INVESTOR CODE],0),)," ")</f>
        <v>QUAZI TOWFIQUE UDDIN</v>
      </c>
      <c r="I4668" s="142" t="s">
        <v>704</v>
      </c>
      <c r="J4668" s="168" t="s">
        <v>52</v>
      </c>
      <c r="K4668" s="226">
        <v>24000</v>
      </c>
      <c r="L4668" s="226"/>
    </row>
    <row r="4669" spans="1:14" ht="45" x14ac:dyDescent="0.2">
      <c r="A4669" s="133">
        <v>2021</v>
      </c>
      <c r="B4669" s="133">
        <v>10</v>
      </c>
      <c r="C4669" s="133">
        <v>25</v>
      </c>
      <c r="D4669" s="141">
        <f t="shared" si="152"/>
        <v>44494</v>
      </c>
      <c r="E4669" s="275">
        <f t="shared" si="153"/>
        <v>44494</v>
      </c>
      <c r="F4669" s="481"/>
      <c r="G4669" s="174" t="s">
        <v>74</v>
      </c>
      <c r="H4669" s="148" t="str" cm="1">
        <f t="array" ref="H4669">IFERROR(INDEX(INVESTOR_LIST[INVESTOR NAME],MATCH(I4669,INVESTOR_LIST[INVESTOR CODE],0),)," ")</f>
        <v>QUAZI TOWFIQUE UDDIN</v>
      </c>
      <c r="I4669" s="148" t="s">
        <v>704</v>
      </c>
      <c r="J4669" s="133" t="s">
        <v>13</v>
      </c>
      <c r="K4669" s="218"/>
      <c r="L4669" s="218">
        <v>16140</v>
      </c>
    </row>
    <row r="4670" spans="1:14" ht="45" x14ac:dyDescent="0.2">
      <c r="A4670" s="163">
        <v>2021</v>
      </c>
      <c r="B4670" s="163">
        <v>10</v>
      </c>
      <c r="C4670" s="163">
        <v>25</v>
      </c>
      <c r="D4670" s="141">
        <f t="shared" si="152"/>
        <v>44494</v>
      </c>
      <c r="E4670" s="275">
        <f t="shared" si="153"/>
        <v>44494</v>
      </c>
      <c r="F4670" s="480"/>
      <c r="G4670" s="221" t="s">
        <v>74</v>
      </c>
      <c r="H4670" s="145" t="str" cm="1">
        <f t="array" ref="H4670">IFERROR(INDEX(INVESTOR_LIST[INVESTOR NAME],MATCH(I4670,INVESTOR_LIST[INVESTOR CODE],0),)," ")</f>
        <v>QUAZI TOWFIQUE UDDIN</v>
      </c>
      <c r="I4670" s="145" t="s">
        <v>704</v>
      </c>
      <c r="J4670" s="163" t="s">
        <v>53</v>
      </c>
      <c r="K4670" s="219"/>
      <c r="L4670" s="219">
        <v>7860</v>
      </c>
    </row>
    <row r="4671" spans="1:14" x14ac:dyDescent="0.2">
      <c r="A4671" s="168">
        <v>2021</v>
      </c>
      <c r="B4671" s="168">
        <v>10</v>
      </c>
      <c r="C4671" s="133">
        <v>25</v>
      </c>
      <c r="D4671" s="141">
        <f t="shared" si="152"/>
        <v>44494</v>
      </c>
      <c r="E4671" s="275">
        <f t="shared" si="153"/>
        <v>44494</v>
      </c>
      <c r="F4671" s="479" t="s">
        <v>933</v>
      </c>
      <c r="G4671" s="220" t="s">
        <v>74</v>
      </c>
      <c r="H4671" s="142" t="str" cm="1">
        <f t="array" ref="H4671">IFERROR(INDEX(INVESTOR_LIST[INVESTOR NAME],MATCH(I4671,INVESTOR_LIST[INVESTOR CODE],0),)," ")</f>
        <v xml:space="preserve"> </v>
      </c>
      <c r="I4671" s="142"/>
      <c r="J4671" s="168" t="s">
        <v>52</v>
      </c>
      <c r="K4671" s="226">
        <v>6268500</v>
      </c>
      <c r="L4671" s="226"/>
    </row>
    <row r="4672" spans="1:14" x14ac:dyDescent="0.2">
      <c r="A4672" s="133">
        <v>2021</v>
      </c>
      <c r="B4672" s="133">
        <v>10</v>
      </c>
      <c r="C4672" s="133">
        <v>25</v>
      </c>
      <c r="D4672" s="141">
        <f t="shared" si="152"/>
        <v>44494</v>
      </c>
      <c r="E4672" s="275">
        <f t="shared" si="153"/>
        <v>44494</v>
      </c>
      <c r="F4672" s="481"/>
      <c r="G4672" s="174" t="s">
        <v>74</v>
      </c>
      <c r="H4672" s="148" t="str" cm="1">
        <f t="array" ref="H4672">IFERROR(INDEX(INVESTOR_LIST[INVESTOR NAME],MATCH(I4672,INVESTOR_LIST[INVESTOR CODE],0),)," ")</f>
        <v xml:space="preserve"> </v>
      </c>
      <c r="J4672" s="133" t="s">
        <v>79</v>
      </c>
      <c r="K4672" s="218"/>
      <c r="L4672" s="218">
        <v>5107856.43</v>
      </c>
    </row>
    <row r="4673" spans="1:14" x14ac:dyDescent="0.2">
      <c r="A4673" s="163">
        <v>2021</v>
      </c>
      <c r="B4673" s="163">
        <v>10</v>
      </c>
      <c r="C4673" s="163">
        <v>25</v>
      </c>
      <c r="D4673" s="141">
        <f t="shared" si="152"/>
        <v>44494</v>
      </c>
      <c r="E4673" s="275">
        <f t="shared" si="153"/>
        <v>44494</v>
      </c>
      <c r="F4673" s="480"/>
      <c r="G4673" s="221" t="s">
        <v>74</v>
      </c>
      <c r="H4673" s="145" t="str" cm="1">
        <f t="array" ref="H4673">IFERROR(INDEX(INVESTOR_LIST[INVESTOR NAME],MATCH(I4673,INVESTOR_LIST[INVESTOR CODE],0),)," ")</f>
        <v xml:space="preserve"> </v>
      </c>
      <c r="I4673" s="145"/>
      <c r="J4673" s="163" t="s">
        <v>191</v>
      </c>
      <c r="K4673" s="219"/>
      <c r="L4673" s="219">
        <v>1160643.57</v>
      </c>
    </row>
    <row r="4674" spans="1:14" x14ac:dyDescent="0.2">
      <c r="A4674" s="133">
        <v>2021</v>
      </c>
      <c r="B4674" s="133">
        <v>10</v>
      </c>
      <c r="C4674" s="133">
        <v>25</v>
      </c>
      <c r="D4674" s="141">
        <f t="shared" si="152"/>
        <v>44494</v>
      </c>
      <c r="E4674" s="275">
        <f t="shared" si="153"/>
        <v>44494</v>
      </c>
      <c r="F4674" s="479" t="s">
        <v>77</v>
      </c>
      <c r="G4674" s="174" t="s">
        <v>74</v>
      </c>
      <c r="H4674" s="148" t="str" cm="1">
        <f t="array" ref="H4674">IFERROR(INDEX(INVESTOR_LIST[INVESTOR NAME],MATCH(I4674,INVESTOR_LIST[INVESTOR CODE],0),)," ")</f>
        <v xml:space="preserve"> </v>
      </c>
      <c r="I4674" s="148" t="s">
        <v>348</v>
      </c>
      <c r="J4674" s="133" t="s">
        <v>61</v>
      </c>
      <c r="K4674" s="172">
        <v>60</v>
      </c>
    </row>
    <row r="4675" spans="1:14" x14ac:dyDescent="0.2">
      <c r="A4675" s="163">
        <v>2021</v>
      </c>
      <c r="B4675" s="163">
        <v>10</v>
      </c>
      <c r="C4675" s="163">
        <v>25</v>
      </c>
      <c r="D4675" s="141">
        <f t="shared" si="152"/>
        <v>44494</v>
      </c>
      <c r="E4675" s="275">
        <f t="shared" si="153"/>
        <v>44494</v>
      </c>
      <c r="F4675" s="480"/>
      <c r="G4675" s="221" t="s">
        <v>74</v>
      </c>
      <c r="H4675" s="145" t="str" cm="1">
        <f t="array" ref="H4675">IFERROR(INDEX(INVESTOR_LIST[INVESTOR NAME],MATCH(I4675,INVESTOR_LIST[INVESTOR CODE],0),)," ")</f>
        <v xml:space="preserve"> </v>
      </c>
      <c r="I4675" s="145" t="s">
        <v>348</v>
      </c>
      <c r="J4675" s="163" t="s">
        <v>52</v>
      </c>
      <c r="K4675" s="219"/>
      <c r="L4675" s="219">
        <v>60</v>
      </c>
    </row>
    <row r="4676" spans="1:14" x14ac:dyDescent="0.2">
      <c r="A4676" s="168">
        <v>2021</v>
      </c>
      <c r="B4676" s="168">
        <v>10</v>
      </c>
      <c r="C4676" s="133">
        <v>26</v>
      </c>
      <c r="D4676" s="141">
        <f t="shared" si="152"/>
        <v>44495</v>
      </c>
      <c r="E4676" s="275">
        <f t="shared" si="153"/>
        <v>44495</v>
      </c>
      <c r="F4676" s="479" t="s">
        <v>274</v>
      </c>
      <c r="G4676" s="220" t="s">
        <v>94</v>
      </c>
      <c r="H4676" s="220" t="str" cm="1">
        <f t="array" ref="H4676">IFERROR(INDEX(INVESTOR_LIST[INVESTOR NAME],MATCH(I4676,INVESTOR_LIST[INVESTOR CODE],0),)," ")</f>
        <v xml:space="preserve"> </v>
      </c>
      <c r="I4676" s="142"/>
      <c r="J4676" s="143" t="s">
        <v>79</v>
      </c>
      <c r="K4676" s="226">
        <v>7561995.5999999996</v>
      </c>
      <c r="L4676" s="226"/>
    </row>
    <row r="4677" spans="1:14" x14ac:dyDescent="0.2">
      <c r="A4677" s="133">
        <v>2021</v>
      </c>
      <c r="B4677" s="133">
        <v>10</v>
      </c>
      <c r="C4677" s="133">
        <v>26</v>
      </c>
      <c r="D4677" s="141">
        <f t="shared" si="152"/>
        <v>44495</v>
      </c>
      <c r="E4677" s="275">
        <f t="shared" si="153"/>
        <v>44495</v>
      </c>
      <c r="F4677" s="481"/>
      <c r="G4677" s="174" t="s">
        <v>94</v>
      </c>
      <c r="H4677" s="174" t="str" cm="1">
        <f t="array" ref="H4677">IFERROR(INDEX(INVESTOR_LIST[INVESTOR NAME],MATCH(I4677,INVESTOR_LIST[INVESTOR CODE],0),)," ")</f>
        <v xml:space="preserve"> </v>
      </c>
      <c r="J4677" s="149" t="s">
        <v>80</v>
      </c>
      <c r="K4677" s="218">
        <v>13611.59</v>
      </c>
      <c r="L4677" s="218"/>
    </row>
    <row r="4678" spans="1:14" x14ac:dyDescent="0.2">
      <c r="A4678" s="163">
        <v>2021</v>
      </c>
      <c r="B4678" s="163">
        <v>10</v>
      </c>
      <c r="C4678" s="163">
        <v>26</v>
      </c>
      <c r="D4678" s="141">
        <f t="shared" si="152"/>
        <v>44495</v>
      </c>
      <c r="E4678" s="275">
        <f t="shared" si="153"/>
        <v>44495</v>
      </c>
      <c r="F4678" s="480"/>
      <c r="G4678" s="221" t="s">
        <v>94</v>
      </c>
      <c r="H4678" s="221" t="str" cm="1">
        <f t="array" ref="H4678">IFERROR(INDEX(INVESTOR_LIST[INVESTOR NAME],MATCH(I4678,INVESTOR_LIST[INVESTOR CODE],0),)," ")</f>
        <v xml:space="preserve"> </v>
      </c>
      <c r="I4678" s="145"/>
      <c r="J4678" s="146" t="s">
        <v>147</v>
      </c>
      <c r="K4678" s="219"/>
      <c r="L4678" s="219">
        <v>7575607.1900000004</v>
      </c>
    </row>
    <row r="4679" spans="1:14" x14ac:dyDescent="0.2">
      <c r="A4679" s="168">
        <v>2021</v>
      </c>
      <c r="B4679" s="168">
        <v>10</v>
      </c>
      <c r="C4679" s="168">
        <v>26</v>
      </c>
      <c r="D4679" s="141">
        <f t="shared" si="152"/>
        <v>44495</v>
      </c>
      <c r="E4679" s="275">
        <f t="shared" si="153"/>
        <v>44495</v>
      </c>
      <c r="F4679" s="479" t="s">
        <v>913</v>
      </c>
      <c r="G4679" s="220" t="s">
        <v>74</v>
      </c>
      <c r="H4679" s="220" t="str" cm="1">
        <f t="array" ref="H4679">IFERROR(INDEX(INVESTOR_LIST[INVESTOR NAME],MATCH(I4679,INVESTOR_LIST[INVESTOR CODE],0),)," ")</f>
        <v xml:space="preserve"> </v>
      </c>
      <c r="I4679" s="142" t="s">
        <v>348</v>
      </c>
      <c r="J4679" s="143" t="s">
        <v>147</v>
      </c>
      <c r="K4679" s="226">
        <v>7575607.1900000004</v>
      </c>
      <c r="L4679" s="226"/>
    </row>
    <row r="4680" spans="1:14" x14ac:dyDescent="0.2">
      <c r="A4680" s="163">
        <v>2021</v>
      </c>
      <c r="B4680" s="163">
        <v>10</v>
      </c>
      <c r="C4680" s="163">
        <v>26</v>
      </c>
      <c r="D4680" s="141">
        <f t="shared" si="152"/>
        <v>44495</v>
      </c>
      <c r="E4680" s="275">
        <f t="shared" si="153"/>
        <v>44495</v>
      </c>
      <c r="F4680" s="480"/>
      <c r="G4680" s="221" t="s">
        <v>74</v>
      </c>
      <c r="H4680" s="221" t="str" cm="1">
        <f t="array" ref="H4680">IFERROR(INDEX(INVESTOR_LIST[INVESTOR NAME],MATCH(I4680,INVESTOR_LIST[INVESTOR CODE],0),)," ")</f>
        <v xml:space="preserve"> </v>
      </c>
      <c r="I4680" s="145" t="s">
        <v>348</v>
      </c>
      <c r="J4680" s="146" t="s">
        <v>52</v>
      </c>
      <c r="K4680" s="219"/>
      <c r="L4680" s="219">
        <v>7575607.1900000004</v>
      </c>
    </row>
    <row r="4681" spans="1:14" ht="22.5" x14ac:dyDescent="0.2">
      <c r="A4681" s="168">
        <v>2021</v>
      </c>
      <c r="B4681" s="168">
        <v>10</v>
      </c>
      <c r="C4681" s="133">
        <v>26</v>
      </c>
      <c r="D4681" s="141">
        <f t="shared" si="152"/>
        <v>44495</v>
      </c>
      <c r="E4681" s="275">
        <f t="shared" si="153"/>
        <v>44495</v>
      </c>
      <c r="F4681" s="479" t="s">
        <v>965</v>
      </c>
      <c r="G4681" s="220" t="s">
        <v>74</v>
      </c>
      <c r="H4681" s="142" t="str" cm="1">
        <f t="array" ref="H4681">IFERROR(INDEX(INVESTOR_LIST[INVESTOR NAME],MATCH(I4681,INVESTOR_LIST[INVESTOR CODE],0),)," ")</f>
        <v>ADNAN RASHID</v>
      </c>
      <c r="I4681" s="142" t="s">
        <v>466</v>
      </c>
      <c r="J4681" s="168" t="s">
        <v>13</v>
      </c>
      <c r="K4681" s="226">
        <v>70870</v>
      </c>
      <c r="L4681" s="226"/>
      <c r="N4681" s="156">
        <f>L4689/14.87</f>
        <v>2689.9798251513116</v>
      </c>
    </row>
    <row r="4682" spans="1:14" ht="22.5" x14ac:dyDescent="0.2">
      <c r="A4682" s="133">
        <v>2021</v>
      </c>
      <c r="B4682" s="133">
        <v>10</v>
      </c>
      <c r="C4682" s="133">
        <v>26</v>
      </c>
      <c r="D4682" s="141">
        <f t="shared" si="152"/>
        <v>44495</v>
      </c>
      <c r="E4682" s="275">
        <f t="shared" si="153"/>
        <v>44495</v>
      </c>
      <c r="F4682" s="481"/>
      <c r="G4682" s="174" t="s">
        <v>74</v>
      </c>
      <c r="H4682" s="148" t="str" cm="1">
        <f t="array" ref="H4682">IFERROR(INDEX(INVESTOR_LIST[INVESTOR NAME],MATCH(I4682,INVESTOR_LIST[INVESTOR CODE],0),)," ")</f>
        <v>ADNAN RASHID</v>
      </c>
      <c r="I4682" s="148" t="s">
        <v>466</v>
      </c>
      <c r="J4682" s="133" t="s">
        <v>53</v>
      </c>
      <c r="K4682" s="218">
        <v>35247.47</v>
      </c>
      <c r="L4682" s="218"/>
    </row>
    <row r="4683" spans="1:14" ht="22.5" x14ac:dyDescent="0.2">
      <c r="A4683" s="163">
        <v>2021</v>
      </c>
      <c r="B4683" s="163">
        <v>10</v>
      </c>
      <c r="C4683" s="163">
        <v>26</v>
      </c>
      <c r="D4683" s="141">
        <f t="shared" si="152"/>
        <v>44495</v>
      </c>
      <c r="E4683" s="275">
        <f t="shared" si="153"/>
        <v>44495</v>
      </c>
      <c r="F4683" s="480"/>
      <c r="G4683" s="221" t="s">
        <v>74</v>
      </c>
      <c r="H4683" s="145" t="str" cm="1">
        <f t="array" ref="H4683">IFERROR(INDEX(INVESTOR_LIST[INVESTOR NAME],MATCH(I4683,INVESTOR_LIST[INVESTOR CODE],0),)," ")</f>
        <v>ADNAN RASHID</v>
      </c>
      <c r="I4683" s="145" t="s">
        <v>466</v>
      </c>
      <c r="J4683" s="163" t="s">
        <v>52</v>
      </c>
      <c r="K4683" s="219"/>
      <c r="L4683" s="219">
        <v>106117.47</v>
      </c>
    </row>
    <row r="4684" spans="1:14" ht="33.75" x14ac:dyDescent="0.2">
      <c r="A4684" s="168">
        <v>2021</v>
      </c>
      <c r="B4684" s="168">
        <v>10</v>
      </c>
      <c r="C4684" s="133">
        <v>26</v>
      </c>
      <c r="D4684" s="141">
        <f t="shared" si="152"/>
        <v>44495</v>
      </c>
      <c r="E4684" s="275">
        <f t="shared" si="153"/>
        <v>44495</v>
      </c>
      <c r="F4684" s="479" t="s">
        <v>965</v>
      </c>
      <c r="G4684" s="220" t="s">
        <v>74</v>
      </c>
      <c r="H4684" s="142" t="str" cm="1">
        <f t="array" ref="H4684">IFERROR(INDEX(INVESTOR_LIST[INVESTOR NAME],MATCH(I4684,INVESTOR_LIST[INVESTOR CODE],0),)," ")</f>
        <v>ISTIAK AHMED PROBAL</v>
      </c>
      <c r="I4684" s="142" t="s">
        <v>497</v>
      </c>
      <c r="J4684" s="168" t="s">
        <v>13</v>
      </c>
      <c r="K4684" s="226">
        <v>340840</v>
      </c>
      <c r="L4684" s="226"/>
      <c r="N4684" s="156">
        <f>L4692/14.87</f>
        <v>37322.075319435105</v>
      </c>
    </row>
    <row r="4685" spans="1:14" ht="33.75" x14ac:dyDescent="0.2">
      <c r="A4685" s="133">
        <v>2021</v>
      </c>
      <c r="B4685" s="133">
        <v>10</v>
      </c>
      <c r="C4685" s="133">
        <v>26</v>
      </c>
      <c r="D4685" s="141">
        <f t="shared" si="152"/>
        <v>44495</v>
      </c>
      <c r="E4685" s="275">
        <f t="shared" si="153"/>
        <v>44495</v>
      </c>
      <c r="F4685" s="481"/>
      <c r="G4685" s="174" t="s">
        <v>74</v>
      </c>
      <c r="H4685" s="148" t="str" cm="1">
        <f t="array" ref="H4685">IFERROR(INDEX(INVESTOR_LIST[INVESTOR NAME],MATCH(I4685,INVESTOR_LIST[INVESTOR CODE],0),)," ")</f>
        <v>ISTIAK AHMED PROBAL</v>
      </c>
      <c r="I4685" s="148" t="s">
        <v>497</v>
      </c>
      <c r="J4685" s="133" t="s">
        <v>53</v>
      </c>
      <c r="K4685" s="218">
        <v>166137.29</v>
      </c>
      <c r="L4685" s="218"/>
    </row>
    <row r="4686" spans="1:14" ht="33.75" x14ac:dyDescent="0.2">
      <c r="A4686" s="163">
        <v>2021</v>
      </c>
      <c r="B4686" s="163">
        <v>10</v>
      </c>
      <c r="C4686" s="163">
        <v>26</v>
      </c>
      <c r="D4686" s="141">
        <f t="shared" ref="D4686:D4749" si="154">DATE(A4686,B4686,C4686)</f>
        <v>44495</v>
      </c>
      <c r="E4686" s="275">
        <f t="shared" si="153"/>
        <v>44495</v>
      </c>
      <c r="F4686" s="480"/>
      <c r="G4686" s="221" t="s">
        <v>74</v>
      </c>
      <c r="H4686" s="145" t="str" cm="1">
        <f t="array" ref="H4686">IFERROR(INDEX(INVESTOR_LIST[INVESTOR NAME],MATCH(I4686,INVESTOR_LIST[INVESTOR CODE],0),)," ")</f>
        <v>ISTIAK AHMED PROBAL</v>
      </c>
      <c r="I4686" s="145" t="s">
        <v>497</v>
      </c>
      <c r="J4686" s="163" t="s">
        <v>52</v>
      </c>
      <c r="K4686" s="219"/>
      <c r="L4686" s="219">
        <v>506977.29</v>
      </c>
    </row>
    <row r="4687" spans="1:14" ht="45" x14ac:dyDescent="0.2">
      <c r="A4687" s="168">
        <v>2021</v>
      </c>
      <c r="B4687" s="168">
        <v>10</v>
      </c>
      <c r="C4687" s="133">
        <v>26</v>
      </c>
      <c r="D4687" s="141">
        <f t="shared" si="154"/>
        <v>44495</v>
      </c>
      <c r="E4687" s="275">
        <f t="shared" ref="E4687:E4750" si="155">DATE(A4687,B4687,C4687)</f>
        <v>44495</v>
      </c>
      <c r="F4687" s="479" t="s">
        <v>965</v>
      </c>
      <c r="G4687" s="220" t="s">
        <v>74</v>
      </c>
      <c r="H4687" s="142" t="str" cm="1">
        <f t="array" ref="H4687">IFERROR(INDEX(INVESTOR_LIST[INVESTOR NAME],MATCH(I4687,INVESTOR_LIST[INVESTOR CODE],0),)," ")</f>
        <v>KAMRUL HASAN MAHMUD</v>
      </c>
      <c r="I4687" s="142" t="s">
        <v>517</v>
      </c>
      <c r="J4687" s="168" t="s">
        <v>13</v>
      </c>
      <c r="K4687" s="272">
        <v>26900</v>
      </c>
      <c r="L4687" s="226"/>
    </row>
    <row r="4688" spans="1:14" ht="45" x14ac:dyDescent="0.2">
      <c r="A4688" s="133">
        <v>2021</v>
      </c>
      <c r="B4688" s="133">
        <v>10</v>
      </c>
      <c r="C4688" s="133">
        <v>26</v>
      </c>
      <c r="D4688" s="141">
        <f t="shared" si="154"/>
        <v>44495</v>
      </c>
      <c r="E4688" s="275">
        <f t="shared" si="155"/>
        <v>44495</v>
      </c>
      <c r="F4688" s="481"/>
      <c r="G4688" s="174" t="s">
        <v>74</v>
      </c>
      <c r="H4688" s="148" t="str" cm="1">
        <f t="array" ref="H4688">IFERROR(INDEX(INVESTOR_LIST[INVESTOR NAME],MATCH(I4688,INVESTOR_LIST[INVESTOR CODE],0),)," ")</f>
        <v>KAMRUL HASAN MAHMUD</v>
      </c>
      <c r="I4688" s="148" t="s">
        <v>517</v>
      </c>
      <c r="J4688" s="133" t="s">
        <v>53</v>
      </c>
      <c r="K4688" s="218">
        <v>13100</v>
      </c>
      <c r="L4688" s="218"/>
    </row>
    <row r="4689" spans="1:14" ht="45" x14ac:dyDescent="0.2">
      <c r="A4689" s="163">
        <v>2021</v>
      </c>
      <c r="B4689" s="163">
        <v>10</v>
      </c>
      <c r="C4689" s="163">
        <v>26</v>
      </c>
      <c r="D4689" s="141">
        <f t="shared" si="154"/>
        <v>44495</v>
      </c>
      <c r="E4689" s="275">
        <f t="shared" si="155"/>
        <v>44495</v>
      </c>
      <c r="F4689" s="480"/>
      <c r="G4689" s="221" t="s">
        <v>74</v>
      </c>
      <c r="H4689" s="145" t="str" cm="1">
        <f t="array" ref="H4689">IFERROR(INDEX(INVESTOR_LIST[INVESTOR NAME],MATCH(I4689,INVESTOR_LIST[INVESTOR CODE],0),)," ")</f>
        <v>KAMRUL HASAN MAHMUD</v>
      </c>
      <c r="I4689" s="145" t="s">
        <v>517</v>
      </c>
      <c r="J4689" s="163" t="s">
        <v>52</v>
      </c>
      <c r="K4689" s="219"/>
      <c r="L4689" s="219">
        <v>40000</v>
      </c>
    </row>
    <row r="4690" spans="1:14" ht="33.75" x14ac:dyDescent="0.2">
      <c r="A4690" s="168">
        <v>2021</v>
      </c>
      <c r="B4690" s="168">
        <v>10</v>
      </c>
      <c r="C4690" s="133">
        <v>26</v>
      </c>
      <c r="D4690" s="141">
        <f t="shared" si="154"/>
        <v>44495</v>
      </c>
      <c r="E4690" s="275">
        <f t="shared" si="155"/>
        <v>44495</v>
      </c>
      <c r="F4690" s="479" t="s">
        <v>965</v>
      </c>
      <c r="G4690" s="220" t="s">
        <v>74</v>
      </c>
      <c r="H4690" s="142" t="str" cm="1">
        <f t="array" ref="H4690">IFERROR(INDEX(INVESTOR_LIST[INVESTOR NAME],MATCH(I4690,INVESTOR_LIST[INVESTOR CODE],0),)," ")</f>
        <v>MD. ARIFUL ISLAM</v>
      </c>
      <c r="I4690" s="142" t="s">
        <v>813</v>
      </c>
      <c r="J4690" s="168" t="s">
        <v>13</v>
      </c>
      <c r="K4690" s="226">
        <v>370640</v>
      </c>
      <c r="L4690" s="226"/>
    </row>
    <row r="4691" spans="1:14" ht="33.75" x14ac:dyDescent="0.2">
      <c r="A4691" s="133">
        <v>2021</v>
      </c>
      <c r="B4691" s="133">
        <v>10</v>
      </c>
      <c r="C4691" s="133">
        <v>26</v>
      </c>
      <c r="D4691" s="141">
        <f t="shared" si="154"/>
        <v>44495</v>
      </c>
      <c r="E4691" s="275">
        <f t="shared" si="155"/>
        <v>44495</v>
      </c>
      <c r="F4691" s="481"/>
      <c r="G4691" s="174" t="s">
        <v>74</v>
      </c>
      <c r="H4691" s="148" t="str" cm="1">
        <f t="array" ref="H4691">IFERROR(INDEX(INVESTOR_LIST[INVESTOR NAME],MATCH(I4691,INVESTOR_LIST[INVESTOR CODE],0),)," ")</f>
        <v>MD. ARIFUL ISLAM</v>
      </c>
      <c r="I4691" s="148" t="s">
        <v>813</v>
      </c>
      <c r="J4691" s="133" t="s">
        <v>53</v>
      </c>
      <c r="K4691" s="218">
        <v>184339.26</v>
      </c>
      <c r="L4691" s="218"/>
      <c r="N4691" s="160"/>
    </row>
    <row r="4692" spans="1:14" ht="33.75" x14ac:dyDescent="0.2">
      <c r="A4692" s="163">
        <v>2021</v>
      </c>
      <c r="B4692" s="163">
        <v>10</v>
      </c>
      <c r="C4692" s="163">
        <v>26</v>
      </c>
      <c r="D4692" s="141">
        <f t="shared" si="154"/>
        <v>44495</v>
      </c>
      <c r="E4692" s="275">
        <f t="shared" si="155"/>
        <v>44495</v>
      </c>
      <c r="F4692" s="480"/>
      <c r="G4692" s="221" t="s">
        <v>74</v>
      </c>
      <c r="H4692" s="145" t="str" cm="1">
        <f t="array" ref="H4692">IFERROR(INDEX(INVESTOR_LIST[INVESTOR NAME],MATCH(I4692,INVESTOR_LIST[INVESTOR CODE],0),)," ")</f>
        <v>MD. ARIFUL ISLAM</v>
      </c>
      <c r="I4692" s="145" t="s">
        <v>813</v>
      </c>
      <c r="J4692" s="163" t="s">
        <v>52</v>
      </c>
      <c r="K4692" s="219"/>
      <c r="L4692" s="219">
        <v>554979.26</v>
      </c>
    </row>
    <row r="4693" spans="1:14" x14ac:dyDescent="0.2">
      <c r="A4693" s="168">
        <v>2021</v>
      </c>
      <c r="B4693" s="168">
        <v>10</v>
      </c>
      <c r="C4693" s="133">
        <v>28</v>
      </c>
      <c r="D4693" s="141">
        <f t="shared" si="154"/>
        <v>44497</v>
      </c>
      <c r="E4693" s="275">
        <f t="shared" si="155"/>
        <v>44497</v>
      </c>
      <c r="F4693" s="479" t="s">
        <v>274</v>
      </c>
      <c r="G4693" s="220" t="s">
        <v>94</v>
      </c>
      <c r="H4693" s="220" t="str" cm="1">
        <f t="array" ref="H4693">IFERROR(INDEX(INVESTOR_LIST[INVESTOR NAME],MATCH(I4693,INVESTOR_LIST[INVESTOR CODE],0),)," ")</f>
        <v xml:space="preserve"> </v>
      </c>
      <c r="I4693" s="142"/>
      <c r="J4693" s="143" t="s">
        <v>79</v>
      </c>
      <c r="K4693" s="226">
        <v>878500</v>
      </c>
      <c r="L4693" s="226"/>
    </row>
    <row r="4694" spans="1:14" x14ac:dyDescent="0.2">
      <c r="A4694" s="133">
        <v>2021</v>
      </c>
      <c r="B4694" s="133">
        <v>10</v>
      </c>
      <c r="C4694" s="133">
        <v>28</v>
      </c>
      <c r="D4694" s="141">
        <f t="shared" si="154"/>
        <v>44497</v>
      </c>
      <c r="E4694" s="275">
        <f t="shared" si="155"/>
        <v>44497</v>
      </c>
      <c r="F4694" s="481"/>
      <c r="G4694" s="174" t="s">
        <v>94</v>
      </c>
      <c r="H4694" s="174" t="str" cm="1">
        <f t="array" ref="H4694">IFERROR(INDEX(INVESTOR_LIST[INVESTOR NAME],MATCH(I4694,INVESTOR_LIST[INVESTOR CODE],0),)," ")</f>
        <v xml:space="preserve"> </v>
      </c>
      <c r="J4694" s="149" t="s">
        <v>80</v>
      </c>
      <c r="K4694" s="218">
        <v>1581.3</v>
      </c>
      <c r="L4694" s="218"/>
    </row>
    <row r="4695" spans="1:14" x14ac:dyDescent="0.2">
      <c r="A4695" s="163">
        <v>2021</v>
      </c>
      <c r="B4695" s="163">
        <v>10</v>
      </c>
      <c r="C4695" s="163">
        <v>28</v>
      </c>
      <c r="D4695" s="141">
        <f t="shared" si="154"/>
        <v>44497</v>
      </c>
      <c r="E4695" s="275">
        <f t="shared" si="155"/>
        <v>44497</v>
      </c>
      <c r="F4695" s="480"/>
      <c r="G4695" s="221" t="s">
        <v>94</v>
      </c>
      <c r="H4695" s="221" t="str" cm="1">
        <f t="array" ref="H4695">IFERROR(INDEX(INVESTOR_LIST[INVESTOR NAME],MATCH(I4695,INVESTOR_LIST[INVESTOR CODE],0),)," ")</f>
        <v xml:space="preserve"> </v>
      </c>
      <c r="I4695" s="145"/>
      <c r="J4695" s="146" t="s">
        <v>147</v>
      </c>
      <c r="K4695" s="219"/>
      <c r="L4695" s="219">
        <v>880081.3</v>
      </c>
    </row>
    <row r="4696" spans="1:14" ht="11.25" customHeight="1" x14ac:dyDescent="0.2">
      <c r="A4696" s="168">
        <v>2021</v>
      </c>
      <c r="B4696" s="168">
        <v>10</v>
      </c>
      <c r="C4696" s="168">
        <v>28</v>
      </c>
      <c r="D4696" s="141">
        <f t="shared" si="154"/>
        <v>44497</v>
      </c>
      <c r="E4696" s="275">
        <f t="shared" si="155"/>
        <v>44497</v>
      </c>
      <c r="F4696" s="479" t="s">
        <v>913</v>
      </c>
      <c r="G4696" s="220" t="s">
        <v>74</v>
      </c>
      <c r="H4696" s="220" t="str" cm="1">
        <f t="array" ref="H4696">IFERROR(INDEX(INVESTOR_LIST[INVESTOR NAME],MATCH(I4696,INVESTOR_LIST[INVESTOR CODE],0),)," ")</f>
        <v xml:space="preserve"> </v>
      </c>
      <c r="I4696" s="142" t="s">
        <v>348</v>
      </c>
      <c r="J4696" s="143" t="s">
        <v>147</v>
      </c>
      <c r="K4696" s="226">
        <v>880081.3</v>
      </c>
      <c r="L4696" s="226"/>
    </row>
    <row r="4697" spans="1:14" x14ac:dyDescent="0.2">
      <c r="A4697" s="163">
        <v>2021</v>
      </c>
      <c r="B4697" s="163">
        <v>10</v>
      </c>
      <c r="C4697" s="163">
        <v>28</v>
      </c>
      <c r="D4697" s="141">
        <f t="shared" si="154"/>
        <v>44497</v>
      </c>
      <c r="E4697" s="275">
        <f t="shared" si="155"/>
        <v>44497</v>
      </c>
      <c r="F4697" s="480"/>
      <c r="G4697" s="221" t="s">
        <v>74</v>
      </c>
      <c r="H4697" s="221" t="str" cm="1">
        <f t="array" ref="H4697">IFERROR(INDEX(INVESTOR_LIST[INVESTOR NAME],MATCH(I4697,INVESTOR_LIST[INVESTOR CODE],0),)," ")</f>
        <v xml:space="preserve"> </v>
      </c>
      <c r="I4697" s="145" t="s">
        <v>348</v>
      </c>
      <c r="J4697" s="146" t="s">
        <v>52</v>
      </c>
      <c r="K4697" s="219"/>
      <c r="L4697" s="219">
        <v>880081.3</v>
      </c>
    </row>
    <row r="4698" spans="1:14" ht="11.25" customHeight="1" x14ac:dyDescent="0.2">
      <c r="A4698" s="168">
        <v>2021</v>
      </c>
      <c r="B4698" s="168">
        <v>10</v>
      </c>
      <c r="C4698" s="133">
        <v>28</v>
      </c>
      <c r="D4698" s="141">
        <f t="shared" si="154"/>
        <v>44497</v>
      </c>
      <c r="E4698" s="275">
        <f t="shared" si="155"/>
        <v>44497</v>
      </c>
      <c r="F4698" s="479" t="s">
        <v>254</v>
      </c>
      <c r="G4698" s="220" t="s">
        <v>74</v>
      </c>
      <c r="H4698" s="142" t="str" cm="1">
        <f t="array" ref="H4698">IFERROR(INDEX(INVESTOR_LIST[INVESTOR NAME],MATCH(I4698,INVESTOR_LIST[INVESTOR CODE],0),)," ")</f>
        <v xml:space="preserve"> </v>
      </c>
      <c r="I4698" s="142"/>
      <c r="J4698" s="168" t="s">
        <v>52</v>
      </c>
      <c r="K4698" s="226">
        <v>539000</v>
      </c>
      <c r="L4698" s="226"/>
    </row>
    <row r="4699" spans="1:14" x14ac:dyDescent="0.2">
      <c r="A4699" s="133">
        <v>2021</v>
      </c>
      <c r="B4699" s="133">
        <v>10</v>
      </c>
      <c r="C4699" s="133">
        <v>28</v>
      </c>
      <c r="D4699" s="141">
        <f t="shared" si="154"/>
        <v>44497</v>
      </c>
      <c r="E4699" s="275">
        <f t="shared" si="155"/>
        <v>44497</v>
      </c>
      <c r="F4699" s="481"/>
      <c r="G4699" s="174" t="s">
        <v>74</v>
      </c>
      <c r="H4699" s="148" t="str" cm="1">
        <f t="array" ref="H4699">IFERROR(INDEX(INVESTOR_LIST[INVESTOR NAME],MATCH(I4699,INVESTOR_LIST[INVESTOR CODE],0),)," ")</f>
        <v xml:space="preserve"> </v>
      </c>
      <c r="J4699" s="133" t="s">
        <v>13</v>
      </c>
      <c r="K4699" s="218"/>
      <c r="L4699" s="218">
        <v>362300</v>
      </c>
    </row>
    <row r="4700" spans="1:14" x14ac:dyDescent="0.2">
      <c r="A4700" s="163">
        <v>2021</v>
      </c>
      <c r="B4700" s="163">
        <v>10</v>
      </c>
      <c r="C4700" s="163">
        <v>28</v>
      </c>
      <c r="D4700" s="141">
        <f t="shared" si="154"/>
        <v>44497</v>
      </c>
      <c r="E4700" s="275">
        <f t="shared" si="155"/>
        <v>44497</v>
      </c>
      <c r="F4700" s="480"/>
      <c r="G4700" s="221" t="s">
        <v>74</v>
      </c>
      <c r="H4700" s="145" t="str" cm="1">
        <f t="array" ref="H4700">IFERROR(INDEX(INVESTOR_LIST[INVESTOR NAME],MATCH(I4700,INVESTOR_LIST[INVESTOR CODE],0),)," ")</f>
        <v xml:space="preserve"> </v>
      </c>
      <c r="I4700" s="145"/>
      <c r="J4700" s="163" t="s">
        <v>53</v>
      </c>
      <c r="K4700" s="219"/>
      <c r="L4700" s="219">
        <v>176700</v>
      </c>
    </row>
    <row r="4701" spans="1:14" ht="33.75" x14ac:dyDescent="0.2">
      <c r="A4701" s="168">
        <v>2021</v>
      </c>
      <c r="B4701" s="168">
        <v>10</v>
      </c>
      <c r="C4701" s="133">
        <v>28</v>
      </c>
      <c r="D4701" s="141">
        <f t="shared" si="154"/>
        <v>44497</v>
      </c>
      <c r="E4701" s="275">
        <f t="shared" si="155"/>
        <v>44497</v>
      </c>
      <c r="F4701" s="479" t="s">
        <v>965</v>
      </c>
      <c r="G4701" s="220" t="s">
        <v>74</v>
      </c>
      <c r="H4701" s="142" t="str" cm="1">
        <f t="array" ref="H4701">IFERROR(INDEX(INVESTOR_LIST[INVESTOR NAME],MATCH(I4701,INVESTOR_LIST[INVESTOR CODE],0),)," ")</f>
        <v>UMME SALMA KATHA</v>
      </c>
      <c r="I4701" s="142" t="s">
        <v>830</v>
      </c>
      <c r="J4701" s="168" t="s">
        <v>13</v>
      </c>
      <c r="K4701" s="226">
        <v>740000</v>
      </c>
      <c r="L4701" s="226"/>
    </row>
    <row r="4702" spans="1:14" ht="33.75" x14ac:dyDescent="0.2">
      <c r="A4702" s="133">
        <v>2021</v>
      </c>
      <c r="B4702" s="133">
        <v>10</v>
      </c>
      <c r="C4702" s="133">
        <v>28</v>
      </c>
      <c r="D4702" s="141">
        <f t="shared" si="154"/>
        <v>44497</v>
      </c>
      <c r="E4702" s="275">
        <f t="shared" si="155"/>
        <v>44497</v>
      </c>
      <c r="F4702" s="481"/>
      <c r="G4702" s="174" t="s">
        <v>74</v>
      </c>
      <c r="H4702" s="148" t="str" cm="1">
        <f t="array" ref="H4702">IFERROR(INDEX(INVESTOR_LIST[INVESTOR NAME],MATCH(I4702,INVESTOR_LIST[INVESTOR CODE],0),)," ")</f>
        <v>UMME SALMA KATHA</v>
      </c>
      <c r="I4702" s="148" t="s">
        <v>830</v>
      </c>
      <c r="J4702" s="133" t="s">
        <v>53</v>
      </c>
      <c r="K4702" s="218">
        <v>360380</v>
      </c>
      <c r="L4702" s="218"/>
    </row>
    <row r="4703" spans="1:14" ht="33.75" x14ac:dyDescent="0.2">
      <c r="A4703" s="163">
        <v>2021</v>
      </c>
      <c r="B4703" s="163">
        <v>10</v>
      </c>
      <c r="C4703" s="163">
        <v>28</v>
      </c>
      <c r="D4703" s="141">
        <f t="shared" si="154"/>
        <v>44497</v>
      </c>
      <c r="E4703" s="275">
        <f t="shared" si="155"/>
        <v>44497</v>
      </c>
      <c r="F4703" s="480"/>
      <c r="G4703" s="221" t="s">
        <v>74</v>
      </c>
      <c r="H4703" s="145" t="str" cm="1">
        <f t="array" ref="H4703">IFERROR(INDEX(INVESTOR_LIST[INVESTOR NAME],MATCH(I4703,INVESTOR_LIST[INVESTOR CODE],0),)," ")</f>
        <v>UMME SALMA KATHA</v>
      </c>
      <c r="I4703" s="145" t="s">
        <v>830</v>
      </c>
      <c r="J4703" s="163" t="s">
        <v>52</v>
      </c>
      <c r="K4703" s="219"/>
      <c r="L4703" s="219">
        <v>1100380</v>
      </c>
    </row>
    <row r="4704" spans="1:14" x14ac:dyDescent="0.2">
      <c r="A4704" s="238">
        <v>2021</v>
      </c>
      <c r="B4704" s="238">
        <v>10</v>
      </c>
      <c r="C4704" s="238">
        <v>28</v>
      </c>
      <c r="D4704" s="141">
        <f t="shared" si="154"/>
        <v>44497</v>
      </c>
      <c r="E4704" s="275">
        <f t="shared" si="155"/>
        <v>44497</v>
      </c>
      <c r="F4704" s="477" t="s">
        <v>347</v>
      </c>
      <c r="G4704" s="239" t="s">
        <v>94</v>
      </c>
      <c r="H4704" s="239" t="str" cm="1">
        <f t="array" ref="H4704">IFERROR(INDEX(INVESTOR_LIST[INVESTOR NAME],MATCH(I4704,INVESTOR_LIST[INVESTOR CODE],0),)," ")</f>
        <v xml:space="preserve"> </v>
      </c>
      <c r="I4704" s="262" t="s">
        <v>348</v>
      </c>
      <c r="J4704" s="240" t="s">
        <v>83</v>
      </c>
      <c r="K4704" s="241">
        <v>5457337.6000000834</v>
      </c>
      <c r="L4704" s="241"/>
    </row>
    <row r="4705" spans="1:14" x14ac:dyDescent="0.2">
      <c r="A4705" s="242">
        <v>2021</v>
      </c>
      <c r="B4705" s="242">
        <v>10</v>
      </c>
      <c r="C4705" s="242">
        <v>28</v>
      </c>
      <c r="D4705" s="141">
        <f t="shared" si="154"/>
        <v>44497</v>
      </c>
      <c r="E4705" s="275">
        <f t="shared" si="155"/>
        <v>44497</v>
      </c>
      <c r="F4705" s="478"/>
      <c r="G4705" s="243" t="s">
        <v>94</v>
      </c>
      <c r="H4705" s="243" t="str" cm="1">
        <f t="array" ref="H4705">IFERROR(INDEX(INVESTOR_LIST[INVESTOR NAME],MATCH(I4705,INVESTOR_LIST[INVESTOR CODE],0),)," ")</f>
        <v xml:space="preserve"> </v>
      </c>
      <c r="I4705" s="263" t="s">
        <v>348</v>
      </c>
      <c r="J4705" s="244" t="s">
        <v>108</v>
      </c>
      <c r="K4705" s="245"/>
      <c r="L4705" s="245">
        <v>5457337.6000000834</v>
      </c>
    </row>
    <row r="4706" spans="1:14" ht="22.5" x14ac:dyDescent="0.2">
      <c r="A4706" s="246">
        <v>2021</v>
      </c>
      <c r="B4706" s="246">
        <v>10</v>
      </c>
      <c r="C4706" s="246">
        <v>28</v>
      </c>
      <c r="D4706" s="141">
        <f t="shared" si="154"/>
        <v>44497</v>
      </c>
      <c r="E4706" s="275">
        <f t="shared" si="155"/>
        <v>44497</v>
      </c>
      <c r="F4706" s="482" t="s">
        <v>148</v>
      </c>
      <c r="G4706" s="247" t="s">
        <v>94</v>
      </c>
      <c r="H4706" s="247" t="str" cm="1">
        <f t="array" ref="H4706">IFERROR(INDEX(INVESTOR_LIST[INVESTOR NAME],MATCH(I4706,INVESTOR_LIST[INVESTOR CODE],0),)," ")</f>
        <v xml:space="preserve"> </v>
      </c>
      <c r="I4706" s="248" t="s">
        <v>348</v>
      </c>
      <c r="J4706" s="249" t="s">
        <v>95</v>
      </c>
      <c r="K4706" s="250">
        <v>2747.2527472527472</v>
      </c>
      <c r="L4706" s="241"/>
      <c r="M4706" s="133">
        <v>2747.2527472527472</v>
      </c>
      <c r="N4706" s="160"/>
    </row>
    <row r="4707" spans="1:14" x14ac:dyDescent="0.2">
      <c r="A4707" s="242">
        <v>2021</v>
      </c>
      <c r="B4707" s="242">
        <v>10</v>
      </c>
      <c r="C4707" s="242">
        <v>28</v>
      </c>
      <c r="D4707" s="141">
        <f t="shared" si="154"/>
        <v>44497</v>
      </c>
      <c r="E4707" s="275">
        <f t="shared" si="155"/>
        <v>44497</v>
      </c>
      <c r="F4707" s="478"/>
      <c r="G4707" s="243" t="s">
        <v>94</v>
      </c>
      <c r="H4707" s="243" t="str" cm="1">
        <f t="array" ref="H4707">IFERROR(INDEX(INVESTOR_LIST[INVESTOR NAME],MATCH(I4707,INVESTOR_LIST[INVESTOR CODE],0),)," ")</f>
        <v xml:space="preserve"> </v>
      </c>
      <c r="I4707" s="263" t="s">
        <v>348</v>
      </c>
      <c r="J4707" s="244" t="s">
        <v>63</v>
      </c>
      <c r="K4707" s="245"/>
      <c r="L4707" s="245">
        <v>2747.2527472527472</v>
      </c>
      <c r="M4707" s="133">
        <v>104608.43417394834</v>
      </c>
    </row>
    <row r="4708" spans="1:14" x14ac:dyDescent="0.2">
      <c r="A4708" s="246">
        <v>2021</v>
      </c>
      <c r="B4708" s="246">
        <v>10</v>
      </c>
      <c r="C4708" s="246">
        <v>28</v>
      </c>
      <c r="D4708" s="141">
        <f t="shared" si="154"/>
        <v>44497</v>
      </c>
      <c r="E4708" s="275">
        <f t="shared" si="155"/>
        <v>44497</v>
      </c>
      <c r="F4708" s="482" t="s">
        <v>137</v>
      </c>
      <c r="G4708" s="247" t="s">
        <v>94</v>
      </c>
      <c r="H4708" s="247" t="str" cm="1">
        <f t="array" ref="H4708">IFERROR(INDEX(INVESTOR_LIST[INVESTOR NAME],MATCH(I4708,INVESTOR_LIST[INVESTOR CODE],0),)," ")</f>
        <v xml:space="preserve"> </v>
      </c>
      <c r="I4708" s="248" t="s">
        <v>348</v>
      </c>
      <c r="J4708" s="249" t="s">
        <v>97</v>
      </c>
      <c r="K4708" s="250">
        <v>104608.43417394834</v>
      </c>
      <c r="L4708" s="252"/>
      <c r="M4708" s="133">
        <v>5050.8186885196328</v>
      </c>
    </row>
    <row r="4709" spans="1:14" ht="11.25" customHeight="1" x14ac:dyDescent="0.2">
      <c r="A4709" s="242">
        <v>2021</v>
      </c>
      <c r="B4709" s="242">
        <v>10</v>
      </c>
      <c r="C4709" s="242">
        <v>28</v>
      </c>
      <c r="D4709" s="141">
        <f t="shared" si="154"/>
        <v>44497</v>
      </c>
      <c r="E4709" s="275">
        <f t="shared" si="155"/>
        <v>44497</v>
      </c>
      <c r="F4709" s="478"/>
      <c r="G4709" s="243" t="s">
        <v>94</v>
      </c>
      <c r="H4709" s="243" t="str" cm="1">
        <f t="array" ref="H4709">IFERROR(INDEX(INVESTOR_LIST[INVESTOR NAME],MATCH(I4709,INVESTOR_LIST[INVESTOR CODE],0),)," ")</f>
        <v xml:space="preserve"> </v>
      </c>
      <c r="I4709" s="263" t="s">
        <v>348</v>
      </c>
      <c r="J4709" s="244" t="s">
        <v>47</v>
      </c>
      <c r="K4709" s="245"/>
      <c r="L4709" s="245">
        <v>104608.43417394834</v>
      </c>
    </row>
    <row r="4710" spans="1:14" x14ac:dyDescent="0.2">
      <c r="A4710" s="246">
        <v>2021</v>
      </c>
      <c r="B4710" s="246">
        <v>10</v>
      </c>
      <c r="C4710" s="246">
        <v>28</v>
      </c>
      <c r="D4710" s="141">
        <f t="shared" si="154"/>
        <v>44497</v>
      </c>
      <c r="E4710" s="275">
        <f t="shared" si="155"/>
        <v>44497</v>
      </c>
      <c r="F4710" s="482" t="s">
        <v>138</v>
      </c>
      <c r="G4710" s="247" t="s">
        <v>94</v>
      </c>
      <c r="H4710" s="247" t="str" cm="1">
        <f t="array" ref="H4710">IFERROR(INDEX(INVESTOR_LIST[INVESTOR NAME],MATCH(I4710,INVESTOR_LIST[INVESTOR CODE],0),)," ")</f>
        <v xml:space="preserve"> </v>
      </c>
      <c r="I4710" s="248" t="s">
        <v>348</v>
      </c>
      <c r="J4710" s="249" t="s">
        <v>100</v>
      </c>
      <c r="K4710" s="250">
        <v>5050.8186885196328</v>
      </c>
      <c r="L4710" s="252"/>
    </row>
    <row r="4711" spans="1:14" x14ac:dyDescent="0.2">
      <c r="A4711" s="242">
        <v>2021</v>
      </c>
      <c r="B4711" s="242">
        <v>10</v>
      </c>
      <c r="C4711" s="242">
        <v>28</v>
      </c>
      <c r="D4711" s="141">
        <f t="shared" si="154"/>
        <v>44497</v>
      </c>
      <c r="E4711" s="275">
        <f t="shared" si="155"/>
        <v>44497</v>
      </c>
      <c r="F4711" s="478"/>
      <c r="G4711" s="243" t="s">
        <v>94</v>
      </c>
      <c r="H4711" s="243" t="str" cm="1">
        <f t="array" ref="H4711">IFERROR(INDEX(INVESTOR_LIST[INVESTOR NAME],MATCH(I4711,INVESTOR_LIST[INVESTOR CODE],0),)," ")</f>
        <v xml:space="preserve"> </v>
      </c>
      <c r="I4711" s="263" t="s">
        <v>348</v>
      </c>
      <c r="J4711" s="244" t="s">
        <v>48</v>
      </c>
      <c r="K4711" s="245"/>
      <c r="L4711" s="245">
        <v>5050.8186885196328</v>
      </c>
    </row>
    <row r="4712" spans="1:14" ht="33.75" x14ac:dyDescent="0.2">
      <c r="A4712" s="168">
        <v>2021</v>
      </c>
      <c r="B4712" s="168">
        <v>10</v>
      </c>
      <c r="C4712" s="133">
        <v>31</v>
      </c>
      <c r="D4712" s="141">
        <f t="shared" si="154"/>
        <v>44500</v>
      </c>
      <c r="E4712" s="275">
        <f t="shared" si="155"/>
        <v>44500</v>
      </c>
      <c r="F4712" s="479" t="s">
        <v>965</v>
      </c>
      <c r="G4712" s="220" t="s">
        <v>74</v>
      </c>
      <c r="H4712" s="142" t="str" cm="1">
        <f t="array" ref="H4712">IFERROR(INDEX(INVESTOR_LIST[INVESTOR NAME],MATCH(I4712,INVESTOR_LIST[INVESTOR CODE],0),)," ")</f>
        <v>K.M SAKIB AHMED</v>
      </c>
      <c r="I4712" s="142" t="s">
        <v>552</v>
      </c>
      <c r="J4712" s="168" t="s">
        <v>13</v>
      </c>
      <c r="K4712" s="226">
        <v>758970</v>
      </c>
      <c r="L4712" s="226"/>
    </row>
    <row r="4713" spans="1:14" ht="33.75" x14ac:dyDescent="0.2">
      <c r="A4713" s="133">
        <v>2021</v>
      </c>
      <c r="B4713" s="133">
        <v>10</v>
      </c>
      <c r="C4713" s="133">
        <v>31</v>
      </c>
      <c r="D4713" s="141">
        <f t="shared" si="154"/>
        <v>44500</v>
      </c>
      <c r="E4713" s="275">
        <f t="shared" si="155"/>
        <v>44500</v>
      </c>
      <c r="F4713" s="481"/>
      <c r="G4713" s="174" t="s">
        <v>74</v>
      </c>
      <c r="H4713" s="148" t="str" cm="1">
        <f t="array" ref="H4713">IFERROR(INDEX(INVESTOR_LIST[INVESTOR NAME],MATCH(I4713,INVESTOR_LIST[INVESTOR CODE],0),)," ")</f>
        <v>K.M SAKIB AHMED</v>
      </c>
      <c r="I4713" s="148" t="s">
        <v>552</v>
      </c>
      <c r="J4713" s="133" t="s">
        <v>53</v>
      </c>
      <c r="K4713" s="218">
        <v>369948.41</v>
      </c>
      <c r="L4713" s="218"/>
    </row>
    <row r="4714" spans="1:14" ht="33.75" x14ac:dyDescent="0.2">
      <c r="A4714" s="163">
        <v>2021</v>
      </c>
      <c r="B4714" s="163">
        <v>10</v>
      </c>
      <c r="C4714" s="163">
        <v>31</v>
      </c>
      <c r="D4714" s="141">
        <f t="shared" si="154"/>
        <v>44500</v>
      </c>
      <c r="E4714" s="275">
        <f t="shared" si="155"/>
        <v>44500</v>
      </c>
      <c r="F4714" s="480"/>
      <c r="G4714" s="221" t="s">
        <v>74</v>
      </c>
      <c r="H4714" s="145" t="str" cm="1">
        <f t="array" ref="H4714">IFERROR(INDEX(INVESTOR_LIST[INVESTOR NAME],MATCH(I4714,INVESTOR_LIST[INVESTOR CODE],0),)," ")</f>
        <v>K.M SAKIB AHMED</v>
      </c>
      <c r="I4714" s="145" t="s">
        <v>552</v>
      </c>
      <c r="J4714" s="163" t="s">
        <v>52</v>
      </c>
      <c r="K4714" s="219"/>
      <c r="L4714" s="219">
        <v>1128918.4099999999</v>
      </c>
    </row>
    <row r="4715" spans="1:14" ht="33.75" x14ac:dyDescent="0.2">
      <c r="A4715" s="168">
        <v>2021</v>
      </c>
      <c r="B4715" s="168">
        <v>10</v>
      </c>
      <c r="C4715" s="133">
        <v>31</v>
      </c>
      <c r="D4715" s="141">
        <f t="shared" si="154"/>
        <v>44500</v>
      </c>
      <c r="E4715" s="275">
        <f t="shared" si="155"/>
        <v>44500</v>
      </c>
      <c r="F4715" s="479" t="s">
        <v>965</v>
      </c>
      <c r="G4715" s="220" t="s">
        <v>74</v>
      </c>
      <c r="H4715" s="142" t="str" cm="1">
        <f t="array" ref="H4715">IFERROR(INDEX(INVESTOR_LIST[INVESTOR NAME],MATCH(I4715,INVESTOR_LIST[INVESTOR CODE],0),)," ")</f>
        <v>MD. SHAIFUL AZAM</v>
      </c>
      <c r="I4715" s="142" t="s">
        <v>440</v>
      </c>
      <c r="J4715" s="168" t="s">
        <v>13</v>
      </c>
      <c r="K4715" s="226">
        <v>409460</v>
      </c>
      <c r="L4715" s="226"/>
    </row>
    <row r="4716" spans="1:14" ht="33.75" x14ac:dyDescent="0.2">
      <c r="A4716" s="133">
        <v>2021</v>
      </c>
      <c r="B4716" s="133">
        <v>10</v>
      </c>
      <c r="C4716" s="133">
        <v>31</v>
      </c>
      <c r="D4716" s="141">
        <f t="shared" si="154"/>
        <v>44500</v>
      </c>
      <c r="E4716" s="275">
        <f t="shared" si="155"/>
        <v>44500</v>
      </c>
      <c r="F4716" s="481"/>
      <c r="G4716" s="174" t="s">
        <v>74</v>
      </c>
      <c r="H4716" s="148" t="str" cm="1">
        <f t="array" ref="H4716">IFERROR(INDEX(INVESTOR_LIST[INVESTOR NAME],MATCH(I4716,INVESTOR_LIST[INVESTOR CODE],0),)," ")</f>
        <v>MD. SHAIFUL AZAM</v>
      </c>
      <c r="I4716" s="148" t="s">
        <v>440</v>
      </c>
      <c r="J4716" s="133" t="s">
        <v>53</v>
      </c>
      <c r="K4716" s="218">
        <v>203646.54</v>
      </c>
      <c r="L4716" s="218"/>
    </row>
    <row r="4717" spans="1:14" ht="33.75" x14ac:dyDescent="0.2">
      <c r="A4717" s="163">
        <v>2021</v>
      </c>
      <c r="B4717" s="163">
        <v>10</v>
      </c>
      <c r="C4717" s="163">
        <v>31</v>
      </c>
      <c r="D4717" s="141">
        <f t="shared" si="154"/>
        <v>44500</v>
      </c>
      <c r="E4717" s="275">
        <f t="shared" si="155"/>
        <v>44500</v>
      </c>
      <c r="F4717" s="480"/>
      <c r="G4717" s="221" t="s">
        <v>74</v>
      </c>
      <c r="H4717" s="145" t="str" cm="1">
        <f t="array" ref="H4717">IFERROR(INDEX(INVESTOR_LIST[INVESTOR NAME],MATCH(I4717,INVESTOR_LIST[INVESTOR CODE],0),)," ")</f>
        <v>MD. SHAIFUL AZAM</v>
      </c>
      <c r="I4717" s="145" t="s">
        <v>440</v>
      </c>
      <c r="J4717" s="163" t="s">
        <v>52</v>
      </c>
      <c r="K4717" s="219"/>
      <c r="L4717" s="219">
        <v>613106.54</v>
      </c>
    </row>
    <row r="4718" spans="1:14" ht="11.25" customHeight="1" x14ac:dyDescent="0.2">
      <c r="A4718" s="168">
        <v>2021</v>
      </c>
      <c r="B4718" s="168">
        <v>10</v>
      </c>
      <c r="C4718" s="133">
        <v>31</v>
      </c>
      <c r="D4718" s="141">
        <f t="shared" si="154"/>
        <v>44500</v>
      </c>
      <c r="E4718" s="275">
        <f t="shared" si="155"/>
        <v>44500</v>
      </c>
      <c r="F4718" s="479" t="s">
        <v>964</v>
      </c>
      <c r="G4718" s="220" t="s">
        <v>74</v>
      </c>
      <c r="H4718" s="142" t="str" cm="1">
        <f t="array" ref="H4718">IFERROR(INDEX(INVESTOR_LIST[INVESTOR NAME],MATCH(I4718,INVESTOR_LIST[INVESTOR CODE],0),)," ")</f>
        <v>RAFAYET ULLAH</v>
      </c>
      <c r="I4718" s="142" t="s">
        <v>936</v>
      </c>
      <c r="J4718" s="168" t="s">
        <v>52</v>
      </c>
      <c r="K4718" s="226">
        <v>5000</v>
      </c>
      <c r="L4718" s="226"/>
    </row>
    <row r="4719" spans="1:14" ht="22.5" x14ac:dyDescent="0.2">
      <c r="A4719" s="133">
        <v>2021</v>
      </c>
      <c r="B4719" s="133">
        <v>10</v>
      </c>
      <c r="C4719" s="133">
        <v>31</v>
      </c>
      <c r="D4719" s="141">
        <f t="shared" si="154"/>
        <v>44500</v>
      </c>
      <c r="E4719" s="275">
        <f t="shared" si="155"/>
        <v>44500</v>
      </c>
      <c r="F4719" s="481"/>
      <c r="G4719" s="174" t="s">
        <v>74</v>
      </c>
      <c r="H4719" s="148" t="str" cm="1">
        <f t="array" ref="H4719">IFERROR(INDEX(INVESTOR_LIST[INVESTOR NAME],MATCH(I4719,INVESTOR_LIST[INVESTOR CODE],0),)," ")</f>
        <v>RAFAYET ULLAH</v>
      </c>
      <c r="I4719" s="148" t="s">
        <v>936</v>
      </c>
      <c r="J4719" s="133" t="s">
        <v>13</v>
      </c>
      <c r="K4719" s="218"/>
      <c r="L4719" s="218">
        <v>3420</v>
      </c>
    </row>
    <row r="4720" spans="1:14" ht="22.5" x14ac:dyDescent="0.2">
      <c r="A4720" s="163">
        <v>2021</v>
      </c>
      <c r="B4720" s="163">
        <v>10</v>
      </c>
      <c r="C4720" s="163">
        <v>31</v>
      </c>
      <c r="D4720" s="141">
        <f t="shared" si="154"/>
        <v>44500</v>
      </c>
      <c r="E4720" s="275">
        <f t="shared" si="155"/>
        <v>44500</v>
      </c>
      <c r="F4720" s="480"/>
      <c r="G4720" s="221" t="s">
        <v>74</v>
      </c>
      <c r="H4720" s="145" t="str" cm="1">
        <f t="array" ref="H4720">IFERROR(INDEX(INVESTOR_LIST[INVESTOR NAME],MATCH(I4720,INVESTOR_LIST[INVESTOR CODE],0),)," ")</f>
        <v>RAFAYET ULLAH</v>
      </c>
      <c r="I4720" s="145" t="s">
        <v>936</v>
      </c>
      <c r="J4720" s="163" t="s">
        <v>53</v>
      </c>
      <c r="K4720" s="219"/>
      <c r="L4720" s="219">
        <v>1580</v>
      </c>
    </row>
    <row r="4721" spans="1:13" x14ac:dyDescent="0.2">
      <c r="A4721" s="168">
        <v>2021</v>
      </c>
      <c r="B4721" s="168">
        <v>10</v>
      </c>
      <c r="C4721" s="133">
        <v>31</v>
      </c>
      <c r="D4721" s="141">
        <f t="shared" si="154"/>
        <v>44500</v>
      </c>
      <c r="E4721" s="275">
        <f t="shared" si="155"/>
        <v>44500</v>
      </c>
      <c r="F4721" s="479" t="s">
        <v>934</v>
      </c>
      <c r="G4721" s="220" t="s">
        <v>74</v>
      </c>
      <c r="H4721" s="220" t="str" cm="1">
        <f t="array" ref="H4721">IFERROR(INDEX(INVESTOR_LIST[INVESTOR NAME],MATCH(I4721,INVESTOR_LIST[INVESTOR CODE],0),)," ")</f>
        <v xml:space="preserve"> </v>
      </c>
      <c r="I4721" s="142"/>
      <c r="J4721" s="143" t="s">
        <v>79</v>
      </c>
      <c r="K4721" s="226">
        <v>297030</v>
      </c>
      <c r="L4721" s="226"/>
    </row>
    <row r="4722" spans="1:13" x14ac:dyDescent="0.2">
      <c r="A4722" s="133">
        <v>2021</v>
      </c>
      <c r="B4722" s="133">
        <v>10</v>
      </c>
      <c r="C4722" s="133">
        <v>31</v>
      </c>
      <c r="D4722" s="141">
        <f t="shared" si="154"/>
        <v>44500</v>
      </c>
      <c r="E4722" s="275">
        <f t="shared" si="155"/>
        <v>44500</v>
      </c>
      <c r="F4722" s="481"/>
      <c r="G4722" s="174" t="s">
        <v>74</v>
      </c>
      <c r="H4722" s="174" t="str" cm="1">
        <f t="array" ref="H4722">IFERROR(INDEX(INVESTOR_LIST[INVESTOR NAME],MATCH(I4722,INVESTOR_LIST[INVESTOR CODE],0),)," ")</f>
        <v xml:space="preserve"> </v>
      </c>
      <c r="J4722" s="149" t="s">
        <v>52</v>
      </c>
      <c r="K4722" s="218">
        <v>2102970</v>
      </c>
      <c r="L4722" s="218"/>
    </row>
    <row r="4723" spans="1:13" x14ac:dyDescent="0.2">
      <c r="A4723" s="163">
        <v>2021</v>
      </c>
      <c r="B4723" s="163">
        <v>10</v>
      </c>
      <c r="C4723" s="163">
        <v>31</v>
      </c>
      <c r="D4723" s="141">
        <f t="shared" si="154"/>
        <v>44500</v>
      </c>
      <c r="E4723" s="275">
        <f t="shared" si="155"/>
        <v>44500</v>
      </c>
      <c r="F4723" s="480"/>
      <c r="G4723" s="221" t="s">
        <v>74</v>
      </c>
      <c r="H4723" s="221" t="str" cm="1">
        <f t="array" ref="H4723">IFERROR(INDEX(INVESTOR_LIST[INVESTOR NAME],MATCH(I4723,INVESTOR_LIST[INVESTOR CODE],0),)," ")</f>
        <v xml:space="preserve"> </v>
      </c>
      <c r="I4723" s="145"/>
      <c r="J4723" s="146" t="s">
        <v>184</v>
      </c>
      <c r="K4723" s="219"/>
      <c r="L4723" s="219">
        <v>2400000</v>
      </c>
    </row>
    <row r="4724" spans="1:13" x14ac:dyDescent="0.2">
      <c r="A4724" s="168">
        <v>2021</v>
      </c>
      <c r="B4724" s="168">
        <v>10</v>
      </c>
      <c r="C4724" s="168">
        <v>31</v>
      </c>
      <c r="D4724" s="141">
        <f t="shared" si="154"/>
        <v>44500</v>
      </c>
      <c r="E4724" s="275">
        <f t="shared" si="155"/>
        <v>44500</v>
      </c>
      <c r="F4724" s="479" t="s">
        <v>914</v>
      </c>
      <c r="G4724" s="220" t="s">
        <v>94</v>
      </c>
      <c r="H4724" s="220" t="str" cm="1">
        <f t="array" ref="H4724">IFERROR(INDEX(INVESTOR_LIST[INVESTOR NAME],MATCH(I4724,INVESTOR_LIST[INVESTOR CODE],0),)," ")</f>
        <v xml:space="preserve"> </v>
      </c>
      <c r="I4724" s="142" t="s">
        <v>348</v>
      </c>
      <c r="J4724" s="143" t="s">
        <v>79</v>
      </c>
      <c r="K4724" s="226">
        <v>6974826.2000000002</v>
      </c>
      <c r="L4724" s="226"/>
    </row>
    <row r="4725" spans="1:13" x14ac:dyDescent="0.2">
      <c r="A4725" s="133">
        <v>2021</v>
      </c>
      <c r="B4725" s="133">
        <v>10</v>
      </c>
      <c r="C4725" s="133">
        <v>31</v>
      </c>
      <c r="D4725" s="141">
        <f t="shared" si="154"/>
        <v>44500</v>
      </c>
      <c r="E4725" s="275">
        <f t="shared" si="155"/>
        <v>44500</v>
      </c>
      <c r="F4725" s="481"/>
      <c r="G4725" s="174" t="s">
        <v>94</v>
      </c>
      <c r="H4725" s="174" t="str" cm="1">
        <f t="array" ref="H4725">IFERROR(INDEX(INVESTOR_LIST[INVESTOR NAME],MATCH(I4725,INVESTOR_LIST[INVESTOR CODE],0),)," ")</f>
        <v xml:space="preserve"> </v>
      </c>
      <c r="I4725" s="148" t="s">
        <v>348</v>
      </c>
      <c r="J4725" s="149" t="s">
        <v>80</v>
      </c>
      <c r="K4725" s="218">
        <v>26792.23</v>
      </c>
      <c r="L4725" s="218"/>
    </row>
    <row r="4726" spans="1:13" x14ac:dyDescent="0.2">
      <c r="A4726" s="133">
        <v>2021</v>
      </c>
      <c r="B4726" s="133">
        <v>10</v>
      </c>
      <c r="C4726" s="133">
        <v>31</v>
      </c>
      <c r="D4726" s="141">
        <f t="shared" si="154"/>
        <v>44500</v>
      </c>
      <c r="E4726" s="275">
        <f t="shared" si="155"/>
        <v>44500</v>
      </c>
      <c r="F4726" s="481"/>
      <c r="G4726" s="174" t="s">
        <v>94</v>
      </c>
      <c r="H4726" s="174" t="str" cm="1">
        <f t="array" ref="H4726">IFERROR(INDEX(INVESTOR_LIST[INVESTOR NAME],MATCH(I4726,INVESTOR_LIST[INVESTOR CODE],0),)," ")</f>
        <v xml:space="preserve"> </v>
      </c>
      <c r="I4726" s="148" t="s">
        <v>348</v>
      </c>
      <c r="J4726" s="149" t="s">
        <v>190</v>
      </c>
      <c r="K4726" s="254">
        <v>908124.67</v>
      </c>
      <c r="L4726" s="218"/>
      <c r="M4726" s="218"/>
    </row>
    <row r="4727" spans="1:13" x14ac:dyDescent="0.2">
      <c r="A4727" s="133">
        <v>2021</v>
      </c>
      <c r="B4727" s="133">
        <v>10</v>
      </c>
      <c r="C4727" s="133">
        <v>31</v>
      </c>
      <c r="D4727" s="141">
        <f t="shared" si="154"/>
        <v>44500</v>
      </c>
      <c r="E4727" s="275">
        <f t="shared" si="155"/>
        <v>44500</v>
      </c>
      <c r="F4727" s="481"/>
      <c r="G4727" s="174" t="s">
        <v>94</v>
      </c>
      <c r="H4727" s="174" t="str" cm="1">
        <f t="array" ref="H4727">IFERROR(INDEX(INVESTOR_LIST[INVESTOR NAME],MATCH(I4727,INVESTOR_LIST[INVESTOR CODE],0),)," ")</f>
        <v xml:space="preserve"> </v>
      </c>
      <c r="I4727" s="148" t="s">
        <v>348</v>
      </c>
      <c r="J4727" s="149" t="s">
        <v>191</v>
      </c>
      <c r="K4727" s="218">
        <v>1408867.4</v>
      </c>
      <c r="L4727" s="218"/>
    </row>
    <row r="4728" spans="1:13" x14ac:dyDescent="0.2">
      <c r="A4728" s="163">
        <v>2021</v>
      </c>
      <c r="B4728" s="163">
        <v>10</v>
      </c>
      <c r="C4728" s="163">
        <v>31</v>
      </c>
      <c r="D4728" s="141">
        <f t="shared" si="154"/>
        <v>44500</v>
      </c>
      <c r="E4728" s="275">
        <f t="shared" si="155"/>
        <v>44500</v>
      </c>
      <c r="F4728" s="480"/>
      <c r="G4728" s="221" t="s">
        <v>94</v>
      </c>
      <c r="H4728" s="145" t="str" cm="1">
        <f t="array" ref="H4728">IFERROR(INDEX(INVESTOR_LIST[INVESTOR NAME],MATCH(I4728,INVESTOR_LIST[INVESTOR CODE],0),)," ")</f>
        <v xml:space="preserve"> </v>
      </c>
      <c r="I4728" s="145"/>
      <c r="J4728" s="163" t="s">
        <v>79</v>
      </c>
      <c r="K4728" s="219"/>
      <c r="L4728" s="219">
        <v>9318610.5</v>
      </c>
    </row>
    <row r="4729" spans="1:13" x14ac:dyDescent="0.2">
      <c r="A4729" s="168">
        <v>2021</v>
      </c>
      <c r="B4729" s="168">
        <v>10</v>
      </c>
      <c r="C4729" s="168">
        <v>31</v>
      </c>
      <c r="D4729" s="141">
        <f t="shared" si="154"/>
        <v>44500</v>
      </c>
      <c r="E4729" s="275">
        <f t="shared" si="155"/>
        <v>44500</v>
      </c>
      <c r="F4729" s="479" t="s">
        <v>233</v>
      </c>
      <c r="G4729" s="220" t="s">
        <v>74</v>
      </c>
      <c r="H4729" s="220" t="str" cm="1">
        <f t="array" ref="H4729">IFERROR(INDEX(INVESTOR_LIST[INVESTOR NAME],MATCH(I4729,INVESTOR_LIST[INVESTOR CODE],0),)," ")</f>
        <v xml:space="preserve"> </v>
      </c>
      <c r="I4729" s="142" t="s">
        <v>348</v>
      </c>
      <c r="J4729" s="143" t="s">
        <v>163</v>
      </c>
      <c r="K4729" s="226">
        <v>8000</v>
      </c>
      <c r="L4729" s="226"/>
    </row>
    <row r="4730" spans="1:13" ht="11.25" customHeight="1" x14ac:dyDescent="0.2">
      <c r="A4730" s="163">
        <v>2021</v>
      </c>
      <c r="B4730" s="163">
        <v>10</v>
      </c>
      <c r="C4730" s="163">
        <v>31</v>
      </c>
      <c r="D4730" s="141">
        <f t="shared" si="154"/>
        <v>44500</v>
      </c>
      <c r="E4730" s="275">
        <f t="shared" si="155"/>
        <v>44500</v>
      </c>
      <c r="F4730" s="480"/>
      <c r="G4730" s="221" t="s">
        <v>74</v>
      </c>
      <c r="H4730" s="221" t="str" cm="1">
        <f t="array" ref="H4730">IFERROR(INDEX(INVESTOR_LIST[INVESTOR NAME],MATCH(I4730,INVESTOR_LIST[INVESTOR CODE],0),)," ")</f>
        <v xml:space="preserve"> </v>
      </c>
      <c r="I4730" s="145" t="s">
        <v>348</v>
      </c>
      <c r="J4730" s="146" t="s">
        <v>52</v>
      </c>
      <c r="K4730" s="219"/>
      <c r="L4730" s="219">
        <v>8000</v>
      </c>
    </row>
    <row r="4731" spans="1:13" ht="11.25" customHeight="1" x14ac:dyDescent="0.2">
      <c r="A4731" s="168">
        <v>2021</v>
      </c>
      <c r="B4731" s="168">
        <v>11</v>
      </c>
      <c r="C4731" s="133">
        <v>1</v>
      </c>
      <c r="D4731" s="141">
        <f t="shared" si="154"/>
        <v>44501</v>
      </c>
      <c r="E4731" s="275">
        <f t="shared" si="155"/>
        <v>44501</v>
      </c>
      <c r="F4731" s="479" t="s">
        <v>964</v>
      </c>
      <c r="G4731" s="220" t="s">
        <v>74</v>
      </c>
      <c r="H4731" s="142" t="str" cm="1">
        <f t="array" ref="H4731">IFERROR(INDEX(INVESTOR_LIST[INVESTOR NAME],MATCH(I4731,INVESTOR_LIST[INVESTOR CODE],0),)," ")</f>
        <v>FAIYEAD AHMEDUL HYE</v>
      </c>
      <c r="I4731" s="142" t="s">
        <v>496</v>
      </c>
      <c r="J4731" s="168" t="s">
        <v>52</v>
      </c>
      <c r="K4731" s="226">
        <v>15000</v>
      </c>
      <c r="L4731" s="226"/>
    </row>
    <row r="4732" spans="1:13" ht="33.75" x14ac:dyDescent="0.2">
      <c r="A4732" s="133">
        <v>2021</v>
      </c>
      <c r="B4732" s="133">
        <v>11</v>
      </c>
      <c r="C4732" s="133">
        <v>1</v>
      </c>
      <c r="D4732" s="141">
        <f t="shared" si="154"/>
        <v>44501</v>
      </c>
      <c r="E4732" s="275">
        <f t="shared" si="155"/>
        <v>44501</v>
      </c>
      <c r="F4732" s="481"/>
      <c r="G4732" s="174" t="s">
        <v>74</v>
      </c>
      <c r="H4732" s="148" t="str" cm="1">
        <f t="array" ref="H4732">IFERROR(INDEX(INVESTOR_LIST[INVESTOR NAME],MATCH(I4732,INVESTOR_LIST[INVESTOR CODE],0),)," ")</f>
        <v>FAIYEAD AHMEDUL HYE</v>
      </c>
      <c r="I4732" s="148" t="s">
        <v>496</v>
      </c>
      <c r="J4732" s="133" t="s">
        <v>13</v>
      </c>
      <c r="K4732" s="218"/>
      <c r="L4732" s="172">
        <v>10260</v>
      </c>
    </row>
    <row r="4733" spans="1:13" ht="11.25" customHeight="1" x14ac:dyDescent="0.2">
      <c r="A4733" s="163">
        <v>2021</v>
      </c>
      <c r="B4733" s="163">
        <v>11</v>
      </c>
      <c r="C4733" s="163">
        <v>1</v>
      </c>
      <c r="D4733" s="141">
        <f t="shared" si="154"/>
        <v>44501</v>
      </c>
      <c r="E4733" s="275">
        <f t="shared" si="155"/>
        <v>44501</v>
      </c>
      <c r="F4733" s="480"/>
      <c r="G4733" s="221" t="s">
        <v>74</v>
      </c>
      <c r="H4733" s="145" t="str" cm="1">
        <f t="array" ref="H4733">IFERROR(INDEX(INVESTOR_LIST[INVESTOR NAME],MATCH(I4733,INVESTOR_LIST[INVESTOR CODE],0),)," ")</f>
        <v>FAIYEAD AHMEDUL HYE</v>
      </c>
      <c r="I4733" s="145" t="s">
        <v>496</v>
      </c>
      <c r="J4733" s="163" t="s">
        <v>53</v>
      </c>
      <c r="K4733" s="219"/>
      <c r="L4733" s="219">
        <v>4740</v>
      </c>
    </row>
    <row r="4734" spans="1:13" x14ac:dyDescent="0.2">
      <c r="A4734" s="133">
        <v>2021</v>
      </c>
      <c r="B4734" s="133">
        <v>11</v>
      </c>
      <c r="C4734" s="133">
        <v>1</v>
      </c>
      <c r="D4734" s="141">
        <f t="shared" si="154"/>
        <v>44501</v>
      </c>
      <c r="E4734" s="275">
        <f t="shared" si="155"/>
        <v>44501</v>
      </c>
      <c r="F4734" s="481" t="s">
        <v>893</v>
      </c>
      <c r="G4734" s="174" t="s">
        <v>94</v>
      </c>
      <c r="H4734" s="174" t="str" cm="1">
        <f t="array" ref="H4734">IFERROR(INDEX(INVESTOR_LIST[INVESTOR NAME],MATCH(I4734,INVESTOR_LIST[INVESTOR CODE],0),)," ")</f>
        <v xml:space="preserve"> </v>
      </c>
      <c r="I4734" s="148" t="s">
        <v>348</v>
      </c>
      <c r="J4734" s="149" t="s">
        <v>80</v>
      </c>
      <c r="K4734" s="218">
        <v>10944.64</v>
      </c>
      <c r="L4734" s="218"/>
    </row>
    <row r="4735" spans="1:13" x14ac:dyDescent="0.2">
      <c r="A4735" s="133">
        <v>2021</v>
      </c>
      <c r="B4735" s="133">
        <v>11</v>
      </c>
      <c r="C4735" s="133">
        <v>1</v>
      </c>
      <c r="D4735" s="141">
        <f t="shared" si="154"/>
        <v>44501</v>
      </c>
      <c r="E4735" s="275">
        <f t="shared" si="155"/>
        <v>44501</v>
      </c>
      <c r="F4735" s="481"/>
      <c r="G4735" s="174" t="s">
        <v>94</v>
      </c>
      <c r="H4735" s="174" t="str" cm="1">
        <f t="array" ref="H4735">IFERROR(INDEX(INVESTOR_LIST[INVESTOR NAME],MATCH(I4735,INVESTOR_LIST[INVESTOR CODE],0),)," ")</f>
        <v xml:space="preserve"> </v>
      </c>
      <c r="I4735" s="148" t="s">
        <v>348</v>
      </c>
      <c r="J4735" s="149" t="s">
        <v>190</v>
      </c>
      <c r="K4735" s="254">
        <v>6069411.7599999998</v>
      </c>
      <c r="L4735" s="218"/>
    </row>
    <row r="4736" spans="1:13" x14ac:dyDescent="0.2">
      <c r="A4736" s="133">
        <v>2021</v>
      </c>
      <c r="B4736" s="133">
        <v>11</v>
      </c>
      <c r="C4736" s="133">
        <v>1</v>
      </c>
      <c r="D4736" s="141">
        <f t="shared" si="154"/>
        <v>44501</v>
      </c>
      <c r="E4736" s="275">
        <f t="shared" si="155"/>
        <v>44501</v>
      </c>
      <c r="F4736" s="481"/>
      <c r="G4736" s="174" t="s">
        <v>94</v>
      </c>
      <c r="H4736" s="174" t="str" cm="1">
        <f t="array" ref="H4736">IFERROR(INDEX(INVESTOR_LIST[INVESTOR NAME],MATCH(I4736,INVESTOR_LIST[INVESTOR CODE],0),)," ")</f>
        <v xml:space="preserve"> </v>
      </c>
      <c r="I4736" s="148" t="s">
        <v>348</v>
      </c>
      <c r="J4736" s="149" t="s">
        <v>191</v>
      </c>
      <c r="K4736" s="218">
        <v>1106964.99</v>
      </c>
      <c r="L4736" s="133"/>
    </row>
    <row r="4737" spans="1:14" x14ac:dyDescent="0.2">
      <c r="A4737" s="163">
        <v>2021</v>
      </c>
      <c r="B4737" s="163">
        <v>11</v>
      </c>
      <c r="C4737" s="163">
        <v>1</v>
      </c>
      <c r="D4737" s="141">
        <f t="shared" si="154"/>
        <v>44501</v>
      </c>
      <c r="E4737" s="275">
        <f t="shared" si="155"/>
        <v>44501</v>
      </c>
      <c r="F4737" s="480"/>
      <c r="G4737" s="221" t="s">
        <v>94</v>
      </c>
      <c r="H4737" s="145" t="str" cm="1">
        <f t="array" ref="H4737">IFERROR(INDEX(INVESTOR_LIST[INVESTOR NAME],MATCH(I4737,INVESTOR_LIST[INVESTOR CODE],0),)," ")</f>
        <v xml:space="preserve"> </v>
      </c>
      <c r="I4737" s="145"/>
      <c r="J4737" s="163" t="s">
        <v>79</v>
      </c>
      <c r="K4737" s="219"/>
      <c r="L4737" s="219">
        <v>7187321.3899999997</v>
      </c>
    </row>
    <row r="4738" spans="1:14" ht="22.5" x14ac:dyDescent="0.2">
      <c r="A4738" s="168">
        <v>2021</v>
      </c>
      <c r="B4738" s="168">
        <v>11</v>
      </c>
      <c r="C4738" s="133">
        <v>1</v>
      </c>
      <c r="D4738" s="141">
        <f t="shared" si="154"/>
        <v>44501</v>
      </c>
      <c r="E4738" s="275">
        <f t="shared" si="155"/>
        <v>44501</v>
      </c>
      <c r="F4738" s="479" t="s">
        <v>965</v>
      </c>
      <c r="G4738" s="220" t="s">
        <v>74</v>
      </c>
      <c r="H4738" s="142" t="str" cm="1">
        <f t="array" ref="H4738">IFERROR(INDEX(INVESTOR_LIST[INVESTOR NAME],MATCH(I4738,INVESTOR_LIST[INVESTOR CODE],0),)," ")</f>
        <v>SULTANA RAZIA</v>
      </c>
      <c r="I4738" s="142" t="s">
        <v>698</v>
      </c>
      <c r="J4738" s="168" t="s">
        <v>13</v>
      </c>
      <c r="K4738" s="226">
        <v>376430</v>
      </c>
      <c r="L4738" s="226"/>
    </row>
    <row r="4739" spans="1:14" ht="22.5" x14ac:dyDescent="0.2">
      <c r="A4739" s="133">
        <v>2021</v>
      </c>
      <c r="B4739" s="133">
        <v>11</v>
      </c>
      <c r="C4739" s="133">
        <v>1</v>
      </c>
      <c r="D4739" s="141">
        <f t="shared" si="154"/>
        <v>44501</v>
      </c>
      <c r="E4739" s="275">
        <f t="shared" si="155"/>
        <v>44501</v>
      </c>
      <c r="F4739" s="481"/>
      <c r="G4739" s="174" t="s">
        <v>74</v>
      </c>
      <c r="H4739" s="148" t="str" cm="1">
        <f t="array" ref="H4739">IFERROR(INDEX(INVESTOR_LIST[INVESTOR NAME],MATCH(I4739,INVESTOR_LIST[INVESTOR CODE],0),)," ")</f>
        <v>SULTANA RAZIA</v>
      </c>
      <c r="I4739" s="148" t="s">
        <v>698</v>
      </c>
      <c r="J4739" s="133" t="s">
        <v>53</v>
      </c>
      <c r="K4739" s="218">
        <v>183485.09</v>
      </c>
      <c r="L4739" s="218"/>
    </row>
    <row r="4740" spans="1:14" ht="22.5" x14ac:dyDescent="0.2">
      <c r="A4740" s="163">
        <v>2021</v>
      </c>
      <c r="B4740" s="163">
        <v>11</v>
      </c>
      <c r="C4740" s="163">
        <v>1</v>
      </c>
      <c r="D4740" s="141">
        <f t="shared" si="154"/>
        <v>44501</v>
      </c>
      <c r="E4740" s="275">
        <f t="shared" si="155"/>
        <v>44501</v>
      </c>
      <c r="F4740" s="480"/>
      <c r="G4740" s="221" t="s">
        <v>74</v>
      </c>
      <c r="H4740" s="145" t="str" cm="1">
        <f t="array" ref="H4740">IFERROR(INDEX(INVESTOR_LIST[INVESTOR NAME],MATCH(I4740,INVESTOR_LIST[INVESTOR CODE],0),)," ")</f>
        <v>SULTANA RAZIA</v>
      </c>
      <c r="I4740" s="145" t="s">
        <v>698</v>
      </c>
      <c r="J4740" s="163" t="s">
        <v>52</v>
      </c>
      <c r="K4740" s="219"/>
      <c r="L4740" s="219">
        <v>559915.09</v>
      </c>
    </row>
    <row r="4741" spans="1:14" x14ac:dyDescent="0.2">
      <c r="A4741" s="133">
        <v>2021</v>
      </c>
      <c r="B4741" s="133">
        <v>11</v>
      </c>
      <c r="C4741" s="133">
        <v>2</v>
      </c>
      <c r="D4741" s="141">
        <f t="shared" si="154"/>
        <v>44502</v>
      </c>
      <c r="E4741" s="275">
        <f t="shared" si="155"/>
        <v>44502</v>
      </c>
      <c r="F4741" s="481" t="s">
        <v>893</v>
      </c>
      <c r="G4741" s="174" t="s">
        <v>94</v>
      </c>
      <c r="H4741" s="174" t="str" cm="1">
        <f t="array" ref="H4741">IFERROR(INDEX(INVESTOR_LIST[INVESTOR NAME],MATCH(I4741,INVESTOR_LIST[INVESTOR CODE],0),)," ")</f>
        <v xml:space="preserve"> </v>
      </c>
      <c r="I4741" s="148" t="s">
        <v>348</v>
      </c>
      <c r="J4741" s="149" t="s">
        <v>80</v>
      </c>
      <c r="K4741" s="218">
        <v>5165.01</v>
      </c>
      <c r="L4741" s="218"/>
    </row>
    <row r="4742" spans="1:14" x14ac:dyDescent="0.2">
      <c r="A4742" s="133">
        <v>2021</v>
      </c>
      <c r="B4742" s="133">
        <v>11</v>
      </c>
      <c r="C4742" s="133">
        <v>2</v>
      </c>
      <c r="D4742" s="141">
        <f t="shared" si="154"/>
        <v>44502</v>
      </c>
      <c r="E4742" s="275">
        <f t="shared" si="155"/>
        <v>44502</v>
      </c>
      <c r="F4742" s="481"/>
      <c r="G4742" s="174" t="s">
        <v>94</v>
      </c>
      <c r="H4742" s="174" t="str" cm="1">
        <f t="array" ref="H4742">IFERROR(INDEX(INVESTOR_LIST[INVESTOR NAME],MATCH(I4742,INVESTOR_LIST[INVESTOR CODE],0),)," ")</f>
        <v xml:space="preserve"> </v>
      </c>
      <c r="I4742" s="148" t="s">
        <v>348</v>
      </c>
      <c r="J4742" s="149" t="s">
        <v>190</v>
      </c>
      <c r="K4742" s="254">
        <v>2864286.99</v>
      </c>
      <c r="L4742" s="218"/>
    </row>
    <row r="4743" spans="1:14" x14ac:dyDescent="0.2">
      <c r="A4743" s="133">
        <v>2021</v>
      </c>
      <c r="B4743" s="133">
        <v>11</v>
      </c>
      <c r="C4743" s="133">
        <v>2</v>
      </c>
      <c r="D4743" s="141">
        <f t="shared" si="154"/>
        <v>44502</v>
      </c>
      <c r="E4743" s="275">
        <f t="shared" si="155"/>
        <v>44502</v>
      </c>
      <c r="F4743" s="481"/>
      <c r="G4743" s="174" t="s">
        <v>94</v>
      </c>
      <c r="H4743" s="174" t="str" cm="1">
        <f t="array" ref="H4743">IFERROR(INDEX(INVESTOR_LIST[INVESTOR NAME],MATCH(I4743,INVESTOR_LIST[INVESTOR CODE],0),)," ")</f>
        <v xml:space="preserve"> </v>
      </c>
      <c r="I4743" s="148" t="s">
        <v>348</v>
      </c>
      <c r="J4743" s="149" t="s">
        <v>191</v>
      </c>
      <c r="L4743" s="218">
        <v>281097.96000000002</v>
      </c>
      <c r="N4743" s="218"/>
    </row>
    <row r="4744" spans="1:14" x14ac:dyDescent="0.2">
      <c r="A4744" s="163">
        <v>2021</v>
      </c>
      <c r="B4744" s="163">
        <v>11</v>
      </c>
      <c r="C4744" s="163">
        <v>2</v>
      </c>
      <c r="D4744" s="141">
        <f t="shared" si="154"/>
        <v>44502</v>
      </c>
      <c r="E4744" s="275">
        <f t="shared" si="155"/>
        <v>44502</v>
      </c>
      <c r="F4744" s="480"/>
      <c r="G4744" s="221" t="s">
        <v>94</v>
      </c>
      <c r="H4744" s="145" t="str" cm="1">
        <f t="array" ref="H4744">IFERROR(INDEX(INVESTOR_LIST[INVESTOR NAME],MATCH(I4744,INVESTOR_LIST[INVESTOR CODE],0),)," ")</f>
        <v xml:space="preserve"> </v>
      </c>
      <c r="I4744" s="145"/>
      <c r="J4744" s="163" t="s">
        <v>79</v>
      </c>
      <c r="K4744" s="219"/>
      <c r="L4744" s="219">
        <v>2588354.04</v>
      </c>
    </row>
    <row r="4745" spans="1:14" x14ac:dyDescent="0.2">
      <c r="A4745" s="168">
        <v>2021</v>
      </c>
      <c r="B4745" s="168">
        <v>11</v>
      </c>
      <c r="C4745" s="168">
        <v>3</v>
      </c>
      <c r="D4745" s="141">
        <f t="shared" si="154"/>
        <v>44503</v>
      </c>
      <c r="E4745" s="275">
        <f t="shared" si="155"/>
        <v>44503</v>
      </c>
      <c r="F4745" s="479" t="s">
        <v>938</v>
      </c>
      <c r="G4745" s="220" t="s">
        <v>94</v>
      </c>
      <c r="H4745" s="220" t="str" cm="1">
        <f t="array" ref="H4745">IFERROR(INDEX(INVESTOR_LIST[INVESTOR NAME],MATCH(I4745,INVESTOR_LIST[INVESTOR CODE],0),)," ")</f>
        <v xml:space="preserve"> </v>
      </c>
      <c r="I4745" s="142" t="s">
        <v>348</v>
      </c>
      <c r="J4745" s="143" t="s">
        <v>79</v>
      </c>
      <c r="K4745" s="226">
        <v>2464000</v>
      </c>
      <c r="L4745" s="226"/>
    </row>
    <row r="4746" spans="1:14" x14ac:dyDescent="0.2">
      <c r="A4746" s="133">
        <v>2021</v>
      </c>
      <c r="B4746" s="133">
        <v>11</v>
      </c>
      <c r="C4746" s="133">
        <v>3</v>
      </c>
      <c r="D4746" s="141">
        <f t="shared" si="154"/>
        <v>44503</v>
      </c>
      <c r="E4746" s="275">
        <f t="shared" si="155"/>
        <v>44503</v>
      </c>
      <c r="F4746" s="481"/>
      <c r="G4746" s="174" t="s">
        <v>94</v>
      </c>
      <c r="H4746" s="174" t="str" cm="1">
        <f t="array" ref="H4746">IFERROR(INDEX(INVESTOR_LIST[INVESTOR NAME],MATCH(I4746,INVESTOR_LIST[INVESTOR CODE],0),)," ")</f>
        <v xml:space="preserve"> </v>
      </c>
      <c r="I4746" s="148" t="s">
        <v>348</v>
      </c>
      <c r="J4746" s="149" t="s">
        <v>80</v>
      </c>
      <c r="K4746" s="218">
        <f>4435.2+1271.79</f>
        <v>5706.99</v>
      </c>
      <c r="L4746" s="218"/>
    </row>
    <row r="4747" spans="1:14" x14ac:dyDescent="0.2">
      <c r="A4747" s="133">
        <v>2021</v>
      </c>
      <c r="B4747" s="133">
        <v>11</v>
      </c>
      <c r="C4747" s="133">
        <v>3</v>
      </c>
      <c r="D4747" s="141">
        <f t="shared" si="154"/>
        <v>44503</v>
      </c>
      <c r="E4747" s="275">
        <f t="shared" si="155"/>
        <v>44503</v>
      </c>
      <c r="F4747" s="481"/>
      <c r="G4747" s="174" t="s">
        <v>94</v>
      </c>
      <c r="H4747" s="174" t="str" cm="1">
        <f t="array" ref="H4747">IFERROR(INDEX(INVESTOR_LIST[INVESTOR NAME],MATCH(I4747,INVESTOR_LIST[INVESTOR CODE],0),)," ")</f>
        <v xml:space="preserve"> </v>
      </c>
      <c r="I4747" s="148" t="s">
        <v>348</v>
      </c>
      <c r="J4747" s="149" t="s">
        <v>147</v>
      </c>
      <c r="K4747" s="218"/>
      <c r="L4747" s="218">
        <v>1763154.99</v>
      </c>
    </row>
    <row r="4748" spans="1:14" x14ac:dyDescent="0.2">
      <c r="A4748" s="133">
        <v>2021</v>
      </c>
      <c r="B4748" s="133">
        <v>11</v>
      </c>
      <c r="C4748" s="133">
        <v>3</v>
      </c>
      <c r="D4748" s="141">
        <f t="shared" si="154"/>
        <v>44503</v>
      </c>
      <c r="E4748" s="275">
        <f t="shared" si="155"/>
        <v>44503</v>
      </c>
      <c r="F4748" s="481"/>
      <c r="G4748" s="174" t="s">
        <v>94</v>
      </c>
      <c r="H4748" s="174" t="str" cm="1">
        <f t="array" ref="H4748">IFERROR(INDEX(INVESTOR_LIST[INVESTOR NAME],MATCH(I4748,INVESTOR_LIST[INVESTOR CODE],0),)," ")</f>
        <v xml:space="preserve"> </v>
      </c>
      <c r="I4748" s="148" t="s">
        <v>348</v>
      </c>
      <c r="J4748" s="149" t="s">
        <v>191</v>
      </c>
      <c r="K4748" s="218"/>
      <c r="L4748" s="218">
        <v>56609.07</v>
      </c>
    </row>
    <row r="4749" spans="1:14" x14ac:dyDescent="0.2">
      <c r="A4749" s="163">
        <v>2021</v>
      </c>
      <c r="B4749" s="163">
        <v>11</v>
      </c>
      <c r="C4749" s="163">
        <v>3</v>
      </c>
      <c r="D4749" s="141">
        <f t="shared" si="154"/>
        <v>44503</v>
      </c>
      <c r="E4749" s="275">
        <f t="shared" si="155"/>
        <v>44503</v>
      </c>
      <c r="F4749" s="480"/>
      <c r="G4749" s="221" t="s">
        <v>94</v>
      </c>
      <c r="H4749" s="145" t="str" cm="1">
        <f t="array" ref="H4749">IFERROR(INDEX(INVESTOR_LIST[INVESTOR NAME],MATCH(I4749,INVESTOR_LIST[INVESTOR CODE],0),)," ")</f>
        <v xml:space="preserve"> </v>
      </c>
      <c r="I4749" s="145"/>
      <c r="J4749" s="163" t="s">
        <v>79</v>
      </c>
      <c r="K4749" s="219"/>
      <c r="L4749" s="219">
        <v>649942.93000000005</v>
      </c>
    </row>
    <row r="4750" spans="1:14" x14ac:dyDescent="0.2">
      <c r="A4750" s="168">
        <v>2021</v>
      </c>
      <c r="B4750" s="168">
        <v>11</v>
      </c>
      <c r="C4750" s="168">
        <v>3</v>
      </c>
      <c r="D4750" s="141">
        <f t="shared" ref="D4750:D4813" si="156">DATE(A4750,B4750,C4750)</f>
        <v>44503</v>
      </c>
      <c r="E4750" s="275">
        <f t="shared" si="155"/>
        <v>44503</v>
      </c>
      <c r="F4750" s="479" t="s">
        <v>937</v>
      </c>
      <c r="G4750" s="220" t="s">
        <v>74</v>
      </c>
      <c r="H4750" s="220" t="str" cm="1">
        <f t="array" ref="H4750">IFERROR(INDEX(INVESTOR_LIST[INVESTOR NAME],MATCH(I4750,INVESTOR_LIST[INVESTOR CODE],0),)," ")</f>
        <v xml:space="preserve"> </v>
      </c>
      <c r="I4750" s="142" t="s">
        <v>348</v>
      </c>
      <c r="J4750" s="143" t="s">
        <v>147</v>
      </c>
      <c r="K4750" s="226">
        <v>1763154.99</v>
      </c>
      <c r="L4750" s="226"/>
    </row>
    <row r="4751" spans="1:14" x14ac:dyDescent="0.2">
      <c r="A4751" s="163">
        <v>2021</v>
      </c>
      <c r="B4751" s="163">
        <v>11</v>
      </c>
      <c r="C4751" s="163">
        <v>3</v>
      </c>
      <c r="D4751" s="141">
        <f t="shared" si="156"/>
        <v>44503</v>
      </c>
      <c r="E4751" s="275">
        <f t="shared" ref="E4751:E4814" si="157">DATE(A4751,B4751,C4751)</f>
        <v>44503</v>
      </c>
      <c r="F4751" s="480"/>
      <c r="G4751" s="221" t="s">
        <v>74</v>
      </c>
      <c r="H4751" s="221" t="str" cm="1">
        <f t="array" ref="H4751">IFERROR(INDEX(INVESTOR_LIST[INVESTOR NAME],MATCH(I4751,INVESTOR_LIST[INVESTOR CODE],0),)," ")</f>
        <v xml:space="preserve"> </v>
      </c>
      <c r="I4751" s="145" t="s">
        <v>348</v>
      </c>
      <c r="J4751" s="146" t="s">
        <v>52</v>
      </c>
      <c r="K4751" s="219"/>
      <c r="L4751" s="219">
        <v>1763154.99</v>
      </c>
    </row>
    <row r="4752" spans="1:14" ht="45" x14ac:dyDescent="0.2">
      <c r="A4752" s="168">
        <v>2021</v>
      </c>
      <c r="B4752" s="168">
        <v>11</v>
      </c>
      <c r="C4752" s="133">
        <v>3</v>
      </c>
      <c r="D4752" s="141">
        <f t="shared" si="156"/>
        <v>44503</v>
      </c>
      <c r="E4752" s="275">
        <f t="shared" si="157"/>
        <v>44503</v>
      </c>
      <c r="F4752" s="479" t="s">
        <v>965</v>
      </c>
      <c r="G4752" s="220" t="s">
        <v>74</v>
      </c>
      <c r="H4752" s="142" t="str" cm="1">
        <f t="array" ref="H4752">IFERROR(INDEX(INVESTOR_LIST[INVESTOR NAME],MATCH(I4752,INVESTOR_LIST[INVESTOR CODE],0),)," ")</f>
        <v>RAIHAN RASHID MAJUMDAR</v>
      </c>
      <c r="I4752" s="142" t="s">
        <v>511</v>
      </c>
      <c r="J4752" s="168" t="s">
        <v>13</v>
      </c>
      <c r="K4752" s="226">
        <v>2252430</v>
      </c>
      <c r="L4752" s="226"/>
    </row>
    <row r="4753" spans="1:12" ht="45" x14ac:dyDescent="0.2">
      <c r="A4753" s="133">
        <v>2021</v>
      </c>
      <c r="B4753" s="133">
        <v>11</v>
      </c>
      <c r="C4753" s="133">
        <v>3</v>
      </c>
      <c r="D4753" s="141">
        <f t="shared" si="156"/>
        <v>44503</v>
      </c>
      <c r="E4753" s="275">
        <f t="shared" si="157"/>
        <v>44503</v>
      </c>
      <c r="F4753" s="481"/>
      <c r="G4753" s="174" t="s">
        <v>74</v>
      </c>
      <c r="H4753" s="148" t="str" cm="1">
        <f t="array" ref="H4753">IFERROR(INDEX(INVESTOR_LIST[INVESTOR NAME],MATCH(I4753,INVESTOR_LIST[INVESTOR CODE],0),)," ")</f>
        <v>RAIHAN RASHID MAJUMDAR</v>
      </c>
      <c r="I4753" s="148" t="s">
        <v>511</v>
      </c>
      <c r="J4753" s="133" t="s">
        <v>53</v>
      </c>
      <c r="K4753" s="218">
        <v>1041087.25</v>
      </c>
      <c r="L4753" s="218"/>
    </row>
    <row r="4754" spans="1:12" ht="45" x14ac:dyDescent="0.2">
      <c r="A4754" s="163">
        <v>2021</v>
      </c>
      <c r="B4754" s="163">
        <v>11</v>
      </c>
      <c r="C4754" s="163">
        <v>3</v>
      </c>
      <c r="D4754" s="141">
        <f t="shared" si="156"/>
        <v>44503</v>
      </c>
      <c r="E4754" s="275">
        <f t="shared" si="157"/>
        <v>44503</v>
      </c>
      <c r="F4754" s="480"/>
      <c r="G4754" s="221" t="s">
        <v>74</v>
      </c>
      <c r="H4754" s="145" t="str" cm="1">
        <f t="array" ref="H4754">IFERROR(INDEX(INVESTOR_LIST[INVESTOR NAME],MATCH(I4754,INVESTOR_LIST[INVESTOR CODE],0),)," ")</f>
        <v>RAIHAN RASHID MAJUMDAR</v>
      </c>
      <c r="I4754" s="145" t="s">
        <v>511</v>
      </c>
      <c r="J4754" s="163" t="s">
        <v>52</v>
      </c>
      <c r="K4754" s="219"/>
      <c r="L4754" s="219">
        <v>3293517.25</v>
      </c>
    </row>
    <row r="4755" spans="1:12" ht="22.5" x14ac:dyDescent="0.2">
      <c r="A4755" s="168">
        <v>2021</v>
      </c>
      <c r="B4755" s="168">
        <v>11</v>
      </c>
      <c r="C4755" s="133">
        <v>3</v>
      </c>
      <c r="D4755" s="141">
        <f t="shared" si="156"/>
        <v>44503</v>
      </c>
      <c r="E4755" s="275">
        <f t="shared" si="157"/>
        <v>44503</v>
      </c>
      <c r="F4755" s="479" t="s">
        <v>965</v>
      </c>
      <c r="G4755" s="220" t="s">
        <v>74</v>
      </c>
      <c r="H4755" s="142" t="str" cm="1">
        <f t="array" ref="H4755">IFERROR(INDEX(INVESTOR_LIST[INVESTOR NAME],MATCH(I4755,INVESTOR_LIST[INVESTOR CODE],0),)," ")</f>
        <v>ANWAR ZAHID</v>
      </c>
      <c r="I4755" s="142" t="s">
        <v>879</v>
      </c>
      <c r="J4755" s="168" t="s">
        <v>13</v>
      </c>
      <c r="K4755" s="226">
        <v>80000</v>
      </c>
      <c r="L4755" s="226"/>
    </row>
    <row r="4756" spans="1:12" ht="22.5" x14ac:dyDescent="0.2">
      <c r="A4756" s="133">
        <v>2021</v>
      </c>
      <c r="B4756" s="133">
        <v>11</v>
      </c>
      <c r="C4756" s="133">
        <v>3</v>
      </c>
      <c r="D4756" s="141">
        <f t="shared" si="156"/>
        <v>44503</v>
      </c>
      <c r="E4756" s="275">
        <f t="shared" si="157"/>
        <v>44503</v>
      </c>
      <c r="F4756" s="481"/>
      <c r="G4756" s="174" t="s">
        <v>74</v>
      </c>
      <c r="H4756" s="148" t="str" cm="1">
        <f t="array" ref="H4756">IFERROR(INDEX(INVESTOR_LIST[INVESTOR NAME],MATCH(I4756,INVESTOR_LIST[INVESTOR CODE],0),)," ")</f>
        <v>ANWAR ZAHID</v>
      </c>
      <c r="I4756" s="148" t="s">
        <v>879</v>
      </c>
      <c r="J4756" s="133" t="s">
        <v>53</v>
      </c>
      <c r="K4756" s="218">
        <v>36960</v>
      </c>
      <c r="L4756" s="218"/>
    </row>
    <row r="4757" spans="1:12" ht="22.5" x14ac:dyDescent="0.2">
      <c r="A4757" s="163">
        <v>2021</v>
      </c>
      <c r="B4757" s="163">
        <v>11</v>
      </c>
      <c r="C4757" s="163">
        <v>3</v>
      </c>
      <c r="D4757" s="141">
        <f t="shared" si="156"/>
        <v>44503</v>
      </c>
      <c r="E4757" s="275">
        <f t="shared" si="157"/>
        <v>44503</v>
      </c>
      <c r="F4757" s="480"/>
      <c r="G4757" s="221" t="s">
        <v>74</v>
      </c>
      <c r="H4757" s="145" t="str" cm="1">
        <f t="array" ref="H4757">IFERROR(INDEX(INVESTOR_LIST[INVESTOR NAME],MATCH(I4757,INVESTOR_LIST[INVESTOR CODE],0),)," ")</f>
        <v>ANWAR ZAHID</v>
      </c>
      <c r="I4757" s="145" t="s">
        <v>879</v>
      </c>
      <c r="J4757" s="163" t="s">
        <v>52</v>
      </c>
      <c r="K4757" s="219"/>
      <c r="L4757" s="219">
        <v>116960</v>
      </c>
    </row>
    <row r="4758" spans="1:12" ht="33.75" x14ac:dyDescent="0.2">
      <c r="A4758" s="168">
        <v>2021</v>
      </c>
      <c r="B4758" s="168">
        <v>11</v>
      </c>
      <c r="C4758" s="133">
        <v>3</v>
      </c>
      <c r="D4758" s="141">
        <f t="shared" si="156"/>
        <v>44503</v>
      </c>
      <c r="E4758" s="275">
        <f t="shared" si="157"/>
        <v>44503</v>
      </c>
      <c r="F4758" s="479" t="s">
        <v>965</v>
      </c>
      <c r="G4758" s="220" t="s">
        <v>74</v>
      </c>
      <c r="H4758" s="142" t="str" cm="1">
        <f t="array" ref="H4758">IFERROR(INDEX(INVESTOR_LIST[INVESTOR NAME],MATCH(I4758,INVESTOR_LIST[INVESTOR CODE],0),)," ")</f>
        <v>A.T.M. MORSHED KAMAL</v>
      </c>
      <c r="I4758" s="142" t="s">
        <v>872</v>
      </c>
      <c r="J4758" s="168" t="s">
        <v>13</v>
      </c>
      <c r="K4758" s="226">
        <v>137740</v>
      </c>
      <c r="L4758" s="226"/>
    </row>
    <row r="4759" spans="1:12" ht="33.75" x14ac:dyDescent="0.2">
      <c r="A4759" s="133">
        <v>2021</v>
      </c>
      <c r="B4759" s="133">
        <v>11</v>
      </c>
      <c r="C4759" s="133">
        <v>3</v>
      </c>
      <c r="D4759" s="141">
        <f t="shared" si="156"/>
        <v>44503</v>
      </c>
      <c r="E4759" s="275">
        <f t="shared" si="157"/>
        <v>44503</v>
      </c>
      <c r="F4759" s="481"/>
      <c r="G4759" s="174" t="s">
        <v>74</v>
      </c>
      <c r="H4759" s="148" t="str" cm="1">
        <f t="array" ref="H4759">IFERROR(INDEX(INVESTOR_LIST[INVESTOR NAME],MATCH(I4759,INVESTOR_LIST[INVESTOR CODE],0),)," ")</f>
        <v>A.T.M. MORSHED KAMAL</v>
      </c>
      <c r="I4759" s="148" t="s">
        <v>872</v>
      </c>
      <c r="J4759" s="133" t="s">
        <v>53</v>
      </c>
      <c r="K4759" s="218">
        <v>63664.29</v>
      </c>
      <c r="L4759" s="218"/>
    </row>
    <row r="4760" spans="1:12" ht="33.75" x14ac:dyDescent="0.2">
      <c r="A4760" s="163">
        <v>2021</v>
      </c>
      <c r="B4760" s="163">
        <v>11</v>
      </c>
      <c r="C4760" s="163">
        <v>3</v>
      </c>
      <c r="D4760" s="141">
        <f t="shared" si="156"/>
        <v>44503</v>
      </c>
      <c r="E4760" s="275">
        <f t="shared" si="157"/>
        <v>44503</v>
      </c>
      <c r="F4760" s="480"/>
      <c r="G4760" s="221" t="s">
        <v>74</v>
      </c>
      <c r="H4760" s="145" t="str" cm="1">
        <f t="array" ref="H4760">IFERROR(INDEX(INVESTOR_LIST[INVESTOR NAME],MATCH(I4760,INVESTOR_LIST[INVESTOR CODE],0),)," ")</f>
        <v>A.T.M. MORSHED KAMAL</v>
      </c>
      <c r="I4760" s="145" t="s">
        <v>872</v>
      </c>
      <c r="J4760" s="163" t="s">
        <v>52</v>
      </c>
      <c r="K4760" s="219"/>
      <c r="L4760" s="219">
        <v>201404.29</v>
      </c>
    </row>
    <row r="4761" spans="1:12" ht="33.75" x14ac:dyDescent="0.2">
      <c r="A4761" s="168">
        <v>2021</v>
      </c>
      <c r="B4761" s="168">
        <v>11</v>
      </c>
      <c r="C4761" s="133">
        <v>3</v>
      </c>
      <c r="D4761" s="141">
        <f t="shared" si="156"/>
        <v>44503</v>
      </c>
      <c r="E4761" s="275">
        <f t="shared" si="157"/>
        <v>44503</v>
      </c>
      <c r="F4761" s="479" t="s">
        <v>965</v>
      </c>
      <c r="G4761" s="220" t="s">
        <v>74</v>
      </c>
      <c r="H4761" s="142" t="str" cm="1">
        <f t="array" ref="H4761">IFERROR(INDEX(INVESTOR_LIST[INVESTOR NAME],MATCH(I4761,INVESTOR_LIST[INVESTOR CODE],0),)," ")</f>
        <v>FAKARUDDIN ALI AHMED</v>
      </c>
      <c r="I4761" s="142" t="s">
        <v>458</v>
      </c>
      <c r="J4761" s="168" t="s">
        <v>13</v>
      </c>
      <c r="K4761" s="226">
        <v>460090</v>
      </c>
      <c r="L4761" s="226"/>
    </row>
    <row r="4762" spans="1:12" ht="33.75" x14ac:dyDescent="0.2">
      <c r="A4762" s="133">
        <v>2021</v>
      </c>
      <c r="B4762" s="133">
        <v>11</v>
      </c>
      <c r="C4762" s="133">
        <v>3</v>
      </c>
      <c r="D4762" s="141">
        <f t="shared" si="156"/>
        <v>44503</v>
      </c>
      <c r="E4762" s="275">
        <f t="shared" si="157"/>
        <v>44503</v>
      </c>
      <c r="F4762" s="481"/>
      <c r="G4762" s="174" t="s">
        <v>74</v>
      </c>
      <c r="H4762" s="148" t="str" cm="1">
        <f t="array" ref="H4762">IFERROR(INDEX(INVESTOR_LIST[INVESTOR NAME],MATCH(I4762,INVESTOR_LIST[INVESTOR CODE],0),)," ")</f>
        <v>FAKARUDDIN ALI AHMED</v>
      </c>
      <c r="I4762" s="148" t="s">
        <v>458</v>
      </c>
      <c r="J4762" s="133" t="s">
        <v>53</v>
      </c>
      <c r="K4762" s="172">
        <v>212656.48</v>
      </c>
      <c r="L4762" s="218"/>
    </row>
    <row r="4763" spans="1:12" ht="33.75" x14ac:dyDescent="0.2">
      <c r="A4763" s="163">
        <v>2021</v>
      </c>
      <c r="B4763" s="163">
        <v>11</v>
      </c>
      <c r="C4763" s="163">
        <v>3</v>
      </c>
      <c r="D4763" s="141">
        <f t="shared" si="156"/>
        <v>44503</v>
      </c>
      <c r="E4763" s="275">
        <f t="shared" si="157"/>
        <v>44503</v>
      </c>
      <c r="F4763" s="480"/>
      <c r="G4763" s="221" t="s">
        <v>74</v>
      </c>
      <c r="H4763" s="145" t="str" cm="1">
        <f t="array" ref="H4763">IFERROR(INDEX(INVESTOR_LIST[INVESTOR NAME],MATCH(I4763,INVESTOR_LIST[INVESTOR CODE],0),)," ")</f>
        <v>FAKARUDDIN ALI AHMED</v>
      </c>
      <c r="I4763" s="145" t="s">
        <v>458</v>
      </c>
      <c r="J4763" s="163" t="s">
        <v>52</v>
      </c>
      <c r="K4763" s="219"/>
      <c r="L4763" s="219">
        <v>672746.48</v>
      </c>
    </row>
    <row r="4764" spans="1:12" ht="22.5" x14ac:dyDescent="0.2">
      <c r="A4764" s="168">
        <v>2021</v>
      </c>
      <c r="B4764" s="168">
        <v>11</v>
      </c>
      <c r="C4764" s="133">
        <v>3</v>
      </c>
      <c r="D4764" s="141">
        <f t="shared" si="156"/>
        <v>44503</v>
      </c>
      <c r="E4764" s="275">
        <f t="shared" si="157"/>
        <v>44503</v>
      </c>
      <c r="F4764" s="479" t="s">
        <v>965</v>
      </c>
      <c r="G4764" s="220" t="s">
        <v>74</v>
      </c>
      <c r="H4764" s="142" t="str" cm="1">
        <f t="array" ref="H4764">IFERROR(INDEX(INVESTOR_LIST[INVESTOR NAME],MATCH(I4764,INVESTOR_LIST[INVESTOR CODE],0),)," ")</f>
        <v>RAJIB SAHA</v>
      </c>
      <c r="I4764" s="142" t="s">
        <v>824</v>
      </c>
      <c r="J4764" s="168" t="s">
        <v>13</v>
      </c>
      <c r="K4764" s="226">
        <v>148590</v>
      </c>
      <c r="L4764" s="226"/>
    </row>
    <row r="4765" spans="1:12" ht="22.5" x14ac:dyDescent="0.2">
      <c r="A4765" s="133">
        <v>2021</v>
      </c>
      <c r="B4765" s="133">
        <v>11</v>
      </c>
      <c r="C4765" s="133">
        <v>3</v>
      </c>
      <c r="D4765" s="141">
        <f t="shared" si="156"/>
        <v>44503</v>
      </c>
      <c r="E4765" s="275">
        <f t="shared" si="157"/>
        <v>44503</v>
      </c>
      <c r="F4765" s="481"/>
      <c r="G4765" s="174" t="s">
        <v>74</v>
      </c>
      <c r="H4765" s="148" t="str" cm="1">
        <f t="array" ref="H4765">IFERROR(INDEX(INVESTOR_LIST[INVESTOR NAME],MATCH(I4765,INVESTOR_LIST[INVESTOR CODE],0),)," ")</f>
        <v>RAJIB SAHA</v>
      </c>
      <c r="I4765" s="148" t="s">
        <v>824</v>
      </c>
      <c r="J4765" s="133" t="s">
        <v>53</v>
      </c>
      <c r="K4765" s="172">
        <v>72427.94</v>
      </c>
      <c r="L4765" s="218"/>
    </row>
    <row r="4766" spans="1:12" ht="22.5" x14ac:dyDescent="0.2">
      <c r="A4766" s="163">
        <v>2021</v>
      </c>
      <c r="B4766" s="163">
        <v>11</v>
      </c>
      <c r="C4766" s="163">
        <v>3</v>
      </c>
      <c r="D4766" s="141">
        <f t="shared" si="156"/>
        <v>44503</v>
      </c>
      <c r="E4766" s="275">
        <f t="shared" si="157"/>
        <v>44503</v>
      </c>
      <c r="F4766" s="480"/>
      <c r="G4766" s="221" t="s">
        <v>74</v>
      </c>
      <c r="H4766" s="145" t="str" cm="1">
        <f t="array" ref="H4766">IFERROR(INDEX(INVESTOR_LIST[INVESTOR NAME],MATCH(I4766,INVESTOR_LIST[INVESTOR CODE],0),)," ")</f>
        <v>RAJIB SAHA</v>
      </c>
      <c r="I4766" s="145" t="s">
        <v>824</v>
      </c>
      <c r="J4766" s="163" t="s">
        <v>52</v>
      </c>
      <c r="K4766" s="219"/>
      <c r="L4766" s="219">
        <v>221017.94</v>
      </c>
    </row>
    <row r="4767" spans="1:12" ht="56.25" x14ac:dyDescent="0.2">
      <c r="A4767" s="168">
        <v>2021</v>
      </c>
      <c r="B4767" s="168">
        <v>11</v>
      </c>
      <c r="C4767" s="133">
        <v>4</v>
      </c>
      <c r="D4767" s="141">
        <f t="shared" si="156"/>
        <v>44504</v>
      </c>
      <c r="E4767" s="275">
        <f t="shared" si="157"/>
        <v>44504</v>
      </c>
      <c r="F4767" s="479" t="s">
        <v>965</v>
      </c>
      <c r="G4767" s="220" t="s">
        <v>74</v>
      </c>
      <c r="H4767" s="142" t="str" cm="1">
        <f t="array" ref="H4767">IFERROR(INDEX(INVESTOR_LIST[INVESTOR NAME],MATCH(I4767,INVESTOR_LIST[INVESTOR CODE],0),)," ")</f>
        <v>AROORA SAMEERA CHOWDHURY</v>
      </c>
      <c r="I4767" s="142" t="s">
        <v>413</v>
      </c>
      <c r="J4767" s="168" t="s">
        <v>13</v>
      </c>
      <c r="K4767" s="226">
        <v>10500000</v>
      </c>
      <c r="L4767" s="226"/>
    </row>
    <row r="4768" spans="1:12" ht="56.25" x14ac:dyDescent="0.2">
      <c r="A4768" s="133">
        <v>2021</v>
      </c>
      <c r="B4768" s="133">
        <v>11</v>
      </c>
      <c r="C4768" s="133">
        <v>4</v>
      </c>
      <c r="D4768" s="141">
        <f t="shared" si="156"/>
        <v>44504</v>
      </c>
      <c r="E4768" s="275">
        <f t="shared" si="157"/>
        <v>44504</v>
      </c>
      <c r="F4768" s="481"/>
      <c r="G4768" s="174" t="s">
        <v>74</v>
      </c>
      <c r="H4768" s="148" t="str" cm="1">
        <f t="array" ref="H4768">IFERROR(INDEX(INVESTOR_LIST[INVESTOR NAME],MATCH(I4768,INVESTOR_LIST[INVESTOR CODE],0),)," ")</f>
        <v>AROORA SAMEERA CHOWDHURY</v>
      </c>
      <c r="I4768" s="148" t="s">
        <v>413</v>
      </c>
      <c r="J4768" s="133" t="s">
        <v>53</v>
      </c>
      <c r="K4768" s="172">
        <v>4853165.75</v>
      </c>
      <c r="L4768" s="218"/>
    </row>
    <row r="4769" spans="1:12" ht="56.25" x14ac:dyDescent="0.2">
      <c r="A4769" s="163">
        <v>2021</v>
      </c>
      <c r="B4769" s="163">
        <v>11</v>
      </c>
      <c r="C4769" s="163">
        <v>4</v>
      </c>
      <c r="D4769" s="141">
        <f t="shared" si="156"/>
        <v>44504</v>
      </c>
      <c r="E4769" s="275">
        <f t="shared" si="157"/>
        <v>44504</v>
      </c>
      <c r="F4769" s="480"/>
      <c r="G4769" s="221" t="s">
        <v>74</v>
      </c>
      <c r="H4769" s="145" t="str" cm="1">
        <f t="array" ref="H4769">IFERROR(INDEX(INVESTOR_LIST[INVESTOR NAME],MATCH(I4769,INVESTOR_LIST[INVESTOR CODE],0),)," ")</f>
        <v>AROORA SAMEERA CHOWDHURY</v>
      </c>
      <c r="I4769" s="145" t="s">
        <v>413</v>
      </c>
      <c r="J4769" s="163" t="s">
        <v>52</v>
      </c>
      <c r="K4769" s="219"/>
      <c r="L4769" s="219">
        <v>15353165.75</v>
      </c>
    </row>
    <row r="4770" spans="1:12" ht="22.5" x14ac:dyDescent="0.2">
      <c r="A4770" s="168">
        <v>2021</v>
      </c>
      <c r="B4770" s="168">
        <v>11</v>
      </c>
      <c r="C4770" s="133">
        <v>4</v>
      </c>
      <c r="D4770" s="141">
        <f t="shared" si="156"/>
        <v>44504</v>
      </c>
      <c r="E4770" s="275">
        <f t="shared" si="157"/>
        <v>44504</v>
      </c>
      <c r="F4770" s="479" t="s">
        <v>965</v>
      </c>
      <c r="G4770" s="220" t="s">
        <v>74</v>
      </c>
      <c r="H4770" s="142" t="str" cm="1">
        <f t="array" ref="H4770">IFERROR(INDEX(INVESTOR_LIST[INVESTOR NAME],MATCH(I4770,INVESTOR_LIST[INVESTOR CODE],0),)," ")</f>
        <v>ILINE JAMAL</v>
      </c>
      <c r="I4770" s="142" t="s">
        <v>715</v>
      </c>
      <c r="J4770" s="168" t="s">
        <v>13</v>
      </c>
      <c r="K4770" s="226">
        <v>3888020</v>
      </c>
      <c r="L4770" s="226"/>
    </row>
    <row r="4771" spans="1:12" ht="22.5" x14ac:dyDescent="0.2">
      <c r="A4771" s="133">
        <v>2021</v>
      </c>
      <c r="B4771" s="133">
        <v>11</v>
      </c>
      <c r="C4771" s="133">
        <v>4</v>
      </c>
      <c r="D4771" s="141">
        <f t="shared" si="156"/>
        <v>44504</v>
      </c>
      <c r="E4771" s="275">
        <f t="shared" si="157"/>
        <v>44504</v>
      </c>
      <c r="F4771" s="481"/>
      <c r="G4771" s="174" t="s">
        <v>74</v>
      </c>
      <c r="H4771" s="148" t="str" cm="1">
        <f t="array" ref="H4771">IFERROR(INDEX(INVESTOR_LIST[INVESTOR NAME],MATCH(I4771,INVESTOR_LIST[INVESTOR CODE],0),)," ")</f>
        <v>ILINE JAMAL</v>
      </c>
      <c r="I4771" s="148" t="s">
        <v>715</v>
      </c>
      <c r="J4771" s="133" t="s">
        <v>53</v>
      </c>
      <c r="K4771" s="172">
        <v>1895156.34</v>
      </c>
      <c r="L4771" s="218"/>
    </row>
    <row r="4772" spans="1:12" ht="22.5" x14ac:dyDescent="0.2">
      <c r="A4772" s="163">
        <v>2021</v>
      </c>
      <c r="B4772" s="163">
        <v>11</v>
      </c>
      <c r="C4772" s="163">
        <v>4</v>
      </c>
      <c r="D4772" s="141">
        <f t="shared" si="156"/>
        <v>44504</v>
      </c>
      <c r="E4772" s="275">
        <f t="shared" si="157"/>
        <v>44504</v>
      </c>
      <c r="F4772" s="480"/>
      <c r="G4772" s="221" t="s">
        <v>74</v>
      </c>
      <c r="H4772" s="145" t="str" cm="1">
        <f t="array" ref="H4772">IFERROR(INDEX(INVESTOR_LIST[INVESTOR NAME],MATCH(I4772,INVESTOR_LIST[INVESTOR CODE],0),)," ")</f>
        <v>ILINE JAMAL</v>
      </c>
      <c r="I4772" s="145" t="s">
        <v>715</v>
      </c>
      <c r="J4772" s="163" t="s">
        <v>52</v>
      </c>
      <c r="K4772" s="219"/>
      <c r="L4772" s="219">
        <v>5783176.3399999999</v>
      </c>
    </row>
    <row r="4773" spans="1:12" ht="33.75" x14ac:dyDescent="0.2">
      <c r="A4773" s="168">
        <v>2021</v>
      </c>
      <c r="B4773" s="168">
        <v>11</v>
      </c>
      <c r="C4773" s="133">
        <v>4</v>
      </c>
      <c r="D4773" s="141">
        <f t="shared" si="156"/>
        <v>44504</v>
      </c>
      <c r="E4773" s="275">
        <f t="shared" si="157"/>
        <v>44504</v>
      </c>
      <c r="F4773" s="479" t="s">
        <v>965</v>
      </c>
      <c r="G4773" s="220" t="s">
        <v>74</v>
      </c>
      <c r="H4773" s="142" t="str" cm="1">
        <f t="array" ref="H4773">IFERROR(INDEX(INVESTOR_LIST[INVESTOR NAME],MATCH(I4773,INVESTOR_LIST[INVESTOR CODE],0),)," ")</f>
        <v>MUSHFIQUR RAHMAN</v>
      </c>
      <c r="I4773" s="142" t="s">
        <v>865</v>
      </c>
      <c r="J4773" s="168" t="s">
        <v>13</v>
      </c>
      <c r="K4773" s="226">
        <v>300000</v>
      </c>
      <c r="L4773" s="226"/>
    </row>
    <row r="4774" spans="1:12" ht="33.75" x14ac:dyDescent="0.2">
      <c r="A4774" s="133">
        <v>2021</v>
      </c>
      <c r="B4774" s="133">
        <v>11</v>
      </c>
      <c r="C4774" s="133">
        <v>4</v>
      </c>
      <c r="D4774" s="141">
        <f t="shared" si="156"/>
        <v>44504</v>
      </c>
      <c r="E4774" s="275">
        <f t="shared" si="157"/>
        <v>44504</v>
      </c>
      <c r="F4774" s="481"/>
      <c r="G4774" s="174" t="s">
        <v>74</v>
      </c>
      <c r="H4774" s="148" t="str" cm="1">
        <f t="array" ref="H4774">IFERROR(INDEX(INVESTOR_LIST[INVESTOR NAME],MATCH(I4774,INVESTOR_LIST[INVESTOR CODE],0),)," ")</f>
        <v>MUSHFIQUR RAHMAN</v>
      </c>
      <c r="I4774" s="148" t="s">
        <v>865</v>
      </c>
      <c r="J4774" s="133" t="s">
        <v>53</v>
      </c>
      <c r="K4774" s="172">
        <v>138661.88</v>
      </c>
      <c r="L4774" s="218"/>
    </row>
    <row r="4775" spans="1:12" ht="33.75" x14ac:dyDescent="0.2">
      <c r="A4775" s="163">
        <v>2021</v>
      </c>
      <c r="B4775" s="163">
        <v>11</v>
      </c>
      <c r="C4775" s="163">
        <v>4</v>
      </c>
      <c r="D4775" s="141">
        <f t="shared" si="156"/>
        <v>44504</v>
      </c>
      <c r="E4775" s="275">
        <f t="shared" si="157"/>
        <v>44504</v>
      </c>
      <c r="F4775" s="480"/>
      <c r="G4775" s="221" t="s">
        <v>74</v>
      </c>
      <c r="H4775" s="145" t="str" cm="1">
        <f t="array" ref="H4775">IFERROR(INDEX(INVESTOR_LIST[INVESTOR NAME],MATCH(I4775,INVESTOR_LIST[INVESTOR CODE],0),)," ")</f>
        <v>MUSHFIQUR RAHMAN</v>
      </c>
      <c r="I4775" s="145" t="s">
        <v>865</v>
      </c>
      <c r="J4775" s="163" t="s">
        <v>52</v>
      </c>
      <c r="K4775" s="219"/>
      <c r="L4775" s="219">
        <v>438661.88</v>
      </c>
    </row>
    <row r="4776" spans="1:12" ht="22.5" x14ac:dyDescent="0.2">
      <c r="A4776" s="168">
        <v>2021</v>
      </c>
      <c r="B4776" s="168">
        <v>11</v>
      </c>
      <c r="C4776" s="133">
        <v>4</v>
      </c>
      <c r="D4776" s="141">
        <f t="shared" si="156"/>
        <v>44504</v>
      </c>
      <c r="E4776" s="275">
        <f t="shared" si="157"/>
        <v>44504</v>
      </c>
      <c r="F4776" s="479" t="s">
        <v>965</v>
      </c>
      <c r="G4776" s="220" t="s">
        <v>74</v>
      </c>
      <c r="H4776" s="142" t="str" cm="1">
        <f t="array" ref="H4776">IFERROR(INDEX(INVESTOR_LIST[INVESTOR NAME],MATCH(I4776,INVESTOR_LIST[INVESTOR CODE],0),)," ")</f>
        <v>KANKA SAHA</v>
      </c>
      <c r="I4776" s="142" t="s">
        <v>428</v>
      </c>
      <c r="J4776" s="168" t="s">
        <v>13</v>
      </c>
      <c r="K4776" s="226">
        <v>728780</v>
      </c>
      <c r="L4776" s="226"/>
    </row>
    <row r="4777" spans="1:12" ht="22.5" x14ac:dyDescent="0.2">
      <c r="A4777" s="133">
        <v>2021</v>
      </c>
      <c r="B4777" s="133">
        <v>11</v>
      </c>
      <c r="C4777" s="133">
        <v>4</v>
      </c>
      <c r="D4777" s="141">
        <f t="shared" si="156"/>
        <v>44504</v>
      </c>
      <c r="E4777" s="275">
        <f t="shared" si="157"/>
        <v>44504</v>
      </c>
      <c r="F4777" s="481"/>
      <c r="G4777" s="174" t="s">
        <v>74</v>
      </c>
      <c r="H4777" s="148" t="str" cm="1">
        <f t="array" ref="H4777">IFERROR(INDEX(INVESTOR_LIST[INVESTOR NAME],MATCH(I4777,INVESTOR_LIST[INVESTOR CODE],0),)," ")</f>
        <v>KANKA SAHA</v>
      </c>
      <c r="I4777" s="148" t="s">
        <v>428</v>
      </c>
      <c r="J4777" s="133" t="s">
        <v>53</v>
      </c>
      <c r="K4777" s="172">
        <v>336846.68</v>
      </c>
      <c r="L4777" s="218"/>
    </row>
    <row r="4778" spans="1:12" ht="22.5" x14ac:dyDescent="0.2">
      <c r="A4778" s="163">
        <v>2021</v>
      </c>
      <c r="B4778" s="163">
        <v>11</v>
      </c>
      <c r="C4778" s="163">
        <v>4</v>
      </c>
      <c r="D4778" s="141">
        <f t="shared" si="156"/>
        <v>44504</v>
      </c>
      <c r="E4778" s="275">
        <f t="shared" si="157"/>
        <v>44504</v>
      </c>
      <c r="F4778" s="480"/>
      <c r="G4778" s="221" t="s">
        <v>74</v>
      </c>
      <c r="H4778" s="145" t="str" cm="1">
        <f t="array" ref="H4778">IFERROR(INDEX(INVESTOR_LIST[INVESTOR NAME],MATCH(I4778,INVESTOR_LIST[INVESTOR CODE],0),)," ")</f>
        <v>KANKA SAHA</v>
      </c>
      <c r="I4778" s="145" t="s">
        <v>428</v>
      </c>
      <c r="J4778" s="163" t="s">
        <v>52</v>
      </c>
      <c r="K4778" s="219"/>
      <c r="L4778" s="219">
        <v>1065626.68</v>
      </c>
    </row>
    <row r="4779" spans="1:12" ht="22.5" x14ac:dyDescent="0.2">
      <c r="A4779" s="168">
        <v>2021</v>
      </c>
      <c r="B4779" s="168">
        <v>11</v>
      </c>
      <c r="C4779" s="133">
        <v>4</v>
      </c>
      <c r="D4779" s="141">
        <f t="shared" si="156"/>
        <v>44504</v>
      </c>
      <c r="E4779" s="275">
        <f t="shared" si="157"/>
        <v>44504</v>
      </c>
      <c r="F4779" s="479" t="s">
        <v>965</v>
      </c>
      <c r="G4779" s="220" t="s">
        <v>74</v>
      </c>
      <c r="H4779" s="142" t="str" cm="1">
        <f t="array" ref="H4779">IFERROR(INDEX(INVESTOR_LIST[INVESTOR NAME],MATCH(I4779,INVESTOR_LIST[INVESTOR CODE],0),)," ")</f>
        <v>SHUVA SAHA</v>
      </c>
      <c r="I4779" s="142" t="s">
        <v>421</v>
      </c>
      <c r="J4779" s="168" t="s">
        <v>13</v>
      </c>
      <c r="K4779" s="226">
        <v>780860</v>
      </c>
      <c r="L4779" s="226"/>
    </row>
    <row r="4780" spans="1:12" ht="22.5" x14ac:dyDescent="0.2">
      <c r="A4780" s="133">
        <v>2021</v>
      </c>
      <c r="B4780" s="133">
        <v>11</v>
      </c>
      <c r="C4780" s="133">
        <v>4</v>
      </c>
      <c r="D4780" s="141">
        <f t="shared" si="156"/>
        <v>44504</v>
      </c>
      <c r="E4780" s="275">
        <f t="shared" si="157"/>
        <v>44504</v>
      </c>
      <c r="F4780" s="481"/>
      <c r="G4780" s="174" t="s">
        <v>74</v>
      </c>
      <c r="H4780" s="148" t="str" cm="1">
        <f t="array" ref="H4780">IFERROR(INDEX(INVESTOR_LIST[INVESTOR NAME],MATCH(I4780,INVESTOR_LIST[INVESTOR CODE],0),)," ")</f>
        <v>SHUVA SAHA</v>
      </c>
      <c r="I4780" s="148" t="s">
        <v>421</v>
      </c>
      <c r="J4780" s="133" t="s">
        <v>53</v>
      </c>
      <c r="K4780" s="172">
        <v>360918.38</v>
      </c>
      <c r="L4780" s="218"/>
    </row>
    <row r="4781" spans="1:12" ht="22.5" x14ac:dyDescent="0.2">
      <c r="A4781" s="163">
        <v>2021</v>
      </c>
      <c r="B4781" s="163">
        <v>11</v>
      </c>
      <c r="C4781" s="163">
        <v>4</v>
      </c>
      <c r="D4781" s="141">
        <f t="shared" si="156"/>
        <v>44504</v>
      </c>
      <c r="E4781" s="275">
        <f t="shared" si="157"/>
        <v>44504</v>
      </c>
      <c r="F4781" s="480"/>
      <c r="G4781" s="221" t="s">
        <v>74</v>
      </c>
      <c r="H4781" s="145" t="str" cm="1">
        <f t="array" ref="H4781">IFERROR(INDEX(INVESTOR_LIST[INVESTOR NAME],MATCH(I4781,INVESTOR_LIST[INVESTOR CODE],0),)," ")</f>
        <v>SHUVA SAHA</v>
      </c>
      <c r="I4781" s="145" t="s">
        <v>421</v>
      </c>
      <c r="J4781" s="163" t="s">
        <v>52</v>
      </c>
      <c r="K4781" s="219"/>
      <c r="L4781" s="219">
        <v>1141778.3799999999</v>
      </c>
    </row>
    <row r="4782" spans="1:12" ht="22.5" x14ac:dyDescent="0.2">
      <c r="A4782" s="168">
        <v>2021</v>
      </c>
      <c r="B4782" s="168">
        <v>11</v>
      </c>
      <c r="C4782" s="133">
        <v>4</v>
      </c>
      <c r="D4782" s="141">
        <f t="shared" si="156"/>
        <v>44504</v>
      </c>
      <c r="E4782" s="275">
        <f t="shared" si="157"/>
        <v>44504</v>
      </c>
      <c r="F4782" s="479" t="s">
        <v>965</v>
      </c>
      <c r="G4782" s="220" t="s">
        <v>74</v>
      </c>
      <c r="H4782" s="142" t="str" cm="1">
        <f t="array" ref="H4782">IFERROR(INDEX(INVESTOR_LIST[INVESTOR NAME],MATCH(I4782,INVESTOR_LIST[INVESTOR CODE],0),)," ")</f>
        <v>NANDINI SAHA</v>
      </c>
      <c r="I4782" s="142" t="s">
        <v>463</v>
      </c>
      <c r="J4782" s="168" t="s">
        <v>13</v>
      </c>
      <c r="K4782" s="226">
        <v>205170</v>
      </c>
      <c r="L4782" s="226"/>
    </row>
    <row r="4783" spans="1:12" ht="22.5" x14ac:dyDescent="0.2">
      <c r="A4783" s="133">
        <v>2021</v>
      </c>
      <c r="B4783" s="133">
        <v>11</v>
      </c>
      <c r="C4783" s="133">
        <v>4</v>
      </c>
      <c r="D4783" s="141">
        <f t="shared" si="156"/>
        <v>44504</v>
      </c>
      <c r="E4783" s="275">
        <f t="shared" si="157"/>
        <v>44504</v>
      </c>
      <c r="F4783" s="481"/>
      <c r="G4783" s="174" t="s">
        <v>74</v>
      </c>
      <c r="H4783" s="148" t="str" cm="1">
        <f t="array" ref="H4783">IFERROR(INDEX(INVESTOR_LIST[INVESTOR NAME],MATCH(I4783,INVESTOR_LIST[INVESTOR CODE],0),)," ")</f>
        <v>NANDINI SAHA</v>
      </c>
      <c r="I4783" s="148" t="s">
        <v>463</v>
      </c>
      <c r="J4783" s="133" t="s">
        <v>53</v>
      </c>
      <c r="K4783" s="172">
        <v>94830</v>
      </c>
      <c r="L4783" s="218"/>
    </row>
    <row r="4784" spans="1:12" ht="22.5" x14ac:dyDescent="0.2">
      <c r="A4784" s="163">
        <v>2021</v>
      </c>
      <c r="B4784" s="163">
        <v>11</v>
      </c>
      <c r="C4784" s="163">
        <v>4</v>
      </c>
      <c r="D4784" s="141">
        <f t="shared" si="156"/>
        <v>44504</v>
      </c>
      <c r="E4784" s="275">
        <f t="shared" si="157"/>
        <v>44504</v>
      </c>
      <c r="F4784" s="480"/>
      <c r="G4784" s="221" t="s">
        <v>74</v>
      </c>
      <c r="H4784" s="145" t="str" cm="1">
        <f t="array" ref="H4784">IFERROR(INDEX(INVESTOR_LIST[INVESTOR NAME],MATCH(I4784,INVESTOR_LIST[INVESTOR CODE],0),)," ")</f>
        <v>NANDINI SAHA</v>
      </c>
      <c r="I4784" s="145" t="s">
        <v>463</v>
      </c>
      <c r="J4784" s="163" t="s">
        <v>52</v>
      </c>
      <c r="K4784" s="219"/>
      <c r="L4784" s="219">
        <v>300000</v>
      </c>
    </row>
    <row r="4785" spans="1:12" ht="33.75" x14ac:dyDescent="0.2">
      <c r="A4785" s="168">
        <v>2021</v>
      </c>
      <c r="B4785" s="168">
        <v>11</v>
      </c>
      <c r="C4785" s="133">
        <v>4</v>
      </c>
      <c r="D4785" s="141">
        <f t="shared" si="156"/>
        <v>44504</v>
      </c>
      <c r="E4785" s="275">
        <f t="shared" si="157"/>
        <v>44504</v>
      </c>
      <c r="F4785" s="479" t="s">
        <v>965</v>
      </c>
      <c r="G4785" s="220" t="s">
        <v>74</v>
      </c>
      <c r="H4785" s="142" t="str" cm="1">
        <f t="array" ref="H4785">IFERROR(INDEX(INVESTOR_LIST[INVESTOR NAME],MATCH(I4785,INVESTOR_LIST[INVESTOR CODE],0),)," ")</f>
        <v>JHARNA RANI SAHA</v>
      </c>
      <c r="I4785" s="142" t="s">
        <v>445</v>
      </c>
      <c r="J4785" s="168" t="s">
        <v>13</v>
      </c>
      <c r="K4785" s="226">
        <v>103820</v>
      </c>
      <c r="L4785" s="226"/>
    </row>
    <row r="4786" spans="1:12" ht="33.75" x14ac:dyDescent="0.2">
      <c r="A4786" s="133">
        <v>2021</v>
      </c>
      <c r="B4786" s="133">
        <v>11</v>
      </c>
      <c r="C4786" s="133">
        <v>4</v>
      </c>
      <c r="D4786" s="141">
        <f t="shared" si="156"/>
        <v>44504</v>
      </c>
      <c r="E4786" s="275">
        <f t="shared" si="157"/>
        <v>44504</v>
      </c>
      <c r="F4786" s="481"/>
      <c r="G4786" s="174" t="s">
        <v>74</v>
      </c>
      <c r="H4786" s="148" t="str" cm="1">
        <f t="array" ref="H4786">IFERROR(INDEX(INVESTOR_LIST[INVESTOR NAME],MATCH(I4786,INVESTOR_LIST[INVESTOR CODE],0),)," ")</f>
        <v>JHARNA RANI SAHA</v>
      </c>
      <c r="I4786" s="148" t="s">
        <v>445</v>
      </c>
      <c r="J4786" s="133" t="s">
        <v>53</v>
      </c>
      <c r="K4786" s="172">
        <v>47986.25</v>
      </c>
      <c r="L4786" s="218"/>
    </row>
    <row r="4787" spans="1:12" ht="33.75" x14ac:dyDescent="0.2">
      <c r="A4787" s="163">
        <v>2021</v>
      </c>
      <c r="B4787" s="163">
        <v>11</v>
      </c>
      <c r="C4787" s="163">
        <v>4</v>
      </c>
      <c r="D4787" s="141">
        <f t="shared" si="156"/>
        <v>44504</v>
      </c>
      <c r="E4787" s="275">
        <f t="shared" si="157"/>
        <v>44504</v>
      </c>
      <c r="F4787" s="480"/>
      <c r="G4787" s="221" t="s">
        <v>74</v>
      </c>
      <c r="H4787" s="145" t="str" cm="1">
        <f t="array" ref="H4787">IFERROR(INDEX(INVESTOR_LIST[INVESTOR NAME],MATCH(I4787,INVESTOR_LIST[INVESTOR CODE],0),)," ")</f>
        <v>JHARNA RANI SAHA</v>
      </c>
      <c r="I4787" s="145" t="s">
        <v>445</v>
      </c>
      <c r="J4787" s="163" t="s">
        <v>52</v>
      </c>
      <c r="K4787" s="219"/>
      <c r="L4787" s="219">
        <v>151806.25</v>
      </c>
    </row>
    <row r="4788" spans="1:12" ht="22.5" x14ac:dyDescent="0.2">
      <c r="A4788" s="168">
        <v>2021</v>
      </c>
      <c r="B4788" s="168">
        <v>11</v>
      </c>
      <c r="C4788" s="133">
        <v>4</v>
      </c>
      <c r="D4788" s="141">
        <f t="shared" si="156"/>
        <v>44504</v>
      </c>
      <c r="E4788" s="275">
        <f t="shared" si="157"/>
        <v>44504</v>
      </c>
      <c r="F4788" s="479" t="s">
        <v>965</v>
      </c>
      <c r="G4788" s="220" t="s">
        <v>74</v>
      </c>
      <c r="H4788" s="142" t="str" cm="1">
        <f t="array" ref="H4788">IFERROR(INDEX(INVESTOR_LIST[INVESTOR NAME],MATCH(I4788,INVESTOR_LIST[INVESTOR CODE],0),)," ")</f>
        <v>IVA JAMAL</v>
      </c>
      <c r="I4788" s="142" t="s">
        <v>712</v>
      </c>
      <c r="J4788" s="168" t="s">
        <v>13</v>
      </c>
      <c r="K4788" s="226">
        <v>3888020</v>
      </c>
      <c r="L4788" s="226"/>
    </row>
    <row r="4789" spans="1:12" ht="22.5" x14ac:dyDescent="0.2">
      <c r="A4789" s="133">
        <v>2021</v>
      </c>
      <c r="B4789" s="133">
        <v>11</v>
      </c>
      <c r="C4789" s="133">
        <v>4</v>
      </c>
      <c r="D4789" s="141">
        <f t="shared" si="156"/>
        <v>44504</v>
      </c>
      <c r="E4789" s="275">
        <f t="shared" si="157"/>
        <v>44504</v>
      </c>
      <c r="F4789" s="481"/>
      <c r="G4789" s="174" t="s">
        <v>74</v>
      </c>
      <c r="H4789" s="148" t="str" cm="1">
        <f t="array" ref="H4789">IFERROR(INDEX(INVESTOR_LIST[INVESTOR NAME],MATCH(I4789,INVESTOR_LIST[INVESTOR CODE],0),)," ")</f>
        <v>IVA JAMAL</v>
      </c>
      <c r="I4789" s="148" t="s">
        <v>712</v>
      </c>
      <c r="J4789" s="133" t="s">
        <v>53</v>
      </c>
      <c r="K4789" s="172">
        <v>1797067.19</v>
      </c>
      <c r="L4789" s="218"/>
    </row>
    <row r="4790" spans="1:12" ht="22.5" x14ac:dyDescent="0.2">
      <c r="A4790" s="163">
        <v>2021</v>
      </c>
      <c r="B4790" s="163">
        <v>11</v>
      </c>
      <c r="C4790" s="163">
        <v>4</v>
      </c>
      <c r="D4790" s="141">
        <f t="shared" si="156"/>
        <v>44504</v>
      </c>
      <c r="E4790" s="275">
        <f t="shared" si="157"/>
        <v>44504</v>
      </c>
      <c r="F4790" s="480"/>
      <c r="G4790" s="221" t="s">
        <v>74</v>
      </c>
      <c r="H4790" s="145" t="str" cm="1">
        <f t="array" ref="H4790">IFERROR(INDEX(INVESTOR_LIST[INVESTOR NAME],MATCH(I4790,INVESTOR_LIST[INVESTOR CODE],0),)," ")</f>
        <v>IVA JAMAL</v>
      </c>
      <c r="I4790" s="145" t="s">
        <v>712</v>
      </c>
      <c r="J4790" s="163" t="s">
        <v>52</v>
      </c>
      <c r="K4790" s="219"/>
      <c r="L4790" s="219">
        <v>5685087.1900000004</v>
      </c>
    </row>
    <row r="4791" spans="1:12" ht="33.75" x14ac:dyDescent="0.2">
      <c r="A4791" s="168">
        <v>2021</v>
      </c>
      <c r="B4791" s="168">
        <v>11</v>
      </c>
      <c r="C4791" s="133">
        <v>4</v>
      </c>
      <c r="D4791" s="141">
        <f t="shared" si="156"/>
        <v>44504</v>
      </c>
      <c r="E4791" s="275">
        <f t="shared" si="157"/>
        <v>44504</v>
      </c>
      <c r="F4791" s="479" t="s">
        <v>965</v>
      </c>
      <c r="G4791" s="220" t="s">
        <v>74</v>
      </c>
      <c r="H4791" s="142" t="str" cm="1">
        <f t="array" ref="H4791">IFERROR(INDEX(INVESTOR_LIST[INVESTOR NAME],MATCH(I4791,INVESTOR_LIST[INVESTOR CODE],0),)," ")</f>
        <v>AMIT KANTI SARKER</v>
      </c>
      <c r="I4791" s="142" t="s">
        <v>494</v>
      </c>
      <c r="J4791" s="168" t="s">
        <v>13</v>
      </c>
      <c r="K4791" s="226">
        <v>375440</v>
      </c>
      <c r="L4791" s="226"/>
    </row>
    <row r="4792" spans="1:12" ht="33.75" x14ac:dyDescent="0.2">
      <c r="A4792" s="133">
        <v>2021</v>
      </c>
      <c r="B4792" s="133">
        <v>11</v>
      </c>
      <c r="C4792" s="133">
        <v>4</v>
      </c>
      <c r="D4792" s="141">
        <f t="shared" si="156"/>
        <v>44504</v>
      </c>
      <c r="E4792" s="275">
        <f t="shared" si="157"/>
        <v>44504</v>
      </c>
      <c r="F4792" s="481"/>
      <c r="G4792" s="174" t="s">
        <v>74</v>
      </c>
      <c r="H4792" s="148" t="str" cm="1">
        <f t="array" ref="H4792">IFERROR(INDEX(INVESTOR_LIST[INVESTOR NAME],MATCH(I4792,INVESTOR_LIST[INVESTOR CODE],0),)," ")</f>
        <v>AMIT KANTI SARKER</v>
      </c>
      <c r="I4792" s="148" t="s">
        <v>494</v>
      </c>
      <c r="J4792" s="133" t="s">
        <v>53</v>
      </c>
      <c r="K4792" s="172">
        <v>173530.72</v>
      </c>
      <c r="L4792" s="218"/>
    </row>
    <row r="4793" spans="1:12" ht="33.75" x14ac:dyDescent="0.2">
      <c r="A4793" s="163">
        <v>2021</v>
      </c>
      <c r="B4793" s="163">
        <v>11</v>
      </c>
      <c r="C4793" s="163">
        <v>4</v>
      </c>
      <c r="D4793" s="141">
        <f t="shared" si="156"/>
        <v>44504</v>
      </c>
      <c r="E4793" s="275">
        <f t="shared" si="157"/>
        <v>44504</v>
      </c>
      <c r="F4793" s="480"/>
      <c r="G4793" s="221" t="s">
        <v>74</v>
      </c>
      <c r="H4793" s="145" t="str" cm="1">
        <f t="array" ref="H4793">IFERROR(INDEX(INVESTOR_LIST[INVESTOR NAME],MATCH(I4793,INVESTOR_LIST[INVESTOR CODE],0),)," ")</f>
        <v>AMIT KANTI SARKER</v>
      </c>
      <c r="I4793" s="145" t="s">
        <v>494</v>
      </c>
      <c r="J4793" s="163" t="s">
        <v>52</v>
      </c>
      <c r="K4793" s="219"/>
      <c r="L4793" s="219">
        <v>548970.72</v>
      </c>
    </row>
    <row r="4794" spans="1:12" ht="22.5" x14ac:dyDescent="0.2">
      <c r="A4794" s="168">
        <v>2021</v>
      </c>
      <c r="B4794" s="168">
        <v>11</v>
      </c>
      <c r="C4794" s="133">
        <v>4</v>
      </c>
      <c r="D4794" s="141">
        <f t="shared" si="156"/>
        <v>44504</v>
      </c>
      <c r="E4794" s="275">
        <f t="shared" si="157"/>
        <v>44504</v>
      </c>
      <c r="F4794" s="479" t="s">
        <v>965</v>
      </c>
      <c r="G4794" s="220" t="s">
        <v>74</v>
      </c>
      <c r="H4794" s="142" t="str" cm="1">
        <f t="array" ref="H4794">IFERROR(INDEX(INVESTOR_LIST[INVESTOR NAME],MATCH(I4794,INVESTOR_LIST[INVESTOR CODE],0),)," ")</f>
        <v>ANJANA SAHA</v>
      </c>
      <c r="I4794" s="142" t="s">
        <v>382</v>
      </c>
      <c r="J4794" s="168" t="s">
        <v>13</v>
      </c>
      <c r="K4794" s="226">
        <v>787170</v>
      </c>
      <c r="L4794" s="226"/>
    </row>
    <row r="4795" spans="1:12" ht="22.5" x14ac:dyDescent="0.2">
      <c r="A4795" s="133">
        <v>2021</v>
      </c>
      <c r="B4795" s="133">
        <v>11</v>
      </c>
      <c r="C4795" s="133">
        <v>4</v>
      </c>
      <c r="D4795" s="141">
        <f t="shared" si="156"/>
        <v>44504</v>
      </c>
      <c r="E4795" s="275">
        <f t="shared" si="157"/>
        <v>44504</v>
      </c>
      <c r="F4795" s="481"/>
      <c r="G4795" s="174" t="s">
        <v>74</v>
      </c>
      <c r="H4795" s="148" t="str" cm="1">
        <f t="array" ref="H4795">IFERROR(INDEX(INVESTOR_LIST[INVESTOR NAME],MATCH(I4795,INVESTOR_LIST[INVESTOR CODE],0),)," ")</f>
        <v>ANJANA SAHA</v>
      </c>
      <c r="I4795" s="148" t="s">
        <v>382</v>
      </c>
      <c r="J4795" s="133" t="s">
        <v>53</v>
      </c>
      <c r="K4795" s="172">
        <v>363834.9</v>
      </c>
      <c r="L4795" s="218"/>
    </row>
    <row r="4796" spans="1:12" ht="22.5" x14ac:dyDescent="0.2">
      <c r="A4796" s="163">
        <v>2021</v>
      </c>
      <c r="B4796" s="163">
        <v>11</v>
      </c>
      <c r="C4796" s="163">
        <v>4</v>
      </c>
      <c r="D4796" s="141">
        <f t="shared" si="156"/>
        <v>44504</v>
      </c>
      <c r="E4796" s="275">
        <f t="shared" si="157"/>
        <v>44504</v>
      </c>
      <c r="F4796" s="480"/>
      <c r="G4796" s="221" t="s">
        <v>74</v>
      </c>
      <c r="H4796" s="145" t="str" cm="1">
        <f t="array" ref="H4796">IFERROR(INDEX(INVESTOR_LIST[INVESTOR NAME],MATCH(I4796,INVESTOR_LIST[INVESTOR CODE],0),)," ")</f>
        <v>ANJANA SAHA</v>
      </c>
      <c r="I4796" s="145" t="s">
        <v>382</v>
      </c>
      <c r="J4796" s="163" t="s">
        <v>52</v>
      </c>
      <c r="K4796" s="219"/>
      <c r="L4796" s="219">
        <v>1151004.8999999999</v>
      </c>
    </row>
    <row r="4797" spans="1:12" x14ac:dyDescent="0.2">
      <c r="A4797" s="168">
        <v>2021</v>
      </c>
      <c r="B4797" s="168">
        <v>11</v>
      </c>
      <c r="C4797" s="133">
        <v>4</v>
      </c>
      <c r="D4797" s="141">
        <f t="shared" si="156"/>
        <v>44504</v>
      </c>
      <c r="E4797" s="275">
        <f t="shared" si="157"/>
        <v>44504</v>
      </c>
      <c r="F4797" s="479" t="s">
        <v>274</v>
      </c>
      <c r="G4797" s="220" t="s">
        <v>94</v>
      </c>
      <c r="H4797" s="220" t="str" cm="1">
        <f t="array" ref="H4797">IFERROR(INDEX(INVESTOR_LIST[INVESTOR NAME],MATCH(I4797,INVESTOR_LIST[INVESTOR CODE],0),)," ")</f>
        <v xml:space="preserve"> </v>
      </c>
      <c r="I4797" s="142"/>
      <c r="J4797" s="143" t="s">
        <v>79</v>
      </c>
      <c r="K4797" s="226">
        <v>1809979.5</v>
      </c>
      <c r="L4797" s="226"/>
    </row>
    <row r="4798" spans="1:12" x14ac:dyDescent="0.2">
      <c r="A4798" s="133">
        <v>2021</v>
      </c>
      <c r="B4798" s="133">
        <v>11</v>
      </c>
      <c r="C4798" s="133">
        <v>4</v>
      </c>
      <c r="D4798" s="141">
        <f t="shared" si="156"/>
        <v>44504</v>
      </c>
      <c r="E4798" s="275">
        <f t="shared" si="157"/>
        <v>44504</v>
      </c>
      <c r="F4798" s="481"/>
      <c r="G4798" s="174" t="s">
        <v>94</v>
      </c>
      <c r="H4798" s="174" t="str" cm="1">
        <f t="array" ref="H4798">IFERROR(INDEX(INVESTOR_LIST[INVESTOR NAME],MATCH(I4798,INVESTOR_LIST[INVESTOR CODE],0),)," ")</f>
        <v xml:space="preserve"> </v>
      </c>
      <c r="J4798" s="149" t="s">
        <v>80</v>
      </c>
      <c r="K4798" s="218">
        <v>3257.96</v>
      </c>
      <c r="L4798" s="218"/>
    </row>
    <row r="4799" spans="1:12" x14ac:dyDescent="0.2">
      <c r="A4799" s="163">
        <v>2021</v>
      </c>
      <c r="B4799" s="163">
        <v>11</v>
      </c>
      <c r="C4799" s="163">
        <v>4</v>
      </c>
      <c r="D4799" s="141">
        <f t="shared" si="156"/>
        <v>44504</v>
      </c>
      <c r="E4799" s="275">
        <f t="shared" si="157"/>
        <v>44504</v>
      </c>
      <c r="F4799" s="480"/>
      <c r="G4799" s="221" t="s">
        <v>94</v>
      </c>
      <c r="H4799" s="221" t="str" cm="1">
        <f t="array" ref="H4799">IFERROR(INDEX(INVESTOR_LIST[INVESTOR NAME],MATCH(I4799,INVESTOR_LIST[INVESTOR CODE],0),)," ")</f>
        <v xml:space="preserve"> </v>
      </c>
      <c r="I4799" s="145"/>
      <c r="J4799" s="146" t="s">
        <v>147</v>
      </c>
      <c r="K4799" s="219"/>
      <c r="L4799" s="219">
        <v>1813237.46</v>
      </c>
    </row>
    <row r="4800" spans="1:12" x14ac:dyDescent="0.2">
      <c r="A4800" s="168">
        <v>2021</v>
      </c>
      <c r="B4800" s="168">
        <v>11</v>
      </c>
      <c r="C4800" s="168">
        <v>4</v>
      </c>
      <c r="D4800" s="141">
        <f t="shared" si="156"/>
        <v>44504</v>
      </c>
      <c r="E4800" s="275">
        <f t="shared" si="157"/>
        <v>44504</v>
      </c>
      <c r="F4800" s="479" t="s">
        <v>937</v>
      </c>
      <c r="G4800" s="220" t="s">
        <v>74</v>
      </c>
      <c r="H4800" s="220" t="str" cm="1">
        <f t="array" ref="H4800">IFERROR(INDEX(INVESTOR_LIST[INVESTOR NAME],MATCH(I4800,INVESTOR_LIST[INVESTOR CODE],0),)," ")</f>
        <v xml:space="preserve"> </v>
      </c>
      <c r="I4800" s="142" t="s">
        <v>348</v>
      </c>
      <c r="J4800" s="143" t="s">
        <v>147</v>
      </c>
      <c r="K4800" s="226">
        <v>1813237.46</v>
      </c>
      <c r="L4800" s="226"/>
    </row>
    <row r="4801" spans="1:14" x14ac:dyDescent="0.2">
      <c r="A4801" s="163">
        <v>2021</v>
      </c>
      <c r="B4801" s="163">
        <v>11</v>
      </c>
      <c r="C4801" s="163">
        <v>4</v>
      </c>
      <c r="D4801" s="141">
        <f t="shared" si="156"/>
        <v>44504</v>
      </c>
      <c r="E4801" s="275">
        <f t="shared" si="157"/>
        <v>44504</v>
      </c>
      <c r="F4801" s="480"/>
      <c r="G4801" s="221" t="s">
        <v>74</v>
      </c>
      <c r="H4801" s="221" t="str" cm="1">
        <f t="array" ref="H4801">IFERROR(INDEX(INVESTOR_LIST[INVESTOR NAME],MATCH(I4801,INVESTOR_LIST[INVESTOR CODE],0),)," ")</f>
        <v xml:space="preserve"> </v>
      </c>
      <c r="I4801" s="145" t="s">
        <v>348</v>
      </c>
      <c r="J4801" s="146" t="s">
        <v>52</v>
      </c>
      <c r="K4801" s="219"/>
      <c r="L4801" s="219">
        <v>1813237.46</v>
      </c>
    </row>
    <row r="4802" spans="1:14" x14ac:dyDescent="0.2">
      <c r="A4802" s="133">
        <v>2021</v>
      </c>
      <c r="B4802" s="133">
        <v>11</v>
      </c>
      <c r="C4802" s="133">
        <v>4</v>
      </c>
      <c r="D4802" s="141">
        <f t="shared" si="156"/>
        <v>44504</v>
      </c>
      <c r="E4802" s="275">
        <f t="shared" si="157"/>
        <v>44504</v>
      </c>
      <c r="F4802" s="481" t="s">
        <v>279</v>
      </c>
      <c r="G4802" s="174" t="s">
        <v>94</v>
      </c>
      <c r="H4802" s="174" t="str" cm="1">
        <f t="array" ref="H4802">IFERROR(INDEX(INVESTOR_LIST[INVESTOR NAME],MATCH(I4802,INVESTOR_LIST[INVESTOR CODE],0),)," ")</f>
        <v xml:space="preserve"> </v>
      </c>
      <c r="I4802" s="148" t="s">
        <v>348</v>
      </c>
      <c r="J4802" s="149" t="s">
        <v>80</v>
      </c>
      <c r="K4802" s="218">
        <v>35447.42</v>
      </c>
      <c r="L4802" s="218"/>
    </row>
    <row r="4803" spans="1:14" x14ac:dyDescent="0.2">
      <c r="A4803" s="133">
        <v>2021</v>
      </c>
      <c r="B4803" s="133">
        <v>11</v>
      </c>
      <c r="C4803" s="133">
        <v>4</v>
      </c>
      <c r="D4803" s="141">
        <f t="shared" si="156"/>
        <v>44504</v>
      </c>
      <c r="E4803" s="275">
        <f t="shared" si="157"/>
        <v>44504</v>
      </c>
      <c r="F4803" s="481"/>
      <c r="G4803" s="174" t="s">
        <v>94</v>
      </c>
      <c r="H4803" s="174" t="str" cm="1">
        <f t="array" ref="H4803">IFERROR(INDEX(INVESTOR_LIST[INVESTOR NAME],MATCH(I4803,INVESTOR_LIST[INVESTOR CODE],0),)," ")</f>
        <v xml:space="preserve"> </v>
      </c>
      <c r="I4803" s="148" t="s">
        <v>348</v>
      </c>
      <c r="J4803" s="149" t="s">
        <v>190</v>
      </c>
      <c r="K4803" s="218">
        <v>19657565.18</v>
      </c>
      <c r="L4803" s="218"/>
    </row>
    <row r="4804" spans="1:14" x14ac:dyDescent="0.2">
      <c r="A4804" s="133">
        <v>2021</v>
      </c>
      <c r="B4804" s="133">
        <v>11</v>
      </c>
      <c r="C4804" s="133">
        <v>4</v>
      </c>
      <c r="D4804" s="141">
        <f t="shared" si="156"/>
        <v>44504</v>
      </c>
      <c r="E4804" s="275">
        <f t="shared" si="157"/>
        <v>44504</v>
      </c>
      <c r="F4804" s="481"/>
      <c r="G4804" s="174" t="s">
        <v>94</v>
      </c>
      <c r="H4804" s="174" t="str" cm="1">
        <f t="array" ref="H4804">IFERROR(INDEX(INVESTOR_LIST[INVESTOR NAME],MATCH(I4804,INVESTOR_LIST[INVESTOR CODE],0),)," ")</f>
        <v xml:space="preserve"> </v>
      </c>
      <c r="I4804" s="148" t="s">
        <v>348</v>
      </c>
      <c r="J4804" s="149" t="s">
        <v>191</v>
      </c>
      <c r="L4804" s="218">
        <v>1274982.8700000001</v>
      </c>
    </row>
    <row r="4805" spans="1:14" x14ac:dyDescent="0.2">
      <c r="A4805" s="163">
        <v>2021</v>
      </c>
      <c r="B4805" s="163">
        <v>11</v>
      </c>
      <c r="C4805" s="163">
        <v>4</v>
      </c>
      <c r="D4805" s="141">
        <f t="shared" si="156"/>
        <v>44504</v>
      </c>
      <c r="E4805" s="275">
        <f t="shared" si="157"/>
        <v>44504</v>
      </c>
      <c r="F4805" s="480"/>
      <c r="G4805" s="221" t="s">
        <v>94</v>
      </c>
      <c r="H4805" s="145" t="str" cm="1">
        <f t="array" ref="H4805">IFERROR(INDEX(INVESTOR_LIST[INVESTOR NAME],MATCH(I4805,INVESTOR_LIST[INVESTOR CODE],0),)," ")</f>
        <v xml:space="preserve"> </v>
      </c>
      <c r="I4805" s="145"/>
      <c r="J4805" s="163" t="s">
        <v>79</v>
      </c>
      <c r="K4805" s="219"/>
      <c r="L4805" s="219">
        <v>18418029.73</v>
      </c>
    </row>
    <row r="4806" spans="1:14" x14ac:dyDescent="0.2">
      <c r="A4806" s="238">
        <v>2021</v>
      </c>
      <c r="B4806" s="238">
        <v>11</v>
      </c>
      <c r="C4806" s="238">
        <v>4</v>
      </c>
      <c r="D4806" s="141">
        <f t="shared" si="156"/>
        <v>44504</v>
      </c>
      <c r="E4806" s="275">
        <f t="shared" si="157"/>
        <v>44504</v>
      </c>
      <c r="F4806" s="477" t="s">
        <v>347</v>
      </c>
      <c r="G4806" s="239" t="s">
        <v>94</v>
      </c>
      <c r="H4806" s="239" t="str" cm="1">
        <f t="array" ref="H4806">IFERROR(INDEX(INVESTOR_LIST[INVESTOR NAME],MATCH(I4806,INVESTOR_LIST[INVESTOR CODE],0),)," ")</f>
        <v xml:space="preserve"> </v>
      </c>
      <c r="I4806" s="262" t="s">
        <v>348</v>
      </c>
      <c r="J4806" s="240" t="s">
        <v>83</v>
      </c>
      <c r="K4806" s="241">
        <v>4434037.2099999506</v>
      </c>
      <c r="L4806" s="241"/>
    </row>
    <row r="4807" spans="1:14" x14ac:dyDescent="0.2">
      <c r="A4807" s="242">
        <v>2021</v>
      </c>
      <c r="B4807" s="242">
        <v>11</v>
      </c>
      <c r="C4807" s="242">
        <v>4</v>
      </c>
      <c r="D4807" s="141">
        <f t="shared" si="156"/>
        <v>44504</v>
      </c>
      <c r="E4807" s="275">
        <f t="shared" si="157"/>
        <v>44504</v>
      </c>
      <c r="F4807" s="478"/>
      <c r="G4807" s="243" t="s">
        <v>94</v>
      </c>
      <c r="H4807" s="243" t="str" cm="1">
        <f t="array" ref="H4807">IFERROR(INDEX(INVESTOR_LIST[INVESTOR NAME],MATCH(I4807,INVESTOR_LIST[INVESTOR CODE],0),)," ")</f>
        <v xml:space="preserve"> </v>
      </c>
      <c r="I4807" s="263" t="s">
        <v>348</v>
      </c>
      <c r="J4807" s="244" t="s">
        <v>108</v>
      </c>
      <c r="K4807" s="245"/>
      <c r="L4807" s="245">
        <v>4434037.2099999506</v>
      </c>
    </row>
    <row r="4808" spans="1:14" ht="22.5" x14ac:dyDescent="0.2">
      <c r="A4808" s="246">
        <v>2021</v>
      </c>
      <c r="B4808" s="246">
        <v>11</v>
      </c>
      <c r="C4808" s="246">
        <v>4</v>
      </c>
      <c r="D4808" s="141">
        <f t="shared" si="156"/>
        <v>44504</v>
      </c>
      <c r="E4808" s="275">
        <f t="shared" si="157"/>
        <v>44504</v>
      </c>
      <c r="F4808" s="482" t="s">
        <v>148</v>
      </c>
      <c r="G4808" s="247" t="s">
        <v>94</v>
      </c>
      <c r="H4808" s="247" t="str" cm="1">
        <f t="array" ref="H4808">IFERROR(INDEX(INVESTOR_LIST[INVESTOR NAME],MATCH(I4808,INVESTOR_LIST[INVESTOR CODE],0),)," ")</f>
        <v xml:space="preserve"> </v>
      </c>
      <c r="I4808" s="248" t="s">
        <v>348</v>
      </c>
      <c r="J4808" s="249" t="s">
        <v>95</v>
      </c>
      <c r="K4808" s="250">
        <v>2747.2527472527472</v>
      </c>
      <c r="L4808" s="241"/>
      <c r="M4808" s="133">
        <v>2747.2527472527472</v>
      </c>
    </row>
    <row r="4809" spans="1:14" x14ac:dyDescent="0.2">
      <c r="A4809" s="242">
        <v>2021</v>
      </c>
      <c r="B4809" s="242">
        <v>11</v>
      </c>
      <c r="C4809" s="242">
        <v>4</v>
      </c>
      <c r="D4809" s="141">
        <f t="shared" si="156"/>
        <v>44504</v>
      </c>
      <c r="E4809" s="275">
        <f t="shared" si="157"/>
        <v>44504</v>
      </c>
      <c r="F4809" s="478"/>
      <c r="G4809" s="243" t="s">
        <v>94</v>
      </c>
      <c r="H4809" s="243" t="str" cm="1">
        <f t="array" ref="H4809">IFERROR(INDEX(INVESTOR_LIST[INVESTOR NAME],MATCH(I4809,INVESTOR_LIST[INVESTOR CODE],0),)," ")</f>
        <v xml:space="preserve"> </v>
      </c>
      <c r="I4809" s="263" t="s">
        <v>348</v>
      </c>
      <c r="J4809" s="244" t="s">
        <v>63</v>
      </c>
      <c r="K4809" s="245"/>
      <c r="L4809" s="245">
        <v>2747.2527472527472</v>
      </c>
      <c r="M4809" s="133">
        <v>88919.541252850468</v>
      </c>
    </row>
    <row r="4810" spans="1:14" x14ac:dyDescent="0.2">
      <c r="A4810" s="246">
        <v>2021</v>
      </c>
      <c r="B4810" s="246">
        <v>11</v>
      </c>
      <c r="C4810" s="246">
        <v>4</v>
      </c>
      <c r="D4810" s="141">
        <f t="shared" si="156"/>
        <v>44504</v>
      </c>
      <c r="E4810" s="275">
        <f t="shared" si="157"/>
        <v>44504</v>
      </c>
      <c r="F4810" s="482" t="s">
        <v>137</v>
      </c>
      <c r="G4810" s="247" t="s">
        <v>94</v>
      </c>
      <c r="H4810" s="247" t="str" cm="1">
        <f t="array" ref="H4810">IFERROR(INDEX(INVESTOR_LIST[INVESTOR NAME],MATCH(I4810,INVESTOR_LIST[INVESTOR CODE],0),)," ")</f>
        <v xml:space="preserve"> </v>
      </c>
      <c r="I4810" s="248" t="s">
        <v>348</v>
      </c>
      <c r="J4810" s="249" t="s">
        <v>97</v>
      </c>
      <c r="K4810" s="250">
        <v>88919.541252850468</v>
      </c>
      <c r="L4810" s="252"/>
      <c r="M4810" s="133">
        <v>4205.5924472579081</v>
      </c>
    </row>
    <row r="4811" spans="1:14" x14ac:dyDescent="0.2">
      <c r="A4811" s="242">
        <v>2021</v>
      </c>
      <c r="B4811" s="242">
        <v>11</v>
      </c>
      <c r="C4811" s="242">
        <v>4</v>
      </c>
      <c r="D4811" s="141">
        <f t="shared" si="156"/>
        <v>44504</v>
      </c>
      <c r="E4811" s="275">
        <f t="shared" si="157"/>
        <v>44504</v>
      </c>
      <c r="F4811" s="478"/>
      <c r="G4811" s="243" t="s">
        <v>94</v>
      </c>
      <c r="H4811" s="243" t="str" cm="1">
        <f t="array" ref="H4811">IFERROR(INDEX(INVESTOR_LIST[INVESTOR NAME],MATCH(I4811,INVESTOR_LIST[INVESTOR CODE],0),)," ")</f>
        <v xml:space="preserve"> </v>
      </c>
      <c r="I4811" s="263" t="s">
        <v>348</v>
      </c>
      <c r="J4811" s="244" t="s">
        <v>47</v>
      </c>
      <c r="K4811" s="245"/>
      <c r="L4811" s="245">
        <v>88919.541252850468</v>
      </c>
    </row>
    <row r="4812" spans="1:14" x14ac:dyDescent="0.2">
      <c r="A4812" s="246">
        <v>2021</v>
      </c>
      <c r="B4812" s="246">
        <v>11</v>
      </c>
      <c r="C4812" s="246">
        <v>4</v>
      </c>
      <c r="D4812" s="141">
        <f t="shared" si="156"/>
        <v>44504</v>
      </c>
      <c r="E4812" s="275">
        <f t="shared" si="157"/>
        <v>44504</v>
      </c>
      <c r="F4812" s="482" t="s">
        <v>138</v>
      </c>
      <c r="G4812" s="247" t="s">
        <v>94</v>
      </c>
      <c r="H4812" s="247" t="str" cm="1">
        <f t="array" ref="H4812">IFERROR(INDEX(INVESTOR_LIST[INVESTOR NAME],MATCH(I4812,INVESTOR_LIST[INVESTOR CODE],0),)," ")</f>
        <v xml:space="preserve"> </v>
      </c>
      <c r="I4812" s="248" t="s">
        <v>348</v>
      </c>
      <c r="J4812" s="249" t="s">
        <v>100</v>
      </c>
      <c r="K4812" s="250">
        <v>4205.5924472579081</v>
      </c>
      <c r="L4812" s="252"/>
    </row>
    <row r="4813" spans="1:14" x14ac:dyDescent="0.2">
      <c r="A4813" s="242">
        <v>2021</v>
      </c>
      <c r="B4813" s="242">
        <v>11</v>
      </c>
      <c r="C4813" s="242">
        <v>4</v>
      </c>
      <c r="D4813" s="141">
        <f t="shared" si="156"/>
        <v>44504</v>
      </c>
      <c r="E4813" s="275">
        <f t="shared" si="157"/>
        <v>44504</v>
      </c>
      <c r="F4813" s="478"/>
      <c r="G4813" s="243" t="s">
        <v>94</v>
      </c>
      <c r="H4813" s="243" t="str" cm="1">
        <f t="array" ref="H4813">IFERROR(INDEX(INVESTOR_LIST[INVESTOR NAME],MATCH(I4813,INVESTOR_LIST[INVESTOR CODE],0),)," ")</f>
        <v xml:space="preserve"> </v>
      </c>
      <c r="I4813" s="263" t="s">
        <v>348</v>
      </c>
      <c r="J4813" s="244" t="s">
        <v>48</v>
      </c>
      <c r="K4813" s="245"/>
      <c r="L4813" s="245">
        <v>4205.5924472579081</v>
      </c>
    </row>
    <row r="4814" spans="1:14" x14ac:dyDescent="0.2">
      <c r="A4814" s="168">
        <v>2021</v>
      </c>
      <c r="B4814" s="168">
        <v>11</v>
      </c>
      <c r="C4814" s="168">
        <v>7</v>
      </c>
      <c r="D4814" s="141">
        <f t="shared" ref="D4814:D4877" si="158">DATE(A4814,B4814,C4814)</f>
        <v>44507</v>
      </c>
      <c r="E4814" s="275">
        <f t="shared" si="157"/>
        <v>44507</v>
      </c>
      <c r="F4814" s="479" t="s">
        <v>909</v>
      </c>
      <c r="G4814" s="220" t="s">
        <v>94</v>
      </c>
      <c r="H4814" s="220" t="str" cm="1">
        <f t="array" ref="H4814">IFERROR(INDEX(INVESTOR_LIST[INVESTOR NAME],MATCH(I4814,INVESTOR_LIST[INVESTOR CODE],0),)," ")</f>
        <v xml:space="preserve"> </v>
      </c>
      <c r="I4814" s="142" t="s">
        <v>348</v>
      </c>
      <c r="J4814" s="143" t="s">
        <v>79</v>
      </c>
      <c r="K4814" s="226">
        <v>1151087.3999999999</v>
      </c>
      <c r="L4814" s="226"/>
    </row>
    <row r="4815" spans="1:14" x14ac:dyDescent="0.2">
      <c r="A4815" s="133">
        <v>2021</v>
      </c>
      <c r="B4815" s="133">
        <v>11</v>
      </c>
      <c r="C4815" s="133">
        <v>7</v>
      </c>
      <c r="D4815" s="141">
        <f t="shared" si="158"/>
        <v>44507</v>
      </c>
      <c r="E4815" s="275">
        <f t="shared" ref="E4815:E4878" si="159">DATE(A4815,B4815,C4815)</f>
        <v>44507</v>
      </c>
      <c r="F4815" s="481"/>
      <c r="G4815" s="174" t="s">
        <v>94</v>
      </c>
      <c r="H4815" s="174" t="str" cm="1">
        <f t="array" ref="H4815">IFERROR(INDEX(INVESTOR_LIST[INVESTOR NAME],MATCH(I4815,INVESTOR_LIST[INVESTOR CODE],0),)," ")</f>
        <v xml:space="preserve"> </v>
      </c>
      <c r="I4815" s="148" t="s">
        <v>348</v>
      </c>
      <c r="J4815" s="149" t="s">
        <v>80</v>
      </c>
      <c r="K4815" s="218">
        <f>1827+3399.41+244.96</f>
        <v>5471.37</v>
      </c>
      <c r="L4815" s="218"/>
    </row>
    <row r="4816" spans="1:14" x14ac:dyDescent="0.2">
      <c r="A4816" s="133">
        <v>2021</v>
      </c>
      <c r="B4816" s="133">
        <v>11</v>
      </c>
      <c r="C4816" s="133">
        <v>7</v>
      </c>
      <c r="D4816" s="141">
        <f t="shared" si="158"/>
        <v>44507</v>
      </c>
      <c r="E4816" s="275">
        <f t="shared" si="159"/>
        <v>44507</v>
      </c>
      <c r="F4816" s="481"/>
      <c r="G4816" s="174" t="s">
        <v>94</v>
      </c>
      <c r="H4816" s="174" t="str" cm="1">
        <f t="array" ref="H4816">IFERROR(INDEX(INVESTOR_LIST[INVESTOR NAME],MATCH(I4816,INVESTOR_LIST[INVESTOR CODE],0),)," ")</f>
        <v xml:space="preserve"> </v>
      </c>
      <c r="I4816" s="148" t="s">
        <v>348</v>
      </c>
      <c r="J4816" s="149" t="s">
        <v>190</v>
      </c>
      <c r="K4816" s="218">
        <v>732004.83</v>
      </c>
      <c r="L4816" s="218"/>
      <c r="N4816" s="160">
        <f>K4821/14.24</f>
        <v>1435.0421348314605</v>
      </c>
    </row>
    <row r="4817" spans="1:12" x14ac:dyDescent="0.2">
      <c r="A4817" s="133">
        <v>2021</v>
      </c>
      <c r="B4817" s="133">
        <v>11</v>
      </c>
      <c r="C4817" s="133">
        <v>7</v>
      </c>
      <c r="D4817" s="141">
        <f t="shared" si="158"/>
        <v>44507</v>
      </c>
      <c r="E4817" s="275">
        <f t="shared" si="159"/>
        <v>44507</v>
      </c>
      <c r="F4817" s="481"/>
      <c r="G4817" s="174" t="s">
        <v>94</v>
      </c>
      <c r="H4817" s="174" t="str" cm="1">
        <f t="array" ref="H4817">IFERROR(INDEX(INVESTOR_LIST[INVESTOR NAME],MATCH(I4817,INVESTOR_LIST[INVESTOR CODE],0),)," ")</f>
        <v xml:space="preserve"> </v>
      </c>
      <c r="I4817" s="148" t="s">
        <v>348</v>
      </c>
      <c r="J4817" s="149" t="s">
        <v>191</v>
      </c>
      <c r="K4817" s="218"/>
      <c r="L4817" s="218">
        <v>330527.03999999998</v>
      </c>
    </row>
    <row r="4818" spans="1:12" x14ac:dyDescent="0.2">
      <c r="A4818" s="163">
        <v>2021</v>
      </c>
      <c r="B4818" s="163">
        <v>11</v>
      </c>
      <c r="C4818" s="163">
        <v>7</v>
      </c>
      <c r="D4818" s="141">
        <f t="shared" si="158"/>
        <v>44507</v>
      </c>
      <c r="E4818" s="275">
        <f t="shared" si="159"/>
        <v>44507</v>
      </c>
      <c r="F4818" s="480"/>
      <c r="G4818" s="221" t="s">
        <v>94</v>
      </c>
      <c r="H4818" s="145" t="str" cm="1">
        <f t="array" ref="H4818">IFERROR(INDEX(INVESTOR_LIST[INVESTOR NAME],MATCH(I4818,INVESTOR_LIST[INVESTOR CODE],0),)," ")</f>
        <v xml:space="preserve"> </v>
      </c>
      <c r="I4818" s="145"/>
      <c r="J4818" s="163" t="s">
        <v>79</v>
      </c>
      <c r="K4818" s="219"/>
      <c r="L4818" s="219">
        <v>1558036.56</v>
      </c>
    </row>
    <row r="4819" spans="1:12" x14ac:dyDescent="0.2">
      <c r="A4819" s="168">
        <v>2021</v>
      </c>
      <c r="B4819" s="168">
        <v>11</v>
      </c>
      <c r="C4819" s="168">
        <v>8</v>
      </c>
      <c r="D4819" s="141">
        <f t="shared" si="158"/>
        <v>44508</v>
      </c>
      <c r="E4819" s="275">
        <f t="shared" si="159"/>
        <v>44508</v>
      </c>
      <c r="F4819" s="479" t="s">
        <v>939</v>
      </c>
      <c r="G4819" s="220" t="s">
        <v>74</v>
      </c>
      <c r="H4819" s="220" t="str" cm="1">
        <f t="array" ref="H4819">IFERROR(INDEX(INVESTOR_LIST[INVESTOR NAME],MATCH(I4819,INVESTOR_LIST[INVESTOR CODE],0),)," ")</f>
        <v xml:space="preserve"> </v>
      </c>
      <c r="I4819" s="142" t="s">
        <v>348</v>
      </c>
      <c r="J4819" s="143" t="s">
        <v>52</v>
      </c>
      <c r="K4819" s="226">
        <v>19657565.18</v>
      </c>
      <c r="L4819" s="226"/>
    </row>
    <row r="4820" spans="1:12" x14ac:dyDescent="0.2">
      <c r="A4820" s="163">
        <v>2021</v>
      </c>
      <c r="B4820" s="163">
        <v>11</v>
      </c>
      <c r="C4820" s="163">
        <v>8</v>
      </c>
      <c r="D4820" s="141">
        <f t="shared" si="158"/>
        <v>44508</v>
      </c>
      <c r="E4820" s="275">
        <f t="shared" si="159"/>
        <v>44508</v>
      </c>
      <c r="F4820" s="480"/>
      <c r="G4820" s="221" t="s">
        <v>74</v>
      </c>
      <c r="H4820" s="221" t="str" cm="1">
        <f t="array" ref="H4820">IFERROR(INDEX(INVESTOR_LIST[INVESTOR NAME],MATCH(I4820,INVESTOR_LIST[INVESTOR CODE],0),)," ")</f>
        <v xml:space="preserve"> </v>
      </c>
      <c r="I4820" s="145" t="s">
        <v>348</v>
      </c>
      <c r="J4820" s="146" t="s">
        <v>190</v>
      </c>
      <c r="K4820" s="219"/>
      <c r="L4820" s="219">
        <v>19657565.18</v>
      </c>
    </row>
    <row r="4821" spans="1:12" ht="11.25" customHeight="1" x14ac:dyDescent="0.2">
      <c r="A4821" s="168">
        <v>2021</v>
      </c>
      <c r="B4821" s="168">
        <v>11</v>
      </c>
      <c r="C4821" s="133">
        <v>8</v>
      </c>
      <c r="D4821" s="141">
        <f t="shared" si="158"/>
        <v>44508</v>
      </c>
      <c r="E4821" s="275">
        <f t="shared" si="159"/>
        <v>44508</v>
      </c>
      <c r="F4821" s="479" t="s">
        <v>964</v>
      </c>
      <c r="G4821" s="220" t="s">
        <v>74</v>
      </c>
      <c r="H4821" s="142" t="str" cm="1">
        <f t="array" ref="H4821">IFERROR(INDEX(INVESTOR_LIST[INVESTOR NAME],MATCH(I4821,INVESTOR_LIST[INVESTOR CODE],0),)," ")</f>
        <v>MD. SAJEDUL HUDA NOVEL</v>
      </c>
      <c r="I4821" s="142" t="s">
        <v>416</v>
      </c>
      <c r="J4821" s="168" t="s">
        <v>52</v>
      </c>
      <c r="K4821" s="226">
        <v>20435</v>
      </c>
      <c r="L4821" s="226"/>
    </row>
    <row r="4822" spans="1:12" ht="45" x14ac:dyDescent="0.2">
      <c r="A4822" s="133">
        <v>2021</v>
      </c>
      <c r="B4822" s="133">
        <v>11</v>
      </c>
      <c r="C4822" s="133">
        <v>8</v>
      </c>
      <c r="D4822" s="141">
        <f t="shared" si="158"/>
        <v>44508</v>
      </c>
      <c r="E4822" s="275">
        <f t="shared" si="159"/>
        <v>44508</v>
      </c>
      <c r="F4822" s="481"/>
      <c r="G4822" s="174" t="s">
        <v>74</v>
      </c>
      <c r="H4822" s="148" t="str" cm="1">
        <f t="array" ref="H4822">IFERROR(INDEX(INVESTOR_LIST[INVESTOR NAME],MATCH(I4822,INVESTOR_LIST[INVESTOR CODE],0),)," ")</f>
        <v>MD. SAJEDUL HUDA NOVEL</v>
      </c>
      <c r="I4822" s="148" t="s">
        <v>416</v>
      </c>
      <c r="J4822" s="133" t="s">
        <v>13</v>
      </c>
      <c r="K4822" s="218"/>
      <c r="L4822" s="218">
        <v>14350</v>
      </c>
    </row>
    <row r="4823" spans="1:12" ht="45" x14ac:dyDescent="0.2">
      <c r="A4823" s="163">
        <v>2021</v>
      </c>
      <c r="B4823" s="163">
        <v>11</v>
      </c>
      <c r="C4823" s="163">
        <v>8</v>
      </c>
      <c r="D4823" s="141">
        <f t="shared" si="158"/>
        <v>44508</v>
      </c>
      <c r="E4823" s="275">
        <f t="shared" si="159"/>
        <v>44508</v>
      </c>
      <c r="F4823" s="480"/>
      <c r="G4823" s="221" t="s">
        <v>74</v>
      </c>
      <c r="H4823" s="145" t="str" cm="1">
        <f t="array" ref="H4823">IFERROR(INDEX(INVESTOR_LIST[INVESTOR NAME],MATCH(I4823,INVESTOR_LIST[INVESTOR CODE],0),)," ")</f>
        <v>MD. SAJEDUL HUDA NOVEL</v>
      </c>
      <c r="I4823" s="145" t="s">
        <v>416</v>
      </c>
      <c r="J4823" s="163" t="s">
        <v>53</v>
      </c>
      <c r="K4823" s="219"/>
      <c r="L4823" s="219">
        <v>6085</v>
      </c>
    </row>
    <row r="4824" spans="1:12" ht="45" x14ac:dyDescent="0.2">
      <c r="A4824" s="168">
        <v>2021</v>
      </c>
      <c r="B4824" s="168">
        <v>11</v>
      </c>
      <c r="C4824" s="133">
        <v>8</v>
      </c>
      <c r="D4824" s="141">
        <f t="shared" si="158"/>
        <v>44508</v>
      </c>
      <c r="E4824" s="275">
        <f t="shared" si="159"/>
        <v>44508</v>
      </c>
      <c r="F4824" s="479" t="s">
        <v>965</v>
      </c>
      <c r="G4824" s="220" t="s">
        <v>74</v>
      </c>
      <c r="H4824" s="142" t="str" cm="1">
        <f t="array" ref="H4824">IFERROR(INDEX(INVESTOR_LIST[INVESTOR NAME],MATCH(I4824,INVESTOR_LIST[INVESTOR CODE],0),)," ")</f>
        <v>SHYAMAL KRISHNA SAHA</v>
      </c>
      <c r="I4824" s="142" t="s">
        <v>378</v>
      </c>
      <c r="J4824" s="168" t="s">
        <v>13</v>
      </c>
      <c r="K4824" s="226">
        <v>207460</v>
      </c>
      <c r="L4824" s="226"/>
    </row>
    <row r="4825" spans="1:12" ht="45" x14ac:dyDescent="0.2">
      <c r="A4825" s="133">
        <v>2021</v>
      </c>
      <c r="B4825" s="133">
        <v>11</v>
      </c>
      <c r="C4825" s="133">
        <v>8</v>
      </c>
      <c r="D4825" s="141">
        <f t="shared" si="158"/>
        <v>44508</v>
      </c>
      <c r="E4825" s="275">
        <f t="shared" si="159"/>
        <v>44508</v>
      </c>
      <c r="F4825" s="481"/>
      <c r="G4825" s="174" t="s">
        <v>74</v>
      </c>
      <c r="H4825" s="148" t="str" cm="1">
        <f t="array" ref="H4825">IFERROR(INDEX(INVESTOR_LIST[INVESTOR NAME],MATCH(I4825,INVESTOR_LIST[INVESTOR CODE],0),)," ")</f>
        <v>SHYAMAL KRISHNA SAHA</v>
      </c>
      <c r="I4825" s="148" t="s">
        <v>378</v>
      </c>
      <c r="J4825" s="133" t="s">
        <v>53</v>
      </c>
      <c r="K4825" s="172">
        <v>95889.31</v>
      </c>
      <c r="L4825" s="218"/>
    </row>
    <row r="4826" spans="1:12" ht="45" x14ac:dyDescent="0.2">
      <c r="A4826" s="163">
        <v>2021</v>
      </c>
      <c r="B4826" s="163">
        <v>11</v>
      </c>
      <c r="C4826" s="163">
        <v>8</v>
      </c>
      <c r="D4826" s="141">
        <f t="shared" si="158"/>
        <v>44508</v>
      </c>
      <c r="E4826" s="275">
        <f t="shared" si="159"/>
        <v>44508</v>
      </c>
      <c r="F4826" s="480"/>
      <c r="G4826" s="221" t="s">
        <v>74</v>
      </c>
      <c r="H4826" s="145" t="str" cm="1">
        <f t="array" ref="H4826">IFERROR(INDEX(INVESTOR_LIST[INVESTOR NAME],MATCH(I4826,INVESTOR_LIST[INVESTOR CODE],0),)," ")</f>
        <v>SHYAMAL KRISHNA SAHA</v>
      </c>
      <c r="I4826" s="145" t="s">
        <v>378</v>
      </c>
      <c r="J4826" s="163" t="s">
        <v>52</v>
      </c>
      <c r="K4826" s="219"/>
      <c r="L4826" s="219">
        <v>303349.31</v>
      </c>
    </row>
    <row r="4827" spans="1:12" x14ac:dyDescent="0.2">
      <c r="A4827" s="168">
        <v>2021</v>
      </c>
      <c r="B4827" s="168">
        <v>11</v>
      </c>
      <c r="C4827" s="168">
        <v>9</v>
      </c>
      <c r="D4827" s="141">
        <f t="shared" si="158"/>
        <v>44509</v>
      </c>
      <c r="E4827" s="275">
        <f t="shared" si="159"/>
        <v>44509</v>
      </c>
      <c r="F4827" s="479" t="s">
        <v>940</v>
      </c>
      <c r="G4827" s="220" t="s">
        <v>74</v>
      </c>
      <c r="H4827" s="220" t="str" cm="1">
        <f t="array" ref="H4827">IFERROR(INDEX(INVESTOR_LIST[INVESTOR NAME],MATCH(I4827,INVESTOR_LIST[INVESTOR CODE],0),)," ")</f>
        <v xml:space="preserve"> </v>
      </c>
      <c r="I4827" s="142" t="s">
        <v>348</v>
      </c>
      <c r="J4827" s="143" t="s">
        <v>52</v>
      </c>
      <c r="K4827" s="226">
        <v>9841823.4199999999</v>
      </c>
      <c r="L4827" s="226"/>
    </row>
    <row r="4828" spans="1:12" x14ac:dyDescent="0.2">
      <c r="A4828" s="163">
        <v>2021</v>
      </c>
      <c r="B4828" s="163">
        <v>11</v>
      </c>
      <c r="C4828" s="163">
        <v>9</v>
      </c>
      <c r="D4828" s="141">
        <f t="shared" si="158"/>
        <v>44509</v>
      </c>
      <c r="E4828" s="275">
        <f t="shared" si="159"/>
        <v>44509</v>
      </c>
      <c r="F4828" s="480"/>
      <c r="G4828" s="221" t="s">
        <v>74</v>
      </c>
      <c r="H4828" s="221" t="str" cm="1">
        <f t="array" ref="H4828">IFERROR(INDEX(INVESTOR_LIST[INVESTOR NAME],MATCH(I4828,INVESTOR_LIST[INVESTOR CODE],0),)," ")</f>
        <v xml:space="preserve"> </v>
      </c>
      <c r="I4828" s="145" t="s">
        <v>348</v>
      </c>
      <c r="J4828" s="146" t="s">
        <v>190</v>
      </c>
      <c r="K4828" s="219"/>
      <c r="L4828" s="219">
        <v>9841823.4199999999</v>
      </c>
    </row>
    <row r="4829" spans="1:12" ht="11.25" customHeight="1" x14ac:dyDescent="0.2">
      <c r="A4829" s="168">
        <v>2021</v>
      </c>
      <c r="B4829" s="168">
        <v>11</v>
      </c>
      <c r="C4829" s="133">
        <v>9</v>
      </c>
      <c r="D4829" s="141">
        <f t="shared" si="158"/>
        <v>44509</v>
      </c>
      <c r="E4829" s="275">
        <f t="shared" si="159"/>
        <v>44509</v>
      </c>
      <c r="F4829" s="479" t="s">
        <v>254</v>
      </c>
      <c r="G4829" s="220" t="s">
        <v>74</v>
      </c>
      <c r="H4829" s="142" t="str" cm="1">
        <f t="array" ref="H4829">IFERROR(INDEX(INVESTOR_LIST[INVESTOR NAME],MATCH(I4829,INVESTOR_LIST[INVESTOR CODE],0),)," ")</f>
        <v xml:space="preserve"> </v>
      </c>
      <c r="I4829" s="142"/>
      <c r="J4829" s="168" t="s">
        <v>52</v>
      </c>
      <c r="K4829" s="226">
        <v>347500</v>
      </c>
      <c r="L4829" s="226"/>
    </row>
    <row r="4830" spans="1:12" x14ac:dyDescent="0.2">
      <c r="A4830" s="133">
        <v>2021</v>
      </c>
      <c r="B4830" s="133">
        <v>11</v>
      </c>
      <c r="C4830" s="133">
        <v>9</v>
      </c>
      <c r="D4830" s="141">
        <f t="shared" si="158"/>
        <v>44509</v>
      </c>
      <c r="E4830" s="275">
        <f t="shared" si="159"/>
        <v>44509</v>
      </c>
      <c r="F4830" s="481"/>
      <c r="G4830" s="174" t="s">
        <v>74</v>
      </c>
      <c r="H4830" s="148" t="str" cm="1">
        <f t="array" ref="H4830">IFERROR(INDEX(INVESTOR_LIST[INVESTOR NAME],MATCH(I4830,INVESTOR_LIST[INVESTOR CODE],0),)," ")</f>
        <v xml:space="preserve"> </v>
      </c>
      <c r="J4830" s="133" t="s">
        <v>13</v>
      </c>
      <c r="K4830" s="218"/>
      <c r="L4830" s="218">
        <v>243950</v>
      </c>
    </row>
    <row r="4831" spans="1:12" x14ac:dyDescent="0.2">
      <c r="A4831" s="163">
        <v>2021</v>
      </c>
      <c r="B4831" s="163">
        <v>11</v>
      </c>
      <c r="C4831" s="163">
        <v>9</v>
      </c>
      <c r="D4831" s="141">
        <f t="shared" si="158"/>
        <v>44509</v>
      </c>
      <c r="E4831" s="275">
        <f t="shared" si="159"/>
        <v>44509</v>
      </c>
      <c r="F4831" s="480"/>
      <c r="G4831" s="221" t="s">
        <v>74</v>
      </c>
      <c r="H4831" s="145" t="str" cm="1">
        <f t="array" ref="H4831">IFERROR(INDEX(INVESTOR_LIST[INVESTOR NAME],MATCH(I4831,INVESTOR_LIST[INVESTOR CODE],0),)," ")</f>
        <v xml:space="preserve"> </v>
      </c>
      <c r="I4831" s="145"/>
      <c r="J4831" s="163" t="s">
        <v>53</v>
      </c>
      <c r="K4831" s="219"/>
      <c r="L4831" s="219">
        <v>103550</v>
      </c>
    </row>
    <row r="4832" spans="1:12" x14ac:dyDescent="0.2">
      <c r="A4832" s="168">
        <v>2021</v>
      </c>
      <c r="B4832" s="168">
        <v>11</v>
      </c>
      <c r="C4832" s="168">
        <v>9</v>
      </c>
      <c r="D4832" s="141">
        <f t="shared" si="158"/>
        <v>44509</v>
      </c>
      <c r="E4832" s="275">
        <f t="shared" si="159"/>
        <v>44509</v>
      </c>
      <c r="F4832" s="479" t="s">
        <v>939</v>
      </c>
      <c r="G4832" s="220" t="s">
        <v>74</v>
      </c>
      <c r="H4832" s="220" t="str" cm="1">
        <f t="array" ref="H4832">IFERROR(INDEX(INVESTOR_LIST[INVESTOR NAME],MATCH(I4832,INVESTOR_LIST[INVESTOR CODE],0),)," ")</f>
        <v xml:space="preserve"> </v>
      </c>
      <c r="I4832" s="142" t="s">
        <v>348</v>
      </c>
      <c r="J4832" s="143" t="s">
        <v>52</v>
      </c>
      <c r="K4832" s="226">
        <v>732004.83</v>
      </c>
      <c r="L4832" s="226"/>
    </row>
    <row r="4833" spans="1:13" x14ac:dyDescent="0.2">
      <c r="A4833" s="163">
        <v>2021</v>
      </c>
      <c r="B4833" s="163">
        <v>11</v>
      </c>
      <c r="C4833" s="163">
        <v>9</v>
      </c>
      <c r="D4833" s="141">
        <f t="shared" si="158"/>
        <v>44509</v>
      </c>
      <c r="E4833" s="275">
        <f t="shared" si="159"/>
        <v>44509</v>
      </c>
      <c r="F4833" s="480"/>
      <c r="G4833" s="221" t="s">
        <v>74</v>
      </c>
      <c r="H4833" s="221" t="str" cm="1">
        <f t="array" ref="H4833">IFERROR(INDEX(INVESTOR_LIST[INVESTOR NAME],MATCH(I4833,INVESTOR_LIST[INVESTOR CODE],0),)," ")</f>
        <v xml:space="preserve"> </v>
      </c>
      <c r="I4833" s="145" t="s">
        <v>348</v>
      </c>
      <c r="J4833" s="146" t="s">
        <v>190</v>
      </c>
      <c r="K4833" s="219"/>
      <c r="L4833" s="219">
        <v>732004.83</v>
      </c>
    </row>
    <row r="4834" spans="1:13" ht="22.5" x14ac:dyDescent="0.2">
      <c r="A4834" s="168">
        <v>2021</v>
      </c>
      <c r="B4834" s="168">
        <v>11</v>
      </c>
      <c r="C4834" s="133">
        <v>10</v>
      </c>
      <c r="D4834" s="141">
        <f t="shared" si="158"/>
        <v>44510</v>
      </c>
      <c r="E4834" s="275">
        <f t="shared" si="159"/>
        <v>44510</v>
      </c>
      <c r="F4834" s="479" t="s">
        <v>965</v>
      </c>
      <c r="G4834" s="220" t="s">
        <v>74</v>
      </c>
      <c r="H4834" s="142" t="str" cm="1">
        <f t="array" ref="H4834">IFERROR(INDEX(INVESTOR_LIST[INVESTOR NAME],MATCH(I4834,INVESTOR_LIST[INVESTOR CODE],0),)," ")</f>
        <v>SAYEM AHMED</v>
      </c>
      <c r="I4834" s="142" t="s">
        <v>847</v>
      </c>
      <c r="J4834" s="168" t="s">
        <v>13</v>
      </c>
      <c r="K4834" s="226">
        <v>708720</v>
      </c>
      <c r="L4834" s="226"/>
    </row>
    <row r="4835" spans="1:13" ht="22.5" x14ac:dyDescent="0.2">
      <c r="A4835" s="133">
        <v>2021</v>
      </c>
      <c r="B4835" s="133">
        <v>11</v>
      </c>
      <c r="C4835" s="133">
        <v>10</v>
      </c>
      <c r="D4835" s="141">
        <f t="shared" si="158"/>
        <v>44510</v>
      </c>
      <c r="E4835" s="275">
        <f t="shared" si="159"/>
        <v>44510</v>
      </c>
      <c r="F4835" s="481"/>
      <c r="G4835" s="174" t="s">
        <v>74</v>
      </c>
      <c r="H4835" s="148" t="str" cm="1">
        <f t="array" ref="H4835">IFERROR(INDEX(INVESTOR_LIST[INVESTOR NAME],MATCH(I4835,INVESTOR_LIST[INVESTOR CODE],0),)," ")</f>
        <v>SAYEM AHMED</v>
      </c>
      <c r="I4835" s="148" t="s">
        <v>847</v>
      </c>
      <c r="J4835" s="133" t="s">
        <v>53</v>
      </c>
      <c r="K4835" s="172">
        <v>300497.28000000003</v>
      </c>
      <c r="L4835" s="218"/>
    </row>
    <row r="4836" spans="1:13" ht="22.5" x14ac:dyDescent="0.2">
      <c r="A4836" s="163">
        <v>2021</v>
      </c>
      <c r="B4836" s="163">
        <v>11</v>
      </c>
      <c r="C4836" s="163">
        <v>10</v>
      </c>
      <c r="D4836" s="141">
        <f t="shared" si="158"/>
        <v>44510</v>
      </c>
      <c r="E4836" s="275">
        <f t="shared" si="159"/>
        <v>44510</v>
      </c>
      <c r="F4836" s="480"/>
      <c r="G4836" s="221" t="s">
        <v>74</v>
      </c>
      <c r="H4836" s="145" t="str" cm="1">
        <f t="array" ref="H4836">IFERROR(INDEX(INVESTOR_LIST[INVESTOR NAME],MATCH(I4836,INVESTOR_LIST[INVESTOR CODE],0),)," ")</f>
        <v>SAYEM AHMED</v>
      </c>
      <c r="I4836" s="145" t="s">
        <v>847</v>
      </c>
      <c r="J4836" s="163" t="s">
        <v>52</v>
      </c>
      <c r="K4836" s="219"/>
      <c r="L4836" s="219">
        <v>1009217.28</v>
      </c>
    </row>
    <row r="4837" spans="1:13" x14ac:dyDescent="0.2">
      <c r="A4837" s="168">
        <v>2021</v>
      </c>
      <c r="B4837" s="168">
        <v>11</v>
      </c>
      <c r="C4837" s="133">
        <v>11</v>
      </c>
      <c r="D4837" s="141">
        <f t="shared" si="158"/>
        <v>44511</v>
      </c>
      <c r="E4837" s="275">
        <f t="shared" si="159"/>
        <v>44511</v>
      </c>
      <c r="F4837" s="479" t="s">
        <v>274</v>
      </c>
      <c r="G4837" s="220" t="s">
        <v>94</v>
      </c>
      <c r="H4837" s="220" t="str" cm="1">
        <f t="array" ref="H4837">IFERROR(INDEX(INVESTOR_LIST[INVESTOR NAME],MATCH(I4837,INVESTOR_LIST[INVESTOR CODE],0),)," ")</f>
        <v xml:space="preserve"> </v>
      </c>
      <c r="I4837" s="142"/>
      <c r="J4837" s="143" t="s">
        <v>79</v>
      </c>
      <c r="K4837" s="226">
        <v>5122753</v>
      </c>
      <c r="L4837" s="226"/>
    </row>
    <row r="4838" spans="1:13" x14ac:dyDescent="0.2">
      <c r="A4838" s="133">
        <v>2021</v>
      </c>
      <c r="B4838" s="133">
        <v>11</v>
      </c>
      <c r="C4838" s="133">
        <v>11</v>
      </c>
      <c r="D4838" s="141">
        <f t="shared" si="158"/>
        <v>44511</v>
      </c>
      <c r="E4838" s="275">
        <f t="shared" si="159"/>
        <v>44511</v>
      </c>
      <c r="F4838" s="481"/>
      <c r="G4838" s="174" t="s">
        <v>94</v>
      </c>
      <c r="H4838" s="174" t="str" cm="1">
        <f t="array" ref="H4838">IFERROR(INDEX(INVESTOR_LIST[INVESTOR NAME],MATCH(I4838,INVESTOR_LIST[INVESTOR CODE],0),)," ")</f>
        <v xml:space="preserve"> </v>
      </c>
      <c r="J4838" s="149" t="s">
        <v>80</v>
      </c>
      <c r="K4838" s="218">
        <v>9220.9599999999991</v>
      </c>
      <c r="L4838" s="218"/>
    </row>
    <row r="4839" spans="1:13" x14ac:dyDescent="0.2">
      <c r="A4839" s="163">
        <v>2021</v>
      </c>
      <c r="B4839" s="163">
        <v>11</v>
      </c>
      <c r="C4839" s="163">
        <v>11</v>
      </c>
      <c r="D4839" s="141">
        <f t="shared" si="158"/>
        <v>44511</v>
      </c>
      <c r="E4839" s="275">
        <f t="shared" si="159"/>
        <v>44511</v>
      </c>
      <c r="F4839" s="480"/>
      <c r="G4839" s="221" t="s">
        <v>94</v>
      </c>
      <c r="H4839" s="221" t="str" cm="1">
        <f t="array" ref="H4839">IFERROR(INDEX(INVESTOR_LIST[INVESTOR NAME],MATCH(I4839,INVESTOR_LIST[INVESTOR CODE],0),)," ")</f>
        <v xml:space="preserve"> </v>
      </c>
      <c r="I4839" s="145"/>
      <c r="J4839" s="146" t="s">
        <v>147</v>
      </c>
      <c r="K4839" s="219"/>
      <c r="L4839" s="219">
        <v>5131973.96</v>
      </c>
    </row>
    <row r="4840" spans="1:13" x14ac:dyDescent="0.2">
      <c r="A4840" s="168">
        <v>2021</v>
      </c>
      <c r="B4840" s="168">
        <v>11</v>
      </c>
      <c r="C4840" s="168">
        <v>11</v>
      </c>
      <c r="D4840" s="141">
        <f t="shared" si="158"/>
        <v>44511</v>
      </c>
      <c r="E4840" s="275">
        <f t="shared" si="159"/>
        <v>44511</v>
      </c>
      <c r="F4840" s="479" t="s">
        <v>546</v>
      </c>
      <c r="G4840" s="220" t="s">
        <v>94</v>
      </c>
      <c r="H4840" s="220" t="str" cm="1">
        <f t="array" ref="H4840">IFERROR(INDEX(INVESTOR_LIST[INVESTOR NAME],MATCH(I4840,INVESTOR_LIST[INVESTOR CODE],0),)," ")</f>
        <v xml:space="preserve"> </v>
      </c>
      <c r="I4840" s="142"/>
      <c r="J4840" s="143" t="s">
        <v>168</v>
      </c>
      <c r="K4840" s="226">
        <v>90000</v>
      </c>
      <c r="L4840" s="226"/>
    </row>
    <row r="4841" spans="1:13" x14ac:dyDescent="0.2">
      <c r="A4841" s="163">
        <v>2021</v>
      </c>
      <c r="B4841" s="163">
        <v>11</v>
      </c>
      <c r="C4841" s="163">
        <v>11</v>
      </c>
      <c r="D4841" s="141">
        <f t="shared" si="158"/>
        <v>44511</v>
      </c>
      <c r="E4841" s="275">
        <f t="shared" si="159"/>
        <v>44511</v>
      </c>
      <c r="F4841" s="480"/>
      <c r="G4841" s="221" t="s">
        <v>94</v>
      </c>
      <c r="H4841" s="221" t="str" cm="1">
        <f t="array" ref="H4841">IFERROR(INDEX(INVESTOR_LIST[INVESTOR NAME],MATCH(I4841,INVESTOR_LIST[INVESTOR CODE],0),)," ")</f>
        <v xml:space="preserve"> </v>
      </c>
      <c r="I4841" s="145"/>
      <c r="J4841" s="146" t="s">
        <v>166</v>
      </c>
      <c r="K4841" s="219"/>
      <c r="L4841" s="219">
        <v>90000</v>
      </c>
    </row>
    <row r="4842" spans="1:13" x14ac:dyDescent="0.2">
      <c r="A4842" s="238">
        <v>2021</v>
      </c>
      <c r="B4842" s="238">
        <v>11</v>
      </c>
      <c r="C4842" s="238">
        <v>11</v>
      </c>
      <c r="D4842" s="141">
        <f t="shared" si="158"/>
        <v>44511</v>
      </c>
      <c r="E4842" s="275">
        <f t="shared" si="159"/>
        <v>44511</v>
      </c>
      <c r="F4842" s="477" t="s">
        <v>347</v>
      </c>
      <c r="G4842" s="239" t="s">
        <v>94</v>
      </c>
      <c r="H4842" s="239" t="str" cm="1">
        <f t="array" ref="H4842">IFERROR(INDEX(INVESTOR_LIST[INVESTOR NAME],MATCH(I4842,INVESTOR_LIST[INVESTOR CODE],0),)," ")</f>
        <v xml:space="preserve"> </v>
      </c>
      <c r="I4842" s="262" t="s">
        <v>348</v>
      </c>
      <c r="J4842" s="240" t="s">
        <v>108</v>
      </c>
      <c r="K4842" s="241">
        <v>2806949.0300000291</v>
      </c>
      <c r="L4842" s="241"/>
    </row>
    <row r="4843" spans="1:13" x14ac:dyDescent="0.2">
      <c r="A4843" s="242">
        <v>2021</v>
      </c>
      <c r="B4843" s="242">
        <v>11</v>
      </c>
      <c r="C4843" s="242">
        <v>11</v>
      </c>
      <c r="D4843" s="141">
        <f t="shared" si="158"/>
        <v>44511</v>
      </c>
      <c r="E4843" s="275">
        <f t="shared" si="159"/>
        <v>44511</v>
      </c>
      <c r="F4843" s="478"/>
      <c r="G4843" s="243" t="s">
        <v>94</v>
      </c>
      <c r="H4843" s="243" t="str" cm="1">
        <f t="array" ref="H4843">IFERROR(INDEX(INVESTOR_LIST[INVESTOR NAME],MATCH(I4843,INVESTOR_LIST[INVESTOR CODE],0),)," ")</f>
        <v xml:space="preserve"> </v>
      </c>
      <c r="I4843" s="263" t="s">
        <v>348</v>
      </c>
      <c r="J4843" s="244" t="s">
        <v>82</v>
      </c>
      <c r="K4843" s="245"/>
      <c r="L4843" s="245">
        <v>2806949.0300000291</v>
      </c>
    </row>
    <row r="4844" spans="1:13" ht="22.5" x14ac:dyDescent="0.2">
      <c r="A4844" s="246">
        <v>2021</v>
      </c>
      <c r="B4844" s="246">
        <v>11</v>
      </c>
      <c r="C4844" s="246">
        <v>11</v>
      </c>
      <c r="D4844" s="141">
        <f t="shared" si="158"/>
        <v>44511</v>
      </c>
      <c r="E4844" s="275">
        <f t="shared" si="159"/>
        <v>44511</v>
      </c>
      <c r="F4844" s="482" t="s">
        <v>148</v>
      </c>
      <c r="G4844" s="247" t="s">
        <v>94</v>
      </c>
      <c r="H4844" s="247" t="str" cm="1">
        <f t="array" ref="H4844">IFERROR(INDEX(INVESTOR_LIST[INVESTOR NAME],MATCH(I4844,INVESTOR_LIST[INVESTOR CODE],0),)," ")</f>
        <v xml:space="preserve"> </v>
      </c>
      <c r="I4844" s="248" t="s">
        <v>348</v>
      </c>
      <c r="J4844" s="249" t="s">
        <v>95</v>
      </c>
      <c r="K4844" s="250">
        <v>2747.2527472527472</v>
      </c>
      <c r="L4844" s="241"/>
      <c r="M4844" s="133">
        <v>2747.2527472527472</v>
      </c>
    </row>
    <row r="4845" spans="1:13" x14ac:dyDescent="0.2">
      <c r="A4845" s="242">
        <v>2021</v>
      </c>
      <c r="B4845" s="242">
        <v>11</v>
      </c>
      <c r="C4845" s="242">
        <v>11</v>
      </c>
      <c r="D4845" s="141">
        <f t="shared" si="158"/>
        <v>44511</v>
      </c>
      <c r="E4845" s="275">
        <f t="shared" si="159"/>
        <v>44511</v>
      </c>
      <c r="F4845" s="478"/>
      <c r="G4845" s="243" t="s">
        <v>94</v>
      </c>
      <c r="H4845" s="243" t="str" cm="1">
        <f t="array" ref="H4845">IFERROR(INDEX(INVESTOR_LIST[INVESTOR NAME],MATCH(I4845,INVESTOR_LIST[INVESTOR CODE],0),)," ")</f>
        <v xml:space="preserve"> </v>
      </c>
      <c r="I4845" s="263" t="s">
        <v>348</v>
      </c>
      <c r="J4845" s="244" t="s">
        <v>63</v>
      </c>
      <c r="K4845" s="245"/>
      <c r="L4845" s="245">
        <v>2747.2527472527472</v>
      </c>
      <c r="M4845" s="133">
        <v>89755.033469601505</v>
      </c>
    </row>
    <row r="4846" spans="1:13" x14ac:dyDescent="0.2">
      <c r="A4846" s="246">
        <v>2021</v>
      </c>
      <c r="B4846" s="246">
        <v>11</v>
      </c>
      <c r="C4846" s="246">
        <v>11</v>
      </c>
      <c r="D4846" s="141">
        <f t="shared" si="158"/>
        <v>44511</v>
      </c>
      <c r="E4846" s="275">
        <f t="shared" si="159"/>
        <v>44511</v>
      </c>
      <c r="F4846" s="482" t="s">
        <v>137</v>
      </c>
      <c r="G4846" s="247" t="s">
        <v>94</v>
      </c>
      <c r="H4846" s="247" t="str" cm="1">
        <f t="array" ref="H4846">IFERROR(INDEX(INVESTOR_LIST[INVESTOR NAME],MATCH(I4846,INVESTOR_LIST[INVESTOR CODE],0),)," ")</f>
        <v xml:space="preserve"> </v>
      </c>
      <c r="I4846" s="248" t="s">
        <v>348</v>
      </c>
      <c r="J4846" s="249" t="s">
        <v>97</v>
      </c>
      <c r="K4846" s="250">
        <v>89755.033469601505</v>
      </c>
      <c r="L4846" s="252"/>
      <c r="M4846" s="133">
        <v>4247.3670580954595</v>
      </c>
    </row>
    <row r="4847" spans="1:13" x14ac:dyDescent="0.2">
      <c r="A4847" s="242">
        <v>2021</v>
      </c>
      <c r="B4847" s="242">
        <v>11</v>
      </c>
      <c r="C4847" s="242">
        <v>11</v>
      </c>
      <c r="D4847" s="141">
        <f t="shared" si="158"/>
        <v>44511</v>
      </c>
      <c r="E4847" s="275">
        <f t="shared" si="159"/>
        <v>44511</v>
      </c>
      <c r="F4847" s="478"/>
      <c r="G4847" s="243" t="s">
        <v>94</v>
      </c>
      <c r="H4847" s="243" t="str" cm="1">
        <f t="array" ref="H4847">IFERROR(INDEX(INVESTOR_LIST[INVESTOR NAME],MATCH(I4847,INVESTOR_LIST[INVESTOR CODE],0),)," ")</f>
        <v xml:space="preserve"> </v>
      </c>
      <c r="I4847" s="263" t="s">
        <v>348</v>
      </c>
      <c r="J4847" s="244" t="s">
        <v>47</v>
      </c>
      <c r="K4847" s="245"/>
      <c r="L4847" s="245">
        <v>89755.033469601505</v>
      </c>
    </row>
    <row r="4848" spans="1:13" x14ac:dyDescent="0.2">
      <c r="A4848" s="246">
        <v>2021</v>
      </c>
      <c r="B4848" s="246">
        <v>11</v>
      </c>
      <c r="C4848" s="246">
        <v>11</v>
      </c>
      <c r="D4848" s="141">
        <f t="shared" si="158"/>
        <v>44511</v>
      </c>
      <c r="E4848" s="275">
        <f t="shared" si="159"/>
        <v>44511</v>
      </c>
      <c r="F4848" s="482" t="s">
        <v>138</v>
      </c>
      <c r="G4848" s="247" t="s">
        <v>94</v>
      </c>
      <c r="H4848" s="247" t="str" cm="1">
        <f t="array" ref="H4848">IFERROR(INDEX(INVESTOR_LIST[INVESTOR NAME],MATCH(I4848,INVESTOR_LIST[INVESTOR CODE],0),)," ")</f>
        <v xml:space="preserve"> </v>
      </c>
      <c r="I4848" s="248" t="s">
        <v>348</v>
      </c>
      <c r="J4848" s="249" t="s">
        <v>100</v>
      </c>
      <c r="K4848" s="250">
        <v>4247.3670580954595</v>
      </c>
      <c r="L4848" s="252"/>
    </row>
    <row r="4849" spans="1:14" x14ac:dyDescent="0.2">
      <c r="A4849" s="242">
        <v>2021</v>
      </c>
      <c r="B4849" s="242">
        <v>11</v>
      </c>
      <c r="C4849" s="242">
        <v>11</v>
      </c>
      <c r="D4849" s="141">
        <f t="shared" si="158"/>
        <v>44511</v>
      </c>
      <c r="E4849" s="275">
        <f t="shared" si="159"/>
        <v>44511</v>
      </c>
      <c r="F4849" s="478"/>
      <c r="G4849" s="243" t="s">
        <v>94</v>
      </c>
      <c r="H4849" s="243" t="str" cm="1">
        <f t="array" ref="H4849">IFERROR(INDEX(INVESTOR_LIST[INVESTOR NAME],MATCH(I4849,INVESTOR_LIST[INVESTOR CODE],0),)," ")</f>
        <v xml:space="preserve"> </v>
      </c>
      <c r="I4849" s="263" t="s">
        <v>348</v>
      </c>
      <c r="J4849" s="244" t="s">
        <v>48</v>
      </c>
      <c r="K4849" s="245"/>
      <c r="L4849" s="245">
        <v>4247.3670580954595</v>
      </c>
    </row>
    <row r="4850" spans="1:14" x14ac:dyDescent="0.2">
      <c r="A4850" s="168">
        <v>2021</v>
      </c>
      <c r="B4850" s="168">
        <v>11</v>
      </c>
      <c r="C4850" s="168">
        <v>14</v>
      </c>
      <c r="D4850" s="141">
        <f t="shared" si="158"/>
        <v>44514</v>
      </c>
      <c r="E4850" s="275">
        <f t="shared" si="159"/>
        <v>44514</v>
      </c>
      <c r="F4850" s="479" t="s">
        <v>909</v>
      </c>
      <c r="G4850" s="220" t="s">
        <v>94</v>
      </c>
      <c r="H4850" s="220" t="str" cm="1">
        <f t="array" ref="H4850">IFERROR(INDEX(INVESTOR_LIST[INVESTOR NAME],MATCH(I4850,INVESTOR_LIST[INVESTOR CODE],0),)," ")</f>
        <v xml:space="preserve"> </v>
      </c>
      <c r="I4850" s="142" t="s">
        <v>348</v>
      </c>
      <c r="J4850" s="143" t="s">
        <v>79</v>
      </c>
      <c r="K4850" s="226">
        <v>1808187.8</v>
      </c>
      <c r="L4850" s="226"/>
    </row>
    <row r="4851" spans="1:14" x14ac:dyDescent="0.2">
      <c r="A4851" s="133">
        <v>2021</v>
      </c>
      <c r="B4851" s="133">
        <v>11</v>
      </c>
      <c r="C4851" s="133">
        <v>14</v>
      </c>
      <c r="D4851" s="141">
        <f t="shared" si="158"/>
        <v>44514</v>
      </c>
      <c r="E4851" s="275">
        <f t="shared" si="159"/>
        <v>44514</v>
      </c>
      <c r="F4851" s="481"/>
      <c r="G4851" s="174" t="s">
        <v>94</v>
      </c>
      <c r="H4851" s="174" t="str" cm="1">
        <f t="array" ref="H4851">IFERROR(INDEX(INVESTOR_LIST[INVESTOR NAME],MATCH(I4851,INVESTOR_LIST[INVESTOR CODE],0),)," ")</f>
        <v xml:space="preserve"> </v>
      </c>
      <c r="I4851" s="148" t="s">
        <v>348</v>
      </c>
      <c r="J4851" s="149" t="s">
        <v>80</v>
      </c>
      <c r="K4851" s="218">
        <f>3254.74+1166.59+2215.25</f>
        <v>6636.58</v>
      </c>
      <c r="L4851" s="218"/>
    </row>
    <row r="4852" spans="1:14" x14ac:dyDescent="0.2">
      <c r="A4852" s="133">
        <v>2021</v>
      </c>
      <c r="B4852" s="133">
        <v>11</v>
      </c>
      <c r="C4852" s="133">
        <v>14</v>
      </c>
      <c r="D4852" s="141">
        <f t="shared" si="158"/>
        <v>44514</v>
      </c>
      <c r="E4852" s="275">
        <f t="shared" si="159"/>
        <v>44514</v>
      </c>
      <c r="F4852" s="481"/>
      <c r="G4852" s="174" t="s">
        <v>94</v>
      </c>
      <c r="H4852" s="174" t="str" cm="1">
        <f t="array" ref="H4852">IFERROR(INDEX(INVESTOR_LIST[INVESTOR NAME],MATCH(I4852,INVESTOR_LIST[INVESTOR CODE],0),)," ")</f>
        <v xml:space="preserve"> </v>
      </c>
      <c r="I4852" s="148" t="s">
        <v>348</v>
      </c>
      <c r="J4852" s="149" t="s">
        <v>190</v>
      </c>
      <c r="K4852" s="218">
        <v>63976.82</v>
      </c>
      <c r="L4852" s="218"/>
    </row>
    <row r="4853" spans="1:14" x14ac:dyDescent="0.2">
      <c r="A4853" s="133">
        <v>2021</v>
      </c>
      <c r="B4853" s="133">
        <v>11</v>
      </c>
      <c r="C4853" s="133">
        <v>14</v>
      </c>
      <c r="D4853" s="141">
        <f t="shared" si="158"/>
        <v>44514</v>
      </c>
      <c r="E4853" s="275">
        <f t="shared" si="159"/>
        <v>44514</v>
      </c>
      <c r="F4853" s="481"/>
      <c r="G4853" s="174" t="s">
        <v>94</v>
      </c>
      <c r="H4853" s="174" t="str" cm="1">
        <f t="array" ref="H4853">IFERROR(INDEX(INVESTOR_LIST[INVESTOR NAME],MATCH(I4853,INVESTOR_LIST[INVESTOR CODE],0),)," ")</f>
        <v xml:space="preserve"> </v>
      </c>
      <c r="I4853" s="148" t="s">
        <v>348</v>
      </c>
      <c r="J4853" s="149" t="s">
        <v>191</v>
      </c>
      <c r="K4853" s="218"/>
      <c r="L4853" s="218">
        <v>156546.09</v>
      </c>
    </row>
    <row r="4854" spans="1:14" x14ac:dyDescent="0.2">
      <c r="A4854" s="163">
        <v>2021</v>
      </c>
      <c r="B4854" s="163">
        <v>11</v>
      </c>
      <c r="C4854" s="163">
        <v>14</v>
      </c>
      <c r="D4854" s="141">
        <f t="shared" si="158"/>
        <v>44514</v>
      </c>
      <c r="E4854" s="275">
        <f t="shared" si="159"/>
        <v>44514</v>
      </c>
      <c r="F4854" s="480"/>
      <c r="G4854" s="221" t="s">
        <v>94</v>
      </c>
      <c r="H4854" s="145" t="str" cm="1">
        <f t="array" ref="H4854">IFERROR(INDEX(INVESTOR_LIST[INVESTOR NAME],MATCH(I4854,INVESTOR_LIST[INVESTOR CODE],0),)," ")</f>
        <v xml:space="preserve"> </v>
      </c>
      <c r="I4854" s="145"/>
      <c r="J4854" s="163" t="s">
        <v>79</v>
      </c>
      <c r="K4854" s="219"/>
      <c r="L4854" s="219">
        <v>1722255.1099999999</v>
      </c>
    </row>
    <row r="4855" spans="1:14" x14ac:dyDescent="0.2">
      <c r="A4855" s="133">
        <v>2021</v>
      </c>
      <c r="B4855" s="133">
        <v>11</v>
      </c>
      <c r="C4855" s="133">
        <v>15</v>
      </c>
      <c r="D4855" s="141">
        <f t="shared" si="158"/>
        <v>44515</v>
      </c>
      <c r="E4855" s="275">
        <f t="shared" si="159"/>
        <v>44515</v>
      </c>
      <c r="F4855" s="479" t="s">
        <v>952</v>
      </c>
      <c r="G4855" s="174" t="s">
        <v>94</v>
      </c>
      <c r="H4855" s="148" t="str" cm="1">
        <f t="array" ref="H4855">IFERROR(INDEX(INVESTOR_LIST[INVESTOR NAME],MATCH(I4855,INVESTOR_LIST[INVESTOR CODE],0),)," ")</f>
        <v xml:space="preserve"> </v>
      </c>
      <c r="I4855" s="148" t="s">
        <v>348</v>
      </c>
      <c r="J4855" s="133" t="s">
        <v>168</v>
      </c>
      <c r="K4855" s="172">
        <v>261000</v>
      </c>
    </row>
    <row r="4856" spans="1:14" x14ac:dyDescent="0.2">
      <c r="A4856" s="163">
        <v>2021</v>
      </c>
      <c r="B4856" s="163">
        <v>11</v>
      </c>
      <c r="C4856" s="163">
        <v>15</v>
      </c>
      <c r="D4856" s="141">
        <f t="shared" si="158"/>
        <v>44515</v>
      </c>
      <c r="E4856" s="275">
        <f t="shared" si="159"/>
        <v>44515</v>
      </c>
      <c r="F4856" s="480"/>
      <c r="G4856" s="221" t="s">
        <v>94</v>
      </c>
      <c r="H4856" s="145" t="str" cm="1">
        <f t="array" ref="H4856">IFERROR(INDEX(INVESTOR_LIST[INVESTOR NAME],MATCH(I4856,INVESTOR_LIST[INVESTOR CODE],0),)," ")</f>
        <v xml:space="preserve"> </v>
      </c>
      <c r="I4856" s="145" t="s">
        <v>348</v>
      </c>
      <c r="J4856" s="163" t="s">
        <v>166</v>
      </c>
      <c r="K4856" s="219"/>
      <c r="L4856" s="219">
        <v>261000</v>
      </c>
    </row>
    <row r="4857" spans="1:14" x14ac:dyDescent="0.2">
      <c r="A4857" s="168">
        <v>2021</v>
      </c>
      <c r="B4857" s="168">
        <v>11</v>
      </c>
      <c r="C4857" s="133">
        <v>15</v>
      </c>
      <c r="D4857" s="141">
        <f t="shared" si="158"/>
        <v>44515</v>
      </c>
      <c r="E4857" s="275">
        <f t="shared" si="159"/>
        <v>44515</v>
      </c>
      <c r="F4857" s="479" t="s">
        <v>877</v>
      </c>
      <c r="G4857" s="220" t="s">
        <v>94</v>
      </c>
      <c r="H4857" s="220" t="str" cm="1">
        <f t="array" ref="H4857">IFERROR(INDEX(INVESTOR_LIST[INVESTOR NAME],MATCH(I4857,INVESTOR_LIST[INVESTOR CODE],0),)," ")</f>
        <v xml:space="preserve"> </v>
      </c>
      <c r="I4857" s="142"/>
      <c r="J4857" s="143" t="s">
        <v>79</v>
      </c>
      <c r="K4857" s="226">
        <v>3727140</v>
      </c>
      <c r="L4857" s="226"/>
    </row>
    <row r="4858" spans="1:14" x14ac:dyDescent="0.2">
      <c r="A4858" s="133">
        <v>2021</v>
      </c>
      <c r="B4858" s="133">
        <v>11</v>
      </c>
      <c r="C4858" s="133">
        <v>15</v>
      </c>
      <c r="D4858" s="141">
        <f t="shared" si="158"/>
        <v>44515</v>
      </c>
      <c r="E4858" s="275">
        <f t="shared" si="159"/>
        <v>44515</v>
      </c>
      <c r="F4858" s="481"/>
      <c r="G4858" s="174" t="s">
        <v>94</v>
      </c>
      <c r="H4858" s="174" t="str" cm="1">
        <f t="array" ref="H4858">IFERROR(INDEX(INVESTOR_LIST[INVESTOR NAME],MATCH(I4858,INVESTOR_LIST[INVESTOR CODE],0),)," ")</f>
        <v xml:space="preserve"> </v>
      </c>
      <c r="J4858" s="149" t="s">
        <v>80</v>
      </c>
      <c r="K4858" s="218">
        <v>6708.85</v>
      </c>
      <c r="L4858" s="218"/>
    </row>
    <row r="4859" spans="1:14" x14ac:dyDescent="0.2">
      <c r="A4859" s="163">
        <v>2021</v>
      </c>
      <c r="B4859" s="163">
        <v>11</v>
      </c>
      <c r="C4859" s="163">
        <v>15</v>
      </c>
      <c r="D4859" s="141">
        <f t="shared" si="158"/>
        <v>44515</v>
      </c>
      <c r="E4859" s="275">
        <f t="shared" si="159"/>
        <v>44515</v>
      </c>
      <c r="F4859" s="480"/>
      <c r="G4859" s="221" t="s">
        <v>94</v>
      </c>
      <c r="H4859" s="221" t="str" cm="1">
        <f t="array" ref="H4859">IFERROR(INDEX(INVESTOR_LIST[INVESTOR NAME],MATCH(I4859,INVESTOR_LIST[INVESTOR CODE],0),)," ")</f>
        <v xml:space="preserve"> </v>
      </c>
      <c r="I4859" s="145"/>
      <c r="J4859" s="146" t="s">
        <v>147</v>
      </c>
      <c r="K4859" s="219"/>
      <c r="L4859" s="219">
        <v>3733848.85</v>
      </c>
    </row>
    <row r="4860" spans="1:14" x14ac:dyDescent="0.2">
      <c r="A4860" s="168">
        <v>2021</v>
      </c>
      <c r="B4860" s="168">
        <v>11</v>
      </c>
      <c r="C4860" s="168">
        <v>15</v>
      </c>
      <c r="D4860" s="141">
        <f t="shared" si="158"/>
        <v>44515</v>
      </c>
      <c r="E4860" s="275">
        <f t="shared" si="159"/>
        <v>44515</v>
      </c>
      <c r="F4860" s="479" t="s">
        <v>275</v>
      </c>
      <c r="G4860" s="220" t="s">
        <v>74</v>
      </c>
      <c r="H4860" s="220" t="str" cm="1">
        <f t="array" ref="H4860">IFERROR(INDEX(INVESTOR_LIST[INVESTOR NAME],MATCH(I4860,INVESTOR_LIST[INVESTOR CODE],0),)," ")</f>
        <v xml:space="preserve"> </v>
      </c>
      <c r="I4860" s="142" t="s">
        <v>348</v>
      </c>
      <c r="J4860" s="143" t="s">
        <v>163</v>
      </c>
      <c r="K4860" s="226">
        <v>3150</v>
      </c>
      <c r="L4860" s="226"/>
    </row>
    <row r="4861" spans="1:14" x14ac:dyDescent="0.2">
      <c r="A4861" s="163">
        <v>2021</v>
      </c>
      <c r="B4861" s="163">
        <v>11</v>
      </c>
      <c r="C4861" s="163">
        <v>15</v>
      </c>
      <c r="D4861" s="141">
        <f t="shared" si="158"/>
        <v>44515</v>
      </c>
      <c r="E4861" s="275">
        <f t="shared" si="159"/>
        <v>44515</v>
      </c>
      <c r="F4861" s="480"/>
      <c r="G4861" s="221" t="s">
        <v>74</v>
      </c>
      <c r="H4861" s="221" t="str" cm="1">
        <f t="array" ref="H4861">IFERROR(INDEX(INVESTOR_LIST[INVESTOR NAME],MATCH(I4861,INVESTOR_LIST[INVESTOR CODE],0),)," ")</f>
        <v xml:space="preserve"> </v>
      </c>
      <c r="I4861" s="145" t="s">
        <v>348</v>
      </c>
      <c r="J4861" s="146" t="s">
        <v>52</v>
      </c>
      <c r="K4861" s="219"/>
      <c r="L4861" s="219">
        <v>3150</v>
      </c>
      <c r="N4861" s="156">
        <f>K4871/14.24</f>
        <v>10533.707865168539</v>
      </c>
    </row>
    <row r="4862" spans="1:14" x14ac:dyDescent="0.2">
      <c r="A4862" s="168">
        <v>2021</v>
      </c>
      <c r="B4862" s="168">
        <v>11</v>
      </c>
      <c r="C4862" s="168">
        <v>15</v>
      </c>
      <c r="D4862" s="141">
        <f t="shared" si="158"/>
        <v>44515</v>
      </c>
      <c r="E4862" s="275">
        <f t="shared" si="159"/>
        <v>44515</v>
      </c>
      <c r="F4862" s="481" t="s">
        <v>265</v>
      </c>
      <c r="G4862" s="174" t="s">
        <v>74</v>
      </c>
      <c r="H4862" s="174" t="str" cm="1">
        <f t="array" ref="H4862">IFERROR(INDEX(INVESTOR_LIST[INVESTOR NAME],MATCH(I4862,INVESTOR_LIST[INVESTOR CODE],0),)," ")</f>
        <v xml:space="preserve"> </v>
      </c>
      <c r="I4862" s="148" t="s">
        <v>348</v>
      </c>
      <c r="J4862" s="149" t="s">
        <v>175</v>
      </c>
      <c r="K4862" s="218">
        <v>72492.850000000006</v>
      </c>
      <c r="L4862" s="218"/>
    </row>
    <row r="4863" spans="1:14" x14ac:dyDescent="0.2">
      <c r="A4863" s="163">
        <v>2021</v>
      </c>
      <c r="B4863" s="163">
        <v>11</v>
      </c>
      <c r="C4863" s="163">
        <v>15</v>
      </c>
      <c r="D4863" s="141">
        <f t="shared" si="158"/>
        <v>44515</v>
      </c>
      <c r="E4863" s="275">
        <f t="shared" si="159"/>
        <v>44515</v>
      </c>
      <c r="F4863" s="480"/>
      <c r="G4863" s="221" t="s">
        <v>74</v>
      </c>
      <c r="H4863" s="221" t="str" cm="1">
        <f t="array" ref="H4863">IFERROR(INDEX(INVESTOR_LIST[INVESTOR NAME],MATCH(I4863,INVESTOR_LIST[INVESTOR CODE],0),)," ")</f>
        <v xml:space="preserve"> </v>
      </c>
      <c r="I4863" s="145" t="s">
        <v>348</v>
      </c>
      <c r="J4863" s="146" t="s">
        <v>52</v>
      </c>
      <c r="K4863" s="219"/>
      <c r="L4863" s="219">
        <v>72492.850000000006</v>
      </c>
    </row>
    <row r="4864" spans="1:14" x14ac:dyDescent="0.2">
      <c r="A4864" s="168">
        <v>2021</v>
      </c>
      <c r="B4864" s="168">
        <v>11</v>
      </c>
      <c r="C4864" s="168">
        <v>15</v>
      </c>
      <c r="D4864" s="141">
        <f t="shared" si="158"/>
        <v>44515</v>
      </c>
      <c r="E4864" s="275">
        <f t="shared" si="159"/>
        <v>44515</v>
      </c>
      <c r="F4864" s="479" t="s">
        <v>941</v>
      </c>
      <c r="G4864" s="220" t="s">
        <v>74</v>
      </c>
      <c r="H4864" s="220" t="str" cm="1">
        <f t="array" ref="H4864">IFERROR(INDEX(INVESTOR_LIST[INVESTOR NAME],MATCH(I4864,INVESTOR_LIST[INVESTOR CODE],0),)," ")</f>
        <v xml:space="preserve"> </v>
      </c>
      <c r="I4864" s="142" t="s">
        <v>348</v>
      </c>
      <c r="J4864" s="143" t="s">
        <v>147</v>
      </c>
      <c r="K4864" s="226">
        <v>3733848.85</v>
      </c>
      <c r="L4864" s="226"/>
      <c r="N4864" s="156">
        <f>K4874/14.24</f>
        <v>55466.292134831463</v>
      </c>
    </row>
    <row r="4865" spans="1:14" x14ac:dyDescent="0.2">
      <c r="A4865" s="163">
        <v>2021</v>
      </c>
      <c r="B4865" s="163">
        <v>11</v>
      </c>
      <c r="C4865" s="163">
        <v>15</v>
      </c>
      <c r="D4865" s="141">
        <f t="shared" si="158"/>
        <v>44515</v>
      </c>
      <c r="E4865" s="275">
        <f t="shared" si="159"/>
        <v>44515</v>
      </c>
      <c r="F4865" s="480"/>
      <c r="G4865" s="221" t="s">
        <v>74</v>
      </c>
      <c r="H4865" s="221" t="str" cm="1">
        <f t="array" ref="H4865">IFERROR(INDEX(INVESTOR_LIST[INVESTOR NAME],MATCH(I4865,INVESTOR_LIST[INVESTOR CODE],0),)," ")</f>
        <v xml:space="preserve"> </v>
      </c>
      <c r="I4865" s="145" t="s">
        <v>348</v>
      </c>
      <c r="J4865" s="146" t="s">
        <v>52</v>
      </c>
      <c r="K4865" s="219"/>
      <c r="L4865" s="219">
        <v>3733848.85</v>
      </c>
    </row>
    <row r="4866" spans="1:14" x14ac:dyDescent="0.2">
      <c r="A4866" s="168">
        <v>2021</v>
      </c>
      <c r="B4866" s="168">
        <v>11</v>
      </c>
      <c r="C4866" s="168">
        <v>15</v>
      </c>
      <c r="D4866" s="141">
        <f t="shared" si="158"/>
        <v>44515</v>
      </c>
      <c r="E4866" s="275">
        <f t="shared" si="159"/>
        <v>44515</v>
      </c>
      <c r="F4866" s="479" t="s">
        <v>937</v>
      </c>
      <c r="G4866" s="220" t="s">
        <v>74</v>
      </c>
      <c r="H4866" s="220" t="str" cm="1">
        <f t="array" ref="H4866">IFERROR(INDEX(INVESTOR_LIST[INVESTOR NAME],MATCH(I4866,INVESTOR_LIST[INVESTOR CODE],0),)," ")</f>
        <v xml:space="preserve"> </v>
      </c>
      <c r="I4866" s="142" t="s">
        <v>348</v>
      </c>
      <c r="J4866" s="143" t="s">
        <v>147</v>
      </c>
      <c r="K4866" s="226">
        <v>5131973.96</v>
      </c>
      <c r="L4866" s="226"/>
    </row>
    <row r="4867" spans="1:14" x14ac:dyDescent="0.2">
      <c r="A4867" s="163">
        <v>2021</v>
      </c>
      <c r="B4867" s="163">
        <v>11</v>
      </c>
      <c r="C4867" s="163">
        <v>15</v>
      </c>
      <c r="D4867" s="141">
        <f t="shared" si="158"/>
        <v>44515</v>
      </c>
      <c r="E4867" s="275">
        <f t="shared" si="159"/>
        <v>44515</v>
      </c>
      <c r="F4867" s="480"/>
      <c r="G4867" s="221" t="s">
        <v>74</v>
      </c>
      <c r="H4867" s="221" t="str" cm="1">
        <f t="array" ref="H4867">IFERROR(INDEX(INVESTOR_LIST[INVESTOR NAME],MATCH(I4867,INVESTOR_LIST[INVESTOR CODE],0),)," ")</f>
        <v xml:space="preserve"> </v>
      </c>
      <c r="I4867" s="145" t="s">
        <v>348</v>
      </c>
      <c r="J4867" s="146" t="s">
        <v>52</v>
      </c>
      <c r="K4867" s="219"/>
      <c r="L4867" s="219">
        <v>5131973.96</v>
      </c>
    </row>
    <row r="4868" spans="1:14" ht="11.25" customHeight="1" x14ac:dyDescent="0.2">
      <c r="A4868" s="168">
        <v>2021</v>
      </c>
      <c r="B4868" s="168">
        <v>11</v>
      </c>
      <c r="C4868" s="133">
        <v>15</v>
      </c>
      <c r="D4868" s="141">
        <f t="shared" si="158"/>
        <v>44515</v>
      </c>
      <c r="E4868" s="275">
        <f t="shared" si="159"/>
        <v>44515</v>
      </c>
      <c r="F4868" s="479" t="s">
        <v>964</v>
      </c>
      <c r="G4868" s="220" t="s">
        <v>74</v>
      </c>
      <c r="H4868" s="142" t="str" cm="1">
        <f t="array" ref="H4868">IFERROR(INDEX(INVESTOR_LIST[INVESTOR NAME],MATCH(I4868,INVESTOR_LIST[INVESTOR CODE],0),)," ")</f>
        <v>ZAKIA SULTANA</v>
      </c>
      <c r="I4868" s="142" t="s">
        <v>942</v>
      </c>
      <c r="J4868" s="168" t="s">
        <v>52</v>
      </c>
      <c r="K4868" s="226">
        <v>5054</v>
      </c>
      <c r="L4868" s="226"/>
    </row>
    <row r="4869" spans="1:14" ht="11.25" customHeight="1" x14ac:dyDescent="0.2">
      <c r="A4869" s="133">
        <v>2021</v>
      </c>
      <c r="B4869" s="133">
        <v>11</v>
      </c>
      <c r="C4869" s="133">
        <v>15</v>
      </c>
      <c r="D4869" s="141">
        <f t="shared" si="158"/>
        <v>44515</v>
      </c>
      <c r="E4869" s="275">
        <f t="shared" si="159"/>
        <v>44515</v>
      </c>
      <c r="F4869" s="481"/>
      <c r="G4869" s="174" t="s">
        <v>74</v>
      </c>
      <c r="H4869" s="148" t="str" cm="1">
        <f t="array" ref="H4869">IFERROR(INDEX(INVESTOR_LIST[INVESTOR NAME],MATCH(I4869,INVESTOR_LIST[INVESTOR CODE],0),)," ")</f>
        <v>ZAKIA SULTANA</v>
      </c>
      <c r="I4869" s="148" t="s">
        <v>942</v>
      </c>
      <c r="J4869" s="133" t="s">
        <v>13</v>
      </c>
      <c r="K4869" s="218"/>
      <c r="L4869" s="218">
        <v>3500</v>
      </c>
    </row>
    <row r="4870" spans="1:14" ht="22.5" x14ac:dyDescent="0.2">
      <c r="A4870" s="163">
        <v>2021</v>
      </c>
      <c r="B4870" s="163">
        <v>11</v>
      </c>
      <c r="C4870" s="163">
        <v>15</v>
      </c>
      <c r="D4870" s="141">
        <f t="shared" si="158"/>
        <v>44515</v>
      </c>
      <c r="E4870" s="275">
        <f t="shared" si="159"/>
        <v>44515</v>
      </c>
      <c r="F4870" s="480"/>
      <c r="G4870" s="221" t="s">
        <v>74</v>
      </c>
      <c r="H4870" s="145" t="str" cm="1">
        <f t="array" ref="H4870">IFERROR(INDEX(INVESTOR_LIST[INVESTOR NAME],MATCH(I4870,INVESTOR_LIST[INVESTOR CODE],0),)," ")</f>
        <v>ZAKIA SULTANA</v>
      </c>
      <c r="I4870" s="145" t="s">
        <v>942</v>
      </c>
      <c r="J4870" s="163" t="s">
        <v>53</v>
      </c>
      <c r="K4870" s="219"/>
      <c r="L4870" s="219">
        <v>1554</v>
      </c>
      <c r="N4870" s="156">
        <f>K4877/14.44</f>
        <v>6925.2077562326876</v>
      </c>
    </row>
    <row r="4871" spans="1:14" ht="11.25" customHeight="1" x14ac:dyDescent="0.2">
      <c r="A4871" s="168">
        <v>2021</v>
      </c>
      <c r="B4871" s="168">
        <v>11</v>
      </c>
      <c r="C4871" s="133">
        <v>15</v>
      </c>
      <c r="D4871" s="141">
        <f t="shared" si="158"/>
        <v>44515</v>
      </c>
      <c r="E4871" s="275">
        <f t="shared" si="159"/>
        <v>44515</v>
      </c>
      <c r="F4871" s="479" t="s">
        <v>964</v>
      </c>
      <c r="G4871" s="220" t="s">
        <v>74</v>
      </c>
      <c r="H4871" s="142" t="str" cm="1">
        <f t="array" ref="H4871">IFERROR(INDEX(INVESTOR_LIST[INVESTOR NAME],MATCH(I4871,INVESTOR_LIST[INVESTOR CODE],0),)," ")</f>
        <v>MD. WALID - AL - ZUBAYER</v>
      </c>
      <c r="I4871" s="142" t="s">
        <v>764</v>
      </c>
      <c r="J4871" s="168" t="s">
        <v>52</v>
      </c>
      <c r="K4871" s="226">
        <v>150000</v>
      </c>
      <c r="L4871" s="226"/>
    </row>
    <row r="4872" spans="1:14" ht="11.25" customHeight="1" x14ac:dyDescent="0.2">
      <c r="A4872" s="133">
        <v>2021</v>
      </c>
      <c r="B4872" s="133">
        <v>11</v>
      </c>
      <c r="C4872" s="133">
        <v>15</v>
      </c>
      <c r="D4872" s="141">
        <f t="shared" si="158"/>
        <v>44515</v>
      </c>
      <c r="E4872" s="275">
        <f t="shared" si="159"/>
        <v>44515</v>
      </c>
      <c r="F4872" s="481"/>
      <c r="G4872" s="174" t="s">
        <v>74</v>
      </c>
      <c r="H4872" s="148" t="str" cm="1">
        <f t="array" ref="H4872">IFERROR(INDEX(INVESTOR_LIST[INVESTOR NAME],MATCH(I4872,INVESTOR_LIST[INVESTOR CODE],0),)," ")</f>
        <v>MD. WALID - AL - ZUBAYER</v>
      </c>
      <c r="I4872" s="148" t="s">
        <v>764</v>
      </c>
      <c r="J4872" s="133" t="s">
        <v>13</v>
      </c>
      <c r="K4872" s="218"/>
      <c r="L4872" s="218">
        <v>105340</v>
      </c>
    </row>
    <row r="4873" spans="1:14" ht="45" x14ac:dyDescent="0.2">
      <c r="A4873" s="163">
        <v>2021</v>
      </c>
      <c r="B4873" s="163">
        <v>11</v>
      </c>
      <c r="C4873" s="163">
        <v>15</v>
      </c>
      <c r="D4873" s="141">
        <f t="shared" si="158"/>
        <v>44515</v>
      </c>
      <c r="E4873" s="275">
        <f t="shared" si="159"/>
        <v>44515</v>
      </c>
      <c r="F4873" s="480"/>
      <c r="G4873" s="221" t="s">
        <v>74</v>
      </c>
      <c r="H4873" s="145" t="str" cm="1">
        <f t="array" ref="H4873">IFERROR(INDEX(INVESTOR_LIST[INVESTOR NAME],MATCH(I4873,INVESTOR_LIST[INVESTOR CODE],0),)," ")</f>
        <v>MD. WALID - AL - ZUBAYER</v>
      </c>
      <c r="I4873" s="145" t="s">
        <v>764</v>
      </c>
      <c r="J4873" s="163" t="s">
        <v>53</v>
      </c>
      <c r="K4873" s="219"/>
      <c r="L4873" s="219">
        <v>44660</v>
      </c>
      <c r="N4873" s="156">
        <f>K4880/14.44</f>
        <v>69252.077562326871</v>
      </c>
    </row>
    <row r="4874" spans="1:14" ht="11.25" customHeight="1" x14ac:dyDescent="0.2">
      <c r="A4874" s="168">
        <v>2021</v>
      </c>
      <c r="B4874" s="168">
        <v>11</v>
      </c>
      <c r="C4874" s="133">
        <v>16</v>
      </c>
      <c r="D4874" s="141">
        <f t="shared" si="158"/>
        <v>44516</v>
      </c>
      <c r="E4874" s="275">
        <f t="shared" si="159"/>
        <v>44516</v>
      </c>
      <c r="F4874" s="479" t="s">
        <v>964</v>
      </c>
      <c r="G4874" s="220" t="s">
        <v>74</v>
      </c>
      <c r="H4874" s="142" t="str" cm="1">
        <f t="array" ref="H4874">IFERROR(INDEX(INVESTOR_LIST[INVESTOR NAME],MATCH(I4874,INVESTOR_LIST[INVESTOR CODE],0),)," ")</f>
        <v>MD. WALID - AL - ZUBAYER</v>
      </c>
      <c r="I4874" s="142" t="s">
        <v>764</v>
      </c>
      <c r="J4874" s="168" t="s">
        <v>52</v>
      </c>
      <c r="K4874" s="226">
        <v>789840</v>
      </c>
      <c r="L4874" s="226"/>
    </row>
    <row r="4875" spans="1:14" ht="45" x14ac:dyDescent="0.2">
      <c r="A4875" s="133">
        <v>2021</v>
      </c>
      <c r="B4875" s="133">
        <v>11</v>
      </c>
      <c r="C4875" s="133">
        <v>16</v>
      </c>
      <c r="D4875" s="141">
        <f t="shared" si="158"/>
        <v>44516</v>
      </c>
      <c r="E4875" s="275">
        <f t="shared" si="159"/>
        <v>44516</v>
      </c>
      <c r="F4875" s="481"/>
      <c r="G4875" s="174" t="s">
        <v>74</v>
      </c>
      <c r="H4875" s="148" t="str" cm="1">
        <f t="array" ref="H4875">IFERROR(INDEX(INVESTOR_LIST[INVESTOR NAME],MATCH(I4875,INVESTOR_LIST[INVESTOR CODE],0),)," ")</f>
        <v>MD. WALID - AL - ZUBAYER</v>
      </c>
      <c r="I4875" s="148" t="s">
        <v>764</v>
      </c>
      <c r="J4875" s="133" t="s">
        <v>13</v>
      </c>
      <c r="K4875" s="218"/>
      <c r="L4875" s="218">
        <v>554660</v>
      </c>
    </row>
    <row r="4876" spans="1:14" ht="45" x14ac:dyDescent="0.2">
      <c r="A4876" s="163">
        <v>2021</v>
      </c>
      <c r="B4876" s="163">
        <v>11</v>
      </c>
      <c r="C4876" s="163">
        <v>16</v>
      </c>
      <c r="D4876" s="141">
        <f t="shared" si="158"/>
        <v>44516</v>
      </c>
      <c r="E4876" s="275">
        <f t="shared" si="159"/>
        <v>44516</v>
      </c>
      <c r="F4876" s="480"/>
      <c r="G4876" s="221" t="s">
        <v>74</v>
      </c>
      <c r="H4876" s="145" t="str" cm="1">
        <f t="array" ref="H4876">IFERROR(INDEX(INVESTOR_LIST[INVESTOR NAME],MATCH(I4876,INVESTOR_LIST[INVESTOR CODE],0),)," ")</f>
        <v>MD. WALID - AL - ZUBAYER</v>
      </c>
      <c r="I4876" s="145" t="s">
        <v>764</v>
      </c>
      <c r="J4876" s="163" t="s">
        <v>53</v>
      </c>
      <c r="K4876" s="219"/>
      <c r="L4876" s="219">
        <v>235180</v>
      </c>
    </row>
    <row r="4877" spans="1:14" ht="11.25" customHeight="1" x14ac:dyDescent="0.2">
      <c r="A4877" s="168">
        <v>2021</v>
      </c>
      <c r="B4877" s="168">
        <v>11</v>
      </c>
      <c r="C4877" s="133">
        <v>16</v>
      </c>
      <c r="D4877" s="141">
        <f t="shared" si="158"/>
        <v>44516</v>
      </c>
      <c r="E4877" s="275">
        <f t="shared" si="159"/>
        <v>44516</v>
      </c>
      <c r="F4877" s="479" t="s">
        <v>964</v>
      </c>
      <c r="G4877" s="220" t="s">
        <v>74</v>
      </c>
      <c r="H4877" s="142" t="str" cm="1">
        <f t="array" ref="H4877">IFERROR(INDEX(INVESTOR_LIST[INVESTOR NAME],MATCH(I4877,INVESTOR_LIST[INVESTOR CODE],0),)," ")</f>
        <v>MD KAMAL HOSSAIN</v>
      </c>
      <c r="I4877" s="142" t="s">
        <v>723</v>
      </c>
      <c r="J4877" s="168" t="s">
        <v>52</v>
      </c>
      <c r="K4877" s="226">
        <v>100000</v>
      </c>
      <c r="L4877" s="226"/>
    </row>
    <row r="4878" spans="1:14" ht="33.75" x14ac:dyDescent="0.2">
      <c r="A4878" s="133">
        <v>2021</v>
      </c>
      <c r="B4878" s="133">
        <v>11</v>
      </c>
      <c r="C4878" s="133">
        <v>16</v>
      </c>
      <c r="D4878" s="141">
        <f t="shared" ref="D4878:D4941" si="160">DATE(A4878,B4878,C4878)</f>
        <v>44516</v>
      </c>
      <c r="E4878" s="275">
        <f t="shared" si="159"/>
        <v>44516</v>
      </c>
      <c r="F4878" s="481"/>
      <c r="G4878" s="174" t="s">
        <v>74</v>
      </c>
      <c r="H4878" s="148" t="str" cm="1">
        <f t="array" ref="H4878">IFERROR(INDEX(INVESTOR_LIST[INVESTOR NAME],MATCH(I4878,INVESTOR_LIST[INVESTOR CODE],0),)," ")</f>
        <v>MD KAMAL HOSSAIN</v>
      </c>
      <c r="I4878" s="148" t="s">
        <v>723</v>
      </c>
      <c r="J4878" s="133" t="s">
        <v>13</v>
      </c>
      <c r="K4878" s="218"/>
      <c r="L4878" s="218">
        <v>69250</v>
      </c>
    </row>
    <row r="4879" spans="1:14" ht="33.75" x14ac:dyDescent="0.2">
      <c r="A4879" s="163">
        <v>2021</v>
      </c>
      <c r="B4879" s="163">
        <v>11</v>
      </c>
      <c r="C4879" s="163">
        <v>16</v>
      </c>
      <c r="D4879" s="141">
        <f t="shared" si="160"/>
        <v>44516</v>
      </c>
      <c r="E4879" s="275">
        <f t="shared" ref="E4879:E4942" si="161">DATE(A4879,B4879,C4879)</f>
        <v>44516</v>
      </c>
      <c r="F4879" s="480"/>
      <c r="G4879" s="221" t="s">
        <v>74</v>
      </c>
      <c r="H4879" s="145" t="str" cm="1">
        <f t="array" ref="H4879">IFERROR(INDEX(INVESTOR_LIST[INVESTOR NAME],MATCH(I4879,INVESTOR_LIST[INVESTOR CODE],0),)," ")</f>
        <v>MD KAMAL HOSSAIN</v>
      </c>
      <c r="I4879" s="145" t="s">
        <v>723</v>
      </c>
      <c r="J4879" s="163" t="s">
        <v>53</v>
      </c>
      <c r="K4879" s="219"/>
      <c r="L4879" s="219">
        <v>30750</v>
      </c>
    </row>
    <row r="4880" spans="1:14" ht="11.25" customHeight="1" x14ac:dyDescent="0.2">
      <c r="A4880" s="168">
        <v>2021</v>
      </c>
      <c r="B4880" s="168">
        <v>11</v>
      </c>
      <c r="C4880" s="133">
        <v>16</v>
      </c>
      <c r="D4880" s="141">
        <f t="shared" si="160"/>
        <v>44516</v>
      </c>
      <c r="E4880" s="275">
        <f t="shared" si="161"/>
        <v>44516</v>
      </c>
      <c r="F4880" s="479" t="s">
        <v>964</v>
      </c>
      <c r="G4880" s="220" t="s">
        <v>74</v>
      </c>
      <c r="H4880" s="142" t="str" cm="1">
        <f t="array" ref="H4880">IFERROR(INDEX(INVESTOR_LIST[INVESTOR NAME],MATCH(I4880,INVESTOR_LIST[INVESTOR CODE],0),)," ")</f>
        <v>FAKARUDDIN ALI AHMED</v>
      </c>
      <c r="I4880" s="142" t="s">
        <v>458</v>
      </c>
      <c r="J4880" s="168" t="s">
        <v>52</v>
      </c>
      <c r="K4880" s="226">
        <v>1000000</v>
      </c>
      <c r="L4880" s="226"/>
    </row>
    <row r="4881" spans="1:14" ht="33.75" x14ac:dyDescent="0.2">
      <c r="A4881" s="133">
        <v>2021</v>
      </c>
      <c r="B4881" s="133">
        <v>11</v>
      </c>
      <c r="C4881" s="133">
        <v>16</v>
      </c>
      <c r="D4881" s="141">
        <f t="shared" si="160"/>
        <v>44516</v>
      </c>
      <c r="E4881" s="275">
        <f t="shared" si="161"/>
        <v>44516</v>
      </c>
      <c r="F4881" s="481"/>
      <c r="G4881" s="174" t="s">
        <v>74</v>
      </c>
      <c r="H4881" s="148" t="str" cm="1">
        <f t="array" ref="H4881">IFERROR(INDEX(INVESTOR_LIST[INVESTOR NAME],MATCH(I4881,INVESTOR_LIST[INVESTOR CODE],0),)," ")</f>
        <v>FAKARUDDIN ALI AHMED</v>
      </c>
      <c r="I4881" s="148" t="s">
        <v>458</v>
      </c>
      <c r="J4881" s="133" t="s">
        <v>13</v>
      </c>
      <c r="K4881" s="218"/>
      <c r="L4881" s="218">
        <v>692520</v>
      </c>
    </row>
    <row r="4882" spans="1:14" ht="33.75" x14ac:dyDescent="0.2">
      <c r="A4882" s="163">
        <v>2021</v>
      </c>
      <c r="B4882" s="163">
        <v>11</v>
      </c>
      <c r="C4882" s="163">
        <v>16</v>
      </c>
      <c r="D4882" s="141">
        <f t="shared" si="160"/>
        <v>44516</v>
      </c>
      <c r="E4882" s="275">
        <f t="shared" si="161"/>
        <v>44516</v>
      </c>
      <c r="F4882" s="480"/>
      <c r="G4882" s="221" t="s">
        <v>74</v>
      </c>
      <c r="H4882" s="145" t="str" cm="1">
        <f t="array" ref="H4882">IFERROR(INDEX(INVESTOR_LIST[INVESTOR NAME],MATCH(I4882,INVESTOR_LIST[INVESTOR CODE],0),)," ")</f>
        <v>FAKARUDDIN ALI AHMED</v>
      </c>
      <c r="I4882" s="145" t="s">
        <v>458</v>
      </c>
      <c r="J4882" s="163" t="s">
        <v>53</v>
      </c>
      <c r="K4882" s="219"/>
      <c r="L4882" s="219">
        <v>307480</v>
      </c>
    </row>
    <row r="4883" spans="1:14" x14ac:dyDescent="0.2">
      <c r="A4883" s="168">
        <v>2021</v>
      </c>
      <c r="B4883" s="168">
        <v>11</v>
      </c>
      <c r="C4883" s="168">
        <v>16</v>
      </c>
      <c r="D4883" s="141">
        <f t="shared" si="160"/>
        <v>44516</v>
      </c>
      <c r="E4883" s="275">
        <f t="shared" si="161"/>
        <v>44516</v>
      </c>
      <c r="F4883" s="479" t="s">
        <v>938</v>
      </c>
      <c r="G4883" s="220" t="s">
        <v>94</v>
      </c>
      <c r="H4883" s="220" t="str" cm="1">
        <f t="array" ref="H4883">IFERROR(INDEX(INVESTOR_LIST[INVESTOR NAME],MATCH(I4883,INVESTOR_LIST[INVESTOR CODE],0),)," ")</f>
        <v xml:space="preserve"> </v>
      </c>
      <c r="I4883" s="142" t="s">
        <v>348</v>
      </c>
      <c r="J4883" s="143" t="s">
        <v>79</v>
      </c>
      <c r="K4883" s="226">
        <v>1062700</v>
      </c>
      <c r="L4883" s="226"/>
    </row>
    <row r="4884" spans="1:14" ht="11.25" customHeight="1" x14ac:dyDescent="0.2">
      <c r="A4884" s="133">
        <v>2021</v>
      </c>
      <c r="B4884" s="133">
        <v>11</v>
      </c>
      <c r="C4884" s="133">
        <v>16</v>
      </c>
      <c r="D4884" s="141">
        <f t="shared" si="160"/>
        <v>44516</v>
      </c>
      <c r="E4884" s="275">
        <f t="shared" si="161"/>
        <v>44516</v>
      </c>
      <c r="F4884" s="481"/>
      <c r="G4884" s="174" t="s">
        <v>94</v>
      </c>
      <c r="H4884" s="174" t="str" cm="1">
        <f t="array" ref="H4884">IFERROR(INDEX(INVESTOR_LIST[INVESTOR NAME],MATCH(I4884,INVESTOR_LIST[INVESTOR CODE],0),)," ")</f>
        <v xml:space="preserve"> </v>
      </c>
      <c r="I4884" s="148" t="s">
        <v>348</v>
      </c>
      <c r="J4884" s="149" t="s">
        <v>80</v>
      </c>
      <c r="K4884" s="218">
        <f>1912.86+2124</f>
        <v>4036.8599999999997</v>
      </c>
      <c r="L4884" s="218"/>
      <c r="M4884" s="160"/>
    </row>
    <row r="4885" spans="1:14" x14ac:dyDescent="0.2">
      <c r="A4885" s="133">
        <v>2021</v>
      </c>
      <c r="B4885" s="133">
        <v>11</v>
      </c>
      <c r="C4885" s="133">
        <v>16</v>
      </c>
      <c r="D4885" s="141">
        <f t="shared" si="160"/>
        <v>44516</v>
      </c>
      <c r="E4885" s="275">
        <f t="shared" si="161"/>
        <v>44516</v>
      </c>
      <c r="F4885" s="481"/>
      <c r="G4885" s="174" t="s">
        <v>94</v>
      </c>
      <c r="H4885" s="174" t="str" cm="1">
        <f t="array" ref="H4885">IFERROR(INDEX(INVESTOR_LIST[INVESTOR NAME],MATCH(I4885,INVESTOR_LIST[INVESTOR CODE],0),)," ")</f>
        <v xml:space="preserve"> </v>
      </c>
      <c r="I4885" s="148" t="s">
        <v>348</v>
      </c>
      <c r="J4885" s="149" t="s">
        <v>190</v>
      </c>
      <c r="K4885" s="218">
        <v>113263.14</v>
      </c>
      <c r="L4885" s="218"/>
      <c r="N4885" s="156">
        <f>K4894/14.44</f>
        <v>3462.6038781163438</v>
      </c>
    </row>
    <row r="4886" spans="1:14" x14ac:dyDescent="0.2">
      <c r="A4886" s="133">
        <v>2021</v>
      </c>
      <c r="B4886" s="133">
        <v>11</v>
      </c>
      <c r="C4886" s="133">
        <v>16</v>
      </c>
      <c r="D4886" s="141">
        <f t="shared" si="160"/>
        <v>44516</v>
      </c>
      <c r="E4886" s="275">
        <f t="shared" si="161"/>
        <v>44516</v>
      </c>
      <c r="F4886" s="481"/>
      <c r="G4886" s="174" t="s">
        <v>94</v>
      </c>
      <c r="H4886" s="174" t="str" cm="1">
        <f t="array" ref="H4886">IFERROR(INDEX(INVESTOR_LIST[INVESTOR NAME],MATCH(I4886,INVESTOR_LIST[INVESTOR CODE],0),)," ")</f>
        <v xml:space="preserve"> </v>
      </c>
      <c r="I4886" s="148" t="s">
        <v>348</v>
      </c>
      <c r="J4886" s="149" t="s">
        <v>191</v>
      </c>
      <c r="K4886" s="218"/>
      <c r="L4886" s="218">
        <v>210877.27</v>
      </c>
    </row>
    <row r="4887" spans="1:14" x14ac:dyDescent="0.2">
      <c r="A4887" s="163">
        <v>2021</v>
      </c>
      <c r="B4887" s="163">
        <v>11</v>
      </c>
      <c r="C4887" s="163">
        <v>16</v>
      </c>
      <c r="D4887" s="141">
        <f t="shared" si="160"/>
        <v>44516</v>
      </c>
      <c r="E4887" s="275">
        <f t="shared" si="161"/>
        <v>44516</v>
      </c>
      <c r="F4887" s="480"/>
      <c r="G4887" s="221" t="s">
        <v>94</v>
      </c>
      <c r="H4887" s="145" t="str" cm="1">
        <f t="array" ref="H4887">IFERROR(INDEX(INVESTOR_LIST[INVESTOR NAME],MATCH(I4887,INVESTOR_LIST[INVESTOR CODE],0),)," ")</f>
        <v xml:space="preserve"> </v>
      </c>
      <c r="I4887" s="145"/>
      <c r="J4887" s="163" t="s">
        <v>79</v>
      </c>
      <c r="K4887" s="219"/>
      <c r="L4887" s="219">
        <v>969122.73</v>
      </c>
      <c r="N4887" s="156">
        <f>L4899/14.44</f>
        <v>6926</v>
      </c>
    </row>
    <row r="4888" spans="1:14" x14ac:dyDescent="0.2">
      <c r="A4888" s="168">
        <v>2021</v>
      </c>
      <c r="B4888" s="168">
        <v>11</v>
      </c>
      <c r="C4888" s="168">
        <v>16</v>
      </c>
      <c r="D4888" s="141">
        <f t="shared" si="160"/>
        <v>44516</v>
      </c>
      <c r="E4888" s="275">
        <f t="shared" si="161"/>
        <v>44516</v>
      </c>
      <c r="F4888" s="479" t="s">
        <v>949</v>
      </c>
      <c r="G4888" s="220" t="s">
        <v>74</v>
      </c>
      <c r="H4888" s="220" t="str" cm="1">
        <f t="array" ref="H4888">IFERROR(INDEX(INVESTOR_LIST[INVESTOR NAME],MATCH(I4888,INVESTOR_LIST[INVESTOR CODE],0),)," ")</f>
        <v xml:space="preserve"> </v>
      </c>
      <c r="I4888" s="142" t="s">
        <v>348</v>
      </c>
      <c r="J4888" s="143" t="s">
        <v>52</v>
      </c>
      <c r="K4888" s="226">
        <v>63976.82</v>
      </c>
      <c r="L4888" s="226"/>
    </row>
    <row r="4889" spans="1:14" x14ac:dyDescent="0.2">
      <c r="A4889" s="163">
        <v>2021</v>
      </c>
      <c r="B4889" s="163">
        <v>11</v>
      </c>
      <c r="C4889" s="163">
        <v>16</v>
      </c>
      <c r="D4889" s="141">
        <f t="shared" si="160"/>
        <v>44516</v>
      </c>
      <c r="E4889" s="275">
        <f t="shared" si="161"/>
        <v>44516</v>
      </c>
      <c r="F4889" s="480"/>
      <c r="G4889" s="221" t="s">
        <v>74</v>
      </c>
      <c r="H4889" s="221" t="str" cm="1">
        <f t="array" ref="H4889">IFERROR(INDEX(INVESTOR_LIST[INVESTOR NAME],MATCH(I4889,INVESTOR_LIST[INVESTOR CODE],0),)," ")</f>
        <v xml:space="preserve"> </v>
      </c>
      <c r="I4889" s="145" t="s">
        <v>348</v>
      </c>
      <c r="J4889" s="146" t="s">
        <v>190</v>
      </c>
      <c r="K4889" s="219"/>
      <c r="L4889" s="219">
        <v>63976.82</v>
      </c>
    </row>
    <row r="4890" spans="1:14" x14ac:dyDescent="0.2">
      <c r="A4890" s="133">
        <v>2021</v>
      </c>
      <c r="B4890" s="133">
        <v>11</v>
      </c>
      <c r="C4890" s="133">
        <v>16</v>
      </c>
      <c r="D4890" s="141">
        <f t="shared" si="160"/>
        <v>44516</v>
      </c>
      <c r="E4890" s="275">
        <f t="shared" si="161"/>
        <v>44516</v>
      </c>
      <c r="F4890" s="479" t="s">
        <v>77</v>
      </c>
      <c r="G4890" s="174" t="s">
        <v>74</v>
      </c>
      <c r="H4890" s="148" t="str" cm="1">
        <f t="array" ref="H4890">IFERROR(INDEX(INVESTOR_LIST[INVESTOR NAME],MATCH(I4890,INVESTOR_LIST[INVESTOR CODE],0),)," ")</f>
        <v xml:space="preserve"> </v>
      </c>
      <c r="I4890" s="148" t="s">
        <v>348</v>
      </c>
      <c r="J4890" s="133" t="s">
        <v>61</v>
      </c>
      <c r="K4890" s="172">
        <v>60</v>
      </c>
    </row>
    <row r="4891" spans="1:14" x14ac:dyDescent="0.2">
      <c r="A4891" s="163">
        <v>2021</v>
      </c>
      <c r="B4891" s="163">
        <v>11</v>
      </c>
      <c r="C4891" s="163">
        <v>16</v>
      </c>
      <c r="D4891" s="141">
        <f t="shared" si="160"/>
        <v>44516</v>
      </c>
      <c r="E4891" s="275">
        <f t="shared" si="161"/>
        <v>44516</v>
      </c>
      <c r="F4891" s="480"/>
      <c r="G4891" s="221" t="s">
        <v>74</v>
      </c>
      <c r="H4891" s="145" t="str" cm="1">
        <f t="array" ref="H4891">IFERROR(INDEX(INVESTOR_LIST[INVESTOR NAME],MATCH(I4891,INVESTOR_LIST[INVESTOR CODE],0),)," ")</f>
        <v xml:space="preserve"> </v>
      </c>
      <c r="I4891" s="145" t="s">
        <v>348</v>
      </c>
      <c r="J4891" s="163" t="s">
        <v>52</v>
      </c>
      <c r="K4891" s="219"/>
      <c r="L4891" s="219">
        <v>60</v>
      </c>
      <c r="N4891" s="156">
        <f>K4900/14.44</f>
        <v>4000</v>
      </c>
    </row>
    <row r="4892" spans="1:14" x14ac:dyDescent="0.2">
      <c r="A4892" s="133">
        <v>2021</v>
      </c>
      <c r="B4892" s="133">
        <v>11</v>
      </c>
      <c r="C4892" s="133">
        <v>16</v>
      </c>
      <c r="D4892" s="141">
        <f t="shared" si="160"/>
        <v>44516</v>
      </c>
      <c r="E4892" s="275">
        <f t="shared" si="161"/>
        <v>44516</v>
      </c>
      <c r="F4892" s="479" t="s">
        <v>543</v>
      </c>
      <c r="G4892" s="174" t="s">
        <v>94</v>
      </c>
      <c r="H4892" s="148" t="str" cm="1">
        <f t="array" ref="H4892">IFERROR(INDEX(INVESTOR_LIST[INVESTOR NAME],MATCH(I4892,INVESTOR_LIST[INVESTOR CODE],0),)," ")</f>
        <v xml:space="preserve"> </v>
      </c>
      <c r="I4892" s="148" t="s">
        <v>348</v>
      </c>
      <c r="J4892" s="133" t="s">
        <v>168</v>
      </c>
      <c r="K4892" s="172">
        <v>437500</v>
      </c>
    </row>
    <row r="4893" spans="1:14" x14ac:dyDescent="0.2">
      <c r="A4893" s="163">
        <v>2021</v>
      </c>
      <c r="B4893" s="163">
        <v>11</v>
      </c>
      <c r="C4893" s="163">
        <v>16</v>
      </c>
      <c r="D4893" s="141">
        <f t="shared" si="160"/>
        <v>44516</v>
      </c>
      <c r="E4893" s="275">
        <f t="shared" si="161"/>
        <v>44516</v>
      </c>
      <c r="F4893" s="480"/>
      <c r="G4893" s="221" t="s">
        <v>94</v>
      </c>
      <c r="H4893" s="145" t="str" cm="1">
        <f t="array" ref="H4893">IFERROR(INDEX(INVESTOR_LIST[INVESTOR NAME],MATCH(I4893,INVESTOR_LIST[INVESTOR CODE],0),)," ")</f>
        <v xml:space="preserve"> </v>
      </c>
      <c r="I4893" s="145" t="s">
        <v>348</v>
      </c>
      <c r="J4893" s="163" t="s">
        <v>166</v>
      </c>
      <c r="K4893" s="219"/>
      <c r="L4893" s="219">
        <v>437500</v>
      </c>
    </row>
    <row r="4894" spans="1:14" ht="11.25" customHeight="1" x14ac:dyDescent="0.2">
      <c r="A4894" s="168">
        <v>2021</v>
      </c>
      <c r="B4894" s="168">
        <v>11</v>
      </c>
      <c r="C4894" s="133">
        <v>17</v>
      </c>
      <c r="D4894" s="141">
        <f t="shared" si="160"/>
        <v>44517</v>
      </c>
      <c r="E4894" s="275">
        <f t="shared" si="161"/>
        <v>44517</v>
      </c>
      <c r="F4894" s="479" t="s">
        <v>964</v>
      </c>
      <c r="G4894" s="220" t="s">
        <v>74</v>
      </c>
      <c r="H4894" s="142" t="str" cm="1">
        <f t="array" ref="H4894">IFERROR(INDEX(INVESTOR_LIST[INVESTOR NAME],MATCH(I4894,INVESTOR_LIST[INVESTOR CODE],0),)," ")</f>
        <v>FAIYEAD AHMEDUL HYE</v>
      </c>
      <c r="I4894" s="142" t="s">
        <v>496</v>
      </c>
      <c r="J4894" s="168" t="s">
        <v>52</v>
      </c>
      <c r="K4894" s="226">
        <v>50000</v>
      </c>
      <c r="L4894" s="226"/>
    </row>
    <row r="4895" spans="1:14" ht="33.75" x14ac:dyDescent="0.2">
      <c r="A4895" s="133">
        <v>2021</v>
      </c>
      <c r="B4895" s="133">
        <v>11</v>
      </c>
      <c r="C4895" s="133">
        <v>17</v>
      </c>
      <c r="D4895" s="141">
        <f t="shared" si="160"/>
        <v>44517</v>
      </c>
      <c r="E4895" s="275">
        <f t="shared" si="161"/>
        <v>44517</v>
      </c>
      <c r="F4895" s="481"/>
      <c r="G4895" s="174" t="s">
        <v>74</v>
      </c>
      <c r="H4895" s="148" t="str" cm="1">
        <f t="array" ref="H4895">IFERROR(INDEX(INVESTOR_LIST[INVESTOR NAME],MATCH(I4895,INVESTOR_LIST[INVESTOR CODE],0),)," ")</f>
        <v>FAIYEAD AHMEDUL HYE</v>
      </c>
      <c r="I4895" s="148" t="s">
        <v>496</v>
      </c>
      <c r="J4895" s="133" t="s">
        <v>13</v>
      </c>
      <c r="K4895" s="218"/>
      <c r="L4895" s="218">
        <v>34630</v>
      </c>
    </row>
    <row r="4896" spans="1:14" ht="33.75" x14ac:dyDescent="0.2">
      <c r="A4896" s="163">
        <v>2021</v>
      </c>
      <c r="B4896" s="163">
        <v>11</v>
      </c>
      <c r="C4896" s="163">
        <v>17</v>
      </c>
      <c r="D4896" s="141">
        <f t="shared" si="160"/>
        <v>44517</v>
      </c>
      <c r="E4896" s="275">
        <f t="shared" si="161"/>
        <v>44517</v>
      </c>
      <c r="F4896" s="480"/>
      <c r="G4896" s="221" t="s">
        <v>74</v>
      </c>
      <c r="H4896" s="145" t="str" cm="1">
        <f t="array" ref="H4896">IFERROR(INDEX(INVESTOR_LIST[INVESTOR NAME],MATCH(I4896,INVESTOR_LIST[INVESTOR CODE],0),)," ")</f>
        <v>FAIYEAD AHMEDUL HYE</v>
      </c>
      <c r="I4896" s="145" t="s">
        <v>496</v>
      </c>
      <c r="J4896" s="163" t="s">
        <v>53</v>
      </c>
      <c r="K4896" s="219"/>
      <c r="L4896" s="219">
        <v>15370</v>
      </c>
    </row>
    <row r="4897" spans="1:14" ht="22.5" x14ac:dyDescent="0.2">
      <c r="A4897" s="168">
        <v>2021</v>
      </c>
      <c r="B4897" s="168">
        <v>11</v>
      </c>
      <c r="C4897" s="133">
        <v>17</v>
      </c>
      <c r="D4897" s="141">
        <f t="shared" si="160"/>
        <v>44517</v>
      </c>
      <c r="E4897" s="275">
        <f t="shared" si="161"/>
        <v>44517</v>
      </c>
      <c r="F4897" s="479" t="s">
        <v>965</v>
      </c>
      <c r="G4897" s="220" t="s">
        <v>74</v>
      </c>
      <c r="H4897" s="142" t="str" cm="1">
        <f t="array" ref="H4897">IFERROR(INDEX(INVESTOR_LIST[INVESTOR NAME],MATCH(I4897,INVESTOR_LIST[INVESTOR CODE],0),)," ")</f>
        <v>MUMINUL ALAM</v>
      </c>
      <c r="I4897" s="142" t="s">
        <v>628</v>
      </c>
      <c r="J4897" s="168" t="s">
        <v>13</v>
      </c>
      <c r="K4897" s="226">
        <v>69260</v>
      </c>
      <c r="L4897" s="226"/>
      <c r="N4897" s="156">
        <f>K4906/14.44</f>
        <v>48476.454293628813</v>
      </c>
    </row>
    <row r="4898" spans="1:14" ht="22.5" x14ac:dyDescent="0.2">
      <c r="A4898" s="133">
        <v>2021</v>
      </c>
      <c r="B4898" s="133">
        <v>11</v>
      </c>
      <c r="C4898" s="133">
        <v>17</v>
      </c>
      <c r="D4898" s="141">
        <f t="shared" si="160"/>
        <v>44517</v>
      </c>
      <c r="E4898" s="275">
        <f t="shared" si="161"/>
        <v>44517</v>
      </c>
      <c r="F4898" s="481"/>
      <c r="G4898" s="174" t="s">
        <v>74</v>
      </c>
      <c r="H4898" s="148" t="str" cm="1">
        <f t="array" ref="H4898">IFERROR(INDEX(INVESTOR_LIST[INVESTOR NAME],MATCH(I4898,INVESTOR_LIST[INVESTOR CODE],0),)," ")</f>
        <v>MUMINUL ALAM</v>
      </c>
      <c r="I4898" s="148" t="s">
        <v>628</v>
      </c>
      <c r="J4898" s="133" t="s">
        <v>53</v>
      </c>
      <c r="K4898" s="172">
        <v>30751.439999999999</v>
      </c>
      <c r="L4898" s="218"/>
    </row>
    <row r="4899" spans="1:14" ht="22.5" x14ac:dyDescent="0.2">
      <c r="A4899" s="163">
        <v>2021</v>
      </c>
      <c r="B4899" s="163">
        <v>11</v>
      </c>
      <c r="C4899" s="163">
        <v>17</v>
      </c>
      <c r="D4899" s="141">
        <f t="shared" si="160"/>
        <v>44517</v>
      </c>
      <c r="E4899" s="275">
        <f t="shared" si="161"/>
        <v>44517</v>
      </c>
      <c r="F4899" s="480"/>
      <c r="G4899" s="221" t="s">
        <v>74</v>
      </c>
      <c r="H4899" s="145" t="str" cm="1">
        <f t="array" ref="H4899">IFERROR(INDEX(INVESTOR_LIST[INVESTOR NAME],MATCH(I4899,INVESTOR_LIST[INVESTOR CODE],0),)," ")</f>
        <v>MUMINUL ALAM</v>
      </c>
      <c r="I4899" s="145" t="s">
        <v>628</v>
      </c>
      <c r="J4899" s="163" t="s">
        <v>52</v>
      </c>
      <c r="K4899" s="219"/>
      <c r="L4899" s="219">
        <v>100011.44</v>
      </c>
    </row>
    <row r="4900" spans="1:14" ht="11.25" customHeight="1" x14ac:dyDescent="0.2">
      <c r="A4900" s="168">
        <v>2021</v>
      </c>
      <c r="B4900" s="168">
        <v>11</v>
      </c>
      <c r="C4900" s="133">
        <v>17</v>
      </c>
      <c r="D4900" s="141">
        <f t="shared" si="160"/>
        <v>44517</v>
      </c>
      <c r="E4900" s="275">
        <f t="shared" si="161"/>
        <v>44517</v>
      </c>
      <c r="F4900" s="479" t="s">
        <v>964</v>
      </c>
      <c r="G4900" s="220" t="s">
        <v>74</v>
      </c>
      <c r="H4900" s="142" t="str" cm="1">
        <f t="array" ref="H4900">IFERROR(INDEX(INVESTOR_LIST[INVESTOR NAME],MATCH(I4900,INVESTOR_LIST[INVESTOR CODE],0),)," ")</f>
        <v>ANWAR ZAHID</v>
      </c>
      <c r="I4900" s="142" t="s">
        <v>879</v>
      </c>
      <c r="J4900" s="168" t="s">
        <v>52</v>
      </c>
      <c r="K4900" s="226">
        <v>57760</v>
      </c>
      <c r="L4900" s="226"/>
      <c r="N4900" s="156">
        <f>K4909/14.44</f>
        <v>41551.246537396124</v>
      </c>
    </row>
    <row r="4901" spans="1:14" ht="22.5" x14ac:dyDescent="0.2">
      <c r="A4901" s="133">
        <v>2021</v>
      </c>
      <c r="B4901" s="133">
        <v>11</v>
      </c>
      <c r="C4901" s="133">
        <v>17</v>
      </c>
      <c r="D4901" s="141">
        <f t="shared" si="160"/>
        <v>44517</v>
      </c>
      <c r="E4901" s="275">
        <f t="shared" si="161"/>
        <v>44517</v>
      </c>
      <c r="F4901" s="481"/>
      <c r="G4901" s="174" t="s">
        <v>74</v>
      </c>
      <c r="H4901" s="148" t="str" cm="1">
        <f t="array" ref="H4901">IFERROR(INDEX(INVESTOR_LIST[INVESTOR NAME],MATCH(I4901,INVESTOR_LIST[INVESTOR CODE],0),)," ")</f>
        <v>ANWAR ZAHID</v>
      </c>
      <c r="I4901" s="148" t="s">
        <v>879</v>
      </c>
      <c r="J4901" s="133" t="s">
        <v>13</v>
      </c>
      <c r="K4901" s="218"/>
      <c r="L4901" s="218">
        <v>40000</v>
      </c>
    </row>
    <row r="4902" spans="1:14" ht="22.5" x14ac:dyDescent="0.2">
      <c r="A4902" s="163">
        <v>2021</v>
      </c>
      <c r="B4902" s="163">
        <v>11</v>
      </c>
      <c r="C4902" s="163">
        <v>17</v>
      </c>
      <c r="D4902" s="141">
        <f t="shared" si="160"/>
        <v>44517</v>
      </c>
      <c r="E4902" s="275">
        <f t="shared" si="161"/>
        <v>44517</v>
      </c>
      <c r="F4902" s="480"/>
      <c r="G4902" s="221" t="s">
        <v>74</v>
      </c>
      <c r="H4902" s="145" t="str" cm="1">
        <f t="array" ref="H4902">IFERROR(INDEX(INVESTOR_LIST[INVESTOR NAME],MATCH(I4902,INVESTOR_LIST[INVESTOR CODE],0),)," ")</f>
        <v>ANWAR ZAHID</v>
      </c>
      <c r="I4902" s="145" t="s">
        <v>879</v>
      </c>
      <c r="J4902" s="163" t="s">
        <v>53</v>
      </c>
      <c r="K4902" s="219"/>
      <c r="L4902" s="219">
        <v>17760</v>
      </c>
    </row>
    <row r="4903" spans="1:14" ht="11.25" customHeight="1" x14ac:dyDescent="0.2">
      <c r="A4903" s="168">
        <v>2021</v>
      </c>
      <c r="B4903" s="168">
        <v>11</v>
      </c>
      <c r="C4903" s="133">
        <v>17</v>
      </c>
      <c r="D4903" s="141">
        <f t="shared" si="160"/>
        <v>44517</v>
      </c>
      <c r="E4903" s="275">
        <f t="shared" si="161"/>
        <v>44517</v>
      </c>
      <c r="F4903" s="479" t="s">
        <v>964</v>
      </c>
      <c r="G4903" s="220" t="s">
        <v>74</v>
      </c>
      <c r="H4903" s="142" t="str" cm="1">
        <f t="array" ref="H4903">IFERROR(INDEX(INVESTOR_LIST[INVESTOR NAME],MATCH(I4903,INVESTOR_LIST[INVESTOR CODE],0),)," ")</f>
        <v>MONSURUL MOHAMMAD SHAHRIAR</v>
      </c>
      <c r="I4903" s="142" t="s">
        <v>947</v>
      </c>
      <c r="J4903" s="168" t="s">
        <v>52</v>
      </c>
      <c r="K4903" s="226">
        <v>50000</v>
      </c>
      <c r="L4903" s="226"/>
    </row>
    <row r="4904" spans="1:14" ht="67.5" x14ac:dyDescent="0.2">
      <c r="A4904" s="133">
        <v>2021</v>
      </c>
      <c r="B4904" s="133">
        <v>11</v>
      </c>
      <c r="C4904" s="133">
        <v>17</v>
      </c>
      <c r="D4904" s="141">
        <f t="shared" si="160"/>
        <v>44517</v>
      </c>
      <c r="E4904" s="275">
        <f t="shared" si="161"/>
        <v>44517</v>
      </c>
      <c r="F4904" s="481"/>
      <c r="G4904" s="174" t="s">
        <v>74</v>
      </c>
      <c r="H4904" s="148" t="str" cm="1">
        <f t="array" ref="H4904">IFERROR(INDEX(INVESTOR_LIST[INVESTOR NAME],MATCH(I4904,INVESTOR_LIST[INVESTOR CODE],0),)," ")</f>
        <v>MONSURUL MOHAMMAD SHAHRIAR</v>
      </c>
      <c r="I4904" s="148" t="s">
        <v>947</v>
      </c>
      <c r="J4904" s="133" t="s">
        <v>13</v>
      </c>
      <c r="K4904" s="218"/>
      <c r="L4904" s="218">
        <v>34630</v>
      </c>
    </row>
    <row r="4905" spans="1:14" ht="67.5" x14ac:dyDescent="0.2">
      <c r="A4905" s="163">
        <v>2021</v>
      </c>
      <c r="B4905" s="163">
        <v>11</v>
      </c>
      <c r="C4905" s="163">
        <v>17</v>
      </c>
      <c r="D4905" s="141">
        <f t="shared" si="160"/>
        <v>44517</v>
      </c>
      <c r="E4905" s="275">
        <f t="shared" si="161"/>
        <v>44517</v>
      </c>
      <c r="F4905" s="480"/>
      <c r="G4905" s="221" t="s">
        <v>74</v>
      </c>
      <c r="H4905" s="145" t="str" cm="1">
        <f t="array" ref="H4905">IFERROR(INDEX(INVESTOR_LIST[INVESTOR NAME],MATCH(I4905,INVESTOR_LIST[INVESTOR CODE],0),)," ")</f>
        <v>MONSURUL MOHAMMAD SHAHRIAR</v>
      </c>
      <c r="I4905" s="145" t="s">
        <v>947</v>
      </c>
      <c r="J4905" s="163" t="s">
        <v>53</v>
      </c>
      <c r="K4905" s="219"/>
      <c r="L4905" s="219">
        <v>15370</v>
      </c>
    </row>
    <row r="4906" spans="1:14" ht="11.25" customHeight="1" x14ac:dyDescent="0.2">
      <c r="A4906" s="168">
        <v>2021</v>
      </c>
      <c r="B4906" s="168">
        <v>11</v>
      </c>
      <c r="C4906" s="133">
        <v>17</v>
      </c>
      <c r="D4906" s="141">
        <f t="shared" si="160"/>
        <v>44517</v>
      </c>
      <c r="E4906" s="275">
        <f t="shared" si="161"/>
        <v>44517</v>
      </c>
      <c r="F4906" s="479" t="s">
        <v>964</v>
      </c>
      <c r="G4906" s="220" t="s">
        <v>74</v>
      </c>
      <c r="H4906" s="142" t="str" cm="1">
        <f t="array" ref="H4906">IFERROR(INDEX(INVESTOR_LIST[INVESTOR NAME],MATCH(I4906,INVESTOR_LIST[INVESTOR CODE],0),)," ")</f>
        <v>SULTANA RAZIA</v>
      </c>
      <c r="I4906" s="142" t="s">
        <v>698</v>
      </c>
      <c r="J4906" s="168" t="s">
        <v>52</v>
      </c>
      <c r="K4906" s="226">
        <v>700000</v>
      </c>
      <c r="L4906" s="226"/>
    </row>
    <row r="4907" spans="1:14" ht="22.5" x14ac:dyDescent="0.2">
      <c r="A4907" s="133">
        <v>2021</v>
      </c>
      <c r="B4907" s="133">
        <v>11</v>
      </c>
      <c r="C4907" s="133">
        <v>17</v>
      </c>
      <c r="D4907" s="141">
        <f t="shared" si="160"/>
        <v>44517</v>
      </c>
      <c r="E4907" s="275">
        <f t="shared" si="161"/>
        <v>44517</v>
      </c>
      <c r="F4907" s="481"/>
      <c r="G4907" s="174" t="s">
        <v>74</v>
      </c>
      <c r="H4907" s="148" t="str" cm="1">
        <f t="array" ref="H4907">IFERROR(INDEX(INVESTOR_LIST[INVESTOR NAME],MATCH(I4907,INVESTOR_LIST[INVESTOR CODE],0),)," ")</f>
        <v>SULTANA RAZIA</v>
      </c>
      <c r="I4907" s="148" t="s">
        <v>698</v>
      </c>
      <c r="J4907" s="133" t="s">
        <v>13</v>
      </c>
      <c r="K4907" s="218"/>
      <c r="L4907" s="218">
        <v>484760</v>
      </c>
      <c r="N4907" s="156">
        <f>K4916/14.44</f>
        <v>17313.019390581718</v>
      </c>
    </row>
    <row r="4908" spans="1:14" ht="22.5" x14ac:dyDescent="0.2">
      <c r="A4908" s="163">
        <v>2021</v>
      </c>
      <c r="B4908" s="163">
        <v>11</v>
      </c>
      <c r="C4908" s="163">
        <v>17</v>
      </c>
      <c r="D4908" s="141">
        <f t="shared" si="160"/>
        <v>44517</v>
      </c>
      <c r="E4908" s="275">
        <f t="shared" si="161"/>
        <v>44517</v>
      </c>
      <c r="F4908" s="480"/>
      <c r="G4908" s="221" t="s">
        <v>74</v>
      </c>
      <c r="H4908" s="145" t="str" cm="1">
        <f t="array" ref="H4908">IFERROR(INDEX(INVESTOR_LIST[INVESTOR NAME],MATCH(I4908,INVESTOR_LIST[INVESTOR CODE],0),)," ")</f>
        <v>SULTANA RAZIA</v>
      </c>
      <c r="I4908" s="145" t="s">
        <v>698</v>
      </c>
      <c r="J4908" s="163" t="s">
        <v>53</v>
      </c>
      <c r="K4908" s="219"/>
      <c r="L4908" s="219">
        <v>215240</v>
      </c>
    </row>
    <row r="4909" spans="1:14" ht="11.25" customHeight="1" x14ac:dyDescent="0.2">
      <c r="A4909" s="168">
        <v>2021</v>
      </c>
      <c r="B4909" s="168">
        <v>11</v>
      </c>
      <c r="C4909" s="133">
        <v>17</v>
      </c>
      <c r="D4909" s="141">
        <f t="shared" si="160"/>
        <v>44517</v>
      </c>
      <c r="E4909" s="275">
        <f t="shared" si="161"/>
        <v>44517</v>
      </c>
      <c r="F4909" s="479" t="s">
        <v>964</v>
      </c>
      <c r="G4909" s="220" t="s">
        <v>74</v>
      </c>
      <c r="H4909" s="142" t="str" cm="1">
        <f t="array" ref="H4909">IFERROR(INDEX(INVESTOR_LIST[INVESTOR NAME],MATCH(I4909,INVESTOR_LIST[INVESTOR CODE],0),)," ")</f>
        <v>AMIT KANTI SARKER</v>
      </c>
      <c r="I4909" s="142" t="s">
        <v>494</v>
      </c>
      <c r="J4909" s="168" t="s">
        <v>52</v>
      </c>
      <c r="K4909" s="226">
        <v>600000</v>
      </c>
      <c r="L4909" s="226"/>
    </row>
    <row r="4910" spans="1:14" ht="33.75" x14ac:dyDescent="0.2">
      <c r="A4910" s="133">
        <v>2021</v>
      </c>
      <c r="B4910" s="133">
        <v>11</v>
      </c>
      <c r="C4910" s="133">
        <v>17</v>
      </c>
      <c r="D4910" s="141">
        <f t="shared" si="160"/>
        <v>44517</v>
      </c>
      <c r="E4910" s="275">
        <f t="shared" si="161"/>
        <v>44517</v>
      </c>
      <c r="F4910" s="481"/>
      <c r="G4910" s="174" t="s">
        <v>74</v>
      </c>
      <c r="H4910" s="148" t="str" cm="1">
        <f t="array" ref="H4910">IFERROR(INDEX(INVESTOR_LIST[INVESTOR NAME],MATCH(I4910,INVESTOR_LIST[INVESTOR CODE],0),)," ")</f>
        <v>AMIT KANTI SARKER</v>
      </c>
      <c r="I4910" s="148" t="s">
        <v>494</v>
      </c>
      <c r="J4910" s="133" t="s">
        <v>13</v>
      </c>
      <c r="K4910" s="218"/>
      <c r="L4910" s="218">
        <v>415510</v>
      </c>
      <c r="N4910" s="156">
        <f>K4919/14.44</f>
        <v>20775.623268698062</v>
      </c>
    </row>
    <row r="4911" spans="1:14" ht="33.75" x14ac:dyDescent="0.2">
      <c r="A4911" s="163">
        <v>2021</v>
      </c>
      <c r="B4911" s="163">
        <v>11</v>
      </c>
      <c r="C4911" s="163">
        <v>17</v>
      </c>
      <c r="D4911" s="141">
        <f t="shared" si="160"/>
        <v>44517</v>
      </c>
      <c r="E4911" s="275">
        <f t="shared" si="161"/>
        <v>44517</v>
      </c>
      <c r="F4911" s="480"/>
      <c r="G4911" s="221" t="s">
        <v>74</v>
      </c>
      <c r="H4911" s="145" t="str" cm="1">
        <f t="array" ref="H4911">IFERROR(INDEX(INVESTOR_LIST[INVESTOR NAME],MATCH(I4911,INVESTOR_LIST[INVESTOR CODE],0),)," ")</f>
        <v>AMIT KANTI SARKER</v>
      </c>
      <c r="I4911" s="145" t="s">
        <v>494</v>
      </c>
      <c r="J4911" s="163" t="s">
        <v>53</v>
      </c>
      <c r="K4911" s="219"/>
      <c r="L4911" s="219">
        <v>184490</v>
      </c>
    </row>
    <row r="4912" spans="1:14" x14ac:dyDescent="0.2">
      <c r="A4912" s="133">
        <v>2021</v>
      </c>
      <c r="B4912" s="133">
        <v>11</v>
      </c>
      <c r="C4912" s="133">
        <v>17</v>
      </c>
      <c r="D4912" s="141">
        <f t="shared" si="160"/>
        <v>44517</v>
      </c>
      <c r="E4912" s="275">
        <f t="shared" si="161"/>
        <v>44517</v>
      </c>
      <c r="F4912" s="479" t="s">
        <v>77</v>
      </c>
      <c r="G4912" s="174" t="s">
        <v>74</v>
      </c>
      <c r="H4912" s="148" t="str" cm="1">
        <f t="array" ref="H4912">IFERROR(INDEX(INVESTOR_LIST[INVESTOR NAME],MATCH(I4912,INVESTOR_LIST[INVESTOR CODE],0),)," ")</f>
        <v xml:space="preserve"> </v>
      </c>
      <c r="I4912" s="148" t="s">
        <v>348</v>
      </c>
      <c r="J4912" s="133" t="s">
        <v>61</v>
      </c>
      <c r="K4912" s="172">
        <v>60</v>
      </c>
    </row>
    <row r="4913" spans="1:14" x14ac:dyDescent="0.2">
      <c r="A4913" s="163">
        <v>2021</v>
      </c>
      <c r="B4913" s="163">
        <v>11</v>
      </c>
      <c r="C4913" s="163">
        <v>17</v>
      </c>
      <c r="D4913" s="141">
        <f t="shared" si="160"/>
        <v>44517</v>
      </c>
      <c r="E4913" s="275">
        <f t="shared" si="161"/>
        <v>44517</v>
      </c>
      <c r="F4913" s="480"/>
      <c r="G4913" s="221" t="s">
        <v>74</v>
      </c>
      <c r="H4913" s="145" t="str" cm="1">
        <f t="array" ref="H4913">IFERROR(INDEX(INVESTOR_LIST[INVESTOR NAME],MATCH(I4913,INVESTOR_LIST[INVESTOR CODE],0),)," ")</f>
        <v xml:space="preserve"> </v>
      </c>
      <c r="I4913" s="145" t="s">
        <v>348</v>
      </c>
      <c r="J4913" s="163" t="s">
        <v>52</v>
      </c>
      <c r="K4913" s="219"/>
      <c r="L4913" s="219">
        <v>60</v>
      </c>
    </row>
    <row r="4914" spans="1:14" x14ac:dyDescent="0.2">
      <c r="A4914" s="133">
        <v>2021</v>
      </c>
      <c r="B4914" s="133">
        <v>11</v>
      </c>
      <c r="C4914" s="133">
        <v>17</v>
      </c>
      <c r="D4914" s="141">
        <f t="shared" si="160"/>
        <v>44517</v>
      </c>
      <c r="E4914" s="275">
        <f t="shared" si="161"/>
        <v>44517</v>
      </c>
      <c r="F4914" s="479" t="s">
        <v>77</v>
      </c>
      <c r="G4914" s="174" t="s">
        <v>74</v>
      </c>
      <c r="H4914" s="148" t="str" cm="1">
        <f t="array" ref="H4914">IFERROR(INDEX(INVESTOR_LIST[INVESTOR NAME],MATCH(I4914,INVESTOR_LIST[INVESTOR CODE],0),)," ")</f>
        <v xml:space="preserve"> </v>
      </c>
      <c r="I4914" s="148" t="s">
        <v>348</v>
      </c>
      <c r="J4914" s="133" t="s">
        <v>61</v>
      </c>
      <c r="K4914" s="172">
        <v>60</v>
      </c>
    </row>
    <row r="4915" spans="1:14" x14ac:dyDescent="0.2">
      <c r="A4915" s="163">
        <v>2021</v>
      </c>
      <c r="B4915" s="163">
        <v>11</v>
      </c>
      <c r="C4915" s="163">
        <v>17</v>
      </c>
      <c r="D4915" s="141">
        <f t="shared" si="160"/>
        <v>44517</v>
      </c>
      <c r="E4915" s="275">
        <f t="shared" si="161"/>
        <v>44517</v>
      </c>
      <c r="F4915" s="480"/>
      <c r="G4915" s="221" t="s">
        <v>74</v>
      </c>
      <c r="H4915" s="145" t="str" cm="1">
        <f t="array" ref="H4915">IFERROR(INDEX(INVESTOR_LIST[INVESTOR NAME],MATCH(I4915,INVESTOR_LIST[INVESTOR CODE],0),)," ")</f>
        <v xml:space="preserve"> </v>
      </c>
      <c r="I4915" s="145" t="s">
        <v>348</v>
      </c>
      <c r="J4915" s="163" t="s">
        <v>52</v>
      </c>
      <c r="K4915" s="219"/>
      <c r="L4915" s="219">
        <v>60</v>
      </c>
    </row>
    <row r="4916" spans="1:14" ht="11.25" customHeight="1" x14ac:dyDescent="0.2">
      <c r="A4916" s="168">
        <v>2021</v>
      </c>
      <c r="B4916" s="168">
        <v>11</v>
      </c>
      <c r="C4916" s="133">
        <v>18</v>
      </c>
      <c r="D4916" s="141">
        <f t="shared" si="160"/>
        <v>44518</v>
      </c>
      <c r="E4916" s="275">
        <f t="shared" si="161"/>
        <v>44518</v>
      </c>
      <c r="F4916" s="479" t="s">
        <v>964</v>
      </c>
      <c r="G4916" s="220" t="s">
        <v>74</v>
      </c>
      <c r="H4916" s="142" t="str" cm="1">
        <f t="array" ref="H4916">IFERROR(INDEX(INVESTOR_LIST[INVESTOR NAME],MATCH(I4916,INVESTOR_LIST[INVESTOR CODE],0),)," ")</f>
        <v>MONSURUL MOHAMMAD SHAHRIAR</v>
      </c>
      <c r="I4916" s="142" t="s">
        <v>947</v>
      </c>
      <c r="J4916" s="168" t="s">
        <v>52</v>
      </c>
      <c r="K4916" s="226">
        <v>250000</v>
      </c>
      <c r="L4916" s="226"/>
    </row>
    <row r="4917" spans="1:14" ht="67.5" x14ac:dyDescent="0.2">
      <c r="A4917" s="133">
        <v>2021</v>
      </c>
      <c r="B4917" s="133">
        <v>11</v>
      </c>
      <c r="C4917" s="133">
        <v>18</v>
      </c>
      <c r="D4917" s="141">
        <f t="shared" si="160"/>
        <v>44518</v>
      </c>
      <c r="E4917" s="275">
        <f t="shared" si="161"/>
        <v>44518</v>
      </c>
      <c r="F4917" s="481"/>
      <c r="G4917" s="174" t="s">
        <v>74</v>
      </c>
      <c r="H4917" s="148" t="str" cm="1">
        <f t="array" ref="H4917">IFERROR(INDEX(INVESTOR_LIST[INVESTOR NAME],MATCH(I4917,INVESTOR_LIST[INVESTOR CODE],0),)," ")</f>
        <v>MONSURUL MOHAMMAD SHAHRIAR</v>
      </c>
      <c r="I4917" s="148" t="s">
        <v>947</v>
      </c>
      <c r="J4917" s="133" t="s">
        <v>13</v>
      </c>
      <c r="K4917" s="218"/>
      <c r="L4917" s="218">
        <v>173130</v>
      </c>
      <c r="N4917" s="156">
        <f>K4926/14.44</f>
        <v>10387.811634349031</v>
      </c>
    </row>
    <row r="4918" spans="1:14" ht="67.5" x14ac:dyDescent="0.2">
      <c r="A4918" s="163">
        <v>2021</v>
      </c>
      <c r="B4918" s="163">
        <v>11</v>
      </c>
      <c r="C4918" s="163">
        <v>18</v>
      </c>
      <c r="D4918" s="141">
        <f t="shared" si="160"/>
        <v>44518</v>
      </c>
      <c r="E4918" s="275">
        <f t="shared" si="161"/>
        <v>44518</v>
      </c>
      <c r="F4918" s="480"/>
      <c r="G4918" s="221" t="s">
        <v>74</v>
      </c>
      <c r="H4918" s="145" t="str" cm="1">
        <f t="array" ref="H4918">IFERROR(INDEX(INVESTOR_LIST[INVESTOR NAME],MATCH(I4918,INVESTOR_LIST[INVESTOR CODE],0),)," ")</f>
        <v>MONSURUL MOHAMMAD SHAHRIAR</v>
      </c>
      <c r="I4918" s="145" t="s">
        <v>947</v>
      </c>
      <c r="J4918" s="163" t="s">
        <v>53</v>
      </c>
      <c r="K4918" s="219"/>
      <c r="L4918" s="219">
        <v>76870</v>
      </c>
    </row>
    <row r="4919" spans="1:14" ht="11.25" customHeight="1" x14ac:dyDescent="0.2">
      <c r="A4919" s="168">
        <v>2021</v>
      </c>
      <c r="B4919" s="168">
        <v>11</v>
      </c>
      <c r="C4919" s="133">
        <v>18</v>
      </c>
      <c r="D4919" s="141">
        <f t="shared" si="160"/>
        <v>44518</v>
      </c>
      <c r="E4919" s="275">
        <f t="shared" si="161"/>
        <v>44518</v>
      </c>
      <c r="F4919" s="479" t="s">
        <v>964</v>
      </c>
      <c r="G4919" s="220" t="s">
        <v>74</v>
      </c>
      <c r="H4919" s="142" t="str" cm="1">
        <f t="array" ref="H4919">IFERROR(INDEX(INVESTOR_LIST[INVESTOR NAME],MATCH(I4919,INVESTOR_LIST[INVESTOR CODE],0),)," ")</f>
        <v>A.T.M. MORSHED KAMAL</v>
      </c>
      <c r="I4919" s="142" t="s">
        <v>872</v>
      </c>
      <c r="J4919" s="168" t="s">
        <v>52</v>
      </c>
      <c r="K4919" s="226">
        <v>300000</v>
      </c>
      <c r="L4919" s="226"/>
    </row>
    <row r="4920" spans="1:14" ht="33.75" x14ac:dyDescent="0.2">
      <c r="A4920" s="133">
        <v>2021</v>
      </c>
      <c r="B4920" s="133">
        <v>11</v>
      </c>
      <c r="C4920" s="133">
        <v>18</v>
      </c>
      <c r="D4920" s="141">
        <f t="shared" si="160"/>
        <v>44518</v>
      </c>
      <c r="E4920" s="275">
        <f t="shared" si="161"/>
        <v>44518</v>
      </c>
      <c r="F4920" s="481"/>
      <c r="G4920" s="174" t="s">
        <v>74</v>
      </c>
      <c r="H4920" s="148" t="str" cm="1">
        <f t="array" ref="H4920">IFERROR(INDEX(INVESTOR_LIST[INVESTOR NAME],MATCH(I4920,INVESTOR_LIST[INVESTOR CODE],0),)," ")</f>
        <v>A.T.M. MORSHED KAMAL</v>
      </c>
      <c r="I4920" s="148" t="s">
        <v>872</v>
      </c>
      <c r="J4920" s="133" t="s">
        <v>13</v>
      </c>
      <c r="K4920" s="218"/>
      <c r="L4920" s="218">
        <v>207760</v>
      </c>
    </row>
    <row r="4921" spans="1:14" ht="33.75" x14ac:dyDescent="0.2">
      <c r="A4921" s="163">
        <v>2021</v>
      </c>
      <c r="B4921" s="163">
        <v>11</v>
      </c>
      <c r="C4921" s="163">
        <v>18</v>
      </c>
      <c r="D4921" s="141">
        <f t="shared" si="160"/>
        <v>44518</v>
      </c>
      <c r="E4921" s="275">
        <f t="shared" si="161"/>
        <v>44518</v>
      </c>
      <c r="F4921" s="480"/>
      <c r="G4921" s="221" t="s">
        <v>74</v>
      </c>
      <c r="H4921" s="145" t="str" cm="1">
        <f t="array" ref="H4921">IFERROR(INDEX(INVESTOR_LIST[INVESTOR NAME],MATCH(I4921,INVESTOR_LIST[INVESTOR CODE],0),)," ")</f>
        <v>A.T.M. MORSHED KAMAL</v>
      </c>
      <c r="I4921" s="145" t="s">
        <v>872</v>
      </c>
      <c r="J4921" s="163" t="s">
        <v>53</v>
      </c>
      <c r="K4921" s="219"/>
      <c r="L4921" s="219">
        <v>92240</v>
      </c>
    </row>
    <row r="4922" spans="1:14" x14ac:dyDescent="0.2">
      <c r="A4922" s="168">
        <v>2021</v>
      </c>
      <c r="B4922" s="168">
        <v>11</v>
      </c>
      <c r="C4922" s="168">
        <v>18</v>
      </c>
      <c r="D4922" s="141">
        <f t="shared" si="160"/>
        <v>44518</v>
      </c>
      <c r="E4922" s="275">
        <f t="shared" si="161"/>
        <v>44518</v>
      </c>
      <c r="F4922" s="479" t="s">
        <v>233</v>
      </c>
      <c r="G4922" s="220" t="s">
        <v>74</v>
      </c>
      <c r="H4922" s="220" t="str" cm="1">
        <f t="array" ref="H4922">IFERROR(INDEX(INVESTOR_LIST[INVESTOR NAME],MATCH(I4922,INVESTOR_LIST[INVESTOR CODE],0),)," ")</f>
        <v xml:space="preserve"> </v>
      </c>
      <c r="I4922" s="142" t="s">
        <v>348</v>
      </c>
      <c r="J4922" s="143" t="s">
        <v>163</v>
      </c>
      <c r="K4922" s="226">
        <v>10000</v>
      </c>
      <c r="L4922" s="226"/>
    </row>
    <row r="4923" spans="1:14" x14ac:dyDescent="0.2">
      <c r="A4923" s="163">
        <v>2021</v>
      </c>
      <c r="B4923" s="163">
        <v>11</v>
      </c>
      <c r="C4923" s="163">
        <v>18</v>
      </c>
      <c r="D4923" s="141">
        <f t="shared" si="160"/>
        <v>44518</v>
      </c>
      <c r="E4923" s="275">
        <f t="shared" si="161"/>
        <v>44518</v>
      </c>
      <c r="F4923" s="480"/>
      <c r="G4923" s="221" t="s">
        <v>74</v>
      </c>
      <c r="H4923" s="221" t="str" cm="1">
        <f t="array" ref="H4923">IFERROR(INDEX(INVESTOR_LIST[INVESTOR NAME],MATCH(I4923,INVESTOR_LIST[INVESTOR CODE],0),)," ")</f>
        <v xml:space="preserve"> </v>
      </c>
      <c r="I4923" s="145" t="s">
        <v>348</v>
      </c>
      <c r="J4923" s="146" t="s">
        <v>52</v>
      </c>
      <c r="K4923" s="219"/>
      <c r="L4923" s="219">
        <v>10000</v>
      </c>
    </row>
    <row r="4924" spans="1:14" x14ac:dyDescent="0.2">
      <c r="A4924" s="168">
        <v>2021</v>
      </c>
      <c r="B4924" s="168">
        <v>11</v>
      </c>
      <c r="C4924" s="168">
        <v>18</v>
      </c>
      <c r="D4924" s="141">
        <f t="shared" si="160"/>
        <v>44518</v>
      </c>
      <c r="E4924" s="275">
        <f t="shared" si="161"/>
        <v>44518</v>
      </c>
      <c r="F4924" s="479" t="s">
        <v>948</v>
      </c>
      <c r="G4924" s="220" t="s">
        <v>74</v>
      </c>
      <c r="H4924" s="220" t="str" cm="1">
        <f t="array" ref="H4924">IFERROR(INDEX(INVESTOR_LIST[INVESTOR NAME],MATCH(I4924,INVESTOR_LIST[INVESTOR CODE],0),)," ")</f>
        <v xml:space="preserve"> </v>
      </c>
      <c r="I4924" s="142" t="s">
        <v>348</v>
      </c>
      <c r="J4924" s="143" t="s">
        <v>52</v>
      </c>
      <c r="K4924" s="226">
        <v>113263.14</v>
      </c>
      <c r="L4924" s="226"/>
    </row>
    <row r="4925" spans="1:14" x14ac:dyDescent="0.2">
      <c r="A4925" s="163">
        <v>2021</v>
      </c>
      <c r="B4925" s="163">
        <v>11</v>
      </c>
      <c r="C4925" s="163">
        <v>18</v>
      </c>
      <c r="D4925" s="141">
        <f t="shared" si="160"/>
        <v>44518</v>
      </c>
      <c r="E4925" s="275">
        <f t="shared" si="161"/>
        <v>44518</v>
      </c>
      <c r="F4925" s="480"/>
      <c r="G4925" s="221" t="s">
        <v>74</v>
      </c>
      <c r="H4925" s="221" t="str" cm="1">
        <f t="array" ref="H4925">IFERROR(INDEX(INVESTOR_LIST[INVESTOR NAME],MATCH(I4925,INVESTOR_LIST[INVESTOR CODE],0),)," ")</f>
        <v xml:space="preserve"> </v>
      </c>
      <c r="I4925" s="145" t="s">
        <v>348</v>
      </c>
      <c r="J4925" s="146" t="s">
        <v>190</v>
      </c>
      <c r="K4925" s="219"/>
      <c r="L4925" s="219">
        <v>113263.14</v>
      </c>
    </row>
    <row r="4926" spans="1:14" ht="11.25" customHeight="1" x14ac:dyDescent="0.2">
      <c r="A4926" s="168">
        <v>2021</v>
      </c>
      <c r="B4926" s="168">
        <v>11</v>
      </c>
      <c r="C4926" s="133">
        <v>18</v>
      </c>
      <c r="D4926" s="141">
        <f t="shared" si="160"/>
        <v>44518</v>
      </c>
      <c r="E4926" s="275">
        <f t="shared" si="161"/>
        <v>44518</v>
      </c>
      <c r="F4926" s="479" t="s">
        <v>964</v>
      </c>
      <c r="G4926" s="220" t="s">
        <v>74</v>
      </c>
      <c r="H4926" s="142" t="str" cm="1">
        <f t="array" ref="H4926">IFERROR(INDEX(INVESTOR_LIST[INVESTOR NAME],MATCH(I4926,INVESTOR_LIST[INVESTOR CODE],0),)," ")</f>
        <v>MOUMITA ROY</v>
      </c>
      <c r="I4926" s="142" t="s">
        <v>945</v>
      </c>
      <c r="J4926" s="168" t="s">
        <v>52</v>
      </c>
      <c r="K4926" s="226">
        <v>150000</v>
      </c>
      <c r="L4926" s="226"/>
    </row>
    <row r="4927" spans="1:14" ht="22.5" x14ac:dyDescent="0.2">
      <c r="A4927" s="133">
        <v>2021</v>
      </c>
      <c r="B4927" s="133">
        <v>11</v>
      </c>
      <c r="C4927" s="133">
        <v>18</v>
      </c>
      <c r="D4927" s="141">
        <f t="shared" si="160"/>
        <v>44518</v>
      </c>
      <c r="E4927" s="275">
        <f t="shared" si="161"/>
        <v>44518</v>
      </c>
      <c r="F4927" s="481"/>
      <c r="G4927" s="174" t="s">
        <v>74</v>
      </c>
      <c r="H4927" s="148" t="str" cm="1">
        <f t="array" ref="H4927">IFERROR(INDEX(INVESTOR_LIST[INVESTOR NAME],MATCH(I4927,INVESTOR_LIST[INVESTOR CODE],0),)," ")</f>
        <v>MOUMITA ROY</v>
      </c>
      <c r="I4927" s="148" t="s">
        <v>945</v>
      </c>
      <c r="J4927" s="133" t="s">
        <v>13</v>
      </c>
      <c r="K4927" s="218"/>
      <c r="L4927" s="218">
        <v>103880</v>
      </c>
    </row>
    <row r="4928" spans="1:14" ht="22.5" x14ac:dyDescent="0.2">
      <c r="A4928" s="163">
        <v>2021</v>
      </c>
      <c r="B4928" s="163">
        <v>11</v>
      </c>
      <c r="C4928" s="163">
        <v>18</v>
      </c>
      <c r="D4928" s="141">
        <f t="shared" si="160"/>
        <v>44518</v>
      </c>
      <c r="E4928" s="275">
        <f t="shared" si="161"/>
        <v>44518</v>
      </c>
      <c r="F4928" s="480"/>
      <c r="G4928" s="221" t="s">
        <v>74</v>
      </c>
      <c r="H4928" s="145" t="str" cm="1">
        <f t="array" ref="H4928">IFERROR(INDEX(INVESTOR_LIST[INVESTOR NAME],MATCH(I4928,INVESTOR_LIST[INVESTOR CODE],0),)," ")</f>
        <v>MOUMITA ROY</v>
      </c>
      <c r="I4928" s="145" t="s">
        <v>945</v>
      </c>
      <c r="J4928" s="163" t="s">
        <v>53</v>
      </c>
      <c r="K4928" s="219"/>
      <c r="L4928" s="219">
        <v>46120</v>
      </c>
    </row>
    <row r="4929" spans="1:14" x14ac:dyDescent="0.2">
      <c r="A4929" s="133">
        <v>2021</v>
      </c>
      <c r="B4929" s="133">
        <v>10</v>
      </c>
      <c r="C4929" s="133">
        <v>18</v>
      </c>
      <c r="D4929" s="141">
        <f t="shared" si="160"/>
        <v>44487</v>
      </c>
      <c r="E4929" s="275">
        <f t="shared" si="161"/>
        <v>44487</v>
      </c>
      <c r="F4929" s="479" t="s">
        <v>77</v>
      </c>
      <c r="G4929" s="174" t="s">
        <v>74</v>
      </c>
      <c r="H4929" s="148" t="str" cm="1">
        <f t="array" ref="H4929">IFERROR(INDEX(INVESTOR_LIST[INVESTOR NAME],MATCH(I4929,INVESTOR_LIST[INVESTOR CODE],0),)," ")</f>
        <v xml:space="preserve"> </v>
      </c>
      <c r="I4929" s="148" t="s">
        <v>348</v>
      </c>
      <c r="J4929" s="133" t="s">
        <v>61</v>
      </c>
      <c r="K4929" s="172">
        <v>10</v>
      </c>
    </row>
    <row r="4930" spans="1:14" x14ac:dyDescent="0.2">
      <c r="A4930" s="163">
        <v>2021</v>
      </c>
      <c r="B4930" s="163">
        <v>10</v>
      </c>
      <c r="C4930" s="163">
        <v>18</v>
      </c>
      <c r="D4930" s="141">
        <f t="shared" si="160"/>
        <v>44487</v>
      </c>
      <c r="E4930" s="275">
        <f t="shared" si="161"/>
        <v>44487</v>
      </c>
      <c r="F4930" s="480"/>
      <c r="G4930" s="221" t="s">
        <v>74</v>
      </c>
      <c r="H4930" s="145" t="str" cm="1">
        <f t="array" ref="H4930">IFERROR(INDEX(INVESTOR_LIST[INVESTOR NAME],MATCH(I4930,INVESTOR_LIST[INVESTOR CODE],0),)," ")</f>
        <v xml:space="preserve"> </v>
      </c>
      <c r="I4930" s="145" t="s">
        <v>348</v>
      </c>
      <c r="J4930" s="163" t="s">
        <v>52</v>
      </c>
      <c r="K4930" s="219"/>
      <c r="L4930" s="219">
        <v>10</v>
      </c>
    </row>
    <row r="4931" spans="1:14" x14ac:dyDescent="0.2">
      <c r="A4931" s="238">
        <v>2021</v>
      </c>
      <c r="B4931" s="238">
        <v>11</v>
      </c>
      <c r="C4931" s="238">
        <v>18</v>
      </c>
      <c r="D4931" s="141">
        <f t="shared" si="160"/>
        <v>44518</v>
      </c>
      <c r="E4931" s="275">
        <f t="shared" si="161"/>
        <v>44518</v>
      </c>
      <c r="F4931" s="477" t="s">
        <v>347</v>
      </c>
      <c r="G4931" s="239" t="s">
        <v>94</v>
      </c>
      <c r="H4931" s="239" t="str" cm="1">
        <f t="array" ref="H4931">IFERROR(INDEX(INVESTOR_LIST[INVESTOR NAME],MATCH(I4931,INVESTOR_LIST[INVESTOR CODE],0),)," ")</f>
        <v xml:space="preserve"> </v>
      </c>
      <c r="I4931" s="262" t="s">
        <v>348</v>
      </c>
      <c r="J4931" s="240" t="s">
        <v>108</v>
      </c>
      <c r="K4931" s="241">
        <v>5569521.6100000124</v>
      </c>
      <c r="L4931" s="241"/>
    </row>
    <row r="4932" spans="1:14" x14ac:dyDescent="0.2">
      <c r="A4932" s="242">
        <v>2021</v>
      </c>
      <c r="B4932" s="242">
        <v>11</v>
      </c>
      <c r="C4932" s="242">
        <v>18</v>
      </c>
      <c r="D4932" s="141">
        <f t="shared" si="160"/>
        <v>44518</v>
      </c>
      <c r="E4932" s="275">
        <f t="shared" si="161"/>
        <v>44518</v>
      </c>
      <c r="F4932" s="478"/>
      <c r="G4932" s="243" t="s">
        <v>94</v>
      </c>
      <c r="H4932" s="243" t="str" cm="1">
        <f t="array" ref="H4932">IFERROR(INDEX(INVESTOR_LIST[INVESTOR NAME],MATCH(I4932,INVESTOR_LIST[INVESTOR CODE],0),)," ")</f>
        <v xml:space="preserve"> </v>
      </c>
      <c r="I4932" s="263" t="s">
        <v>348</v>
      </c>
      <c r="J4932" s="244" t="s">
        <v>82</v>
      </c>
      <c r="K4932" s="245"/>
      <c r="L4932" s="245">
        <v>5569521.6100000124</v>
      </c>
    </row>
    <row r="4933" spans="1:14" ht="22.5" x14ac:dyDescent="0.2">
      <c r="A4933" s="246">
        <v>2021</v>
      </c>
      <c r="B4933" s="246">
        <v>11</v>
      </c>
      <c r="C4933" s="246">
        <v>18</v>
      </c>
      <c r="D4933" s="141">
        <f t="shared" si="160"/>
        <v>44518</v>
      </c>
      <c r="E4933" s="275">
        <f t="shared" si="161"/>
        <v>44518</v>
      </c>
      <c r="F4933" s="482" t="s">
        <v>148</v>
      </c>
      <c r="G4933" s="247" t="s">
        <v>94</v>
      </c>
      <c r="H4933" s="247" t="str" cm="1">
        <f t="array" ref="H4933">IFERROR(INDEX(INVESTOR_LIST[INVESTOR NAME],MATCH(I4933,INVESTOR_LIST[INVESTOR CODE],0),)," ")</f>
        <v xml:space="preserve"> </v>
      </c>
      <c r="I4933" s="248" t="s">
        <v>348</v>
      </c>
      <c r="J4933" s="249" t="s">
        <v>95</v>
      </c>
      <c r="K4933" s="250">
        <v>2747.2527472527472</v>
      </c>
      <c r="L4933" s="241"/>
      <c r="M4933" s="133">
        <v>2747.2527472527472</v>
      </c>
    </row>
    <row r="4934" spans="1:14" x14ac:dyDescent="0.2">
      <c r="A4934" s="242">
        <v>2021</v>
      </c>
      <c r="B4934" s="242">
        <v>11</v>
      </c>
      <c r="C4934" s="242">
        <v>18</v>
      </c>
      <c r="D4934" s="141">
        <f t="shared" si="160"/>
        <v>44518</v>
      </c>
      <c r="E4934" s="275">
        <f t="shared" si="161"/>
        <v>44518</v>
      </c>
      <c r="F4934" s="478"/>
      <c r="G4934" s="243" t="s">
        <v>94</v>
      </c>
      <c r="H4934" s="243" t="str" cm="1">
        <f t="array" ref="H4934">IFERROR(INDEX(INVESTOR_LIST[INVESTOR NAME],MATCH(I4934,INVESTOR_LIST[INVESTOR CODE],0),)," ")</f>
        <v xml:space="preserve"> </v>
      </c>
      <c r="I4934" s="263" t="s">
        <v>348</v>
      </c>
      <c r="J4934" s="244" t="s">
        <v>63</v>
      </c>
      <c r="K4934" s="245"/>
      <c r="L4934" s="245">
        <v>2747.2527472527472</v>
      </c>
      <c r="M4934" s="133">
        <v>93808.161445264996</v>
      </c>
    </row>
    <row r="4935" spans="1:14" x14ac:dyDescent="0.2">
      <c r="A4935" s="246">
        <v>2021</v>
      </c>
      <c r="B4935" s="246">
        <v>11</v>
      </c>
      <c r="C4935" s="246">
        <v>18</v>
      </c>
      <c r="D4935" s="141">
        <f t="shared" si="160"/>
        <v>44518</v>
      </c>
      <c r="E4935" s="275">
        <f t="shared" si="161"/>
        <v>44518</v>
      </c>
      <c r="F4935" s="482" t="s">
        <v>137</v>
      </c>
      <c r="G4935" s="247" t="s">
        <v>94</v>
      </c>
      <c r="H4935" s="247" t="str" cm="1">
        <f t="array" ref="H4935">IFERROR(INDEX(INVESTOR_LIST[INVESTOR NAME],MATCH(I4935,INVESTOR_LIST[INVESTOR CODE],0),)," ")</f>
        <v xml:space="preserve"> </v>
      </c>
      <c r="I4935" s="248" t="s">
        <v>348</v>
      </c>
      <c r="J4935" s="249" t="s">
        <v>97</v>
      </c>
      <c r="K4935" s="250">
        <v>93808.161445264996</v>
      </c>
      <c r="L4935" s="252"/>
      <c r="M4935" s="133">
        <v>4450.0234568786336</v>
      </c>
    </row>
    <row r="4936" spans="1:14" x14ac:dyDescent="0.2">
      <c r="A4936" s="242">
        <v>2021</v>
      </c>
      <c r="B4936" s="242">
        <v>11</v>
      </c>
      <c r="C4936" s="242">
        <v>18</v>
      </c>
      <c r="D4936" s="141">
        <f t="shared" si="160"/>
        <v>44518</v>
      </c>
      <c r="E4936" s="275">
        <f t="shared" si="161"/>
        <v>44518</v>
      </c>
      <c r="F4936" s="478"/>
      <c r="G4936" s="243" t="s">
        <v>94</v>
      </c>
      <c r="H4936" s="243" t="str" cm="1">
        <f t="array" ref="H4936">IFERROR(INDEX(INVESTOR_LIST[INVESTOR NAME],MATCH(I4936,INVESTOR_LIST[INVESTOR CODE],0),)," ")</f>
        <v xml:space="preserve"> </v>
      </c>
      <c r="I4936" s="263" t="s">
        <v>348</v>
      </c>
      <c r="J4936" s="244" t="s">
        <v>47</v>
      </c>
      <c r="K4936" s="245"/>
      <c r="L4936" s="245">
        <v>93808.161445264996</v>
      </c>
    </row>
    <row r="4937" spans="1:14" x14ac:dyDescent="0.2">
      <c r="A4937" s="246">
        <v>2021</v>
      </c>
      <c r="B4937" s="246">
        <v>11</v>
      </c>
      <c r="C4937" s="246">
        <v>18</v>
      </c>
      <c r="D4937" s="141">
        <f t="shared" si="160"/>
        <v>44518</v>
      </c>
      <c r="E4937" s="275">
        <f t="shared" si="161"/>
        <v>44518</v>
      </c>
      <c r="F4937" s="482" t="s">
        <v>138</v>
      </c>
      <c r="G4937" s="247" t="s">
        <v>94</v>
      </c>
      <c r="H4937" s="247" t="str" cm="1">
        <f t="array" ref="H4937">IFERROR(INDEX(INVESTOR_LIST[INVESTOR NAME],MATCH(I4937,INVESTOR_LIST[INVESTOR CODE],0),)," ")</f>
        <v xml:space="preserve"> </v>
      </c>
      <c r="I4937" s="248" t="s">
        <v>348</v>
      </c>
      <c r="J4937" s="249" t="s">
        <v>100</v>
      </c>
      <c r="K4937" s="250">
        <v>4450.0234568786336</v>
      </c>
      <c r="L4937" s="252"/>
      <c r="N4937" s="264"/>
    </row>
    <row r="4938" spans="1:14" x14ac:dyDescent="0.2">
      <c r="A4938" s="242">
        <v>2021</v>
      </c>
      <c r="B4938" s="242">
        <v>11</v>
      </c>
      <c r="C4938" s="242">
        <v>18</v>
      </c>
      <c r="D4938" s="141">
        <f t="shared" si="160"/>
        <v>44518</v>
      </c>
      <c r="E4938" s="275">
        <f t="shared" si="161"/>
        <v>44518</v>
      </c>
      <c r="F4938" s="478"/>
      <c r="G4938" s="243" t="s">
        <v>94</v>
      </c>
      <c r="H4938" s="243" t="str" cm="1">
        <f t="array" ref="H4938">IFERROR(INDEX(INVESTOR_LIST[INVESTOR NAME],MATCH(I4938,INVESTOR_LIST[INVESTOR CODE],0),)," ")</f>
        <v xml:space="preserve"> </v>
      </c>
      <c r="I4938" s="263" t="s">
        <v>348</v>
      </c>
      <c r="J4938" s="244" t="s">
        <v>48</v>
      </c>
      <c r="K4938" s="245"/>
      <c r="L4938" s="245">
        <v>4450.0234568786336</v>
      </c>
      <c r="N4938" s="264"/>
    </row>
    <row r="4939" spans="1:14" x14ac:dyDescent="0.2">
      <c r="A4939" s="133">
        <v>2021</v>
      </c>
      <c r="B4939" s="133">
        <v>11</v>
      </c>
      <c r="C4939" s="133">
        <v>22</v>
      </c>
      <c r="D4939" s="141">
        <f t="shared" si="160"/>
        <v>44522</v>
      </c>
      <c r="E4939" s="275">
        <f t="shared" si="161"/>
        <v>44522</v>
      </c>
      <c r="F4939" s="479" t="s">
        <v>951</v>
      </c>
      <c r="G4939" s="174" t="s">
        <v>94</v>
      </c>
      <c r="H4939" s="148" t="str" cm="1">
        <f t="array" ref="H4939">IFERROR(INDEX(INVESTOR_LIST[INVESTOR NAME],MATCH(I4939,INVESTOR_LIST[INVESTOR CODE],0),)," ")</f>
        <v xml:space="preserve"> </v>
      </c>
      <c r="I4939" s="148" t="s">
        <v>348</v>
      </c>
      <c r="J4939" s="133" t="s">
        <v>168</v>
      </c>
      <c r="K4939" s="172">
        <v>870000</v>
      </c>
      <c r="N4939" s="179"/>
    </row>
    <row r="4940" spans="1:14" x14ac:dyDescent="0.2">
      <c r="A4940" s="163">
        <v>2021</v>
      </c>
      <c r="B4940" s="163">
        <v>11</v>
      </c>
      <c r="C4940" s="163">
        <v>22</v>
      </c>
      <c r="D4940" s="141">
        <f t="shared" si="160"/>
        <v>44522</v>
      </c>
      <c r="E4940" s="275">
        <f t="shared" si="161"/>
        <v>44522</v>
      </c>
      <c r="F4940" s="480"/>
      <c r="G4940" s="221" t="s">
        <v>94</v>
      </c>
      <c r="H4940" s="145" t="str" cm="1">
        <f t="array" ref="H4940">IFERROR(INDEX(INVESTOR_LIST[INVESTOR NAME],MATCH(I4940,INVESTOR_LIST[INVESTOR CODE],0),)," ")</f>
        <v xml:space="preserve"> </v>
      </c>
      <c r="I4940" s="145" t="s">
        <v>348</v>
      </c>
      <c r="J4940" s="163" t="s">
        <v>166</v>
      </c>
      <c r="K4940" s="219"/>
      <c r="L4940" s="219">
        <v>870000</v>
      </c>
    </row>
    <row r="4941" spans="1:14" ht="56.25" x14ac:dyDescent="0.2">
      <c r="A4941" s="168">
        <v>2021</v>
      </c>
      <c r="B4941" s="168">
        <v>11</v>
      </c>
      <c r="C4941" s="133">
        <v>22</v>
      </c>
      <c r="D4941" s="141">
        <f t="shared" si="160"/>
        <v>44522</v>
      </c>
      <c r="E4941" s="275">
        <f t="shared" si="161"/>
        <v>44522</v>
      </c>
      <c r="F4941" s="479" t="s">
        <v>965</v>
      </c>
      <c r="G4941" s="220" t="s">
        <v>74</v>
      </c>
      <c r="H4941" s="142" t="str" cm="1">
        <f t="array" ref="H4941">IFERROR(INDEX(INVESTOR_LIST[INVESTOR NAME],MATCH(I4941,INVESTOR_LIST[INVESTOR CODE],0),)," ")</f>
        <v>EDGE BANGLADESH MUTUAL FUND</v>
      </c>
      <c r="I4941" s="142" t="s">
        <v>490</v>
      </c>
      <c r="J4941" s="168" t="s">
        <v>13</v>
      </c>
      <c r="K4941" s="226">
        <v>1000000</v>
      </c>
      <c r="L4941" s="226"/>
    </row>
    <row r="4942" spans="1:14" ht="56.25" x14ac:dyDescent="0.2">
      <c r="A4942" s="133">
        <v>2021</v>
      </c>
      <c r="B4942" s="133">
        <v>11</v>
      </c>
      <c r="C4942" s="133">
        <v>22</v>
      </c>
      <c r="D4942" s="141">
        <f t="shared" ref="D4942:D5005" si="162">DATE(A4942,B4942,C4942)</f>
        <v>44522</v>
      </c>
      <c r="E4942" s="275">
        <f t="shared" si="161"/>
        <v>44522</v>
      </c>
      <c r="F4942" s="481"/>
      <c r="G4942" s="174" t="s">
        <v>74</v>
      </c>
      <c r="H4942" s="148" t="str" cm="1">
        <f t="array" ref="H4942">IFERROR(INDEX(INVESTOR_LIST[INVESTOR NAME],MATCH(I4942,INVESTOR_LIST[INVESTOR CODE],0),)," ")</f>
        <v>EDGE BANGLADESH MUTUAL FUND</v>
      </c>
      <c r="I4942" s="148" t="s">
        <v>490</v>
      </c>
      <c r="J4942" s="133" t="s">
        <v>53</v>
      </c>
      <c r="K4942" s="218">
        <v>504000</v>
      </c>
      <c r="L4942" s="218"/>
    </row>
    <row r="4943" spans="1:14" ht="56.25" x14ac:dyDescent="0.2">
      <c r="A4943" s="163">
        <v>2021</v>
      </c>
      <c r="B4943" s="163">
        <v>11</v>
      </c>
      <c r="C4943" s="163">
        <v>22</v>
      </c>
      <c r="D4943" s="141">
        <f t="shared" si="162"/>
        <v>44522</v>
      </c>
      <c r="E4943" s="275">
        <f t="shared" ref="E4943:E5006" si="163">DATE(A4943,B4943,C4943)</f>
        <v>44522</v>
      </c>
      <c r="F4943" s="480"/>
      <c r="G4943" s="221" t="s">
        <v>74</v>
      </c>
      <c r="H4943" s="145" t="str" cm="1">
        <f t="array" ref="H4943">IFERROR(INDEX(INVESTOR_LIST[INVESTOR NAME],MATCH(I4943,INVESTOR_LIST[INVESTOR CODE],0),)," ")</f>
        <v>EDGE BANGLADESH MUTUAL FUND</v>
      </c>
      <c r="I4943" s="145" t="s">
        <v>490</v>
      </c>
      <c r="J4943" s="163" t="s">
        <v>52</v>
      </c>
      <c r="K4943" s="219"/>
      <c r="L4943" s="219">
        <v>1504000</v>
      </c>
    </row>
    <row r="4944" spans="1:14" ht="45" x14ac:dyDescent="0.2">
      <c r="A4944" s="168">
        <v>2021</v>
      </c>
      <c r="B4944" s="168">
        <v>11</v>
      </c>
      <c r="C4944" s="133">
        <v>22</v>
      </c>
      <c r="D4944" s="141">
        <f t="shared" si="162"/>
        <v>44522</v>
      </c>
      <c r="E4944" s="275">
        <f t="shared" si="163"/>
        <v>44522</v>
      </c>
      <c r="F4944" s="479" t="s">
        <v>965</v>
      </c>
      <c r="G4944" s="220" t="s">
        <v>74</v>
      </c>
      <c r="H4944" s="142" t="str" cm="1">
        <f t="array" ref="H4944">IFERROR(INDEX(INVESTOR_LIST[INVESTOR NAME],MATCH(I4944,INVESTOR_LIST[INVESTOR CODE],0),)," ")</f>
        <v>EDGE AMC GROWTH FUND</v>
      </c>
      <c r="I4944" s="142" t="s">
        <v>491</v>
      </c>
      <c r="J4944" s="168" t="s">
        <v>13</v>
      </c>
      <c r="K4944" s="226">
        <v>1000000</v>
      </c>
      <c r="L4944" s="226"/>
    </row>
    <row r="4945" spans="1:12" ht="45" x14ac:dyDescent="0.2">
      <c r="A4945" s="133">
        <v>2021</v>
      </c>
      <c r="B4945" s="133">
        <v>11</v>
      </c>
      <c r="C4945" s="133">
        <v>22</v>
      </c>
      <c r="D4945" s="141">
        <f t="shared" si="162"/>
        <v>44522</v>
      </c>
      <c r="E4945" s="275">
        <f t="shared" si="163"/>
        <v>44522</v>
      </c>
      <c r="F4945" s="481"/>
      <c r="G4945" s="174" t="s">
        <v>74</v>
      </c>
      <c r="H4945" s="148" t="str" cm="1">
        <f t="array" ref="H4945">IFERROR(INDEX(INVESTOR_LIST[INVESTOR NAME],MATCH(I4945,INVESTOR_LIST[INVESTOR CODE],0),)," ")</f>
        <v>EDGE AMC GROWTH FUND</v>
      </c>
      <c r="I4945" s="148" t="s">
        <v>491</v>
      </c>
      <c r="J4945" s="133" t="s">
        <v>53</v>
      </c>
      <c r="K4945" s="218">
        <v>504000</v>
      </c>
      <c r="L4945" s="218"/>
    </row>
    <row r="4946" spans="1:12" ht="45" x14ac:dyDescent="0.2">
      <c r="A4946" s="163">
        <v>2021</v>
      </c>
      <c r="B4946" s="163">
        <v>11</v>
      </c>
      <c r="C4946" s="163">
        <v>22</v>
      </c>
      <c r="D4946" s="141">
        <f t="shared" si="162"/>
        <v>44522</v>
      </c>
      <c r="E4946" s="275">
        <f t="shared" si="163"/>
        <v>44522</v>
      </c>
      <c r="F4946" s="480"/>
      <c r="G4946" s="221" t="s">
        <v>74</v>
      </c>
      <c r="H4946" s="145" t="str" cm="1">
        <f t="array" ref="H4946">IFERROR(INDEX(INVESTOR_LIST[INVESTOR NAME],MATCH(I4946,INVESTOR_LIST[INVESTOR CODE],0),)," ")</f>
        <v>EDGE AMC GROWTH FUND</v>
      </c>
      <c r="I4946" s="145" t="s">
        <v>491</v>
      </c>
      <c r="J4946" s="163" t="s">
        <v>52</v>
      </c>
      <c r="K4946" s="219"/>
      <c r="L4946" s="219">
        <v>1504000</v>
      </c>
    </row>
    <row r="4947" spans="1:12" ht="11.25" customHeight="1" x14ac:dyDescent="0.2">
      <c r="A4947" s="168">
        <v>2021</v>
      </c>
      <c r="B4947" s="168">
        <v>11</v>
      </c>
      <c r="C4947" s="133">
        <v>22</v>
      </c>
      <c r="D4947" s="141">
        <f t="shared" si="162"/>
        <v>44522</v>
      </c>
      <c r="E4947" s="275">
        <f t="shared" si="163"/>
        <v>44522</v>
      </c>
      <c r="F4947" s="479" t="s">
        <v>254</v>
      </c>
      <c r="G4947" s="220" t="s">
        <v>74</v>
      </c>
      <c r="H4947" s="142" t="str" cm="1">
        <f t="array" ref="H4947">IFERROR(INDEX(INVESTOR_LIST[INVESTOR NAME],MATCH(I4947,INVESTOR_LIST[INVESTOR CODE],0),)," ")</f>
        <v xml:space="preserve"> </v>
      </c>
      <c r="I4947" s="142"/>
      <c r="J4947" s="168" t="s">
        <v>52</v>
      </c>
      <c r="K4947" s="226">
        <v>69000</v>
      </c>
      <c r="L4947" s="226"/>
    </row>
    <row r="4948" spans="1:12" x14ac:dyDescent="0.2">
      <c r="A4948" s="133">
        <v>2021</v>
      </c>
      <c r="B4948" s="133">
        <v>11</v>
      </c>
      <c r="C4948" s="133">
        <v>22</v>
      </c>
      <c r="D4948" s="141">
        <f t="shared" si="162"/>
        <v>44522</v>
      </c>
      <c r="E4948" s="275">
        <f t="shared" si="163"/>
        <v>44522</v>
      </c>
      <c r="F4948" s="481"/>
      <c r="G4948" s="174" t="s">
        <v>74</v>
      </c>
      <c r="H4948" s="148" t="str" cm="1">
        <f t="array" ref="H4948">IFERROR(INDEX(INVESTOR_LIST[INVESTOR NAME],MATCH(I4948,INVESTOR_LIST[INVESTOR CODE],0),)," ")</f>
        <v xml:space="preserve"> </v>
      </c>
      <c r="J4948" s="133" t="s">
        <v>13</v>
      </c>
      <c r="K4948" s="218"/>
      <c r="L4948" s="218">
        <v>46560</v>
      </c>
    </row>
    <row r="4949" spans="1:12" x14ac:dyDescent="0.2">
      <c r="A4949" s="163">
        <v>2021</v>
      </c>
      <c r="B4949" s="163">
        <v>11</v>
      </c>
      <c r="C4949" s="163">
        <v>22</v>
      </c>
      <c r="D4949" s="141">
        <f t="shared" si="162"/>
        <v>44522</v>
      </c>
      <c r="E4949" s="275">
        <f t="shared" si="163"/>
        <v>44522</v>
      </c>
      <c r="F4949" s="480"/>
      <c r="G4949" s="221" t="s">
        <v>74</v>
      </c>
      <c r="H4949" s="145" t="str" cm="1">
        <f t="array" ref="H4949">IFERROR(INDEX(INVESTOR_LIST[INVESTOR NAME],MATCH(I4949,INVESTOR_LIST[INVESTOR CODE],0),)," ")</f>
        <v xml:space="preserve"> </v>
      </c>
      <c r="I4949" s="145"/>
      <c r="J4949" s="163" t="s">
        <v>53</v>
      </c>
      <c r="K4949" s="219"/>
      <c r="L4949" s="219">
        <v>22440</v>
      </c>
    </row>
    <row r="4950" spans="1:12" ht="11.25" customHeight="1" x14ac:dyDescent="0.2">
      <c r="A4950" s="168">
        <v>2021</v>
      </c>
      <c r="B4950" s="168">
        <v>11</v>
      </c>
      <c r="C4950" s="133">
        <v>23</v>
      </c>
      <c r="D4950" s="141">
        <f t="shared" si="162"/>
        <v>44523</v>
      </c>
      <c r="E4950" s="275">
        <f t="shared" si="163"/>
        <v>44523</v>
      </c>
      <c r="F4950" s="479" t="s">
        <v>964</v>
      </c>
      <c r="G4950" s="220" t="s">
        <v>74</v>
      </c>
      <c r="H4950" s="142" t="str" cm="1">
        <f t="array" ref="H4950">IFERROR(INDEX(INVESTOR_LIST[INVESTOR NAME],MATCH(I4950,INVESTOR_LIST[INVESTOR CODE],0),)," ")</f>
        <v>QUAZI TOWFIQUE UDDIN</v>
      </c>
      <c r="I4950" s="142" t="s">
        <v>704</v>
      </c>
      <c r="J4950" s="168" t="s">
        <v>52</v>
      </c>
      <c r="K4950" s="226">
        <v>22000</v>
      </c>
      <c r="L4950" s="226"/>
    </row>
    <row r="4951" spans="1:12" ht="45" x14ac:dyDescent="0.2">
      <c r="A4951" s="133">
        <v>2021</v>
      </c>
      <c r="B4951" s="133">
        <v>11</v>
      </c>
      <c r="C4951" s="133">
        <v>23</v>
      </c>
      <c r="D4951" s="141">
        <f t="shared" si="162"/>
        <v>44523</v>
      </c>
      <c r="E4951" s="275">
        <f t="shared" si="163"/>
        <v>44523</v>
      </c>
      <c r="F4951" s="481"/>
      <c r="G4951" s="174" t="s">
        <v>74</v>
      </c>
      <c r="H4951" s="148" t="str" cm="1">
        <f t="array" ref="H4951">IFERROR(INDEX(INVESTOR_LIST[INVESTOR NAME],MATCH(I4951,INVESTOR_LIST[INVESTOR CODE],0),)," ")</f>
        <v>QUAZI TOWFIQUE UDDIN</v>
      </c>
      <c r="I4951" s="148" t="s">
        <v>704</v>
      </c>
      <c r="J4951" s="133" t="s">
        <v>13</v>
      </c>
      <c r="K4951" s="218"/>
      <c r="L4951" s="218">
        <v>14840</v>
      </c>
    </row>
    <row r="4952" spans="1:12" ht="45" x14ac:dyDescent="0.2">
      <c r="A4952" s="163">
        <v>2021</v>
      </c>
      <c r="B4952" s="163">
        <v>11</v>
      </c>
      <c r="C4952" s="163">
        <v>23</v>
      </c>
      <c r="D4952" s="141">
        <f t="shared" si="162"/>
        <v>44523</v>
      </c>
      <c r="E4952" s="275">
        <f t="shared" si="163"/>
        <v>44523</v>
      </c>
      <c r="F4952" s="480"/>
      <c r="G4952" s="221" t="s">
        <v>74</v>
      </c>
      <c r="H4952" s="145" t="str" cm="1">
        <f t="array" ref="H4952">IFERROR(INDEX(INVESTOR_LIST[INVESTOR NAME],MATCH(I4952,INVESTOR_LIST[INVESTOR CODE],0),)," ")</f>
        <v>QUAZI TOWFIQUE UDDIN</v>
      </c>
      <c r="I4952" s="145" t="s">
        <v>704</v>
      </c>
      <c r="J4952" s="163" t="s">
        <v>53</v>
      </c>
      <c r="K4952" s="219"/>
      <c r="L4952" s="219">
        <v>7160</v>
      </c>
    </row>
    <row r="4953" spans="1:12" ht="45" x14ac:dyDescent="0.2">
      <c r="A4953" s="168">
        <v>2021</v>
      </c>
      <c r="B4953" s="168">
        <v>11</v>
      </c>
      <c r="C4953" s="133">
        <v>23</v>
      </c>
      <c r="D4953" s="141">
        <f t="shared" si="162"/>
        <v>44523</v>
      </c>
      <c r="E4953" s="275">
        <f t="shared" si="163"/>
        <v>44523</v>
      </c>
      <c r="F4953" s="479" t="s">
        <v>965</v>
      </c>
      <c r="G4953" s="220" t="s">
        <v>74</v>
      </c>
      <c r="H4953" s="142" t="str" cm="1">
        <f t="array" ref="H4953">IFERROR(INDEX(INVESTOR_LIST[INVESTOR NAME],MATCH(I4953,INVESTOR_LIST[INVESTOR CODE],0),)," ")</f>
        <v>ASHUTOSH TALUKDER</v>
      </c>
      <c r="I4953" s="142" t="s">
        <v>483</v>
      </c>
      <c r="J4953" s="168" t="s">
        <v>13</v>
      </c>
      <c r="K4953" s="226">
        <v>174520</v>
      </c>
      <c r="L4953" s="226"/>
    </row>
    <row r="4954" spans="1:12" ht="45" x14ac:dyDescent="0.2">
      <c r="A4954" s="133">
        <v>2021</v>
      </c>
      <c r="B4954" s="133">
        <v>11</v>
      </c>
      <c r="C4954" s="133">
        <v>23</v>
      </c>
      <c r="D4954" s="141">
        <f t="shared" si="162"/>
        <v>44523</v>
      </c>
      <c r="E4954" s="275">
        <f t="shared" si="163"/>
        <v>44523</v>
      </c>
      <c r="F4954" s="481"/>
      <c r="G4954" s="174" t="s">
        <v>74</v>
      </c>
      <c r="H4954" s="148" t="str" cm="1">
        <f t="array" ref="H4954">IFERROR(INDEX(INVESTOR_LIST[INVESTOR NAME],MATCH(I4954,INVESTOR_LIST[INVESTOR CODE],0),)," ")</f>
        <v>ASHUTOSH TALUKDER</v>
      </c>
      <c r="I4954" s="148" t="s">
        <v>483</v>
      </c>
      <c r="J4954" s="133" t="s">
        <v>53</v>
      </c>
      <c r="K4954" s="218">
        <v>84118.63</v>
      </c>
      <c r="L4954" s="218"/>
    </row>
    <row r="4955" spans="1:12" ht="45" x14ac:dyDescent="0.2">
      <c r="A4955" s="163">
        <v>2021</v>
      </c>
      <c r="B4955" s="163">
        <v>11</v>
      </c>
      <c r="C4955" s="163">
        <v>23</v>
      </c>
      <c r="D4955" s="141">
        <f t="shared" si="162"/>
        <v>44523</v>
      </c>
      <c r="E4955" s="275">
        <f t="shared" si="163"/>
        <v>44523</v>
      </c>
      <c r="F4955" s="480"/>
      <c r="G4955" s="221" t="s">
        <v>74</v>
      </c>
      <c r="H4955" s="145" t="str" cm="1">
        <f t="array" ref="H4955">IFERROR(INDEX(INVESTOR_LIST[INVESTOR NAME],MATCH(I4955,INVESTOR_LIST[INVESTOR CODE],0),)," ")</f>
        <v>ASHUTOSH TALUKDER</v>
      </c>
      <c r="I4955" s="145" t="s">
        <v>483</v>
      </c>
      <c r="J4955" s="163" t="s">
        <v>52</v>
      </c>
      <c r="K4955" s="219"/>
      <c r="L4955" s="219">
        <v>258638.63</v>
      </c>
    </row>
    <row r="4956" spans="1:12" x14ac:dyDescent="0.2">
      <c r="A4956" s="133">
        <v>2021</v>
      </c>
      <c r="B4956" s="133">
        <v>11</v>
      </c>
      <c r="C4956" s="133">
        <v>24</v>
      </c>
      <c r="D4956" s="141">
        <f t="shared" si="162"/>
        <v>44524</v>
      </c>
      <c r="E4956" s="275">
        <f t="shared" si="163"/>
        <v>44524</v>
      </c>
      <c r="F4956" s="481" t="s">
        <v>279</v>
      </c>
      <c r="G4956" s="174" t="s">
        <v>94</v>
      </c>
      <c r="H4956" s="174" t="str" cm="1">
        <f t="array" ref="H4956">IFERROR(INDEX(INVESTOR_LIST[INVESTOR NAME],MATCH(I4956,INVESTOR_LIST[INVESTOR CODE],0),)," ")</f>
        <v xml:space="preserve"> </v>
      </c>
      <c r="I4956" s="148" t="s">
        <v>348</v>
      </c>
      <c r="J4956" s="149" t="s">
        <v>80</v>
      </c>
      <c r="K4956" s="218">
        <v>1827.22</v>
      </c>
      <c r="L4956" s="218"/>
    </row>
    <row r="4957" spans="1:12" x14ac:dyDescent="0.2">
      <c r="A4957" s="133">
        <v>2021</v>
      </c>
      <c r="B4957" s="133">
        <v>11</v>
      </c>
      <c r="C4957" s="133">
        <v>24</v>
      </c>
      <c r="D4957" s="141">
        <f t="shared" si="162"/>
        <v>44524</v>
      </c>
      <c r="E4957" s="275">
        <f t="shared" si="163"/>
        <v>44524</v>
      </c>
      <c r="F4957" s="481"/>
      <c r="G4957" s="174" t="s">
        <v>94</v>
      </c>
      <c r="H4957" s="174" t="str" cm="1">
        <f t="array" ref="H4957">IFERROR(INDEX(INVESTOR_LIST[INVESTOR NAME],MATCH(I4957,INVESTOR_LIST[INVESTOR CODE],0),)," ")</f>
        <v xml:space="preserve"> </v>
      </c>
      <c r="I4957" s="148" t="s">
        <v>348</v>
      </c>
      <c r="J4957" s="149" t="s">
        <v>190</v>
      </c>
      <c r="K4957" s="218">
        <v>1013292.78</v>
      </c>
      <c r="L4957" s="218"/>
    </row>
    <row r="4958" spans="1:12" x14ac:dyDescent="0.2">
      <c r="A4958" s="133">
        <v>2021</v>
      </c>
      <c r="B4958" s="133">
        <v>11</v>
      </c>
      <c r="C4958" s="133">
        <v>24</v>
      </c>
      <c r="D4958" s="141">
        <f t="shared" si="162"/>
        <v>44524</v>
      </c>
      <c r="E4958" s="275">
        <f t="shared" si="163"/>
        <v>44524</v>
      </c>
      <c r="F4958" s="481"/>
      <c r="G4958" s="174" t="s">
        <v>94</v>
      </c>
      <c r="H4958" s="174" t="str" cm="1">
        <f t="array" ref="H4958">IFERROR(INDEX(INVESTOR_LIST[INVESTOR NAME],MATCH(I4958,INVESTOR_LIST[INVESTOR CODE],0),)," ")</f>
        <v xml:space="preserve"> </v>
      </c>
      <c r="I4958" s="148" t="s">
        <v>348</v>
      </c>
      <c r="J4958" s="149" t="s">
        <v>191</v>
      </c>
      <c r="K4958" s="172">
        <v>25653.18</v>
      </c>
      <c r="L4958" s="218"/>
    </row>
    <row r="4959" spans="1:12" x14ac:dyDescent="0.2">
      <c r="A4959" s="163">
        <v>2021</v>
      </c>
      <c r="B4959" s="163">
        <v>11</v>
      </c>
      <c r="C4959" s="163">
        <v>24</v>
      </c>
      <c r="D4959" s="141">
        <f t="shared" si="162"/>
        <v>44524</v>
      </c>
      <c r="E4959" s="275">
        <f t="shared" si="163"/>
        <v>44524</v>
      </c>
      <c r="F4959" s="480"/>
      <c r="G4959" s="221" t="s">
        <v>94</v>
      </c>
      <c r="H4959" s="145" t="str" cm="1">
        <f t="array" ref="H4959">IFERROR(INDEX(INVESTOR_LIST[INVESTOR NAME],MATCH(I4959,INVESTOR_LIST[INVESTOR CODE],0),)," ")</f>
        <v xml:space="preserve"> </v>
      </c>
      <c r="I4959" s="145"/>
      <c r="J4959" s="163" t="s">
        <v>79</v>
      </c>
      <c r="K4959" s="219"/>
      <c r="L4959" s="219">
        <v>1040773.18</v>
      </c>
    </row>
    <row r="4960" spans="1:12" ht="22.5" x14ac:dyDescent="0.2">
      <c r="A4960" s="168">
        <v>2021</v>
      </c>
      <c r="B4960" s="168">
        <v>11</v>
      </c>
      <c r="C4960" s="133">
        <v>25</v>
      </c>
      <c r="D4960" s="141">
        <f t="shared" si="162"/>
        <v>44525</v>
      </c>
      <c r="E4960" s="275">
        <f t="shared" si="163"/>
        <v>44525</v>
      </c>
      <c r="F4960" s="479" t="s">
        <v>965</v>
      </c>
      <c r="G4960" s="220" t="s">
        <v>74</v>
      </c>
      <c r="H4960" s="142" t="str" cm="1">
        <f t="array" ref="H4960">IFERROR(INDEX(INVESTOR_LIST[INVESTOR NAME],MATCH(I4960,INVESTOR_LIST[INVESTOR CODE],0),)," ")</f>
        <v>MOUMITA ROY</v>
      </c>
      <c r="I4960" s="142" t="s">
        <v>945</v>
      </c>
      <c r="J4960" s="168" t="s">
        <v>13</v>
      </c>
      <c r="K4960" s="226">
        <v>103880</v>
      </c>
      <c r="L4960" s="226"/>
    </row>
    <row r="4961" spans="1:12" ht="22.5" x14ac:dyDescent="0.2">
      <c r="A4961" s="133">
        <v>2021</v>
      </c>
      <c r="B4961" s="133">
        <v>11</v>
      </c>
      <c r="C4961" s="133">
        <v>25</v>
      </c>
      <c r="D4961" s="141">
        <f t="shared" si="162"/>
        <v>44525</v>
      </c>
      <c r="E4961" s="275">
        <f t="shared" si="163"/>
        <v>44525</v>
      </c>
      <c r="F4961" s="481"/>
      <c r="G4961" s="174" t="s">
        <v>74</v>
      </c>
      <c r="H4961" s="148" t="str" cm="1">
        <f t="array" ref="H4961">IFERROR(INDEX(INVESTOR_LIST[INVESTOR NAME],MATCH(I4961,INVESTOR_LIST[INVESTOR CODE],0),)," ")</f>
        <v>MOUMITA ROY</v>
      </c>
      <c r="I4961" s="148" t="s">
        <v>945</v>
      </c>
      <c r="J4961" s="133" t="s">
        <v>53</v>
      </c>
      <c r="K4961" s="218">
        <v>50069.06</v>
      </c>
      <c r="L4961" s="218"/>
    </row>
    <row r="4962" spans="1:12" ht="22.5" x14ac:dyDescent="0.2">
      <c r="A4962" s="163">
        <v>2021</v>
      </c>
      <c r="B4962" s="163">
        <v>11</v>
      </c>
      <c r="C4962" s="163">
        <v>25</v>
      </c>
      <c r="D4962" s="141">
        <f t="shared" si="162"/>
        <v>44525</v>
      </c>
      <c r="E4962" s="275">
        <f t="shared" si="163"/>
        <v>44525</v>
      </c>
      <c r="F4962" s="480"/>
      <c r="G4962" s="221" t="s">
        <v>74</v>
      </c>
      <c r="H4962" s="145" t="str" cm="1">
        <f t="array" ref="H4962">IFERROR(INDEX(INVESTOR_LIST[INVESTOR NAME],MATCH(I4962,INVESTOR_LIST[INVESTOR CODE],0),)," ")</f>
        <v>MOUMITA ROY</v>
      </c>
      <c r="I4962" s="145" t="s">
        <v>945</v>
      </c>
      <c r="J4962" s="163" t="s">
        <v>52</v>
      </c>
      <c r="K4962" s="219"/>
      <c r="L4962" s="219">
        <v>153949.06</v>
      </c>
    </row>
    <row r="4963" spans="1:12" ht="33.75" x14ac:dyDescent="0.2">
      <c r="A4963" s="168">
        <v>2021</v>
      </c>
      <c r="B4963" s="168">
        <v>11</v>
      </c>
      <c r="C4963" s="133">
        <v>25</v>
      </c>
      <c r="D4963" s="141">
        <f t="shared" si="162"/>
        <v>44525</v>
      </c>
      <c r="E4963" s="275">
        <f t="shared" si="163"/>
        <v>44525</v>
      </c>
      <c r="F4963" s="479" t="s">
        <v>965</v>
      </c>
      <c r="G4963" s="220" t="s">
        <v>74</v>
      </c>
      <c r="H4963" s="142" t="str" cm="1">
        <f t="array" ref="H4963">IFERROR(INDEX(INVESTOR_LIST[INVESTOR NAME],MATCH(I4963,INVESTOR_LIST[INVESTOR CODE],0),)," ")</f>
        <v>AMIT KANTI SARKER</v>
      </c>
      <c r="I4963" s="142" t="s">
        <v>494</v>
      </c>
      <c r="J4963" s="168" t="s">
        <v>13</v>
      </c>
      <c r="K4963" s="226">
        <v>415510</v>
      </c>
      <c r="L4963" s="226"/>
    </row>
    <row r="4964" spans="1:12" ht="33.75" x14ac:dyDescent="0.2">
      <c r="A4964" s="133">
        <v>2021</v>
      </c>
      <c r="B4964" s="133">
        <v>11</v>
      </c>
      <c r="C4964" s="133">
        <v>25</v>
      </c>
      <c r="D4964" s="141">
        <f t="shared" si="162"/>
        <v>44525</v>
      </c>
      <c r="E4964" s="275">
        <f t="shared" si="163"/>
        <v>44525</v>
      </c>
      <c r="F4964" s="481"/>
      <c r="G4964" s="174" t="s">
        <v>74</v>
      </c>
      <c r="H4964" s="148" t="str" cm="1">
        <f t="array" ref="H4964">IFERROR(INDEX(INVESTOR_LIST[INVESTOR NAME],MATCH(I4964,INVESTOR_LIST[INVESTOR CODE],0),)," ")</f>
        <v>AMIT KANTI SARKER</v>
      </c>
      <c r="I4964" s="148" t="s">
        <v>494</v>
      </c>
      <c r="J4964" s="133" t="s">
        <v>53</v>
      </c>
      <c r="K4964" s="218">
        <v>200271.4</v>
      </c>
      <c r="L4964" s="218"/>
    </row>
    <row r="4965" spans="1:12" ht="33.75" x14ac:dyDescent="0.2">
      <c r="A4965" s="163">
        <v>2021</v>
      </c>
      <c r="B4965" s="163">
        <v>11</v>
      </c>
      <c r="C4965" s="163">
        <v>25</v>
      </c>
      <c r="D4965" s="141">
        <f t="shared" si="162"/>
        <v>44525</v>
      </c>
      <c r="E4965" s="275">
        <f t="shared" si="163"/>
        <v>44525</v>
      </c>
      <c r="F4965" s="480"/>
      <c r="G4965" s="221" t="s">
        <v>74</v>
      </c>
      <c r="H4965" s="145" t="str" cm="1">
        <f t="array" ref="H4965">IFERROR(INDEX(INVESTOR_LIST[INVESTOR NAME],MATCH(I4965,INVESTOR_LIST[INVESTOR CODE],0),)," ")</f>
        <v>AMIT KANTI SARKER</v>
      </c>
      <c r="I4965" s="145" t="s">
        <v>494</v>
      </c>
      <c r="J4965" s="163" t="s">
        <v>52</v>
      </c>
      <c r="K4965" s="219"/>
      <c r="L4965" s="219">
        <v>615781.4</v>
      </c>
    </row>
    <row r="4966" spans="1:12" ht="22.5" x14ac:dyDescent="0.2">
      <c r="A4966" s="168">
        <v>2021</v>
      </c>
      <c r="B4966" s="168">
        <v>11</v>
      </c>
      <c r="C4966" s="133">
        <v>25</v>
      </c>
      <c r="D4966" s="141">
        <f t="shared" si="162"/>
        <v>44525</v>
      </c>
      <c r="E4966" s="275">
        <f t="shared" si="163"/>
        <v>44525</v>
      </c>
      <c r="F4966" s="479" t="s">
        <v>965</v>
      </c>
      <c r="G4966" s="220" t="s">
        <v>74</v>
      </c>
      <c r="H4966" s="142" t="str" cm="1">
        <f t="array" ref="H4966">IFERROR(INDEX(INVESTOR_LIST[INVESTOR NAME],MATCH(I4966,INVESTOR_LIST[INVESTOR CODE],0),)," ")</f>
        <v>SULTANA RAZIA</v>
      </c>
      <c r="I4966" s="142" t="s">
        <v>698</v>
      </c>
      <c r="J4966" s="168" t="s">
        <v>13</v>
      </c>
      <c r="K4966" s="226">
        <v>484760</v>
      </c>
      <c r="L4966" s="226"/>
    </row>
    <row r="4967" spans="1:12" ht="22.5" x14ac:dyDescent="0.2">
      <c r="A4967" s="133">
        <v>2021</v>
      </c>
      <c r="B4967" s="133">
        <v>11</v>
      </c>
      <c r="C4967" s="133">
        <v>25</v>
      </c>
      <c r="D4967" s="141">
        <f t="shared" si="162"/>
        <v>44525</v>
      </c>
      <c r="E4967" s="275">
        <f t="shared" si="163"/>
        <v>44525</v>
      </c>
      <c r="F4967" s="481"/>
      <c r="G4967" s="174" t="s">
        <v>74</v>
      </c>
      <c r="H4967" s="148" t="str" cm="1">
        <f t="array" ref="H4967">IFERROR(INDEX(INVESTOR_LIST[INVESTOR NAME],MATCH(I4967,INVESTOR_LIST[INVESTOR CODE],0),)," ")</f>
        <v>SULTANA RAZIA</v>
      </c>
      <c r="I4967" s="148" t="s">
        <v>698</v>
      </c>
      <c r="J4967" s="133" t="s">
        <v>53</v>
      </c>
      <c r="K4967" s="218">
        <v>233649.17</v>
      </c>
      <c r="L4967" s="218"/>
    </row>
    <row r="4968" spans="1:12" ht="22.5" x14ac:dyDescent="0.2">
      <c r="A4968" s="163">
        <v>2021</v>
      </c>
      <c r="B4968" s="163">
        <v>11</v>
      </c>
      <c r="C4968" s="163">
        <v>25</v>
      </c>
      <c r="D4968" s="141">
        <f t="shared" si="162"/>
        <v>44525</v>
      </c>
      <c r="E4968" s="275">
        <f t="shared" si="163"/>
        <v>44525</v>
      </c>
      <c r="F4968" s="480"/>
      <c r="G4968" s="221" t="s">
        <v>74</v>
      </c>
      <c r="H4968" s="145" t="str" cm="1">
        <f t="array" ref="H4968">IFERROR(INDEX(INVESTOR_LIST[INVESTOR NAME],MATCH(I4968,INVESTOR_LIST[INVESTOR CODE],0),)," ")</f>
        <v>SULTANA RAZIA</v>
      </c>
      <c r="I4968" s="145" t="s">
        <v>698</v>
      </c>
      <c r="J4968" s="163" t="s">
        <v>52</v>
      </c>
      <c r="K4968" s="219"/>
      <c r="L4968" s="219">
        <v>718409.17</v>
      </c>
    </row>
    <row r="4969" spans="1:12" ht="67.5" x14ac:dyDescent="0.2">
      <c r="A4969" s="168">
        <v>2021</v>
      </c>
      <c r="B4969" s="168">
        <v>11</v>
      </c>
      <c r="C4969" s="133">
        <v>25</v>
      </c>
      <c r="D4969" s="141">
        <f t="shared" si="162"/>
        <v>44525</v>
      </c>
      <c r="E4969" s="275">
        <f t="shared" si="163"/>
        <v>44525</v>
      </c>
      <c r="F4969" s="479" t="s">
        <v>965</v>
      </c>
      <c r="G4969" s="220" t="s">
        <v>74</v>
      </c>
      <c r="H4969" s="142" t="str" cm="1">
        <f t="array" ref="H4969">IFERROR(INDEX(INVESTOR_LIST[INVESTOR NAME],MATCH(I4969,INVESTOR_LIST[INVESTOR CODE],0),)," ")</f>
        <v>MONSURUL MOHAMMAD SHAHRIAR</v>
      </c>
      <c r="I4969" s="142" t="s">
        <v>947</v>
      </c>
      <c r="J4969" s="168" t="s">
        <v>13</v>
      </c>
      <c r="K4969" s="226">
        <v>207760</v>
      </c>
      <c r="L4969" s="226"/>
    </row>
    <row r="4970" spans="1:12" ht="67.5" x14ac:dyDescent="0.2">
      <c r="A4970" s="133">
        <v>2021</v>
      </c>
      <c r="B4970" s="133">
        <v>11</v>
      </c>
      <c r="C4970" s="133">
        <v>25</v>
      </c>
      <c r="D4970" s="141">
        <f t="shared" si="162"/>
        <v>44525</v>
      </c>
      <c r="E4970" s="275">
        <f t="shared" si="163"/>
        <v>44525</v>
      </c>
      <c r="F4970" s="481"/>
      <c r="G4970" s="174" t="s">
        <v>74</v>
      </c>
      <c r="H4970" s="148" t="str" cm="1">
        <f t="array" ref="H4970">IFERROR(INDEX(INVESTOR_LIST[INVESTOR NAME],MATCH(I4970,INVESTOR_LIST[INVESTOR CODE],0),)," ")</f>
        <v>MONSURUL MOHAMMAD SHAHRIAR</v>
      </c>
      <c r="I4970" s="148" t="s">
        <v>947</v>
      </c>
      <c r="J4970" s="133" t="s">
        <v>53</v>
      </c>
      <c r="K4970" s="218">
        <v>100138.11</v>
      </c>
      <c r="L4970" s="218"/>
    </row>
    <row r="4971" spans="1:12" ht="67.5" x14ac:dyDescent="0.2">
      <c r="A4971" s="163">
        <v>2021</v>
      </c>
      <c r="B4971" s="163">
        <v>11</v>
      </c>
      <c r="C4971" s="163">
        <v>25</v>
      </c>
      <c r="D4971" s="141">
        <f t="shared" si="162"/>
        <v>44525</v>
      </c>
      <c r="E4971" s="275">
        <f t="shared" si="163"/>
        <v>44525</v>
      </c>
      <c r="F4971" s="480"/>
      <c r="G4971" s="221" t="s">
        <v>74</v>
      </c>
      <c r="H4971" s="145" t="str" cm="1">
        <f t="array" ref="H4971">IFERROR(INDEX(INVESTOR_LIST[INVESTOR NAME],MATCH(I4971,INVESTOR_LIST[INVESTOR CODE],0),)," ")</f>
        <v>MONSURUL MOHAMMAD SHAHRIAR</v>
      </c>
      <c r="I4971" s="145" t="s">
        <v>947</v>
      </c>
      <c r="J4971" s="163" t="s">
        <v>52</v>
      </c>
      <c r="K4971" s="219"/>
      <c r="L4971" s="219">
        <v>307898.11</v>
      </c>
    </row>
    <row r="4972" spans="1:12" ht="33.75" x14ac:dyDescent="0.2">
      <c r="A4972" s="168">
        <v>2021</v>
      </c>
      <c r="B4972" s="168">
        <v>11</v>
      </c>
      <c r="C4972" s="133">
        <v>25</v>
      </c>
      <c r="D4972" s="141">
        <f t="shared" si="162"/>
        <v>44525</v>
      </c>
      <c r="E4972" s="275">
        <f t="shared" si="163"/>
        <v>44525</v>
      </c>
      <c r="F4972" s="479" t="s">
        <v>965</v>
      </c>
      <c r="G4972" s="220" t="s">
        <v>74</v>
      </c>
      <c r="H4972" s="142" t="str" cm="1">
        <f t="array" ref="H4972">IFERROR(INDEX(INVESTOR_LIST[INVESTOR NAME],MATCH(I4972,INVESTOR_LIST[INVESTOR CODE],0),)," ")</f>
        <v>FAKARUDDIN ALI AHMED</v>
      </c>
      <c r="I4972" s="142" t="s">
        <v>458</v>
      </c>
      <c r="J4972" s="168" t="s">
        <v>13</v>
      </c>
      <c r="K4972" s="226">
        <v>692520</v>
      </c>
      <c r="L4972" s="226"/>
    </row>
    <row r="4973" spans="1:12" ht="33.75" x14ac:dyDescent="0.2">
      <c r="A4973" s="133">
        <v>2021</v>
      </c>
      <c r="B4973" s="133">
        <v>11</v>
      </c>
      <c r="C4973" s="133">
        <v>25</v>
      </c>
      <c r="D4973" s="141">
        <f t="shared" si="162"/>
        <v>44525</v>
      </c>
      <c r="E4973" s="275">
        <f t="shared" si="163"/>
        <v>44525</v>
      </c>
      <c r="F4973" s="481"/>
      <c r="G4973" s="174" t="s">
        <v>74</v>
      </c>
      <c r="H4973" s="148" t="str" cm="1">
        <f t="array" ref="H4973">IFERROR(INDEX(INVESTOR_LIST[INVESTOR NAME],MATCH(I4973,INVESTOR_LIST[INVESTOR CODE],0),)," ")</f>
        <v>FAKARUDDIN ALI AHMED</v>
      </c>
      <c r="I4973" s="148" t="s">
        <v>458</v>
      </c>
      <c r="J4973" s="133" t="s">
        <v>53</v>
      </c>
      <c r="K4973" s="218">
        <v>333787.28000000003</v>
      </c>
      <c r="L4973" s="218"/>
    </row>
    <row r="4974" spans="1:12" ht="33.75" x14ac:dyDescent="0.2">
      <c r="A4974" s="163">
        <v>2021</v>
      </c>
      <c r="B4974" s="163">
        <v>11</v>
      </c>
      <c r="C4974" s="163">
        <v>25</v>
      </c>
      <c r="D4974" s="141">
        <f t="shared" si="162"/>
        <v>44525</v>
      </c>
      <c r="E4974" s="275">
        <f t="shared" si="163"/>
        <v>44525</v>
      </c>
      <c r="F4974" s="480"/>
      <c r="G4974" s="221" t="s">
        <v>74</v>
      </c>
      <c r="H4974" s="145" t="str" cm="1">
        <f t="array" ref="H4974">IFERROR(INDEX(INVESTOR_LIST[INVESTOR NAME],MATCH(I4974,INVESTOR_LIST[INVESTOR CODE],0),)," ")</f>
        <v>FAKARUDDIN ALI AHMED</v>
      </c>
      <c r="I4974" s="145" t="s">
        <v>458</v>
      </c>
      <c r="J4974" s="163" t="s">
        <v>52</v>
      </c>
      <c r="K4974" s="219"/>
      <c r="L4974" s="219">
        <v>1026307.28</v>
      </c>
    </row>
    <row r="4975" spans="1:12" ht="33.75" x14ac:dyDescent="0.2">
      <c r="A4975" s="168">
        <v>2021</v>
      </c>
      <c r="B4975" s="168">
        <v>11</v>
      </c>
      <c r="C4975" s="133">
        <v>25</v>
      </c>
      <c r="D4975" s="141">
        <f t="shared" si="162"/>
        <v>44525</v>
      </c>
      <c r="E4975" s="275">
        <f t="shared" si="163"/>
        <v>44525</v>
      </c>
      <c r="F4975" s="479" t="s">
        <v>965</v>
      </c>
      <c r="G4975" s="220" t="s">
        <v>74</v>
      </c>
      <c r="H4975" s="142" t="str" cm="1">
        <f t="array" ref="H4975">IFERROR(INDEX(INVESTOR_LIST[INVESTOR NAME],MATCH(I4975,INVESTOR_LIST[INVESTOR CODE],0),)," ")</f>
        <v>A.T.M. MORSHED KAMAL</v>
      </c>
      <c r="I4975" s="142" t="s">
        <v>872</v>
      </c>
      <c r="J4975" s="168" t="s">
        <v>13</v>
      </c>
      <c r="K4975" s="226">
        <v>207760</v>
      </c>
      <c r="L4975" s="226"/>
    </row>
    <row r="4976" spans="1:12" ht="33.75" x14ac:dyDescent="0.2">
      <c r="A4976" s="133">
        <v>2021</v>
      </c>
      <c r="B4976" s="133">
        <v>11</v>
      </c>
      <c r="C4976" s="133">
        <v>25</v>
      </c>
      <c r="D4976" s="141">
        <f t="shared" si="162"/>
        <v>44525</v>
      </c>
      <c r="E4976" s="275">
        <f t="shared" si="163"/>
        <v>44525</v>
      </c>
      <c r="F4976" s="481"/>
      <c r="G4976" s="174" t="s">
        <v>74</v>
      </c>
      <c r="H4976" s="148" t="str" cm="1">
        <f t="array" ref="H4976">IFERROR(INDEX(INVESTOR_LIST[INVESTOR NAME],MATCH(I4976,INVESTOR_LIST[INVESTOR CODE],0),)," ")</f>
        <v>A.T.M. MORSHED KAMAL</v>
      </c>
      <c r="I4976" s="148" t="s">
        <v>872</v>
      </c>
      <c r="J4976" s="133" t="s">
        <v>53</v>
      </c>
      <c r="K4976" s="218">
        <v>100138.11</v>
      </c>
      <c r="L4976" s="218"/>
    </row>
    <row r="4977" spans="1:13" ht="33.75" x14ac:dyDescent="0.2">
      <c r="A4977" s="163">
        <v>2021</v>
      </c>
      <c r="B4977" s="163">
        <v>11</v>
      </c>
      <c r="C4977" s="163">
        <v>25</v>
      </c>
      <c r="D4977" s="141">
        <f t="shared" si="162"/>
        <v>44525</v>
      </c>
      <c r="E4977" s="275">
        <f t="shared" si="163"/>
        <v>44525</v>
      </c>
      <c r="F4977" s="480"/>
      <c r="G4977" s="221" t="s">
        <v>74</v>
      </c>
      <c r="H4977" s="145" t="str" cm="1">
        <f t="array" ref="H4977">IFERROR(INDEX(INVESTOR_LIST[INVESTOR NAME],MATCH(I4977,INVESTOR_LIST[INVESTOR CODE],0),)," ")</f>
        <v>A.T.M. MORSHED KAMAL</v>
      </c>
      <c r="I4977" s="145" t="s">
        <v>872</v>
      </c>
      <c r="J4977" s="163" t="s">
        <v>52</v>
      </c>
      <c r="K4977" s="219"/>
      <c r="L4977" s="219">
        <v>307898.11</v>
      </c>
    </row>
    <row r="4978" spans="1:13" ht="45" x14ac:dyDescent="0.2">
      <c r="A4978" s="168">
        <v>2021</v>
      </c>
      <c r="B4978" s="168">
        <v>11</v>
      </c>
      <c r="C4978" s="133">
        <v>25</v>
      </c>
      <c r="D4978" s="141">
        <f t="shared" si="162"/>
        <v>44525</v>
      </c>
      <c r="E4978" s="275">
        <f t="shared" si="163"/>
        <v>44525</v>
      </c>
      <c r="F4978" s="479" t="s">
        <v>965</v>
      </c>
      <c r="G4978" s="220" t="s">
        <v>74</v>
      </c>
      <c r="H4978" s="142" t="str" cm="1">
        <f t="array" ref="H4978">IFERROR(INDEX(INVESTOR_LIST[INVESTOR NAME],MATCH(I4978,INVESTOR_LIST[INVESTOR CODE],0),)," ")</f>
        <v>MD. WALID - AL - ZUBAYER</v>
      </c>
      <c r="I4978" s="142" t="s">
        <v>764</v>
      </c>
      <c r="J4978" s="168" t="s">
        <v>13</v>
      </c>
      <c r="K4978" s="226">
        <v>270000</v>
      </c>
      <c r="L4978" s="226"/>
    </row>
    <row r="4979" spans="1:13" ht="45" x14ac:dyDescent="0.2">
      <c r="A4979" s="133">
        <v>2021</v>
      </c>
      <c r="B4979" s="133">
        <v>11</v>
      </c>
      <c r="C4979" s="133">
        <v>25</v>
      </c>
      <c r="D4979" s="141">
        <f t="shared" si="162"/>
        <v>44525</v>
      </c>
      <c r="E4979" s="275">
        <f t="shared" si="163"/>
        <v>44525</v>
      </c>
      <c r="F4979" s="481"/>
      <c r="G4979" s="174" t="s">
        <v>74</v>
      </c>
      <c r="H4979" s="148" t="str" cm="1">
        <f t="array" ref="H4979">IFERROR(INDEX(INVESTOR_LIST[INVESTOR NAME],MATCH(I4979,INVESTOR_LIST[INVESTOR CODE],0),)," ")</f>
        <v>MD. WALID - AL - ZUBAYER</v>
      </c>
      <c r="I4979" s="148" t="s">
        <v>764</v>
      </c>
      <c r="J4979" s="133" t="s">
        <v>53</v>
      </c>
      <c r="K4979" s="218">
        <v>130137.13</v>
      </c>
      <c r="L4979" s="218"/>
    </row>
    <row r="4980" spans="1:13" ht="45" x14ac:dyDescent="0.2">
      <c r="A4980" s="163">
        <v>2021</v>
      </c>
      <c r="B4980" s="163">
        <v>11</v>
      </c>
      <c r="C4980" s="163">
        <v>25</v>
      </c>
      <c r="D4980" s="141">
        <f t="shared" si="162"/>
        <v>44525</v>
      </c>
      <c r="E4980" s="275">
        <f t="shared" si="163"/>
        <v>44525</v>
      </c>
      <c r="F4980" s="480"/>
      <c r="G4980" s="221" t="s">
        <v>74</v>
      </c>
      <c r="H4980" s="145" t="str" cm="1">
        <f t="array" ref="H4980">IFERROR(INDEX(INVESTOR_LIST[INVESTOR NAME],MATCH(I4980,INVESTOR_LIST[INVESTOR CODE],0),)," ")</f>
        <v>MD. WALID - AL - ZUBAYER</v>
      </c>
      <c r="I4980" s="145" t="s">
        <v>764</v>
      </c>
      <c r="J4980" s="163" t="s">
        <v>52</v>
      </c>
      <c r="K4980" s="219"/>
      <c r="L4980" s="219">
        <v>400137.13</v>
      </c>
    </row>
    <row r="4981" spans="1:13" ht="22.5" x14ac:dyDescent="0.2">
      <c r="A4981" s="168">
        <v>2021</v>
      </c>
      <c r="B4981" s="168">
        <v>11</v>
      </c>
      <c r="C4981" s="133">
        <v>25</v>
      </c>
      <c r="D4981" s="141">
        <f t="shared" si="162"/>
        <v>44525</v>
      </c>
      <c r="E4981" s="275">
        <f t="shared" si="163"/>
        <v>44525</v>
      </c>
      <c r="F4981" s="479" t="s">
        <v>965</v>
      </c>
      <c r="G4981" s="220" t="s">
        <v>74</v>
      </c>
      <c r="H4981" s="142" t="str" cm="1">
        <f t="array" ref="H4981">IFERROR(INDEX(INVESTOR_LIST[INVESTOR NAME],MATCH(I4981,INVESTOR_LIST[INVESTOR CODE],0),)," ")</f>
        <v>PRATIMA DEV</v>
      </c>
      <c r="I4981" s="142" t="s">
        <v>396</v>
      </c>
      <c r="J4981" s="168" t="s">
        <v>13</v>
      </c>
      <c r="K4981" s="226">
        <v>370640</v>
      </c>
      <c r="L4981" s="226"/>
    </row>
    <row r="4982" spans="1:13" ht="22.5" x14ac:dyDescent="0.2">
      <c r="A4982" s="133">
        <v>2021</v>
      </c>
      <c r="B4982" s="133">
        <v>11</v>
      </c>
      <c r="C4982" s="133">
        <v>25</v>
      </c>
      <c r="D4982" s="141">
        <f t="shared" si="162"/>
        <v>44525</v>
      </c>
      <c r="E4982" s="275">
        <f t="shared" si="163"/>
        <v>44525</v>
      </c>
      <c r="F4982" s="481"/>
      <c r="G4982" s="174" t="s">
        <v>74</v>
      </c>
      <c r="H4982" s="148" t="str" cm="1">
        <f t="array" ref="H4982">IFERROR(INDEX(INVESTOR_LIST[INVESTOR NAME],MATCH(I4982,INVESTOR_LIST[INVESTOR CODE],0),)," ")</f>
        <v>PRATIMA DEV</v>
      </c>
      <c r="I4982" s="148" t="s">
        <v>396</v>
      </c>
      <c r="J4982" s="133" t="s">
        <v>53</v>
      </c>
      <c r="K4982" s="218">
        <v>178644.54</v>
      </c>
      <c r="L4982" s="218"/>
    </row>
    <row r="4983" spans="1:13" ht="22.5" x14ac:dyDescent="0.2">
      <c r="A4983" s="163">
        <v>2021</v>
      </c>
      <c r="B4983" s="163">
        <v>11</v>
      </c>
      <c r="C4983" s="163">
        <v>25</v>
      </c>
      <c r="D4983" s="141">
        <f t="shared" si="162"/>
        <v>44525</v>
      </c>
      <c r="E4983" s="275">
        <f t="shared" si="163"/>
        <v>44525</v>
      </c>
      <c r="F4983" s="480"/>
      <c r="G4983" s="221" t="s">
        <v>74</v>
      </c>
      <c r="H4983" s="145" t="str" cm="1">
        <f t="array" ref="H4983">IFERROR(INDEX(INVESTOR_LIST[INVESTOR NAME],MATCH(I4983,INVESTOR_LIST[INVESTOR CODE],0),)," ")</f>
        <v>PRATIMA DEV</v>
      </c>
      <c r="I4983" s="145" t="s">
        <v>396</v>
      </c>
      <c r="J4983" s="163" t="s">
        <v>52</v>
      </c>
      <c r="K4983" s="219"/>
      <c r="L4983" s="219">
        <v>549284.54</v>
      </c>
    </row>
    <row r="4984" spans="1:13" ht="45" x14ac:dyDescent="0.2">
      <c r="A4984" s="168">
        <v>2021</v>
      </c>
      <c r="B4984" s="168">
        <v>11</v>
      </c>
      <c r="C4984" s="133">
        <v>25</v>
      </c>
      <c r="D4984" s="141">
        <f t="shared" si="162"/>
        <v>44525</v>
      </c>
      <c r="E4984" s="275">
        <f t="shared" si="163"/>
        <v>44525</v>
      </c>
      <c r="F4984" s="479" t="s">
        <v>965</v>
      </c>
      <c r="G4984" s="220" t="s">
        <v>74</v>
      </c>
      <c r="H4984" s="142" t="str" cm="1">
        <f t="array" ref="H4984">IFERROR(INDEX(INVESTOR_LIST[INVESTOR NAME],MATCH(I4984,INVESTOR_LIST[INVESTOR CODE],0),)," ")</f>
        <v>MD. WALID - AL - ZUBAYER</v>
      </c>
      <c r="I4984" s="142" t="s">
        <v>764</v>
      </c>
      <c r="J4984" s="168" t="s">
        <v>13</v>
      </c>
      <c r="K4984" s="226">
        <v>390000</v>
      </c>
      <c r="L4984" s="226"/>
    </row>
    <row r="4985" spans="1:13" ht="45" x14ac:dyDescent="0.2">
      <c r="A4985" s="133">
        <v>2021</v>
      </c>
      <c r="B4985" s="133">
        <v>11</v>
      </c>
      <c r="C4985" s="133">
        <v>25</v>
      </c>
      <c r="D4985" s="141">
        <f t="shared" si="162"/>
        <v>44525</v>
      </c>
      <c r="E4985" s="275">
        <f t="shared" si="163"/>
        <v>44525</v>
      </c>
      <c r="F4985" s="481"/>
      <c r="G4985" s="174" t="s">
        <v>74</v>
      </c>
      <c r="H4985" s="148" t="str" cm="1">
        <f t="array" ref="H4985">IFERROR(INDEX(INVESTOR_LIST[INVESTOR NAME],MATCH(I4985,INVESTOR_LIST[INVESTOR CODE],0),)," ")</f>
        <v>MD. WALID - AL - ZUBAYER</v>
      </c>
      <c r="I4985" s="148" t="s">
        <v>764</v>
      </c>
      <c r="J4985" s="133" t="s">
        <v>53</v>
      </c>
      <c r="K4985" s="218">
        <v>187975.85</v>
      </c>
      <c r="L4985" s="218"/>
    </row>
    <row r="4986" spans="1:13" ht="45" x14ac:dyDescent="0.2">
      <c r="A4986" s="163">
        <v>2021</v>
      </c>
      <c r="B4986" s="163">
        <v>11</v>
      </c>
      <c r="C4986" s="163">
        <v>25</v>
      </c>
      <c r="D4986" s="141">
        <f t="shared" si="162"/>
        <v>44525</v>
      </c>
      <c r="E4986" s="275">
        <f t="shared" si="163"/>
        <v>44525</v>
      </c>
      <c r="F4986" s="480"/>
      <c r="G4986" s="221" t="s">
        <v>74</v>
      </c>
      <c r="H4986" s="145" t="str" cm="1">
        <f t="array" ref="H4986">IFERROR(INDEX(INVESTOR_LIST[INVESTOR NAME],MATCH(I4986,INVESTOR_LIST[INVESTOR CODE],0),)," ")</f>
        <v>MD. WALID - AL - ZUBAYER</v>
      </c>
      <c r="I4986" s="145" t="s">
        <v>764</v>
      </c>
      <c r="J4986" s="163" t="s">
        <v>52</v>
      </c>
      <c r="K4986" s="219"/>
      <c r="L4986" s="219">
        <v>577975.85</v>
      </c>
    </row>
    <row r="4987" spans="1:13" ht="33.75" x14ac:dyDescent="0.2">
      <c r="A4987" s="168">
        <v>2021</v>
      </c>
      <c r="B4987" s="168">
        <v>11</v>
      </c>
      <c r="C4987" s="133">
        <v>25</v>
      </c>
      <c r="D4987" s="141">
        <f t="shared" si="162"/>
        <v>44525</v>
      </c>
      <c r="E4987" s="275">
        <f t="shared" si="163"/>
        <v>44525</v>
      </c>
      <c r="F4987" s="479" t="s">
        <v>965</v>
      </c>
      <c r="G4987" s="220" t="s">
        <v>74</v>
      </c>
      <c r="H4987" s="142" t="str" cm="1">
        <f t="array" ref="H4987">IFERROR(INDEX(INVESTOR_LIST[INVESTOR NAME],MATCH(I4987,INVESTOR_LIST[INVESTOR CODE],0),)," ")</f>
        <v>HARI PADA SAHA</v>
      </c>
      <c r="I4987" s="142" t="s">
        <v>370</v>
      </c>
      <c r="J4987" s="168" t="s">
        <v>13</v>
      </c>
      <c r="K4987" s="226">
        <v>168690</v>
      </c>
      <c r="L4987" s="226"/>
    </row>
    <row r="4988" spans="1:13" ht="33.75" x14ac:dyDescent="0.2">
      <c r="A4988" s="133">
        <v>2021</v>
      </c>
      <c r="B4988" s="133">
        <v>11</v>
      </c>
      <c r="C4988" s="133">
        <v>25</v>
      </c>
      <c r="D4988" s="141">
        <f t="shared" si="162"/>
        <v>44525</v>
      </c>
      <c r="E4988" s="275">
        <f t="shared" si="163"/>
        <v>44525</v>
      </c>
      <c r="F4988" s="481"/>
      <c r="G4988" s="174" t="s">
        <v>74</v>
      </c>
      <c r="H4988" s="148" t="str" cm="1">
        <f t="array" ref="H4988">IFERROR(INDEX(INVESTOR_LIST[INVESTOR NAME],MATCH(I4988,INVESTOR_LIST[INVESTOR CODE],0),)," ")</f>
        <v>HARI PADA SAHA</v>
      </c>
      <c r="I4988" s="148" t="s">
        <v>370</v>
      </c>
      <c r="J4988" s="133" t="s">
        <v>53</v>
      </c>
      <c r="K4988" s="218">
        <v>81310</v>
      </c>
      <c r="L4988" s="218"/>
    </row>
    <row r="4989" spans="1:13" ht="33.75" x14ac:dyDescent="0.2">
      <c r="A4989" s="163">
        <v>2021</v>
      </c>
      <c r="B4989" s="163">
        <v>11</v>
      </c>
      <c r="C4989" s="163">
        <v>25</v>
      </c>
      <c r="D4989" s="141">
        <f t="shared" si="162"/>
        <v>44525</v>
      </c>
      <c r="E4989" s="275">
        <f t="shared" si="163"/>
        <v>44525</v>
      </c>
      <c r="F4989" s="480"/>
      <c r="G4989" s="221" t="s">
        <v>74</v>
      </c>
      <c r="H4989" s="145" t="str" cm="1">
        <f t="array" ref="H4989">IFERROR(INDEX(INVESTOR_LIST[INVESTOR NAME],MATCH(I4989,INVESTOR_LIST[INVESTOR CODE],0),)," ")</f>
        <v>HARI PADA SAHA</v>
      </c>
      <c r="I4989" s="145" t="s">
        <v>370</v>
      </c>
      <c r="J4989" s="163" t="s">
        <v>52</v>
      </c>
      <c r="K4989" s="219"/>
      <c r="L4989" s="219">
        <v>250000</v>
      </c>
    </row>
    <row r="4990" spans="1:13" x14ac:dyDescent="0.2">
      <c r="A4990" s="238">
        <v>2021</v>
      </c>
      <c r="B4990" s="238">
        <v>11</v>
      </c>
      <c r="C4990" s="238">
        <v>25</v>
      </c>
      <c r="D4990" s="141">
        <f t="shared" si="162"/>
        <v>44525</v>
      </c>
      <c r="E4990" s="275">
        <f t="shared" si="163"/>
        <v>44525</v>
      </c>
      <c r="F4990" s="477" t="s">
        <v>347</v>
      </c>
      <c r="G4990" s="239" t="s">
        <v>94</v>
      </c>
      <c r="H4990" s="239" t="str" cm="1">
        <f t="array" ref="H4990">IFERROR(INDEX(INVESTOR_LIST[INVESTOR NAME],MATCH(I4990,INVESTOR_LIST[INVESTOR CODE],0),)," ")</f>
        <v xml:space="preserve"> </v>
      </c>
      <c r="I4990" s="262" t="s">
        <v>348</v>
      </c>
      <c r="J4990" s="240" t="s">
        <v>83</v>
      </c>
      <c r="K4990" s="241">
        <v>3600419.630000025</v>
      </c>
      <c r="L4990" s="241"/>
    </row>
    <row r="4991" spans="1:13" x14ac:dyDescent="0.2">
      <c r="A4991" s="242">
        <v>2021</v>
      </c>
      <c r="B4991" s="242">
        <v>11</v>
      </c>
      <c r="C4991" s="242">
        <v>25</v>
      </c>
      <c r="D4991" s="141">
        <f t="shared" si="162"/>
        <v>44525</v>
      </c>
      <c r="E4991" s="275">
        <f t="shared" si="163"/>
        <v>44525</v>
      </c>
      <c r="F4991" s="478"/>
      <c r="G4991" s="243" t="s">
        <v>94</v>
      </c>
      <c r="H4991" s="243" t="str" cm="1">
        <f t="array" ref="H4991">IFERROR(INDEX(INVESTOR_LIST[INVESTOR NAME],MATCH(I4991,INVESTOR_LIST[INVESTOR CODE],0),)," ")</f>
        <v xml:space="preserve"> </v>
      </c>
      <c r="I4991" s="263" t="s">
        <v>348</v>
      </c>
      <c r="J4991" s="244" t="s">
        <v>108</v>
      </c>
      <c r="K4991" s="245"/>
      <c r="L4991" s="245">
        <v>3600419.630000025</v>
      </c>
    </row>
    <row r="4992" spans="1:13" ht="22.5" x14ac:dyDescent="0.2">
      <c r="A4992" s="246">
        <v>2021</v>
      </c>
      <c r="B4992" s="246">
        <v>11</v>
      </c>
      <c r="C4992" s="246">
        <v>25</v>
      </c>
      <c r="D4992" s="141">
        <f t="shared" si="162"/>
        <v>44525</v>
      </c>
      <c r="E4992" s="275">
        <f t="shared" si="163"/>
        <v>44525</v>
      </c>
      <c r="F4992" s="482" t="s">
        <v>148</v>
      </c>
      <c r="G4992" s="247" t="s">
        <v>94</v>
      </c>
      <c r="H4992" s="247" t="str" cm="1">
        <f t="array" ref="H4992">IFERROR(INDEX(INVESTOR_LIST[INVESTOR NAME],MATCH(I4992,INVESTOR_LIST[INVESTOR CODE],0),)," ")</f>
        <v xml:space="preserve"> </v>
      </c>
      <c r="I4992" s="248" t="s">
        <v>348</v>
      </c>
      <c r="J4992" s="249" t="s">
        <v>95</v>
      </c>
      <c r="K4992" s="250">
        <v>2747.2527472527472</v>
      </c>
      <c r="L4992" s="241"/>
      <c r="M4992" s="133">
        <v>2747.2527472527472</v>
      </c>
    </row>
    <row r="4993" spans="1:15" x14ac:dyDescent="0.2">
      <c r="A4993" s="242">
        <v>2021</v>
      </c>
      <c r="B4993" s="242">
        <v>11</v>
      </c>
      <c r="C4993" s="242">
        <v>25</v>
      </c>
      <c r="D4993" s="141">
        <f t="shared" si="162"/>
        <v>44525</v>
      </c>
      <c r="E4993" s="275">
        <f t="shared" si="163"/>
        <v>44525</v>
      </c>
      <c r="F4993" s="478"/>
      <c r="G4993" s="243" t="s">
        <v>94</v>
      </c>
      <c r="H4993" s="243" t="str" cm="1">
        <f t="array" ref="H4993">IFERROR(INDEX(INVESTOR_LIST[INVESTOR NAME],MATCH(I4993,INVESTOR_LIST[INVESTOR CODE],0),)," ")</f>
        <v xml:space="preserve"> </v>
      </c>
      <c r="I4993" s="263" t="s">
        <v>348</v>
      </c>
      <c r="J4993" s="244" t="s">
        <v>63</v>
      </c>
      <c r="K4993" s="245"/>
      <c r="L4993" s="245">
        <v>2747.2527472527472</v>
      </c>
      <c r="M4993" s="133">
        <v>89599.6288500152</v>
      </c>
    </row>
    <row r="4994" spans="1:15" x14ac:dyDescent="0.2">
      <c r="A4994" s="246">
        <v>2021</v>
      </c>
      <c r="B4994" s="246">
        <v>11</v>
      </c>
      <c r="C4994" s="246">
        <v>25</v>
      </c>
      <c r="D4994" s="141">
        <f t="shared" si="162"/>
        <v>44525</v>
      </c>
      <c r="E4994" s="275">
        <f t="shared" si="163"/>
        <v>44525</v>
      </c>
      <c r="F4994" s="482" t="s">
        <v>137</v>
      </c>
      <c r="G4994" s="247" t="s">
        <v>94</v>
      </c>
      <c r="H4994" s="247" t="str" cm="1">
        <f t="array" ref="H4994">IFERROR(INDEX(INVESTOR_LIST[INVESTOR NAME],MATCH(I4994,INVESTOR_LIST[INVESTOR CODE],0),)," ")</f>
        <v xml:space="preserve"> </v>
      </c>
      <c r="I4994" s="248" t="s">
        <v>348</v>
      </c>
      <c r="J4994" s="249" t="s">
        <v>97</v>
      </c>
      <c r="K4994" s="250">
        <v>89599.6288500152</v>
      </c>
      <c r="L4994" s="252"/>
      <c r="M4994" s="133">
        <v>4239.5968271161446</v>
      </c>
    </row>
    <row r="4995" spans="1:15" x14ac:dyDescent="0.2">
      <c r="A4995" s="242">
        <v>2021</v>
      </c>
      <c r="B4995" s="242">
        <v>11</v>
      </c>
      <c r="C4995" s="242">
        <v>25</v>
      </c>
      <c r="D4995" s="141">
        <f t="shared" si="162"/>
        <v>44525</v>
      </c>
      <c r="E4995" s="275">
        <f t="shared" si="163"/>
        <v>44525</v>
      </c>
      <c r="F4995" s="478"/>
      <c r="G4995" s="243" t="s">
        <v>94</v>
      </c>
      <c r="H4995" s="243" t="str" cm="1">
        <f t="array" ref="H4995">IFERROR(INDEX(INVESTOR_LIST[INVESTOR NAME],MATCH(I4995,INVESTOR_LIST[INVESTOR CODE],0),)," ")</f>
        <v xml:space="preserve"> </v>
      </c>
      <c r="I4995" s="263" t="s">
        <v>348</v>
      </c>
      <c r="J4995" s="244" t="s">
        <v>47</v>
      </c>
      <c r="K4995" s="245"/>
      <c r="L4995" s="245">
        <v>89599.6288500152</v>
      </c>
      <c r="O4995" s="160"/>
    </row>
    <row r="4996" spans="1:15" x14ac:dyDescent="0.2">
      <c r="A4996" s="246">
        <v>2021</v>
      </c>
      <c r="B4996" s="246">
        <v>11</v>
      </c>
      <c r="C4996" s="246">
        <v>25</v>
      </c>
      <c r="D4996" s="141">
        <f t="shared" si="162"/>
        <v>44525</v>
      </c>
      <c r="E4996" s="275">
        <f t="shared" si="163"/>
        <v>44525</v>
      </c>
      <c r="F4996" s="482" t="s">
        <v>138</v>
      </c>
      <c r="G4996" s="247" t="s">
        <v>94</v>
      </c>
      <c r="H4996" s="247" t="str" cm="1">
        <f t="array" ref="H4996">IFERROR(INDEX(INVESTOR_LIST[INVESTOR NAME],MATCH(I4996,INVESTOR_LIST[INVESTOR CODE],0),)," ")</f>
        <v xml:space="preserve"> </v>
      </c>
      <c r="I4996" s="248" t="s">
        <v>348</v>
      </c>
      <c r="J4996" s="249" t="s">
        <v>100</v>
      </c>
      <c r="K4996" s="250">
        <v>4239.5968271161446</v>
      </c>
      <c r="L4996" s="252"/>
    </row>
    <row r="4997" spans="1:15" x14ac:dyDescent="0.2">
      <c r="A4997" s="242">
        <v>2021</v>
      </c>
      <c r="B4997" s="242">
        <v>11</v>
      </c>
      <c r="C4997" s="242">
        <v>25</v>
      </c>
      <c r="D4997" s="141">
        <f t="shared" si="162"/>
        <v>44525</v>
      </c>
      <c r="E4997" s="275">
        <f t="shared" si="163"/>
        <v>44525</v>
      </c>
      <c r="F4997" s="478"/>
      <c r="G4997" s="243" t="s">
        <v>94</v>
      </c>
      <c r="H4997" s="243" t="str" cm="1">
        <f t="array" ref="H4997">IFERROR(INDEX(INVESTOR_LIST[INVESTOR NAME],MATCH(I4997,INVESTOR_LIST[INVESTOR CODE],0),)," ")</f>
        <v xml:space="preserve"> </v>
      </c>
      <c r="I4997" s="263" t="s">
        <v>348</v>
      </c>
      <c r="J4997" s="244" t="s">
        <v>48</v>
      </c>
      <c r="K4997" s="245"/>
      <c r="L4997" s="245">
        <v>4239.5968271161446</v>
      </c>
    </row>
    <row r="4998" spans="1:15" ht="11.25" customHeight="1" x14ac:dyDescent="0.2">
      <c r="A4998" s="168">
        <v>2021</v>
      </c>
      <c r="B4998" s="168">
        <v>11</v>
      </c>
      <c r="C4998" s="133">
        <v>26</v>
      </c>
      <c r="D4998" s="141">
        <f t="shared" si="162"/>
        <v>44526</v>
      </c>
      <c r="E4998" s="275">
        <f t="shared" si="163"/>
        <v>44526</v>
      </c>
      <c r="F4998" s="479" t="s">
        <v>254</v>
      </c>
      <c r="G4998" s="220" t="s">
        <v>74</v>
      </c>
      <c r="H4998" s="142" t="str" cm="1">
        <f t="array" ref="H4998">IFERROR(INDEX(INVESTOR_LIST[INVESTOR NAME],MATCH(I4998,INVESTOR_LIST[INVESTOR CODE],0),)," ")</f>
        <v xml:space="preserve"> </v>
      </c>
      <c r="I4998" s="142"/>
      <c r="J4998" s="168" t="s">
        <v>52</v>
      </c>
      <c r="K4998" s="226">
        <v>489000</v>
      </c>
      <c r="L4998" s="226"/>
    </row>
    <row r="4999" spans="1:15" x14ac:dyDescent="0.2">
      <c r="A4999" s="133">
        <v>2021</v>
      </c>
      <c r="B4999" s="133">
        <v>11</v>
      </c>
      <c r="C4999" s="133">
        <v>26</v>
      </c>
      <c r="D4999" s="141">
        <f t="shared" si="162"/>
        <v>44526</v>
      </c>
      <c r="E4999" s="275">
        <f t="shared" si="163"/>
        <v>44526</v>
      </c>
      <c r="F4999" s="481"/>
      <c r="G4999" s="174" t="s">
        <v>74</v>
      </c>
      <c r="H4999" s="148" t="str" cm="1">
        <f t="array" ref="H4999">IFERROR(INDEX(INVESTOR_LIST[INVESTOR NAME],MATCH(I4999,INVESTOR_LIST[INVESTOR CODE],0),)," ")</f>
        <v xml:space="preserve"> </v>
      </c>
      <c r="J4999" s="133" t="s">
        <v>13</v>
      </c>
      <c r="K4999" s="218"/>
      <c r="L4999" s="218">
        <v>335600</v>
      </c>
    </row>
    <row r="5000" spans="1:15" x14ac:dyDescent="0.2">
      <c r="A5000" s="163">
        <v>2021</v>
      </c>
      <c r="B5000" s="163">
        <v>11</v>
      </c>
      <c r="C5000" s="163">
        <v>26</v>
      </c>
      <c r="D5000" s="141">
        <f t="shared" si="162"/>
        <v>44526</v>
      </c>
      <c r="E5000" s="275">
        <f t="shared" si="163"/>
        <v>44526</v>
      </c>
      <c r="F5000" s="480"/>
      <c r="G5000" s="221" t="s">
        <v>74</v>
      </c>
      <c r="H5000" s="145" t="str" cm="1">
        <f t="array" ref="H5000">IFERROR(INDEX(INVESTOR_LIST[INVESTOR NAME],MATCH(I5000,INVESTOR_LIST[INVESTOR CODE],0),)," ")</f>
        <v xml:space="preserve"> </v>
      </c>
      <c r="I5000" s="145"/>
      <c r="J5000" s="163" t="s">
        <v>53</v>
      </c>
      <c r="K5000" s="219"/>
      <c r="L5000" s="219">
        <v>153400</v>
      </c>
    </row>
    <row r="5001" spans="1:15" x14ac:dyDescent="0.2">
      <c r="A5001" s="168">
        <v>2021</v>
      </c>
      <c r="B5001" s="168">
        <v>11</v>
      </c>
      <c r="C5001" s="168">
        <v>28</v>
      </c>
      <c r="D5001" s="141">
        <f t="shared" si="162"/>
        <v>44528</v>
      </c>
      <c r="E5001" s="275">
        <f t="shared" si="163"/>
        <v>44528</v>
      </c>
      <c r="F5001" s="479" t="s">
        <v>950</v>
      </c>
      <c r="G5001" s="220" t="s">
        <v>74</v>
      </c>
      <c r="H5001" s="220" t="str" cm="1">
        <f t="array" ref="H5001">IFERROR(INDEX(INVESTOR_LIST[INVESTOR NAME],MATCH(I5001,INVESTOR_LIST[INVESTOR CODE],0),)," ")</f>
        <v xml:space="preserve"> </v>
      </c>
      <c r="I5001" s="142" t="s">
        <v>348</v>
      </c>
      <c r="J5001" s="143" t="s">
        <v>52</v>
      </c>
      <c r="K5001" s="226">
        <v>1013292.78</v>
      </c>
      <c r="L5001" s="226"/>
    </row>
    <row r="5002" spans="1:15" x14ac:dyDescent="0.2">
      <c r="A5002" s="163">
        <v>2021</v>
      </c>
      <c r="B5002" s="163">
        <v>11</v>
      </c>
      <c r="C5002" s="163">
        <v>28</v>
      </c>
      <c r="D5002" s="141">
        <f t="shared" si="162"/>
        <v>44528</v>
      </c>
      <c r="E5002" s="275">
        <f t="shared" si="163"/>
        <v>44528</v>
      </c>
      <c r="F5002" s="480"/>
      <c r="G5002" s="221" t="s">
        <v>74</v>
      </c>
      <c r="H5002" s="221" t="str" cm="1">
        <f t="array" ref="H5002">IFERROR(INDEX(INVESTOR_LIST[INVESTOR NAME],MATCH(I5002,INVESTOR_LIST[INVESTOR CODE],0),)," ")</f>
        <v xml:space="preserve"> </v>
      </c>
      <c r="I5002" s="145" t="s">
        <v>348</v>
      </c>
      <c r="J5002" s="146" t="s">
        <v>190</v>
      </c>
      <c r="K5002" s="219"/>
      <c r="L5002" s="219">
        <v>1013292.78</v>
      </c>
    </row>
    <row r="5003" spans="1:15" x14ac:dyDescent="0.2">
      <c r="A5003" s="168">
        <v>2021</v>
      </c>
      <c r="B5003" s="168">
        <v>11</v>
      </c>
      <c r="C5003" s="133">
        <v>28</v>
      </c>
      <c r="D5003" s="141">
        <f t="shared" si="162"/>
        <v>44528</v>
      </c>
      <c r="E5003" s="275">
        <f t="shared" si="163"/>
        <v>44528</v>
      </c>
      <c r="F5003" s="479" t="s">
        <v>877</v>
      </c>
      <c r="G5003" s="220" t="s">
        <v>94</v>
      </c>
      <c r="H5003" s="220" t="str" cm="1">
        <f t="array" ref="H5003">IFERROR(INDEX(INVESTOR_LIST[INVESTOR NAME],MATCH(I5003,INVESTOR_LIST[INVESTOR CODE],0),)," ")</f>
        <v xml:space="preserve"> </v>
      </c>
      <c r="I5003" s="142"/>
      <c r="J5003" s="143" t="s">
        <v>79</v>
      </c>
      <c r="K5003" s="226">
        <v>2815250.8</v>
      </c>
      <c r="L5003" s="226"/>
    </row>
    <row r="5004" spans="1:15" x14ac:dyDescent="0.2">
      <c r="A5004" s="133">
        <v>2021</v>
      </c>
      <c r="B5004" s="133">
        <v>11</v>
      </c>
      <c r="C5004" s="133">
        <v>28</v>
      </c>
      <c r="D5004" s="141">
        <f t="shared" si="162"/>
        <v>44528</v>
      </c>
      <c r="E5004" s="275">
        <f t="shared" si="163"/>
        <v>44528</v>
      </c>
      <c r="F5004" s="481"/>
      <c r="G5004" s="174" t="s">
        <v>94</v>
      </c>
      <c r="H5004" s="174" t="str" cm="1">
        <f t="array" ref="H5004">IFERROR(INDEX(INVESTOR_LIST[INVESTOR NAME],MATCH(I5004,INVESTOR_LIST[INVESTOR CODE],0),)," ")</f>
        <v xml:space="preserve"> </v>
      </c>
      <c r="J5004" s="149" t="s">
        <v>80</v>
      </c>
      <c r="K5004" s="218">
        <v>5067.45</v>
      </c>
      <c r="L5004" s="218"/>
    </row>
    <row r="5005" spans="1:15" x14ac:dyDescent="0.2">
      <c r="A5005" s="163">
        <v>2021</v>
      </c>
      <c r="B5005" s="163">
        <v>11</v>
      </c>
      <c r="C5005" s="163">
        <v>28</v>
      </c>
      <c r="D5005" s="141">
        <f t="shared" si="162"/>
        <v>44528</v>
      </c>
      <c r="E5005" s="275">
        <f t="shared" si="163"/>
        <v>44528</v>
      </c>
      <c r="F5005" s="480"/>
      <c r="G5005" s="221" t="s">
        <v>94</v>
      </c>
      <c r="H5005" s="221" t="str" cm="1">
        <f t="array" ref="H5005">IFERROR(INDEX(INVESTOR_LIST[INVESTOR NAME],MATCH(I5005,INVESTOR_LIST[INVESTOR CODE],0),)," ")</f>
        <v xml:space="preserve"> </v>
      </c>
      <c r="I5005" s="145"/>
      <c r="J5005" s="146" t="s">
        <v>147</v>
      </c>
      <c r="K5005" s="219"/>
      <c r="L5005" s="219">
        <v>2820318.25</v>
      </c>
    </row>
    <row r="5006" spans="1:15" ht="22.5" x14ac:dyDescent="0.2">
      <c r="A5006" s="168">
        <v>2021</v>
      </c>
      <c r="B5006" s="168">
        <v>11</v>
      </c>
      <c r="C5006" s="133">
        <v>28</v>
      </c>
      <c r="D5006" s="141">
        <f t="shared" ref="D5006:D5071" si="164">DATE(A5006,B5006,C5006)</f>
        <v>44528</v>
      </c>
      <c r="E5006" s="275">
        <f t="shared" si="163"/>
        <v>44528</v>
      </c>
      <c r="F5006" s="479" t="s">
        <v>965</v>
      </c>
      <c r="G5006" s="220" t="s">
        <v>74</v>
      </c>
      <c r="H5006" s="142" t="str" cm="1">
        <f t="array" ref="H5006">IFERROR(INDEX(INVESTOR_LIST[INVESTOR NAME],MATCH(I5006,INVESTOR_LIST[INVESTOR CODE],0),)," ")</f>
        <v>ALVI RAHMAN</v>
      </c>
      <c r="I5006" s="142" t="s">
        <v>826</v>
      </c>
      <c r="J5006" s="168" t="s">
        <v>13</v>
      </c>
      <c r="K5006" s="226">
        <v>380000</v>
      </c>
      <c r="L5006" s="226"/>
    </row>
    <row r="5007" spans="1:15" ht="22.5" x14ac:dyDescent="0.2">
      <c r="A5007" s="133">
        <v>2021</v>
      </c>
      <c r="B5007" s="133">
        <v>11</v>
      </c>
      <c r="C5007" s="133">
        <v>28</v>
      </c>
      <c r="D5007" s="141">
        <f t="shared" si="164"/>
        <v>44528</v>
      </c>
      <c r="E5007" s="275">
        <f t="shared" ref="E5007:E5072" si="165">DATE(A5007,B5007,C5007)</f>
        <v>44528</v>
      </c>
      <c r="F5007" s="481"/>
      <c r="G5007" s="174" t="s">
        <v>74</v>
      </c>
      <c r="H5007" s="148" t="str" cm="1">
        <f t="array" ref="H5007">IFERROR(INDEX(INVESTOR_LIST[INVESTOR NAME],MATCH(I5007,INVESTOR_LIST[INVESTOR CODE],0),)," ")</f>
        <v>ALVI RAHMAN</v>
      </c>
      <c r="I5007" s="148" t="s">
        <v>826</v>
      </c>
      <c r="J5007" s="133" t="s">
        <v>53</v>
      </c>
      <c r="K5007" s="218">
        <v>183155.96</v>
      </c>
      <c r="L5007" s="218"/>
    </row>
    <row r="5008" spans="1:15" ht="22.5" x14ac:dyDescent="0.2">
      <c r="A5008" s="163">
        <v>2021</v>
      </c>
      <c r="B5008" s="163">
        <v>11</v>
      </c>
      <c r="C5008" s="163">
        <v>28</v>
      </c>
      <c r="D5008" s="141">
        <f t="shared" si="164"/>
        <v>44528</v>
      </c>
      <c r="E5008" s="275">
        <f t="shared" si="165"/>
        <v>44528</v>
      </c>
      <c r="F5008" s="480"/>
      <c r="G5008" s="221" t="s">
        <v>74</v>
      </c>
      <c r="H5008" s="145" t="str" cm="1">
        <f t="array" ref="H5008">IFERROR(INDEX(INVESTOR_LIST[INVESTOR NAME],MATCH(I5008,INVESTOR_LIST[INVESTOR CODE],0),)," ")</f>
        <v>ALVI RAHMAN</v>
      </c>
      <c r="I5008" s="145" t="s">
        <v>826</v>
      </c>
      <c r="J5008" s="163" t="s">
        <v>52</v>
      </c>
      <c r="K5008" s="219"/>
      <c r="L5008" s="219">
        <v>563155.96</v>
      </c>
    </row>
    <row r="5009" spans="1:14" ht="56.25" x14ac:dyDescent="0.2">
      <c r="A5009" s="168">
        <v>2021</v>
      </c>
      <c r="B5009" s="168">
        <v>11</v>
      </c>
      <c r="C5009" s="133">
        <v>28</v>
      </c>
      <c r="D5009" s="141">
        <f t="shared" si="164"/>
        <v>44528</v>
      </c>
      <c r="E5009" s="275">
        <f t="shared" si="165"/>
        <v>44528</v>
      </c>
      <c r="F5009" s="479" t="s">
        <v>965</v>
      </c>
      <c r="G5009" s="220" t="s">
        <v>74</v>
      </c>
      <c r="H5009" s="142" t="str" cm="1">
        <f t="array" ref="H5009">IFERROR(INDEX(INVESTOR_LIST[INVESTOR NAME],MATCH(I5009,INVESTOR_LIST[INVESTOR CODE],0),)," ")</f>
        <v>MOHAMMAD MIZANUR RAHMAN</v>
      </c>
      <c r="I5009" s="142" t="s">
        <v>828</v>
      </c>
      <c r="J5009" s="168" t="s">
        <v>13</v>
      </c>
      <c r="K5009" s="226">
        <v>510000</v>
      </c>
      <c r="L5009" s="226"/>
    </row>
    <row r="5010" spans="1:14" ht="56.25" x14ac:dyDescent="0.2">
      <c r="A5010" s="133">
        <v>2021</v>
      </c>
      <c r="B5010" s="133">
        <v>11</v>
      </c>
      <c r="C5010" s="133">
        <v>28</v>
      </c>
      <c r="D5010" s="141">
        <f t="shared" si="164"/>
        <v>44528</v>
      </c>
      <c r="E5010" s="275">
        <f t="shared" si="165"/>
        <v>44528</v>
      </c>
      <c r="F5010" s="481"/>
      <c r="G5010" s="174" t="s">
        <v>74</v>
      </c>
      <c r="H5010" s="148" t="str" cm="1">
        <f t="array" ref="H5010">IFERROR(INDEX(INVESTOR_LIST[INVESTOR NAME],MATCH(I5010,INVESTOR_LIST[INVESTOR CODE],0),)," ")</f>
        <v>MOHAMMAD MIZANUR RAHMAN</v>
      </c>
      <c r="I5010" s="148" t="s">
        <v>828</v>
      </c>
      <c r="J5010" s="133" t="s">
        <v>53</v>
      </c>
      <c r="K5010" s="218">
        <v>245814.58</v>
      </c>
      <c r="L5010" s="218"/>
    </row>
    <row r="5011" spans="1:14" ht="56.25" x14ac:dyDescent="0.2">
      <c r="A5011" s="163">
        <v>2021</v>
      </c>
      <c r="B5011" s="163">
        <v>11</v>
      </c>
      <c r="C5011" s="163">
        <v>28</v>
      </c>
      <c r="D5011" s="141">
        <f t="shared" si="164"/>
        <v>44528</v>
      </c>
      <c r="E5011" s="275">
        <f t="shared" si="165"/>
        <v>44528</v>
      </c>
      <c r="F5011" s="480"/>
      <c r="G5011" s="221" t="s">
        <v>74</v>
      </c>
      <c r="H5011" s="145" t="str" cm="1">
        <f t="array" ref="H5011">IFERROR(INDEX(INVESTOR_LIST[INVESTOR NAME],MATCH(I5011,INVESTOR_LIST[INVESTOR CODE],0),)," ")</f>
        <v>MOHAMMAD MIZANUR RAHMAN</v>
      </c>
      <c r="I5011" s="145" t="s">
        <v>828</v>
      </c>
      <c r="J5011" s="163" t="s">
        <v>52</v>
      </c>
      <c r="K5011" s="219"/>
      <c r="L5011" s="219">
        <v>755814.58</v>
      </c>
    </row>
    <row r="5012" spans="1:14" ht="33.75" x14ac:dyDescent="0.2">
      <c r="A5012" s="168">
        <v>2021</v>
      </c>
      <c r="B5012" s="168">
        <v>11</v>
      </c>
      <c r="C5012" s="133">
        <v>28</v>
      </c>
      <c r="D5012" s="141">
        <f t="shared" si="164"/>
        <v>44528</v>
      </c>
      <c r="E5012" s="275">
        <f t="shared" si="165"/>
        <v>44528</v>
      </c>
      <c r="F5012" s="479" t="s">
        <v>965</v>
      </c>
      <c r="G5012" s="220" t="s">
        <v>74</v>
      </c>
      <c r="H5012" s="142" t="str" cm="1">
        <f t="array" ref="H5012">IFERROR(INDEX(INVESTOR_LIST[INVESTOR NAME],MATCH(I5012,INVESTOR_LIST[INVESTOR CODE],0),)," ")</f>
        <v>ASHIT BARAN SAHA</v>
      </c>
      <c r="I5012" s="142" t="s">
        <v>442</v>
      </c>
      <c r="J5012" s="168" t="s">
        <v>13</v>
      </c>
      <c r="K5012" s="226">
        <v>1520110</v>
      </c>
      <c r="L5012" s="226"/>
    </row>
    <row r="5013" spans="1:14" ht="33.75" x14ac:dyDescent="0.2">
      <c r="A5013" s="133">
        <v>2021</v>
      </c>
      <c r="B5013" s="133">
        <v>11</v>
      </c>
      <c r="C5013" s="133">
        <v>28</v>
      </c>
      <c r="D5013" s="141">
        <f t="shared" si="164"/>
        <v>44528</v>
      </c>
      <c r="E5013" s="275">
        <f t="shared" si="165"/>
        <v>44528</v>
      </c>
      <c r="F5013" s="481"/>
      <c r="G5013" s="174" t="s">
        <v>74</v>
      </c>
      <c r="H5013" s="148" t="str" cm="1">
        <f t="array" ref="H5013">IFERROR(INDEX(INVESTOR_LIST[INVESTOR NAME],MATCH(I5013,INVESTOR_LIST[INVESTOR CODE],0),)," ")</f>
        <v>ASHIT BARAN SAHA</v>
      </c>
      <c r="I5013" s="148" t="s">
        <v>442</v>
      </c>
      <c r="J5013" s="133" t="s">
        <v>53</v>
      </c>
      <c r="K5013" s="218">
        <v>732676.86</v>
      </c>
      <c r="L5013" s="218"/>
    </row>
    <row r="5014" spans="1:14" ht="33.75" x14ac:dyDescent="0.2">
      <c r="A5014" s="163">
        <v>2021</v>
      </c>
      <c r="B5014" s="163">
        <v>11</v>
      </c>
      <c r="C5014" s="163">
        <v>28</v>
      </c>
      <c r="D5014" s="141">
        <f t="shared" si="164"/>
        <v>44528</v>
      </c>
      <c r="E5014" s="275">
        <f t="shared" si="165"/>
        <v>44528</v>
      </c>
      <c r="F5014" s="480"/>
      <c r="G5014" s="221" t="s">
        <v>74</v>
      </c>
      <c r="H5014" s="145" t="str" cm="1">
        <f t="array" ref="H5014">IFERROR(INDEX(INVESTOR_LIST[INVESTOR NAME],MATCH(I5014,INVESTOR_LIST[INVESTOR CODE],0),)," ")</f>
        <v>ASHIT BARAN SAHA</v>
      </c>
      <c r="I5014" s="145" t="s">
        <v>442</v>
      </c>
      <c r="J5014" s="163" t="s">
        <v>52</v>
      </c>
      <c r="K5014" s="219"/>
      <c r="L5014" s="219">
        <v>2252786.86</v>
      </c>
    </row>
    <row r="5015" spans="1:14" x14ac:dyDescent="0.2">
      <c r="A5015" s="168">
        <v>2021</v>
      </c>
      <c r="B5015" s="168">
        <v>11</v>
      </c>
      <c r="C5015" s="168">
        <v>29</v>
      </c>
      <c r="D5015" s="141">
        <f t="shared" si="164"/>
        <v>44529</v>
      </c>
      <c r="E5015" s="275">
        <f t="shared" si="165"/>
        <v>44529</v>
      </c>
      <c r="F5015" s="479" t="s">
        <v>941</v>
      </c>
      <c r="G5015" s="220" t="s">
        <v>74</v>
      </c>
      <c r="H5015" s="220" t="str" cm="1">
        <f t="array" ref="H5015">IFERROR(INDEX(INVESTOR_LIST[INVESTOR NAME],MATCH(I5015,INVESTOR_LIST[INVESTOR CODE],0),)," ")</f>
        <v xml:space="preserve"> </v>
      </c>
      <c r="I5015" s="142" t="s">
        <v>348</v>
      </c>
      <c r="J5015" s="143" t="s">
        <v>147</v>
      </c>
      <c r="K5015" s="226">
        <v>2820318.25</v>
      </c>
      <c r="L5015" s="226"/>
    </row>
    <row r="5016" spans="1:14" x14ac:dyDescent="0.2">
      <c r="A5016" s="163">
        <v>2021</v>
      </c>
      <c r="B5016" s="163">
        <v>11</v>
      </c>
      <c r="C5016" s="163">
        <v>29</v>
      </c>
      <c r="D5016" s="141">
        <f t="shared" si="164"/>
        <v>44529</v>
      </c>
      <c r="E5016" s="275">
        <f t="shared" si="165"/>
        <v>44529</v>
      </c>
      <c r="F5016" s="480"/>
      <c r="G5016" s="221" t="s">
        <v>74</v>
      </c>
      <c r="H5016" s="221" t="str" cm="1">
        <f t="array" ref="H5016">IFERROR(INDEX(INVESTOR_LIST[INVESTOR NAME],MATCH(I5016,INVESTOR_LIST[INVESTOR CODE],0),)," ")</f>
        <v xml:space="preserve"> </v>
      </c>
      <c r="I5016" s="145" t="s">
        <v>348</v>
      </c>
      <c r="J5016" s="146" t="s">
        <v>52</v>
      </c>
      <c r="K5016" s="219"/>
      <c r="L5016" s="219">
        <v>2820318.25</v>
      </c>
    </row>
    <row r="5017" spans="1:14" x14ac:dyDescent="0.2">
      <c r="A5017" s="168">
        <v>2021</v>
      </c>
      <c r="B5017" s="168">
        <v>11</v>
      </c>
      <c r="C5017" s="168">
        <v>30</v>
      </c>
      <c r="D5017" s="141">
        <f t="shared" si="164"/>
        <v>44530</v>
      </c>
      <c r="E5017" s="275">
        <f t="shared" si="165"/>
        <v>44530</v>
      </c>
      <c r="F5017" s="479" t="s">
        <v>909</v>
      </c>
      <c r="G5017" s="220" t="s">
        <v>94</v>
      </c>
      <c r="H5017" s="220" t="str" cm="1">
        <f t="array" ref="H5017">IFERROR(INDEX(INVESTOR_LIST[INVESTOR NAME],MATCH(I5017,INVESTOR_LIST[INVESTOR CODE],0),)," ")</f>
        <v xml:space="preserve"> </v>
      </c>
      <c r="I5017" s="142" t="s">
        <v>348</v>
      </c>
      <c r="J5017" s="143" t="s">
        <v>79</v>
      </c>
      <c r="K5017" s="226">
        <v>932520</v>
      </c>
      <c r="L5017" s="226"/>
    </row>
    <row r="5018" spans="1:14" x14ac:dyDescent="0.2">
      <c r="A5018" s="133">
        <v>2021</v>
      </c>
      <c r="B5018" s="133">
        <v>11</v>
      </c>
      <c r="C5018" s="133">
        <v>30</v>
      </c>
      <c r="D5018" s="141">
        <f t="shared" si="164"/>
        <v>44530</v>
      </c>
      <c r="E5018" s="275">
        <f t="shared" si="165"/>
        <v>44530</v>
      </c>
      <c r="F5018" s="481"/>
      <c r="G5018" s="174" t="s">
        <v>94</v>
      </c>
      <c r="H5018" s="174" t="str" cm="1">
        <f t="array" ref="H5018">IFERROR(INDEX(INVESTOR_LIST[INVESTOR NAME],MATCH(I5018,INVESTOR_LIST[INVESTOR CODE],0),)," ")</f>
        <v xml:space="preserve"> </v>
      </c>
      <c r="I5018" s="148" t="s">
        <v>348</v>
      </c>
      <c r="J5018" s="149" t="s">
        <v>80</v>
      </c>
      <c r="K5018" s="218">
        <f>1678.54+7035.06</f>
        <v>8713.6</v>
      </c>
      <c r="L5018" s="218"/>
    </row>
    <row r="5019" spans="1:14" x14ac:dyDescent="0.2">
      <c r="A5019" s="133">
        <v>2021</v>
      </c>
      <c r="B5019" s="133">
        <v>11</v>
      </c>
      <c r="C5019" s="133">
        <v>30</v>
      </c>
      <c r="D5019" s="141">
        <f t="shared" si="164"/>
        <v>44530</v>
      </c>
      <c r="E5019" s="275">
        <f t="shared" si="165"/>
        <v>44530</v>
      </c>
      <c r="F5019" s="481"/>
      <c r="G5019" s="174" t="s">
        <v>94</v>
      </c>
      <c r="H5019" s="174" t="str" cm="1">
        <f t="array" ref="H5019">IFERROR(INDEX(INVESTOR_LIST[INVESTOR NAME],MATCH(I5019,INVESTOR_LIST[INVESTOR CODE],0),)," ")</f>
        <v xml:space="preserve"> </v>
      </c>
      <c r="I5019" s="148" t="s">
        <v>348</v>
      </c>
      <c r="J5019" s="149" t="s">
        <v>190</v>
      </c>
      <c r="K5019" s="218">
        <v>2967133.9</v>
      </c>
      <c r="L5019" s="218"/>
    </row>
    <row r="5020" spans="1:14" x14ac:dyDescent="0.2">
      <c r="A5020" s="133">
        <v>2021</v>
      </c>
      <c r="B5020" s="133">
        <v>11</v>
      </c>
      <c r="C5020" s="133">
        <v>30</v>
      </c>
      <c r="D5020" s="141">
        <f t="shared" si="164"/>
        <v>44530</v>
      </c>
      <c r="E5020" s="275">
        <f t="shared" si="165"/>
        <v>44530</v>
      </c>
      <c r="F5020" s="481"/>
      <c r="G5020" s="174" t="s">
        <v>94</v>
      </c>
      <c r="H5020" s="174" t="str" cm="1">
        <f t="array" ref="H5020">IFERROR(INDEX(INVESTOR_LIST[INVESTOR NAME],MATCH(I5020,INVESTOR_LIST[INVESTOR CODE],0),)," ")</f>
        <v xml:space="preserve"> </v>
      </c>
      <c r="I5020" s="148" t="s">
        <v>348</v>
      </c>
      <c r="J5020" s="149" t="s">
        <v>191</v>
      </c>
      <c r="K5020" s="218"/>
      <c r="L5020" s="218">
        <v>551026.35</v>
      </c>
    </row>
    <row r="5021" spans="1:14" x14ac:dyDescent="0.2">
      <c r="A5021" s="163">
        <v>2021</v>
      </c>
      <c r="B5021" s="163">
        <v>11</v>
      </c>
      <c r="C5021" s="163">
        <v>30</v>
      </c>
      <c r="D5021" s="141">
        <f t="shared" si="164"/>
        <v>44530</v>
      </c>
      <c r="E5021" s="275">
        <f t="shared" si="165"/>
        <v>44530</v>
      </c>
      <c r="F5021" s="480"/>
      <c r="G5021" s="221" t="s">
        <v>94</v>
      </c>
      <c r="H5021" s="145" t="str" cm="1">
        <f t="array" ref="H5021">IFERROR(INDEX(INVESTOR_LIST[INVESTOR NAME],MATCH(I5021,INVESTOR_LIST[INVESTOR CODE],0),)," ")</f>
        <v xml:space="preserve"> </v>
      </c>
      <c r="I5021" s="145"/>
      <c r="J5021" s="163" t="s">
        <v>79</v>
      </c>
      <c r="K5021" s="219"/>
      <c r="L5021" s="219">
        <v>3357341.15</v>
      </c>
      <c r="N5021" s="156">
        <f>L5033/14.82</f>
        <v>53981.106612685559</v>
      </c>
    </row>
    <row r="5022" spans="1:14" x14ac:dyDescent="0.2">
      <c r="A5022" s="133">
        <v>2021</v>
      </c>
      <c r="B5022" s="133">
        <v>12</v>
      </c>
      <c r="C5022" s="133">
        <v>1</v>
      </c>
      <c r="D5022" s="141">
        <f t="shared" ref="D5022:D5023" si="166">DATE(A5022,B5022,C5022)</f>
        <v>44531</v>
      </c>
      <c r="E5022" s="275">
        <f t="shared" ref="E5022:E5023" si="167">DATE(A5022,B5022,C5022)</f>
        <v>44531</v>
      </c>
      <c r="F5022" s="479" t="s">
        <v>973</v>
      </c>
      <c r="G5022" s="174" t="s">
        <v>94</v>
      </c>
      <c r="H5022" s="148" t="str" cm="1">
        <f t="array" ref="H5022">IFERROR(INDEX(INVESTOR_LIST[INVESTOR NAME],MATCH(I5022,INVESTOR_LIST[INVESTOR CODE],0),)," ")</f>
        <v xml:space="preserve"> </v>
      </c>
      <c r="I5022" s="148" t="s">
        <v>348</v>
      </c>
      <c r="J5022" s="133" t="s">
        <v>103</v>
      </c>
      <c r="K5022" s="172">
        <v>30000</v>
      </c>
    </row>
    <row r="5023" spans="1:14" x14ac:dyDescent="0.2">
      <c r="A5023" s="163">
        <v>2021</v>
      </c>
      <c r="B5023" s="163">
        <v>12</v>
      </c>
      <c r="C5023" s="163">
        <v>1</v>
      </c>
      <c r="D5023" s="141">
        <f t="shared" si="166"/>
        <v>44531</v>
      </c>
      <c r="E5023" s="275">
        <f t="shared" si="167"/>
        <v>44531</v>
      </c>
      <c r="F5023" s="480"/>
      <c r="G5023" s="221" t="s">
        <v>94</v>
      </c>
      <c r="H5023" s="145" t="str" cm="1">
        <f t="array" ref="H5023">IFERROR(INDEX(INVESTOR_LIST[INVESTOR NAME],MATCH(I5023,INVESTOR_LIST[INVESTOR CODE],0),)," ")</f>
        <v xml:space="preserve"> </v>
      </c>
      <c r="I5023" s="145" t="s">
        <v>348</v>
      </c>
      <c r="J5023" s="163" t="s">
        <v>50</v>
      </c>
      <c r="K5023" s="219"/>
      <c r="L5023" s="219">
        <v>30000</v>
      </c>
    </row>
    <row r="5024" spans="1:14" x14ac:dyDescent="0.2">
      <c r="A5024" s="168">
        <v>2021</v>
      </c>
      <c r="B5024" s="168">
        <v>12</v>
      </c>
      <c r="C5024" s="168">
        <v>1</v>
      </c>
      <c r="D5024" s="141">
        <f t="shared" si="164"/>
        <v>44531</v>
      </c>
      <c r="E5024" s="275">
        <f t="shared" si="165"/>
        <v>44531</v>
      </c>
      <c r="F5024" s="479" t="s">
        <v>914</v>
      </c>
      <c r="G5024" s="220" t="s">
        <v>94</v>
      </c>
      <c r="H5024" s="220" t="str" cm="1">
        <f t="array" ref="H5024">IFERROR(INDEX(INVESTOR_LIST[INVESTOR NAME],MATCH(I5024,INVESTOR_LIST[INVESTOR CODE],0),)," ")</f>
        <v xml:space="preserve"> </v>
      </c>
      <c r="I5024" s="142" t="s">
        <v>348</v>
      </c>
      <c r="J5024" s="143" t="s">
        <v>79</v>
      </c>
      <c r="K5024" s="226">
        <v>1444615.1</v>
      </c>
      <c r="L5024" s="226"/>
      <c r="N5024" s="156">
        <f>L5036/14.82</f>
        <v>57354.925775978409</v>
      </c>
    </row>
    <row r="5025" spans="1:12" x14ac:dyDescent="0.2">
      <c r="A5025" s="133">
        <v>2021</v>
      </c>
      <c r="B5025" s="133">
        <v>12</v>
      </c>
      <c r="C5025" s="133">
        <v>1</v>
      </c>
      <c r="D5025" s="141">
        <f t="shared" si="164"/>
        <v>44531</v>
      </c>
      <c r="E5025" s="275">
        <f t="shared" si="165"/>
        <v>44531</v>
      </c>
      <c r="F5025" s="481"/>
      <c r="G5025" s="174" t="s">
        <v>94</v>
      </c>
      <c r="H5025" s="174" t="str" cm="1">
        <f t="array" ref="H5025">IFERROR(INDEX(INVESTOR_LIST[INVESTOR NAME],MATCH(I5025,INVESTOR_LIST[INVESTOR CODE],0),)," ")</f>
        <v xml:space="preserve"> </v>
      </c>
      <c r="I5025" s="148" t="s">
        <v>348</v>
      </c>
      <c r="J5025" s="149" t="s">
        <v>80</v>
      </c>
      <c r="K5025" s="218">
        <v>10105.26</v>
      </c>
      <c r="L5025" s="218"/>
    </row>
    <row r="5026" spans="1:12" x14ac:dyDescent="0.2">
      <c r="A5026" s="133">
        <v>2021</v>
      </c>
      <c r="B5026" s="133">
        <v>12</v>
      </c>
      <c r="C5026" s="133">
        <v>1</v>
      </c>
      <c r="D5026" s="141">
        <f t="shared" si="164"/>
        <v>44531</v>
      </c>
      <c r="E5026" s="275">
        <f t="shared" si="165"/>
        <v>44531</v>
      </c>
      <c r="F5026" s="481"/>
      <c r="G5026" s="174" t="s">
        <v>94</v>
      </c>
      <c r="H5026" s="174" t="str" cm="1">
        <f t="array" ref="H5026">IFERROR(INDEX(INVESTOR_LIST[INVESTOR NAME],MATCH(I5026,INVESTOR_LIST[INVESTOR CODE],0),)," ")</f>
        <v xml:space="preserve"> </v>
      </c>
      <c r="I5026" s="148" t="s">
        <v>348</v>
      </c>
      <c r="J5026" s="149" t="s">
        <v>190</v>
      </c>
      <c r="K5026" s="218">
        <v>2714696.54</v>
      </c>
      <c r="L5026" s="218"/>
    </row>
    <row r="5027" spans="1:12" x14ac:dyDescent="0.2">
      <c r="A5027" s="133">
        <v>2021</v>
      </c>
      <c r="B5027" s="133">
        <v>12</v>
      </c>
      <c r="C5027" s="133">
        <v>1</v>
      </c>
      <c r="D5027" s="141">
        <f t="shared" si="164"/>
        <v>44531</v>
      </c>
      <c r="E5027" s="275">
        <f t="shared" si="165"/>
        <v>44531</v>
      </c>
      <c r="F5027" s="481"/>
      <c r="G5027" s="174" t="s">
        <v>94</v>
      </c>
      <c r="H5027" s="174" t="str" cm="1">
        <f t="array" ref="H5027">IFERROR(INDEX(INVESTOR_LIST[INVESTOR NAME],MATCH(I5027,INVESTOR_LIST[INVESTOR CODE],0),)," ")</f>
        <v xml:space="preserve"> </v>
      </c>
      <c r="I5027" s="148" t="s">
        <v>348</v>
      </c>
      <c r="J5027" s="149" t="s">
        <v>191</v>
      </c>
      <c r="K5027" s="218">
        <v>139757</v>
      </c>
      <c r="L5027" s="218"/>
    </row>
    <row r="5028" spans="1:12" x14ac:dyDescent="0.2">
      <c r="A5028" s="163">
        <v>2021</v>
      </c>
      <c r="B5028" s="163">
        <v>12</v>
      </c>
      <c r="C5028" s="163">
        <v>1</v>
      </c>
      <c r="D5028" s="141">
        <f t="shared" si="164"/>
        <v>44531</v>
      </c>
      <c r="E5028" s="275">
        <f t="shared" si="165"/>
        <v>44531</v>
      </c>
      <c r="F5028" s="480"/>
      <c r="G5028" s="221" t="s">
        <v>94</v>
      </c>
      <c r="H5028" s="145" t="str" cm="1">
        <f t="array" ref="H5028">IFERROR(INDEX(INVESTOR_LIST[INVESTOR NAME],MATCH(I5028,INVESTOR_LIST[INVESTOR CODE],0),)," ")</f>
        <v xml:space="preserve"> </v>
      </c>
      <c r="I5028" s="145"/>
      <c r="J5028" s="163" t="s">
        <v>79</v>
      </c>
      <c r="K5028" s="219"/>
      <c r="L5028" s="219">
        <v>4309173.9000000004</v>
      </c>
    </row>
    <row r="5029" spans="1:12" x14ac:dyDescent="0.2">
      <c r="A5029" s="133">
        <v>2021</v>
      </c>
      <c r="B5029" s="133">
        <v>12</v>
      </c>
      <c r="C5029" s="133">
        <v>1</v>
      </c>
      <c r="D5029" s="141">
        <f t="shared" si="164"/>
        <v>44531</v>
      </c>
      <c r="E5029" s="275">
        <f t="shared" si="165"/>
        <v>44531</v>
      </c>
      <c r="F5029" s="479" t="s">
        <v>687</v>
      </c>
      <c r="G5029" s="174" t="s">
        <v>74</v>
      </c>
      <c r="H5029" s="148" t="str" cm="1">
        <f t="array" ref="H5029">IFERROR(INDEX(INVESTOR_LIST[INVESTOR NAME],MATCH(I5029,INVESTOR_LIST[INVESTOR CODE],0),)," ")</f>
        <v xml:space="preserve"> </v>
      </c>
      <c r="I5029" s="148" t="s">
        <v>348</v>
      </c>
      <c r="J5029" s="133" t="s">
        <v>52</v>
      </c>
      <c r="K5029" s="172">
        <v>437500</v>
      </c>
    </row>
    <row r="5030" spans="1:12" x14ac:dyDescent="0.2">
      <c r="A5030" s="163">
        <v>2021</v>
      </c>
      <c r="B5030" s="163">
        <v>12</v>
      </c>
      <c r="C5030" s="163">
        <v>1</v>
      </c>
      <c r="D5030" s="141">
        <f t="shared" si="164"/>
        <v>44531</v>
      </c>
      <c r="E5030" s="275">
        <f t="shared" si="165"/>
        <v>44531</v>
      </c>
      <c r="F5030" s="480"/>
      <c r="G5030" s="221" t="s">
        <v>74</v>
      </c>
      <c r="H5030" s="145" t="str" cm="1">
        <f t="array" ref="H5030">IFERROR(INDEX(INVESTOR_LIST[INVESTOR NAME],MATCH(I5030,INVESTOR_LIST[INVESTOR CODE],0),)," ")</f>
        <v xml:space="preserve"> </v>
      </c>
      <c r="I5030" s="145" t="s">
        <v>348</v>
      </c>
      <c r="J5030" s="163" t="s">
        <v>168</v>
      </c>
      <c r="K5030" s="219"/>
      <c r="L5030" s="219">
        <v>437500</v>
      </c>
    </row>
    <row r="5031" spans="1:12" ht="33.75" x14ac:dyDescent="0.2">
      <c r="A5031" s="168">
        <v>2021</v>
      </c>
      <c r="B5031" s="168">
        <v>12</v>
      </c>
      <c r="C5031" s="133">
        <v>1</v>
      </c>
      <c r="D5031" s="141">
        <f t="shared" si="164"/>
        <v>44531</v>
      </c>
      <c r="E5031" s="275">
        <f t="shared" si="165"/>
        <v>44531</v>
      </c>
      <c r="F5031" s="479" t="s">
        <v>965</v>
      </c>
      <c r="G5031" s="220" t="s">
        <v>74</v>
      </c>
      <c r="H5031" s="142" t="str" cm="1">
        <f t="array" ref="H5031">IFERROR(INDEX(INVESTOR_LIST[INVESTOR NAME],MATCH(I5031,INVESTOR_LIST[INVESTOR CODE],0),)," ")</f>
        <v>JOY SHREE SAHA</v>
      </c>
      <c r="I5031" s="142" t="s">
        <v>777</v>
      </c>
      <c r="J5031" s="168" t="s">
        <v>13</v>
      </c>
      <c r="K5031" s="226">
        <v>539810</v>
      </c>
      <c r="L5031" s="226"/>
    </row>
    <row r="5032" spans="1:12" ht="33.75" x14ac:dyDescent="0.2">
      <c r="A5032" s="133">
        <v>2021</v>
      </c>
      <c r="B5032" s="133">
        <v>12</v>
      </c>
      <c r="C5032" s="133">
        <v>1</v>
      </c>
      <c r="D5032" s="141">
        <f t="shared" si="164"/>
        <v>44531</v>
      </c>
      <c r="E5032" s="275">
        <f t="shared" si="165"/>
        <v>44531</v>
      </c>
      <c r="F5032" s="481"/>
      <c r="G5032" s="174" t="s">
        <v>74</v>
      </c>
      <c r="H5032" s="148" t="str" cm="1">
        <f t="array" ref="H5032">IFERROR(INDEX(INVESTOR_LIST[INVESTOR NAME],MATCH(I5032,INVESTOR_LIST[INVESTOR CODE],0),)," ")</f>
        <v>JOY SHREE SAHA</v>
      </c>
      <c r="I5032" s="148" t="s">
        <v>777</v>
      </c>
      <c r="J5032" s="133" t="s">
        <v>53</v>
      </c>
      <c r="K5032" s="218">
        <v>260190</v>
      </c>
      <c r="L5032" s="218"/>
    </row>
    <row r="5033" spans="1:12" ht="33.75" x14ac:dyDescent="0.2">
      <c r="A5033" s="163">
        <v>2021</v>
      </c>
      <c r="B5033" s="163">
        <v>12</v>
      </c>
      <c r="C5033" s="163">
        <v>1</v>
      </c>
      <c r="D5033" s="141">
        <f t="shared" si="164"/>
        <v>44531</v>
      </c>
      <c r="E5033" s="275">
        <f t="shared" si="165"/>
        <v>44531</v>
      </c>
      <c r="F5033" s="480"/>
      <c r="G5033" s="221" t="s">
        <v>74</v>
      </c>
      <c r="H5033" s="145" t="str" cm="1">
        <f t="array" ref="H5033">IFERROR(INDEX(INVESTOR_LIST[INVESTOR NAME],MATCH(I5033,INVESTOR_LIST[INVESTOR CODE],0),)," ")</f>
        <v>JOY SHREE SAHA</v>
      </c>
      <c r="I5033" s="145" t="s">
        <v>777</v>
      </c>
      <c r="J5033" s="163" t="s">
        <v>52</v>
      </c>
      <c r="K5033" s="219"/>
      <c r="L5033" s="219">
        <v>800000</v>
      </c>
    </row>
    <row r="5034" spans="1:12" ht="33.75" x14ac:dyDescent="0.2">
      <c r="A5034" s="168">
        <v>2021</v>
      </c>
      <c r="B5034" s="168">
        <v>12</v>
      </c>
      <c r="C5034" s="133">
        <v>1</v>
      </c>
      <c r="D5034" s="141">
        <f t="shared" si="164"/>
        <v>44531</v>
      </c>
      <c r="E5034" s="275">
        <f t="shared" si="165"/>
        <v>44531</v>
      </c>
      <c r="F5034" s="479" t="s">
        <v>965</v>
      </c>
      <c r="G5034" s="220" t="s">
        <v>74</v>
      </c>
      <c r="H5034" s="142" t="str" cm="1">
        <f t="array" ref="H5034">IFERROR(INDEX(INVESTOR_LIST[INVESTOR NAME],MATCH(I5034,INVESTOR_LIST[INVESTOR CODE],0),)," ")</f>
        <v>JOY SHREE SAHA</v>
      </c>
      <c r="I5034" s="142" t="s">
        <v>777</v>
      </c>
      <c r="J5034" s="168" t="s">
        <v>13</v>
      </c>
      <c r="K5034" s="226">
        <v>573550</v>
      </c>
      <c r="L5034" s="226"/>
    </row>
    <row r="5035" spans="1:12" ht="33.75" x14ac:dyDescent="0.2">
      <c r="A5035" s="133">
        <v>2021</v>
      </c>
      <c r="B5035" s="133">
        <v>12</v>
      </c>
      <c r="C5035" s="133">
        <v>1</v>
      </c>
      <c r="D5035" s="141">
        <f t="shared" si="164"/>
        <v>44531</v>
      </c>
      <c r="E5035" s="275">
        <f t="shared" si="165"/>
        <v>44531</v>
      </c>
      <c r="F5035" s="481"/>
      <c r="G5035" s="174" t="s">
        <v>74</v>
      </c>
      <c r="H5035" s="148" t="str" cm="1">
        <f t="array" ref="H5035">IFERROR(INDEX(INVESTOR_LIST[INVESTOR NAME],MATCH(I5035,INVESTOR_LIST[INVESTOR CODE],0),)," ")</f>
        <v>JOY SHREE SAHA</v>
      </c>
      <c r="I5035" s="148" t="s">
        <v>777</v>
      </c>
      <c r="J5035" s="133" t="s">
        <v>53</v>
      </c>
      <c r="K5035" s="218">
        <v>276450</v>
      </c>
      <c r="L5035" s="218"/>
    </row>
    <row r="5036" spans="1:12" ht="33.75" x14ac:dyDescent="0.2">
      <c r="A5036" s="163">
        <v>2021</v>
      </c>
      <c r="B5036" s="163">
        <v>12</v>
      </c>
      <c r="C5036" s="163">
        <v>1</v>
      </c>
      <c r="D5036" s="141">
        <f t="shared" si="164"/>
        <v>44531</v>
      </c>
      <c r="E5036" s="275">
        <f t="shared" si="165"/>
        <v>44531</v>
      </c>
      <c r="F5036" s="480"/>
      <c r="G5036" s="221" t="s">
        <v>74</v>
      </c>
      <c r="H5036" s="145" t="str" cm="1">
        <f t="array" ref="H5036">IFERROR(INDEX(INVESTOR_LIST[INVESTOR NAME],MATCH(I5036,INVESTOR_LIST[INVESTOR CODE],0),)," ")</f>
        <v>JOY SHREE SAHA</v>
      </c>
      <c r="I5036" s="145" t="s">
        <v>777</v>
      </c>
      <c r="J5036" s="163" t="s">
        <v>52</v>
      </c>
      <c r="K5036" s="219"/>
      <c r="L5036" s="219">
        <v>850000</v>
      </c>
    </row>
    <row r="5037" spans="1:12" x14ac:dyDescent="0.2">
      <c r="A5037" s="168">
        <v>2021</v>
      </c>
      <c r="B5037" s="168">
        <v>12</v>
      </c>
      <c r="C5037" s="168">
        <v>2</v>
      </c>
      <c r="D5037" s="141">
        <f t="shared" si="164"/>
        <v>44532</v>
      </c>
      <c r="E5037" s="275">
        <f t="shared" si="165"/>
        <v>44532</v>
      </c>
      <c r="F5037" s="479" t="s">
        <v>938</v>
      </c>
      <c r="G5037" s="220" t="s">
        <v>94</v>
      </c>
      <c r="H5037" s="220" t="str" cm="1">
        <f t="array" ref="H5037">IFERROR(INDEX(INVESTOR_LIST[INVESTOR NAME],MATCH(I5037,INVESTOR_LIST[INVESTOR CODE],0),)," ")</f>
        <v xml:space="preserve"> </v>
      </c>
      <c r="I5037" s="142" t="s">
        <v>348</v>
      </c>
      <c r="J5037" s="143" t="s">
        <v>79</v>
      </c>
      <c r="K5037" s="226">
        <v>509785</v>
      </c>
      <c r="L5037" s="226"/>
    </row>
    <row r="5038" spans="1:12" x14ac:dyDescent="0.2">
      <c r="A5038" s="133">
        <v>2021</v>
      </c>
      <c r="B5038" s="133">
        <v>12</v>
      </c>
      <c r="C5038" s="133">
        <v>2</v>
      </c>
      <c r="D5038" s="141">
        <f t="shared" si="164"/>
        <v>44532</v>
      </c>
      <c r="E5038" s="275">
        <f t="shared" si="165"/>
        <v>44532</v>
      </c>
      <c r="F5038" s="481"/>
      <c r="G5038" s="174" t="s">
        <v>94</v>
      </c>
      <c r="H5038" s="174" t="str" cm="1">
        <f t="array" ref="H5038">IFERROR(INDEX(INVESTOR_LIST[INVESTOR NAME],MATCH(I5038,INVESTOR_LIST[INVESTOR CODE],0),)," ")</f>
        <v xml:space="preserve"> </v>
      </c>
      <c r="I5038" s="148" t="s">
        <v>348</v>
      </c>
      <c r="J5038" s="149" t="s">
        <v>80</v>
      </c>
      <c r="K5038" s="218">
        <f>2119.61+917.61</f>
        <v>3037.2200000000003</v>
      </c>
      <c r="L5038" s="218"/>
    </row>
    <row r="5039" spans="1:12" x14ac:dyDescent="0.2">
      <c r="A5039" s="133">
        <v>2021</v>
      </c>
      <c r="B5039" s="133">
        <v>12</v>
      </c>
      <c r="C5039" s="133">
        <v>2</v>
      </c>
      <c r="D5039" s="141">
        <f t="shared" si="164"/>
        <v>44532</v>
      </c>
      <c r="E5039" s="275">
        <f t="shared" si="165"/>
        <v>44532</v>
      </c>
      <c r="F5039" s="481"/>
      <c r="G5039" s="174" t="s">
        <v>94</v>
      </c>
      <c r="H5039" s="174" t="str" cm="1">
        <f t="array" ref="H5039">IFERROR(INDEX(INVESTOR_LIST[INVESTOR NAME],MATCH(I5039,INVESTOR_LIST[INVESTOR CODE],0),)," ")</f>
        <v xml:space="preserve"> </v>
      </c>
      <c r="I5039" s="148" t="s">
        <v>348</v>
      </c>
      <c r="J5039" s="149" t="s">
        <v>190</v>
      </c>
      <c r="K5039" s="218">
        <v>664736.78</v>
      </c>
      <c r="L5039" s="218"/>
    </row>
    <row r="5040" spans="1:12" x14ac:dyDescent="0.2">
      <c r="A5040" s="133">
        <v>2021</v>
      </c>
      <c r="B5040" s="133">
        <v>12</v>
      </c>
      <c r="C5040" s="133">
        <v>2</v>
      </c>
      <c r="D5040" s="141">
        <f t="shared" si="164"/>
        <v>44532</v>
      </c>
      <c r="E5040" s="275">
        <f t="shared" si="165"/>
        <v>44532</v>
      </c>
      <c r="F5040" s="481"/>
      <c r="G5040" s="174" t="s">
        <v>94</v>
      </c>
      <c r="H5040" s="174" t="str" cm="1">
        <f t="array" ref="H5040">IFERROR(INDEX(INVESTOR_LIST[INVESTOR NAME],MATCH(I5040,INVESTOR_LIST[INVESTOR CODE],0),)," ")</f>
        <v xml:space="preserve"> </v>
      </c>
      <c r="I5040" s="148" t="s">
        <v>348</v>
      </c>
      <c r="J5040" s="149" t="s">
        <v>191</v>
      </c>
      <c r="K5040" s="218"/>
      <c r="L5040" s="218">
        <v>997779</v>
      </c>
    </row>
    <row r="5041" spans="1:14" x14ac:dyDescent="0.2">
      <c r="A5041" s="163">
        <v>2021</v>
      </c>
      <c r="B5041" s="163">
        <v>12</v>
      </c>
      <c r="C5041" s="163">
        <v>2</v>
      </c>
      <c r="D5041" s="141">
        <f t="shared" si="164"/>
        <v>44532</v>
      </c>
      <c r="E5041" s="275">
        <f t="shared" si="165"/>
        <v>44532</v>
      </c>
      <c r="F5041" s="480"/>
      <c r="G5041" s="221" t="s">
        <v>94</v>
      </c>
      <c r="H5041" s="145" t="str" cm="1">
        <f t="array" ref="H5041">IFERROR(INDEX(INVESTOR_LIST[INVESTOR NAME],MATCH(I5041,INVESTOR_LIST[INVESTOR CODE],0),)," ")</f>
        <v xml:space="preserve"> </v>
      </c>
      <c r="I5041" s="145"/>
      <c r="J5041" s="163" t="s">
        <v>79</v>
      </c>
      <c r="K5041" s="219"/>
      <c r="L5041" s="219">
        <v>179780</v>
      </c>
    </row>
    <row r="5042" spans="1:14" x14ac:dyDescent="0.2">
      <c r="A5042" s="168">
        <v>2021</v>
      </c>
      <c r="B5042" s="168">
        <v>12</v>
      </c>
      <c r="C5042" s="168">
        <v>2</v>
      </c>
      <c r="D5042" s="141">
        <f t="shared" si="164"/>
        <v>44532</v>
      </c>
      <c r="E5042" s="275">
        <f t="shared" si="165"/>
        <v>44532</v>
      </c>
      <c r="F5042" s="479" t="s">
        <v>950</v>
      </c>
      <c r="G5042" s="220" t="s">
        <v>74</v>
      </c>
      <c r="H5042" s="220" t="str" cm="1">
        <f t="array" ref="H5042">IFERROR(INDEX(INVESTOR_LIST[INVESTOR NAME],MATCH(I5042,INVESTOR_LIST[INVESTOR CODE],0),)," ")</f>
        <v xml:space="preserve"> </v>
      </c>
      <c r="I5042" s="142" t="s">
        <v>348</v>
      </c>
      <c r="J5042" s="143" t="s">
        <v>52</v>
      </c>
      <c r="K5042" s="226">
        <v>2967133.9</v>
      </c>
      <c r="L5042" s="226"/>
    </row>
    <row r="5043" spans="1:14" x14ac:dyDescent="0.2">
      <c r="A5043" s="163">
        <v>2021</v>
      </c>
      <c r="B5043" s="163">
        <v>12</v>
      </c>
      <c r="C5043" s="163">
        <v>2</v>
      </c>
      <c r="D5043" s="141">
        <f t="shared" si="164"/>
        <v>44532</v>
      </c>
      <c r="E5043" s="275">
        <f t="shared" si="165"/>
        <v>44532</v>
      </c>
      <c r="F5043" s="480"/>
      <c r="G5043" s="221" t="s">
        <v>74</v>
      </c>
      <c r="H5043" s="221" t="str" cm="1">
        <f t="array" ref="H5043">IFERROR(INDEX(INVESTOR_LIST[INVESTOR NAME],MATCH(I5043,INVESTOR_LIST[INVESTOR CODE],0),)," ")</f>
        <v xml:space="preserve"> </v>
      </c>
      <c r="I5043" s="145" t="s">
        <v>348</v>
      </c>
      <c r="J5043" s="146" t="s">
        <v>190</v>
      </c>
      <c r="K5043" s="219"/>
      <c r="L5043" s="219">
        <v>2967133.9</v>
      </c>
    </row>
    <row r="5044" spans="1:14" x14ac:dyDescent="0.2">
      <c r="A5044" s="238">
        <v>2021</v>
      </c>
      <c r="B5044" s="238">
        <v>12</v>
      </c>
      <c r="C5044" s="238">
        <v>2</v>
      </c>
      <c r="D5044" s="141">
        <f t="shared" si="164"/>
        <v>44532</v>
      </c>
      <c r="E5044" s="275">
        <f t="shared" si="165"/>
        <v>44532</v>
      </c>
      <c r="F5044" s="477" t="s">
        <v>347</v>
      </c>
      <c r="G5044" s="239" t="s">
        <v>94</v>
      </c>
      <c r="H5044" s="239" t="str" cm="1">
        <f t="array" ref="H5044">IFERROR(INDEX(INVESTOR_LIST[INVESTOR NAME],MATCH(I5044,INVESTOR_LIST[INVESTOR CODE],0),)," ")</f>
        <v xml:space="preserve"> </v>
      </c>
      <c r="I5044" s="262" t="s">
        <v>348</v>
      </c>
      <c r="J5044" s="240" t="s">
        <v>108</v>
      </c>
      <c r="K5044" s="241">
        <v>2266832.5899999421</v>
      </c>
      <c r="L5044" s="241"/>
      <c r="N5044" s="133">
        <v>2747.2527472527472</v>
      </c>
    </row>
    <row r="5045" spans="1:14" x14ac:dyDescent="0.2">
      <c r="A5045" s="242">
        <v>2021</v>
      </c>
      <c r="B5045" s="242">
        <v>12</v>
      </c>
      <c r="C5045" s="242">
        <v>2</v>
      </c>
      <c r="D5045" s="141">
        <f t="shared" si="164"/>
        <v>44532</v>
      </c>
      <c r="E5045" s="275">
        <f t="shared" si="165"/>
        <v>44532</v>
      </c>
      <c r="F5045" s="478"/>
      <c r="G5045" s="243" t="s">
        <v>94</v>
      </c>
      <c r="H5045" s="243" t="str" cm="1">
        <f t="array" ref="H5045">IFERROR(INDEX(INVESTOR_LIST[INVESTOR NAME],MATCH(I5045,INVESTOR_LIST[INVESTOR CODE],0),)," ")</f>
        <v xml:space="preserve"> </v>
      </c>
      <c r="I5045" s="263" t="s">
        <v>348</v>
      </c>
      <c r="J5045" s="244" t="s">
        <v>82</v>
      </c>
      <c r="K5045" s="245"/>
      <c r="L5045" s="245">
        <v>2266832.5899999421</v>
      </c>
      <c r="M5045" s="156">
        <v>34317.089910775569</v>
      </c>
      <c r="N5045" s="133">
        <v>89337.941746775032</v>
      </c>
    </row>
    <row r="5046" spans="1:14" ht="22.5" x14ac:dyDescent="0.2">
      <c r="A5046" s="246">
        <v>2021</v>
      </c>
      <c r="B5046" s="246">
        <v>12</v>
      </c>
      <c r="C5046" s="246">
        <v>2</v>
      </c>
      <c r="D5046" s="141">
        <f t="shared" si="164"/>
        <v>44532</v>
      </c>
      <c r="E5046" s="275">
        <f t="shared" si="165"/>
        <v>44532</v>
      </c>
      <c r="F5046" s="482" t="s">
        <v>148</v>
      </c>
      <c r="G5046" s="247" t="s">
        <v>94</v>
      </c>
      <c r="H5046" s="247" t="str" cm="1">
        <f t="array" ref="H5046">IFERROR(INDEX(INVESTOR_LIST[INVESTOR NAME],MATCH(I5046,INVESTOR_LIST[INVESTOR CODE],0),)," ")</f>
        <v xml:space="preserve"> </v>
      </c>
      <c r="I5046" s="248" t="s">
        <v>348</v>
      </c>
      <c r="J5046" s="249" t="s">
        <v>95</v>
      </c>
      <c r="K5046" s="250">
        <v>2747.2527472527472</v>
      </c>
      <c r="L5046" s="241"/>
      <c r="M5046" s="156"/>
      <c r="N5046" s="133">
        <v>4226.5124719541363</v>
      </c>
    </row>
    <row r="5047" spans="1:14" x14ac:dyDescent="0.2">
      <c r="A5047" s="242">
        <v>2021</v>
      </c>
      <c r="B5047" s="242">
        <v>12</v>
      </c>
      <c r="C5047" s="242">
        <v>2</v>
      </c>
      <c r="D5047" s="141">
        <f t="shared" si="164"/>
        <v>44532</v>
      </c>
      <c r="E5047" s="275">
        <f t="shared" si="165"/>
        <v>44532</v>
      </c>
      <c r="F5047" s="478"/>
      <c r="G5047" s="243" t="s">
        <v>94</v>
      </c>
      <c r="H5047" s="243" t="str" cm="1">
        <f t="array" ref="H5047">IFERROR(INDEX(INVESTOR_LIST[INVESTOR NAME],MATCH(I5047,INVESTOR_LIST[INVESTOR CODE],0),)," ")</f>
        <v xml:space="preserve"> </v>
      </c>
      <c r="I5047" s="263" t="s">
        <v>348</v>
      </c>
      <c r="J5047" s="244" t="s">
        <v>63</v>
      </c>
      <c r="K5047" s="245"/>
      <c r="L5047" s="245">
        <v>2747.2527472527472</v>
      </c>
      <c r="M5047" s="156"/>
    </row>
    <row r="5048" spans="1:14" x14ac:dyDescent="0.2">
      <c r="A5048" s="246">
        <v>2021</v>
      </c>
      <c r="B5048" s="246">
        <v>12</v>
      </c>
      <c r="C5048" s="246">
        <v>2</v>
      </c>
      <c r="D5048" s="141">
        <f t="shared" si="164"/>
        <v>44532</v>
      </c>
      <c r="E5048" s="275">
        <f t="shared" si="165"/>
        <v>44532</v>
      </c>
      <c r="F5048" s="482" t="s">
        <v>137</v>
      </c>
      <c r="G5048" s="247" t="s">
        <v>94</v>
      </c>
      <c r="H5048" s="247" t="str" cm="1">
        <f t="array" ref="H5048">IFERROR(INDEX(INVESTOR_LIST[INVESTOR NAME],MATCH(I5048,INVESTOR_LIST[INVESTOR CODE],0),)," ")</f>
        <v xml:space="preserve"> </v>
      </c>
      <c r="I5048" s="248" t="s">
        <v>348</v>
      </c>
      <c r="J5048" s="249" t="s">
        <v>97</v>
      </c>
      <c r="K5048" s="250">
        <v>89337.941746775032</v>
      </c>
      <c r="L5048" s="252"/>
      <c r="M5048" s="156">
        <v>6682.9100892244332</v>
      </c>
    </row>
    <row r="5049" spans="1:14" x14ac:dyDescent="0.2">
      <c r="A5049" s="242">
        <v>2021</v>
      </c>
      <c r="B5049" s="242">
        <v>12</v>
      </c>
      <c r="C5049" s="242">
        <v>2</v>
      </c>
      <c r="D5049" s="141">
        <f t="shared" si="164"/>
        <v>44532</v>
      </c>
      <c r="E5049" s="275">
        <f t="shared" si="165"/>
        <v>44532</v>
      </c>
      <c r="F5049" s="478"/>
      <c r="G5049" s="243" t="s">
        <v>94</v>
      </c>
      <c r="H5049" s="243" t="str" cm="1">
        <f t="array" ref="H5049">IFERROR(INDEX(INVESTOR_LIST[INVESTOR NAME],MATCH(I5049,INVESTOR_LIST[INVESTOR CODE],0),)," ")</f>
        <v xml:space="preserve"> </v>
      </c>
      <c r="I5049" s="263" t="s">
        <v>348</v>
      </c>
      <c r="J5049" s="244" t="s">
        <v>47</v>
      </c>
      <c r="K5049" s="245"/>
      <c r="L5049" s="245">
        <v>89337.941746775032</v>
      </c>
    </row>
    <row r="5050" spans="1:14" ht="11.25" customHeight="1" x14ac:dyDescent="0.2">
      <c r="A5050" s="246">
        <v>2021</v>
      </c>
      <c r="B5050" s="246">
        <v>12</v>
      </c>
      <c r="C5050" s="246">
        <v>2</v>
      </c>
      <c r="D5050" s="141">
        <f t="shared" si="164"/>
        <v>44532</v>
      </c>
      <c r="E5050" s="275">
        <f t="shared" si="165"/>
        <v>44532</v>
      </c>
      <c r="F5050" s="482" t="s">
        <v>138</v>
      </c>
      <c r="G5050" s="247" t="s">
        <v>94</v>
      </c>
      <c r="H5050" s="247" t="str" cm="1">
        <f t="array" ref="H5050">IFERROR(INDEX(INVESTOR_LIST[INVESTOR NAME],MATCH(I5050,INVESTOR_LIST[INVESTOR CODE],0),)," ")</f>
        <v xml:space="preserve"> </v>
      </c>
      <c r="I5050" s="248" t="s">
        <v>348</v>
      </c>
      <c r="J5050" s="249" t="s">
        <v>100</v>
      </c>
      <c r="K5050" s="250">
        <v>4226.5124719541363</v>
      </c>
      <c r="L5050" s="252"/>
    </row>
    <row r="5051" spans="1:14" x14ac:dyDescent="0.2">
      <c r="A5051" s="242">
        <v>2021</v>
      </c>
      <c r="B5051" s="242">
        <v>12</v>
      </c>
      <c r="C5051" s="242">
        <v>2</v>
      </c>
      <c r="D5051" s="141">
        <f t="shared" si="164"/>
        <v>44532</v>
      </c>
      <c r="E5051" s="275">
        <f t="shared" si="165"/>
        <v>44532</v>
      </c>
      <c r="F5051" s="478"/>
      <c r="G5051" s="243" t="s">
        <v>94</v>
      </c>
      <c r="H5051" s="243" t="str" cm="1">
        <f t="array" ref="H5051">IFERROR(INDEX(INVESTOR_LIST[INVESTOR NAME],MATCH(I5051,INVESTOR_LIST[INVESTOR CODE],0),)," ")</f>
        <v xml:space="preserve"> </v>
      </c>
      <c r="I5051" s="263" t="s">
        <v>348</v>
      </c>
      <c r="J5051" s="244" t="s">
        <v>48</v>
      </c>
      <c r="K5051" s="245"/>
      <c r="L5051" s="245">
        <v>4226.5124719541363</v>
      </c>
    </row>
    <row r="5052" spans="1:14" ht="45" x14ac:dyDescent="0.2">
      <c r="A5052" s="168">
        <v>2021</v>
      </c>
      <c r="B5052" s="168">
        <v>12</v>
      </c>
      <c r="C5052" s="133">
        <v>2</v>
      </c>
      <c r="D5052" s="141">
        <f t="shared" si="164"/>
        <v>44532</v>
      </c>
      <c r="E5052" s="275">
        <f t="shared" si="165"/>
        <v>44532</v>
      </c>
      <c r="F5052" s="479" t="s">
        <v>964</v>
      </c>
      <c r="G5052" s="220" t="s">
        <v>74</v>
      </c>
      <c r="H5052" s="142" t="str" cm="1">
        <f t="array" ref="H5052">IFERROR(INDEX(INVESTOR_LIST[INVESTOR NAME],MATCH(I5052,INVESTOR_LIST[INVESTOR CODE],0),)," ")</f>
        <v>MD. WALID - AL - ZUBAYER</v>
      </c>
      <c r="I5052" s="142" t="s">
        <v>764</v>
      </c>
      <c r="J5052" s="168" t="s">
        <v>52</v>
      </c>
      <c r="K5052" s="226">
        <v>500000</v>
      </c>
      <c r="L5052" s="226"/>
    </row>
    <row r="5053" spans="1:14" ht="11.25" customHeight="1" x14ac:dyDescent="0.2">
      <c r="A5053" s="133">
        <v>2021</v>
      </c>
      <c r="B5053" s="133">
        <v>12</v>
      </c>
      <c r="C5053" s="133">
        <v>2</v>
      </c>
      <c r="D5053" s="141">
        <f t="shared" si="164"/>
        <v>44532</v>
      </c>
      <c r="E5053" s="275">
        <f t="shared" si="165"/>
        <v>44532</v>
      </c>
      <c r="F5053" s="481"/>
      <c r="G5053" s="174" t="s">
        <v>74</v>
      </c>
      <c r="H5053" s="148" t="str" cm="1">
        <f t="array" ref="H5053">IFERROR(INDEX(INVESTOR_LIST[INVESTOR NAME],MATCH(I5053,INVESTOR_LIST[INVESTOR CODE],0),)," ")</f>
        <v>MD. WALID - AL - ZUBAYER</v>
      </c>
      <c r="I5053" s="148" t="s">
        <v>764</v>
      </c>
      <c r="J5053" s="133" t="s">
        <v>13</v>
      </c>
      <c r="K5053" s="218"/>
      <c r="L5053" s="218">
        <v>343170</v>
      </c>
    </row>
    <row r="5054" spans="1:14" ht="45" x14ac:dyDescent="0.2">
      <c r="A5054" s="163">
        <v>2021</v>
      </c>
      <c r="B5054" s="163">
        <v>12</v>
      </c>
      <c r="C5054" s="163">
        <v>2</v>
      </c>
      <c r="D5054" s="141">
        <f t="shared" si="164"/>
        <v>44532</v>
      </c>
      <c r="E5054" s="275">
        <f t="shared" si="165"/>
        <v>44532</v>
      </c>
      <c r="F5054" s="480"/>
      <c r="G5054" s="221" t="s">
        <v>74</v>
      </c>
      <c r="H5054" s="145" t="str" cm="1">
        <f t="array" ref="H5054">IFERROR(INDEX(INVESTOR_LIST[INVESTOR NAME],MATCH(I5054,INVESTOR_LIST[INVESTOR CODE],0),)," ")</f>
        <v>MD. WALID - AL - ZUBAYER</v>
      </c>
      <c r="I5054" s="145" t="s">
        <v>764</v>
      </c>
      <c r="J5054" s="163" t="s">
        <v>53</v>
      </c>
      <c r="K5054" s="219"/>
      <c r="L5054" s="219">
        <v>156830</v>
      </c>
    </row>
    <row r="5055" spans="1:14" ht="45" x14ac:dyDescent="0.2">
      <c r="A5055" s="168">
        <v>2021</v>
      </c>
      <c r="B5055" s="168">
        <v>12</v>
      </c>
      <c r="C5055" s="133">
        <v>5</v>
      </c>
      <c r="D5055" s="141">
        <f t="shared" si="164"/>
        <v>44535</v>
      </c>
      <c r="E5055" s="275">
        <f t="shared" si="165"/>
        <v>44535</v>
      </c>
      <c r="F5055" s="479" t="s">
        <v>964</v>
      </c>
      <c r="G5055" s="220" t="s">
        <v>74</v>
      </c>
      <c r="H5055" s="142" t="str" cm="1">
        <f t="array" ref="H5055">IFERROR(INDEX(INVESTOR_LIST[INVESTOR NAME],MATCH(I5055,INVESTOR_LIST[INVESTOR CODE],0),)," ")</f>
        <v>MD. WALID - AL - ZUBAYER</v>
      </c>
      <c r="I5055" s="142" t="s">
        <v>764</v>
      </c>
      <c r="J5055" s="168" t="s">
        <v>52</v>
      </c>
      <c r="K5055" s="226">
        <v>97370</v>
      </c>
      <c r="L5055" s="226"/>
    </row>
    <row r="5056" spans="1:14" ht="45" x14ac:dyDescent="0.2">
      <c r="A5056" s="133">
        <v>2021</v>
      </c>
      <c r="B5056" s="133">
        <v>12</v>
      </c>
      <c r="C5056" s="133">
        <v>5</v>
      </c>
      <c r="D5056" s="141">
        <f t="shared" si="164"/>
        <v>44535</v>
      </c>
      <c r="E5056" s="275">
        <f t="shared" si="165"/>
        <v>44535</v>
      </c>
      <c r="F5056" s="481"/>
      <c r="G5056" s="174" t="s">
        <v>74</v>
      </c>
      <c r="H5056" s="148" t="str" cm="1">
        <f t="array" ref="H5056">IFERROR(INDEX(INVESTOR_LIST[INVESTOR NAME],MATCH(I5056,INVESTOR_LIST[INVESTOR CODE],0),)," ")</f>
        <v>MD. WALID - AL - ZUBAYER</v>
      </c>
      <c r="I5056" s="148" t="s">
        <v>764</v>
      </c>
      <c r="J5056" s="133" t="s">
        <v>13</v>
      </c>
      <c r="K5056" s="218"/>
      <c r="L5056" s="218">
        <v>66830</v>
      </c>
    </row>
    <row r="5057" spans="1:14" ht="45" x14ac:dyDescent="0.2">
      <c r="A5057" s="163">
        <v>2021</v>
      </c>
      <c r="B5057" s="163">
        <v>12</v>
      </c>
      <c r="C5057" s="163">
        <v>5</v>
      </c>
      <c r="D5057" s="141">
        <f t="shared" si="164"/>
        <v>44535</v>
      </c>
      <c r="E5057" s="275">
        <f t="shared" si="165"/>
        <v>44535</v>
      </c>
      <c r="F5057" s="480"/>
      <c r="G5057" s="221" t="s">
        <v>74</v>
      </c>
      <c r="H5057" s="145" t="str" cm="1">
        <f t="array" ref="H5057">IFERROR(INDEX(INVESTOR_LIST[INVESTOR NAME],MATCH(I5057,INVESTOR_LIST[INVESTOR CODE],0),)," ")</f>
        <v>MD. WALID - AL - ZUBAYER</v>
      </c>
      <c r="I5057" s="145" t="s">
        <v>764</v>
      </c>
      <c r="J5057" s="163" t="s">
        <v>53</v>
      </c>
      <c r="K5057" s="219"/>
      <c r="L5057" s="219">
        <v>30540</v>
      </c>
    </row>
    <row r="5058" spans="1:14" ht="11.25" customHeight="1" x14ac:dyDescent="0.2">
      <c r="A5058" s="168">
        <v>2021</v>
      </c>
      <c r="B5058" s="168">
        <v>12</v>
      </c>
      <c r="C5058" s="168">
        <v>5</v>
      </c>
      <c r="D5058" s="141">
        <f t="shared" si="164"/>
        <v>44535</v>
      </c>
      <c r="E5058" s="275">
        <f t="shared" si="165"/>
        <v>44535</v>
      </c>
      <c r="F5058" s="479" t="s">
        <v>233</v>
      </c>
      <c r="G5058" s="220" t="s">
        <v>74</v>
      </c>
      <c r="H5058" s="220" t="str" cm="1">
        <f t="array" ref="H5058">IFERROR(INDEX(INVESTOR_LIST[INVESTOR NAME],MATCH(I5058,INVESTOR_LIST[INVESTOR CODE],0),)," ")</f>
        <v xml:space="preserve"> </v>
      </c>
      <c r="I5058" s="142" t="s">
        <v>348</v>
      </c>
      <c r="J5058" s="143" t="s">
        <v>163</v>
      </c>
      <c r="K5058" s="226">
        <v>8000</v>
      </c>
      <c r="L5058" s="226"/>
    </row>
    <row r="5059" spans="1:14" x14ac:dyDescent="0.2">
      <c r="A5059" s="163">
        <v>2021</v>
      </c>
      <c r="B5059" s="163">
        <v>12</v>
      </c>
      <c r="C5059" s="163">
        <v>5</v>
      </c>
      <c r="D5059" s="141">
        <f t="shared" si="164"/>
        <v>44535</v>
      </c>
      <c r="E5059" s="275">
        <f t="shared" si="165"/>
        <v>44535</v>
      </c>
      <c r="F5059" s="480"/>
      <c r="G5059" s="221" t="s">
        <v>74</v>
      </c>
      <c r="H5059" s="221" t="str" cm="1">
        <f t="array" ref="H5059">IFERROR(INDEX(INVESTOR_LIST[INVESTOR NAME],MATCH(I5059,INVESTOR_LIST[INVESTOR CODE],0),)," ")</f>
        <v xml:space="preserve"> </v>
      </c>
      <c r="I5059" s="145" t="s">
        <v>348</v>
      </c>
      <c r="J5059" s="146" t="s">
        <v>52</v>
      </c>
      <c r="K5059" s="219"/>
      <c r="L5059" s="219">
        <v>8000</v>
      </c>
    </row>
    <row r="5060" spans="1:14" ht="33.75" x14ac:dyDescent="0.2">
      <c r="A5060" s="168">
        <v>2021</v>
      </c>
      <c r="B5060" s="168">
        <v>12</v>
      </c>
      <c r="C5060" s="133">
        <v>6</v>
      </c>
      <c r="D5060" s="141">
        <f t="shared" si="164"/>
        <v>44536</v>
      </c>
      <c r="E5060" s="275">
        <f t="shared" si="165"/>
        <v>44536</v>
      </c>
      <c r="F5060" s="479" t="s">
        <v>964</v>
      </c>
      <c r="G5060" s="220" t="s">
        <v>74</v>
      </c>
      <c r="H5060" s="142" t="str" cm="1">
        <f t="array" ref="H5060">IFERROR(INDEX(INVESTOR_LIST[INVESTOR NAME],MATCH(I5060,INVESTOR_LIST[INVESTOR CODE],0),)," ")</f>
        <v>MIDLAND BANK LIMITED</v>
      </c>
      <c r="I5060" s="142" t="s">
        <v>561</v>
      </c>
      <c r="J5060" s="168" t="s">
        <v>52</v>
      </c>
      <c r="K5060" s="226">
        <v>5000000</v>
      </c>
      <c r="L5060" s="226"/>
      <c r="M5060" s="264"/>
      <c r="N5060" s="160"/>
    </row>
    <row r="5061" spans="1:14" ht="33.75" x14ac:dyDescent="0.2">
      <c r="A5061" s="133">
        <v>2021</v>
      </c>
      <c r="B5061" s="133">
        <v>12</v>
      </c>
      <c r="C5061" s="133">
        <v>6</v>
      </c>
      <c r="D5061" s="141">
        <f t="shared" si="164"/>
        <v>44536</v>
      </c>
      <c r="E5061" s="275">
        <f t="shared" si="165"/>
        <v>44536</v>
      </c>
      <c r="F5061" s="481"/>
      <c r="G5061" s="174" t="s">
        <v>74</v>
      </c>
      <c r="H5061" s="148" t="str" cm="1">
        <f t="array" ref="H5061">IFERROR(INDEX(INVESTOR_LIST[INVESTOR NAME],MATCH(I5061,INVESTOR_LIST[INVESTOR CODE],0),)," ")</f>
        <v>MIDLAND BANK LIMITED</v>
      </c>
      <c r="I5061" s="148" t="s">
        <v>561</v>
      </c>
      <c r="J5061" s="133" t="s">
        <v>13</v>
      </c>
      <c r="K5061" s="218"/>
      <c r="L5061" s="218">
        <v>3353450</v>
      </c>
    </row>
    <row r="5062" spans="1:14" ht="33.75" x14ac:dyDescent="0.2">
      <c r="A5062" s="163">
        <v>2021</v>
      </c>
      <c r="B5062" s="163">
        <v>12</v>
      </c>
      <c r="C5062" s="163">
        <v>6</v>
      </c>
      <c r="D5062" s="141">
        <f t="shared" si="164"/>
        <v>44536</v>
      </c>
      <c r="E5062" s="275">
        <f t="shared" si="165"/>
        <v>44536</v>
      </c>
      <c r="F5062" s="480"/>
      <c r="G5062" s="221" t="s">
        <v>74</v>
      </c>
      <c r="H5062" s="145" t="str" cm="1">
        <f t="array" ref="H5062">IFERROR(INDEX(INVESTOR_LIST[INVESTOR NAME],MATCH(I5062,INVESTOR_LIST[INVESTOR CODE],0),)," ")</f>
        <v>MIDLAND BANK LIMITED</v>
      </c>
      <c r="I5062" s="145" t="s">
        <v>561</v>
      </c>
      <c r="J5062" s="163" t="s">
        <v>53</v>
      </c>
      <c r="K5062" s="219"/>
      <c r="L5062" s="219">
        <v>1646550</v>
      </c>
    </row>
    <row r="5063" spans="1:14" ht="33.75" x14ac:dyDescent="0.2">
      <c r="A5063" s="168">
        <v>2021</v>
      </c>
      <c r="B5063" s="168">
        <v>12</v>
      </c>
      <c r="C5063" s="133">
        <v>6</v>
      </c>
      <c r="D5063" s="141">
        <f t="shared" si="164"/>
        <v>44536</v>
      </c>
      <c r="E5063" s="275">
        <f t="shared" si="165"/>
        <v>44536</v>
      </c>
      <c r="F5063" s="479" t="s">
        <v>965</v>
      </c>
      <c r="G5063" s="220" t="s">
        <v>74</v>
      </c>
      <c r="H5063" s="142" t="str" cm="1">
        <f t="array" ref="H5063">IFERROR(INDEX(INVESTOR_LIST[INVESTOR NAME],MATCH(I5063,INVESTOR_LIST[INVESTOR CODE],0),)," ")</f>
        <v>MEHEDI HASSAN RONI</v>
      </c>
      <c r="I5063" s="142" t="s">
        <v>769</v>
      </c>
      <c r="J5063" s="168" t="s">
        <v>13</v>
      </c>
      <c r="K5063" s="226">
        <v>74910</v>
      </c>
      <c r="L5063" s="226"/>
    </row>
    <row r="5064" spans="1:14" ht="33.75" x14ac:dyDescent="0.2">
      <c r="A5064" s="133">
        <v>2021</v>
      </c>
      <c r="B5064" s="133">
        <v>12</v>
      </c>
      <c r="C5064" s="133">
        <v>6</v>
      </c>
      <c r="D5064" s="141">
        <f t="shared" si="164"/>
        <v>44536</v>
      </c>
      <c r="E5064" s="275">
        <f t="shared" si="165"/>
        <v>44536</v>
      </c>
      <c r="F5064" s="481"/>
      <c r="G5064" s="174" t="s">
        <v>74</v>
      </c>
      <c r="H5064" s="148" t="str" cm="1">
        <f t="array" ref="H5064">IFERROR(INDEX(INVESTOR_LIST[INVESTOR NAME],MATCH(I5064,INVESTOR_LIST[INVESTOR CODE],0),)," ")</f>
        <v>MEHEDI HASSAN RONI</v>
      </c>
      <c r="I5064" s="148" t="s">
        <v>769</v>
      </c>
      <c r="J5064" s="133" t="s">
        <v>53</v>
      </c>
      <c r="K5064" s="218">
        <v>36780.81</v>
      </c>
      <c r="L5064" s="218"/>
    </row>
    <row r="5065" spans="1:14" ht="33.75" x14ac:dyDescent="0.2">
      <c r="A5065" s="163">
        <v>2021</v>
      </c>
      <c r="B5065" s="163">
        <v>12</v>
      </c>
      <c r="C5065" s="163">
        <v>6</v>
      </c>
      <c r="D5065" s="141">
        <f t="shared" si="164"/>
        <v>44536</v>
      </c>
      <c r="E5065" s="275">
        <f t="shared" si="165"/>
        <v>44536</v>
      </c>
      <c r="F5065" s="480"/>
      <c r="G5065" s="221" t="s">
        <v>74</v>
      </c>
      <c r="H5065" s="145" t="str" cm="1">
        <f t="array" ref="H5065">IFERROR(INDEX(INVESTOR_LIST[INVESTOR NAME],MATCH(I5065,INVESTOR_LIST[INVESTOR CODE],0),)," ")</f>
        <v>MEHEDI HASSAN RONI</v>
      </c>
      <c r="I5065" s="145" t="s">
        <v>769</v>
      </c>
      <c r="J5065" s="163" t="s">
        <v>52</v>
      </c>
      <c r="K5065" s="219"/>
      <c r="L5065" s="219">
        <v>111690.81</v>
      </c>
    </row>
    <row r="5066" spans="1:14" ht="33.75" x14ac:dyDescent="0.2">
      <c r="A5066" s="168">
        <v>2021</v>
      </c>
      <c r="B5066" s="168">
        <v>12</v>
      </c>
      <c r="C5066" s="133">
        <v>6</v>
      </c>
      <c r="D5066" s="141">
        <f t="shared" si="164"/>
        <v>44536</v>
      </c>
      <c r="E5066" s="275">
        <f t="shared" si="165"/>
        <v>44536</v>
      </c>
      <c r="F5066" s="479" t="s">
        <v>969</v>
      </c>
      <c r="G5066" s="220" t="s">
        <v>74</v>
      </c>
      <c r="H5066" s="142" t="str" cm="1">
        <f t="array" ref="H5066">IFERROR(INDEX(INVESTOR_LIST[INVESTOR NAME],MATCH(I5066,INVESTOR_LIST[INVESTOR CODE],0),)," ")</f>
        <v>ABDULLAH-AL-FAHIM</v>
      </c>
      <c r="I5066" s="142" t="s">
        <v>799</v>
      </c>
      <c r="J5066" s="168" t="s">
        <v>13</v>
      </c>
      <c r="K5066" s="226">
        <v>20800</v>
      </c>
      <c r="L5066" s="226"/>
    </row>
    <row r="5067" spans="1:14" ht="33.75" x14ac:dyDescent="0.2">
      <c r="A5067" s="133">
        <v>2021</v>
      </c>
      <c r="B5067" s="133">
        <v>12</v>
      </c>
      <c r="C5067" s="133">
        <v>6</v>
      </c>
      <c r="D5067" s="141">
        <f t="shared" si="164"/>
        <v>44536</v>
      </c>
      <c r="E5067" s="275">
        <f t="shared" si="165"/>
        <v>44536</v>
      </c>
      <c r="F5067" s="481"/>
      <c r="G5067" s="174" t="s">
        <v>74</v>
      </c>
      <c r="H5067" s="148" t="str" cm="1">
        <f t="array" ref="H5067">IFERROR(INDEX(INVESTOR_LIST[INVESTOR NAME],MATCH(I5067,INVESTOR_LIST[INVESTOR CODE],0),)," ")</f>
        <v>ABDULLAH-AL-FAHIM</v>
      </c>
      <c r="I5067" s="148" t="s">
        <v>799</v>
      </c>
      <c r="J5067" s="133" t="s">
        <v>53</v>
      </c>
      <c r="K5067" s="218">
        <v>10212.799999999999</v>
      </c>
      <c r="L5067" s="218"/>
    </row>
    <row r="5068" spans="1:14" ht="33.75" x14ac:dyDescent="0.2">
      <c r="A5068" s="163">
        <v>2021</v>
      </c>
      <c r="B5068" s="163">
        <v>12</v>
      </c>
      <c r="C5068" s="163">
        <v>6</v>
      </c>
      <c r="D5068" s="141">
        <f t="shared" si="164"/>
        <v>44536</v>
      </c>
      <c r="E5068" s="275">
        <f t="shared" si="165"/>
        <v>44536</v>
      </c>
      <c r="F5068" s="480"/>
      <c r="G5068" s="221" t="s">
        <v>74</v>
      </c>
      <c r="H5068" s="145" t="str" cm="1">
        <f t="array" ref="H5068">IFERROR(INDEX(INVESTOR_LIST[INVESTOR NAME],MATCH(I5068,INVESTOR_LIST[INVESTOR CODE],0),)," ")</f>
        <v>ABDULLAH-AL-FAHIM</v>
      </c>
      <c r="I5068" s="145" t="s">
        <v>799</v>
      </c>
      <c r="J5068" s="163" t="s">
        <v>52</v>
      </c>
      <c r="K5068" s="219"/>
      <c r="L5068" s="219">
        <v>31012.799999999999</v>
      </c>
    </row>
    <row r="5069" spans="1:14" x14ac:dyDescent="0.2">
      <c r="A5069" s="168">
        <v>2021</v>
      </c>
      <c r="B5069" s="168">
        <v>12</v>
      </c>
      <c r="C5069" s="168">
        <v>7</v>
      </c>
      <c r="D5069" s="141">
        <f t="shared" si="164"/>
        <v>44537</v>
      </c>
      <c r="E5069" s="275">
        <f t="shared" si="165"/>
        <v>44537</v>
      </c>
      <c r="F5069" s="479" t="s">
        <v>954</v>
      </c>
      <c r="G5069" s="220" t="s">
        <v>74</v>
      </c>
      <c r="H5069" s="220" t="str" cm="1">
        <f t="array" ref="H5069">IFERROR(INDEX(INVESTOR_LIST[INVESTOR NAME],MATCH(I5069,INVESTOR_LIST[INVESTOR CODE],0),)," ")</f>
        <v xml:space="preserve"> </v>
      </c>
      <c r="I5069" s="142" t="s">
        <v>348</v>
      </c>
      <c r="J5069" s="143" t="s">
        <v>52</v>
      </c>
      <c r="K5069" s="226">
        <v>664736.78</v>
      </c>
      <c r="L5069" s="226"/>
      <c r="N5069" s="160"/>
    </row>
    <row r="5070" spans="1:14" x14ac:dyDescent="0.2">
      <c r="A5070" s="163">
        <v>2021</v>
      </c>
      <c r="B5070" s="163">
        <v>12</v>
      </c>
      <c r="C5070" s="163">
        <v>7</v>
      </c>
      <c r="D5070" s="141">
        <f t="shared" si="164"/>
        <v>44537</v>
      </c>
      <c r="E5070" s="275">
        <f t="shared" si="165"/>
        <v>44537</v>
      </c>
      <c r="F5070" s="480"/>
      <c r="G5070" s="221" t="s">
        <v>74</v>
      </c>
      <c r="H5070" s="221" t="str" cm="1">
        <f t="array" ref="H5070">IFERROR(INDEX(INVESTOR_LIST[INVESTOR NAME],MATCH(I5070,INVESTOR_LIST[INVESTOR CODE],0),)," ")</f>
        <v xml:space="preserve"> </v>
      </c>
      <c r="I5070" s="145" t="s">
        <v>348</v>
      </c>
      <c r="J5070" s="146" t="s">
        <v>190</v>
      </c>
      <c r="K5070" s="219"/>
      <c r="L5070" s="219">
        <v>664736.78</v>
      </c>
    </row>
    <row r="5071" spans="1:14" ht="45" x14ac:dyDescent="0.2">
      <c r="A5071" s="168">
        <v>2021</v>
      </c>
      <c r="B5071" s="168">
        <v>12</v>
      </c>
      <c r="C5071" s="133">
        <v>8</v>
      </c>
      <c r="D5071" s="141">
        <f t="shared" si="164"/>
        <v>44538</v>
      </c>
      <c r="E5071" s="275">
        <f t="shared" si="165"/>
        <v>44538</v>
      </c>
      <c r="F5071" s="479" t="s">
        <v>965</v>
      </c>
      <c r="G5071" s="220" t="s">
        <v>74</v>
      </c>
      <c r="H5071" s="142" t="str" cm="1">
        <f t="array" ref="H5071">IFERROR(INDEX(INVESTOR_LIST[INVESTOR NAME],MATCH(I5071,INVESTOR_LIST[INVESTOR CODE],0),)," ")</f>
        <v>SYED NAYEEMUDDIN HOSSAIN</v>
      </c>
      <c r="I5071" s="142" t="s">
        <v>876</v>
      </c>
      <c r="J5071" s="168" t="s">
        <v>13</v>
      </c>
      <c r="K5071" s="226">
        <v>630140</v>
      </c>
      <c r="L5071" s="226"/>
    </row>
    <row r="5072" spans="1:14" ht="11.25" customHeight="1" x14ac:dyDescent="0.2">
      <c r="A5072" s="133">
        <v>2021</v>
      </c>
      <c r="B5072" s="133">
        <v>12</v>
      </c>
      <c r="C5072" s="133">
        <v>8</v>
      </c>
      <c r="D5072" s="141">
        <f t="shared" ref="D5072:D5135" si="168">DATE(A5072,B5072,C5072)</f>
        <v>44538</v>
      </c>
      <c r="E5072" s="275">
        <f t="shared" si="165"/>
        <v>44538</v>
      </c>
      <c r="F5072" s="481"/>
      <c r="G5072" s="174" t="s">
        <v>74</v>
      </c>
      <c r="H5072" s="148" t="str" cm="1">
        <f t="array" ref="H5072">IFERROR(INDEX(INVESTOR_LIST[INVESTOR NAME],MATCH(I5072,INVESTOR_LIST[INVESTOR CODE],0),)," ")</f>
        <v>SYED NAYEEMUDDIN HOSSAIN</v>
      </c>
      <c r="I5072" s="148" t="s">
        <v>876</v>
      </c>
      <c r="J5072" s="133" t="s">
        <v>53</v>
      </c>
      <c r="K5072" s="218">
        <v>313402.59999999998</v>
      </c>
      <c r="L5072" s="218"/>
      <c r="N5072" s="156">
        <f>K5088/14.91</f>
        <v>335.34540576794097</v>
      </c>
    </row>
    <row r="5073" spans="1:13" ht="45" x14ac:dyDescent="0.2">
      <c r="A5073" s="163">
        <v>2021</v>
      </c>
      <c r="B5073" s="163">
        <v>12</v>
      </c>
      <c r="C5073" s="163">
        <v>8</v>
      </c>
      <c r="D5073" s="141">
        <f t="shared" si="168"/>
        <v>44538</v>
      </c>
      <c r="E5073" s="275">
        <f t="shared" ref="E5073:E5136" si="169">DATE(A5073,B5073,C5073)</f>
        <v>44538</v>
      </c>
      <c r="F5073" s="480"/>
      <c r="G5073" s="221" t="s">
        <v>74</v>
      </c>
      <c r="H5073" s="145" t="str" cm="1">
        <f t="array" ref="H5073">IFERROR(INDEX(INVESTOR_LIST[INVESTOR NAME],MATCH(I5073,INVESTOR_LIST[INVESTOR CODE],0),)," ")</f>
        <v>SYED NAYEEMUDDIN HOSSAIN</v>
      </c>
      <c r="I5073" s="145" t="s">
        <v>876</v>
      </c>
      <c r="J5073" s="163" t="s">
        <v>52</v>
      </c>
      <c r="K5073" s="219"/>
      <c r="L5073" s="219">
        <v>943542.6</v>
      </c>
    </row>
    <row r="5074" spans="1:13" ht="33.75" x14ac:dyDescent="0.2">
      <c r="A5074" s="168">
        <v>2021</v>
      </c>
      <c r="B5074" s="168">
        <v>12</v>
      </c>
      <c r="C5074" s="133">
        <v>8</v>
      </c>
      <c r="D5074" s="141">
        <f t="shared" si="168"/>
        <v>44538</v>
      </c>
      <c r="E5074" s="275">
        <f t="shared" si="169"/>
        <v>44538</v>
      </c>
      <c r="F5074" s="479" t="s">
        <v>969</v>
      </c>
      <c r="G5074" s="220" t="s">
        <v>74</v>
      </c>
      <c r="H5074" s="142" t="str" cm="1">
        <f t="array" ref="H5074">IFERROR(INDEX(INVESTOR_LIST[INVESTOR NAME],MATCH(I5074,INVESTOR_LIST[INVESTOR CODE],0),)," ")</f>
        <v>MAHFUZUL ISLAM</v>
      </c>
      <c r="I5074" s="142" t="s">
        <v>663</v>
      </c>
      <c r="J5074" s="168" t="s">
        <v>13</v>
      </c>
      <c r="K5074" s="226">
        <v>8000</v>
      </c>
      <c r="L5074" s="226"/>
    </row>
    <row r="5075" spans="1:13" ht="33.75" x14ac:dyDescent="0.2">
      <c r="A5075" s="133">
        <v>2021</v>
      </c>
      <c r="B5075" s="133">
        <v>12</v>
      </c>
      <c r="C5075" s="133">
        <v>8</v>
      </c>
      <c r="D5075" s="141">
        <f t="shared" si="168"/>
        <v>44538</v>
      </c>
      <c r="E5075" s="275">
        <f t="shared" si="169"/>
        <v>44538</v>
      </c>
      <c r="F5075" s="481"/>
      <c r="G5075" s="174" t="s">
        <v>74</v>
      </c>
      <c r="H5075" s="148" t="str" cm="1">
        <f t="array" ref="H5075">IFERROR(INDEX(INVESTOR_LIST[INVESTOR NAME],MATCH(I5075,INVESTOR_LIST[INVESTOR CODE],0),)," ")</f>
        <v>MAHFUZUL ISLAM</v>
      </c>
      <c r="I5075" s="148" t="s">
        <v>663</v>
      </c>
      <c r="J5075" s="133" t="s">
        <v>53</v>
      </c>
      <c r="K5075" s="218">
        <v>3928</v>
      </c>
      <c r="L5075" s="218"/>
    </row>
    <row r="5076" spans="1:13" ht="33.75" x14ac:dyDescent="0.2">
      <c r="A5076" s="163">
        <v>2021</v>
      </c>
      <c r="B5076" s="163">
        <v>12</v>
      </c>
      <c r="C5076" s="163">
        <v>8</v>
      </c>
      <c r="D5076" s="141">
        <f t="shared" si="168"/>
        <v>44538</v>
      </c>
      <c r="E5076" s="275">
        <f t="shared" si="169"/>
        <v>44538</v>
      </c>
      <c r="F5076" s="480"/>
      <c r="G5076" s="221" t="s">
        <v>74</v>
      </c>
      <c r="H5076" s="145" t="str" cm="1">
        <f t="array" ref="H5076">IFERROR(INDEX(INVESTOR_LIST[INVESTOR NAME],MATCH(I5076,INVESTOR_LIST[INVESTOR CODE],0),)," ")</f>
        <v>MAHFUZUL ISLAM</v>
      </c>
      <c r="I5076" s="145" t="s">
        <v>663</v>
      </c>
      <c r="J5076" s="163" t="s">
        <v>52</v>
      </c>
      <c r="K5076" s="219"/>
      <c r="L5076" s="219">
        <v>11928</v>
      </c>
    </row>
    <row r="5077" spans="1:13" ht="33.75" x14ac:dyDescent="0.2">
      <c r="A5077" s="168">
        <v>2021</v>
      </c>
      <c r="B5077" s="168">
        <v>12</v>
      </c>
      <c r="C5077" s="133">
        <v>8</v>
      </c>
      <c r="D5077" s="141">
        <f t="shared" si="168"/>
        <v>44538</v>
      </c>
      <c r="E5077" s="275">
        <f t="shared" si="169"/>
        <v>44538</v>
      </c>
      <c r="F5077" s="479" t="s">
        <v>965</v>
      </c>
      <c r="G5077" s="220" t="s">
        <v>74</v>
      </c>
      <c r="H5077" s="142" t="str" cm="1">
        <f t="array" ref="H5077">IFERROR(INDEX(INVESTOR_LIST[INVESTOR NAME],MATCH(I5077,INVESTOR_LIST[INVESTOR CODE],0),)," ")</f>
        <v>JOY SHREE SAHA</v>
      </c>
      <c r="I5077" s="142" t="s">
        <v>777</v>
      </c>
      <c r="J5077" s="168" t="s">
        <v>13</v>
      </c>
      <c r="K5077" s="226">
        <v>127600</v>
      </c>
      <c r="L5077" s="226"/>
    </row>
    <row r="5078" spans="1:13" ht="33.75" x14ac:dyDescent="0.2">
      <c r="A5078" s="133">
        <v>2021</v>
      </c>
      <c r="B5078" s="133">
        <v>12</v>
      </c>
      <c r="C5078" s="133">
        <v>8</v>
      </c>
      <c r="D5078" s="141">
        <f t="shared" si="168"/>
        <v>44538</v>
      </c>
      <c r="E5078" s="275">
        <f t="shared" si="169"/>
        <v>44538</v>
      </c>
      <c r="F5078" s="481"/>
      <c r="G5078" s="174" t="s">
        <v>74</v>
      </c>
      <c r="H5078" s="148" t="str" cm="1">
        <f t="array" ref="H5078">IFERROR(INDEX(INVESTOR_LIST[INVESTOR NAME],MATCH(I5078,INVESTOR_LIST[INVESTOR CODE],0),)," ")</f>
        <v>JOY SHREE SAHA</v>
      </c>
      <c r="I5078" s="148" t="s">
        <v>777</v>
      </c>
      <c r="J5078" s="133" t="s">
        <v>53</v>
      </c>
      <c r="K5078" s="218">
        <v>61489</v>
      </c>
      <c r="L5078" s="218"/>
    </row>
    <row r="5079" spans="1:13" ht="33.75" x14ac:dyDescent="0.2">
      <c r="A5079" s="163">
        <v>2021</v>
      </c>
      <c r="B5079" s="163">
        <v>12</v>
      </c>
      <c r="C5079" s="163">
        <v>8</v>
      </c>
      <c r="D5079" s="141">
        <f t="shared" si="168"/>
        <v>44538</v>
      </c>
      <c r="E5079" s="275">
        <f t="shared" si="169"/>
        <v>44538</v>
      </c>
      <c r="F5079" s="480"/>
      <c r="G5079" s="221" t="s">
        <v>74</v>
      </c>
      <c r="H5079" s="145" t="str" cm="1">
        <f t="array" ref="H5079">IFERROR(INDEX(INVESTOR_LIST[INVESTOR NAME],MATCH(I5079,INVESTOR_LIST[INVESTOR CODE],0),)," ")</f>
        <v>JOY SHREE SAHA</v>
      </c>
      <c r="I5079" s="145" t="s">
        <v>777</v>
      </c>
      <c r="J5079" s="163" t="s">
        <v>52</v>
      </c>
      <c r="K5079" s="219"/>
      <c r="L5079" s="219">
        <v>189089</v>
      </c>
    </row>
    <row r="5080" spans="1:13" ht="45" x14ac:dyDescent="0.2">
      <c r="A5080" s="168">
        <v>2021</v>
      </c>
      <c r="B5080" s="168">
        <v>12</v>
      </c>
      <c r="C5080" s="133">
        <v>8</v>
      </c>
      <c r="D5080" s="141">
        <f t="shared" si="168"/>
        <v>44538</v>
      </c>
      <c r="E5080" s="275">
        <f t="shared" si="169"/>
        <v>44538</v>
      </c>
      <c r="F5080" s="479" t="s">
        <v>968</v>
      </c>
      <c r="G5080" s="220" t="s">
        <v>74</v>
      </c>
      <c r="H5080" s="142" t="str" cm="1">
        <f t="array" ref="H5080">IFERROR(INDEX(INVESTOR_LIST[INVESTOR NAME],MATCH(I5080,INVESTOR_LIST[INVESTOR CODE],0),)," ")</f>
        <v>MOHAMMAD AKIB NAWAZ</v>
      </c>
      <c r="I5080" s="142" t="s">
        <v>677</v>
      </c>
      <c r="J5080" s="168" t="s">
        <v>13</v>
      </c>
      <c r="K5080" s="226">
        <v>134140</v>
      </c>
      <c r="L5080" s="226"/>
    </row>
    <row r="5081" spans="1:13" ht="45" x14ac:dyDescent="0.2">
      <c r="A5081" s="133">
        <v>2021</v>
      </c>
      <c r="B5081" s="133">
        <v>12</v>
      </c>
      <c r="C5081" s="133">
        <v>8</v>
      </c>
      <c r="D5081" s="141">
        <f t="shared" si="168"/>
        <v>44538</v>
      </c>
      <c r="E5081" s="275">
        <f t="shared" si="169"/>
        <v>44538</v>
      </c>
      <c r="F5081" s="481"/>
      <c r="G5081" s="174" t="s">
        <v>74</v>
      </c>
      <c r="H5081" s="148" t="str" cm="1">
        <f t="array" ref="H5081">IFERROR(INDEX(INVESTOR_LIST[INVESTOR NAME],MATCH(I5081,INVESTOR_LIST[INVESTOR CODE],0),)," ")</f>
        <v>MOHAMMAD AKIB NAWAZ</v>
      </c>
      <c r="I5081" s="148" t="s">
        <v>677</v>
      </c>
      <c r="J5081" s="133" t="s">
        <v>53</v>
      </c>
      <c r="K5081" s="218">
        <v>65862.740000000005</v>
      </c>
      <c r="L5081" s="218"/>
    </row>
    <row r="5082" spans="1:13" ht="45" x14ac:dyDescent="0.2">
      <c r="A5082" s="163">
        <v>2021</v>
      </c>
      <c r="B5082" s="163">
        <v>12</v>
      </c>
      <c r="C5082" s="163">
        <v>8</v>
      </c>
      <c r="D5082" s="141">
        <f t="shared" si="168"/>
        <v>44538</v>
      </c>
      <c r="E5082" s="275">
        <f t="shared" si="169"/>
        <v>44538</v>
      </c>
      <c r="F5082" s="480"/>
      <c r="G5082" s="221" t="s">
        <v>74</v>
      </c>
      <c r="H5082" s="145" t="str" cm="1">
        <f t="array" ref="H5082">IFERROR(INDEX(INVESTOR_LIST[INVESTOR NAME],MATCH(I5082,INVESTOR_LIST[INVESTOR CODE],0),)," ")</f>
        <v>MOHAMMAD AKIB NAWAZ</v>
      </c>
      <c r="I5082" s="145" t="s">
        <v>677</v>
      </c>
      <c r="J5082" s="163" t="s">
        <v>52</v>
      </c>
      <c r="K5082" s="219"/>
      <c r="L5082" s="219">
        <v>200002.74</v>
      </c>
    </row>
    <row r="5083" spans="1:13" x14ac:dyDescent="0.2">
      <c r="A5083" s="168">
        <v>2021</v>
      </c>
      <c r="B5083" s="168">
        <v>12</v>
      </c>
      <c r="C5083" s="133">
        <v>8</v>
      </c>
      <c r="D5083" s="141">
        <f t="shared" si="168"/>
        <v>44538</v>
      </c>
      <c r="E5083" s="275">
        <f t="shared" si="169"/>
        <v>44538</v>
      </c>
      <c r="F5083" s="479" t="s">
        <v>953</v>
      </c>
      <c r="G5083" s="220" t="s">
        <v>94</v>
      </c>
      <c r="H5083" s="220" t="str" cm="1">
        <f t="array" ref="H5083">IFERROR(INDEX(INVESTOR_LIST[INVESTOR NAME],MATCH(I5083,INVESTOR_LIST[INVESTOR CODE],0),)," ")</f>
        <v xml:space="preserve"> </v>
      </c>
      <c r="I5083" s="142"/>
      <c r="J5083" s="143" t="s">
        <v>79</v>
      </c>
      <c r="K5083" s="226">
        <v>940100</v>
      </c>
      <c r="L5083" s="226"/>
    </row>
    <row r="5084" spans="1:13" x14ac:dyDescent="0.2">
      <c r="A5084" s="133">
        <v>2021</v>
      </c>
      <c r="B5084" s="133">
        <v>12</v>
      </c>
      <c r="C5084" s="133">
        <v>8</v>
      </c>
      <c r="D5084" s="141">
        <f t="shared" si="168"/>
        <v>44538</v>
      </c>
      <c r="E5084" s="275">
        <f t="shared" si="169"/>
        <v>44538</v>
      </c>
      <c r="F5084" s="481"/>
      <c r="G5084" s="174" t="s">
        <v>94</v>
      </c>
      <c r="H5084" s="174" t="str" cm="1">
        <f t="array" ref="H5084">IFERROR(INDEX(INVESTOR_LIST[INVESTOR NAME],MATCH(I5084,INVESTOR_LIST[INVESTOR CODE],0),)," ")</f>
        <v xml:space="preserve"> </v>
      </c>
      <c r="J5084" s="149" t="s">
        <v>80</v>
      </c>
      <c r="K5084" s="218">
        <v>1692.18</v>
      </c>
      <c r="L5084" s="218"/>
      <c r="M5084" s="156">
        <v>67069.081153588195</v>
      </c>
    </row>
    <row r="5085" spans="1:13" x14ac:dyDescent="0.2">
      <c r="A5085" s="163">
        <v>2021</v>
      </c>
      <c r="B5085" s="163">
        <v>12</v>
      </c>
      <c r="C5085" s="163">
        <v>8</v>
      </c>
      <c r="D5085" s="141">
        <f t="shared" si="168"/>
        <v>44538</v>
      </c>
      <c r="E5085" s="275">
        <f t="shared" si="169"/>
        <v>44538</v>
      </c>
      <c r="F5085" s="480"/>
      <c r="G5085" s="221" t="s">
        <v>94</v>
      </c>
      <c r="H5085" s="221" t="str" cm="1">
        <f t="array" ref="H5085">IFERROR(INDEX(INVESTOR_LIST[INVESTOR NAME],MATCH(I5085,INVESTOR_LIST[INVESTOR CODE],0),)," ")</f>
        <v xml:space="preserve"> </v>
      </c>
      <c r="I5085" s="145"/>
      <c r="J5085" s="146" t="s">
        <v>147</v>
      </c>
      <c r="K5085" s="219"/>
      <c r="L5085" s="219">
        <v>941792.18</v>
      </c>
    </row>
    <row r="5086" spans="1:13" x14ac:dyDescent="0.2">
      <c r="A5086" s="168">
        <v>2021</v>
      </c>
      <c r="B5086" s="168">
        <v>12</v>
      </c>
      <c r="C5086" s="168">
        <v>8</v>
      </c>
      <c r="D5086" s="141">
        <f t="shared" si="168"/>
        <v>44538</v>
      </c>
      <c r="E5086" s="275">
        <f t="shared" si="169"/>
        <v>44538</v>
      </c>
      <c r="F5086" s="479" t="s">
        <v>937</v>
      </c>
      <c r="G5086" s="220" t="s">
        <v>74</v>
      </c>
      <c r="H5086" s="220" t="str" cm="1">
        <f t="array" ref="H5086">IFERROR(INDEX(INVESTOR_LIST[INVESTOR NAME],MATCH(I5086,INVESTOR_LIST[INVESTOR CODE],0),)," ")</f>
        <v xml:space="preserve"> </v>
      </c>
      <c r="I5086" s="142" t="s">
        <v>348</v>
      </c>
      <c r="J5086" s="143" t="s">
        <v>147</v>
      </c>
      <c r="K5086" s="226">
        <v>941792.18</v>
      </c>
      <c r="L5086" s="226"/>
    </row>
    <row r="5087" spans="1:13" x14ac:dyDescent="0.2">
      <c r="A5087" s="163">
        <v>2021</v>
      </c>
      <c r="B5087" s="163">
        <v>12</v>
      </c>
      <c r="C5087" s="163">
        <v>8</v>
      </c>
      <c r="D5087" s="141">
        <f t="shared" si="168"/>
        <v>44538</v>
      </c>
      <c r="E5087" s="275">
        <f t="shared" si="169"/>
        <v>44538</v>
      </c>
      <c r="F5087" s="480"/>
      <c r="G5087" s="221" t="s">
        <v>74</v>
      </c>
      <c r="H5087" s="221" t="str" cm="1">
        <f t="array" ref="H5087">IFERROR(INDEX(INVESTOR_LIST[INVESTOR NAME],MATCH(I5087,INVESTOR_LIST[INVESTOR CODE],0),)," ")</f>
        <v xml:space="preserve"> </v>
      </c>
      <c r="I5087" s="145" t="s">
        <v>348</v>
      </c>
      <c r="J5087" s="146" t="s">
        <v>52</v>
      </c>
      <c r="K5087" s="219"/>
      <c r="L5087" s="219">
        <v>941792.18</v>
      </c>
    </row>
    <row r="5088" spans="1:13" x14ac:dyDescent="0.2">
      <c r="A5088" s="168">
        <v>2021</v>
      </c>
      <c r="B5088" s="168">
        <v>12</v>
      </c>
      <c r="C5088" s="133">
        <v>9</v>
      </c>
      <c r="D5088" s="141">
        <f t="shared" si="168"/>
        <v>44539</v>
      </c>
      <c r="E5088" s="275">
        <f t="shared" si="169"/>
        <v>44539</v>
      </c>
      <c r="F5088" s="479" t="s">
        <v>970</v>
      </c>
      <c r="G5088" s="220" t="s">
        <v>74</v>
      </c>
      <c r="H5088" s="142" t="str" cm="1">
        <f t="array" ref="H5088">IFERROR(INDEX(INVESTOR_LIST[INVESTOR NAME],MATCH(I5088,INVESTOR_LIST[INVESTOR CODE],0),)," ")</f>
        <v xml:space="preserve"> </v>
      </c>
      <c r="I5088" s="142"/>
      <c r="J5088" s="168" t="s">
        <v>52</v>
      </c>
      <c r="K5088" s="226">
        <v>5000</v>
      </c>
      <c r="L5088" s="226"/>
    </row>
    <row r="5089" spans="1:14" ht="11.25" customHeight="1" x14ac:dyDescent="0.2">
      <c r="A5089" s="133">
        <v>2021</v>
      </c>
      <c r="B5089" s="133">
        <v>12</v>
      </c>
      <c r="C5089" s="133">
        <v>9</v>
      </c>
      <c r="D5089" s="141">
        <f t="shared" si="168"/>
        <v>44539</v>
      </c>
      <c r="E5089" s="275">
        <f t="shared" si="169"/>
        <v>44539</v>
      </c>
      <c r="F5089" s="481"/>
      <c r="G5089" s="174" t="s">
        <v>74</v>
      </c>
      <c r="H5089" s="148" t="str" cm="1">
        <f t="array" ref="H5089">IFERROR(INDEX(INVESTOR_LIST[INVESTOR NAME],MATCH(I5089,INVESTOR_LIST[INVESTOR CODE],0),)," ")</f>
        <v xml:space="preserve"> </v>
      </c>
      <c r="J5089" s="133" t="s">
        <v>13</v>
      </c>
      <c r="K5089" s="218"/>
      <c r="L5089" s="218">
        <v>3350</v>
      </c>
    </row>
    <row r="5090" spans="1:14" x14ac:dyDescent="0.2">
      <c r="A5090" s="163">
        <v>2021</v>
      </c>
      <c r="B5090" s="163">
        <v>12</v>
      </c>
      <c r="C5090" s="163">
        <v>9</v>
      </c>
      <c r="D5090" s="141">
        <f t="shared" si="168"/>
        <v>44539</v>
      </c>
      <c r="E5090" s="275">
        <f t="shared" si="169"/>
        <v>44539</v>
      </c>
      <c r="F5090" s="480"/>
      <c r="G5090" s="221" t="s">
        <v>74</v>
      </c>
      <c r="H5090" s="145" t="str" cm="1">
        <f t="array" ref="H5090">IFERROR(INDEX(INVESTOR_LIST[INVESTOR NAME],MATCH(I5090,INVESTOR_LIST[INVESTOR CODE],0),)," ")</f>
        <v xml:space="preserve"> </v>
      </c>
      <c r="I5090" s="145"/>
      <c r="J5090" s="163" t="s">
        <v>53</v>
      </c>
      <c r="K5090" s="219"/>
      <c r="L5090" s="219">
        <v>1650</v>
      </c>
    </row>
    <row r="5091" spans="1:14" ht="22.5" x14ac:dyDescent="0.2">
      <c r="A5091" s="168">
        <v>2021</v>
      </c>
      <c r="B5091" s="168">
        <v>12</v>
      </c>
      <c r="C5091" s="133">
        <v>9</v>
      </c>
      <c r="D5091" s="141">
        <f t="shared" si="168"/>
        <v>44539</v>
      </c>
      <c r="E5091" s="275">
        <f t="shared" si="169"/>
        <v>44539</v>
      </c>
      <c r="F5091" s="479" t="s">
        <v>964</v>
      </c>
      <c r="G5091" s="220" t="s">
        <v>74</v>
      </c>
      <c r="H5091" s="142" t="str" cm="1">
        <f t="array" ref="H5091">IFERROR(INDEX(INVESTOR_LIST[INVESTOR NAME],MATCH(I5091,INVESTOR_LIST[INVESTOR CODE],0),)," ")</f>
        <v>SULTANA RAZIA</v>
      </c>
      <c r="I5091" s="142" t="s">
        <v>698</v>
      </c>
      <c r="J5091" s="168" t="s">
        <v>52</v>
      </c>
      <c r="K5091" s="226">
        <v>1000000</v>
      </c>
      <c r="L5091" s="226"/>
    </row>
    <row r="5092" spans="1:14" ht="22.5" x14ac:dyDescent="0.2">
      <c r="A5092" s="133">
        <v>2021</v>
      </c>
      <c r="B5092" s="133">
        <v>12</v>
      </c>
      <c r="C5092" s="133">
        <v>9</v>
      </c>
      <c r="D5092" s="141">
        <f t="shared" si="168"/>
        <v>44539</v>
      </c>
      <c r="E5092" s="275">
        <f t="shared" si="169"/>
        <v>44539</v>
      </c>
      <c r="F5092" s="481"/>
      <c r="G5092" s="174" t="s">
        <v>74</v>
      </c>
      <c r="H5092" s="148" t="str" cm="1">
        <f t="array" ref="H5092">IFERROR(INDEX(INVESTOR_LIST[INVESTOR NAME],MATCH(I5092,INVESTOR_LIST[INVESTOR CODE],0),)," ")</f>
        <v>SULTANA RAZIA</v>
      </c>
      <c r="I5092" s="148" t="s">
        <v>698</v>
      </c>
      <c r="J5092" s="133" t="s">
        <v>13</v>
      </c>
      <c r="K5092" s="218"/>
      <c r="L5092" s="218">
        <v>670690</v>
      </c>
    </row>
    <row r="5093" spans="1:14" ht="22.5" x14ac:dyDescent="0.2">
      <c r="A5093" s="163">
        <v>2021</v>
      </c>
      <c r="B5093" s="163">
        <v>12</v>
      </c>
      <c r="C5093" s="163">
        <v>9</v>
      </c>
      <c r="D5093" s="141">
        <f t="shared" si="168"/>
        <v>44539</v>
      </c>
      <c r="E5093" s="275">
        <f t="shared" si="169"/>
        <v>44539</v>
      </c>
      <c r="F5093" s="480"/>
      <c r="G5093" s="221" t="s">
        <v>74</v>
      </c>
      <c r="H5093" s="145" t="str" cm="1">
        <f t="array" ref="H5093">IFERROR(INDEX(INVESTOR_LIST[INVESTOR NAME],MATCH(I5093,INVESTOR_LIST[INVESTOR CODE],0),)," ")</f>
        <v>SULTANA RAZIA</v>
      </c>
      <c r="I5093" s="145" t="s">
        <v>698</v>
      </c>
      <c r="J5093" s="163" t="s">
        <v>53</v>
      </c>
      <c r="K5093" s="219"/>
      <c r="L5093" s="219">
        <v>329310</v>
      </c>
    </row>
    <row r="5094" spans="1:14" x14ac:dyDescent="0.2">
      <c r="A5094" s="238">
        <v>2021</v>
      </c>
      <c r="B5094" s="238">
        <v>12</v>
      </c>
      <c r="C5094" s="238">
        <v>9</v>
      </c>
      <c r="D5094" s="141">
        <f t="shared" si="168"/>
        <v>44539</v>
      </c>
      <c r="E5094" s="275">
        <f t="shared" si="169"/>
        <v>44539</v>
      </c>
      <c r="F5094" s="477" t="s">
        <v>347</v>
      </c>
      <c r="G5094" s="239" t="s">
        <v>94</v>
      </c>
      <c r="H5094" s="239" t="str" cm="1">
        <f t="array" ref="H5094">IFERROR(INDEX(INVESTOR_LIST[INVESTOR NAME],MATCH(I5094,INVESTOR_LIST[INVESTOR CODE],0),)," ")</f>
        <v xml:space="preserve"> </v>
      </c>
      <c r="I5094" s="262" t="s">
        <v>348</v>
      </c>
      <c r="J5094" s="240" t="s">
        <v>108</v>
      </c>
      <c r="K5094" s="241">
        <v>107291.59000000171</v>
      </c>
      <c r="L5094" s="241"/>
    </row>
    <row r="5095" spans="1:14" x14ac:dyDescent="0.2">
      <c r="A5095" s="242">
        <v>2021</v>
      </c>
      <c r="B5095" s="242">
        <v>12</v>
      </c>
      <c r="C5095" s="242">
        <v>9</v>
      </c>
      <c r="D5095" s="141">
        <f t="shared" si="168"/>
        <v>44539</v>
      </c>
      <c r="E5095" s="275">
        <f t="shared" si="169"/>
        <v>44539</v>
      </c>
      <c r="F5095" s="478"/>
      <c r="G5095" s="243" t="s">
        <v>94</v>
      </c>
      <c r="H5095" s="243" t="str" cm="1">
        <f t="array" ref="H5095">IFERROR(INDEX(INVESTOR_LIST[INVESTOR NAME],MATCH(I5095,INVESTOR_LIST[INVESTOR CODE],0),)," ")</f>
        <v xml:space="preserve"> </v>
      </c>
      <c r="I5095" s="263" t="s">
        <v>348</v>
      </c>
      <c r="J5095" s="244" t="s">
        <v>82</v>
      </c>
      <c r="K5095" s="245"/>
      <c r="L5095" s="245">
        <v>107291.59000000171</v>
      </c>
    </row>
    <row r="5096" spans="1:14" ht="22.5" x14ac:dyDescent="0.2">
      <c r="A5096" s="246">
        <v>2021</v>
      </c>
      <c r="B5096" s="246">
        <v>12</v>
      </c>
      <c r="C5096" s="246">
        <v>9</v>
      </c>
      <c r="D5096" s="141">
        <f t="shared" si="168"/>
        <v>44539</v>
      </c>
      <c r="E5096" s="275">
        <f t="shared" si="169"/>
        <v>44539</v>
      </c>
      <c r="F5096" s="482" t="s">
        <v>148</v>
      </c>
      <c r="G5096" s="247" t="s">
        <v>94</v>
      </c>
      <c r="H5096" s="247" t="str" cm="1">
        <f t="array" ref="H5096">IFERROR(INDEX(INVESTOR_LIST[INVESTOR NAME],MATCH(I5096,INVESTOR_LIST[INVESTOR CODE],0),)," ")</f>
        <v xml:space="preserve"> </v>
      </c>
      <c r="I5096" s="248" t="s">
        <v>348</v>
      </c>
      <c r="J5096" s="249" t="s">
        <v>95</v>
      </c>
      <c r="K5096" s="250">
        <v>2747.2527472527472</v>
      </c>
      <c r="L5096" s="241"/>
      <c r="M5096" s="133">
        <v>2747.2527472527472</v>
      </c>
    </row>
    <row r="5097" spans="1:14" x14ac:dyDescent="0.2">
      <c r="A5097" s="242">
        <v>2021</v>
      </c>
      <c r="B5097" s="242">
        <v>12</v>
      </c>
      <c r="C5097" s="242">
        <v>9</v>
      </c>
      <c r="D5097" s="141">
        <f t="shared" si="168"/>
        <v>44539</v>
      </c>
      <c r="E5097" s="275">
        <f t="shared" si="169"/>
        <v>44539</v>
      </c>
      <c r="F5097" s="478"/>
      <c r="G5097" s="243" t="s">
        <v>94</v>
      </c>
      <c r="H5097" s="243" t="str" cm="1">
        <f t="array" ref="H5097">IFERROR(INDEX(INVESTOR_LIST[INVESTOR NAME],MATCH(I5097,INVESTOR_LIST[INVESTOR CODE],0),)," ")</f>
        <v xml:space="preserve"> </v>
      </c>
      <c r="I5097" s="263" t="s">
        <v>348</v>
      </c>
      <c r="J5097" s="244" t="s">
        <v>63</v>
      </c>
      <c r="K5097" s="245"/>
      <c r="L5097" s="245">
        <v>2747.2527472527472</v>
      </c>
      <c r="M5097" s="133">
        <v>91101.938574865024</v>
      </c>
    </row>
    <row r="5098" spans="1:14" x14ac:dyDescent="0.2">
      <c r="A5098" s="246">
        <v>2021</v>
      </c>
      <c r="B5098" s="246">
        <v>12</v>
      </c>
      <c r="C5098" s="246">
        <v>9</v>
      </c>
      <c r="D5098" s="141">
        <f t="shared" si="168"/>
        <v>44539</v>
      </c>
      <c r="E5098" s="275">
        <f t="shared" si="169"/>
        <v>44539</v>
      </c>
      <c r="F5098" s="482" t="s">
        <v>137</v>
      </c>
      <c r="G5098" s="247" t="s">
        <v>94</v>
      </c>
      <c r="H5098" s="247" t="str" cm="1">
        <f t="array" ref="H5098">IFERROR(INDEX(INVESTOR_LIST[INVESTOR NAME],MATCH(I5098,INVESTOR_LIST[INVESTOR CODE],0),)," ")</f>
        <v xml:space="preserve"> </v>
      </c>
      <c r="I5098" s="248" t="s">
        <v>348</v>
      </c>
      <c r="J5098" s="249" t="s">
        <v>97</v>
      </c>
      <c r="K5098" s="250">
        <v>91101.938574865024</v>
      </c>
      <c r="L5098" s="252"/>
      <c r="M5098" s="133">
        <v>4314.7123133586365</v>
      </c>
    </row>
    <row r="5099" spans="1:14" x14ac:dyDescent="0.2">
      <c r="A5099" s="242">
        <v>2021</v>
      </c>
      <c r="B5099" s="242">
        <v>12</v>
      </c>
      <c r="C5099" s="242">
        <v>9</v>
      </c>
      <c r="D5099" s="141">
        <f t="shared" si="168"/>
        <v>44539</v>
      </c>
      <c r="E5099" s="275">
        <f t="shared" si="169"/>
        <v>44539</v>
      </c>
      <c r="F5099" s="478"/>
      <c r="G5099" s="243" t="s">
        <v>94</v>
      </c>
      <c r="H5099" s="243" t="str" cm="1">
        <f t="array" ref="H5099">IFERROR(INDEX(INVESTOR_LIST[INVESTOR NAME],MATCH(I5099,INVESTOR_LIST[INVESTOR CODE],0),)," ")</f>
        <v xml:space="preserve"> </v>
      </c>
      <c r="I5099" s="263" t="s">
        <v>348</v>
      </c>
      <c r="J5099" s="244" t="s">
        <v>47</v>
      </c>
      <c r="K5099" s="245"/>
      <c r="L5099" s="245">
        <v>91101.938574865024</v>
      </c>
    </row>
    <row r="5100" spans="1:14" ht="11.25" customHeight="1" x14ac:dyDescent="0.2">
      <c r="A5100" s="246">
        <v>2021</v>
      </c>
      <c r="B5100" s="246">
        <v>12</v>
      </c>
      <c r="C5100" s="246">
        <v>9</v>
      </c>
      <c r="D5100" s="141">
        <f t="shared" si="168"/>
        <v>44539</v>
      </c>
      <c r="E5100" s="275">
        <f t="shared" si="169"/>
        <v>44539</v>
      </c>
      <c r="F5100" s="482" t="s">
        <v>138</v>
      </c>
      <c r="G5100" s="247" t="s">
        <v>94</v>
      </c>
      <c r="H5100" s="247" t="str" cm="1">
        <f t="array" ref="H5100">IFERROR(INDEX(INVESTOR_LIST[INVESTOR NAME],MATCH(I5100,INVESTOR_LIST[INVESTOR CODE],0),)," ")</f>
        <v xml:space="preserve"> </v>
      </c>
      <c r="I5100" s="248" t="s">
        <v>348</v>
      </c>
      <c r="J5100" s="249" t="s">
        <v>100</v>
      </c>
      <c r="K5100" s="250">
        <v>4314.7123133586365</v>
      </c>
      <c r="L5100" s="252"/>
    </row>
    <row r="5101" spans="1:14" x14ac:dyDescent="0.2">
      <c r="A5101" s="242">
        <v>2021</v>
      </c>
      <c r="B5101" s="242">
        <v>12</v>
      </c>
      <c r="C5101" s="242">
        <v>9</v>
      </c>
      <c r="D5101" s="141">
        <f t="shared" si="168"/>
        <v>44539</v>
      </c>
      <c r="E5101" s="275">
        <f t="shared" si="169"/>
        <v>44539</v>
      </c>
      <c r="F5101" s="478"/>
      <c r="G5101" s="243" t="s">
        <v>94</v>
      </c>
      <c r="H5101" s="243" t="str" cm="1">
        <f t="array" ref="H5101">IFERROR(INDEX(INVESTOR_LIST[INVESTOR NAME],MATCH(I5101,INVESTOR_LIST[INVESTOR CODE],0),)," ")</f>
        <v xml:space="preserve"> </v>
      </c>
      <c r="I5101" s="263" t="s">
        <v>348</v>
      </c>
      <c r="J5101" s="244" t="s">
        <v>48</v>
      </c>
      <c r="K5101" s="245"/>
      <c r="L5101" s="245">
        <v>4314.7123133586365</v>
      </c>
      <c r="N5101" s="156">
        <f>K5102/14.91</f>
        <v>20120.724346076458</v>
      </c>
    </row>
    <row r="5102" spans="1:14" ht="33.75" x14ac:dyDescent="0.2">
      <c r="A5102" s="168">
        <v>2021</v>
      </c>
      <c r="B5102" s="168">
        <v>12</v>
      </c>
      <c r="C5102" s="133">
        <v>12</v>
      </c>
      <c r="D5102" s="141">
        <f t="shared" si="168"/>
        <v>44542</v>
      </c>
      <c r="E5102" s="275">
        <f t="shared" si="169"/>
        <v>44542</v>
      </c>
      <c r="F5102" s="479" t="s">
        <v>964</v>
      </c>
      <c r="G5102" s="220" t="s">
        <v>74</v>
      </c>
      <c r="H5102" s="142" t="str" cm="1">
        <f t="array" ref="H5102">IFERROR(INDEX(INVESTOR_LIST[INVESTOR NAME],MATCH(I5102,INVESTOR_LIST[INVESTOR CODE],0),)," ")</f>
        <v>A.T.M. MORSHED KAMAL</v>
      </c>
      <c r="I5102" s="142" t="s">
        <v>872</v>
      </c>
      <c r="J5102" s="168" t="s">
        <v>52</v>
      </c>
      <c r="K5102" s="226">
        <v>300000</v>
      </c>
      <c r="L5102" s="226"/>
    </row>
    <row r="5103" spans="1:14" ht="11.25" customHeight="1" x14ac:dyDescent="0.2">
      <c r="A5103" s="133">
        <v>2021</v>
      </c>
      <c r="B5103" s="133">
        <v>12</v>
      </c>
      <c r="C5103" s="133">
        <v>12</v>
      </c>
      <c r="D5103" s="141">
        <f t="shared" si="168"/>
        <v>44542</v>
      </c>
      <c r="E5103" s="275">
        <f t="shared" si="169"/>
        <v>44542</v>
      </c>
      <c r="F5103" s="481"/>
      <c r="G5103" s="174" t="s">
        <v>74</v>
      </c>
      <c r="H5103" s="148" t="str" cm="1">
        <f t="array" ref="H5103">IFERROR(INDEX(INVESTOR_LIST[INVESTOR NAME],MATCH(I5103,INVESTOR_LIST[INVESTOR CODE],0),)," ")</f>
        <v>A.T.M. MORSHED KAMAL</v>
      </c>
      <c r="I5103" s="148" t="s">
        <v>872</v>
      </c>
      <c r="J5103" s="133" t="s">
        <v>13</v>
      </c>
      <c r="K5103" s="218"/>
      <c r="L5103" s="218">
        <v>201210</v>
      </c>
    </row>
    <row r="5104" spans="1:14" ht="33.75" x14ac:dyDescent="0.2">
      <c r="A5104" s="163">
        <v>2021</v>
      </c>
      <c r="B5104" s="163">
        <v>12</v>
      </c>
      <c r="C5104" s="163">
        <v>12</v>
      </c>
      <c r="D5104" s="141">
        <f t="shared" si="168"/>
        <v>44542</v>
      </c>
      <c r="E5104" s="275">
        <f t="shared" si="169"/>
        <v>44542</v>
      </c>
      <c r="F5104" s="480"/>
      <c r="G5104" s="221" t="s">
        <v>74</v>
      </c>
      <c r="H5104" s="145" t="str" cm="1">
        <f t="array" ref="H5104">IFERROR(INDEX(INVESTOR_LIST[INVESTOR NAME],MATCH(I5104,INVESTOR_LIST[INVESTOR CODE],0),)," ")</f>
        <v>A.T.M. MORSHED KAMAL</v>
      </c>
      <c r="I5104" s="145" t="s">
        <v>872</v>
      </c>
      <c r="J5104" s="163" t="s">
        <v>53</v>
      </c>
      <c r="K5104" s="219"/>
      <c r="L5104" s="219">
        <v>98790</v>
      </c>
      <c r="N5104" s="156">
        <f>K5105/14.914</f>
        <v>6705.1092932814809</v>
      </c>
    </row>
    <row r="5105" spans="1:14" ht="33.75" x14ac:dyDescent="0.2">
      <c r="A5105" s="168">
        <v>2021</v>
      </c>
      <c r="B5105" s="168">
        <v>12</v>
      </c>
      <c r="C5105" s="133">
        <v>12</v>
      </c>
      <c r="D5105" s="141">
        <f t="shared" si="168"/>
        <v>44542</v>
      </c>
      <c r="E5105" s="275">
        <f t="shared" si="169"/>
        <v>44542</v>
      </c>
      <c r="F5105" s="479" t="s">
        <v>964</v>
      </c>
      <c r="G5105" s="220" t="s">
        <v>74</v>
      </c>
      <c r="H5105" s="142" t="str" cm="1">
        <f t="array" ref="H5105">IFERROR(INDEX(INVESTOR_LIST[INVESTOR NAME],MATCH(I5105,INVESTOR_LIST[INVESTOR CODE],0),)," ")</f>
        <v>MD. NABIL BARKET</v>
      </c>
      <c r="I5105" s="142" t="s">
        <v>599</v>
      </c>
      <c r="J5105" s="168" t="s">
        <v>52</v>
      </c>
      <c r="K5105" s="226">
        <v>100000</v>
      </c>
      <c r="L5105" s="226"/>
    </row>
    <row r="5106" spans="1:14" ht="11.25" customHeight="1" x14ac:dyDescent="0.2">
      <c r="A5106" s="133">
        <v>2021</v>
      </c>
      <c r="B5106" s="133">
        <v>12</v>
      </c>
      <c r="C5106" s="133">
        <v>12</v>
      </c>
      <c r="D5106" s="141">
        <f t="shared" si="168"/>
        <v>44542</v>
      </c>
      <c r="E5106" s="275">
        <f t="shared" si="169"/>
        <v>44542</v>
      </c>
      <c r="F5106" s="481"/>
      <c r="G5106" s="174" t="s">
        <v>74</v>
      </c>
      <c r="H5106" s="148" t="str" cm="1">
        <f t="array" ref="H5106">IFERROR(INDEX(INVESTOR_LIST[INVESTOR NAME],MATCH(I5106,INVESTOR_LIST[INVESTOR CODE],0),)," ")</f>
        <v>MD. NABIL BARKET</v>
      </c>
      <c r="I5106" s="148" t="s">
        <v>599</v>
      </c>
      <c r="J5106" s="133" t="s">
        <v>13</v>
      </c>
      <c r="K5106" s="218"/>
      <c r="L5106" s="218">
        <v>67050</v>
      </c>
    </row>
    <row r="5107" spans="1:14" ht="33.75" x14ac:dyDescent="0.2">
      <c r="A5107" s="163">
        <v>2021</v>
      </c>
      <c r="B5107" s="163">
        <v>12</v>
      </c>
      <c r="C5107" s="163">
        <v>12</v>
      </c>
      <c r="D5107" s="141">
        <f t="shared" si="168"/>
        <v>44542</v>
      </c>
      <c r="E5107" s="275">
        <f t="shared" si="169"/>
        <v>44542</v>
      </c>
      <c r="F5107" s="480"/>
      <c r="G5107" s="221" t="s">
        <v>74</v>
      </c>
      <c r="H5107" s="145" t="str" cm="1">
        <f t="array" ref="H5107">IFERROR(INDEX(INVESTOR_LIST[INVESTOR NAME],MATCH(I5107,INVESTOR_LIST[INVESTOR CODE],0),)," ")</f>
        <v>MD. NABIL BARKET</v>
      </c>
      <c r="I5107" s="145" t="s">
        <v>599</v>
      </c>
      <c r="J5107" s="163" t="s">
        <v>53</v>
      </c>
      <c r="K5107" s="219"/>
      <c r="L5107" s="219">
        <v>32950</v>
      </c>
      <c r="N5107" s="156">
        <f>K5108/14.914</f>
        <v>53640.874346251847</v>
      </c>
    </row>
    <row r="5108" spans="1:14" ht="33.75" x14ac:dyDescent="0.2">
      <c r="A5108" s="168">
        <v>2021</v>
      </c>
      <c r="B5108" s="168">
        <v>12</v>
      </c>
      <c r="C5108" s="133">
        <v>12</v>
      </c>
      <c r="D5108" s="141">
        <f t="shared" si="168"/>
        <v>44542</v>
      </c>
      <c r="E5108" s="275">
        <f t="shared" si="169"/>
        <v>44542</v>
      </c>
      <c r="F5108" s="479" t="s">
        <v>964</v>
      </c>
      <c r="G5108" s="220" t="s">
        <v>74</v>
      </c>
      <c r="H5108" s="142" t="str" cm="1">
        <f t="array" ref="H5108">IFERROR(INDEX(INVESTOR_LIST[INVESTOR NAME],MATCH(I5108,INVESTOR_LIST[INVESTOR CODE],0),)," ")</f>
        <v>FAIYEAD AHMEDUL HYE</v>
      </c>
      <c r="I5108" s="142" t="s">
        <v>496</v>
      </c>
      <c r="J5108" s="168" t="s">
        <v>52</v>
      </c>
      <c r="K5108" s="226">
        <v>800000</v>
      </c>
      <c r="L5108" s="226"/>
    </row>
    <row r="5109" spans="1:14" ht="11.25" customHeight="1" x14ac:dyDescent="0.2">
      <c r="A5109" s="133">
        <v>2021</v>
      </c>
      <c r="B5109" s="133">
        <v>12</v>
      </c>
      <c r="C5109" s="133">
        <v>12</v>
      </c>
      <c r="D5109" s="141">
        <f t="shared" si="168"/>
        <v>44542</v>
      </c>
      <c r="E5109" s="275">
        <f t="shared" si="169"/>
        <v>44542</v>
      </c>
      <c r="F5109" s="481"/>
      <c r="G5109" s="174" t="s">
        <v>74</v>
      </c>
      <c r="H5109" s="148" t="str" cm="1">
        <f t="array" ref="H5109">IFERROR(INDEX(INVESTOR_LIST[INVESTOR NAME],MATCH(I5109,INVESTOR_LIST[INVESTOR CODE],0),)," ")</f>
        <v>FAIYEAD AHMEDUL HYE</v>
      </c>
      <c r="I5109" s="148" t="s">
        <v>496</v>
      </c>
      <c r="J5109" s="133" t="s">
        <v>13</v>
      </c>
      <c r="K5109" s="218"/>
      <c r="L5109" s="218">
        <v>536410</v>
      </c>
    </row>
    <row r="5110" spans="1:14" ht="33.75" x14ac:dyDescent="0.2">
      <c r="A5110" s="163">
        <v>2021</v>
      </c>
      <c r="B5110" s="163">
        <v>12</v>
      </c>
      <c r="C5110" s="163">
        <v>12</v>
      </c>
      <c r="D5110" s="141">
        <f t="shared" si="168"/>
        <v>44542</v>
      </c>
      <c r="E5110" s="275">
        <f t="shared" si="169"/>
        <v>44542</v>
      </c>
      <c r="F5110" s="480"/>
      <c r="G5110" s="221" t="s">
        <v>74</v>
      </c>
      <c r="H5110" s="145" t="str" cm="1">
        <f t="array" ref="H5110">IFERROR(INDEX(INVESTOR_LIST[INVESTOR NAME],MATCH(I5110,INVESTOR_LIST[INVESTOR CODE],0),)," ")</f>
        <v>FAIYEAD AHMEDUL HYE</v>
      </c>
      <c r="I5110" s="145" t="s">
        <v>496</v>
      </c>
      <c r="J5110" s="163" t="s">
        <v>53</v>
      </c>
      <c r="K5110" s="219"/>
      <c r="L5110" s="219">
        <v>263590</v>
      </c>
    </row>
    <row r="5111" spans="1:14" x14ac:dyDescent="0.2">
      <c r="A5111" s="168">
        <v>2021</v>
      </c>
      <c r="B5111" s="168">
        <v>12</v>
      </c>
      <c r="C5111" s="133">
        <v>12</v>
      </c>
      <c r="D5111" s="141">
        <f t="shared" si="168"/>
        <v>44542</v>
      </c>
      <c r="E5111" s="275">
        <f t="shared" si="169"/>
        <v>44542</v>
      </c>
      <c r="F5111" s="479" t="s">
        <v>970</v>
      </c>
      <c r="G5111" s="220" t="s">
        <v>74</v>
      </c>
      <c r="H5111" s="142" t="str" cm="1">
        <f t="array" ref="H5111">IFERROR(INDEX(INVESTOR_LIST[INVESTOR NAME],MATCH(I5111,INVESTOR_LIST[INVESTOR CODE],0),)," ")</f>
        <v xml:space="preserve"> </v>
      </c>
      <c r="I5111" s="142"/>
      <c r="J5111" s="168" t="s">
        <v>52</v>
      </c>
      <c r="K5111" s="226">
        <v>321500</v>
      </c>
      <c r="L5111" s="226"/>
    </row>
    <row r="5112" spans="1:14" x14ac:dyDescent="0.2">
      <c r="A5112" s="133">
        <v>2021</v>
      </c>
      <c r="B5112" s="133">
        <v>12</v>
      </c>
      <c r="C5112" s="133">
        <v>12</v>
      </c>
      <c r="D5112" s="141">
        <f t="shared" si="168"/>
        <v>44542</v>
      </c>
      <c r="E5112" s="275">
        <f t="shared" si="169"/>
        <v>44542</v>
      </c>
      <c r="F5112" s="481"/>
      <c r="G5112" s="174" t="s">
        <v>74</v>
      </c>
      <c r="H5112" s="148" t="str" cm="1">
        <f t="array" ref="H5112">IFERROR(INDEX(INVESTOR_LIST[INVESTOR NAME],MATCH(I5112,INVESTOR_LIST[INVESTOR CODE],0),)," ")</f>
        <v xml:space="preserve"> </v>
      </c>
      <c r="J5112" s="133" t="s">
        <v>13</v>
      </c>
      <c r="K5112" s="218"/>
      <c r="L5112" s="218">
        <v>215580</v>
      </c>
    </row>
    <row r="5113" spans="1:14" x14ac:dyDescent="0.2">
      <c r="A5113" s="163">
        <v>2021</v>
      </c>
      <c r="B5113" s="163">
        <v>12</v>
      </c>
      <c r="C5113" s="163">
        <v>12</v>
      </c>
      <c r="D5113" s="141">
        <f t="shared" si="168"/>
        <v>44542</v>
      </c>
      <c r="E5113" s="275">
        <f t="shared" si="169"/>
        <v>44542</v>
      </c>
      <c r="F5113" s="480"/>
      <c r="G5113" s="221" t="s">
        <v>74</v>
      </c>
      <c r="H5113" s="145" t="str" cm="1">
        <f t="array" ref="H5113">IFERROR(INDEX(INVESTOR_LIST[INVESTOR NAME],MATCH(I5113,INVESTOR_LIST[INVESTOR CODE],0),)," ")</f>
        <v xml:space="preserve"> </v>
      </c>
      <c r="I5113" s="145"/>
      <c r="J5113" s="163" t="s">
        <v>53</v>
      </c>
      <c r="K5113" s="219"/>
      <c r="L5113" s="219">
        <v>105920</v>
      </c>
    </row>
    <row r="5114" spans="1:14" x14ac:dyDescent="0.2">
      <c r="A5114" s="168">
        <v>2021</v>
      </c>
      <c r="B5114" s="168">
        <v>12</v>
      </c>
      <c r="C5114" s="168">
        <v>13</v>
      </c>
      <c r="D5114" s="141">
        <f t="shared" si="168"/>
        <v>44543</v>
      </c>
      <c r="E5114" s="275">
        <f t="shared" si="169"/>
        <v>44543</v>
      </c>
      <c r="F5114" s="479" t="s">
        <v>547</v>
      </c>
      <c r="G5114" s="220" t="s">
        <v>74</v>
      </c>
      <c r="H5114" s="142" t="str" cm="1">
        <f t="array" ref="H5114">IFERROR(INDEX(INVESTOR_LIST[INVESTOR NAME],MATCH(I5114,INVESTOR_LIST[INVESTOR CODE],0),)," ")</f>
        <v xml:space="preserve"> </v>
      </c>
      <c r="I5114" s="142"/>
      <c r="J5114" s="168" t="s">
        <v>52</v>
      </c>
      <c r="K5114" s="226">
        <v>90000</v>
      </c>
      <c r="L5114" s="226"/>
    </row>
    <row r="5115" spans="1:14" x14ac:dyDescent="0.2">
      <c r="A5115" s="163">
        <v>2021</v>
      </c>
      <c r="B5115" s="163">
        <v>12</v>
      </c>
      <c r="C5115" s="163">
        <v>13</v>
      </c>
      <c r="D5115" s="141">
        <f t="shared" si="168"/>
        <v>44543</v>
      </c>
      <c r="E5115" s="275">
        <f t="shared" si="169"/>
        <v>44543</v>
      </c>
      <c r="F5115" s="480"/>
      <c r="G5115" s="221" t="s">
        <v>74</v>
      </c>
      <c r="H5115" s="145" t="str" cm="1">
        <f t="array" ref="H5115">IFERROR(INDEX(INVESTOR_LIST[INVESTOR NAME],MATCH(I5115,INVESTOR_LIST[INVESTOR CODE],0),)," ")</f>
        <v xml:space="preserve"> </v>
      </c>
      <c r="I5115" s="145"/>
      <c r="J5115" s="163" t="s">
        <v>168</v>
      </c>
      <c r="K5115" s="219"/>
      <c r="L5115" s="219">
        <v>90000</v>
      </c>
    </row>
    <row r="5116" spans="1:14" ht="33.75" x14ac:dyDescent="0.2">
      <c r="A5116" s="168">
        <v>2021</v>
      </c>
      <c r="B5116" s="168">
        <v>12</v>
      </c>
      <c r="C5116" s="133">
        <v>14</v>
      </c>
      <c r="D5116" s="141">
        <f t="shared" si="168"/>
        <v>44544</v>
      </c>
      <c r="E5116" s="275">
        <f t="shared" si="169"/>
        <v>44544</v>
      </c>
      <c r="F5116" s="479" t="s">
        <v>965</v>
      </c>
      <c r="G5116" s="220" t="s">
        <v>74</v>
      </c>
      <c r="H5116" s="142" t="str" cm="1">
        <f t="array" ref="H5116">IFERROR(INDEX(INVESTOR_LIST[INVESTOR NAME],MATCH(I5116,INVESTOR_LIST[INVESTOR CODE],0),)," ")</f>
        <v>MIDLAND BANK LIMITED</v>
      </c>
      <c r="I5116" s="142" t="s">
        <v>561</v>
      </c>
      <c r="J5116" s="168" t="s">
        <v>13</v>
      </c>
      <c r="K5116" s="226">
        <v>1677000</v>
      </c>
      <c r="L5116" s="226"/>
    </row>
    <row r="5117" spans="1:14" ht="33.75" x14ac:dyDescent="0.2">
      <c r="A5117" s="133">
        <v>2021</v>
      </c>
      <c r="B5117" s="133">
        <v>12</v>
      </c>
      <c r="C5117" s="133">
        <v>14</v>
      </c>
      <c r="D5117" s="141">
        <f t="shared" si="168"/>
        <v>44544</v>
      </c>
      <c r="E5117" s="275">
        <f t="shared" si="169"/>
        <v>44544</v>
      </c>
      <c r="F5117" s="481"/>
      <c r="G5117" s="174" t="s">
        <v>74</v>
      </c>
      <c r="H5117" s="148" t="str" cm="1">
        <f t="array" ref="H5117">IFERROR(INDEX(INVESTOR_LIST[INVESTOR NAME],MATCH(I5117,INVESTOR_LIST[INVESTOR CODE],0),)," ")</f>
        <v>MIDLAND BANK LIMITED</v>
      </c>
      <c r="I5117" s="148" t="s">
        <v>561</v>
      </c>
      <c r="J5117" s="133" t="s">
        <v>53</v>
      </c>
      <c r="K5117" s="218">
        <v>823407</v>
      </c>
      <c r="L5117" s="218"/>
    </row>
    <row r="5118" spans="1:14" ht="33.75" x14ac:dyDescent="0.2">
      <c r="A5118" s="163">
        <v>2021</v>
      </c>
      <c r="B5118" s="163">
        <v>12</v>
      </c>
      <c r="C5118" s="163">
        <v>14</v>
      </c>
      <c r="D5118" s="141">
        <f t="shared" si="168"/>
        <v>44544</v>
      </c>
      <c r="E5118" s="275">
        <f t="shared" si="169"/>
        <v>44544</v>
      </c>
      <c r="F5118" s="480"/>
      <c r="G5118" s="221" t="s">
        <v>74</v>
      </c>
      <c r="H5118" s="145" t="str" cm="1">
        <f t="array" ref="H5118">IFERROR(INDEX(INVESTOR_LIST[INVESTOR NAME],MATCH(I5118,INVESTOR_LIST[INVESTOR CODE],0),)," ")</f>
        <v>MIDLAND BANK LIMITED</v>
      </c>
      <c r="I5118" s="145" t="s">
        <v>561</v>
      </c>
      <c r="J5118" s="163" t="s">
        <v>52</v>
      </c>
      <c r="K5118" s="219"/>
      <c r="L5118" s="219">
        <v>2500407</v>
      </c>
    </row>
    <row r="5119" spans="1:14" x14ac:dyDescent="0.2">
      <c r="A5119" s="133">
        <v>2021</v>
      </c>
      <c r="B5119" s="133">
        <v>12</v>
      </c>
      <c r="C5119" s="133">
        <v>14</v>
      </c>
      <c r="D5119" s="141">
        <f t="shared" si="168"/>
        <v>44544</v>
      </c>
      <c r="E5119" s="275">
        <f t="shared" si="169"/>
        <v>44544</v>
      </c>
      <c r="F5119" s="479" t="s">
        <v>77</v>
      </c>
      <c r="G5119" s="174" t="s">
        <v>74</v>
      </c>
      <c r="H5119" s="148" t="str" cm="1">
        <f t="array" ref="H5119">IFERROR(INDEX(INVESTOR_LIST[INVESTOR NAME],MATCH(I5119,INVESTOR_LIST[INVESTOR CODE],0),)," ")</f>
        <v xml:space="preserve"> </v>
      </c>
      <c r="I5119" s="148" t="s">
        <v>348</v>
      </c>
      <c r="J5119" s="133" t="s">
        <v>61</v>
      </c>
      <c r="K5119" s="172">
        <v>60</v>
      </c>
    </row>
    <row r="5120" spans="1:14" x14ac:dyDescent="0.2">
      <c r="A5120" s="163">
        <v>2021</v>
      </c>
      <c r="B5120" s="163">
        <v>12</v>
      </c>
      <c r="C5120" s="163">
        <v>14</v>
      </c>
      <c r="D5120" s="141">
        <f t="shared" si="168"/>
        <v>44544</v>
      </c>
      <c r="E5120" s="275">
        <f t="shared" si="169"/>
        <v>44544</v>
      </c>
      <c r="F5120" s="480"/>
      <c r="G5120" s="221" t="s">
        <v>74</v>
      </c>
      <c r="H5120" s="145" t="str" cm="1">
        <f t="array" ref="H5120">IFERROR(INDEX(INVESTOR_LIST[INVESTOR NAME],MATCH(I5120,INVESTOR_LIST[INVESTOR CODE],0),)," ")</f>
        <v xml:space="preserve"> </v>
      </c>
      <c r="I5120" s="145" t="s">
        <v>348</v>
      </c>
      <c r="J5120" s="163" t="s">
        <v>52</v>
      </c>
      <c r="K5120" s="219"/>
      <c r="L5120" s="219">
        <v>60</v>
      </c>
    </row>
    <row r="5121" spans="1:13" x14ac:dyDescent="0.2">
      <c r="A5121" s="133">
        <v>2021</v>
      </c>
      <c r="B5121" s="133">
        <v>12</v>
      </c>
      <c r="C5121" s="133">
        <v>14</v>
      </c>
      <c r="D5121" s="141">
        <f t="shared" si="168"/>
        <v>44544</v>
      </c>
      <c r="E5121" s="275">
        <f t="shared" si="169"/>
        <v>44544</v>
      </c>
      <c r="F5121" s="479" t="s">
        <v>77</v>
      </c>
      <c r="G5121" s="174" t="s">
        <v>74</v>
      </c>
      <c r="H5121" s="148" t="str" cm="1">
        <f t="array" ref="H5121">IFERROR(INDEX(INVESTOR_LIST[INVESTOR NAME],MATCH(I5121,INVESTOR_LIST[INVESTOR CODE],0),)," ")</f>
        <v xml:space="preserve"> </v>
      </c>
      <c r="I5121" s="148" t="s">
        <v>348</v>
      </c>
      <c r="J5121" s="133" t="s">
        <v>61</v>
      </c>
      <c r="K5121" s="172">
        <v>10</v>
      </c>
    </row>
    <row r="5122" spans="1:13" x14ac:dyDescent="0.2">
      <c r="A5122" s="163">
        <v>2021</v>
      </c>
      <c r="B5122" s="163">
        <v>12</v>
      </c>
      <c r="C5122" s="163">
        <v>14</v>
      </c>
      <c r="D5122" s="141">
        <f t="shared" si="168"/>
        <v>44544</v>
      </c>
      <c r="E5122" s="275">
        <f t="shared" si="169"/>
        <v>44544</v>
      </c>
      <c r="F5122" s="480"/>
      <c r="G5122" s="221" t="s">
        <v>74</v>
      </c>
      <c r="H5122" s="145" t="str" cm="1">
        <f t="array" ref="H5122">IFERROR(INDEX(INVESTOR_LIST[INVESTOR NAME],MATCH(I5122,INVESTOR_LIST[INVESTOR CODE],0),)," ")</f>
        <v xml:space="preserve"> </v>
      </c>
      <c r="I5122" s="145" t="s">
        <v>348</v>
      </c>
      <c r="J5122" s="163" t="s">
        <v>52</v>
      </c>
      <c r="K5122" s="219"/>
      <c r="L5122" s="219">
        <v>10</v>
      </c>
    </row>
    <row r="5123" spans="1:13" x14ac:dyDescent="0.2">
      <c r="A5123" s="133">
        <v>2021</v>
      </c>
      <c r="B5123" s="133">
        <v>12</v>
      </c>
      <c r="C5123" s="133">
        <v>14</v>
      </c>
      <c r="D5123" s="141">
        <f t="shared" si="168"/>
        <v>44544</v>
      </c>
      <c r="E5123" s="275">
        <f t="shared" si="169"/>
        <v>44544</v>
      </c>
      <c r="F5123" s="479" t="s">
        <v>77</v>
      </c>
      <c r="G5123" s="174" t="s">
        <v>74</v>
      </c>
      <c r="H5123" s="148" t="str" cm="1">
        <f t="array" ref="H5123">IFERROR(INDEX(INVESTOR_LIST[INVESTOR NAME],MATCH(I5123,INVESTOR_LIST[INVESTOR CODE],0),)," ")</f>
        <v xml:space="preserve"> </v>
      </c>
      <c r="I5123" s="148" t="s">
        <v>348</v>
      </c>
      <c r="J5123" s="133" t="s">
        <v>61</v>
      </c>
      <c r="K5123" s="172">
        <v>115</v>
      </c>
    </row>
    <row r="5124" spans="1:13" x14ac:dyDescent="0.2">
      <c r="A5124" s="163">
        <v>2021</v>
      </c>
      <c r="B5124" s="163">
        <v>12</v>
      </c>
      <c r="C5124" s="163">
        <v>14</v>
      </c>
      <c r="D5124" s="141">
        <f t="shared" si="168"/>
        <v>44544</v>
      </c>
      <c r="E5124" s="275">
        <f t="shared" si="169"/>
        <v>44544</v>
      </c>
      <c r="F5124" s="480"/>
      <c r="G5124" s="221" t="s">
        <v>74</v>
      </c>
      <c r="H5124" s="145" t="str" cm="1">
        <f t="array" ref="H5124">IFERROR(INDEX(INVESTOR_LIST[INVESTOR NAME],MATCH(I5124,INVESTOR_LIST[INVESTOR CODE],0),)," ")</f>
        <v xml:space="preserve"> </v>
      </c>
      <c r="I5124" s="145" t="s">
        <v>348</v>
      </c>
      <c r="J5124" s="163" t="s">
        <v>52</v>
      </c>
      <c r="K5124" s="219"/>
      <c r="L5124" s="219">
        <v>115</v>
      </c>
    </row>
    <row r="5125" spans="1:13" ht="33.75" x14ac:dyDescent="0.2">
      <c r="A5125" s="168">
        <v>2021</v>
      </c>
      <c r="B5125" s="168">
        <v>12</v>
      </c>
      <c r="C5125" s="133">
        <v>14</v>
      </c>
      <c r="D5125" s="141">
        <f t="shared" si="168"/>
        <v>44544</v>
      </c>
      <c r="E5125" s="275">
        <f t="shared" si="169"/>
        <v>44544</v>
      </c>
      <c r="F5125" s="479" t="s">
        <v>965</v>
      </c>
      <c r="G5125" s="220" t="s">
        <v>74</v>
      </c>
      <c r="H5125" s="142" t="str" cm="1">
        <f t="array" ref="H5125">IFERROR(INDEX(INVESTOR_LIST[INVESTOR NAME],MATCH(I5125,INVESTOR_LIST[INVESTOR CODE],0),)," ")</f>
        <v>HARI PADA SAHA</v>
      </c>
      <c r="I5125" s="142" t="s">
        <v>370</v>
      </c>
      <c r="J5125" s="168" t="s">
        <v>13</v>
      </c>
      <c r="K5125" s="226">
        <v>33530</v>
      </c>
      <c r="L5125" s="226"/>
    </row>
    <row r="5126" spans="1:13" ht="33.75" x14ac:dyDescent="0.2">
      <c r="A5126" s="133">
        <v>2021</v>
      </c>
      <c r="B5126" s="133">
        <v>12</v>
      </c>
      <c r="C5126" s="133">
        <v>14</v>
      </c>
      <c r="D5126" s="141">
        <f t="shared" si="168"/>
        <v>44544</v>
      </c>
      <c r="E5126" s="275">
        <f t="shared" si="169"/>
        <v>44544</v>
      </c>
      <c r="F5126" s="481"/>
      <c r="G5126" s="174" t="s">
        <v>74</v>
      </c>
      <c r="H5126" s="148" t="str" cm="1">
        <f t="array" ref="H5126">IFERROR(INDEX(INVESTOR_LIST[INVESTOR NAME],MATCH(I5126,INVESTOR_LIST[INVESTOR CODE],0),)," ")</f>
        <v>HARI PADA SAHA</v>
      </c>
      <c r="I5126" s="148" t="s">
        <v>370</v>
      </c>
      <c r="J5126" s="133" t="s">
        <v>53</v>
      </c>
      <c r="K5126" s="218">
        <v>16470</v>
      </c>
      <c r="L5126" s="218"/>
    </row>
    <row r="5127" spans="1:13" ht="33.75" x14ac:dyDescent="0.2">
      <c r="A5127" s="163">
        <v>2021</v>
      </c>
      <c r="B5127" s="163">
        <v>12</v>
      </c>
      <c r="C5127" s="163">
        <v>14</v>
      </c>
      <c r="D5127" s="141">
        <f t="shared" si="168"/>
        <v>44544</v>
      </c>
      <c r="E5127" s="275">
        <f t="shared" si="169"/>
        <v>44544</v>
      </c>
      <c r="F5127" s="480"/>
      <c r="G5127" s="221" t="s">
        <v>74</v>
      </c>
      <c r="H5127" s="145" t="str" cm="1">
        <f t="array" ref="H5127">IFERROR(INDEX(INVESTOR_LIST[INVESTOR NAME],MATCH(I5127,INVESTOR_LIST[INVESTOR CODE],0),)," ")</f>
        <v>HARI PADA SAHA</v>
      </c>
      <c r="I5127" s="145" t="s">
        <v>370</v>
      </c>
      <c r="J5127" s="163" t="s">
        <v>52</v>
      </c>
      <c r="K5127" s="219"/>
      <c r="L5127" s="219">
        <v>50000</v>
      </c>
    </row>
    <row r="5128" spans="1:13" ht="22.5" x14ac:dyDescent="0.2">
      <c r="A5128" s="168">
        <v>2021</v>
      </c>
      <c r="B5128" s="168">
        <v>12</v>
      </c>
      <c r="C5128" s="133">
        <v>14</v>
      </c>
      <c r="D5128" s="141">
        <f t="shared" si="168"/>
        <v>44544</v>
      </c>
      <c r="E5128" s="275">
        <f t="shared" si="169"/>
        <v>44544</v>
      </c>
      <c r="F5128" s="479" t="s">
        <v>965</v>
      </c>
      <c r="G5128" s="220" t="s">
        <v>74</v>
      </c>
      <c r="H5128" s="142" t="str" cm="1">
        <f t="array" ref="H5128">IFERROR(INDEX(INVESTOR_LIST[INVESTOR NAME],MATCH(I5128,INVESTOR_LIST[INVESTOR CODE],0),)," ")</f>
        <v>SULTANA RAZIA</v>
      </c>
      <c r="I5128" s="142" t="s">
        <v>698</v>
      </c>
      <c r="J5128" s="168" t="s">
        <v>13</v>
      </c>
      <c r="K5128" s="226">
        <v>670690</v>
      </c>
      <c r="L5128" s="226"/>
    </row>
    <row r="5129" spans="1:13" ht="22.5" x14ac:dyDescent="0.2">
      <c r="A5129" s="133">
        <v>2021</v>
      </c>
      <c r="B5129" s="133">
        <v>12</v>
      </c>
      <c r="C5129" s="133">
        <v>14</v>
      </c>
      <c r="D5129" s="141">
        <f t="shared" si="168"/>
        <v>44544</v>
      </c>
      <c r="E5129" s="275">
        <f t="shared" si="169"/>
        <v>44544</v>
      </c>
      <c r="F5129" s="481"/>
      <c r="G5129" s="174" t="s">
        <v>74</v>
      </c>
      <c r="H5129" s="148" t="str" cm="1">
        <f t="array" ref="H5129">IFERROR(INDEX(INVESTOR_LIST[INVESTOR NAME],MATCH(I5129,INVESTOR_LIST[INVESTOR CODE],0),)," ")</f>
        <v>SULTANA RAZIA</v>
      </c>
      <c r="I5129" s="148" t="s">
        <v>698</v>
      </c>
      <c r="J5129" s="133" t="s">
        <v>53</v>
      </c>
      <c r="K5129" s="218">
        <v>329577.07</v>
      </c>
      <c r="L5129" s="218"/>
    </row>
    <row r="5130" spans="1:13" ht="22.5" x14ac:dyDescent="0.2">
      <c r="A5130" s="163">
        <v>2021</v>
      </c>
      <c r="B5130" s="163">
        <v>12</v>
      </c>
      <c r="C5130" s="163">
        <v>14</v>
      </c>
      <c r="D5130" s="141">
        <f t="shared" si="168"/>
        <v>44544</v>
      </c>
      <c r="E5130" s="275">
        <f t="shared" si="169"/>
        <v>44544</v>
      </c>
      <c r="F5130" s="480"/>
      <c r="G5130" s="221" t="s">
        <v>74</v>
      </c>
      <c r="H5130" s="145" t="str" cm="1">
        <f t="array" ref="H5130">IFERROR(INDEX(INVESTOR_LIST[INVESTOR NAME],MATCH(I5130,INVESTOR_LIST[INVESTOR CODE],0),)," ")</f>
        <v>SULTANA RAZIA</v>
      </c>
      <c r="I5130" s="145" t="s">
        <v>698</v>
      </c>
      <c r="J5130" s="163" t="s">
        <v>52</v>
      </c>
      <c r="K5130" s="219"/>
      <c r="L5130" s="219">
        <v>1000267.07</v>
      </c>
    </row>
    <row r="5131" spans="1:13" ht="33.75" x14ac:dyDescent="0.2">
      <c r="A5131" s="168">
        <v>2021</v>
      </c>
      <c r="B5131" s="168">
        <v>12</v>
      </c>
      <c r="C5131" s="133">
        <v>14</v>
      </c>
      <c r="D5131" s="141">
        <f t="shared" si="168"/>
        <v>44544</v>
      </c>
      <c r="E5131" s="275">
        <f t="shared" si="169"/>
        <v>44544</v>
      </c>
      <c r="F5131" s="479" t="s">
        <v>965</v>
      </c>
      <c r="G5131" s="220" t="s">
        <v>74</v>
      </c>
      <c r="H5131" s="142" t="str" cm="1">
        <f t="array" ref="H5131">IFERROR(INDEX(INVESTOR_LIST[INVESTOR NAME],MATCH(I5131,INVESTOR_LIST[INVESTOR CODE],0),)," ")</f>
        <v>A.T.M. MORSHED KAMAL</v>
      </c>
      <c r="I5131" s="142" t="s">
        <v>872</v>
      </c>
      <c r="J5131" s="168" t="s">
        <v>13</v>
      </c>
      <c r="K5131" s="226">
        <v>201210</v>
      </c>
      <c r="L5131" s="226"/>
    </row>
    <row r="5132" spans="1:13" ht="33.75" x14ac:dyDescent="0.2">
      <c r="A5132" s="133">
        <v>2021</v>
      </c>
      <c r="B5132" s="133">
        <v>12</v>
      </c>
      <c r="C5132" s="133">
        <v>14</v>
      </c>
      <c r="D5132" s="141">
        <f t="shared" si="168"/>
        <v>44544</v>
      </c>
      <c r="E5132" s="275">
        <f t="shared" si="169"/>
        <v>44544</v>
      </c>
      <c r="F5132" s="481"/>
      <c r="G5132" s="174" t="s">
        <v>74</v>
      </c>
      <c r="H5132" s="148" t="str" cm="1">
        <f t="array" ref="H5132">IFERROR(INDEX(INVESTOR_LIST[INVESTOR NAME],MATCH(I5132,INVESTOR_LIST[INVESTOR CODE],0),)," ")</f>
        <v>A.T.M. MORSHED KAMAL</v>
      </c>
      <c r="I5132" s="148" t="s">
        <v>872</v>
      </c>
      <c r="J5132" s="133" t="s">
        <v>53</v>
      </c>
      <c r="K5132" s="218">
        <v>98790</v>
      </c>
      <c r="L5132" s="218"/>
    </row>
    <row r="5133" spans="1:13" ht="33.75" x14ac:dyDescent="0.2">
      <c r="A5133" s="163">
        <v>2021</v>
      </c>
      <c r="B5133" s="163">
        <v>12</v>
      </c>
      <c r="C5133" s="163">
        <v>14</v>
      </c>
      <c r="D5133" s="141">
        <f t="shared" si="168"/>
        <v>44544</v>
      </c>
      <c r="E5133" s="275">
        <f t="shared" si="169"/>
        <v>44544</v>
      </c>
      <c r="F5133" s="480"/>
      <c r="G5133" s="221" t="s">
        <v>74</v>
      </c>
      <c r="H5133" s="145" t="str" cm="1">
        <f t="array" ref="H5133">IFERROR(INDEX(INVESTOR_LIST[INVESTOR NAME],MATCH(I5133,INVESTOR_LIST[INVESTOR CODE],0),)," ")</f>
        <v>A.T.M. MORSHED KAMAL</v>
      </c>
      <c r="I5133" s="145" t="s">
        <v>872</v>
      </c>
      <c r="J5133" s="163" t="s">
        <v>52</v>
      </c>
      <c r="K5133" s="219"/>
      <c r="L5133" s="219">
        <v>300000</v>
      </c>
    </row>
    <row r="5134" spans="1:13" x14ac:dyDescent="0.2">
      <c r="A5134" s="238">
        <v>2021</v>
      </c>
      <c r="B5134" s="238">
        <v>12</v>
      </c>
      <c r="C5134" s="238">
        <v>15</v>
      </c>
      <c r="D5134" s="141">
        <f t="shared" si="168"/>
        <v>44545</v>
      </c>
      <c r="E5134" s="275">
        <f t="shared" si="169"/>
        <v>44545</v>
      </c>
      <c r="F5134" s="477" t="s">
        <v>347</v>
      </c>
      <c r="G5134" s="239" t="s">
        <v>94</v>
      </c>
      <c r="H5134" s="239" t="str" cm="1">
        <f t="array" ref="H5134">IFERROR(INDEX(INVESTOR_LIST[INVESTOR NAME],MATCH(I5134,INVESTOR_LIST[INVESTOR CODE],0),)," ")</f>
        <v xml:space="preserve"> </v>
      </c>
      <c r="I5134" s="262" t="s">
        <v>348</v>
      </c>
      <c r="J5134" s="240" t="s">
        <v>83</v>
      </c>
      <c r="K5134" s="241">
        <v>1773425.5199999828</v>
      </c>
      <c r="L5134" s="241"/>
    </row>
    <row r="5135" spans="1:13" x14ac:dyDescent="0.2">
      <c r="A5135" s="242">
        <v>2021</v>
      </c>
      <c r="B5135" s="242">
        <v>12</v>
      </c>
      <c r="C5135" s="242">
        <v>15</v>
      </c>
      <c r="D5135" s="141">
        <f t="shared" si="168"/>
        <v>44545</v>
      </c>
      <c r="E5135" s="275">
        <f t="shared" si="169"/>
        <v>44545</v>
      </c>
      <c r="F5135" s="478"/>
      <c r="G5135" s="243" t="s">
        <v>94</v>
      </c>
      <c r="H5135" s="243" t="str" cm="1">
        <f t="array" ref="H5135">IFERROR(INDEX(INVESTOR_LIST[INVESTOR NAME],MATCH(I5135,INVESTOR_LIST[INVESTOR CODE],0),)," ")</f>
        <v xml:space="preserve"> </v>
      </c>
      <c r="I5135" s="263" t="s">
        <v>348</v>
      </c>
      <c r="J5135" s="244" t="s">
        <v>108</v>
      </c>
      <c r="K5135" s="245"/>
      <c r="L5135" s="245">
        <v>1773425.5199999828</v>
      </c>
    </row>
    <row r="5136" spans="1:13" ht="22.5" x14ac:dyDescent="0.2">
      <c r="A5136" s="246">
        <v>2021</v>
      </c>
      <c r="B5136" s="246">
        <v>12</v>
      </c>
      <c r="C5136" s="246">
        <v>15</v>
      </c>
      <c r="D5136" s="141">
        <f t="shared" ref="D5136:D5199" si="170">DATE(A5136,B5136,C5136)</f>
        <v>44545</v>
      </c>
      <c r="E5136" s="275">
        <f t="shared" si="169"/>
        <v>44545</v>
      </c>
      <c r="F5136" s="482" t="s">
        <v>148</v>
      </c>
      <c r="G5136" s="247" t="s">
        <v>94</v>
      </c>
      <c r="H5136" s="247" t="str" cm="1">
        <f t="array" ref="H5136">IFERROR(INDEX(INVESTOR_LIST[INVESTOR NAME],MATCH(I5136,INVESTOR_LIST[INVESTOR CODE],0),)," ")</f>
        <v xml:space="preserve"> </v>
      </c>
      <c r="I5136" s="248" t="s">
        <v>348</v>
      </c>
      <c r="J5136" s="249" t="s">
        <v>95</v>
      </c>
      <c r="K5136" s="250">
        <v>2747.2527472527472</v>
      </c>
      <c r="L5136" s="241"/>
      <c r="M5136" s="133">
        <v>2747.2527472527472</v>
      </c>
    </row>
    <row r="5137" spans="1:14" x14ac:dyDescent="0.2">
      <c r="A5137" s="242">
        <v>2021</v>
      </c>
      <c r="B5137" s="242">
        <v>12</v>
      </c>
      <c r="C5137" s="242">
        <v>15</v>
      </c>
      <c r="D5137" s="141">
        <f t="shared" si="170"/>
        <v>44545</v>
      </c>
      <c r="E5137" s="275">
        <f t="shared" ref="E5137:E5200" si="171">DATE(A5137,B5137,C5137)</f>
        <v>44545</v>
      </c>
      <c r="F5137" s="478"/>
      <c r="G5137" s="243" t="s">
        <v>94</v>
      </c>
      <c r="H5137" s="243" t="str" cm="1">
        <f t="array" ref="H5137">IFERROR(INDEX(INVESTOR_LIST[INVESTOR NAME],MATCH(I5137,INVESTOR_LIST[INVESTOR CODE],0),)," ")</f>
        <v xml:space="preserve"> </v>
      </c>
      <c r="I5137" s="263" t="s">
        <v>348</v>
      </c>
      <c r="J5137" s="244" t="s">
        <v>63</v>
      </c>
      <c r="K5137" s="245"/>
      <c r="L5137" s="245">
        <v>2747.2527472527472</v>
      </c>
      <c r="M5137" s="133">
        <v>89486.189154236024</v>
      </c>
    </row>
    <row r="5138" spans="1:14" x14ac:dyDescent="0.2">
      <c r="A5138" s="246">
        <v>2021</v>
      </c>
      <c r="B5138" s="246">
        <v>12</v>
      </c>
      <c r="C5138" s="246">
        <v>15</v>
      </c>
      <c r="D5138" s="141">
        <f t="shared" si="170"/>
        <v>44545</v>
      </c>
      <c r="E5138" s="275">
        <f t="shared" si="171"/>
        <v>44545</v>
      </c>
      <c r="F5138" s="482" t="s">
        <v>137</v>
      </c>
      <c r="G5138" s="247" t="s">
        <v>94</v>
      </c>
      <c r="H5138" s="247" t="str" cm="1">
        <f t="array" ref="H5138">IFERROR(INDEX(INVESTOR_LIST[INVESTOR NAME],MATCH(I5138,INVESTOR_LIST[INVESTOR CODE],0),)," ")</f>
        <v xml:space="preserve"> </v>
      </c>
      <c r="I5138" s="248" t="s">
        <v>348</v>
      </c>
      <c r="J5138" s="249" t="s">
        <v>97</v>
      </c>
      <c r="K5138" s="250">
        <v>89486.189154236024</v>
      </c>
      <c r="L5138" s="252"/>
      <c r="M5138" s="133">
        <v>4233.9248423271856</v>
      </c>
    </row>
    <row r="5139" spans="1:14" x14ac:dyDescent="0.2">
      <c r="A5139" s="242">
        <v>2021</v>
      </c>
      <c r="B5139" s="242">
        <v>12</v>
      </c>
      <c r="C5139" s="242">
        <v>15</v>
      </c>
      <c r="D5139" s="141">
        <f t="shared" si="170"/>
        <v>44545</v>
      </c>
      <c r="E5139" s="275">
        <f t="shared" si="171"/>
        <v>44545</v>
      </c>
      <c r="F5139" s="478"/>
      <c r="G5139" s="243" t="s">
        <v>94</v>
      </c>
      <c r="H5139" s="243" t="str" cm="1">
        <f t="array" ref="H5139">IFERROR(INDEX(INVESTOR_LIST[INVESTOR NAME],MATCH(I5139,INVESTOR_LIST[INVESTOR CODE],0),)," ")</f>
        <v xml:space="preserve"> </v>
      </c>
      <c r="I5139" s="263" t="s">
        <v>348</v>
      </c>
      <c r="J5139" s="244" t="s">
        <v>47</v>
      </c>
      <c r="K5139" s="245"/>
      <c r="L5139" s="245">
        <v>89486.189154236024</v>
      </c>
    </row>
    <row r="5140" spans="1:14" x14ac:dyDescent="0.2">
      <c r="A5140" s="246">
        <v>2021</v>
      </c>
      <c r="B5140" s="246">
        <v>12</v>
      </c>
      <c r="C5140" s="246">
        <v>15</v>
      </c>
      <c r="D5140" s="141">
        <f t="shared" si="170"/>
        <v>44545</v>
      </c>
      <c r="E5140" s="275">
        <f t="shared" si="171"/>
        <v>44545</v>
      </c>
      <c r="F5140" s="482" t="s">
        <v>138</v>
      </c>
      <c r="G5140" s="247" t="s">
        <v>94</v>
      </c>
      <c r="H5140" s="247" t="str" cm="1">
        <f t="array" ref="H5140">IFERROR(INDEX(INVESTOR_LIST[INVESTOR NAME],MATCH(I5140,INVESTOR_LIST[INVESTOR CODE],0),)," ")</f>
        <v xml:space="preserve"> </v>
      </c>
      <c r="I5140" s="248" t="s">
        <v>348</v>
      </c>
      <c r="J5140" s="249" t="s">
        <v>100</v>
      </c>
      <c r="K5140" s="250">
        <v>4233.9248423271856</v>
      </c>
      <c r="L5140" s="252"/>
    </row>
    <row r="5141" spans="1:14" x14ac:dyDescent="0.2">
      <c r="A5141" s="242">
        <v>2021</v>
      </c>
      <c r="B5141" s="242">
        <v>12</v>
      </c>
      <c r="C5141" s="242">
        <v>15</v>
      </c>
      <c r="D5141" s="141">
        <f t="shared" si="170"/>
        <v>44545</v>
      </c>
      <c r="E5141" s="275">
        <f t="shared" si="171"/>
        <v>44545</v>
      </c>
      <c r="F5141" s="478"/>
      <c r="G5141" s="243" t="s">
        <v>94</v>
      </c>
      <c r="H5141" s="243" t="str" cm="1">
        <f t="array" ref="H5141">IFERROR(INDEX(INVESTOR_LIST[INVESTOR NAME],MATCH(I5141,INVESTOR_LIST[INVESTOR CODE],0),)," ")</f>
        <v xml:space="preserve"> </v>
      </c>
      <c r="I5141" s="263" t="s">
        <v>348</v>
      </c>
      <c r="J5141" s="244" t="s">
        <v>48</v>
      </c>
      <c r="K5141" s="245"/>
      <c r="L5141" s="245">
        <v>4233.9248423271856</v>
      </c>
    </row>
    <row r="5142" spans="1:14" x14ac:dyDescent="0.2">
      <c r="A5142" s="133">
        <v>2021</v>
      </c>
      <c r="B5142" s="133">
        <v>12</v>
      </c>
      <c r="C5142" s="133">
        <v>19</v>
      </c>
      <c r="D5142" s="141">
        <f t="shared" si="170"/>
        <v>44549</v>
      </c>
      <c r="E5142" s="275">
        <f t="shared" si="171"/>
        <v>44549</v>
      </c>
      <c r="F5142" s="479" t="s">
        <v>957</v>
      </c>
      <c r="G5142" s="220" t="s">
        <v>74</v>
      </c>
      <c r="H5142" s="220" t="str" cm="1">
        <f t="array" ref="H5142">IFERROR(INDEX(INVESTOR_LIST[INVESTOR NAME],MATCH(I5142,INVESTOR_LIST[INVESTOR CODE],0),)," ")</f>
        <v xml:space="preserve"> </v>
      </c>
      <c r="I5142" s="142" t="s">
        <v>348</v>
      </c>
      <c r="J5142" s="143" t="s">
        <v>184</v>
      </c>
      <c r="K5142" s="226">
        <v>822840</v>
      </c>
      <c r="L5142" s="226"/>
    </row>
    <row r="5143" spans="1:14" x14ac:dyDescent="0.2">
      <c r="A5143" s="133">
        <v>2021</v>
      </c>
      <c r="B5143" s="133">
        <v>12</v>
      </c>
      <c r="C5143" s="133">
        <v>19</v>
      </c>
      <c r="D5143" s="141">
        <f t="shared" si="170"/>
        <v>44549</v>
      </c>
      <c r="E5143" s="275">
        <f t="shared" si="171"/>
        <v>44549</v>
      </c>
      <c r="F5143" s="481"/>
      <c r="G5143" s="174" t="s">
        <v>74</v>
      </c>
      <c r="H5143" s="174" t="str" cm="1">
        <f t="array" ref="H5143">IFERROR(INDEX(INVESTOR_LIST[INVESTOR NAME],MATCH(I5143,INVESTOR_LIST[INVESTOR CODE],0),)," ")</f>
        <v xml:space="preserve"> </v>
      </c>
      <c r="J5143" s="149" t="s">
        <v>61</v>
      </c>
      <c r="K5143" s="218">
        <v>115</v>
      </c>
      <c r="L5143" s="218"/>
    </row>
    <row r="5144" spans="1:14" ht="11.25" customHeight="1" x14ac:dyDescent="0.2">
      <c r="A5144" s="133">
        <v>2021</v>
      </c>
      <c r="B5144" s="133">
        <v>12</v>
      </c>
      <c r="C5144" s="133">
        <v>19</v>
      </c>
      <c r="D5144" s="141">
        <f t="shared" si="170"/>
        <v>44549</v>
      </c>
      <c r="E5144" s="275">
        <f t="shared" si="171"/>
        <v>44549</v>
      </c>
      <c r="F5144" s="481"/>
      <c r="G5144" s="174" t="s">
        <v>74</v>
      </c>
      <c r="H5144" s="174" t="str" cm="1">
        <f t="array" ref="H5144">IFERROR(INDEX(INVESTOR_LIST[INVESTOR NAME],MATCH(I5144,INVESTOR_LIST[INVESTOR CODE],0),)," ")</f>
        <v xml:space="preserve"> </v>
      </c>
      <c r="I5144" s="148" t="s">
        <v>348</v>
      </c>
      <c r="J5144" s="149" t="s">
        <v>185</v>
      </c>
      <c r="K5144" s="218">
        <v>3000</v>
      </c>
      <c r="L5144" s="218"/>
    </row>
    <row r="5145" spans="1:14" x14ac:dyDescent="0.2">
      <c r="A5145" s="163">
        <v>2021</v>
      </c>
      <c r="B5145" s="163">
        <v>12</v>
      </c>
      <c r="C5145" s="163">
        <v>19</v>
      </c>
      <c r="D5145" s="141">
        <f t="shared" si="170"/>
        <v>44549</v>
      </c>
      <c r="E5145" s="275">
        <f t="shared" si="171"/>
        <v>44549</v>
      </c>
      <c r="F5145" s="480"/>
      <c r="G5145" s="221" t="s">
        <v>74</v>
      </c>
      <c r="H5145" s="221" t="str" cm="1">
        <f t="array" ref="H5145">IFERROR(INDEX(INVESTOR_LIST[INVESTOR NAME],MATCH(I5145,INVESTOR_LIST[INVESTOR CODE],0),)," ")</f>
        <v xml:space="preserve"> </v>
      </c>
      <c r="I5145" s="145" t="s">
        <v>348</v>
      </c>
      <c r="J5145" s="146" t="s">
        <v>52</v>
      </c>
      <c r="K5145" s="219"/>
      <c r="L5145" s="219">
        <v>825955</v>
      </c>
    </row>
    <row r="5146" spans="1:14" x14ac:dyDescent="0.2">
      <c r="A5146" s="168">
        <v>2021</v>
      </c>
      <c r="B5146" s="168">
        <v>12</v>
      </c>
      <c r="C5146" s="133">
        <v>19</v>
      </c>
      <c r="D5146" s="141">
        <f t="shared" si="170"/>
        <v>44549</v>
      </c>
      <c r="E5146" s="275">
        <f t="shared" si="171"/>
        <v>44549</v>
      </c>
      <c r="F5146" s="479" t="s">
        <v>970</v>
      </c>
      <c r="G5146" s="220" t="s">
        <v>74</v>
      </c>
      <c r="H5146" s="142" t="str" cm="1">
        <f t="array" ref="H5146">IFERROR(INDEX(INVESTOR_LIST[INVESTOR NAME],MATCH(I5146,INVESTOR_LIST[INVESTOR CODE],0),)," ")</f>
        <v xml:space="preserve"> </v>
      </c>
      <c r="I5146" s="142"/>
      <c r="J5146" s="168" t="s">
        <v>52</v>
      </c>
      <c r="K5146" s="226">
        <v>69000</v>
      </c>
      <c r="L5146" s="226"/>
    </row>
    <row r="5147" spans="1:14" x14ac:dyDescent="0.2">
      <c r="A5147" s="133">
        <v>2021</v>
      </c>
      <c r="B5147" s="133">
        <v>12</v>
      </c>
      <c r="C5147" s="133">
        <v>19</v>
      </c>
      <c r="D5147" s="141">
        <f t="shared" si="170"/>
        <v>44549</v>
      </c>
      <c r="E5147" s="275">
        <f t="shared" si="171"/>
        <v>44549</v>
      </c>
      <c r="F5147" s="481"/>
      <c r="G5147" s="174" t="s">
        <v>74</v>
      </c>
      <c r="H5147" s="148" t="str" cm="1">
        <f t="array" ref="H5147">IFERROR(INDEX(INVESTOR_LIST[INVESTOR NAME],MATCH(I5147,INVESTOR_LIST[INVESTOR CODE],0),)," ")</f>
        <v xml:space="preserve"> </v>
      </c>
      <c r="J5147" s="133" t="s">
        <v>13</v>
      </c>
      <c r="K5147" s="218"/>
      <c r="L5147" s="218">
        <v>46650</v>
      </c>
    </row>
    <row r="5148" spans="1:14" x14ac:dyDescent="0.2">
      <c r="A5148" s="163">
        <v>2021</v>
      </c>
      <c r="B5148" s="163">
        <v>12</v>
      </c>
      <c r="C5148" s="163">
        <v>19</v>
      </c>
      <c r="D5148" s="141">
        <f t="shared" si="170"/>
        <v>44549</v>
      </c>
      <c r="E5148" s="275">
        <f t="shared" si="171"/>
        <v>44549</v>
      </c>
      <c r="F5148" s="480"/>
      <c r="G5148" s="221" t="s">
        <v>74</v>
      </c>
      <c r="H5148" s="145" t="str" cm="1">
        <f t="array" ref="H5148">IFERROR(INDEX(INVESTOR_LIST[INVESTOR NAME],MATCH(I5148,INVESTOR_LIST[INVESTOR CODE],0),)," ")</f>
        <v xml:space="preserve"> </v>
      </c>
      <c r="I5148" s="145"/>
      <c r="J5148" s="163" t="s">
        <v>53</v>
      </c>
      <c r="K5148" s="219"/>
      <c r="L5148" s="219">
        <v>22350</v>
      </c>
    </row>
    <row r="5149" spans="1:14" x14ac:dyDescent="0.2">
      <c r="A5149" s="133">
        <v>2021</v>
      </c>
      <c r="B5149" s="133">
        <v>12</v>
      </c>
      <c r="C5149" s="133">
        <v>20</v>
      </c>
      <c r="D5149" s="141">
        <f t="shared" si="170"/>
        <v>44550</v>
      </c>
      <c r="E5149" s="275">
        <f t="shared" si="171"/>
        <v>44550</v>
      </c>
      <c r="F5149" s="481" t="s">
        <v>279</v>
      </c>
      <c r="G5149" s="174" t="s">
        <v>94</v>
      </c>
      <c r="H5149" s="174" t="str" cm="1">
        <f t="array" ref="H5149">IFERROR(INDEX(INVESTOR_LIST[INVESTOR NAME],MATCH(I5149,INVESTOR_LIST[INVESTOR CODE],0),)," ")</f>
        <v xml:space="preserve"> </v>
      </c>
      <c r="I5149" s="148" t="s">
        <v>348</v>
      </c>
      <c r="J5149" s="149" t="s">
        <v>80</v>
      </c>
      <c r="K5149" s="218">
        <f>11551.5+1493.87</f>
        <v>13045.369999999999</v>
      </c>
      <c r="L5149" s="218"/>
    </row>
    <row r="5150" spans="1:14" x14ac:dyDescent="0.2">
      <c r="A5150" s="133">
        <v>2021</v>
      </c>
      <c r="B5150" s="133">
        <v>12</v>
      </c>
      <c r="C5150" s="133">
        <v>20</v>
      </c>
      <c r="D5150" s="141">
        <f t="shared" si="170"/>
        <v>44550</v>
      </c>
      <c r="E5150" s="275">
        <f t="shared" si="171"/>
        <v>44550</v>
      </c>
      <c r="F5150" s="481"/>
      <c r="G5150" s="174" t="s">
        <v>94</v>
      </c>
      <c r="H5150" s="174" t="str" cm="1">
        <f t="array" ref="H5150">IFERROR(INDEX(INVESTOR_LIST[INVESTOR NAME],MATCH(I5150,INVESTOR_LIST[INVESTOR CODE],0),)," ")</f>
        <v xml:space="preserve"> </v>
      </c>
      <c r="I5150" s="148" t="s">
        <v>348</v>
      </c>
      <c r="J5150" s="149" t="s">
        <v>190</v>
      </c>
      <c r="K5150" s="218">
        <v>7234382.4299999997</v>
      </c>
      <c r="L5150" s="218"/>
      <c r="N5150" s="162"/>
    </row>
    <row r="5151" spans="1:14" x14ac:dyDescent="0.2">
      <c r="A5151" s="133">
        <v>2021</v>
      </c>
      <c r="B5151" s="133">
        <v>12</v>
      </c>
      <c r="C5151" s="133">
        <v>20</v>
      </c>
      <c r="D5151" s="141">
        <f t="shared" si="170"/>
        <v>44550</v>
      </c>
      <c r="E5151" s="275">
        <f t="shared" si="171"/>
        <v>44550</v>
      </c>
      <c r="F5151" s="481"/>
      <c r="G5151" s="174" t="s">
        <v>94</v>
      </c>
      <c r="H5151" s="174" t="str" cm="1">
        <f t="array" ref="H5151">IFERROR(INDEX(INVESTOR_LIST[INVESTOR NAME],MATCH(I5151,INVESTOR_LIST[INVESTOR CODE],0),)," ")</f>
        <v xml:space="preserve"> </v>
      </c>
      <c r="I5151" s="148" t="s">
        <v>348</v>
      </c>
      <c r="J5151" s="149" t="s">
        <v>191</v>
      </c>
      <c r="K5151" s="172">
        <v>589560.31000000006</v>
      </c>
      <c r="L5151" s="218"/>
    </row>
    <row r="5152" spans="1:14" x14ac:dyDescent="0.2">
      <c r="A5152" s="163">
        <v>2021</v>
      </c>
      <c r="B5152" s="163">
        <v>12</v>
      </c>
      <c r="C5152" s="163">
        <v>20</v>
      </c>
      <c r="D5152" s="141">
        <f t="shared" si="170"/>
        <v>44550</v>
      </c>
      <c r="E5152" s="275">
        <f t="shared" si="171"/>
        <v>44550</v>
      </c>
      <c r="F5152" s="480"/>
      <c r="G5152" s="221" t="s">
        <v>94</v>
      </c>
      <c r="H5152" s="145" t="str" cm="1">
        <f t="array" ref="H5152">IFERROR(INDEX(INVESTOR_LIST[INVESTOR NAME],MATCH(I5152,INVESTOR_LIST[INVESTOR CODE],0),)," ")</f>
        <v xml:space="preserve"> </v>
      </c>
      <c r="I5152" s="145"/>
      <c r="J5152" s="163" t="s">
        <v>79</v>
      </c>
      <c r="K5152" s="219"/>
      <c r="L5152" s="219">
        <v>7836988.1100000003</v>
      </c>
    </row>
    <row r="5153" spans="1:13" ht="45" x14ac:dyDescent="0.2">
      <c r="A5153" s="168">
        <v>2021</v>
      </c>
      <c r="B5153" s="168">
        <v>12</v>
      </c>
      <c r="C5153" s="133">
        <v>20</v>
      </c>
      <c r="D5153" s="141">
        <f t="shared" si="170"/>
        <v>44550</v>
      </c>
      <c r="E5153" s="275">
        <f t="shared" si="171"/>
        <v>44550</v>
      </c>
      <c r="F5153" s="479" t="s">
        <v>965</v>
      </c>
      <c r="G5153" s="220" t="s">
        <v>74</v>
      </c>
      <c r="H5153" s="142" t="str" cm="1">
        <f t="array" ref="H5153">IFERROR(INDEX(INVESTOR_LIST[INVESTOR NAME],MATCH(I5153,INVESTOR_LIST[INVESTOR CODE],0),)," ")</f>
        <v>MD. WALID - AL - ZUBAYER</v>
      </c>
      <c r="I5153" s="142" t="s">
        <v>764</v>
      </c>
      <c r="J5153" s="168" t="s">
        <v>13</v>
      </c>
      <c r="K5153" s="226">
        <v>410000</v>
      </c>
      <c r="L5153" s="226"/>
    </row>
    <row r="5154" spans="1:13" ht="45" x14ac:dyDescent="0.2">
      <c r="A5154" s="133">
        <v>2021</v>
      </c>
      <c r="B5154" s="133">
        <v>12</v>
      </c>
      <c r="C5154" s="133">
        <v>20</v>
      </c>
      <c r="D5154" s="141">
        <f t="shared" si="170"/>
        <v>44550</v>
      </c>
      <c r="E5154" s="275">
        <f t="shared" si="171"/>
        <v>44550</v>
      </c>
      <c r="F5154" s="481"/>
      <c r="G5154" s="174" t="s">
        <v>74</v>
      </c>
      <c r="H5154" s="148" t="str" cm="1">
        <f t="array" ref="H5154">IFERROR(INDEX(INVESTOR_LIST[INVESTOR NAME],MATCH(I5154,INVESTOR_LIST[INVESTOR CODE],0),)," ")</f>
        <v>MD. WALID - AL - ZUBAYER</v>
      </c>
      <c r="I5154" s="148" t="s">
        <v>764</v>
      </c>
      <c r="J5154" s="133" t="s">
        <v>53</v>
      </c>
      <c r="K5154" s="218">
        <v>201474</v>
      </c>
      <c r="L5154" s="218"/>
    </row>
    <row r="5155" spans="1:13" ht="45" x14ac:dyDescent="0.2">
      <c r="A5155" s="163">
        <v>2021</v>
      </c>
      <c r="B5155" s="163">
        <v>12</v>
      </c>
      <c r="C5155" s="163">
        <v>20</v>
      </c>
      <c r="D5155" s="141">
        <f t="shared" si="170"/>
        <v>44550</v>
      </c>
      <c r="E5155" s="275">
        <f t="shared" si="171"/>
        <v>44550</v>
      </c>
      <c r="F5155" s="480"/>
      <c r="G5155" s="221" t="s">
        <v>74</v>
      </c>
      <c r="H5155" s="145" t="str" cm="1">
        <f t="array" ref="H5155">IFERROR(INDEX(INVESTOR_LIST[INVESTOR NAME],MATCH(I5155,INVESTOR_LIST[INVESTOR CODE],0),)," ")</f>
        <v>MD. WALID - AL - ZUBAYER</v>
      </c>
      <c r="I5155" s="145" t="s">
        <v>764</v>
      </c>
      <c r="J5155" s="163" t="s">
        <v>52</v>
      </c>
      <c r="K5155" s="219"/>
      <c r="L5155" s="219">
        <v>611474</v>
      </c>
    </row>
    <row r="5156" spans="1:13" x14ac:dyDescent="0.2">
      <c r="A5156" s="168">
        <v>2021</v>
      </c>
      <c r="B5156" s="168">
        <v>12</v>
      </c>
      <c r="C5156" s="168">
        <v>22</v>
      </c>
      <c r="D5156" s="141">
        <f t="shared" si="170"/>
        <v>44552</v>
      </c>
      <c r="E5156" s="275">
        <f t="shared" si="171"/>
        <v>44552</v>
      </c>
      <c r="F5156" s="479" t="s">
        <v>950</v>
      </c>
      <c r="G5156" s="220" t="s">
        <v>74</v>
      </c>
      <c r="H5156" s="220" t="str" cm="1">
        <f t="array" ref="H5156">IFERROR(INDEX(INVESTOR_LIST[INVESTOR NAME],MATCH(I5156,INVESTOR_LIST[INVESTOR CODE],0),)," ")</f>
        <v xml:space="preserve"> </v>
      </c>
      <c r="I5156" s="142" t="s">
        <v>348</v>
      </c>
      <c r="J5156" s="143" t="s">
        <v>52</v>
      </c>
      <c r="K5156" s="226">
        <v>7234382.4299999997</v>
      </c>
      <c r="L5156" s="226"/>
    </row>
    <row r="5157" spans="1:13" x14ac:dyDescent="0.2">
      <c r="A5157" s="163">
        <v>2021</v>
      </c>
      <c r="B5157" s="163">
        <v>12</v>
      </c>
      <c r="C5157" s="163">
        <v>22</v>
      </c>
      <c r="D5157" s="141">
        <f t="shared" si="170"/>
        <v>44552</v>
      </c>
      <c r="E5157" s="275">
        <f t="shared" si="171"/>
        <v>44552</v>
      </c>
      <c r="F5157" s="480"/>
      <c r="G5157" s="221" t="s">
        <v>74</v>
      </c>
      <c r="H5157" s="221" t="str" cm="1">
        <f t="array" ref="H5157">IFERROR(INDEX(INVESTOR_LIST[INVESTOR NAME],MATCH(I5157,INVESTOR_LIST[INVESTOR CODE],0),)," ")</f>
        <v xml:space="preserve"> </v>
      </c>
      <c r="I5157" s="145" t="s">
        <v>348</v>
      </c>
      <c r="J5157" s="146" t="s">
        <v>190</v>
      </c>
      <c r="K5157" s="219"/>
      <c r="L5157" s="219">
        <v>7234382.4299999997</v>
      </c>
    </row>
    <row r="5158" spans="1:13" x14ac:dyDescent="0.2">
      <c r="A5158" s="133">
        <v>2021</v>
      </c>
      <c r="B5158" s="133">
        <v>12</v>
      </c>
      <c r="C5158" s="133">
        <v>23</v>
      </c>
      <c r="D5158" s="141">
        <f t="shared" si="170"/>
        <v>44553</v>
      </c>
      <c r="E5158" s="275">
        <f t="shared" si="171"/>
        <v>44553</v>
      </c>
      <c r="F5158" s="481" t="s">
        <v>275</v>
      </c>
      <c r="G5158" s="174" t="s">
        <v>74</v>
      </c>
      <c r="H5158" s="174" t="str" cm="1">
        <f t="array" ref="H5158">IFERROR(INDEX(INVESTOR_LIST[INVESTOR NAME],MATCH(I5158,INVESTOR_LIST[INVESTOR CODE],0),)," ")</f>
        <v xml:space="preserve"> </v>
      </c>
      <c r="I5158" s="148" t="s">
        <v>348</v>
      </c>
      <c r="J5158" s="149" t="s">
        <v>163</v>
      </c>
      <c r="K5158" s="218">
        <v>3150</v>
      </c>
      <c r="L5158" s="218"/>
    </row>
    <row r="5159" spans="1:13" x14ac:dyDescent="0.2">
      <c r="A5159" s="163">
        <v>2021</v>
      </c>
      <c r="B5159" s="163">
        <v>12</v>
      </c>
      <c r="C5159" s="163">
        <v>23</v>
      </c>
      <c r="D5159" s="141">
        <f t="shared" si="170"/>
        <v>44553</v>
      </c>
      <c r="E5159" s="275">
        <f t="shared" si="171"/>
        <v>44553</v>
      </c>
      <c r="F5159" s="480"/>
      <c r="G5159" s="221" t="s">
        <v>74</v>
      </c>
      <c r="H5159" s="221" t="str" cm="1">
        <f t="array" ref="H5159">IFERROR(INDEX(INVESTOR_LIST[INVESTOR NAME],MATCH(I5159,INVESTOR_LIST[INVESTOR CODE],0),)," ")</f>
        <v xml:space="preserve"> </v>
      </c>
      <c r="I5159" s="145" t="s">
        <v>348</v>
      </c>
      <c r="J5159" s="146" t="s">
        <v>52</v>
      </c>
      <c r="K5159" s="219"/>
      <c r="L5159" s="219">
        <v>3150</v>
      </c>
    </row>
    <row r="5160" spans="1:13" x14ac:dyDescent="0.2">
      <c r="A5160" s="238">
        <v>2021</v>
      </c>
      <c r="B5160" s="238">
        <v>12</v>
      </c>
      <c r="C5160" s="238">
        <v>23</v>
      </c>
      <c r="D5160" s="141">
        <f t="shared" si="170"/>
        <v>44553</v>
      </c>
      <c r="E5160" s="275">
        <f t="shared" si="171"/>
        <v>44553</v>
      </c>
      <c r="F5160" s="477" t="s">
        <v>347</v>
      </c>
      <c r="G5160" s="239" t="s">
        <v>94</v>
      </c>
      <c r="H5160" s="239" t="str" cm="1">
        <f t="array" ref="H5160">IFERROR(INDEX(INVESTOR_LIST[INVESTOR NAME],MATCH(I5160,INVESTOR_LIST[INVESTOR CODE],0),)," ")</f>
        <v xml:space="preserve"> </v>
      </c>
      <c r="I5160" s="262" t="s">
        <v>348</v>
      </c>
      <c r="J5160" s="240" t="s">
        <v>83</v>
      </c>
      <c r="K5160" s="241">
        <v>1899011.8899999876</v>
      </c>
      <c r="L5160" s="241"/>
    </row>
    <row r="5161" spans="1:13" x14ac:dyDescent="0.2">
      <c r="A5161" s="242">
        <v>2021</v>
      </c>
      <c r="B5161" s="242">
        <v>12</v>
      </c>
      <c r="C5161" s="242">
        <v>23</v>
      </c>
      <c r="D5161" s="141">
        <f t="shared" si="170"/>
        <v>44553</v>
      </c>
      <c r="E5161" s="275">
        <f t="shared" si="171"/>
        <v>44553</v>
      </c>
      <c r="F5161" s="478"/>
      <c r="G5161" s="243" t="s">
        <v>94</v>
      </c>
      <c r="H5161" s="243" t="str" cm="1">
        <f t="array" ref="H5161">IFERROR(INDEX(INVESTOR_LIST[INVESTOR NAME],MATCH(I5161,INVESTOR_LIST[INVESTOR CODE],0),)," ")</f>
        <v xml:space="preserve"> </v>
      </c>
      <c r="I5161" s="263" t="s">
        <v>348</v>
      </c>
      <c r="J5161" s="244" t="s">
        <v>108</v>
      </c>
      <c r="K5161" s="245"/>
      <c r="L5161" s="245">
        <v>1899011.8899999876</v>
      </c>
    </row>
    <row r="5162" spans="1:13" ht="22.5" x14ac:dyDescent="0.2">
      <c r="A5162" s="246">
        <v>2021</v>
      </c>
      <c r="B5162" s="246">
        <v>12</v>
      </c>
      <c r="C5162" s="246">
        <v>23</v>
      </c>
      <c r="D5162" s="141">
        <f t="shared" si="170"/>
        <v>44553</v>
      </c>
      <c r="E5162" s="275">
        <f t="shared" si="171"/>
        <v>44553</v>
      </c>
      <c r="F5162" s="482" t="s">
        <v>148</v>
      </c>
      <c r="G5162" s="247" t="s">
        <v>94</v>
      </c>
      <c r="H5162" s="247" t="str" cm="1">
        <f t="array" ref="H5162">IFERROR(INDEX(INVESTOR_LIST[INVESTOR NAME],MATCH(I5162,INVESTOR_LIST[INVESTOR CODE],0),)," ")</f>
        <v xml:space="preserve"> </v>
      </c>
      <c r="I5162" s="248" t="s">
        <v>348</v>
      </c>
      <c r="J5162" s="249" t="s">
        <v>95</v>
      </c>
      <c r="K5162" s="250">
        <v>2747.2527472527472</v>
      </c>
      <c r="L5162" s="241"/>
      <c r="M5162" s="133">
        <v>2747.2527472527472</v>
      </c>
    </row>
    <row r="5163" spans="1:13" x14ac:dyDescent="0.2">
      <c r="A5163" s="242">
        <v>2021</v>
      </c>
      <c r="B5163" s="242">
        <v>12</v>
      </c>
      <c r="C5163" s="242">
        <v>23</v>
      </c>
      <c r="D5163" s="141">
        <f t="shared" si="170"/>
        <v>44553</v>
      </c>
      <c r="E5163" s="275">
        <f t="shared" si="171"/>
        <v>44553</v>
      </c>
      <c r="F5163" s="478"/>
      <c r="G5163" s="243" t="s">
        <v>94</v>
      </c>
      <c r="H5163" s="243" t="str" cm="1">
        <f t="array" ref="H5163">IFERROR(INDEX(INVESTOR_LIST[INVESTOR NAME],MATCH(I5163,INVESTOR_LIST[INVESTOR CODE],0),)," ")</f>
        <v xml:space="preserve"> </v>
      </c>
      <c r="I5163" s="263" t="s">
        <v>348</v>
      </c>
      <c r="J5163" s="244" t="s">
        <v>63</v>
      </c>
      <c r="K5163" s="245"/>
      <c r="L5163" s="245">
        <v>2747.2527472527472</v>
      </c>
      <c r="M5163" s="133">
        <v>88275.872255488401</v>
      </c>
    </row>
    <row r="5164" spans="1:13" x14ac:dyDescent="0.2">
      <c r="A5164" s="246">
        <v>2021</v>
      </c>
      <c r="B5164" s="246">
        <v>12</v>
      </c>
      <c r="C5164" s="246">
        <v>23</v>
      </c>
      <c r="D5164" s="141">
        <f t="shared" si="170"/>
        <v>44553</v>
      </c>
      <c r="E5164" s="275">
        <f t="shared" si="171"/>
        <v>44553</v>
      </c>
      <c r="F5164" s="482" t="s">
        <v>137</v>
      </c>
      <c r="G5164" s="247" t="s">
        <v>94</v>
      </c>
      <c r="H5164" s="247" t="str" cm="1">
        <f t="array" ref="H5164">IFERROR(INDEX(INVESTOR_LIST[INVESTOR NAME],MATCH(I5164,INVESTOR_LIST[INVESTOR CODE],0),)," ")</f>
        <v xml:space="preserve"> </v>
      </c>
      <c r="I5164" s="248" t="s">
        <v>348</v>
      </c>
      <c r="J5164" s="249" t="s">
        <v>97</v>
      </c>
      <c r="K5164" s="250">
        <v>88275.872255488401</v>
      </c>
      <c r="L5164" s="252"/>
      <c r="M5164" s="133">
        <v>4173.4089973898044</v>
      </c>
    </row>
    <row r="5165" spans="1:13" x14ac:dyDescent="0.2">
      <c r="A5165" s="242">
        <v>2021</v>
      </c>
      <c r="B5165" s="242">
        <v>12</v>
      </c>
      <c r="C5165" s="242">
        <v>23</v>
      </c>
      <c r="D5165" s="141">
        <f t="shared" si="170"/>
        <v>44553</v>
      </c>
      <c r="E5165" s="275">
        <f t="shared" si="171"/>
        <v>44553</v>
      </c>
      <c r="F5165" s="478"/>
      <c r="G5165" s="243" t="s">
        <v>94</v>
      </c>
      <c r="H5165" s="243" t="str" cm="1">
        <f t="array" ref="H5165">IFERROR(INDEX(INVESTOR_LIST[INVESTOR NAME],MATCH(I5165,INVESTOR_LIST[INVESTOR CODE],0),)," ")</f>
        <v xml:space="preserve"> </v>
      </c>
      <c r="I5165" s="263" t="s">
        <v>348</v>
      </c>
      <c r="J5165" s="244" t="s">
        <v>47</v>
      </c>
      <c r="K5165" s="245"/>
      <c r="L5165" s="245">
        <v>88275.872255488401</v>
      </c>
    </row>
    <row r="5166" spans="1:13" x14ac:dyDescent="0.2">
      <c r="A5166" s="246">
        <v>2021</v>
      </c>
      <c r="B5166" s="246">
        <v>12</v>
      </c>
      <c r="C5166" s="246">
        <v>23</v>
      </c>
      <c r="D5166" s="141">
        <f t="shared" si="170"/>
        <v>44553</v>
      </c>
      <c r="E5166" s="275">
        <f t="shared" si="171"/>
        <v>44553</v>
      </c>
      <c r="F5166" s="482" t="s">
        <v>138</v>
      </c>
      <c r="G5166" s="247" t="s">
        <v>94</v>
      </c>
      <c r="H5166" s="247" t="str" cm="1">
        <f t="array" ref="H5166">IFERROR(INDEX(INVESTOR_LIST[INVESTOR NAME],MATCH(I5166,INVESTOR_LIST[INVESTOR CODE],0),)," ")</f>
        <v xml:space="preserve"> </v>
      </c>
      <c r="I5166" s="248" t="s">
        <v>348</v>
      </c>
      <c r="J5166" s="249" t="s">
        <v>100</v>
      </c>
      <c r="K5166" s="250">
        <v>4173.4089973898044</v>
      </c>
      <c r="L5166" s="252"/>
    </row>
    <row r="5167" spans="1:13" x14ac:dyDescent="0.2">
      <c r="A5167" s="242">
        <v>2021</v>
      </c>
      <c r="B5167" s="242">
        <v>12</v>
      </c>
      <c r="C5167" s="242">
        <v>23</v>
      </c>
      <c r="D5167" s="141">
        <f t="shared" si="170"/>
        <v>44553</v>
      </c>
      <c r="E5167" s="275">
        <f t="shared" si="171"/>
        <v>44553</v>
      </c>
      <c r="F5167" s="478"/>
      <c r="G5167" s="243" t="s">
        <v>94</v>
      </c>
      <c r="H5167" s="243" t="str" cm="1">
        <f t="array" ref="H5167">IFERROR(INDEX(INVESTOR_LIST[INVESTOR NAME],MATCH(I5167,INVESTOR_LIST[INVESTOR CODE],0),)," ")</f>
        <v xml:space="preserve"> </v>
      </c>
      <c r="I5167" s="263" t="s">
        <v>348</v>
      </c>
      <c r="J5167" s="244" t="s">
        <v>48</v>
      </c>
      <c r="K5167" s="245"/>
      <c r="L5167" s="245">
        <v>4173.4089973898044</v>
      </c>
    </row>
    <row r="5168" spans="1:13" x14ac:dyDescent="0.2">
      <c r="A5168" s="168">
        <v>2021</v>
      </c>
      <c r="B5168" s="168">
        <v>12</v>
      </c>
      <c r="C5168" s="168">
        <v>26</v>
      </c>
      <c r="D5168" s="141">
        <f t="shared" si="170"/>
        <v>44556</v>
      </c>
      <c r="E5168" s="275">
        <f t="shared" si="171"/>
        <v>44556</v>
      </c>
      <c r="F5168" s="479" t="s">
        <v>909</v>
      </c>
      <c r="G5168" s="220" t="s">
        <v>94</v>
      </c>
      <c r="H5168" s="220" t="str" cm="1">
        <f t="array" ref="H5168">IFERROR(INDEX(INVESTOR_LIST[INVESTOR NAME],MATCH(I5168,INVESTOR_LIST[INVESTOR CODE],0),)," ")</f>
        <v xml:space="preserve"> </v>
      </c>
      <c r="I5168" s="142" t="s">
        <v>348</v>
      </c>
      <c r="J5168" s="143" t="s">
        <v>79</v>
      </c>
      <c r="K5168" s="226">
        <v>972271</v>
      </c>
      <c r="L5168" s="226"/>
    </row>
    <row r="5169" spans="1:14" x14ac:dyDescent="0.2">
      <c r="A5169" s="133">
        <v>2021</v>
      </c>
      <c r="B5169" s="133">
        <v>12</v>
      </c>
      <c r="C5169" s="133">
        <v>26</v>
      </c>
      <c r="D5169" s="141">
        <f t="shared" si="170"/>
        <v>44556</v>
      </c>
      <c r="E5169" s="275">
        <f t="shared" si="171"/>
        <v>44556</v>
      </c>
      <c r="F5169" s="481"/>
      <c r="G5169" s="174" t="s">
        <v>94</v>
      </c>
      <c r="H5169" s="174" t="str" cm="1">
        <f t="array" ref="H5169">IFERROR(INDEX(INVESTOR_LIST[INVESTOR NAME],MATCH(I5169,INVESTOR_LIST[INVESTOR CODE],0),)," ")</f>
        <v xml:space="preserve"> </v>
      </c>
      <c r="I5169" s="148" t="s">
        <v>348</v>
      </c>
      <c r="J5169" s="149" t="s">
        <v>80</v>
      </c>
      <c r="K5169" s="218">
        <f>1750.09+1776.24</f>
        <v>3526.33</v>
      </c>
      <c r="L5169" s="218"/>
    </row>
    <row r="5170" spans="1:14" x14ac:dyDescent="0.2">
      <c r="A5170" s="133">
        <v>2021</v>
      </c>
      <c r="B5170" s="133">
        <v>12</v>
      </c>
      <c r="C5170" s="133">
        <v>26</v>
      </c>
      <c r="D5170" s="141">
        <f t="shared" si="170"/>
        <v>44556</v>
      </c>
      <c r="E5170" s="275">
        <f t="shared" si="171"/>
        <v>44556</v>
      </c>
      <c r="F5170" s="481"/>
      <c r="G5170" s="174" t="s">
        <v>94</v>
      </c>
      <c r="H5170" s="174" t="str" cm="1">
        <f t="array" ref="H5170">IFERROR(INDEX(INVESTOR_LIST[INVESTOR NAME],MATCH(I5170,INVESTOR_LIST[INVESTOR CODE],0),)," ")</f>
        <v xml:space="preserve"> </v>
      </c>
      <c r="I5170" s="148" t="s">
        <v>348</v>
      </c>
      <c r="J5170" s="149" t="s">
        <v>190</v>
      </c>
      <c r="K5170" s="218">
        <v>11002.67</v>
      </c>
      <c r="L5170" s="218"/>
    </row>
    <row r="5171" spans="1:14" ht="11.25" customHeight="1" x14ac:dyDescent="0.2">
      <c r="A5171" s="133">
        <v>2021</v>
      </c>
      <c r="B5171" s="133">
        <v>12</v>
      </c>
      <c r="C5171" s="133">
        <v>26</v>
      </c>
      <c r="D5171" s="141">
        <f t="shared" si="170"/>
        <v>44556</v>
      </c>
      <c r="E5171" s="275">
        <f t="shared" si="171"/>
        <v>44556</v>
      </c>
      <c r="F5171" s="481"/>
      <c r="G5171" s="174" t="s">
        <v>94</v>
      </c>
      <c r="H5171" s="174" t="str" cm="1">
        <f t="array" ref="H5171">IFERROR(INDEX(INVESTOR_LIST[INVESTOR NAME],MATCH(I5171,INVESTOR_LIST[INVESTOR CODE],0),)," ")</f>
        <v xml:space="preserve"> </v>
      </c>
      <c r="I5171" s="148" t="s">
        <v>348</v>
      </c>
      <c r="J5171" s="149" t="s">
        <v>191</v>
      </c>
      <c r="K5171" s="218">
        <v>58976.51</v>
      </c>
      <c r="L5171" s="218"/>
    </row>
    <row r="5172" spans="1:14" x14ac:dyDescent="0.2">
      <c r="A5172" s="163">
        <v>2021</v>
      </c>
      <c r="B5172" s="163">
        <v>12</v>
      </c>
      <c r="C5172" s="163">
        <v>26</v>
      </c>
      <c r="D5172" s="141">
        <f t="shared" si="170"/>
        <v>44556</v>
      </c>
      <c r="E5172" s="275">
        <f t="shared" si="171"/>
        <v>44556</v>
      </c>
      <c r="F5172" s="480"/>
      <c r="G5172" s="221" t="s">
        <v>94</v>
      </c>
      <c r="H5172" s="145" t="str" cm="1">
        <f t="array" ref="H5172">IFERROR(INDEX(INVESTOR_LIST[INVESTOR NAME],MATCH(I5172,INVESTOR_LIST[INVESTOR CODE],0),)," ")</f>
        <v xml:space="preserve"> </v>
      </c>
      <c r="I5172" s="145"/>
      <c r="J5172" s="163" t="s">
        <v>79</v>
      </c>
      <c r="K5172" s="219"/>
      <c r="L5172" s="219">
        <v>1045776.51</v>
      </c>
      <c r="N5172" s="160"/>
    </row>
    <row r="5173" spans="1:14" ht="33.75" x14ac:dyDescent="0.2">
      <c r="A5173" s="168">
        <v>2021</v>
      </c>
      <c r="B5173" s="168">
        <v>12</v>
      </c>
      <c r="C5173" s="133">
        <v>26</v>
      </c>
      <c r="D5173" s="141">
        <f t="shared" si="170"/>
        <v>44556</v>
      </c>
      <c r="E5173" s="275">
        <f t="shared" si="171"/>
        <v>44556</v>
      </c>
      <c r="F5173" s="479" t="s">
        <v>964</v>
      </c>
      <c r="G5173" s="220" t="s">
        <v>74</v>
      </c>
      <c r="H5173" s="142" t="str" cm="1">
        <f t="array" ref="H5173">IFERROR(INDEX(INVESTOR_LIST[INVESTOR NAME],MATCH(I5173,INVESTOR_LIST[INVESTOR CODE],0),)," ")</f>
        <v>BIJOY CHANDRA DAS</v>
      </c>
      <c r="I5173" s="142" t="s">
        <v>678</v>
      </c>
      <c r="J5173" s="168" t="s">
        <v>52</v>
      </c>
      <c r="K5173" s="226">
        <v>100000</v>
      </c>
      <c r="L5173" s="226"/>
    </row>
    <row r="5174" spans="1:14" ht="33.75" x14ac:dyDescent="0.2">
      <c r="A5174" s="133">
        <v>2021</v>
      </c>
      <c r="B5174" s="133">
        <v>12</v>
      </c>
      <c r="C5174" s="133">
        <v>26</v>
      </c>
      <c r="D5174" s="141">
        <f t="shared" si="170"/>
        <v>44556</v>
      </c>
      <c r="E5174" s="275">
        <f t="shared" si="171"/>
        <v>44556</v>
      </c>
      <c r="F5174" s="481"/>
      <c r="G5174" s="174" t="s">
        <v>74</v>
      </c>
      <c r="H5174" s="148" t="str" cm="1">
        <f t="array" ref="H5174">IFERROR(INDEX(INVESTOR_LIST[INVESTOR NAME],MATCH(I5174,INVESTOR_LIST[INVESTOR CODE],0),)," ")</f>
        <v>BIJOY CHANDRA DAS</v>
      </c>
      <c r="I5174" s="148" t="s">
        <v>678</v>
      </c>
      <c r="J5174" s="133" t="s">
        <v>13</v>
      </c>
      <c r="K5174" s="218"/>
      <c r="L5174" s="218">
        <v>68450</v>
      </c>
    </row>
    <row r="5175" spans="1:14" ht="33.75" x14ac:dyDescent="0.2">
      <c r="A5175" s="163">
        <v>2021</v>
      </c>
      <c r="B5175" s="163">
        <v>12</v>
      </c>
      <c r="C5175" s="163">
        <v>26</v>
      </c>
      <c r="D5175" s="141">
        <f t="shared" si="170"/>
        <v>44556</v>
      </c>
      <c r="E5175" s="275">
        <f t="shared" si="171"/>
        <v>44556</v>
      </c>
      <c r="F5175" s="480"/>
      <c r="G5175" s="221" t="s">
        <v>74</v>
      </c>
      <c r="H5175" s="145" t="str" cm="1">
        <f t="array" ref="H5175">IFERROR(INDEX(INVESTOR_LIST[INVESTOR NAME],MATCH(I5175,INVESTOR_LIST[INVESTOR CODE],0),)," ")</f>
        <v>BIJOY CHANDRA DAS</v>
      </c>
      <c r="I5175" s="145" t="s">
        <v>678</v>
      </c>
      <c r="J5175" s="163" t="s">
        <v>53</v>
      </c>
      <c r="K5175" s="219"/>
      <c r="L5175" s="219">
        <v>31550</v>
      </c>
    </row>
    <row r="5176" spans="1:14" x14ac:dyDescent="0.2">
      <c r="A5176" s="133">
        <v>2021</v>
      </c>
      <c r="B5176" s="133">
        <v>12</v>
      </c>
      <c r="C5176" s="133">
        <v>26</v>
      </c>
      <c r="D5176" s="141">
        <f t="shared" si="170"/>
        <v>44556</v>
      </c>
      <c r="E5176" s="275">
        <f t="shared" si="171"/>
        <v>44556</v>
      </c>
      <c r="F5176" s="479" t="s">
        <v>77</v>
      </c>
      <c r="G5176" s="174" t="s">
        <v>74</v>
      </c>
      <c r="H5176" s="148" t="str" cm="1">
        <f t="array" ref="H5176">IFERROR(INDEX(INVESTOR_LIST[INVESTOR NAME],MATCH(I5176,INVESTOR_LIST[INVESTOR CODE],0),)," ")</f>
        <v xml:space="preserve"> </v>
      </c>
      <c r="I5176" s="148" t="s">
        <v>348</v>
      </c>
      <c r="J5176" s="133" t="s">
        <v>61</v>
      </c>
      <c r="K5176" s="172">
        <v>10</v>
      </c>
      <c r="N5176" s="160"/>
    </row>
    <row r="5177" spans="1:14" x14ac:dyDescent="0.2">
      <c r="A5177" s="163">
        <v>2021</v>
      </c>
      <c r="B5177" s="163">
        <v>12</v>
      </c>
      <c r="C5177" s="163">
        <v>26</v>
      </c>
      <c r="D5177" s="141">
        <f t="shared" si="170"/>
        <v>44556</v>
      </c>
      <c r="E5177" s="275">
        <f t="shared" si="171"/>
        <v>44556</v>
      </c>
      <c r="F5177" s="480"/>
      <c r="G5177" s="221" t="s">
        <v>74</v>
      </c>
      <c r="H5177" s="145" t="str" cm="1">
        <f t="array" ref="H5177">IFERROR(INDEX(INVESTOR_LIST[INVESTOR NAME],MATCH(I5177,INVESTOR_LIST[INVESTOR CODE],0),)," ")</f>
        <v xml:space="preserve"> </v>
      </c>
      <c r="I5177" s="145" t="s">
        <v>348</v>
      </c>
      <c r="J5177" s="163" t="s">
        <v>52</v>
      </c>
      <c r="K5177" s="219"/>
      <c r="L5177" s="219">
        <v>10</v>
      </c>
    </row>
    <row r="5178" spans="1:14" x14ac:dyDescent="0.2">
      <c r="A5178" s="133">
        <v>2021</v>
      </c>
      <c r="B5178" s="133">
        <v>12</v>
      </c>
      <c r="C5178" s="133">
        <v>26</v>
      </c>
      <c r="D5178" s="141">
        <f t="shared" si="170"/>
        <v>44556</v>
      </c>
      <c r="E5178" s="275">
        <f t="shared" si="171"/>
        <v>44556</v>
      </c>
      <c r="F5178" s="479" t="s">
        <v>960</v>
      </c>
      <c r="G5178" s="220" t="s">
        <v>74</v>
      </c>
      <c r="H5178" s="220" t="str" cm="1">
        <f t="array" ref="H5178">IFERROR(INDEX(INVESTOR_LIST[INVESTOR NAME],MATCH(I5178,INVESTOR_LIST[INVESTOR CODE],0),)," ")</f>
        <v xml:space="preserve"> </v>
      </c>
      <c r="I5178" s="142" t="s">
        <v>348</v>
      </c>
      <c r="J5178" s="143" t="s">
        <v>184</v>
      </c>
      <c r="K5178" s="226">
        <v>637500</v>
      </c>
      <c r="L5178" s="226"/>
    </row>
    <row r="5179" spans="1:14" x14ac:dyDescent="0.2">
      <c r="A5179" s="133">
        <v>2021</v>
      </c>
      <c r="B5179" s="133">
        <v>12</v>
      </c>
      <c r="C5179" s="133">
        <v>26</v>
      </c>
      <c r="D5179" s="141">
        <f t="shared" si="170"/>
        <v>44556</v>
      </c>
      <c r="E5179" s="275">
        <f t="shared" si="171"/>
        <v>44556</v>
      </c>
      <c r="F5179" s="481"/>
      <c r="G5179" s="174" t="s">
        <v>74</v>
      </c>
      <c r="H5179" s="174" t="str" cm="1">
        <f t="array" ref="H5179">IFERROR(INDEX(INVESTOR_LIST[INVESTOR NAME],MATCH(I5179,INVESTOR_LIST[INVESTOR CODE],0),)," ")</f>
        <v xml:space="preserve"> </v>
      </c>
      <c r="J5179" s="149" t="s">
        <v>61</v>
      </c>
      <c r="K5179" s="218">
        <v>115</v>
      </c>
      <c r="L5179" s="218"/>
      <c r="N5179" s="160"/>
    </row>
    <row r="5180" spans="1:14" x14ac:dyDescent="0.2">
      <c r="A5180" s="133">
        <v>2021</v>
      </c>
      <c r="B5180" s="133">
        <v>12</v>
      </c>
      <c r="C5180" s="133">
        <v>26</v>
      </c>
      <c r="D5180" s="141">
        <f t="shared" si="170"/>
        <v>44556</v>
      </c>
      <c r="E5180" s="275">
        <f t="shared" si="171"/>
        <v>44556</v>
      </c>
      <c r="F5180" s="481"/>
      <c r="G5180" s="174" t="s">
        <v>74</v>
      </c>
      <c r="H5180" s="174" t="str" cm="1">
        <f t="array" ref="H5180">IFERROR(INDEX(INVESTOR_LIST[INVESTOR NAME],MATCH(I5180,INVESTOR_LIST[INVESTOR CODE],0),)," ")</f>
        <v xml:space="preserve"> </v>
      </c>
      <c r="I5180" s="148" t="s">
        <v>348</v>
      </c>
      <c r="J5180" s="149" t="s">
        <v>185</v>
      </c>
      <c r="K5180" s="218">
        <v>3000</v>
      </c>
      <c r="L5180" s="218"/>
    </row>
    <row r="5181" spans="1:14" x14ac:dyDescent="0.2">
      <c r="A5181" s="163">
        <v>2021</v>
      </c>
      <c r="B5181" s="163">
        <v>12</v>
      </c>
      <c r="C5181" s="163">
        <v>26</v>
      </c>
      <c r="D5181" s="141">
        <f t="shared" si="170"/>
        <v>44556</v>
      </c>
      <c r="E5181" s="275">
        <f t="shared" si="171"/>
        <v>44556</v>
      </c>
      <c r="F5181" s="480"/>
      <c r="G5181" s="221" t="s">
        <v>74</v>
      </c>
      <c r="H5181" s="221" t="str" cm="1">
        <f t="array" ref="H5181">IFERROR(INDEX(INVESTOR_LIST[INVESTOR NAME],MATCH(I5181,INVESTOR_LIST[INVESTOR CODE],0),)," ")</f>
        <v xml:space="preserve"> </v>
      </c>
      <c r="I5181" s="145" t="s">
        <v>348</v>
      </c>
      <c r="J5181" s="146" t="s">
        <v>52</v>
      </c>
      <c r="K5181" s="219"/>
      <c r="L5181" s="219">
        <v>640615</v>
      </c>
    </row>
    <row r="5182" spans="1:14" ht="45" x14ac:dyDescent="0.2">
      <c r="A5182" s="168">
        <v>2021</v>
      </c>
      <c r="B5182" s="168">
        <v>12</v>
      </c>
      <c r="C5182" s="133">
        <v>27</v>
      </c>
      <c r="D5182" s="141">
        <f t="shared" si="170"/>
        <v>44557</v>
      </c>
      <c r="E5182" s="275">
        <f t="shared" si="171"/>
        <v>44557</v>
      </c>
      <c r="F5182" s="479" t="s">
        <v>965</v>
      </c>
      <c r="G5182" s="220" t="s">
        <v>74</v>
      </c>
      <c r="H5182" s="142" t="str" cm="1">
        <f t="array" ref="H5182">IFERROR(INDEX(INVESTOR_LIST[INVESTOR NAME],MATCH(I5182,INVESTOR_LIST[INVESTOR CODE],0),)," ")</f>
        <v>SWADESH RANJAN SAHA</v>
      </c>
      <c r="I5182" s="142" t="s">
        <v>461</v>
      </c>
      <c r="J5182" s="168" t="s">
        <v>13</v>
      </c>
      <c r="K5182" s="226">
        <v>205340</v>
      </c>
      <c r="L5182" s="226"/>
      <c r="N5182" s="160"/>
    </row>
    <row r="5183" spans="1:14" ht="45" x14ac:dyDescent="0.2">
      <c r="A5183" s="133">
        <v>2021</v>
      </c>
      <c r="B5183" s="133">
        <v>12</v>
      </c>
      <c r="C5183" s="133">
        <v>27</v>
      </c>
      <c r="D5183" s="141">
        <f t="shared" si="170"/>
        <v>44557</v>
      </c>
      <c r="E5183" s="275">
        <f t="shared" si="171"/>
        <v>44557</v>
      </c>
      <c r="F5183" s="481"/>
      <c r="G5183" s="174" t="s">
        <v>74</v>
      </c>
      <c r="H5183" s="148" t="str" cm="1">
        <f t="array" ref="H5183">IFERROR(INDEX(INVESTOR_LIST[INVESTOR NAME],MATCH(I5183,INVESTOR_LIST[INVESTOR CODE],0),)," ")</f>
        <v>SWADESH RANJAN SAHA</v>
      </c>
      <c r="I5183" s="148" t="s">
        <v>461</v>
      </c>
      <c r="J5183" s="133" t="s">
        <v>53</v>
      </c>
      <c r="K5183" s="218">
        <v>94660</v>
      </c>
      <c r="L5183" s="218"/>
    </row>
    <row r="5184" spans="1:14" ht="45" x14ac:dyDescent="0.2">
      <c r="A5184" s="163">
        <v>2021</v>
      </c>
      <c r="B5184" s="163">
        <v>12</v>
      </c>
      <c r="C5184" s="163">
        <v>27</v>
      </c>
      <c r="D5184" s="141">
        <f t="shared" si="170"/>
        <v>44557</v>
      </c>
      <c r="E5184" s="275">
        <f t="shared" si="171"/>
        <v>44557</v>
      </c>
      <c r="F5184" s="480"/>
      <c r="G5184" s="221" t="s">
        <v>74</v>
      </c>
      <c r="H5184" s="145" t="str" cm="1">
        <f t="array" ref="H5184">IFERROR(INDEX(INVESTOR_LIST[INVESTOR NAME],MATCH(I5184,INVESTOR_LIST[INVESTOR CODE],0),)," ")</f>
        <v>SWADESH RANJAN SAHA</v>
      </c>
      <c r="I5184" s="145" t="s">
        <v>461</v>
      </c>
      <c r="J5184" s="163" t="s">
        <v>52</v>
      </c>
      <c r="K5184" s="219"/>
      <c r="L5184" s="219">
        <v>300000</v>
      </c>
    </row>
    <row r="5185" spans="1:12" ht="56.25" x14ac:dyDescent="0.2">
      <c r="A5185" s="168">
        <v>2021</v>
      </c>
      <c r="B5185" s="168">
        <v>12</v>
      </c>
      <c r="C5185" s="133">
        <v>27</v>
      </c>
      <c r="D5185" s="141">
        <f t="shared" si="170"/>
        <v>44557</v>
      </c>
      <c r="E5185" s="275">
        <f t="shared" si="171"/>
        <v>44557</v>
      </c>
      <c r="F5185" s="479" t="s">
        <v>965</v>
      </c>
      <c r="G5185" s="220" t="s">
        <v>74</v>
      </c>
      <c r="H5185" s="142" t="str" cm="1">
        <f t="array" ref="H5185">IFERROR(INDEX(INVESTOR_LIST[INVESTOR NAME],MATCH(I5185,INVESTOR_LIST[INVESTOR CODE],0),)," ")</f>
        <v>EKUSH WEALTH MANAGEMENT LIMITED</v>
      </c>
      <c r="I5185" s="142" t="s">
        <v>371</v>
      </c>
      <c r="J5185" s="168" t="s">
        <v>13</v>
      </c>
      <c r="K5185" s="226">
        <v>3359500</v>
      </c>
      <c r="L5185" s="226"/>
    </row>
    <row r="5186" spans="1:12" ht="56.25" x14ac:dyDescent="0.2">
      <c r="A5186" s="133">
        <v>2021</v>
      </c>
      <c r="B5186" s="133">
        <v>12</v>
      </c>
      <c r="C5186" s="133">
        <v>27</v>
      </c>
      <c r="D5186" s="141">
        <f t="shared" si="170"/>
        <v>44557</v>
      </c>
      <c r="E5186" s="275">
        <f t="shared" si="171"/>
        <v>44557</v>
      </c>
      <c r="F5186" s="481"/>
      <c r="G5186" s="174" t="s">
        <v>74</v>
      </c>
      <c r="H5186" s="148" t="str" cm="1">
        <f t="array" ref="H5186">IFERROR(INDEX(INVESTOR_LIST[INVESTOR NAME],MATCH(I5186,INVESTOR_LIST[INVESTOR CODE],0),)," ")</f>
        <v>EKUSH WEALTH MANAGEMENT LIMITED</v>
      </c>
      <c r="I5186" s="148" t="s">
        <v>371</v>
      </c>
      <c r="J5186" s="133" t="s">
        <v>53</v>
      </c>
      <c r="K5186" s="218">
        <v>1548729.5</v>
      </c>
      <c r="L5186" s="218"/>
    </row>
    <row r="5187" spans="1:12" ht="56.25" x14ac:dyDescent="0.2">
      <c r="A5187" s="163">
        <v>2021</v>
      </c>
      <c r="B5187" s="163">
        <v>12</v>
      </c>
      <c r="C5187" s="163">
        <v>27</v>
      </c>
      <c r="D5187" s="141">
        <f t="shared" si="170"/>
        <v>44557</v>
      </c>
      <c r="E5187" s="275">
        <f t="shared" si="171"/>
        <v>44557</v>
      </c>
      <c r="F5187" s="480"/>
      <c r="G5187" s="221" t="s">
        <v>74</v>
      </c>
      <c r="H5187" s="145" t="str" cm="1">
        <f t="array" ref="H5187">IFERROR(INDEX(INVESTOR_LIST[INVESTOR NAME],MATCH(I5187,INVESTOR_LIST[INVESTOR CODE],0),)," ")</f>
        <v>EKUSH WEALTH MANAGEMENT LIMITED</v>
      </c>
      <c r="I5187" s="145" t="s">
        <v>371</v>
      </c>
      <c r="J5187" s="163" t="s">
        <v>52</v>
      </c>
      <c r="K5187" s="219"/>
      <c r="L5187" s="219">
        <v>4908229.5</v>
      </c>
    </row>
    <row r="5188" spans="1:12" x14ac:dyDescent="0.2">
      <c r="A5188" s="133">
        <v>2021</v>
      </c>
      <c r="B5188" s="133">
        <v>12</v>
      </c>
      <c r="C5188" s="133">
        <v>27</v>
      </c>
      <c r="D5188" s="141">
        <f t="shared" si="170"/>
        <v>44557</v>
      </c>
      <c r="E5188" s="275">
        <f t="shared" si="171"/>
        <v>44557</v>
      </c>
      <c r="F5188" s="479" t="s">
        <v>962</v>
      </c>
      <c r="G5188" s="220" t="s">
        <v>74</v>
      </c>
      <c r="H5188" s="220" t="str" cm="1">
        <f t="array" ref="H5188">IFERROR(INDEX(INVESTOR_LIST[INVESTOR NAME],MATCH(I5188,INVESTOR_LIST[INVESTOR CODE],0),)," ")</f>
        <v xml:space="preserve"> </v>
      </c>
      <c r="I5188" s="142" t="s">
        <v>348</v>
      </c>
      <c r="J5188" s="143" t="s">
        <v>184</v>
      </c>
      <c r="K5188" s="226">
        <v>21400000</v>
      </c>
      <c r="L5188" s="226"/>
    </row>
    <row r="5189" spans="1:12" x14ac:dyDescent="0.2">
      <c r="A5189" s="133">
        <v>2021</v>
      </c>
      <c r="B5189" s="133">
        <v>12</v>
      </c>
      <c r="C5189" s="133">
        <v>27</v>
      </c>
      <c r="D5189" s="141">
        <f t="shared" si="170"/>
        <v>44557</v>
      </c>
      <c r="E5189" s="275">
        <f t="shared" si="171"/>
        <v>44557</v>
      </c>
      <c r="F5189" s="481"/>
      <c r="G5189" s="174" t="s">
        <v>74</v>
      </c>
      <c r="H5189" s="174" t="str" cm="1">
        <f t="array" ref="H5189">IFERROR(INDEX(INVESTOR_LIST[INVESTOR NAME],MATCH(I5189,INVESTOR_LIST[INVESTOR CODE],0),)," ")</f>
        <v xml:space="preserve"> </v>
      </c>
      <c r="J5189" s="149" t="s">
        <v>61</v>
      </c>
      <c r="K5189" s="218">
        <v>115</v>
      </c>
      <c r="L5189" s="218"/>
    </row>
    <row r="5190" spans="1:12" x14ac:dyDescent="0.2">
      <c r="A5190" s="133">
        <v>2021</v>
      </c>
      <c r="B5190" s="133">
        <v>12</v>
      </c>
      <c r="C5190" s="133">
        <v>27</v>
      </c>
      <c r="D5190" s="141">
        <f t="shared" si="170"/>
        <v>44557</v>
      </c>
      <c r="E5190" s="275">
        <f t="shared" si="171"/>
        <v>44557</v>
      </c>
      <c r="F5190" s="481"/>
      <c r="G5190" s="174" t="s">
        <v>74</v>
      </c>
      <c r="H5190" s="174" t="str" cm="1">
        <f t="array" ref="H5190">IFERROR(INDEX(INVESTOR_LIST[INVESTOR NAME],MATCH(I5190,INVESTOR_LIST[INVESTOR CODE],0),)," ")</f>
        <v xml:space="preserve"> </v>
      </c>
      <c r="I5190" s="148" t="s">
        <v>348</v>
      </c>
      <c r="J5190" s="149" t="s">
        <v>185</v>
      </c>
      <c r="K5190" s="218">
        <v>3000</v>
      </c>
      <c r="L5190" s="218"/>
    </row>
    <row r="5191" spans="1:12" x14ac:dyDescent="0.2">
      <c r="A5191" s="163">
        <v>2021</v>
      </c>
      <c r="B5191" s="163">
        <v>12</v>
      </c>
      <c r="C5191" s="163">
        <v>27</v>
      </c>
      <c r="D5191" s="141">
        <f t="shared" si="170"/>
        <v>44557</v>
      </c>
      <c r="E5191" s="275">
        <f t="shared" si="171"/>
        <v>44557</v>
      </c>
      <c r="F5191" s="480"/>
      <c r="G5191" s="221" t="s">
        <v>74</v>
      </c>
      <c r="H5191" s="221" t="str" cm="1">
        <f t="array" ref="H5191">IFERROR(INDEX(INVESTOR_LIST[INVESTOR NAME],MATCH(I5191,INVESTOR_LIST[INVESTOR CODE],0),)," ")</f>
        <v xml:space="preserve"> </v>
      </c>
      <c r="I5191" s="145" t="s">
        <v>348</v>
      </c>
      <c r="J5191" s="146" t="s">
        <v>52</v>
      </c>
      <c r="K5191" s="219"/>
      <c r="L5191" s="219">
        <v>21403115</v>
      </c>
    </row>
    <row r="5192" spans="1:12" ht="33.75" x14ac:dyDescent="0.2">
      <c r="A5192" s="168">
        <v>2021</v>
      </c>
      <c r="B5192" s="168">
        <v>12</v>
      </c>
      <c r="C5192" s="133">
        <v>29</v>
      </c>
      <c r="D5192" s="141">
        <f t="shared" si="170"/>
        <v>44559</v>
      </c>
      <c r="E5192" s="275">
        <f t="shared" si="171"/>
        <v>44559</v>
      </c>
      <c r="F5192" s="479" t="s">
        <v>965</v>
      </c>
      <c r="G5192" s="220" t="s">
        <v>74</v>
      </c>
      <c r="H5192" s="142" t="str" cm="1">
        <f t="array" ref="H5192">IFERROR(INDEX(INVESTOR_LIST[INVESTOR NAME],MATCH(I5192,INVESTOR_LIST[INVESTOR CODE],0),)," ")</f>
        <v>SHAHIDA NAHRIN BUBLY</v>
      </c>
      <c r="I5192" s="142" t="s">
        <v>477</v>
      </c>
      <c r="J5192" s="168" t="s">
        <v>13</v>
      </c>
      <c r="K5192" s="226">
        <v>259440</v>
      </c>
      <c r="L5192" s="226"/>
    </row>
    <row r="5193" spans="1:12" ht="33.75" x14ac:dyDescent="0.2">
      <c r="A5193" s="133">
        <v>2021</v>
      </c>
      <c r="B5193" s="133">
        <v>12</v>
      </c>
      <c r="C5193" s="133">
        <v>29</v>
      </c>
      <c r="D5193" s="141">
        <f t="shared" si="170"/>
        <v>44559</v>
      </c>
      <c r="E5193" s="275">
        <f t="shared" si="171"/>
        <v>44559</v>
      </c>
      <c r="F5193" s="481"/>
      <c r="G5193" s="174" t="s">
        <v>74</v>
      </c>
      <c r="H5193" s="148" t="str" cm="1">
        <f t="array" ref="H5193">IFERROR(INDEX(INVESTOR_LIST[INVESTOR NAME],MATCH(I5193,INVESTOR_LIST[INVESTOR CODE],0),)," ")</f>
        <v>SHAHIDA NAHRIN BUBLY</v>
      </c>
      <c r="I5193" s="148" t="s">
        <v>477</v>
      </c>
      <c r="J5193" s="133" t="s">
        <v>53</v>
      </c>
      <c r="K5193" s="218">
        <v>119601.84</v>
      </c>
      <c r="L5193" s="218"/>
    </row>
    <row r="5194" spans="1:12" ht="33.75" x14ac:dyDescent="0.2">
      <c r="A5194" s="163">
        <v>2021</v>
      </c>
      <c r="B5194" s="163">
        <v>12</v>
      </c>
      <c r="C5194" s="163">
        <v>29</v>
      </c>
      <c r="D5194" s="141">
        <f t="shared" si="170"/>
        <v>44559</v>
      </c>
      <c r="E5194" s="275">
        <f t="shared" si="171"/>
        <v>44559</v>
      </c>
      <c r="F5194" s="480"/>
      <c r="G5194" s="221" t="s">
        <v>74</v>
      </c>
      <c r="H5194" s="145" t="str" cm="1">
        <f t="array" ref="H5194">IFERROR(INDEX(INVESTOR_LIST[INVESTOR NAME],MATCH(I5194,INVESTOR_LIST[INVESTOR CODE],0),)," ")</f>
        <v>SHAHIDA NAHRIN BUBLY</v>
      </c>
      <c r="I5194" s="145" t="s">
        <v>477</v>
      </c>
      <c r="J5194" s="163" t="s">
        <v>52</v>
      </c>
      <c r="K5194" s="219"/>
      <c r="L5194" s="219">
        <v>379041.84</v>
      </c>
    </row>
    <row r="5195" spans="1:12" ht="11.25" customHeight="1" x14ac:dyDescent="0.2">
      <c r="A5195" s="168">
        <v>2021</v>
      </c>
      <c r="B5195" s="168">
        <v>12</v>
      </c>
      <c r="C5195" s="168">
        <v>29</v>
      </c>
      <c r="D5195" s="141">
        <f t="shared" si="170"/>
        <v>44559</v>
      </c>
      <c r="E5195" s="275">
        <f t="shared" si="171"/>
        <v>44559</v>
      </c>
      <c r="F5195" s="479" t="s">
        <v>950</v>
      </c>
      <c r="G5195" s="220" t="s">
        <v>74</v>
      </c>
      <c r="H5195" s="220" t="str" cm="1">
        <f t="array" ref="H5195">IFERROR(INDEX(INVESTOR_LIST[INVESTOR NAME],MATCH(I5195,INVESTOR_LIST[INVESTOR CODE],0),)," ")</f>
        <v xml:space="preserve"> </v>
      </c>
      <c r="I5195" s="142" t="s">
        <v>348</v>
      </c>
      <c r="J5195" s="143" t="s">
        <v>52</v>
      </c>
      <c r="K5195" s="226">
        <v>11002.67</v>
      </c>
      <c r="L5195" s="226"/>
    </row>
    <row r="5196" spans="1:12" x14ac:dyDescent="0.2">
      <c r="A5196" s="163">
        <v>2021</v>
      </c>
      <c r="B5196" s="163">
        <v>12</v>
      </c>
      <c r="C5196" s="163">
        <v>29</v>
      </c>
      <c r="D5196" s="141">
        <f t="shared" si="170"/>
        <v>44559</v>
      </c>
      <c r="E5196" s="275">
        <f t="shared" si="171"/>
        <v>44559</v>
      </c>
      <c r="F5196" s="480"/>
      <c r="G5196" s="221" t="s">
        <v>74</v>
      </c>
      <c r="H5196" s="221" t="str" cm="1">
        <f t="array" ref="H5196">IFERROR(INDEX(INVESTOR_LIST[INVESTOR NAME],MATCH(I5196,INVESTOR_LIST[INVESTOR CODE],0),)," ")</f>
        <v xml:space="preserve"> </v>
      </c>
      <c r="I5196" s="145" t="s">
        <v>348</v>
      </c>
      <c r="J5196" s="146" t="s">
        <v>190</v>
      </c>
      <c r="K5196" s="219"/>
      <c r="L5196" s="219">
        <v>11002.67</v>
      </c>
    </row>
    <row r="5197" spans="1:12" x14ac:dyDescent="0.2">
      <c r="A5197" s="168">
        <v>2021</v>
      </c>
      <c r="B5197" s="168">
        <v>12</v>
      </c>
      <c r="C5197" s="133">
        <v>29</v>
      </c>
      <c r="D5197" s="141">
        <f t="shared" si="170"/>
        <v>44559</v>
      </c>
      <c r="E5197" s="275">
        <f t="shared" si="171"/>
        <v>44559</v>
      </c>
      <c r="F5197" s="479" t="s">
        <v>970</v>
      </c>
      <c r="G5197" s="220" t="s">
        <v>74</v>
      </c>
      <c r="H5197" s="142" t="str" cm="1">
        <f t="array" ref="H5197">IFERROR(INDEX(INVESTOR_LIST[INVESTOR NAME],MATCH(I5197,INVESTOR_LIST[INVESTOR CODE],0),)," ")</f>
        <v xml:space="preserve"> </v>
      </c>
      <c r="I5197" s="142"/>
      <c r="J5197" s="168" t="s">
        <v>52</v>
      </c>
      <c r="K5197" s="226">
        <v>452000</v>
      </c>
      <c r="L5197" s="226"/>
    </row>
    <row r="5198" spans="1:12" x14ac:dyDescent="0.2">
      <c r="A5198" s="133">
        <v>2021</v>
      </c>
      <c r="B5198" s="133">
        <v>12</v>
      </c>
      <c r="C5198" s="133">
        <v>29</v>
      </c>
      <c r="D5198" s="141">
        <f t="shared" si="170"/>
        <v>44559</v>
      </c>
      <c r="E5198" s="275">
        <f t="shared" si="171"/>
        <v>44559</v>
      </c>
      <c r="F5198" s="481"/>
      <c r="G5198" s="174" t="s">
        <v>74</v>
      </c>
      <c r="H5198" s="148" t="str" cm="1">
        <f t="array" ref="H5198">IFERROR(INDEX(INVESTOR_LIST[INVESTOR NAME],MATCH(I5198,INVESTOR_LIST[INVESTOR CODE],0),)," ")</f>
        <v xml:space="preserve"> </v>
      </c>
      <c r="J5198" s="133" t="s">
        <v>13</v>
      </c>
      <c r="K5198" s="218"/>
      <c r="L5198" s="218">
        <v>309260</v>
      </c>
    </row>
    <row r="5199" spans="1:12" x14ac:dyDescent="0.2">
      <c r="A5199" s="163">
        <v>2021</v>
      </c>
      <c r="B5199" s="163">
        <v>12</v>
      </c>
      <c r="C5199" s="163">
        <v>29</v>
      </c>
      <c r="D5199" s="141">
        <f t="shared" si="170"/>
        <v>44559</v>
      </c>
      <c r="E5199" s="275">
        <f t="shared" si="171"/>
        <v>44559</v>
      </c>
      <c r="F5199" s="480"/>
      <c r="G5199" s="221" t="s">
        <v>74</v>
      </c>
      <c r="H5199" s="145" t="str" cm="1">
        <f t="array" ref="H5199">IFERROR(INDEX(INVESTOR_LIST[INVESTOR NAME],MATCH(I5199,INVESTOR_LIST[INVESTOR CODE],0),)," ")</f>
        <v xml:space="preserve"> </v>
      </c>
      <c r="I5199" s="145"/>
      <c r="J5199" s="163" t="s">
        <v>53</v>
      </c>
      <c r="K5199" s="219"/>
      <c r="L5199" s="219">
        <v>142740</v>
      </c>
    </row>
    <row r="5200" spans="1:12" x14ac:dyDescent="0.2">
      <c r="A5200" s="168">
        <v>2021</v>
      </c>
      <c r="B5200" s="168">
        <v>12</v>
      </c>
      <c r="C5200" s="168">
        <v>30</v>
      </c>
      <c r="D5200" s="141">
        <f t="shared" ref="D5200:D5216" si="172">DATE(A5200,B5200,C5200)</f>
        <v>44560</v>
      </c>
      <c r="E5200" s="275">
        <f t="shared" si="171"/>
        <v>44560</v>
      </c>
      <c r="F5200" s="479" t="s">
        <v>961</v>
      </c>
      <c r="G5200" s="220" t="s">
        <v>74</v>
      </c>
      <c r="H5200" s="220" t="str" cm="1">
        <f t="array" ref="H5200">IFERROR(INDEX(INVESTOR_LIST[INVESTOR NAME],MATCH(I5200,INVESTOR_LIST[INVESTOR CODE],0),)," ")</f>
        <v xml:space="preserve"> </v>
      </c>
      <c r="I5200" s="142" t="s">
        <v>348</v>
      </c>
      <c r="J5200" s="143" t="s">
        <v>79</v>
      </c>
      <c r="K5200" s="226">
        <v>93510</v>
      </c>
      <c r="L5200" s="226"/>
    </row>
    <row r="5201" spans="1:13" x14ac:dyDescent="0.2">
      <c r="A5201" s="133">
        <v>2021</v>
      </c>
      <c r="B5201" s="133">
        <v>12</v>
      </c>
      <c r="C5201" s="133">
        <v>30</v>
      </c>
      <c r="D5201" s="141">
        <f t="shared" si="172"/>
        <v>44560</v>
      </c>
      <c r="E5201" s="275">
        <f t="shared" ref="E5201:E5216" si="173">DATE(A5201,B5201,C5201)</f>
        <v>44560</v>
      </c>
      <c r="F5201" s="481"/>
      <c r="G5201" s="174" t="s">
        <v>74</v>
      </c>
      <c r="H5201" s="174" t="str" cm="1">
        <f t="array" ref="H5201">IFERROR(INDEX(INVESTOR_LIST[INVESTOR NAME],MATCH(I5201,INVESTOR_LIST[INVESTOR CODE],0),)," ")</f>
        <v xml:space="preserve"> </v>
      </c>
      <c r="I5201" s="148" t="s">
        <v>348</v>
      </c>
      <c r="J5201" s="149" t="s">
        <v>52</v>
      </c>
      <c r="K5201" s="218">
        <v>729330</v>
      </c>
      <c r="L5201" s="218"/>
    </row>
    <row r="5202" spans="1:13" x14ac:dyDescent="0.2">
      <c r="A5202" s="163">
        <v>2021</v>
      </c>
      <c r="B5202" s="163">
        <v>12</v>
      </c>
      <c r="C5202" s="163">
        <v>30</v>
      </c>
      <c r="D5202" s="141">
        <f t="shared" si="172"/>
        <v>44560</v>
      </c>
      <c r="E5202" s="275">
        <f t="shared" si="173"/>
        <v>44560</v>
      </c>
      <c r="F5202" s="480"/>
      <c r="G5202" s="221" t="s">
        <v>74</v>
      </c>
      <c r="H5202" s="221" t="str" cm="1">
        <f t="array" ref="H5202">IFERROR(INDEX(INVESTOR_LIST[INVESTOR NAME],MATCH(I5202,INVESTOR_LIST[INVESTOR CODE],0),)," ")</f>
        <v xml:space="preserve"> </v>
      </c>
      <c r="I5202" s="145" t="s">
        <v>348</v>
      </c>
      <c r="J5202" s="146" t="s">
        <v>184</v>
      </c>
      <c r="K5202" s="219"/>
      <c r="L5202" s="219">
        <v>822840</v>
      </c>
    </row>
    <row r="5203" spans="1:13" x14ac:dyDescent="0.2">
      <c r="A5203" s="133">
        <v>2021</v>
      </c>
      <c r="B5203" s="133">
        <v>12</v>
      </c>
      <c r="C5203" s="133">
        <v>30</v>
      </c>
      <c r="D5203" s="141">
        <f t="shared" si="172"/>
        <v>44560</v>
      </c>
      <c r="E5203" s="275">
        <f t="shared" si="173"/>
        <v>44560</v>
      </c>
      <c r="F5203" s="479" t="s">
        <v>77</v>
      </c>
      <c r="G5203" s="174" t="s">
        <v>74</v>
      </c>
      <c r="H5203" s="148" t="str" cm="1">
        <f t="array" ref="H5203">IFERROR(INDEX(INVESTOR_LIST[INVESTOR NAME],MATCH(I5203,INVESTOR_LIST[INVESTOR CODE],0),)," ")</f>
        <v xml:space="preserve"> </v>
      </c>
      <c r="I5203" s="148" t="s">
        <v>348</v>
      </c>
      <c r="J5203" s="133" t="s">
        <v>61</v>
      </c>
      <c r="K5203" s="172">
        <v>575</v>
      </c>
    </row>
    <row r="5204" spans="1:13" x14ac:dyDescent="0.2">
      <c r="A5204" s="163">
        <v>2021</v>
      </c>
      <c r="B5204" s="163">
        <v>12</v>
      </c>
      <c r="C5204" s="163">
        <v>30</v>
      </c>
      <c r="D5204" s="141">
        <f t="shared" si="172"/>
        <v>44560</v>
      </c>
      <c r="E5204" s="275">
        <f t="shared" si="173"/>
        <v>44560</v>
      </c>
      <c r="F5204" s="480"/>
      <c r="G5204" s="221" t="s">
        <v>74</v>
      </c>
      <c r="H5204" s="145" t="str" cm="1">
        <f t="array" ref="H5204">IFERROR(INDEX(INVESTOR_LIST[INVESTOR NAME],MATCH(I5204,INVESTOR_LIST[INVESTOR CODE],0),)," ")</f>
        <v xml:space="preserve"> </v>
      </c>
      <c r="I5204" s="145" t="s">
        <v>348</v>
      </c>
      <c r="J5204" s="163" t="s">
        <v>52</v>
      </c>
      <c r="K5204" s="219"/>
      <c r="L5204" s="219">
        <v>575</v>
      </c>
    </row>
    <row r="5205" spans="1:13" x14ac:dyDescent="0.2">
      <c r="A5205" s="133">
        <v>2021</v>
      </c>
      <c r="B5205" s="133">
        <v>12</v>
      </c>
      <c r="C5205" s="133">
        <v>30</v>
      </c>
      <c r="D5205" s="141">
        <f t="shared" si="172"/>
        <v>44560</v>
      </c>
      <c r="E5205" s="275">
        <f t="shared" si="173"/>
        <v>44560</v>
      </c>
      <c r="F5205" s="479" t="s">
        <v>77</v>
      </c>
      <c r="G5205" s="174" t="s">
        <v>74</v>
      </c>
      <c r="H5205" s="148" t="str" cm="1">
        <f t="array" ref="H5205">IFERROR(INDEX(INVESTOR_LIST[INVESTOR NAME],MATCH(I5205,INVESTOR_LIST[INVESTOR CODE],0),)," ")</f>
        <v xml:space="preserve"> </v>
      </c>
      <c r="I5205" s="148" t="s">
        <v>348</v>
      </c>
      <c r="J5205" s="133" t="s">
        <v>61</v>
      </c>
      <c r="K5205" s="172">
        <v>345</v>
      </c>
    </row>
    <row r="5206" spans="1:13" x14ac:dyDescent="0.2">
      <c r="A5206" s="163">
        <v>2021</v>
      </c>
      <c r="B5206" s="163">
        <v>12</v>
      </c>
      <c r="C5206" s="163">
        <v>30</v>
      </c>
      <c r="D5206" s="141">
        <f t="shared" si="172"/>
        <v>44560</v>
      </c>
      <c r="E5206" s="275">
        <f t="shared" si="173"/>
        <v>44560</v>
      </c>
      <c r="F5206" s="480"/>
      <c r="G5206" s="221" t="s">
        <v>74</v>
      </c>
      <c r="H5206" s="145" t="str" cm="1">
        <f t="array" ref="H5206">IFERROR(INDEX(INVESTOR_LIST[INVESTOR NAME],MATCH(I5206,INVESTOR_LIST[INVESTOR CODE],0),)," ")</f>
        <v xml:space="preserve"> </v>
      </c>
      <c r="I5206" s="145" t="s">
        <v>348</v>
      </c>
      <c r="J5206" s="163" t="s">
        <v>52</v>
      </c>
      <c r="K5206" s="219"/>
      <c r="L5206" s="219">
        <v>345</v>
      </c>
    </row>
    <row r="5207" spans="1:13" x14ac:dyDescent="0.2">
      <c r="A5207" s="141">
        <v>2021</v>
      </c>
      <c r="B5207" s="141">
        <v>12</v>
      </c>
      <c r="C5207" s="141">
        <v>31</v>
      </c>
      <c r="D5207" s="141">
        <f t="shared" si="172"/>
        <v>44561</v>
      </c>
      <c r="E5207" s="275">
        <f t="shared" si="173"/>
        <v>44561</v>
      </c>
      <c r="F5207" s="479" t="s">
        <v>963</v>
      </c>
      <c r="G5207" s="220" t="s">
        <v>74</v>
      </c>
      <c r="H5207" s="220" t="str" cm="1">
        <f t="array" ref="H5207">IFERROR(INDEX(INVESTOR_LIST[INVESTOR NAME],MATCH(I5207,INVESTOR_LIST[INVESTOR CODE],0),)," ")</f>
        <v xml:space="preserve"> </v>
      </c>
      <c r="I5207" s="142" t="s">
        <v>348</v>
      </c>
      <c r="J5207" s="143" t="s">
        <v>52</v>
      </c>
      <c r="K5207" s="226">
        <v>107429</v>
      </c>
      <c r="L5207" s="226"/>
    </row>
    <row r="5208" spans="1:13" x14ac:dyDescent="0.2">
      <c r="A5208" s="144">
        <v>2021</v>
      </c>
      <c r="B5208" s="144">
        <v>12</v>
      </c>
      <c r="C5208" s="144">
        <v>31</v>
      </c>
      <c r="D5208" s="141">
        <f t="shared" si="172"/>
        <v>44561</v>
      </c>
      <c r="E5208" s="275">
        <f t="shared" si="173"/>
        <v>44561</v>
      </c>
      <c r="F5208" s="480"/>
      <c r="G5208" s="221" t="s">
        <v>74</v>
      </c>
      <c r="H5208" s="221" t="str" cm="1">
        <f t="array" ref="H5208">IFERROR(INDEX(INVESTOR_LIST[INVESTOR NAME],MATCH(I5208,INVESTOR_LIST[INVESTOR CODE],0),)," ")</f>
        <v xml:space="preserve"> </v>
      </c>
      <c r="I5208" s="145" t="s">
        <v>348</v>
      </c>
      <c r="J5208" s="146" t="s">
        <v>60</v>
      </c>
      <c r="K5208" s="219"/>
      <c r="L5208" s="219">
        <v>107429</v>
      </c>
    </row>
    <row r="5209" spans="1:13" x14ac:dyDescent="0.2">
      <c r="A5209" s="141">
        <v>2021</v>
      </c>
      <c r="B5209" s="141">
        <v>12</v>
      </c>
      <c r="C5209" s="141">
        <v>31</v>
      </c>
      <c r="D5209" s="141">
        <f t="shared" si="172"/>
        <v>44561</v>
      </c>
      <c r="E5209" s="275">
        <f t="shared" si="173"/>
        <v>44561</v>
      </c>
      <c r="F5209" s="479" t="s">
        <v>963</v>
      </c>
      <c r="G5209" s="220" t="s">
        <v>74</v>
      </c>
      <c r="H5209" s="220" t="str" cm="1">
        <f t="array" ref="H5209">IFERROR(INDEX(INVESTOR_LIST[INVESTOR NAME],MATCH(I5209,INVESTOR_LIST[INVESTOR CODE],0),)," ")</f>
        <v xml:space="preserve"> </v>
      </c>
      <c r="I5209" s="142" t="s">
        <v>348</v>
      </c>
      <c r="J5209" s="143" t="s">
        <v>52</v>
      </c>
      <c r="K5209" s="226">
        <v>1036983</v>
      </c>
      <c r="L5209" s="226"/>
    </row>
    <row r="5210" spans="1:13" x14ac:dyDescent="0.2">
      <c r="A5210" s="144">
        <v>2021</v>
      </c>
      <c r="B5210" s="144">
        <v>12</v>
      </c>
      <c r="C5210" s="144">
        <v>31</v>
      </c>
      <c r="D5210" s="141">
        <f t="shared" si="172"/>
        <v>44561</v>
      </c>
      <c r="E5210" s="275">
        <f t="shared" si="173"/>
        <v>44561</v>
      </c>
      <c r="F5210" s="480"/>
      <c r="G5210" s="221" t="s">
        <v>74</v>
      </c>
      <c r="H5210" s="221" t="str" cm="1">
        <f t="array" ref="H5210">IFERROR(INDEX(INVESTOR_LIST[INVESTOR NAME],MATCH(I5210,INVESTOR_LIST[INVESTOR CODE],0),)," ")</f>
        <v xml:space="preserve"> </v>
      </c>
      <c r="I5210" s="145" t="s">
        <v>348</v>
      </c>
      <c r="J5210" s="146" t="s">
        <v>60</v>
      </c>
      <c r="K5210" s="219"/>
      <c r="L5210" s="219">
        <v>1036983</v>
      </c>
    </row>
    <row r="5211" spans="1:13" x14ac:dyDescent="0.2">
      <c r="A5211" s="133">
        <v>2021</v>
      </c>
      <c r="B5211" s="133">
        <v>12</v>
      </c>
      <c r="C5211" s="133">
        <v>31</v>
      </c>
      <c r="D5211" s="141">
        <f t="shared" si="172"/>
        <v>44561</v>
      </c>
      <c r="E5211" s="275">
        <f t="shared" si="173"/>
        <v>44561</v>
      </c>
      <c r="F5211" s="479" t="s">
        <v>77</v>
      </c>
      <c r="G5211" s="174" t="s">
        <v>74</v>
      </c>
      <c r="H5211" s="148" t="str" cm="1">
        <f t="array" ref="H5211">IFERROR(INDEX(INVESTOR_LIST[INVESTOR NAME],MATCH(I5211,INVESTOR_LIST[INVESTOR CODE],0),)," ")</f>
        <v xml:space="preserve"> </v>
      </c>
      <c r="I5211" s="148" t="s">
        <v>348</v>
      </c>
      <c r="J5211" s="133" t="s">
        <v>61</v>
      </c>
      <c r="K5211" s="172">
        <v>15000</v>
      </c>
    </row>
    <row r="5212" spans="1:13" x14ac:dyDescent="0.2">
      <c r="A5212" s="163">
        <v>2021</v>
      </c>
      <c r="B5212" s="163">
        <v>12</v>
      </c>
      <c r="C5212" s="163">
        <v>31</v>
      </c>
      <c r="D5212" s="141">
        <f t="shared" si="172"/>
        <v>44561</v>
      </c>
      <c r="E5212" s="275">
        <f t="shared" si="173"/>
        <v>44561</v>
      </c>
      <c r="F5212" s="480"/>
      <c r="G5212" s="221" t="s">
        <v>74</v>
      </c>
      <c r="H5212" s="145" t="str" cm="1">
        <f t="array" ref="H5212">IFERROR(INDEX(INVESTOR_LIST[INVESTOR NAME],MATCH(I5212,INVESTOR_LIST[INVESTOR CODE],0),)," ")</f>
        <v xml:space="preserve"> </v>
      </c>
      <c r="I5212" s="145" t="s">
        <v>348</v>
      </c>
      <c r="J5212" s="163" t="s">
        <v>52</v>
      </c>
      <c r="K5212" s="219"/>
      <c r="L5212" s="219">
        <v>15000</v>
      </c>
    </row>
    <row r="5213" spans="1:13" x14ac:dyDescent="0.2">
      <c r="A5213" s="133">
        <v>2021</v>
      </c>
      <c r="B5213" s="133">
        <v>12</v>
      </c>
      <c r="C5213" s="133">
        <v>31</v>
      </c>
      <c r="D5213" s="141">
        <f t="shared" si="172"/>
        <v>44561</v>
      </c>
      <c r="E5213" s="275">
        <f t="shared" si="173"/>
        <v>44561</v>
      </c>
      <c r="F5213" s="479" t="s">
        <v>77</v>
      </c>
      <c r="G5213" s="174" t="s">
        <v>74</v>
      </c>
      <c r="H5213" s="148" t="str" cm="1">
        <f t="array" ref="H5213">IFERROR(INDEX(INVESTOR_LIST[INVESTOR NAME],MATCH(I5213,INVESTOR_LIST[INVESTOR CODE],0),)," ")</f>
        <v xml:space="preserve"> </v>
      </c>
      <c r="I5213" s="148" t="s">
        <v>348</v>
      </c>
      <c r="J5213" s="133" t="s">
        <v>61</v>
      </c>
      <c r="K5213" s="172">
        <v>40000</v>
      </c>
    </row>
    <row r="5214" spans="1:13" x14ac:dyDescent="0.2">
      <c r="A5214" s="163">
        <v>2021</v>
      </c>
      <c r="B5214" s="163">
        <v>12</v>
      </c>
      <c r="C5214" s="163">
        <v>31</v>
      </c>
      <c r="D5214" s="141">
        <f t="shared" si="172"/>
        <v>44561</v>
      </c>
      <c r="E5214" s="275">
        <f t="shared" si="173"/>
        <v>44561</v>
      </c>
      <c r="F5214" s="480"/>
      <c r="G5214" s="221" t="s">
        <v>74</v>
      </c>
      <c r="H5214" s="145" t="str" cm="1">
        <f t="array" ref="H5214">IFERROR(INDEX(INVESTOR_LIST[INVESTOR NAME],MATCH(I5214,INVESTOR_LIST[INVESTOR CODE],0),)," ")</f>
        <v xml:space="preserve"> </v>
      </c>
      <c r="I5214" s="145" t="s">
        <v>348</v>
      </c>
      <c r="J5214" s="163" t="s">
        <v>52</v>
      </c>
      <c r="K5214" s="219"/>
      <c r="L5214" s="219">
        <v>40000</v>
      </c>
    </row>
    <row r="5215" spans="1:13" x14ac:dyDescent="0.2">
      <c r="A5215" s="133">
        <v>2021</v>
      </c>
      <c r="B5215" s="133">
        <v>12</v>
      </c>
      <c r="C5215" s="133">
        <v>31</v>
      </c>
      <c r="D5215" s="141">
        <f t="shared" si="172"/>
        <v>44561</v>
      </c>
      <c r="E5215" s="275">
        <f t="shared" si="173"/>
        <v>44561</v>
      </c>
      <c r="F5215" s="479" t="s">
        <v>77</v>
      </c>
      <c r="G5215" s="174" t="s">
        <v>74</v>
      </c>
      <c r="H5215" s="148" t="str" cm="1">
        <f t="array" ref="H5215">IFERROR(INDEX(INVESTOR_LIST[INVESTOR NAME],MATCH(I5215,INVESTOR_LIST[INVESTOR CODE],0),)," ")</f>
        <v xml:space="preserve"> </v>
      </c>
      <c r="I5215" s="148" t="s">
        <v>348</v>
      </c>
      <c r="J5215" s="133" t="s">
        <v>61</v>
      </c>
      <c r="K5215" s="172">
        <v>345</v>
      </c>
    </row>
    <row r="5216" spans="1:13" x14ac:dyDescent="0.2">
      <c r="A5216" s="163">
        <v>2021</v>
      </c>
      <c r="B5216" s="163">
        <v>12</v>
      </c>
      <c r="C5216" s="163">
        <v>31</v>
      </c>
      <c r="D5216" s="141">
        <f t="shared" si="172"/>
        <v>44561</v>
      </c>
      <c r="E5216" s="275">
        <f t="shared" si="173"/>
        <v>44561</v>
      </c>
      <c r="F5216" s="480"/>
      <c r="G5216" s="221" t="s">
        <v>74</v>
      </c>
      <c r="H5216" s="145" t="str" cm="1">
        <f t="array" ref="H5216">IFERROR(INDEX(INVESTOR_LIST[INVESTOR NAME],MATCH(I5216,INVESTOR_LIST[INVESTOR CODE],0),)," ")</f>
        <v xml:space="preserve"> </v>
      </c>
      <c r="I5216" s="145" t="s">
        <v>348</v>
      </c>
      <c r="J5216" s="163" t="s">
        <v>52</v>
      </c>
      <c r="K5216" s="219"/>
      <c r="L5216" s="219">
        <v>345</v>
      </c>
      <c r="M5216" s="336">
        <v>1999156</v>
      </c>
    </row>
    <row r="5217" spans="1:14" x14ac:dyDescent="0.2">
      <c r="A5217" s="238">
        <v>2021</v>
      </c>
      <c r="B5217" s="238">
        <v>12</v>
      </c>
      <c r="C5217" s="238">
        <v>31</v>
      </c>
      <c r="D5217" s="270">
        <f t="shared" ref="D5217:D5539" si="174">DATE(A5217,B5217,C5217)</f>
        <v>44561</v>
      </c>
      <c r="E5217" s="279">
        <f t="shared" ref="E5217:E5539" si="175">DATE(A5217,B5217,C5217)</f>
        <v>44561</v>
      </c>
      <c r="F5217" s="477" t="s">
        <v>347</v>
      </c>
      <c r="G5217" s="239" t="s">
        <v>94</v>
      </c>
      <c r="H5217" s="239" t="str" cm="1">
        <f t="array" ref="H5217">IFERROR(INDEX(INVESTOR_LIST[INVESTOR NAME],MATCH(I5217,INVESTOR_LIST[INVESTOR CODE],0),)," ")</f>
        <v xml:space="preserve"> </v>
      </c>
      <c r="I5217" s="262" t="s">
        <v>348</v>
      </c>
      <c r="J5217" s="240" t="s">
        <v>108</v>
      </c>
      <c r="K5217" s="241">
        <v>1731191.8699998837</v>
      </c>
      <c r="L5217" s="241"/>
      <c r="M5217" s="336">
        <v>52540116</v>
      </c>
    </row>
    <row r="5218" spans="1:14" x14ac:dyDescent="0.2">
      <c r="A5218" s="242">
        <v>2021</v>
      </c>
      <c r="B5218" s="242">
        <v>12</v>
      </c>
      <c r="C5218" s="242">
        <v>31</v>
      </c>
      <c r="D5218" s="270">
        <f t="shared" si="174"/>
        <v>44561</v>
      </c>
      <c r="E5218" s="279">
        <f t="shared" si="175"/>
        <v>44561</v>
      </c>
      <c r="F5218" s="478"/>
      <c r="G5218" s="243" t="s">
        <v>94</v>
      </c>
      <c r="H5218" s="243" t="str" cm="1">
        <f t="array" ref="H5218">IFERROR(INDEX(INVESTOR_LIST[INVESTOR NAME],MATCH(I5218,INVESTOR_LIST[INVESTOR CODE],0),)," ")</f>
        <v xml:space="preserve"> </v>
      </c>
      <c r="I5218" s="263" t="s">
        <v>348</v>
      </c>
      <c r="J5218" s="244" t="s">
        <v>82</v>
      </c>
      <c r="K5218" s="245"/>
      <c r="L5218" s="245">
        <v>1731191.8699998837</v>
      </c>
      <c r="M5218" s="336">
        <v>7292180</v>
      </c>
    </row>
    <row r="5219" spans="1:14" ht="22.5" x14ac:dyDescent="0.2">
      <c r="A5219" s="246">
        <v>2021</v>
      </c>
      <c r="B5219" s="246">
        <v>12</v>
      </c>
      <c r="C5219" s="246">
        <v>31</v>
      </c>
      <c r="D5219" s="270">
        <f t="shared" si="174"/>
        <v>44561</v>
      </c>
      <c r="E5219" s="279">
        <f t="shared" si="175"/>
        <v>44561</v>
      </c>
      <c r="F5219" s="482" t="s">
        <v>148</v>
      </c>
      <c r="G5219" s="247" t="s">
        <v>94</v>
      </c>
      <c r="H5219" s="247" t="str" cm="1">
        <f t="array" ref="H5219">IFERROR(INDEX(INVESTOR_LIST[INVESTOR NAME],MATCH(I5219,INVESTOR_LIST[INVESTOR CODE],0),)," ")</f>
        <v xml:space="preserve"> </v>
      </c>
      <c r="I5219" s="248" t="s">
        <v>348</v>
      </c>
      <c r="J5219" s="249" t="s">
        <v>95</v>
      </c>
      <c r="K5219" s="250">
        <v>2747.2527472527472</v>
      </c>
      <c r="L5219" s="241"/>
      <c r="M5219" s="336">
        <v>7663724</v>
      </c>
    </row>
    <row r="5220" spans="1:14" x14ac:dyDescent="0.2">
      <c r="A5220" s="242">
        <v>2021</v>
      </c>
      <c r="B5220" s="242">
        <v>12</v>
      </c>
      <c r="C5220" s="242">
        <v>31</v>
      </c>
      <c r="D5220" s="270">
        <f t="shared" si="174"/>
        <v>44561</v>
      </c>
      <c r="E5220" s="279">
        <f t="shared" si="175"/>
        <v>44561</v>
      </c>
      <c r="F5220" s="478"/>
      <c r="G5220" s="243" t="s">
        <v>94</v>
      </c>
      <c r="H5220" s="243" t="str" cm="1">
        <f t="array" ref="H5220">IFERROR(INDEX(INVESTOR_LIST[INVESTOR NAME],MATCH(I5220,INVESTOR_LIST[INVESTOR CODE],0),)," ")</f>
        <v xml:space="preserve"> </v>
      </c>
      <c r="I5220" s="263" t="s">
        <v>348</v>
      </c>
      <c r="J5220" s="244" t="s">
        <v>63</v>
      </c>
      <c r="K5220" s="245"/>
      <c r="L5220" s="245">
        <v>2747.2527472527472</v>
      </c>
      <c r="M5220" s="336">
        <v>54167728</v>
      </c>
      <c r="N5220" s="133">
        <f>M5220*0.7</f>
        <v>37917409.599999994</v>
      </c>
    </row>
    <row r="5221" spans="1:14" x14ac:dyDescent="0.2">
      <c r="A5221" s="246">
        <v>2021</v>
      </c>
      <c r="B5221" s="246">
        <v>12</v>
      </c>
      <c r="C5221" s="246">
        <v>31</v>
      </c>
      <c r="D5221" s="270">
        <f t="shared" si="174"/>
        <v>44561</v>
      </c>
      <c r="E5221" s="279">
        <f t="shared" si="175"/>
        <v>44561</v>
      </c>
      <c r="F5221" s="482" t="s">
        <v>137</v>
      </c>
      <c r="G5221" s="247" t="s">
        <v>94</v>
      </c>
      <c r="H5221" s="247" t="str" cm="1">
        <f t="array" ref="H5221">IFERROR(INDEX(INVESTOR_LIST[INVESTOR NAME],MATCH(I5221,INVESTOR_LIST[INVESTOR CODE],0),)," ")</f>
        <v xml:space="preserve"> </v>
      </c>
      <c r="I5221" s="248" t="s">
        <v>348</v>
      </c>
      <c r="J5221" s="249" t="s">
        <v>97</v>
      </c>
      <c r="K5221" s="250">
        <v>87360.536930872913</v>
      </c>
      <c r="L5221" s="252"/>
    </row>
    <row r="5222" spans="1:14" x14ac:dyDescent="0.2">
      <c r="A5222" s="242">
        <v>2021</v>
      </c>
      <c r="B5222" s="242">
        <v>12</v>
      </c>
      <c r="C5222" s="242">
        <v>31</v>
      </c>
      <c r="D5222" s="270">
        <f t="shared" si="174"/>
        <v>44561</v>
      </c>
      <c r="E5222" s="279">
        <f t="shared" si="175"/>
        <v>44561</v>
      </c>
      <c r="F5222" s="478"/>
      <c r="G5222" s="243" t="s">
        <v>94</v>
      </c>
      <c r="H5222" s="243" t="str" cm="1">
        <f t="array" ref="H5222">IFERROR(INDEX(INVESTOR_LIST[INVESTOR NAME],MATCH(I5222,INVESTOR_LIST[INVESTOR CODE],0),)," ")</f>
        <v xml:space="preserve"> </v>
      </c>
      <c r="I5222" s="263" t="s">
        <v>348</v>
      </c>
      <c r="J5222" s="244" t="s">
        <v>47</v>
      </c>
      <c r="K5222" s="245"/>
      <c r="L5222" s="245">
        <v>87360.536930872913</v>
      </c>
      <c r="N5222" s="133">
        <f>N5220-N5226</f>
        <v>230984.19999999553</v>
      </c>
    </row>
    <row r="5223" spans="1:14" x14ac:dyDescent="0.2">
      <c r="A5223" s="246">
        <v>2021</v>
      </c>
      <c r="B5223" s="246">
        <v>12</v>
      </c>
      <c r="C5223" s="246">
        <v>31</v>
      </c>
      <c r="D5223" s="270">
        <f t="shared" si="174"/>
        <v>44561</v>
      </c>
      <c r="E5223" s="279">
        <f t="shared" si="175"/>
        <v>44561</v>
      </c>
      <c r="F5223" s="482" t="s">
        <v>138</v>
      </c>
      <c r="G5223" s="247" t="s">
        <v>94</v>
      </c>
      <c r="H5223" s="247" t="str" cm="1">
        <f t="array" ref="H5223">IFERROR(INDEX(INVESTOR_LIST[INVESTOR NAME],MATCH(I5223,INVESTOR_LIST[INVESTOR CODE],0),)," ")</f>
        <v xml:space="preserve"> </v>
      </c>
      <c r="I5223" s="248" t="s">
        <v>348</v>
      </c>
      <c r="J5223" s="249" t="s">
        <v>100</v>
      </c>
      <c r="K5223" s="250">
        <v>4127.6422311590304</v>
      </c>
      <c r="L5223" s="252"/>
    </row>
    <row r="5224" spans="1:14" x14ac:dyDescent="0.2">
      <c r="A5224" s="242">
        <v>2021</v>
      </c>
      <c r="B5224" s="242">
        <v>12</v>
      </c>
      <c r="C5224" s="242">
        <v>31</v>
      </c>
      <c r="D5224" s="270">
        <f t="shared" si="174"/>
        <v>44561</v>
      </c>
      <c r="E5224" s="279">
        <f t="shared" si="175"/>
        <v>44561</v>
      </c>
      <c r="F5224" s="478"/>
      <c r="G5224" s="243" t="s">
        <v>94</v>
      </c>
      <c r="H5224" s="243" t="str" cm="1">
        <f t="array" ref="H5224">IFERROR(INDEX(INVESTOR_LIST[INVESTOR NAME],MATCH(I5224,INVESTOR_LIST[INVESTOR CODE],0),)," ")</f>
        <v xml:space="preserve"> </v>
      </c>
      <c r="I5224" s="263" t="s">
        <v>348</v>
      </c>
      <c r="J5224" s="244" t="s">
        <v>48</v>
      </c>
      <c r="K5224" s="245"/>
      <c r="L5224" s="245">
        <v>4127.6422311590304</v>
      </c>
    </row>
    <row r="5225" spans="1:14" x14ac:dyDescent="0.2">
      <c r="A5225" s="133">
        <v>2022</v>
      </c>
      <c r="B5225" s="133">
        <v>1</v>
      </c>
      <c r="C5225" s="133">
        <v>1</v>
      </c>
      <c r="D5225" s="141">
        <f t="shared" si="174"/>
        <v>44562</v>
      </c>
      <c r="E5225" s="275">
        <f t="shared" si="175"/>
        <v>44562</v>
      </c>
      <c r="F5225" s="479" t="s">
        <v>356</v>
      </c>
      <c r="G5225" s="174" t="s">
        <v>94</v>
      </c>
      <c r="H5225" s="174" t="str" cm="1">
        <f t="array" ref="H5225">IFERROR(INDEX(INVESTOR_LIST[INVESTOR NAME],MATCH(I5225,INVESTOR_LIST[INVESTOR CODE],0),)," ")</f>
        <v xml:space="preserve"> </v>
      </c>
      <c r="I5225" s="148" t="s">
        <v>348</v>
      </c>
      <c r="J5225" s="149" t="s">
        <v>359</v>
      </c>
      <c r="K5225" s="218"/>
      <c r="L5225" s="218"/>
      <c r="M5225" s="336">
        <v>54152017</v>
      </c>
      <c r="N5225" s="133">
        <f>M5225*0.7</f>
        <v>37906411.899999999</v>
      </c>
    </row>
    <row r="5226" spans="1:14" x14ac:dyDescent="0.2">
      <c r="A5226" s="163">
        <v>2022</v>
      </c>
      <c r="B5226" s="163">
        <v>1</v>
      </c>
      <c r="C5226" s="163">
        <v>1</v>
      </c>
      <c r="D5226" s="141">
        <f t="shared" si="174"/>
        <v>44562</v>
      </c>
      <c r="E5226" s="275">
        <f t="shared" si="175"/>
        <v>44562</v>
      </c>
      <c r="F5226" s="480"/>
      <c r="G5226" s="221" t="s">
        <v>94</v>
      </c>
      <c r="H5226" s="221" t="str" cm="1">
        <f t="array" ref="H5226">IFERROR(INDEX(INVESTOR_LIST[INVESTOR NAME],MATCH(I5226,INVESTOR_LIST[INVESTOR CODE],0),)," ")</f>
        <v xml:space="preserve"> </v>
      </c>
      <c r="I5226" s="145" t="s">
        <v>348</v>
      </c>
      <c r="J5226" s="146" t="s">
        <v>353</v>
      </c>
      <c r="K5226" s="219"/>
      <c r="L5226" s="219"/>
      <c r="N5226" s="133">
        <f>14494779*2.6</f>
        <v>37686425.399999999</v>
      </c>
    </row>
    <row r="5227" spans="1:14" x14ac:dyDescent="0.2">
      <c r="A5227" s="133">
        <v>2022</v>
      </c>
      <c r="B5227" s="133">
        <v>1</v>
      </c>
      <c r="C5227" s="133">
        <v>1</v>
      </c>
      <c r="D5227" s="141">
        <f t="shared" si="174"/>
        <v>44562</v>
      </c>
      <c r="E5227" s="275">
        <f t="shared" si="175"/>
        <v>44562</v>
      </c>
      <c r="F5227" s="479" t="s">
        <v>540</v>
      </c>
      <c r="G5227" s="174" t="s">
        <v>94</v>
      </c>
      <c r="H5227" s="174" t="str" cm="1">
        <f t="array" ref="H5227">IFERROR(INDEX(INVESTOR_LIST[INVESTOR NAME],MATCH(I5227,INVESTOR_LIST[INVESTOR CODE],0),)," ")</f>
        <v xml:space="preserve"> </v>
      </c>
      <c r="I5227" s="148" t="s">
        <v>348</v>
      </c>
      <c r="J5227" s="149" t="s">
        <v>359</v>
      </c>
      <c r="K5227" s="218">
        <v>37686425.399999999</v>
      </c>
      <c r="L5227" s="218"/>
      <c r="M5227" s="336">
        <v>16245605.100000001</v>
      </c>
      <c r="N5227" s="133">
        <f>N5225-N5226</f>
        <v>219986.5</v>
      </c>
    </row>
    <row r="5228" spans="1:14" x14ac:dyDescent="0.2">
      <c r="A5228" s="163">
        <v>2022</v>
      </c>
      <c r="B5228" s="163">
        <v>1</v>
      </c>
      <c r="C5228" s="163">
        <v>1</v>
      </c>
      <c r="D5228" s="280">
        <f t="shared" si="174"/>
        <v>44562</v>
      </c>
      <c r="E5228" s="281">
        <f t="shared" si="175"/>
        <v>44562</v>
      </c>
      <c r="F5228" s="480"/>
      <c r="G5228" s="221" t="s">
        <v>94</v>
      </c>
      <c r="H5228" s="221" t="str" cm="1">
        <f t="array" ref="H5228">IFERROR(INDEX(INVESTOR_LIST[INVESTOR NAME],MATCH(I5228,INVESTOR_LIST[INVESTOR CODE],0),)," ")</f>
        <v xml:space="preserve"> </v>
      </c>
      <c r="I5228" s="145" t="s">
        <v>348</v>
      </c>
      <c r="J5228" s="146" t="s">
        <v>358</v>
      </c>
      <c r="K5228" s="219"/>
      <c r="L5228" s="219">
        <v>37686425.399999999</v>
      </c>
      <c r="N5228" s="160">
        <f>L5226-N5227</f>
        <v>-219986.5</v>
      </c>
    </row>
    <row r="5229" spans="1:14" ht="33.75" x14ac:dyDescent="0.2">
      <c r="A5229" s="168">
        <v>2022</v>
      </c>
      <c r="B5229" s="168">
        <v>1</v>
      </c>
      <c r="C5229" s="168">
        <v>1</v>
      </c>
      <c r="D5229" s="141">
        <f t="shared" si="174"/>
        <v>44562</v>
      </c>
      <c r="E5229" s="275">
        <f t="shared" si="175"/>
        <v>44562</v>
      </c>
      <c r="F5229" s="479" t="s">
        <v>966</v>
      </c>
      <c r="G5229" s="220" t="s">
        <v>94</v>
      </c>
      <c r="H5229" s="220" t="str" cm="1">
        <f t="array" ref="H5229">IFERROR(INDEX(INVESTOR_LIST[INVESTOR NAME],MATCH(I5229,INVESTOR_LIST[INVESTOR CODE],0),)," ")</f>
        <v>HARI PADA SAHA</v>
      </c>
      <c r="I5229" s="142" t="s">
        <v>370</v>
      </c>
      <c r="J5229" s="310" t="s">
        <v>358</v>
      </c>
      <c r="K5229" s="226">
        <v>85698.6</v>
      </c>
      <c r="L5229" s="226" t="s">
        <v>348</v>
      </c>
    </row>
    <row r="5230" spans="1:14" ht="33.75" x14ac:dyDescent="0.2">
      <c r="A5230" s="133">
        <v>2022</v>
      </c>
      <c r="B5230" s="133">
        <v>1</v>
      </c>
      <c r="C5230" s="133">
        <v>1</v>
      </c>
      <c r="D5230" s="147">
        <f t="shared" si="174"/>
        <v>44562</v>
      </c>
      <c r="E5230" s="311">
        <f t="shared" si="175"/>
        <v>44562</v>
      </c>
      <c r="F5230" s="481"/>
      <c r="G5230" s="174" t="s">
        <v>94</v>
      </c>
      <c r="H5230" s="174" t="str" cm="1">
        <f t="array" ref="H5230">IFERROR(INDEX(INVESTOR_LIST[INVESTOR NAME],MATCH(I5230,INVESTOR_LIST[INVESTOR CODE],0),)," ")</f>
        <v>HARI PADA SAHA</v>
      </c>
      <c r="I5230" s="148" t="s">
        <v>370</v>
      </c>
      <c r="J5230" s="312" t="s">
        <v>13</v>
      </c>
      <c r="K5230" s="218" t="s">
        <v>348</v>
      </c>
      <c r="L5230" s="218">
        <v>65270</v>
      </c>
    </row>
    <row r="5231" spans="1:14" ht="33.75" x14ac:dyDescent="0.2">
      <c r="A5231" s="133">
        <v>2022</v>
      </c>
      <c r="B5231" s="133">
        <v>1</v>
      </c>
      <c r="C5231" s="133">
        <v>1</v>
      </c>
      <c r="D5231" s="147">
        <f t="shared" si="174"/>
        <v>44562</v>
      </c>
      <c r="E5231" s="311">
        <f t="shared" si="175"/>
        <v>44562</v>
      </c>
      <c r="F5231" s="481"/>
      <c r="G5231" s="174" t="s">
        <v>94</v>
      </c>
      <c r="H5231" s="174" t="str" cm="1">
        <f t="array" ref="H5231">IFERROR(INDEX(INVESTOR_LIST[INVESTOR NAME],MATCH(I5231,INVESTOR_LIST[INVESTOR CODE],0),)," ")</f>
        <v>HARI PADA SAHA</v>
      </c>
      <c r="I5231" s="148" t="s">
        <v>370</v>
      </c>
      <c r="J5231" s="312" t="s">
        <v>53</v>
      </c>
      <c r="K5231" s="218" t="s">
        <v>348</v>
      </c>
      <c r="L5231" s="218">
        <v>14358.740000000005</v>
      </c>
    </row>
    <row r="5232" spans="1:14" ht="33.75" x14ac:dyDescent="0.2">
      <c r="A5232" s="163">
        <v>2022</v>
      </c>
      <c r="B5232" s="163">
        <v>1</v>
      </c>
      <c r="C5232" s="163">
        <v>1</v>
      </c>
      <c r="D5232" s="144">
        <f t="shared" si="174"/>
        <v>44562</v>
      </c>
      <c r="E5232" s="313">
        <f t="shared" si="175"/>
        <v>44562</v>
      </c>
      <c r="F5232" s="480"/>
      <c r="G5232" s="221" t="s">
        <v>94</v>
      </c>
      <c r="H5232" s="221" t="str" cm="1">
        <f t="array" ref="H5232">IFERROR(INDEX(INVESTOR_LIST[INVESTOR NAME],MATCH(I5232,INVESTOR_LIST[INVESTOR CODE],0),)," ")</f>
        <v>HARI PADA SAHA</v>
      </c>
      <c r="I5232" s="145" t="s">
        <v>370</v>
      </c>
      <c r="J5232" s="314" t="s">
        <v>534</v>
      </c>
      <c r="K5232" s="219" t="s">
        <v>348</v>
      </c>
      <c r="L5232" s="219">
        <v>6069.8600000000006</v>
      </c>
    </row>
    <row r="5233" spans="1:12" ht="56.25" x14ac:dyDescent="0.2">
      <c r="A5233" s="168">
        <v>2022</v>
      </c>
      <c r="B5233" s="168">
        <v>1</v>
      </c>
      <c r="C5233" s="168">
        <v>1</v>
      </c>
      <c r="D5233" s="141">
        <f t="shared" si="174"/>
        <v>44562</v>
      </c>
      <c r="E5233" s="275">
        <f t="shared" si="175"/>
        <v>44562</v>
      </c>
      <c r="F5233" s="479" t="s">
        <v>966</v>
      </c>
      <c r="G5233" s="220" t="s">
        <v>94</v>
      </c>
      <c r="H5233" s="220" t="str" cm="1">
        <f t="array" ref="H5233">IFERROR(INDEX(INVESTOR_LIST[INVESTOR NAME],MATCH(I5233,INVESTOR_LIST[INVESTOR CODE],0),)," ")</f>
        <v>EKUSH WEALTH MANAGEMENT LIMITED</v>
      </c>
      <c r="I5233" s="142" t="s">
        <v>371</v>
      </c>
      <c r="J5233" s="310" t="s">
        <v>358</v>
      </c>
      <c r="K5233" s="226">
        <v>260000</v>
      </c>
      <c r="L5233" s="226" t="s">
        <v>348</v>
      </c>
    </row>
    <row r="5234" spans="1:12" ht="56.25" x14ac:dyDescent="0.2">
      <c r="A5234" s="133">
        <v>2022</v>
      </c>
      <c r="B5234" s="133">
        <v>1</v>
      </c>
      <c r="C5234" s="133">
        <v>1</v>
      </c>
      <c r="D5234" s="147">
        <f t="shared" si="174"/>
        <v>44562</v>
      </c>
      <c r="E5234" s="311">
        <f t="shared" si="175"/>
        <v>44562</v>
      </c>
      <c r="F5234" s="481"/>
      <c r="G5234" s="174" t="s">
        <v>94</v>
      </c>
      <c r="H5234" s="174" t="str" cm="1">
        <f t="array" ref="H5234">IFERROR(INDEX(INVESTOR_LIST[INVESTOR NAME],MATCH(I5234,INVESTOR_LIST[INVESTOR CODE],0),)," ")</f>
        <v>EKUSH WEALTH MANAGEMENT LIMITED</v>
      </c>
      <c r="I5234" s="148" t="s">
        <v>371</v>
      </c>
      <c r="J5234" s="312" t="s">
        <v>13</v>
      </c>
      <c r="K5234" s="218" t="s">
        <v>348</v>
      </c>
      <c r="L5234" s="218">
        <v>174590</v>
      </c>
    </row>
    <row r="5235" spans="1:12" ht="56.25" x14ac:dyDescent="0.2">
      <c r="A5235" s="133">
        <v>2022</v>
      </c>
      <c r="B5235" s="133">
        <v>1</v>
      </c>
      <c r="C5235" s="133">
        <v>1</v>
      </c>
      <c r="D5235" s="147">
        <f t="shared" si="174"/>
        <v>44562</v>
      </c>
      <c r="E5235" s="311">
        <f t="shared" si="175"/>
        <v>44562</v>
      </c>
      <c r="F5235" s="481"/>
      <c r="G5235" s="174" t="s">
        <v>94</v>
      </c>
      <c r="H5235" s="174" t="str" cm="1">
        <f t="array" ref="H5235">IFERROR(INDEX(INVESTOR_LIST[INVESTOR NAME],MATCH(I5235,INVESTOR_LIST[INVESTOR CODE],0),)," ")</f>
        <v>EKUSH WEALTH MANAGEMENT LIMITED</v>
      </c>
      <c r="I5235" s="148" t="s">
        <v>371</v>
      </c>
      <c r="J5235" s="312" t="s">
        <v>53</v>
      </c>
      <c r="K5235" s="218" t="s">
        <v>348</v>
      </c>
      <c r="L5235" s="218">
        <v>38410</v>
      </c>
    </row>
    <row r="5236" spans="1:12" ht="56.25" x14ac:dyDescent="0.2">
      <c r="A5236" s="163">
        <v>2022</v>
      </c>
      <c r="B5236" s="163">
        <v>1</v>
      </c>
      <c r="C5236" s="163">
        <v>1</v>
      </c>
      <c r="D5236" s="144">
        <f t="shared" si="174"/>
        <v>44562</v>
      </c>
      <c r="E5236" s="313">
        <f t="shared" si="175"/>
        <v>44562</v>
      </c>
      <c r="F5236" s="480"/>
      <c r="G5236" s="221" t="s">
        <v>94</v>
      </c>
      <c r="H5236" s="221" t="str" cm="1">
        <f t="array" ref="H5236">IFERROR(INDEX(INVESTOR_LIST[INVESTOR NAME],MATCH(I5236,INVESTOR_LIST[INVESTOR CODE],0),)," ")</f>
        <v>EKUSH WEALTH MANAGEMENT LIMITED</v>
      </c>
      <c r="I5236" s="145" t="s">
        <v>371</v>
      </c>
      <c r="J5236" s="314" t="s">
        <v>534</v>
      </c>
      <c r="K5236" s="219" t="s">
        <v>348</v>
      </c>
      <c r="L5236" s="219">
        <v>47000</v>
      </c>
    </row>
    <row r="5237" spans="1:12" ht="22.5" x14ac:dyDescent="0.2">
      <c r="A5237" s="168">
        <v>2022</v>
      </c>
      <c r="B5237" s="168">
        <v>1</v>
      </c>
      <c r="C5237" s="168">
        <v>1</v>
      </c>
      <c r="D5237" s="141">
        <f t="shared" si="174"/>
        <v>44562</v>
      </c>
      <c r="E5237" s="275">
        <f t="shared" si="175"/>
        <v>44562</v>
      </c>
      <c r="F5237" s="479" t="s">
        <v>966</v>
      </c>
      <c r="G5237" s="220" t="s">
        <v>94</v>
      </c>
      <c r="H5237" s="220" t="str" cm="1">
        <f t="array" ref="H5237">IFERROR(INDEX(INVESTOR_LIST[INVESTOR NAME],MATCH(I5237,INVESTOR_LIST[INVESTOR CODE],0),)," ")</f>
        <v>SADIA AHMED</v>
      </c>
      <c r="I5237" s="142" t="s">
        <v>372</v>
      </c>
      <c r="J5237" s="310" t="s">
        <v>358</v>
      </c>
      <c r="K5237" s="226">
        <v>428058.8</v>
      </c>
      <c r="L5237" s="226" t="s">
        <v>348</v>
      </c>
    </row>
    <row r="5238" spans="1:12" ht="22.5" x14ac:dyDescent="0.2">
      <c r="A5238" s="133">
        <v>2022</v>
      </c>
      <c r="B5238" s="133">
        <v>1</v>
      </c>
      <c r="C5238" s="133">
        <v>1</v>
      </c>
      <c r="D5238" s="147">
        <f t="shared" si="174"/>
        <v>44562</v>
      </c>
      <c r="E5238" s="311">
        <f t="shared" si="175"/>
        <v>44562</v>
      </c>
      <c r="F5238" s="481"/>
      <c r="G5238" s="174" t="s">
        <v>94</v>
      </c>
      <c r="H5238" s="174" t="str" cm="1">
        <f t="array" ref="H5238">IFERROR(INDEX(INVESTOR_LIST[INVESTOR NAME],MATCH(I5238,INVESTOR_LIST[INVESTOR CODE],0),)," ")</f>
        <v>SADIA AHMED</v>
      </c>
      <c r="I5238" s="148" t="s">
        <v>372</v>
      </c>
      <c r="J5238" s="312" t="s">
        <v>13</v>
      </c>
      <c r="K5238" s="218" t="s">
        <v>348</v>
      </c>
      <c r="L5238" s="218">
        <v>317830</v>
      </c>
    </row>
    <row r="5239" spans="1:12" ht="22.5" x14ac:dyDescent="0.2">
      <c r="A5239" s="133">
        <v>2022</v>
      </c>
      <c r="B5239" s="133">
        <v>1</v>
      </c>
      <c r="C5239" s="133">
        <v>1</v>
      </c>
      <c r="D5239" s="147">
        <f t="shared" si="174"/>
        <v>44562</v>
      </c>
      <c r="E5239" s="311">
        <f t="shared" si="175"/>
        <v>44562</v>
      </c>
      <c r="F5239" s="481"/>
      <c r="G5239" s="174" t="s">
        <v>94</v>
      </c>
      <c r="H5239" s="174" t="str" cm="1">
        <f t="array" ref="H5239">IFERROR(INDEX(INVESTOR_LIST[INVESTOR NAME],MATCH(I5239,INVESTOR_LIST[INVESTOR CODE],0),)," ")</f>
        <v>SADIA AHMED</v>
      </c>
      <c r="I5239" s="148" t="s">
        <v>372</v>
      </c>
      <c r="J5239" s="312" t="s">
        <v>53</v>
      </c>
      <c r="K5239" s="218" t="s">
        <v>348</v>
      </c>
      <c r="L5239" s="218">
        <v>69922.919999999984</v>
      </c>
    </row>
    <row r="5240" spans="1:12" ht="22.5" x14ac:dyDescent="0.2">
      <c r="A5240" s="163">
        <v>2022</v>
      </c>
      <c r="B5240" s="163">
        <v>1</v>
      </c>
      <c r="C5240" s="163">
        <v>1</v>
      </c>
      <c r="D5240" s="144">
        <f t="shared" si="174"/>
        <v>44562</v>
      </c>
      <c r="E5240" s="313">
        <f t="shared" si="175"/>
        <v>44562</v>
      </c>
      <c r="F5240" s="480"/>
      <c r="G5240" s="221" t="s">
        <v>94</v>
      </c>
      <c r="H5240" s="221" t="str" cm="1">
        <f t="array" ref="H5240">IFERROR(INDEX(INVESTOR_LIST[INVESTOR NAME],MATCH(I5240,INVESTOR_LIST[INVESTOR CODE],0),)," ")</f>
        <v>SADIA AHMED</v>
      </c>
      <c r="I5240" s="145" t="s">
        <v>372</v>
      </c>
      <c r="J5240" s="314" t="s">
        <v>534</v>
      </c>
      <c r="K5240" s="219" t="s">
        <v>348</v>
      </c>
      <c r="L5240" s="219">
        <v>40305.880000000005</v>
      </c>
    </row>
    <row r="5241" spans="1:12" ht="22.5" x14ac:dyDescent="0.2">
      <c r="A5241" s="168">
        <v>2022</v>
      </c>
      <c r="B5241" s="168">
        <v>1</v>
      </c>
      <c r="C5241" s="168">
        <v>1</v>
      </c>
      <c r="D5241" s="141">
        <f t="shared" si="174"/>
        <v>44562</v>
      </c>
      <c r="E5241" s="275">
        <f t="shared" si="175"/>
        <v>44562</v>
      </c>
      <c r="F5241" s="479" t="s">
        <v>966</v>
      </c>
      <c r="G5241" s="220" t="s">
        <v>94</v>
      </c>
      <c r="H5241" s="220" t="str" cm="1">
        <f t="array" ref="H5241">IFERROR(INDEX(INVESTOR_LIST[INVESTOR NAME],MATCH(I5241,INVESTOR_LIST[INVESTOR CODE],0),)," ")</f>
        <v>MORSHEDA MIM</v>
      </c>
      <c r="I5241" s="142" t="s">
        <v>373</v>
      </c>
      <c r="J5241" s="310" t="s">
        <v>358</v>
      </c>
      <c r="K5241" s="226">
        <v>18933.2</v>
      </c>
      <c r="L5241" s="226" t="s">
        <v>348</v>
      </c>
    </row>
    <row r="5242" spans="1:12" ht="22.5" x14ac:dyDescent="0.2">
      <c r="A5242" s="133">
        <v>2022</v>
      </c>
      <c r="B5242" s="133">
        <v>1</v>
      </c>
      <c r="C5242" s="133">
        <v>1</v>
      </c>
      <c r="D5242" s="147">
        <f t="shared" si="174"/>
        <v>44562</v>
      </c>
      <c r="E5242" s="311">
        <f t="shared" si="175"/>
        <v>44562</v>
      </c>
      <c r="F5242" s="481"/>
      <c r="G5242" s="174" t="s">
        <v>94</v>
      </c>
      <c r="H5242" s="174" t="str" cm="1">
        <f t="array" ref="H5242">IFERROR(INDEX(INVESTOR_LIST[INVESTOR NAME],MATCH(I5242,INVESTOR_LIST[INVESTOR CODE],0),)," ")</f>
        <v>MORSHEDA MIM</v>
      </c>
      <c r="I5242" s="148" t="s">
        <v>373</v>
      </c>
      <c r="J5242" s="312" t="s">
        <v>13</v>
      </c>
      <c r="K5242" s="218" t="s">
        <v>348</v>
      </c>
      <c r="L5242" s="218">
        <v>15520</v>
      </c>
    </row>
    <row r="5243" spans="1:12" ht="22.5" x14ac:dyDescent="0.2">
      <c r="A5243" s="133">
        <v>2022</v>
      </c>
      <c r="B5243" s="133">
        <v>1</v>
      </c>
      <c r="C5243" s="133">
        <v>1</v>
      </c>
      <c r="D5243" s="147">
        <f t="shared" si="174"/>
        <v>44562</v>
      </c>
      <c r="E5243" s="311">
        <f t="shared" si="175"/>
        <v>44562</v>
      </c>
      <c r="F5243" s="481"/>
      <c r="G5243" s="174" t="s">
        <v>94</v>
      </c>
      <c r="H5243" s="174" t="str" cm="1">
        <f t="array" ref="H5243">IFERROR(INDEX(INVESTOR_LIST[INVESTOR NAME],MATCH(I5243,INVESTOR_LIST[INVESTOR CODE],0),)," ")</f>
        <v>MORSHEDA MIM</v>
      </c>
      <c r="I5243" s="148" t="s">
        <v>373</v>
      </c>
      <c r="J5243" s="312" t="s">
        <v>53</v>
      </c>
      <c r="K5243" s="218" t="s">
        <v>348</v>
      </c>
      <c r="L5243" s="218">
        <v>3413.2000000000007</v>
      </c>
    </row>
    <row r="5244" spans="1:12" ht="22.5" x14ac:dyDescent="0.2">
      <c r="A5244" s="168">
        <v>2022</v>
      </c>
      <c r="B5244" s="168">
        <v>1</v>
      </c>
      <c r="C5244" s="168">
        <v>1</v>
      </c>
      <c r="D5244" s="141">
        <f t="shared" si="174"/>
        <v>44562</v>
      </c>
      <c r="E5244" s="275">
        <f t="shared" si="175"/>
        <v>44562</v>
      </c>
      <c r="F5244" s="479" t="s">
        <v>966</v>
      </c>
      <c r="G5244" s="220" t="s">
        <v>94</v>
      </c>
      <c r="H5244" s="220" t="str" cm="1">
        <f t="array" ref="H5244">IFERROR(INDEX(INVESTOR_LIST[INVESTOR NAME],MATCH(I5244,INVESTOR_LIST[INVESTOR CODE],0),)," ")</f>
        <v>SHIBBIR AHMED</v>
      </c>
      <c r="I5244" s="142" t="s">
        <v>377</v>
      </c>
      <c r="J5244" s="310" t="s">
        <v>358</v>
      </c>
      <c r="K5244" s="226">
        <v>76793.600000000006</v>
      </c>
      <c r="L5244" s="226" t="s">
        <v>348</v>
      </c>
    </row>
    <row r="5245" spans="1:12" ht="22.5" x14ac:dyDescent="0.2">
      <c r="A5245" s="133">
        <v>2022</v>
      </c>
      <c r="B5245" s="133">
        <v>1</v>
      </c>
      <c r="C5245" s="133">
        <v>1</v>
      </c>
      <c r="D5245" s="147">
        <f t="shared" si="174"/>
        <v>44562</v>
      </c>
      <c r="E5245" s="311">
        <f t="shared" si="175"/>
        <v>44562</v>
      </c>
      <c r="F5245" s="481"/>
      <c r="G5245" s="174" t="s">
        <v>94</v>
      </c>
      <c r="H5245" s="174" t="str" cm="1">
        <f t="array" ref="H5245">IFERROR(INDEX(INVESTOR_LIST[INVESTOR NAME],MATCH(I5245,INVESTOR_LIST[INVESTOR CODE],0),)," ")</f>
        <v>SHIBBIR AHMED</v>
      </c>
      <c r="I5245" s="148" t="s">
        <v>377</v>
      </c>
      <c r="J5245" s="312" t="s">
        <v>13</v>
      </c>
      <c r="K5245" s="218" t="s">
        <v>348</v>
      </c>
      <c r="L5245" s="218">
        <v>56580</v>
      </c>
    </row>
    <row r="5246" spans="1:12" ht="22.5" x14ac:dyDescent="0.2">
      <c r="A5246" s="133">
        <v>2022</v>
      </c>
      <c r="B5246" s="133">
        <v>1</v>
      </c>
      <c r="C5246" s="133">
        <v>1</v>
      </c>
      <c r="D5246" s="147">
        <f t="shared" si="174"/>
        <v>44562</v>
      </c>
      <c r="E5246" s="311">
        <f t="shared" si="175"/>
        <v>44562</v>
      </c>
      <c r="F5246" s="481"/>
      <c r="G5246" s="174" t="s">
        <v>94</v>
      </c>
      <c r="H5246" s="174" t="str" cm="1">
        <f t="array" ref="H5246">IFERROR(INDEX(INVESTOR_LIST[INVESTOR NAME],MATCH(I5246,INVESTOR_LIST[INVESTOR CODE],0),)," ")</f>
        <v>SHIBBIR AHMED</v>
      </c>
      <c r="I5246" s="148" t="s">
        <v>377</v>
      </c>
      <c r="J5246" s="312" t="s">
        <v>53</v>
      </c>
      <c r="K5246" s="218" t="s">
        <v>348</v>
      </c>
      <c r="L5246" s="218">
        <v>12444.559999999998</v>
      </c>
    </row>
    <row r="5247" spans="1:12" ht="22.5" x14ac:dyDescent="0.2">
      <c r="A5247" s="163">
        <v>2022</v>
      </c>
      <c r="B5247" s="163">
        <v>1</v>
      </c>
      <c r="C5247" s="163">
        <v>1</v>
      </c>
      <c r="D5247" s="144">
        <f t="shared" si="174"/>
        <v>44562</v>
      </c>
      <c r="E5247" s="313">
        <f t="shared" si="175"/>
        <v>44562</v>
      </c>
      <c r="F5247" s="480"/>
      <c r="G5247" s="221" t="s">
        <v>94</v>
      </c>
      <c r="H5247" s="221" t="str" cm="1">
        <f t="array" ref="H5247">IFERROR(INDEX(INVESTOR_LIST[INVESTOR NAME],MATCH(I5247,INVESTOR_LIST[INVESTOR CODE],0),)," ")</f>
        <v>SHIBBIR AHMED</v>
      </c>
      <c r="I5247" s="145" t="s">
        <v>377</v>
      </c>
      <c r="J5247" s="314" t="s">
        <v>534</v>
      </c>
      <c r="K5247" s="219" t="s">
        <v>348</v>
      </c>
      <c r="L5247" s="219">
        <v>7769.0400000000009</v>
      </c>
    </row>
    <row r="5248" spans="1:12" ht="33.75" x14ac:dyDescent="0.2">
      <c r="A5248" s="168">
        <v>2022</v>
      </c>
      <c r="B5248" s="168">
        <v>1</v>
      </c>
      <c r="C5248" s="168">
        <v>1</v>
      </c>
      <c r="D5248" s="141">
        <f t="shared" si="174"/>
        <v>44562</v>
      </c>
      <c r="E5248" s="275">
        <f t="shared" si="175"/>
        <v>44562</v>
      </c>
      <c r="F5248" s="479" t="s">
        <v>966</v>
      </c>
      <c r="G5248" s="220" t="s">
        <v>94</v>
      </c>
      <c r="H5248" s="220" t="str" cm="1">
        <f t="array" ref="H5248">IFERROR(INDEX(INVESTOR_LIST[INVESTOR NAME],MATCH(I5248,INVESTOR_LIST[INVESTOR CODE],0),)," ")</f>
        <v>ABDUL HAI BHUYAN</v>
      </c>
      <c r="I5248" s="142" t="s">
        <v>383</v>
      </c>
      <c r="J5248" s="310" t="s">
        <v>358</v>
      </c>
      <c r="K5248" s="226">
        <v>27755</v>
      </c>
      <c r="L5248" s="226" t="s">
        <v>348</v>
      </c>
    </row>
    <row r="5249" spans="1:12" ht="33.75" x14ac:dyDescent="0.2">
      <c r="A5249" s="133">
        <v>2022</v>
      </c>
      <c r="B5249" s="133">
        <v>1</v>
      </c>
      <c r="C5249" s="133">
        <v>1</v>
      </c>
      <c r="D5249" s="147">
        <f t="shared" si="174"/>
        <v>44562</v>
      </c>
      <c r="E5249" s="311">
        <f t="shared" si="175"/>
        <v>44562</v>
      </c>
      <c r="F5249" s="481"/>
      <c r="G5249" s="174" t="s">
        <v>94</v>
      </c>
      <c r="H5249" s="174" t="str" cm="1">
        <f t="array" ref="H5249">IFERROR(INDEX(INVESTOR_LIST[INVESTOR NAME],MATCH(I5249,INVESTOR_LIST[INVESTOR CODE],0),)," ")</f>
        <v>ABDUL HAI BHUYAN</v>
      </c>
      <c r="I5249" s="148" t="s">
        <v>383</v>
      </c>
      <c r="J5249" s="312" t="s">
        <v>13</v>
      </c>
      <c r="K5249" s="218" t="s">
        <v>348</v>
      </c>
      <c r="L5249" s="218">
        <v>22410</v>
      </c>
    </row>
    <row r="5250" spans="1:12" ht="33.75" x14ac:dyDescent="0.2">
      <c r="A5250" s="133">
        <v>2022</v>
      </c>
      <c r="B5250" s="133">
        <v>1</v>
      </c>
      <c r="C5250" s="133">
        <v>1</v>
      </c>
      <c r="D5250" s="147">
        <f t="shared" si="174"/>
        <v>44562</v>
      </c>
      <c r="E5250" s="311">
        <f t="shared" si="175"/>
        <v>44562</v>
      </c>
      <c r="F5250" s="481"/>
      <c r="G5250" s="174" t="s">
        <v>94</v>
      </c>
      <c r="H5250" s="174" t="str" cm="1">
        <f t="array" ref="H5250">IFERROR(INDEX(INVESTOR_LIST[INVESTOR NAME],MATCH(I5250,INVESTOR_LIST[INVESTOR CODE],0),)," ")</f>
        <v>ABDUL HAI BHUYAN</v>
      </c>
      <c r="I5250" s="148" t="s">
        <v>383</v>
      </c>
      <c r="J5250" s="312" t="s">
        <v>53</v>
      </c>
      <c r="K5250" s="218" t="s">
        <v>348</v>
      </c>
      <c r="L5250" s="218">
        <v>4931.75</v>
      </c>
    </row>
    <row r="5251" spans="1:12" ht="33.75" x14ac:dyDescent="0.2">
      <c r="A5251" s="163">
        <v>2022</v>
      </c>
      <c r="B5251" s="163">
        <v>1</v>
      </c>
      <c r="C5251" s="163">
        <v>1</v>
      </c>
      <c r="D5251" s="144">
        <f t="shared" si="174"/>
        <v>44562</v>
      </c>
      <c r="E5251" s="313">
        <f t="shared" si="175"/>
        <v>44562</v>
      </c>
      <c r="F5251" s="480"/>
      <c r="G5251" s="221" t="s">
        <v>94</v>
      </c>
      <c r="H5251" s="221" t="str" cm="1">
        <f t="array" ref="H5251">IFERROR(INDEX(INVESTOR_LIST[INVESTOR NAME],MATCH(I5251,INVESTOR_LIST[INVESTOR CODE],0),)," ")</f>
        <v>ABDUL HAI BHUYAN</v>
      </c>
      <c r="I5251" s="145" t="s">
        <v>383</v>
      </c>
      <c r="J5251" s="314" t="s">
        <v>534</v>
      </c>
      <c r="K5251" s="219" t="s">
        <v>348</v>
      </c>
      <c r="L5251" s="219">
        <v>413.25</v>
      </c>
    </row>
    <row r="5252" spans="1:12" ht="33.75" x14ac:dyDescent="0.2">
      <c r="A5252" s="168">
        <v>2022</v>
      </c>
      <c r="B5252" s="168">
        <v>1</v>
      </c>
      <c r="C5252" s="168">
        <v>1</v>
      </c>
      <c r="D5252" s="141">
        <f t="shared" si="174"/>
        <v>44562</v>
      </c>
      <c r="E5252" s="275">
        <f t="shared" si="175"/>
        <v>44562</v>
      </c>
      <c r="F5252" s="479" t="s">
        <v>966</v>
      </c>
      <c r="G5252" s="220" t="s">
        <v>94</v>
      </c>
      <c r="H5252" s="220" t="str" cm="1">
        <f t="array" ref="H5252">IFERROR(INDEX(INVESTOR_LIST[INVESTOR NAME],MATCH(I5252,INVESTOR_LIST[INVESTOR CODE],0),)," ")</f>
        <v>MRIDUL KUMAR DEY</v>
      </c>
      <c r="I5252" s="142" t="s">
        <v>388</v>
      </c>
      <c r="J5252" s="310" t="s">
        <v>358</v>
      </c>
      <c r="K5252" s="226">
        <v>27755</v>
      </c>
      <c r="L5252" s="226" t="s">
        <v>348</v>
      </c>
    </row>
    <row r="5253" spans="1:12" ht="33.75" x14ac:dyDescent="0.2">
      <c r="A5253" s="133">
        <v>2022</v>
      </c>
      <c r="B5253" s="133">
        <v>1</v>
      </c>
      <c r="C5253" s="133">
        <v>1</v>
      </c>
      <c r="D5253" s="147">
        <f t="shared" si="174"/>
        <v>44562</v>
      </c>
      <c r="E5253" s="311">
        <f t="shared" si="175"/>
        <v>44562</v>
      </c>
      <c r="F5253" s="481"/>
      <c r="G5253" s="174" t="s">
        <v>94</v>
      </c>
      <c r="H5253" s="174" t="str" cm="1">
        <f t="array" ref="H5253">IFERROR(INDEX(INVESTOR_LIST[INVESTOR NAME],MATCH(I5253,INVESTOR_LIST[INVESTOR CODE],0),)," ")</f>
        <v>MRIDUL KUMAR DEY</v>
      </c>
      <c r="I5253" s="148" t="s">
        <v>388</v>
      </c>
      <c r="J5253" s="312" t="s">
        <v>13</v>
      </c>
      <c r="K5253" s="218" t="s">
        <v>348</v>
      </c>
      <c r="L5253" s="218">
        <v>22520</v>
      </c>
    </row>
    <row r="5254" spans="1:12" ht="33.75" x14ac:dyDescent="0.2">
      <c r="A5254" s="133">
        <v>2022</v>
      </c>
      <c r="B5254" s="133">
        <v>1</v>
      </c>
      <c r="C5254" s="133">
        <v>1</v>
      </c>
      <c r="D5254" s="147">
        <f t="shared" si="174"/>
        <v>44562</v>
      </c>
      <c r="E5254" s="311">
        <f t="shared" si="175"/>
        <v>44562</v>
      </c>
      <c r="F5254" s="481"/>
      <c r="G5254" s="174" t="s">
        <v>94</v>
      </c>
      <c r="H5254" s="174" t="str" cm="1">
        <f t="array" ref="H5254">IFERROR(INDEX(INVESTOR_LIST[INVESTOR NAME],MATCH(I5254,INVESTOR_LIST[INVESTOR CODE],0),)," ")</f>
        <v>MRIDUL KUMAR DEY</v>
      </c>
      <c r="I5254" s="148" t="s">
        <v>388</v>
      </c>
      <c r="J5254" s="312" t="s">
        <v>53</v>
      </c>
      <c r="K5254" s="218" t="s">
        <v>348</v>
      </c>
      <c r="L5254" s="218">
        <v>4959.5</v>
      </c>
    </row>
    <row r="5255" spans="1:12" ht="33.75" x14ac:dyDescent="0.2">
      <c r="A5255" s="163">
        <v>2022</v>
      </c>
      <c r="B5255" s="163">
        <v>1</v>
      </c>
      <c r="C5255" s="163">
        <v>1</v>
      </c>
      <c r="D5255" s="144">
        <f t="shared" si="174"/>
        <v>44562</v>
      </c>
      <c r="E5255" s="313">
        <f t="shared" si="175"/>
        <v>44562</v>
      </c>
      <c r="F5255" s="480"/>
      <c r="G5255" s="221" t="s">
        <v>94</v>
      </c>
      <c r="H5255" s="221" t="str" cm="1">
        <f t="array" ref="H5255">IFERROR(INDEX(INVESTOR_LIST[INVESTOR NAME],MATCH(I5255,INVESTOR_LIST[INVESTOR CODE],0),)," ")</f>
        <v>MRIDUL KUMAR DEY</v>
      </c>
      <c r="I5255" s="145" t="s">
        <v>388</v>
      </c>
      <c r="J5255" s="314" t="s">
        <v>534</v>
      </c>
      <c r="K5255" s="219" t="s">
        <v>348</v>
      </c>
      <c r="L5255" s="219">
        <v>275.5</v>
      </c>
    </row>
    <row r="5256" spans="1:12" ht="22.5" x14ac:dyDescent="0.2">
      <c r="A5256" s="168">
        <v>2022</v>
      </c>
      <c r="B5256" s="168">
        <v>1</v>
      </c>
      <c r="C5256" s="168">
        <v>1</v>
      </c>
      <c r="D5256" s="141">
        <f t="shared" si="174"/>
        <v>44562</v>
      </c>
      <c r="E5256" s="275">
        <f t="shared" si="175"/>
        <v>44562</v>
      </c>
      <c r="F5256" s="479" t="s">
        <v>966</v>
      </c>
      <c r="G5256" s="220" t="s">
        <v>94</v>
      </c>
      <c r="H5256" s="220" t="str" cm="1">
        <f t="array" ref="H5256">IFERROR(INDEX(INVESTOR_LIST[INVESTOR NAME],MATCH(I5256,INVESTOR_LIST[INVESTOR CODE],0),)," ")</f>
        <v>MINHAJ UDDIN</v>
      </c>
      <c r="I5256" s="142" t="s">
        <v>390</v>
      </c>
      <c r="J5256" s="310" t="s">
        <v>358</v>
      </c>
      <c r="K5256" s="226">
        <v>17940</v>
      </c>
      <c r="L5256" s="226" t="s">
        <v>348</v>
      </c>
    </row>
    <row r="5257" spans="1:12" ht="22.5" x14ac:dyDescent="0.2">
      <c r="A5257" s="133">
        <v>2022</v>
      </c>
      <c r="B5257" s="133">
        <v>1</v>
      </c>
      <c r="C5257" s="133">
        <v>1</v>
      </c>
      <c r="D5257" s="147">
        <f t="shared" si="174"/>
        <v>44562</v>
      </c>
      <c r="E5257" s="311">
        <f t="shared" si="175"/>
        <v>44562</v>
      </c>
      <c r="F5257" s="481"/>
      <c r="G5257" s="174" t="s">
        <v>94</v>
      </c>
      <c r="H5257" s="174" t="str" cm="1">
        <f t="array" ref="H5257">IFERROR(INDEX(INVESTOR_LIST[INVESTOR NAME],MATCH(I5257,INVESTOR_LIST[INVESTOR CODE],0),)," ")</f>
        <v>MINHAJ UDDIN</v>
      </c>
      <c r="I5257" s="148" t="s">
        <v>390</v>
      </c>
      <c r="J5257" s="312" t="s">
        <v>13</v>
      </c>
      <c r="K5257" s="218" t="s">
        <v>348</v>
      </c>
      <c r="L5257" s="218">
        <v>14700</v>
      </c>
    </row>
    <row r="5258" spans="1:12" ht="22.5" x14ac:dyDescent="0.2">
      <c r="A5258" s="133">
        <v>2022</v>
      </c>
      <c r="B5258" s="133">
        <v>1</v>
      </c>
      <c r="C5258" s="133">
        <v>1</v>
      </c>
      <c r="D5258" s="147">
        <f t="shared" si="174"/>
        <v>44562</v>
      </c>
      <c r="E5258" s="311">
        <f t="shared" si="175"/>
        <v>44562</v>
      </c>
      <c r="F5258" s="481"/>
      <c r="G5258" s="174" t="s">
        <v>94</v>
      </c>
      <c r="H5258" s="174" t="str" cm="1">
        <f t="array" ref="H5258">IFERROR(INDEX(INVESTOR_LIST[INVESTOR NAME],MATCH(I5258,INVESTOR_LIST[INVESTOR CODE],0),)," ")</f>
        <v>MINHAJ UDDIN</v>
      </c>
      <c r="I5258" s="148" t="s">
        <v>390</v>
      </c>
      <c r="J5258" s="312" t="s">
        <v>53</v>
      </c>
      <c r="K5258" s="218" t="s">
        <v>348</v>
      </c>
      <c r="L5258" s="218">
        <v>3240</v>
      </c>
    </row>
    <row r="5259" spans="1:12" ht="22.5" x14ac:dyDescent="0.2">
      <c r="A5259" s="168">
        <v>2022</v>
      </c>
      <c r="B5259" s="168">
        <v>1</v>
      </c>
      <c r="C5259" s="168">
        <v>1</v>
      </c>
      <c r="D5259" s="141">
        <f t="shared" si="174"/>
        <v>44562</v>
      </c>
      <c r="E5259" s="275">
        <f t="shared" si="175"/>
        <v>44562</v>
      </c>
      <c r="F5259" s="479" t="s">
        <v>966</v>
      </c>
      <c r="G5259" s="220" t="s">
        <v>94</v>
      </c>
      <c r="H5259" s="220" t="str" cm="1">
        <f t="array" ref="H5259">IFERROR(INDEX(INVESTOR_LIST[INVESTOR NAME],MATCH(I5259,INVESTOR_LIST[INVESTOR CODE],0),)," ")</f>
        <v>FAHMIDA HAQUE</v>
      </c>
      <c r="I5259" s="142" t="s">
        <v>394</v>
      </c>
      <c r="J5259" s="310" t="s">
        <v>358</v>
      </c>
      <c r="K5259" s="226">
        <v>191074</v>
      </c>
      <c r="L5259" s="226" t="s">
        <v>348</v>
      </c>
    </row>
    <row r="5260" spans="1:12" ht="22.5" x14ac:dyDescent="0.2">
      <c r="A5260" s="133">
        <v>2022</v>
      </c>
      <c r="B5260" s="133">
        <v>1</v>
      </c>
      <c r="C5260" s="133">
        <v>1</v>
      </c>
      <c r="D5260" s="147">
        <f t="shared" si="174"/>
        <v>44562</v>
      </c>
      <c r="E5260" s="311">
        <f t="shared" si="175"/>
        <v>44562</v>
      </c>
      <c r="F5260" s="481"/>
      <c r="G5260" s="174" t="s">
        <v>94</v>
      </c>
      <c r="H5260" s="174" t="str" cm="1">
        <f t="array" ref="H5260">IFERROR(INDEX(INVESTOR_LIST[INVESTOR NAME],MATCH(I5260,INVESTOR_LIST[INVESTOR CODE],0),)," ")</f>
        <v>FAHMIDA HAQUE</v>
      </c>
      <c r="I5260" s="148" t="s">
        <v>394</v>
      </c>
      <c r="J5260" s="312" t="s">
        <v>13</v>
      </c>
      <c r="K5260" s="218" t="s">
        <v>348</v>
      </c>
      <c r="L5260" s="218">
        <v>143010</v>
      </c>
    </row>
    <row r="5261" spans="1:12" ht="22.5" x14ac:dyDescent="0.2">
      <c r="A5261" s="133">
        <v>2022</v>
      </c>
      <c r="B5261" s="133">
        <v>1</v>
      </c>
      <c r="C5261" s="133">
        <v>1</v>
      </c>
      <c r="D5261" s="147">
        <f t="shared" si="174"/>
        <v>44562</v>
      </c>
      <c r="E5261" s="311">
        <f t="shared" si="175"/>
        <v>44562</v>
      </c>
      <c r="F5261" s="481"/>
      <c r="G5261" s="174" t="s">
        <v>94</v>
      </c>
      <c r="H5261" s="174" t="str" cm="1">
        <f t="array" ref="H5261">IFERROR(INDEX(INVESTOR_LIST[INVESTOR NAME],MATCH(I5261,INVESTOR_LIST[INVESTOR CODE],0),)," ")</f>
        <v>FAHMIDA HAQUE</v>
      </c>
      <c r="I5261" s="148" t="s">
        <v>394</v>
      </c>
      <c r="J5261" s="312" t="s">
        <v>53</v>
      </c>
      <c r="K5261" s="218" t="s">
        <v>348</v>
      </c>
      <c r="L5261" s="218">
        <v>31456.600000000006</v>
      </c>
    </row>
    <row r="5262" spans="1:12" ht="22.5" x14ac:dyDescent="0.2">
      <c r="A5262" s="163">
        <v>2022</v>
      </c>
      <c r="B5262" s="163">
        <v>1</v>
      </c>
      <c r="C5262" s="163">
        <v>1</v>
      </c>
      <c r="D5262" s="144">
        <f t="shared" si="174"/>
        <v>44562</v>
      </c>
      <c r="E5262" s="313">
        <f t="shared" si="175"/>
        <v>44562</v>
      </c>
      <c r="F5262" s="480"/>
      <c r="G5262" s="221" t="s">
        <v>94</v>
      </c>
      <c r="H5262" s="221" t="str" cm="1">
        <f t="array" ref="H5262">IFERROR(INDEX(INVESTOR_LIST[INVESTOR NAME],MATCH(I5262,INVESTOR_LIST[INVESTOR CODE],0),)," ")</f>
        <v>FAHMIDA HAQUE</v>
      </c>
      <c r="I5262" s="145" t="s">
        <v>394</v>
      </c>
      <c r="J5262" s="314" t="s">
        <v>534</v>
      </c>
      <c r="K5262" s="219" t="s">
        <v>348</v>
      </c>
      <c r="L5262" s="219">
        <v>16607.400000000001</v>
      </c>
    </row>
    <row r="5263" spans="1:12" ht="45" x14ac:dyDescent="0.2">
      <c r="A5263" s="168">
        <v>2022</v>
      </c>
      <c r="B5263" s="168">
        <v>1</v>
      </c>
      <c r="C5263" s="168">
        <v>1</v>
      </c>
      <c r="D5263" s="141">
        <f t="shared" si="174"/>
        <v>44562</v>
      </c>
      <c r="E5263" s="275">
        <f t="shared" si="175"/>
        <v>44562</v>
      </c>
      <c r="F5263" s="479" t="s">
        <v>966</v>
      </c>
      <c r="G5263" s="220" t="s">
        <v>94</v>
      </c>
      <c r="H5263" s="220" t="str" cm="1">
        <f t="array" ref="H5263">IFERROR(INDEX(INVESTOR_LIST[INVESTOR NAME],MATCH(I5263,INVESTOR_LIST[INVESTOR CODE],0),)," ")</f>
        <v>TANVIR AHMED SIDDIQUI</v>
      </c>
      <c r="I5263" s="142" t="s">
        <v>400</v>
      </c>
      <c r="J5263" s="310" t="s">
        <v>358</v>
      </c>
      <c r="K5263" s="226">
        <v>13000</v>
      </c>
      <c r="L5263" s="226" t="s">
        <v>348</v>
      </c>
    </row>
    <row r="5264" spans="1:12" ht="45" x14ac:dyDescent="0.2">
      <c r="A5264" s="133">
        <v>2022</v>
      </c>
      <c r="B5264" s="133">
        <v>1</v>
      </c>
      <c r="C5264" s="133">
        <v>1</v>
      </c>
      <c r="D5264" s="147">
        <f t="shared" si="174"/>
        <v>44562</v>
      </c>
      <c r="E5264" s="311">
        <f t="shared" si="175"/>
        <v>44562</v>
      </c>
      <c r="F5264" s="481"/>
      <c r="G5264" s="174" t="s">
        <v>94</v>
      </c>
      <c r="H5264" s="174" t="str" cm="1">
        <f t="array" ref="H5264">IFERROR(INDEX(INVESTOR_LIST[INVESTOR NAME],MATCH(I5264,INVESTOR_LIST[INVESTOR CODE],0),)," ")</f>
        <v>TANVIR AHMED SIDDIQUI</v>
      </c>
      <c r="I5264" s="148" t="s">
        <v>400</v>
      </c>
      <c r="J5264" s="312" t="s">
        <v>13</v>
      </c>
      <c r="K5264" s="218" t="s">
        <v>348</v>
      </c>
      <c r="L5264" s="218">
        <v>10660</v>
      </c>
    </row>
    <row r="5265" spans="1:12" ht="45" x14ac:dyDescent="0.2">
      <c r="A5265" s="133">
        <v>2022</v>
      </c>
      <c r="B5265" s="133">
        <v>1</v>
      </c>
      <c r="C5265" s="133">
        <v>1</v>
      </c>
      <c r="D5265" s="147">
        <f t="shared" si="174"/>
        <v>44562</v>
      </c>
      <c r="E5265" s="311">
        <f t="shared" si="175"/>
        <v>44562</v>
      </c>
      <c r="F5265" s="481"/>
      <c r="G5265" s="174" t="s">
        <v>94</v>
      </c>
      <c r="H5265" s="174" t="str" cm="1">
        <f t="array" ref="H5265">IFERROR(INDEX(INVESTOR_LIST[INVESTOR NAME],MATCH(I5265,INVESTOR_LIST[INVESTOR CODE],0),)," ")</f>
        <v>TANVIR AHMED SIDDIQUI</v>
      </c>
      <c r="I5265" s="148" t="s">
        <v>400</v>
      </c>
      <c r="J5265" s="312" t="s">
        <v>53</v>
      </c>
      <c r="K5265" s="218" t="s">
        <v>348</v>
      </c>
      <c r="L5265" s="218">
        <v>2340</v>
      </c>
    </row>
    <row r="5266" spans="1:12" ht="33.75" x14ac:dyDescent="0.2">
      <c r="A5266" s="168">
        <v>2022</v>
      </c>
      <c r="B5266" s="168">
        <v>1</v>
      </c>
      <c r="C5266" s="168">
        <v>1</v>
      </c>
      <c r="D5266" s="141">
        <f t="shared" si="174"/>
        <v>44562</v>
      </c>
      <c r="E5266" s="275">
        <f t="shared" si="175"/>
        <v>44562</v>
      </c>
      <c r="F5266" s="479" t="s">
        <v>966</v>
      </c>
      <c r="G5266" s="220" t="s">
        <v>94</v>
      </c>
      <c r="H5266" s="220" t="str" cm="1">
        <f t="array" ref="H5266">IFERROR(INDEX(INVESTOR_LIST[INVESTOR NAME],MATCH(I5266,INVESTOR_LIST[INVESTOR CODE],0),)," ")</f>
        <v>M A QUAYOOM</v>
      </c>
      <c r="I5266" s="142" t="s">
        <v>412</v>
      </c>
      <c r="J5266" s="310" t="s">
        <v>358</v>
      </c>
      <c r="K5266" s="226">
        <v>325000</v>
      </c>
      <c r="L5266" s="226" t="s">
        <v>348</v>
      </c>
    </row>
    <row r="5267" spans="1:12" ht="33.75" x14ac:dyDescent="0.2">
      <c r="A5267" s="133">
        <v>2022</v>
      </c>
      <c r="B5267" s="133">
        <v>1</v>
      </c>
      <c r="C5267" s="133">
        <v>1</v>
      </c>
      <c r="D5267" s="147">
        <f t="shared" si="174"/>
        <v>44562</v>
      </c>
      <c r="E5267" s="311">
        <f t="shared" si="175"/>
        <v>44562</v>
      </c>
      <c r="F5267" s="481"/>
      <c r="G5267" s="174" t="s">
        <v>94</v>
      </c>
      <c r="H5267" s="174" t="str" cm="1">
        <f t="array" ref="H5267">IFERROR(INDEX(INVESTOR_LIST[INVESTOR NAME],MATCH(I5267,INVESTOR_LIST[INVESTOR CODE],0),)," ")</f>
        <v>M A QUAYOOM</v>
      </c>
      <c r="I5267" s="148" t="s">
        <v>412</v>
      </c>
      <c r="J5267" s="312" t="s">
        <v>13</v>
      </c>
      <c r="K5267" s="218" t="s">
        <v>348</v>
      </c>
      <c r="L5267" s="218">
        <v>241800</v>
      </c>
    </row>
    <row r="5268" spans="1:12" ht="33.75" x14ac:dyDescent="0.2">
      <c r="A5268" s="133">
        <v>2022</v>
      </c>
      <c r="B5268" s="133">
        <v>1</v>
      </c>
      <c r="C5268" s="133">
        <v>1</v>
      </c>
      <c r="D5268" s="147">
        <f t="shared" si="174"/>
        <v>44562</v>
      </c>
      <c r="E5268" s="311">
        <f t="shared" si="175"/>
        <v>44562</v>
      </c>
      <c r="F5268" s="481"/>
      <c r="G5268" s="174" t="s">
        <v>94</v>
      </c>
      <c r="H5268" s="174" t="str" cm="1">
        <f t="array" ref="H5268">IFERROR(INDEX(INVESTOR_LIST[INVESTOR NAME],MATCH(I5268,INVESTOR_LIST[INVESTOR CODE],0),)," ")</f>
        <v>M A QUAYOOM</v>
      </c>
      <c r="I5268" s="148" t="s">
        <v>412</v>
      </c>
      <c r="J5268" s="312" t="s">
        <v>53</v>
      </c>
      <c r="K5268" s="218" t="s">
        <v>348</v>
      </c>
      <c r="L5268" s="218">
        <v>53200</v>
      </c>
    </row>
    <row r="5269" spans="1:12" ht="33.75" x14ac:dyDescent="0.2">
      <c r="A5269" s="163">
        <v>2022</v>
      </c>
      <c r="B5269" s="163">
        <v>1</v>
      </c>
      <c r="C5269" s="163">
        <v>1</v>
      </c>
      <c r="D5269" s="144">
        <f t="shared" si="174"/>
        <v>44562</v>
      </c>
      <c r="E5269" s="313">
        <f t="shared" si="175"/>
        <v>44562</v>
      </c>
      <c r="F5269" s="480"/>
      <c r="G5269" s="221" t="s">
        <v>94</v>
      </c>
      <c r="H5269" s="221" t="str" cm="1">
        <f t="array" ref="H5269">IFERROR(INDEX(INVESTOR_LIST[INVESTOR NAME],MATCH(I5269,INVESTOR_LIST[INVESTOR CODE],0),)," ")</f>
        <v>M A QUAYOOM</v>
      </c>
      <c r="I5269" s="145" t="s">
        <v>412</v>
      </c>
      <c r="J5269" s="314" t="s">
        <v>534</v>
      </c>
      <c r="K5269" s="219" t="s">
        <v>348</v>
      </c>
      <c r="L5269" s="219">
        <v>30000</v>
      </c>
    </row>
    <row r="5270" spans="1:12" ht="56.25" x14ac:dyDescent="0.2">
      <c r="A5270" s="168">
        <v>2022</v>
      </c>
      <c r="B5270" s="168">
        <v>1</v>
      </c>
      <c r="C5270" s="168">
        <v>1</v>
      </c>
      <c r="D5270" s="141">
        <f t="shared" si="174"/>
        <v>44562</v>
      </c>
      <c r="E5270" s="275">
        <f t="shared" si="175"/>
        <v>44562</v>
      </c>
      <c r="F5270" s="479" t="s">
        <v>966</v>
      </c>
      <c r="G5270" s="220" t="s">
        <v>94</v>
      </c>
      <c r="H5270" s="220" t="str" cm="1">
        <f t="array" ref="H5270">IFERROR(INDEX(INVESTOR_LIST[INVESTOR NAME],MATCH(I5270,INVESTOR_LIST[INVESTOR CODE],0),)," ")</f>
        <v>AROORA SAMEERA CHOWDHURY</v>
      </c>
      <c r="I5270" s="142" t="s">
        <v>413</v>
      </c>
      <c r="J5270" s="310" t="s">
        <v>358</v>
      </c>
      <c r="K5270" s="226">
        <v>10062</v>
      </c>
      <c r="L5270" s="226" t="s">
        <v>348</v>
      </c>
    </row>
    <row r="5271" spans="1:12" ht="56.25" x14ac:dyDescent="0.2">
      <c r="A5271" s="133">
        <v>2022</v>
      </c>
      <c r="B5271" s="133">
        <v>1</v>
      </c>
      <c r="C5271" s="133">
        <v>1</v>
      </c>
      <c r="D5271" s="147">
        <f t="shared" si="174"/>
        <v>44562</v>
      </c>
      <c r="E5271" s="311">
        <f t="shared" si="175"/>
        <v>44562</v>
      </c>
      <c r="F5271" s="481"/>
      <c r="G5271" s="174" t="s">
        <v>94</v>
      </c>
      <c r="H5271" s="174" t="str" cm="1">
        <f t="array" ref="H5271">IFERROR(INDEX(INVESTOR_LIST[INVESTOR NAME],MATCH(I5271,INVESTOR_LIST[INVESTOR CODE],0),)," ")</f>
        <v>AROORA SAMEERA CHOWDHURY</v>
      </c>
      <c r="I5271" s="148" t="s">
        <v>413</v>
      </c>
      <c r="J5271" s="312" t="s">
        <v>13</v>
      </c>
      <c r="K5271" s="218" t="s">
        <v>348</v>
      </c>
      <c r="L5271" s="218">
        <v>8250</v>
      </c>
    </row>
    <row r="5272" spans="1:12" ht="56.25" x14ac:dyDescent="0.2">
      <c r="A5272" s="133">
        <v>2022</v>
      </c>
      <c r="B5272" s="133">
        <v>1</v>
      </c>
      <c r="C5272" s="133">
        <v>1</v>
      </c>
      <c r="D5272" s="147">
        <f t="shared" si="174"/>
        <v>44562</v>
      </c>
      <c r="E5272" s="311">
        <f t="shared" si="175"/>
        <v>44562</v>
      </c>
      <c r="F5272" s="481"/>
      <c r="G5272" s="174" t="s">
        <v>94</v>
      </c>
      <c r="H5272" s="174" t="str" cm="1">
        <f t="array" ref="H5272">IFERROR(INDEX(INVESTOR_LIST[INVESTOR NAME],MATCH(I5272,INVESTOR_LIST[INVESTOR CODE],0),)," ")</f>
        <v>AROORA SAMEERA CHOWDHURY</v>
      </c>
      <c r="I5272" s="148" t="s">
        <v>413</v>
      </c>
      <c r="J5272" s="312" t="s">
        <v>53</v>
      </c>
      <c r="K5272" s="218" t="s">
        <v>348</v>
      </c>
      <c r="L5272" s="218">
        <v>1812</v>
      </c>
    </row>
    <row r="5273" spans="1:12" ht="45" x14ac:dyDescent="0.2">
      <c r="A5273" s="168">
        <v>2022</v>
      </c>
      <c r="B5273" s="168">
        <v>1</v>
      </c>
      <c r="C5273" s="168">
        <v>1</v>
      </c>
      <c r="D5273" s="141">
        <f t="shared" si="174"/>
        <v>44562</v>
      </c>
      <c r="E5273" s="275">
        <f t="shared" si="175"/>
        <v>44562</v>
      </c>
      <c r="F5273" s="479" t="s">
        <v>966</v>
      </c>
      <c r="G5273" s="220" t="s">
        <v>94</v>
      </c>
      <c r="H5273" s="220" t="str" cm="1">
        <f t="array" ref="H5273">IFERROR(INDEX(INVESTOR_LIST[INVESTOR NAME],MATCH(I5273,INVESTOR_LIST[INVESTOR CODE],0),)," ")</f>
        <v>MD. SAJEDUL HUDA NOVEL</v>
      </c>
      <c r="I5273" s="142" t="s">
        <v>416</v>
      </c>
      <c r="J5273" s="310" t="s">
        <v>358</v>
      </c>
      <c r="K5273" s="226">
        <v>44956.6</v>
      </c>
      <c r="L5273" s="226" t="s">
        <v>348</v>
      </c>
    </row>
    <row r="5274" spans="1:12" ht="45" x14ac:dyDescent="0.2">
      <c r="A5274" s="133">
        <v>2022</v>
      </c>
      <c r="B5274" s="133">
        <v>1</v>
      </c>
      <c r="C5274" s="133">
        <v>1</v>
      </c>
      <c r="D5274" s="147">
        <f t="shared" si="174"/>
        <v>44562</v>
      </c>
      <c r="E5274" s="311">
        <f t="shared" si="175"/>
        <v>44562</v>
      </c>
      <c r="F5274" s="481"/>
      <c r="G5274" s="174" t="s">
        <v>94</v>
      </c>
      <c r="H5274" s="174" t="str" cm="1">
        <f t="array" ref="H5274">IFERROR(INDEX(INVESTOR_LIST[INVESTOR NAME],MATCH(I5274,INVESTOR_LIST[INVESTOR CODE],0),)," ")</f>
        <v>MD. SAJEDUL HUDA NOVEL</v>
      </c>
      <c r="I5274" s="148" t="s">
        <v>416</v>
      </c>
      <c r="J5274" s="312" t="s">
        <v>13</v>
      </c>
      <c r="K5274" s="218" t="s">
        <v>348</v>
      </c>
      <c r="L5274" s="218">
        <v>35210</v>
      </c>
    </row>
    <row r="5275" spans="1:12" ht="45" x14ac:dyDescent="0.2">
      <c r="A5275" s="133">
        <v>2022</v>
      </c>
      <c r="B5275" s="133">
        <v>1</v>
      </c>
      <c r="C5275" s="133">
        <v>1</v>
      </c>
      <c r="D5275" s="147">
        <f t="shared" si="174"/>
        <v>44562</v>
      </c>
      <c r="E5275" s="311">
        <f t="shared" si="175"/>
        <v>44562</v>
      </c>
      <c r="F5275" s="481"/>
      <c r="G5275" s="174" t="s">
        <v>94</v>
      </c>
      <c r="H5275" s="174" t="str" cm="1">
        <f t="array" ref="H5275">IFERROR(INDEX(INVESTOR_LIST[INVESTOR NAME],MATCH(I5275,INVESTOR_LIST[INVESTOR CODE],0),)," ")</f>
        <v>MD. SAJEDUL HUDA NOVEL</v>
      </c>
      <c r="I5275" s="148" t="s">
        <v>416</v>
      </c>
      <c r="J5275" s="312" t="s">
        <v>53</v>
      </c>
      <c r="K5275" s="218" t="s">
        <v>348</v>
      </c>
      <c r="L5275" s="218">
        <v>7750.9400000000023</v>
      </c>
    </row>
    <row r="5276" spans="1:12" ht="45" x14ac:dyDescent="0.2">
      <c r="A5276" s="163">
        <v>2022</v>
      </c>
      <c r="B5276" s="163">
        <v>1</v>
      </c>
      <c r="C5276" s="163">
        <v>1</v>
      </c>
      <c r="D5276" s="144">
        <f t="shared" si="174"/>
        <v>44562</v>
      </c>
      <c r="E5276" s="313">
        <f t="shared" si="175"/>
        <v>44562</v>
      </c>
      <c r="F5276" s="480"/>
      <c r="G5276" s="221" t="s">
        <v>94</v>
      </c>
      <c r="H5276" s="221" t="str" cm="1">
        <f t="array" ref="H5276">IFERROR(INDEX(INVESTOR_LIST[INVESTOR NAME],MATCH(I5276,INVESTOR_LIST[INVESTOR CODE],0),)," ")</f>
        <v>MD. SAJEDUL HUDA NOVEL</v>
      </c>
      <c r="I5276" s="145" t="s">
        <v>416</v>
      </c>
      <c r="J5276" s="314" t="s">
        <v>534</v>
      </c>
      <c r="K5276" s="219" t="s">
        <v>348</v>
      </c>
      <c r="L5276" s="219">
        <v>1995.6599999999999</v>
      </c>
    </row>
    <row r="5277" spans="1:12" ht="45" x14ac:dyDescent="0.2">
      <c r="A5277" s="168">
        <v>2022</v>
      </c>
      <c r="B5277" s="168">
        <v>1</v>
      </c>
      <c r="C5277" s="168">
        <v>1</v>
      </c>
      <c r="D5277" s="141">
        <f t="shared" si="174"/>
        <v>44562</v>
      </c>
      <c r="E5277" s="275">
        <f t="shared" si="175"/>
        <v>44562</v>
      </c>
      <c r="F5277" s="479" t="s">
        <v>966</v>
      </c>
      <c r="G5277" s="220" t="s">
        <v>94</v>
      </c>
      <c r="H5277" s="220" t="str" cm="1">
        <f t="array" ref="H5277">IFERROR(INDEX(INVESTOR_LIST[INVESTOR NAME],MATCH(I5277,INVESTOR_LIST[INVESTOR CODE],0),)," ")</f>
        <v>SATCOM IT LTD. PROVIDENT FUND</v>
      </c>
      <c r="I5277" s="142" t="s">
        <v>419</v>
      </c>
      <c r="J5277" s="310" t="s">
        <v>358</v>
      </c>
      <c r="K5277" s="226">
        <v>130000</v>
      </c>
      <c r="L5277" s="226" t="s">
        <v>348</v>
      </c>
    </row>
    <row r="5278" spans="1:12" ht="45" x14ac:dyDescent="0.2">
      <c r="A5278" s="133">
        <v>2022</v>
      </c>
      <c r="B5278" s="133">
        <v>1</v>
      </c>
      <c r="C5278" s="133">
        <v>1</v>
      </c>
      <c r="D5278" s="147">
        <f t="shared" si="174"/>
        <v>44562</v>
      </c>
      <c r="E5278" s="311">
        <f t="shared" si="175"/>
        <v>44562</v>
      </c>
      <c r="F5278" s="481"/>
      <c r="G5278" s="174" t="s">
        <v>94</v>
      </c>
      <c r="H5278" s="174" t="str" cm="1">
        <f t="array" ref="H5278">IFERROR(INDEX(INVESTOR_LIST[INVESTOR NAME],MATCH(I5278,INVESTOR_LIST[INVESTOR CODE],0),)," ")</f>
        <v>SATCOM IT LTD. PROVIDENT FUND</v>
      </c>
      <c r="I5278" s="148" t="s">
        <v>419</v>
      </c>
      <c r="J5278" s="312" t="s">
        <v>13</v>
      </c>
      <c r="K5278" s="218" t="s">
        <v>348</v>
      </c>
      <c r="L5278" s="218">
        <v>102250</v>
      </c>
    </row>
    <row r="5279" spans="1:12" ht="45" x14ac:dyDescent="0.2">
      <c r="A5279" s="133">
        <v>2022</v>
      </c>
      <c r="B5279" s="133">
        <v>1</v>
      </c>
      <c r="C5279" s="133">
        <v>1</v>
      </c>
      <c r="D5279" s="147">
        <f t="shared" si="174"/>
        <v>44562</v>
      </c>
      <c r="E5279" s="311">
        <f t="shared" si="175"/>
        <v>44562</v>
      </c>
      <c r="F5279" s="481"/>
      <c r="G5279" s="174" t="s">
        <v>94</v>
      </c>
      <c r="H5279" s="174" t="str" cm="1">
        <f t="array" ref="H5279">IFERROR(INDEX(INVESTOR_LIST[INVESTOR NAME],MATCH(I5279,INVESTOR_LIST[INVESTOR CODE],0),)," ")</f>
        <v>SATCOM IT LTD. PROVIDENT FUND</v>
      </c>
      <c r="I5279" s="148" t="s">
        <v>419</v>
      </c>
      <c r="J5279" s="312" t="s">
        <v>53</v>
      </c>
      <c r="K5279" s="218" t="s">
        <v>348</v>
      </c>
      <c r="L5279" s="218">
        <v>22500</v>
      </c>
    </row>
    <row r="5280" spans="1:12" ht="45" x14ac:dyDescent="0.2">
      <c r="A5280" s="163">
        <v>2022</v>
      </c>
      <c r="B5280" s="163">
        <v>1</v>
      </c>
      <c r="C5280" s="163">
        <v>1</v>
      </c>
      <c r="D5280" s="144">
        <f t="shared" si="174"/>
        <v>44562</v>
      </c>
      <c r="E5280" s="313">
        <f t="shared" si="175"/>
        <v>44562</v>
      </c>
      <c r="F5280" s="480"/>
      <c r="G5280" s="221" t="s">
        <v>94</v>
      </c>
      <c r="H5280" s="221" t="str" cm="1">
        <f t="array" ref="H5280">IFERROR(INDEX(INVESTOR_LIST[INVESTOR NAME],MATCH(I5280,INVESTOR_LIST[INVESTOR CODE],0),)," ")</f>
        <v>SATCOM IT LTD. PROVIDENT FUND</v>
      </c>
      <c r="I5280" s="145" t="s">
        <v>419</v>
      </c>
      <c r="J5280" s="314" t="s">
        <v>534</v>
      </c>
      <c r="K5280" s="219" t="s">
        <v>348</v>
      </c>
      <c r="L5280" s="219">
        <v>5250</v>
      </c>
    </row>
    <row r="5281" spans="1:13" ht="22.5" x14ac:dyDescent="0.2">
      <c r="A5281" s="168">
        <v>2022</v>
      </c>
      <c r="B5281" s="168">
        <v>1</v>
      </c>
      <c r="C5281" s="168">
        <v>1</v>
      </c>
      <c r="D5281" s="141">
        <f t="shared" si="174"/>
        <v>44562</v>
      </c>
      <c r="E5281" s="275">
        <f t="shared" si="175"/>
        <v>44562</v>
      </c>
      <c r="F5281" s="479" t="s">
        <v>966</v>
      </c>
      <c r="G5281" s="220" t="s">
        <v>94</v>
      </c>
      <c r="H5281" s="220" t="str" cm="1">
        <f t="array" ref="H5281">IFERROR(INDEX(INVESTOR_LIST[INVESTOR NAME],MATCH(I5281,INVESTOR_LIST[INVESTOR CODE],0),)," ")</f>
        <v>FARDINA HAFIZ</v>
      </c>
      <c r="I5281" s="142" t="s">
        <v>420</v>
      </c>
      <c r="J5281" s="310" t="s">
        <v>358</v>
      </c>
      <c r="K5281" s="226">
        <v>52000</v>
      </c>
      <c r="L5281" s="226" t="s">
        <v>348</v>
      </c>
    </row>
    <row r="5282" spans="1:13" ht="22.5" x14ac:dyDescent="0.2">
      <c r="A5282" s="133">
        <v>2022</v>
      </c>
      <c r="B5282" s="133">
        <v>1</v>
      </c>
      <c r="C5282" s="133">
        <v>1</v>
      </c>
      <c r="D5282" s="147">
        <f t="shared" si="174"/>
        <v>44562</v>
      </c>
      <c r="E5282" s="311">
        <f t="shared" si="175"/>
        <v>44562</v>
      </c>
      <c r="F5282" s="481"/>
      <c r="G5282" s="174" t="s">
        <v>94</v>
      </c>
      <c r="H5282" s="174" t="str" cm="1">
        <f t="array" ref="H5282">IFERROR(INDEX(INVESTOR_LIST[INVESTOR NAME],MATCH(I5282,INVESTOR_LIST[INVESTOR CODE],0),)," ")</f>
        <v>FARDINA HAFIZ</v>
      </c>
      <c r="I5282" s="148" t="s">
        <v>420</v>
      </c>
      <c r="J5282" s="312" t="s">
        <v>13</v>
      </c>
      <c r="K5282" s="218" t="s">
        <v>348</v>
      </c>
      <c r="L5282" s="218">
        <v>40410</v>
      </c>
    </row>
    <row r="5283" spans="1:13" ht="22.5" x14ac:dyDescent="0.2">
      <c r="A5283" s="133">
        <v>2022</v>
      </c>
      <c r="B5283" s="133">
        <v>1</v>
      </c>
      <c r="C5283" s="133">
        <v>1</v>
      </c>
      <c r="D5283" s="147">
        <f t="shared" si="174"/>
        <v>44562</v>
      </c>
      <c r="E5283" s="311">
        <f t="shared" si="175"/>
        <v>44562</v>
      </c>
      <c r="F5283" s="481"/>
      <c r="G5283" s="174" t="s">
        <v>94</v>
      </c>
      <c r="H5283" s="174" t="str" cm="1">
        <f t="array" ref="H5283">IFERROR(INDEX(INVESTOR_LIST[INVESTOR NAME],MATCH(I5283,INVESTOR_LIST[INVESTOR CODE],0),)," ")</f>
        <v>FARDINA HAFIZ</v>
      </c>
      <c r="I5283" s="148" t="s">
        <v>420</v>
      </c>
      <c r="J5283" s="312" t="s">
        <v>53</v>
      </c>
      <c r="K5283" s="218" t="s">
        <v>348</v>
      </c>
      <c r="L5283" s="218">
        <v>8890</v>
      </c>
    </row>
    <row r="5284" spans="1:13" ht="22.5" x14ac:dyDescent="0.2">
      <c r="A5284" s="163">
        <v>2022</v>
      </c>
      <c r="B5284" s="163">
        <v>1</v>
      </c>
      <c r="C5284" s="163">
        <v>1</v>
      </c>
      <c r="D5284" s="144">
        <f t="shared" si="174"/>
        <v>44562</v>
      </c>
      <c r="E5284" s="313">
        <f t="shared" si="175"/>
        <v>44562</v>
      </c>
      <c r="F5284" s="480"/>
      <c r="G5284" s="221" t="s">
        <v>94</v>
      </c>
      <c r="H5284" s="221" t="str" cm="1">
        <f t="array" ref="H5284">IFERROR(INDEX(INVESTOR_LIST[INVESTOR NAME],MATCH(I5284,INVESTOR_LIST[INVESTOR CODE],0),)," ")</f>
        <v>FARDINA HAFIZ</v>
      </c>
      <c r="I5284" s="145" t="s">
        <v>420</v>
      </c>
      <c r="J5284" s="314" t="s">
        <v>534</v>
      </c>
      <c r="K5284" s="219" t="s">
        <v>348</v>
      </c>
      <c r="L5284" s="219">
        <v>2700</v>
      </c>
    </row>
    <row r="5285" spans="1:13" ht="22.5" x14ac:dyDescent="0.2">
      <c r="A5285" s="168">
        <v>2022</v>
      </c>
      <c r="B5285" s="168">
        <v>1</v>
      </c>
      <c r="C5285" s="168">
        <v>1</v>
      </c>
      <c r="D5285" s="141">
        <f t="shared" si="174"/>
        <v>44562</v>
      </c>
      <c r="E5285" s="275">
        <f t="shared" si="175"/>
        <v>44562</v>
      </c>
      <c r="F5285" s="479" t="s">
        <v>966</v>
      </c>
      <c r="G5285" s="220" t="s">
        <v>94</v>
      </c>
      <c r="H5285" s="220" t="str" cm="1">
        <f t="array" ref="H5285">IFERROR(INDEX(INVESTOR_LIST[INVESTOR NAME],MATCH(I5285,INVESTOR_LIST[INVESTOR CODE],0),)," ")</f>
        <v>SHUVA SAHA</v>
      </c>
      <c r="I5285" s="142" t="s">
        <v>421</v>
      </c>
      <c r="J5285" s="310" t="s">
        <v>358</v>
      </c>
      <c r="K5285" s="226">
        <v>431.6</v>
      </c>
      <c r="L5285" s="226" t="s">
        <v>348</v>
      </c>
    </row>
    <row r="5286" spans="1:13" ht="22.5" x14ac:dyDescent="0.2">
      <c r="A5286" s="133">
        <v>2022</v>
      </c>
      <c r="B5286" s="133">
        <v>1</v>
      </c>
      <c r="C5286" s="133">
        <v>1</v>
      </c>
      <c r="D5286" s="147">
        <f t="shared" si="174"/>
        <v>44562</v>
      </c>
      <c r="E5286" s="311">
        <f t="shared" si="175"/>
        <v>44562</v>
      </c>
      <c r="F5286" s="481"/>
      <c r="G5286" s="174" t="s">
        <v>94</v>
      </c>
      <c r="H5286" s="174" t="str" cm="1">
        <f t="array" ref="H5286">IFERROR(INDEX(INVESTOR_LIST[INVESTOR NAME],MATCH(I5286,INVESTOR_LIST[INVESTOR CODE],0),)," ")</f>
        <v>SHUVA SAHA</v>
      </c>
      <c r="I5286" s="148" t="s">
        <v>421</v>
      </c>
      <c r="J5286" s="312" t="s">
        <v>13</v>
      </c>
      <c r="K5286" s="218" t="s">
        <v>348</v>
      </c>
      <c r="L5286" s="218">
        <v>350</v>
      </c>
    </row>
    <row r="5287" spans="1:13" ht="22.5" x14ac:dyDescent="0.2">
      <c r="A5287" s="133">
        <v>2022</v>
      </c>
      <c r="B5287" s="133">
        <v>1</v>
      </c>
      <c r="C5287" s="133">
        <v>1</v>
      </c>
      <c r="D5287" s="147">
        <f t="shared" si="174"/>
        <v>44562</v>
      </c>
      <c r="E5287" s="311">
        <f t="shared" si="175"/>
        <v>44562</v>
      </c>
      <c r="F5287" s="481"/>
      <c r="G5287" s="174" t="s">
        <v>94</v>
      </c>
      <c r="H5287" s="174" t="str" cm="1">
        <f t="array" ref="H5287">IFERROR(INDEX(INVESTOR_LIST[INVESTOR NAME],MATCH(I5287,INVESTOR_LIST[INVESTOR CODE],0),)," ")</f>
        <v>SHUVA SAHA</v>
      </c>
      <c r="I5287" s="148" t="s">
        <v>421</v>
      </c>
      <c r="J5287" s="312" t="s">
        <v>53</v>
      </c>
      <c r="K5287" s="218" t="s">
        <v>348</v>
      </c>
      <c r="L5287" s="218">
        <v>81.600000000000023</v>
      </c>
    </row>
    <row r="5288" spans="1:13" ht="22.5" x14ac:dyDescent="0.2">
      <c r="A5288" s="168">
        <v>2022</v>
      </c>
      <c r="B5288" s="168">
        <v>1</v>
      </c>
      <c r="C5288" s="168">
        <v>1</v>
      </c>
      <c r="D5288" s="141">
        <f t="shared" si="174"/>
        <v>44562</v>
      </c>
      <c r="E5288" s="275">
        <f t="shared" si="175"/>
        <v>44562</v>
      </c>
      <c r="F5288" s="479" t="s">
        <v>966</v>
      </c>
      <c r="G5288" s="220" t="s">
        <v>94</v>
      </c>
      <c r="H5288" s="220" t="str" cm="1">
        <f t="array" ref="H5288">IFERROR(INDEX(INVESTOR_LIST[INVESTOR NAME],MATCH(I5288,INVESTOR_LIST[INVESTOR CODE],0),)," ")</f>
        <v>ASIF AHMED</v>
      </c>
      <c r="I5288" s="142" t="s">
        <v>430</v>
      </c>
      <c r="J5288" s="310" t="s">
        <v>358</v>
      </c>
      <c r="K5288" s="226">
        <v>41301</v>
      </c>
      <c r="L5288" s="226" t="s">
        <v>348</v>
      </c>
    </row>
    <row r="5289" spans="1:13" ht="22.5" x14ac:dyDescent="0.2">
      <c r="A5289" s="133">
        <v>2022</v>
      </c>
      <c r="B5289" s="133">
        <v>1</v>
      </c>
      <c r="C5289" s="133">
        <v>1</v>
      </c>
      <c r="D5289" s="147">
        <f t="shared" si="174"/>
        <v>44562</v>
      </c>
      <c r="E5289" s="311">
        <f t="shared" si="175"/>
        <v>44562</v>
      </c>
      <c r="F5289" s="481"/>
      <c r="G5289" s="174" t="s">
        <v>94</v>
      </c>
      <c r="H5289" s="174" t="str" cm="1">
        <f t="array" ref="H5289">IFERROR(INDEX(INVESTOR_LIST[INVESTOR NAME],MATCH(I5289,INVESTOR_LIST[INVESTOR CODE],0),)," ")</f>
        <v>ASIF AHMED</v>
      </c>
      <c r="I5289" s="148" t="s">
        <v>430</v>
      </c>
      <c r="J5289" s="312" t="s">
        <v>13</v>
      </c>
      <c r="K5289" s="218" t="s">
        <v>348</v>
      </c>
      <c r="L5289" s="218">
        <v>32520</v>
      </c>
    </row>
    <row r="5290" spans="1:13" ht="22.5" x14ac:dyDescent="0.2">
      <c r="A5290" s="133">
        <v>2022</v>
      </c>
      <c r="B5290" s="133">
        <v>1</v>
      </c>
      <c r="C5290" s="133">
        <v>1</v>
      </c>
      <c r="D5290" s="147">
        <f t="shared" si="174"/>
        <v>44562</v>
      </c>
      <c r="E5290" s="311">
        <f t="shared" si="175"/>
        <v>44562</v>
      </c>
      <c r="F5290" s="481"/>
      <c r="G5290" s="174" t="s">
        <v>94</v>
      </c>
      <c r="H5290" s="174" t="str" cm="1">
        <f t="array" ref="H5290">IFERROR(INDEX(INVESTOR_LIST[INVESTOR NAME],MATCH(I5290,INVESTOR_LIST[INVESTOR CODE],0),)," ")</f>
        <v>ASIF AHMED</v>
      </c>
      <c r="I5290" s="148" t="s">
        <v>430</v>
      </c>
      <c r="J5290" s="312" t="s">
        <v>53</v>
      </c>
      <c r="K5290" s="218" t="s">
        <v>348</v>
      </c>
      <c r="L5290" s="218">
        <v>7150.9000000000015</v>
      </c>
    </row>
    <row r="5291" spans="1:13" ht="22.5" x14ac:dyDescent="0.2">
      <c r="A5291" s="163">
        <v>2022</v>
      </c>
      <c r="B5291" s="163">
        <v>1</v>
      </c>
      <c r="C5291" s="163">
        <v>1</v>
      </c>
      <c r="D5291" s="144">
        <f t="shared" si="174"/>
        <v>44562</v>
      </c>
      <c r="E5291" s="313">
        <f t="shared" si="175"/>
        <v>44562</v>
      </c>
      <c r="F5291" s="480"/>
      <c r="G5291" s="221" t="s">
        <v>94</v>
      </c>
      <c r="H5291" s="221" t="str" cm="1">
        <f t="array" ref="H5291">IFERROR(INDEX(INVESTOR_LIST[INVESTOR NAME],MATCH(I5291,INVESTOR_LIST[INVESTOR CODE],0),)," ")</f>
        <v>ASIF AHMED</v>
      </c>
      <c r="I5291" s="145" t="s">
        <v>430</v>
      </c>
      <c r="J5291" s="314" t="s">
        <v>534</v>
      </c>
      <c r="K5291" s="219" t="s">
        <v>348</v>
      </c>
      <c r="L5291" s="219">
        <v>1630.1000000000001</v>
      </c>
    </row>
    <row r="5292" spans="1:13" ht="33.75" x14ac:dyDescent="0.2">
      <c r="A5292" s="168">
        <v>2022</v>
      </c>
      <c r="B5292" s="168">
        <v>1</v>
      </c>
      <c r="C5292" s="168">
        <v>1</v>
      </c>
      <c r="D5292" s="141">
        <f t="shared" si="174"/>
        <v>44562</v>
      </c>
      <c r="E5292" s="275">
        <f t="shared" si="175"/>
        <v>44562</v>
      </c>
      <c r="F5292" s="479" t="s">
        <v>966</v>
      </c>
      <c r="G5292" s="220" t="s">
        <v>94</v>
      </c>
      <c r="H5292" s="220" t="str" cm="1">
        <f t="array" ref="H5292">IFERROR(INDEX(INVESTOR_LIST[INVESTOR NAME],MATCH(I5292,INVESTOR_LIST[INVESTOR CODE],0),)," ")</f>
        <v>AHMAD ZAHID ZAKI</v>
      </c>
      <c r="I5292" s="142" t="s">
        <v>432</v>
      </c>
      <c r="J5292" s="310" t="s">
        <v>358</v>
      </c>
      <c r="K5292" s="226">
        <v>14396.2</v>
      </c>
      <c r="L5292" s="226" t="s">
        <v>348</v>
      </c>
    </row>
    <row r="5293" spans="1:13" ht="33.75" x14ac:dyDescent="0.2">
      <c r="A5293" s="133">
        <v>2022</v>
      </c>
      <c r="B5293" s="133">
        <v>1</v>
      </c>
      <c r="C5293" s="133">
        <v>1</v>
      </c>
      <c r="D5293" s="147">
        <f t="shared" si="174"/>
        <v>44562</v>
      </c>
      <c r="E5293" s="311">
        <f t="shared" si="175"/>
        <v>44562</v>
      </c>
      <c r="F5293" s="481"/>
      <c r="G5293" s="174" t="s">
        <v>94</v>
      </c>
      <c r="H5293" s="174" t="str" cm="1">
        <f t="array" ref="H5293">IFERROR(INDEX(INVESTOR_LIST[INVESTOR NAME],MATCH(I5293,INVESTOR_LIST[INVESTOR CODE],0),)," ")</f>
        <v>AHMAD ZAHID ZAKI</v>
      </c>
      <c r="I5293" s="148" t="s">
        <v>432</v>
      </c>
      <c r="J5293" s="312" t="s">
        <v>13</v>
      </c>
      <c r="K5293" s="218" t="s">
        <v>348</v>
      </c>
      <c r="L5293" s="218">
        <v>11800</v>
      </c>
    </row>
    <row r="5294" spans="1:13" ht="33.75" x14ac:dyDescent="0.2">
      <c r="A5294" s="133">
        <v>2022</v>
      </c>
      <c r="B5294" s="133">
        <v>1</v>
      </c>
      <c r="C5294" s="133">
        <v>1</v>
      </c>
      <c r="D5294" s="147">
        <f t="shared" si="174"/>
        <v>44562</v>
      </c>
      <c r="E5294" s="311">
        <f t="shared" si="175"/>
        <v>44562</v>
      </c>
      <c r="F5294" s="481"/>
      <c r="G5294" s="174" t="s">
        <v>94</v>
      </c>
      <c r="H5294" s="174" t="str" cm="1">
        <f t="array" ref="H5294">IFERROR(INDEX(INVESTOR_LIST[INVESTOR NAME],MATCH(I5294,INVESTOR_LIST[INVESTOR CODE],0),)," ")</f>
        <v>AHMAD ZAHID ZAKI</v>
      </c>
      <c r="I5294" s="148" t="s">
        <v>432</v>
      </c>
      <c r="J5294" s="312" t="s">
        <v>53</v>
      </c>
      <c r="K5294" s="218" t="s">
        <v>348</v>
      </c>
      <c r="L5294" s="218">
        <v>2596.2000000000007</v>
      </c>
    </row>
    <row r="5295" spans="1:13" ht="33.75" x14ac:dyDescent="0.2">
      <c r="A5295" s="168">
        <v>2022</v>
      </c>
      <c r="B5295" s="168">
        <v>1</v>
      </c>
      <c r="C5295" s="168">
        <v>1</v>
      </c>
      <c r="D5295" s="141">
        <f t="shared" si="174"/>
        <v>44562</v>
      </c>
      <c r="E5295" s="275">
        <f t="shared" si="175"/>
        <v>44562</v>
      </c>
      <c r="F5295" s="479" t="s">
        <v>966</v>
      </c>
      <c r="G5295" s="220" t="s">
        <v>94</v>
      </c>
      <c r="H5295" s="220" t="str" cm="1">
        <f t="array" ref="H5295">IFERROR(INDEX(INVESTOR_LIST[INVESTOR NAME],MATCH(I5295,INVESTOR_LIST[INVESTOR CODE],0),)," ")</f>
        <v>REAZ UDDIN AHMED</v>
      </c>
      <c r="I5295" s="142" t="s">
        <v>433</v>
      </c>
      <c r="J5295" s="310" t="s">
        <v>358</v>
      </c>
      <c r="K5295" s="226">
        <v>2600</v>
      </c>
      <c r="L5295" s="226" t="s">
        <v>348</v>
      </c>
    </row>
    <row r="5296" spans="1:13" ht="33.75" x14ac:dyDescent="0.2">
      <c r="A5296" s="133">
        <v>2022</v>
      </c>
      <c r="B5296" s="133">
        <v>1</v>
      </c>
      <c r="C5296" s="133">
        <v>1</v>
      </c>
      <c r="D5296" s="147">
        <f t="shared" si="174"/>
        <v>44562</v>
      </c>
      <c r="E5296" s="311">
        <f t="shared" si="175"/>
        <v>44562</v>
      </c>
      <c r="F5296" s="481"/>
      <c r="G5296" s="174" t="s">
        <v>94</v>
      </c>
      <c r="H5296" s="174" t="str" cm="1">
        <f t="array" ref="H5296">IFERROR(INDEX(INVESTOR_LIST[INVESTOR NAME],MATCH(I5296,INVESTOR_LIST[INVESTOR CODE],0),)," ")</f>
        <v>REAZ UDDIN AHMED</v>
      </c>
      <c r="I5296" s="148" t="s">
        <v>433</v>
      </c>
      <c r="J5296" s="312" t="s">
        <v>13</v>
      </c>
      <c r="K5296" s="218" t="s">
        <v>348</v>
      </c>
      <c r="L5296" s="218">
        <v>2130</v>
      </c>
      <c r="M5296" s="160"/>
    </row>
    <row r="5297" spans="1:12" ht="33.75" x14ac:dyDescent="0.2">
      <c r="A5297" s="133">
        <v>2022</v>
      </c>
      <c r="B5297" s="133">
        <v>1</v>
      </c>
      <c r="C5297" s="133">
        <v>1</v>
      </c>
      <c r="D5297" s="147">
        <f t="shared" si="174"/>
        <v>44562</v>
      </c>
      <c r="E5297" s="311">
        <f t="shared" si="175"/>
        <v>44562</v>
      </c>
      <c r="F5297" s="481"/>
      <c r="G5297" s="174" t="s">
        <v>94</v>
      </c>
      <c r="H5297" s="174" t="str" cm="1">
        <f t="array" ref="H5297">IFERROR(INDEX(INVESTOR_LIST[INVESTOR NAME],MATCH(I5297,INVESTOR_LIST[INVESTOR CODE],0),)," ")</f>
        <v>REAZ UDDIN AHMED</v>
      </c>
      <c r="I5297" s="148" t="s">
        <v>433</v>
      </c>
      <c r="J5297" s="312" t="s">
        <v>53</v>
      </c>
      <c r="K5297" s="218" t="s">
        <v>348</v>
      </c>
      <c r="L5297" s="218">
        <v>470</v>
      </c>
    </row>
    <row r="5298" spans="1:12" ht="22.5" x14ac:dyDescent="0.2">
      <c r="A5298" s="168">
        <v>2022</v>
      </c>
      <c r="B5298" s="168">
        <v>1</v>
      </c>
      <c r="C5298" s="168">
        <v>1</v>
      </c>
      <c r="D5298" s="141">
        <f t="shared" si="174"/>
        <v>44562</v>
      </c>
      <c r="E5298" s="275">
        <f t="shared" si="175"/>
        <v>44562</v>
      </c>
      <c r="F5298" s="479" t="s">
        <v>966</v>
      </c>
      <c r="G5298" s="220" t="s">
        <v>94</v>
      </c>
      <c r="H5298" s="220" t="str" cm="1">
        <f t="array" ref="H5298">IFERROR(INDEX(INVESTOR_LIST[INVESTOR NAME],MATCH(I5298,INVESTOR_LIST[INVESTOR CODE],0),)," ")</f>
        <v>SUJAN BARUA</v>
      </c>
      <c r="I5298" s="142" t="s">
        <v>434</v>
      </c>
      <c r="J5298" s="310" t="s">
        <v>358</v>
      </c>
      <c r="K5298" s="226">
        <v>43544.800000000003</v>
      </c>
      <c r="L5298" s="226" t="s">
        <v>348</v>
      </c>
    </row>
    <row r="5299" spans="1:12" ht="22.5" x14ac:dyDescent="0.2">
      <c r="A5299" s="133">
        <v>2022</v>
      </c>
      <c r="B5299" s="133">
        <v>1</v>
      </c>
      <c r="C5299" s="133">
        <v>1</v>
      </c>
      <c r="D5299" s="147">
        <f t="shared" si="174"/>
        <v>44562</v>
      </c>
      <c r="E5299" s="311">
        <f t="shared" si="175"/>
        <v>44562</v>
      </c>
      <c r="F5299" s="481"/>
      <c r="G5299" s="174" t="s">
        <v>94</v>
      </c>
      <c r="H5299" s="174" t="str" cm="1">
        <f t="array" ref="H5299">IFERROR(INDEX(INVESTOR_LIST[INVESTOR NAME],MATCH(I5299,INVESTOR_LIST[INVESTOR CODE],0),)," ")</f>
        <v>SUJAN BARUA</v>
      </c>
      <c r="I5299" s="148" t="s">
        <v>434</v>
      </c>
      <c r="J5299" s="312" t="s">
        <v>13</v>
      </c>
      <c r="K5299" s="218" t="s">
        <v>348</v>
      </c>
      <c r="L5299" s="218">
        <v>34170</v>
      </c>
    </row>
    <row r="5300" spans="1:12" ht="22.5" x14ac:dyDescent="0.2">
      <c r="A5300" s="133">
        <v>2022</v>
      </c>
      <c r="B5300" s="133">
        <v>1</v>
      </c>
      <c r="C5300" s="133">
        <v>1</v>
      </c>
      <c r="D5300" s="147">
        <f t="shared" si="174"/>
        <v>44562</v>
      </c>
      <c r="E5300" s="311">
        <f t="shared" si="175"/>
        <v>44562</v>
      </c>
      <c r="F5300" s="481"/>
      <c r="G5300" s="174" t="s">
        <v>94</v>
      </c>
      <c r="H5300" s="174" t="str" cm="1">
        <f t="array" ref="H5300">IFERROR(INDEX(INVESTOR_LIST[INVESTOR NAME],MATCH(I5300,INVESTOR_LIST[INVESTOR CODE],0),)," ")</f>
        <v>SUJAN BARUA</v>
      </c>
      <c r="I5300" s="148" t="s">
        <v>434</v>
      </c>
      <c r="J5300" s="312" t="s">
        <v>53</v>
      </c>
      <c r="K5300" s="218" t="s">
        <v>348</v>
      </c>
      <c r="L5300" s="218">
        <v>7520.32</v>
      </c>
    </row>
    <row r="5301" spans="1:12" ht="22.5" x14ac:dyDescent="0.2">
      <c r="A5301" s="163">
        <v>2022</v>
      </c>
      <c r="B5301" s="163">
        <v>1</v>
      </c>
      <c r="C5301" s="163">
        <v>1</v>
      </c>
      <c r="D5301" s="144">
        <f t="shared" si="174"/>
        <v>44562</v>
      </c>
      <c r="E5301" s="313">
        <f t="shared" si="175"/>
        <v>44562</v>
      </c>
      <c r="F5301" s="480"/>
      <c r="G5301" s="221" t="s">
        <v>94</v>
      </c>
      <c r="H5301" s="221" t="str" cm="1">
        <f t="array" ref="H5301">IFERROR(INDEX(INVESTOR_LIST[INVESTOR NAME],MATCH(I5301,INVESTOR_LIST[INVESTOR CODE],0),)," ")</f>
        <v>SUJAN BARUA</v>
      </c>
      <c r="I5301" s="145" t="s">
        <v>434</v>
      </c>
      <c r="J5301" s="314" t="s">
        <v>534</v>
      </c>
      <c r="K5301" s="219" t="s">
        <v>348</v>
      </c>
      <c r="L5301" s="219">
        <v>1854.4800000000005</v>
      </c>
    </row>
    <row r="5302" spans="1:12" ht="33.75" x14ac:dyDescent="0.2">
      <c r="A5302" s="168">
        <v>2022</v>
      </c>
      <c r="B5302" s="168">
        <v>1</v>
      </c>
      <c r="C5302" s="168">
        <v>1</v>
      </c>
      <c r="D5302" s="141">
        <f t="shared" si="174"/>
        <v>44562</v>
      </c>
      <c r="E5302" s="275">
        <f t="shared" si="175"/>
        <v>44562</v>
      </c>
      <c r="F5302" s="479" t="s">
        <v>966</v>
      </c>
      <c r="G5302" s="220" t="s">
        <v>94</v>
      </c>
      <c r="H5302" s="220" t="str" cm="1">
        <f t="array" ref="H5302">IFERROR(INDEX(INVESTOR_LIST[INVESTOR NAME],MATCH(I5302,INVESTOR_LIST[INVESTOR CODE],0),)," ")</f>
        <v>BABITA RANI BARMAN</v>
      </c>
      <c r="I5302" s="142" t="s">
        <v>438</v>
      </c>
      <c r="J5302" s="310" t="s">
        <v>358</v>
      </c>
      <c r="K5302" s="226">
        <v>73145.8</v>
      </c>
      <c r="L5302" s="226" t="s">
        <v>348</v>
      </c>
    </row>
    <row r="5303" spans="1:12" ht="33.75" x14ac:dyDescent="0.2">
      <c r="A5303" s="133">
        <v>2022</v>
      </c>
      <c r="B5303" s="133">
        <v>1</v>
      </c>
      <c r="C5303" s="133">
        <v>1</v>
      </c>
      <c r="D5303" s="147">
        <f t="shared" si="174"/>
        <v>44562</v>
      </c>
      <c r="E5303" s="311">
        <f t="shared" si="175"/>
        <v>44562</v>
      </c>
      <c r="F5303" s="481"/>
      <c r="G5303" s="174" t="s">
        <v>94</v>
      </c>
      <c r="H5303" s="174" t="str" cm="1">
        <f t="array" ref="H5303">IFERROR(INDEX(INVESTOR_LIST[INVESTOR NAME],MATCH(I5303,INVESTOR_LIST[INVESTOR CODE],0),)," ")</f>
        <v>BABITA RANI BARMAN</v>
      </c>
      <c r="I5303" s="148" t="s">
        <v>438</v>
      </c>
      <c r="J5303" s="312" t="s">
        <v>13</v>
      </c>
      <c r="K5303" s="218" t="s">
        <v>348</v>
      </c>
      <c r="L5303" s="218">
        <v>54040</v>
      </c>
    </row>
    <row r="5304" spans="1:12" ht="33.75" x14ac:dyDescent="0.2">
      <c r="A5304" s="133">
        <v>2022</v>
      </c>
      <c r="B5304" s="133">
        <v>1</v>
      </c>
      <c r="C5304" s="133">
        <v>1</v>
      </c>
      <c r="D5304" s="147">
        <f t="shared" si="174"/>
        <v>44562</v>
      </c>
      <c r="E5304" s="311">
        <f t="shared" si="175"/>
        <v>44562</v>
      </c>
      <c r="F5304" s="481"/>
      <c r="G5304" s="174" t="s">
        <v>94</v>
      </c>
      <c r="H5304" s="174" t="str" cm="1">
        <f t="array" ref="H5304">IFERROR(INDEX(INVESTOR_LIST[INVESTOR NAME],MATCH(I5304,INVESTOR_LIST[INVESTOR CODE],0),)," ")</f>
        <v>BABITA RANI BARMAN</v>
      </c>
      <c r="I5304" s="148" t="s">
        <v>438</v>
      </c>
      <c r="J5304" s="312" t="s">
        <v>53</v>
      </c>
      <c r="K5304" s="218" t="s">
        <v>348</v>
      </c>
      <c r="L5304" s="218">
        <v>11883.930000000008</v>
      </c>
    </row>
    <row r="5305" spans="1:12" ht="33.75" x14ac:dyDescent="0.2">
      <c r="A5305" s="163">
        <v>2022</v>
      </c>
      <c r="B5305" s="163">
        <v>1</v>
      </c>
      <c r="C5305" s="163">
        <v>1</v>
      </c>
      <c r="D5305" s="144">
        <f t="shared" si="174"/>
        <v>44562</v>
      </c>
      <c r="E5305" s="313">
        <f t="shared" si="175"/>
        <v>44562</v>
      </c>
      <c r="F5305" s="480"/>
      <c r="G5305" s="221" t="s">
        <v>94</v>
      </c>
      <c r="H5305" s="221" t="str" cm="1">
        <f t="array" ref="H5305">IFERROR(INDEX(INVESTOR_LIST[INVESTOR NAME],MATCH(I5305,INVESTOR_LIST[INVESTOR CODE],0),)," ")</f>
        <v>BABITA RANI BARMAN</v>
      </c>
      <c r="I5305" s="145" t="s">
        <v>438</v>
      </c>
      <c r="J5305" s="314" t="s">
        <v>534</v>
      </c>
      <c r="K5305" s="219" t="s">
        <v>348</v>
      </c>
      <c r="L5305" s="219">
        <v>7221.87</v>
      </c>
    </row>
    <row r="5306" spans="1:12" ht="33.75" x14ac:dyDescent="0.2">
      <c r="A5306" s="168">
        <v>2022</v>
      </c>
      <c r="B5306" s="168">
        <v>1</v>
      </c>
      <c r="C5306" s="168">
        <v>1</v>
      </c>
      <c r="D5306" s="141">
        <f t="shared" si="174"/>
        <v>44562</v>
      </c>
      <c r="E5306" s="275">
        <f t="shared" si="175"/>
        <v>44562</v>
      </c>
      <c r="F5306" s="479" t="s">
        <v>966</v>
      </c>
      <c r="G5306" s="220" t="s">
        <v>94</v>
      </c>
      <c r="H5306" s="220" t="str" cm="1">
        <f t="array" ref="H5306">IFERROR(INDEX(INVESTOR_LIST[INVESTOR NAME],MATCH(I5306,INVESTOR_LIST[INVESTOR CODE],0),)," ")</f>
        <v>MD. GIAS UDDIN</v>
      </c>
      <c r="I5306" s="142" t="s">
        <v>439</v>
      </c>
      <c r="J5306" s="310" t="s">
        <v>358</v>
      </c>
      <c r="K5306" s="226">
        <v>70319.600000000006</v>
      </c>
      <c r="L5306" s="226" t="s">
        <v>348</v>
      </c>
    </row>
    <row r="5307" spans="1:12" ht="33.75" x14ac:dyDescent="0.2">
      <c r="A5307" s="133">
        <v>2022</v>
      </c>
      <c r="B5307" s="133">
        <v>1</v>
      </c>
      <c r="C5307" s="133">
        <v>1</v>
      </c>
      <c r="D5307" s="147">
        <f t="shared" si="174"/>
        <v>44562</v>
      </c>
      <c r="E5307" s="311">
        <f t="shared" si="175"/>
        <v>44562</v>
      </c>
      <c r="F5307" s="481"/>
      <c r="G5307" s="174" t="s">
        <v>94</v>
      </c>
      <c r="H5307" s="174" t="str" cm="1">
        <f t="array" ref="H5307">IFERROR(INDEX(INVESTOR_LIST[INVESTOR NAME],MATCH(I5307,INVESTOR_LIST[INVESTOR CODE],0),)," ")</f>
        <v>MD. GIAS UDDIN</v>
      </c>
      <c r="I5307" s="148" t="s">
        <v>439</v>
      </c>
      <c r="J5307" s="312" t="s">
        <v>13</v>
      </c>
      <c r="K5307" s="218" t="s">
        <v>348</v>
      </c>
      <c r="L5307" s="218">
        <v>53920</v>
      </c>
    </row>
    <row r="5308" spans="1:12" ht="33.75" x14ac:dyDescent="0.2">
      <c r="A5308" s="133">
        <v>2022</v>
      </c>
      <c r="B5308" s="133">
        <v>1</v>
      </c>
      <c r="C5308" s="133">
        <v>1</v>
      </c>
      <c r="D5308" s="147">
        <f t="shared" si="174"/>
        <v>44562</v>
      </c>
      <c r="E5308" s="311">
        <f t="shared" si="175"/>
        <v>44562</v>
      </c>
      <c r="F5308" s="481"/>
      <c r="G5308" s="174" t="s">
        <v>94</v>
      </c>
      <c r="H5308" s="174" t="str" cm="1">
        <f t="array" ref="H5308">IFERROR(INDEX(INVESTOR_LIST[INVESTOR NAME],MATCH(I5308,INVESTOR_LIST[INVESTOR CODE],0),)," ")</f>
        <v>MD. GIAS UDDIN</v>
      </c>
      <c r="I5308" s="148" t="s">
        <v>439</v>
      </c>
      <c r="J5308" s="312" t="s">
        <v>53</v>
      </c>
      <c r="K5308" s="218" t="s">
        <v>348</v>
      </c>
      <c r="L5308" s="218">
        <v>11867.64</v>
      </c>
    </row>
    <row r="5309" spans="1:12" ht="33.75" x14ac:dyDescent="0.2">
      <c r="A5309" s="163">
        <v>2022</v>
      </c>
      <c r="B5309" s="163">
        <v>1</v>
      </c>
      <c r="C5309" s="163">
        <v>1</v>
      </c>
      <c r="D5309" s="144">
        <f t="shared" si="174"/>
        <v>44562</v>
      </c>
      <c r="E5309" s="313">
        <f t="shared" si="175"/>
        <v>44562</v>
      </c>
      <c r="F5309" s="480"/>
      <c r="G5309" s="221" t="s">
        <v>94</v>
      </c>
      <c r="H5309" s="221" t="str" cm="1">
        <f t="array" ref="H5309">IFERROR(INDEX(INVESTOR_LIST[INVESTOR NAME],MATCH(I5309,INVESTOR_LIST[INVESTOR CODE],0),)," ")</f>
        <v>MD. GIAS UDDIN</v>
      </c>
      <c r="I5309" s="145" t="s">
        <v>439</v>
      </c>
      <c r="J5309" s="314" t="s">
        <v>534</v>
      </c>
      <c r="K5309" s="219" t="s">
        <v>348</v>
      </c>
      <c r="L5309" s="219">
        <v>4531.9600000000009</v>
      </c>
    </row>
    <row r="5310" spans="1:12" ht="11.25" customHeight="1" x14ac:dyDescent="0.2">
      <c r="A5310" s="168">
        <v>2022</v>
      </c>
      <c r="B5310" s="168">
        <v>1</v>
      </c>
      <c r="C5310" s="168">
        <v>1</v>
      </c>
      <c r="D5310" s="141">
        <f t="shared" ref="D5310:D5313" si="176">DATE(A5310,B5310,C5310)</f>
        <v>44562</v>
      </c>
      <c r="E5310" s="275">
        <f t="shared" ref="E5310:E5313" si="177">DATE(A5310,B5310,C5310)</f>
        <v>44562</v>
      </c>
      <c r="F5310" s="479" t="s">
        <v>966</v>
      </c>
      <c r="G5310" s="220" t="s">
        <v>94</v>
      </c>
      <c r="H5310" s="220" t="str" cm="1">
        <f t="array" ref="H5310">IFERROR(INDEX(INVESTOR_LIST[INVESTOR NAME],MATCH(I5310,INVESTOR_LIST[INVESTOR CODE],0),)," ")</f>
        <v>BILKISS ARA</v>
      </c>
      <c r="I5310" s="142" t="s">
        <v>441</v>
      </c>
      <c r="J5310" s="310" t="s">
        <v>358</v>
      </c>
      <c r="K5310" s="226">
        <v>66835.600000000006</v>
      </c>
      <c r="L5310" s="226"/>
    </row>
    <row r="5311" spans="1:12" ht="22.5" x14ac:dyDescent="0.2">
      <c r="A5311" s="133">
        <v>2022</v>
      </c>
      <c r="B5311" s="133">
        <v>1</v>
      </c>
      <c r="C5311" s="133">
        <v>1</v>
      </c>
      <c r="D5311" s="147">
        <f t="shared" si="176"/>
        <v>44562</v>
      </c>
      <c r="E5311" s="311">
        <f t="shared" si="177"/>
        <v>44562</v>
      </c>
      <c r="F5311" s="481"/>
      <c r="G5311" s="174" t="s">
        <v>94</v>
      </c>
      <c r="H5311" s="174" t="str" cm="1">
        <f t="array" ref="H5311">IFERROR(INDEX(INVESTOR_LIST[INVESTOR NAME],MATCH(I5311,INVESTOR_LIST[INVESTOR CODE],0),)," ")</f>
        <v>BILKISS ARA</v>
      </c>
      <c r="I5311" s="148" t="s">
        <v>441</v>
      </c>
      <c r="J5311" s="312" t="s">
        <v>13</v>
      </c>
      <c r="K5311" s="218"/>
      <c r="L5311" s="218">
        <v>49640</v>
      </c>
    </row>
    <row r="5312" spans="1:12" ht="22.5" x14ac:dyDescent="0.2">
      <c r="A5312" s="133">
        <v>2022</v>
      </c>
      <c r="B5312" s="133">
        <v>1</v>
      </c>
      <c r="C5312" s="133">
        <v>1</v>
      </c>
      <c r="D5312" s="147">
        <f t="shared" si="176"/>
        <v>44562</v>
      </c>
      <c r="E5312" s="311">
        <f t="shared" si="177"/>
        <v>44562</v>
      </c>
      <c r="F5312" s="481"/>
      <c r="G5312" s="174" t="s">
        <v>94</v>
      </c>
      <c r="H5312" s="174" t="str" cm="1">
        <f t="array" ref="H5312">IFERROR(INDEX(INVESTOR_LIST[INVESTOR NAME],MATCH(I5312,INVESTOR_LIST[INVESTOR CODE],0),)," ")</f>
        <v>BILKISS ARA</v>
      </c>
      <c r="I5312" s="148" t="s">
        <v>441</v>
      </c>
      <c r="J5312" s="312" t="s">
        <v>53</v>
      </c>
      <c r="K5312" s="218"/>
      <c r="L5312" s="218">
        <v>10920.260000000002</v>
      </c>
    </row>
    <row r="5313" spans="1:12" ht="22.5" x14ac:dyDescent="0.2">
      <c r="A5313" s="163">
        <v>2022</v>
      </c>
      <c r="B5313" s="163">
        <v>1</v>
      </c>
      <c r="C5313" s="163">
        <v>1</v>
      </c>
      <c r="D5313" s="144">
        <f t="shared" si="176"/>
        <v>44562</v>
      </c>
      <c r="E5313" s="313">
        <f t="shared" si="177"/>
        <v>44562</v>
      </c>
      <c r="F5313" s="480"/>
      <c r="G5313" s="221" t="s">
        <v>94</v>
      </c>
      <c r="H5313" s="221" t="str" cm="1">
        <f t="array" ref="H5313">IFERROR(INDEX(INVESTOR_LIST[INVESTOR NAME],MATCH(I5313,INVESTOR_LIST[INVESTOR CODE],0),)," ")</f>
        <v>BILKISS ARA</v>
      </c>
      <c r="I5313" s="148" t="s">
        <v>441</v>
      </c>
      <c r="J5313" s="314" t="s">
        <v>534</v>
      </c>
      <c r="K5313" s="219"/>
      <c r="L5313" s="219">
        <v>6275.3400000000011</v>
      </c>
    </row>
    <row r="5314" spans="1:12" ht="33.75" x14ac:dyDescent="0.2">
      <c r="A5314" s="168">
        <v>2022</v>
      </c>
      <c r="B5314" s="168">
        <v>1</v>
      </c>
      <c r="C5314" s="168">
        <v>1</v>
      </c>
      <c r="D5314" s="141">
        <f t="shared" si="174"/>
        <v>44562</v>
      </c>
      <c r="E5314" s="275">
        <f t="shared" si="175"/>
        <v>44562</v>
      </c>
      <c r="F5314" s="479" t="s">
        <v>966</v>
      </c>
      <c r="G5314" s="220" t="s">
        <v>94</v>
      </c>
      <c r="H5314" s="220" t="str" cm="1">
        <f t="array" ref="H5314">IFERROR(INDEX(INVESTOR_LIST[INVESTOR NAME],MATCH(I5314,INVESTOR_LIST[INVESTOR CODE],0),)," ")</f>
        <v>JHARNA RANI SAHA</v>
      </c>
      <c r="I5314" s="142" t="s">
        <v>445</v>
      </c>
      <c r="J5314" s="310" t="s">
        <v>358</v>
      </c>
      <c r="K5314" s="226">
        <v>98.8</v>
      </c>
      <c r="L5314" s="226" t="s">
        <v>348</v>
      </c>
    </row>
    <row r="5315" spans="1:12" ht="33.75" x14ac:dyDescent="0.2">
      <c r="A5315" s="133">
        <v>2022</v>
      </c>
      <c r="B5315" s="133">
        <v>1</v>
      </c>
      <c r="C5315" s="133">
        <v>1</v>
      </c>
      <c r="D5315" s="147">
        <f t="shared" si="174"/>
        <v>44562</v>
      </c>
      <c r="E5315" s="311">
        <f t="shared" si="175"/>
        <v>44562</v>
      </c>
      <c r="F5315" s="481"/>
      <c r="G5315" s="174" t="s">
        <v>94</v>
      </c>
      <c r="H5315" s="174" t="str" cm="1">
        <f t="array" ref="H5315">IFERROR(INDEX(INVESTOR_LIST[INVESTOR NAME],MATCH(I5315,INVESTOR_LIST[INVESTOR CODE],0),)," ")</f>
        <v>JHARNA RANI SAHA</v>
      </c>
      <c r="I5315" s="148" t="s">
        <v>445</v>
      </c>
      <c r="J5315" s="312" t="s">
        <v>13</v>
      </c>
      <c r="K5315" s="218" t="s">
        <v>348</v>
      </c>
      <c r="L5315" s="218">
        <v>80</v>
      </c>
    </row>
    <row r="5316" spans="1:12" ht="33.75" x14ac:dyDescent="0.2">
      <c r="A5316" s="133">
        <v>2022</v>
      </c>
      <c r="B5316" s="133">
        <v>1</v>
      </c>
      <c r="C5316" s="133">
        <v>1</v>
      </c>
      <c r="D5316" s="147">
        <f t="shared" si="174"/>
        <v>44562</v>
      </c>
      <c r="E5316" s="311">
        <f t="shared" si="175"/>
        <v>44562</v>
      </c>
      <c r="F5316" s="481"/>
      <c r="G5316" s="174" t="s">
        <v>94</v>
      </c>
      <c r="H5316" s="174" t="str" cm="1">
        <f t="array" ref="H5316">IFERROR(INDEX(INVESTOR_LIST[INVESTOR NAME],MATCH(I5316,INVESTOR_LIST[INVESTOR CODE],0),)," ")</f>
        <v>JHARNA RANI SAHA</v>
      </c>
      <c r="I5316" s="148" t="s">
        <v>445</v>
      </c>
      <c r="J5316" s="312" t="s">
        <v>53</v>
      </c>
      <c r="K5316" s="218" t="s">
        <v>348</v>
      </c>
      <c r="L5316" s="218">
        <v>18.799999999999997</v>
      </c>
    </row>
    <row r="5317" spans="1:12" ht="33.75" x14ac:dyDescent="0.2">
      <c r="A5317" s="168">
        <v>2022</v>
      </c>
      <c r="B5317" s="168">
        <v>1</v>
      </c>
      <c r="C5317" s="168">
        <v>1</v>
      </c>
      <c r="D5317" s="141">
        <f t="shared" si="174"/>
        <v>44562</v>
      </c>
      <c r="E5317" s="275">
        <f t="shared" si="175"/>
        <v>44562</v>
      </c>
      <c r="F5317" s="479" t="s">
        <v>966</v>
      </c>
      <c r="G5317" s="220" t="s">
        <v>94</v>
      </c>
      <c r="H5317" s="220" t="str" cm="1">
        <f t="array" ref="H5317">IFERROR(INDEX(INVESTOR_LIST[INVESTOR NAME],MATCH(I5317,INVESTOR_LIST[INVESTOR CODE],0),)," ")</f>
        <v>SAKIN AMIN KHAN</v>
      </c>
      <c r="I5317" s="142" t="s">
        <v>448</v>
      </c>
      <c r="J5317" s="310" t="s">
        <v>358</v>
      </c>
      <c r="K5317" s="226">
        <v>44603</v>
      </c>
      <c r="L5317" s="226" t="s">
        <v>348</v>
      </c>
    </row>
    <row r="5318" spans="1:12" ht="33.75" x14ac:dyDescent="0.2">
      <c r="A5318" s="133">
        <v>2022</v>
      </c>
      <c r="B5318" s="133">
        <v>1</v>
      </c>
      <c r="C5318" s="133">
        <v>1</v>
      </c>
      <c r="D5318" s="147">
        <f t="shared" si="174"/>
        <v>44562</v>
      </c>
      <c r="E5318" s="311">
        <f t="shared" si="175"/>
        <v>44562</v>
      </c>
      <c r="F5318" s="481"/>
      <c r="G5318" s="174" t="s">
        <v>94</v>
      </c>
      <c r="H5318" s="174" t="str" cm="1">
        <f t="array" ref="H5318">IFERROR(INDEX(INVESTOR_LIST[INVESTOR NAME],MATCH(I5318,INVESTOR_LIST[INVESTOR CODE],0),)," ")</f>
        <v>SAKIN AMIN KHAN</v>
      </c>
      <c r="I5318" s="148" t="s">
        <v>448</v>
      </c>
      <c r="J5318" s="312" t="s">
        <v>13</v>
      </c>
      <c r="K5318" s="218" t="s">
        <v>348</v>
      </c>
      <c r="L5318" s="218">
        <v>34950</v>
      </c>
    </row>
    <row r="5319" spans="1:12" ht="33.75" x14ac:dyDescent="0.2">
      <c r="A5319" s="133">
        <v>2022</v>
      </c>
      <c r="B5319" s="133">
        <v>1</v>
      </c>
      <c r="C5319" s="133">
        <v>1</v>
      </c>
      <c r="D5319" s="147">
        <f t="shared" si="174"/>
        <v>44562</v>
      </c>
      <c r="E5319" s="311">
        <f t="shared" si="175"/>
        <v>44562</v>
      </c>
      <c r="F5319" s="481"/>
      <c r="G5319" s="174" t="s">
        <v>94</v>
      </c>
      <c r="H5319" s="174" t="str" cm="1">
        <f t="array" ref="H5319">IFERROR(INDEX(INVESTOR_LIST[INVESTOR NAME],MATCH(I5319,INVESTOR_LIST[INVESTOR CODE],0),)," ")</f>
        <v>SAKIN AMIN KHAN</v>
      </c>
      <c r="I5319" s="148" t="s">
        <v>448</v>
      </c>
      <c r="J5319" s="312" t="s">
        <v>53</v>
      </c>
      <c r="K5319" s="218" t="s">
        <v>348</v>
      </c>
      <c r="L5319" s="218">
        <v>7692.6999999999971</v>
      </c>
    </row>
    <row r="5320" spans="1:12" ht="33.75" x14ac:dyDescent="0.2">
      <c r="A5320" s="163">
        <v>2022</v>
      </c>
      <c r="B5320" s="163">
        <v>1</v>
      </c>
      <c r="C5320" s="163">
        <v>1</v>
      </c>
      <c r="D5320" s="144">
        <f t="shared" si="174"/>
        <v>44562</v>
      </c>
      <c r="E5320" s="313">
        <f t="shared" si="175"/>
        <v>44562</v>
      </c>
      <c r="F5320" s="480"/>
      <c r="G5320" s="221" t="s">
        <v>94</v>
      </c>
      <c r="H5320" s="221" t="str" cm="1">
        <f t="array" ref="H5320">IFERROR(INDEX(INVESTOR_LIST[INVESTOR NAME],MATCH(I5320,INVESTOR_LIST[INVESTOR CODE],0),)," ")</f>
        <v>SAKIN AMIN KHAN</v>
      </c>
      <c r="I5320" s="145" t="s">
        <v>448</v>
      </c>
      <c r="J5320" s="314" t="s">
        <v>534</v>
      </c>
      <c r="K5320" s="219" t="s">
        <v>348</v>
      </c>
      <c r="L5320" s="219">
        <v>1960.3000000000002</v>
      </c>
    </row>
    <row r="5321" spans="1:12" ht="33.75" x14ac:dyDescent="0.2">
      <c r="A5321" s="168">
        <v>2022</v>
      </c>
      <c r="B5321" s="168">
        <v>1</v>
      </c>
      <c r="C5321" s="168">
        <v>1</v>
      </c>
      <c r="D5321" s="141">
        <f t="shared" si="174"/>
        <v>44562</v>
      </c>
      <c r="E5321" s="275">
        <f t="shared" si="175"/>
        <v>44562</v>
      </c>
      <c r="F5321" s="479" t="s">
        <v>966</v>
      </c>
      <c r="G5321" s="220" t="s">
        <v>94</v>
      </c>
      <c r="H5321" s="220" t="str" cm="1">
        <f t="array" ref="H5321">IFERROR(INDEX(INVESTOR_LIST[INVESTOR NAME],MATCH(I5321,INVESTOR_LIST[INVESTOR CODE],0),)," ")</f>
        <v>MD. KAMRUZZAMAN</v>
      </c>
      <c r="I5321" s="142" t="s">
        <v>450</v>
      </c>
      <c r="J5321" s="310" t="s">
        <v>358</v>
      </c>
      <c r="K5321" s="226">
        <v>57714.8</v>
      </c>
      <c r="L5321" s="226" t="s">
        <v>348</v>
      </c>
    </row>
    <row r="5322" spans="1:12" ht="33.75" x14ac:dyDescent="0.2">
      <c r="A5322" s="133">
        <v>2022</v>
      </c>
      <c r="B5322" s="133">
        <v>1</v>
      </c>
      <c r="C5322" s="133">
        <v>1</v>
      </c>
      <c r="D5322" s="147">
        <f t="shared" si="174"/>
        <v>44562</v>
      </c>
      <c r="E5322" s="311">
        <f t="shared" si="175"/>
        <v>44562</v>
      </c>
      <c r="F5322" s="481"/>
      <c r="G5322" s="174" t="s">
        <v>94</v>
      </c>
      <c r="H5322" s="174" t="str" cm="1">
        <f t="array" ref="H5322">IFERROR(INDEX(INVESTOR_LIST[INVESTOR NAME],MATCH(I5322,INVESTOR_LIST[INVESTOR CODE],0),)," ")</f>
        <v>MD. KAMRUZZAMAN</v>
      </c>
      <c r="I5322" s="148" t="s">
        <v>450</v>
      </c>
      <c r="J5322" s="312" t="s">
        <v>13</v>
      </c>
      <c r="K5322" s="218" t="s">
        <v>348</v>
      </c>
      <c r="L5322" s="218">
        <v>44630</v>
      </c>
    </row>
    <row r="5323" spans="1:12" ht="33.75" x14ac:dyDescent="0.2">
      <c r="A5323" s="133">
        <v>2022</v>
      </c>
      <c r="B5323" s="133">
        <v>1</v>
      </c>
      <c r="C5323" s="133">
        <v>1</v>
      </c>
      <c r="D5323" s="147">
        <f t="shared" si="174"/>
        <v>44562</v>
      </c>
      <c r="E5323" s="311">
        <f t="shared" si="175"/>
        <v>44562</v>
      </c>
      <c r="F5323" s="481"/>
      <c r="G5323" s="174" t="s">
        <v>94</v>
      </c>
      <c r="H5323" s="174" t="str" cm="1">
        <f t="array" ref="H5323">IFERROR(INDEX(INVESTOR_LIST[INVESTOR NAME],MATCH(I5323,INVESTOR_LIST[INVESTOR CODE],0),)," ")</f>
        <v>MD. KAMRUZZAMAN</v>
      </c>
      <c r="I5323" s="148" t="s">
        <v>450</v>
      </c>
      <c r="J5323" s="312" t="s">
        <v>53</v>
      </c>
      <c r="K5323" s="218" t="s">
        <v>348</v>
      </c>
      <c r="L5323" s="218">
        <v>9813.32</v>
      </c>
    </row>
    <row r="5324" spans="1:12" ht="33.75" x14ac:dyDescent="0.2">
      <c r="A5324" s="163">
        <v>2022</v>
      </c>
      <c r="B5324" s="163">
        <v>1</v>
      </c>
      <c r="C5324" s="163">
        <v>1</v>
      </c>
      <c r="D5324" s="144">
        <f t="shared" si="174"/>
        <v>44562</v>
      </c>
      <c r="E5324" s="313">
        <f t="shared" si="175"/>
        <v>44562</v>
      </c>
      <c r="F5324" s="480"/>
      <c r="G5324" s="221" t="s">
        <v>94</v>
      </c>
      <c r="H5324" s="221" t="str" cm="1">
        <f t="array" ref="H5324">IFERROR(INDEX(INVESTOR_LIST[INVESTOR NAME],MATCH(I5324,INVESTOR_LIST[INVESTOR CODE],0),)," ")</f>
        <v>MD. KAMRUZZAMAN</v>
      </c>
      <c r="I5324" s="145" t="s">
        <v>450</v>
      </c>
      <c r="J5324" s="314" t="s">
        <v>534</v>
      </c>
      <c r="K5324" s="219" t="s">
        <v>348</v>
      </c>
      <c r="L5324" s="219">
        <v>3271.4800000000005</v>
      </c>
    </row>
    <row r="5325" spans="1:12" ht="22.5" x14ac:dyDescent="0.2">
      <c r="A5325" s="168">
        <v>2022</v>
      </c>
      <c r="B5325" s="168">
        <v>1</v>
      </c>
      <c r="C5325" s="168">
        <v>1</v>
      </c>
      <c r="D5325" s="141">
        <f t="shared" si="174"/>
        <v>44562</v>
      </c>
      <c r="E5325" s="275">
        <f t="shared" si="175"/>
        <v>44562</v>
      </c>
      <c r="F5325" s="479" t="s">
        <v>966</v>
      </c>
      <c r="G5325" s="220" t="s">
        <v>94</v>
      </c>
      <c r="H5325" s="220" t="str" cm="1">
        <f t="array" ref="H5325">IFERROR(INDEX(INVESTOR_LIST[INVESTOR NAME],MATCH(I5325,INVESTOR_LIST[INVESTOR CODE],0),)," ")</f>
        <v>IFTEKHAR ALAM</v>
      </c>
      <c r="I5325" s="142" t="s">
        <v>452</v>
      </c>
      <c r="J5325" s="310" t="s">
        <v>358</v>
      </c>
      <c r="K5325" s="226">
        <v>208005.2</v>
      </c>
      <c r="L5325" s="226" t="s">
        <v>348</v>
      </c>
    </row>
    <row r="5326" spans="1:12" ht="22.5" x14ac:dyDescent="0.2">
      <c r="A5326" s="133">
        <v>2022</v>
      </c>
      <c r="B5326" s="133">
        <v>1</v>
      </c>
      <c r="C5326" s="133">
        <v>1</v>
      </c>
      <c r="D5326" s="147">
        <f t="shared" si="174"/>
        <v>44562</v>
      </c>
      <c r="E5326" s="311">
        <f t="shared" si="175"/>
        <v>44562</v>
      </c>
      <c r="F5326" s="481"/>
      <c r="G5326" s="174" t="s">
        <v>94</v>
      </c>
      <c r="H5326" s="174" t="str" cm="1">
        <f t="array" ref="H5326">IFERROR(INDEX(INVESTOR_LIST[INVESTOR NAME],MATCH(I5326,INVESTOR_LIST[INVESTOR CODE],0),)," ")</f>
        <v>IFTEKHAR ALAM</v>
      </c>
      <c r="I5326" s="148" t="s">
        <v>452</v>
      </c>
      <c r="J5326" s="312" t="s">
        <v>13</v>
      </c>
      <c r="K5326" s="218" t="s">
        <v>348</v>
      </c>
      <c r="L5326" s="218">
        <v>155500</v>
      </c>
    </row>
    <row r="5327" spans="1:12" ht="22.5" x14ac:dyDescent="0.2">
      <c r="A5327" s="133">
        <v>2022</v>
      </c>
      <c r="B5327" s="133">
        <v>1</v>
      </c>
      <c r="C5327" s="133">
        <v>1</v>
      </c>
      <c r="D5327" s="147">
        <f t="shared" si="174"/>
        <v>44562</v>
      </c>
      <c r="E5327" s="311">
        <f t="shared" si="175"/>
        <v>44562</v>
      </c>
      <c r="F5327" s="481"/>
      <c r="G5327" s="174" t="s">
        <v>94</v>
      </c>
      <c r="H5327" s="174" t="str" cm="1">
        <f t="array" ref="H5327">IFERROR(INDEX(INVESTOR_LIST[INVESTOR NAME],MATCH(I5327,INVESTOR_LIST[INVESTOR CODE],0),)," ")</f>
        <v>IFTEKHAR ALAM</v>
      </c>
      <c r="I5327" s="148" t="s">
        <v>452</v>
      </c>
      <c r="J5327" s="312" t="s">
        <v>53</v>
      </c>
      <c r="K5327" s="218" t="s">
        <v>348</v>
      </c>
      <c r="L5327" s="218">
        <v>34204.680000000022</v>
      </c>
    </row>
    <row r="5328" spans="1:12" ht="22.5" x14ac:dyDescent="0.2">
      <c r="A5328" s="163">
        <v>2022</v>
      </c>
      <c r="B5328" s="163">
        <v>1</v>
      </c>
      <c r="C5328" s="163">
        <v>1</v>
      </c>
      <c r="D5328" s="144">
        <f t="shared" si="174"/>
        <v>44562</v>
      </c>
      <c r="E5328" s="313">
        <f t="shared" si="175"/>
        <v>44562</v>
      </c>
      <c r="F5328" s="480"/>
      <c r="G5328" s="221" t="s">
        <v>94</v>
      </c>
      <c r="H5328" s="221" t="str" cm="1">
        <f t="array" ref="H5328">IFERROR(INDEX(INVESTOR_LIST[INVESTOR NAME],MATCH(I5328,INVESTOR_LIST[INVESTOR CODE],0),)," ")</f>
        <v>IFTEKHAR ALAM</v>
      </c>
      <c r="I5328" s="145" t="s">
        <v>452</v>
      </c>
      <c r="J5328" s="314" t="s">
        <v>534</v>
      </c>
      <c r="K5328" s="219" t="s">
        <v>348</v>
      </c>
      <c r="L5328" s="219">
        <v>18300.52</v>
      </c>
    </row>
    <row r="5329" spans="1:12" ht="33.75" x14ac:dyDescent="0.2">
      <c r="A5329" s="168">
        <v>2022</v>
      </c>
      <c r="B5329" s="168">
        <v>1</v>
      </c>
      <c r="C5329" s="168">
        <v>1</v>
      </c>
      <c r="D5329" s="141">
        <f t="shared" si="174"/>
        <v>44562</v>
      </c>
      <c r="E5329" s="275">
        <f t="shared" si="175"/>
        <v>44562</v>
      </c>
      <c r="F5329" s="479" t="s">
        <v>966</v>
      </c>
      <c r="G5329" s="220" t="s">
        <v>94</v>
      </c>
      <c r="H5329" s="220" t="str" cm="1">
        <f t="array" ref="H5329">IFERROR(INDEX(INVESTOR_LIST[INVESTOR NAME],MATCH(I5329,INVESTOR_LIST[INVESTOR CODE],0),)," ")</f>
        <v>MD. ARIFUL ISLAM</v>
      </c>
      <c r="I5329" s="142" t="s">
        <v>455</v>
      </c>
      <c r="J5329" s="310" t="s">
        <v>358</v>
      </c>
      <c r="K5329" s="226">
        <v>53583.4</v>
      </c>
      <c r="L5329" s="226" t="s">
        <v>348</v>
      </c>
    </row>
    <row r="5330" spans="1:12" ht="33.75" x14ac:dyDescent="0.2">
      <c r="A5330" s="133">
        <v>2022</v>
      </c>
      <c r="B5330" s="133">
        <v>1</v>
      </c>
      <c r="C5330" s="133">
        <v>1</v>
      </c>
      <c r="D5330" s="147">
        <f t="shared" si="174"/>
        <v>44562</v>
      </c>
      <c r="E5330" s="311">
        <f t="shared" si="175"/>
        <v>44562</v>
      </c>
      <c r="F5330" s="481"/>
      <c r="G5330" s="174" t="s">
        <v>94</v>
      </c>
      <c r="H5330" s="174" t="str" cm="1">
        <f t="array" ref="H5330">IFERROR(INDEX(INVESTOR_LIST[INVESTOR NAME],MATCH(I5330,INVESTOR_LIST[INVESTOR CODE],0),)," ")</f>
        <v>MD. ARIFUL ISLAM</v>
      </c>
      <c r="I5330" s="148" t="s">
        <v>455</v>
      </c>
      <c r="J5330" s="312" t="s">
        <v>13</v>
      </c>
      <c r="K5330" s="218" t="s">
        <v>348</v>
      </c>
      <c r="L5330" s="218">
        <v>41580</v>
      </c>
    </row>
    <row r="5331" spans="1:12" ht="33.75" x14ac:dyDescent="0.2">
      <c r="A5331" s="133">
        <v>2022</v>
      </c>
      <c r="B5331" s="133">
        <v>1</v>
      </c>
      <c r="C5331" s="133">
        <v>1</v>
      </c>
      <c r="D5331" s="147">
        <f t="shared" si="174"/>
        <v>44562</v>
      </c>
      <c r="E5331" s="311">
        <f t="shared" si="175"/>
        <v>44562</v>
      </c>
      <c r="F5331" s="481"/>
      <c r="G5331" s="174" t="s">
        <v>94</v>
      </c>
      <c r="H5331" s="174" t="str" cm="1">
        <f t="array" ref="H5331">IFERROR(INDEX(INVESTOR_LIST[INVESTOR NAME],MATCH(I5331,INVESTOR_LIST[INVESTOR CODE],0),)," ")</f>
        <v>MD. ARIFUL ISLAM</v>
      </c>
      <c r="I5331" s="148" t="s">
        <v>455</v>
      </c>
      <c r="J5331" s="312" t="s">
        <v>53</v>
      </c>
      <c r="K5331" s="218" t="s">
        <v>348</v>
      </c>
      <c r="L5331" s="218">
        <v>9145.0599999999977</v>
      </c>
    </row>
    <row r="5332" spans="1:12" ht="33.75" x14ac:dyDescent="0.2">
      <c r="A5332" s="163">
        <v>2022</v>
      </c>
      <c r="B5332" s="163">
        <v>1</v>
      </c>
      <c r="C5332" s="163">
        <v>1</v>
      </c>
      <c r="D5332" s="144">
        <f t="shared" si="174"/>
        <v>44562</v>
      </c>
      <c r="E5332" s="313">
        <f t="shared" si="175"/>
        <v>44562</v>
      </c>
      <c r="F5332" s="480"/>
      <c r="G5332" s="221" t="s">
        <v>94</v>
      </c>
      <c r="H5332" s="221" t="str" cm="1">
        <f t="array" ref="H5332">IFERROR(INDEX(INVESTOR_LIST[INVESTOR NAME],MATCH(I5332,INVESTOR_LIST[INVESTOR CODE],0),)," ")</f>
        <v>MD. ARIFUL ISLAM</v>
      </c>
      <c r="I5332" s="145" t="s">
        <v>455</v>
      </c>
      <c r="J5332" s="314" t="s">
        <v>534</v>
      </c>
      <c r="K5332" s="219" t="s">
        <v>348</v>
      </c>
      <c r="L5332" s="219">
        <v>2858.34</v>
      </c>
    </row>
    <row r="5333" spans="1:12" ht="33.75" x14ac:dyDescent="0.2">
      <c r="A5333" s="168">
        <v>2022</v>
      </c>
      <c r="B5333" s="168">
        <v>1</v>
      </c>
      <c r="C5333" s="168">
        <v>1</v>
      </c>
      <c r="D5333" s="141">
        <f t="shared" si="174"/>
        <v>44562</v>
      </c>
      <c r="E5333" s="275">
        <f t="shared" si="175"/>
        <v>44562</v>
      </c>
      <c r="F5333" s="479" t="s">
        <v>966</v>
      </c>
      <c r="G5333" s="220" t="s">
        <v>94</v>
      </c>
      <c r="H5333" s="220" t="str" cm="1">
        <f t="array" ref="H5333">IFERROR(INDEX(INVESTOR_LIST[INVESTOR NAME],MATCH(I5333,INVESTOR_LIST[INVESTOR CODE],0),)," ")</f>
        <v>MAYA RANI SAHA</v>
      </c>
      <c r="I5333" s="142" t="s">
        <v>456</v>
      </c>
      <c r="J5333" s="310" t="s">
        <v>358</v>
      </c>
      <c r="K5333" s="226">
        <v>59862.400000000001</v>
      </c>
      <c r="L5333" s="226" t="s">
        <v>348</v>
      </c>
    </row>
    <row r="5334" spans="1:12" ht="33.75" x14ac:dyDescent="0.2">
      <c r="A5334" s="133">
        <v>2022</v>
      </c>
      <c r="B5334" s="133">
        <v>1</v>
      </c>
      <c r="C5334" s="133">
        <v>1</v>
      </c>
      <c r="D5334" s="147">
        <f t="shared" si="174"/>
        <v>44562</v>
      </c>
      <c r="E5334" s="311">
        <f t="shared" si="175"/>
        <v>44562</v>
      </c>
      <c r="F5334" s="481"/>
      <c r="G5334" s="174" t="s">
        <v>94</v>
      </c>
      <c r="H5334" s="174" t="str" cm="1">
        <f t="array" ref="H5334">IFERROR(INDEX(INVESTOR_LIST[INVESTOR NAME],MATCH(I5334,INVESTOR_LIST[INVESTOR CODE],0),)," ")</f>
        <v>MAYA RANI SAHA</v>
      </c>
      <c r="I5334" s="148" t="s">
        <v>456</v>
      </c>
      <c r="J5334" s="312" t="s">
        <v>13</v>
      </c>
      <c r="K5334" s="218" t="s">
        <v>348</v>
      </c>
      <c r="L5334" s="218">
        <v>46210</v>
      </c>
    </row>
    <row r="5335" spans="1:12" ht="33.75" x14ac:dyDescent="0.2">
      <c r="A5335" s="133">
        <v>2022</v>
      </c>
      <c r="B5335" s="133">
        <v>1</v>
      </c>
      <c r="C5335" s="133">
        <v>1</v>
      </c>
      <c r="D5335" s="147">
        <f t="shared" si="174"/>
        <v>44562</v>
      </c>
      <c r="E5335" s="311">
        <f t="shared" si="175"/>
        <v>44562</v>
      </c>
      <c r="F5335" s="481"/>
      <c r="G5335" s="174" t="s">
        <v>94</v>
      </c>
      <c r="H5335" s="174" t="str" cm="1">
        <f t="array" ref="H5335">IFERROR(INDEX(INVESTOR_LIST[INVESTOR NAME],MATCH(I5335,INVESTOR_LIST[INVESTOR CODE],0),)," ")</f>
        <v>MAYA RANI SAHA</v>
      </c>
      <c r="I5335" s="148" t="s">
        <v>456</v>
      </c>
      <c r="J5335" s="312" t="s">
        <v>53</v>
      </c>
      <c r="K5335" s="218" t="s">
        <v>348</v>
      </c>
      <c r="L5335" s="218">
        <v>10166.160000000003</v>
      </c>
    </row>
    <row r="5336" spans="1:12" ht="33.75" x14ac:dyDescent="0.2">
      <c r="A5336" s="163">
        <v>2022</v>
      </c>
      <c r="B5336" s="163">
        <v>1</v>
      </c>
      <c r="C5336" s="163">
        <v>1</v>
      </c>
      <c r="D5336" s="144">
        <f t="shared" si="174"/>
        <v>44562</v>
      </c>
      <c r="E5336" s="313">
        <f t="shared" si="175"/>
        <v>44562</v>
      </c>
      <c r="F5336" s="480"/>
      <c r="G5336" s="221" t="s">
        <v>94</v>
      </c>
      <c r="H5336" s="221" t="str" cm="1">
        <f t="array" ref="H5336">IFERROR(INDEX(INVESTOR_LIST[INVESTOR NAME],MATCH(I5336,INVESTOR_LIST[INVESTOR CODE],0),)," ")</f>
        <v>MAYA RANI SAHA</v>
      </c>
      <c r="I5336" s="145" t="s">
        <v>456</v>
      </c>
      <c r="J5336" s="314" t="s">
        <v>534</v>
      </c>
      <c r="K5336" s="219" t="s">
        <v>348</v>
      </c>
      <c r="L5336" s="219">
        <v>3486.2400000000002</v>
      </c>
    </row>
    <row r="5337" spans="1:12" ht="22.5" x14ac:dyDescent="0.2">
      <c r="A5337" s="168">
        <v>2022</v>
      </c>
      <c r="B5337" s="168">
        <v>1</v>
      </c>
      <c r="C5337" s="168">
        <v>1</v>
      </c>
      <c r="D5337" s="141">
        <f t="shared" si="174"/>
        <v>44562</v>
      </c>
      <c r="E5337" s="275">
        <f t="shared" si="175"/>
        <v>44562</v>
      </c>
      <c r="F5337" s="479" t="s">
        <v>966</v>
      </c>
      <c r="G5337" s="220" t="s">
        <v>94</v>
      </c>
      <c r="H5337" s="220" t="str" cm="1">
        <f t="array" ref="H5337">IFERROR(INDEX(INVESTOR_LIST[INVESTOR NAME],MATCH(I5337,INVESTOR_LIST[INVESTOR CODE],0),)," ")</f>
        <v>JNANDIP PAUL</v>
      </c>
      <c r="I5337" s="142" t="s">
        <v>459</v>
      </c>
      <c r="J5337" s="310" t="s">
        <v>358</v>
      </c>
      <c r="K5337" s="226">
        <v>9071.4</v>
      </c>
      <c r="L5337" s="226" t="s">
        <v>348</v>
      </c>
    </row>
    <row r="5338" spans="1:12" ht="22.5" x14ac:dyDescent="0.2">
      <c r="A5338" s="133">
        <v>2022</v>
      </c>
      <c r="B5338" s="133">
        <v>1</v>
      </c>
      <c r="C5338" s="133">
        <v>1</v>
      </c>
      <c r="D5338" s="147">
        <f t="shared" si="174"/>
        <v>44562</v>
      </c>
      <c r="E5338" s="311">
        <f t="shared" si="175"/>
        <v>44562</v>
      </c>
      <c r="F5338" s="481"/>
      <c r="G5338" s="174" t="s">
        <v>94</v>
      </c>
      <c r="H5338" s="174" t="str" cm="1">
        <f t="array" ref="H5338">IFERROR(INDEX(INVESTOR_LIST[INVESTOR NAME],MATCH(I5338,INVESTOR_LIST[INVESTOR CODE],0),)," ")</f>
        <v>JNANDIP PAUL</v>
      </c>
      <c r="I5338" s="148" t="s">
        <v>459</v>
      </c>
      <c r="J5338" s="312" t="s">
        <v>13</v>
      </c>
      <c r="K5338" s="218" t="s">
        <v>348</v>
      </c>
      <c r="L5338" s="218">
        <v>7440</v>
      </c>
    </row>
    <row r="5339" spans="1:12" ht="22.5" x14ac:dyDescent="0.2">
      <c r="A5339" s="133">
        <v>2022</v>
      </c>
      <c r="B5339" s="133">
        <v>1</v>
      </c>
      <c r="C5339" s="133">
        <v>1</v>
      </c>
      <c r="D5339" s="147">
        <f t="shared" si="174"/>
        <v>44562</v>
      </c>
      <c r="E5339" s="311">
        <f t="shared" si="175"/>
        <v>44562</v>
      </c>
      <c r="F5339" s="481"/>
      <c r="G5339" s="174" t="s">
        <v>94</v>
      </c>
      <c r="H5339" s="174" t="str" cm="1">
        <f t="array" ref="H5339">IFERROR(INDEX(INVESTOR_LIST[INVESTOR NAME],MATCH(I5339,INVESTOR_LIST[INVESTOR CODE],0),)," ")</f>
        <v>JNANDIP PAUL</v>
      </c>
      <c r="I5339" s="148" t="s">
        <v>459</v>
      </c>
      <c r="J5339" s="312" t="s">
        <v>53</v>
      </c>
      <c r="K5339" s="218" t="s">
        <v>348</v>
      </c>
      <c r="L5339" s="218">
        <v>1631.3999999999996</v>
      </c>
    </row>
    <row r="5340" spans="1:12" ht="45" x14ac:dyDescent="0.2">
      <c r="A5340" s="168">
        <v>2022</v>
      </c>
      <c r="B5340" s="168">
        <v>1</v>
      </c>
      <c r="C5340" s="168">
        <v>1</v>
      </c>
      <c r="D5340" s="141">
        <f t="shared" si="174"/>
        <v>44562</v>
      </c>
      <c r="E5340" s="275">
        <f t="shared" si="175"/>
        <v>44562</v>
      </c>
      <c r="F5340" s="479" t="s">
        <v>966</v>
      </c>
      <c r="G5340" s="220" t="s">
        <v>94</v>
      </c>
      <c r="H5340" s="220" t="str" cm="1">
        <f t="array" ref="H5340">IFERROR(INDEX(INVESTOR_LIST[INVESTOR NAME],MATCH(I5340,INVESTOR_LIST[INVESTOR CODE],0),)," ")</f>
        <v>SWADESH RANJAN SAHA</v>
      </c>
      <c r="I5340" s="142" t="s">
        <v>461</v>
      </c>
      <c r="J5340" s="310" t="s">
        <v>358</v>
      </c>
      <c r="K5340" s="226">
        <v>344817.2</v>
      </c>
      <c r="L5340" s="226" t="s">
        <v>348</v>
      </c>
    </row>
    <row r="5341" spans="1:12" ht="45" x14ac:dyDescent="0.2">
      <c r="A5341" s="133">
        <v>2022</v>
      </c>
      <c r="B5341" s="133">
        <v>1</v>
      </c>
      <c r="C5341" s="133">
        <v>1</v>
      </c>
      <c r="D5341" s="147">
        <f t="shared" si="174"/>
        <v>44562</v>
      </c>
      <c r="E5341" s="311">
        <f t="shared" si="175"/>
        <v>44562</v>
      </c>
      <c r="F5341" s="481"/>
      <c r="G5341" s="174" t="s">
        <v>94</v>
      </c>
      <c r="H5341" s="174" t="str" cm="1">
        <f t="array" ref="H5341">IFERROR(INDEX(INVESTOR_LIST[INVESTOR NAME],MATCH(I5341,INVESTOR_LIST[INVESTOR CODE],0),)," ")</f>
        <v>SWADESH RANJAN SAHA</v>
      </c>
      <c r="I5341" s="148" t="s">
        <v>461</v>
      </c>
      <c r="J5341" s="312" t="s">
        <v>13</v>
      </c>
      <c r="K5341" s="218" t="s">
        <v>348</v>
      </c>
      <c r="L5341" s="218">
        <v>256420</v>
      </c>
    </row>
    <row r="5342" spans="1:12" ht="45" x14ac:dyDescent="0.2">
      <c r="A5342" s="133">
        <v>2022</v>
      </c>
      <c r="B5342" s="133">
        <v>1</v>
      </c>
      <c r="C5342" s="133">
        <v>1</v>
      </c>
      <c r="D5342" s="147">
        <f t="shared" si="174"/>
        <v>44562</v>
      </c>
      <c r="E5342" s="311">
        <f t="shared" si="175"/>
        <v>44562</v>
      </c>
      <c r="F5342" s="481"/>
      <c r="G5342" s="174" t="s">
        <v>94</v>
      </c>
      <c r="H5342" s="174" t="str" cm="1">
        <f t="array" ref="H5342">IFERROR(INDEX(INVESTOR_LIST[INVESTOR NAME],MATCH(I5342,INVESTOR_LIST[INVESTOR CODE],0),)," ")</f>
        <v>SWADESH RANJAN SAHA</v>
      </c>
      <c r="I5342" s="148" t="s">
        <v>461</v>
      </c>
      <c r="J5342" s="312" t="s">
        <v>53</v>
      </c>
      <c r="K5342" s="218" t="s">
        <v>348</v>
      </c>
      <c r="L5342" s="218">
        <v>56415.479999999981</v>
      </c>
    </row>
    <row r="5343" spans="1:12" ht="45" x14ac:dyDescent="0.2">
      <c r="A5343" s="163">
        <v>2022</v>
      </c>
      <c r="B5343" s="163">
        <v>1</v>
      </c>
      <c r="C5343" s="163">
        <v>1</v>
      </c>
      <c r="D5343" s="144">
        <f t="shared" si="174"/>
        <v>44562</v>
      </c>
      <c r="E5343" s="313">
        <f t="shared" si="175"/>
        <v>44562</v>
      </c>
      <c r="F5343" s="480"/>
      <c r="G5343" s="221" t="s">
        <v>94</v>
      </c>
      <c r="H5343" s="221" t="str" cm="1">
        <f t="array" ref="H5343">IFERROR(INDEX(INVESTOR_LIST[INVESTOR NAME],MATCH(I5343,INVESTOR_LIST[INVESTOR CODE],0),)," ")</f>
        <v>SWADESH RANJAN SAHA</v>
      </c>
      <c r="I5343" s="145" t="s">
        <v>461</v>
      </c>
      <c r="J5343" s="314" t="s">
        <v>534</v>
      </c>
      <c r="K5343" s="219" t="s">
        <v>348</v>
      </c>
      <c r="L5343" s="219">
        <v>31981.72</v>
      </c>
    </row>
    <row r="5344" spans="1:12" ht="33.75" x14ac:dyDescent="0.2">
      <c r="A5344" s="168">
        <v>2022</v>
      </c>
      <c r="B5344" s="168">
        <v>1</v>
      </c>
      <c r="C5344" s="168">
        <v>1</v>
      </c>
      <c r="D5344" s="141">
        <f t="shared" si="174"/>
        <v>44562</v>
      </c>
      <c r="E5344" s="275">
        <f t="shared" si="175"/>
        <v>44562</v>
      </c>
      <c r="F5344" s="479" t="s">
        <v>966</v>
      </c>
      <c r="G5344" s="220" t="s">
        <v>94</v>
      </c>
      <c r="H5344" s="220" t="str" cm="1">
        <f t="array" ref="H5344">IFERROR(INDEX(INVESTOR_LIST[INVESTOR NAME],MATCH(I5344,INVESTOR_LIST[INVESTOR CODE],0),)," ")</f>
        <v>SYED ADNAN HUDA</v>
      </c>
      <c r="I5344" s="142" t="s">
        <v>575</v>
      </c>
      <c r="J5344" s="310" t="s">
        <v>358</v>
      </c>
      <c r="K5344" s="226">
        <v>106579.2</v>
      </c>
      <c r="L5344" s="226" t="s">
        <v>348</v>
      </c>
    </row>
    <row r="5345" spans="1:12" ht="33.75" x14ac:dyDescent="0.2">
      <c r="A5345" s="133">
        <v>2022</v>
      </c>
      <c r="B5345" s="133">
        <v>1</v>
      </c>
      <c r="C5345" s="133">
        <v>1</v>
      </c>
      <c r="D5345" s="147">
        <f t="shared" si="174"/>
        <v>44562</v>
      </c>
      <c r="E5345" s="311">
        <f t="shared" si="175"/>
        <v>44562</v>
      </c>
      <c r="F5345" s="481"/>
      <c r="G5345" s="174" t="s">
        <v>94</v>
      </c>
      <c r="H5345" s="174" t="str" cm="1">
        <f t="array" ref="H5345">IFERROR(INDEX(INVESTOR_LIST[INVESTOR NAME],MATCH(I5345,INVESTOR_LIST[INVESTOR CODE],0),)," ")</f>
        <v>SYED ADNAN HUDA</v>
      </c>
      <c r="I5345" s="148" t="s">
        <v>575</v>
      </c>
      <c r="J5345" s="312" t="s">
        <v>13</v>
      </c>
      <c r="K5345" s="218" t="s">
        <v>348</v>
      </c>
      <c r="L5345" s="218">
        <v>80670</v>
      </c>
    </row>
    <row r="5346" spans="1:12" ht="33.75" x14ac:dyDescent="0.2">
      <c r="A5346" s="133">
        <v>2022</v>
      </c>
      <c r="B5346" s="133">
        <v>1</v>
      </c>
      <c r="C5346" s="133">
        <v>1</v>
      </c>
      <c r="D5346" s="147">
        <f t="shared" si="174"/>
        <v>44562</v>
      </c>
      <c r="E5346" s="311">
        <f t="shared" si="175"/>
        <v>44562</v>
      </c>
      <c r="F5346" s="481"/>
      <c r="G5346" s="174" t="s">
        <v>94</v>
      </c>
      <c r="H5346" s="174" t="str" cm="1">
        <f t="array" ref="H5346">IFERROR(INDEX(INVESTOR_LIST[INVESTOR NAME],MATCH(I5346,INVESTOR_LIST[INVESTOR CODE],0),)," ")</f>
        <v>SYED ADNAN HUDA</v>
      </c>
      <c r="I5346" s="148" t="s">
        <v>575</v>
      </c>
      <c r="J5346" s="312" t="s">
        <v>53</v>
      </c>
      <c r="K5346" s="218" t="s">
        <v>348</v>
      </c>
      <c r="L5346" s="218">
        <v>17751.28</v>
      </c>
    </row>
    <row r="5347" spans="1:12" ht="33.75" x14ac:dyDescent="0.2">
      <c r="A5347" s="163">
        <v>2022</v>
      </c>
      <c r="B5347" s="163">
        <v>1</v>
      </c>
      <c r="C5347" s="163">
        <v>1</v>
      </c>
      <c r="D5347" s="144">
        <f t="shared" si="174"/>
        <v>44562</v>
      </c>
      <c r="E5347" s="313">
        <f t="shared" si="175"/>
        <v>44562</v>
      </c>
      <c r="F5347" s="480"/>
      <c r="G5347" s="221" t="s">
        <v>94</v>
      </c>
      <c r="H5347" s="221" t="str" cm="1">
        <f t="array" ref="H5347">IFERROR(INDEX(INVESTOR_LIST[INVESTOR NAME],MATCH(I5347,INVESTOR_LIST[INVESTOR CODE],0),)," ")</f>
        <v>SYED ADNAN HUDA</v>
      </c>
      <c r="I5347" s="145" t="s">
        <v>575</v>
      </c>
      <c r="J5347" s="314" t="s">
        <v>534</v>
      </c>
      <c r="K5347" s="219" t="s">
        <v>348</v>
      </c>
      <c r="L5347" s="219">
        <v>8157.92</v>
      </c>
    </row>
    <row r="5348" spans="1:12" ht="22.5" x14ac:dyDescent="0.2">
      <c r="A5348" s="168">
        <v>2022</v>
      </c>
      <c r="B5348" s="168">
        <v>1</v>
      </c>
      <c r="C5348" s="168">
        <v>1</v>
      </c>
      <c r="D5348" s="141">
        <f t="shared" si="174"/>
        <v>44562</v>
      </c>
      <c r="E5348" s="275">
        <f t="shared" si="175"/>
        <v>44562</v>
      </c>
      <c r="F5348" s="479" t="s">
        <v>966</v>
      </c>
      <c r="G5348" s="220" t="s">
        <v>94</v>
      </c>
      <c r="H5348" s="220" t="str" cm="1">
        <f t="array" ref="H5348">IFERROR(INDEX(INVESTOR_LIST[INVESTOR NAME],MATCH(I5348,INVESTOR_LIST[INVESTOR CODE],0),)," ")</f>
        <v>CHAONIKA SAHA</v>
      </c>
      <c r="I5348" s="142" t="s">
        <v>577</v>
      </c>
      <c r="J5348" s="310" t="s">
        <v>358</v>
      </c>
      <c r="K5348" s="226">
        <v>2982.2</v>
      </c>
      <c r="L5348" s="226" t="s">
        <v>348</v>
      </c>
    </row>
    <row r="5349" spans="1:12" ht="22.5" x14ac:dyDescent="0.2">
      <c r="A5349" s="133">
        <v>2022</v>
      </c>
      <c r="B5349" s="133">
        <v>1</v>
      </c>
      <c r="C5349" s="133">
        <v>1</v>
      </c>
      <c r="D5349" s="147">
        <f t="shared" si="174"/>
        <v>44562</v>
      </c>
      <c r="E5349" s="311">
        <f t="shared" si="175"/>
        <v>44562</v>
      </c>
      <c r="F5349" s="481"/>
      <c r="G5349" s="174" t="s">
        <v>94</v>
      </c>
      <c r="H5349" s="174" t="str" cm="1">
        <f t="array" ref="H5349">IFERROR(INDEX(INVESTOR_LIST[INVESTOR NAME],MATCH(I5349,INVESTOR_LIST[INVESTOR CODE],0),)," ")</f>
        <v>CHAONIKA SAHA</v>
      </c>
      <c r="I5349" s="148" t="s">
        <v>577</v>
      </c>
      <c r="J5349" s="312" t="s">
        <v>13</v>
      </c>
      <c r="K5349" s="218" t="s">
        <v>348</v>
      </c>
      <c r="L5349" s="218">
        <v>2440</v>
      </c>
    </row>
    <row r="5350" spans="1:12" ht="22.5" x14ac:dyDescent="0.2">
      <c r="A5350" s="133">
        <v>2022</v>
      </c>
      <c r="B5350" s="133">
        <v>1</v>
      </c>
      <c r="C5350" s="133">
        <v>1</v>
      </c>
      <c r="D5350" s="147">
        <f t="shared" si="174"/>
        <v>44562</v>
      </c>
      <c r="E5350" s="311">
        <f t="shared" si="175"/>
        <v>44562</v>
      </c>
      <c r="F5350" s="481"/>
      <c r="G5350" s="174" t="s">
        <v>94</v>
      </c>
      <c r="H5350" s="174" t="str" cm="1">
        <f t="array" ref="H5350">IFERROR(INDEX(INVESTOR_LIST[INVESTOR NAME],MATCH(I5350,INVESTOR_LIST[INVESTOR CODE],0),)," ")</f>
        <v>CHAONIKA SAHA</v>
      </c>
      <c r="I5350" s="148" t="s">
        <v>577</v>
      </c>
      <c r="J5350" s="312" t="s">
        <v>53</v>
      </c>
      <c r="K5350" s="218" t="s">
        <v>348</v>
      </c>
      <c r="L5350" s="218">
        <v>542.19999999999982</v>
      </c>
    </row>
    <row r="5351" spans="1:12" ht="22.5" x14ac:dyDescent="0.2">
      <c r="A5351" s="168">
        <v>2022</v>
      </c>
      <c r="B5351" s="168">
        <v>1</v>
      </c>
      <c r="C5351" s="168">
        <v>1</v>
      </c>
      <c r="D5351" s="141">
        <f t="shared" si="174"/>
        <v>44562</v>
      </c>
      <c r="E5351" s="275">
        <f t="shared" si="175"/>
        <v>44562</v>
      </c>
      <c r="F5351" s="479" t="s">
        <v>966</v>
      </c>
      <c r="G5351" s="220" t="s">
        <v>94</v>
      </c>
      <c r="H5351" s="220" t="str" cm="1">
        <f t="array" ref="H5351">IFERROR(INDEX(INVESTOR_LIST[INVESTOR NAME],MATCH(I5351,INVESTOR_LIST[INVESTOR CODE],0),)," ")</f>
        <v>SK FEROZ ALAM</v>
      </c>
      <c r="I5351" s="142" t="s">
        <v>462</v>
      </c>
      <c r="J5351" s="310" t="s">
        <v>358</v>
      </c>
      <c r="K5351" s="226">
        <v>2982.2</v>
      </c>
      <c r="L5351" s="226" t="s">
        <v>348</v>
      </c>
    </row>
    <row r="5352" spans="1:12" ht="22.5" x14ac:dyDescent="0.2">
      <c r="A5352" s="133">
        <v>2022</v>
      </c>
      <c r="B5352" s="133">
        <v>1</v>
      </c>
      <c r="C5352" s="133">
        <v>1</v>
      </c>
      <c r="D5352" s="147">
        <f t="shared" si="174"/>
        <v>44562</v>
      </c>
      <c r="E5352" s="311">
        <f t="shared" si="175"/>
        <v>44562</v>
      </c>
      <c r="F5352" s="481"/>
      <c r="G5352" s="174" t="s">
        <v>94</v>
      </c>
      <c r="H5352" s="174" t="str" cm="1">
        <f t="array" ref="H5352">IFERROR(INDEX(INVESTOR_LIST[INVESTOR NAME],MATCH(I5352,INVESTOR_LIST[INVESTOR CODE],0),)," ")</f>
        <v>SK FEROZ ALAM</v>
      </c>
      <c r="I5352" s="148" t="s">
        <v>462</v>
      </c>
      <c r="J5352" s="312" t="s">
        <v>13</v>
      </c>
      <c r="K5352" s="218" t="s">
        <v>348</v>
      </c>
      <c r="L5352" s="218">
        <v>2440</v>
      </c>
    </row>
    <row r="5353" spans="1:12" ht="22.5" x14ac:dyDescent="0.2">
      <c r="A5353" s="133">
        <v>2022</v>
      </c>
      <c r="B5353" s="133">
        <v>1</v>
      </c>
      <c r="C5353" s="133">
        <v>1</v>
      </c>
      <c r="D5353" s="147">
        <f t="shared" si="174"/>
        <v>44562</v>
      </c>
      <c r="E5353" s="311">
        <f t="shared" si="175"/>
        <v>44562</v>
      </c>
      <c r="F5353" s="481"/>
      <c r="G5353" s="174" t="s">
        <v>94</v>
      </c>
      <c r="H5353" s="174" t="str" cm="1">
        <f t="array" ref="H5353">IFERROR(INDEX(INVESTOR_LIST[INVESTOR NAME],MATCH(I5353,INVESTOR_LIST[INVESTOR CODE],0),)," ")</f>
        <v>SK FEROZ ALAM</v>
      </c>
      <c r="I5353" s="148" t="s">
        <v>462</v>
      </c>
      <c r="J5353" s="312" t="s">
        <v>53</v>
      </c>
      <c r="K5353" s="218" t="s">
        <v>348</v>
      </c>
      <c r="L5353" s="218">
        <v>542.19999999999982</v>
      </c>
    </row>
    <row r="5354" spans="1:12" ht="22.5" x14ac:dyDescent="0.2">
      <c r="A5354" s="168">
        <v>2022</v>
      </c>
      <c r="B5354" s="168">
        <v>1</v>
      </c>
      <c r="C5354" s="168">
        <v>1</v>
      </c>
      <c r="D5354" s="141">
        <f t="shared" si="174"/>
        <v>44562</v>
      </c>
      <c r="E5354" s="275">
        <f t="shared" si="175"/>
        <v>44562</v>
      </c>
      <c r="F5354" s="479" t="s">
        <v>966</v>
      </c>
      <c r="G5354" s="220" t="s">
        <v>94</v>
      </c>
      <c r="H5354" s="220" t="str" cm="1">
        <f t="array" ref="H5354">IFERROR(INDEX(INVESTOR_LIST[INVESTOR NAME],MATCH(I5354,INVESTOR_LIST[INVESTOR CODE],0),)," ")</f>
        <v>NANDINI SAHA</v>
      </c>
      <c r="I5354" s="142" t="s">
        <v>463</v>
      </c>
      <c r="J5354" s="310" t="s">
        <v>358</v>
      </c>
      <c r="K5354" s="226">
        <v>15571.4</v>
      </c>
      <c r="L5354" s="226" t="s">
        <v>348</v>
      </c>
    </row>
    <row r="5355" spans="1:12" ht="22.5" x14ac:dyDescent="0.2">
      <c r="A5355" s="133">
        <v>2022</v>
      </c>
      <c r="B5355" s="133">
        <v>1</v>
      </c>
      <c r="C5355" s="133">
        <v>1</v>
      </c>
      <c r="D5355" s="147">
        <f t="shared" si="174"/>
        <v>44562</v>
      </c>
      <c r="E5355" s="311">
        <f t="shared" si="175"/>
        <v>44562</v>
      </c>
      <c r="F5355" s="481"/>
      <c r="G5355" s="174" t="s">
        <v>94</v>
      </c>
      <c r="H5355" s="174" t="str" cm="1">
        <f t="array" ref="H5355">IFERROR(INDEX(INVESTOR_LIST[INVESTOR NAME],MATCH(I5355,INVESTOR_LIST[INVESTOR CODE],0),)," ")</f>
        <v>NANDINI SAHA</v>
      </c>
      <c r="I5355" s="148" t="s">
        <v>463</v>
      </c>
      <c r="J5355" s="312" t="s">
        <v>13</v>
      </c>
      <c r="K5355" s="218" t="s">
        <v>348</v>
      </c>
      <c r="L5355" s="218">
        <v>12760</v>
      </c>
    </row>
    <row r="5356" spans="1:12" ht="22.5" x14ac:dyDescent="0.2">
      <c r="A5356" s="133">
        <v>2022</v>
      </c>
      <c r="B5356" s="133">
        <v>1</v>
      </c>
      <c r="C5356" s="133">
        <v>1</v>
      </c>
      <c r="D5356" s="147">
        <f t="shared" si="174"/>
        <v>44562</v>
      </c>
      <c r="E5356" s="311">
        <f t="shared" si="175"/>
        <v>44562</v>
      </c>
      <c r="F5356" s="481"/>
      <c r="G5356" s="174" t="s">
        <v>94</v>
      </c>
      <c r="H5356" s="174" t="str" cm="1">
        <f t="array" ref="H5356">IFERROR(INDEX(INVESTOR_LIST[INVESTOR NAME],MATCH(I5356,INVESTOR_LIST[INVESTOR CODE],0),)," ")</f>
        <v>NANDINI SAHA</v>
      </c>
      <c r="I5356" s="148" t="s">
        <v>463</v>
      </c>
      <c r="J5356" s="312" t="s">
        <v>53</v>
      </c>
      <c r="K5356" s="218" t="s">
        <v>348</v>
      </c>
      <c r="L5356" s="218">
        <v>2811.3999999999996</v>
      </c>
    </row>
    <row r="5357" spans="1:12" ht="22.5" x14ac:dyDescent="0.2">
      <c r="A5357" s="168">
        <v>2022</v>
      </c>
      <c r="B5357" s="168">
        <v>1</v>
      </c>
      <c r="C5357" s="168">
        <v>1</v>
      </c>
      <c r="D5357" s="141">
        <f t="shared" si="174"/>
        <v>44562</v>
      </c>
      <c r="E5357" s="275">
        <f t="shared" si="175"/>
        <v>44562</v>
      </c>
      <c r="F5357" s="479" t="s">
        <v>966</v>
      </c>
      <c r="G5357" s="220" t="s">
        <v>94</v>
      </c>
      <c r="H5357" s="220" t="str" cm="1">
        <f t="array" ref="H5357">IFERROR(INDEX(INVESTOR_LIST[INVESTOR NAME],MATCH(I5357,INVESTOR_LIST[INVESTOR CODE],0),)," ")</f>
        <v>ADNAN RASHID</v>
      </c>
      <c r="I5357" s="142" t="s">
        <v>466</v>
      </c>
      <c r="J5357" s="310" t="s">
        <v>358</v>
      </c>
      <c r="K5357" s="226">
        <v>58975.8</v>
      </c>
      <c r="L5357" s="226" t="s">
        <v>348</v>
      </c>
    </row>
    <row r="5358" spans="1:12" ht="22.5" x14ac:dyDescent="0.2">
      <c r="A5358" s="133">
        <v>2022</v>
      </c>
      <c r="B5358" s="133">
        <v>1</v>
      </c>
      <c r="C5358" s="133">
        <v>1</v>
      </c>
      <c r="D5358" s="147">
        <f t="shared" si="174"/>
        <v>44562</v>
      </c>
      <c r="E5358" s="311">
        <f t="shared" si="175"/>
        <v>44562</v>
      </c>
      <c r="F5358" s="481"/>
      <c r="G5358" s="174" t="s">
        <v>94</v>
      </c>
      <c r="H5358" s="174" t="str" cm="1">
        <f t="array" ref="H5358">IFERROR(INDEX(INVESTOR_LIST[INVESTOR NAME],MATCH(I5358,INVESTOR_LIST[INVESTOR CODE],0),)," ")</f>
        <v>ADNAN RASHID</v>
      </c>
      <c r="I5358" s="148" t="s">
        <v>466</v>
      </c>
      <c r="J5358" s="312" t="s">
        <v>13</v>
      </c>
      <c r="K5358" s="218" t="s">
        <v>348</v>
      </c>
      <c r="L5358" s="218">
        <v>45560</v>
      </c>
    </row>
    <row r="5359" spans="1:12" ht="22.5" x14ac:dyDescent="0.2">
      <c r="A5359" s="133">
        <v>2022</v>
      </c>
      <c r="B5359" s="133">
        <v>1</v>
      </c>
      <c r="C5359" s="133">
        <v>1</v>
      </c>
      <c r="D5359" s="147">
        <f t="shared" si="174"/>
        <v>44562</v>
      </c>
      <c r="E5359" s="311">
        <f t="shared" si="175"/>
        <v>44562</v>
      </c>
      <c r="F5359" s="481"/>
      <c r="G5359" s="174" t="s">
        <v>94</v>
      </c>
      <c r="H5359" s="174" t="str" cm="1">
        <f t="array" ref="H5359">IFERROR(INDEX(INVESTOR_LIST[INVESTOR NAME],MATCH(I5359,INVESTOR_LIST[INVESTOR CODE],0),)," ")</f>
        <v>ADNAN RASHID</v>
      </c>
      <c r="I5359" s="148" t="s">
        <v>466</v>
      </c>
      <c r="J5359" s="312" t="s">
        <v>53</v>
      </c>
      <c r="K5359" s="218" t="s">
        <v>348</v>
      </c>
      <c r="L5359" s="218">
        <v>10018.220000000001</v>
      </c>
    </row>
    <row r="5360" spans="1:12" ht="22.5" x14ac:dyDescent="0.2">
      <c r="A5360" s="163">
        <v>2022</v>
      </c>
      <c r="B5360" s="163">
        <v>1</v>
      </c>
      <c r="C5360" s="163">
        <v>1</v>
      </c>
      <c r="D5360" s="144">
        <f t="shared" si="174"/>
        <v>44562</v>
      </c>
      <c r="E5360" s="313">
        <f t="shared" si="175"/>
        <v>44562</v>
      </c>
      <c r="F5360" s="480"/>
      <c r="G5360" s="221" t="s">
        <v>94</v>
      </c>
      <c r="H5360" s="221" t="str" cm="1">
        <f t="array" ref="H5360">IFERROR(INDEX(INVESTOR_LIST[INVESTOR NAME],MATCH(I5360,INVESTOR_LIST[INVESTOR CODE],0),)," ")</f>
        <v>ADNAN RASHID</v>
      </c>
      <c r="I5360" s="145" t="s">
        <v>466</v>
      </c>
      <c r="J5360" s="314" t="s">
        <v>534</v>
      </c>
      <c r="K5360" s="219" t="s">
        <v>348</v>
      </c>
      <c r="L5360" s="219">
        <v>3397.5800000000004</v>
      </c>
    </row>
    <row r="5361" spans="1:12" ht="33.75" x14ac:dyDescent="0.2">
      <c r="A5361" s="168">
        <v>2022</v>
      </c>
      <c r="B5361" s="168">
        <v>1</v>
      </c>
      <c r="C5361" s="168">
        <v>1</v>
      </c>
      <c r="D5361" s="141">
        <f t="shared" si="174"/>
        <v>44562</v>
      </c>
      <c r="E5361" s="275">
        <f t="shared" si="175"/>
        <v>44562</v>
      </c>
      <c r="F5361" s="479" t="s">
        <v>966</v>
      </c>
      <c r="G5361" s="220" t="s">
        <v>94</v>
      </c>
      <c r="H5361" s="220" t="str" cm="1">
        <f t="array" ref="H5361">IFERROR(INDEX(INVESTOR_LIST[INVESTOR NAME],MATCH(I5361,INVESTOR_LIST[INVESTOR CODE],0),)," ")</f>
        <v>SYED REZWANUL HUQ</v>
      </c>
      <c r="I5361" s="142" t="s">
        <v>592</v>
      </c>
      <c r="J5361" s="310" t="s">
        <v>358</v>
      </c>
      <c r="K5361" s="226">
        <v>13871</v>
      </c>
      <c r="L5361" s="226" t="s">
        <v>348</v>
      </c>
    </row>
    <row r="5362" spans="1:12" ht="33.75" x14ac:dyDescent="0.2">
      <c r="A5362" s="133">
        <v>2022</v>
      </c>
      <c r="B5362" s="133">
        <v>1</v>
      </c>
      <c r="C5362" s="133">
        <v>1</v>
      </c>
      <c r="D5362" s="147">
        <f t="shared" si="174"/>
        <v>44562</v>
      </c>
      <c r="E5362" s="311">
        <f t="shared" si="175"/>
        <v>44562</v>
      </c>
      <c r="F5362" s="481"/>
      <c r="G5362" s="174" t="s">
        <v>94</v>
      </c>
      <c r="H5362" s="174" t="str" cm="1">
        <f t="array" ref="H5362">IFERROR(INDEX(INVESTOR_LIST[INVESTOR NAME],MATCH(I5362,INVESTOR_LIST[INVESTOR CODE],0),)," ")</f>
        <v>SYED REZWANUL HUQ</v>
      </c>
      <c r="I5362" s="148" t="s">
        <v>592</v>
      </c>
      <c r="J5362" s="312" t="s">
        <v>13</v>
      </c>
      <c r="K5362" s="218" t="s">
        <v>348</v>
      </c>
      <c r="L5362" s="218">
        <v>11370</v>
      </c>
    </row>
    <row r="5363" spans="1:12" ht="33.75" x14ac:dyDescent="0.2">
      <c r="A5363" s="133">
        <v>2022</v>
      </c>
      <c r="B5363" s="133">
        <v>1</v>
      </c>
      <c r="C5363" s="133">
        <v>1</v>
      </c>
      <c r="D5363" s="147">
        <f t="shared" si="174"/>
        <v>44562</v>
      </c>
      <c r="E5363" s="311">
        <f t="shared" si="175"/>
        <v>44562</v>
      </c>
      <c r="F5363" s="481"/>
      <c r="G5363" s="174" t="s">
        <v>94</v>
      </c>
      <c r="H5363" s="174" t="str" cm="1">
        <f t="array" ref="H5363">IFERROR(INDEX(INVESTOR_LIST[INVESTOR NAME],MATCH(I5363,INVESTOR_LIST[INVESTOR CODE],0),)," ")</f>
        <v>SYED REZWANUL HUQ</v>
      </c>
      <c r="I5363" s="148" t="s">
        <v>592</v>
      </c>
      <c r="J5363" s="312" t="s">
        <v>53</v>
      </c>
      <c r="K5363" s="218" t="s">
        <v>348</v>
      </c>
      <c r="L5363" s="218">
        <v>2501</v>
      </c>
    </row>
    <row r="5364" spans="1:12" ht="33.75" x14ac:dyDescent="0.2">
      <c r="A5364" s="168">
        <v>2022</v>
      </c>
      <c r="B5364" s="168">
        <v>1</v>
      </c>
      <c r="C5364" s="168">
        <v>1</v>
      </c>
      <c r="D5364" s="141">
        <f t="shared" si="174"/>
        <v>44562</v>
      </c>
      <c r="E5364" s="275">
        <f t="shared" si="175"/>
        <v>44562</v>
      </c>
      <c r="F5364" s="479" t="s">
        <v>966</v>
      </c>
      <c r="G5364" s="220" t="s">
        <v>94</v>
      </c>
      <c r="H5364" s="220" t="str" cm="1">
        <f t="array" ref="H5364">IFERROR(INDEX(INVESTOR_LIST[INVESTOR NAME],MATCH(I5364,INVESTOR_LIST[INVESTOR CODE],0),)," ")</f>
        <v>RAHNUMA SANJANA</v>
      </c>
      <c r="I5364" s="142" t="s">
        <v>467</v>
      </c>
      <c r="J5364" s="310" t="s">
        <v>358</v>
      </c>
      <c r="K5364" s="226">
        <v>248573</v>
      </c>
      <c r="L5364" s="226" t="s">
        <v>348</v>
      </c>
    </row>
    <row r="5365" spans="1:12" ht="33.75" x14ac:dyDescent="0.2">
      <c r="A5365" s="133">
        <v>2022</v>
      </c>
      <c r="B5365" s="133">
        <v>1</v>
      </c>
      <c r="C5365" s="133">
        <v>1</v>
      </c>
      <c r="D5365" s="147">
        <f t="shared" si="174"/>
        <v>44562</v>
      </c>
      <c r="E5365" s="311">
        <f t="shared" si="175"/>
        <v>44562</v>
      </c>
      <c r="F5365" s="481"/>
      <c r="G5365" s="174" t="s">
        <v>94</v>
      </c>
      <c r="H5365" s="174" t="str" cm="1">
        <f t="array" ref="H5365">IFERROR(INDEX(INVESTOR_LIST[INVESTOR NAME],MATCH(I5365,INVESTOR_LIST[INVESTOR CODE],0),)," ")</f>
        <v>RAHNUMA SANJANA</v>
      </c>
      <c r="I5365" s="148" t="s">
        <v>467</v>
      </c>
      <c r="J5365" s="312" t="s">
        <v>13</v>
      </c>
      <c r="K5365" s="218" t="s">
        <v>348</v>
      </c>
      <c r="L5365" s="218">
        <v>185420</v>
      </c>
    </row>
    <row r="5366" spans="1:12" ht="33.75" x14ac:dyDescent="0.2">
      <c r="A5366" s="133">
        <v>2022</v>
      </c>
      <c r="B5366" s="133">
        <v>1</v>
      </c>
      <c r="C5366" s="133">
        <v>1</v>
      </c>
      <c r="D5366" s="147">
        <f t="shared" si="174"/>
        <v>44562</v>
      </c>
      <c r="E5366" s="311">
        <f t="shared" si="175"/>
        <v>44562</v>
      </c>
      <c r="F5366" s="481"/>
      <c r="G5366" s="174" t="s">
        <v>94</v>
      </c>
      <c r="H5366" s="174" t="str" cm="1">
        <f t="array" ref="H5366">IFERROR(INDEX(INVESTOR_LIST[INVESTOR NAME],MATCH(I5366,INVESTOR_LIST[INVESTOR CODE],0),)," ")</f>
        <v>RAHNUMA SANJANA</v>
      </c>
      <c r="I5366" s="148" t="s">
        <v>467</v>
      </c>
      <c r="J5366" s="312" t="s">
        <v>53</v>
      </c>
      <c r="K5366" s="218" t="s">
        <v>348</v>
      </c>
      <c r="L5366" s="218">
        <v>40795.700000000012</v>
      </c>
    </row>
    <row r="5367" spans="1:12" ht="33.75" x14ac:dyDescent="0.2">
      <c r="A5367" s="163">
        <v>2022</v>
      </c>
      <c r="B5367" s="163">
        <v>1</v>
      </c>
      <c r="C5367" s="163">
        <v>1</v>
      </c>
      <c r="D5367" s="144">
        <f t="shared" si="174"/>
        <v>44562</v>
      </c>
      <c r="E5367" s="313">
        <f t="shared" si="175"/>
        <v>44562</v>
      </c>
      <c r="F5367" s="480"/>
      <c r="G5367" s="221" t="s">
        <v>94</v>
      </c>
      <c r="H5367" s="221" t="str" cm="1">
        <f t="array" ref="H5367">IFERROR(INDEX(INVESTOR_LIST[INVESTOR NAME],MATCH(I5367,INVESTOR_LIST[INVESTOR CODE],0),)," ")</f>
        <v>RAHNUMA SANJANA</v>
      </c>
      <c r="I5367" s="145" t="s">
        <v>467</v>
      </c>
      <c r="J5367" s="314" t="s">
        <v>534</v>
      </c>
      <c r="K5367" s="219" t="s">
        <v>348</v>
      </c>
      <c r="L5367" s="219">
        <v>22357.300000000003</v>
      </c>
    </row>
    <row r="5368" spans="1:12" ht="33.75" x14ac:dyDescent="0.2">
      <c r="A5368" s="168">
        <v>2022</v>
      </c>
      <c r="B5368" s="168">
        <v>1</v>
      </c>
      <c r="C5368" s="168">
        <v>1</v>
      </c>
      <c r="D5368" s="141">
        <f t="shared" si="174"/>
        <v>44562</v>
      </c>
      <c r="E5368" s="275">
        <f t="shared" si="175"/>
        <v>44562</v>
      </c>
      <c r="F5368" s="479" t="s">
        <v>966</v>
      </c>
      <c r="G5368" s="220" t="s">
        <v>94</v>
      </c>
      <c r="H5368" s="220" t="str" cm="1">
        <f t="array" ref="H5368">IFERROR(INDEX(INVESTOR_LIST[INVESTOR NAME],MATCH(I5368,INVESTOR_LIST[INVESTOR CODE],0),)," ")</f>
        <v>MD. MONIRUZZAMAN</v>
      </c>
      <c r="I5368" s="142" t="s">
        <v>468</v>
      </c>
      <c r="J5368" s="310" t="s">
        <v>358</v>
      </c>
      <c r="K5368" s="226">
        <v>131201.20000000001</v>
      </c>
      <c r="L5368" s="226" t="s">
        <v>348</v>
      </c>
    </row>
    <row r="5369" spans="1:12" ht="33.75" x14ac:dyDescent="0.2">
      <c r="A5369" s="133">
        <v>2022</v>
      </c>
      <c r="B5369" s="133">
        <v>1</v>
      </c>
      <c r="C5369" s="133">
        <v>1</v>
      </c>
      <c r="D5369" s="147">
        <f t="shared" si="174"/>
        <v>44562</v>
      </c>
      <c r="E5369" s="311">
        <f t="shared" si="175"/>
        <v>44562</v>
      </c>
      <c r="F5369" s="481"/>
      <c r="G5369" s="174" t="s">
        <v>94</v>
      </c>
      <c r="H5369" s="174" t="str" cm="1">
        <f t="array" ref="H5369">IFERROR(INDEX(INVESTOR_LIST[INVESTOR NAME],MATCH(I5369,INVESTOR_LIST[INVESTOR CODE],0),)," ")</f>
        <v>MD. MONIRUZZAMAN</v>
      </c>
      <c r="I5369" s="148" t="s">
        <v>468</v>
      </c>
      <c r="J5369" s="312" t="s">
        <v>13</v>
      </c>
      <c r="K5369" s="218" t="s">
        <v>348</v>
      </c>
      <c r="L5369" s="218">
        <v>98840</v>
      </c>
    </row>
    <row r="5370" spans="1:12" ht="33.75" x14ac:dyDescent="0.2">
      <c r="A5370" s="133">
        <v>2022</v>
      </c>
      <c r="B5370" s="133">
        <v>1</v>
      </c>
      <c r="C5370" s="133">
        <v>1</v>
      </c>
      <c r="D5370" s="147">
        <f t="shared" si="174"/>
        <v>44562</v>
      </c>
      <c r="E5370" s="311">
        <f t="shared" si="175"/>
        <v>44562</v>
      </c>
      <c r="F5370" s="481"/>
      <c r="G5370" s="174" t="s">
        <v>94</v>
      </c>
      <c r="H5370" s="174" t="str" cm="1">
        <f t="array" ref="H5370">IFERROR(INDEX(INVESTOR_LIST[INVESTOR NAME],MATCH(I5370,INVESTOR_LIST[INVESTOR CODE],0),)," ")</f>
        <v>MD. MONIRUZZAMAN</v>
      </c>
      <c r="I5370" s="148" t="s">
        <v>468</v>
      </c>
      <c r="J5370" s="312" t="s">
        <v>53</v>
      </c>
      <c r="K5370" s="218" t="s">
        <v>348</v>
      </c>
      <c r="L5370" s="218">
        <v>21741.080000000016</v>
      </c>
    </row>
    <row r="5371" spans="1:12" ht="33.75" x14ac:dyDescent="0.2">
      <c r="A5371" s="163">
        <v>2022</v>
      </c>
      <c r="B5371" s="163">
        <v>1</v>
      </c>
      <c r="C5371" s="163">
        <v>1</v>
      </c>
      <c r="D5371" s="144">
        <f t="shared" si="174"/>
        <v>44562</v>
      </c>
      <c r="E5371" s="313">
        <f t="shared" si="175"/>
        <v>44562</v>
      </c>
      <c r="F5371" s="480"/>
      <c r="G5371" s="221" t="s">
        <v>94</v>
      </c>
      <c r="H5371" s="221" t="str" cm="1">
        <f t="array" ref="H5371">IFERROR(INDEX(INVESTOR_LIST[INVESTOR NAME],MATCH(I5371,INVESTOR_LIST[INVESTOR CODE],0),)," ")</f>
        <v>MD. MONIRUZZAMAN</v>
      </c>
      <c r="I5371" s="145" t="s">
        <v>468</v>
      </c>
      <c r="J5371" s="314" t="s">
        <v>534</v>
      </c>
      <c r="K5371" s="219" t="s">
        <v>348</v>
      </c>
      <c r="L5371" s="219">
        <v>10620.120000000003</v>
      </c>
    </row>
    <row r="5372" spans="1:12" ht="33.75" x14ac:dyDescent="0.2">
      <c r="A5372" s="168">
        <v>2022</v>
      </c>
      <c r="B5372" s="168">
        <v>1</v>
      </c>
      <c r="C5372" s="168">
        <v>1</v>
      </c>
      <c r="D5372" s="141">
        <f t="shared" si="174"/>
        <v>44562</v>
      </c>
      <c r="E5372" s="275">
        <f t="shared" si="175"/>
        <v>44562</v>
      </c>
      <c r="F5372" s="479" t="s">
        <v>966</v>
      </c>
      <c r="G5372" s="220" t="s">
        <v>94</v>
      </c>
      <c r="H5372" s="220" t="str" cm="1">
        <f t="array" ref="H5372">IFERROR(INDEX(INVESTOR_LIST[INVESTOR NAME],MATCH(I5372,INVESTOR_LIST[INVESTOR CODE],0),)," ")</f>
        <v>S.M. FERDAUS HOSSAIN</v>
      </c>
      <c r="I5372" s="142" t="s">
        <v>606</v>
      </c>
      <c r="J5372" s="310" t="s">
        <v>358</v>
      </c>
      <c r="K5372" s="226">
        <v>4118.3999999999996</v>
      </c>
      <c r="L5372" s="226" t="s">
        <v>348</v>
      </c>
    </row>
    <row r="5373" spans="1:12" ht="33.75" x14ac:dyDescent="0.2">
      <c r="A5373" s="133">
        <v>2022</v>
      </c>
      <c r="B5373" s="133">
        <v>1</v>
      </c>
      <c r="C5373" s="133">
        <v>1</v>
      </c>
      <c r="D5373" s="147">
        <f t="shared" si="174"/>
        <v>44562</v>
      </c>
      <c r="E5373" s="311">
        <f t="shared" si="175"/>
        <v>44562</v>
      </c>
      <c r="F5373" s="481"/>
      <c r="G5373" s="174" t="s">
        <v>94</v>
      </c>
      <c r="H5373" s="174" t="str" cm="1">
        <f t="array" ref="H5373">IFERROR(INDEX(INVESTOR_LIST[INVESTOR NAME],MATCH(I5373,INVESTOR_LIST[INVESTOR CODE],0),)," ")</f>
        <v>S.M. FERDAUS HOSSAIN</v>
      </c>
      <c r="I5373" s="148" t="s">
        <v>606</v>
      </c>
      <c r="J5373" s="312" t="s">
        <v>13</v>
      </c>
      <c r="K5373" s="218" t="s">
        <v>348</v>
      </c>
      <c r="L5373" s="218">
        <v>3380</v>
      </c>
    </row>
    <row r="5374" spans="1:12" ht="33.75" x14ac:dyDescent="0.2">
      <c r="A5374" s="133">
        <v>2022</v>
      </c>
      <c r="B5374" s="133">
        <v>1</v>
      </c>
      <c r="C5374" s="133">
        <v>1</v>
      </c>
      <c r="D5374" s="147">
        <f t="shared" si="174"/>
        <v>44562</v>
      </c>
      <c r="E5374" s="311">
        <f t="shared" si="175"/>
        <v>44562</v>
      </c>
      <c r="F5374" s="481"/>
      <c r="G5374" s="174" t="s">
        <v>94</v>
      </c>
      <c r="H5374" s="174" t="str" cm="1">
        <f t="array" ref="H5374">IFERROR(INDEX(INVESTOR_LIST[INVESTOR NAME],MATCH(I5374,INVESTOR_LIST[INVESTOR CODE],0),)," ")</f>
        <v>S.M. FERDAUS HOSSAIN</v>
      </c>
      <c r="I5374" s="148" t="s">
        <v>606</v>
      </c>
      <c r="J5374" s="312" t="s">
        <v>53</v>
      </c>
      <c r="K5374" s="218" t="s">
        <v>348</v>
      </c>
      <c r="L5374" s="218">
        <v>738.39999999999964</v>
      </c>
    </row>
    <row r="5375" spans="1:12" ht="22.5" x14ac:dyDescent="0.2">
      <c r="A5375" s="168">
        <v>2022</v>
      </c>
      <c r="B5375" s="168">
        <v>1</v>
      </c>
      <c r="C5375" s="168">
        <v>1</v>
      </c>
      <c r="D5375" s="141">
        <f t="shared" si="174"/>
        <v>44562</v>
      </c>
      <c r="E5375" s="275">
        <f t="shared" si="175"/>
        <v>44562</v>
      </c>
      <c r="F5375" s="479" t="s">
        <v>966</v>
      </c>
      <c r="G5375" s="220" t="s">
        <v>94</v>
      </c>
      <c r="H5375" s="220" t="str" cm="1">
        <f t="array" ref="H5375">IFERROR(INDEX(INVESTOR_LIST[INVESTOR NAME],MATCH(I5375,INVESTOR_LIST[INVESTOR CODE],0),)," ")</f>
        <v>ARIFUR RAHMAN</v>
      </c>
      <c r="I5375" s="142" t="s">
        <v>469</v>
      </c>
      <c r="J5375" s="310" t="s">
        <v>358</v>
      </c>
      <c r="K5375" s="226">
        <v>12056.2</v>
      </c>
      <c r="L5375" s="226" t="s">
        <v>348</v>
      </c>
    </row>
    <row r="5376" spans="1:12" ht="22.5" x14ac:dyDescent="0.2">
      <c r="A5376" s="133">
        <v>2022</v>
      </c>
      <c r="B5376" s="133">
        <v>1</v>
      </c>
      <c r="C5376" s="133">
        <v>1</v>
      </c>
      <c r="D5376" s="147">
        <f t="shared" si="174"/>
        <v>44562</v>
      </c>
      <c r="E5376" s="311">
        <f t="shared" si="175"/>
        <v>44562</v>
      </c>
      <c r="F5376" s="481"/>
      <c r="G5376" s="174" t="s">
        <v>94</v>
      </c>
      <c r="H5376" s="174" t="str" cm="1">
        <f t="array" ref="H5376">IFERROR(INDEX(INVESTOR_LIST[INVESTOR NAME],MATCH(I5376,INVESTOR_LIST[INVESTOR CODE],0),)," ")</f>
        <v>ARIFUR RAHMAN</v>
      </c>
      <c r="I5376" s="148" t="s">
        <v>469</v>
      </c>
      <c r="J5376" s="312" t="s">
        <v>13</v>
      </c>
      <c r="K5376" s="218" t="s">
        <v>348</v>
      </c>
      <c r="L5376" s="218">
        <v>9880</v>
      </c>
    </row>
    <row r="5377" spans="1:12" ht="22.5" x14ac:dyDescent="0.2">
      <c r="A5377" s="133">
        <v>2022</v>
      </c>
      <c r="B5377" s="133">
        <v>1</v>
      </c>
      <c r="C5377" s="133">
        <v>1</v>
      </c>
      <c r="D5377" s="147">
        <f t="shared" si="174"/>
        <v>44562</v>
      </c>
      <c r="E5377" s="311">
        <f t="shared" si="175"/>
        <v>44562</v>
      </c>
      <c r="F5377" s="481"/>
      <c r="G5377" s="174" t="s">
        <v>94</v>
      </c>
      <c r="H5377" s="174" t="str" cm="1">
        <f t="array" ref="H5377">IFERROR(INDEX(INVESTOR_LIST[INVESTOR NAME],MATCH(I5377,INVESTOR_LIST[INVESTOR CODE],0),)," ")</f>
        <v>ARIFUR RAHMAN</v>
      </c>
      <c r="I5377" s="148" t="s">
        <v>469</v>
      </c>
      <c r="J5377" s="312" t="s">
        <v>53</v>
      </c>
      <c r="K5377" s="218" t="s">
        <v>348</v>
      </c>
      <c r="L5377" s="218">
        <v>2176.2000000000007</v>
      </c>
    </row>
    <row r="5378" spans="1:12" ht="22.5" x14ac:dyDescent="0.2">
      <c r="A5378" s="168">
        <v>2022</v>
      </c>
      <c r="B5378" s="168">
        <v>1</v>
      </c>
      <c r="C5378" s="168">
        <v>1</v>
      </c>
      <c r="D5378" s="141">
        <f t="shared" si="174"/>
        <v>44562</v>
      </c>
      <c r="E5378" s="275">
        <f t="shared" si="175"/>
        <v>44562</v>
      </c>
      <c r="F5378" s="479" t="s">
        <v>966</v>
      </c>
      <c r="G5378" s="220" t="s">
        <v>94</v>
      </c>
      <c r="H5378" s="220" t="str" cm="1">
        <f t="array" ref="H5378">IFERROR(INDEX(INVESTOR_LIST[INVESTOR NAME],MATCH(I5378,INVESTOR_LIST[INVESTOR CODE],0),)," ")</f>
        <v>N M AL HOSSAIN</v>
      </c>
      <c r="I5378" s="142" t="s">
        <v>470</v>
      </c>
      <c r="J5378" s="310" t="s">
        <v>358</v>
      </c>
      <c r="K5378" s="226">
        <v>27913.599999999999</v>
      </c>
      <c r="L5378" s="226" t="s">
        <v>348</v>
      </c>
    </row>
    <row r="5379" spans="1:12" ht="22.5" x14ac:dyDescent="0.2">
      <c r="A5379" s="133">
        <v>2022</v>
      </c>
      <c r="B5379" s="133">
        <v>1</v>
      </c>
      <c r="C5379" s="133">
        <v>1</v>
      </c>
      <c r="D5379" s="147">
        <f t="shared" si="174"/>
        <v>44562</v>
      </c>
      <c r="E5379" s="311">
        <f t="shared" si="175"/>
        <v>44562</v>
      </c>
      <c r="F5379" s="481"/>
      <c r="G5379" s="174" t="s">
        <v>94</v>
      </c>
      <c r="H5379" s="174" t="str" cm="1">
        <f t="array" ref="H5379">IFERROR(INDEX(INVESTOR_LIST[INVESTOR NAME],MATCH(I5379,INVESTOR_LIST[INVESTOR CODE],0),)," ")</f>
        <v>N M AL HOSSAIN</v>
      </c>
      <c r="I5379" s="148" t="s">
        <v>470</v>
      </c>
      <c r="J5379" s="312" t="s">
        <v>13</v>
      </c>
      <c r="K5379" s="218" t="s">
        <v>348</v>
      </c>
      <c r="L5379" s="218">
        <v>22640</v>
      </c>
    </row>
    <row r="5380" spans="1:12" ht="22.5" x14ac:dyDescent="0.2">
      <c r="A5380" s="133">
        <v>2022</v>
      </c>
      <c r="B5380" s="133">
        <v>1</v>
      </c>
      <c r="C5380" s="133">
        <v>1</v>
      </c>
      <c r="D5380" s="147">
        <f t="shared" si="174"/>
        <v>44562</v>
      </c>
      <c r="E5380" s="311">
        <f t="shared" si="175"/>
        <v>44562</v>
      </c>
      <c r="F5380" s="481"/>
      <c r="G5380" s="174" t="s">
        <v>94</v>
      </c>
      <c r="H5380" s="174" t="str" cm="1">
        <f t="array" ref="H5380">IFERROR(INDEX(INVESTOR_LIST[INVESTOR NAME],MATCH(I5380,INVESTOR_LIST[INVESTOR CODE],0),)," ")</f>
        <v>N M AL HOSSAIN</v>
      </c>
      <c r="I5380" s="148" t="s">
        <v>470</v>
      </c>
      <c r="J5380" s="312" t="s">
        <v>53</v>
      </c>
      <c r="K5380" s="218" t="s">
        <v>348</v>
      </c>
      <c r="L5380" s="218">
        <v>4982.239999999998</v>
      </c>
    </row>
    <row r="5381" spans="1:12" ht="22.5" x14ac:dyDescent="0.2">
      <c r="A5381" s="163">
        <v>2022</v>
      </c>
      <c r="B5381" s="163">
        <v>1</v>
      </c>
      <c r="C5381" s="163">
        <v>1</v>
      </c>
      <c r="D5381" s="144">
        <f t="shared" si="174"/>
        <v>44562</v>
      </c>
      <c r="E5381" s="313">
        <f t="shared" si="175"/>
        <v>44562</v>
      </c>
      <c r="F5381" s="480"/>
      <c r="G5381" s="221" t="s">
        <v>94</v>
      </c>
      <c r="H5381" s="221" t="str" cm="1">
        <f t="array" ref="H5381">IFERROR(INDEX(INVESTOR_LIST[INVESTOR NAME],MATCH(I5381,INVESTOR_LIST[INVESTOR CODE],0),)," ")</f>
        <v>N M AL HOSSAIN</v>
      </c>
      <c r="I5381" s="145" t="s">
        <v>470</v>
      </c>
      <c r="J5381" s="314" t="s">
        <v>534</v>
      </c>
      <c r="K5381" s="219" t="s">
        <v>348</v>
      </c>
      <c r="L5381" s="219">
        <v>291.35999999999984</v>
      </c>
    </row>
    <row r="5382" spans="1:12" ht="33.75" x14ac:dyDescent="0.2">
      <c r="A5382" s="168">
        <v>2022</v>
      </c>
      <c r="B5382" s="168">
        <v>1</v>
      </c>
      <c r="C5382" s="168">
        <v>1</v>
      </c>
      <c r="D5382" s="141">
        <f t="shared" si="174"/>
        <v>44562</v>
      </c>
      <c r="E5382" s="275">
        <f t="shared" si="175"/>
        <v>44562</v>
      </c>
      <c r="F5382" s="479" t="s">
        <v>966</v>
      </c>
      <c r="G5382" s="220" t="s">
        <v>94</v>
      </c>
      <c r="H5382" s="220" t="str" cm="1">
        <f t="array" ref="H5382">IFERROR(INDEX(INVESTOR_LIST[INVESTOR NAME],MATCH(I5382,INVESTOR_LIST[INVESTOR CODE],0),)," ")</f>
        <v>SUHAIEB CHOWDHURY</v>
      </c>
      <c r="I5382" s="142" t="s">
        <v>472</v>
      </c>
      <c r="J5382" s="310" t="s">
        <v>358</v>
      </c>
      <c r="K5382" s="226">
        <v>79768</v>
      </c>
      <c r="L5382" s="226" t="s">
        <v>348</v>
      </c>
    </row>
    <row r="5383" spans="1:12" ht="33.75" x14ac:dyDescent="0.2">
      <c r="A5383" s="133">
        <v>2022</v>
      </c>
      <c r="B5383" s="133">
        <v>1</v>
      </c>
      <c r="C5383" s="133">
        <v>1</v>
      </c>
      <c r="D5383" s="147">
        <f t="shared" si="174"/>
        <v>44562</v>
      </c>
      <c r="E5383" s="311">
        <f t="shared" si="175"/>
        <v>44562</v>
      </c>
      <c r="F5383" s="481"/>
      <c r="G5383" s="174" t="s">
        <v>94</v>
      </c>
      <c r="H5383" s="174" t="str" cm="1">
        <f t="array" ref="H5383">IFERROR(INDEX(INVESTOR_LIST[INVESTOR NAME],MATCH(I5383,INVESTOR_LIST[INVESTOR CODE],0),)," ")</f>
        <v>SUHAIEB CHOWDHURY</v>
      </c>
      <c r="I5383" s="148" t="s">
        <v>472</v>
      </c>
      <c r="J5383" s="312" t="s">
        <v>13</v>
      </c>
      <c r="K5383" s="218" t="s">
        <v>348</v>
      </c>
      <c r="L5383" s="218">
        <v>60890</v>
      </c>
    </row>
    <row r="5384" spans="1:12" ht="33.75" x14ac:dyDescent="0.2">
      <c r="A5384" s="133">
        <v>2022</v>
      </c>
      <c r="B5384" s="133">
        <v>1</v>
      </c>
      <c r="C5384" s="133">
        <v>1</v>
      </c>
      <c r="D5384" s="147">
        <f t="shared" si="174"/>
        <v>44562</v>
      </c>
      <c r="E5384" s="311">
        <f t="shared" si="175"/>
        <v>44562</v>
      </c>
      <c r="F5384" s="481"/>
      <c r="G5384" s="174" t="s">
        <v>94</v>
      </c>
      <c r="H5384" s="174" t="str" cm="1">
        <f t="array" ref="H5384">IFERROR(INDEX(INVESTOR_LIST[INVESTOR NAME],MATCH(I5384,INVESTOR_LIST[INVESTOR CODE],0),)," ")</f>
        <v>SUHAIEB CHOWDHURY</v>
      </c>
      <c r="I5384" s="148" t="s">
        <v>472</v>
      </c>
      <c r="J5384" s="312" t="s">
        <v>53</v>
      </c>
      <c r="K5384" s="218" t="s">
        <v>348</v>
      </c>
      <c r="L5384" s="218">
        <v>13401.199999999997</v>
      </c>
    </row>
    <row r="5385" spans="1:12" ht="33.75" x14ac:dyDescent="0.2">
      <c r="A5385" s="163">
        <v>2022</v>
      </c>
      <c r="B5385" s="163">
        <v>1</v>
      </c>
      <c r="C5385" s="163">
        <v>1</v>
      </c>
      <c r="D5385" s="144">
        <f t="shared" si="174"/>
        <v>44562</v>
      </c>
      <c r="E5385" s="313">
        <f t="shared" si="175"/>
        <v>44562</v>
      </c>
      <c r="F5385" s="480"/>
      <c r="G5385" s="221" t="s">
        <v>94</v>
      </c>
      <c r="H5385" s="221" t="str" cm="1">
        <f t="array" ref="H5385">IFERROR(INDEX(INVESTOR_LIST[INVESTOR NAME],MATCH(I5385,INVESTOR_LIST[INVESTOR CODE],0),)," ")</f>
        <v>SUHAIEB CHOWDHURY</v>
      </c>
      <c r="I5385" s="145" t="s">
        <v>472</v>
      </c>
      <c r="J5385" s="314" t="s">
        <v>534</v>
      </c>
      <c r="K5385" s="219" t="s">
        <v>348</v>
      </c>
      <c r="L5385" s="219">
        <v>5476.8</v>
      </c>
    </row>
    <row r="5386" spans="1:12" ht="33.75" x14ac:dyDescent="0.2">
      <c r="A5386" s="168">
        <v>2022</v>
      </c>
      <c r="B5386" s="168">
        <v>1</v>
      </c>
      <c r="C5386" s="168">
        <v>1</v>
      </c>
      <c r="D5386" s="141">
        <f t="shared" si="174"/>
        <v>44562</v>
      </c>
      <c r="E5386" s="275">
        <f t="shared" si="175"/>
        <v>44562</v>
      </c>
      <c r="F5386" s="479" t="s">
        <v>966</v>
      </c>
      <c r="G5386" s="220" t="s">
        <v>94</v>
      </c>
      <c r="H5386" s="220" t="str" cm="1">
        <f t="array" ref="H5386">IFERROR(INDEX(INVESTOR_LIST[INVESTOR NAME],MATCH(I5386,INVESTOR_LIST[INVESTOR CODE],0),)," ")</f>
        <v>MUQIT-AL RAHMAN</v>
      </c>
      <c r="I5386" s="142" t="s">
        <v>473</v>
      </c>
      <c r="J5386" s="310" t="s">
        <v>358</v>
      </c>
      <c r="K5386" s="226">
        <v>261359.8</v>
      </c>
      <c r="L5386" s="226" t="s">
        <v>348</v>
      </c>
    </row>
    <row r="5387" spans="1:12" ht="33.75" x14ac:dyDescent="0.2">
      <c r="A5387" s="133">
        <v>2022</v>
      </c>
      <c r="B5387" s="133">
        <v>1</v>
      </c>
      <c r="C5387" s="133">
        <v>1</v>
      </c>
      <c r="D5387" s="147">
        <f t="shared" si="174"/>
        <v>44562</v>
      </c>
      <c r="E5387" s="311">
        <f t="shared" si="175"/>
        <v>44562</v>
      </c>
      <c r="F5387" s="481"/>
      <c r="G5387" s="174" t="s">
        <v>94</v>
      </c>
      <c r="H5387" s="174" t="str" cm="1">
        <f t="array" ref="H5387">IFERROR(INDEX(INVESTOR_LIST[INVESTOR NAME],MATCH(I5387,INVESTOR_LIST[INVESTOR CODE],0),)," ")</f>
        <v>MUQIT-AL RAHMAN</v>
      </c>
      <c r="I5387" s="148" t="s">
        <v>473</v>
      </c>
      <c r="J5387" s="312" t="s">
        <v>13</v>
      </c>
      <c r="K5387" s="218" t="s">
        <v>348</v>
      </c>
      <c r="L5387" s="218">
        <v>194860</v>
      </c>
    </row>
    <row r="5388" spans="1:12" ht="33.75" x14ac:dyDescent="0.2">
      <c r="A5388" s="133">
        <v>2022</v>
      </c>
      <c r="B5388" s="133">
        <v>1</v>
      </c>
      <c r="C5388" s="133">
        <v>1</v>
      </c>
      <c r="D5388" s="147">
        <f t="shared" si="174"/>
        <v>44562</v>
      </c>
      <c r="E5388" s="311">
        <f t="shared" si="175"/>
        <v>44562</v>
      </c>
      <c r="F5388" s="481"/>
      <c r="G5388" s="174" t="s">
        <v>94</v>
      </c>
      <c r="H5388" s="174" t="str" cm="1">
        <f t="array" ref="H5388">IFERROR(INDEX(INVESTOR_LIST[INVESTOR NAME],MATCH(I5388,INVESTOR_LIST[INVESTOR CODE],0),)," ")</f>
        <v>MUQIT-AL RAHMAN</v>
      </c>
      <c r="I5388" s="148" t="s">
        <v>473</v>
      </c>
      <c r="J5388" s="312" t="s">
        <v>53</v>
      </c>
      <c r="K5388" s="218" t="s">
        <v>348</v>
      </c>
      <c r="L5388" s="218">
        <v>42863.819999999978</v>
      </c>
    </row>
    <row r="5389" spans="1:12" ht="33.75" x14ac:dyDescent="0.2">
      <c r="A5389" s="163">
        <v>2022</v>
      </c>
      <c r="B5389" s="163">
        <v>1</v>
      </c>
      <c r="C5389" s="163">
        <v>1</v>
      </c>
      <c r="D5389" s="144">
        <f t="shared" si="174"/>
        <v>44562</v>
      </c>
      <c r="E5389" s="313">
        <f t="shared" si="175"/>
        <v>44562</v>
      </c>
      <c r="F5389" s="480"/>
      <c r="G5389" s="221" t="s">
        <v>94</v>
      </c>
      <c r="H5389" s="221" t="str" cm="1">
        <f t="array" ref="H5389">IFERROR(INDEX(INVESTOR_LIST[INVESTOR NAME],MATCH(I5389,INVESTOR_LIST[INVESTOR CODE],0),)," ")</f>
        <v>MUQIT-AL RAHMAN</v>
      </c>
      <c r="I5389" s="145" t="s">
        <v>473</v>
      </c>
      <c r="J5389" s="314" t="s">
        <v>534</v>
      </c>
      <c r="K5389" s="219" t="s">
        <v>348</v>
      </c>
      <c r="L5389" s="219">
        <v>23635.98</v>
      </c>
    </row>
    <row r="5390" spans="1:12" ht="45" x14ac:dyDescent="0.2">
      <c r="A5390" s="168">
        <v>2022</v>
      </c>
      <c r="B5390" s="168">
        <v>1</v>
      </c>
      <c r="C5390" s="168">
        <v>1</v>
      </c>
      <c r="D5390" s="141">
        <f t="shared" si="174"/>
        <v>44562</v>
      </c>
      <c r="E5390" s="275">
        <f t="shared" si="175"/>
        <v>44562</v>
      </c>
      <c r="F5390" s="479" t="s">
        <v>966</v>
      </c>
      <c r="G5390" s="220" t="s">
        <v>94</v>
      </c>
      <c r="H5390" s="220" t="str" cm="1">
        <f t="array" ref="H5390">IFERROR(INDEX(INVESTOR_LIST[INVESTOR NAME],MATCH(I5390,INVESTOR_LIST[INVESTOR CODE],0),)," ")</f>
        <v>MOHAMMED ALI XAHANGIR</v>
      </c>
      <c r="I5390" s="142" t="s">
        <v>616</v>
      </c>
      <c r="J5390" s="310" t="s">
        <v>358</v>
      </c>
      <c r="K5390" s="226">
        <v>22955.4</v>
      </c>
      <c r="L5390" s="226" t="s">
        <v>348</v>
      </c>
    </row>
    <row r="5391" spans="1:12" ht="45" x14ac:dyDescent="0.2">
      <c r="A5391" s="133">
        <v>2022</v>
      </c>
      <c r="B5391" s="133">
        <v>1</v>
      </c>
      <c r="C5391" s="133">
        <v>1</v>
      </c>
      <c r="D5391" s="147">
        <f t="shared" si="174"/>
        <v>44562</v>
      </c>
      <c r="E5391" s="311">
        <f t="shared" si="175"/>
        <v>44562</v>
      </c>
      <c r="F5391" s="481"/>
      <c r="G5391" s="174" t="s">
        <v>94</v>
      </c>
      <c r="H5391" s="174" t="str" cm="1">
        <f t="array" ref="H5391">IFERROR(INDEX(INVESTOR_LIST[INVESTOR NAME],MATCH(I5391,INVESTOR_LIST[INVESTOR CODE],0),)," ")</f>
        <v>MOHAMMED ALI XAHANGIR</v>
      </c>
      <c r="I5391" s="148" t="s">
        <v>616</v>
      </c>
      <c r="J5391" s="312" t="s">
        <v>13</v>
      </c>
      <c r="K5391" s="218" t="s">
        <v>348</v>
      </c>
      <c r="L5391" s="218">
        <v>18820</v>
      </c>
    </row>
    <row r="5392" spans="1:12" ht="45" x14ac:dyDescent="0.2">
      <c r="A5392" s="133">
        <v>2022</v>
      </c>
      <c r="B5392" s="133">
        <v>1</v>
      </c>
      <c r="C5392" s="133">
        <v>1</v>
      </c>
      <c r="D5392" s="147">
        <f t="shared" si="174"/>
        <v>44562</v>
      </c>
      <c r="E5392" s="311">
        <f t="shared" si="175"/>
        <v>44562</v>
      </c>
      <c r="F5392" s="481"/>
      <c r="G5392" s="174" t="s">
        <v>94</v>
      </c>
      <c r="H5392" s="174" t="str" cm="1">
        <f t="array" ref="H5392">IFERROR(INDEX(INVESTOR_LIST[INVESTOR NAME],MATCH(I5392,INVESTOR_LIST[INVESTOR CODE],0),)," ")</f>
        <v>MOHAMMED ALI XAHANGIR</v>
      </c>
      <c r="I5392" s="148" t="s">
        <v>616</v>
      </c>
      <c r="J5392" s="312" t="s">
        <v>53</v>
      </c>
      <c r="K5392" s="218" t="s">
        <v>348</v>
      </c>
      <c r="L5392" s="218">
        <v>4135.4000000000015</v>
      </c>
    </row>
    <row r="5393" spans="1:12" ht="22.5" x14ac:dyDescent="0.2">
      <c r="A5393" s="168">
        <v>2022</v>
      </c>
      <c r="B5393" s="168">
        <v>1</v>
      </c>
      <c r="C5393" s="168">
        <v>1</v>
      </c>
      <c r="D5393" s="141">
        <f t="shared" si="174"/>
        <v>44562</v>
      </c>
      <c r="E5393" s="275">
        <f t="shared" si="175"/>
        <v>44562</v>
      </c>
      <c r="F5393" s="479" t="s">
        <v>966</v>
      </c>
      <c r="G5393" s="220" t="s">
        <v>94</v>
      </c>
      <c r="H5393" s="220" t="str" cm="1">
        <f t="array" ref="H5393">IFERROR(INDEX(INVESTOR_LIST[INVESTOR NAME],MATCH(I5393,INVESTOR_LIST[INVESTOR CODE],0),)," ")</f>
        <v>FAHMIDA KHAN</v>
      </c>
      <c r="I5393" s="142" t="s">
        <v>617</v>
      </c>
      <c r="J5393" s="310" t="s">
        <v>358</v>
      </c>
      <c r="K5393" s="226">
        <v>27224.6</v>
      </c>
      <c r="L5393" s="226" t="s">
        <v>348</v>
      </c>
    </row>
    <row r="5394" spans="1:12" ht="22.5" x14ac:dyDescent="0.2">
      <c r="A5394" s="133">
        <v>2022</v>
      </c>
      <c r="B5394" s="133">
        <v>1</v>
      </c>
      <c r="C5394" s="133">
        <v>1</v>
      </c>
      <c r="D5394" s="147">
        <f t="shared" si="174"/>
        <v>44562</v>
      </c>
      <c r="E5394" s="311">
        <f t="shared" si="175"/>
        <v>44562</v>
      </c>
      <c r="F5394" s="481"/>
      <c r="G5394" s="174" t="s">
        <v>94</v>
      </c>
      <c r="H5394" s="174" t="str" cm="1">
        <f t="array" ref="H5394">IFERROR(INDEX(INVESTOR_LIST[INVESTOR NAME],MATCH(I5394,INVESTOR_LIST[INVESTOR CODE],0),)," ")</f>
        <v>FAHMIDA KHAN</v>
      </c>
      <c r="I5394" s="148" t="s">
        <v>617</v>
      </c>
      <c r="J5394" s="312" t="s">
        <v>13</v>
      </c>
      <c r="K5394" s="218" t="s">
        <v>348</v>
      </c>
      <c r="L5394" s="218">
        <v>22130</v>
      </c>
    </row>
    <row r="5395" spans="1:12" ht="22.5" x14ac:dyDescent="0.2">
      <c r="A5395" s="133">
        <v>2022</v>
      </c>
      <c r="B5395" s="133">
        <v>1</v>
      </c>
      <c r="C5395" s="133">
        <v>1</v>
      </c>
      <c r="D5395" s="147">
        <f t="shared" si="174"/>
        <v>44562</v>
      </c>
      <c r="E5395" s="311">
        <f t="shared" si="175"/>
        <v>44562</v>
      </c>
      <c r="F5395" s="481"/>
      <c r="G5395" s="174" t="s">
        <v>94</v>
      </c>
      <c r="H5395" s="174" t="str" cm="1">
        <f t="array" ref="H5395">IFERROR(INDEX(INVESTOR_LIST[INVESTOR NAME],MATCH(I5395,INVESTOR_LIST[INVESTOR CODE],0),)," ")</f>
        <v>FAHMIDA KHAN</v>
      </c>
      <c r="I5395" s="148" t="s">
        <v>617</v>
      </c>
      <c r="J5395" s="312" t="s">
        <v>53</v>
      </c>
      <c r="K5395" s="218" t="s">
        <v>348</v>
      </c>
      <c r="L5395" s="218">
        <v>4872.1399999999994</v>
      </c>
    </row>
    <row r="5396" spans="1:12" ht="22.5" x14ac:dyDescent="0.2">
      <c r="A5396" s="163">
        <v>2022</v>
      </c>
      <c r="B5396" s="163">
        <v>1</v>
      </c>
      <c r="C5396" s="163">
        <v>1</v>
      </c>
      <c r="D5396" s="144">
        <f t="shared" si="174"/>
        <v>44562</v>
      </c>
      <c r="E5396" s="313">
        <f t="shared" si="175"/>
        <v>44562</v>
      </c>
      <c r="F5396" s="480"/>
      <c r="G5396" s="221" t="s">
        <v>94</v>
      </c>
      <c r="H5396" s="221" t="str" cm="1">
        <f t="array" ref="H5396">IFERROR(INDEX(INVESTOR_LIST[INVESTOR NAME],MATCH(I5396,INVESTOR_LIST[INVESTOR CODE],0),)," ")</f>
        <v>FAHMIDA KHAN</v>
      </c>
      <c r="I5396" s="145" t="s">
        <v>617</v>
      </c>
      <c r="J5396" s="314" t="s">
        <v>534</v>
      </c>
      <c r="K5396" s="219" t="s">
        <v>348</v>
      </c>
      <c r="L5396" s="219">
        <v>222.45999999999987</v>
      </c>
    </row>
    <row r="5397" spans="1:12" ht="22.5" x14ac:dyDescent="0.2">
      <c r="A5397" s="168">
        <v>2022</v>
      </c>
      <c r="B5397" s="168">
        <v>1</v>
      </c>
      <c r="C5397" s="168">
        <v>1</v>
      </c>
      <c r="D5397" s="141">
        <f t="shared" si="174"/>
        <v>44562</v>
      </c>
      <c r="E5397" s="275">
        <f t="shared" si="175"/>
        <v>44562</v>
      </c>
      <c r="F5397" s="479" t="s">
        <v>966</v>
      </c>
      <c r="G5397" s="220" t="s">
        <v>94</v>
      </c>
      <c r="H5397" s="220" t="str" cm="1">
        <f t="array" ref="H5397">IFERROR(INDEX(INVESTOR_LIST[INVESTOR NAME],MATCH(I5397,INVESTOR_LIST[INVESTOR CODE],0),)," ")</f>
        <v>ASMA UL HUSNA</v>
      </c>
      <c r="I5397" s="142" t="s">
        <v>620</v>
      </c>
      <c r="J5397" s="310" t="s">
        <v>358</v>
      </c>
      <c r="K5397" s="226">
        <v>32882.199999999997</v>
      </c>
      <c r="L5397" s="226" t="s">
        <v>348</v>
      </c>
    </row>
    <row r="5398" spans="1:12" ht="22.5" x14ac:dyDescent="0.2">
      <c r="A5398" s="133">
        <v>2022</v>
      </c>
      <c r="B5398" s="133">
        <v>1</v>
      </c>
      <c r="C5398" s="133">
        <v>1</v>
      </c>
      <c r="D5398" s="147">
        <f t="shared" si="174"/>
        <v>44562</v>
      </c>
      <c r="E5398" s="311">
        <f t="shared" si="175"/>
        <v>44562</v>
      </c>
      <c r="F5398" s="481"/>
      <c r="G5398" s="174" t="s">
        <v>94</v>
      </c>
      <c r="H5398" s="174" t="str" cm="1">
        <f t="array" ref="H5398">IFERROR(INDEX(INVESTOR_LIST[INVESTOR NAME],MATCH(I5398,INVESTOR_LIST[INVESTOR CODE],0),)," ")</f>
        <v>ASMA UL HUSNA</v>
      </c>
      <c r="I5398" s="148" t="s">
        <v>620</v>
      </c>
      <c r="J5398" s="312" t="s">
        <v>13</v>
      </c>
      <c r="K5398" s="218" t="s">
        <v>348</v>
      </c>
      <c r="L5398" s="218">
        <v>26310</v>
      </c>
    </row>
    <row r="5399" spans="1:12" ht="22.5" x14ac:dyDescent="0.2">
      <c r="A5399" s="133">
        <v>2022</v>
      </c>
      <c r="B5399" s="133">
        <v>1</v>
      </c>
      <c r="C5399" s="133">
        <v>1</v>
      </c>
      <c r="D5399" s="147">
        <f t="shared" si="174"/>
        <v>44562</v>
      </c>
      <c r="E5399" s="311">
        <f t="shared" si="175"/>
        <v>44562</v>
      </c>
      <c r="F5399" s="481"/>
      <c r="G5399" s="174" t="s">
        <v>94</v>
      </c>
      <c r="H5399" s="174" t="str" cm="1">
        <f t="array" ref="H5399">IFERROR(INDEX(INVESTOR_LIST[INVESTOR NAME],MATCH(I5399,INVESTOR_LIST[INVESTOR CODE],0),)," ")</f>
        <v>ASMA UL HUSNA</v>
      </c>
      <c r="I5399" s="148" t="s">
        <v>620</v>
      </c>
      <c r="J5399" s="312" t="s">
        <v>53</v>
      </c>
      <c r="K5399" s="218" t="s">
        <v>348</v>
      </c>
      <c r="L5399" s="218">
        <v>5783.9799999999959</v>
      </c>
    </row>
    <row r="5400" spans="1:12" ht="22.5" x14ac:dyDescent="0.2">
      <c r="A5400" s="163">
        <v>2022</v>
      </c>
      <c r="B5400" s="163">
        <v>1</v>
      </c>
      <c r="C5400" s="163">
        <v>1</v>
      </c>
      <c r="D5400" s="144">
        <f t="shared" si="174"/>
        <v>44562</v>
      </c>
      <c r="E5400" s="313">
        <f t="shared" si="175"/>
        <v>44562</v>
      </c>
      <c r="F5400" s="480"/>
      <c r="G5400" s="221" t="s">
        <v>94</v>
      </c>
      <c r="H5400" s="221" t="str" cm="1">
        <f t="array" ref="H5400">IFERROR(INDEX(INVESTOR_LIST[INVESTOR NAME],MATCH(I5400,INVESTOR_LIST[INVESTOR CODE],0),)," ")</f>
        <v>ASMA UL HUSNA</v>
      </c>
      <c r="I5400" s="145" t="s">
        <v>620</v>
      </c>
      <c r="J5400" s="314" t="s">
        <v>534</v>
      </c>
      <c r="K5400" s="219" t="s">
        <v>348</v>
      </c>
      <c r="L5400" s="219">
        <v>788.2199999999998</v>
      </c>
    </row>
    <row r="5401" spans="1:12" ht="45" x14ac:dyDescent="0.2">
      <c r="A5401" s="168">
        <v>2022</v>
      </c>
      <c r="B5401" s="168">
        <v>1</v>
      </c>
      <c r="C5401" s="168">
        <v>1</v>
      </c>
      <c r="D5401" s="141">
        <f t="shared" si="174"/>
        <v>44562</v>
      </c>
      <c r="E5401" s="275">
        <f t="shared" si="175"/>
        <v>44562</v>
      </c>
      <c r="F5401" s="479" t="s">
        <v>966</v>
      </c>
      <c r="G5401" s="220" t="s">
        <v>94</v>
      </c>
      <c r="H5401" s="220" t="str" cm="1">
        <f t="array" ref="H5401">IFERROR(INDEX(INVESTOR_LIST[INVESTOR NAME],MATCH(I5401,INVESTOR_LIST[INVESTOR CODE],0),)," ")</f>
        <v>ASHUTOSH TALUKDER</v>
      </c>
      <c r="I5401" s="142" t="s">
        <v>483</v>
      </c>
      <c r="J5401" s="310" t="s">
        <v>358</v>
      </c>
      <c r="K5401" s="226">
        <v>25381.200000000001</v>
      </c>
      <c r="L5401" s="226" t="s">
        <v>348</v>
      </c>
    </row>
    <row r="5402" spans="1:12" ht="45" x14ac:dyDescent="0.2">
      <c r="A5402" s="133">
        <v>2022</v>
      </c>
      <c r="B5402" s="133">
        <v>1</v>
      </c>
      <c r="C5402" s="133">
        <v>1</v>
      </c>
      <c r="D5402" s="147">
        <f t="shared" si="174"/>
        <v>44562</v>
      </c>
      <c r="E5402" s="311">
        <f t="shared" si="175"/>
        <v>44562</v>
      </c>
      <c r="F5402" s="481"/>
      <c r="G5402" s="174" t="s">
        <v>94</v>
      </c>
      <c r="H5402" s="174" t="str" cm="1">
        <f t="array" ref="H5402">IFERROR(INDEX(INVESTOR_LIST[INVESTOR NAME],MATCH(I5402,INVESTOR_LIST[INVESTOR CODE],0),)," ")</f>
        <v>ASHUTOSH TALUKDER</v>
      </c>
      <c r="I5402" s="148" t="s">
        <v>483</v>
      </c>
      <c r="J5402" s="312" t="s">
        <v>13</v>
      </c>
      <c r="K5402" s="218" t="s">
        <v>348</v>
      </c>
      <c r="L5402" s="218">
        <v>20770</v>
      </c>
    </row>
    <row r="5403" spans="1:12" ht="45" x14ac:dyDescent="0.2">
      <c r="A5403" s="133">
        <v>2022</v>
      </c>
      <c r="B5403" s="133">
        <v>1</v>
      </c>
      <c r="C5403" s="133">
        <v>1</v>
      </c>
      <c r="D5403" s="147">
        <f t="shared" si="174"/>
        <v>44562</v>
      </c>
      <c r="E5403" s="311">
        <f t="shared" si="175"/>
        <v>44562</v>
      </c>
      <c r="F5403" s="481"/>
      <c r="G5403" s="174" t="s">
        <v>94</v>
      </c>
      <c r="H5403" s="174" t="str" cm="1">
        <f t="array" ref="H5403">IFERROR(INDEX(INVESTOR_LIST[INVESTOR NAME],MATCH(I5403,INVESTOR_LIST[INVESTOR CODE],0),)," ")</f>
        <v>ASHUTOSH TALUKDER</v>
      </c>
      <c r="I5403" s="148" t="s">
        <v>483</v>
      </c>
      <c r="J5403" s="312" t="s">
        <v>53</v>
      </c>
      <c r="K5403" s="218" t="s">
        <v>348</v>
      </c>
      <c r="L5403" s="218">
        <v>4573.0800000000017</v>
      </c>
    </row>
    <row r="5404" spans="1:12" ht="45" x14ac:dyDescent="0.2">
      <c r="A5404" s="163">
        <v>2022</v>
      </c>
      <c r="B5404" s="163">
        <v>1</v>
      </c>
      <c r="C5404" s="163">
        <v>1</v>
      </c>
      <c r="D5404" s="144">
        <f t="shared" si="174"/>
        <v>44562</v>
      </c>
      <c r="E5404" s="313">
        <f t="shared" si="175"/>
        <v>44562</v>
      </c>
      <c r="F5404" s="480"/>
      <c r="G5404" s="221" t="s">
        <v>94</v>
      </c>
      <c r="H5404" s="221" t="str" cm="1">
        <f t="array" ref="H5404">IFERROR(INDEX(INVESTOR_LIST[INVESTOR NAME],MATCH(I5404,INVESTOR_LIST[INVESTOR CODE],0),)," ")</f>
        <v>ASHUTOSH TALUKDER</v>
      </c>
      <c r="I5404" s="145" t="s">
        <v>483</v>
      </c>
      <c r="J5404" s="314" t="s">
        <v>534</v>
      </c>
      <c r="K5404" s="219" t="s">
        <v>348</v>
      </c>
      <c r="L5404" s="219">
        <v>38.120000000000076</v>
      </c>
    </row>
    <row r="5405" spans="1:12" ht="33.75" x14ac:dyDescent="0.2">
      <c r="A5405" s="168">
        <v>2022</v>
      </c>
      <c r="B5405" s="168">
        <v>1</v>
      </c>
      <c r="C5405" s="168">
        <v>1</v>
      </c>
      <c r="D5405" s="141">
        <f t="shared" si="174"/>
        <v>44562</v>
      </c>
      <c r="E5405" s="275">
        <f t="shared" si="175"/>
        <v>44562</v>
      </c>
      <c r="F5405" s="479" t="s">
        <v>966</v>
      </c>
      <c r="G5405" s="220" t="s">
        <v>94</v>
      </c>
      <c r="H5405" s="220" t="str" cm="1">
        <f t="array" ref="H5405">IFERROR(INDEX(INVESTOR_LIST[INVESTOR NAME],MATCH(I5405,INVESTOR_LIST[INVESTOR CODE],0),)," ")</f>
        <v>SATINATH GHOSH</v>
      </c>
      <c r="I5405" s="142" t="s">
        <v>487</v>
      </c>
      <c r="J5405" s="310" t="s">
        <v>358</v>
      </c>
      <c r="K5405" s="226">
        <v>460.2</v>
      </c>
      <c r="L5405" s="226" t="s">
        <v>348</v>
      </c>
    </row>
    <row r="5406" spans="1:12" ht="33.75" x14ac:dyDescent="0.2">
      <c r="A5406" s="133">
        <v>2022</v>
      </c>
      <c r="B5406" s="133">
        <v>1</v>
      </c>
      <c r="C5406" s="133">
        <v>1</v>
      </c>
      <c r="D5406" s="147">
        <f t="shared" si="174"/>
        <v>44562</v>
      </c>
      <c r="E5406" s="311">
        <f t="shared" si="175"/>
        <v>44562</v>
      </c>
      <c r="F5406" s="481"/>
      <c r="G5406" s="174" t="s">
        <v>94</v>
      </c>
      <c r="H5406" s="174" t="str" cm="1">
        <f t="array" ref="H5406">IFERROR(INDEX(INVESTOR_LIST[INVESTOR NAME],MATCH(I5406,INVESTOR_LIST[INVESTOR CODE],0),)," ")</f>
        <v>SATINATH GHOSH</v>
      </c>
      <c r="I5406" s="148" t="s">
        <v>487</v>
      </c>
      <c r="J5406" s="312" t="s">
        <v>13</v>
      </c>
      <c r="K5406" s="218" t="s">
        <v>348</v>
      </c>
      <c r="L5406" s="218">
        <v>380</v>
      </c>
    </row>
    <row r="5407" spans="1:12" ht="33.75" x14ac:dyDescent="0.2">
      <c r="A5407" s="133">
        <v>2022</v>
      </c>
      <c r="B5407" s="133">
        <v>1</v>
      </c>
      <c r="C5407" s="133">
        <v>1</v>
      </c>
      <c r="D5407" s="147">
        <f t="shared" si="174"/>
        <v>44562</v>
      </c>
      <c r="E5407" s="311">
        <f t="shared" si="175"/>
        <v>44562</v>
      </c>
      <c r="F5407" s="481"/>
      <c r="G5407" s="174" t="s">
        <v>94</v>
      </c>
      <c r="H5407" s="174" t="str" cm="1">
        <f t="array" ref="H5407">IFERROR(INDEX(INVESTOR_LIST[INVESTOR NAME],MATCH(I5407,INVESTOR_LIST[INVESTOR CODE],0),)," ")</f>
        <v>SATINATH GHOSH</v>
      </c>
      <c r="I5407" s="148" t="s">
        <v>487</v>
      </c>
      <c r="J5407" s="312" t="s">
        <v>53</v>
      </c>
      <c r="K5407" s="218" t="s">
        <v>348</v>
      </c>
      <c r="L5407" s="218">
        <v>80.199999999999989</v>
      </c>
    </row>
    <row r="5408" spans="1:12" ht="22.5" x14ac:dyDescent="0.2">
      <c r="A5408" s="168">
        <v>2022</v>
      </c>
      <c r="B5408" s="168">
        <v>1</v>
      </c>
      <c r="C5408" s="168">
        <v>1</v>
      </c>
      <c r="D5408" s="141">
        <f t="shared" si="174"/>
        <v>44562</v>
      </c>
      <c r="E5408" s="275">
        <f t="shared" si="175"/>
        <v>44562</v>
      </c>
      <c r="F5408" s="479" t="s">
        <v>966</v>
      </c>
      <c r="G5408" s="220" t="s">
        <v>94</v>
      </c>
      <c r="H5408" s="220" t="str" cm="1">
        <f t="array" ref="H5408">IFERROR(INDEX(INVESTOR_LIST[INVESTOR NAME],MATCH(I5408,INVESTOR_LIST[INVESTOR CODE],0),)," ")</f>
        <v>SHAHRIN ANWAR</v>
      </c>
      <c r="I5408" s="142" t="s">
        <v>627</v>
      </c>
      <c r="J5408" s="310" t="s">
        <v>358</v>
      </c>
      <c r="K5408" s="226">
        <v>2532.4</v>
      </c>
      <c r="L5408" s="226" t="s">
        <v>348</v>
      </c>
    </row>
    <row r="5409" spans="1:12" ht="22.5" x14ac:dyDescent="0.2">
      <c r="A5409" s="133">
        <v>2022</v>
      </c>
      <c r="B5409" s="133">
        <v>1</v>
      </c>
      <c r="C5409" s="133">
        <v>1</v>
      </c>
      <c r="D5409" s="147">
        <f t="shared" si="174"/>
        <v>44562</v>
      </c>
      <c r="E5409" s="311">
        <f t="shared" si="175"/>
        <v>44562</v>
      </c>
      <c r="F5409" s="481"/>
      <c r="G5409" s="174" t="s">
        <v>94</v>
      </c>
      <c r="H5409" s="174" t="str" cm="1">
        <f t="array" ref="H5409">IFERROR(INDEX(INVESTOR_LIST[INVESTOR NAME],MATCH(I5409,INVESTOR_LIST[INVESTOR CODE],0),)," ")</f>
        <v>SHAHRIN ANWAR</v>
      </c>
      <c r="I5409" s="148" t="s">
        <v>627</v>
      </c>
      <c r="J5409" s="312" t="s">
        <v>13</v>
      </c>
      <c r="K5409" s="218" t="s">
        <v>348</v>
      </c>
      <c r="L5409" s="218">
        <v>2080</v>
      </c>
    </row>
    <row r="5410" spans="1:12" ht="22.5" x14ac:dyDescent="0.2">
      <c r="A5410" s="133">
        <v>2022</v>
      </c>
      <c r="B5410" s="133">
        <v>1</v>
      </c>
      <c r="C5410" s="133">
        <v>1</v>
      </c>
      <c r="D5410" s="147">
        <f t="shared" si="174"/>
        <v>44562</v>
      </c>
      <c r="E5410" s="311">
        <f t="shared" si="175"/>
        <v>44562</v>
      </c>
      <c r="F5410" s="481"/>
      <c r="G5410" s="174" t="s">
        <v>94</v>
      </c>
      <c r="H5410" s="174" t="str" cm="1">
        <f t="array" ref="H5410">IFERROR(INDEX(INVESTOR_LIST[INVESTOR NAME],MATCH(I5410,INVESTOR_LIST[INVESTOR CODE],0),)," ")</f>
        <v>SHAHRIN ANWAR</v>
      </c>
      <c r="I5410" s="148" t="s">
        <v>627</v>
      </c>
      <c r="J5410" s="312" t="s">
        <v>53</v>
      </c>
      <c r="K5410" s="218" t="s">
        <v>348</v>
      </c>
      <c r="L5410" s="218">
        <v>452.40000000000009</v>
      </c>
    </row>
    <row r="5411" spans="1:12" ht="33.75" x14ac:dyDescent="0.2">
      <c r="A5411" s="168">
        <v>2022</v>
      </c>
      <c r="B5411" s="168">
        <v>1</v>
      </c>
      <c r="C5411" s="168">
        <v>1</v>
      </c>
      <c r="D5411" s="141">
        <f t="shared" si="174"/>
        <v>44562</v>
      </c>
      <c r="E5411" s="275">
        <f t="shared" si="175"/>
        <v>44562</v>
      </c>
      <c r="F5411" s="479" t="s">
        <v>966</v>
      </c>
      <c r="G5411" s="220" t="s">
        <v>94</v>
      </c>
      <c r="H5411" s="220" t="str" cm="1">
        <f t="array" ref="H5411">IFERROR(INDEX(INVESTOR_LIST[INVESTOR NAME],MATCH(I5411,INVESTOR_LIST[INVESTOR CODE],0),)," ")</f>
        <v>MD. MANAZIR KABIR</v>
      </c>
      <c r="I5411" s="142" t="s">
        <v>492</v>
      </c>
      <c r="J5411" s="310" t="s">
        <v>358</v>
      </c>
      <c r="K5411" s="226">
        <v>33800</v>
      </c>
      <c r="L5411" s="226" t="s">
        <v>348</v>
      </c>
    </row>
    <row r="5412" spans="1:12" ht="33.75" x14ac:dyDescent="0.2">
      <c r="A5412" s="133">
        <v>2022</v>
      </c>
      <c r="B5412" s="133">
        <v>1</v>
      </c>
      <c r="C5412" s="133">
        <v>1</v>
      </c>
      <c r="D5412" s="147">
        <f t="shared" si="174"/>
        <v>44562</v>
      </c>
      <c r="E5412" s="311">
        <f t="shared" si="175"/>
        <v>44562</v>
      </c>
      <c r="F5412" s="481"/>
      <c r="G5412" s="174" t="s">
        <v>94</v>
      </c>
      <c r="H5412" s="174" t="str" cm="1">
        <f t="array" ref="H5412">IFERROR(INDEX(INVESTOR_LIST[INVESTOR NAME],MATCH(I5412,INVESTOR_LIST[INVESTOR CODE],0),)," ")</f>
        <v>MD. MANAZIR KABIR</v>
      </c>
      <c r="I5412" s="148" t="s">
        <v>492</v>
      </c>
      <c r="J5412" s="312" t="s">
        <v>13</v>
      </c>
      <c r="K5412" s="218" t="s">
        <v>348</v>
      </c>
      <c r="L5412" s="218">
        <v>26980</v>
      </c>
    </row>
    <row r="5413" spans="1:12" ht="33.75" x14ac:dyDescent="0.2">
      <c r="A5413" s="133">
        <v>2022</v>
      </c>
      <c r="B5413" s="133">
        <v>1</v>
      </c>
      <c r="C5413" s="133">
        <v>1</v>
      </c>
      <c r="D5413" s="147">
        <f t="shared" si="174"/>
        <v>44562</v>
      </c>
      <c r="E5413" s="311">
        <f t="shared" si="175"/>
        <v>44562</v>
      </c>
      <c r="F5413" s="481"/>
      <c r="G5413" s="174" t="s">
        <v>94</v>
      </c>
      <c r="H5413" s="174" t="str" cm="1">
        <f t="array" ref="H5413">IFERROR(INDEX(INVESTOR_LIST[INVESTOR NAME],MATCH(I5413,INVESTOR_LIST[INVESTOR CODE],0),)," ")</f>
        <v>MD. MANAZIR KABIR</v>
      </c>
      <c r="I5413" s="148" t="s">
        <v>492</v>
      </c>
      <c r="J5413" s="312" t="s">
        <v>53</v>
      </c>
      <c r="K5413" s="218" t="s">
        <v>348</v>
      </c>
      <c r="L5413" s="218">
        <v>5940</v>
      </c>
    </row>
    <row r="5414" spans="1:12" ht="33.75" x14ac:dyDescent="0.2">
      <c r="A5414" s="163">
        <v>2022</v>
      </c>
      <c r="B5414" s="163">
        <v>1</v>
      </c>
      <c r="C5414" s="163">
        <v>1</v>
      </c>
      <c r="D5414" s="144">
        <f t="shared" si="174"/>
        <v>44562</v>
      </c>
      <c r="E5414" s="313">
        <f t="shared" si="175"/>
        <v>44562</v>
      </c>
      <c r="F5414" s="480"/>
      <c r="G5414" s="221" t="s">
        <v>94</v>
      </c>
      <c r="H5414" s="221" t="str" cm="1">
        <f t="array" ref="H5414">IFERROR(INDEX(INVESTOR_LIST[INVESTOR NAME],MATCH(I5414,INVESTOR_LIST[INVESTOR CODE],0),)," ")</f>
        <v>MD. MANAZIR KABIR</v>
      </c>
      <c r="I5414" s="145" t="s">
        <v>492</v>
      </c>
      <c r="J5414" s="314" t="s">
        <v>534</v>
      </c>
      <c r="K5414" s="219" t="s">
        <v>348</v>
      </c>
      <c r="L5414" s="219">
        <v>880</v>
      </c>
    </row>
    <row r="5415" spans="1:12" ht="33.75" x14ac:dyDescent="0.2">
      <c r="A5415" s="168">
        <v>2022</v>
      </c>
      <c r="B5415" s="168">
        <v>1</v>
      </c>
      <c r="C5415" s="168">
        <v>1</v>
      </c>
      <c r="D5415" s="141">
        <f t="shared" si="174"/>
        <v>44562</v>
      </c>
      <c r="E5415" s="275">
        <f t="shared" si="175"/>
        <v>44562</v>
      </c>
      <c r="F5415" s="479" t="s">
        <v>966</v>
      </c>
      <c r="G5415" s="220" t="s">
        <v>94</v>
      </c>
      <c r="H5415" s="220" t="str" cm="1">
        <f t="array" ref="H5415">IFERROR(INDEX(INVESTOR_LIST[INVESTOR NAME],MATCH(I5415,INVESTOR_LIST[INVESTOR CODE],0),)," ")</f>
        <v>FAIYEAD AHMEDUL HYE</v>
      </c>
      <c r="I5415" s="142" t="s">
        <v>496</v>
      </c>
      <c r="J5415" s="310" t="s">
        <v>358</v>
      </c>
      <c r="K5415" s="226">
        <v>216312.2</v>
      </c>
      <c r="L5415" s="226" t="s">
        <v>348</v>
      </c>
    </row>
    <row r="5416" spans="1:12" ht="33.75" x14ac:dyDescent="0.2">
      <c r="A5416" s="133">
        <v>2022</v>
      </c>
      <c r="B5416" s="133">
        <v>1</v>
      </c>
      <c r="C5416" s="133">
        <v>1</v>
      </c>
      <c r="D5416" s="147">
        <f t="shared" si="174"/>
        <v>44562</v>
      </c>
      <c r="E5416" s="311">
        <f t="shared" si="175"/>
        <v>44562</v>
      </c>
      <c r="F5416" s="481"/>
      <c r="G5416" s="174" t="s">
        <v>94</v>
      </c>
      <c r="H5416" s="174" t="str" cm="1">
        <f t="array" ref="H5416">IFERROR(INDEX(INVESTOR_LIST[INVESTOR NAME],MATCH(I5416,INVESTOR_LIST[INVESTOR CODE],0),)," ")</f>
        <v>FAIYEAD AHMEDUL HYE</v>
      </c>
      <c r="I5416" s="148" t="s">
        <v>496</v>
      </c>
      <c r="J5416" s="312" t="s">
        <v>13</v>
      </c>
      <c r="K5416" s="218" t="s">
        <v>348</v>
      </c>
      <c r="L5416" s="218">
        <v>161620</v>
      </c>
    </row>
    <row r="5417" spans="1:12" ht="33.75" x14ac:dyDescent="0.2">
      <c r="A5417" s="133">
        <v>2022</v>
      </c>
      <c r="B5417" s="133">
        <v>1</v>
      </c>
      <c r="C5417" s="133">
        <v>1</v>
      </c>
      <c r="D5417" s="147">
        <f t="shared" si="174"/>
        <v>44562</v>
      </c>
      <c r="E5417" s="311">
        <f t="shared" si="175"/>
        <v>44562</v>
      </c>
      <c r="F5417" s="481"/>
      <c r="G5417" s="174" t="s">
        <v>94</v>
      </c>
      <c r="H5417" s="174" t="str" cm="1">
        <f t="array" ref="H5417">IFERROR(INDEX(INVESTOR_LIST[INVESTOR NAME],MATCH(I5417,INVESTOR_LIST[INVESTOR CODE],0),)," ")</f>
        <v>FAIYEAD AHMEDUL HYE</v>
      </c>
      <c r="I5417" s="148" t="s">
        <v>496</v>
      </c>
      <c r="J5417" s="312" t="s">
        <v>53</v>
      </c>
      <c r="K5417" s="218" t="s">
        <v>348</v>
      </c>
      <c r="L5417" s="218">
        <v>35560.98000000001</v>
      </c>
    </row>
    <row r="5418" spans="1:12" ht="33.75" x14ac:dyDescent="0.2">
      <c r="A5418" s="163">
        <v>2022</v>
      </c>
      <c r="B5418" s="163">
        <v>1</v>
      </c>
      <c r="C5418" s="163">
        <v>1</v>
      </c>
      <c r="D5418" s="144">
        <f t="shared" si="174"/>
        <v>44562</v>
      </c>
      <c r="E5418" s="313">
        <f t="shared" si="175"/>
        <v>44562</v>
      </c>
      <c r="F5418" s="480"/>
      <c r="G5418" s="221" t="s">
        <v>94</v>
      </c>
      <c r="H5418" s="221" t="str" cm="1">
        <f t="array" ref="H5418">IFERROR(INDEX(INVESTOR_LIST[INVESTOR NAME],MATCH(I5418,INVESTOR_LIST[INVESTOR CODE],0),)," ")</f>
        <v>FAIYEAD AHMEDUL HYE</v>
      </c>
      <c r="I5418" s="145" t="s">
        <v>496</v>
      </c>
      <c r="J5418" s="314" t="s">
        <v>534</v>
      </c>
      <c r="K5418" s="219" t="s">
        <v>348</v>
      </c>
      <c r="L5418" s="219">
        <v>19131.22</v>
      </c>
    </row>
    <row r="5419" spans="1:12" ht="33.75" x14ac:dyDescent="0.2">
      <c r="A5419" s="168">
        <v>2022</v>
      </c>
      <c r="B5419" s="168">
        <v>1</v>
      </c>
      <c r="C5419" s="168">
        <v>1</v>
      </c>
      <c r="D5419" s="141">
        <f t="shared" si="174"/>
        <v>44562</v>
      </c>
      <c r="E5419" s="275">
        <f t="shared" si="175"/>
        <v>44562</v>
      </c>
      <c r="F5419" s="479" t="s">
        <v>966</v>
      </c>
      <c r="G5419" s="220" t="s">
        <v>94</v>
      </c>
      <c r="H5419" s="220" t="str" cm="1">
        <f t="array" ref="H5419">IFERROR(INDEX(INVESTOR_LIST[INVESTOR NAME],MATCH(I5419,INVESTOR_LIST[INVESTOR CODE],0),)," ")</f>
        <v>ISTIAK AHMED PROBAL</v>
      </c>
      <c r="I5419" s="142" t="s">
        <v>497</v>
      </c>
      <c r="J5419" s="310" t="s">
        <v>358</v>
      </c>
      <c r="K5419" s="226">
        <v>2506.4</v>
      </c>
      <c r="L5419" s="226" t="s">
        <v>348</v>
      </c>
    </row>
    <row r="5420" spans="1:12" ht="33.75" x14ac:dyDescent="0.2">
      <c r="A5420" s="133">
        <v>2022</v>
      </c>
      <c r="B5420" s="133">
        <v>1</v>
      </c>
      <c r="C5420" s="133">
        <v>1</v>
      </c>
      <c r="D5420" s="147">
        <f t="shared" si="174"/>
        <v>44562</v>
      </c>
      <c r="E5420" s="311">
        <f t="shared" si="175"/>
        <v>44562</v>
      </c>
      <c r="F5420" s="481"/>
      <c r="G5420" s="174" t="s">
        <v>94</v>
      </c>
      <c r="H5420" s="174" t="str" cm="1">
        <f t="array" ref="H5420">IFERROR(INDEX(INVESTOR_LIST[INVESTOR NAME],MATCH(I5420,INVESTOR_LIST[INVESTOR CODE],0),)," ")</f>
        <v>ISTIAK AHMED PROBAL</v>
      </c>
      <c r="I5420" s="148" t="s">
        <v>497</v>
      </c>
      <c r="J5420" s="312" t="s">
        <v>13</v>
      </c>
      <c r="K5420" s="218" t="s">
        <v>348</v>
      </c>
      <c r="L5420" s="218">
        <v>2050</v>
      </c>
    </row>
    <row r="5421" spans="1:12" ht="33.75" x14ac:dyDescent="0.2">
      <c r="A5421" s="133">
        <v>2022</v>
      </c>
      <c r="B5421" s="133">
        <v>1</v>
      </c>
      <c r="C5421" s="133">
        <v>1</v>
      </c>
      <c r="D5421" s="147">
        <f t="shared" si="174"/>
        <v>44562</v>
      </c>
      <c r="E5421" s="311">
        <f t="shared" si="175"/>
        <v>44562</v>
      </c>
      <c r="F5421" s="481"/>
      <c r="G5421" s="174" t="s">
        <v>94</v>
      </c>
      <c r="H5421" s="174" t="str" cm="1">
        <f t="array" ref="H5421">IFERROR(INDEX(INVESTOR_LIST[INVESTOR NAME],MATCH(I5421,INVESTOR_LIST[INVESTOR CODE],0),)," ")</f>
        <v>ISTIAK AHMED PROBAL</v>
      </c>
      <c r="I5421" s="148" t="s">
        <v>497</v>
      </c>
      <c r="J5421" s="312" t="s">
        <v>53</v>
      </c>
      <c r="K5421" s="218" t="s">
        <v>348</v>
      </c>
      <c r="L5421" s="218">
        <v>456.40000000000009</v>
      </c>
    </row>
    <row r="5422" spans="1:12" ht="22.5" x14ac:dyDescent="0.2">
      <c r="A5422" s="168">
        <v>2022</v>
      </c>
      <c r="B5422" s="168">
        <v>1</v>
      </c>
      <c r="C5422" s="168">
        <v>1</v>
      </c>
      <c r="D5422" s="141">
        <f t="shared" si="174"/>
        <v>44562</v>
      </c>
      <c r="E5422" s="275">
        <f t="shared" si="175"/>
        <v>44562</v>
      </c>
      <c r="F5422" s="479" t="s">
        <v>966</v>
      </c>
      <c r="G5422" s="220" t="s">
        <v>94</v>
      </c>
      <c r="H5422" s="220" t="str" cm="1">
        <f t="array" ref="H5422">IFERROR(INDEX(INVESTOR_LIST[INVESTOR NAME],MATCH(I5422,INVESTOR_LIST[INVESTOR CODE],0),)," ")</f>
        <v>REAZUL HAQUE</v>
      </c>
      <c r="I5422" s="142" t="s">
        <v>633</v>
      </c>
      <c r="J5422" s="310" t="s">
        <v>358</v>
      </c>
      <c r="K5422" s="226">
        <v>52278.2</v>
      </c>
      <c r="L5422" s="226" t="s">
        <v>348</v>
      </c>
    </row>
    <row r="5423" spans="1:12" ht="22.5" x14ac:dyDescent="0.2">
      <c r="A5423" s="133">
        <v>2022</v>
      </c>
      <c r="B5423" s="133">
        <v>1</v>
      </c>
      <c r="C5423" s="133">
        <v>1</v>
      </c>
      <c r="D5423" s="147">
        <f t="shared" si="174"/>
        <v>44562</v>
      </c>
      <c r="E5423" s="311">
        <f t="shared" si="175"/>
        <v>44562</v>
      </c>
      <c r="F5423" s="481"/>
      <c r="G5423" s="174" t="s">
        <v>94</v>
      </c>
      <c r="H5423" s="174" t="str" cm="1">
        <f t="array" ref="H5423">IFERROR(INDEX(INVESTOR_LIST[INVESTOR NAME],MATCH(I5423,INVESTOR_LIST[INVESTOR CODE],0),)," ")</f>
        <v>REAZUL HAQUE</v>
      </c>
      <c r="I5423" s="148" t="s">
        <v>633</v>
      </c>
      <c r="J5423" s="312" t="s">
        <v>13</v>
      </c>
      <c r="K5423" s="218" t="s">
        <v>348</v>
      </c>
      <c r="L5423" s="218">
        <v>40620</v>
      </c>
    </row>
    <row r="5424" spans="1:12" ht="22.5" x14ac:dyDescent="0.2">
      <c r="A5424" s="133">
        <v>2022</v>
      </c>
      <c r="B5424" s="133">
        <v>1</v>
      </c>
      <c r="C5424" s="133">
        <v>1</v>
      </c>
      <c r="D5424" s="147">
        <f t="shared" si="174"/>
        <v>44562</v>
      </c>
      <c r="E5424" s="311">
        <f t="shared" si="175"/>
        <v>44562</v>
      </c>
      <c r="F5424" s="481"/>
      <c r="G5424" s="174" t="s">
        <v>94</v>
      </c>
      <c r="H5424" s="174" t="str" cm="1">
        <f t="array" ref="H5424">IFERROR(INDEX(INVESTOR_LIST[INVESTOR NAME],MATCH(I5424,INVESTOR_LIST[INVESTOR CODE],0),)," ")</f>
        <v>REAZUL HAQUE</v>
      </c>
      <c r="I5424" s="148" t="s">
        <v>633</v>
      </c>
      <c r="J5424" s="312" t="s">
        <v>53</v>
      </c>
      <c r="K5424" s="218" t="s">
        <v>348</v>
      </c>
      <c r="L5424" s="218">
        <v>8930.3799999999974</v>
      </c>
    </row>
    <row r="5425" spans="1:12" ht="22.5" x14ac:dyDescent="0.2">
      <c r="A5425" s="163">
        <v>2022</v>
      </c>
      <c r="B5425" s="163">
        <v>1</v>
      </c>
      <c r="C5425" s="163">
        <v>1</v>
      </c>
      <c r="D5425" s="144">
        <f t="shared" si="174"/>
        <v>44562</v>
      </c>
      <c r="E5425" s="313">
        <f t="shared" si="175"/>
        <v>44562</v>
      </c>
      <c r="F5425" s="480"/>
      <c r="G5425" s="221" t="s">
        <v>94</v>
      </c>
      <c r="H5425" s="221" t="str" cm="1">
        <f t="array" ref="H5425">IFERROR(INDEX(INVESTOR_LIST[INVESTOR NAME],MATCH(I5425,INVESTOR_LIST[INVESTOR CODE],0),)," ")</f>
        <v>REAZUL HAQUE</v>
      </c>
      <c r="I5425" s="145" t="s">
        <v>633</v>
      </c>
      <c r="J5425" s="314" t="s">
        <v>534</v>
      </c>
      <c r="K5425" s="219" t="s">
        <v>348</v>
      </c>
      <c r="L5425" s="219">
        <v>2727.8199999999997</v>
      </c>
    </row>
    <row r="5426" spans="1:12" ht="22.5" x14ac:dyDescent="0.2">
      <c r="A5426" s="168">
        <v>2022</v>
      </c>
      <c r="B5426" s="168">
        <v>1</v>
      </c>
      <c r="C5426" s="168">
        <v>1</v>
      </c>
      <c r="D5426" s="141">
        <f t="shared" si="174"/>
        <v>44562</v>
      </c>
      <c r="E5426" s="275">
        <f t="shared" si="175"/>
        <v>44562</v>
      </c>
      <c r="F5426" s="479" t="s">
        <v>966</v>
      </c>
      <c r="G5426" s="220" t="s">
        <v>94</v>
      </c>
      <c r="H5426" s="220" t="str" cm="1">
        <f t="array" ref="H5426">IFERROR(INDEX(INVESTOR_LIST[INVESTOR NAME],MATCH(I5426,INVESTOR_LIST[INVESTOR CODE],0),)," ")</f>
        <v>SAILA SATTER</v>
      </c>
      <c r="I5426" s="142" t="s">
        <v>500</v>
      </c>
      <c r="J5426" s="310" t="s">
        <v>358</v>
      </c>
      <c r="K5426" s="226">
        <v>36852.400000000001</v>
      </c>
      <c r="L5426" s="226" t="s">
        <v>348</v>
      </c>
    </row>
    <row r="5427" spans="1:12" ht="22.5" x14ac:dyDescent="0.2">
      <c r="A5427" s="133">
        <v>2022</v>
      </c>
      <c r="B5427" s="133">
        <v>1</v>
      </c>
      <c r="C5427" s="133">
        <v>1</v>
      </c>
      <c r="D5427" s="147">
        <f t="shared" si="174"/>
        <v>44562</v>
      </c>
      <c r="E5427" s="311">
        <f t="shared" si="175"/>
        <v>44562</v>
      </c>
      <c r="F5427" s="481"/>
      <c r="G5427" s="174" t="s">
        <v>94</v>
      </c>
      <c r="H5427" s="174" t="str" cm="1">
        <f t="array" ref="H5427">IFERROR(INDEX(INVESTOR_LIST[INVESTOR NAME],MATCH(I5427,INVESTOR_LIST[INVESTOR CODE],0),)," ")</f>
        <v>SAILA SATTER</v>
      </c>
      <c r="I5427" s="148" t="s">
        <v>500</v>
      </c>
      <c r="J5427" s="312" t="s">
        <v>13</v>
      </c>
      <c r="K5427" s="218" t="s">
        <v>348</v>
      </c>
      <c r="L5427" s="218">
        <v>29240</v>
      </c>
    </row>
    <row r="5428" spans="1:12" ht="22.5" x14ac:dyDescent="0.2">
      <c r="A5428" s="133">
        <v>2022</v>
      </c>
      <c r="B5428" s="133">
        <v>1</v>
      </c>
      <c r="C5428" s="133">
        <v>1</v>
      </c>
      <c r="D5428" s="147">
        <f t="shared" si="174"/>
        <v>44562</v>
      </c>
      <c r="E5428" s="311">
        <f t="shared" si="175"/>
        <v>44562</v>
      </c>
      <c r="F5428" s="481"/>
      <c r="G5428" s="174" t="s">
        <v>94</v>
      </c>
      <c r="H5428" s="174" t="str" cm="1">
        <f t="array" ref="H5428">IFERROR(INDEX(INVESTOR_LIST[INVESTOR NAME],MATCH(I5428,INVESTOR_LIST[INVESTOR CODE],0),)," ")</f>
        <v>SAILA SATTER</v>
      </c>
      <c r="I5428" s="148" t="s">
        <v>500</v>
      </c>
      <c r="J5428" s="312" t="s">
        <v>53</v>
      </c>
      <c r="K5428" s="218" t="s">
        <v>348</v>
      </c>
      <c r="L5428" s="218">
        <v>6427.1600000000035</v>
      </c>
    </row>
    <row r="5429" spans="1:12" ht="22.5" x14ac:dyDescent="0.2">
      <c r="A5429" s="163">
        <v>2022</v>
      </c>
      <c r="B5429" s="163">
        <v>1</v>
      </c>
      <c r="C5429" s="163">
        <v>1</v>
      </c>
      <c r="D5429" s="144">
        <f t="shared" si="174"/>
        <v>44562</v>
      </c>
      <c r="E5429" s="313">
        <f t="shared" si="175"/>
        <v>44562</v>
      </c>
      <c r="F5429" s="480"/>
      <c r="G5429" s="221" t="s">
        <v>94</v>
      </c>
      <c r="H5429" s="221" t="str" cm="1">
        <f t="array" ref="H5429">IFERROR(INDEX(INVESTOR_LIST[INVESTOR NAME],MATCH(I5429,INVESTOR_LIST[INVESTOR CODE],0),)," ")</f>
        <v>SAILA SATTER</v>
      </c>
      <c r="I5429" s="145" t="s">
        <v>500</v>
      </c>
      <c r="J5429" s="314" t="s">
        <v>534</v>
      </c>
      <c r="K5429" s="219" t="s">
        <v>348</v>
      </c>
      <c r="L5429" s="219">
        <v>1185.2400000000002</v>
      </c>
    </row>
    <row r="5430" spans="1:12" ht="45" x14ac:dyDescent="0.2">
      <c r="A5430" s="168">
        <v>2022</v>
      </c>
      <c r="B5430" s="168">
        <v>1</v>
      </c>
      <c r="C5430" s="168">
        <v>1</v>
      </c>
      <c r="D5430" s="141">
        <f t="shared" si="174"/>
        <v>44562</v>
      </c>
      <c r="E5430" s="275">
        <f t="shared" si="175"/>
        <v>44562</v>
      </c>
      <c r="F5430" s="479" t="s">
        <v>966</v>
      </c>
      <c r="G5430" s="220" t="s">
        <v>94</v>
      </c>
      <c r="H5430" s="220" t="str" cm="1">
        <f t="array" ref="H5430">IFERROR(INDEX(INVESTOR_LIST[INVESTOR NAME],MATCH(I5430,INVESTOR_LIST[INVESTOR CODE],0),)," ")</f>
        <v>SABRIA ISLAM TALUKDER</v>
      </c>
      <c r="I5430" s="142" t="s">
        <v>508</v>
      </c>
      <c r="J5430" s="310" t="s">
        <v>358</v>
      </c>
      <c r="K5430" s="226">
        <v>17810</v>
      </c>
      <c r="L5430" s="226" t="s">
        <v>348</v>
      </c>
    </row>
    <row r="5431" spans="1:12" ht="45" x14ac:dyDescent="0.2">
      <c r="A5431" s="133">
        <v>2022</v>
      </c>
      <c r="B5431" s="133">
        <v>1</v>
      </c>
      <c r="C5431" s="133">
        <v>1</v>
      </c>
      <c r="D5431" s="147">
        <f t="shared" si="174"/>
        <v>44562</v>
      </c>
      <c r="E5431" s="311">
        <f t="shared" si="175"/>
        <v>44562</v>
      </c>
      <c r="F5431" s="481"/>
      <c r="G5431" s="174" t="s">
        <v>94</v>
      </c>
      <c r="H5431" s="174" t="str" cm="1">
        <f t="array" ref="H5431">IFERROR(INDEX(INVESTOR_LIST[INVESTOR NAME],MATCH(I5431,INVESTOR_LIST[INVESTOR CODE],0),)," ")</f>
        <v>SABRIA ISLAM TALUKDER</v>
      </c>
      <c r="I5431" s="148" t="s">
        <v>508</v>
      </c>
      <c r="J5431" s="312" t="s">
        <v>13</v>
      </c>
      <c r="K5431" s="218" t="s">
        <v>348</v>
      </c>
      <c r="L5431" s="218">
        <v>14600</v>
      </c>
    </row>
    <row r="5432" spans="1:12" ht="45" x14ac:dyDescent="0.2">
      <c r="A5432" s="133">
        <v>2022</v>
      </c>
      <c r="B5432" s="133">
        <v>1</v>
      </c>
      <c r="C5432" s="133">
        <v>1</v>
      </c>
      <c r="D5432" s="147">
        <f t="shared" si="174"/>
        <v>44562</v>
      </c>
      <c r="E5432" s="311">
        <f t="shared" si="175"/>
        <v>44562</v>
      </c>
      <c r="F5432" s="481"/>
      <c r="G5432" s="174" t="s">
        <v>94</v>
      </c>
      <c r="H5432" s="174" t="str" cm="1">
        <f t="array" ref="H5432">IFERROR(INDEX(INVESTOR_LIST[INVESTOR NAME],MATCH(I5432,INVESTOR_LIST[INVESTOR CODE],0),)," ")</f>
        <v>SABRIA ISLAM TALUKDER</v>
      </c>
      <c r="I5432" s="148" t="s">
        <v>508</v>
      </c>
      <c r="J5432" s="312" t="s">
        <v>53</v>
      </c>
      <c r="K5432" s="218" t="s">
        <v>348</v>
      </c>
      <c r="L5432" s="218">
        <v>3210</v>
      </c>
    </row>
    <row r="5433" spans="1:12" ht="45" x14ac:dyDescent="0.2">
      <c r="A5433" s="168">
        <v>2022</v>
      </c>
      <c r="B5433" s="168">
        <v>1</v>
      </c>
      <c r="C5433" s="168">
        <v>1</v>
      </c>
      <c r="D5433" s="141">
        <f t="shared" ref="D5433:D5438" si="178">DATE(A5433,B5433,C5433)</f>
        <v>44562</v>
      </c>
      <c r="E5433" s="275">
        <f t="shared" ref="E5433:E5438" si="179">DATE(A5433,B5433,C5433)</f>
        <v>44562</v>
      </c>
      <c r="F5433" s="479" t="s">
        <v>966</v>
      </c>
      <c r="G5433" s="220" t="s">
        <v>94</v>
      </c>
      <c r="H5433" s="220" t="str" cm="1">
        <f t="array" ref="H5433">IFERROR(INDEX(INVESTOR_LIST[INVESTOR NAME],MATCH(I5433,INVESTOR_LIST[INVESTOR CODE],0),)," ")</f>
        <v>RABITA RASHID MAJUMDER</v>
      </c>
      <c r="I5433" s="142" t="s">
        <v>512</v>
      </c>
      <c r="J5433" s="310" t="s">
        <v>358</v>
      </c>
      <c r="K5433" s="226">
        <v>21086</v>
      </c>
      <c r="L5433" s="226"/>
    </row>
    <row r="5434" spans="1:12" ht="45" x14ac:dyDescent="0.2">
      <c r="A5434" s="133">
        <v>2022</v>
      </c>
      <c r="B5434" s="133">
        <v>1</v>
      </c>
      <c r="C5434" s="133">
        <v>1</v>
      </c>
      <c r="D5434" s="147">
        <f t="shared" si="178"/>
        <v>44562</v>
      </c>
      <c r="E5434" s="311">
        <f t="shared" si="179"/>
        <v>44562</v>
      </c>
      <c r="F5434" s="481"/>
      <c r="G5434" s="174" t="s">
        <v>94</v>
      </c>
      <c r="H5434" s="174" t="str" cm="1">
        <f t="array" ref="H5434">IFERROR(INDEX(INVESTOR_LIST[INVESTOR NAME],MATCH(I5434,INVESTOR_LIST[INVESTOR CODE],0),)," ")</f>
        <v>RABITA RASHID MAJUMDER</v>
      </c>
      <c r="I5434" s="148" t="s">
        <v>512</v>
      </c>
      <c r="J5434" s="312" t="s">
        <v>13</v>
      </c>
      <c r="K5434" s="218"/>
      <c r="L5434" s="218">
        <v>17280</v>
      </c>
    </row>
    <row r="5435" spans="1:12" ht="45" x14ac:dyDescent="0.2">
      <c r="A5435" s="133">
        <v>2022</v>
      </c>
      <c r="B5435" s="133">
        <v>1</v>
      </c>
      <c r="C5435" s="133">
        <v>1</v>
      </c>
      <c r="D5435" s="147">
        <f t="shared" si="178"/>
        <v>44562</v>
      </c>
      <c r="E5435" s="311">
        <f t="shared" si="179"/>
        <v>44562</v>
      </c>
      <c r="F5435" s="481"/>
      <c r="G5435" s="174" t="s">
        <v>94</v>
      </c>
      <c r="H5435" s="174" t="str" cm="1">
        <f t="array" ref="H5435">IFERROR(INDEX(INVESTOR_LIST[INVESTOR NAME],MATCH(I5435,INVESTOR_LIST[INVESTOR CODE],0),)," ")</f>
        <v>RABITA RASHID MAJUMDER</v>
      </c>
      <c r="I5435" s="148" t="s">
        <v>512</v>
      </c>
      <c r="J5435" s="312" t="s">
        <v>53</v>
      </c>
      <c r="K5435" s="218"/>
      <c r="L5435" s="218">
        <v>3806</v>
      </c>
    </row>
    <row r="5436" spans="1:12" ht="56.25" x14ac:dyDescent="0.2">
      <c r="A5436" s="168">
        <v>2022</v>
      </c>
      <c r="B5436" s="168">
        <v>1</v>
      </c>
      <c r="C5436" s="168">
        <v>1</v>
      </c>
      <c r="D5436" s="141">
        <f t="shared" si="178"/>
        <v>44562</v>
      </c>
      <c r="E5436" s="275">
        <f t="shared" si="179"/>
        <v>44562</v>
      </c>
      <c r="F5436" s="479" t="s">
        <v>966</v>
      </c>
      <c r="G5436" s="220" t="s">
        <v>94</v>
      </c>
      <c r="H5436" s="220" t="str" cm="1">
        <f t="array" ref="H5436">IFERROR(INDEX(INVESTOR_LIST[INVESTOR NAME],MATCH(I5436,INVESTOR_LIST[INVESTOR CODE],0),)," ")</f>
        <v>REZWAN UR RASHID MAJUMDAR</v>
      </c>
      <c r="I5436" s="142" t="s">
        <v>513</v>
      </c>
      <c r="J5436" s="310" t="s">
        <v>358</v>
      </c>
      <c r="K5436" s="226">
        <v>10543</v>
      </c>
      <c r="L5436" s="226"/>
    </row>
    <row r="5437" spans="1:12" ht="56.25" x14ac:dyDescent="0.2">
      <c r="A5437" s="133">
        <v>2022</v>
      </c>
      <c r="B5437" s="133">
        <v>1</v>
      </c>
      <c r="C5437" s="133">
        <v>1</v>
      </c>
      <c r="D5437" s="147">
        <f t="shared" si="178"/>
        <v>44562</v>
      </c>
      <c r="E5437" s="311">
        <f t="shared" si="179"/>
        <v>44562</v>
      </c>
      <c r="F5437" s="481"/>
      <c r="G5437" s="174" t="s">
        <v>94</v>
      </c>
      <c r="H5437" s="174" t="str" cm="1">
        <f t="array" ref="H5437">IFERROR(INDEX(INVESTOR_LIST[INVESTOR NAME],MATCH(I5437,INVESTOR_LIST[INVESTOR CODE],0),)," ")</f>
        <v>REZWAN UR RASHID MAJUMDAR</v>
      </c>
      <c r="I5437" s="148" t="s">
        <v>513</v>
      </c>
      <c r="J5437" s="312" t="s">
        <v>13</v>
      </c>
      <c r="K5437" s="218"/>
      <c r="L5437" s="218">
        <v>8640</v>
      </c>
    </row>
    <row r="5438" spans="1:12" ht="56.25" x14ac:dyDescent="0.2">
      <c r="A5438" s="133">
        <v>2022</v>
      </c>
      <c r="B5438" s="133">
        <v>1</v>
      </c>
      <c r="C5438" s="133">
        <v>1</v>
      </c>
      <c r="D5438" s="147">
        <f t="shared" si="178"/>
        <v>44562</v>
      </c>
      <c r="E5438" s="311">
        <f t="shared" si="179"/>
        <v>44562</v>
      </c>
      <c r="F5438" s="481"/>
      <c r="G5438" s="174" t="s">
        <v>94</v>
      </c>
      <c r="H5438" s="174" t="str" cm="1">
        <f t="array" ref="H5438">IFERROR(INDEX(INVESTOR_LIST[INVESTOR NAME],MATCH(I5438,INVESTOR_LIST[INVESTOR CODE],0),)," ")</f>
        <v>REZWAN UR RASHID MAJUMDAR</v>
      </c>
      <c r="I5438" s="148" t="s">
        <v>513</v>
      </c>
      <c r="J5438" s="312" t="s">
        <v>53</v>
      </c>
      <c r="K5438" s="218"/>
      <c r="L5438" s="218">
        <v>1903</v>
      </c>
    </row>
    <row r="5439" spans="1:12" ht="45" x14ac:dyDescent="0.2">
      <c r="A5439" s="168">
        <v>2022</v>
      </c>
      <c r="B5439" s="168">
        <v>1</v>
      </c>
      <c r="C5439" s="168">
        <v>1</v>
      </c>
      <c r="D5439" s="141">
        <f t="shared" si="174"/>
        <v>44562</v>
      </c>
      <c r="E5439" s="275">
        <f t="shared" si="175"/>
        <v>44562</v>
      </c>
      <c r="F5439" s="479" t="s">
        <v>966</v>
      </c>
      <c r="G5439" s="220" t="s">
        <v>94</v>
      </c>
      <c r="H5439" s="220" t="str" cm="1">
        <f t="array" ref="H5439">IFERROR(INDEX(INVESTOR_LIST[INVESTOR NAME],MATCH(I5439,INVESTOR_LIST[INVESTOR CODE],0),)," ")</f>
        <v>MD. ALAMGIR HOSSAIN</v>
      </c>
      <c r="I5439" s="142" t="s">
        <v>518</v>
      </c>
      <c r="J5439" s="310" t="s">
        <v>358</v>
      </c>
      <c r="K5439" s="226">
        <v>394604.6</v>
      </c>
      <c r="L5439" s="226" t="s">
        <v>348</v>
      </c>
    </row>
    <row r="5440" spans="1:12" ht="45" x14ac:dyDescent="0.2">
      <c r="A5440" s="133">
        <v>2022</v>
      </c>
      <c r="B5440" s="133">
        <v>1</v>
      </c>
      <c r="C5440" s="133">
        <v>1</v>
      </c>
      <c r="D5440" s="147">
        <f t="shared" si="174"/>
        <v>44562</v>
      </c>
      <c r="E5440" s="311">
        <f t="shared" si="175"/>
        <v>44562</v>
      </c>
      <c r="F5440" s="481"/>
      <c r="G5440" s="174" t="s">
        <v>94</v>
      </c>
      <c r="H5440" s="174" t="str" cm="1">
        <f t="array" ref="H5440">IFERROR(INDEX(INVESTOR_LIST[INVESTOR NAME],MATCH(I5440,INVESTOR_LIST[INVESTOR CODE],0),)," ")</f>
        <v>MD. ALAMGIR HOSSAIN</v>
      </c>
      <c r="I5440" s="148" t="s">
        <v>518</v>
      </c>
      <c r="J5440" s="312" t="s">
        <v>13</v>
      </c>
      <c r="K5440" s="218" t="s">
        <v>348</v>
      </c>
      <c r="L5440" s="218">
        <v>293150</v>
      </c>
    </row>
    <row r="5441" spans="1:12" ht="45" x14ac:dyDescent="0.2">
      <c r="A5441" s="133">
        <v>2022</v>
      </c>
      <c r="B5441" s="133">
        <v>1</v>
      </c>
      <c r="C5441" s="133">
        <v>1</v>
      </c>
      <c r="D5441" s="147">
        <f t="shared" si="174"/>
        <v>44562</v>
      </c>
      <c r="E5441" s="311">
        <f t="shared" si="175"/>
        <v>44562</v>
      </c>
      <c r="F5441" s="481"/>
      <c r="G5441" s="174" t="s">
        <v>94</v>
      </c>
      <c r="H5441" s="174" t="str" cm="1">
        <f t="array" ref="H5441">IFERROR(INDEX(INVESTOR_LIST[INVESTOR NAME],MATCH(I5441,INVESTOR_LIST[INVESTOR CODE],0),)," ")</f>
        <v>MD. ALAMGIR HOSSAIN</v>
      </c>
      <c r="I5441" s="148" t="s">
        <v>518</v>
      </c>
      <c r="J5441" s="312" t="s">
        <v>53</v>
      </c>
      <c r="K5441" s="218" t="s">
        <v>348</v>
      </c>
      <c r="L5441" s="218">
        <v>64494.139999999956</v>
      </c>
    </row>
    <row r="5442" spans="1:12" ht="45" x14ac:dyDescent="0.2">
      <c r="A5442" s="163">
        <v>2022</v>
      </c>
      <c r="B5442" s="163">
        <v>1</v>
      </c>
      <c r="C5442" s="163">
        <v>1</v>
      </c>
      <c r="D5442" s="144">
        <f t="shared" si="174"/>
        <v>44562</v>
      </c>
      <c r="E5442" s="313">
        <f t="shared" si="175"/>
        <v>44562</v>
      </c>
      <c r="F5442" s="480"/>
      <c r="G5442" s="221" t="s">
        <v>94</v>
      </c>
      <c r="H5442" s="221" t="str" cm="1">
        <f t="array" ref="H5442">IFERROR(INDEX(INVESTOR_LIST[INVESTOR NAME],MATCH(I5442,INVESTOR_LIST[INVESTOR CODE],0),)," ")</f>
        <v>MD. ALAMGIR HOSSAIN</v>
      </c>
      <c r="I5442" s="145" t="s">
        <v>518</v>
      </c>
      <c r="J5442" s="314" t="s">
        <v>534</v>
      </c>
      <c r="K5442" s="219" t="s">
        <v>348</v>
      </c>
      <c r="L5442" s="219">
        <v>36960.46</v>
      </c>
    </row>
    <row r="5443" spans="1:12" ht="45" x14ac:dyDescent="0.2">
      <c r="A5443" s="168">
        <v>2022</v>
      </c>
      <c r="B5443" s="168">
        <v>1</v>
      </c>
      <c r="C5443" s="168">
        <v>1</v>
      </c>
      <c r="D5443" s="141">
        <f t="shared" ref="D5443:D5446" si="180">DATE(A5443,B5443,C5443)</f>
        <v>44562</v>
      </c>
      <c r="E5443" s="275">
        <f t="shared" ref="E5443:E5446" si="181">DATE(A5443,B5443,C5443)</f>
        <v>44562</v>
      </c>
      <c r="F5443" s="479" t="s">
        <v>966</v>
      </c>
      <c r="G5443" s="220" t="s">
        <v>94</v>
      </c>
      <c r="H5443" s="220" t="str" cm="1">
        <f t="array" ref="H5443">IFERROR(INDEX(INVESTOR_LIST[INVESTOR NAME],MATCH(I5443,INVESTOR_LIST[INVESTOR CODE],0),)," ")</f>
        <v>MD. SAJID SAADAT ALI</v>
      </c>
      <c r="I5443" s="142" t="s">
        <v>519</v>
      </c>
      <c r="J5443" s="310" t="s">
        <v>358</v>
      </c>
      <c r="K5443" s="226">
        <v>29998.799999999999</v>
      </c>
      <c r="L5443" s="226"/>
    </row>
    <row r="5444" spans="1:12" ht="45" x14ac:dyDescent="0.2">
      <c r="A5444" s="133">
        <v>2022</v>
      </c>
      <c r="B5444" s="133">
        <v>1</v>
      </c>
      <c r="C5444" s="133">
        <v>1</v>
      </c>
      <c r="D5444" s="147">
        <f t="shared" si="180"/>
        <v>44562</v>
      </c>
      <c r="E5444" s="311">
        <f t="shared" si="181"/>
        <v>44562</v>
      </c>
      <c r="F5444" s="481"/>
      <c r="G5444" s="174" t="s">
        <v>94</v>
      </c>
      <c r="H5444" s="174" t="str" cm="1">
        <f t="array" ref="H5444">IFERROR(INDEX(INVESTOR_LIST[INVESTOR NAME],MATCH(I5444,INVESTOR_LIST[INVESTOR CODE],0),)," ")</f>
        <v>MD. SAJID SAADAT ALI</v>
      </c>
      <c r="I5444" s="148" t="s">
        <v>519</v>
      </c>
      <c r="J5444" s="312" t="s">
        <v>13</v>
      </c>
      <c r="K5444" s="218"/>
      <c r="L5444" s="218">
        <v>24180</v>
      </c>
    </row>
    <row r="5445" spans="1:12" ht="45" x14ac:dyDescent="0.2">
      <c r="A5445" s="133">
        <v>2022</v>
      </c>
      <c r="B5445" s="133">
        <v>1</v>
      </c>
      <c r="C5445" s="133">
        <v>1</v>
      </c>
      <c r="D5445" s="147">
        <f t="shared" si="180"/>
        <v>44562</v>
      </c>
      <c r="E5445" s="311">
        <f t="shared" si="181"/>
        <v>44562</v>
      </c>
      <c r="F5445" s="481"/>
      <c r="G5445" s="174" t="s">
        <v>94</v>
      </c>
      <c r="H5445" s="174" t="str" cm="1">
        <f t="array" ref="H5445">IFERROR(INDEX(INVESTOR_LIST[INVESTOR NAME],MATCH(I5445,INVESTOR_LIST[INVESTOR CODE],0),)," ")</f>
        <v>MD. SAJID SAADAT ALI</v>
      </c>
      <c r="I5445" s="148" t="s">
        <v>519</v>
      </c>
      <c r="J5445" s="312" t="s">
        <v>53</v>
      </c>
      <c r="K5445" s="218"/>
      <c r="L5445" s="218">
        <v>5318.9199999999983</v>
      </c>
    </row>
    <row r="5446" spans="1:12" ht="45" x14ac:dyDescent="0.2">
      <c r="A5446" s="163">
        <v>2022</v>
      </c>
      <c r="B5446" s="163">
        <v>1</v>
      </c>
      <c r="C5446" s="163">
        <v>1</v>
      </c>
      <c r="D5446" s="144">
        <f t="shared" si="180"/>
        <v>44562</v>
      </c>
      <c r="E5446" s="313">
        <f t="shared" si="181"/>
        <v>44562</v>
      </c>
      <c r="F5446" s="480"/>
      <c r="G5446" s="221" t="s">
        <v>94</v>
      </c>
      <c r="H5446" s="221" t="str" cm="1">
        <f t="array" ref="H5446">IFERROR(INDEX(INVESTOR_LIST[INVESTOR NAME],MATCH(I5446,INVESTOR_LIST[INVESTOR CODE],0),)," ")</f>
        <v>MD. SAJID SAADAT ALI</v>
      </c>
      <c r="I5446" s="145" t="s">
        <v>519</v>
      </c>
      <c r="J5446" s="314" t="s">
        <v>534</v>
      </c>
      <c r="K5446" s="219"/>
      <c r="L5446" s="219">
        <v>499.87999999999994</v>
      </c>
    </row>
    <row r="5447" spans="1:12" ht="33.75" x14ac:dyDescent="0.2">
      <c r="A5447" s="168">
        <v>2022</v>
      </c>
      <c r="B5447" s="168">
        <v>1</v>
      </c>
      <c r="C5447" s="168">
        <v>1</v>
      </c>
      <c r="D5447" s="141">
        <f t="shared" si="174"/>
        <v>44562</v>
      </c>
      <c r="E5447" s="275">
        <f t="shared" si="175"/>
        <v>44562</v>
      </c>
      <c r="F5447" s="479" t="s">
        <v>966</v>
      </c>
      <c r="G5447" s="220" t="s">
        <v>94</v>
      </c>
      <c r="H5447" s="220" t="str" cm="1">
        <f t="array" ref="H5447">IFERROR(INDEX(INVESTOR_LIST[INVESTOR NAME],MATCH(I5447,INVESTOR_LIST[INVESTOR CODE],0),)," ")</f>
        <v>HASIB MUSTABSIR</v>
      </c>
      <c r="I5447" s="142" t="s">
        <v>521</v>
      </c>
      <c r="J5447" s="310" t="s">
        <v>358</v>
      </c>
      <c r="K5447" s="226">
        <v>300175.2</v>
      </c>
      <c r="L5447" s="226" t="s">
        <v>348</v>
      </c>
    </row>
    <row r="5448" spans="1:12" ht="33.75" x14ac:dyDescent="0.2">
      <c r="A5448" s="133">
        <v>2022</v>
      </c>
      <c r="B5448" s="133">
        <v>1</v>
      </c>
      <c r="C5448" s="133">
        <v>1</v>
      </c>
      <c r="D5448" s="147">
        <f t="shared" si="174"/>
        <v>44562</v>
      </c>
      <c r="E5448" s="311">
        <f t="shared" si="175"/>
        <v>44562</v>
      </c>
      <c r="F5448" s="481"/>
      <c r="G5448" s="174" t="s">
        <v>94</v>
      </c>
      <c r="H5448" s="174" t="str" cm="1">
        <f t="array" ref="H5448">IFERROR(INDEX(INVESTOR_LIST[INVESTOR NAME],MATCH(I5448,INVESTOR_LIST[INVESTOR CODE],0),)," ")</f>
        <v>HASIB MUSTABSIR</v>
      </c>
      <c r="I5448" s="148" t="s">
        <v>521</v>
      </c>
      <c r="J5448" s="312" t="s">
        <v>13</v>
      </c>
      <c r="K5448" s="218" t="s">
        <v>348</v>
      </c>
      <c r="L5448" s="218">
        <v>223490</v>
      </c>
    </row>
    <row r="5449" spans="1:12" ht="33.75" x14ac:dyDescent="0.2">
      <c r="A5449" s="133">
        <v>2022</v>
      </c>
      <c r="B5449" s="133">
        <v>1</v>
      </c>
      <c r="C5449" s="133">
        <v>1</v>
      </c>
      <c r="D5449" s="147">
        <f t="shared" si="174"/>
        <v>44562</v>
      </c>
      <c r="E5449" s="311">
        <f t="shared" si="175"/>
        <v>44562</v>
      </c>
      <c r="F5449" s="481"/>
      <c r="G5449" s="174" t="s">
        <v>94</v>
      </c>
      <c r="H5449" s="174" t="str" cm="1">
        <f t="array" ref="H5449">IFERROR(INDEX(INVESTOR_LIST[INVESTOR NAME],MATCH(I5449,INVESTOR_LIST[INVESTOR CODE],0),)," ")</f>
        <v>HASIB MUSTABSIR</v>
      </c>
      <c r="I5449" s="148" t="s">
        <v>521</v>
      </c>
      <c r="J5449" s="312" t="s">
        <v>53</v>
      </c>
      <c r="K5449" s="218" t="s">
        <v>348</v>
      </c>
      <c r="L5449" s="218">
        <v>49167.679999999993</v>
      </c>
    </row>
    <row r="5450" spans="1:12" ht="33.75" x14ac:dyDescent="0.2">
      <c r="A5450" s="163">
        <v>2022</v>
      </c>
      <c r="B5450" s="163">
        <v>1</v>
      </c>
      <c r="C5450" s="163">
        <v>1</v>
      </c>
      <c r="D5450" s="144">
        <f t="shared" si="174"/>
        <v>44562</v>
      </c>
      <c r="E5450" s="313">
        <f t="shared" si="175"/>
        <v>44562</v>
      </c>
      <c r="F5450" s="480"/>
      <c r="G5450" s="221" t="s">
        <v>94</v>
      </c>
      <c r="H5450" s="221" t="str" cm="1">
        <f t="array" ref="H5450">IFERROR(INDEX(INVESTOR_LIST[INVESTOR NAME],MATCH(I5450,INVESTOR_LIST[INVESTOR CODE],0),)," ")</f>
        <v>HASIB MUSTABSIR</v>
      </c>
      <c r="I5450" s="145" t="s">
        <v>521</v>
      </c>
      <c r="J5450" s="314" t="s">
        <v>534</v>
      </c>
      <c r="K5450" s="219" t="s">
        <v>348</v>
      </c>
      <c r="L5450" s="219">
        <v>27517.520000000004</v>
      </c>
    </row>
    <row r="5451" spans="1:12" ht="45" x14ac:dyDescent="0.2">
      <c r="A5451" s="168">
        <v>2022</v>
      </c>
      <c r="B5451" s="168">
        <v>1</v>
      </c>
      <c r="C5451" s="168">
        <v>1</v>
      </c>
      <c r="D5451" s="141">
        <f t="shared" si="174"/>
        <v>44562</v>
      </c>
      <c r="E5451" s="275">
        <f t="shared" si="175"/>
        <v>44562</v>
      </c>
      <c r="F5451" s="479" t="s">
        <v>966</v>
      </c>
      <c r="G5451" s="220" t="s">
        <v>94</v>
      </c>
      <c r="H5451" s="220" t="str" cm="1">
        <f t="array" ref="H5451">IFERROR(INDEX(INVESTOR_LIST[INVESTOR NAME],MATCH(I5451,INVESTOR_LIST[INVESTOR CODE],0),)," ")</f>
        <v>MD. NIAZ MURSHED</v>
      </c>
      <c r="I5451" s="142" t="s">
        <v>646</v>
      </c>
      <c r="J5451" s="310" t="s">
        <v>358</v>
      </c>
      <c r="K5451" s="226">
        <v>113968.4</v>
      </c>
      <c r="L5451" s="226" t="s">
        <v>348</v>
      </c>
    </row>
    <row r="5452" spans="1:12" ht="45" x14ac:dyDescent="0.2">
      <c r="A5452" s="133">
        <v>2022</v>
      </c>
      <c r="B5452" s="133">
        <v>1</v>
      </c>
      <c r="C5452" s="133">
        <v>1</v>
      </c>
      <c r="D5452" s="147">
        <f t="shared" si="174"/>
        <v>44562</v>
      </c>
      <c r="E5452" s="311">
        <f t="shared" si="175"/>
        <v>44562</v>
      </c>
      <c r="F5452" s="481"/>
      <c r="G5452" s="174" t="s">
        <v>94</v>
      </c>
      <c r="H5452" s="174" t="str" cm="1">
        <f t="array" ref="H5452">IFERROR(INDEX(INVESTOR_LIST[INVESTOR NAME],MATCH(I5452,INVESTOR_LIST[INVESTOR CODE],0),)," ")</f>
        <v>MD. NIAZ MURSHED</v>
      </c>
      <c r="I5452" s="148" t="s">
        <v>646</v>
      </c>
      <c r="J5452" s="312" t="s">
        <v>13</v>
      </c>
      <c r="K5452" s="218" t="s">
        <v>348</v>
      </c>
      <c r="L5452" s="218">
        <v>86120</v>
      </c>
    </row>
    <row r="5453" spans="1:12" ht="45" x14ac:dyDescent="0.2">
      <c r="A5453" s="133">
        <v>2022</v>
      </c>
      <c r="B5453" s="133">
        <v>1</v>
      </c>
      <c r="C5453" s="133">
        <v>1</v>
      </c>
      <c r="D5453" s="147">
        <f t="shared" si="174"/>
        <v>44562</v>
      </c>
      <c r="E5453" s="311">
        <f t="shared" si="175"/>
        <v>44562</v>
      </c>
      <c r="F5453" s="481"/>
      <c r="G5453" s="174" t="s">
        <v>94</v>
      </c>
      <c r="H5453" s="174" t="str" cm="1">
        <f t="array" ref="H5453">IFERROR(INDEX(INVESTOR_LIST[INVESTOR NAME],MATCH(I5453,INVESTOR_LIST[INVESTOR CODE],0),)," ")</f>
        <v>MD. NIAZ MURSHED</v>
      </c>
      <c r="I5453" s="148" t="s">
        <v>646</v>
      </c>
      <c r="J5453" s="312" t="s">
        <v>53</v>
      </c>
      <c r="K5453" s="218" t="s">
        <v>348</v>
      </c>
      <c r="L5453" s="218">
        <v>18951.559999999998</v>
      </c>
    </row>
    <row r="5454" spans="1:12" ht="45" x14ac:dyDescent="0.2">
      <c r="A5454" s="163">
        <v>2022</v>
      </c>
      <c r="B5454" s="163">
        <v>1</v>
      </c>
      <c r="C5454" s="163">
        <v>1</v>
      </c>
      <c r="D5454" s="144">
        <f t="shared" si="174"/>
        <v>44562</v>
      </c>
      <c r="E5454" s="313">
        <f t="shared" si="175"/>
        <v>44562</v>
      </c>
      <c r="F5454" s="480"/>
      <c r="G5454" s="221" t="s">
        <v>94</v>
      </c>
      <c r="H5454" s="221" t="str" cm="1">
        <f t="array" ref="H5454">IFERROR(INDEX(INVESTOR_LIST[INVESTOR NAME],MATCH(I5454,INVESTOR_LIST[INVESTOR CODE],0),)," ")</f>
        <v>MD. NIAZ MURSHED</v>
      </c>
      <c r="I5454" s="145" t="s">
        <v>646</v>
      </c>
      <c r="J5454" s="314" t="s">
        <v>534</v>
      </c>
      <c r="K5454" s="219" t="s">
        <v>348</v>
      </c>
      <c r="L5454" s="219">
        <v>8896.84</v>
      </c>
    </row>
    <row r="5455" spans="1:12" ht="22.5" x14ac:dyDescent="0.2">
      <c r="A5455" s="168">
        <v>2022</v>
      </c>
      <c r="B5455" s="168">
        <v>1</v>
      </c>
      <c r="C5455" s="168">
        <v>1</v>
      </c>
      <c r="D5455" s="141">
        <f t="shared" si="174"/>
        <v>44562</v>
      </c>
      <c r="E5455" s="275">
        <f t="shared" si="175"/>
        <v>44562</v>
      </c>
      <c r="F5455" s="479" t="s">
        <v>966</v>
      </c>
      <c r="G5455" s="220" t="s">
        <v>94</v>
      </c>
      <c r="H5455" s="220" t="str" cm="1">
        <f t="array" ref="H5455">IFERROR(INDEX(INVESTOR_LIST[INVESTOR NAME],MATCH(I5455,INVESTOR_LIST[INVESTOR CODE],0),)," ")</f>
        <v>REZIA RAHMAT</v>
      </c>
      <c r="I5455" s="142" t="s">
        <v>530</v>
      </c>
      <c r="J5455" s="310" t="s">
        <v>358</v>
      </c>
      <c r="K5455" s="226">
        <v>29702.400000000001</v>
      </c>
      <c r="L5455" s="226" t="s">
        <v>348</v>
      </c>
    </row>
    <row r="5456" spans="1:12" ht="22.5" x14ac:dyDescent="0.2">
      <c r="A5456" s="133">
        <v>2022</v>
      </c>
      <c r="B5456" s="133">
        <v>1</v>
      </c>
      <c r="C5456" s="133">
        <v>1</v>
      </c>
      <c r="D5456" s="147">
        <f t="shared" si="174"/>
        <v>44562</v>
      </c>
      <c r="E5456" s="311">
        <f t="shared" si="175"/>
        <v>44562</v>
      </c>
      <c r="F5456" s="481"/>
      <c r="G5456" s="174" t="s">
        <v>94</v>
      </c>
      <c r="H5456" s="174" t="str" cm="1">
        <f t="array" ref="H5456">IFERROR(INDEX(INVESTOR_LIST[INVESTOR NAME],MATCH(I5456,INVESTOR_LIST[INVESTOR CODE],0),)," ")</f>
        <v>REZIA RAHMAT</v>
      </c>
      <c r="I5456" s="148" t="s">
        <v>530</v>
      </c>
      <c r="J5456" s="312" t="s">
        <v>13</v>
      </c>
      <c r="K5456" s="218" t="s">
        <v>348</v>
      </c>
      <c r="L5456" s="218">
        <v>23770</v>
      </c>
    </row>
    <row r="5457" spans="1:12" ht="22.5" x14ac:dyDescent="0.2">
      <c r="A5457" s="133">
        <v>2022</v>
      </c>
      <c r="B5457" s="133">
        <v>1</v>
      </c>
      <c r="C5457" s="133">
        <v>1</v>
      </c>
      <c r="D5457" s="147">
        <f t="shared" si="174"/>
        <v>44562</v>
      </c>
      <c r="E5457" s="311">
        <f t="shared" si="175"/>
        <v>44562</v>
      </c>
      <c r="F5457" s="481"/>
      <c r="G5457" s="174" t="s">
        <v>94</v>
      </c>
      <c r="H5457" s="174" t="str" cm="1">
        <f t="array" ref="H5457">IFERROR(INDEX(INVESTOR_LIST[INVESTOR NAME],MATCH(I5457,INVESTOR_LIST[INVESTOR CODE],0),)," ")</f>
        <v>REZIA RAHMAT</v>
      </c>
      <c r="I5457" s="148" t="s">
        <v>530</v>
      </c>
      <c r="J5457" s="312" t="s">
        <v>53</v>
      </c>
      <c r="K5457" s="218" t="s">
        <v>348</v>
      </c>
      <c r="L5457" s="218">
        <v>5227.0400000000009</v>
      </c>
    </row>
    <row r="5458" spans="1:12" ht="22.5" x14ac:dyDescent="0.2">
      <c r="A5458" s="163">
        <v>2022</v>
      </c>
      <c r="B5458" s="163">
        <v>1</v>
      </c>
      <c r="C5458" s="163">
        <v>1</v>
      </c>
      <c r="D5458" s="144">
        <f t="shared" si="174"/>
        <v>44562</v>
      </c>
      <c r="E5458" s="313">
        <f t="shared" si="175"/>
        <v>44562</v>
      </c>
      <c r="F5458" s="480"/>
      <c r="G5458" s="221" t="s">
        <v>94</v>
      </c>
      <c r="H5458" s="221" t="str" cm="1">
        <f t="array" ref="H5458">IFERROR(INDEX(INVESTOR_LIST[INVESTOR NAME],MATCH(I5458,INVESTOR_LIST[INVESTOR CODE],0),)," ")</f>
        <v>REZIA RAHMAT</v>
      </c>
      <c r="I5458" s="145" t="s">
        <v>530</v>
      </c>
      <c r="J5458" s="314" t="s">
        <v>534</v>
      </c>
      <c r="K5458" s="219" t="s">
        <v>348</v>
      </c>
      <c r="L5458" s="219">
        <v>705.36000000000024</v>
      </c>
    </row>
    <row r="5459" spans="1:12" ht="33.75" x14ac:dyDescent="0.2">
      <c r="A5459" s="168">
        <v>2022</v>
      </c>
      <c r="B5459" s="168">
        <v>1</v>
      </c>
      <c r="C5459" s="168">
        <v>1</v>
      </c>
      <c r="D5459" s="141">
        <f t="shared" si="174"/>
        <v>44562</v>
      </c>
      <c r="E5459" s="275">
        <f t="shared" si="175"/>
        <v>44562</v>
      </c>
      <c r="F5459" s="479" t="s">
        <v>966</v>
      </c>
      <c r="G5459" s="220" t="s">
        <v>94</v>
      </c>
      <c r="H5459" s="220" t="str" cm="1">
        <f t="array" ref="H5459">IFERROR(INDEX(INVESTOR_LIST[INVESTOR NAME],MATCH(I5459,INVESTOR_LIST[INVESTOR CODE],0),)," ")</f>
        <v>MUNTASIR HASAN</v>
      </c>
      <c r="I5459" s="142" t="s">
        <v>652</v>
      </c>
      <c r="J5459" s="310" t="s">
        <v>358</v>
      </c>
      <c r="K5459" s="226">
        <v>6271.2</v>
      </c>
      <c r="L5459" s="226" t="s">
        <v>348</v>
      </c>
    </row>
    <row r="5460" spans="1:12" ht="33.75" x14ac:dyDescent="0.2">
      <c r="A5460" s="133">
        <v>2022</v>
      </c>
      <c r="B5460" s="133">
        <v>1</v>
      </c>
      <c r="C5460" s="133">
        <v>1</v>
      </c>
      <c r="D5460" s="147">
        <f t="shared" si="174"/>
        <v>44562</v>
      </c>
      <c r="E5460" s="311">
        <f t="shared" si="175"/>
        <v>44562</v>
      </c>
      <c r="F5460" s="481"/>
      <c r="G5460" s="174" t="s">
        <v>94</v>
      </c>
      <c r="H5460" s="174" t="str" cm="1">
        <f t="array" ref="H5460">IFERROR(INDEX(INVESTOR_LIST[INVESTOR NAME],MATCH(I5460,INVESTOR_LIST[INVESTOR CODE],0),)," ")</f>
        <v>MUNTASIR HASAN</v>
      </c>
      <c r="I5460" s="148" t="s">
        <v>652</v>
      </c>
      <c r="J5460" s="312" t="s">
        <v>13</v>
      </c>
      <c r="K5460" s="218" t="s">
        <v>348</v>
      </c>
      <c r="L5460" s="218">
        <v>5140</v>
      </c>
    </row>
    <row r="5461" spans="1:12" ht="33.75" x14ac:dyDescent="0.2">
      <c r="A5461" s="133">
        <v>2022</v>
      </c>
      <c r="B5461" s="133">
        <v>1</v>
      </c>
      <c r="C5461" s="133">
        <v>1</v>
      </c>
      <c r="D5461" s="147">
        <f t="shared" si="174"/>
        <v>44562</v>
      </c>
      <c r="E5461" s="311">
        <f t="shared" si="175"/>
        <v>44562</v>
      </c>
      <c r="F5461" s="481"/>
      <c r="G5461" s="174" t="s">
        <v>94</v>
      </c>
      <c r="H5461" s="174" t="str" cm="1">
        <f t="array" ref="H5461">IFERROR(INDEX(INVESTOR_LIST[INVESTOR NAME],MATCH(I5461,INVESTOR_LIST[INVESTOR CODE],0),)," ")</f>
        <v>MUNTASIR HASAN</v>
      </c>
      <c r="I5461" s="148" t="s">
        <v>652</v>
      </c>
      <c r="J5461" s="312" t="s">
        <v>53</v>
      </c>
      <c r="K5461" s="218" t="s">
        <v>348</v>
      </c>
      <c r="L5461" s="218">
        <v>1131.1999999999998</v>
      </c>
    </row>
    <row r="5462" spans="1:12" ht="33.75" x14ac:dyDescent="0.2">
      <c r="A5462" s="168">
        <v>2022</v>
      </c>
      <c r="B5462" s="168">
        <v>1</v>
      </c>
      <c r="C5462" s="168">
        <v>1</v>
      </c>
      <c r="D5462" s="141">
        <f t="shared" si="174"/>
        <v>44562</v>
      </c>
      <c r="E5462" s="275">
        <f t="shared" si="175"/>
        <v>44562</v>
      </c>
      <c r="F5462" s="479" t="s">
        <v>966</v>
      </c>
      <c r="G5462" s="220" t="s">
        <v>94</v>
      </c>
      <c r="H5462" s="220" t="str" cm="1">
        <f t="array" ref="H5462">IFERROR(INDEX(INVESTOR_LIST[INVESTOR NAME],MATCH(I5462,INVESTOR_LIST[INVESTOR CODE],0),)," ")</f>
        <v>SAJJAD CHOWDHURY</v>
      </c>
      <c r="I5462" s="142" t="s">
        <v>533</v>
      </c>
      <c r="J5462" s="310" t="s">
        <v>358</v>
      </c>
      <c r="K5462" s="226">
        <v>19476.599999999999</v>
      </c>
      <c r="L5462" s="226" t="s">
        <v>348</v>
      </c>
    </row>
    <row r="5463" spans="1:12" ht="33.75" x14ac:dyDescent="0.2">
      <c r="A5463" s="133">
        <v>2022</v>
      </c>
      <c r="B5463" s="133">
        <v>1</v>
      </c>
      <c r="C5463" s="133">
        <v>1</v>
      </c>
      <c r="D5463" s="147">
        <f t="shared" si="174"/>
        <v>44562</v>
      </c>
      <c r="E5463" s="311">
        <f t="shared" si="175"/>
        <v>44562</v>
      </c>
      <c r="F5463" s="481"/>
      <c r="G5463" s="174" t="s">
        <v>94</v>
      </c>
      <c r="H5463" s="174" t="str" cm="1">
        <f t="array" ref="H5463">IFERROR(INDEX(INVESTOR_LIST[INVESTOR NAME],MATCH(I5463,INVESTOR_LIST[INVESTOR CODE],0),)," ")</f>
        <v>SAJJAD CHOWDHURY</v>
      </c>
      <c r="I5463" s="148" t="s">
        <v>533</v>
      </c>
      <c r="J5463" s="312" t="s">
        <v>13</v>
      </c>
      <c r="K5463" s="218" t="s">
        <v>348</v>
      </c>
      <c r="L5463" s="218">
        <v>15960</v>
      </c>
    </row>
    <row r="5464" spans="1:12" ht="33.75" x14ac:dyDescent="0.2">
      <c r="A5464" s="133">
        <v>2022</v>
      </c>
      <c r="B5464" s="133">
        <v>1</v>
      </c>
      <c r="C5464" s="133">
        <v>1</v>
      </c>
      <c r="D5464" s="147">
        <f t="shared" si="174"/>
        <v>44562</v>
      </c>
      <c r="E5464" s="311">
        <f t="shared" si="175"/>
        <v>44562</v>
      </c>
      <c r="F5464" s="481"/>
      <c r="G5464" s="174" t="s">
        <v>94</v>
      </c>
      <c r="H5464" s="174" t="str" cm="1">
        <f t="array" ref="H5464">IFERROR(INDEX(INVESTOR_LIST[INVESTOR NAME],MATCH(I5464,INVESTOR_LIST[INVESTOR CODE],0),)," ")</f>
        <v>SAJJAD CHOWDHURY</v>
      </c>
      <c r="I5464" s="148" t="s">
        <v>533</v>
      </c>
      <c r="J5464" s="312" t="s">
        <v>53</v>
      </c>
      <c r="K5464" s="218" t="s">
        <v>348</v>
      </c>
      <c r="L5464" s="218">
        <v>3516.5999999999985</v>
      </c>
    </row>
    <row r="5465" spans="1:12" ht="33.75" x14ac:dyDescent="0.2">
      <c r="A5465" s="168">
        <v>2022</v>
      </c>
      <c r="B5465" s="168">
        <v>1</v>
      </c>
      <c r="C5465" s="168">
        <v>1</v>
      </c>
      <c r="D5465" s="141">
        <f t="shared" si="174"/>
        <v>44562</v>
      </c>
      <c r="E5465" s="275">
        <f t="shared" si="175"/>
        <v>44562</v>
      </c>
      <c r="F5465" s="479" t="s">
        <v>966</v>
      </c>
      <c r="G5465" s="220" t="s">
        <v>94</v>
      </c>
      <c r="H5465" s="220" t="str" cm="1">
        <f t="array" ref="H5465">IFERROR(INDEX(INVESTOR_LIST[INVESTOR NAME],MATCH(I5465,INVESTOR_LIST[INVESTOR CODE],0),)," ")</f>
        <v>MAHFUZUL ISLAM</v>
      </c>
      <c r="I5465" s="142" t="s">
        <v>663</v>
      </c>
      <c r="J5465" s="310" t="s">
        <v>358</v>
      </c>
      <c r="K5465" s="226">
        <v>1211.5999999999999</v>
      </c>
      <c r="L5465" s="226" t="s">
        <v>348</v>
      </c>
    </row>
    <row r="5466" spans="1:12" ht="33.75" x14ac:dyDescent="0.2">
      <c r="A5466" s="133">
        <v>2022</v>
      </c>
      <c r="B5466" s="133">
        <v>1</v>
      </c>
      <c r="C5466" s="133">
        <v>1</v>
      </c>
      <c r="D5466" s="147">
        <f t="shared" si="174"/>
        <v>44562</v>
      </c>
      <c r="E5466" s="311">
        <f t="shared" si="175"/>
        <v>44562</v>
      </c>
      <c r="F5466" s="481"/>
      <c r="G5466" s="174" t="s">
        <v>94</v>
      </c>
      <c r="H5466" s="174" t="str" cm="1">
        <f t="array" ref="H5466">IFERROR(INDEX(INVESTOR_LIST[INVESTOR NAME],MATCH(I5466,INVESTOR_LIST[INVESTOR CODE],0),)," ")</f>
        <v>MAHFUZUL ISLAM</v>
      </c>
      <c r="I5466" s="148" t="s">
        <v>663</v>
      </c>
      <c r="J5466" s="312" t="s">
        <v>13</v>
      </c>
      <c r="K5466" s="218" t="s">
        <v>348</v>
      </c>
      <c r="L5466" s="218">
        <v>990</v>
      </c>
    </row>
    <row r="5467" spans="1:12" ht="33.75" x14ac:dyDescent="0.2">
      <c r="A5467" s="133">
        <v>2022</v>
      </c>
      <c r="B5467" s="133">
        <v>1</v>
      </c>
      <c r="C5467" s="133">
        <v>1</v>
      </c>
      <c r="D5467" s="147">
        <f t="shared" si="174"/>
        <v>44562</v>
      </c>
      <c r="E5467" s="311">
        <f t="shared" si="175"/>
        <v>44562</v>
      </c>
      <c r="F5467" s="481"/>
      <c r="G5467" s="174" t="s">
        <v>94</v>
      </c>
      <c r="H5467" s="174" t="str" cm="1">
        <f t="array" ref="H5467">IFERROR(INDEX(INVESTOR_LIST[INVESTOR NAME],MATCH(I5467,INVESTOR_LIST[INVESTOR CODE],0),)," ")</f>
        <v>MAHFUZUL ISLAM</v>
      </c>
      <c r="I5467" s="148" t="s">
        <v>663</v>
      </c>
      <c r="J5467" s="312" t="s">
        <v>53</v>
      </c>
      <c r="K5467" s="218" t="s">
        <v>348</v>
      </c>
      <c r="L5467" s="218">
        <v>221.59999999999991</v>
      </c>
    </row>
    <row r="5468" spans="1:12" ht="22.5" x14ac:dyDescent="0.2">
      <c r="A5468" s="168">
        <v>2022</v>
      </c>
      <c r="B5468" s="168">
        <v>1</v>
      </c>
      <c r="C5468" s="168">
        <v>1</v>
      </c>
      <c r="D5468" s="141">
        <f t="shared" ref="D5468:D5471" si="182">DATE(A5468,B5468,C5468)</f>
        <v>44562</v>
      </c>
      <c r="E5468" s="275">
        <f t="shared" ref="E5468:E5471" si="183">DATE(A5468,B5468,C5468)</f>
        <v>44562</v>
      </c>
      <c r="F5468" s="479" t="s">
        <v>966</v>
      </c>
      <c r="G5468" s="220" t="s">
        <v>94</v>
      </c>
      <c r="H5468" s="220" t="str" cm="1">
        <f t="array" ref="H5468">IFERROR(INDEX(INVESTOR_LIST[INVESTOR NAME],MATCH(I5468,INVESTOR_LIST[INVESTOR CODE],0),)," ")</f>
        <v>NOOR AL-RAFI</v>
      </c>
      <c r="I5468" s="142" t="s">
        <v>551</v>
      </c>
      <c r="J5468" s="310" t="s">
        <v>358</v>
      </c>
      <c r="K5468" s="226">
        <v>101881</v>
      </c>
      <c r="L5468" s="226" t="s">
        <v>348</v>
      </c>
    </row>
    <row r="5469" spans="1:12" ht="22.5" x14ac:dyDescent="0.2">
      <c r="A5469" s="133">
        <v>2022</v>
      </c>
      <c r="B5469" s="133">
        <v>1</v>
      </c>
      <c r="C5469" s="133">
        <v>1</v>
      </c>
      <c r="D5469" s="147">
        <f t="shared" si="182"/>
        <v>44562</v>
      </c>
      <c r="E5469" s="311">
        <f t="shared" si="183"/>
        <v>44562</v>
      </c>
      <c r="F5469" s="481"/>
      <c r="G5469" s="174" t="s">
        <v>94</v>
      </c>
      <c r="H5469" s="174" t="str" cm="1">
        <f t="array" ref="H5469">IFERROR(INDEX(INVESTOR_LIST[INVESTOR NAME],MATCH(I5469,INVESTOR_LIST[INVESTOR CODE],0),)," ")</f>
        <v>NOOR AL-RAFI</v>
      </c>
      <c r="I5469" s="148" t="s">
        <v>551</v>
      </c>
      <c r="J5469" s="312" t="s">
        <v>13</v>
      </c>
      <c r="K5469" s="218" t="s">
        <v>348</v>
      </c>
      <c r="L5469" s="218">
        <v>77210</v>
      </c>
    </row>
    <row r="5470" spans="1:12" ht="22.5" x14ac:dyDescent="0.2">
      <c r="A5470" s="133">
        <v>2022</v>
      </c>
      <c r="B5470" s="133">
        <v>1</v>
      </c>
      <c r="C5470" s="133">
        <v>1</v>
      </c>
      <c r="D5470" s="147">
        <f t="shared" si="182"/>
        <v>44562</v>
      </c>
      <c r="E5470" s="311">
        <f t="shared" si="183"/>
        <v>44562</v>
      </c>
      <c r="F5470" s="481"/>
      <c r="G5470" s="174" t="s">
        <v>94</v>
      </c>
      <c r="H5470" s="174" t="str" cm="1">
        <f t="array" ref="H5470">IFERROR(INDEX(INVESTOR_LIST[INVESTOR NAME],MATCH(I5470,INVESTOR_LIST[INVESTOR CODE],0),)," ")</f>
        <v>NOOR AL-RAFI</v>
      </c>
      <c r="I5470" s="148" t="s">
        <v>551</v>
      </c>
      <c r="J5470" s="312" t="s">
        <v>53</v>
      </c>
      <c r="K5470" s="218" t="s">
        <v>348</v>
      </c>
      <c r="L5470" s="218">
        <v>16982.899999999994</v>
      </c>
    </row>
    <row r="5471" spans="1:12" ht="22.5" x14ac:dyDescent="0.2">
      <c r="A5471" s="163">
        <v>2022</v>
      </c>
      <c r="B5471" s="163">
        <v>1</v>
      </c>
      <c r="C5471" s="163">
        <v>1</v>
      </c>
      <c r="D5471" s="144">
        <f t="shared" si="182"/>
        <v>44562</v>
      </c>
      <c r="E5471" s="313">
        <f t="shared" si="183"/>
        <v>44562</v>
      </c>
      <c r="F5471" s="480"/>
      <c r="G5471" s="221" t="s">
        <v>94</v>
      </c>
      <c r="H5471" s="221" t="str" cm="1">
        <f t="array" ref="H5471">IFERROR(INDEX(INVESTOR_LIST[INVESTOR NAME],MATCH(I5471,INVESTOR_LIST[INVESTOR CODE],0),)," ")</f>
        <v>NOOR AL-RAFI</v>
      </c>
      <c r="I5471" s="145" t="s">
        <v>551</v>
      </c>
      <c r="J5471" s="314" t="s">
        <v>534</v>
      </c>
      <c r="K5471" s="219" t="s">
        <v>348</v>
      </c>
      <c r="L5471" s="219">
        <v>7688.1</v>
      </c>
    </row>
    <row r="5472" spans="1:12" ht="33.75" x14ac:dyDescent="0.2">
      <c r="A5472" s="168">
        <v>2022</v>
      </c>
      <c r="B5472" s="168">
        <v>1</v>
      </c>
      <c r="C5472" s="168">
        <v>1</v>
      </c>
      <c r="D5472" s="141">
        <f t="shared" ref="D5472:D5474" si="184">DATE(A5472,B5472,C5472)</f>
        <v>44562</v>
      </c>
      <c r="E5472" s="275">
        <f t="shared" ref="E5472:E5474" si="185">DATE(A5472,B5472,C5472)</f>
        <v>44562</v>
      </c>
      <c r="F5472" s="479" t="s">
        <v>966</v>
      </c>
      <c r="G5472" s="220" t="s">
        <v>94</v>
      </c>
      <c r="H5472" s="220" t="str" cm="1">
        <f t="array" ref="H5472">IFERROR(INDEX(INVESTOR_LIST[INVESTOR NAME],MATCH(I5472,INVESTOR_LIST[INVESTOR CODE],0),)," ")</f>
        <v>K.M SAKIB AHMED</v>
      </c>
      <c r="I5472" s="142" t="s">
        <v>552</v>
      </c>
      <c r="J5472" s="310" t="s">
        <v>358</v>
      </c>
      <c r="K5472" s="226">
        <v>1076.4000000000001</v>
      </c>
      <c r="L5472" s="226"/>
    </row>
    <row r="5473" spans="1:12" ht="33.75" x14ac:dyDescent="0.2">
      <c r="A5473" s="133">
        <v>2022</v>
      </c>
      <c r="B5473" s="133">
        <v>1</v>
      </c>
      <c r="C5473" s="133">
        <v>1</v>
      </c>
      <c r="D5473" s="147">
        <f t="shared" si="184"/>
        <v>44562</v>
      </c>
      <c r="E5473" s="311">
        <f t="shared" si="185"/>
        <v>44562</v>
      </c>
      <c r="F5473" s="481"/>
      <c r="G5473" s="174" t="s">
        <v>94</v>
      </c>
      <c r="H5473" s="174" t="str" cm="1">
        <f t="array" ref="H5473">IFERROR(INDEX(INVESTOR_LIST[INVESTOR NAME],MATCH(I5473,INVESTOR_LIST[INVESTOR CODE],0),)," ")</f>
        <v>K.M SAKIB AHMED</v>
      </c>
      <c r="I5473" s="148" t="s">
        <v>552</v>
      </c>
      <c r="J5473" s="312" t="s">
        <v>13</v>
      </c>
      <c r="K5473" s="218"/>
      <c r="L5473" s="218">
        <v>880</v>
      </c>
    </row>
    <row r="5474" spans="1:12" ht="33.75" x14ac:dyDescent="0.2">
      <c r="A5474" s="133">
        <v>2022</v>
      </c>
      <c r="B5474" s="133">
        <v>1</v>
      </c>
      <c r="C5474" s="133">
        <v>1</v>
      </c>
      <c r="D5474" s="147">
        <f t="shared" si="184"/>
        <v>44562</v>
      </c>
      <c r="E5474" s="311">
        <f t="shared" si="185"/>
        <v>44562</v>
      </c>
      <c r="F5474" s="481"/>
      <c r="G5474" s="174" t="s">
        <v>94</v>
      </c>
      <c r="H5474" s="174" t="str" cm="1">
        <f t="array" ref="H5474">IFERROR(INDEX(INVESTOR_LIST[INVESTOR NAME],MATCH(I5474,INVESTOR_LIST[INVESTOR CODE],0),)," ")</f>
        <v>K.M SAKIB AHMED</v>
      </c>
      <c r="I5474" s="148" t="s">
        <v>552</v>
      </c>
      <c r="J5474" s="312" t="s">
        <v>53</v>
      </c>
      <c r="K5474" s="218"/>
      <c r="L5474" s="218">
        <v>196.40000000000009</v>
      </c>
    </row>
    <row r="5475" spans="1:12" ht="22.5" x14ac:dyDescent="0.2">
      <c r="A5475" s="168">
        <v>2022</v>
      </c>
      <c r="B5475" s="168">
        <v>1</v>
      </c>
      <c r="C5475" s="168">
        <v>1</v>
      </c>
      <c r="D5475" s="141">
        <f t="shared" si="174"/>
        <v>44562</v>
      </c>
      <c r="E5475" s="275">
        <f t="shared" si="175"/>
        <v>44562</v>
      </c>
      <c r="F5475" s="479" t="s">
        <v>966</v>
      </c>
      <c r="G5475" s="220" t="s">
        <v>94</v>
      </c>
      <c r="H5475" s="220" t="str" cm="1">
        <f t="array" ref="H5475">IFERROR(INDEX(INVESTOR_LIST[INVESTOR NAME],MATCH(I5475,INVESTOR_LIST[INVESTOR CODE],0),)," ")</f>
        <v>TAPU GUHA</v>
      </c>
      <c r="I5475" s="142" t="s">
        <v>670</v>
      </c>
      <c r="J5475" s="310" t="s">
        <v>358</v>
      </c>
      <c r="K5475" s="226">
        <v>10371.4</v>
      </c>
      <c r="L5475" s="226" t="s">
        <v>348</v>
      </c>
    </row>
    <row r="5476" spans="1:12" ht="22.5" x14ac:dyDescent="0.2">
      <c r="A5476" s="133">
        <v>2022</v>
      </c>
      <c r="B5476" s="133">
        <v>1</v>
      </c>
      <c r="C5476" s="133">
        <v>1</v>
      </c>
      <c r="D5476" s="147">
        <f t="shared" si="174"/>
        <v>44562</v>
      </c>
      <c r="E5476" s="311">
        <f t="shared" si="175"/>
        <v>44562</v>
      </c>
      <c r="F5476" s="481"/>
      <c r="G5476" s="174" t="s">
        <v>94</v>
      </c>
      <c r="H5476" s="174" t="str" cm="1">
        <f t="array" ref="H5476">IFERROR(INDEX(INVESTOR_LIST[INVESTOR NAME],MATCH(I5476,INVESTOR_LIST[INVESTOR CODE],0),)," ")</f>
        <v>TAPU GUHA</v>
      </c>
      <c r="I5476" s="148" t="s">
        <v>670</v>
      </c>
      <c r="J5476" s="312" t="s">
        <v>13</v>
      </c>
      <c r="K5476" s="218" t="s">
        <v>348</v>
      </c>
      <c r="L5476" s="218">
        <v>8500</v>
      </c>
    </row>
    <row r="5477" spans="1:12" ht="22.5" x14ac:dyDescent="0.2">
      <c r="A5477" s="133">
        <v>2022</v>
      </c>
      <c r="B5477" s="133">
        <v>1</v>
      </c>
      <c r="C5477" s="133">
        <v>1</v>
      </c>
      <c r="D5477" s="147">
        <f t="shared" si="174"/>
        <v>44562</v>
      </c>
      <c r="E5477" s="311">
        <f t="shared" si="175"/>
        <v>44562</v>
      </c>
      <c r="F5477" s="481"/>
      <c r="G5477" s="174" t="s">
        <v>94</v>
      </c>
      <c r="H5477" s="174" t="str" cm="1">
        <f t="array" ref="H5477">IFERROR(INDEX(INVESTOR_LIST[INVESTOR NAME],MATCH(I5477,INVESTOR_LIST[INVESTOR CODE],0),)," ")</f>
        <v>TAPU GUHA</v>
      </c>
      <c r="I5477" s="148" t="s">
        <v>670</v>
      </c>
      <c r="J5477" s="312" t="s">
        <v>53</v>
      </c>
      <c r="K5477" s="218" t="s">
        <v>348</v>
      </c>
      <c r="L5477" s="218">
        <v>1871.3999999999996</v>
      </c>
    </row>
    <row r="5478" spans="1:12" ht="33.75" x14ac:dyDescent="0.2">
      <c r="A5478" s="168">
        <v>2022</v>
      </c>
      <c r="B5478" s="168">
        <v>1</v>
      </c>
      <c r="C5478" s="168">
        <v>1</v>
      </c>
      <c r="D5478" s="141">
        <f t="shared" si="174"/>
        <v>44562</v>
      </c>
      <c r="E5478" s="275">
        <f t="shared" si="175"/>
        <v>44562</v>
      </c>
      <c r="F5478" s="479" t="s">
        <v>966</v>
      </c>
      <c r="G5478" s="220" t="s">
        <v>94</v>
      </c>
      <c r="H5478" s="220" t="str" cm="1">
        <f t="array" ref="H5478">IFERROR(INDEX(INVESTOR_LIST[INVESTOR NAME],MATCH(I5478,INVESTOR_LIST[INVESTOR CODE],0),)," ")</f>
        <v>BIJOY CHANDRA DAS</v>
      </c>
      <c r="I5478" s="142" t="s">
        <v>678</v>
      </c>
      <c r="J5478" s="310" t="s">
        <v>358</v>
      </c>
      <c r="K5478" s="226">
        <v>26239.200000000001</v>
      </c>
      <c r="L5478" s="226" t="s">
        <v>348</v>
      </c>
    </row>
    <row r="5479" spans="1:12" ht="33.75" x14ac:dyDescent="0.2">
      <c r="A5479" s="133">
        <v>2022</v>
      </c>
      <c r="B5479" s="133">
        <v>1</v>
      </c>
      <c r="C5479" s="133">
        <v>1</v>
      </c>
      <c r="D5479" s="147">
        <f t="shared" si="174"/>
        <v>44562</v>
      </c>
      <c r="E5479" s="311">
        <f t="shared" si="175"/>
        <v>44562</v>
      </c>
      <c r="F5479" s="481"/>
      <c r="G5479" s="174" t="s">
        <v>94</v>
      </c>
      <c r="H5479" s="174" t="str" cm="1">
        <f t="array" ref="H5479">IFERROR(INDEX(INVESTOR_LIST[INVESTOR NAME],MATCH(I5479,INVESTOR_LIST[INVESTOR CODE],0),)," ")</f>
        <v>BIJOY CHANDRA DAS</v>
      </c>
      <c r="I5479" s="148" t="s">
        <v>678</v>
      </c>
      <c r="J5479" s="312" t="s">
        <v>13</v>
      </c>
      <c r="K5479" s="218" t="s">
        <v>348</v>
      </c>
      <c r="L5479" s="218">
        <v>21410</v>
      </c>
    </row>
    <row r="5480" spans="1:12" ht="33.75" x14ac:dyDescent="0.2">
      <c r="A5480" s="133">
        <v>2022</v>
      </c>
      <c r="B5480" s="133">
        <v>1</v>
      </c>
      <c r="C5480" s="133">
        <v>1</v>
      </c>
      <c r="D5480" s="147">
        <f t="shared" si="174"/>
        <v>44562</v>
      </c>
      <c r="E5480" s="311">
        <f t="shared" si="175"/>
        <v>44562</v>
      </c>
      <c r="F5480" s="481"/>
      <c r="G5480" s="174" t="s">
        <v>94</v>
      </c>
      <c r="H5480" s="174" t="str" cm="1">
        <f t="array" ref="H5480">IFERROR(INDEX(INVESTOR_LIST[INVESTOR NAME],MATCH(I5480,INVESTOR_LIST[INVESTOR CODE],0),)," ")</f>
        <v>BIJOY CHANDRA DAS</v>
      </c>
      <c r="I5480" s="148" t="s">
        <v>678</v>
      </c>
      <c r="J5480" s="312" t="s">
        <v>53</v>
      </c>
      <c r="K5480" s="218" t="s">
        <v>348</v>
      </c>
      <c r="L5480" s="218">
        <v>4705.2799999999988</v>
      </c>
    </row>
    <row r="5481" spans="1:12" ht="33.75" x14ac:dyDescent="0.2">
      <c r="A5481" s="163">
        <v>2022</v>
      </c>
      <c r="B5481" s="163">
        <v>1</v>
      </c>
      <c r="C5481" s="163">
        <v>1</v>
      </c>
      <c r="D5481" s="144">
        <f t="shared" si="174"/>
        <v>44562</v>
      </c>
      <c r="E5481" s="313">
        <f t="shared" si="175"/>
        <v>44562</v>
      </c>
      <c r="F5481" s="480"/>
      <c r="G5481" s="221" t="s">
        <v>94</v>
      </c>
      <c r="H5481" s="221" t="str" cm="1">
        <f t="array" ref="H5481">IFERROR(INDEX(INVESTOR_LIST[INVESTOR NAME],MATCH(I5481,INVESTOR_LIST[INVESTOR CODE],0),)," ")</f>
        <v>BIJOY CHANDRA DAS</v>
      </c>
      <c r="I5481" s="145" t="s">
        <v>678</v>
      </c>
      <c r="J5481" s="314" t="s">
        <v>534</v>
      </c>
      <c r="K5481" s="219" t="s">
        <v>348</v>
      </c>
      <c r="L5481" s="219">
        <v>123.92000000000007</v>
      </c>
    </row>
    <row r="5482" spans="1:12" ht="45" x14ac:dyDescent="0.2">
      <c r="A5482" s="168">
        <v>2022</v>
      </c>
      <c r="B5482" s="168">
        <v>1</v>
      </c>
      <c r="C5482" s="168">
        <v>1</v>
      </c>
      <c r="D5482" s="141">
        <f t="shared" ref="D5482:D5485" si="186">DATE(A5482,B5482,C5482)</f>
        <v>44562</v>
      </c>
      <c r="E5482" s="275">
        <f t="shared" ref="E5482:E5485" si="187">DATE(A5482,B5482,C5482)</f>
        <v>44562</v>
      </c>
      <c r="F5482" s="479" t="s">
        <v>966</v>
      </c>
      <c r="G5482" s="220" t="s">
        <v>94</v>
      </c>
      <c r="H5482" s="220" t="str" cm="1">
        <f t="array" ref="H5482">IFERROR(INDEX(INVESTOR_LIST[INVESTOR NAME],MATCH(I5482,INVESTOR_LIST[INVESTOR CODE],0),)," ")</f>
        <v>FATEMA-TUZ JOHURA NILA</v>
      </c>
      <c r="I5482" s="142" t="s">
        <v>682</v>
      </c>
      <c r="J5482" s="310" t="s">
        <v>358</v>
      </c>
      <c r="K5482" s="226">
        <v>41766.400000000001</v>
      </c>
      <c r="L5482" s="226"/>
    </row>
    <row r="5483" spans="1:12" ht="45" x14ac:dyDescent="0.2">
      <c r="A5483" s="133">
        <v>2022</v>
      </c>
      <c r="B5483" s="133">
        <v>1</v>
      </c>
      <c r="C5483" s="133">
        <v>1</v>
      </c>
      <c r="D5483" s="147">
        <f t="shared" si="186"/>
        <v>44562</v>
      </c>
      <c r="E5483" s="311">
        <f t="shared" si="187"/>
        <v>44562</v>
      </c>
      <c r="F5483" s="481"/>
      <c r="G5483" s="174" t="s">
        <v>94</v>
      </c>
      <c r="H5483" s="174" t="str" cm="1">
        <f t="array" ref="H5483">IFERROR(INDEX(INVESTOR_LIST[INVESTOR NAME],MATCH(I5483,INVESTOR_LIST[INVESTOR CODE],0),)," ")</f>
        <v>FATEMA-TUZ JOHURA NILA</v>
      </c>
      <c r="I5483" s="148" t="s">
        <v>682</v>
      </c>
      <c r="J5483" s="312" t="s">
        <v>13</v>
      </c>
      <c r="K5483" s="218"/>
      <c r="L5483" s="218">
        <v>32170</v>
      </c>
    </row>
    <row r="5484" spans="1:12" ht="45" x14ac:dyDescent="0.2">
      <c r="A5484" s="133">
        <v>2022</v>
      </c>
      <c r="B5484" s="133">
        <v>1</v>
      </c>
      <c r="C5484" s="133">
        <v>1</v>
      </c>
      <c r="D5484" s="147">
        <f t="shared" si="186"/>
        <v>44562</v>
      </c>
      <c r="E5484" s="311">
        <f t="shared" si="187"/>
        <v>44562</v>
      </c>
      <c r="F5484" s="481"/>
      <c r="G5484" s="174" t="s">
        <v>94</v>
      </c>
      <c r="H5484" s="174" t="str" cm="1">
        <f t="array" ref="H5484">IFERROR(INDEX(INVESTOR_LIST[INVESTOR NAME],MATCH(I5484,INVESTOR_LIST[INVESTOR CODE],0),)," ")</f>
        <v>FATEMA-TUZ JOHURA NILA</v>
      </c>
      <c r="I5484" s="148" t="s">
        <v>682</v>
      </c>
      <c r="J5484" s="312" t="s">
        <v>53</v>
      </c>
      <c r="K5484" s="218"/>
      <c r="L5484" s="218">
        <v>7081.4400000000023</v>
      </c>
    </row>
    <row r="5485" spans="1:12" ht="45" x14ac:dyDescent="0.2">
      <c r="A5485" s="163">
        <v>2022</v>
      </c>
      <c r="B5485" s="163">
        <v>1</v>
      </c>
      <c r="C5485" s="163">
        <v>1</v>
      </c>
      <c r="D5485" s="144">
        <f t="shared" si="186"/>
        <v>44562</v>
      </c>
      <c r="E5485" s="313">
        <f t="shared" si="187"/>
        <v>44562</v>
      </c>
      <c r="F5485" s="480"/>
      <c r="G5485" s="221" t="s">
        <v>94</v>
      </c>
      <c r="H5485" s="221" t="str" cm="1">
        <f t="array" ref="H5485">IFERROR(INDEX(INVESTOR_LIST[INVESTOR NAME],MATCH(I5485,INVESTOR_LIST[INVESTOR CODE],0),)," ")</f>
        <v>FATEMA-TUZ JOHURA NILA</v>
      </c>
      <c r="I5485" s="145" t="s">
        <v>682</v>
      </c>
      <c r="J5485" s="314" t="s">
        <v>534</v>
      </c>
      <c r="K5485" s="219"/>
      <c r="L5485" s="219">
        <v>2514.96</v>
      </c>
    </row>
    <row r="5486" spans="1:12" ht="67.5" x14ac:dyDescent="0.2">
      <c r="A5486" s="168">
        <v>2022</v>
      </c>
      <c r="B5486" s="168">
        <v>1</v>
      </c>
      <c r="C5486" s="168">
        <v>1</v>
      </c>
      <c r="D5486" s="141">
        <f t="shared" si="174"/>
        <v>44562</v>
      </c>
      <c r="E5486" s="275">
        <f t="shared" si="175"/>
        <v>44562</v>
      </c>
      <c r="F5486" s="479" t="s">
        <v>966</v>
      </c>
      <c r="G5486" s="220" t="s">
        <v>94</v>
      </c>
      <c r="H5486" s="220" t="str" cm="1">
        <f t="array" ref="H5486">IFERROR(INDEX(INVESTOR_LIST[INVESTOR NAME],MATCH(I5486,INVESTOR_LIST[INVESTOR CODE],0),)," ")</f>
        <v>SECURE LINK SERVICES BANGLADESH LIMITED</v>
      </c>
      <c r="I5486" s="142" t="s">
        <v>703</v>
      </c>
      <c r="J5486" s="310" t="s">
        <v>358</v>
      </c>
      <c r="K5486" s="226">
        <v>975000</v>
      </c>
      <c r="L5486" s="226" t="s">
        <v>348</v>
      </c>
    </row>
    <row r="5487" spans="1:12" ht="67.5" x14ac:dyDescent="0.2">
      <c r="A5487" s="133">
        <v>2022</v>
      </c>
      <c r="B5487" s="133">
        <v>1</v>
      </c>
      <c r="C5487" s="133">
        <v>1</v>
      </c>
      <c r="D5487" s="147">
        <f t="shared" si="174"/>
        <v>44562</v>
      </c>
      <c r="E5487" s="311">
        <f t="shared" si="175"/>
        <v>44562</v>
      </c>
      <c r="F5487" s="481"/>
      <c r="G5487" s="174" t="s">
        <v>94</v>
      </c>
      <c r="H5487" s="174" t="str" cm="1">
        <f t="array" ref="H5487">IFERROR(INDEX(INVESTOR_LIST[INVESTOR NAME],MATCH(I5487,INVESTOR_LIST[INVESTOR CODE],0),)," ")</f>
        <v>SECURE LINK SERVICES BANGLADESH LIMITED</v>
      </c>
      <c r="I5487" s="148" t="s">
        <v>703</v>
      </c>
      <c r="J5487" s="312" t="s">
        <v>13</v>
      </c>
      <c r="K5487" s="218" t="s">
        <v>348</v>
      </c>
      <c r="L5487" s="218">
        <v>799180</v>
      </c>
    </row>
    <row r="5488" spans="1:12" ht="67.5" x14ac:dyDescent="0.2">
      <c r="A5488" s="133">
        <v>2022</v>
      </c>
      <c r="B5488" s="133">
        <v>1</v>
      </c>
      <c r="C5488" s="133">
        <v>1</v>
      </c>
      <c r="D5488" s="147">
        <f t="shared" si="174"/>
        <v>44562</v>
      </c>
      <c r="E5488" s="311">
        <f t="shared" si="175"/>
        <v>44562</v>
      </c>
      <c r="F5488" s="481"/>
      <c r="G5488" s="174" t="s">
        <v>94</v>
      </c>
      <c r="H5488" s="174" t="str" cm="1">
        <f t="array" ref="H5488">IFERROR(INDEX(INVESTOR_LIST[INVESTOR NAME],MATCH(I5488,INVESTOR_LIST[INVESTOR CODE],0),)," ")</f>
        <v>SECURE LINK SERVICES BANGLADESH LIMITED</v>
      </c>
      <c r="I5488" s="148" t="s">
        <v>703</v>
      </c>
      <c r="J5488" s="312" t="s">
        <v>53</v>
      </c>
      <c r="K5488" s="218" t="s">
        <v>348</v>
      </c>
      <c r="L5488" s="218">
        <v>175820</v>
      </c>
    </row>
    <row r="5489" spans="1:12" ht="45" x14ac:dyDescent="0.2">
      <c r="A5489" s="168">
        <v>2022</v>
      </c>
      <c r="B5489" s="168">
        <v>1</v>
      </c>
      <c r="C5489" s="168">
        <v>1</v>
      </c>
      <c r="D5489" s="141">
        <f t="shared" si="174"/>
        <v>44562</v>
      </c>
      <c r="E5489" s="275">
        <f t="shared" si="175"/>
        <v>44562</v>
      </c>
      <c r="F5489" s="479" t="s">
        <v>966</v>
      </c>
      <c r="G5489" s="220" t="s">
        <v>94</v>
      </c>
      <c r="H5489" s="220" t="str" cm="1">
        <f t="array" ref="H5489">IFERROR(INDEX(INVESTOR_LIST[INVESTOR NAME],MATCH(I5489,INVESTOR_LIST[INVESTOR CODE],0),)," ")</f>
        <v>QUAZI TOWFIQUE UDDIN</v>
      </c>
      <c r="I5489" s="142" t="s">
        <v>704</v>
      </c>
      <c r="J5489" s="310" t="s">
        <v>358</v>
      </c>
      <c r="K5489" s="226">
        <v>225747.6</v>
      </c>
      <c r="L5489" s="226" t="s">
        <v>348</v>
      </c>
    </row>
    <row r="5490" spans="1:12" ht="45" x14ac:dyDescent="0.2">
      <c r="A5490" s="133">
        <v>2022</v>
      </c>
      <c r="B5490" s="133">
        <v>1</v>
      </c>
      <c r="C5490" s="133">
        <v>1</v>
      </c>
      <c r="D5490" s="147">
        <f t="shared" si="174"/>
        <v>44562</v>
      </c>
      <c r="E5490" s="311">
        <f t="shared" si="175"/>
        <v>44562</v>
      </c>
      <c r="F5490" s="481"/>
      <c r="G5490" s="174" t="s">
        <v>94</v>
      </c>
      <c r="H5490" s="174" t="str" cm="1">
        <f t="array" ref="H5490">IFERROR(INDEX(INVESTOR_LIST[INVESTOR NAME],MATCH(I5490,INVESTOR_LIST[INVESTOR CODE],0),)," ")</f>
        <v>QUAZI TOWFIQUE UDDIN</v>
      </c>
      <c r="I5490" s="148" t="s">
        <v>704</v>
      </c>
      <c r="J5490" s="312" t="s">
        <v>13</v>
      </c>
      <c r="K5490" s="218" t="s">
        <v>348</v>
      </c>
      <c r="L5490" s="218">
        <v>168580</v>
      </c>
    </row>
    <row r="5491" spans="1:12" ht="45" x14ac:dyDescent="0.2">
      <c r="A5491" s="133">
        <v>2022</v>
      </c>
      <c r="B5491" s="133">
        <v>1</v>
      </c>
      <c r="C5491" s="133">
        <v>1</v>
      </c>
      <c r="D5491" s="147">
        <f t="shared" ref="D5491:D5531" si="188">DATE(A5491,B5491,C5491)</f>
        <v>44562</v>
      </c>
      <c r="E5491" s="311">
        <f t="shared" ref="E5491:E5531" si="189">DATE(A5491,B5491,C5491)</f>
        <v>44562</v>
      </c>
      <c r="F5491" s="481"/>
      <c r="G5491" s="174" t="s">
        <v>94</v>
      </c>
      <c r="H5491" s="174" t="str" cm="1">
        <f t="array" ref="H5491">IFERROR(INDEX(INVESTOR_LIST[INVESTOR NAME],MATCH(I5491,INVESTOR_LIST[INVESTOR CODE],0),)," ")</f>
        <v>QUAZI TOWFIQUE UDDIN</v>
      </c>
      <c r="I5491" s="148" t="s">
        <v>704</v>
      </c>
      <c r="J5491" s="312" t="s">
        <v>53</v>
      </c>
      <c r="K5491" s="218" t="s">
        <v>348</v>
      </c>
      <c r="L5491" s="218">
        <v>37092.839999999997</v>
      </c>
    </row>
    <row r="5492" spans="1:12" ht="45" x14ac:dyDescent="0.2">
      <c r="A5492" s="163">
        <v>2022</v>
      </c>
      <c r="B5492" s="163">
        <v>1</v>
      </c>
      <c r="C5492" s="163">
        <v>1</v>
      </c>
      <c r="D5492" s="144">
        <f t="shared" si="188"/>
        <v>44562</v>
      </c>
      <c r="E5492" s="313">
        <f t="shared" si="189"/>
        <v>44562</v>
      </c>
      <c r="F5492" s="480"/>
      <c r="G5492" s="221" t="s">
        <v>94</v>
      </c>
      <c r="H5492" s="221" t="str" cm="1">
        <f t="array" ref="H5492">IFERROR(INDEX(INVESTOR_LIST[INVESTOR NAME],MATCH(I5492,INVESTOR_LIST[INVESTOR CODE],0),)," ")</f>
        <v>QUAZI TOWFIQUE UDDIN</v>
      </c>
      <c r="I5492" s="145" t="s">
        <v>704</v>
      </c>
      <c r="J5492" s="314" t="s">
        <v>534</v>
      </c>
      <c r="K5492" s="219" t="s">
        <v>348</v>
      </c>
      <c r="L5492" s="219">
        <v>20074.760000000002</v>
      </c>
    </row>
    <row r="5493" spans="1:12" ht="33.75" x14ac:dyDescent="0.2">
      <c r="A5493" s="168">
        <v>2022</v>
      </c>
      <c r="B5493" s="168">
        <v>1</v>
      </c>
      <c r="C5493" s="168">
        <v>1</v>
      </c>
      <c r="D5493" s="141">
        <f t="shared" si="188"/>
        <v>44562</v>
      </c>
      <c r="E5493" s="275">
        <f t="shared" si="189"/>
        <v>44562</v>
      </c>
      <c r="F5493" s="479" t="s">
        <v>966</v>
      </c>
      <c r="G5493" s="220" t="s">
        <v>94</v>
      </c>
      <c r="H5493" s="220" t="str" cm="1">
        <f t="array" ref="H5493">IFERROR(INDEX(INVESTOR_LIST[INVESTOR NAME],MATCH(I5493,INVESTOR_LIST[INVESTOR CODE],0),)," ")</f>
        <v>MD. FERDAUS WAHID</v>
      </c>
      <c r="I5493" s="142" t="s">
        <v>706</v>
      </c>
      <c r="J5493" s="310" t="s">
        <v>358</v>
      </c>
      <c r="K5493" s="226">
        <v>2600</v>
      </c>
      <c r="L5493" s="226"/>
    </row>
    <row r="5494" spans="1:12" ht="33.75" x14ac:dyDescent="0.2">
      <c r="A5494" s="133">
        <v>2022</v>
      </c>
      <c r="B5494" s="133">
        <v>1</v>
      </c>
      <c r="C5494" s="133">
        <v>1</v>
      </c>
      <c r="D5494" s="147">
        <f t="shared" si="188"/>
        <v>44562</v>
      </c>
      <c r="E5494" s="311">
        <f t="shared" si="189"/>
        <v>44562</v>
      </c>
      <c r="F5494" s="481"/>
      <c r="G5494" s="174" t="s">
        <v>94</v>
      </c>
      <c r="H5494" s="174" t="str" cm="1">
        <f t="array" ref="H5494">IFERROR(INDEX(INVESTOR_LIST[INVESTOR NAME],MATCH(I5494,INVESTOR_LIST[INVESTOR CODE],0),)," ")</f>
        <v>MD. FERDAUS WAHID</v>
      </c>
      <c r="I5494" s="148" t="s">
        <v>706</v>
      </c>
      <c r="J5494" s="312" t="s">
        <v>13</v>
      </c>
      <c r="K5494" s="218"/>
      <c r="L5494" s="218">
        <v>2130</v>
      </c>
    </row>
    <row r="5495" spans="1:12" ht="33.75" x14ac:dyDescent="0.2">
      <c r="A5495" s="133">
        <v>2022</v>
      </c>
      <c r="B5495" s="133">
        <v>1</v>
      </c>
      <c r="C5495" s="133">
        <v>1</v>
      </c>
      <c r="D5495" s="147">
        <f t="shared" si="188"/>
        <v>44562</v>
      </c>
      <c r="E5495" s="311">
        <f t="shared" si="189"/>
        <v>44562</v>
      </c>
      <c r="F5495" s="481"/>
      <c r="G5495" s="174" t="s">
        <v>94</v>
      </c>
      <c r="H5495" s="174" t="str" cm="1">
        <f t="array" ref="H5495">IFERROR(INDEX(INVESTOR_LIST[INVESTOR NAME],MATCH(I5495,INVESTOR_LIST[INVESTOR CODE],0),)," ")</f>
        <v>MD. FERDAUS WAHID</v>
      </c>
      <c r="I5495" s="148" t="s">
        <v>706</v>
      </c>
      <c r="J5495" s="312" t="s">
        <v>53</v>
      </c>
      <c r="K5495" s="218"/>
      <c r="L5495" s="218">
        <v>470</v>
      </c>
    </row>
    <row r="5496" spans="1:12" ht="67.5" x14ac:dyDescent="0.2">
      <c r="A5496" s="168">
        <v>2022</v>
      </c>
      <c r="B5496" s="168">
        <v>1</v>
      </c>
      <c r="C5496" s="168">
        <v>1</v>
      </c>
      <c r="D5496" s="141">
        <f t="shared" si="188"/>
        <v>44562</v>
      </c>
      <c r="E5496" s="275">
        <f t="shared" si="189"/>
        <v>44562</v>
      </c>
      <c r="F5496" s="479" t="s">
        <v>966</v>
      </c>
      <c r="G5496" s="220" t="s">
        <v>94</v>
      </c>
      <c r="H5496" s="220" t="str" cm="1">
        <f t="array" ref="H5496">IFERROR(INDEX(INVESTOR_LIST[INVESTOR NAME],MATCH(I5496,INVESTOR_LIST[INVESTOR CODE],0),)," ")</f>
        <v>ABACI INVESTMENTS LTD. EC PROVIDENT FUND</v>
      </c>
      <c r="I5496" s="142" t="s">
        <v>728</v>
      </c>
      <c r="J5496" s="310" t="s">
        <v>358</v>
      </c>
      <c r="K5496" s="226">
        <v>193723.4</v>
      </c>
      <c r="L5496" s="226" t="s">
        <v>348</v>
      </c>
    </row>
    <row r="5497" spans="1:12" ht="67.5" x14ac:dyDescent="0.2">
      <c r="A5497" s="133">
        <v>2022</v>
      </c>
      <c r="B5497" s="133">
        <v>1</v>
      </c>
      <c r="C5497" s="133">
        <v>1</v>
      </c>
      <c r="D5497" s="147">
        <f t="shared" si="188"/>
        <v>44562</v>
      </c>
      <c r="E5497" s="311">
        <f t="shared" si="189"/>
        <v>44562</v>
      </c>
      <c r="F5497" s="481"/>
      <c r="G5497" s="174" t="s">
        <v>94</v>
      </c>
      <c r="H5497" s="174" t="str" cm="1">
        <f t="array" ref="H5497">IFERROR(INDEX(INVESTOR_LIST[INVESTOR NAME],MATCH(I5497,INVESTOR_LIST[INVESTOR CODE],0),)," ")</f>
        <v>ABACI INVESTMENTS LTD. EC PROVIDENT FUND</v>
      </c>
      <c r="I5497" s="148" t="s">
        <v>728</v>
      </c>
      <c r="J5497" s="312" t="s">
        <v>13</v>
      </c>
      <c r="K5497" s="218" t="s">
        <v>348</v>
      </c>
      <c r="L5497" s="218">
        <v>151870</v>
      </c>
    </row>
    <row r="5498" spans="1:12" ht="67.5" x14ac:dyDescent="0.2">
      <c r="A5498" s="133">
        <v>2022</v>
      </c>
      <c r="B5498" s="133">
        <v>1</v>
      </c>
      <c r="C5498" s="133">
        <v>1</v>
      </c>
      <c r="D5498" s="147">
        <f t="shared" si="188"/>
        <v>44562</v>
      </c>
      <c r="E5498" s="311">
        <f t="shared" si="189"/>
        <v>44562</v>
      </c>
      <c r="F5498" s="481"/>
      <c r="G5498" s="174" t="s">
        <v>94</v>
      </c>
      <c r="H5498" s="174" t="str" cm="1">
        <f t="array" ref="H5498">IFERROR(INDEX(INVESTOR_LIST[INVESTOR NAME],MATCH(I5498,INVESTOR_LIST[INVESTOR CODE],0),)," ")</f>
        <v>ABACI INVESTMENTS LTD. EC PROVIDENT FUND</v>
      </c>
      <c r="I5498" s="148" t="s">
        <v>728</v>
      </c>
      <c r="J5498" s="312" t="s">
        <v>53</v>
      </c>
      <c r="K5498" s="218" t="s">
        <v>348</v>
      </c>
      <c r="L5498" s="218">
        <v>33417.229999999981</v>
      </c>
    </row>
    <row r="5499" spans="1:12" ht="67.5" x14ac:dyDescent="0.2">
      <c r="A5499" s="163">
        <v>2022</v>
      </c>
      <c r="B5499" s="163">
        <v>1</v>
      </c>
      <c r="C5499" s="163">
        <v>1</v>
      </c>
      <c r="D5499" s="144">
        <f t="shared" si="188"/>
        <v>44562</v>
      </c>
      <c r="E5499" s="313">
        <f t="shared" si="189"/>
        <v>44562</v>
      </c>
      <c r="F5499" s="480"/>
      <c r="G5499" s="221" t="s">
        <v>94</v>
      </c>
      <c r="H5499" s="221" t="str" cm="1">
        <f t="array" ref="H5499">IFERROR(INDEX(INVESTOR_LIST[INVESTOR NAME],MATCH(I5499,INVESTOR_LIST[INVESTOR CODE],0),)," ")</f>
        <v>ABACI INVESTMENTS LTD. EC PROVIDENT FUND</v>
      </c>
      <c r="I5499" s="145" t="s">
        <v>728</v>
      </c>
      <c r="J5499" s="314" t="s">
        <v>534</v>
      </c>
      <c r="K5499" s="219" t="s">
        <v>348</v>
      </c>
      <c r="L5499" s="219">
        <v>8436.17</v>
      </c>
    </row>
    <row r="5500" spans="1:12" ht="33.75" x14ac:dyDescent="0.2">
      <c r="A5500" s="168">
        <v>2022</v>
      </c>
      <c r="B5500" s="168">
        <v>1</v>
      </c>
      <c r="C5500" s="168">
        <v>1</v>
      </c>
      <c r="D5500" s="141">
        <f t="shared" si="188"/>
        <v>44562</v>
      </c>
      <c r="E5500" s="275">
        <f t="shared" si="189"/>
        <v>44562</v>
      </c>
      <c r="F5500" s="479" t="s">
        <v>966</v>
      </c>
      <c r="G5500" s="220" t="s">
        <v>94</v>
      </c>
      <c r="H5500" s="220" t="str" cm="1">
        <f t="array" ref="H5500">IFERROR(INDEX(INVESTOR_LIST[INVESTOR NAME],MATCH(I5500,INVESTOR_LIST[INVESTOR CODE],0),)," ")</f>
        <v>MD. ATIQUR RAHMAN</v>
      </c>
      <c r="I5500" s="142" t="s">
        <v>755</v>
      </c>
      <c r="J5500" s="310" t="s">
        <v>358</v>
      </c>
      <c r="K5500" s="226">
        <v>78314.600000000006</v>
      </c>
      <c r="L5500" s="226" t="s">
        <v>348</v>
      </c>
    </row>
    <row r="5501" spans="1:12" ht="33.75" x14ac:dyDescent="0.2">
      <c r="A5501" s="133">
        <v>2022</v>
      </c>
      <c r="B5501" s="133">
        <v>1</v>
      </c>
      <c r="C5501" s="133">
        <v>1</v>
      </c>
      <c r="D5501" s="147">
        <f t="shared" si="188"/>
        <v>44562</v>
      </c>
      <c r="E5501" s="311">
        <f t="shared" si="189"/>
        <v>44562</v>
      </c>
      <c r="F5501" s="481"/>
      <c r="G5501" s="174" t="s">
        <v>94</v>
      </c>
      <c r="H5501" s="174" t="str" cm="1">
        <f t="array" ref="H5501">IFERROR(INDEX(INVESTOR_LIST[INVESTOR NAME],MATCH(I5501,INVESTOR_LIST[INVESTOR CODE],0),)," ")</f>
        <v>MD. ATIQUR RAHMAN</v>
      </c>
      <c r="I5501" s="148" t="s">
        <v>755</v>
      </c>
      <c r="J5501" s="312" t="s">
        <v>13</v>
      </c>
      <c r="K5501" s="218" t="s">
        <v>348</v>
      </c>
      <c r="L5501" s="218">
        <v>59820</v>
      </c>
    </row>
    <row r="5502" spans="1:12" ht="33.75" x14ac:dyDescent="0.2">
      <c r="A5502" s="133">
        <v>2022</v>
      </c>
      <c r="B5502" s="133">
        <v>1</v>
      </c>
      <c r="C5502" s="133">
        <v>1</v>
      </c>
      <c r="D5502" s="147">
        <f t="shared" si="188"/>
        <v>44562</v>
      </c>
      <c r="E5502" s="311">
        <f t="shared" si="189"/>
        <v>44562</v>
      </c>
      <c r="F5502" s="481"/>
      <c r="G5502" s="174" t="s">
        <v>94</v>
      </c>
      <c r="H5502" s="174" t="str" cm="1">
        <f t="array" ref="H5502">IFERROR(INDEX(INVESTOR_LIST[INVESTOR NAME],MATCH(I5502,INVESTOR_LIST[INVESTOR CODE],0),)," ")</f>
        <v>MD. ATIQUR RAHMAN</v>
      </c>
      <c r="I5502" s="148" t="s">
        <v>755</v>
      </c>
      <c r="J5502" s="312" t="s">
        <v>53</v>
      </c>
      <c r="K5502" s="218" t="s">
        <v>348</v>
      </c>
      <c r="L5502" s="218">
        <v>13163.14</v>
      </c>
    </row>
    <row r="5503" spans="1:12" ht="33.75" x14ac:dyDescent="0.2">
      <c r="A5503" s="163">
        <v>2022</v>
      </c>
      <c r="B5503" s="163">
        <v>1</v>
      </c>
      <c r="C5503" s="163">
        <v>1</v>
      </c>
      <c r="D5503" s="144">
        <f t="shared" si="188"/>
        <v>44562</v>
      </c>
      <c r="E5503" s="313">
        <f t="shared" si="189"/>
        <v>44562</v>
      </c>
      <c r="F5503" s="480"/>
      <c r="G5503" s="221" t="s">
        <v>94</v>
      </c>
      <c r="H5503" s="221" t="str" cm="1">
        <f t="array" ref="H5503">IFERROR(INDEX(INVESTOR_LIST[INVESTOR NAME],MATCH(I5503,INVESTOR_LIST[INVESTOR CODE],0),)," ")</f>
        <v>MD. ATIQUR RAHMAN</v>
      </c>
      <c r="I5503" s="145" t="s">
        <v>755</v>
      </c>
      <c r="J5503" s="314" t="s">
        <v>534</v>
      </c>
      <c r="K5503" s="219" t="s">
        <v>348</v>
      </c>
      <c r="L5503" s="219">
        <v>5331.4600000000009</v>
      </c>
    </row>
    <row r="5504" spans="1:12" ht="45" x14ac:dyDescent="0.2">
      <c r="A5504" s="168">
        <v>2022</v>
      </c>
      <c r="B5504" s="168">
        <v>1</v>
      </c>
      <c r="C5504" s="168">
        <v>1</v>
      </c>
      <c r="D5504" s="141">
        <f t="shared" ref="D5504:D5507" si="190">DATE(A5504,B5504,C5504)</f>
        <v>44562</v>
      </c>
      <c r="E5504" s="275">
        <f t="shared" ref="E5504:E5507" si="191">DATE(A5504,B5504,C5504)</f>
        <v>44562</v>
      </c>
      <c r="F5504" s="479" t="s">
        <v>966</v>
      </c>
      <c r="G5504" s="220" t="s">
        <v>94</v>
      </c>
      <c r="H5504" s="220" t="str" cm="1">
        <f t="array" ref="H5504">IFERROR(INDEX(INVESTOR_LIST[INVESTOR NAME],MATCH(I5504,INVESTOR_LIST[INVESTOR CODE],0),)," ")</f>
        <v>A S SALAHUDDIN AHMED</v>
      </c>
      <c r="I5504" s="142" t="s">
        <v>779</v>
      </c>
      <c r="J5504" s="310" t="s">
        <v>358</v>
      </c>
      <c r="K5504" s="226">
        <v>97377.8</v>
      </c>
      <c r="L5504" s="226" t="s">
        <v>348</v>
      </c>
    </row>
    <row r="5505" spans="1:13" ht="45" x14ac:dyDescent="0.2">
      <c r="A5505" s="133">
        <v>2022</v>
      </c>
      <c r="B5505" s="133">
        <v>1</v>
      </c>
      <c r="C5505" s="133">
        <v>1</v>
      </c>
      <c r="D5505" s="147">
        <f t="shared" si="190"/>
        <v>44562</v>
      </c>
      <c r="E5505" s="311">
        <f t="shared" si="191"/>
        <v>44562</v>
      </c>
      <c r="F5505" s="481"/>
      <c r="G5505" s="174" t="s">
        <v>94</v>
      </c>
      <c r="H5505" s="174" t="str" cm="1">
        <f t="array" ref="H5505">IFERROR(INDEX(INVESTOR_LIST[INVESTOR NAME],MATCH(I5505,INVESTOR_LIST[INVESTOR CODE],0),)," ")</f>
        <v>A S SALAHUDDIN AHMED</v>
      </c>
      <c r="I5505" s="148" t="s">
        <v>779</v>
      </c>
      <c r="J5505" s="312" t="s">
        <v>13</v>
      </c>
      <c r="K5505" s="218" t="s">
        <v>348</v>
      </c>
      <c r="L5505" s="218">
        <v>70920</v>
      </c>
    </row>
    <row r="5506" spans="1:13" ht="45" x14ac:dyDescent="0.2">
      <c r="A5506" s="133">
        <v>2022</v>
      </c>
      <c r="B5506" s="133">
        <v>1</v>
      </c>
      <c r="C5506" s="133">
        <v>1</v>
      </c>
      <c r="D5506" s="147">
        <f t="shared" si="190"/>
        <v>44562</v>
      </c>
      <c r="E5506" s="311">
        <f t="shared" si="191"/>
        <v>44562</v>
      </c>
      <c r="F5506" s="481"/>
      <c r="G5506" s="174" t="s">
        <v>94</v>
      </c>
      <c r="H5506" s="174" t="str" cm="1">
        <f t="array" ref="H5506">IFERROR(INDEX(INVESTOR_LIST[INVESTOR NAME],MATCH(I5506,INVESTOR_LIST[INVESTOR CODE],0),)," ")</f>
        <v>A S SALAHUDDIN AHMED</v>
      </c>
      <c r="I5506" s="148" t="s">
        <v>779</v>
      </c>
      <c r="J5506" s="312" t="s">
        <v>53</v>
      </c>
      <c r="K5506" s="218" t="s">
        <v>348</v>
      </c>
      <c r="L5506" s="218">
        <v>15601.130000000005</v>
      </c>
    </row>
    <row r="5507" spans="1:13" ht="45" x14ac:dyDescent="0.2">
      <c r="A5507" s="163">
        <v>2022</v>
      </c>
      <c r="B5507" s="163">
        <v>1</v>
      </c>
      <c r="C5507" s="163">
        <v>1</v>
      </c>
      <c r="D5507" s="144">
        <f t="shared" si="190"/>
        <v>44562</v>
      </c>
      <c r="E5507" s="313">
        <f t="shared" si="191"/>
        <v>44562</v>
      </c>
      <c r="F5507" s="480"/>
      <c r="G5507" s="221" t="s">
        <v>94</v>
      </c>
      <c r="H5507" s="221" t="str" cm="1">
        <f t="array" ref="H5507">IFERROR(INDEX(INVESTOR_LIST[INVESTOR NAME],MATCH(I5507,INVESTOR_LIST[INVESTOR CODE],0),)," ")</f>
        <v>A S SALAHUDDIN AHMED</v>
      </c>
      <c r="I5507" s="145" t="s">
        <v>779</v>
      </c>
      <c r="J5507" s="314" t="s">
        <v>534</v>
      </c>
      <c r="K5507" s="219" t="s">
        <v>348</v>
      </c>
      <c r="L5507" s="219">
        <v>10856.67</v>
      </c>
    </row>
    <row r="5508" spans="1:13" ht="33.75" x14ac:dyDescent="0.2">
      <c r="A5508" s="168">
        <v>2022</v>
      </c>
      <c r="B5508" s="168">
        <v>1</v>
      </c>
      <c r="C5508" s="168">
        <v>1</v>
      </c>
      <c r="D5508" s="141">
        <f t="shared" si="188"/>
        <v>44562</v>
      </c>
      <c r="E5508" s="275">
        <f t="shared" si="189"/>
        <v>44562</v>
      </c>
      <c r="F5508" s="479" t="s">
        <v>966</v>
      </c>
      <c r="G5508" s="220" t="s">
        <v>94</v>
      </c>
      <c r="H5508" s="220" t="str" cm="1">
        <f t="array" ref="H5508">IFERROR(INDEX(INVESTOR_LIST[INVESTOR NAME],MATCH(I5508,INVESTOR_LIST[INVESTOR CODE],0),)," ")</f>
        <v>MD. MARUF SIKDER</v>
      </c>
      <c r="I5508" s="142" t="s">
        <v>807</v>
      </c>
      <c r="J5508" s="310" t="s">
        <v>358</v>
      </c>
      <c r="K5508" s="226">
        <v>5397.6</v>
      </c>
      <c r="L5508" s="226" t="s">
        <v>348</v>
      </c>
    </row>
    <row r="5509" spans="1:13" ht="33.75" x14ac:dyDescent="0.2">
      <c r="A5509" s="133">
        <v>2022</v>
      </c>
      <c r="B5509" s="133">
        <v>1</v>
      </c>
      <c r="C5509" s="133">
        <v>1</v>
      </c>
      <c r="D5509" s="147">
        <f t="shared" si="188"/>
        <v>44562</v>
      </c>
      <c r="E5509" s="311">
        <f t="shared" si="189"/>
        <v>44562</v>
      </c>
      <c r="F5509" s="481"/>
      <c r="G5509" s="174" t="s">
        <v>94</v>
      </c>
      <c r="H5509" s="174" t="str" cm="1">
        <f t="array" ref="H5509">IFERROR(INDEX(INVESTOR_LIST[INVESTOR NAME],MATCH(I5509,INVESTOR_LIST[INVESTOR CODE],0),)," ")</f>
        <v>MD. MARUF SIKDER</v>
      </c>
      <c r="I5509" s="148" t="s">
        <v>807</v>
      </c>
      <c r="J5509" s="312" t="s">
        <v>13</v>
      </c>
      <c r="K5509" s="218" t="s">
        <v>348</v>
      </c>
      <c r="L5509" s="218">
        <v>4420</v>
      </c>
    </row>
    <row r="5510" spans="1:13" ht="33.75" x14ac:dyDescent="0.2">
      <c r="A5510" s="133">
        <v>2022</v>
      </c>
      <c r="B5510" s="133">
        <v>1</v>
      </c>
      <c r="C5510" s="133">
        <v>1</v>
      </c>
      <c r="D5510" s="147">
        <f t="shared" si="188"/>
        <v>44562</v>
      </c>
      <c r="E5510" s="311">
        <f t="shared" si="189"/>
        <v>44562</v>
      </c>
      <c r="F5510" s="481"/>
      <c r="G5510" s="174" t="s">
        <v>94</v>
      </c>
      <c r="H5510" s="174" t="str" cm="1">
        <f t="array" ref="H5510">IFERROR(INDEX(INVESTOR_LIST[INVESTOR NAME],MATCH(I5510,INVESTOR_LIST[INVESTOR CODE],0),)," ")</f>
        <v>MD. MARUF SIKDER</v>
      </c>
      <c r="I5510" s="148" t="s">
        <v>807</v>
      </c>
      <c r="J5510" s="312" t="s">
        <v>53</v>
      </c>
      <c r="K5510" s="218" t="s">
        <v>348</v>
      </c>
      <c r="L5510" s="218">
        <v>977.60000000000036</v>
      </c>
    </row>
    <row r="5511" spans="1:13" ht="33.75" x14ac:dyDescent="0.2">
      <c r="A5511" s="168">
        <v>2022</v>
      </c>
      <c r="B5511" s="168">
        <v>1</v>
      </c>
      <c r="C5511" s="168">
        <v>1</v>
      </c>
      <c r="D5511" s="141">
        <f t="shared" si="188"/>
        <v>44562</v>
      </c>
      <c r="E5511" s="275">
        <f t="shared" si="189"/>
        <v>44562</v>
      </c>
      <c r="F5511" s="479" t="s">
        <v>966</v>
      </c>
      <c r="G5511" s="220" t="s">
        <v>94</v>
      </c>
      <c r="H5511" s="220" t="str" cm="1">
        <f t="array" ref="H5511">IFERROR(INDEX(INVESTOR_LIST[INVESTOR NAME],MATCH(I5511,INVESTOR_LIST[INVESTOR CODE],0),)," ")</f>
        <v>SK. MOINUL HASSAN</v>
      </c>
      <c r="I5511" s="142" t="s">
        <v>815</v>
      </c>
      <c r="J5511" s="310" t="s">
        <v>358</v>
      </c>
      <c r="K5511" s="226">
        <v>96366.399999999994</v>
      </c>
      <c r="L5511" s="226" t="s">
        <v>348</v>
      </c>
    </row>
    <row r="5512" spans="1:13" ht="33.75" x14ac:dyDescent="0.2">
      <c r="A5512" s="133">
        <v>2022</v>
      </c>
      <c r="B5512" s="133">
        <v>1</v>
      </c>
      <c r="C5512" s="133">
        <v>1</v>
      </c>
      <c r="D5512" s="147">
        <f t="shared" si="188"/>
        <v>44562</v>
      </c>
      <c r="E5512" s="311">
        <f t="shared" si="189"/>
        <v>44562</v>
      </c>
      <c r="F5512" s="481"/>
      <c r="G5512" s="174" t="s">
        <v>94</v>
      </c>
      <c r="H5512" s="174" t="str" cm="1">
        <f t="array" ref="H5512">IFERROR(INDEX(INVESTOR_LIST[INVESTOR NAME],MATCH(I5512,INVESTOR_LIST[INVESTOR CODE],0),)," ")</f>
        <v>SK. MOINUL HASSAN</v>
      </c>
      <c r="I5512" s="148" t="s">
        <v>815</v>
      </c>
      <c r="J5512" s="312" t="s">
        <v>13</v>
      </c>
      <c r="K5512" s="218" t="s">
        <v>348</v>
      </c>
      <c r="L5512" s="218">
        <v>73140</v>
      </c>
    </row>
    <row r="5513" spans="1:13" ht="33.75" x14ac:dyDescent="0.2">
      <c r="A5513" s="133">
        <v>2022</v>
      </c>
      <c r="B5513" s="133">
        <v>1</v>
      </c>
      <c r="C5513" s="133">
        <v>1</v>
      </c>
      <c r="D5513" s="147">
        <f t="shared" si="188"/>
        <v>44562</v>
      </c>
      <c r="E5513" s="311">
        <f t="shared" si="189"/>
        <v>44562</v>
      </c>
      <c r="F5513" s="481"/>
      <c r="G5513" s="174" t="s">
        <v>94</v>
      </c>
      <c r="H5513" s="174" t="str" cm="1">
        <f t="array" ref="H5513">IFERROR(INDEX(INVESTOR_LIST[INVESTOR NAME],MATCH(I5513,INVESTOR_LIST[INVESTOR CODE],0),)," ")</f>
        <v>SK. MOINUL HASSAN</v>
      </c>
      <c r="I5513" s="148" t="s">
        <v>815</v>
      </c>
      <c r="J5513" s="312" t="s">
        <v>53</v>
      </c>
      <c r="K5513" s="218" t="s">
        <v>348</v>
      </c>
      <c r="L5513" s="218">
        <v>16089.759999999995</v>
      </c>
    </row>
    <row r="5514" spans="1:13" ht="33.75" x14ac:dyDescent="0.2">
      <c r="A5514" s="163">
        <v>2022</v>
      </c>
      <c r="B5514" s="163">
        <v>1</v>
      </c>
      <c r="C5514" s="163">
        <v>1</v>
      </c>
      <c r="D5514" s="144">
        <f t="shared" si="188"/>
        <v>44562</v>
      </c>
      <c r="E5514" s="313">
        <f t="shared" si="189"/>
        <v>44562</v>
      </c>
      <c r="F5514" s="480"/>
      <c r="G5514" s="221" t="s">
        <v>94</v>
      </c>
      <c r="H5514" s="221" t="str" cm="1">
        <f t="array" ref="H5514">IFERROR(INDEX(INVESTOR_LIST[INVESTOR NAME],MATCH(I5514,INVESTOR_LIST[INVESTOR CODE],0),)," ")</f>
        <v>SK. MOINUL HASSAN</v>
      </c>
      <c r="I5514" s="145" t="s">
        <v>815</v>
      </c>
      <c r="J5514" s="314" t="s">
        <v>534</v>
      </c>
      <c r="K5514" s="219" t="s">
        <v>348</v>
      </c>
      <c r="L5514" s="219">
        <v>7136.6399999999994</v>
      </c>
      <c r="M5514" s="160"/>
    </row>
    <row r="5515" spans="1:13" ht="33.75" x14ac:dyDescent="0.2">
      <c r="A5515" s="168">
        <v>2022</v>
      </c>
      <c r="B5515" s="168">
        <v>1</v>
      </c>
      <c r="C5515" s="168">
        <v>1</v>
      </c>
      <c r="D5515" s="141">
        <f t="shared" si="188"/>
        <v>44562</v>
      </c>
      <c r="E5515" s="275">
        <f t="shared" si="189"/>
        <v>44562</v>
      </c>
      <c r="F5515" s="479" t="s">
        <v>966</v>
      </c>
      <c r="G5515" s="220" t="s">
        <v>94</v>
      </c>
      <c r="H5515" s="220" t="str" cm="1">
        <f t="array" ref="H5515">IFERROR(INDEX(INVESTOR_LIST[INVESTOR NAME],MATCH(I5515,INVESTOR_LIST[INVESTOR CODE],0),)," ")</f>
        <v>FARHAN SHAHRIAR DIPTO</v>
      </c>
      <c r="I5515" s="142" t="s">
        <v>822</v>
      </c>
      <c r="J5515" s="310" t="s">
        <v>358</v>
      </c>
      <c r="K5515" s="226">
        <v>9635.6</v>
      </c>
      <c r="L5515" s="226" t="s">
        <v>348</v>
      </c>
    </row>
    <row r="5516" spans="1:13" ht="33.75" x14ac:dyDescent="0.2">
      <c r="A5516" s="133">
        <v>2022</v>
      </c>
      <c r="B5516" s="133">
        <v>1</v>
      </c>
      <c r="C5516" s="133">
        <v>1</v>
      </c>
      <c r="D5516" s="147">
        <f t="shared" si="188"/>
        <v>44562</v>
      </c>
      <c r="E5516" s="311">
        <f t="shared" si="189"/>
        <v>44562</v>
      </c>
      <c r="F5516" s="481"/>
      <c r="G5516" s="174" t="s">
        <v>94</v>
      </c>
      <c r="H5516" s="174" t="str" cm="1">
        <f t="array" ref="H5516">IFERROR(INDEX(INVESTOR_LIST[INVESTOR NAME],MATCH(I5516,INVESTOR_LIST[INVESTOR CODE],0),)," ")</f>
        <v>FARHAN SHAHRIAR DIPTO</v>
      </c>
      <c r="I5516" s="148" t="s">
        <v>822</v>
      </c>
      <c r="J5516" s="312" t="s">
        <v>13</v>
      </c>
      <c r="K5516" s="218" t="s">
        <v>348</v>
      </c>
      <c r="L5516" s="218">
        <v>7900</v>
      </c>
    </row>
    <row r="5517" spans="1:13" ht="33.75" x14ac:dyDescent="0.2">
      <c r="A5517" s="133">
        <v>2022</v>
      </c>
      <c r="B5517" s="133">
        <v>1</v>
      </c>
      <c r="C5517" s="133">
        <v>1</v>
      </c>
      <c r="D5517" s="147">
        <f t="shared" si="188"/>
        <v>44562</v>
      </c>
      <c r="E5517" s="311">
        <f t="shared" si="189"/>
        <v>44562</v>
      </c>
      <c r="F5517" s="481"/>
      <c r="G5517" s="174" t="s">
        <v>94</v>
      </c>
      <c r="H5517" s="174" t="str" cm="1">
        <f t="array" ref="H5517">IFERROR(INDEX(INVESTOR_LIST[INVESTOR NAME],MATCH(I5517,INVESTOR_LIST[INVESTOR CODE],0),)," ")</f>
        <v>FARHAN SHAHRIAR DIPTO</v>
      </c>
      <c r="I5517" s="148" t="s">
        <v>822</v>
      </c>
      <c r="J5517" s="312" t="s">
        <v>53</v>
      </c>
      <c r="K5517" s="218" t="s">
        <v>348</v>
      </c>
      <c r="L5517" s="218">
        <v>1735.6000000000004</v>
      </c>
    </row>
    <row r="5518" spans="1:13" ht="22.5" x14ac:dyDescent="0.2">
      <c r="A5518" s="168">
        <v>2022</v>
      </c>
      <c r="B5518" s="168">
        <v>1</v>
      </c>
      <c r="C5518" s="168">
        <v>1</v>
      </c>
      <c r="D5518" s="141">
        <f t="shared" si="188"/>
        <v>44562</v>
      </c>
      <c r="E5518" s="275">
        <f t="shared" si="189"/>
        <v>44562</v>
      </c>
      <c r="F5518" s="479" t="s">
        <v>966</v>
      </c>
      <c r="G5518" s="220" t="s">
        <v>94</v>
      </c>
      <c r="H5518" s="220" t="str" cm="1">
        <f t="array" ref="H5518">IFERROR(INDEX(INVESTOR_LIST[INVESTOR NAME],MATCH(I5518,INVESTOR_LIST[INVESTOR CODE],0),)," ")</f>
        <v>ASRAFUZZAMAN</v>
      </c>
      <c r="I5518" s="142" t="s">
        <v>834</v>
      </c>
      <c r="J5518" s="310" t="s">
        <v>358</v>
      </c>
      <c r="K5518" s="226">
        <v>6297.2</v>
      </c>
      <c r="L5518" s="226" t="s">
        <v>348</v>
      </c>
    </row>
    <row r="5519" spans="1:13" ht="22.5" x14ac:dyDescent="0.2">
      <c r="A5519" s="133">
        <v>2022</v>
      </c>
      <c r="B5519" s="133">
        <v>1</v>
      </c>
      <c r="C5519" s="133">
        <v>1</v>
      </c>
      <c r="D5519" s="147">
        <f t="shared" si="188"/>
        <v>44562</v>
      </c>
      <c r="E5519" s="311">
        <f t="shared" si="189"/>
        <v>44562</v>
      </c>
      <c r="F5519" s="481"/>
      <c r="G5519" s="174" t="s">
        <v>94</v>
      </c>
      <c r="H5519" s="174" t="str" cm="1">
        <f t="array" ref="H5519">IFERROR(INDEX(INVESTOR_LIST[INVESTOR NAME],MATCH(I5519,INVESTOR_LIST[INVESTOR CODE],0),)," ")</f>
        <v>ASRAFUZZAMAN</v>
      </c>
      <c r="I5519" s="148" t="s">
        <v>834</v>
      </c>
      <c r="J5519" s="312" t="s">
        <v>13</v>
      </c>
      <c r="K5519" s="218" t="s">
        <v>348</v>
      </c>
      <c r="L5519" s="218">
        <v>5160</v>
      </c>
    </row>
    <row r="5520" spans="1:13" ht="22.5" x14ac:dyDescent="0.2">
      <c r="A5520" s="133">
        <v>2022</v>
      </c>
      <c r="B5520" s="133">
        <v>1</v>
      </c>
      <c r="C5520" s="133">
        <v>1</v>
      </c>
      <c r="D5520" s="147">
        <f t="shared" si="188"/>
        <v>44562</v>
      </c>
      <c r="E5520" s="311">
        <f t="shared" si="189"/>
        <v>44562</v>
      </c>
      <c r="F5520" s="481"/>
      <c r="G5520" s="174" t="s">
        <v>94</v>
      </c>
      <c r="H5520" s="174" t="str" cm="1">
        <f t="array" ref="H5520">IFERROR(INDEX(INVESTOR_LIST[INVESTOR NAME],MATCH(I5520,INVESTOR_LIST[INVESTOR CODE],0),)," ")</f>
        <v>ASRAFUZZAMAN</v>
      </c>
      <c r="I5520" s="148" t="s">
        <v>834</v>
      </c>
      <c r="J5520" s="312" t="s">
        <v>53</v>
      </c>
      <c r="K5520" s="218" t="s">
        <v>348</v>
      </c>
      <c r="L5520" s="218">
        <v>1137.1999999999998</v>
      </c>
    </row>
    <row r="5521" spans="1:17" ht="45" x14ac:dyDescent="0.2">
      <c r="A5521" s="168">
        <v>2022</v>
      </c>
      <c r="B5521" s="168">
        <v>1</v>
      </c>
      <c r="C5521" s="168">
        <v>1</v>
      </c>
      <c r="D5521" s="141">
        <f t="shared" si="188"/>
        <v>44562</v>
      </c>
      <c r="E5521" s="275">
        <f t="shared" si="189"/>
        <v>44562</v>
      </c>
      <c r="F5521" s="479" t="s">
        <v>966</v>
      </c>
      <c r="G5521" s="220" t="s">
        <v>94</v>
      </c>
      <c r="H5521" s="220" t="str" cm="1">
        <f t="array" ref="H5521">IFERROR(INDEX(INVESTOR_LIST[INVESTOR NAME],MATCH(I5521,INVESTOR_LIST[INVESTOR CODE],0),)," ")</f>
        <v>SUMAIYA CHOWDHURY RUPTY</v>
      </c>
      <c r="I5521" s="142" t="s">
        <v>853</v>
      </c>
      <c r="J5521" s="310" t="s">
        <v>358</v>
      </c>
      <c r="K5521" s="226">
        <v>43877.599999999999</v>
      </c>
      <c r="L5521" s="226" t="s">
        <v>348</v>
      </c>
    </row>
    <row r="5522" spans="1:17" ht="45" x14ac:dyDescent="0.2">
      <c r="A5522" s="133">
        <v>2022</v>
      </c>
      <c r="B5522" s="133">
        <v>1</v>
      </c>
      <c r="C5522" s="133">
        <v>1</v>
      </c>
      <c r="D5522" s="147">
        <f t="shared" si="188"/>
        <v>44562</v>
      </c>
      <c r="E5522" s="311">
        <f t="shared" si="189"/>
        <v>44562</v>
      </c>
      <c r="F5522" s="481"/>
      <c r="G5522" s="174" t="s">
        <v>94</v>
      </c>
      <c r="H5522" s="174" t="str" cm="1">
        <f t="array" ref="H5522">IFERROR(INDEX(INVESTOR_LIST[INVESTOR NAME],MATCH(I5522,INVESTOR_LIST[INVESTOR CODE],0),)," ")</f>
        <v>SUMAIYA CHOWDHURY RUPTY</v>
      </c>
      <c r="I5522" s="148" t="s">
        <v>853</v>
      </c>
      <c r="J5522" s="312" t="s">
        <v>13</v>
      </c>
      <c r="K5522" s="218" t="s">
        <v>348</v>
      </c>
      <c r="L5522" s="218">
        <v>34420</v>
      </c>
      <c r="M5522" s="160"/>
    </row>
    <row r="5523" spans="1:17" ht="45" x14ac:dyDescent="0.2">
      <c r="A5523" s="133">
        <v>2022</v>
      </c>
      <c r="B5523" s="133">
        <v>1</v>
      </c>
      <c r="C5523" s="133">
        <v>1</v>
      </c>
      <c r="D5523" s="147">
        <f t="shared" si="188"/>
        <v>44562</v>
      </c>
      <c r="E5523" s="311">
        <f t="shared" si="189"/>
        <v>44562</v>
      </c>
      <c r="F5523" s="481"/>
      <c r="G5523" s="174" t="s">
        <v>94</v>
      </c>
      <c r="H5523" s="174" t="str" cm="1">
        <f t="array" ref="H5523">IFERROR(INDEX(INVESTOR_LIST[INVESTOR NAME],MATCH(I5523,INVESTOR_LIST[INVESTOR CODE],0),)," ")</f>
        <v>SUMAIYA CHOWDHURY RUPTY</v>
      </c>
      <c r="I5523" s="148" t="s">
        <v>853</v>
      </c>
      <c r="J5523" s="312" t="s">
        <v>53</v>
      </c>
      <c r="K5523" s="218" t="s">
        <v>348</v>
      </c>
      <c r="L5523" s="218">
        <v>7569.8399999999965</v>
      </c>
    </row>
    <row r="5524" spans="1:17" ht="45" x14ac:dyDescent="0.2">
      <c r="A5524" s="163">
        <v>2022</v>
      </c>
      <c r="B5524" s="163">
        <v>1</v>
      </c>
      <c r="C5524" s="163">
        <v>1</v>
      </c>
      <c r="D5524" s="144">
        <f t="shared" si="188"/>
        <v>44562</v>
      </c>
      <c r="E5524" s="313">
        <f t="shared" si="189"/>
        <v>44562</v>
      </c>
      <c r="F5524" s="480"/>
      <c r="G5524" s="221" t="s">
        <v>94</v>
      </c>
      <c r="H5524" s="221" t="str" cm="1">
        <f t="array" ref="H5524">IFERROR(INDEX(INVESTOR_LIST[INVESTOR NAME],MATCH(I5524,INVESTOR_LIST[INVESTOR CODE],0),)," ")</f>
        <v>SUMAIYA CHOWDHURY RUPTY</v>
      </c>
      <c r="I5524" s="145" t="s">
        <v>853</v>
      </c>
      <c r="J5524" s="314" t="s">
        <v>534</v>
      </c>
      <c r="K5524" s="219" t="s">
        <v>348</v>
      </c>
      <c r="L5524" s="219">
        <v>1887.76</v>
      </c>
    </row>
    <row r="5525" spans="1:17" ht="33.75" x14ac:dyDescent="0.2">
      <c r="A5525" s="168">
        <v>2022</v>
      </c>
      <c r="B5525" s="168">
        <v>1</v>
      </c>
      <c r="C5525" s="168">
        <v>1</v>
      </c>
      <c r="D5525" s="141">
        <f t="shared" si="188"/>
        <v>44562</v>
      </c>
      <c r="E5525" s="275">
        <f t="shared" si="189"/>
        <v>44562</v>
      </c>
      <c r="F5525" s="479" t="s">
        <v>966</v>
      </c>
      <c r="G5525" s="220" t="s">
        <v>94</v>
      </c>
      <c r="H5525" s="220" t="str" cm="1">
        <f t="array" ref="H5525">IFERROR(INDEX(INVESTOR_LIST[INVESTOR NAME],MATCH(I5525,INVESTOR_LIST[INVESTOR CODE],0),)," ")</f>
        <v>SHAHNAZ PARVEEN</v>
      </c>
      <c r="I5525" s="142" t="s">
        <v>881</v>
      </c>
      <c r="J5525" s="310" t="s">
        <v>358</v>
      </c>
      <c r="K5525" s="226">
        <v>17724.2</v>
      </c>
      <c r="L5525" s="226" t="s">
        <v>348</v>
      </c>
    </row>
    <row r="5526" spans="1:17" ht="33.75" x14ac:dyDescent="0.2">
      <c r="A5526" s="133">
        <v>2022</v>
      </c>
      <c r="B5526" s="133">
        <v>1</v>
      </c>
      <c r="C5526" s="133">
        <v>1</v>
      </c>
      <c r="D5526" s="147">
        <f t="shared" si="188"/>
        <v>44562</v>
      </c>
      <c r="E5526" s="311">
        <f t="shared" si="189"/>
        <v>44562</v>
      </c>
      <c r="F5526" s="481"/>
      <c r="G5526" s="174" t="s">
        <v>94</v>
      </c>
      <c r="H5526" s="174" t="str" cm="1">
        <f t="array" ref="H5526">IFERROR(INDEX(INVESTOR_LIST[INVESTOR NAME],MATCH(I5526,INVESTOR_LIST[INVESTOR CODE],0),)," ")</f>
        <v>SHAHNAZ PARVEEN</v>
      </c>
      <c r="I5526" s="148" t="s">
        <v>881</v>
      </c>
      <c r="J5526" s="312" t="s">
        <v>13</v>
      </c>
      <c r="K5526" s="218" t="s">
        <v>348</v>
      </c>
      <c r="L5526" s="218">
        <v>14530</v>
      </c>
    </row>
    <row r="5527" spans="1:17" ht="33.75" x14ac:dyDescent="0.2">
      <c r="A5527" s="133">
        <v>2022</v>
      </c>
      <c r="B5527" s="133">
        <v>1</v>
      </c>
      <c r="C5527" s="133">
        <v>1</v>
      </c>
      <c r="D5527" s="147">
        <f t="shared" si="188"/>
        <v>44562</v>
      </c>
      <c r="E5527" s="311">
        <f t="shared" si="189"/>
        <v>44562</v>
      </c>
      <c r="F5527" s="481"/>
      <c r="G5527" s="174" t="s">
        <v>94</v>
      </c>
      <c r="H5527" s="174" t="str" cm="1">
        <f t="array" ref="H5527">IFERROR(INDEX(INVESTOR_LIST[INVESTOR NAME],MATCH(I5527,INVESTOR_LIST[INVESTOR CODE],0),)," ")</f>
        <v>SHAHNAZ PARVEEN</v>
      </c>
      <c r="I5527" s="148" t="s">
        <v>881</v>
      </c>
      <c r="J5527" s="312" t="s">
        <v>53</v>
      </c>
      <c r="K5527" s="218" t="s">
        <v>348</v>
      </c>
      <c r="L5527" s="218">
        <v>3194.2000000000007</v>
      </c>
      <c r="O5527" s="172"/>
      <c r="Q5527" s="160"/>
    </row>
    <row r="5528" spans="1:17" ht="45" x14ac:dyDescent="0.2">
      <c r="A5528" s="168">
        <v>2022</v>
      </c>
      <c r="B5528" s="168">
        <v>1</v>
      </c>
      <c r="C5528" s="168">
        <v>1</v>
      </c>
      <c r="D5528" s="141">
        <f t="shared" si="188"/>
        <v>44562</v>
      </c>
      <c r="E5528" s="275">
        <f t="shared" si="189"/>
        <v>44562</v>
      </c>
      <c r="F5528" s="479" t="s">
        <v>966</v>
      </c>
      <c r="G5528" s="220" t="s">
        <v>94</v>
      </c>
      <c r="H5528" s="220" t="str" cm="1">
        <f t="array" ref="H5528">IFERROR(INDEX(INVESTOR_LIST[INVESTOR NAME],MATCH(I5528,INVESTOR_LIST[INVESTOR CODE],0),)," ")</f>
        <v>SAMMIR BIN DELOWER</v>
      </c>
      <c r="I5528" s="142" t="s">
        <v>899</v>
      </c>
      <c r="J5528" s="310" t="s">
        <v>358</v>
      </c>
      <c r="K5528" s="226">
        <v>34322.6</v>
      </c>
      <c r="L5528" s="226" t="s">
        <v>348</v>
      </c>
      <c r="M5528" s="160"/>
    </row>
    <row r="5529" spans="1:17" ht="45" x14ac:dyDescent="0.2">
      <c r="A5529" s="133">
        <v>2022</v>
      </c>
      <c r="B5529" s="133">
        <v>1</v>
      </c>
      <c r="C5529" s="133">
        <v>1</v>
      </c>
      <c r="D5529" s="147">
        <f t="shared" si="188"/>
        <v>44562</v>
      </c>
      <c r="E5529" s="311">
        <f t="shared" si="189"/>
        <v>44562</v>
      </c>
      <c r="F5529" s="481"/>
      <c r="G5529" s="174" t="s">
        <v>94</v>
      </c>
      <c r="H5529" s="174" t="str" cm="1">
        <f t="array" ref="H5529">IFERROR(INDEX(INVESTOR_LIST[INVESTOR NAME],MATCH(I5529,INVESTOR_LIST[INVESTOR CODE],0),)," ")</f>
        <v>SAMMIR BIN DELOWER</v>
      </c>
      <c r="I5529" s="148" t="s">
        <v>899</v>
      </c>
      <c r="J5529" s="312" t="s">
        <v>13</v>
      </c>
      <c r="K5529" s="218" t="s">
        <v>348</v>
      </c>
      <c r="L5529" s="218">
        <v>27370</v>
      </c>
    </row>
    <row r="5530" spans="1:17" ht="45" x14ac:dyDescent="0.2">
      <c r="A5530" s="133">
        <v>2022</v>
      </c>
      <c r="B5530" s="133">
        <v>1</v>
      </c>
      <c r="C5530" s="133">
        <v>1</v>
      </c>
      <c r="D5530" s="147">
        <f t="shared" si="188"/>
        <v>44562</v>
      </c>
      <c r="E5530" s="311">
        <f t="shared" si="189"/>
        <v>44562</v>
      </c>
      <c r="F5530" s="481"/>
      <c r="G5530" s="174" t="s">
        <v>94</v>
      </c>
      <c r="H5530" s="174" t="str" cm="1">
        <f t="array" ref="H5530">IFERROR(INDEX(INVESTOR_LIST[INVESTOR NAME],MATCH(I5530,INVESTOR_LIST[INVESTOR CODE],0),)," ")</f>
        <v>SAMMIR BIN DELOWER</v>
      </c>
      <c r="I5530" s="148" t="s">
        <v>899</v>
      </c>
      <c r="J5530" s="312" t="s">
        <v>53</v>
      </c>
      <c r="K5530" s="218" t="s">
        <v>348</v>
      </c>
      <c r="L5530" s="218">
        <v>6020.3399999999965</v>
      </c>
      <c r="M5530" s="172"/>
    </row>
    <row r="5531" spans="1:17" ht="45" x14ac:dyDescent="0.2">
      <c r="A5531" s="163">
        <v>2022</v>
      </c>
      <c r="B5531" s="163">
        <v>1</v>
      </c>
      <c r="C5531" s="163">
        <v>1</v>
      </c>
      <c r="D5531" s="144">
        <f t="shared" si="188"/>
        <v>44562</v>
      </c>
      <c r="E5531" s="313">
        <f t="shared" si="189"/>
        <v>44562</v>
      </c>
      <c r="F5531" s="480"/>
      <c r="G5531" s="221" t="s">
        <v>94</v>
      </c>
      <c r="H5531" s="221" t="str" cm="1">
        <f t="array" ref="H5531">IFERROR(INDEX(INVESTOR_LIST[INVESTOR NAME],MATCH(I5531,INVESTOR_LIST[INVESTOR CODE],0),)," ")</f>
        <v>SAMMIR BIN DELOWER</v>
      </c>
      <c r="I5531" s="145" t="s">
        <v>899</v>
      </c>
      <c r="J5531" s="314" t="s">
        <v>534</v>
      </c>
      <c r="K5531" s="219" t="s">
        <v>348</v>
      </c>
      <c r="L5531" s="219">
        <v>932.25999999999988</v>
      </c>
    </row>
    <row r="5532" spans="1:17" ht="22.5" x14ac:dyDescent="0.2">
      <c r="A5532" s="168">
        <v>2022</v>
      </c>
      <c r="B5532" s="168">
        <v>1</v>
      </c>
      <c r="C5532" s="168">
        <v>1</v>
      </c>
      <c r="D5532" s="141">
        <f t="shared" ref="D5532:D5537" si="192">DATE(A5532,B5532,C5532)</f>
        <v>44562</v>
      </c>
      <c r="E5532" s="275">
        <f t="shared" ref="E5532:E5537" si="193">DATE(A5532,B5532,C5532)</f>
        <v>44562</v>
      </c>
      <c r="F5532" s="479" t="s">
        <v>966</v>
      </c>
      <c r="G5532" s="220" t="s">
        <v>94</v>
      </c>
      <c r="H5532" s="220" t="str" cm="1">
        <f t="array" ref="H5532">IFERROR(INDEX(INVESTOR_LIST[INVESTOR NAME],MATCH(I5532,INVESTOR_LIST[INVESTOR CODE],0),)," ")</f>
        <v>RAFAYET ULLAH</v>
      </c>
      <c r="I5532" s="142" t="s">
        <v>936</v>
      </c>
      <c r="J5532" s="310" t="s">
        <v>358</v>
      </c>
      <c r="K5532" s="226">
        <v>889.2</v>
      </c>
      <c r="L5532" s="226"/>
    </row>
    <row r="5533" spans="1:17" ht="22.5" x14ac:dyDescent="0.2">
      <c r="A5533" s="133">
        <v>2022</v>
      </c>
      <c r="B5533" s="133">
        <v>1</v>
      </c>
      <c r="C5533" s="133">
        <v>1</v>
      </c>
      <c r="D5533" s="147">
        <f t="shared" si="192"/>
        <v>44562</v>
      </c>
      <c r="E5533" s="311">
        <f t="shared" si="193"/>
        <v>44562</v>
      </c>
      <c r="F5533" s="481"/>
      <c r="G5533" s="174" t="s">
        <v>94</v>
      </c>
      <c r="H5533" s="174" t="str" cm="1">
        <f t="array" ref="H5533">IFERROR(INDEX(INVESTOR_LIST[INVESTOR NAME],MATCH(I5533,INVESTOR_LIST[INVESTOR CODE],0),)," ")</f>
        <v>RAFAYET ULLAH</v>
      </c>
      <c r="I5533" s="148" t="s">
        <v>936</v>
      </c>
      <c r="J5533" s="312" t="s">
        <v>13</v>
      </c>
      <c r="K5533" s="218"/>
      <c r="L5533" s="218">
        <v>730</v>
      </c>
    </row>
    <row r="5534" spans="1:17" ht="22.5" x14ac:dyDescent="0.2">
      <c r="A5534" s="133">
        <v>2022</v>
      </c>
      <c r="B5534" s="133">
        <v>1</v>
      </c>
      <c r="C5534" s="133">
        <v>1</v>
      </c>
      <c r="D5534" s="147">
        <f t="shared" si="192"/>
        <v>44562</v>
      </c>
      <c r="E5534" s="311">
        <f t="shared" si="193"/>
        <v>44562</v>
      </c>
      <c r="F5534" s="481"/>
      <c r="G5534" s="174" t="s">
        <v>94</v>
      </c>
      <c r="H5534" s="174" t="str" cm="1">
        <f t="array" ref="H5534">IFERROR(INDEX(INVESTOR_LIST[INVESTOR NAME],MATCH(I5534,INVESTOR_LIST[INVESTOR CODE],0),)," ")</f>
        <v>RAFAYET ULLAH</v>
      </c>
      <c r="I5534" s="148" t="s">
        <v>936</v>
      </c>
      <c r="J5534" s="312" t="s">
        <v>53</v>
      </c>
      <c r="K5534" s="218"/>
      <c r="L5534" s="218">
        <v>159.20000000000005</v>
      </c>
    </row>
    <row r="5535" spans="1:17" ht="22.5" x14ac:dyDescent="0.2">
      <c r="A5535" s="168">
        <v>2022</v>
      </c>
      <c r="B5535" s="168">
        <v>1</v>
      </c>
      <c r="C5535" s="168">
        <v>1</v>
      </c>
      <c r="D5535" s="141">
        <f t="shared" si="192"/>
        <v>44562</v>
      </c>
      <c r="E5535" s="275">
        <f t="shared" si="193"/>
        <v>44562</v>
      </c>
      <c r="F5535" s="479" t="s">
        <v>966</v>
      </c>
      <c r="G5535" s="220" t="s">
        <v>94</v>
      </c>
      <c r="H5535" s="220" t="str" cm="1">
        <f t="array" ref="H5535">IFERROR(INDEX(INVESTOR_LIST[INVESTOR NAME],MATCH(I5535,INVESTOR_LIST[INVESTOR CODE],0),)," ")</f>
        <v>ZAKIA SULTANA</v>
      </c>
      <c r="I5535" s="142" t="s">
        <v>942</v>
      </c>
      <c r="J5535" s="310" t="s">
        <v>358</v>
      </c>
      <c r="K5535" s="226">
        <v>910</v>
      </c>
      <c r="L5535" s="226"/>
    </row>
    <row r="5536" spans="1:17" ht="22.5" x14ac:dyDescent="0.2">
      <c r="A5536" s="133">
        <v>2022</v>
      </c>
      <c r="B5536" s="133">
        <v>1</v>
      </c>
      <c r="C5536" s="133">
        <v>1</v>
      </c>
      <c r="D5536" s="147">
        <f t="shared" si="192"/>
        <v>44562</v>
      </c>
      <c r="E5536" s="311">
        <f t="shared" si="193"/>
        <v>44562</v>
      </c>
      <c r="F5536" s="481"/>
      <c r="G5536" s="174" t="s">
        <v>94</v>
      </c>
      <c r="H5536" s="174" t="str" cm="1">
        <f t="array" ref="H5536">IFERROR(INDEX(INVESTOR_LIST[INVESTOR NAME],MATCH(I5536,INVESTOR_LIST[INVESTOR CODE],0),)," ")</f>
        <v>ZAKIA SULTANA</v>
      </c>
      <c r="I5536" s="148" t="s">
        <v>942</v>
      </c>
      <c r="J5536" s="312" t="s">
        <v>13</v>
      </c>
      <c r="K5536" s="218"/>
      <c r="L5536" s="218">
        <v>750</v>
      </c>
    </row>
    <row r="5537" spans="1:12" ht="22.5" x14ac:dyDescent="0.2">
      <c r="A5537" s="133">
        <v>2022</v>
      </c>
      <c r="B5537" s="133">
        <v>1</v>
      </c>
      <c r="C5537" s="133">
        <v>1</v>
      </c>
      <c r="D5537" s="147">
        <f t="shared" si="192"/>
        <v>44562</v>
      </c>
      <c r="E5537" s="311">
        <f t="shared" si="193"/>
        <v>44562</v>
      </c>
      <c r="F5537" s="481"/>
      <c r="G5537" s="174" t="s">
        <v>94</v>
      </c>
      <c r="H5537" s="174" t="str" cm="1">
        <f t="array" ref="H5537">IFERROR(INDEX(INVESTOR_LIST[INVESTOR NAME],MATCH(I5537,INVESTOR_LIST[INVESTOR CODE],0),)," ")</f>
        <v>ZAKIA SULTANA</v>
      </c>
      <c r="I5537" s="148" t="s">
        <v>942</v>
      </c>
      <c r="J5537" s="312" t="s">
        <v>53</v>
      </c>
      <c r="K5537" s="218"/>
      <c r="L5537" s="218">
        <v>160</v>
      </c>
    </row>
    <row r="5538" spans="1:12" x14ac:dyDescent="0.2">
      <c r="A5538" s="168">
        <v>2022</v>
      </c>
      <c r="B5538" s="168">
        <v>1</v>
      </c>
      <c r="C5538" s="168">
        <v>4</v>
      </c>
      <c r="D5538" s="141">
        <f t="shared" si="174"/>
        <v>44565</v>
      </c>
      <c r="E5538" s="275">
        <f t="shared" si="175"/>
        <v>44565</v>
      </c>
      <c r="F5538" s="479" t="s">
        <v>975</v>
      </c>
      <c r="G5538" s="220" t="s">
        <v>74</v>
      </c>
      <c r="H5538" s="142" t="str" cm="1">
        <f t="array" ref="H5538">IFERROR(INDEX(INVESTOR_LIST[INVESTOR NAME],MATCH(I5538,INVESTOR_LIST[INVESTOR CODE],0),)," ")</f>
        <v xml:space="preserve"> </v>
      </c>
      <c r="I5538" s="142"/>
      <c r="J5538" s="168" t="s">
        <v>52</v>
      </c>
      <c r="K5538" s="226">
        <v>870000</v>
      </c>
      <c r="L5538" s="226"/>
    </row>
    <row r="5539" spans="1:12" x14ac:dyDescent="0.2">
      <c r="A5539" s="163">
        <v>2022</v>
      </c>
      <c r="B5539" s="163">
        <v>1</v>
      </c>
      <c r="C5539" s="163">
        <v>4</v>
      </c>
      <c r="D5539" s="141">
        <f t="shared" si="174"/>
        <v>44565</v>
      </c>
      <c r="E5539" s="275">
        <f t="shared" si="175"/>
        <v>44565</v>
      </c>
      <c r="F5539" s="480"/>
      <c r="G5539" s="221" t="s">
        <v>74</v>
      </c>
      <c r="H5539" s="145" t="str" cm="1">
        <f t="array" ref="H5539">IFERROR(INDEX(INVESTOR_LIST[INVESTOR NAME],MATCH(I5539,INVESTOR_LIST[INVESTOR CODE],0),)," ")</f>
        <v xml:space="preserve"> </v>
      </c>
      <c r="I5539" s="145"/>
      <c r="J5539" s="163" t="s">
        <v>168</v>
      </c>
      <c r="K5539" s="219"/>
      <c r="L5539" s="219">
        <v>870000</v>
      </c>
    </row>
    <row r="5540" spans="1:12" x14ac:dyDescent="0.2">
      <c r="A5540" s="168">
        <v>2022</v>
      </c>
      <c r="B5540" s="168">
        <v>1</v>
      </c>
      <c r="C5540" s="168">
        <v>4</v>
      </c>
      <c r="D5540" s="141">
        <f t="shared" ref="D5540:D5624" si="194">DATE(A5540,B5540,C5540)</f>
        <v>44565</v>
      </c>
      <c r="E5540" s="275">
        <f t="shared" ref="E5540:E5624" si="195">DATE(A5540,B5540,C5540)</f>
        <v>44565</v>
      </c>
      <c r="F5540" s="479" t="s">
        <v>976</v>
      </c>
      <c r="G5540" s="220" t="s">
        <v>74</v>
      </c>
      <c r="H5540" s="142" t="str" cm="1">
        <f t="array" ref="H5540">IFERROR(INDEX(INVESTOR_LIST[INVESTOR NAME],MATCH(I5540,INVESTOR_LIST[INVESTOR CODE],0),)," ")</f>
        <v xml:space="preserve"> </v>
      </c>
      <c r="I5540" s="142"/>
      <c r="J5540" s="168" t="s">
        <v>48</v>
      </c>
      <c r="K5540" s="226">
        <v>238681.1</v>
      </c>
      <c r="L5540" s="226"/>
    </row>
    <row r="5541" spans="1:12" x14ac:dyDescent="0.2">
      <c r="A5541" s="163">
        <v>2022</v>
      </c>
      <c r="B5541" s="163">
        <v>1</v>
      </c>
      <c r="C5541" s="163">
        <v>4</v>
      </c>
      <c r="D5541" s="141">
        <f t="shared" si="194"/>
        <v>44565</v>
      </c>
      <c r="E5541" s="275">
        <f t="shared" si="195"/>
        <v>44565</v>
      </c>
      <c r="F5541" s="480"/>
      <c r="G5541" s="221" t="s">
        <v>74</v>
      </c>
      <c r="H5541" s="145" t="str" cm="1">
        <f t="array" ref="H5541">IFERROR(INDEX(INVESTOR_LIST[INVESTOR NAME],MATCH(I5541,INVESTOR_LIST[INVESTOR CODE],0),)," ")</f>
        <v xml:space="preserve"> </v>
      </c>
      <c r="I5541" s="145"/>
      <c r="J5541" s="163" t="s">
        <v>52</v>
      </c>
      <c r="K5541" s="219"/>
      <c r="L5541" s="219">
        <v>238681.1</v>
      </c>
    </row>
    <row r="5542" spans="1:12" x14ac:dyDescent="0.2">
      <c r="A5542" s="133">
        <v>2022</v>
      </c>
      <c r="B5542" s="133">
        <v>1</v>
      </c>
      <c r="C5542" s="133">
        <v>5</v>
      </c>
      <c r="D5542" s="141">
        <f t="shared" si="194"/>
        <v>44566</v>
      </c>
      <c r="E5542" s="275">
        <f t="shared" si="195"/>
        <v>44566</v>
      </c>
      <c r="F5542" s="481" t="s">
        <v>982</v>
      </c>
      <c r="G5542" s="174" t="s">
        <v>74</v>
      </c>
      <c r="H5542" s="174" t="str" cm="1">
        <f t="array" ref="H5542">IFERROR(INDEX(INVESTOR_LIST[INVESTOR NAME],MATCH(I5542,INVESTOR_LIST[INVESTOR CODE],0),)," ")</f>
        <v xml:space="preserve"> </v>
      </c>
      <c r="I5542" s="148" t="s">
        <v>348</v>
      </c>
      <c r="J5542" s="149" t="s">
        <v>163</v>
      </c>
      <c r="K5542" s="218">
        <v>8000</v>
      </c>
      <c r="L5542" s="218"/>
    </row>
    <row r="5543" spans="1:12" x14ac:dyDescent="0.2">
      <c r="A5543" s="163">
        <v>2022</v>
      </c>
      <c r="B5543" s="163">
        <v>1</v>
      </c>
      <c r="C5543" s="163">
        <v>5</v>
      </c>
      <c r="D5543" s="141">
        <f t="shared" si="194"/>
        <v>44566</v>
      </c>
      <c r="E5543" s="275">
        <f t="shared" si="195"/>
        <v>44566</v>
      </c>
      <c r="F5543" s="480"/>
      <c r="G5543" s="221" t="s">
        <v>74</v>
      </c>
      <c r="H5543" s="221" t="str" cm="1">
        <f t="array" ref="H5543">IFERROR(INDEX(INVESTOR_LIST[INVESTOR NAME],MATCH(I5543,INVESTOR_LIST[INVESTOR CODE],0),)," ")</f>
        <v xml:space="preserve"> </v>
      </c>
      <c r="I5543" s="145" t="s">
        <v>348</v>
      </c>
      <c r="J5543" s="146" t="s">
        <v>52</v>
      </c>
      <c r="K5543" s="219"/>
      <c r="L5543" s="219">
        <v>8000</v>
      </c>
    </row>
    <row r="5544" spans="1:12" ht="45" x14ac:dyDescent="0.2">
      <c r="A5544" s="282">
        <v>2022</v>
      </c>
      <c r="B5544" s="282">
        <v>1</v>
      </c>
      <c r="C5544" s="283">
        <v>5</v>
      </c>
      <c r="D5544" s="284">
        <f t="shared" ref="D5544:D5549" si="196">DATE(A5544,B5544,C5544)</f>
        <v>44566</v>
      </c>
      <c r="E5544" s="285">
        <f t="shared" ref="E5544:E5549" si="197">DATE(A5544,B5544,C5544)</f>
        <v>44566</v>
      </c>
      <c r="F5544" s="487" t="s">
        <v>964</v>
      </c>
      <c r="G5544" s="286" t="s">
        <v>74</v>
      </c>
      <c r="H5544" s="287" t="str" cm="1">
        <f t="array" ref="H5544">IFERROR(INDEX(INVESTOR_LIST[INVESTOR NAME],MATCH(I5544,INVESTOR_LIST[INVESTOR CODE],0),)," ")</f>
        <v>MD. SAIFULLAH AL AZAD</v>
      </c>
      <c r="I5544" s="287" t="s">
        <v>988</v>
      </c>
      <c r="J5544" s="282" t="s">
        <v>52</v>
      </c>
      <c r="K5544" s="288">
        <v>100000</v>
      </c>
      <c r="L5544" s="288"/>
    </row>
    <row r="5545" spans="1:12" ht="45" x14ac:dyDescent="0.2">
      <c r="A5545" s="283">
        <v>2022</v>
      </c>
      <c r="B5545" s="283">
        <v>1</v>
      </c>
      <c r="C5545" s="283">
        <v>5</v>
      </c>
      <c r="D5545" s="284">
        <f t="shared" si="196"/>
        <v>44566</v>
      </c>
      <c r="E5545" s="285">
        <f t="shared" si="197"/>
        <v>44566</v>
      </c>
      <c r="F5545" s="488"/>
      <c r="G5545" s="289" t="s">
        <v>74</v>
      </c>
      <c r="H5545" s="290" t="str" cm="1">
        <f t="array" ref="H5545">IFERROR(INDEX(INVESTOR_LIST[INVESTOR NAME],MATCH(I5545,INVESTOR_LIST[INVESTOR CODE],0),)," ")</f>
        <v>MD. SAIFULLAH AL AZAD</v>
      </c>
      <c r="I5545" s="290" t="s">
        <v>988</v>
      </c>
      <c r="J5545" s="283" t="s">
        <v>13</v>
      </c>
      <c r="K5545" s="291"/>
      <c r="L5545" s="291">
        <v>81970</v>
      </c>
    </row>
    <row r="5546" spans="1:12" ht="45" x14ac:dyDescent="0.2">
      <c r="A5546" s="292">
        <v>2022</v>
      </c>
      <c r="B5546" s="292">
        <v>1</v>
      </c>
      <c r="C5546" s="292">
        <v>5</v>
      </c>
      <c r="D5546" s="284">
        <f t="shared" si="196"/>
        <v>44566</v>
      </c>
      <c r="E5546" s="285">
        <f t="shared" si="197"/>
        <v>44566</v>
      </c>
      <c r="F5546" s="489"/>
      <c r="G5546" s="293" t="s">
        <v>74</v>
      </c>
      <c r="H5546" s="294" t="str" cm="1">
        <f t="array" ref="H5546">IFERROR(INDEX(INVESTOR_LIST[INVESTOR NAME],MATCH(I5546,INVESTOR_LIST[INVESTOR CODE],0),)," ")</f>
        <v>MD. SAIFULLAH AL AZAD</v>
      </c>
      <c r="I5546" s="294" t="s">
        <v>988</v>
      </c>
      <c r="J5546" s="292" t="s">
        <v>53</v>
      </c>
      <c r="K5546" s="295"/>
      <c r="L5546" s="295">
        <v>18030</v>
      </c>
    </row>
    <row r="5547" spans="1:12" ht="33.75" x14ac:dyDescent="0.2">
      <c r="A5547" s="282">
        <v>2022</v>
      </c>
      <c r="B5547" s="282">
        <v>1</v>
      </c>
      <c r="C5547" s="283">
        <v>5</v>
      </c>
      <c r="D5547" s="284">
        <f t="shared" si="196"/>
        <v>44566</v>
      </c>
      <c r="E5547" s="285">
        <f t="shared" si="197"/>
        <v>44566</v>
      </c>
      <c r="F5547" s="487" t="s">
        <v>964</v>
      </c>
      <c r="G5547" s="286" t="s">
        <v>74</v>
      </c>
      <c r="H5547" s="287" t="str" cm="1">
        <f t="array" ref="H5547">IFERROR(INDEX(INVESTOR_LIST[INVESTOR NAME],MATCH(I5547,INVESTOR_LIST[INVESTOR CODE],0),)," ")</f>
        <v>SHAHNAZ PARVEEN</v>
      </c>
      <c r="I5547" s="287" t="s">
        <v>881</v>
      </c>
      <c r="J5547" s="282" t="s">
        <v>52</v>
      </c>
      <c r="K5547" s="288">
        <v>300000</v>
      </c>
      <c r="L5547" s="288"/>
    </row>
    <row r="5548" spans="1:12" ht="33.75" x14ac:dyDescent="0.2">
      <c r="A5548" s="283">
        <v>2022</v>
      </c>
      <c r="B5548" s="283">
        <v>1</v>
      </c>
      <c r="C5548" s="283">
        <v>5</v>
      </c>
      <c r="D5548" s="284">
        <f t="shared" si="196"/>
        <v>44566</v>
      </c>
      <c r="E5548" s="285">
        <f t="shared" si="197"/>
        <v>44566</v>
      </c>
      <c r="F5548" s="488"/>
      <c r="G5548" s="289" t="s">
        <v>74</v>
      </c>
      <c r="H5548" s="290" t="str" cm="1">
        <f t="array" ref="H5548">IFERROR(INDEX(INVESTOR_LIST[INVESTOR NAME],MATCH(I5548,INVESTOR_LIST[INVESTOR CODE],0),)," ")</f>
        <v>SHAHNAZ PARVEEN</v>
      </c>
      <c r="I5548" s="290" t="s">
        <v>881</v>
      </c>
      <c r="J5548" s="283" t="s">
        <v>13</v>
      </c>
      <c r="K5548" s="291"/>
      <c r="L5548" s="291">
        <v>245900</v>
      </c>
    </row>
    <row r="5549" spans="1:12" ht="33.75" x14ac:dyDescent="0.2">
      <c r="A5549" s="292">
        <v>2022</v>
      </c>
      <c r="B5549" s="292">
        <v>1</v>
      </c>
      <c r="C5549" s="292">
        <v>5</v>
      </c>
      <c r="D5549" s="284">
        <f t="shared" si="196"/>
        <v>44566</v>
      </c>
      <c r="E5549" s="285">
        <f t="shared" si="197"/>
        <v>44566</v>
      </c>
      <c r="F5549" s="489"/>
      <c r="G5549" s="293" t="s">
        <v>74</v>
      </c>
      <c r="H5549" s="294" t="str" cm="1">
        <f t="array" ref="H5549">IFERROR(INDEX(INVESTOR_LIST[INVESTOR NAME],MATCH(I5549,INVESTOR_LIST[INVESTOR CODE],0),)," ")</f>
        <v>SHAHNAZ PARVEEN</v>
      </c>
      <c r="I5549" s="294" t="s">
        <v>881</v>
      </c>
      <c r="J5549" s="292" t="s">
        <v>53</v>
      </c>
      <c r="K5549" s="295"/>
      <c r="L5549" s="295">
        <v>54100</v>
      </c>
    </row>
    <row r="5550" spans="1:12" x14ac:dyDescent="0.2">
      <c r="A5550" s="133">
        <v>2022</v>
      </c>
      <c r="B5550" s="133">
        <v>1</v>
      </c>
      <c r="C5550" s="133">
        <v>6</v>
      </c>
      <c r="D5550" s="141">
        <f t="shared" si="194"/>
        <v>44567</v>
      </c>
      <c r="E5550" s="275">
        <f t="shared" si="195"/>
        <v>44567</v>
      </c>
      <c r="F5550" s="479" t="s">
        <v>977</v>
      </c>
      <c r="G5550" s="220" t="s">
        <v>74</v>
      </c>
      <c r="H5550" s="220" t="str" cm="1">
        <f t="array" ref="H5550">IFERROR(INDEX(INVESTOR_LIST[INVESTOR NAME],MATCH(I5550,INVESTOR_LIST[INVESTOR CODE],0),)," ")</f>
        <v xml:space="preserve"> </v>
      </c>
      <c r="I5550" s="142" t="s">
        <v>348</v>
      </c>
      <c r="J5550" s="143" t="s">
        <v>184</v>
      </c>
      <c r="K5550" s="226">
        <v>3750000</v>
      </c>
      <c r="L5550" s="226"/>
    </row>
    <row r="5551" spans="1:12" x14ac:dyDescent="0.2">
      <c r="A5551" s="133">
        <v>2022</v>
      </c>
      <c r="B5551" s="133">
        <v>1</v>
      </c>
      <c r="C5551" s="133">
        <v>6</v>
      </c>
      <c r="D5551" s="141">
        <f t="shared" si="194"/>
        <v>44567</v>
      </c>
      <c r="E5551" s="275">
        <f t="shared" si="195"/>
        <v>44567</v>
      </c>
      <c r="F5551" s="481"/>
      <c r="G5551" s="174" t="s">
        <v>74</v>
      </c>
      <c r="H5551" s="174" t="str" cm="1">
        <f t="array" ref="H5551">IFERROR(INDEX(INVESTOR_LIST[INVESTOR NAME],MATCH(I5551,INVESTOR_LIST[INVESTOR CODE],0),)," ")</f>
        <v xml:space="preserve"> </v>
      </c>
      <c r="J5551" s="149" t="s">
        <v>61</v>
      </c>
      <c r="K5551" s="218">
        <v>115</v>
      </c>
      <c r="L5551" s="218"/>
    </row>
    <row r="5552" spans="1:12" x14ac:dyDescent="0.2">
      <c r="A5552" s="133">
        <v>2022</v>
      </c>
      <c r="B5552" s="133">
        <v>1</v>
      </c>
      <c r="C5552" s="133">
        <v>6</v>
      </c>
      <c r="D5552" s="141">
        <f t="shared" si="194"/>
        <v>44567</v>
      </c>
      <c r="E5552" s="275">
        <f t="shared" si="195"/>
        <v>44567</v>
      </c>
      <c r="F5552" s="481"/>
      <c r="G5552" s="174" t="s">
        <v>74</v>
      </c>
      <c r="H5552" s="174" t="str" cm="1">
        <f t="array" ref="H5552">IFERROR(INDEX(INVESTOR_LIST[INVESTOR NAME],MATCH(I5552,INVESTOR_LIST[INVESTOR CODE],0),)," ")</f>
        <v xml:space="preserve"> </v>
      </c>
      <c r="I5552" s="148" t="s">
        <v>348</v>
      </c>
      <c r="J5552" s="149" t="s">
        <v>185</v>
      </c>
      <c r="K5552" s="218">
        <v>5000</v>
      </c>
      <c r="L5552" s="218"/>
    </row>
    <row r="5553" spans="1:12" x14ac:dyDescent="0.2">
      <c r="A5553" s="163">
        <v>2022</v>
      </c>
      <c r="B5553" s="163">
        <v>1</v>
      </c>
      <c r="C5553" s="163">
        <v>6</v>
      </c>
      <c r="D5553" s="141">
        <f t="shared" si="194"/>
        <v>44567</v>
      </c>
      <c r="E5553" s="275">
        <f t="shared" si="195"/>
        <v>44567</v>
      </c>
      <c r="F5553" s="480"/>
      <c r="G5553" s="221" t="s">
        <v>74</v>
      </c>
      <c r="H5553" s="221" t="str" cm="1">
        <f t="array" ref="H5553">IFERROR(INDEX(INVESTOR_LIST[INVESTOR NAME],MATCH(I5553,INVESTOR_LIST[INVESTOR CODE],0),)," ")</f>
        <v xml:space="preserve"> </v>
      </c>
      <c r="I5553" s="145" t="s">
        <v>348</v>
      </c>
      <c r="J5553" s="146" t="s">
        <v>52</v>
      </c>
      <c r="K5553" s="219"/>
      <c r="L5553" s="219">
        <v>3755115</v>
      </c>
    </row>
    <row r="5554" spans="1:12" x14ac:dyDescent="0.2">
      <c r="A5554" s="133">
        <v>2022</v>
      </c>
      <c r="B5554" s="133">
        <v>1</v>
      </c>
      <c r="C5554" s="133">
        <v>6</v>
      </c>
      <c r="D5554" s="141">
        <f t="shared" si="194"/>
        <v>44567</v>
      </c>
      <c r="E5554" s="275">
        <f t="shared" si="195"/>
        <v>44567</v>
      </c>
      <c r="F5554" s="479" t="s">
        <v>77</v>
      </c>
      <c r="G5554" s="174" t="s">
        <v>74</v>
      </c>
      <c r="H5554" s="148" t="str" cm="1">
        <f t="array" ref="H5554">IFERROR(INDEX(INVESTOR_LIST[INVESTOR NAME],MATCH(I5554,INVESTOR_LIST[INVESTOR CODE],0),)," ")</f>
        <v xml:space="preserve"> </v>
      </c>
      <c r="I5554" s="148" t="s">
        <v>348</v>
      </c>
      <c r="J5554" s="133" t="s">
        <v>61</v>
      </c>
      <c r="K5554" s="172">
        <v>60</v>
      </c>
    </row>
    <row r="5555" spans="1:12" x14ac:dyDescent="0.2">
      <c r="A5555" s="163">
        <v>2022</v>
      </c>
      <c r="B5555" s="163">
        <v>1</v>
      </c>
      <c r="C5555" s="163">
        <v>6</v>
      </c>
      <c r="D5555" s="141">
        <f t="shared" si="194"/>
        <v>44567</v>
      </c>
      <c r="E5555" s="275">
        <f t="shared" si="195"/>
        <v>44567</v>
      </c>
      <c r="F5555" s="480"/>
      <c r="G5555" s="221" t="s">
        <v>74</v>
      </c>
      <c r="H5555" s="145" t="str" cm="1">
        <f t="array" ref="H5555">IFERROR(INDEX(INVESTOR_LIST[INVESTOR NAME],MATCH(I5555,INVESTOR_LIST[INVESTOR CODE],0),)," ")</f>
        <v xml:space="preserve"> </v>
      </c>
      <c r="I5555" s="145" t="s">
        <v>348</v>
      </c>
      <c r="J5555" s="163" t="s">
        <v>52</v>
      </c>
      <c r="K5555" s="219"/>
      <c r="L5555" s="219">
        <v>60</v>
      </c>
    </row>
    <row r="5556" spans="1:12" ht="45" x14ac:dyDescent="0.2">
      <c r="A5556" s="282">
        <v>2022</v>
      </c>
      <c r="B5556" s="282">
        <v>1</v>
      </c>
      <c r="C5556" s="283">
        <v>6</v>
      </c>
      <c r="D5556" s="284">
        <f t="shared" ref="D5556:D5558" si="198">DATE(A5556,B5556,C5556)</f>
        <v>44567</v>
      </c>
      <c r="E5556" s="285">
        <f t="shared" ref="E5556:E5558" si="199">DATE(A5556,B5556,C5556)</f>
        <v>44567</v>
      </c>
      <c r="F5556" s="487" t="s">
        <v>964</v>
      </c>
      <c r="G5556" s="286" t="s">
        <v>74</v>
      </c>
      <c r="H5556" s="287" t="str" cm="1">
        <f t="array" ref="H5556">IFERROR(INDEX(INVESTOR_LIST[INVESTOR NAME],MATCH(I5556,INVESTOR_LIST[INVESTOR CODE],0),)," ")</f>
        <v>MD. SAIFULLAH AL AZAD</v>
      </c>
      <c r="I5556" s="287" t="s">
        <v>988</v>
      </c>
      <c r="J5556" s="282" t="s">
        <v>52</v>
      </c>
      <c r="K5556" s="288">
        <v>100000</v>
      </c>
      <c r="L5556" s="288"/>
    </row>
    <row r="5557" spans="1:12" ht="45" x14ac:dyDescent="0.2">
      <c r="A5557" s="283">
        <v>2022</v>
      </c>
      <c r="B5557" s="283">
        <v>1</v>
      </c>
      <c r="C5557" s="283">
        <v>6</v>
      </c>
      <c r="D5557" s="284">
        <f t="shared" si="198"/>
        <v>44567</v>
      </c>
      <c r="E5557" s="285">
        <f t="shared" si="199"/>
        <v>44567</v>
      </c>
      <c r="F5557" s="488"/>
      <c r="G5557" s="289" t="s">
        <v>74</v>
      </c>
      <c r="H5557" s="290" t="str" cm="1">
        <f t="array" ref="H5557">IFERROR(INDEX(INVESTOR_LIST[INVESTOR NAME],MATCH(I5557,INVESTOR_LIST[INVESTOR CODE],0),)," ")</f>
        <v>MD. SAIFULLAH AL AZAD</v>
      </c>
      <c r="I5557" s="290" t="s">
        <v>988</v>
      </c>
      <c r="J5557" s="283" t="s">
        <v>13</v>
      </c>
      <c r="K5557" s="291"/>
      <c r="L5557" s="291">
        <v>81970</v>
      </c>
    </row>
    <row r="5558" spans="1:12" ht="45" x14ac:dyDescent="0.2">
      <c r="A5558" s="292">
        <v>2022</v>
      </c>
      <c r="B5558" s="292">
        <v>1</v>
      </c>
      <c r="C5558" s="292">
        <v>6</v>
      </c>
      <c r="D5558" s="284">
        <f t="shared" si="198"/>
        <v>44567</v>
      </c>
      <c r="E5558" s="285">
        <f t="shared" si="199"/>
        <v>44567</v>
      </c>
      <c r="F5558" s="489"/>
      <c r="G5558" s="293" t="s">
        <v>74</v>
      </c>
      <c r="H5558" s="294" t="str" cm="1">
        <f t="array" ref="H5558">IFERROR(INDEX(INVESTOR_LIST[INVESTOR NAME],MATCH(I5558,INVESTOR_LIST[INVESTOR CODE],0),)," ")</f>
        <v>MD. SAIFULLAH AL AZAD</v>
      </c>
      <c r="I5558" s="294" t="s">
        <v>988</v>
      </c>
      <c r="J5558" s="292" t="s">
        <v>53</v>
      </c>
      <c r="K5558" s="295"/>
      <c r="L5558" s="295">
        <v>18030</v>
      </c>
    </row>
    <row r="5559" spans="1:12" ht="33.75" x14ac:dyDescent="0.2">
      <c r="A5559" s="168">
        <v>2022</v>
      </c>
      <c r="B5559" s="168">
        <v>1</v>
      </c>
      <c r="C5559" s="133">
        <v>6</v>
      </c>
      <c r="D5559" s="141">
        <f t="shared" ref="D5559:D5572" si="200">DATE(A5559,B5559,C5559)</f>
        <v>44567</v>
      </c>
      <c r="E5559" s="275">
        <f t="shared" ref="E5559:E5572" si="201">DATE(A5559,B5559,C5559)</f>
        <v>44567</v>
      </c>
      <c r="F5559" s="479" t="s">
        <v>964</v>
      </c>
      <c r="G5559" s="220" t="s">
        <v>74</v>
      </c>
      <c r="H5559" s="142" t="str" cm="1">
        <f t="array" ref="H5559">IFERROR(INDEX(INVESTOR_LIST[INVESTOR NAME],MATCH(I5559,INVESTOR_LIST[INVESTOR CODE],0),)," ")</f>
        <v>ISTIAK AHMED PROBAL</v>
      </c>
      <c r="I5559" s="142" t="s">
        <v>497</v>
      </c>
      <c r="J5559" s="168" t="s">
        <v>52</v>
      </c>
      <c r="K5559" s="226">
        <v>500000</v>
      </c>
      <c r="L5559" s="226"/>
    </row>
    <row r="5560" spans="1:12" ht="33.75" x14ac:dyDescent="0.2">
      <c r="A5560" s="133">
        <v>2022</v>
      </c>
      <c r="B5560" s="133">
        <v>1</v>
      </c>
      <c r="C5560" s="133">
        <v>6</v>
      </c>
      <c r="D5560" s="141">
        <f t="shared" si="200"/>
        <v>44567</v>
      </c>
      <c r="E5560" s="275">
        <f t="shared" si="201"/>
        <v>44567</v>
      </c>
      <c r="F5560" s="481"/>
      <c r="G5560" s="174" t="s">
        <v>74</v>
      </c>
      <c r="H5560" s="148" t="str" cm="1">
        <f t="array" ref="H5560">IFERROR(INDEX(INVESTOR_LIST[INVESTOR NAME],MATCH(I5560,INVESTOR_LIST[INVESTOR CODE],0),)," ")</f>
        <v>ISTIAK AHMED PROBAL</v>
      </c>
      <c r="I5560" s="148" t="s">
        <v>497</v>
      </c>
      <c r="J5560" s="133" t="s">
        <v>13</v>
      </c>
      <c r="K5560" s="218"/>
      <c r="L5560" s="218">
        <v>409840</v>
      </c>
    </row>
    <row r="5561" spans="1:12" ht="33.75" x14ac:dyDescent="0.2">
      <c r="A5561" s="163">
        <v>2022</v>
      </c>
      <c r="B5561" s="163">
        <v>1</v>
      </c>
      <c r="C5561" s="163">
        <v>6</v>
      </c>
      <c r="D5561" s="141">
        <f t="shared" si="200"/>
        <v>44567</v>
      </c>
      <c r="E5561" s="275">
        <f t="shared" si="201"/>
        <v>44567</v>
      </c>
      <c r="F5561" s="480"/>
      <c r="G5561" s="221" t="s">
        <v>74</v>
      </c>
      <c r="H5561" s="145" t="str" cm="1">
        <f t="array" ref="H5561">IFERROR(INDEX(INVESTOR_LIST[INVESTOR NAME],MATCH(I5561,INVESTOR_LIST[INVESTOR CODE],0),)," ")</f>
        <v>ISTIAK AHMED PROBAL</v>
      </c>
      <c r="I5561" s="145" t="s">
        <v>497</v>
      </c>
      <c r="J5561" s="163" t="s">
        <v>53</v>
      </c>
      <c r="K5561" s="219"/>
      <c r="L5561" s="219">
        <v>90160</v>
      </c>
    </row>
    <row r="5562" spans="1:12" x14ac:dyDescent="0.2">
      <c r="A5562" s="168">
        <v>2022</v>
      </c>
      <c r="B5562" s="168">
        <v>1</v>
      </c>
      <c r="C5562" s="133">
        <v>6</v>
      </c>
      <c r="D5562" s="141">
        <f t="shared" si="200"/>
        <v>44567</v>
      </c>
      <c r="E5562" s="275">
        <f t="shared" si="201"/>
        <v>44567</v>
      </c>
      <c r="F5562" s="479" t="s">
        <v>970</v>
      </c>
      <c r="G5562" s="220" t="s">
        <v>74</v>
      </c>
      <c r="H5562" s="142" t="str" cm="1">
        <f t="array" ref="H5562">IFERROR(INDEX(INVESTOR_LIST[INVESTOR NAME],MATCH(I5562,INVESTOR_LIST[INVESTOR CODE],0),)," ")</f>
        <v xml:space="preserve"> </v>
      </c>
      <c r="I5562" s="142"/>
      <c r="J5562" s="168" t="s">
        <v>52</v>
      </c>
      <c r="K5562" s="226">
        <v>303000</v>
      </c>
      <c r="L5562" s="226"/>
    </row>
    <row r="5563" spans="1:12" x14ac:dyDescent="0.2">
      <c r="A5563" s="133">
        <v>2022</v>
      </c>
      <c r="B5563" s="133">
        <v>1</v>
      </c>
      <c r="C5563" s="133">
        <v>6</v>
      </c>
      <c r="D5563" s="141">
        <f t="shared" si="200"/>
        <v>44567</v>
      </c>
      <c r="E5563" s="275">
        <f t="shared" si="201"/>
        <v>44567</v>
      </c>
      <c r="F5563" s="481"/>
      <c r="G5563" s="174" t="s">
        <v>74</v>
      </c>
      <c r="H5563" s="148" t="str" cm="1">
        <f t="array" ref="H5563">IFERROR(INDEX(INVESTOR_LIST[INVESTOR NAME],MATCH(I5563,INVESTOR_LIST[INVESTOR CODE],0),)," ")</f>
        <v xml:space="preserve"> </v>
      </c>
      <c r="J5563" s="133" t="s">
        <v>13</v>
      </c>
      <c r="K5563" s="218"/>
      <c r="L5563" s="218">
        <v>248410</v>
      </c>
    </row>
    <row r="5564" spans="1:12" x14ac:dyDescent="0.2">
      <c r="A5564" s="163">
        <v>2022</v>
      </c>
      <c r="B5564" s="163">
        <v>1</v>
      </c>
      <c r="C5564" s="163">
        <v>6</v>
      </c>
      <c r="D5564" s="141">
        <f t="shared" si="200"/>
        <v>44567</v>
      </c>
      <c r="E5564" s="275">
        <f t="shared" si="201"/>
        <v>44567</v>
      </c>
      <c r="F5564" s="480"/>
      <c r="G5564" s="221" t="s">
        <v>74</v>
      </c>
      <c r="H5564" s="145" t="str" cm="1">
        <f t="array" ref="H5564">IFERROR(INDEX(INVESTOR_LIST[INVESTOR NAME],MATCH(I5564,INVESTOR_LIST[INVESTOR CODE],0),)," ")</f>
        <v xml:space="preserve"> </v>
      </c>
      <c r="I5564" s="145"/>
      <c r="J5564" s="163" t="s">
        <v>53</v>
      </c>
      <c r="K5564" s="219"/>
      <c r="L5564" s="219">
        <v>54590</v>
      </c>
    </row>
    <row r="5565" spans="1:12" x14ac:dyDescent="0.2">
      <c r="A5565" s="238">
        <v>2022</v>
      </c>
      <c r="B5565" s="238">
        <v>1</v>
      </c>
      <c r="C5565" s="238">
        <v>6</v>
      </c>
      <c r="D5565" s="270">
        <f t="shared" si="200"/>
        <v>44567</v>
      </c>
      <c r="E5565" s="279">
        <f t="shared" si="201"/>
        <v>44567</v>
      </c>
      <c r="F5565" s="477" t="s">
        <v>347</v>
      </c>
      <c r="G5565" s="239" t="s">
        <v>94</v>
      </c>
      <c r="H5565" s="239" t="str" cm="1">
        <f t="array" ref="H5565">IFERROR(INDEX(INVESTOR_LIST[INVESTOR NAME],MATCH(I5565,INVESTOR_LIST[INVESTOR CODE],0),)," ")</f>
        <v xml:space="preserve"> </v>
      </c>
      <c r="I5565" s="262" t="s">
        <v>348</v>
      </c>
      <c r="J5565" s="240" t="s">
        <v>108</v>
      </c>
      <c r="K5565" s="241">
        <v>2558569.5800001174</v>
      </c>
      <c r="L5565" s="241"/>
    </row>
    <row r="5566" spans="1:12" x14ac:dyDescent="0.2">
      <c r="A5566" s="242">
        <v>2022</v>
      </c>
      <c r="B5566" s="242">
        <v>1</v>
      </c>
      <c r="C5566" s="242">
        <v>6</v>
      </c>
      <c r="D5566" s="270">
        <f t="shared" si="200"/>
        <v>44567</v>
      </c>
      <c r="E5566" s="279">
        <f t="shared" si="201"/>
        <v>44567</v>
      </c>
      <c r="F5566" s="478"/>
      <c r="G5566" s="243" t="s">
        <v>94</v>
      </c>
      <c r="H5566" s="243" t="str" cm="1">
        <f t="array" ref="H5566">IFERROR(INDEX(INVESTOR_LIST[INVESTOR NAME],MATCH(I5566,INVESTOR_LIST[INVESTOR CODE],0),)," ")</f>
        <v xml:space="preserve"> </v>
      </c>
      <c r="I5566" s="263" t="s">
        <v>348</v>
      </c>
      <c r="J5566" s="244" t="s">
        <v>82</v>
      </c>
      <c r="K5566" s="245"/>
      <c r="L5566" s="245">
        <v>2558569.5800001174</v>
      </c>
    </row>
    <row r="5567" spans="1:12" ht="22.5" x14ac:dyDescent="0.2">
      <c r="A5567" s="246">
        <v>2022</v>
      </c>
      <c r="B5567" s="246">
        <v>1</v>
      </c>
      <c r="C5567" s="246">
        <v>6</v>
      </c>
      <c r="D5567" s="270">
        <f t="shared" si="200"/>
        <v>44567</v>
      </c>
      <c r="E5567" s="279">
        <f t="shared" si="201"/>
        <v>44567</v>
      </c>
      <c r="F5567" s="482" t="s">
        <v>148</v>
      </c>
      <c r="G5567" s="247" t="s">
        <v>94</v>
      </c>
      <c r="H5567" s="247" t="str" cm="1">
        <f t="array" ref="H5567">IFERROR(INDEX(INVESTOR_LIST[INVESTOR NAME],MATCH(I5567,INVESTOR_LIST[INVESTOR CODE],0),)," ")</f>
        <v xml:space="preserve"> </v>
      </c>
      <c r="I5567" s="248" t="s">
        <v>348</v>
      </c>
      <c r="J5567" s="249" t="s">
        <v>95</v>
      </c>
      <c r="K5567" s="250">
        <v>2747.2527472527472</v>
      </c>
      <c r="L5567" s="241"/>
    </row>
    <row r="5568" spans="1:12" x14ac:dyDescent="0.2">
      <c r="A5568" s="242">
        <v>2022</v>
      </c>
      <c r="B5568" s="242">
        <v>1</v>
      </c>
      <c r="C5568" s="242">
        <v>6</v>
      </c>
      <c r="D5568" s="270">
        <f t="shared" si="200"/>
        <v>44567</v>
      </c>
      <c r="E5568" s="279">
        <f t="shared" si="201"/>
        <v>44567</v>
      </c>
      <c r="F5568" s="478"/>
      <c r="G5568" s="243" t="s">
        <v>94</v>
      </c>
      <c r="H5568" s="243" t="str" cm="1">
        <f t="array" ref="H5568">IFERROR(INDEX(INVESTOR_LIST[INVESTOR NAME],MATCH(I5568,INVESTOR_LIST[INVESTOR CODE],0),)," ")</f>
        <v xml:space="preserve"> </v>
      </c>
      <c r="I5568" s="263" t="s">
        <v>348</v>
      </c>
      <c r="J5568" s="244" t="s">
        <v>63</v>
      </c>
      <c r="K5568" s="245"/>
      <c r="L5568" s="245">
        <v>2747.2527472527472</v>
      </c>
    </row>
    <row r="5569" spans="1:12" x14ac:dyDescent="0.2">
      <c r="A5569" s="246">
        <v>2022</v>
      </c>
      <c r="B5569" s="246">
        <v>1</v>
      </c>
      <c r="C5569" s="246">
        <v>6</v>
      </c>
      <c r="D5569" s="270">
        <f t="shared" si="200"/>
        <v>44567</v>
      </c>
      <c r="E5569" s="279">
        <f t="shared" si="201"/>
        <v>44567</v>
      </c>
      <c r="F5569" s="482" t="s">
        <v>137</v>
      </c>
      <c r="G5569" s="247" t="s">
        <v>94</v>
      </c>
      <c r="H5569" s="247" t="str" cm="1">
        <f t="array" ref="H5569">IFERROR(INDEX(INVESTOR_LIST[INVESTOR NAME],MATCH(I5569,INVESTOR_LIST[INVESTOR CODE],0),)," ")</f>
        <v xml:space="preserve"> </v>
      </c>
      <c r="I5569" s="248" t="s">
        <v>348</v>
      </c>
      <c r="J5569" s="249" t="s">
        <v>97</v>
      </c>
      <c r="K5569" s="250">
        <v>74309.665295523242</v>
      </c>
      <c r="L5569" s="252"/>
    </row>
    <row r="5570" spans="1:12" x14ac:dyDescent="0.2">
      <c r="A5570" s="242">
        <v>2022</v>
      </c>
      <c r="B5570" s="242">
        <v>1</v>
      </c>
      <c r="C5570" s="242">
        <v>6</v>
      </c>
      <c r="D5570" s="270">
        <f t="shared" si="200"/>
        <v>44567</v>
      </c>
      <c r="E5570" s="279">
        <f t="shared" si="201"/>
        <v>44567</v>
      </c>
      <c r="F5570" s="478"/>
      <c r="G5570" s="243" t="s">
        <v>94</v>
      </c>
      <c r="H5570" s="243" t="str" cm="1">
        <f t="array" ref="H5570">IFERROR(INDEX(INVESTOR_LIST[INVESTOR NAME],MATCH(I5570,INVESTOR_LIST[INVESTOR CODE],0),)," ")</f>
        <v xml:space="preserve"> </v>
      </c>
      <c r="I5570" s="263" t="s">
        <v>348</v>
      </c>
      <c r="J5570" s="244" t="s">
        <v>47</v>
      </c>
      <c r="K5570" s="245"/>
      <c r="L5570" s="245">
        <v>74309.665295523242</v>
      </c>
    </row>
    <row r="5571" spans="1:12" x14ac:dyDescent="0.2">
      <c r="A5571" s="246">
        <v>2022</v>
      </c>
      <c r="B5571" s="246">
        <v>1</v>
      </c>
      <c r="C5571" s="246">
        <v>6</v>
      </c>
      <c r="D5571" s="270">
        <f t="shared" si="200"/>
        <v>44567</v>
      </c>
      <c r="E5571" s="279">
        <f t="shared" si="201"/>
        <v>44567</v>
      </c>
      <c r="F5571" s="482" t="s">
        <v>138</v>
      </c>
      <c r="G5571" s="247" t="s">
        <v>94</v>
      </c>
      <c r="H5571" s="247" t="str" cm="1">
        <f t="array" ref="H5571">IFERROR(INDEX(INVESTOR_LIST[INVESTOR NAME],MATCH(I5571,INVESTOR_LIST[INVESTOR CODE],0),)," ")</f>
        <v xml:space="preserve"> </v>
      </c>
      <c r="I5571" s="248" t="s">
        <v>348</v>
      </c>
      <c r="J5571" s="249" t="s">
        <v>100</v>
      </c>
      <c r="K5571" s="250">
        <v>3475.098649391547</v>
      </c>
      <c r="L5571" s="252"/>
    </row>
    <row r="5572" spans="1:12" x14ac:dyDescent="0.2">
      <c r="A5572" s="242">
        <v>2022</v>
      </c>
      <c r="B5572" s="242">
        <v>1</v>
      </c>
      <c r="C5572" s="242">
        <v>6</v>
      </c>
      <c r="D5572" s="270">
        <f t="shared" si="200"/>
        <v>44567</v>
      </c>
      <c r="E5572" s="279">
        <f t="shared" si="201"/>
        <v>44567</v>
      </c>
      <c r="F5572" s="478"/>
      <c r="G5572" s="243" t="s">
        <v>94</v>
      </c>
      <c r="H5572" s="243" t="str" cm="1">
        <f t="array" ref="H5572">IFERROR(INDEX(INVESTOR_LIST[INVESTOR NAME],MATCH(I5572,INVESTOR_LIST[INVESTOR CODE],0),)," ")</f>
        <v xml:space="preserve"> </v>
      </c>
      <c r="I5572" s="263" t="s">
        <v>348</v>
      </c>
      <c r="J5572" s="244" t="s">
        <v>48</v>
      </c>
      <c r="K5572" s="245"/>
      <c r="L5572" s="245">
        <v>3475.098649391547</v>
      </c>
    </row>
    <row r="5573" spans="1:12" x14ac:dyDescent="0.2">
      <c r="A5573" s="133">
        <v>2022</v>
      </c>
      <c r="B5573" s="133">
        <v>1</v>
      </c>
      <c r="C5573" s="133">
        <v>9</v>
      </c>
      <c r="D5573" s="141">
        <f t="shared" ref="D5573:D5574" si="202">DATE(A5573,B5573,C5573)</f>
        <v>44570</v>
      </c>
      <c r="E5573" s="275">
        <f t="shared" ref="E5573:E5574" si="203">DATE(A5573,B5573,C5573)</f>
        <v>44570</v>
      </c>
      <c r="F5573" s="479" t="s">
        <v>77</v>
      </c>
      <c r="G5573" s="174" t="s">
        <v>74</v>
      </c>
      <c r="H5573" s="148" t="str" cm="1">
        <f t="array" ref="H5573">IFERROR(INDEX(INVESTOR_LIST[INVESTOR NAME],MATCH(I5573,INVESTOR_LIST[INVESTOR CODE],0),)," ")</f>
        <v xml:space="preserve"> </v>
      </c>
      <c r="I5573" s="148" t="s">
        <v>348</v>
      </c>
      <c r="J5573" s="133" t="s">
        <v>61</v>
      </c>
      <c r="K5573" s="172">
        <v>60</v>
      </c>
    </row>
    <row r="5574" spans="1:12" x14ac:dyDescent="0.2">
      <c r="A5574" s="163">
        <v>2022</v>
      </c>
      <c r="B5574" s="163">
        <v>1</v>
      </c>
      <c r="C5574" s="163">
        <v>9</v>
      </c>
      <c r="D5574" s="141">
        <f t="shared" si="202"/>
        <v>44570</v>
      </c>
      <c r="E5574" s="275">
        <f t="shared" si="203"/>
        <v>44570</v>
      </c>
      <c r="F5574" s="480"/>
      <c r="G5574" s="221" t="s">
        <v>74</v>
      </c>
      <c r="H5574" s="145" t="str" cm="1">
        <f t="array" ref="H5574">IFERROR(INDEX(INVESTOR_LIST[INVESTOR NAME],MATCH(I5574,INVESTOR_LIST[INVESTOR CODE],0),)," ")</f>
        <v xml:space="preserve"> </v>
      </c>
      <c r="I5574" s="145" t="s">
        <v>348</v>
      </c>
      <c r="J5574" s="163" t="s">
        <v>52</v>
      </c>
      <c r="K5574" s="219"/>
      <c r="L5574" s="219">
        <v>60</v>
      </c>
    </row>
    <row r="5575" spans="1:12" x14ac:dyDescent="0.2">
      <c r="A5575" s="133">
        <v>2022</v>
      </c>
      <c r="B5575" s="133">
        <v>1</v>
      </c>
      <c r="C5575" s="133">
        <v>9</v>
      </c>
      <c r="D5575" s="141">
        <f t="shared" ref="D5575:D5579" si="204">DATE(A5575,B5575,C5575)</f>
        <v>44570</v>
      </c>
      <c r="E5575" s="275">
        <f t="shared" ref="E5575:E5579" si="205">DATE(A5575,B5575,C5575)</f>
        <v>44570</v>
      </c>
      <c r="F5575" s="479" t="s">
        <v>77</v>
      </c>
      <c r="G5575" s="174" t="s">
        <v>74</v>
      </c>
      <c r="H5575" s="148" t="str" cm="1">
        <f t="array" ref="H5575">IFERROR(INDEX(INVESTOR_LIST[INVESTOR NAME],MATCH(I5575,INVESTOR_LIST[INVESTOR CODE],0),)," ")</f>
        <v xml:space="preserve"> </v>
      </c>
      <c r="I5575" s="148" t="s">
        <v>348</v>
      </c>
      <c r="J5575" s="133" t="s">
        <v>61</v>
      </c>
      <c r="K5575" s="172">
        <v>60</v>
      </c>
    </row>
    <row r="5576" spans="1:12" x14ac:dyDescent="0.2">
      <c r="A5576" s="163">
        <v>2022</v>
      </c>
      <c r="B5576" s="163">
        <v>1</v>
      </c>
      <c r="C5576" s="163">
        <v>9</v>
      </c>
      <c r="D5576" s="141">
        <f t="shared" si="204"/>
        <v>44570</v>
      </c>
      <c r="E5576" s="275">
        <f t="shared" si="205"/>
        <v>44570</v>
      </c>
      <c r="F5576" s="480"/>
      <c r="G5576" s="221" t="s">
        <v>74</v>
      </c>
      <c r="H5576" s="145" t="str" cm="1">
        <f t="array" ref="H5576">IFERROR(INDEX(INVESTOR_LIST[INVESTOR NAME],MATCH(I5576,INVESTOR_LIST[INVESTOR CODE],0),)," ")</f>
        <v xml:space="preserve"> </v>
      </c>
      <c r="I5576" s="145" t="s">
        <v>348</v>
      </c>
      <c r="J5576" s="163" t="s">
        <v>52</v>
      </c>
      <c r="K5576" s="219"/>
      <c r="L5576" s="219">
        <v>60</v>
      </c>
    </row>
    <row r="5577" spans="1:12" ht="33.75" x14ac:dyDescent="0.2">
      <c r="A5577" s="168">
        <v>2022</v>
      </c>
      <c r="B5577" s="168">
        <v>1</v>
      </c>
      <c r="C5577" s="133">
        <v>9</v>
      </c>
      <c r="D5577" s="141">
        <f t="shared" si="204"/>
        <v>44570</v>
      </c>
      <c r="E5577" s="275">
        <f t="shared" si="205"/>
        <v>44570</v>
      </c>
      <c r="F5577" s="479" t="s">
        <v>964</v>
      </c>
      <c r="G5577" s="220" t="s">
        <v>74</v>
      </c>
      <c r="H5577" s="142" t="str" cm="1">
        <f t="array" ref="H5577">IFERROR(INDEX(INVESTOR_LIST[INVESTOR NAME],MATCH(I5577,INVESTOR_LIST[INVESTOR CODE],0),)," ")</f>
        <v>AHMED BIN MONSUR</v>
      </c>
      <c r="I5577" s="142" t="s">
        <v>992</v>
      </c>
      <c r="J5577" s="168" t="s">
        <v>52</v>
      </c>
      <c r="K5577" s="226">
        <v>1000000</v>
      </c>
      <c r="L5577" s="226"/>
    </row>
    <row r="5578" spans="1:12" ht="33.75" x14ac:dyDescent="0.2">
      <c r="A5578" s="133">
        <v>2022</v>
      </c>
      <c r="B5578" s="133">
        <v>1</v>
      </c>
      <c r="C5578" s="133">
        <v>9</v>
      </c>
      <c r="D5578" s="141">
        <f t="shared" si="204"/>
        <v>44570</v>
      </c>
      <c r="E5578" s="275">
        <f t="shared" si="205"/>
        <v>44570</v>
      </c>
      <c r="F5578" s="481"/>
      <c r="G5578" s="174" t="s">
        <v>74</v>
      </c>
      <c r="H5578" s="148" t="str" cm="1">
        <f t="array" ref="H5578">IFERROR(INDEX(INVESTOR_LIST[INVESTOR NAME],MATCH(I5578,INVESTOR_LIST[INVESTOR CODE],0),)," ")</f>
        <v>AHMED BIN MONSUR</v>
      </c>
      <c r="I5578" s="148" t="s">
        <v>992</v>
      </c>
      <c r="J5578" s="133" t="s">
        <v>13</v>
      </c>
      <c r="K5578" s="218"/>
      <c r="L5578" s="218">
        <v>819670</v>
      </c>
    </row>
    <row r="5579" spans="1:12" ht="33.75" x14ac:dyDescent="0.2">
      <c r="A5579" s="163">
        <v>2022</v>
      </c>
      <c r="B5579" s="163">
        <v>1</v>
      </c>
      <c r="C5579" s="163">
        <v>9</v>
      </c>
      <c r="D5579" s="141">
        <f t="shared" si="204"/>
        <v>44570</v>
      </c>
      <c r="E5579" s="275">
        <f t="shared" si="205"/>
        <v>44570</v>
      </c>
      <c r="F5579" s="480"/>
      <c r="G5579" s="221" t="s">
        <v>74</v>
      </c>
      <c r="H5579" s="145" t="str" cm="1">
        <f t="array" ref="H5579">IFERROR(INDEX(INVESTOR_LIST[INVESTOR NAME],MATCH(I5579,INVESTOR_LIST[INVESTOR CODE],0),)," ")</f>
        <v>AHMED BIN MONSUR</v>
      </c>
      <c r="I5579" s="145" t="s">
        <v>992</v>
      </c>
      <c r="J5579" s="163" t="s">
        <v>53</v>
      </c>
      <c r="K5579" s="219"/>
      <c r="L5579" s="219">
        <v>180330</v>
      </c>
    </row>
    <row r="5580" spans="1:12" ht="33.75" x14ac:dyDescent="0.2">
      <c r="A5580" s="168">
        <v>2022</v>
      </c>
      <c r="B5580" s="168">
        <v>1</v>
      </c>
      <c r="C5580" s="133">
        <v>9</v>
      </c>
      <c r="D5580" s="141">
        <f t="shared" ref="D5580:D5582" si="206">DATE(A5580,B5580,C5580)</f>
        <v>44570</v>
      </c>
      <c r="E5580" s="275">
        <f t="shared" ref="E5580:E5582" si="207">DATE(A5580,B5580,C5580)</f>
        <v>44570</v>
      </c>
      <c r="F5580" s="479" t="s">
        <v>964</v>
      </c>
      <c r="G5580" s="220" t="s">
        <v>74</v>
      </c>
      <c r="H5580" s="142" t="str" cm="1">
        <f t="array" ref="H5580">IFERROR(INDEX(INVESTOR_LIST[INVESTOR NAME],MATCH(I5580,INVESTOR_LIST[INVESTOR CODE],0),)," ")</f>
        <v>A.T.M. MORSHED KAMAL</v>
      </c>
      <c r="I5580" s="142" t="s">
        <v>872</v>
      </c>
      <c r="J5580" s="168" t="s">
        <v>52</v>
      </c>
      <c r="K5580" s="226">
        <v>300000</v>
      </c>
      <c r="L5580" s="226"/>
    </row>
    <row r="5581" spans="1:12" ht="33.75" x14ac:dyDescent="0.2">
      <c r="A5581" s="133">
        <v>2022</v>
      </c>
      <c r="B5581" s="133">
        <v>1</v>
      </c>
      <c r="C5581" s="133">
        <v>9</v>
      </c>
      <c r="D5581" s="141">
        <f t="shared" si="206"/>
        <v>44570</v>
      </c>
      <c r="E5581" s="275">
        <f t="shared" si="207"/>
        <v>44570</v>
      </c>
      <c r="F5581" s="481"/>
      <c r="G5581" s="174" t="s">
        <v>74</v>
      </c>
      <c r="H5581" s="148" t="str" cm="1">
        <f t="array" ref="H5581">IFERROR(INDEX(INVESTOR_LIST[INVESTOR NAME],MATCH(I5581,INVESTOR_LIST[INVESTOR CODE],0),)," ")</f>
        <v>A.T.M. MORSHED KAMAL</v>
      </c>
      <c r="I5581" s="148" t="s">
        <v>872</v>
      </c>
      <c r="J5581" s="133" t="s">
        <v>13</v>
      </c>
      <c r="K5581" s="218"/>
      <c r="L5581" s="218">
        <v>245900</v>
      </c>
    </row>
    <row r="5582" spans="1:12" ht="33.75" x14ac:dyDescent="0.2">
      <c r="A5582" s="163">
        <v>2022</v>
      </c>
      <c r="B5582" s="163">
        <v>1</v>
      </c>
      <c r="C5582" s="163">
        <v>9</v>
      </c>
      <c r="D5582" s="141">
        <f t="shared" si="206"/>
        <v>44570</v>
      </c>
      <c r="E5582" s="275">
        <f t="shared" si="207"/>
        <v>44570</v>
      </c>
      <c r="F5582" s="480"/>
      <c r="G5582" s="221" t="s">
        <v>74</v>
      </c>
      <c r="H5582" s="145" t="str" cm="1">
        <f t="array" ref="H5582">IFERROR(INDEX(INVESTOR_LIST[INVESTOR NAME],MATCH(I5582,INVESTOR_LIST[INVESTOR CODE],0),)," ")</f>
        <v>A.T.M. MORSHED KAMAL</v>
      </c>
      <c r="I5582" s="145" t="s">
        <v>872</v>
      </c>
      <c r="J5582" s="163" t="s">
        <v>53</v>
      </c>
      <c r="K5582" s="219"/>
      <c r="L5582" s="219">
        <v>54100</v>
      </c>
    </row>
    <row r="5583" spans="1:12" x14ac:dyDescent="0.2">
      <c r="A5583" s="168">
        <v>2022</v>
      </c>
      <c r="B5583" s="168">
        <v>1</v>
      </c>
      <c r="C5583" s="168">
        <v>10</v>
      </c>
      <c r="D5583" s="141">
        <f t="shared" si="194"/>
        <v>44571</v>
      </c>
      <c r="E5583" s="275">
        <f t="shared" si="195"/>
        <v>44571</v>
      </c>
      <c r="F5583" s="479" t="s">
        <v>978</v>
      </c>
      <c r="G5583" s="220" t="s">
        <v>74</v>
      </c>
      <c r="H5583" s="220" t="str" cm="1">
        <f t="array" ref="H5583">IFERROR(INDEX(INVESTOR_LIST[INVESTOR NAME],MATCH(I5583,INVESTOR_LIST[INVESTOR CODE],0),)," ")</f>
        <v xml:space="preserve"> </v>
      </c>
      <c r="I5583" s="142" t="s">
        <v>348</v>
      </c>
      <c r="J5583" s="143" t="s">
        <v>79</v>
      </c>
      <c r="K5583" s="226">
        <v>61300</v>
      </c>
      <c r="L5583" s="226"/>
    </row>
    <row r="5584" spans="1:12" x14ac:dyDescent="0.2">
      <c r="A5584" s="133">
        <v>2022</v>
      </c>
      <c r="B5584" s="133">
        <v>1</v>
      </c>
      <c r="C5584" s="133">
        <v>10</v>
      </c>
      <c r="D5584" s="141">
        <f t="shared" si="194"/>
        <v>44571</v>
      </c>
      <c r="E5584" s="275">
        <f t="shared" si="195"/>
        <v>44571</v>
      </c>
      <c r="F5584" s="481"/>
      <c r="G5584" s="174" t="s">
        <v>74</v>
      </c>
      <c r="H5584" s="174" t="str" cm="1">
        <f t="array" ref="H5584">IFERROR(INDEX(INVESTOR_LIST[INVESTOR NAME],MATCH(I5584,INVESTOR_LIST[INVESTOR CODE],0),)," ")</f>
        <v xml:space="preserve"> </v>
      </c>
      <c r="I5584" s="148" t="s">
        <v>348</v>
      </c>
      <c r="J5584" s="149" t="s">
        <v>52</v>
      </c>
      <c r="K5584" s="218">
        <v>576200</v>
      </c>
      <c r="L5584" s="218"/>
    </row>
    <row r="5585" spans="1:12" x14ac:dyDescent="0.2">
      <c r="A5585" s="163">
        <v>2022</v>
      </c>
      <c r="B5585" s="163">
        <v>1</v>
      </c>
      <c r="C5585" s="163">
        <v>10</v>
      </c>
      <c r="D5585" s="141">
        <f t="shared" si="194"/>
        <v>44571</v>
      </c>
      <c r="E5585" s="275">
        <f t="shared" si="195"/>
        <v>44571</v>
      </c>
      <c r="F5585" s="480"/>
      <c r="G5585" s="221" t="s">
        <v>74</v>
      </c>
      <c r="H5585" s="221" t="str" cm="1">
        <f t="array" ref="H5585">IFERROR(INDEX(INVESTOR_LIST[INVESTOR NAME],MATCH(I5585,INVESTOR_LIST[INVESTOR CODE],0),)," ")</f>
        <v xml:space="preserve"> </v>
      </c>
      <c r="I5585" s="145" t="s">
        <v>348</v>
      </c>
      <c r="J5585" s="146" t="s">
        <v>184</v>
      </c>
      <c r="K5585" s="219"/>
      <c r="L5585" s="219">
        <v>637500</v>
      </c>
    </row>
    <row r="5586" spans="1:12" x14ac:dyDescent="0.2">
      <c r="A5586" s="168">
        <v>2022</v>
      </c>
      <c r="B5586" s="168">
        <v>1</v>
      </c>
      <c r="C5586" s="168">
        <v>10</v>
      </c>
      <c r="D5586" s="141">
        <f t="shared" si="194"/>
        <v>44571</v>
      </c>
      <c r="E5586" s="275">
        <f t="shared" si="195"/>
        <v>44571</v>
      </c>
      <c r="F5586" s="479" t="s">
        <v>979</v>
      </c>
      <c r="G5586" s="220" t="s">
        <v>74</v>
      </c>
      <c r="H5586" s="220" t="str" cm="1">
        <f t="array" ref="H5586">IFERROR(INDEX(INVESTOR_LIST[INVESTOR NAME],MATCH(I5586,INVESTOR_LIST[INVESTOR CODE],0),)," ")</f>
        <v xml:space="preserve"> </v>
      </c>
      <c r="I5586" s="142" t="s">
        <v>348</v>
      </c>
      <c r="J5586" s="143" t="s">
        <v>79</v>
      </c>
      <c r="K5586" s="226">
        <v>2243380</v>
      </c>
      <c r="L5586" s="226"/>
    </row>
    <row r="5587" spans="1:12" x14ac:dyDescent="0.2">
      <c r="A5587" s="133">
        <v>2022</v>
      </c>
      <c r="B5587" s="133">
        <v>1</v>
      </c>
      <c r="C5587" s="133">
        <v>10</v>
      </c>
      <c r="D5587" s="141">
        <f t="shared" si="194"/>
        <v>44571</v>
      </c>
      <c r="E5587" s="275">
        <f t="shared" si="195"/>
        <v>44571</v>
      </c>
      <c r="F5587" s="481"/>
      <c r="G5587" s="174" t="s">
        <v>74</v>
      </c>
      <c r="H5587" s="174" t="str" cm="1">
        <f t="array" ref="H5587">IFERROR(INDEX(INVESTOR_LIST[INVESTOR NAME],MATCH(I5587,INVESTOR_LIST[INVESTOR CODE],0),)," ")</f>
        <v xml:space="preserve"> </v>
      </c>
      <c r="I5587" s="148" t="s">
        <v>348</v>
      </c>
      <c r="J5587" s="149" t="s">
        <v>52</v>
      </c>
      <c r="K5587" s="218">
        <v>19156620</v>
      </c>
      <c r="L5587" s="218"/>
    </row>
    <row r="5588" spans="1:12" x14ac:dyDescent="0.2">
      <c r="A5588" s="163">
        <v>2022</v>
      </c>
      <c r="B5588" s="163">
        <v>1</v>
      </c>
      <c r="C5588" s="163">
        <v>10</v>
      </c>
      <c r="D5588" s="141">
        <f t="shared" si="194"/>
        <v>44571</v>
      </c>
      <c r="E5588" s="275">
        <f t="shared" si="195"/>
        <v>44571</v>
      </c>
      <c r="F5588" s="480"/>
      <c r="G5588" s="221" t="s">
        <v>74</v>
      </c>
      <c r="H5588" s="221" t="str" cm="1">
        <f t="array" ref="H5588">IFERROR(INDEX(INVESTOR_LIST[INVESTOR NAME],MATCH(I5588,INVESTOR_LIST[INVESTOR CODE],0),)," ")</f>
        <v xml:space="preserve"> </v>
      </c>
      <c r="I5588" s="145" t="s">
        <v>348</v>
      </c>
      <c r="J5588" s="146" t="s">
        <v>184</v>
      </c>
      <c r="K5588" s="219"/>
      <c r="L5588" s="219">
        <v>21400000</v>
      </c>
    </row>
    <row r="5589" spans="1:12" x14ac:dyDescent="0.2">
      <c r="A5589" s="133">
        <v>2022</v>
      </c>
      <c r="B5589" s="133">
        <v>1</v>
      </c>
      <c r="C5589" s="133">
        <v>11</v>
      </c>
      <c r="D5589" s="141">
        <f t="shared" ref="D5589:D5592" si="208">DATE(A5589,B5589,C5589)</f>
        <v>44572</v>
      </c>
      <c r="E5589" s="275">
        <f t="shared" ref="E5589:E5592" si="209">DATE(A5589,B5589,C5589)</f>
        <v>44572</v>
      </c>
      <c r="F5589" s="481" t="s">
        <v>275</v>
      </c>
      <c r="G5589" s="174" t="s">
        <v>74</v>
      </c>
      <c r="H5589" s="174" t="str" cm="1">
        <f t="array" ref="H5589">IFERROR(INDEX(INVESTOR_LIST[INVESTOR NAME],MATCH(I5589,INVESTOR_LIST[INVESTOR CODE],0),)," ")</f>
        <v xml:space="preserve"> </v>
      </c>
      <c r="I5589" s="148" t="s">
        <v>348</v>
      </c>
      <c r="J5589" s="149" t="s">
        <v>163</v>
      </c>
      <c r="K5589" s="218">
        <v>3150</v>
      </c>
      <c r="L5589" s="218"/>
    </row>
    <row r="5590" spans="1:12" x14ac:dyDescent="0.2">
      <c r="A5590" s="163">
        <v>2022</v>
      </c>
      <c r="B5590" s="163">
        <v>1</v>
      </c>
      <c r="C5590" s="163">
        <v>11</v>
      </c>
      <c r="D5590" s="141">
        <f t="shared" si="208"/>
        <v>44572</v>
      </c>
      <c r="E5590" s="275">
        <f t="shared" si="209"/>
        <v>44572</v>
      </c>
      <c r="F5590" s="480"/>
      <c r="G5590" s="221" t="s">
        <v>74</v>
      </c>
      <c r="H5590" s="221" t="str" cm="1">
        <f t="array" ref="H5590">IFERROR(INDEX(INVESTOR_LIST[INVESTOR NAME],MATCH(I5590,INVESTOR_LIST[INVESTOR CODE],0),)," ")</f>
        <v xml:space="preserve"> </v>
      </c>
      <c r="I5590" s="145" t="s">
        <v>348</v>
      </c>
      <c r="J5590" s="146" t="s">
        <v>52</v>
      </c>
      <c r="K5590" s="219"/>
      <c r="L5590" s="219">
        <v>3150</v>
      </c>
    </row>
    <row r="5591" spans="1:12" x14ac:dyDescent="0.2">
      <c r="A5591" s="133">
        <v>2022</v>
      </c>
      <c r="B5591" s="133">
        <v>1</v>
      </c>
      <c r="C5591" s="133">
        <v>12</v>
      </c>
      <c r="D5591" s="141">
        <f t="shared" si="208"/>
        <v>44573</v>
      </c>
      <c r="E5591" s="275">
        <f t="shared" si="209"/>
        <v>44573</v>
      </c>
      <c r="F5591" s="479" t="s">
        <v>77</v>
      </c>
      <c r="G5591" s="174" t="s">
        <v>74</v>
      </c>
      <c r="H5591" s="148" t="str" cm="1">
        <f t="array" ref="H5591">IFERROR(INDEX(INVESTOR_LIST[INVESTOR NAME],MATCH(I5591,INVESTOR_LIST[INVESTOR CODE],0),)," ")</f>
        <v xml:space="preserve"> </v>
      </c>
      <c r="I5591" s="148" t="s">
        <v>348</v>
      </c>
      <c r="J5591" s="133" t="s">
        <v>61</v>
      </c>
      <c r="K5591" s="172">
        <v>60</v>
      </c>
    </row>
    <row r="5592" spans="1:12" x14ac:dyDescent="0.2">
      <c r="A5592" s="163">
        <v>2022</v>
      </c>
      <c r="B5592" s="163">
        <v>1</v>
      </c>
      <c r="C5592" s="163">
        <v>12</v>
      </c>
      <c r="D5592" s="141">
        <f t="shared" si="208"/>
        <v>44573</v>
      </c>
      <c r="E5592" s="275">
        <f t="shared" si="209"/>
        <v>44573</v>
      </c>
      <c r="F5592" s="480"/>
      <c r="G5592" s="221" t="s">
        <v>74</v>
      </c>
      <c r="H5592" s="145" t="str" cm="1">
        <f t="array" ref="H5592">IFERROR(INDEX(INVESTOR_LIST[INVESTOR NAME],MATCH(I5592,INVESTOR_LIST[INVESTOR CODE],0),)," ")</f>
        <v xml:space="preserve"> </v>
      </c>
      <c r="I5592" s="145" t="s">
        <v>348</v>
      </c>
      <c r="J5592" s="163" t="s">
        <v>52</v>
      </c>
      <c r="K5592" s="219"/>
      <c r="L5592" s="219">
        <v>60</v>
      </c>
    </row>
    <row r="5593" spans="1:12" x14ac:dyDescent="0.2">
      <c r="A5593" s="133">
        <v>2022</v>
      </c>
      <c r="B5593" s="133">
        <v>1</v>
      </c>
      <c r="C5593" s="133">
        <v>12</v>
      </c>
      <c r="D5593" s="141">
        <f t="shared" ref="D5593:D5597" si="210">DATE(A5593,B5593,C5593)</f>
        <v>44573</v>
      </c>
      <c r="E5593" s="275">
        <f t="shared" ref="E5593:E5597" si="211">DATE(A5593,B5593,C5593)</f>
        <v>44573</v>
      </c>
      <c r="F5593" s="479" t="s">
        <v>77</v>
      </c>
      <c r="G5593" s="174" t="s">
        <v>74</v>
      </c>
      <c r="H5593" s="148" t="str" cm="1">
        <f t="array" ref="H5593">IFERROR(INDEX(INVESTOR_LIST[INVESTOR NAME],MATCH(I5593,INVESTOR_LIST[INVESTOR CODE],0),)," ")</f>
        <v xml:space="preserve"> </v>
      </c>
      <c r="I5593" s="148" t="s">
        <v>348</v>
      </c>
      <c r="J5593" s="133" t="s">
        <v>61</v>
      </c>
      <c r="K5593" s="172">
        <v>10</v>
      </c>
    </row>
    <row r="5594" spans="1:12" x14ac:dyDescent="0.2">
      <c r="A5594" s="163">
        <v>2022</v>
      </c>
      <c r="B5594" s="163">
        <v>1</v>
      </c>
      <c r="C5594" s="163">
        <v>12</v>
      </c>
      <c r="D5594" s="141">
        <f t="shared" si="210"/>
        <v>44573</v>
      </c>
      <c r="E5594" s="275">
        <f t="shared" si="211"/>
        <v>44573</v>
      </c>
      <c r="F5594" s="480"/>
      <c r="G5594" s="221" t="s">
        <v>74</v>
      </c>
      <c r="H5594" s="145" t="str" cm="1">
        <f t="array" ref="H5594">IFERROR(INDEX(INVESTOR_LIST[INVESTOR NAME],MATCH(I5594,INVESTOR_LIST[INVESTOR CODE],0),)," ")</f>
        <v xml:space="preserve"> </v>
      </c>
      <c r="I5594" s="145" t="s">
        <v>348</v>
      </c>
      <c r="J5594" s="163" t="s">
        <v>52</v>
      </c>
      <c r="K5594" s="219"/>
      <c r="L5594" s="219">
        <v>10</v>
      </c>
    </row>
    <row r="5595" spans="1:12" ht="33.75" x14ac:dyDescent="0.2">
      <c r="A5595" s="168">
        <v>2022</v>
      </c>
      <c r="B5595" s="168">
        <v>1</v>
      </c>
      <c r="C5595" s="133">
        <v>12</v>
      </c>
      <c r="D5595" s="141">
        <f t="shared" si="210"/>
        <v>44573</v>
      </c>
      <c r="E5595" s="275">
        <f t="shared" si="211"/>
        <v>44573</v>
      </c>
      <c r="F5595" s="479" t="s">
        <v>964</v>
      </c>
      <c r="G5595" s="220" t="s">
        <v>74</v>
      </c>
      <c r="H5595" s="142" t="str" cm="1">
        <f t="array" ref="H5595">IFERROR(INDEX(INVESTOR_LIST[INVESTOR NAME],MATCH(I5595,INVESTOR_LIST[INVESTOR CODE],0),)," ")</f>
        <v>ASHIT BARAN SAHA</v>
      </c>
      <c r="I5595" s="142" t="s">
        <v>442</v>
      </c>
      <c r="J5595" s="168" t="s">
        <v>52</v>
      </c>
      <c r="K5595" s="226">
        <v>2209500</v>
      </c>
      <c r="L5595" s="226"/>
    </row>
    <row r="5596" spans="1:12" ht="33.75" x14ac:dyDescent="0.2">
      <c r="A5596" s="133">
        <v>2022</v>
      </c>
      <c r="B5596" s="133">
        <v>1</v>
      </c>
      <c r="C5596" s="133">
        <v>12</v>
      </c>
      <c r="D5596" s="141">
        <f t="shared" si="210"/>
        <v>44573</v>
      </c>
      <c r="E5596" s="275">
        <f t="shared" si="211"/>
        <v>44573</v>
      </c>
      <c r="F5596" s="481"/>
      <c r="G5596" s="174" t="s">
        <v>74</v>
      </c>
      <c r="H5596" s="148" t="str" cm="1">
        <f t="array" ref="H5596">IFERROR(INDEX(INVESTOR_LIST[INVESTOR NAME],MATCH(I5596,INVESTOR_LIST[INVESTOR CODE],0),)," ")</f>
        <v>ASHIT BARAN SAHA</v>
      </c>
      <c r="I5596" s="148" t="s">
        <v>442</v>
      </c>
      <c r="J5596" s="133" t="s">
        <v>13</v>
      </c>
      <c r="K5596" s="218"/>
      <c r="L5596" s="218">
        <v>1821500</v>
      </c>
    </row>
    <row r="5597" spans="1:12" ht="33.75" x14ac:dyDescent="0.2">
      <c r="A5597" s="163">
        <v>2022</v>
      </c>
      <c r="B5597" s="163">
        <v>1</v>
      </c>
      <c r="C5597" s="163">
        <v>12</v>
      </c>
      <c r="D5597" s="141">
        <f t="shared" si="210"/>
        <v>44573</v>
      </c>
      <c r="E5597" s="275">
        <f t="shared" si="211"/>
        <v>44573</v>
      </c>
      <c r="F5597" s="480"/>
      <c r="G5597" s="221" t="s">
        <v>74</v>
      </c>
      <c r="H5597" s="145" t="str" cm="1">
        <f t="array" ref="H5597">IFERROR(INDEX(INVESTOR_LIST[INVESTOR NAME],MATCH(I5597,INVESTOR_LIST[INVESTOR CODE],0),)," ")</f>
        <v>ASHIT BARAN SAHA</v>
      </c>
      <c r="I5597" s="145" t="s">
        <v>442</v>
      </c>
      <c r="J5597" s="163" t="s">
        <v>53</v>
      </c>
      <c r="K5597" s="219"/>
      <c r="L5597" s="219">
        <v>388000</v>
      </c>
    </row>
    <row r="5598" spans="1:12" ht="56.25" x14ac:dyDescent="0.2">
      <c r="A5598" s="282">
        <v>2022</v>
      </c>
      <c r="B5598" s="282">
        <v>1</v>
      </c>
      <c r="C5598" s="283">
        <v>12</v>
      </c>
      <c r="D5598" s="284">
        <f t="shared" ref="D5598:D5611" si="212">DATE(A5598,B5598,C5598)</f>
        <v>44573</v>
      </c>
      <c r="E5598" s="285">
        <f t="shared" ref="E5598:E5611" si="213">DATE(A5598,B5598,C5598)</f>
        <v>44573</v>
      </c>
      <c r="F5598" s="487" t="s">
        <v>964</v>
      </c>
      <c r="G5598" s="286" t="s">
        <v>74</v>
      </c>
      <c r="H5598" s="287" t="str" cm="1">
        <f t="array" ref="H5598">IFERROR(INDEX(INVESTOR_LIST[INVESTOR NAME],MATCH(I5598,INVESTOR_LIST[INVESTOR CODE],0),)," ")</f>
        <v>MUNTASIR MAHMUD RAHMAN</v>
      </c>
      <c r="I5598" s="287" t="s">
        <v>994</v>
      </c>
      <c r="J5598" s="282" t="s">
        <v>52</v>
      </c>
      <c r="K5598" s="288">
        <v>200000</v>
      </c>
      <c r="L5598" s="288"/>
    </row>
    <row r="5599" spans="1:12" ht="56.25" x14ac:dyDescent="0.2">
      <c r="A5599" s="283">
        <v>2022</v>
      </c>
      <c r="B5599" s="283">
        <v>1</v>
      </c>
      <c r="C5599" s="283">
        <v>12</v>
      </c>
      <c r="D5599" s="284">
        <f t="shared" si="212"/>
        <v>44573</v>
      </c>
      <c r="E5599" s="285">
        <f t="shared" si="213"/>
        <v>44573</v>
      </c>
      <c r="F5599" s="488"/>
      <c r="G5599" s="289" t="s">
        <v>74</v>
      </c>
      <c r="H5599" s="290" t="str" cm="1">
        <f t="array" ref="H5599">IFERROR(INDEX(INVESTOR_LIST[INVESTOR NAME],MATCH(I5599,INVESTOR_LIST[INVESTOR CODE],0),)," ")</f>
        <v>MUNTASIR MAHMUD RAHMAN</v>
      </c>
      <c r="I5599" s="290" t="s">
        <v>994</v>
      </c>
      <c r="J5599" s="283" t="s">
        <v>13</v>
      </c>
      <c r="K5599" s="291"/>
      <c r="L5599" s="291">
        <v>163940</v>
      </c>
    </row>
    <row r="5600" spans="1:12" ht="56.25" x14ac:dyDescent="0.2">
      <c r="A5600" s="292">
        <v>2022</v>
      </c>
      <c r="B5600" s="292">
        <v>1</v>
      </c>
      <c r="C5600" s="292">
        <v>12</v>
      </c>
      <c r="D5600" s="284">
        <f t="shared" si="212"/>
        <v>44573</v>
      </c>
      <c r="E5600" s="285">
        <f t="shared" si="213"/>
        <v>44573</v>
      </c>
      <c r="F5600" s="489"/>
      <c r="G5600" s="293" t="s">
        <v>74</v>
      </c>
      <c r="H5600" s="294" t="str" cm="1">
        <f t="array" ref="H5600">IFERROR(INDEX(INVESTOR_LIST[INVESTOR NAME],MATCH(I5600,INVESTOR_LIST[INVESTOR CODE],0),)," ")</f>
        <v>MUNTASIR MAHMUD RAHMAN</v>
      </c>
      <c r="I5600" s="294" t="s">
        <v>994</v>
      </c>
      <c r="J5600" s="292" t="s">
        <v>53</v>
      </c>
      <c r="K5600" s="295"/>
      <c r="L5600" s="295">
        <v>36060</v>
      </c>
    </row>
    <row r="5601" spans="1:12" x14ac:dyDescent="0.2">
      <c r="A5601" s="168">
        <v>2022</v>
      </c>
      <c r="B5601" s="168">
        <v>1</v>
      </c>
      <c r="C5601" s="133">
        <v>13</v>
      </c>
      <c r="D5601" s="141">
        <f t="shared" si="212"/>
        <v>44574</v>
      </c>
      <c r="E5601" s="275">
        <f t="shared" si="213"/>
        <v>44574</v>
      </c>
      <c r="F5601" s="479" t="s">
        <v>970</v>
      </c>
      <c r="G5601" s="220" t="s">
        <v>74</v>
      </c>
      <c r="H5601" s="142" t="str" cm="1">
        <f t="array" ref="H5601">IFERROR(INDEX(INVESTOR_LIST[INVESTOR NAME],MATCH(I5601,INVESTOR_LIST[INVESTOR CODE],0),)," ")</f>
        <v xml:space="preserve"> </v>
      </c>
      <c r="I5601" s="142"/>
      <c r="J5601" s="168" t="s">
        <v>52</v>
      </c>
      <c r="K5601" s="226">
        <v>12000</v>
      </c>
      <c r="L5601" s="226"/>
    </row>
    <row r="5602" spans="1:12" x14ac:dyDescent="0.2">
      <c r="A5602" s="133">
        <v>2022</v>
      </c>
      <c r="B5602" s="133">
        <v>1</v>
      </c>
      <c r="C5602" s="133">
        <v>13</v>
      </c>
      <c r="D5602" s="141">
        <f t="shared" si="212"/>
        <v>44574</v>
      </c>
      <c r="E5602" s="275">
        <f t="shared" si="213"/>
        <v>44574</v>
      </c>
      <c r="F5602" s="481"/>
      <c r="G5602" s="174" t="s">
        <v>74</v>
      </c>
      <c r="H5602" s="148" t="str" cm="1">
        <f t="array" ref="H5602">IFERROR(INDEX(INVESTOR_LIST[INVESTOR NAME],MATCH(I5602,INVESTOR_LIST[INVESTOR CODE],0),)," ")</f>
        <v xml:space="preserve"> </v>
      </c>
      <c r="J5602" s="133" t="s">
        <v>13</v>
      </c>
      <c r="K5602" s="218"/>
      <c r="L5602" s="218">
        <v>9690</v>
      </c>
    </row>
    <row r="5603" spans="1:12" x14ac:dyDescent="0.2">
      <c r="A5603" s="163">
        <v>2022</v>
      </c>
      <c r="B5603" s="163">
        <v>1</v>
      </c>
      <c r="C5603" s="163">
        <v>13</v>
      </c>
      <c r="D5603" s="141">
        <f t="shared" si="212"/>
        <v>44574</v>
      </c>
      <c r="E5603" s="275">
        <f t="shared" si="213"/>
        <v>44574</v>
      </c>
      <c r="F5603" s="480"/>
      <c r="G5603" s="221" t="s">
        <v>74</v>
      </c>
      <c r="H5603" s="145" t="str" cm="1">
        <f t="array" ref="H5603">IFERROR(INDEX(INVESTOR_LIST[INVESTOR NAME],MATCH(I5603,INVESTOR_LIST[INVESTOR CODE],0),)," ")</f>
        <v xml:space="preserve"> </v>
      </c>
      <c r="I5603" s="145"/>
      <c r="J5603" s="163" t="s">
        <v>53</v>
      </c>
      <c r="K5603" s="219"/>
      <c r="L5603" s="219">
        <v>2310</v>
      </c>
    </row>
    <row r="5604" spans="1:12" x14ac:dyDescent="0.2">
      <c r="A5604" s="238">
        <v>2022</v>
      </c>
      <c r="B5604" s="238">
        <v>1</v>
      </c>
      <c r="C5604" s="238">
        <v>13</v>
      </c>
      <c r="D5604" s="270">
        <f t="shared" si="212"/>
        <v>44574</v>
      </c>
      <c r="E5604" s="279">
        <f t="shared" si="213"/>
        <v>44574</v>
      </c>
      <c r="F5604" s="477" t="s">
        <v>347</v>
      </c>
      <c r="G5604" s="239" t="s">
        <v>94</v>
      </c>
      <c r="H5604" s="239" t="str" cm="1">
        <f t="array" ref="H5604">IFERROR(INDEX(INVESTOR_LIST[INVESTOR NAME],MATCH(I5604,INVESTOR_LIST[INVESTOR CODE],0),)," ")</f>
        <v xml:space="preserve"> </v>
      </c>
      <c r="I5604" s="262" t="s">
        <v>348</v>
      </c>
      <c r="J5604" s="240" t="s">
        <v>108</v>
      </c>
      <c r="K5604" s="241">
        <v>1462616.8500000238</v>
      </c>
      <c r="L5604" s="241"/>
    </row>
    <row r="5605" spans="1:12" x14ac:dyDescent="0.2">
      <c r="A5605" s="242">
        <v>2022</v>
      </c>
      <c r="B5605" s="242">
        <v>1</v>
      </c>
      <c r="C5605" s="242">
        <v>13</v>
      </c>
      <c r="D5605" s="270">
        <f t="shared" si="212"/>
        <v>44574</v>
      </c>
      <c r="E5605" s="279">
        <f t="shared" si="213"/>
        <v>44574</v>
      </c>
      <c r="F5605" s="478"/>
      <c r="G5605" s="243" t="s">
        <v>94</v>
      </c>
      <c r="H5605" s="243" t="str" cm="1">
        <f t="array" ref="H5605">IFERROR(INDEX(INVESTOR_LIST[INVESTOR NAME],MATCH(I5605,INVESTOR_LIST[INVESTOR CODE],0),)," ")</f>
        <v xml:space="preserve"> </v>
      </c>
      <c r="I5605" s="263" t="s">
        <v>348</v>
      </c>
      <c r="J5605" s="244" t="s">
        <v>82</v>
      </c>
      <c r="K5605" s="245"/>
      <c r="L5605" s="245">
        <v>1462616.8500000238</v>
      </c>
    </row>
    <row r="5606" spans="1:12" ht="22.5" x14ac:dyDescent="0.2">
      <c r="A5606" s="246">
        <v>2022</v>
      </c>
      <c r="B5606" s="246">
        <v>1</v>
      </c>
      <c r="C5606" s="246">
        <v>13</v>
      </c>
      <c r="D5606" s="270">
        <f t="shared" si="212"/>
        <v>44574</v>
      </c>
      <c r="E5606" s="279">
        <f t="shared" si="213"/>
        <v>44574</v>
      </c>
      <c r="F5606" s="482" t="s">
        <v>148</v>
      </c>
      <c r="G5606" s="247" t="s">
        <v>94</v>
      </c>
      <c r="H5606" s="247" t="str" cm="1">
        <f t="array" ref="H5606">IFERROR(INDEX(INVESTOR_LIST[INVESTOR NAME],MATCH(I5606,INVESTOR_LIST[INVESTOR CODE],0),)," ")</f>
        <v xml:space="preserve"> </v>
      </c>
      <c r="I5606" s="248" t="s">
        <v>348</v>
      </c>
      <c r="J5606" s="249" t="s">
        <v>95</v>
      </c>
      <c r="K5606" s="250">
        <v>2747.2527472527472</v>
      </c>
      <c r="L5606" s="241"/>
    </row>
    <row r="5607" spans="1:12" x14ac:dyDescent="0.2">
      <c r="A5607" s="242">
        <v>2022</v>
      </c>
      <c r="B5607" s="242">
        <v>1</v>
      </c>
      <c r="C5607" s="242">
        <v>13</v>
      </c>
      <c r="D5607" s="270">
        <f t="shared" si="212"/>
        <v>44574</v>
      </c>
      <c r="E5607" s="279">
        <f t="shared" si="213"/>
        <v>44574</v>
      </c>
      <c r="F5607" s="478"/>
      <c r="G5607" s="243" t="s">
        <v>94</v>
      </c>
      <c r="H5607" s="243" t="str" cm="1">
        <f t="array" ref="H5607">IFERROR(INDEX(INVESTOR_LIST[INVESTOR NAME],MATCH(I5607,INVESTOR_LIST[INVESTOR CODE],0),)," ")</f>
        <v xml:space="preserve"> </v>
      </c>
      <c r="I5607" s="263" t="s">
        <v>348</v>
      </c>
      <c r="J5607" s="244" t="s">
        <v>63</v>
      </c>
      <c r="K5607" s="245"/>
      <c r="L5607" s="245">
        <v>2747.2527472527472</v>
      </c>
    </row>
    <row r="5608" spans="1:12" x14ac:dyDescent="0.2">
      <c r="A5608" s="246">
        <v>2022</v>
      </c>
      <c r="B5608" s="246">
        <v>1</v>
      </c>
      <c r="C5608" s="246">
        <v>13</v>
      </c>
      <c r="D5608" s="270">
        <f t="shared" si="212"/>
        <v>44574</v>
      </c>
      <c r="E5608" s="279">
        <f t="shared" si="213"/>
        <v>44574</v>
      </c>
      <c r="F5608" s="482" t="s">
        <v>137</v>
      </c>
      <c r="G5608" s="247" t="s">
        <v>94</v>
      </c>
      <c r="H5608" s="247" t="str" cm="1">
        <f t="array" ref="H5608">IFERROR(INDEX(INVESTOR_LIST[INVESTOR NAME],MATCH(I5608,INVESTOR_LIST[INVESTOR CODE],0),)," ")</f>
        <v xml:space="preserve"> </v>
      </c>
      <c r="I5608" s="248" t="s">
        <v>348</v>
      </c>
      <c r="J5608" s="249" t="s">
        <v>97</v>
      </c>
      <c r="K5608" s="250">
        <v>76270.144077564735</v>
      </c>
      <c r="L5608" s="252"/>
    </row>
    <row r="5609" spans="1:12" x14ac:dyDescent="0.2">
      <c r="A5609" s="242">
        <v>2022</v>
      </c>
      <c r="B5609" s="242">
        <v>1</v>
      </c>
      <c r="C5609" s="242">
        <v>13</v>
      </c>
      <c r="D5609" s="270">
        <f t="shared" si="212"/>
        <v>44574</v>
      </c>
      <c r="E5609" s="279">
        <f t="shared" si="213"/>
        <v>44574</v>
      </c>
      <c r="F5609" s="478"/>
      <c r="G5609" s="243" t="s">
        <v>94</v>
      </c>
      <c r="H5609" s="243" t="str" cm="1">
        <f t="array" ref="H5609">IFERROR(INDEX(INVESTOR_LIST[INVESTOR NAME],MATCH(I5609,INVESTOR_LIST[INVESTOR CODE],0),)," ")</f>
        <v xml:space="preserve"> </v>
      </c>
      <c r="I5609" s="263" t="s">
        <v>348</v>
      </c>
      <c r="J5609" s="244" t="s">
        <v>47</v>
      </c>
      <c r="K5609" s="245"/>
      <c r="L5609" s="245">
        <v>76270.144077564735</v>
      </c>
    </row>
    <row r="5610" spans="1:12" x14ac:dyDescent="0.2">
      <c r="A5610" s="246">
        <v>2022</v>
      </c>
      <c r="B5610" s="246">
        <v>1</v>
      </c>
      <c r="C5610" s="246">
        <v>13</v>
      </c>
      <c r="D5610" s="270">
        <f t="shared" si="212"/>
        <v>44574</v>
      </c>
      <c r="E5610" s="279">
        <f t="shared" si="213"/>
        <v>44574</v>
      </c>
      <c r="F5610" s="482" t="s">
        <v>138</v>
      </c>
      <c r="G5610" s="247" t="s">
        <v>94</v>
      </c>
      <c r="H5610" s="247" t="str" cm="1">
        <f t="array" ref="H5610">IFERROR(INDEX(INVESTOR_LIST[INVESTOR NAME],MATCH(I5610,INVESTOR_LIST[INVESTOR CODE],0),)," ")</f>
        <v xml:space="preserve"> </v>
      </c>
      <c r="I5610" s="248" t="s">
        <v>348</v>
      </c>
      <c r="J5610" s="249" t="s">
        <v>100</v>
      </c>
      <c r="K5610" s="250">
        <v>3573.1225884936212</v>
      </c>
      <c r="L5610" s="252"/>
    </row>
    <row r="5611" spans="1:12" x14ac:dyDescent="0.2">
      <c r="A5611" s="242">
        <v>2022</v>
      </c>
      <c r="B5611" s="242">
        <v>1</v>
      </c>
      <c r="C5611" s="242">
        <v>13</v>
      </c>
      <c r="D5611" s="270">
        <f t="shared" si="212"/>
        <v>44574</v>
      </c>
      <c r="E5611" s="279">
        <f t="shared" si="213"/>
        <v>44574</v>
      </c>
      <c r="F5611" s="478"/>
      <c r="G5611" s="243" t="s">
        <v>94</v>
      </c>
      <c r="H5611" s="243" t="str" cm="1">
        <f t="array" ref="H5611">IFERROR(INDEX(INVESTOR_LIST[INVESTOR NAME],MATCH(I5611,INVESTOR_LIST[INVESTOR CODE],0),)," ")</f>
        <v xml:space="preserve"> </v>
      </c>
      <c r="I5611" s="263" t="s">
        <v>348</v>
      </c>
      <c r="J5611" s="244" t="s">
        <v>48</v>
      </c>
      <c r="K5611" s="245"/>
      <c r="L5611" s="245">
        <v>3573.1225884936212</v>
      </c>
    </row>
    <row r="5612" spans="1:12" x14ac:dyDescent="0.2">
      <c r="A5612" s="168">
        <v>2022</v>
      </c>
      <c r="B5612" s="168">
        <v>1</v>
      </c>
      <c r="C5612" s="168">
        <v>16</v>
      </c>
      <c r="D5612" s="141">
        <f t="shared" si="194"/>
        <v>44577</v>
      </c>
      <c r="E5612" s="275">
        <f t="shared" si="195"/>
        <v>44577</v>
      </c>
      <c r="F5612" s="479" t="s">
        <v>980</v>
      </c>
      <c r="G5612" s="220" t="s">
        <v>74</v>
      </c>
      <c r="H5612" s="142" t="str" cm="1">
        <f t="array" ref="H5612">IFERROR(INDEX(INVESTOR_LIST[INVESTOR NAME],MATCH(I5612,INVESTOR_LIST[INVESTOR CODE],0),)," ")</f>
        <v xml:space="preserve"> </v>
      </c>
      <c r="I5612" s="142"/>
      <c r="J5612" s="168" t="s">
        <v>52</v>
      </c>
      <c r="K5612" s="226">
        <v>261000</v>
      </c>
      <c r="L5612" s="226"/>
    </row>
    <row r="5613" spans="1:12" x14ac:dyDescent="0.2">
      <c r="A5613" s="163">
        <v>2022</v>
      </c>
      <c r="B5613" s="163">
        <v>1</v>
      </c>
      <c r="C5613" s="163">
        <v>16</v>
      </c>
      <c r="D5613" s="141">
        <f t="shared" si="194"/>
        <v>44577</v>
      </c>
      <c r="E5613" s="275">
        <f t="shared" si="195"/>
        <v>44577</v>
      </c>
      <c r="F5613" s="480"/>
      <c r="G5613" s="221" t="s">
        <v>74</v>
      </c>
      <c r="H5613" s="145" t="str" cm="1">
        <f t="array" ref="H5613">IFERROR(INDEX(INVESTOR_LIST[INVESTOR NAME],MATCH(I5613,INVESTOR_LIST[INVESTOR CODE],0),)," ")</f>
        <v xml:space="preserve"> </v>
      </c>
      <c r="I5613" s="145"/>
      <c r="J5613" s="163" t="s">
        <v>168</v>
      </c>
      <c r="K5613" s="219"/>
      <c r="L5613" s="219">
        <v>261000</v>
      </c>
    </row>
    <row r="5614" spans="1:12" x14ac:dyDescent="0.2">
      <c r="A5614" s="168">
        <v>2022</v>
      </c>
      <c r="B5614" s="168">
        <v>1</v>
      </c>
      <c r="C5614" s="168">
        <v>16</v>
      </c>
      <c r="D5614" s="141">
        <f t="shared" ref="D5614:D5615" si="214">DATE(A5614,B5614,C5614)</f>
        <v>44577</v>
      </c>
      <c r="E5614" s="275">
        <f t="shared" ref="E5614:E5615" si="215">DATE(A5614,B5614,C5614)</f>
        <v>44577</v>
      </c>
      <c r="F5614" s="479" t="s">
        <v>1006</v>
      </c>
      <c r="G5614" s="220" t="s">
        <v>74</v>
      </c>
      <c r="H5614" s="142" t="str" cm="1">
        <f t="array" ref="H5614">IFERROR(INDEX(INVESTOR_LIST[INVESTOR NAME],MATCH(I5614,INVESTOR_LIST[INVESTOR CODE],0),)," ")</f>
        <v xml:space="preserve"> </v>
      </c>
      <c r="I5614" s="142"/>
      <c r="J5614" s="168" t="s">
        <v>79</v>
      </c>
      <c r="K5614" s="226">
        <v>3750000</v>
      </c>
      <c r="L5614" s="226"/>
    </row>
    <row r="5615" spans="1:12" x14ac:dyDescent="0.2">
      <c r="A5615" s="163">
        <v>2022</v>
      </c>
      <c r="B5615" s="163">
        <v>1</v>
      </c>
      <c r="C5615" s="163">
        <v>16</v>
      </c>
      <c r="D5615" s="141">
        <f t="shared" si="214"/>
        <v>44577</v>
      </c>
      <c r="E5615" s="275">
        <f t="shared" si="215"/>
        <v>44577</v>
      </c>
      <c r="F5615" s="480"/>
      <c r="G5615" s="221" t="s">
        <v>74</v>
      </c>
      <c r="H5615" s="145" t="str" cm="1">
        <f t="array" ref="H5615">IFERROR(INDEX(INVESTOR_LIST[INVESTOR NAME],MATCH(I5615,INVESTOR_LIST[INVESTOR CODE],0),)," ")</f>
        <v xml:space="preserve"> </v>
      </c>
      <c r="I5615" s="145"/>
      <c r="J5615" s="163" t="s">
        <v>184</v>
      </c>
      <c r="K5615" s="219"/>
      <c r="L5615" s="219">
        <v>3750000</v>
      </c>
    </row>
    <row r="5616" spans="1:12" x14ac:dyDescent="0.2">
      <c r="A5616" s="168">
        <v>2022</v>
      </c>
      <c r="B5616" s="168">
        <v>1</v>
      </c>
      <c r="C5616" s="168">
        <v>16</v>
      </c>
      <c r="D5616" s="141">
        <f t="shared" si="194"/>
        <v>44577</v>
      </c>
      <c r="E5616" s="275">
        <f t="shared" si="195"/>
        <v>44577</v>
      </c>
      <c r="F5616" s="479" t="s">
        <v>938</v>
      </c>
      <c r="G5616" s="220" t="s">
        <v>94</v>
      </c>
      <c r="H5616" s="220" t="str" cm="1">
        <f t="array" ref="H5616">IFERROR(INDEX(INVESTOR_LIST[INVESTOR NAME],MATCH(I5616,INVESTOR_LIST[INVESTOR CODE],0),)," ")</f>
        <v xml:space="preserve"> </v>
      </c>
      <c r="I5616" s="142" t="s">
        <v>348</v>
      </c>
      <c r="J5616" s="143" t="s">
        <v>79</v>
      </c>
      <c r="K5616" s="226">
        <v>178900</v>
      </c>
      <c r="L5616" s="226"/>
    </row>
    <row r="5617" spans="1:12" x14ac:dyDescent="0.2">
      <c r="A5617" s="133">
        <v>2022</v>
      </c>
      <c r="B5617" s="133">
        <v>1</v>
      </c>
      <c r="C5617" s="133">
        <v>16</v>
      </c>
      <c r="D5617" s="141">
        <f t="shared" si="194"/>
        <v>44577</v>
      </c>
      <c r="E5617" s="275">
        <f t="shared" si="195"/>
        <v>44577</v>
      </c>
      <c r="F5617" s="481"/>
      <c r="G5617" s="174" t="s">
        <v>94</v>
      </c>
      <c r="H5617" s="174" t="str" cm="1">
        <f t="array" ref="H5617">IFERROR(INDEX(INVESTOR_LIST[INVESTOR NAME],MATCH(I5617,INVESTOR_LIST[INVESTOR CODE],0),)," ")</f>
        <v xml:space="preserve"> </v>
      </c>
      <c r="I5617" s="148" t="s">
        <v>348</v>
      </c>
      <c r="J5617" s="149" t="s">
        <v>80</v>
      </c>
      <c r="K5617" s="218">
        <v>795.15</v>
      </c>
      <c r="L5617" s="218"/>
    </row>
    <row r="5618" spans="1:12" x14ac:dyDescent="0.2">
      <c r="A5618" s="133">
        <v>2022</v>
      </c>
      <c r="B5618" s="133">
        <v>1</v>
      </c>
      <c r="C5618" s="133">
        <v>16</v>
      </c>
      <c r="D5618" s="141">
        <f t="shared" si="194"/>
        <v>44577</v>
      </c>
      <c r="E5618" s="275">
        <f t="shared" si="195"/>
        <v>44577</v>
      </c>
      <c r="F5618" s="481"/>
      <c r="G5618" s="174" t="s">
        <v>94</v>
      </c>
      <c r="H5618" s="174" t="str" cm="1">
        <f t="array" ref="H5618">IFERROR(INDEX(INVESTOR_LIST[INVESTOR NAME],MATCH(I5618,INVESTOR_LIST[INVESTOR CODE],0),)," ")</f>
        <v xml:space="preserve"> </v>
      </c>
      <c r="I5618" s="148" t="s">
        <v>348</v>
      </c>
      <c r="J5618" s="149" t="s">
        <v>190</v>
      </c>
      <c r="K5618" s="218">
        <v>83154.850000000006</v>
      </c>
      <c r="L5618" s="218"/>
    </row>
    <row r="5619" spans="1:12" x14ac:dyDescent="0.2">
      <c r="A5619" s="133">
        <v>2022</v>
      </c>
      <c r="B5619" s="133">
        <v>1</v>
      </c>
      <c r="C5619" s="133">
        <v>16</v>
      </c>
      <c r="D5619" s="141">
        <f t="shared" si="194"/>
        <v>44577</v>
      </c>
      <c r="E5619" s="275">
        <f t="shared" si="195"/>
        <v>44577</v>
      </c>
      <c r="F5619" s="481"/>
      <c r="G5619" s="174" t="s">
        <v>94</v>
      </c>
      <c r="H5619" s="174" t="str" cm="1">
        <f t="array" ref="H5619">IFERROR(INDEX(INVESTOR_LIST[INVESTOR NAME],MATCH(I5619,INVESTOR_LIST[INVESTOR CODE],0),)," ")</f>
        <v xml:space="preserve"> </v>
      </c>
      <c r="I5619" s="148" t="s">
        <v>348</v>
      </c>
      <c r="J5619" s="149" t="s">
        <v>191</v>
      </c>
      <c r="K5619" s="218"/>
      <c r="L5619" s="218">
        <v>28298.73</v>
      </c>
    </row>
    <row r="5620" spans="1:12" x14ac:dyDescent="0.2">
      <c r="A5620" s="163">
        <v>2022</v>
      </c>
      <c r="B5620" s="163">
        <v>1</v>
      </c>
      <c r="C5620" s="163">
        <v>16</v>
      </c>
      <c r="D5620" s="141">
        <f t="shared" si="194"/>
        <v>44577</v>
      </c>
      <c r="E5620" s="275">
        <f t="shared" si="195"/>
        <v>44577</v>
      </c>
      <c r="F5620" s="480"/>
      <c r="G5620" s="221" t="s">
        <v>94</v>
      </c>
      <c r="H5620" s="145" t="str" cm="1">
        <f t="array" ref="H5620">IFERROR(INDEX(INVESTOR_LIST[INVESTOR NAME],MATCH(I5620,INVESTOR_LIST[INVESTOR CODE],0),)," ")</f>
        <v xml:space="preserve"> </v>
      </c>
      <c r="I5620" s="145"/>
      <c r="J5620" s="163" t="s">
        <v>79</v>
      </c>
      <c r="K5620" s="219"/>
      <c r="L5620" s="219">
        <v>234551.27</v>
      </c>
    </row>
    <row r="5621" spans="1:12" x14ac:dyDescent="0.2">
      <c r="A5621" s="133">
        <v>2022</v>
      </c>
      <c r="B5621" s="133">
        <v>1</v>
      </c>
      <c r="C5621" s="133">
        <v>16</v>
      </c>
      <c r="D5621" s="141">
        <f t="shared" si="194"/>
        <v>44577</v>
      </c>
      <c r="E5621" s="275">
        <f t="shared" si="195"/>
        <v>44577</v>
      </c>
      <c r="F5621" s="479" t="s">
        <v>77</v>
      </c>
      <c r="G5621" s="174" t="s">
        <v>74</v>
      </c>
      <c r="H5621" s="148" t="str" cm="1">
        <f t="array" ref="H5621">IFERROR(INDEX(INVESTOR_LIST[INVESTOR NAME],MATCH(I5621,INVESTOR_LIST[INVESTOR CODE],0),)," ")</f>
        <v xml:space="preserve"> </v>
      </c>
      <c r="I5621" s="148" t="s">
        <v>348</v>
      </c>
      <c r="J5621" s="133" t="s">
        <v>61</v>
      </c>
      <c r="K5621" s="172">
        <v>60</v>
      </c>
    </row>
    <row r="5622" spans="1:12" x14ac:dyDescent="0.2">
      <c r="A5622" s="163">
        <v>2022</v>
      </c>
      <c r="B5622" s="163">
        <v>1</v>
      </c>
      <c r="C5622" s="163">
        <v>16</v>
      </c>
      <c r="D5622" s="141">
        <f t="shared" si="194"/>
        <v>44577</v>
      </c>
      <c r="E5622" s="275">
        <f t="shared" si="195"/>
        <v>44577</v>
      </c>
      <c r="F5622" s="480"/>
      <c r="G5622" s="221" t="s">
        <v>74</v>
      </c>
      <c r="H5622" s="145" t="str" cm="1">
        <f t="array" ref="H5622">IFERROR(INDEX(INVESTOR_LIST[INVESTOR NAME],MATCH(I5622,INVESTOR_LIST[INVESTOR CODE],0),)," ")</f>
        <v xml:space="preserve"> </v>
      </c>
      <c r="I5622" s="145" t="s">
        <v>348</v>
      </c>
      <c r="J5622" s="163" t="s">
        <v>52</v>
      </c>
      <c r="K5622" s="219"/>
      <c r="L5622" s="219">
        <v>60</v>
      </c>
    </row>
    <row r="5623" spans="1:12" x14ac:dyDescent="0.2">
      <c r="A5623" s="168">
        <v>2022</v>
      </c>
      <c r="B5623" s="168">
        <v>1</v>
      </c>
      <c r="C5623" s="168">
        <v>18</v>
      </c>
      <c r="D5623" s="141">
        <f t="shared" si="194"/>
        <v>44579</v>
      </c>
      <c r="E5623" s="275">
        <f t="shared" si="195"/>
        <v>44579</v>
      </c>
      <c r="F5623" s="479" t="s">
        <v>981</v>
      </c>
      <c r="G5623" s="220" t="s">
        <v>74</v>
      </c>
      <c r="H5623" s="220" t="str" cm="1">
        <f t="array" ref="H5623">IFERROR(INDEX(INVESTOR_LIST[INVESTOR NAME],MATCH(I5623,INVESTOR_LIST[INVESTOR CODE],0),)," ")</f>
        <v xml:space="preserve"> </v>
      </c>
      <c r="I5623" s="142" t="s">
        <v>348</v>
      </c>
      <c r="J5623" s="143" t="s">
        <v>52</v>
      </c>
      <c r="K5623" s="226">
        <v>83154.850000000006</v>
      </c>
      <c r="L5623" s="226"/>
    </row>
    <row r="5624" spans="1:12" x14ac:dyDescent="0.2">
      <c r="A5624" s="163">
        <v>2022</v>
      </c>
      <c r="B5624" s="163">
        <v>1</v>
      </c>
      <c r="C5624" s="163">
        <v>18</v>
      </c>
      <c r="D5624" s="141">
        <f t="shared" si="194"/>
        <v>44579</v>
      </c>
      <c r="E5624" s="275">
        <f t="shared" si="195"/>
        <v>44579</v>
      </c>
      <c r="F5624" s="480"/>
      <c r="G5624" s="221" t="s">
        <v>74</v>
      </c>
      <c r="H5624" s="221" t="str" cm="1">
        <f t="array" ref="H5624">IFERROR(INDEX(INVESTOR_LIST[INVESTOR NAME],MATCH(I5624,INVESTOR_LIST[INVESTOR CODE],0),)," ")</f>
        <v xml:space="preserve"> </v>
      </c>
      <c r="I5624" s="145" t="s">
        <v>348</v>
      </c>
      <c r="J5624" s="146" t="s">
        <v>190</v>
      </c>
      <c r="K5624" s="219"/>
      <c r="L5624" s="219">
        <v>83154.850000000006</v>
      </c>
    </row>
    <row r="5625" spans="1:12" x14ac:dyDescent="0.2">
      <c r="A5625" s="168">
        <v>2022</v>
      </c>
      <c r="B5625" s="168">
        <v>1</v>
      </c>
      <c r="C5625" s="168">
        <v>18</v>
      </c>
      <c r="D5625" s="141">
        <f t="shared" ref="D5625:D5640" si="216">DATE(A5625,B5625,C5625)</f>
        <v>44579</v>
      </c>
      <c r="E5625" s="275">
        <f t="shared" ref="E5625:E5640" si="217">DATE(A5625,B5625,C5625)</f>
        <v>44579</v>
      </c>
      <c r="F5625" s="479" t="s">
        <v>938</v>
      </c>
      <c r="G5625" s="220" t="s">
        <v>94</v>
      </c>
      <c r="H5625" s="220" t="str" cm="1">
        <f t="array" ref="H5625">IFERROR(INDEX(INVESTOR_LIST[INVESTOR NAME],MATCH(I5625,INVESTOR_LIST[INVESTOR CODE],0),)," ")</f>
        <v xml:space="preserve"> </v>
      </c>
      <c r="I5625" s="142" t="s">
        <v>348</v>
      </c>
      <c r="J5625" s="143" t="s">
        <v>79</v>
      </c>
      <c r="K5625" s="226">
        <v>718679.6</v>
      </c>
      <c r="L5625" s="226"/>
    </row>
    <row r="5626" spans="1:12" x14ac:dyDescent="0.2">
      <c r="A5626" s="133">
        <v>2022</v>
      </c>
      <c r="B5626" s="133">
        <v>1</v>
      </c>
      <c r="C5626" s="133">
        <v>18</v>
      </c>
      <c r="D5626" s="141">
        <f t="shared" si="216"/>
        <v>44579</v>
      </c>
      <c r="E5626" s="275">
        <f t="shared" si="217"/>
        <v>44579</v>
      </c>
      <c r="F5626" s="481"/>
      <c r="G5626" s="174" t="s">
        <v>94</v>
      </c>
      <c r="H5626" s="174" t="str" cm="1">
        <f t="array" ref="H5626">IFERROR(INDEX(INVESTOR_LIST[INVESTOR NAME],MATCH(I5626,INVESTOR_LIST[INVESTOR CODE],0),)," ")</f>
        <v xml:space="preserve"> </v>
      </c>
      <c r="I5626" s="148" t="s">
        <v>348</v>
      </c>
      <c r="J5626" s="149" t="s">
        <v>80</v>
      </c>
      <c r="K5626" s="218">
        <v>3046.6</v>
      </c>
      <c r="L5626" s="218"/>
    </row>
    <row r="5627" spans="1:12" x14ac:dyDescent="0.2">
      <c r="A5627" s="133">
        <v>2022</v>
      </c>
      <c r="B5627" s="133">
        <v>1</v>
      </c>
      <c r="C5627" s="133">
        <v>18</v>
      </c>
      <c r="D5627" s="141">
        <f t="shared" si="216"/>
        <v>44579</v>
      </c>
      <c r="E5627" s="275">
        <f t="shared" si="217"/>
        <v>44579</v>
      </c>
      <c r="F5627" s="481"/>
      <c r="G5627" s="174" t="s">
        <v>94</v>
      </c>
      <c r="H5627" s="174" t="str" cm="1">
        <f t="array" ref="H5627">IFERROR(INDEX(INVESTOR_LIST[INVESTOR NAME],MATCH(I5627,INVESTOR_LIST[INVESTOR CODE],0),)," ")</f>
        <v xml:space="preserve"> </v>
      </c>
      <c r="I5627" s="148" t="s">
        <v>348</v>
      </c>
      <c r="J5627" s="149" t="s">
        <v>190</v>
      </c>
      <c r="K5627" s="218">
        <v>252148.8</v>
      </c>
      <c r="L5627" s="218"/>
    </row>
    <row r="5628" spans="1:12" x14ac:dyDescent="0.2">
      <c r="A5628" s="133">
        <v>2022</v>
      </c>
      <c r="B5628" s="133">
        <v>1</v>
      </c>
      <c r="C5628" s="133">
        <v>18</v>
      </c>
      <c r="D5628" s="141">
        <f t="shared" si="216"/>
        <v>44579</v>
      </c>
      <c r="E5628" s="275">
        <f t="shared" si="217"/>
        <v>44579</v>
      </c>
      <c r="F5628" s="481"/>
      <c r="G5628" s="174" t="s">
        <v>94</v>
      </c>
      <c r="H5628" s="174" t="str" cm="1">
        <f t="array" ref="H5628">IFERROR(INDEX(INVESTOR_LIST[INVESTOR NAME],MATCH(I5628,INVESTOR_LIST[INVESTOR CODE],0),)," ")</f>
        <v xml:space="preserve"> </v>
      </c>
      <c r="I5628" s="148" t="s">
        <v>348</v>
      </c>
      <c r="J5628" s="149" t="s">
        <v>191</v>
      </c>
      <c r="K5628" s="218">
        <v>30890.66</v>
      </c>
      <c r="L5628" s="218"/>
    </row>
    <row r="5629" spans="1:12" x14ac:dyDescent="0.2">
      <c r="A5629" s="163">
        <v>2022</v>
      </c>
      <c r="B5629" s="163">
        <v>1</v>
      </c>
      <c r="C5629" s="163">
        <v>18</v>
      </c>
      <c r="D5629" s="141">
        <f t="shared" si="216"/>
        <v>44579</v>
      </c>
      <c r="E5629" s="275">
        <f t="shared" si="217"/>
        <v>44579</v>
      </c>
      <c r="F5629" s="480"/>
      <c r="G5629" s="221" t="s">
        <v>94</v>
      </c>
      <c r="H5629" s="145" t="str" cm="1">
        <f t="array" ref="H5629">IFERROR(INDEX(INVESTOR_LIST[INVESTOR NAME],MATCH(I5629,INVESTOR_LIST[INVESTOR CODE],0),)," ")</f>
        <v xml:space="preserve"> </v>
      </c>
      <c r="I5629" s="145"/>
      <c r="J5629" s="163" t="s">
        <v>79</v>
      </c>
      <c r="K5629" s="219"/>
      <c r="L5629" s="219">
        <v>1004765.66</v>
      </c>
    </row>
    <row r="5630" spans="1:12" x14ac:dyDescent="0.2">
      <c r="A5630" s="168">
        <v>2022</v>
      </c>
      <c r="B5630" s="168">
        <v>1</v>
      </c>
      <c r="C5630" s="133">
        <v>18</v>
      </c>
      <c r="D5630" s="141">
        <f t="shared" si="216"/>
        <v>44579</v>
      </c>
      <c r="E5630" s="275">
        <f t="shared" si="217"/>
        <v>44579</v>
      </c>
      <c r="F5630" s="479" t="s">
        <v>970</v>
      </c>
      <c r="G5630" s="220" t="s">
        <v>74</v>
      </c>
      <c r="H5630" s="142" t="str" cm="1">
        <f t="array" ref="H5630">IFERROR(INDEX(INVESTOR_LIST[INVESTOR NAME],MATCH(I5630,INVESTOR_LIST[INVESTOR CODE],0),)," ")</f>
        <v xml:space="preserve"> </v>
      </c>
      <c r="I5630" s="142"/>
      <c r="J5630" s="168" t="s">
        <v>52</v>
      </c>
      <c r="K5630" s="226">
        <v>74000</v>
      </c>
      <c r="L5630" s="226"/>
    </row>
    <row r="5631" spans="1:12" x14ac:dyDescent="0.2">
      <c r="A5631" s="133">
        <v>2022</v>
      </c>
      <c r="B5631" s="133">
        <v>1</v>
      </c>
      <c r="C5631" s="133">
        <v>18</v>
      </c>
      <c r="D5631" s="141">
        <f t="shared" si="216"/>
        <v>44579</v>
      </c>
      <c r="E5631" s="275">
        <f t="shared" si="217"/>
        <v>44579</v>
      </c>
      <c r="F5631" s="481"/>
      <c r="G5631" s="174" t="s">
        <v>74</v>
      </c>
      <c r="H5631" s="148" t="str" cm="1">
        <f t="array" ref="H5631">IFERROR(INDEX(INVESTOR_LIST[INVESTOR NAME],MATCH(I5631,INVESTOR_LIST[INVESTOR CODE],0),)," ")</f>
        <v xml:space="preserve"> </v>
      </c>
      <c r="J5631" s="133" t="s">
        <v>13</v>
      </c>
      <c r="K5631" s="218"/>
      <c r="L5631" s="218">
        <v>59400</v>
      </c>
    </row>
    <row r="5632" spans="1:12" x14ac:dyDescent="0.2">
      <c r="A5632" s="163">
        <v>2022</v>
      </c>
      <c r="B5632" s="163">
        <v>1</v>
      </c>
      <c r="C5632" s="163">
        <v>18</v>
      </c>
      <c r="D5632" s="141">
        <f t="shared" si="216"/>
        <v>44579</v>
      </c>
      <c r="E5632" s="275">
        <f t="shared" si="217"/>
        <v>44579</v>
      </c>
      <c r="F5632" s="480"/>
      <c r="G5632" s="221" t="s">
        <v>74</v>
      </c>
      <c r="H5632" s="145" t="str" cm="1">
        <f t="array" ref="H5632">IFERROR(INDEX(INVESTOR_LIST[INVESTOR NAME],MATCH(I5632,INVESTOR_LIST[INVESTOR CODE],0),)," ")</f>
        <v xml:space="preserve"> </v>
      </c>
      <c r="I5632" s="145"/>
      <c r="J5632" s="163" t="s">
        <v>53</v>
      </c>
      <c r="K5632" s="219"/>
      <c r="L5632" s="219">
        <v>14600</v>
      </c>
    </row>
    <row r="5633" spans="1:12" x14ac:dyDescent="0.2">
      <c r="A5633" s="168">
        <v>2022</v>
      </c>
      <c r="B5633" s="168">
        <v>1</v>
      </c>
      <c r="C5633" s="133">
        <v>19</v>
      </c>
      <c r="D5633" s="141">
        <f t="shared" si="216"/>
        <v>44580</v>
      </c>
      <c r="E5633" s="275">
        <f t="shared" si="217"/>
        <v>44580</v>
      </c>
      <c r="F5633" s="479" t="s">
        <v>953</v>
      </c>
      <c r="G5633" s="220" t="s">
        <v>94</v>
      </c>
      <c r="H5633" s="220" t="str" cm="1">
        <f t="array" ref="H5633">IFERROR(INDEX(INVESTOR_LIST[INVESTOR NAME],MATCH(I5633,INVESTOR_LIST[INVESTOR CODE],0),)," ")</f>
        <v xml:space="preserve"> </v>
      </c>
      <c r="I5633" s="142"/>
      <c r="J5633" s="143" t="s">
        <v>79</v>
      </c>
      <c r="K5633" s="226">
        <v>2472263.5</v>
      </c>
      <c r="L5633" s="226"/>
    </row>
    <row r="5634" spans="1:12" x14ac:dyDescent="0.2">
      <c r="A5634" s="133">
        <v>2022</v>
      </c>
      <c r="B5634" s="133">
        <v>1</v>
      </c>
      <c r="C5634" s="133">
        <v>19</v>
      </c>
      <c r="D5634" s="141">
        <f t="shared" si="216"/>
        <v>44580</v>
      </c>
      <c r="E5634" s="275">
        <f t="shared" si="217"/>
        <v>44580</v>
      </c>
      <c r="F5634" s="481"/>
      <c r="G5634" s="174" t="s">
        <v>94</v>
      </c>
      <c r="H5634" s="174" t="str" cm="1">
        <f t="array" ref="H5634">IFERROR(INDEX(INVESTOR_LIST[INVESTOR NAME],MATCH(I5634,INVESTOR_LIST[INVESTOR CODE],0),)," ")</f>
        <v xml:space="preserve"> </v>
      </c>
      <c r="J5634" s="149" t="s">
        <v>80</v>
      </c>
      <c r="K5634" s="218">
        <v>4450.07</v>
      </c>
      <c r="L5634" s="218"/>
    </row>
    <row r="5635" spans="1:12" x14ac:dyDescent="0.2">
      <c r="A5635" s="163">
        <v>2022</v>
      </c>
      <c r="B5635" s="163">
        <v>1</v>
      </c>
      <c r="C5635" s="163">
        <v>19</v>
      </c>
      <c r="D5635" s="141">
        <f t="shared" si="216"/>
        <v>44580</v>
      </c>
      <c r="E5635" s="275">
        <f t="shared" si="217"/>
        <v>44580</v>
      </c>
      <c r="F5635" s="480"/>
      <c r="G5635" s="221" t="s">
        <v>94</v>
      </c>
      <c r="H5635" s="221" t="str" cm="1">
        <f t="array" ref="H5635">IFERROR(INDEX(INVESTOR_LIST[INVESTOR NAME],MATCH(I5635,INVESTOR_LIST[INVESTOR CODE],0),)," ")</f>
        <v xml:space="preserve"> </v>
      </c>
      <c r="I5635" s="145"/>
      <c r="J5635" s="146" t="s">
        <v>147</v>
      </c>
      <c r="K5635" s="219"/>
      <c r="L5635" s="219">
        <v>2476713.5699999998</v>
      </c>
    </row>
    <row r="5636" spans="1:12" x14ac:dyDescent="0.2">
      <c r="A5636" s="133">
        <v>2022</v>
      </c>
      <c r="B5636" s="133">
        <v>1</v>
      </c>
      <c r="C5636" s="133">
        <v>19</v>
      </c>
      <c r="D5636" s="141">
        <f t="shared" si="216"/>
        <v>44580</v>
      </c>
      <c r="E5636" s="275">
        <f t="shared" si="217"/>
        <v>44580</v>
      </c>
      <c r="F5636" s="479" t="s">
        <v>77</v>
      </c>
      <c r="G5636" s="174" t="s">
        <v>74</v>
      </c>
      <c r="H5636" s="148" t="str" cm="1">
        <f t="array" ref="H5636">IFERROR(INDEX(INVESTOR_LIST[INVESTOR NAME],MATCH(I5636,INVESTOR_LIST[INVESTOR CODE],0),)," ")</f>
        <v xml:space="preserve"> </v>
      </c>
      <c r="I5636" s="148" t="s">
        <v>348</v>
      </c>
      <c r="J5636" s="133" t="s">
        <v>61</v>
      </c>
      <c r="K5636" s="172">
        <v>60</v>
      </c>
    </row>
    <row r="5637" spans="1:12" x14ac:dyDescent="0.2">
      <c r="A5637" s="163">
        <v>2022</v>
      </c>
      <c r="B5637" s="163">
        <v>1</v>
      </c>
      <c r="C5637" s="163">
        <v>19</v>
      </c>
      <c r="D5637" s="141">
        <f t="shared" si="216"/>
        <v>44580</v>
      </c>
      <c r="E5637" s="275">
        <f t="shared" si="217"/>
        <v>44580</v>
      </c>
      <c r="F5637" s="480"/>
      <c r="G5637" s="221" t="s">
        <v>74</v>
      </c>
      <c r="H5637" s="145" t="str" cm="1">
        <f t="array" ref="H5637">IFERROR(INDEX(INVESTOR_LIST[INVESTOR NAME],MATCH(I5637,INVESTOR_LIST[INVESTOR CODE],0),)," ")</f>
        <v xml:space="preserve"> </v>
      </c>
      <c r="I5637" s="145" t="s">
        <v>348</v>
      </c>
      <c r="J5637" s="163" t="s">
        <v>52</v>
      </c>
      <c r="K5637" s="219"/>
      <c r="L5637" s="219">
        <v>60</v>
      </c>
    </row>
    <row r="5638" spans="1:12" ht="33.75" x14ac:dyDescent="0.2">
      <c r="A5638" s="168">
        <v>2022</v>
      </c>
      <c r="B5638" s="168">
        <v>1</v>
      </c>
      <c r="C5638" s="133">
        <v>19</v>
      </c>
      <c r="D5638" s="141">
        <f t="shared" si="216"/>
        <v>44580</v>
      </c>
      <c r="E5638" s="275">
        <f t="shared" si="217"/>
        <v>44580</v>
      </c>
      <c r="F5638" s="479" t="s">
        <v>964</v>
      </c>
      <c r="G5638" s="220" t="s">
        <v>74</v>
      </c>
      <c r="H5638" s="142" t="str" cm="1">
        <f t="array" ref="H5638">IFERROR(INDEX(INVESTOR_LIST[INVESTOR NAME],MATCH(I5638,INVESTOR_LIST[INVESTOR CODE],0),)," ")</f>
        <v>AMIT KANTI SARKER</v>
      </c>
      <c r="I5638" s="142" t="s">
        <v>494</v>
      </c>
      <c r="J5638" s="168" t="s">
        <v>52</v>
      </c>
      <c r="K5638" s="226">
        <v>500000</v>
      </c>
      <c r="L5638" s="226"/>
    </row>
    <row r="5639" spans="1:12" ht="33.75" x14ac:dyDescent="0.2">
      <c r="A5639" s="133">
        <v>2022</v>
      </c>
      <c r="B5639" s="133">
        <v>1</v>
      </c>
      <c r="C5639" s="133">
        <v>19</v>
      </c>
      <c r="D5639" s="141">
        <f t="shared" si="216"/>
        <v>44580</v>
      </c>
      <c r="E5639" s="275">
        <f t="shared" si="217"/>
        <v>44580</v>
      </c>
      <c r="F5639" s="481"/>
      <c r="G5639" s="174" t="s">
        <v>74</v>
      </c>
      <c r="H5639" s="148" t="str" cm="1">
        <f t="array" ref="H5639">IFERROR(INDEX(INVESTOR_LIST[INVESTOR NAME],MATCH(I5639,INVESTOR_LIST[INVESTOR CODE],0),)," ")</f>
        <v>AMIT KANTI SARKER</v>
      </c>
      <c r="I5639" s="148" t="s">
        <v>494</v>
      </c>
      <c r="J5639" s="133" t="s">
        <v>13</v>
      </c>
      <c r="K5639" s="218"/>
      <c r="L5639" s="218">
        <v>409840</v>
      </c>
    </row>
    <row r="5640" spans="1:12" ht="33.75" x14ac:dyDescent="0.2">
      <c r="A5640" s="163">
        <v>2022</v>
      </c>
      <c r="B5640" s="163">
        <v>1</v>
      </c>
      <c r="C5640" s="163">
        <v>19</v>
      </c>
      <c r="D5640" s="141">
        <f t="shared" si="216"/>
        <v>44580</v>
      </c>
      <c r="E5640" s="275">
        <f t="shared" si="217"/>
        <v>44580</v>
      </c>
      <c r="F5640" s="480"/>
      <c r="G5640" s="221" t="s">
        <v>74</v>
      </c>
      <c r="H5640" s="145" t="str" cm="1">
        <f t="array" ref="H5640">IFERROR(INDEX(INVESTOR_LIST[INVESTOR NAME],MATCH(I5640,INVESTOR_LIST[INVESTOR CODE],0),)," ")</f>
        <v>AMIT KANTI SARKER</v>
      </c>
      <c r="I5640" s="145" t="s">
        <v>494</v>
      </c>
      <c r="J5640" s="163" t="s">
        <v>53</v>
      </c>
      <c r="K5640" s="219"/>
      <c r="L5640" s="219">
        <v>90160</v>
      </c>
    </row>
    <row r="5641" spans="1:12" x14ac:dyDescent="0.2">
      <c r="A5641" s="168">
        <v>2022</v>
      </c>
      <c r="B5641" s="168">
        <v>1</v>
      </c>
      <c r="C5641" s="133">
        <v>20</v>
      </c>
      <c r="D5641" s="141">
        <f t="shared" ref="D5641:D5658" si="218">DATE(A5641,B5641,C5641)</f>
        <v>44581</v>
      </c>
      <c r="E5641" s="275">
        <f t="shared" ref="E5641:E5658" si="219">DATE(A5641,B5641,C5641)</f>
        <v>44581</v>
      </c>
      <c r="F5641" s="479" t="s">
        <v>953</v>
      </c>
      <c r="G5641" s="220" t="s">
        <v>94</v>
      </c>
      <c r="H5641" s="220" t="str" cm="1">
        <f t="array" ref="H5641">IFERROR(INDEX(INVESTOR_LIST[INVESTOR NAME],MATCH(I5641,INVESTOR_LIST[INVESTOR CODE],0),)," ")</f>
        <v xml:space="preserve"> </v>
      </c>
      <c r="I5641" s="142"/>
      <c r="J5641" s="143" t="s">
        <v>79</v>
      </c>
      <c r="K5641" s="226">
        <v>655987.30000000005</v>
      </c>
      <c r="L5641" s="226"/>
    </row>
    <row r="5642" spans="1:12" x14ac:dyDescent="0.2">
      <c r="A5642" s="133">
        <v>2022</v>
      </c>
      <c r="B5642" s="133">
        <v>1</v>
      </c>
      <c r="C5642" s="133">
        <v>20</v>
      </c>
      <c r="D5642" s="141">
        <f t="shared" si="218"/>
        <v>44581</v>
      </c>
      <c r="E5642" s="275">
        <f t="shared" si="219"/>
        <v>44581</v>
      </c>
      <c r="F5642" s="481"/>
      <c r="G5642" s="174" t="s">
        <v>94</v>
      </c>
      <c r="H5642" s="174" t="str" cm="1">
        <f t="array" ref="H5642">IFERROR(INDEX(INVESTOR_LIST[INVESTOR NAME],MATCH(I5642,INVESTOR_LIST[INVESTOR CODE],0),)," ")</f>
        <v xml:space="preserve"> </v>
      </c>
      <c r="J5642" s="149" t="s">
        <v>80</v>
      </c>
      <c r="K5642" s="218">
        <v>1180.78</v>
      </c>
      <c r="L5642" s="218"/>
    </row>
    <row r="5643" spans="1:12" x14ac:dyDescent="0.2">
      <c r="A5643" s="163">
        <v>2022</v>
      </c>
      <c r="B5643" s="163">
        <v>1</v>
      </c>
      <c r="C5643" s="163">
        <v>20</v>
      </c>
      <c r="D5643" s="141">
        <f t="shared" si="218"/>
        <v>44581</v>
      </c>
      <c r="E5643" s="275">
        <f t="shared" si="219"/>
        <v>44581</v>
      </c>
      <c r="F5643" s="480"/>
      <c r="G5643" s="221" t="s">
        <v>94</v>
      </c>
      <c r="H5643" s="221" t="str" cm="1">
        <f t="array" ref="H5643">IFERROR(INDEX(INVESTOR_LIST[INVESTOR NAME],MATCH(I5643,INVESTOR_LIST[INVESTOR CODE],0),)," ")</f>
        <v xml:space="preserve"> </v>
      </c>
      <c r="I5643" s="145"/>
      <c r="J5643" s="146" t="s">
        <v>147</v>
      </c>
      <c r="K5643" s="219"/>
      <c r="L5643" s="219">
        <v>657168.07999999996</v>
      </c>
    </row>
    <row r="5644" spans="1:12" x14ac:dyDescent="0.2">
      <c r="A5644" s="133">
        <v>2022</v>
      </c>
      <c r="B5644" s="133">
        <v>1</v>
      </c>
      <c r="C5644" s="133">
        <v>20</v>
      </c>
      <c r="D5644" s="141">
        <f t="shared" si="218"/>
        <v>44581</v>
      </c>
      <c r="E5644" s="275">
        <f t="shared" si="219"/>
        <v>44581</v>
      </c>
      <c r="F5644" s="479" t="s">
        <v>1002</v>
      </c>
      <c r="G5644" s="174" t="s">
        <v>94</v>
      </c>
      <c r="H5644" s="148" t="str" cm="1">
        <f t="array" ref="H5644">IFERROR(INDEX(INVESTOR_LIST[INVESTOR NAME],MATCH(I5644,INVESTOR_LIST[INVESTOR CODE],0),)," ")</f>
        <v xml:space="preserve"> </v>
      </c>
      <c r="I5644" s="148" t="s">
        <v>348</v>
      </c>
      <c r="J5644" s="133" t="s">
        <v>168</v>
      </c>
      <c r="K5644" s="172">
        <v>834836.55</v>
      </c>
    </row>
    <row r="5645" spans="1:12" x14ac:dyDescent="0.2">
      <c r="A5645" s="163">
        <v>2022</v>
      </c>
      <c r="B5645" s="163">
        <v>1</v>
      </c>
      <c r="C5645" s="163">
        <v>20</v>
      </c>
      <c r="D5645" s="141">
        <f t="shared" si="218"/>
        <v>44581</v>
      </c>
      <c r="E5645" s="275">
        <f t="shared" si="219"/>
        <v>44581</v>
      </c>
      <c r="F5645" s="480"/>
      <c r="G5645" s="221" t="s">
        <v>94</v>
      </c>
      <c r="H5645" s="145" t="str" cm="1">
        <f t="array" ref="H5645">IFERROR(INDEX(INVESTOR_LIST[INVESTOR NAME],MATCH(I5645,INVESTOR_LIST[INVESTOR CODE],0),)," ")</f>
        <v xml:space="preserve"> </v>
      </c>
      <c r="I5645" s="145" t="s">
        <v>348</v>
      </c>
      <c r="J5645" s="163" t="s">
        <v>166</v>
      </c>
      <c r="K5645" s="219"/>
      <c r="L5645" s="219">
        <v>834836.55</v>
      </c>
    </row>
    <row r="5646" spans="1:12" x14ac:dyDescent="0.2">
      <c r="A5646" s="168">
        <v>2022</v>
      </c>
      <c r="B5646" s="168">
        <v>1</v>
      </c>
      <c r="C5646" s="168">
        <v>20</v>
      </c>
      <c r="D5646" s="141">
        <f t="shared" si="218"/>
        <v>44581</v>
      </c>
      <c r="E5646" s="275">
        <f t="shared" si="219"/>
        <v>44581</v>
      </c>
      <c r="F5646" s="479" t="s">
        <v>981</v>
      </c>
      <c r="G5646" s="220" t="s">
        <v>74</v>
      </c>
      <c r="H5646" s="220" t="str" cm="1">
        <f t="array" ref="H5646">IFERROR(INDEX(INVESTOR_LIST[INVESTOR NAME],MATCH(I5646,INVESTOR_LIST[INVESTOR CODE],0),)," ")</f>
        <v xml:space="preserve"> </v>
      </c>
      <c r="I5646" s="142" t="s">
        <v>348</v>
      </c>
      <c r="J5646" s="143" t="s">
        <v>52</v>
      </c>
      <c r="K5646" s="226">
        <v>252148.8</v>
      </c>
      <c r="L5646" s="226"/>
    </row>
    <row r="5647" spans="1:12" x14ac:dyDescent="0.2">
      <c r="A5647" s="163">
        <v>2022</v>
      </c>
      <c r="B5647" s="163">
        <v>1</v>
      </c>
      <c r="C5647" s="163">
        <v>20</v>
      </c>
      <c r="D5647" s="141">
        <f t="shared" si="218"/>
        <v>44581</v>
      </c>
      <c r="E5647" s="275">
        <f t="shared" si="219"/>
        <v>44581</v>
      </c>
      <c r="F5647" s="480"/>
      <c r="G5647" s="221" t="s">
        <v>74</v>
      </c>
      <c r="H5647" s="221" t="str" cm="1">
        <f t="array" ref="H5647">IFERROR(INDEX(INVESTOR_LIST[INVESTOR NAME],MATCH(I5647,INVESTOR_LIST[INVESTOR CODE],0),)," ")</f>
        <v xml:space="preserve"> </v>
      </c>
      <c r="I5647" s="145" t="s">
        <v>348</v>
      </c>
      <c r="J5647" s="146" t="s">
        <v>190</v>
      </c>
      <c r="K5647" s="219"/>
      <c r="L5647" s="219">
        <v>252148.8</v>
      </c>
    </row>
    <row r="5648" spans="1:12" x14ac:dyDescent="0.2">
      <c r="A5648" s="238">
        <v>2022</v>
      </c>
      <c r="B5648" s="238">
        <v>1</v>
      </c>
      <c r="C5648" s="238">
        <v>20</v>
      </c>
      <c r="D5648" s="270">
        <f t="shared" si="218"/>
        <v>44581</v>
      </c>
      <c r="E5648" s="279">
        <f t="shared" si="219"/>
        <v>44581</v>
      </c>
      <c r="F5648" s="477" t="s">
        <v>347</v>
      </c>
      <c r="G5648" s="239" t="s">
        <v>94</v>
      </c>
      <c r="H5648" s="239" t="str" cm="1">
        <f t="array" ref="H5648">IFERROR(INDEX(INVESTOR_LIST[INVESTOR NAME],MATCH(I5648,INVESTOR_LIST[INVESTOR CODE],0),)," ")</f>
        <v xml:space="preserve"> </v>
      </c>
      <c r="I5648" s="262" t="s">
        <v>348</v>
      </c>
      <c r="J5648" s="240" t="s">
        <v>83</v>
      </c>
      <c r="K5648" s="241">
        <v>411399.02000001073</v>
      </c>
      <c r="L5648" s="241"/>
    </row>
    <row r="5649" spans="1:12" x14ac:dyDescent="0.2">
      <c r="A5649" s="242">
        <v>2022</v>
      </c>
      <c r="B5649" s="242">
        <v>1</v>
      </c>
      <c r="C5649" s="242">
        <v>20</v>
      </c>
      <c r="D5649" s="270">
        <f t="shared" si="218"/>
        <v>44581</v>
      </c>
      <c r="E5649" s="279">
        <f t="shared" si="219"/>
        <v>44581</v>
      </c>
      <c r="F5649" s="478"/>
      <c r="G5649" s="243" t="s">
        <v>94</v>
      </c>
      <c r="H5649" s="243" t="str" cm="1">
        <f t="array" ref="H5649">IFERROR(INDEX(INVESTOR_LIST[INVESTOR NAME],MATCH(I5649,INVESTOR_LIST[INVESTOR CODE],0),)," ")</f>
        <v xml:space="preserve"> </v>
      </c>
      <c r="I5649" s="263" t="s">
        <v>348</v>
      </c>
      <c r="J5649" s="244" t="s">
        <v>108</v>
      </c>
      <c r="K5649" s="245"/>
      <c r="L5649" s="245">
        <v>411399.02000001073</v>
      </c>
    </row>
    <row r="5650" spans="1:12" ht="22.5" x14ac:dyDescent="0.2">
      <c r="A5650" s="246">
        <v>2022</v>
      </c>
      <c r="B5650" s="246">
        <v>1</v>
      </c>
      <c r="C5650" s="246">
        <v>20</v>
      </c>
      <c r="D5650" s="270">
        <f t="shared" si="218"/>
        <v>44581</v>
      </c>
      <c r="E5650" s="279">
        <f t="shared" si="219"/>
        <v>44581</v>
      </c>
      <c r="F5650" s="482" t="s">
        <v>148</v>
      </c>
      <c r="G5650" s="247" t="s">
        <v>94</v>
      </c>
      <c r="H5650" s="247" t="str" cm="1">
        <f t="array" ref="H5650">IFERROR(INDEX(INVESTOR_LIST[INVESTOR NAME],MATCH(I5650,INVESTOR_LIST[INVESTOR CODE],0),)," ")</f>
        <v xml:space="preserve"> </v>
      </c>
      <c r="I5650" s="248" t="s">
        <v>348</v>
      </c>
      <c r="J5650" s="249" t="s">
        <v>95</v>
      </c>
      <c r="K5650" s="250">
        <v>2747.2527472527472</v>
      </c>
      <c r="L5650" s="241"/>
    </row>
    <row r="5651" spans="1:12" x14ac:dyDescent="0.2">
      <c r="A5651" s="242">
        <v>2022</v>
      </c>
      <c r="B5651" s="242">
        <v>1</v>
      </c>
      <c r="C5651" s="242">
        <v>20</v>
      </c>
      <c r="D5651" s="270">
        <f t="shared" si="218"/>
        <v>44581</v>
      </c>
      <c r="E5651" s="279">
        <f t="shared" si="219"/>
        <v>44581</v>
      </c>
      <c r="F5651" s="478"/>
      <c r="G5651" s="243" t="s">
        <v>94</v>
      </c>
      <c r="H5651" s="243" t="str" cm="1">
        <f t="array" ref="H5651">IFERROR(INDEX(INVESTOR_LIST[INVESTOR NAME],MATCH(I5651,INVESTOR_LIST[INVESTOR CODE],0),)," ")</f>
        <v xml:space="preserve"> </v>
      </c>
      <c r="I5651" s="263" t="s">
        <v>348</v>
      </c>
      <c r="J5651" s="244" t="s">
        <v>63</v>
      </c>
      <c r="K5651" s="245"/>
      <c r="L5651" s="245">
        <v>2747.2527472527472</v>
      </c>
    </row>
    <row r="5652" spans="1:12" x14ac:dyDescent="0.2">
      <c r="A5652" s="246">
        <v>2022</v>
      </c>
      <c r="B5652" s="246">
        <v>1</v>
      </c>
      <c r="C5652" s="246">
        <v>20</v>
      </c>
      <c r="D5652" s="270">
        <f t="shared" si="218"/>
        <v>44581</v>
      </c>
      <c r="E5652" s="279">
        <f t="shared" si="219"/>
        <v>44581</v>
      </c>
      <c r="F5652" s="482" t="s">
        <v>137</v>
      </c>
      <c r="G5652" s="247" t="s">
        <v>94</v>
      </c>
      <c r="H5652" s="247" t="str" cm="1">
        <f t="array" ref="H5652">IFERROR(INDEX(INVESTOR_LIST[INVESTOR NAME],MATCH(I5652,INVESTOR_LIST[INVESTOR CODE],0),)," ")</f>
        <v xml:space="preserve"> </v>
      </c>
      <c r="I5652" s="248" t="s">
        <v>348</v>
      </c>
      <c r="J5652" s="249" t="s">
        <v>97</v>
      </c>
      <c r="K5652" s="250">
        <v>76618.475800867294</v>
      </c>
      <c r="L5652" s="252"/>
    </row>
    <row r="5653" spans="1:12" x14ac:dyDescent="0.2">
      <c r="A5653" s="242">
        <v>2022</v>
      </c>
      <c r="B5653" s="242">
        <v>1</v>
      </c>
      <c r="C5653" s="242">
        <v>20</v>
      </c>
      <c r="D5653" s="270">
        <f t="shared" si="218"/>
        <v>44581</v>
      </c>
      <c r="E5653" s="279">
        <f t="shared" si="219"/>
        <v>44581</v>
      </c>
      <c r="F5653" s="478"/>
      <c r="G5653" s="243" t="s">
        <v>94</v>
      </c>
      <c r="H5653" s="243" t="str" cm="1">
        <f t="array" ref="H5653">IFERROR(INDEX(INVESTOR_LIST[INVESTOR NAME],MATCH(I5653,INVESTOR_LIST[INVESTOR CODE],0),)," ")</f>
        <v xml:space="preserve"> </v>
      </c>
      <c r="I5653" s="263" t="s">
        <v>348</v>
      </c>
      <c r="J5653" s="244" t="s">
        <v>47</v>
      </c>
      <c r="K5653" s="245"/>
      <c r="L5653" s="245">
        <v>76618.475800867294</v>
      </c>
    </row>
    <row r="5654" spans="1:12" x14ac:dyDescent="0.2">
      <c r="A5654" s="246">
        <v>2022</v>
      </c>
      <c r="B5654" s="246">
        <v>1</v>
      </c>
      <c r="C5654" s="246">
        <v>20</v>
      </c>
      <c r="D5654" s="270">
        <f t="shared" si="218"/>
        <v>44581</v>
      </c>
      <c r="E5654" s="279">
        <f t="shared" si="219"/>
        <v>44581</v>
      </c>
      <c r="F5654" s="482" t="s">
        <v>138</v>
      </c>
      <c r="G5654" s="247" t="s">
        <v>94</v>
      </c>
      <c r="H5654" s="247" t="str" cm="1">
        <f t="array" ref="H5654">IFERROR(INDEX(INVESTOR_LIST[INVESTOR NAME],MATCH(I5654,INVESTOR_LIST[INVESTOR CODE],0),)," ")</f>
        <v xml:space="preserve"> </v>
      </c>
      <c r="I5654" s="248" t="s">
        <v>348</v>
      </c>
      <c r="J5654" s="249" t="s">
        <v>100</v>
      </c>
      <c r="K5654" s="250">
        <v>3590.5391746587488</v>
      </c>
      <c r="L5654" s="252"/>
    </row>
    <row r="5655" spans="1:12" x14ac:dyDescent="0.2">
      <c r="A5655" s="242">
        <v>2022</v>
      </c>
      <c r="B5655" s="242">
        <v>1</v>
      </c>
      <c r="C5655" s="242">
        <v>20</v>
      </c>
      <c r="D5655" s="270">
        <f t="shared" si="218"/>
        <v>44581</v>
      </c>
      <c r="E5655" s="279">
        <f t="shared" si="219"/>
        <v>44581</v>
      </c>
      <c r="F5655" s="478"/>
      <c r="G5655" s="243" t="s">
        <v>94</v>
      </c>
      <c r="H5655" s="243" t="str" cm="1">
        <f t="array" ref="H5655">IFERROR(INDEX(INVESTOR_LIST[INVESTOR NAME],MATCH(I5655,INVESTOR_LIST[INVESTOR CODE],0),)," ")</f>
        <v xml:space="preserve"> </v>
      </c>
      <c r="I5655" s="263" t="s">
        <v>348</v>
      </c>
      <c r="J5655" s="244" t="s">
        <v>48</v>
      </c>
      <c r="K5655" s="245"/>
      <c r="L5655" s="245">
        <v>3590.5391746587488</v>
      </c>
    </row>
    <row r="5656" spans="1:12" ht="33.75" x14ac:dyDescent="0.2">
      <c r="A5656" s="168">
        <v>2022</v>
      </c>
      <c r="B5656" s="168">
        <v>1</v>
      </c>
      <c r="C5656" s="133">
        <v>23</v>
      </c>
      <c r="D5656" s="141">
        <f t="shared" si="218"/>
        <v>44584</v>
      </c>
      <c r="E5656" s="275">
        <f t="shared" si="219"/>
        <v>44584</v>
      </c>
      <c r="F5656" s="479" t="s">
        <v>965</v>
      </c>
      <c r="G5656" s="220" t="s">
        <v>74</v>
      </c>
      <c r="H5656" s="142" t="str" cm="1">
        <f t="array" ref="H5656">IFERROR(INDEX(INVESTOR_LIST[INVESTOR NAME],MATCH(I5656,INVESTOR_LIST[INVESTOR CODE],0),)," ")</f>
        <v>ARZUN KUMAR SARKAR</v>
      </c>
      <c r="I5656" s="142" t="s">
        <v>479</v>
      </c>
      <c r="J5656" s="168" t="s">
        <v>13</v>
      </c>
      <c r="K5656" s="226">
        <v>137130</v>
      </c>
      <c r="L5656" s="226"/>
    </row>
    <row r="5657" spans="1:12" ht="33.75" x14ac:dyDescent="0.2">
      <c r="A5657" s="133">
        <v>2022</v>
      </c>
      <c r="B5657" s="133">
        <v>1</v>
      </c>
      <c r="C5657" s="133">
        <v>23</v>
      </c>
      <c r="D5657" s="141">
        <f t="shared" si="218"/>
        <v>44584</v>
      </c>
      <c r="E5657" s="275">
        <f t="shared" si="219"/>
        <v>44584</v>
      </c>
      <c r="F5657" s="481"/>
      <c r="G5657" s="174" t="s">
        <v>74</v>
      </c>
      <c r="H5657" s="148" t="str" cm="1">
        <f t="array" ref="H5657">IFERROR(INDEX(INVESTOR_LIST[INVESTOR NAME],MATCH(I5657,INVESTOR_LIST[INVESTOR CODE],0),)," ")</f>
        <v>ARZUN KUMAR SARKAR</v>
      </c>
      <c r="I5657" s="148" t="s">
        <v>479</v>
      </c>
      <c r="J5657" s="133" t="s">
        <v>53</v>
      </c>
      <c r="K5657" s="218">
        <v>33870</v>
      </c>
      <c r="L5657" s="218"/>
    </row>
    <row r="5658" spans="1:12" ht="33.75" x14ac:dyDescent="0.2">
      <c r="A5658" s="163">
        <v>2022</v>
      </c>
      <c r="B5658" s="163">
        <v>1</v>
      </c>
      <c r="C5658" s="163">
        <v>23</v>
      </c>
      <c r="D5658" s="141">
        <f t="shared" si="218"/>
        <v>44584</v>
      </c>
      <c r="E5658" s="275">
        <f t="shared" si="219"/>
        <v>44584</v>
      </c>
      <c r="F5658" s="480"/>
      <c r="G5658" s="221" t="s">
        <v>74</v>
      </c>
      <c r="H5658" s="145" t="str" cm="1">
        <f t="array" ref="H5658">IFERROR(INDEX(INVESTOR_LIST[INVESTOR NAME],MATCH(I5658,INVESTOR_LIST[INVESTOR CODE],0),)," ")</f>
        <v>ARZUN KUMAR SARKAR</v>
      </c>
      <c r="I5658" s="145" t="s">
        <v>479</v>
      </c>
      <c r="J5658" s="163" t="s">
        <v>52</v>
      </c>
      <c r="K5658" s="219"/>
      <c r="L5658" s="219">
        <v>171000</v>
      </c>
    </row>
    <row r="5659" spans="1:12" x14ac:dyDescent="0.2">
      <c r="A5659" s="133">
        <v>2022</v>
      </c>
      <c r="B5659" s="133">
        <v>1</v>
      </c>
      <c r="C5659" s="133">
        <v>23</v>
      </c>
      <c r="D5659" s="141">
        <f t="shared" ref="D5659:D5662" si="220">DATE(A5659,B5659,C5659)</f>
        <v>44584</v>
      </c>
      <c r="E5659" s="275">
        <f t="shared" ref="E5659:E5662" si="221">DATE(A5659,B5659,C5659)</f>
        <v>44584</v>
      </c>
      <c r="F5659" s="479" t="s">
        <v>1005</v>
      </c>
      <c r="G5659" s="174" t="s">
        <v>74</v>
      </c>
      <c r="H5659" s="148" t="str" cm="1">
        <f t="array" ref="H5659">IFERROR(INDEX(INVESTOR_LIST[INVESTOR NAME],MATCH(I5659,INVESTOR_LIST[INVESTOR CODE],0),)," ")</f>
        <v xml:space="preserve"> </v>
      </c>
      <c r="I5659" s="148" t="s">
        <v>348</v>
      </c>
      <c r="J5659" s="133" t="s">
        <v>47</v>
      </c>
      <c r="K5659" s="172">
        <v>2627667</v>
      </c>
    </row>
    <row r="5660" spans="1:12" x14ac:dyDescent="0.2">
      <c r="A5660" s="163">
        <v>2022</v>
      </c>
      <c r="B5660" s="163">
        <v>1</v>
      </c>
      <c r="C5660" s="163">
        <v>23</v>
      </c>
      <c r="D5660" s="141">
        <f t="shared" si="220"/>
        <v>44584</v>
      </c>
      <c r="E5660" s="275">
        <f t="shared" si="221"/>
        <v>44584</v>
      </c>
      <c r="F5660" s="480"/>
      <c r="G5660" s="221" t="s">
        <v>74</v>
      </c>
      <c r="H5660" s="145" t="str" cm="1">
        <f t="array" ref="H5660">IFERROR(INDEX(INVESTOR_LIST[INVESTOR NAME],MATCH(I5660,INVESTOR_LIST[INVESTOR CODE],0),)," ")</f>
        <v xml:space="preserve"> </v>
      </c>
      <c r="I5660" s="145" t="s">
        <v>348</v>
      </c>
      <c r="J5660" s="163" t="s">
        <v>52</v>
      </c>
      <c r="K5660" s="219"/>
      <c r="L5660" s="219">
        <v>2627667</v>
      </c>
    </row>
    <row r="5661" spans="1:12" x14ac:dyDescent="0.2">
      <c r="A5661" s="168">
        <v>2022</v>
      </c>
      <c r="B5661" s="168">
        <v>1</v>
      </c>
      <c r="C5661" s="168">
        <v>23</v>
      </c>
      <c r="D5661" s="141">
        <f t="shared" si="220"/>
        <v>44584</v>
      </c>
      <c r="E5661" s="275">
        <f t="shared" si="221"/>
        <v>44584</v>
      </c>
      <c r="F5661" s="479" t="s">
        <v>524</v>
      </c>
      <c r="G5661" s="220" t="s">
        <v>74</v>
      </c>
      <c r="H5661" s="220" t="str" cm="1">
        <f t="array" ref="H5661">IFERROR(INDEX(INVESTOR_LIST[INVESTOR NAME],MATCH(I5661,INVESTOR_LIST[INVESTOR CODE],0),)," ")</f>
        <v xml:space="preserve"> </v>
      </c>
      <c r="I5661" s="142" t="s">
        <v>348</v>
      </c>
      <c r="J5661" s="143" t="s">
        <v>147</v>
      </c>
      <c r="K5661" s="226">
        <v>2476713.5699999998</v>
      </c>
      <c r="L5661" s="226"/>
    </row>
    <row r="5662" spans="1:12" x14ac:dyDescent="0.2">
      <c r="A5662" s="163">
        <v>2022</v>
      </c>
      <c r="B5662" s="163">
        <v>1</v>
      </c>
      <c r="C5662" s="163">
        <v>23</v>
      </c>
      <c r="D5662" s="141">
        <f t="shared" si="220"/>
        <v>44584</v>
      </c>
      <c r="E5662" s="275">
        <f t="shared" si="221"/>
        <v>44584</v>
      </c>
      <c r="F5662" s="480"/>
      <c r="G5662" s="221" t="s">
        <v>74</v>
      </c>
      <c r="H5662" s="221" t="str" cm="1">
        <f t="array" ref="H5662">IFERROR(INDEX(INVESTOR_LIST[INVESTOR NAME],MATCH(I5662,INVESTOR_LIST[INVESTOR CODE],0),)," ")</f>
        <v xml:space="preserve"> </v>
      </c>
      <c r="I5662" s="145" t="s">
        <v>348</v>
      </c>
      <c r="J5662" s="146" t="s">
        <v>52</v>
      </c>
      <c r="K5662" s="219"/>
      <c r="L5662" s="219">
        <v>2476713.5699999998</v>
      </c>
    </row>
    <row r="5663" spans="1:12" x14ac:dyDescent="0.2">
      <c r="A5663" s="168">
        <v>2022</v>
      </c>
      <c r="B5663" s="168">
        <v>1</v>
      </c>
      <c r="C5663" s="168">
        <v>23</v>
      </c>
      <c r="D5663" s="141">
        <f t="shared" ref="D5663:D5666" si="222">DATE(A5663,B5663,C5663)</f>
        <v>44584</v>
      </c>
      <c r="E5663" s="275">
        <f t="shared" ref="E5663:E5666" si="223">DATE(A5663,B5663,C5663)</f>
        <v>44584</v>
      </c>
      <c r="F5663" s="479" t="s">
        <v>524</v>
      </c>
      <c r="G5663" s="220" t="s">
        <v>74</v>
      </c>
      <c r="H5663" s="220" t="str" cm="1">
        <f t="array" ref="H5663">IFERROR(INDEX(INVESTOR_LIST[INVESTOR NAME],MATCH(I5663,INVESTOR_LIST[INVESTOR CODE],0),)," ")</f>
        <v xml:space="preserve"> </v>
      </c>
      <c r="I5663" s="142" t="s">
        <v>348</v>
      </c>
      <c r="J5663" s="143" t="s">
        <v>147</v>
      </c>
      <c r="K5663" s="226">
        <v>657168.07999999996</v>
      </c>
      <c r="L5663" s="226"/>
    </row>
    <row r="5664" spans="1:12" x14ac:dyDescent="0.2">
      <c r="A5664" s="163">
        <v>2022</v>
      </c>
      <c r="B5664" s="163">
        <v>1</v>
      </c>
      <c r="C5664" s="163">
        <v>23</v>
      </c>
      <c r="D5664" s="141">
        <f t="shared" si="222"/>
        <v>44584</v>
      </c>
      <c r="E5664" s="275">
        <f t="shared" si="223"/>
        <v>44584</v>
      </c>
      <c r="F5664" s="480"/>
      <c r="G5664" s="221" t="s">
        <v>74</v>
      </c>
      <c r="H5664" s="221" t="str" cm="1">
        <f t="array" ref="H5664">IFERROR(INDEX(INVESTOR_LIST[INVESTOR NAME],MATCH(I5664,INVESTOR_LIST[INVESTOR CODE],0),)," ")</f>
        <v xml:space="preserve"> </v>
      </c>
      <c r="I5664" s="145" t="s">
        <v>348</v>
      </c>
      <c r="J5664" s="146" t="s">
        <v>52</v>
      </c>
      <c r="K5664" s="219"/>
      <c r="L5664" s="219">
        <v>657168.07999999996</v>
      </c>
    </row>
    <row r="5665" spans="1:12" x14ac:dyDescent="0.2">
      <c r="A5665" s="168">
        <v>2022</v>
      </c>
      <c r="B5665" s="168">
        <v>1</v>
      </c>
      <c r="C5665" s="168">
        <v>23</v>
      </c>
      <c r="D5665" s="141">
        <f t="shared" si="222"/>
        <v>44584</v>
      </c>
      <c r="E5665" s="275">
        <f t="shared" si="223"/>
        <v>44584</v>
      </c>
      <c r="F5665" s="479" t="s">
        <v>821</v>
      </c>
      <c r="G5665" s="220" t="s">
        <v>74</v>
      </c>
      <c r="H5665" s="220" t="str" cm="1">
        <f t="array" ref="H5665">IFERROR(INDEX(INVESTOR_LIST[INVESTOR NAME],MATCH(I5665,INVESTOR_LIST[INVESTOR CODE],0),)," ")</f>
        <v xml:space="preserve"> </v>
      </c>
      <c r="I5665" s="142" t="s">
        <v>348</v>
      </c>
      <c r="J5665" s="143" t="s">
        <v>52</v>
      </c>
      <c r="K5665" s="226">
        <v>47812.5</v>
      </c>
      <c r="L5665" s="226"/>
    </row>
    <row r="5666" spans="1:12" x14ac:dyDescent="0.2">
      <c r="A5666" s="163">
        <v>2022</v>
      </c>
      <c r="B5666" s="163">
        <v>1</v>
      </c>
      <c r="C5666" s="163">
        <v>23</v>
      </c>
      <c r="D5666" s="141">
        <f t="shared" si="222"/>
        <v>44584</v>
      </c>
      <c r="E5666" s="275">
        <f t="shared" si="223"/>
        <v>44584</v>
      </c>
      <c r="F5666" s="480"/>
      <c r="G5666" s="221" t="s">
        <v>74</v>
      </c>
      <c r="H5666" s="221" t="str" cm="1">
        <f t="array" ref="H5666">IFERROR(INDEX(INVESTOR_LIST[INVESTOR NAME],MATCH(I5666,INVESTOR_LIST[INVESTOR CODE],0),)," ")</f>
        <v xml:space="preserve"> </v>
      </c>
      <c r="I5666" s="145" t="s">
        <v>348</v>
      </c>
      <c r="J5666" s="146" t="s">
        <v>60</v>
      </c>
      <c r="K5666" s="219"/>
      <c r="L5666" s="219">
        <v>47812.5</v>
      </c>
    </row>
    <row r="5667" spans="1:12" x14ac:dyDescent="0.2">
      <c r="A5667" s="168">
        <v>2022</v>
      </c>
      <c r="B5667" s="168">
        <v>1</v>
      </c>
      <c r="C5667" s="133">
        <v>24</v>
      </c>
      <c r="D5667" s="141">
        <f t="shared" ref="D5667:D5674" si="224">DATE(A5667,B5667,C5667)</f>
        <v>44585</v>
      </c>
      <c r="E5667" s="275">
        <f t="shared" ref="E5667:E5674" si="225">DATE(A5667,B5667,C5667)</f>
        <v>44585</v>
      </c>
      <c r="F5667" s="479" t="s">
        <v>953</v>
      </c>
      <c r="G5667" s="220" t="s">
        <v>94</v>
      </c>
      <c r="H5667" s="220" t="str" cm="1">
        <f t="array" ref="H5667">IFERROR(INDEX(INVESTOR_LIST[INVESTOR NAME],MATCH(I5667,INVESTOR_LIST[INVESTOR CODE],0),)," ")</f>
        <v xml:space="preserve"> </v>
      </c>
      <c r="I5667" s="142"/>
      <c r="J5667" s="143" t="s">
        <v>79</v>
      </c>
      <c r="K5667" s="226">
        <v>544965</v>
      </c>
      <c r="L5667" s="226"/>
    </row>
    <row r="5668" spans="1:12" x14ac:dyDescent="0.2">
      <c r="A5668" s="133">
        <v>2022</v>
      </c>
      <c r="B5668" s="133">
        <v>1</v>
      </c>
      <c r="C5668" s="133">
        <v>24</v>
      </c>
      <c r="D5668" s="141">
        <f t="shared" si="224"/>
        <v>44585</v>
      </c>
      <c r="E5668" s="275">
        <f t="shared" si="225"/>
        <v>44585</v>
      </c>
      <c r="F5668" s="481"/>
      <c r="G5668" s="174" t="s">
        <v>94</v>
      </c>
      <c r="H5668" s="174" t="str" cm="1">
        <f t="array" ref="H5668">IFERROR(INDEX(INVESTOR_LIST[INVESTOR NAME],MATCH(I5668,INVESTOR_LIST[INVESTOR CODE],0),)," ")</f>
        <v xml:space="preserve"> </v>
      </c>
      <c r="J5668" s="149" t="s">
        <v>80</v>
      </c>
      <c r="K5668" s="218">
        <v>980.94</v>
      </c>
      <c r="L5668" s="218"/>
    </row>
    <row r="5669" spans="1:12" x14ac:dyDescent="0.2">
      <c r="A5669" s="163">
        <v>2022</v>
      </c>
      <c r="B5669" s="163">
        <v>1</v>
      </c>
      <c r="C5669" s="163">
        <v>24</v>
      </c>
      <c r="D5669" s="141">
        <f t="shared" si="224"/>
        <v>44585</v>
      </c>
      <c r="E5669" s="275">
        <f t="shared" si="225"/>
        <v>44585</v>
      </c>
      <c r="F5669" s="480"/>
      <c r="G5669" s="221" t="s">
        <v>94</v>
      </c>
      <c r="H5669" s="221" t="str" cm="1">
        <f t="array" ref="H5669">IFERROR(INDEX(INVESTOR_LIST[INVESTOR NAME],MATCH(I5669,INVESTOR_LIST[INVESTOR CODE],0),)," ")</f>
        <v xml:space="preserve"> </v>
      </c>
      <c r="I5669" s="145"/>
      <c r="J5669" s="146" t="s">
        <v>147</v>
      </c>
      <c r="K5669" s="219"/>
      <c r="L5669" s="219">
        <v>545945.93999999994</v>
      </c>
    </row>
    <row r="5670" spans="1:12" x14ac:dyDescent="0.2">
      <c r="A5670" s="168">
        <v>2022</v>
      </c>
      <c r="B5670" s="168">
        <v>1</v>
      </c>
      <c r="C5670" s="168">
        <v>24</v>
      </c>
      <c r="D5670" s="141">
        <f t="shared" si="224"/>
        <v>44585</v>
      </c>
      <c r="E5670" s="275">
        <f t="shared" si="225"/>
        <v>44585</v>
      </c>
      <c r="F5670" s="479" t="s">
        <v>524</v>
      </c>
      <c r="G5670" s="220" t="s">
        <v>74</v>
      </c>
      <c r="H5670" s="220" t="str" cm="1">
        <f t="array" ref="H5670">IFERROR(INDEX(INVESTOR_LIST[INVESTOR NAME],MATCH(I5670,INVESTOR_LIST[INVESTOR CODE],0),)," ")</f>
        <v xml:space="preserve"> </v>
      </c>
      <c r="I5670" s="142" t="s">
        <v>348</v>
      </c>
      <c r="J5670" s="143" t="s">
        <v>147</v>
      </c>
      <c r="K5670" s="226">
        <v>545945.93999999994</v>
      </c>
      <c r="L5670" s="226"/>
    </row>
    <row r="5671" spans="1:12" x14ac:dyDescent="0.2">
      <c r="A5671" s="163">
        <v>2022</v>
      </c>
      <c r="B5671" s="163">
        <v>1</v>
      </c>
      <c r="C5671" s="163">
        <v>24</v>
      </c>
      <c r="D5671" s="141">
        <f t="shared" si="224"/>
        <v>44585</v>
      </c>
      <c r="E5671" s="275">
        <f t="shared" si="225"/>
        <v>44585</v>
      </c>
      <c r="F5671" s="480"/>
      <c r="G5671" s="221" t="s">
        <v>74</v>
      </c>
      <c r="H5671" s="221" t="str" cm="1">
        <f t="array" ref="H5671">IFERROR(INDEX(INVESTOR_LIST[INVESTOR NAME],MATCH(I5671,INVESTOR_LIST[INVESTOR CODE],0),)," ")</f>
        <v xml:space="preserve"> </v>
      </c>
      <c r="I5671" s="145" t="s">
        <v>348</v>
      </c>
      <c r="J5671" s="146" t="s">
        <v>52</v>
      </c>
      <c r="K5671" s="219"/>
      <c r="L5671" s="219">
        <v>545945.93999999994</v>
      </c>
    </row>
    <row r="5672" spans="1:12" x14ac:dyDescent="0.2">
      <c r="A5672" s="168">
        <v>2022</v>
      </c>
      <c r="B5672" s="168">
        <v>1</v>
      </c>
      <c r="C5672" s="133">
        <v>24</v>
      </c>
      <c r="D5672" s="141">
        <f t="shared" si="224"/>
        <v>44585</v>
      </c>
      <c r="E5672" s="275">
        <f t="shared" si="225"/>
        <v>44585</v>
      </c>
      <c r="F5672" s="479" t="s">
        <v>1003</v>
      </c>
      <c r="G5672" s="220" t="s">
        <v>74</v>
      </c>
      <c r="H5672" s="142" t="str" cm="1">
        <f t="array" ref="H5672">IFERROR(INDEX(INVESTOR_LIST[INVESTOR NAME],MATCH(I5672,INVESTOR_LIST[INVESTOR CODE],0),)," ")</f>
        <v xml:space="preserve"> </v>
      </c>
      <c r="I5672" s="142"/>
      <c r="J5672" s="168" t="s">
        <v>358</v>
      </c>
      <c r="K5672" s="226">
        <v>218121.8</v>
      </c>
      <c r="L5672" s="226"/>
    </row>
    <row r="5673" spans="1:12" x14ac:dyDescent="0.2">
      <c r="A5673" s="133">
        <v>2022</v>
      </c>
      <c r="B5673" s="133">
        <v>1</v>
      </c>
      <c r="C5673" s="133">
        <v>24</v>
      </c>
      <c r="D5673" s="141">
        <f t="shared" si="224"/>
        <v>44585</v>
      </c>
      <c r="E5673" s="275">
        <f t="shared" si="225"/>
        <v>44585</v>
      </c>
      <c r="F5673" s="481"/>
      <c r="G5673" s="174" t="s">
        <v>74</v>
      </c>
      <c r="H5673" s="148" t="str" cm="1">
        <f t="array" ref="H5673">IFERROR(INDEX(INVESTOR_LIST[INVESTOR NAME],MATCH(I5673,INVESTOR_LIST[INVESTOR CODE],0),)," ")</f>
        <v xml:space="preserve"> </v>
      </c>
      <c r="J5673" s="133" t="s">
        <v>534</v>
      </c>
      <c r="K5673" s="218"/>
      <c r="L5673" s="218">
        <v>38624.36</v>
      </c>
    </row>
    <row r="5674" spans="1:12" x14ac:dyDescent="0.2">
      <c r="A5674" s="163">
        <v>2022</v>
      </c>
      <c r="B5674" s="163">
        <v>1</v>
      </c>
      <c r="C5674" s="163">
        <v>24</v>
      </c>
      <c r="D5674" s="141">
        <f t="shared" si="224"/>
        <v>44585</v>
      </c>
      <c r="E5674" s="275">
        <f t="shared" si="225"/>
        <v>44585</v>
      </c>
      <c r="F5674" s="480"/>
      <c r="G5674" s="221" t="s">
        <v>74</v>
      </c>
      <c r="H5674" s="145" t="str" cm="1">
        <f t="array" ref="H5674">IFERROR(INDEX(INVESTOR_LIST[INVESTOR NAME],MATCH(I5674,INVESTOR_LIST[INVESTOR CODE],0),)," ")</f>
        <v xml:space="preserve"> </v>
      </c>
      <c r="I5674" s="145"/>
      <c r="J5674" s="163" t="s">
        <v>52</v>
      </c>
      <c r="K5674" s="219"/>
      <c r="L5674" s="219">
        <v>179497.44</v>
      </c>
    </row>
    <row r="5675" spans="1:12" x14ac:dyDescent="0.2">
      <c r="A5675" s="168">
        <v>2022</v>
      </c>
      <c r="B5675" s="168">
        <v>1</v>
      </c>
      <c r="C5675" s="133">
        <v>24</v>
      </c>
      <c r="D5675" s="141">
        <f t="shared" ref="D5675:D5683" si="226">DATE(A5675,B5675,C5675)</f>
        <v>44585</v>
      </c>
      <c r="E5675" s="275">
        <f t="shared" ref="E5675:E5683" si="227">DATE(A5675,B5675,C5675)</f>
        <v>44585</v>
      </c>
      <c r="F5675" s="479" t="s">
        <v>1004</v>
      </c>
      <c r="G5675" s="220" t="s">
        <v>74</v>
      </c>
      <c r="H5675" s="142" t="str" cm="1">
        <f t="array" ref="H5675">IFERROR(INDEX(INVESTOR_LIST[INVESTOR NAME],MATCH(I5675,INVESTOR_LIST[INVESTOR CODE],0),)," ")</f>
        <v xml:space="preserve"> </v>
      </c>
      <c r="I5675" s="142"/>
      <c r="J5675" s="168" t="s">
        <v>358</v>
      </c>
      <c r="K5675" s="226">
        <v>260000</v>
      </c>
      <c r="L5675" s="226"/>
    </row>
    <row r="5676" spans="1:12" x14ac:dyDescent="0.2">
      <c r="A5676" s="133">
        <v>2022</v>
      </c>
      <c r="B5676" s="133">
        <v>1</v>
      </c>
      <c r="C5676" s="133">
        <v>24</v>
      </c>
      <c r="D5676" s="141">
        <f t="shared" si="226"/>
        <v>44585</v>
      </c>
      <c r="E5676" s="275">
        <f t="shared" si="227"/>
        <v>44585</v>
      </c>
      <c r="F5676" s="481"/>
      <c r="G5676" s="174" t="s">
        <v>74</v>
      </c>
      <c r="H5676" s="148" t="str" cm="1">
        <f t="array" ref="H5676">IFERROR(INDEX(INVESTOR_LIST[INVESTOR NAME],MATCH(I5676,INVESTOR_LIST[INVESTOR CODE],0),)," ")</f>
        <v xml:space="preserve"> </v>
      </c>
      <c r="J5676" s="133" t="s">
        <v>534</v>
      </c>
      <c r="K5676" s="218"/>
      <c r="L5676" s="218">
        <v>11750</v>
      </c>
    </row>
    <row r="5677" spans="1:12" x14ac:dyDescent="0.2">
      <c r="A5677" s="163">
        <v>2022</v>
      </c>
      <c r="B5677" s="163">
        <v>1</v>
      </c>
      <c r="C5677" s="163">
        <v>24</v>
      </c>
      <c r="D5677" s="141">
        <f t="shared" si="226"/>
        <v>44585</v>
      </c>
      <c r="E5677" s="275">
        <f t="shared" si="227"/>
        <v>44585</v>
      </c>
      <c r="F5677" s="480"/>
      <c r="G5677" s="221" t="s">
        <v>74</v>
      </c>
      <c r="H5677" s="145" t="str" cm="1">
        <f t="array" ref="H5677">IFERROR(INDEX(INVESTOR_LIST[INVESTOR NAME],MATCH(I5677,INVESTOR_LIST[INVESTOR CODE],0),)," ")</f>
        <v xml:space="preserve"> </v>
      </c>
      <c r="I5677" s="145"/>
      <c r="J5677" s="163" t="s">
        <v>52</v>
      </c>
      <c r="K5677" s="219"/>
      <c r="L5677" s="219">
        <v>248250</v>
      </c>
    </row>
    <row r="5678" spans="1:12" ht="56.25" x14ac:dyDescent="0.2">
      <c r="A5678" s="168">
        <v>2022</v>
      </c>
      <c r="B5678" s="168">
        <v>1</v>
      </c>
      <c r="C5678" s="133">
        <v>24</v>
      </c>
      <c r="D5678" s="141">
        <f t="shared" si="226"/>
        <v>44585</v>
      </c>
      <c r="E5678" s="275">
        <f t="shared" si="227"/>
        <v>44585</v>
      </c>
      <c r="F5678" s="479" t="s">
        <v>965</v>
      </c>
      <c r="G5678" s="220" t="s">
        <v>74</v>
      </c>
      <c r="H5678" s="142" t="str" cm="1">
        <f t="array" ref="H5678">IFERROR(INDEX(INVESTOR_LIST[INVESTOR NAME],MATCH(I5678,INVESTOR_LIST[INVESTOR CODE],0),)," ")</f>
        <v>JANNATUL FERDOUS SHARNA</v>
      </c>
      <c r="I5678" s="142" t="s">
        <v>870</v>
      </c>
      <c r="J5678" s="168" t="s">
        <v>13</v>
      </c>
      <c r="K5678" s="226">
        <v>68870</v>
      </c>
      <c r="L5678" s="226"/>
    </row>
    <row r="5679" spans="1:12" ht="56.25" x14ac:dyDescent="0.2">
      <c r="A5679" s="133">
        <v>2022</v>
      </c>
      <c r="B5679" s="133">
        <v>1</v>
      </c>
      <c r="C5679" s="133">
        <v>24</v>
      </c>
      <c r="D5679" s="141">
        <f t="shared" si="226"/>
        <v>44585</v>
      </c>
      <c r="E5679" s="275">
        <f t="shared" si="227"/>
        <v>44585</v>
      </c>
      <c r="F5679" s="481"/>
      <c r="G5679" s="174" t="s">
        <v>74</v>
      </c>
      <c r="H5679" s="148" t="str" cm="1">
        <f t="array" ref="H5679">IFERROR(INDEX(INVESTOR_LIST[INVESTOR NAME],MATCH(I5679,INVESTOR_LIST[INVESTOR CODE],0),)," ")</f>
        <v>JANNATUL FERDOUS SHARNA</v>
      </c>
      <c r="I5679" s="148" t="s">
        <v>870</v>
      </c>
      <c r="J5679" s="133" t="s">
        <v>53</v>
      </c>
      <c r="K5679" s="218">
        <v>17010.89</v>
      </c>
      <c r="L5679" s="218"/>
    </row>
    <row r="5680" spans="1:12" ht="56.25" x14ac:dyDescent="0.2">
      <c r="A5680" s="163">
        <v>2022</v>
      </c>
      <c r="B5680" s="163">
        <v>1</v>
      </c>
      <c r="C5680" s="163">
        <v>24</v>
      </c>
      <c r="D5680" s="141">
        <f t="shared" si="226"/>
        <v>44585</v>
      </c>
      <c r="E5680" s="275">
        <f t="shared" si="227"/>
        <v>44585</v>
      </c>
      <c r="F5680" s="480"/>
      <c r="G5680" s="221" t="s">
        <v>74</v>
      </c>
      <c r="H5680" s="145" t="str" cm="1">
        <f t="array" ref="H5680">IFERROR(INDEX(INVESTOR_LIST[INVESTOR NAME],MATCH(I5680,INVESTOR_LIST[INVESTOR CODE],0),)," ")</f>
        <v>JANNATUL FERDOUS SHARNA</v>
      </c>
      <c r="I5680" s="145" t="s">
        <v>870</v>
      </c>
      <c r="J5680" s="163" t="s">
        <v>52</v>
      </c>
      <c r="K5680" s="219"/>
      <c r="L5680" s="219">
        <v>85880.89</v>
      </c>
    </row>
    <row r="5681" spans="1:12" ht="22.5" x14ac:dyDescent="0.2">
      <c r="A5681" s="168">
        <v>2022</v>
      </c>
      <c r="B5681" s="168">
        <v>1</v>
      </c>
      <c r="C5681" s="133">
        <v>24</v>
      </c>
      <c r="D5681" s="141">
        <f t="shared" si="226"/>
        <v>44585</v>
      </c>
      <c r="E5681" s="275">
        <f t="shared" si="227"/>
        <v>44585</v>
      </c>
      <c r="F5681" s="479" t="s">
        <v>965</v>
      </c>
      <c r="G5681" s="220" t="s">
        <v>74</v>
      </c>
      <c r="H5681" s="142" t="str" cm="1">
        <f t="array" ref="H5681">IFERROR(INDEX(INVESTOR_LIST[INVESTOR NAME],MATCH(I5681,INVESTOR_LIST[INVESTOR CODE],0),)," ")</f>
        <v>RAIS-UR-RUBBI</v>
      </c>
      <c r="I5681" s="142" t="s">
        <v>680</v>
      </c>
      <c r="J5681" s="168" t="s">
        <v>13</v>
      </c>
      <c r="K5681" s="226">
        <v>159970</v>
      </c>
      <c r="L5681" s="226"/>
    </row>
    <row r="5682" spans="1:12" ht="22.5" x14ac:dyDescent="0.2">
      <c r="A5682" s="133">
        <v>2022</v>
      </c>
      <c r="B5682" s="133">
        <v>1</v>
      </c>
      <c r="C5682" s="133">
        <v>24</v>
      </c>
      <c r="D5682" s="141">
        <f t="shared" si="226"/>
        <v>44585</v>
      </c>
      <c r="E5682" s="275">
        <f t="shared" si="227"/>
        <v>44585</v>
      </c>
      <c r="F5682" s="481"/>
      <c r="G5682" s="174" t="s">
        <v>74</v>
      </c>
      <c r="H5682" s="148" t="str" cm="1">
        <f t="array" ref="H5682">IFERROR(INDEX(INVESTOR_LIST[INVESTOR NAME],MATCH(I5682,INVESTOR_LIST[INVESTOR CODE],0),)," ")</f>
        <v>RAIS-UR-RUBBI</v>
      </c>
      <c r="I5682" s="148" t="s">
        <v>680</v>
      </c>
      <c r="J5682" s="133" t="s">
        <v>53</v>
      </c>
      <c r="K5682" s="218">
        <v>40348.080000000002</v>
      </c>
      <c r="L5682" s="218"/>
    </row>
    <row r="5683" spans="1:12" ht="22.5" x14ac:dyDescent="0.2">
      <c r="A5683" s="163">
        <v>2022</v>
      </c>
      <c r="B5683" s="163">
        <v>1</v>
      </c>
      <c r="C5683" s="163">
        <v>24</v>
      </c>
      <c r="D5683" s="141">
        <f t="shared" si="226"/>
        <v>44585</v>
      </c>
      <c r="E5683" s="275">
        <f t="shared" si="227"/>
        <v>44585</v>
      </c>
      <c r="F5683" s="480"/>
      <c r="G5683" s="221" t="s">
        <v>74</v>
      </c>
      <c r="H5683" s="145" t="str" cm="1">
        <f t="array" ref="H5683">IFERROR(INDEX(INVESTOR_LIST[INVESTOR NAME],MATCH(I5683,INVESTOR_LIST[INVESTOR CODE],0),)," ")</f>
        <v>RAIS-UR-RUBBI</v>
      </c>
      <c r="I5683" s="145" t="s">
        <v>680</v>
      </c>
      <c r="J5683" s="163" t="s">
        <v>52</v>
      </c>
      <c r="K5683" s="219"/>
      <c r="L5683" s="219">
        <v>200318.07999999999</v>
      </c>
    </row>
    <row r="5684" spans="1:12" x14ac:dyDescent="0.2">
      <c r="A5684" s="168">
        <v>2022</v>
      </c>
      <c r="B5684" s="168">
        <v>1</v>
      </c>
      <c r="C5684" s="133">
        <v>25</v>
      </c>
      <c r="D5684" s="141">
        <f t="shared" ref="D5684:D5756" si="228">DATE(A5684,B5684,C5684)</f>
        <v>44586</v>
      </c>
      <c r="E5684" s="275">
        <f t="shared" ref="E5684:E5756" si="229">DATE(A5684,B5684,C5684)</f>
        <v>44586</v>
      </c>
      <c r="F5684" s="479" t="s">
        <v>1007</v>
      </c>
      <c r="G5684" s="220" t="s">
        <v>74</v>
      </c>
      <c r="H5684" s="142" t="str" cm="1">
        <f t="array" ref="H5684">IFERROR(INDEX(INVESTOR_LIST[INVESTOR NAME],MATCH(I5684,INVESTOR_LIST[INVESTOR CODE],0),)," ")</f>
        <v xml:space="preserve"> </v>
      </c>
      <c r="I5684" s="142"/>
      <c r="J5684" s="168" t="s">
        <v>358</v>
      </c>
      <c r="K5684" s="226">
        <v>242535.80000000002</v>
      </c>
      <c r="L5684" s="226"/>
    </row>
    <row r="5685" spans="1:12" x14ac:dyDescent="0.2">
      <c r="A5685" s="133">
        <v>2022</v>
      </c>
      <c r="B5685" s="133">
        <v>1</v>
      </c>
      <c r="C5685" s="133">
        <v>25</v>
      </c>
      <c r="D5685" s="141">
        <f t="shared" si="228"/>
        <v>44586</v>
      </c>
      <c r="E5685" s="275">
        <f t="shared" si="229"/>
        <v>44586</v>
      </c>
      <c r="F5685" s="481"/>
      <c r="G5685" s="174" t="s">
        <v>74</v>
      </c>
      <c r="H5685" s="148" t="str" cm="1">
        <f t="array" ref="H5685">IFERROR(INDEX(INVESTOR_LIST[INVESTOR NAME],MATCH(I5685,INVESTOR_LIST[INVESTOR CODE],0),)," ")</f>
        <v xml:space="preserve"> </v>
      </c>
      <c r="J5685" s="133" t="s">
        <v>534</v>
      </c>
      <c r="K5685" s="218"/>
      <c r="L5685" s="218">
        <v>43507.16</v>
      </c>
    </row>
    <row r="5686" spans="1:12" x14ac:dyDescent="0.2">
      <c r="A5686" s="163">
        <v>2022</v>
      </c>
      <c r="B5686" s="163">
        <v>1</v>
      </c>
      <c r="C5686" s="163">
        <v>25</v>
      </c>
      <c r="D5686" s="141">
        <f t="shared" si="228"/>
        <v>44586</v>
      </c>
      <c r="E5686" s="275">
        <f t="shared" si="229"/>
        <v>44586</v>
      </c>
      <c r="F5686" s="480"/>
      <c r="G5686" s="221" t="s">
        <v>74</v>
      </c>
      <c r="H5686" s="145" t="str" cm="1">
        <f t="array" ref="H5686">IFERROR(INDEX(INVESTOR_LIST[INVESTOR NAME],MATCH(I5686,INVESTOR_LIST[INVESTOR CODE],0),)," ")</f>
        <v xml:space="preserve"> </v>
      </c>
      <c r="I5686" s="145"/>
      <c r="J5686" s="163" t="s">
        <v>52</v>
      </c>
      <c r="K5686" s="219"/>
      <c r="L5686" s="219">
        <v>199028.64</v>
      </c>
    </row>
    <row r="5687" spans="1:12" x14ac:dyDescent="0.2">
      <c r="A5687" s="168">
        <v>2022</v>
      </c>
      <c r="B5687" s="168">
        <v>1</v>
      </c>
      <c r="C5687" s="133">
        <v>25</v>
      </c>
      <c r="D5687" s="141">
        <f t="shared" si="228"/>
        <v>44586</v>
      </c>
      <c r="E5687" s="275">
        <f t="shared" si="229"/>
        <v>44586</v>
      </c>
      <c r="F5687" s="479" t="s">
        <v>1008</v>
      </c>
      <c r="G5687" s="220" t="s">
        <v>74</v>
      </c>
      <c r="H5687" s="142" t="str" cm="1">
        <f t="array" ref="H5687">IFERROR(INDEX(INVESTOR_LIST[INVESTOR NAME],MATCH(I5687,INVESTOR_LIST[INVESTOR CODE],0),)," ")</f>
        <v xml:space="preserve"> </v>
      </c>
      <c r="I5687" s="142"/>
      <c r="J5687" s="168" t="s">
        <v>358</v>
      </c>
      <c r="K5687" s="226">
        <v>123809.40000000001</v>
      </c>
      <c r="L5687" s="226"/>
    </row>
    <row r="5688" spans="1:12" x14ac:dyDescent="0.2">
      <c r="A5688" s="133">
        <v>2022</v>
      </c>
      <c r="B5688" s="133">
        <v>1</v>
      </c>
      <c r="C5688" s="133">
        <v>25</v>
      </c>
      <c r="D5688" s="141">
        <f t="shared" si="228"/>
        <v>44586</v>
      </c>
      <c r="E5688" s="275">
        <f t="shared" si="229"/>
        <v>44586</v>
      </c>
      <c r="F5688" s="481"/>
      <c r="G5688" s="174" t="s">
        <v>74</v>
      </c>
      <c r="H5688" s="148" t="str" cm="1">
        <f t="array" ref="H5688">IFERROR(INDEX(INVESTOR_LIST[INVESTOR NAME],MATCH(I5688,INVESTOR_LIST[INVESTOR CODE],0),)," ")</f>
        <v xml:space="preserve"> </v>
      </c>
      <c r="J5688" s="133" t="s">
        <v>534</v>
      </c>
      <c r="K5688" s="218"/>
      <c r="L5688" s="218">
        <v>19761.880000000005</v>
      </c>
    </row>
    <row r="5689" spans="1:12" x14ac:dyDescent="0.2">
      <c r="A5689" s="163">
        <v>2022</v>
      </c>
      <c r="B5689" s="163">
        <v>1</v>
      </c>
      <c r="C5689" s="163">
        <v>25</v>
      </c>
      <c r="D5689" s="141">
        <f t="shared" si="228"/>
        <v>44586</v>
      </c>
      <c r="E5689" s="275">
        <f t="shared" si="229"/>
        <v>44586</v>
      </c>
      <c r="F5689" s="480"/>
      <c r="G5689" s="221" t="s">
        <v>74</v>
      </c>
      <c r="H5689" s="145" t="str" cm="1">
        <f t="array" ref="H5689">IFERROR(INDEX(INVESTOR_LIST[INVESTOR NAME],MATCH(I5689,INVESTOR_LIST[INVESTOR CODE],0),)," ")</f>
        <v xml:space="preserve"> </v>
      </c>
      <c r="I5689" s="145"/>
      <c r="J5689" s="163" t="s">
        <v>52</v>
      </c>
      <c r="K5689" s="219"/>
      <c r="L5689" s="219">
        <v>104047.52</v>
      </c>
    </row>
    <row r="5690" spans="1:12" x14ac:dyDescent="0.2">
      <c r="A5690" s="168">
        <v>2022</v>
      </c>
      <c r="B5690" s="168">
        <v>1</v>
      </c>
      <c r="C5690" s="133">
        <v>25</v>
      </c>
      <c r="D5690" s="141">
        <f t="shared" si="228"/>
        <v>44586</v>
      </c>
      <c r="E5690" s="275">
        <f t="shared" si="229"/>
        <v>44586</v>
      </c>
      <c r="F5690" s="479" t="s">
        <v>1009</v>
      </c>
      <c r="G5690" s="220" t="s">
        <v>74</v>
      </c>
      <c r="H5690" s="142" t="str" cm="1">
        <f t="array" ref="H5690">IFERROR(INDEX(INVESTOR_LIST[INVESTOR NAME],MATCH(I5690,INVESTOR_LIST[INVESTOR CODE],0),)," ")</f>
        <v xml:space="preserve"> </v>
      </c>
      <c r="I5690" s="142"/>
      <c r="J5690" s="168" t="s">
        <v>358</v>
      </c>
      <c r="K5690" s="226">
        <v>2600000</v>
      </c>
      <c r="L5690" s="226"/>
    </row>
    <row r="5691" spans="1:12" x14ac:dyDescent="0.2">
      <c r="A5691" s="133">
        <v>2022</v>
      </c>
      <c r="B5691" s="133">
        <v>1</v>
      </c>
      <c r="C5691" s="133">
        <v>25</v>
      </c>
      <c r="D5691" s="141">
        <f t="shared" si="228"/>
        <v>44586</v>
      </c>
      <c r="E5691" s="275">
        <f t="shared" si="229"/>
        <v>44586</v>
      </c>
      <c r="F5691" s="481"/>
      <c r="G5691" s="174" t="s">
        <v>74</v>
      </c>
      <c r="H5691" s="148" t="str" cm="1">
        <f t="array" ref="H5691">IFERROR(INDEX(INVESTOR_LIST[INVESTOR NAME],MATCH(I5691,INVESTOR_LIST[INVESTOR CODE],0),)," ")</f>
        <v xml:space="preserve"> </v>
      </c>
      <c r="J5691" s="133" t="s">
        <v>534</v>
      </c>
      <c r="K5691" s="218"/>
      <c r="L5691" s="218">
        <v>515000</v>
      </c>
    </row>
    <row r="5692" spans="1:12" x14ac:dyDescent="0.2">
      <c r="A5692" s="163">
        <v>2022</v>
      </c>
      <c r="B5692" s="163">
        <v>1</v>
      </c>
      <c r="C5692" s="163">
        <v>25</v>
      </c>
      <c r="D5692" s="141">
        <f t="shared" si="228"/>
        <v>44586</v>
      </c>
      <c r="E5692" s="275">
        <f t="shared" si="229"/>
        <v>44586</v>
      </c>
      <c r="F5692" s="480"/>
      <c r="G5692" s="221" t="s">
        <v>74</v>
      </c>
      <c r="H5692" s="145" t="str" cm="1">
        <f t="array" ref="H5692">IFERROR(INDEX(INVESTOR_LIST[INVESTOR NAME],MATCH(I5692,INVESTOR_LIST[INVESTOR CODE],0),)," ")</f>
        <v xml:space="preserve"> </v>
      </c>
      <c r="I5692" s="145"/>
      <c r="J5692" s="163" t="s">
        <v>52</v>
      </c>
      <c r="K5692" s="219"/>
      <c r="L5692" s="219">
        <v>2085000</v>
      </c>
    </row>
    <row r="5693" spans="1:12" x14ac:dyDescent="0.2">
      <c r="A5693" s="168">
        <v>2022</v>
      </c>
      <c r="B5693" s="168">
        <v>1</v>
      </c>
      <c r="C5693" s="133">
        <v>25</v>
      </c>
      <c r="D5693" s="141">
        <f t="shared" si="228"/>
        <v>44586</v>
      </c>
      <c r="E5693" s="275">
        <f t="shared" si="229"/>
        <v>44586</v>
      </c>
      <c r="F5693" s="479" t="s">
        <v>1010</v>
      </c>
      <c r="G5693" s="220" t="s">
        <v>74</v>
      </c>
      <c r="H5693" s="142" t="str" cm="1">
        <f t="array" ref="H5693">IFERROR(INDEX(INVESTOR_LIST[INVESTOR NAME],MATCH(I5693,INVESTOR_LIST[INVESTOR CODE],0),)," ")</f>
        <v xml:space="preserve"> </v>
      </c>
      <c r="I5693" s="142"/>
      <c r="J5693" s="168" t="s">
        <v>358</v>
      </c>
      <c r="K5693" s="226">
        <v>1173939</v>
      </c>
      <c r="L5693" s="226"/>
    </row>
    <row r="5694" spans="1:12" x14ac:dyDescent="0.2">
      <c r="A5694" s="133">
        <v>2022</v>
      </c>
      <c r="B5694" s="133">
        <v>1</v>
      </c>
      <c r="C5694" s="133">
        <v>25</v>
      </c>
      <c r="D5694" s="141">
        <f t="shared" si="228"/>
        <v>44586</v>
      </c>
      <c r="E5694" s="275">
        <f t="shared" si="229"/>
        <v>44586</v>
      </c>
      <c r="F5694" s="481"/>
      <c r="G5694" s="174" t="s">
        <v>74</v>
      </c>
      <c r="H5694" s="148" t="str" cm="1">
        <f t="array" ref="H5694">IFERROR(INDEX(INVESTOR_LIST[INVESTOR NAME],MATCH(I5694,INVESTOR_LIST[INVESTOR CODE],0),)," ")</f>
        <v xml:space="preserve"> </v>
      </c>
      <c r="J5694" s="133" t="s">
        <v>534</v>
      </c>
      <c r="K5694" s="218"/>
      <c r="L5694" s="218">
        <v>229787.80000000002</v>
      </c>
    </row>
    <row r="5695" spans="1:12" x14ac:dyDescent="0.2">
      <c r="A5695" s="163">
        <v>2022</v>
      </c>
      <c r="B5695" s="163">
        <v>1</v>
      </c>
      <c r="C5695" s="163">
        <v>25</v>
      </c>
      <c r="D5695" s="141">
        <f t="shared" si="228"/>
        <v>44586</v>
      </c>
      <c r="E5695" s="275">
        <f t="shared" si="229"/>
        <v>44586</v>
      </c>
      <c r="F5695" s="480"/>
      <c r="G5695" s="221" t="s">
        <v>74</v>
      </c>
      <c r="H5695" s="145" t="str" cm="1">
        <f t="array" ref="H5695">IFERROR(INDEX(INVESTOR_LIST[INVESTOR NAME],MATCH(I5695,INVESTOR_LIST[INVESTOR CODE],0),)," ")</f>
        <v xml:space="preserve"> </v>
      </c>
      <c r="I5695" s="145"/>
      <c r="J5695" s="163" t="s">
        <v>52</v>
      </c>
      <c r="K5695" s="219"/>
      <c r="L5695" s="219">
        <v>944151.2</v>
      </c>
    </row>
    <row r="5696" spans="1:12" x14ac:dyDescent="0.2">
      <c r="A5696" s="168">
        <v>2022</v>
      </c>
      <c r="B5696" s="168">
        <v>1</v>
      </c>
      <c r="C5696" s="133">
        <v>25</v>
      </c>
      <c r="D5696" s="141">
        <f t="shared" si="228"/>
        <v>44586</v>
      </c>
      <c r="E5696" s="275">
        <f t="shared" si="229"/>
        <v>44586</v>
      </c>
      <c r="F5696" s="479" t="s">
        <v>1011</v>
      </c>
      <c r="G5696" s="220" t="s">
        <v>74</v>
      </c>
      <c r="H5696" s="142" t="str" cm="1">
        <f t="array" ref="H5696">IFERROR(INDEX(INVESTOR_LIST[INVESTOR NAME],MATCH(I5696,INVESTOR_LIST[INVESTOR CODE],0),)," ")</f>
        <v xml:space="preserve"> </v>
      </c>
      <c r="I5696" s="142"/>
      <c r="J5696" s="168" t="s">
        <v>358</v>
      </c>
      <c r="K5696" s="226">
        <v>130000</v>
      </c>
      <c r="L5696" s="226"/>
    </row>
    <row r="5697" spans="1:12" x14ac:dyDescent="0.2">
      <c r="A5697" s="133">
        <v>2022</v>
      </c>
      <c r="B5697" s="133">
        <v>1</v>
      </c>
      <c r="C5697" s="133">
        <v>25</v>
      </c>
      <c r="D5697" s="141">
        <f t="shared" si="228"/>
        <v>44586</v>
      </c>
      <c r="E5697" s="275">
        <f t="shared" si="229"/>
        <v>44586</v>
      </c>
      <c r="F5697" s="481"/>
      <c r="G5697" s="174" t="s">
        <v>74</v>
      </c>
      <c r="H5697" s="148" t="str" cm="1">
        <f t="array" ref="H5697">IFERROR(INDEX(INVESTOR_LIST[INVESTOR NAME],MATCH(I5697,INVESTOR_LIST[INVESTOR CODE],0),)," ")</f>
        <v xml:space="preserve"> </v>
      </c>
      <c r="J5697" s="133" t="s">
        <v>534</v>
      </c>
      <c r="K5697" s="218"/>
      <c r="L5697" s="218">
        <v>5250</v>
      </c>
    </row>
    <row r="5698" spans="1:12" x14ac:dyDescent="0.2">
      <c r="A5698" s="163">
        <v>2022</v>
      </c>
      <c r="B5698" s="163">
        <v>1</v>
      </c>
      <c r="C5698" s="163">
        <v>25</v>
      </c>
      <c r="D5698" s="141">
        <f t="shared" si="228"/>
        <v>44586</v>
      </c>
      <c r="E5698" s="275">
        <f t="shared" si="229"/>
        <v>44586</v>
      </c>
      <c r="F5698" s="480"/>
      <c r="G5698" s="221" t="s">
        <v>74</v>
      </c>
      <c r="H5698" s="145" t="str" cm="1">
        <f t="array" ref="H5698">IFERROR(INDEX(INVESTOR_LIST[INVESTOR NAME],MATCH(I5698,INVESTOR_LIST[INVESTOR CODE],0),)," ")</f>
        <v xml:space="preserve"> </v>
      </c>
      <c r="I5698" s="145"/>
      <c r="J5698" s="163" t="s">
        <v>52</v>
      </c>
      <c r="K5698" s="219"/>
      <c r="L5698" s="219">
        <v>124750</v>
      </c>
    </row>
    <row r="5699" spans="1:12" x14ac:dyDescent="0.2">
      <c r="A5699" s="168">
        <v>2022</v>
      </c>
      <c r="B5699" s="168">
        <v>1</v>
      </c>
      <c r="C5699" s="133">
        <v>26</v>
      </c>
      <c r="D5699" s="141">
        <f t="shared" si="228"/>
        <v>44587</v>
      </c>
      <c r="E5699" s="275">
        <f t="shared" si="229"/>
        <v>44587</v>
      </c>
      <c r="F5699" s="479" t="s">
        <v>1012</v>
      </c>
      <c r="G5699" s="220" t="s">
        <v>74</v>
      </c>
      <c r="H5699" s="142" t="str" cm="1">
        <f t="array" ref="H5699">IFERROR(INDEX(INVESTOR_LIST[INVESTOR NAME],MATCH(I5699,INVESTOR_LIST[INVESTOR CODE],0),)," ")</f>
        <v xml:space="preserve"> </v>
      </c>
      <c r="I5699" s="142"/>
      <c r="J5699" s="168" t="s">
        <v>358</v>
      </c>
      <c r="K5699" s="226">
        <v>331632.60000000003</v>
      </c>
      <c r="L5699" s="226"/>
    </row>
    <row r="5700" spans="1:12" x14ac:dyDescent="0.2">
      <c r="A5700" s="133">
        <v>2022</v>
      </c>
      <c r="B5700" s="133">
        <v>1</v>
      </c>
      <c r="C5700" s="133">
        <v>26</v>
      </c>
      <c r="D5700" s="141">
        <f t="shared" si="228"/>
        <v>44587</v>
      </c>
      <c r="E5700" s="275">
        <f t="shared" si="229"/>
        <v>44587</v>
      </c>
      <c r="F5700" s="481"/>
      <c r="G5700" s="174" t="s">
        <v>74</v>
      </c>
      <c r="H5700" s="148" t="str" cm="1">
        <f t="array" ref="H5700">IFERROR(INDEX(INVESTOR_LIST[INVESTOR NAME],MATCH(I5700,INVESTOR_LIST[INVESTOR CODE],0),)," ")</f>
        <v xml:space="preserve"> </v>
      </c>
      <c r="J5700" s="133" t="s">
        <v>534</v>
      </c>
      <c r="K5700" s="218"/>
      <c r="L5700" s="218">
        <v>61326.520000000011</v>
      </c>
    </row>
    <row r="5701" spans="1:12" x14ac:dyDescent="0.2">
      <c r="A5701" s="163">
        <v>2022</v>
      </c>
      <c r="B5701" s="163">
        <v>1</v>
      </c>
      <c r="C5701" s="163">
        <v>26</v>
      </c>
      <c r="D5701" s="141">
        <f t="shared" si="228"/>
        <v>44587</v>
      </c>
      <c r="E5701" s="275">
        <f t="shared" si="229"/>
        <v>44587</v>
      </c>
      <c r="F5701" s="480"/>
      <c r="G5701" s="221" t="s">
        <v>74</v>
      </c>
      <c r="H5701" s="145" t="str" cm="1">
        <f t="array" ref="H5701">IFERROR(INDEX(INVESTOR_LIST[INVESTOR NAME],MATCH(I5701,INVESTOR_LIST[INVESTOR CODE],0),)," ")</f>
        <v xml:space="preserve"> </v>
      </c>
      <c r="I5701" s="145"/>
      <c r="J5701" s="163" t="s">
        <v>52</v>
      </c>
      <c r="K5701" s="219"/>
      <c r="L5701" s="219">
        <v>270306.08</v>
      </c>
    </row>
    <row r="5702" spans="1:12" x14ac:dyDescent="0.2">
      <c r="A5702" s="168">
        <v>2022</v>
      </c>
      <c r="B5702" s="168">
        <v>1</v>
      </c>
      <c r="C5702" s="133">
        <v>26</v>
      </c>
      <c r="D5702" s="141">
        <f t="shared" si="228"/>
        <v>44587</v>
      </c>
      <c r="E5702" s="275">
        <f t="shared" si="229"/>
        <v>44587</v>
      </c>
      <c r="F5702" s="479" t="s">
        <v>1013</v>
      </c>
      <c r="G5702" s="220" t="s">
        <v>74</v>
      </c>
      <c r="H5702" s="142" t="str" cm="1">
        <f t="array" ref="H5702">IFERROR(INDEX(INVESTOR_LIST[INVESTOR NAME],MATCH(I5702,INVESTOR_LIST[INVESTOR CODE],0),)," ")</f>
        <v xml:space="preserve"> </v>
      </c>
      <c r="I5702" s="142"/>
      <c r="J5702" s="168" t="s">
        <v>358</v>
      </c>
      <c r="K5702" s="226">
        <v>529630.4</v>
      </c>
      <c r="L5702" s="226"/>
    </row>
    <row r="5703" spans="1:12" x14ac:dyDescent="0.2">
      <c r="A5703" s="133">
        <v>2022</v>
      </c>
      <c r="B5703" s="133">
        <v>1</v>
      </c>
      <c r="C5703" s="133">
        <v>26</v>
      </c>
      <c r="D5703" s="141">
        <f t="shared" si="228"/>
        <v>44587</v>
      </c>
      <c r="E5703" s="275">
        <f t="shared" si="229"/>
        <v>44587</v>
      </c>
      <c r="F5703" s="481"/>
      <c r="G5703" s="174" t="s">
        <v>74</v>
      </c>
      <c r="H5703" s="148" t="str" cm="1">
        <f t="array" ref="H5703">IFERROR(INDEX(INVESTOR_LIST[INVESTOR NAME],MATCH(I5703,INVESTOR_LIST[INVESTOR CODE],0),)," ")</f>
        <v xml:space="preserve"> </v>
      </c>
      <c r="J5703" s="133" t="s">
        <v>534</v>
      </c>
      <c r="K5703" s="218"/>
      <c r="L5703" s="218">
        <v>100926.08000000002</v>
      </c>
    </row>
    <row r="5704" spans="1:12" x14ac:dyDescent="0.2">
      <c r="A5704" s="163">
        <v>2022</v>
      </c>
      <c r="B5704" s="163">
        <v>1</v>
      </c>
      <c r="C5704" s="163">
        <v>26</v>
      </c>
      <c r="D5704" s="141">
        <f t="shared" si="228"/>
        <v>44587</v>
      </c>
      <c r="E5704" s="275">
        <f t="shared" si="229"/>
        <v>44587</v>
      </c>
      <c r="F5704" s="480"/>
      <c r="G5704" s="221" t="s">
        <v>74</v>
      </c>
      <c r="H5704" s="145" t="str" cm="1">
        <f t="array" ref="H5704">IFERROR(INDEX(INVESTOR_LIST[INVESTOR NAME],MATCH(I5704,INVESTOR_LIST[INVESTOR CODE],0),)," ")</f>
        <v xml:space="preserve"> </v>
      </c>
      <c r="I5704" s="145"/>
      <c r="J5704" s="163" t="s">
        <v>52</v>
      </c>
      <c r="K5704" s="219"/>
      <c r="L5704" s="219">
        <v>428704.32</v>
      </c>
    </row>
    <row r="5705" spans="1:12" x14ac:dyDescent="0.2">
      <c r="A5705" s="282">
        <v>2022</v>
      </c>
      <c r="B5705" s="282">
        <v>1</v>
      </c>
      <c r="C5705" s="283">
        <v>26</v>
      </c>
      <c r="D5705" s="284">
        <f t="shared" si="228"/>
        <v>44587</v>
      </c>
      <c r="E5705" s="285">
        <f t="shared" si="229"/>
        <v>44587</v>
      </c>
      <c r="F5705" s="487" t="s">
        <v>970</v>
      </c>
      <c r="G5705" s="286" t="s">
        <v>74</v>
      </c>
      <c r="H5705" s="287" t="str" cm="1">
        <f t="array" ref="H5705">IFERROR(INDEX(INVESTOR_LIST[INVESTOR NAME],MATCH(I5705,INVESTOR_LIST[INVESTOR CODE],0),)," ")</f>
        <v xml:space="preserve"> </v>
      </c>
      <c r="I5705" s="287"/>
      <c r="J5705" s="282" t="s">
        <v>52</v>
      </c>
      <c r="K5705" s="288">
        <v>12000</v>
      </c>
      <c r="L5705" s="288"/>
    </row>
    <row r="5706" spans="1:12" x14ac:dyDescent="0.2">
      <c r="A5706" s="283">
        <v>2022</v>
      </c>
      <c r="B5706" s="283">
        <v>1</v>
      </c>
      <c r="C5706" s="283">
        <v>26</v>
      </c>
      <c r="D5706" s="284">
        <f t="shared" si="228"/>
        <v>44587</v>
      </c>
      <c r="E5706" s="285">
        <f t="shared" si="229"/>
        <v>44587</v>
      </c>
      <c r="F5706" s="488"/>
      <c r="G5706" s="289" t="s">
        <v>74</v>
      </c>
      <c r="H5706" s="290" t="str" cm="1">
        <f t="array" ref="H5706">IFERROR(INDEX(INVESTOR_LIST[INVESTOR NAME],MATCH(I5706,INVESTOR_LIST[INVESTOR CODE],0),)," ")</f>
        <v xml:space="preserve"> </v>
      </c>
      <c r="I5706" s="290"/>
      <c r="J5706" s="283" t="s">
        <v>13</v>
      </c>
      <c r="K5706" s="291"/>
      <c r="L5706" s="291">
        <v>9620</v>
      </c>
    </row>
    <row r="5707" spans="1:12" x14ac:dyDescent="0.2">
      <c r="A5707" s="292">
        <v>2022</v>
      </c>
      <c r="B5707" s="292">
        <v>1</v>
      </c>
      <c r="C5707" s="292">
        <v>26</v>
      </c>
      <c r="D5707" s="284">
        <f t="shared" si="228"/>
        <v>44587</v>
      </c>
      <c r="E5707" s="285">
        <f t="shared" si="229"/>
        <v>44587</v>
      </c>
      <c r="F5707" s="489"/>
      <c r="G5707" s="293" t="s">
        <v>74</v>
      </c>
      <c r="H5707" s="294" t="str" cm="1">
        <f t="array" ref="H5707">IFERROR(INDEX(INVESTOR_LIST[INVESTOR NAME],MATCH(I5707,INVESTOR_LIST[INVESTOR CODE],0),)," ")</f>
        <v xml:space="preserve"> </v>
      </c>
      <c r="I5707" s="294"/>
      <c r="J5707" s="292" t="s">
        <v>53</v>
      </c>
      <c r="K5707" s="295"/>
      <c r="L5707" s="295">
        <v>2380</v>
      </c>
    </row>
    <row r="5708" spans="1:12" ht="45" x14ac:dyDescent="0.2">
      <c r="A5708" s="168">
        <v>2022</v>
      </c>
      <c r="B5708" s="168">
        <v>1</v>
      </c>
      <c r="C5708" s="133">
        <v>27</v>
      </c>
      <c r="D5708" s="141">
        <f t="shared" si="228"/>
        <v>44588</v>
      </c>
      <c r="E5708" s="275">
        <f t="shared" si="229"/>
        <v>44588</v>
      </c>
      <c r="F5708" s="479" t="s">
        <v>1014</v>
      </c>
      <c r="G5708" s="220" t="s">
        <v>74</v>
      </c>
      <c r="H5708" s="142" t="str" cm="1">
        <f t="array" ref="H5708">IFERROR(INDEX(INVESTOR_LIST[INVESTOR NAME],MATCH(I5708,INVESTOR_LIST[INVESTOR CODE],0),)," ")</f>
        <v>FARUK-E AZAM bIN HAIDER</v>
      </c>
      <c r="I5708" s="142" t="s">
        <v>515</v>
      </c>
      <c r="J5708" s="168" t="s">
        <v>13</v>
      </c>
      <c r="K5708" s="226">
        <v>227670</v>
      </c>
      <c r="L5708" s="226"/>
    </row>
    <row r="5709" spans="1:12" ht="45" x14ac:dyDescent="0.2">
      <c r="A5709" s="133">
        <v>2022</v>
      </c>
      <c r="B5709" s="133">
        <v>1</v>
      </c>
      <c r="C5709" s="133">
        <v>27</v>
      </c>
      <c r="D5709" s="141">
        <f t="shared" si="228"/>
        <v>44588</v>
      </c>
      <c r="E5709" s="275">
        <f t="shared" si="229"/>
        <v>44588</v>
      </c>
      <c r="F5709" s="481"/>
      <c r="G5709" s="174" t="s">
        <v>74</v>
      </c>
      <c r="H5709" s="148" t="str" cm="1">
        <f t="array" ref="H5709">IFERROR(INDEX(INVESTOR_LIST[INVESTOR NAME],MATCH(I5709,INVESTOR_LIST[INVESTOR CODE],0),)," ")</f>
        <v>FARUK-E AZAM bIN HAIDER</v>
      </c>
      <c r="I5709" s="148" t="s">
        <v>515</v>
      </c>
      <c r="J5709" s="133" t="s">
        <v>53</v>
      </c>
      <c r="K5709" s="218">
        <v>56234.49</v>
      </c>
      <c r="L5709" s="218"/>
    </row>
    <row r="5710" spans="1:12" ht="45" x14ac:dyDescent="0.2">
      <c r="A5710" s="163">
        <v>2022</v>
      </c>
      <c r="B5710" s="163">
        <v>1</v>
      </c>
      <c r="C5710" s="163">
        <v>27</v>
      </c>
      <c r="D5710" s="141">
        <f t="shared" si="228"/>
        <v>44588</v>
      </c>
      <c r="E5710" s="275">
        <f t="shared" si="229"/>
        <v>44588</v>
      </c>
      <c r="F5710" s="480"/>
      <c r="G5710" s="221" t="s">
        <v>74</v>
      </c>
      <c r="H5710" s="145" t="str" cm="1">
        <f t="array" ref="H5710">IFERROR(INDEX(INVESTOR_LIST[INVESTOR NAME],MATCH(I5710,INVESTOR_LIST[INVESTOR CODE],0),)," ")</f>
        <v>FARUK-E AZAM bIN HAIDER</v>
      </c>
      <c r="I5710" s="145" t="s">
        <v>515</v>
      </c>
      <c r="J5710" s="163" t="s">
        <v>52</v>
      </c>
      <c r="K5710" s="219"/>
      <c r="L5710" s="219">
        <v>283904.49</v>
      </c>
    </row>
    <row r="5711" spans="1:12" ht="22.5" x14ac:dyDescent="0.2">
      <c r="A5711" s="282">
        <v>2022</v>
      </c>
      <c r="B5711" s="282">
        <v>1</v>
      </c>
      <c r="C5711" s="283">
        <v>27</v>
      </c>
      <c r="D5711" s="284">
        <f t="shared" si="228"/>
        <v>44588</v>
      </c>
      <c r="E5711" s="285">
        <f t="shared" si="229"/>
        <v>44588</v>
      </c>
      <c r="F5711" s="487" t="s">
        <v>964</v>
      </c>
      <c r="G5711" s="286" t="s">
        <v>74</v>
      </c>
      <c r="H5711" s="287" t="str" cm="1">
        <f t="array" ref="H5711">IFERROR(INDEX(INVESTOR_LIST[INVESTOR NAME],MATCH(I5711,INVESTOR_LIST[INVESTOR CODE],0),)," ")</f>
        <v>NANDINI SAHA</v>
      </c>
      <c r="I5711" s="287" t="s">
        <v>463</v>
      </c>
      <c r="J5711" s="282" t="s">
        <v>52</v>
      </c>
      <c r="K5711" s="288">
        <v>300000</v>
      </c>
      <c r="L5711" s="288"/>
    </row>
    <row r="5712" spans="1:12" ht="22.5" x14ac:dyDescent="0.2">
      <c r="A5712" s="283">
        <v>2022</v>
      </c>
      <c r="B5712" s="283">
        <v>1</v>
      </c>
      <c r="C5712" s="283">
        <v>27</v>
      </c>
      <c r="D5712" s="284">
        <f t="shared" si="228"/>
        <v>44588</v>
      </c>
      <c r="E5712" s="285">
        <f t="shared" si="229"/>
        <v>44588</v>
      </c>
      <c r="F5712" s="488"/>
      <c r="G5712" s="289" t="s">
        <v>74</v>
      </c>
      <c r="H5712" s="290" t="str" cm="1">
        <f t="array" ref="H5712">IFERROR(INDEX(INVESTOR_LIST[INVESTOR NAME],MATCH(I5712,INVESTOR_LIST[INVESTOR CODE],0),)," ")</f>
        <v>NANDINI SAHA</v>
      </c>
      <c r="I5712" s="290" t="s">
        <v>463</v>
      </c>
      <c r="J5712" s="283" t="s">
        <v>13</v>
      </c>
      <c r="K5712" s="291"/>
      <c r="L5712" s="291">
        <v>240560</v>
      </c>
    </row>
    <row r="5713" spans="1:12" ht="22.5" x14ac:dyDescent="0.2">
      <c r="A5713" s="292">
        <v>2022</v>
      </c>
      <c r="B5713" s="292">
        <v>1</v>
      </c>
      <c r="C5713" s="292">
        <v>27</v>
      </c>
      <c r="D5713" s="284">
        <f t="shared" si="228"/>
        <v>44588</v>
      </c>
      <c r="E5713" s="285">
        <f t="shared" si="229"/>
        <v>44588</v>
      </c>
      <c r="F5713" s="489"/>
      <c r="G5713" s="293" t="s">
        <v>74</v>
      </c>
      <c r="H5713" s="294" t="str" cm="1">
        <f t="array" ref="H5713">IFERROR(INDEX(INVESTOR_LIST[INVESTOR NAME],MATCH(I5713,INVESTOR_LIST[INVESTOR CODE],0),)," ")</f>
        <v>NANDINI SAHA</v>
      </c>
      <c r="I5713" s="294" t="s">
        <v>463</v>
      </c>
      <c r="J5713" s="292" t="s">
        <v>53</v>
      </c>
      <c r="K5713" s="295"/>
      <c r="L5713" s="295">
        <v>59440</v>
      </c>
    </row>
    <row r="5714" spans="1:12" ht="22.5" x14ac:dyDescent="0.2">
      <c r="A5714" s="282">
        <v>2022</v>
      </c>
      <c r="B5714" s="282">
        <v>1</v>
      </c>
      <c r="C5714" s="283">
        <v>27</v>
      </c>
      <c r="D5714" s="284">
        <f t="shared" si="228"/>
        <v>44588</v>
      </c>
      <c r="E5714" s="285">
        <f t="shared" si="229"/>
        <v>44588</v>
      </c>
      <c r="F5714" s="487" t="s">
        <v>964</v>
      </c>
      <c r="G5714" s="286" t="s">
        <v>74</v>
      </c>
      <c r="H5714" s="287" t="str" cm="1">
        <f t="array" ref="H5714">IFERROR(INDEX(INVESTOR_LIST[INVESTOR NAME],MATCH(I5714,INVESTOR_LIST[INVESTOR CODE],0),)," ")</f>
        <v>SAILENDRA SAHA</v>
      </c>
      <c r="I5714" s="287" t="s">
        <v>1017</v>
      </c>
      <c r="J5714" s="282" t="s">
        <v>52</v>
      </c>
      <c r="K5714" s="288">
        <v>600000</v>
      </c>
      <c r="L5714" s="288"/>
    </row>
    <row r="5715" spans="1:12" ht="22.5" x14ac:dyDescent="0.2">
      <c r="A5715" s="283">
        <v>2022</v>
      </c>
      <c r="B5715" s="283">
        <v>1</v>
      </c>
      <c r="C5715" s="283">
        <v>27</v>
      </c>
      <c r="D5715" s="284">
        <f t="shared" si="228"/>
        <v>44588</v>
      </c>
      <c r="E5715" s="285">
        <f t="shared" si="229"/>
        <v>44588</v>
      </c>
      <c r="F5715" s="488"/>
      <c r="G5715" s="289" t="s">
        <v>74</v>
      </c>
      <c r="H5715" s="290" t="str" cm="1">
        <f t="array" ref="H5715">IFERROR(INDEX(INVESTOR_LIST[INVESTOR NAME],MATCH(I5715,INVESTOR_LIST[INVESTOR CODE],0),)," ")</f>
        <v>SAILENDRA SAHA</v>
      </c>
      <c r="I5715" s="290" t="s">
        <v>1017</v>
      </c>
      <c r="J5715" s="283" t="s">
        <v>13</v>
      </c>
      <c r="K5715" s="291"/>
      <c r="L5715" s="291">
        <v>481150</v>
      </c>
    </row>
    <row r="5716" spans="1:12" ht="22.5" x14ac:dyDescent="0.2">
      <c r="A5716" s="292">
        <v>2022</v>
      </c>
      <c r="B5716" s="292">
        <v>1</v>
      </c>
      <c r="C5716" s="292">
        <v>27</v>
      </c>
      <c r="D5716" s="284">
        <f t="shared" si="228"/>
        <v>44588</v>
      </c>
      <c r="E5716" s="285">
        <f t="shared" si="229"/>
        <v>44588</v>
      </c>
      <c r="F5716" s="489"/>
      <c r="G5716" s="293" t="s">
        <v>74</v>
      </c>
      <c r="H5716" s="294" t="str" cm="1">
        <f t="array" ref="H5716">IFERROR(INDEX(INVESTOR_LIST[INVESTOR NAME],MATCH(I5716,INVESTOR_LIST[INVESTOR CODE],0),)," ")</f>
        <v>SAILENDRA SAHA</v>
      </c>
      <c r="I5716" s="294" t="s">
        <v>1017</v>
      </c>
      <c r="J5716" s="292" t="s">
        <v>53</v>
      </c>
      <c r="K5716" s="295"/>
      <c r="L5716" s="295">
        <v>118850</v>
      </c>
    </row>
    <row r="5717" spans="1:12" ht="45" x14ac:dyDescent="0.2">
      <c r="A5717" s="168">
        <v>2022</v>
      </c>
      <c r="B5717" s="168">
        <v>1</v>
      </c>
      <c r="C5717" s="133">
        <v>27</v>
      </c>
      <c r="D5717" s="141">
        <f t="shared" si="228"/>
        <v>44588</v>
      </c>
      <c r="E5717" s="275">
        <f t="shared" si="229"/>
        <v>44588</v>
      </c>
      <c r="F5717" s="479" t="s">
        <v>964</v>
      </c>
      <c r="G5717" s="220" t="s">
        <v>74</v>
      </c>
      <c r="H5717" s="142" t="str" cm="1">
        <f t="array" ref="H5717">IFERROR(INDEX(INVESTOR_LIST[INVESTOR NAME],MATCH(I5717,INVESTOR_LIST[INVESTOR CODE],0),)," ")</f>
        <v>MOHAMMAD SAYDUZZAMAN</v>
      </c>
      <c r="I5717" s="142" t="s">
        <v>444</v>
      </c>
      <c r="J5717" s="168" t="s">
        <v>52</v>
      </c>
      <c r="K5717" s="226">
        <v>1000000</v>
      </c>
      <c r="L5717" s="226"/>
    </row>
    <row r="5718" spans="1:12" ht="45" x14ac:dyDescent="0.2">
      <c r="A5718" s="133">
        <v>2022</v>
      </c>
      <c r="B5718" s="133">
        <v>1</v>
      </c>
      <c r="C5718" s="133">
        <v>27</v>
      </c>
      <c r="D5718" s="141">
        <f t="shared" si="228"/>
        <v>44588</v>
      </c>
      <c r="E5718" s="275">
        <f t="shared" si="229"/>
        <v>44588</v>
      </c>
      <c r="F5718" s="481"/>
      <c r="G5718" s="174" t="s">
        <v>74</v>
      </c>
      <c r="H5718" s="148" t="str" cm="1">
        <f t="array" ref="H5718">IFERROR(INDEX(INVESTOR_LIST[INVESTOR NAME],MATCH(I5718,INVESTOR_LIST[INVESTOR CODE],0),)," ")</f>
        <v>MOHAMMAD SAYDUZZAMAN</v>
      </c>
      <c r="I5718" s="148" t="s">
        <v>444</v>
      </c>
      <c r="J5718" s="133" t="s">
        <v>13</v>
      </c>
      <c r="K5718" s="218"/>
      <c r="L5718" s="218">
        <v>801930</v>
      </c>
    </row>
    <row r="5719" spans="1:12" ht="45" x14ac:dyDescent="0.2">
      <c r="A5719" s="163">
        <v>2022</v>
      </c>
      <c r="B5719" s="163">
        <v>1</v>
      </c>
      <c r="C5719" s="163">
        <v>27</v>
      </c>
      <c r="D5719" s="141">
        <f t="shared" si="228"/>
        <v>44588</v>
      </c>
      <c r="E5719" s="275">
        <f t="shared" si="229"/>
        <v>44588</v>
      </c>
      <c r="F5719" s="480"/>
      <c r="G5719" s="221" t="s">
        <v>74</v>
      </c>
      <c r="H5719" s="145" t="str" cm="1">
        <f t="array" ref="H5719">IFERROR(INDEX(INVESTOR_LIST[INVESTOR NAME],MATCH(I5719,INVESTOR_LIST[INVESTOR CODE],0),)," ")</f>
        <v>MOHAMMAD SAYDUZZAMAN</v>
      </c>
      <c r="I5719" s="145" t="s">
        <v>444</v>
      </c>
      <c r="J5719" s="163" t="s">
        <v>53</v>
      </c>
      <c r="K5719" s="219"/>
      <c r="L5719" s="219">
        <v>198070</v>
      </c>
    </row>
    <row r="5720" spans="1:12" ht="22.5" x14ac:dyDescent="0.2">
      <c r="A5720" s="168">
        <v>2022</v>
      </c>
      <c r="B5720" s="168">
        <v>1</v>
      </c>
      <c r="C5720" s="133">
        <v>27</v>
      </c>
      <c r="D5720" s="141">
        <f t="shared" si="228"/>
        <v>44588</v>
      </c>
      <c r="E5720" s="275">
        <f t="shared" si="229"/>
        <v>44588</v>
      </c>
      <c r="F5720" s="479" t="s">
        <v>964</v>
      </c>
      <c r="G5720" s="220" t="s">
        <v>74</v>
      </c>
      <c r="H5720" s="142" t="str" cm="1">
        <f t="array" ref="H5720">IFERROR(INDEX(INVESTOR_LIST[INVESTOR NAME],MATCH(I5720,INVESTOR_LIST[INVESTOR CODE],0),)," ")</f>
        <v>SK FEROZ ALAM</v>
      </c>
      <c r="I5720" s="142" t="s">
        <v>462</v>
      </c>
      <c r="J5720" s="168" t="s">
        <v>52</v>
      </c>
      <c r="K5720" s="226">
        <v>124700</v>
      </c>
      <c r="L5720" s="226"/>
    </row>
    <row r="5721" spans="1:12" ht="22.5" x14ac:dyDescent="0.2">
      <c r="A5721" s="133">
        <v>2022</v>
      </c>
      <c r="B5721" s="133">
        <v>1</v>
      </c>
      <c r="C5721" s="133">
        <v>27</v>
      </c>
      <c r="D5721" s="141">
        <f t="shared" si="228"/>
        <v>44588</v>
      </c>
      <c r="E5721" s="275">
        <f t="shared" si="229"/>
        <v>44588</v>
      </c>
      <c r="F5721" s="481"/>
      <c r="G5721" s="174" t="s">
        <v>74</v>
      </c>
      <c r="H5721" s="148" t="str" cm="1">
        <f t="array" ref="H5721">IFERROR(INDEX(INVESTOR_LIST[INVESTOR NAME],MATCH(I5721,INVESTOR_LIST[INVESTOR CODE],0),)," ")</f>
        <v>SK FEROZ ALAM</v>
      </c>
      <c r="I5721" s="148" t="s">
        <v>462</v>
      </c>
      <c r="J5721" s="133" t="s">
        <v>13</v>
      </c>
      <c r="K5721" s="218"/>
      <c r="L5721" s="218">
        <v>100000</v>
      </c>
    </row>
    <row r="5722" spans="1:12" ht="22.5" x14ac:dyDescent="0.2">
      <c r="A5722" s="163">
        <v>2022</v>
      </c>
      <c r="B5722" s="163">
        <v>1</v>
      </c>
      <c r="C5722" s="163">
        <v>27</v>
      </c>
      <c r="D5722" s="141">
        <f t="shared" si="228"/>
        <v>44588</v>
      </c>
      <c r="E5722" s="275">
        <f t="shared" si="229"/>
        <v>44588</v>
      </c>
      <c r="F5722" s="480"/>
      <c r="G5722" s="221" t="s">
        <v>74</v>
      </c>
      <c r="H5722" s="145" t="str" cm="1">
        <f t="array" ref="H5722">IFERROR(INDEX(INVESTOR_LIST[INVESTOR NAME],MATCH(I5722,INVESTOR_LIST[INVESTOR CODE],0),)," ")</f>
        <v>SK FEROZ ALAM</v>
      </c>
      <c r="I5722" s="145" t="s">
        <v>462</v>
      </c>
      <c r="J5722" s="163" t="s">
        <v>53</v>
      </c>
      <c r="K5722" s="219"/>
      <c r="L5722" s="219">
        <v>24700</v>
      </c>
    </row>
    <row r="5723" spans="1:12" x14ac:dyDescent="0.2">
      <c r="A5723" s="133">
        <v>2022</v>
      </c>
      <c r="B5723" s="133">
        <v>1</v>
      </c>
      <c r="C5723" s="133">
        <v>27</v>
      </c>
      <c r="D5723" s="141">
        <f t="shared" si="228"/>
        <v>44588</v>
      </c>
      <c r="E5723" s="275">
        <f t="shared" si="229"/>
        <v>44588</v>
      </c>
      <c r="F5723" s="479" t="s">
        <v>77</v>
      </c>
      <c r="G5723" s="174" t="s">
        <v>74</v>
      </c>
      <c r="H5723" s="148" t="str" cm="1">
        <f t="array" ref="H5723">IFERROR(INDEX(INVESTOR_LIST[INVESTOR NAME],MATCH(I5723,INVESTOR_LIST[INVESTOR CODE],0),)," ")</f>
        <v xml:space="preserve"> </v>
      </c>
      <c r="I5723" s="148" t="s">
        <v>348</v>
      </c>
      <c r="J5723" s="133" t="s">
        <v>61</v>
      </c>
      <c r="K5723" s="172">
        <v>60</v>
      </c>
    </row>
    <row r="5724" spans="1:12" x14ac:dyDescent="0.2">
      <c r="A5724" s="163">
        <v>2022</v>
      </c>
      <c r="B5724" s="163">
        <v>1</v>
      </c>
      <c r="C5724" s="163">
        <v>27</v>
      </c>
      <c r="D5724" s="141">
        <f t="shared" si="228"/>
        <v>44588</v>
      </c>
      <c r="E5724" s="275">
        <f t="shared" si="229"/>
        <v>44588</v>
      </c>
      <c r="F5724" s="480"/>
      <c r="G5724" s="221" t="s">
        <v>74</v>
      </c>
      <c r="H5724" s="145" t="str" cm="1">
        <f t="array" ref="H5724">IFERROR(INDEX(INVESTOR_LIST[INVESTOR NAME],MATCH(I5724,INVESTOR_LIST[INVESTOR CODE],0),)," ")</f>
        <v xml:space="preserve"> </v>
      </c>
      <c r="I5724" s="145" t="s">
        <v>348</v>
      </c>
      <c r="J5724" s="163" t="s">
        <v>52</v>
      </c>
      <c r="K5724" s="219"/>
      <c r="L5724" s="219">
        <v>60</v>
      </c>
    </row>
    <row r="5725" spans="1:12" x14ac:dyDescent="0.2">
      <c r="A5725" s="133">
        <v>2022</v>
      </c>
      <c r="B5725" s="133">
        <v>1</v>
      </c>
      <c r="C5725" s="133">
        <v>27</v>
      </c>
      <c r="D5725" s="141">
        <f t="shared" si="228"/>
        <v>44588</v>
      </c>
      <c r="E5725" s="275">
        <f t="shared" si="229"/>
        <v>44588</v>
      </c>
      <c r="F5725" s="479" t="s">
        <v>77</v>
      </c>
      <c r="G5725" s="174" t="s">
        <v>74</v>
      </c>
      <c r="H5725" s="148" t="str" cm="1">
        <f t="array" ref="H5725">IFERROR(INDEX(INVESTOR_LIST[INVESTOR NAME],MATCH(I5725,INVESTOR_LIST[INVESTOR CODE],0),)," ")</f>
        <v xml:space="preserve"> </v>
      </c>
      <c r="I5725" s="148" t="s">
        <v>348</v>
      </c>
      <c r="J5725" s="133" t="s">
        <v>61</v>
      </c>
      <c r="K5725" s="172">
        <v>60</v>
      </c>
    </row>
    <row r="5726" spans="1:12" x14ac:dyDescent="0.2">
      <c r="A5726" s="163">
        <v>2022</v>
      </c>
      <c r="B5726" s="163">
        <v>1</v>
      </c>
      <c r="C5726" s="163">
        <v>27</v>
      </c>
      <c r="D5726" s="141">
        <f t="shared" si="228"/>
        <v>44588</v>
      </c>
      <c r="E5726" s="275">
        <f t="shared" si="229"/>
        <v>44588</v>
      </c>
      <c r="F5726" s="480"/>
      <c r="G5726" s="221" t="s">
        <v>74</v>
      </c>
      <c r="H5726" s="145" t="str" cm="1">
        <f t="array" ref="H5726">IFERROR(INDEX(INVESTOR_LIST[INVESTOR NAME],MATCH(I5726,INVESTOR_LIST[INVESTOR CODE],0),)," ")</f>
        <v xml:space="preserve"> </v>
      </c>
      <c r="I5726" s="145" t="s">
        <v>348</v>
      </c>
      <c r="J5726" s="163" t="s">
        <v>52</v>
      </c>
      <c r="K5726" s="219"/>
      <c r="L5726" s="219">
        <v>60</v>
      </c>
    </row>
    <row r="5727" spans="1:12" ht="56.25" x14ac:dyDescent="0.2">
      <c r="A5727" s="168">
        <v>2022</v>
      </c>
      <c r="B5727" s="168">
        <v>1</v>
      </c>
      <c r="C5727" s="133">
        <v>27</v>
      </c>
      <c r="D5727" s="141">
        <f t="shared" ref="D5727:D5729" si="230">DATE(A5727,B5727,C5727)</f>
        <v>44588</v>
      </c>
      <c r="E5727" s="275">
        <f t="shared" ref="E5727:E5729" si="231">DATE(A5727,B5727,C5727)</f>
        <v>44588</v>
      </c>
      <c r="F5727" s="479" t="s">
        <v>965</v>
      </c>
      <c r="G5727" s="220" t="s">
        <v>74</v>
      </c>
      <c r="H5727" s="142" t="str" cm="1">
        <f t="array" ref="H5727">IFERROR(INDEX(INVESTOR_LIST[INVESTOR NAME],MATCH(I5727,INVESTOR_LIST[INVESTOR CODE],0),)," ")</f>
        <v>MUNTASIR MAHMUD RAHMAN</v>
      </c>
      <c r="I5727" s="142" t="s">
        <v>994</v>
      </c>
      <c r="J5727" s="168" t="s">
        <v>13</v>
      </c>
      <c r="K5727" s="226">
        <v>40100</v>
      </c>
      <c r="L5727" s="226"/>
    </row>
    <row r="5728" spans="1:12" ht="56.25" x14ac:dyDescent="0.2">
      <c r="A5728" s="133">
        <v>2022</v>
      </c>
      <c r="B5728" s="133">
        <v>1</v>
      </c>
      <c r="C5728" s="133">
        <v>27</v>
      </c>
      <c r="D5728" s="141">
        <f t="shared" si="230"/>
        <v>44588</v>
      </c>
      <c r="E5728" s="275">
        <f t="shared" si="231"/>
        <v>44588</v>
      </c>
      <c r="F5728" s="481"/>
      <c r="G5728" s="174" t="s">
        <v>74</v>
      </c>
      <c r="H5728" s="148" t="str" cm="1">
        <f t="array" ref="H5728">IFERROR(INDEX(INVESTOR_LIST[INVESTOR NAME],MATCH(I5728,INVESTOR_LIST[INVESTOR CODE],0),)," ")</f>
        <v>MUNTASIR MAHMUD RAHMAN</v>
      </c>
      <c r="I5728" s="148" t="s">
        <v>994</v>
      </c>
      <c r="J5728" s="133" t="s">
        <v>53</v>
      </c>
      <c r="K5728" s="218">
        <v>9904.7000000000007</v>
      </c>
      <c r="L5728" s="218"/>
    </row>
    <row r="5729" spans="1:12" ht="56.25" x14ac:dyDescent="0.2">
      <c r="A5729" s="163">
        <v>2022</v>
      </c>
      <c r="B5729" s="163">
        <v>1</v>
      </c>
      <c r="C5729" s="163">
        <v>27</v>
      </c>
      <c r="D5729" s="141">
        <f t="shared" si="230"/>
        <v>44588</v>
      </c>
      <c r="E5729" s="275">
        <f t="shared" si="231"/>
        <v>44588</v>
      </c>
      <c r="F5729" s="480"/>
      <c r="G5729" s="221" t="s">
        <v>74</v>
      </c>
      <c r="H5729" s="145" t="str" cm="1">
        <f t="array" ref="H5729">IFERROR(INDEX(INVESTOR_LIST[INVESTOR NAME],MATCH(I5729,INVESTOR_LIST[INVESTOR CODE],0),)," ")</f>
        <v>MUNTASIR MAHMUD RAHMAN</v>
      </c>
      <c r="I5729" s="145" t="s">
        <v>994</v>
      </c>
      <c r="J5729" s="163" t="s">
        <v>52</v>
      </c>
      <c r="K5729" s="219"/>
      <c r="L5729" s="219">
        <v>50004.7</v>
      </c>
    </row>
    <row r="5730" spans="1:12" x14ac:dyDescent="0.2">
      <c r="A5730" s="133">
        <v>2022</v>
      </c>
      <c r="B5730" s="133">
        <v>1</v>
      </c>
      <c r="C5730" s="133">
        <v>27</v>
      </c>
      <c r="D5730" s="141">
        <f t="shared" si="228"/>
        <v>44588</v>
      </c>
      <c r="E5730" s="275">
        <f t="shared" si="229"/>
        <v>44588</v>
      </c>
      <c r="F5730" s="479" t="s">
        <v>77</v>
      </c>
      <c r="G5730" s="174" t="s">
        <v>74</v>
      </c>
      <c r="H5730" s="148" t="str" cm="1">
        <f t="array" ref="H5730">IFERROR(INDEX(INVESTOR_LIST[INVESTOR NAME],MATCH(I5730,INVESTOR_LIST[INVESTOR CODE],0),)," ")</f>
        <v xml:space="preserve"> </v>
      </c>
      <c r="I5730" s="148" t="s">
        <v>348</v>
      </c>
      <c r="J5730" s="133" t="s">
        <v>61</v>
      </c>
      <c r="K5730" s="172">
        <v>10</v>
      </c>
    </row>
    <row r="5731" spans="1:12" x14ac:dyDescent="0.2">
      <c r="A5731" s="163">
        <v>2022</v>
      </c>
      <c r="B5731" s="163">
        <v>1</v>
      </c>
      <c r="C5731" s="163">
        <v>27</v>
      </c>
      <c r="D5731" s="141">
        <f t="shared" si="228"/>
        <v>44588</v>
      </c>
      <c r="E5731" s="275">
        <f t="shared" si="229"/>
        <v>44588</v>
      </c>
      <c r="F5731" s="480"/>
      <c r="G5731" s="221" t="s">
        <v>74</v>
      </c>
      <c r="H5731" s="145" t="str" cm="1">
        <f t="array" ref="H5731">IFERROR(INDEX(INVESTOR_LIST[INVESTOR NAME],MATCH(I5731,INVESTOR_LIST[INVESTOR CODE],0),)," ")</f>
        <v xml:space="preserve"> </v>
      </c>
      <c r="I5731" s="145" t="s">
        <v>348</v>
      </c>
      <c r="J5731" s="163" t="s">
        <v>52</v>
      </c>
      <c r="K5731" s="219"/>
      <c r="L5731" s="219">
        <v>10</v>
      </c>
    </row>
    <row r="5732" spans="1:12" x14ac:dyDescent="0.2">
      <c r="A5732" s="238">
        <v>2022</v>
      </c>
      <c r="B5732" s="238">
        <v>1</v>
      </c>
      <c r="C5732" s="238">
        <v>27</v>
      </c>
      <c r="D5732" s="270">
        <f t="shared" si="228"/>
        <v>44588</v>
      </c>
      <c r="E5732" s="279">
        <f t="shared" si="229"/>
        <v>44588</v>
      </c>
      <c r="F5732" s="477" t="s">
        <v>347</v>
      </c>
      <c r="G5732" s="239" t="s">
        <v>94</v>
      </c>
      <c r="H5732" s="239" t="str" cm="1">
        <f t="array" ref="H5732">IFERROR(INDEX(INVESTOR_LIST[INVESTOR NAME],MATCH(I5732,INVESTOR_LIST[INVESTOR CODE],0),)," ")</f>
        <v xml:space="preserve"> </v>
      </c>
      <c r="I5732" s="262" t="s">
        <v>348</v>
      </c>
      <c r="J5732" s="240" t="s">
        <v>83</v>
      </c>
      <c r="K5732" s="241">
        <v>141220.66999998689</v>
      </c>
      <c r="L5732" s="241"/>
    </row>
    <row r="5733" spans="1:12" x14ac:dyDescent="0.2">
      <c r="A5733" s="242">
        <v>2022</v>
      </c>
      <c r="B5733" s="242">
        <v>1</v>
      </c>
      <c r="C5733" s="242">
        <v>27</v>
      </c>
      <c r="D5733" s="270">
        <f t="shared" si="228"/>
        <v>44588</v>
      </c>
      <c r="E5733" s="279">
        <f t="shared" si="229"/>
        <v>44588</v>
      </c>
      <c r="F5733" s="478"/>
      <c r="G5733" s="243" t="s">
        <v>94</v>
      </c>
      <c r="H5733" s="243" t="str" cm="1">
        <f t="array" ref="H5733">IFERROR(INDEX(INVESTOR_LIST[INVESTOR NAME],MATCH(I5733,INVESTOR_LIST[INVESTOR CODE],0),)," ")</f>
        <v xml:space="preserve"> </v>
      </c>
      <c r="I5733" s="263" t="s">
        <v>348</v>
      </c>
      <c r="J5733" s="244" t="s">
        <v>108</v>
      </c>
      <c r="K5733" s="245"/>
      <c r="L5733" s="245">
        <v>141220.66999998689</v>
      </c>
    </row>
    <row r="5734" spans="1:12" ht="22.5" x14ac:dyDescent="0.2">
      <c r="A5734" s="246">
        <v>2022</v>
      </c>
      <c r="B5734" s="246">
        <v>1</v>
      </c>
      <c r="C5734" s="246">
        <v>27</v>
      </c>
      <c r="D5734" s="270">
        <f t="shared" si="228"/>
        <v>44588</v>
      </c>
      <c r="E5734" s="279">
        <f t="shared" si="229"/>
        <v>44588</v>
      </c>
      <c r="F5734" s="482" t="s">
        <v>148</v>
      </c>
      <c r="G5734" s="247" t="s">
        <v>94</v>
      </c>
      <c r="H5734" s="247" t="str" cm="1">
        <f t="array" ref="H5734">IFERROR(INDEX(INVESTOR_LIST[INVESTOR NAME],MATCH(I5734,INVESTOR_LIST[INVESTOR CODE],0),)," ")</f>
        <v xml:space="preserve"> </v>
      </c>
      <c r="I5734" s="248" t="s">
        <v>348</v>
      </c>
      <c r="J5734" s="249" t="s">
        <v>95</v>
      </c>
      <c r="K5734" s="250">
        <v>2747.2527472527472</v>
      </c>
      <c r="L5734" s="241"/>
    </row>
    <row r="5735" spans="1:12" x14ac:dyDescent="0.2">
      <c r="A5735" s="242">
        <v>2022</v>
      </c>
      <c r="B5735" s="242">
        <v>1</v>
      </c>
      <c r="C5735" s="242">
        <v>27</v>
      </c>
      <c r="D5735" s="270">
        <f t="shared" si="228"/>
        <v>44588</v>
      </c>
      <c r="E5735" s="279">
        <f t="shared" si="229"/>
        <v>44588</v>
      </c>
      <c r="F5735" s="478"/>
      <c r="G5735" s="243" t="s">
        <v>94</v>
      </c>
      <c r="H5735" s="243" t="str" cm="1">
        <f t="array" ref="H5735">IFERROR(INDEX(INVESTOR_LIST[INVESTOR NAME],MATCH(I5735,INVESTOR_LIST[INVESTOR CODE],0),)," ")</f>
        <v xml:space="preserve"> </v>
      </c>
      <c r="I5735" s="263" t="s">
        <v>348</v>
      </c>
      <c r="J5735" s="244" t="s">
        <v>63</v>
      </c>
      <c r="K5735" s="245"/>
      <c r="L5735" s="245">
        <v>2747.2527472527472</v>
      </c>
    </row>
    <row r="5736" spans="1:12" x14ac:dyDescent="0.2">
      <c r="A5736" s="246">
        <v>2022</v>
      </c>
      <c r="B5736" s="246">
        <v>1</v>
      </c>
      <c r="C5736" s="246">
        <v>27</v>
      </c>
      <c r="D5736" s="270">
        <f t="shared" si="228"/>
        <v>44588</v>
      </c>
      <c r="E5736" s="279">
        <f t="shared" si="229"/>
        <v>44588</v>
      </c>
      <c r="F5736" s="482" t="s">
        <v>137</v>
      </c>
      <c r="G5736" s="247" t="s">
        <v>94</v>
      </c>
      <c r="H5736" s="247" t="str" cm="1">
        <f t="array" ref="H5736">IFERROR(INDEX(INVESTOR_LIST[INVESTOR NAME],MATCH(I5736,INVESTOR_LIST[INVESTOR CODE],0),)," ")</f>
        <v xml:space="preserve"> </v>
      </c>
      <c r="I5736" s="248" t="s">
        <v>348</v>
      </c>
      <c r="J5736" s="249" t="s">
        <v>97</v>
      </c>
      <c r="K5736" s="250">
        <v>77029.28982482008</v>
      </c>
      <c r="L5736" s="252"/>
    </row>
    <row r="5737" spans="1:12" x14ac:dyDescent="0.2">
      <c r="A5737" s="242">
        <v>2022</v>
      </c>
      <c r="B5737" s="242">
        <v>1</v>
      </c>
      <c r="C5737" s="242">
        <v>27</v>
      </c>
      <c r="D5737" s="270">
        <f t="shared" si="228"/>
        <v>44588</v>
      </c>
      <c r="E5737" s="279">
        <f t="shared" si="229"/>
        <v>44588</v>
      </c>
      <c r="F5737" s="478"/>
      <c r="G5737" s="243" t="s">
        <v>94</v>
      </c>
      <c r="H5737" s="243" t="str" cm="1">
        <f t="array" ref="H5737">IFERROR(INDEX(INVESTOR_LIST[INVESTOR NAME],MATCH(I5737,INVESTOR_LIST[INVESTOR CODE],0),)," ")</f>
        <v xml:space="preserve"> </v>
      </c>
      <c r="I5737" s="263" t="s">
        <v>348</v>
      </c>
      <c r="J5737" s="244" t="s">
        <v>47</v>
      </c>
      <c r="K5737" s="245"/>
      <c r="L5737" s="245">
        <v>77029.28982482008</v>
      </c>
    </row>
    <row r="5738" spans="1:12" x14ac:dyDescent="0.2">
      <c r="A5738" s="246">
        <v>2022</v>
      </c>
      <c r="B5738" s="246">
        <v>1</v>
      </c>
      <c r="C5738" s="246">
        <v>27</v>
      </c>
      <c r="D5738" s="270">
        <f t="shared" si="228"/>
        <v>44588</v>
      </c>
      <c r="E5738" s="279">
        <f t="shared" si="229"/>
        <v>44588</v>
      </c>
      <c r="F5738" s="482" t="s">
        <v>138</v>
      </c>
      <c r="G5738" s="247" t="s">
        <v>94</v>
      </c>
      <c r="H5738" s="247" t="str" cm="1">
        <f t="array" ref="H5738">IFERROR(INDEX(INVESTOR_LIST[INVESTOR NAME],MATCH(I5738,INVESTOR_LIST[INVESTOR CODE],0),)," ")</f>
        <v xml:space="preserve"> </v>
      </c>
      <c r="I5738" s="248" t="s">
        <v>348</v>
      </c>
      <c r="J5738" s="249" t="s">
        <v>100</v>
      </c>
      <c r="K5738" s="250">
        <v>3611.0798758563888</v>
      </c>
      <c r="L5738" s="252"/>
    </row>
    <row r="5739" spans="1:12" x14ac:dyDescent="0.2">
      <c r="A5739" s="242">
        <v>2022</v>
      </c>
      <c r="B5739" s="242">
        <v>1</v>
      </c>
      <c r="C5739" s="242">
        <v>27</v>
      </c>
      <c r="D5739" s="270">
        <f t="shared" si="228"/>
        <v>44588</v>
      </c>
      <c r="E5739" s="279">
        <f t="shared" si="229"/>
        <v>44588</v>
      </c>
      <c r="F5739" s="478"/>
      <c r="G5739" s="243" t="s">
        <v>94</v>
      </c>
      <c r="H5739" s="243" t="str" cm="1">
        <f t="array" ref="H5739">IFERROR(INDEX(INVESTOR_LIST[INVESTOR NAME],MATCH(I5739,INVESTOR_LIST[INVESTOR CODE],0),)," ")</f>
        <v xml:space="preserve"> </v>
      </c>
      <c r="I5739" s="263" t="s">
        <v>348</v>
      </c>
      <c r="J5739" s="244" t="s">
        <v>48</v>
      </c>
      <c r="K5739" s="245"/>
      <c r="L5739" s="245">
        <v>3611.0798758563888</v>
      </c>
    </row>
    <row r="5740" spans="1:12" x14ac:dyDescent="0.2">
      <c r="A5740" s="133">
        <v>2022</v>
      </c>
      <c r="B5740" s="133">
        <v>1</v>
      </c>
      <c r="C5740" s="133">
        <v>30</v>
      </c>
      <c r="D5740" s="141">
        <f t="shared" si="228"/>
        <v>44591</v>
      </c>
      <c r="E5740" s="275">
        <f t="shared" si="229"/>
        <v>44591</v>
      </c>
      <c r="F5740" s="481" t="s">
        <v>1033</v>
      </c>
      <c r="G5740" s="174" t="s">
        <v>94</v>
      </c>
      <c r="H5740" s="174" t="str" cm="1">
        <f t="array" ref="H5740">IFERROR(INDEX(INVESTOR_LIST[INVESTOR NAME],MATCH(I5740,INVESTOR_LIST[INVESTOR CODE],0),)," ")</f>
        <v xml:space="preserve"> </v>
      </c>
      <c r="I5740" s="148" t="s">
        <v>348</v>
      </c>
      <c r="J5740" s="149" t="s">
        <v>80</v>
      </c>
      <c r="K5740" s="218">
        <v>1779.65</v>
      </c>
      <c r="L5740" s="218"/>
    </row>
    <row r="5741" spans="1:12" x14ac:dyDescent="0.2">
      <c r="A5741" s="133">
        <v>2022</v>
      </c>
      <c r="B5741" s="133">
        <v>1</v>
      </c>
      <c r="C5741" s="133">
        <v>30</v>
      </c>
      <c r="D5741" s="141">
        <f t="shared" si="228"/>
        <v>44591</v>
      </c>
      <c r="E5741" s="275">
        <f t="shared" si="229"/>
        <v>44591</v>
      </c>
      <c r="F5741" s="481"/>
      <c r="G5741" s="174" t="s">
        <v>94</v>
      </c>
      <c r="H5741" s="174" t="str" cm="1">
        <f t="array" ref="H5741">IFERROR(INDEX(INVESTOR_LIST[INVESTOR NAME],MATCH(I5741,INVESTOR_LIST[INVESTOR CODE],0),)," ")</f>
        <v xml:space="preserve"> </v>
      </c>
      <c r="I5741" s="148" t="s">
        <v>348</v>
      </c>
      <c r="J5741" s="149" t="s">
        <v>190</v>
      </c>
      <c r="K5741" s="218">
        <v>986915.75</v>
      </c>
      <c r="L5741" s="218"/>
    </row>
    <row r="5742" spans="1:12" x14ac:dyDescent="0.2">
      <c r="A5742" s="133">
        <v>2022</v>
      </c>
      <c r="B5742" s="133">
        <v>1</v>
      </c>
      <c r="C5742" s="133">
        <v>30</v>
      </c>
      <c r="D5742" s="141">
        <f t="shared" si="228"/>
        <v>44591</v>
      </c>
      <c r="E5742" s="275">
        <f t="shared" si="229"/>
        <v>44591</v>
      </c>
      <c r="F5742" s="481"/>
      <c r="G5742" s="174" t="s">
        <v>94</v>
      </c>
      <c r="H5742" s="174" t="str" cm="1">
        <f t="array" ref="H5742">IFERROR(INDEX(INVESTOR_LIST[INVESTOR NAME],MATCH(I5742,INVESTOR_LIST[INVESTOR CODE],0),)," ")</f>
        <v xml:space="preserve"> </v>
      </c>
      <c r="I5742" s="148" t="s">
        <v>348</v>
      </c>
      <c r="J5742" s="149" t="s">
        <v>191</v>
      </c>
      <c r="K5742" s="218"/>
      <c r="L5742" s="218">
        <v>245315.4</v>
      </c>
    </row>
    <row r="5743" spans="1:12" x14ac:dyDescent="0.2">
      <c r="A5743" s="163">
        <v>2022</v>
      </c>
      <c r="B5743" s="163">
        <v>1</v>
      </c>
      <c r="C5743" s="163">
        <v>30</v>
      </c>
      <c r="D5743" s="280">
        <f t="shared" si="228"/>
        <v>44591</v>
      </c>
      <c r="E5743" s="281">
        <f t="shared" si="229"/>
        <v>44591</v>
      </c>
      <c r="F5743" s="480"/>
      <c r="G5743" s="221" t="s">
        <v>94</v>
      </c>
      <c r="H5743" s="145" t="str" cm="1">
        <f t="array" ref="H5743">IFERROR(INDEX(INVESTOR_LIST[INVESTOR NAME],MATCH(I5743,INVESTOR_LIST[INVESTOR CODE],0),)," ")</f>
        <v xml:space="preserve"> </v>
      </c>
      <c r="I5743" s="145"/>
      <c r="J5743" s="163" t="s">
        <v>79</v>
      </c>
      <c r="K5743" s="219"/>
      <c r="L5743" s="219">
        <v>743380</v>
      </c>
    </row>
    <row r="5744" spans="1:12" ht="56.25" x14ac:dyDescent="0.2">
      <c r="A5744" s="168">
        <v>2022</v>
      </c>
      <c r="B5744" s="168">
        <v>1</v>
      </c>
      <c r="C5744" s="133">
        <v>30</v>
      </c>
      <c r="D5744" s="141">
        <f t="shared" si="228"/>
        <v>44591</v>
      </c>
      <c r="E5744" s="275">
        <f t="shared" si="229"/>
        <v>44591</v>
      </c>
      <c r="F5744" s="479" t="s">
        <v>964</v>
      </c>
      <c r="G5744" s="220" t="s">
        <v>74</v>
      </c>
      <c r="H5744" s="142" t="str" cm="1">
        <f t="array" ref="H5744">IFERROR(INDEX(INVESTOR_LIST[INVESTOR NAME],MATCH(I5744,INVESTOR_LIST[INVESTOR CODE],0),)," ")</f>
        <v>RELIANCE INSURANCE lIMITED</v>
      </c>
      <c r="I5744" s="142" t="s">
        <v>443</v>
      </c>
      <c r="J5744" s="168" t="s">
        <v>52</v>
      </c>
      <c r="K5744" s="226">
        <v>2494000</v>
      </c>
      <c r="L5744" s="226"/>
    </row>
    <row r="5745" spans="1:12" ht="56.25" x14ac:dyDescent="0.2">
      <c r="A5745" s="133">
        <v>2022</v>
      </c>
      <c r="B5745" s="133">
        <v>1</v>
      </c>
      <c r="C5745" s="133">
        <v>30</v>
      </c>
      <c r="D5745" s="141">
        <f t="shared" si="228"/>
        <v>44591</v>
      </c>
      <c r="E5745" s="275">
        <f t="shared" si="229"/>
        <v>44591</v>
      </c>
      <c r="F5745" s="481"/>
      <c r="G5745" s="174" t="s">
        <v>74</v>
      </c>
      <c r="H5745" s="148" t="str" cm="1">
        <f t="array" ref="H5745">IFERROR(INDEX(INVESTOR_LIST[INVESTOR NAME],MATCH(I5745,INVESTOR_LIST[INVESTOR CODE],0),)," ")</f>
        <v>RELIANCE INSURANCE lIMITED</v>
      </c>
      <c r="I5745" s="148" t="s">
        <v>443</v>
      </c>
      <c r="J5745" s="133" t="s">
        <v>13</v>
      </c>
      <c r="K5745" s="218"/>
      <c r="L5745" s="218">
        <v>2000000</v>
      </c>
    </row>
    <row r="5746" spans="1:12" ht="56.25" x14ac:dyDescent="0.2">
      <c r="A5746" s="163">
        <v>2022</v>
      </c>
      <c r="B5746" s="163">
        <v>1</v>
      </c>
      <c r="C5746" s="163">
        <v>30</v>
      </c>
      <c r="D5746" s="141">
        <f t="shared" si="228"/>
        <v>44591</v>
      </c>
      <c r="E5746" s="275">
        <f t="shared" si="229"/>
        <v>44591</v>
      </c>
      <c r="F5746" s="480"/>
      <c r="G5746" s="221" t="s">
        <v>74</v>
      </c>
      <c r="H5746" s="145" t="str" cm="1">
        <f t="array" ref="H5746">IFERROR(INDEX(INVESTOR_LIST[INVESTOR NAME],MATCH(I5746,INVESTOR_LIST[INVESTOR CODE],0),)," ")</f>
        <v>RELIANCE INSURANCE lIMITED</v>
      </c>
      <c r="I5746" s="145" t="s">
        <v>443</v>
      </c>
      <c r="J5746" s="163" t="s">
        <v>53</v>
      </c>
      <c r="K5746" s="219"/>
      <c r="L5746" s="219">
        <v>494000</v>
      </c>
    </row>
    <row r="5747" spans="1:12" ht="45" x14ac:dyDescent="0.2">
      <c r="A5747" s="168">
        <v>2022</v>
      </c>
      <c r="B5747" s="168">
        <v>1</v>
      </c>
      <c r="C5747" s="133">
        <v>30</v>
      </c>
      <c r="D5747" s="141">
        <f t="shared" ref="D5747:D5754" si="232">DATE(A5747,B5747,C5747)</f>
        <v>44591</v>
      </c>
      <c r="E5747" s="275">
        <f t="shared" ref="E5747:E5754" si="233">DATE(A5747,B5747,C5747)</f>
        <v>44591</v>
      </c>
      <c r="F5747" s="479" t="s">
        <v>964</v>
      </c>
      <c r="G5747" s="220" t="s">
        <v>74</v>
      </c>
      <c r="H5747" s="142" t="str" cm="1">
        <f t="array" ref="H5747">IFERROR(INDEX(INVESTOR_LIST[INVESTOR NAME],MATCH(I5747,INVESTOR_LIST[INVESTOR CODE],0),)," ")</f>
        <v>MOHAMMAD NASIR HOSSAIN</v>
      </c>
      <c r="I5747" s="142" t="s">
        <v>624</v>
      </c>
      <c r="J5747" s="168" t="s">
        <v>52</v>
      </c>
      <c r="K5747" s="226">
        <v>400000</v>
      </c>
      <c r="L5747" s="226"/>
    </row>
    <row r="5748" spans="1:12" ht="45" x14ac:dyDescent="0.2">
      <c r="A5748" s="133">
        <v>2022</v>
      </c>
      <c r="B5748" s="133">
        <v>1</v>
      </c>
      <c r="C5748" s="133">
        <v>30</v>
      </c>
      <c r="D5748" s="141">
        <f t="shared" si="232"/>
        <v>44591</v>
      </c>
      <c r="E5748" s="275">
        <f t="shared" si="233"/>
        <v>44591</v>
      </c>
      <c r="F5748" s="481"/>
      <c r="G5748" s="174" t="s">
        <v>74</v>
      </c>
      <c r="H5748" s="148" t="str" cm="1">
        <f t="array" ref="H5748">IFERROR(INDEX(INVESTOR_LIST[INVESTOR NAME],MATCH(I5748,INVESTOR_LIST[INVESTOR CODE],0),)," ")</f>
        <v>MOHAMMAD NASIR HOSSAIN</v>
      </c>
      <c r="I5748" s="148" t="s">
        <v>624</v>
      </c>
      <c r="J5748" s="133" t="s">
        <v>13</v>
      </c>
      <c r="K5748" s="218"/>
      <c r="L5748" s="218">
        <v>321030</v>
      </c>
    </row>
    <row r="5749" spans="1:12" ht="45" x14ac:dyDescent="0.2">
      <c r="A5749" s="163">
        <v>2022</v>
      </c>
      <c r="B5749" s="163">
        <v>1</v>
      </c>
      <c r="C5749" s="163">
        <v>30</v>
      </c>
      <c r="D5749" s="141">
        <f t="shared" si="232"/>
        <v>44591</v>
      </c>
      <c r="E5749" s="275">
        <f t="shared" si="233"/>
        <v>44591</v>
      </c>
      <c r="F5749" s="480"/>
      <c r="G5749" s="221" t="s">
        <v>74</v>
      </c>
      <c r="H5749" s="145" t="str" cm="1">
        <f t="array" ref="H5749">IFERROR(INDEX(INVESTOR_LIST[INVESTOR NAME],MATCH(I5749,INVESTOR_LIST[INVESTOR CODE],0),)," ")</f>
        <v>MOHAMMAD NASIR HOSSAIN</v>
      </c>
      <c r="I5749" s="145" t="s">
        <v>624</v>
      </c>
      <c r="J5749" s="163" t="s">
        <v>53</v>
      </c>
      <c r="K5749" s="219"/>
      <c r="L5749" s="219">
        <v>78970</v>
      </c>
    </row>
    <row r="5750" spans="1:12" x14ac:dyDescent="0.2">
      <c r="A5750" s="133">
        <v>2022</v>
      </c>
      <c r="B5750" s="133">
        <v>1</v>
      </c>
      <c r="C5750" s="133">
        <v>30</v>
      </c>
      <c r="D5750" s="141">
        <f t="shared" si="232"/>
        <v>44591</v>
      </c>
      <c r="E5750" s="275">
        <f t="shared" si="233"/>
        <v>44591</v>
      </c>
      <c r="F5750" s="479" t="s">
        <v>77</v>
      </c>
      <c r="G5750" s="174" t="s">
        <v>74</v>
      </c>
      <c r="H5750" s="148" t="str" cm="1">
        <f t="array" ref="H5750">IFERROR(INDEX(INVESTOR_LIST[INVESTOR NAME],MATCH(I5750,INVESTOR_LIST[INVESTOR CODE],0),)," ")</f>
        <v xml:space="preserve"> </v>
      </c>
      <c r="I5750" s="148" t="s">
        <v>348</v>
      </c>
      <c r="J5750" s="133" t="s">
        <v>61</v>
      </c>
      <c r="K5750" s="172">
        <v>25</v>
      </c>
    </row>
    <row r="5751" spans="1:12" x14ac:dyDescent="0.2">
      <c r="A5751" s="163">
        <v>2022</v>
      </c>
      <c r="B5751" s="163">
        <v>1</v>
      </c>
      <c r="C5751" s="163">
        <v>30</v>
      </c>
      <c r="D5751" s="141">
        <f t="shared" si="232"/>
        <v>44591</v>
      </c>
      <c r="E5751" s="275">
        <f t="shared" si="233"/>
        <v>44591</v>
      </c>
      <c r="F5751" s="480"/>
      <c r="G5751" s="221" t="s">
        <v>74</v>
      </c>
      <c r="H5751" s="145" t="str" cm="1">
        <f t="array" ref="H5751">IFERROR(INDEX(INVESTOR_LIST[INVESTOR NAME],MATCH(I5751,INVESTOR_LIST[INVESTOR CODE],0),)," ")</f>
        <v xml:space="preserve"> </v>
      </c>
      <c r="I5751" s="145" t="s">
        <v>348</v>
      </c>
      <c r="J5751" s="163" t="s">
        <v>52</v>
      </c>
      <c r="K5751" s="219"/>
      <c r="L5751" s="219">
        <v>25</v>
      </c>
    </row>
    <row r="5752" spans="1:12" x14ac:dyDescent="0.2">
      <c r="A5752" s="168">
        <v>2022</v>
      </c>
      <c r="B5752" s="168">
        <v>1</v>
      </c>
      <c r="C5752" s="133">
        <v>30</v>
      </c>
      <c r="D5752" s="141">
        <f t="shared" si="232"/>
        <v>44591</v>
      </c>
      <c r="E5752" s="275">
        <f t="shared" si="233"/>
        <v>44591</v>
      </c>
      <c r="F5752" s="479" t="s">
        <v>970</v>
      </c>
      <c r="G5752" s="220" t="s">
        <v>74</v>
      </c>
      <c r="H5752" s="142" t="str" cm="1">
        <f t="array" ref="H5752">IFERROR(INDEX(INVESTOR_LIST[INVESTOR NAME],MATCH(I5752,INVESTOR_LIST[INVESTOR CODE],0),)," ")</f>
        <v xml:space="preserve"> </v>
      </c>
      <c r="I5752" s="142"/>
      <c r="J5752" s="168" t="s">
        <v>52</v>
      </c>
      <c r="K5752" s="226">
        <v>470000</v>
      </c>
      <c r="L5752" s="226"/>
    </row>
    <row r="5753" spans="1:12" x14ac:dyDescent="0.2">
      <c r="A5753" s="133">
        <v>2022</v>
      </c>
      <c r="B5753" s="133">
        <v>1</v>
      </c>
      <c r="C5753" s="133">
        <v>30</v>
      </c>
      <c r="D5753" s="141">
        <f t="shared" si="232"/>
        <v>44591</v>
      </c>
      <c r="E5753" s="275">
        <f t="shared" si="233"/>
        <v>44591</v>
      </c>
      <c r="F5753" s="481"/>
      <c r="G5753" s="174" t="s">
        <v>74</v>
      </c>
      <c r="H5753" s="148" t="str" cm="1">
        <f t="array" ref="H5753">IFERROR(INDEX(INVESTOR_LIST[INVESTOR NAME],MATCH(I5753,INVESTOR_LIST[INVESTOR CODE],0),)," ")</f>
        <v xml:space="preserve"> </v>
      </c>
      <c r="J5753" s="133" t="s">
        <v>13</v>
      </c>
      <c r="K5753" s="218"/>
      <c r="L5753" s="218">
        <v>377200</v>
      </c>
    </row>
    <row r="5754" spans="1:12" x14ac:dyDescent="0.2">
      <c r="A5754" s="163">
        <v>2022</v>
      </c>
      <c r="B5754" s="163">
        <v>1</v>
      </c>
      <c r="C5754" s="163">
        <v>30</v>
      </c>
      <c r="D5754" s="141">
        <f t="shared" si="232"/>
        <v>44591</v>
      </c>
      <c r="E5754" s="275">
        <f t="shared" si="233"/>
        <v>44591</v>
      </c>
      <c r="F5754" s="480"/>
      <c r="G5754" s="221" t="s">
        <v>74</v>
      </c>
      <c r="H5754" s="145" t="str" cm="1">
        <f t="array" ref="H5754">IFERROR(INDEX(INVESTOR_LIST[INVESTOR NAME],MATCH(I5754,INVESTOR_LIST[INVESTOR CODE],0),)," ")</f>
        <v xml:space="preserve"> </v>
      </c>
      <c r="I5754" s="145"/>
      <c r="J5754" s="163" t="s">
        <v>53</v>
      </c>
      <c r="K5754" s="219"/>
      <c r="L5754" s="219">
        <v>92800</v>
      </c>
    </row>
    <row r="5755" spans="1:12" x14ac:dyDescent="0.2">
      <c r="A5755" s="133">
        <v>2022</v>
      </c>
      <c r="B5755" s="133">
        <v>1</v>
      </c>
      <c r="C5755" s="133">
        <v>31</v>
      </c>
      <c r="D5755" s="141">
        <f t="shared" si="228"/>
        <v>44592</v>
      </c>
      <c r="E5755" s="275">
        <f t="shared" si="229"/>
        <v>44592</v>
      </c>
      <c r="F5755" s="481" t="s">
        <v>1033</v>
      </c>
      <c r="G5755" s="174" t="s">
        <v>94</v>
      </c>
      <c r="H5755" s="174" t="str" cm="1">
        <f t="array" ref="H5755">IFERROR(INDEX(INVESTOR_LIST[INVESTOR NAME],MATCH(I5755,INVESTOR_LIST[INVESTOR CODE],0),)," ")</f>
        <v xml:space="preserve"> </v>
      </c>
      <c r="I5755" s="148" t="s">
        <v>348</v>
      </c>
      <c r="J5755" s="149" t="s">
        <v>80</v>
      </c>
      <c r="K5755" s="218">
        <v>3942</v>
      </c>
      <c r="L5755" s="218"/>
    </row>
    <row r="5756" spans="1:12" x14ac:dyDescent="0.2">
      <c r="A5756" s="133">
        <v>2022</v>
      </c>
      <c r="B5756" s="133">
        <v>1</v>
      </c>
      <c r="C5756" s="133">
        <v>31</v>
      </c>
      <c r="D5756" s="141">
        <f t="shared" si="228"/>
        <v>44592</v>
      </c>
      <c r="E5756" s="275">
        <f t="shared" si="229"/>
        <v>44592</v>
      </c>
      <c r="F5756" s="481"/>
      <c r="G5756" s="174" t="s">
        <v>94</v>
      </c>
      <c r="H5756" s="174" t="str" cm="1">
        <f t="array" ref="H5756">IFERROR(INDEX(INVESTOR_LIST[INVESTOR NAME],MATCH(I5756,INVESTOR_LIST[INVESTOR CODE],0),)," ")</f>
        <v xml:space="preserve"> </v>
      </c>
      <c r="I5756" s="148" t="s">
        <v>348</v>
      </c>
      <c r="J5756" s="149" t="s">
        <v>190</v>
      </c>
      <c r="K5756" s="218">
        <v>2186058</v>
      </c>
      <c r="L5756" s="218"/>
    </row>
    <row r="5757" spans="1:12" x14ac:dyDescent="0.2">
      <c r="A5757" s="133">
        <v>2022</v>
      </c>
      <c r="B5757" s="133">
        <v>1</v>
      </c>
      <c r="C5757" s="133">
        <v>31</v>
      </c>
      <c r="D5757" s="141">
        <f t="shared" ref="D5757:D5769" si="234">DATE(A5757,B5757,C5757)</f>
        <v>44592</v>
      </c>
      <c r="E5757" s="275">
        <f t="shared" ref="E5757:E5769" si="235">DATE(A5757,B5757,C5757)</f>
        <v>44592</v>
      </c>
      <c r="F5757" s="481"/>
      <c r="G5757" s="174" t="s">
        <v>94</v>
      </c>
      <c r="H5757" s="174" t="str" cm="1">
        <f t="array" ref="H5757">IFERROR(INDEX(INVESTOR_LIST[INVESTOR NAME],MATCH(I5757,INVESTOR_LIST[INVESTOR CODE],0),)," ")</f>
        <v xml:space="preserve"> </v>
      </c>
      <c r="I5757" s="148" t="s">
        <v>348</v>
      </c>
      <c r="J5757" s="149" t="s">
        <v>191</v>
      </c>
      <c r="K5757" s="218"/>
      <c r="L5757" s="218">
        <v>690000</v>
      </c>
    </row>
    <row r="5758" spans="1:12" x14ac:dyDescent="0.2">
      <c r="A5758" s="163">
        <v>2022</v>
      </c>
      <c r="B5758" s="163">
        <v>1</v>
      </c>
      <c r="C5758" s="163">
        <v>31</v>
      </c>
      <c r="D5758" s="280">
        <f t="shared" si="234"/>
        <v>44592</v>
      </c>
      <c r="E5758" s="281">
        <f t="shared" si="235"/>
        <v>44592</v>
      </c>
      <c r="F5758" s="480"/>
      <c r="G5758" s="221" t="s">
        <v>94</v>
      </c>
      <c r="H5758" s="145" t="str" cm="1">
        <f t="array" ref="H5758">IFERROR(INDEX(INVESTOR_LIST[INVESTOR NAME],MATCH(I5758,INVESTOR_LIST[INVESTOR CODE],0),)," ")</f>
        <v xml:space="preserve"> </v>
      </c>
      <c r="I5758" s="145"/>
      <c r="J5758" s="163" t="s">
        <v>79</v>
      </c>
      <c r="K5758" s="219"/>
      <c r="L5758" s="219">
        <v>1500000</v>
      </c>
    </row>
    <row r="5759" spans="1:12" x14ac:dyDescent="0.2">
      <c r="A5759" s="168">
        <v>2022</v>
      </c>
      <c r="B5759" s="168">
        <v>2</v>
      </c>
      <c r="C5759" s="133">
        <v>1</v>
      </c>
      <c r="D5759" s="141">
        <f t="shared" si="234"/>
        <v>44593</v>
      </c>
      <c r="E5759" s="275">
        <f t="shared" si="235"/>
        <v>44593</v>
      </c>
      <c r="F5759" s="479" t="s">
        <v>1035</v>
      </c>
      <c r="G5759" s="220" t="s">
        <v>74</v>
      </c>
      <c r="H5759" s="142" t="str" cm="1">
        <f t="array" ref="H5759">IFERROR(INDEX(INVESTOR_LIST[INVESTOR NAME],MATCH(I5759,INVESTOR_LIST[INVESTOR CODE],0),)," ")</f>
        <v xml:space="preserve"> </v>
      </c>
      <c r="I5759" s="142"/>
      <c r="J5759" s="168" t="s">
        <v>358</v>
      </c>
      <c r="K5759" s="226">
        <v>39000</v>
      </c>
      <c r="L5759" s="226"/>
    </row>
    <row r="5760" spans="1:12" x14ac:dyDescent="0.2">
      <c r="A5760" s="133">
        <v>2022</v>
      </c>
      <c r="B5760" s="133">
        <v>2</v>
      </c>
      <c r="C5760" s="133">
        <v>1</v>
      </c>
      <c r="D5760" s="141">
        <f t="shared" si="234"/>
        <v>44593</v>
      </c>
      <c r="E5760" s="275">
        <f t="shared" si="235"/>
        <v>44593</v>
      </c>
      <c r="F5760" s="481"/>
      <c r="G5760" s="174" t="s">
        <v>74</v>
      </c>
      <c r="H5760" s="148" t="str" cm="1">
        <f t="array" ref="H5760">IFERROR(INDEX(INVESTOR_LIST[INVESTOR NAME],MATCH(I5760,INVESTOR_LIST[INVESTOR CODE],0),)," ")</f>
        <v xml:space="preserve"> </v>
      </c>
      <c r="J5760" s="133" t="s">
        <v>534</v>
      </c>
      <c r="K5760" s="218"/>
      <c r="L5760" s="218">
        <v>1400</v>
      </c>
    </row>
    <row r="5761" spans="1:12" x14ac:dyDescent="0.2">
      <c r="A5761" s="163">
        <v>2022</v>
      </c>
      <c r="B5761" s="163">
        <v>2</v>
      </c>
      <c r="C5761" s="163">
        <v>1</v>
      </c>
      <c r="D5761" s="141">
        <f t="shared" si="234"/>
        <v>44593</v>
      </c>
      <c r="E5761" s="275">
        <f t="shared" si="235"/>
        <v>44593</v>
      </c>
      <c r="F5761" s="480"/>
      <c r="G5761" s="221" t="s">
        <v>74</v>
      </c>
      <c r="H5761" s="145" t="str" cm="1">
        <f t="array" ref="H5761">IFERROR(INDEX(INVESTOR_LIST[INVESTOR NAME],MATCH(I5761,INVESTOR_LIST[INVESTOR CODE],0),)," ")</f>
        <v xml:space="preserve"> </v>
      </c>
      <c r="I5761" s="145"/>
      <c r="J5761" s="163" t="s">
        <v>52</v>
      </c>
      <c r="K5761" s="219"/>
      <c r="L5761" s="219">
        <v>37600</v>
      </c>
    </row>
    <row r="5762" spans="1:12" x14ac:dyDescent="0.2">
      <c r="A5762" s="168">
        <v>2022</v>
      </c>
      <c r="B5762" s="168">
        <v>2</v>
      </c>
      <c r="C5762" s="168">
        <v>1</v>
      </c>
      <c r="D5762" s="141">
        <f t="shared" si="234"/>
        <v>44593</v>
      </c>
      <c r="E5762" s="275">
        <f t="shared" si="235"/>
        <v>44593</v>
      </c>
      <c r="F5762" s="479" t="s">
        <v>938</v>
      </c>
      <c r="G5762" s="220" t="s">
        <v>94</v>
      </c>
      <c r="H5762" s="220" t="str" cm="1">
        <f t="array" ref="H5762">IFERROR(INDEX(INVESTOR_LIST[INVESTOR NAME],MATCH(I5762,INVESTOR_LIST[INVESTOR CODE],0),)," ")</f>
        <v xml:space="preserve"> </v>
      </c>
      <c r="I5762" s="142" t="s">
        <v>348</v>
      </c>
      <c r="J5762" s="143" t="s">
        <v>79</v>
      </c>
      <c r="K5762" s="226">
        <v>360951</v>
      </c>
      <c r="L5762" s="226"/>
    </row>
    <row r="5763" spans="1:12" x14ac:dyDescent="0.2">
      <c r="A5763" s="133">
        <v>2022</v>
      </c>
      <c r="B5763" s="133">
        <v>2</v>
      </c>
      <c r="C5763" s="133">
        <v>1</v>
      </c>
      <c r="D5763" s="141">
        <f t="shared" si="234"/>
        <v>44593</v>
      </c>
      <c r="E5763" s="275">
        <f t="shared" si="235"/>
        <v>44593</v>
      </c>
      <c r="F5763" s="481"/>
      <c r="G5763" s="174" t="s">
        <v>94</v>
      </c>
      <c r="H5763" s="174" t="str" cm="1">
        <f t="array" ref="H5763">IFERROR(INDEX(INVESTOR_LIST[INVESTOR NAME],MATCH(I5763,INVESTOR_LIST[INVESTOR CODE],0),)," ")</f>
        <v xml:space="preserve"> </v>
      </c>
      <c r="I5763" s="148" t="s">
        <v>348</v>
      </c>
      <c r="J5763" s="149" t="s">
        <v>80</v>
      </c>
      <c r="K5763" s="218">
        <v>14589.7</v>
      </c>
      <c r="L5763" s="218"/>
    </row>
    <row r="5764" spans="1:12" x14ac:dyDescent="0.2">
      <c r="A5764" s="133">
        <v>2022</v>
      </c>
      <c r="B5764" s="133">
        <v>2</v>
      </c>
      <c r="C5764" s="133">
        <v>1</v>
      </c>
      <c r="D5764" s="141">
        <f t="shared" si="234"/>
        <v>44593</v>
      </c>
      <c r="E5764" s="275">
        <f t="shared" si="235"/>
        <v>44593</v>
      </c>
      <c r="F5764" s="481"/>
      <c r="G5764" s="174" t="s">
        <v>94</v>
      </c>
      <c r="H5764" s="174" t="str" cm="1">
        <f t="array" ref="H5764">IFERROR(INDEX(INVESTOR_LIST[INVESTOR NAME],MATCH(I5764,INVESTOR_LIST[INVESTOR CODE],0),)," ")</f>
        <v xml:space="preserve"> </v>
      </c>
      <c r="I5764" s="148" t="s">
        <v>348</v>
      </c>
      <c r="J5764" s="149" t="s">
        <v>190</v>
      </c>
      <c r="K5764" s="218">
        <v>7368899.9000000004</v>
      </c>
      <c r="L5764" s="218"/>
    </row>
    <row r="5765" spans="1:12" x14ac:dyDescent="0.2">
      <c r="A5765" s="133">
        <v>2022</v>
      </c>
      <c r="B5765" s="133">
        <v>2</v>
      </c>
      <c r="C5765" s="133">
        <v>1</v>
      </c>
      <c r="D5765" s="141">
        <f t="shared" si="234"/>
        <v>44593</v>
      </c>
      <c r="E5765" s="275">
        <f t="shared" si="235"/>
        <v>44593</v>
      </c>
      <c r="F5765" s="481"/>
      <c r="G5765" s="174" t="s">
        <v>94</v>
      </c>
      <c r="H5765" s="174" t="str" cm="1">
        <f t="array" ref="H5765">IFERROR(INDEX(INVESTOR_LIST[INVESTOR NAME],MATCH(I5765,INVESTOR_LIST[INVESTOR CODE],0),)," ")</f>
        <v xml:space="preserve"> </v>
      </c>
      <c r="I5765" s="148" t="s">
        <v>348</v>
      </c>
      <c r="J5765" s="149" t="s">
        <v>191</v>
      </c>
      <c r="K5765" s="218">
        <v>212376.85</v>
      </c>
      <c r="L5765" s="218"/>
    </row>
    <row r="5766" spans="1:12" x14ac:dyDescent="0.2">
      <c r="A5766" s="163">
        <v>2022</v>
      </c>
      <c r="B5766" s="163">
        <v>2</v>
      </c>
      <c r="C5766" s="163">
        <v>1</v>
      </c>
      <c r="D5766" s="280">
        <f t="shared" si="234"/>
        <v>44593</v>
      </c>
      <c r="E5766" s="281">
        <f t="shared" si="235"/>
        <v>44593</v>
      </c>
      <c r="F5766" s="480"/>
      <c r="G5766" s="221" t="s">
        <v>94</v>
      </c>
      <c r="H5766" s="145" t="str" cm="1">
        <f t="array" ref="H5766">IFERROR(INDEX(INVESTOR_LIST[INVESTOR NAME],MATCH(I5766,INVESTOR_LIST[INVESTOR CODE],0),)," ")</f>
        <v xml:space="preserve"> </v>
      </c>
      <c r="I5766" s="145"/>
      <c r="J5766" s="163" t="s">
        <v>79</v>
      </c>
      <c r="K5766" s="219"/>
      <c r="L5766" s="219">
        <v>7956817.4500000002</v>
      </c>
    </row>
    <row r="5767" spans="1:12" ht="22.5" x14ac:dyDescent="0.2">
      <c r="A5767" s="296">
        <v>2022</v>
      </c>
      <c r="B5767" s="296">
        <v>2</v>
      </c>
      <c r="C5767" s="297">
        <v>2</v>
      </c>
      <c r="D5767" s="298">
        <f t="shared" si="234"/>
        <v>44594</v>
      </c>
      <c r="E5767" s="299">
        <f t="shared" si="235"/>
        <v>44594</v>
      </c>
      <c r="F5767" s="490" t="s">
        <v>964</v>
      </c>
      <c r="G5767" s="300" t="s">
        <v>74</v>
      </c>
      <c r="H5767" s="301" t="str" cm="1">
        <f t="array" ref="H5767">IFERROR(INDEX(INVESTOR_LIST[INVESTOR NAME],MATCH(I5767,INVESTOR_LIST[INVESTOR CODE],0),)," ")</f>
        <v>RASIDA BEGUM</v>
      </c>
      <c r="I5767" s="301" t="s">
        <v>1137</v>
      </c>
      <c r="J5767" s="296" t="s">
        <v>52</v>
      </c>
      <c r="K5767" s="302">
        <v>100000</v>
      </c>
      <c r="L5767" s="302"/>
    </row>
    <row r="5768" spans="1:12" ht="22.5" x14ac:dyDescent="0.2">
      <c r="A5768" s="297">
        <v>2022</v>
      </c>
      <c r="B5768" s="297">
        <v>2</v>
      </c>
      <c r="C5768" s="297">
        <v>2</v>
      </c>
      <c r="D5768" s="298">
        <f t="shared" si="234"/>
        <v>44594</v>
      </c>
      <c r="E5768" s="299">
        <f t="shared" si="235"/>
        <v>44594</v>
      </c>
      <c r="F5768" s="491"/>
      <c r="G5768" s="303" t="s">
        <v>74</v>
      </c>
      <c r="H5768" s="304" t="str" cm="1">
        <f t="array" ref="H5768">IFERROR(INDEX(INVESTOR_LIST[INVESTOR NAME],MATCH(I5768,INVESTOR_LIST[INVESTOR CODE],0),)," ")</f>
        <v>RASIDA BEGUM</v>
      </c>
      <c r="I5768" s="304" t="s">
        <v>1137</v>
      </c>
      <c r="J5768" s="297" t="s">
        <v>13</v>
      </c>
      <c r="K5768" s="305"/>
      <c r="L5768" s="305">
        <v>80250</v>
      </c>
    </row>
    <row r="5769" spans="1:12" ht="22.5" x14ac:dyDescent="0.2">
      <c r="A5769" s="306">
        <v>2022</v>
      </c>
      <c r="B5769" s="306">
        <v>2</v>
      </c>
      <c r="C5769" s="306">
        <v>2</v>
      </c>
      <c r="D5769" s="298">
        <f t="shared" si="234"/>
        <v>44594</v>
      </c>
      <c r="E5769" s="299">
        <f t="shared" si="235"/>
        <v>44594</v>
      </c>
      <c r="F5769" s="492"/>
      <c r="G5769" s="307" t="s">
        <v>74</v>
      </c>
      <c r="H5769" s="308" t="str" cm="1">
        <f t="array" ref="H5769">IFERROR(INDEX(INVESTOR_LIST[INVESTOR NAME],MATCH(I5769,INVESTOR_LIST[INVESTOR CODE],0),)," ")</f>
        <v>RASIDA BEGUM</v>
      </c>
      <c r="I5769" s="308" t="s">
        <v>1137</v>
      </c>
      <c r="J5769" s="306" t="s">
        <v>53</v>
      </c>
      <c r="K5769" s="309"/>
      <c r="L5769" s="309">
        <v>19750</v>
      </c>
    </row>
    <row r="5770" spans="1:12" x14ac:dyDescent="0.2">
      <c r="A5770" s="168">
        <v>2022</v>
      </c>
      <c r="B5770" s="168">
        <v>2</v>
      </c>
      <c r="C5770" s="168">
        <v>2</v>
      </c>
      <c r="D5770" s="141">
        <f t="shared" ref="D5770:D5774" si="236">DATE(A5770,B5770,C5770)</f>
        <v>44594</v>
      </c>
      <c r="E5770" s="275">
        <f t="shared" ref="E5770:E5774" si="237">DATE(A5770,B5770,C5770)</f>
        <v>44594</v>
      </c>
      <c r="F5770" s="479" t="s">
        <v>953</v>
      </c>
      <c r="G5770" s="220" t="s">
        <v>94</v>
      </c>
      <c r="H5770" s="220" t="str" cm="1">
        <f t="array" ref="H5770">IFERROR(INDEX(INVESTOR_LIST[INVESTOR NAME],MATCH(I5770,INVESTOR_LIST[INVESTOR CODE],0),)," ")</f>
        <v xml:space="preserve"> </v>
      </c>
      <c r="I5770" s="142" t="s">
        <v>348</v>
      </c>
      <c r="J5770" s="143" t="s">
        <v>79</v>
      </c>
      <c r="K5770" s="226">
        <v>903970</v>
      </c>
      <c r="L5770" s="226"/>
    </row>
    <row r="5771" spans="1:12" x14ac:dyDescent="0.2">
      <c r="A5771" s="133">
        <v>2022</v>
      </c>
      <c r="B5771" s="133">
        <v>2</v>
      </c>
      <c r="C5771" s="133">
        <v>2</v>
      </c>
      <c r="D5771" s="141">
        <f t="shared" si="236"/>
        <v>44594</v>
      </c>
      <c r="E5771" s="275">
        <f t="shared" si="237"/>
        <v>44594</v>
      </c>
      <c r="F5771" s="481"/>
      <c r="G5771" s="174" t="s">
        <v>94</v>
      </c>
      <c r="H5771" s="174" t="str" cm="1">
        <f t="array" ref="H5771">IFERROR(INDEX(INVESTOR_LIST[INVESTOR NAME],MATCH(I5771,INVESTOR_LIST[INVESTOR CODE],0),)," ")</f>
        <v xml:space="preserve"> </v>
      </c>
      <c r="I5771" s="148" t="s">
        <v>348</v>
      </c>
      <c r="J5771" s="149" t="s">
        <v>80</v>
      </c>
      <c r="K5771" s="218">
        <v>1627.15</v>
      </c>
      <c r="L5771" s="218"/>
    </row>
    <row r="5772" spans="1:12" x14ac:dyDescent="0.2">
      <c r="A5772" s="163">
        <v>2022</v>
      </c>
      <c r="B5772" s="163">
        <v>2</v>
      </c>
      <c r="C5772" s="163">
        <v>2</v>
      </c>
      <c r="D5772" s="280">
        <f t="shared" si="236"/>
        <v>44594</v>
      </c>
      <c r="E5772" s="281">
        <f t="shared" si="237"/>
        <v>44594</v>
      </c>
      <c r="F5772" s="480"/>
      <c r="G5772" s="221" t="s">
        <v>94</v>
      </c>
      <c r="H5772" s="145" t="str" cm="1">
        <f t="array" ref="H5772">IFERROR(INDEX(INVESTOR_LIST[INVESTOR NAME],MATCH(I5772,INVESTOR_LIST[INVESTOR CODE],0),)," ")</f>
        <v xml:space="preserve"> </v>
      </c>
      <c r="I5772" s="145"/>
      <c r="J5772" s="163" t="s">
        <v>147</v>
      </c>
      <c r="K5772" s="219"/>
      <c r="L5772" s="219">
        <v>905597.15</v>
      </c>
    </row>
    <row r="5773" spans="1:12" x14ac:dyDescent="0.2">
      <c r="A5773" s="168">
        <v>2022</v>
      </c>
      <c r="B5773" s="168">
        <v>2</v>
      </c>
      <c r="C5773" s="168">
        <v>2</v>
      </c>
      <c r="D5773" s="141">
        <f t="shared" si="236"/>
        <v>44594</v>
      </c>
      <c r="E5773" s="275">
        <f t="shared" si="237"/>
        <v>44594</v>
      </c>
      <c r="F5773" s="479" t="s">
        <v>981</v>
      </c>
      <c r="G5773" s="220" t="s">
        <v>74</v>
      </c>
      <c r="H5773" s="220" t="str" cm="1">
        <f t="array" ref="H5773">IFERROR(INDEX(INVESTOR_LIST[INVESTOR NAME],MATCH(I5773,INVESTOR_LIST[INVESTOR CODE],0),)," ")</f>
        <v xml:space="preserve"> </v>
      </c>
      <c r="I5773" s="142" t="s">
        <v>348</v>
      </c>
      <c r="J5773" s="143" t="s">
        <v>52</v>
      </c>
      <c r="K5773" s="226">
        <v>986915.75</v>
      </c>
      <c r="L5773" s="226"/>
    </row>
    <row r="5774" spans="1:12" x14ac:dyDescent="0.2">
      <c r="A5774" s="163">
        <v>2022</v>
      </c>
      <c r="B5774" s="163">
        <v>2</v>
      </c>
      <c r="C5774" s="163">
        <v>2</v>
      </c>
      <c r="D5774" s="141">
        <f t="shared" si="236"/>
        <v>44594</v>
      </c>
      <c r="E5774" s="275">
        <f t="shared" si="237"/>
        <v>44594</v>
      </c>
      <c r="F5774" s="480"/>
      <c r="G5774" s="221" t="s">
        <v>74</v>
      </c>
      <c r="H5774" s="221" t="str" cm="1">
        <f t="array" ref="H5774">IFERROR(INDEX(INVESTOR_LIST[INVESTOR NAME],MATCH(I5774,INVESTOR_LIST[INVESTOR CODE],0),)," ")</f>
        <v xml:space="preserve"> </v>
      </c>
      <c r="I5774" s="145" t="s">
        <v>348</v>
      </c>
      <c r="J5774" s="146" t="s">
        <v>190</v>
      </c>
      <c r="K5774" s="219"/>
      <c r="L5774" s="219">
        <v>986915.75</v>
      </c>
    </row>
    <row r="5775" spans="1:12" x14ac:dyDescent="0.2">
      <c r="A5775" s="168">
        <v>2022</v>
      </c>
      <c r="B5775" s="168">
        <v>2</v>
      </c>
      <c r="C5775" s="168">
        <v>2</v>
      </c>
      <c r="D5775" s="141">
        <f t="shared" ref="D5775:D5786" si="238">DATE(A5775,B5775,C5775)</f>
        <v>44594</v>
      </c>
      <c r="E5775" s="275">
        <f t="shared" ref="E5775:E5786" si="239">DATE(A5775,B5775,C5775)</f>
        <v>44594</v>
      </c>
      <c r="F5775" s="479" t="s">
        <v>1034</v>
      </c>
      <c r="G5775" s="220" t="s">
        <v>74</v>
      </c>
      <c r="H5775" s="220" t="str" cm="1">
        <f t="array" ref="H5775">IFERROR(INDEX(INVESTOR_LIST[INVESTOR NAME],MATCH(I5775,INVESTOR_LIST[INVESTOR CODE],0),)," ")</f>
        <v xml:space="preserve"> </v>
      </c>
      <c r="I5775" s="142" t="s">
        <v>348</v>
      </c>
      <c r="J5775" s="143" t="s">
        <v>52</v>
      </c>
      <c r="K5775" s="226">
        <v>2714696.54</v>
      </c>
      <c r="L5775" s="226"/>
    </row>
    <row r="5776" spans="1:12" x14ac:dyDescent="0.2">
      <c r="A5776" s="163">
        <v>2022</v>
      </c>
      <c r="B5776" s="163">
        <v>2</v>
      </c>
      <c r="C5776" s="163">
        <v>2</v>
      </c>
      <c r="D5776" s="141">
        <f t="shared" si="238"/>
        <v>44594</v>
      </c>
      <c r="E5776" s="275">
        <f t="shared" si="239"/>
        <v>44594</v>
      </c>
      <c r="F5776" s="480"/>
      <c r="G5776" s="221" t="s">
        <v>74</v>
      </c>
      <c r="H5776" s="221" t="str" cm="1">
        <f t="array" ref="H5776">IFERROR(INDEX(INVESTOR_LIST[INVESTOR NAME],MATCH(I5776,INVESTOR_LIST[INVESTOR CODE],0),)," ")</f>
        <v xml:space="preserve"> </v>
      </c>
      <c r="I5776" s="145" t="s">
        <v>348</v>
      </c>
      <c r="J5776" s="146" t="s">
        <v>190</v>
      </c>
      <c r="K5776" s="219"/>
      <c r="L5776" s="219">
        <v>2714696.54</v>
      </c>
    </row>
    <row r="5777" spans="1:12" x14ac:dyDescent="0.2">
      <c r="A5777" s="168">
        <v>2022</v>
      </c>
      <c r="B5777" s="168">
        <v>2</v>
      </c>
      <c r="C5777" s="168">
        <v>2</v>
      </c>
      <c r="D5777" s="141">
        <f t="shared" si="238"/>
        <v>44594</v>
      </c>
      <c r="E5777" s="275">
        <f t="shared" si="239"/>
        <v>44594</v>
      </c>
      <c r="F5777" s="479" t="s">
        <v>524</v>
      </c>
      <c r="G5777" s="220" t="s">
        <v>74</v>
      </c>
      <c r="H5777" s="220" t="str" cm="1">
        <f t="array" ref="H5777">IFERROR(INDEX(INVESTOR_LIST[INVESTOR NAME],MATCH(I5777,INVESTOR_LIST[INVESTOR CODE],0),)," ")</f>
        <v xml:space="preserve"> </v>
      </c>
      <c r="I5777" s="142" t="s">
        <v>348</v>
      </c>
      <c r="J5777" s="143" t="s">
        <v>147</v>
      </c>
      <c r="K5777" s="226">
        <v>905597.15</v>
      </c>
      <c r="L5777" s="226"/>
    </row>
    <row r="5778" spans="1:12" x14ac:dyDescent="0.2">
      <c r="A5778" s="163">
        <v>2022</v>
      </c>
      <c r="B5778" s="163">
        <v>2</v>
      </c>
      <c r="C5778" s="163">
        <v>2</v>
      </c>
      <c r="D5778" s="141">
        <f t="shared" si="238"/>
        <v>44594</v>
      </c>
      <c r="E5778" s="275">
        <f t="shared" si="239"/>
        <v>44594</v>
      </c>
      <c r="F5778" s="480"/>
      <c r="G5778" s="221" t="s">
        <v>74</v>
      </c>
      <c r="H5778" s="221" t="str" cm="1">
        <f t="array" ref="H5778">IFERROR(INDEX(INVESTOR_LIST[INVESTOR NAME],MATCH(I5778,INVESTOR_LIST[INVESTOR CODE],0),)," ")</f>
        <v xml:space="preserve"> </v>
      </c>
      <c r="I5778" s="145" t="s">
        <v>348</v>
      </c>
      <c r="J5778" s="146" t="s">
        <v>52</v>
      </c>
      <c r="K5778" s="219"/>
      <c r="L5778" s="219">
        <v>905597.15</v>
      </c>
    </row>
    <row r="5779" spans="1:12" ht="33.75" x14ac:dyDescent="0.2">
      <c r="A5779" s="168">
        <v>2022</v>
      </c>
      <c r="B5779" s="168">
        <v>2</v>
      </c>
      <c r="C5779" s="133">
        <v>2</v>
      </c>
      <c r="D5779" s="141">
        <f t="shared" si="238"/>
        <v>44594</v>
      </c>
      <c r="E5779" s="275">
        <f t="shared" si="239"/>
        <v>44594</v>
      </c>
      <c r="F5779" s="479" t="s">
        <v>964</v>
      </c>
      <c r="G5779" s="220" t="s">
        <v>74</v>
      </c>
      <c r="H5779" s="142" t="str" cm="1">
        <f t="array" ref="H5779">IFERROR(INDEX(INVESTOR_LIST[INVESTOR NAME],MATCH(I5779,INVESTOR_LIST[INVESTOR CODE],0),)," ")</f>
        <v>ASHRAFUL ISLAM</v>
      </c>
      <c r="I5779" s="142" t="s">
        <v>1019</v>
      </c>
      <c r="J5779" s="168" t="s">
        <v>52</v>
      </c>
      <c r="K5779" s="226">
        <v>100000</v>
      </c>
      <c r="L5779" s="226"/>
    </row>
    <row r="5780" spans="1:12" ht="33.75" x14ac:dyDescent="0.2">
      <c r="A5780" s="133">
        <v>2022</v>
      </c>
      <c r="B5780" s="133">
        <v>2</v>
      </c>
      <c r="C5780" s="133">
        <v>2</v>
      </c>
      <c r="D5780" s="141">
        <f t="shared" si="238"/>
        <v>44594</v>
      </c>
      <c r="E5780" s="275">
        <f t="shared" si="239"/>
        <v>44594</v>
      </c>
      <c r="F5780" s="481"/>
      <c r="G5780" s="174" t="s">
        <v>74</v>
      </c>
      <c r="H5780" s="148" t="str" cm="1">
        <f t="array" ref="H5780">IFERROR(INDEX(INVESTOR_LIST[INVESTOR NAME],MATCH(I5780,INVESTOR_LIST[INVESTOR CODE],0),)," ")</f>
        <v>ASHRAFUL ISLAM</v>
      </c>
      <c r="I5780" s="148" t="s">
        <v>1019</v>
      </c>
      <c r="J5780" s="133" t="s">
        <v>13</v>
      </c>
      <c r="K5780" s="218"/>
      <c r="L5780" s="218">
        <v>80250</v>
      </c>
    </row>
    <row r="5781" spans="1:12" ht="33.75" x14ac:dyDescent="0.2">
      <c r="A5781" s="163">
        <v>2022</v>
      </c>
      <c r="B5781" s="163">
        <v>2</v>
      </c>
      <c r="C5781" s="163">
        <v>2</v>
      </c>
      <c r="D5781" s="141">
        <f t="shared" si="238"/>
        <v>44594</v>
      </c>
      <c r="E5781" s="275">
        <f t="shared" si="239"/>
        <v>44594</v>
      </c>
      <c r="F5781" s="480"/>
      <c r="G5781" s="221" t="s">
        <v>74</v>
      </c>
      <c r="H5781" s="145" t="str" cm="1">
        <f t="array" ref="H5781">IFERROR(INDEX(INVESTOR_LIST[INVESTOR NAME],MATCH(I5781,INVESTOR_LIST[INVESTOR CODE],0),)," ")</f>
        <v>ASHRAFUL ISLAM</v>
      </c>
      <c r="I5781" s="145" t="s">
        <v>1019</v>
      </c>
      <c r="J5781" s="163" t="s">
        <v>53</v>
      </c>
      <c r="K5781" s="219"/>
      <c r="L5781" s="219">
        <v>19750</v>
      </c>
    </row>
    <row r="5782" spans="1:12" ht="22.5" x14ac:dyDescent="0.2">
      <c r="A5782" s="168">
        <v>2022</v>
      </c>
      <c r="B5782" s="168">
        <v>2</v>
      </c>
      <c r="C5782" s="133">
        <v>2</v>
      </c>
      <c r="D5782" s="141">
        <f t="shared" ref="D5782:D5784" si="240">DATE(A5782,B5782,C5782)</f>
        <v>44594</v>
      </c>
      <c r="E5782" s="275">
        <f t="shared" ref="E5782:E5784" si="241">DATE(A5782,B5782,C5782)</f>
        <v>44594</v>
      </c>
      <c r="F5782" s="479" t="s">
        <v>964</v>
      </c>
      <c r="G5782" s="220" t="s">
        <v>74</v>
      </c>
      <c r="H5782" s="142" t="str" cm="1">
        <f t="array" ref="H5782">IFERROR(INDEX(INVESTOR_LIST[INVESTOR NAME],MATCH(I5782,INVESTOR_LIST[INVESTOR CODE],0),)," ")</f>
        <v>TANIA KABIR</v>
      </c>
      <c r="I5782" s="142" t="s">
        <v>1021</v>
      </c>
      <c r="J5782" s="168" t="s">
        <v>52</v>
      </c>
      <c r="K5782" s="226">
        <v>100000</v>
      </c>
      <c r="L5782" s="226"/>
    </row>
    <row r="5783" spans="1:12" ht="22.5" x14ac:dyDescent="0.2">
      <c r="A5783" s="133">
        <v>2022</v>
      </c>
      <c r="B5783" s="133">
        <v>2</v>
      </c>
      <c r="C5783" s="133">
        <v>2</v>
      </c>
      <c r="D5783" s="141">
        <f t="shared" si="240"/>
        <v>44594</v>
      </c>
      <c r="E5783" s="275">
        <f t="shared" si="241"/>
        <v>44594</v>
      </c>
      <c r="F5783" s="481"/>
      <c r="G5783" s="174" t="s">
        <v>74</v>
      </c>
      <c r="H5783" s="148" t="str" cm="1">
        <f t="array" ref="H5783">IFERROR(INDEX(INVESTOR_LIST[INVESTOR NAME],MATCH(I5783,INVESTOR_LIST[INVESTOR CODE],0),)," ")</f>
        <v>TANIA KABIR</v>
      </c>
      <c r="I5783" s="148" t="s">
        <v>1021</v>
      </c>
      <c r="J5783" s="133" t="s">
        <v>13</v>
      </c>
      <c r="K5783" s="218"/>
      <c r="L5783" s="218">
        <v>80250</v>
      </c>
    </row>
    <row r="5784" spans="1:12" ht="22.5" x14ac:dyDescent="0.2">
      <c r="A5784" s="163">
        <v>2022</v>
      </c>
      <c r="B5784" s="163">
        <v>2</v>
      </c>
      <c r="C5784" s="163">
        <v>2</v>
      </c>
      <c r="D5784" s="141">
        <f t="shared" si="240"/>
        <v>44594</v>
      </c>
      <c r="E5784" s="275">
        <f t="shared" si="241"/>
        <v>44594</v>
      </c>
      <c r="F5784" s="480"/>
      <c r="G5784" s="221" t="s">
        <v>74</v>
      </c>
      <c r="H5784" s="145" t="str" cm="1">
        <f t="array" ref="H5784">IFERROR(INDEX(INVESTOR_LIST[INVESTOR NAME],MATCH(I5784,INVESTOR_LIST[INVESTOR CODE],0),)," ")</f>
        <v>TANIA KABIR</v>
      </c>
      <c r="I5784" s="145" t="s">
        <v>1021</v>
      </c>
      <c r="J5784" s="163" t="s">
        <v>53</v>
      </c>
      <c r="K5784" s="219"/>
      <c r="L5784" s="219">
        <v>19750</v>
      </c>
    </row>
    <row r="5785" spans="1:12" x14ac:dyDescent="0.2">
      <c r="A5785" s="133">
        <v>2022</v>
      </c>
      <c r="B5785" s="133">
        <v>2</v>
      </c>
      <c r="C5785" s="133">
        <v>2</v>
      </c>
      <c r="D5785" s="141">
        <f t="shared" si="238"/>
        <v>44594</v>
      </c>
      <c r="E5785" s="275">
        <f t="shared" si="239"/>
        <v>44594</v>
      </c>
      <c r="F5785" s="479" t="s">
        <v>77</v>
      </c>
      <c r="G5785" s="174" t="s">
        <v>74</v>
      </c>
      <c r="H5785" s="148" t="str" cm="1">
        <f t="array" ref="H5785">IFERROR(INDEX(INVESTOR_LIST[INVESTOR NAME],MATCH(I5785,INVESTOR_LIST[INVESTOR CODE],0),)," ")</f>
        <v xml:space="preserve"> </v>
      </c>
      <c r="I5785" s="148" t="s">
        <v>348</v>
      </c>
      <c r="J5785" s="133" t="s">
        <v>61</v>
      </c>
      <c r="K5785" s="172">
        <v>10</v>
      </c>
    </row>
    <row r="5786" spans="1:12" x14ac:dyDescent="0.2">
      <c r="A5786" s="163">
        <v>2022</v>
      </c>
      <c r="B5786" s="163">
        <v>2</v>
      </c>
      <c r="C5786" s="163">
        <v>2</v>
      </c>
      <c r="D5786" s="141">
        <f t="shared" si="238"/>
        <v>44594</v>
      </c>
      <c r="E5786" s="275">
        <f t="shared" si="239"/>
        <v>44594</v>
      </c>
      <c r="F5786" s="480"/>
      <c r="G5786" s="221" t="s">
        <v>74</v>
      </c>
      <c r="H5786" s="145" t="str" cm="1">
        <f t="array" ref="H5786">IFERROR(INDEX(INVESTOR_LIST[INVESTOR NAME],MATCH(I5786,INVESTOR_LIST[INVESTOR CODE],0),)," ")</f>
        <v xml:space="preserve"> </v>
      </c>
      <c r="I5786" s="145" t="s">
        <v>348</v>
      </c>
      <c r="J5786" s="163" t="s">
        <v>52</v>
      </c>
      <c r="K5786" s="219"/>
      <c r="L5786" s="219">
        <v>10</v>
      </c>
    </row>
    <row r="5787" spans="1:12" ht="22.5" x14ac:dyDescent="0.2">
      <c r="A5787" s="168">
        <v>2022</v>
      </c>
      <c r="B5787" s="168">
        <v>2</v>
      </c>
      <c r="C5787" s="133">
        <v>3</v>
      </c>
      <c r="D5787" s="141">
        <f t="shared" ref="D5787:D5822" si="242">DATE(A5787,B5787,C5787)</f>
        <v>44595</v>
      </c>
      <c r="E5787" s="275">
        <f t="shared" ref="E5787:E5822" si="243">DATE(A5787,B5787,C5787)</f>
        <v>44595</v>
      </c>
      <c r="F5787" s="479" t="s">
        <v>964</v>
      </c>
      <c r="G5787" s="220" t="s">
        <v>74</v>
      </c>
      <c r="H5787" s="142" t="str" cm="1">
        <f t="array" ref="H5787">IFERROR(INDEX(INVESTOR_LIST[INVESTOR NAME],MATCH(I5787,INVESTOR_LIST[INVESTOR CODE],0),)," ")</f>
        <v>SHUVA SAHA</v>
      </c>
      <c r="I5787" s="142" t="s">
        <v>421</v>
      </c>
      <c r="J5787" s="168" t="s">
        <v>52</v>
      </c>
      <c r="K5787" s="226">
        <v>300000</v>
      </c>
      <c r="L5787" s="226"/>
    </row>
    <row r="5788" spans="1:12" ht="22.5" x14ac:dyDescent="0.2">
      <c r="A5788" s="133">
        <v>2022</v>
      </c>
      <c r="B5788" s="133">
        <v>2</v>
      </c>
      <c r="C5788" s="133">
        <v>3</v>
      </c>
      <c r="D5788" s="141">
        <f t="shared" si="242"/>
        <v>44595</v>
      </c>
      <c r="E5788" s="275">
        <f t="shared" si="243"/>
        <v>44595</v>
      </c>
      <c r="F5788" s="481"/>
      <c r="G5788" s="174" t="s">
        <v>74</v>
      </c>
      <c r="H5788" s="148" t="str" cm="1">
        <f t="array" ref="H5788">IFERROR(INDEX(INVESTOR_LIST[INVESTOR NAME],MATCH(I5788,INVESTOR_LIST[INVESTOR CODE],0),)," ")</f>
        <v>SHUVA SAHA</v>
      </c>
      <c r="I5788" s="148" t="s">
        <v>421</v>
      </c>
      <c r="J5788" s="133" t="s">
        <v>13</v>
      </c>
      <c r="K5788" s="218"/>
      <c r="L5788" s="218">
        <v>240770</v>
      </c>
    </row>
    <row r="5789" spans="1:12" ht="22.5" x14ac:dyDescent="0.2">
      <c r="A5789" s="163">
        <v>2022</v>
      </c>
      <c r="B5789" s="163">
        <v>2</v>
      </c>
      <c r="C5789" s="163">
        <v>3</v>
      </c>
      <c r="D5789" s="141">
        <f t="shared" si="242"/>
        <v>44595</v>
      </c>
      <c r="E5789" s="275">
        <f t="shared" si="243"/>
        <v>44595</v>
      </c>
      <c r="F5789" s="480"/>
      <c r="G5789" s="221" t="s">
        <v>74</v>
      </c>
      <c r="H5789" s="145" t="str" cm="1">
        <f t="array" ref="H5789">IFERROR(INDEX(INVESTOR_LIST[INVESTOR NAME],MATCH(I5789,INVESTOR_LIST[INVESTOR CODE],0),)," ")</f>
        <v>SHUVA SAHA</v>
      </c>
      <c r="I5789" s="145" t="s">
        <v>421</v>
      </c>
      <c r="J5789" s="163" t="s">
        <v>53</v>
      </c>
      <c r="K5789" s="219"/>
      <c r="L5789" s="219">
        <v>59230</v>
      </c>
    </row>
    <row r="5790" spans="1:12" ht="22.5" x14ac:dyDescent="0.2">
      <c r="A5790" s="168">
        <v>2022</v>
      </c>
      <c r="B5790" s="168">
        <v>2</v>
      </c>
      <c r="C5790" s="133">
        <v>3</v>
      </c>
      <c r="D5790" s="141">
        <f t="shared" si="242"/>
        <v>44595</v>
      </c>
      <c r="E5790" s="275">
        <f t="shared" si="243"/>
        <v>44595</v>
      </c>
      <c r="F5790" s="479" t="s">
        <v>964</v>
      </c>
      <c r="G5790" s="220" t="s">
        <v>74</v>
      </c>
      <c r="H5790" s="142" t="str" cm="1">
        <f t="array" ref="H5790">IFERROR(INDEX(INVESTOR_LIST[INVESTOR NAME],MATCH(I5790,INVESTOR_LIST[INVESTOR CODE],0),)," ")</f>
        <v>MINHAJ UDDIN</v>
      </c>
      <c r="I5790" s="142" t="s">
        <v>390</v>
      </c>
      <c r="J5790" s="168" t="s">
        <v>52</v>
      </c>
      <c r="K5790" s="226">
        <v>200000</v>
      </c>
      <c r="L5790" s="226"/>
    </row>
    <row r="5791" spans="1:12" ht="22.5" x14ac:dyDescent="0.2">
      <c r="A5791" s="133">
        <v>2022</v>
      </c>
      <c r="B5791" s="133">
        <v>2</v>
      </c>
      <c r="C5791" s="133">
        <v>3</v>
      </c>
      <c r="D5791" s="141">
        <f t="shared" si="242"/>
        <v>44595</v>
      </c>
      <c r="E5791" s="275">
        <f t="shared" si="243"/>
        <v>44595</v>
      </c>
      <c r="F5791" s="481"/>
      <c r="G5791" s="174" t="s">
        <v>74</v>
      </c>
      <c r="H5791" s="148" t="str" cm="1">
        <f t="array" ref="H5791">IFERROR(INDEX(INVESTOR_LIST[INVESTOR NAME],MATCH(I5791,INVESTOR_LIST[INVESTOR CODE],0),)," ")</f>
        <v>MINHAJ UDDIN</v>
      </c>
      <c r="I5791" s="148" t="s">
        <v>390</v>
      </c>
      <c r="J5791" s="133" t="s">
        <v>13</v>
      </c>
      <c r="K5791" s="218"/>
      <c r="L5791" s="218">
        <v>160510</v>
      </c>
    </row>
    <row r="5792" spans="1:12" ht="22.5" x14ac:dyDescent="0.2">
      <c r="A5792" s="163">
        <v>2022</v>
      </c>
      <c r="B5792" s="163">
        <v>2</v>
      </c>
      <c r="C5792" s="163">
        <v>3</v>
      </c>
      <c r="D5792" s="141">
        <f t="shared" si="242"/>
        <v>44595</v>
      </c>
      <c r="E5792" s="275">
        <f t="shared" si="243"/>
        <v>44595</v>
      </c>
      <c r="F5792" s="480"/>
      <c r="G5792" s="221" t="s">
        <v>74</v>
      </c>
      <c r="H5792" s="145" t="str" cm="1">
        <f t="array" ref="H5792">IFERROR(INDEX(INVESTOR_LIST[INVESTOR NAME],MATCH(I5792,INVESTOR_LIST[INVESTOR CODE],0),)," ")</f>
        <v>MINHAJ UDDIN</v>
      </c>
      <c r="I5792" s="145" t="s">
        <v>390</v>
      </c>
      <c r="J5792" s="163" t="s">
        <v>53</v>
      </c>
      <c r="K5792" s="219"/>
      <c r="L5792" s="219">
        <v>39490</v>
      </c>
    </row>
    <row r="5793" spans="1:14" ht="33.75" x14ac:dyDescent="0.2">
      <c r="A5793" s="168">
        <v>2022</v>
      </c>
      <c r="B5793" s="168">
        <v>2</v>
      </c>
      <c r="C5793" s="133">
        <v>3</v>
      </c>
      <c r="D5793" s="141">
        <f t="shared" si="242"/>
        <v>44595</v>
      </c>
      <c r="E5793" s="275">
        <f t="shared" si="243"/>
        <v>44595</v>
      </c>
      <c r="F5793" s="479" t="s">
        <v>964</v>
      </c>
      <c r="G5793" s="220" t="s">
        <v>74</v>
      </c>
      <c r="H5793" s="142" t="str" cm="1">
        <f t="array" ref="H5793">IFERROR(INDEX(INVESTOR_LIST[INVESTOR NAME],MATCH(I5793,INVESTOR_LIST[INVESTOR CODE],0),)," ")</f>
        <v>MAYA RANI SAHA</v>
      </c>
      <c r="I5793" s="142" t="s">
        <v>456</v>
      </c>
      <c r="J5793" s="168" t="s">
        <v>52</v>
      </c>
      <c r="K5793" s="226">
        <v>500000</v>
      </c>
      <c r="L5793" s="226"/>
    </row>
    <row r="5794" spans="1:14" ht="33.75" x14ac:dyDescent="0.2">
      <c r="A5794" s="133">
        <v>2022</v>
      </c>
      <c r="B5794" s="133">
        <v>2</v>
      </c>
      <c r="C5794" s="133">
        <v>3</v>
      </c>
      <c r="D5794" s="141">
        <f t="shared" si="242"/>
        <v>44595</v>
      </c>
      <c r="E5794" s="275">
        <f t="shared" si="243"/>
        <v>44595</v>
      </c>
      <c r="F5794" s="481"/>
      <c r="G5794" s="174" t="s">
        <v>74</v>
      </c>
      <c r="H5794" s="148" t="str" cm="1">
        <f t="array" ref="H5794">IFERROR(INDEX(INVESTOR_LIST[INVESTOR NAME],MATCH(I5794,INVESTOR_LIST[INVESTOR CODE],0),)," ")</f>
        <v>MAYA RANI SAHA</v>
      </c>
      <c r="I5794" s="148" t="s">
        <v>456</v>
      </c>
      <c r="J5794" s="133" t="s">
        <v>13</v>
      </c>
      <c r="K5794" s="218"/>
      <c r="L5794" s="218">
        <v>401280</v>
      </c>
    </row>
    <row r="5795" spans="1:14" ht="33.75" x14ac:dyDescent="0.2">
      <c r="A5795" s="163">
        <v>2022</v>
      </c>
      <c r="B5795" s="163">
        <v>2</v>
      </c>
      <c r="C5795" s="163">
        <v>3</v>
      </c>
      <c r="D5795" s="141">
        <f t="shared" si="242"/>
        <v>44595</v>
      </c>
      <c r="E5795" s="275">
        <f t="shared" si="243"/>
        <v>44595</v>
      </c>
      <c r="F5795" s="480"/>
      <c r="G5795" s="221" t="s">
        <v>74</v>
      </c>
      <c r="H5795" s="145" t="str" cm="1">
        <f t="array" ref="H5795">IFERROR(INDEX(INVESTOR_LIST[INVESTOR NAME],MATCH(I5795,INVESTOR_LIST[INVESTOR CODE],0),)," ")</f>
        <v>MAYA RANI SAHA</v>
      </c>
      <c r="I5795" s="145" t="s">
        <v>456</v>
      </c>
      <c r="J5795" s="163" t="s">
        <v>53</v>
      </c>
      <c r="K5795" s="219"/>
      <c r="L5795" s="219">
        <v>98720</v>
      </c>
    </row>
    <row r="5796" spans="1:14" ht="22.5" x14ac:dyDescent="0.2">
      <c r="A5796" s="168">
        <v>2022</v>
      </c>
      <c r="B5796" s="168">
        <v>2</v>
      </c>
      <c r="C5796" s="133">
        <v>3</v>
      </c>
      <c r="D5796" s="141">
        <f t="shared" si="242"/>
        <v>44595</v>
      </c>
      <c r="E5796" s="275">
        <f t="shared" si="243"/>
        <v>44595</v>
      </c>
      <c r="F5796" s="479" t="s">
        <v>964</v>
      </c>
      <c r="G5796" s="220" t="s">
        <v>74</v>
      </c>
      <c r="H5796" s="142" t="str" cm="1">
        <f t="array" ref="H5796">IFERROR(INDEX(INVESTOR_LIST[INVESTOR NAME],MATCH(I5796,INVESTOR_LIST[INVESTOR CODE],0),)," ")</f>
        <v>BISHWAJIT BASAK</v>
      </c>
      <c r="I5796" s="142" t="s">
        <v>1037</v>
      </c>
      <c r="J5796" s="168" t="s">
        <v>52</v>
      </c>
      <c r="K5796" s="226">
        <v>600000</v>
      </c>
      <c r="L5796" s="226"/>
    </row>
    <row r="5797" spans="1:14" ht="22.5" x14ac:dyDescent="0.2">
      <c r="A5797" s="133">
        <v>2022</v>
      </c>
      <c r="B5797" s="133">
        <v>2</v>
      </c>
      <c r="C5797" s="133">
        <v>3</v>
      </c>
      <c r="D5797" s="141">
        <f t="shared" si="242"/>
        <v>44595</v>
      </c>
      <c r="E5797" s="275">
        <f t="shared" si="243"/>
        <v>44595</v>
      </c>
      <c r="F5797" s="481"/>
      <c r="G5797" s="174" t="s">
        <v>74</v>
      </c>
      <c r="H5797" s="148" t="str" cm="1">
        <f t="array" ref="H5797">IFERROR(INDEX(INVESTOR_LIST[INVESTOR NAME],MATCH(I5797,INVESTOR_LIST[INVESTOR CODE],0),)," ")</f>
        <v>BISHWAJIT BASAK</v>
      </c>
      <c r="I5797" s="148" t="s">
        <v>1037</v>
      </c>
      <c r="J5797" s="133" t="s">
        <v>13</v>
      </c>
      <c r="K5797" s="218"/>
      <c r="L5797" s="218">
        <v>481540</v>
      </c>
    </row>
    <row r="5798" spans="1:14" ht="22.5" x14ac:dyDescent="0.2">
      <c r="A5798" s="163">
        <v>2022</v>
      </c>
      <c r="B5798" s="163">
        <v>2</v>
      </c>
      <c r="C5798" s="163">
        <v>3</v>
      </c>
      <c r="D5798" s="141">
        <f t="shared" si="242"/>
        <v>44595</v>
      </c>
      <c r="E5798" s="275">
        <f t="shared" si="243"/>
        <v>44595</v>
      </c>
      <c r="F5798" s="480"/>
      <c r="G5798" s="221" t="s">
        <v>74</v>
      </c>
      <c r="H5798" s="145" t="str" cm="1">
        <f t="array" ref="H5798">IFERROR(INDEX(INVESTOR_LIST[INVESTOR NAME],MATCH(I5798,INVESTOR_LIST[INVESTOR CODE],0),)," ")</f>
        <v>BISHWAJIT BASAK</v>
      </c>
      <c r="I5798" s="145" t="s">
        <v>1037</v>
      </c>
      <c r="J5798" s="163" t="s">
        <v>53</v>
      </c>
      <c r="K5798" s="219"/>
      <c r="L5798" s="219">
        <v>118460</v>
      </c>
    </row>
    <row r="5799" spans="1:14" ht="22.5" x14ac:dyDescent="0.2">
      <c r="A5799" s="168">
        <v>2022</v>
      </c>
      <c r="B5799" s="168">
        <v>2</v>
      </c>
      <c r="C5799" s="133">
        <v>3</v>
      </c>
      <c r="D5799" s="141">
        <f t="shared" si="242"/>
        <v>44595</v>
      </c>
      <c r="E5799" s="275">
        <f t="shared" si="243"/>
        <v>44595</v>
      </c>
      <c r="F5799" s="479" t="s">
        <v>964</v>
      </c>
      <c r="G5799" s="220" t="s">
        <v>74</v>
      </c>
      <c r="H5799" s="142" t="str" cm="1">
        <f t="array" ref="H5799">IFERROR(INDEX(INVESTOR_LIST[INVESTOR NAME],MATCH(I5799,INVESTOR_LIST[INVESTOR CODE],0),)," ")</f>
        <v>MOUMITA ROY</v>
      </c>
      <c r="I5799" s="142" t="s">
        <v>945</v>
      </c>
      <c r="J5799" s="168" t="s">
        <v>52</v>
      </c>
      <c r="K5799" s="226">
        <v>100000</v>
      </c>
      <c r="L5799" s="226"/>
    </row>
    <row r="5800" spans="1:14" ht="22.5" x14ac:dyDescent="0.2">
      <c r="A5800" s="133">
        <v>2022</v>
      </c>
      <c r="B5800" s="133">
        <v>2</v>
      </c>
      <c r="C5800" s="133">
        <v>3</v>
      </c>
      <c r="D5800" s="141">
        <f t="shared" si="242"/>
        <v>44595</v>
      </c>
      <c r="E5800" s="275">
        <f t="shared" si="243"/>
        <v>44595</v>
      </c>
      <c r="F5800" s="481"/>
      <c r="G5800" s="174" t="s">
        <v>74</v>
      </c>
      <c r="H5800" s="148" t="str" cm="1">
        <f t="array" ref="H5800">IFERROR(INDEX(INVESTOR_LIST[INVESTOR NAME],MATCH(I5800,INVESTOR_LIST[INVESTOR CODE],0),)," ")</f>
        <v>MOUMITA ROY</v>
      </c>
      <c r="I5800" s="148" t="s">
        <v>945</v>
      </c>
      <c r="J5800" s="133" t="s">
        <v>13</v>
      </c>
      <c r="K5800" s="218"/>
      <c r="L5800" s="218">
        <v>80250</v>
      </c>
    </row>
    <row r="5801" spans="1:14" ht="22.5" x14ac:dyDescent="0.2">
      <c r="A5801" s="163">
        <v>2022</v>
      </c>
      <c r="B5801" s="163">
        <v>2</v>
      </c>
      <c r="C5801" s="163">
        <v>3</v>
      </c>
      <c r="D5801" s="141">
        <f t="shared" si="242"/>
        <v>44595</v>
      </c>
      <c r="E5801" s="275">
        <f t="shared" si="243"/>
        <v>44595</v>
      </c>
      <c r="F5801" s="480"/>
      <c r="G5801" s="221" t="s">
        <v>74</v>
      </c>
      <c r="H5801" s="145" t="str" cm="1">
        <f t="array" ref="H5801">IFERROR(INDEX(INVESTOR_LIST[INVESTOR NAME],MATCH(I5801,INVESTOR_LIST[INVESTOR CODE],0),)," ")</f>
        <v>MOUMITA ROY</v>
      </c>
      <c r="I5801" s="145" t="s">
        <v>945</v>
      </c>
      <c r="J5801" s="163" t="s">
        <v>53</v>
      </c>
      <c r="K5801" s="219"/>
      <c r="L5801" s="219">
        <v>19750</v>
      </c>
    </row>
    <row r="5802" spans="1:14" ht="22.5" x14ac:dyDescent="0.2">
      <c r="A5802" s="168">
        <v>2022</v>
      </c>
      <c r="B5802" s="168">
        <v>2</v>
      </c>
      <c r="C5802" s="133">
        <v>3</v>
      </c>
      <c r="D5802" s="141">
        <f t="shared" si="242"/>
        <v>44595</v>
      </c>
      <c r="E5802" s="275">
        <f t="shared" si="243"/>
        <v>44595</v>
      </c>
      <c r="F5802" s="479" t="s">
        <v>964</v>
      </c>
      <c r="G5802" s="220" t="s">
        <v>74</v>
      </c>
      <c r="H5802" s="142" t="str" cm="1">
        <f t="array" ref="H5802">IFERROR(INDEX(INVESTOR_LIST[INVESTOR NAME],MATCH(I5802,INVESTOR_LIST[INVESTOR CODE],0),)," ")</f>
        <v>NANDINI SAHA</v>
      </c>
      <c r="I5802" s="142" t="s">
        <v>463</v>
      </c>
      <c r="J5802" s="168" t="s">
        <v>52</v>
      </c>
      <c r="K5802" s="226">
        <v>400000</v>
      </c>
      <c r="L5802" s="226"/>
    </row>
    <row r="5803" spans="1:14" ht="22.5" x14ac:dyDescent="0.2">
      <c r="A5803" s="133">
        <v>2022</v>
      </c>
      <c r="B5803" s="133">
        <v>2</v>
      </c>
      <c r="C5803" s="133">
        <v>3</v>
      </c>
      <c r="D5803" s="141">
        <f t="shared" si="242"/>
        <v>44595</v>
      </c>
      <c r="E5803" s="275">
        <f t="shared" si="243"/>
        <v>44595</v>
      </c>
      <c r="F5803" s="481"/>
      <c r="G5803" s="174" t="s">
        <v>74</v>
      </c>
      <c r="H5803" s="148" t="str" cm="1">
        <f t="array" ref="H5803">IFERROR(INDEX(INVESTOR_LIST[INVESTOR NAME],MATCH(I5803,INVESTOR_LIST[INVESTOR CODE],0),)," ")</f>
        <v>NANDINI SAHA</v>
      </c>
      <c r="I5803" s="148" t="s">
        <v>463</v>
      </c>
      <c r="J5803" s="133" t="s">
        <v>13</v>
      </c>
      <c r="K5803" s="218"/>
      <c r="L5803" s="218">
        <v>321030</v>
      </c>
    </row>
    <row r="5804" spans="1:14" ht="22.5" x14ac:dyDescent="0.2">
      <c r="A5804" s="163">
        <v>2022</v>
      </c>
      <c r="B5804" s="163">
        <v>2</v>
      </c>
      <c r="C5804" s="163">
        <v>3</v>
      </c>
      <c r="D5804" s="141">
        <f t="shared" si="242"/>
        <v>44595</v>
      </c>
      <c r="E5804" s="275">
        <f t="shared" si="243"/>
        <v>44595</v>
      </c>
      <c r="F5804" s="480"/>
      <c r="G5804" s="221" t="s">
        <v>74</v>
      </c>
      <c r="H5804" s="145" t="str" cm="1">
        <f t="array" ref="H5804">IFERROR(INDEX(INVESTOR_LIST[INVESTOR NAME],MATCH(I5804,INVESTOR_LIST[INVESTOR CODE],0),)," ")</f>
        <v>NANDINI SAHA</v>
      </c>
      <c r="I5804" s="145" t="s">
        <v>463</v>
      </c>
      <c r="J5804" s="163" t="s">
        <v>53</v>
      </c>
      <c r="K5804" s="219"/>
      <c r="L5804" s="219">
        <v>78970</v>
      </c>
    </row>
    <row r="5805" spans="1:14" x14ac:dyDescent="0.2">
      <c r="A5805" s="133">
        <v>2022</v>
      </c>
      <c r="B5805" s="133">
        <v>2</v>
      </c>
      <c r="C5805" s="133">
        <v>3</v>
      </c>
      <c r="D5805" s="141">
        <f t="shared" si="242"/>
        <v>44595</v>
      </c>
      <c r="E5805" s="275">
        <f t="shared" si="243"/>
        <v>44595</v>
      </c>
      <c r="F5805" s="479" t="s">
        <v>77</v>
      </c>
      <c r="G5805" s="174" t="s">
        <v>74</v>
      </c>
      <c r="H5805" s="148" t="str" cm="1">
        <f t="array" ref="H5805">IFERROR(INDEX(INVESTOR_LIST[INVESTOR NAME],MATCH(I5805,INVESTOR_LIST[INVESTOR CODE],0),)," ")</f>
        <v xml:space="preserve"> </v>
      </c>
      <c r="I5805" s="148" t="s">
        <v>348</v>
      </c>
      <c r="J5805" s="133" t="s">
        <v>61</v>
      </c>
      <c r="K5805" s="172">
        <v>60</v>
      </c>
    </row>
    <row r="5806" spans="1:14" x14ac:dyDescent="0.2">
      <c r="A5806" s="163">
        <v>2022</v>
      </c>
      <c r="B5806" s="163">
        <v>2</v>
      </c>
      <c r="C5806" s="163">
        <v>3</v>
      </c>
      <c r="D5806" s="141">
        <f t="shared" si="242"/>
        <v>44595</v>
      </c>
      <c r="E5806" s="275">
        <f t="shared" si="243"/>
        <v>44595</v>
      </c>
      <c r="F5806" s="480"/>
      <c r="G5806" s="221" t="s">
        <v>74</v>
      </c>
      <c r="H5806" s="145" t="str" cm="1">
        <f t="array" ref="H5806">IFERROR(INDEX(INVESTOR_LIST[INVESTOR NAME],MATCH(I5806,INVESTOR_LIST[INVESTOR CODE],0),)," ")</f>
        <v xml:space="preserve"> </v>
      </c>
      <c r="I5806" s="145" t="s">
        <v>348</v>
      </c>
      <c r="J5806" s="163" t="s">
        <v>52</v>
      </c>
      <c r="K5806" s="219"/>
      <c r="L5806" s="219">
        <v>60</v>
      </c>
      <c r="N5806" s="160"/>
    </row>
    <row r="5807" spans="1:14" x14ac:dyDescent="0.2">
      <c r="A5807" s="133">
        <v>2022</v>
      </c>
      <c r="B5807" s="133">
        <v>2</v>
      </c>
      <c r="C5807" s="133">
        <v>3</v>
      </c>
      <c r="D5807" s="141">
        <f t="shared" si="242"/>
        <v>44595</v>
      </c>
      <c r="E5807" s="275">
        <f t="shared" si="243"/>
        <v>44595</v>
      </c>
      <c r="F5807" s="479" t="s">
        <v>77</v>
      </c>
      <c r="G5807" s="174" t="s">
        <v>74</v>
      </c>
      <c r="H5807" s="148" t="str" cm="1">
        <f t="array" ref="H5807">IFERROR(INDEX(INVESTOR_LIST[INVESTOR NAME],MATCH(I5807,INVESTOR_LIST[INVESTOR CODE],0),)," ")</f>
        <v xml:space="preserve"> </v>
      </c>
      <c r="I5807" s="148" t="s">
        <v>348</v>
      </c>
      <c r="J5807" s="133" t="s">
        <v>61</v>
      </c>
      <c r="K5807" s="172">
        <v>60</v>
      </c>
    </row>
    <row r="5808" spans="1:14" x14ac:dyDescent="0.2">
      <c r="A5808" s="163">
        <v>2022</v>
      </c>
      <c r="B5808" s="163">
        <v>2</v>
      </c>
      <c r="C5808" s="163">
        <v>3</v>
      </c>
      <c r="D5808" s="141">
        <f t="shared" si="242"/>
        <v>44595</v>
      </c>
      <c r="E5808" s="275">
        <f t="shared" si="243"/>
        <v>44595</v>
      </c>
      <c r="F5808" s="480"/>
      <c r="G5808" s="221" t="s">
        <v>74</v>
      </c>
      <c r="H5808" s="145" t="str" cm="1">
        <f t="array" ref="H5808">IFERROR(INDEX(INVESTOR_LIST[INVESTOR NAME],MATCH(I5808,INVESTOR_LIST[INVESTOR CODE],0),)," ")</f>
        <v xml:space="preserve"> </v>
      </c>
      <c r="I5808" s="145" t="s">
        <v>348</v>
      </c>
      <c r="J5808" s="163" t="s">
        <v>52</v>
      </c>
      <c r="K5808" s="219"/>
      <c r="L5808" s="219">
        <v>60</v>
      </c>
    </row>
    <row r="5809" spans="1:13" x14ac:dyDescent="0.2">
      <c r="A5809" s="133">
        <v>2022</v>
      </c>
      <c r="B5809" s="133">
        <v>2</v>
      </c>
      <c r="C5809" s="133">
        <v>3</v>
      </c>
      <c r="D5809" s="141">
        <f t="shared" si="242"/>
        <v>44595</v>
      </c>
      <c r="E5809" s="275">
        <f t="shared" si="243"/>
        <v>44595</v>
      </c>
      <c r="F5809" s="479" t="s">
        <v>77</v>
      </c>
      <c r="G5809" s="174" t="s">
        <v>74</v>
      </c>
      <c r="H5809" s="148" t="str" cm="1">
        <f t="array" ref="H5809">IFERROR(INDEX(INVESTOR_LIST[INVESTOR NAME],MATCH(I5809,INVESTOR_LIST[INVESTOR CODE],0),)," ")</f>
        <v xml:space="preserve"> </v>
      </c>
      <c r="I5809" s="148" t="s">
        <v>348</v>
      </c>
      <c r="J5809" s="133" t="s">
        <v>61</v>
      </c>
      <c r="K5809" s="172">
        <v>10</v>
      </c>
    </row>
    <row r="5810" spans="1:13" x14ac:dyDescent="0.2">
      <c r="A5810" s="163">
        <v>2022</v>
      </c>
      <c r="B5810" s="163">
        <v>2</v>
      </c>
      <c r="C5810" s="163">
        <v>3</v>
      </c>
      <c r="D5810" s="141">
        <f t="shared" si="242"/>
        <v>44595</v>
      </c>
      <c r="E5810" s="275">
        <f t="shared" si="243"/>
        <v>44595</v>
      </c>
      <c r="F5810" s="480"/>
      <c r="G5810" s="221" t="s">
        <v>74</v>
      </c>
      <c r="H5810" s="145" t="str" cm="1">
        <f t="array" ref="H5810">IFERROR(INDEX(INVESTOR_LIST[INVESTOR NAME],MATCH(I5810,INVESTOR_LIST[INVESTOR CODE],0),)," ")</f>
        <v xml:space="preserve"> </v>
      </c>
      <c r="I5810" s="145" t="s">
        <v>348</v>
      </c>
      <c r="J5810" s="163" t="s">
        <v>52</v>
      </c>
      <c r="K5810" s="219"/>
      <c r="L5810" s="219">
        <v>10</v>
      </c>
    </row>
    <row r="5811" spans="1:13" x14ac:dyDescent="0.2">
      <c r="A5811" s="133">
        <v>2022</v>
      </c>
      <c r="B5811" s="133">
        <v>2</v>
      </c>
      <c r="C5811" s="133">
        <v>3</v>
      </c>
      <c r="D5811" s="141">
        <f t="shared" si="242"/>
        <v>44595</v>
      </c>
      <c r="E5811" s="275">
        <f t="shared" si="243"/>
        <v>44595</v>
      </c>
      <c r="F5811" s="479" t="s">
        <v>77</v>
      </c>
      <c r="G5811" s="174" t="s">
        <v>74</v>
      </c>
      <c r="H5811" s="148" t="str" cm="1">
        <f t="array" ref="H5811">IFERROR(INDEX(INVESTOR_LIST[INVESTOR NAME],MATCH(I5811,INVESTOR_LIST[INVESTOR CODE],0),)," ")</f>
        <v xml:space="preserve"> </v>
      </c>
      <c r="I5811" s="148" t="s">
        <v>348</v>
      </c>
      <c r="J5811" s="133" t="s">
        <v>61</v>
      </c>
      <c r="K5811" s="172">
        <v>10</v>
      </c>
      <c r="M5811" s="160"/>
    </row>
    <row r="5812" spans="1:13" x14ac:dyDescent="0.2">
      <c r="A5812" s="163">
        <v>2022</v>
      </c>
      <c r="B5812" s="163">
        <v>2</v>
      </c>
      <c r="C5812" s="163">
        <v>3</v>
      </c>
      <c r="D5812" s="141">
        <f t="shared" si="242"/>
        <v>44595</v>
      </c>
      <c r="E5812" s="275">
        <f t="shared" si="243"/>
        <v>44595</v>
      </c>
      <c r="F5812" s="480"/>
      <c r="G5812" s="221" t="s">
        <v>74</v>
      </c>
      <c r="H5812" s="145" t="str" cm="1">
        <f t="array" ref="H5812">IFERROR(INDEX(INVESTOR_LIST[INVESTOR NAME],MATCH(I5812,INVESTOR_LIST[INVESTOR CODE],0),)," ")</f>
        <v xml:space="preserve"> </v>
      </c>
      <c r="I5812" s="145" t="s">
        <v>348</v>
      </c>
      <c r="J5812" s="163" t="s">
        <v>52</v>
      </c>
      <c r="K5812" s="219"/>
      <c r="L5812" s="219">
        <v>10</v>
      </c>
    </row>
    <row r="5813" spans="1:13" x14ac:dyDescent="0.2">
      <c r="A5813" s="168">
        <v>2022</v>
      </c>
      <c r="B5813" s="168">
        <v>2</v>
      </c>
      <c r="C5813" s="168">
        <v>3</v>
      </c>
      <c r="D5813" s="141">
        <f t="shared" si="242"/>
        <v>44595</v>
      </c>
      <c r="E5813" s="275">
        <f t="shared" si="243"/>
        <v>44595</v>
      </c>
      <c r="F5813" s="479" t="s">
        <v>981</v>
      </c>
      <c r="G5813" s="220" t="s">
        <v>74</v>
      </c>
      <c r="H5813" s="220" t="str" cm="1">
        <f t="array" ref="H5813">IFERROR(INDEX(INVESTOR_LIST[INVESTOR NAME],MATCH(I5813,INVESTOR_LIST[INVESTOR CODE],0),)," ")</f>
        <v xml:space="preserve"> </v>
      </c>
      <c r="I5813" s="142" t="s">
        <v>348</v>
      </c>
      <c r="J5813" s="143" t="s">
        <v>52</v>
      </c>
      <c r="K5813" s="226">
        <v>2186058</v>
      </c>
      <c r="L5813" s="226"/>
    </row>
    <row r="5814" spans="1:13" x14ac:dyDescent="0.2">
      <c r="A5814" s="163">
        <v>2022</v>
      </c>
      <c r="B5814" s="163">
        <v>2</v>
      </c>
      <c r="C5814" s="163">
        <v>3</v>
      </c>
      <c r="D5814" s="141">
        <f t="shared" si="242"/>
        <v>44595</v>
      </c>
      <c r="E5814" s="275">
        <f t="shared" si="243"/>
        <v>44595</v>
      </c>
      <c r="F5814" s="480"/>
      <c r="G5814" s="221" t="s">
        <v>74</v>
      </c>
      <c r="H5814" s="221" t="str" cm="1">
        <f t="array" ref="H5814">IFERROR(INDEX(INVESTOR_LIST[INVESTOR NAME],MATCH(I5814,INVESTOR_LIST[INVESTOR CODE],0),)," ")</f>
        <v xml:space="preserve"> </v>
      </c>
      <c r="I5814" s="145" t="s">
        <v>348</v>
      </c>
      <c r="J5814" s="146" t="s">
        <v>190</v>
      </c>
      <c r="K5814" s="219"/>
      <c r="L5814" s="219">
        <v>2186058</v>
      </c>
    </row>
    <row r="5815" spans="1:13" x14ac:dyDescent="0.2">
      <c r="A5815" s="238">
        <v>2022</v>
      </c>
      <c r="B5815" s="238">
        <v>2</v>
      </c>
      <c r="C5815" s="238">
        <v>3</v>
      </c>
      <c r="D5815" s="270">
        <f t="shared" si="242"/>
        <v>44595</v>
      </c>
      <c r="E5815" s="279">
        <f t="shared" si="243"/>
        <v>44595</v>
      </c>
      <c r="F5815" s="477" t="s">
        <v>347</v>
      </c>
      <c r="G5815" s="239" t="s">
        <v>94</v>
      </c>
      <c r="H5815" s="239" t="str" cm="1">
        <f t="array" ref="H5815">IFERROR(INDEX(INVESTOR_LIST[INVESTOR NAME],MATCH(I5815,INVESTOR_LIST[INVESTOR CODE],0),)," ")</f>
        <v xml:space="preserve"> </v>
      </c>
      <c r="I5815" s="262" t="s">
        <v>348</v>
      </c>
      <c r="J5815" s="240" t="s">
        <v>108</v>
      </c>
      <c r="K5815" s="241">
        <v>1182863.1299999654</v>
      </c>
      <c r="L5815" s="241"/>
    </row>
    <row r="5816" spans="1:13" x14ac:dyDescent="0.2">
      <c r="A5816" s="242">
        <v>2022</v>
      </c>
      <c r="B5816" s="242">
        <v>2</v>
      </c>
      <c r="C5816" s="242">
        <v>3</v>
      </c>
      <c r="D5816" s="270">
        <f t="shared" si="242"/>
        <v>44595</v>
      </c>
      <c r="E5816" s="279">
        <f t="shared" si="243"/>
        <v>44595</v>
      </c>
      <c r="F5816" s="478"/>
      <c r="G5816" s="243" t="s">
        <v>94</v>
      </c>
      <c r="H5816" s="243" t="str" cm="1">
        <f t="array" ref="H5816">IFERROR(INDEX(INVESTOR_LIST[INVESTOR NAME],MATCH(I5816,INVESTOR_LIST[INVESTOR CODE],0),)," ")</f>
        <v xml:space="preserve"> </v>
      </c>
      <c r="I5816" s="263" t="s">
        <v>348</v>
      </c>
      <c r="J5816" s="244" t="s">
        <v>82</v>
      </c>
      <c r="K5816" s="245"/>
      <c r="L5816" s="245">
        <v>1182863.1299999654</v>
      </c>
    </row>
    <row r="5817" spans="1:13" ht="22.5" x14ac:dyDescent="0.2">
      <c r="A5817" s="246">
        <v>2022</v>
      </c>
      <c r="B5817" s="246">
        <v>2</v>
      </c>
      <c r="C5817" s="246">
        <v>3</v>
      </c>
      <c r="D5817" s="270">
        <f t="shared" si="242"/>
        <v>44595</v>
      </c>
      <c r="E5817" s="279">
        <f t="shared" si="243"/>
        <v>44595</v>
      </c>
      <c r="F5817" s="482" t="s">
        <v>148</v>
      </c>
      <c r="G5817" s="247" t="s">
        <v>94</v>
      </c>
      <c r="H5817" s="247" t="str" cm="1">
        <f t="array" ref="H5817">IFERROR(INDEX(INVESTOR_LIST[INVESTOR NAME],MATCH(I5817,INVESTOR_LIST[INVESTOR CODE],0),)," ")</f>
        <v xml:space="preserve"> </v>
      </c>
      <c r="I5817" s="248" t="s">
        <v>348</v>
      </c>
      <c r="J5817" s="249" t="s">
        <v>95</v>
      </c>
      <c r="K5817" s="250">
        <v>2747.2527472527472</v>
      </c>
      <c r="L5817" s="241"/>
    </row>
    <row r="5818" spans="1:13" x14ac:dyDescent="0.2">
      <c r="A5818" s="242">
        <v>2022</v>
      </c>
      <c r="B5818" s="242">
        <v>2</v>
      </c>
      <c r="C5818" s="242">
        <v>3</v>
      </c>
      <c r="D5818" s="270">
        <f t="shared" si="242"/>
        <v>44595</v>
      </c>
      <c r="E5818" s="279">
        <f t="shared" si="243"/>
        <v>44595</v>
      </c>
      <c r="F5818" s="478"/>
      <c r="G5818" s="243" t="s">
        <v>94</v>
      </c>
      <c r="H5818" s="243" t="str" cm="1">
        <f t="array" ref="H5818">IFERROR(INDEX(INVESTOR_LIST[INVESTOR NAME],MATCH(I5818,INVESTOR_LIST[INVESTOR CODE],0),)," ")</f>
        <v xml:space="preserve"> </v>
      </c>
      <c r="I5818" s="263" t="s">
        <v>348</v>
      </c>
      <c r="J5818" s="244" t="s">
        <v>63</v>
      </c>
      <c r="K5818" s="245"/>
      <c r="L5818" s="245">
        <v>2747.2527472527472</v>
      </c>
    </row>
    <row r="5819" spans="1:13" x14ac:dyDescent="0.2">
      <c r="A5819" s="246">
        <v>2022</v>
      </c>
      <c r="B5819" s="246">
        <v>2</v>
      </c>
      <c r="C5819" s="246">
        <v>3</v>
      </c>
      <c r="D5819" s="270">
        <f t="shared" si="242"/>
        <v>44595</v>
      </c>
      <c r="E5819" s="279">
        <f t="shared" si="243"/>
        <v>44595</v>
      </c>
      <c r="F5819" s="482" t="s">
        <v>137</v>
      </c>
      <c r="G5819" s="247" t="s">
        <v>94</v>
      </c>
      <c r="H5819" s="247" t="str" cm="1">
        <f t="array" ref="H5819">IFERROR(INDEX(INVESTOR_LIST[INVESTOR NAME],MATCH(I5819,INVESTOR_LIST[INVESTOR CODE],0),)," ")</f>
        <v xml:space="preserve"> </v>
      </c>
      <c r="I5819" s="248" t="s">
        <v>348</v>
      </c>
      <c r="J5819" s="249" t="s">
        <v>97</v>
      </c>
      <c r="K5819" s="250">
        <v>79938.636193109312</v>
      </c>
      <c r="L5819" s="252"/>
    </row>
    <row r="5820" spans="1:13" x14ac:dyDescent="0.2">
      <c r="A5820" s="242">
        <v>2022</v>
      </c>
      <c r="B5820" s="242">
        <v>2</v>
      </c>
      <c r="C5820" s="242">
        <v>3</v>
      </c>
      <c r="D5820" s="270">
        <f t="shared" si="242"/>
        <v>44595</v>
      </c>
      <c r="E5820" s="279">
        <f t="shared" si="243"/>
        <v>44595</v>
      </c>
      <c r="F5820" s="478"/>
      <c r="G5820" s="243" t="s">
        <v>94</v>
      </c>
      <c r="H5820" s="243" t="str" cm="1">
        <f t="array" ref="H5820">IFERROR(INDEX(INVESTOR_LIST[INVESTOR NAME],MATCH(I5820,INVESTOR_LIST[INVESTOR CODE],0),)," ")</f>
        <v xml:space="preserve"> </v>
      </c>
      <c r="I5820" s="263" t="s">
        <v>348</v>
      </c>
      <c r="J5820" s="244" t="s">
        <v>47</v>
      </c>
      <c r="K5820" s="245"/>
      <c r="L5820" s="245">
        <v>79938.636193109312</v>
      </c>
    </row>
    <row r="5821" spans="1:13" x14ac:dyDescent="0.2">
      <c r="A5821" s="246">
        <v>2022</v>
      </c>
      <c r="B5821" s="246">
        <v>2</v>
      </c>
      <c r="C5821" s="246">
        <v>3</v>
      </c>
      <c r="D5821" s="270">
        <f t="shared" si="242"/>
        <v>44595</v>
      </c>
      <c r="E5821" s="279">
        <f t="shared" si="243"/>
        <v>44595</v>
      </c>
      <c r="F5821" s="482" t="s">
        <v>138</v>
      </c>
      <c r="G5821" s="247" t="s">
        <v>94</v>
      </c>
      <c r="H5821" s="247" t="str" cm="1">
        <f t="array" ref="H5821">IFERROR(INDEX(INVESTOR_LIST[INVESTOR NAME],MATCH(I5821,INVESTOR_LIST[INVESTOR CODE],0),)," ")</f>
        <v xml:space="preserve"> </v>
      </c>
      <c r="I5821" s="248" t="s">
        <v>348</v>
      </c>
      <c r="J5821" s="249" t="s">
        <v>100</v>
      </c>
      <c r="K5821" s="250">
        <v>3756.5471942708505</v>
      </c>
      <c r="L5821" s="252"/>
    </row>
    <row r="5822" spans="1:13" x14ac:dyDescent="0.2">
      <c r="A5822" s="242">
        <v>2022</v>
      </c>
      <c r="B5822" s="242">
        <v>2</v>
      </c>
      <c r="C5822" s="242">
        <v>3</v>
      </c>
      <c r="D5822" s="270">
        <f t="shared" si="242"/>
        <v>44595</v>
      </c>
      <c r="E5822" s="279">
        <f t="shared" si="243"/>
        <v>44595</v>
      </c>
      <c r="F5822" s="478"/>
      <c r="G5822" s="243" t="s">
        <v>94</v>
      </c>
      <c r="H5822" s="243" t="str" cm="1">
        <f t="array" ref="H5822">IFERROR(INDEX(INVESTOR_LIST[INVESTOR NAME],MATCH(I5822,INVESTOR_LIST[INVESTOR CODE],0),)," ")</f>
        <v xml:space="preserve"> </v>
      </c>
      <c r="I5822" s="263" t="s">
        <v>348</v>
      </c>
      <c r="J5822" s="244" t="s">
        <v>48</v>
      </c>
      <c r="K5822" s="245"/>
      <c r="L5822" s="245">
        <v>3756.5471942708505</v>
      </c>
    </row>
    <row r="5823" spans="1:13" ht="45" x14ac:dyDescent="0.2">
      <c r="A5823" s="168">
        <v>2022</v>
      </c>
      <c r="B5823" s="168">
        <v>2</v>
      </c>
      <c r="C5823" s="133">
        <v>6</v>
      </c>
      <c r="D5823" s="141">
        <f t="shared" ref="D5823:D5830" si="244">DATE(A5823,B5823,C5823)</f>
        <v>44598</v>
      </c>
      <c r="E5823" s="275">
        <f t="shared" ref="E5823:E5830" si="245">DATE(A5823,B5823,C5823)</f>
        <v>44598</v>
      </c>
      <c r="F5823" s="479" t="s">
        <v>964</v>
      </c>
      <c r="G5823" s="220" t="s">
        <v>74</v>
      </c>
      <c r="H5823" s="142" t="str" cm="1">
        <f t="array" ref="H5823">IFERROR(INDEX(INVESTOR_LIST[INVESTOR NAME],MATCH(I5823,INVESTOR_LIST[INVESTOR CODE],0),)," ")</f>
        <v>SUMAIYA CHOWDHURY RUPTY</v>
      </c>
      <c r="I5823" s="142" t="s">
        <v>853</v>
      </c>
      <c r="J5823" s="168" t="s">
        <v>52</v>
      </c>
      <c r="K5823" s="226">
        <v>100000</v>
      </c>
      <c r="L5823" s="226"/>
      <c r="M5823" s="160"/>
    </row>
    <row r="5824" spans="1:13" ht="45" x14ac:dyDescent="0.2">
      <c r="A5824" s="133">
        <v>2022</v>
      </c>
      <c r="B5824" s="133">
        <v>2</v>
      </c>
      <c r="C5824" s="133">
        <v>6</v>
      </c>
      <c r="D5824" s="141">
        <f t="shared" si="244"/>
        <v>44598</v>
      </c>
      <c r="E5824" s="275">
        <f t="shared" si="245"/>
        <v>44598</v>
      </c>
      <c r="F5824" s="481"/>
      <c r="G5824" s="174" t="s">
        <v>74</v>
      </c>
      <c r="H5824" s="148" t="str" cm="1">
        <f t="array" ref="H5824">IFERROR(INDEX(INVESTOR_LIST[INVESTOR NAME],MATCH(I5824,INVESTOR_LIST[INVESTOR CODE],0),)," ")</f>
        <v>SUMAIYA CHOWDHURY RUPTY</v>
      </c>
      <c r="I5824" s="148" t="s">
        <v>853</v>
      </c>
      <c r="J5824" s="133" t="s">
        <v>13</v>
      </c>
      <c r="K5824" s="218"/>
      <c r="L5824" s="218">
        <v>79490</v>
      </c>
    </row>
    <row r="5825" spans="1:13" ht="45" x14ac:dyDescent="0.2">
      <c r="A5825" s="163">
        <v>2022</v>
      </c>
      <c r="B5825" s="163">
        <v>2</v>
      </c>
      <c r="C5825" s="163">
        <v>6</v>
      </c>
      <c r="D5825" s="141">
        <f t="shared" si="244"/>
        <v>44598</v>
      </c>
      <c r="E5825" s="275">
        <f t="shared" si="245"/>
        <v>44598</v>
      </c>
      <c r="F5825" s="480"/>
      <c r="G5825" s="221" t="s">
        <v>74</v>
      </c>
      <c r="H5825" s="145" t="str" cm="1">
        <f t="array" ref="H5825">IFERROR(INDEX(INVESTOR_LIST[INVESTOR NAME],MATCH(I5825,INVESTOR_LIST[INVESTOR CODE],0),)," ")</f>
        <v>SUMAIYA CHOWDHURY RUPTY</v>
      </c>
      <c r="I5825" s="145" t="s">
        <v>853</v>
      </c>
      <c r="J5825" s="163" t="s">
        <v>53</v>
      </c>
      <c r="K5825" s="219"/>
      <c r="L5825" s="219">
        <v>20510</v>
      </c>
    </row>
    <row r="5826" spans="1:13" x14ac:dyDescent="0.2">
      <c r="A5826" s="168">
        <v>2022</v>
      </c>
      <c r="B5826" s="168">
        <v>2</v>
      </c>
      <c r="C5826" s="133">
        <v>6</v>
      </c>
      <c r="D5826" s="141">
        <f t="shared" si="244"/>
        <v>44598</v>
      </c>
      <c r="E5826" s="275">
        <f t="shared" si="245"/>
        <v>44598</v>
      </c>
      <c r="F5826" s="479" t="s">
        <v>1051</v>
      </c>
      <c r="G5826" s="220" t="s">
        <v>74</v>
      </c>
      <c r="H5826" s="142" t="str" cm="1">
        <f t="array" ref="H5826">IFERROR(INDEX(INVESTOR_LIST[INVESTOR NAME],MATCH(I5826,INVESTOR_LIST[INVESTOR CODE],0),)," ")</f>
        <v xml:space="preserve"> </v>
      </c>
      <c r="I5826" s="142"/>
      <c r="J5826" s="168" t="s">
        <v>358</v>
      </c>
      <c r="K5826" s="226">
        <v>233404.6</v>
      </c>
      <c r="L5826" s="226"/>
      <c r="M5826" s="160"/>
    </row>
    <row r="5827" spans="1:13" x14ac:dyDescent="0.2">
      <c r="A5827" s="133">
        <v>2022</v>
      </c>
      <c r="B5827" s="133">
        <v>2</v>
      </c>
      <c r="C5827" s="133">
        <v>6</v>
      </c>
      <c r="D5827" s="141">
        <f t="shared" si="244"/>
        <v>44598</v>
      </c>
      <c r="E5827" s="275">
        <f t="shared" si="245"/>
        <v>44598</v>
      </c>
      <c r="F5827" s="481"/>
      <c r="G5827" s="174" t="s">
        <v>74</v>
      </c>
      <c r="H5827" s="148" t="str" cm="1">
        <f t="array" ref="H5827">IFERROR(INDEX(INVESTOR_LIST[INVESTOR NAME],MATCH(I5827,INVESTOR_LIST[INVESTOR CODE],0),)," ")</f>
        <v xml:space="preserve"> </v>
      </c>
      <c r="J5827" s="133" t="s">
        <v>534</v>
      </c>
      <c r="K5827" s="218"/>
      <c r="L5827" s="218">
        <v>20840.460000000003</v>
      </c>
    </row>
    <row r="5828" spans="1:13" x14ac:dyDescent="0.2">
      <c r="A5828" s="163">
        <v>2022</v>
      </c>
      <c r="B5828" s="163">
        <v>2</v>
      </c>
      <c r="C5828" s="163">
        <v>6</v>
      </c>
      <c r="D5828" s="141">
        <f t="shared" si="244"/>
        <v>44598</v>
      </c>
      <c r="E5828" s="275">
        <f t="shared" si="245"/>
        <v>44598</v>
      </c>
      <c r="F5828" s="480"/>
      <c r="G5828" s="221" t="s">
        <v>74</v>
      </c>
      <c r="H5828" s="145" t="str" cm="1">
        <f t="array" ref="H5828">IFERROR(INDEX(INVESTOR_LIST[INVESTOR NAME],MATCH(I5828,INVESTOR_LIST[INVESTOR CODE],0),)," ")</f>
        <v xml:space="preserve"> </v>
      </c>
      <c r="I5828" s="145"/>
      <c r="J5828" s="163" t="s">
        <v>52</v>
      </c>
      <c r="K5828" s="219"/>
      <c r="L5828" s="219">
        <v>212564.14</v>
      </c>
    </row>
    <row r="5829" spans="1:13" x14ac:dyDescent="0.2">
      <c r="A5829" s="133">
        <v>2022</v>
      </c>
      <c r="B5829" s="133">
        <v>2</v>
      </c>
      <c r="C5829" s="133">
        <v>6</v>
      </c>
      <c r="D5829" s="141">
        <f t="shared" si="244"/>
        <v>44598</v>
      </c>
      <c r="E5829" s="275">
        <f t="shared" si="245"/>
        <v>44598</v>
      </c>
      <c r="F5829" s="479" t="s">
        <v>77</v>
      </c>
      <c r="G5829" s="174" t="s">
        <v>74</v>
      </c>
      <c r="H5829" s="148" t="str" cm="1">
        <f t="array" ref="H5829">IFERROR(INDEX(INVESTOR_LIST[INVESTOR NAME],MATCH(I5829,INVESTOR_LIST[INVESTOR CODE],0),)," ")</f>
        <v xml:space="preserve"> </v>
      </c>
      <c r="I5829" s="148" t="s">
        <v>348</v>
      </c>
      <c r="J5829" s="133" t="s">
        <v>61</v>
      </c>
      <c r="K5829" s="172">
        <v>58</v>
      </c>
    </row>
    <row r="5830" spans="1:13" x14ac:dyDescent="0.2">
      <c r="A5830" s="163">
        <v>2022</v>
      </c>
      <c r="B5830" s="163">
        <v>2</v>
      </c>
      <c r="C5830" s="163">
        <v>6</v>
      </c>
      <c r="D5830" s="141">
        <f t="shared" si="244"/>
        <v>44598</v>
      </c>
      <c r="E5830" s="275">
        <f t="shared" si="245"/>
        <v>44598</v>
      </c>
      <c r="F5830" s="480"/>
      <c r="G5830" s="221" t="s">
        <v>74</v>
      </c>
      <c r="H5830" s="145" t="str" cm="1">
        <f t="array" ref="H5830">IFERROR(INDEX(INVESTOR_LIST[INVESTOR NAME],MATCH(I5830,INVESTOR_LIST[INVESTOR CODE],0),)," ")</f>
        <v xml:space="preserve"> </v>
      </c>
      <c r="I5830" s="145" t="s">
        <v>348</v>
      </c>
      <c r="J5830" s="163" t="s">
        <v>52</v>
      </c>
      <c r="K5830" s="219"/>
      <c r="L5830" s="219">
        <v>58</v>
      </c>
    </row>
    <row r="5831" spans="1:13" ht="33.75" x14ac:dyDescent="0.2">
      <c r="A5831" s="168">
        <v>2022</v>
      </c>
      <c r="B5831" s="168">
        <v>2</v>
      </c>
      <c r="C5831" s="133">
        <v>7</v>
      </c>
      <c r="D5831" s="141">
        <f t="shared" ref="D5831:D5836" si="246">DATE(A5831,B5831,C5831)</f>
        <v>44599</v>
      </c>
      <c r="E5831" s="275">
        <f t="shared" ref="E5831:E5836" si="247">DATE(A5831,B5831,C5831)</f>
        <v>44599</v>
      </c>
      <c r="F5831" s="479" t="s">
        <v>964</v>
      </c>
      <c r="G5831" s="220" t="s">
        <v>74</v>
      </c>
      <c r="H5831" s="142" t="str" cm="1">
        <f t="array" ref="H5831">IFERROR(INDEX(INVESTOR_LIST[INVESTOR NAME],MATCH(I5831,INVESTOR_LIST[INVESTOR CODE],0),)," ")</f>
        <v>FAIYEAD AHMEDUL HYE</v>
      </c>
      <c r="I5831" s="142" t="s">
        <v>496</v>
      </c>
      <c r="J5831" s="168" t="s">
        <v>52</v>
      </c>
      <c r="K5831" s="226">
        <v>50000</v>
      </c>
      <c r="L5831" s="226"/>
    </row>
    <row r="5832" spans="1:13" ht="33.75" x14ac:dyDescent="0.2">
      <c r="A5832" s="133">
        <v>2022</v>
      </c>
      <c r="B5832" s="133">
        <v>2</v>
      </c>
      <c r="C5832" s="133">
        <v>7</v>
      </c>
      <c r="D5832" s="141">
        <f t="shared" si="246"/>
        <v>44599</v>
      </c>
      <c r="E5832" s="275">
        <f t="shared" si="247"/>
        <v>44599</v>
      </c>
      <c r="F5832" s="481"/>
      <c r="G5832" s="174" t="s">
        <v>74</v>
      </c>
      <c r="H5832" s="148" t="str" cm="1">
        <f t="array" ref="H5832">IFERROR(INDEX(INVESTOR_LIST[INVESTOR NAME],MATCH(I5832,INVESTOR_LIST[INVESTOR CODE],0),)," ")</f>
        <v>FAIYEAD AHMEDUL HYE</v>
      </c>
      <c r="I5832" s="148" t="s">
        <v>496</v>
      </c>
      <c r="J5832" s="133" t="s">
        <v>13</v>
      </c>
      <c r="K5832" s="218"/>
      <c r="L5832" s="218">
        <v>39750</v>
      </c>
    </row>
    <row r="5833" spans="1:13" ht="33.75" x14ac:dyDescent="0.2">
      <c r="A5833" s="163">
        <v>2022</v>
      </c>
      <c r="B5833" s="163">
        <v>2</v>
      </c>
      <c r="C5833" s="163">
        <v>7</v>
      </c>
      <c r="D5833" s="141">
        <f t="shared" si="246"/>
        <v>44599</v>
      </c>
      <c r="E5833" s="275">
        <f t="shared" si="247"/>
        <v>44599</v>
      </c>
      <c r="F5833" s="480"/>
      <c r="G5833" s="221" t="s">
        <v>74</v>
      </c>
      <c r="H5833" s="145" t="str" cm="1">
        <f t="array" ref="H5833">IFERROR(INDEX(INVESTOR_LIST[INVESTOR NAME],MATCH(I5833,INVESTOR_LIST[INVESTOR CODE],0),)," ")</f>
        <v>FAIYEAD AHMEDUL HYE</v>
      </c>
      <c r="I5833" s="145" t="s">
        <v>496</v>
      </c>
      <c r="J5833" s="163" t="s">
        <v>53</v>
      </c>
      <c r="K5833" s="219"/>
      <c r="L5833" s="219">
        <v>10250</v>
      </c>
    </row>
    <row r="5834" spans="1:13" x14ac:dyDescent="0.2">
      <c r="A5834" s="168">
        <v>2022</v>
      </c>
      <c r="B5834" s="168">
        <v>2</v>
      </c>
      <c r="C5834" s="133">
        <v>8</v>
      </c>
      <c r="D5834" s="141">
        <f t="shared" si="246"/>
        <v>44600</v>
      </c>
      <c r="E5834" s="275">
        <f t="shared" si="247"/>
        <v>44600</v>
      </c>
      <c r="F5834" s="479" t="s">
        <v>1052</v>
      </c>
      <c r="G5834" s="220" t="s">
        <v>74</v>
      </c>
      <c r="H5834" s="142" t="str" cm="1">
        <f t="array" ref="H5834">IFERROR(INDEX(INVESTOR_LIST[INVESTOR NAME],MATCH(I5834,INVESTOR_LIST[INVESTOR CODE],0),)," ")</f>
        <v xml:space="preserve"> </v>
      </c>
      <c r="I5834" s="142"/>
      <c r="J5834" s="168" t="s">
        <v>358</v>
      </c>
      <c r="K5834" s="226">
        <v>11302605.599999994</v>
      </c>
      <c r="L5834" s="226"/>
    </row>
    <row r="5835" spans="1:13" x14ac:dyDescent="0.2">
      <c r="A5835" s="133">
        <v>2022</v>
      </c>
      <c r="B5835" s="133">
        <v>2</v>
      </c>
      <c r="C5835" s="133">
        <v>8</v>
      </c>
      <c r="D5835" s="141">
        <f t="shared" si="246"/>
        <v>44600</v>
      </c>
      <c r="E5835" s="275">
        <f t="shared" si="247"/>
        <v>44600</v>
      </c>
      <c r="F5835" s="481"/>
      <c r="G5835" s="174" t="s">
        <v>74</v>
      </c>
      <c r="H5835" s="148" t="str" cm="1">
        <f t="array" ref="H5835">IFERROR(INDEX(INVESTOR_LIST[INVESTOR NAME],MATCH(I5835,INVESTOR_LIST[INVESTOR CODE],0),)," ")</f>
        <v xml:space="preserve"> </v>
      </c>
      <c r="J5835" s="133" t="s">
        <v>534</v>
      </c>
      <c r="K5835" s="218"/>
      <c r="L5835" s="218">
        <v>1513720.9599999997</v>
      </c>
      <c r="M5835" s="160"/>
    </row>
    <row r="5836" spans="1:13" x14ac:dyDescent="0.2">
      <c r="A5836" s="163">
        <v>2022</v>
      </c>
      <c r="B5836" s="163">
        <v>2</v>
      </c>
      <c r="C5836" s="163">
        <v>8</v>
      </c>
      <c r="D5836" s="141">
        <f t="shared" si="246"/>
        <v>44600</v>
      </c>
      <c r="E5836" s="275">
        <f t="shared" si="247"/>
        <v>44600</v>
      </c>
      <c r="F5836" s="480"/>
      <c r="G5836" s="221" t="s">
        <v>74</v>
      </c>
      <c r="H5836" s="145" t="str" cm="1">
        <f t="array" ref="H5836">IFERROR(INDEX(INVESTOR_LIST[INVESTOR NAME],MATCH(I5836,INVESTOR_LIST[INVESTOR CODE],0),)," ")</f>
        <v xml:space="preserve"> </v>
      </c>
      <c r="I5836" s="145"/>
      <c r="J5836" s="163" t="s">
        <v>52</v>
      </c>
      <c r="K5836" s="219"/>
      <c r="L5836" s="219">
        <v>9788884.6399999987</v>
      </c>
    </row>
    <row r="5837" spans="1:13" ht="45" x14ac:dyDescent="0.2">
      <c r="A5837" s="168">
        <v>2022</v>
      </c>
      <c r="B5837" s="168">
        <v>2</v>
      </c>
      <c r="C5837" s="133">
        <v>8</v>
      </c>
      <c r="D5837" s="141">
        <f t="shared" ref="D5837:D5897" si="248">DATE(A5837,B5837,C5837)</f>
        <v>44600</v>
      </c>
      <c r="E5837" s="275">
        <f t="shared" ref="E5837:E5897" si="249">DATE(A5837,B5837,C5837)</f>
        <v>44600</v>
      </c>
      <c r="F5837" s="479" t="s">
        <v>964</v>
      </c>
      <c r="G5837" s="220" t="s">
        <v>74</v>
      </c>
      <c r="H5837" s="142" t="str" cm="1">
        <f t="array" ref="H5837">IFERROR(INDEX(INVESTOR_LIST[INVESTOR NAME],MATCH(I5837,INVESTOR_LIST[INVESTOR CODE],0),)," ")</f>
        <v>NAYEEMA TASNEEM</v>
      </c>
      <c r="I5837" s="142" t="s">
        <v>1118</v>
      </c>
      <c r="J5837" s="168" t="s">
        <v>52</v>
      </c>
      <c r="K5837" s="226">
        <v>600000</v>
      </c>
      <c r="L5837" s="226"/>
    </row>
    <row r="5838" spans="1:13" ht="45" x14ac:dyDescent="0.2">
      <c r="A5838" s="133">
        <v>2022</v>
      </c>
      <c r="B5838" s="133">
        <v>2</v>
      </c>
      <c r="C5838" s="133">
        <v>8</v>
      </c>
      <c r="D5838" s="141">
        <f t="shared" si="248"/>
        <v>44600</v>
      </c>
      <c r="E5838" s="275">
        <f t="shared" si="249"/>
        <v>44600</v>
      </c>
      <c r="F5838" s="481"/>
      <c r="G5838" s="174" t="s">
        <v>74</v>
      </c>
      <c r="H5838" s="148" t="str" cm="1">
        <f t="array" ref="H5838">IFERROR(INDEX(INVESTOR_LIST[INVESTOR NAME],MATCH(I5838,INVESTOR_LIST[INVESTOR CODE],0),)," ")</f>
        <v>NAYEEMA TASNEEM</v>
      </c>
      <c r="I5838" s="148" t="s">
        <v>1118</v>
      </c>
      <c r="J5838" s="133" t="s">
        <v>13</v>
      </c>
      <c r="K5838" s="218"/>
      <c r="L5838" s="218">
        <v>476950</v>
      </c>
    </row>
    <row r="5839" spans="1:13" ht="45" x14ac:dyDescent="0.2">
      <c r="A5839" s="163">
        <v>2022</v>
      </c>
      <c r="B5839" s="163">
        <v>2</v>
      </c>
      <c r="C5839" s="163">
        <v>8</v>
      </c>
      <c r="D5839" s="141">
        <f t="shared" si="248"/>
        <v>44600</v>
      </c>
      <c r="E5839" s="275">
        <f t="shared" si="249"/>
        <v>44600</v>
      </c>
      <c r="F5839" s="480"/>
      <c r="G5839" s="221" t="s">
        <v>74</v>
      </c>
      <c r="H5839" s="145" t="str" cm="1">
        <f t="array" ref="H5839">IFERROR(INDEX(INVESTOR_LIST[INVESTOR NAME],MATCH(I5839,INVESTOR_LIST[INVESTOR CODE],0),)," ")</f>
        <v>NAYEEMA TASNEEM</v>
      </c>
      <c r="I5839" s="145" t="s">
        <v>1118</v>
      </c>
      <c r="J5839" s="163" t="s">
        <v>53</v>
      </c>
      <c r="K5839" s="219"/>
      <c r="L5839" s="219">
        <v>123050</v>
      </c>
    </row>
    <row r="5840" spans="1:13" x14ac:dyDescent="0.2">
      <c r="A5840" s="133">
        <v>2022</v>
      </c>
      <c r="B5840" s="133">
        <v>2</v>
      </c>
      <c r="C5840" s="133">
        <v>8</v>
      </c>
      <c r="D5840" s="141">
        <f t="shared" si="248"/>
        <v>44600</v>
      </c>
      <c r="E5840" s="275">
        <f t="shared" si="249"/>
        <v>44600</v>
      </c>
      <c r="F5840" s="479" t="s">
        <v>77</v>
      </c>
      <c r="G5840" s="174" t="s">
        <v>74</v>
      </c>
      <c r="H5840" s="148" t="str" cm="1">
        <f t="array" ref="H5840">IFERROR(INDEX(INVESTOR_LIST[INVESTOR NAME],MATCH(I5840,INVESTOR_LIST[INVESTOR CODE],0),)," ")</f>
        <v xml:space="preserve"> </v>
      </c>
      <c r="I5840" s="148" t="s">
        <v>348</v>
      </c>
      <c r="J5840" s="133" t="s">
        <v>61</v>
      </c>
      <c r="K5840" s="172">
        <v>25</v>
      </c>
    </row>
    <row r="5841" spans="1:13" x14ac:dyDescent="0.2">
      <c r="A5841" s="163">
        <v>2022</v>
      </c>
      <c r="B5841" s="163">
        <v>2</v>
      </c>
      <c r="C5841" s="163">
        <v>8</v>
      </c>
      <c r="D5841" s="141">
        <f t="shared" si="248"/>
        <v>44600</v>
      </c>
      <c r="E5841" s="275">
        <f t="shared" si="249"/>
        <v>44600</v>
      </c>
      <c r="F5841" s="480"/>
      <c r="G5841" s="221" t="s">
        <v>74</v>
      </c>
      <c r="H5841" s="145" t="str" cm="1">
        <f t="array" ref="H5841">IFERROR(INDEX(INVESTOR_LIST[INVESTOR NAME],MATCH(I5841,INVESTOR_LIST[INVESTOR CODE],0),)," ")</f>
        <v xml:space="preserve"> </v>
      </c>
      <c r="I5841" s="145" t="s">
        <v>348</v>
      </c>
      <c r="J5841" s="163" t="s">
        <v>52</v>
      </c>
      <c r="K5841" s="219"/>
      <c r="L5841" s="219">
        <v>25</v>
      </c>
    </row>
    <row r="5842" spans="1:13" x14ac:dyDescent="0.2">
      <c r="A5842" s="168">
        <v>2022</v>
      </c>
      <c r="B5842" s="168">
        <v>2</v>
      </c>
      <c r="C5842" s="133">
        <v>9</v>
      </c>
      <c r="D5842" s="141">
        <f t="shared" si="248"/>
        <v>44601</v>
      </c>
      <c r="E5842" s="275">
        <f t="shared" si="249"/>
        <v>44601</v>
      </c>
      <c r="F5842" s="479" t="s">
        <v>1052</v>
      </c>
      <c r="G5842" s="220" t="s">
        <v>74</v>
      </c>
      <c r="H5842" s="142" t="str" cm="1">
        <f t="array" ref="H5842">IFERROR(INDEX(INVESTOR_LIST[INVESTOR NAME],MATCH(I5842,INVESTOR_LIST[INVESTOR CODE],0),)," ")</f>
        <v xml:space="preserve"> </v>
      </c>
      <c r="I5842" s="142"/>
      <c r="J5842" s="168" t="s">
        <v>358</v>
      </c>
      <c r="K5842" s="226">
        <v>12905536.800000004</v>
      </c>
      <c r="L5842" s="226"/>
    </row>
    <row r="5843" spans="1:13" x14ac:dyDescent="0.2">
      <c r="A5843" s="133">
        <v>2022</v>
      </c>
      <c r="B5843" s="133">
        <v>2</v>
      </c>
      <c r="C5843" s="133">
        <v>9</v>
      </c>
      <c r="D5843" s="141">
        <f t="shared" si="248"/>
        <v>44601</v>
      </c>
      <c r="E5843" s="275">
        <f t="shared" si="249"/>
        <v>44601</v>
      </c>
      <c r="F5843" s="481"/>
      <c r="G5843" s="174" t="s">
        <v>74</v>
      </c>
      <c r="H5843" s="148" t="str" cm="1">
        <f t="array" ref="H5843">IFERROR(INDEX(INVESTOR_LIST[INVESTOR NAME],MATCH(I5843,INVESTOR_LIST[INVESTOR CODE],0),)," ")</f>
        <v xml:space="preserve"> </v>
      </c>
      <c r="J5843" s="133" t="s">
        <v>534</v>
      </c>
      <c r="K5843" s="218"/>
      <c r="L5843" s="218">
        <v>745012.03999999992</v>
      </c>
    </row>
    <row r="5844" spans="1:13" x14ac:dyDescent="0.2">
      <c r="A5844" s="163">
        <v>2022</v>
      </c>
      <c r="B5844" s="163">
        <v>2</v>
      </c>
      <c r="C5844" s="163">
        <v>9</v>
      </c>
      <c r="D5844" s="141">
        <f t="shared" si="248"/>
        <v>44601</v>
      </c>
      <c r="E5844" s="275">
        <f t="shared" si="249"/>
        <v>44601</v>
      </c>
      <c r="F5844" s="480"/>
      <c r="G5844" s="221" t="s">
        <v>74</v>
      </c>
      <c r="H5844" s="145" t="str" cm="1">
        <f t="array" ref="H5844">IFERROR(INDEX(INVESTOR_LIST[INVESTOR NAME],MATCH(I5844,INVESTOR_LIST[INVESTOR CODE],0),)," ")</f>
        <v xml:space="preserve"> </v>
      </c>
      <c r="I5844" s="145"/>
      <c r="J5844" s="163" t="s">
        <v>52</v>
      </c>
      <c r="K5844" s="219"/>
      <c r="L5844" s="219">
        <v>12160524.760000007</v>
      </c>
    </row>
    <row r="5845" spans="1:13" ht="22.5" x14ac:dyDescent="0.2">
      <c r="A5845" s="168">
        <v>2022</v>
      </c>
      <c r="B5845" s="168">
        <v>2</v>
      </c>
      <c r="C5845" s="133">
        <v>9</v>
      </c>
      <c r="D5845" s="141">
        <f t="shared" ref="D5845:D5847" si="250">DATE(A5845,B5845,C5845)</f>
        <v>44601</v>
      </c>
      <c r="E5845" s="275">
        <f t="shared" ref="E5845:E5847" si="251">DATE(A5845,B5845,C5845)</f>
        <v>44601</v>
      </c>
      <c r="F5845" s="479" t="s">
        <v>965</v>
      </c>
      <c r="G5845" s="220" t="s">
        <v>74</v>
      </c>
      <c r="H5845" s="142" t="str" cm="1">
        <f t="array" ref="H5845">IFERROR(INDEX(INVESTOR_LIST[INVESTOR NAME],MATCH(I5845,INVESTOR_LIST[INVESTOR CODE],0),)," ")</f>
        <v>NARGISH JAHAN</v>
      </c>
      <c r="I5845" s="142" t="s">
        <v>457</v>
      </c>
      <c r="J5845" s="168" t="s">
        <v>13</v>
      </c>
      <c r="K5845" s="226">
        <v>4180</v>
      </c>
      <c r="L5845" s="226"/>
    </row>
    <row r="5846" spans="1:13" ht="22.5" x14ac:dyDescent="0.2">
      <c r="A5846" s="133">
        <v>2022</v>
      </c>
      <c r="B5846" s="133">
        <v>2</v>
      </c>
      <c r="C5846" s="133">
        <v>9</v>
      </c>
      <c r="D5846" s="141">
        <f t="shared" si="250"/>
        <v>44601</v>
      </c>
      <c r="E5846" s="275">
        <f t="shared" si="251"/>
        <v>44601</v>
      </c>
      <c r="F5846" s="481"/>
      <c r="G5846" s="174" t="s">
        <v>74</v>
      </c>
      <c r="H5846" s="148" t="str" cm="1">
        <f t="array" ref="H5846">IFERROR(INDEX(INVESTOR_LIST[INVESTOR NAME],MATCH(I5846,INVESTOR_LIST[INVESTOR CODE],0),)," ")</f>
        <v>NARGISH JAHAN</v>
      </c>
      <c r="I5846" s="148" t="s">
        <v>457</v>
      </c>
      <c r="J5846" s="133" t="s">
        <v>53</v>
      </c>
      <c r="K5846" s="218">
        <v>1079.8800000000001</v>
      </c>
      <c r="L5846" s="218"/>
    </row>
    <row r="5847" spans="1:13" ht="22.5" x14ac:dyDescent="0.2">
      <c r="A5847" s="163">
        <v>2022</v>
      </c>
      <c r="B5847" s="163">
        <v>2</v>
      </c>
      <c r="C5847" s="163">
        <v>9</v>
      </c>
      <c r="D5847" s="141">
        <f t="shared" si="250"/>
        <v>44601</v>
      </c>
      <c r="E5847" s="275">
        <f t="shared" si="251"/>
        <v>44601</v>
      </c>
      <c r="F5847" s="480"/>
      <c r="G5847" s="221" t="s">
        <v>74</v>
      </c>
      <c r="H5847" s="145" t="str" cm="1">
        <f t="array" ref="H5847">IFERROR(INDEX(INVESTOR_LIST[INVESTOR NAME],MATCH(I5847,INVESTOR_LIST[INVESTOR CODE],0),)," ")</f>
        <v>NARGISH JAHAN</v>
      </c>
      <c r="I5847" s="145" t="s">
        <v>457</v>
      </c>
      <c r="J5847" s="163" t="s">
        <v>52</v>
      </c>
      <c r="K5847" s="219"/>
      <c r="L5847" s="219">
        <v>5259.88</v>
      </c>
    </row>
    <row r="5848" spans="1:13" x14ac:dyDescent="0.2">
      <c r="A5848" s="168">
        <v>2022</v>
      </c>
      <c r="B5848" s="168">
        <v>2</v>
      </c>
      <c r="C5848" s="133">
        <v>9</v>
      </c>
      <c r="D5848" s="141">
        <f t="shared" si="248"/>
        <v>44601</v>
      </c>
      <c r="E5848" s="275">
        <f t="shared" si="249"/>
        <v>44601</v>
      </c>
      <c r="F5848" s="479" t="s">
        <v>970</v>
      </c>
      <c r="G5848" s="220" t="s">
        <v>74</v>
      </c>
      <c r="H5848" s="142" t="str" cm="1">
        <f t="array" ref="H5848">IFERROR(INDEX(INVESTOR_LIST[INVESTOR NAME],MATCH(I5848,INVESTOR_LIST[INVESTOR CODE],0),)," ")</f>
        <v xml:space="preserve"> </v>
      </c>
      <c r="I5848" s="142"/>
      <c r="J5848" s="168" t="s">
        <v>52</v>
      </c>
      <c r="K5848" s="226">
        <v>349500</v>
      </c>
      <c r="L5848" s="226"/>
      <c r="M5848" s="160"/>
    </row>
    <row r="5849" spans="1:13" x14ac:dyDescent="0.2">
      <c r="A5849" s="133">
        <v>2022</v>
      </c>
      <c r="B5849" s="133">
        <v>2</v>
      </c>
      <c r="C5849" s="133">
        <v>9</v>
      </c>
      <c r="D5849" s="141">
        <f t="shared" si="248"/>
        <v>44601</v>
      </c>
      <c r="E5849" s="275">
        <f t="shared" si="249"/>
        <v>44601</v>
      </c>
      <c r="F5849" s="481"/>
      <c r="G5849" s="174" t="s">
        <v>74</v>
      </c>
      <c r="H5849" s="148" t="str" cm="1">
        <f t="array" ref="H5849">IFERROR(INDEX(INVESTOR_LIST[INVESTOR NAME],MATCH(I5849,INVESTOR_LIST[INVESTOR CODE],0),)," ")</f>
        <v xml:space="preserve"> </v>
      </c>
      <c r="J5849" s="133" t="s">
        <v>13</v>
      </c>
      <c r="K5849" s="218"/>
      <c r="L5849" s="218">
        <v>277740</v>
      </c>
    </row>
    <row r="5850" spans="1:13" x14ac:dyDescent="0.2">
      <c r="A5850" s="163">
        <v>2022</v>
      </c>
      <c r="B5850" s="163">
        <v>2</v>
      </c>
      <c r="C5850" s="163">
        <v>9</v>
      </c>
      <c r="D5850" s="141">
        <f t="shared" si="248"/>
        <v>44601</v>
      </c>
      <c r="E5850" s="275">
        <f t="shared" si="249"/>
        <v>44601</v>
      </c>
      <c r="F5850" s="480"/>
      <c r="G5850" s="221" t="s">
        <v>74</v>
      </c>
      <c r="H5850" s="145" t="str" cm="1">
        <f t="array" ref="H5850">IFERROR(INDEX(INVESTOR_LIST[INVESTOR NAME],MATCH(I5850,INVESTOR_LIST[INVESTOR CODE],0),)," ")</f>
        <v xml:space="preserve"> </v>
      </c>
      <c r="I5850" s="145"/>
      <c r="J5850" s="163" t="s">
        <v>53</v>
      </c>
      <c r="K5850" s="219"/>
      <c r="L5850" s="219">
        <v>71760</v>
      </c>
    </row>
    <row r="5851" spans="1:13" x14ac:dyDescent="0.2">
      <c r="A5851" s="133">
        <v>2022</v>
      </c>
      <c r="B5851" s="133">
        <v>2</v>
      </c>
      <c r="C5851" s="133">
        <v>9</v>
      </c>
      <c r="D5851" s="141">
        <f t="shared" si="248"/>
        <v>44601</v>
      </c>
      <c r="E5851" s="275">
        <f t="shared" si="249"/>
        <v>44601</v>
      </c>
      <c r="F5851" s="481" t="s">
        <v>982</v>
      </c>
      <c r="G5851" s="174" t="s">
        <v>74</v>
      </c>
      <c r="H5851" s="174" t="str" cm="1">
        <f t="array" ref="H5851">IFERROR(INDEX(INVESTOR_LIST[INVESTOR NAME],MATCH(I5851,INVESTOR_LIST[INVESTOR CODE],0),)," ")</f>
        <v xml:space="preserve"> </v>
      </c>
      <c r="I5851" s="148" t="s">
        <v>348</v>
      </c>
      <c r="J5851" s="149" t="s">
        <v>163</v>
      </c>
      <c r="K5851" s="218">
        <v>6000</v>
      </c>
      <c r="L5851" s="218"/>
    </row>
    <row r="5852" spans="1:13" x14ac:dyDescent="0.2">
      <c r="A5852" s="163">
        <v>2022</v>
      </c>
      <c r="B5852" s="163">
        <v>2</v>
      </c>
      <c r="C5852" s="163">
        <v>9</v>
      </c>
      <c r="D5852" s="141">
        <f t="shared" si="248"/>
        <v>44601</v>
      </c>
      <c r="E5852" s="275">
        <f t="shared" si="249"/>
        <v>44601</v>
      </c>
      <c r="F5852" s="480"/>
      <c r="G5852" s="221" t="s">
        <v>74</v>
      </c>
      <c r="H5852" s="221" t="str" cm="1">
        <f t="array" ref="H5852">IFERROR(INDEX(INVESTOR_LIST[INVESTOR NAME],MATCH(I5852,INVESTOR_LIST[INVESTOR CODE],0),)," ")</f>
        <v xml:space="preserve"> </v>
      </c>
      <c r="I5852" s="145" t="s">
        <v>348</v>
      </c>
      <c r="J5852" s="146" t="s">
        <v>52</v>
      </c>
      <c r="K5852" s="219"/>
      <c r="L5852" s="219">
        <v>6000</v>
      </c>
    </row>
    <row r="5853" spans="1:13" ht="22.5" x14ac:dyDescent="0.2">
      <c r="A5853" s="168">
        <v>2022</v>
      </c>
      <c r="B5853" s="168">
        <v>2</v>
      </c>
      <c r="C5853" s="133">
        <v>10</v>
      </c>
      <c r="D5853" s="141">
        <f t="shared" si="248"/>
        <v>44602</v>
      </c>
      <c r="E5853" s="275">
        <f t="shared" si="249"/>
        <v>44602</v>
      </c>
      <c r="F5853" s="479" t="s">
        <v>965</v>
      </c>
      <c r="G5853" s="220" t="s">
        <v>74</v>
      </c>
      <c r="H5853" s="142" t="str" cm="1">
        <f t="array" ref="H5853">IFERROR(INDEX(INVESTOR_LIST[INVESTOR NAME],MATCH(I5853,INVESTOR_LIST[INVESTOR CODE],0),)," ")</f>
        <v>ANISUL HAQUE</v>
      </c>
      <c r="I5853" s="142" t="s">
        <v>489</v>
      </c>
      <c r="J5853" s="168" t="s">
        <v>13</v>
      </c>
      <c r="K5853" s="226">
        <v>119240</v>
      </c>
      <c r="L5853" s="226"/>
    </row>
    <row r="5854" spans="1:13" ht="22.5" x14ac:dyDescent="0.2">
      <c r="A5854" s="133">
        <v>2022</v>
      </c>
      <c r="B5854" s="133">
        <v>2</v>
      </c>
      <c r="C5854" s="133">
        <v>10</v>
      </c>
      <c r="D5854" s="141">
        <f t="shared" si="248"/>
        <v>44602</v>
      </c>
      <c r="E5854" s="275">
        <f t="shared" si="249"/>
        <v>44602</v>
      </c>
      <c r="F5854" s="481"/>
      <c r="G5854" s="174" t="s">
        <v>74</v>
      </c>
      <c r="H5854" s="148" t="str" cm="1">
        <f t="array" ref="H5854">IFERROR(INDEX(INVESTOR_LIST[INVESTOR NAME],MATCH(I5854,INVESTOR_LIST[INVESTOR CODE],0),)," ")</f>
        <v>ANISUL HAQUE</v>
      </c>
      <c r="I5854" s="148" t="s">
        <v>489</v>
      </c>
      <c r="J5854" s="133" t="s">
        <v>53</v>
      </c>
      <c r="K5854" s="218">
        <v>30760</v>
      </c>
      <c r="L5854" s="218"/>
      <c r="M5854" s="160"/>
    </row>
    <row r="5855" spans="1:13" ht="22.5" x14ac:dyDescent="0.2">
      <c r="A5855" s="163">
        <v>2022</v>
      </c>
      <c r="B5855" s="163">
        <v>2</v>
      </c>
      <c r="C5855" s="163">
        <v>10</v>
      </c>
      <c r="D5855" s="141">
        <f t="shared" si="248"/>
        <v>44602</v>
      </c>
      <c r="E5855" s="275">
        <f t="shared" si="249"/>
        <v>44602</v>
      </c>
      <c r="F5855" s="480"/>
      <c r="G5855" s="221" t="s">
        <v>74</v>
      </c>
      <c r="H5855" s="145" t="str" cm="1">
        <f t="array" ref="H5855">IFERROR(INDEX(INVESTOR_LIST[INVESTOR NAME],MATCH(I5855,INVESTOR_LIST[INVESTOR CODE],0),)," ")</f>
        <v>ANISUL HAQUE</v>
      </c>
      <c r="I5855" s="145" t="s">
        <v>489</v>
      </c>
      <c r="J5855" s="163" t="s">
        <v>52</v>
      </c>
      <c r="K5855" s="219"/>
      <c r="L5855" s="219">
        <v>150000</v>
      </c>
    </row>
    <row r="5856" spans="1:13" x14ac:dyDescent="0.2">
      <c r="A5856" s="238">
        <v>2022</v>
      </c>
      <c r="B5856" s="238">
        <v>2</v>
      </c>
      <c r="C5856" s="238">
        <v>10</v>
      </c>
      <c r="D5856" s="270">
        <f t="shared" si="248"/>
        <v>44602</v>
      </c>
      <c r="E5856" s="279">
        <f t="shared" si="249"/>
        <v>44602</v>
      </c>
      <c r="F5856" s="477" t="s">
        <v>347</v>
      </c>
      <c r="G5856" s="239" t="s">
        <v>94</v>
      </c>
      <c r="H5856" s="239" t="str" cm="1">
        <f t="array" ref="H5856">IFERROR(INDEX(INVESTOR_LIST[INVESTOR NAME],MATCH(I5856,INVESTOR_LIST[INVESTOR CODE],0),)," ")</f>
        <v xml:space="preserve"> </v>
      </c>
      <c r="I5856" s="262" t="s">
        <v>348</v>
      </c>
      <c r="J5856" s="240" t="s">
        <v>108</v>
      </c>
      <c r="K5856" s="241">
        <v>510531.68000000715</v>
      </c>
      <c r="L5856" s="241"/>
    </row>
    <row r="5857" spans="1:16" x14ac:dyDescent="0.2">
      <c r="A5857" s="242">
        <v>2022</v>
      </c>
      <c r="B5857" s="242">
        <v>2</v>
      </c>
      <c r="C5857" s="242">
        <v>10</v>
      </c>
      <c r="D5857" s="270">
        <f t="shared" si="248"/>
        <v>44602</v>
      </c>
      <c r="E5857" s="279">
        <f t="shared" si="249"/>
        <v>44602</v>
      </c>
      <c r="F5857" s="478"/>
      <c r="G5857" s="243" t="s">
        <v>94</v>
      </c>
      <c r="H5857" s="243" t="str" cm="1">
        <f t="array" ref="H5857">IFERROR(INDEX(INVESTOR_LIST[INVESTOR NAME],MATCH(I5857,INVESTOR_LIST[INVESTOR CODE],0),)," ")</f>
        <v xml:space="preserve"> </v>
      </c>
      <c r="I5857" s="263" t="s">
        <v>348</v>
      </c>
      <c r="J5857" s="244" t="s">
        <v>82</v>
      </c>
      <c r="K5857" s="245"/>
      <c r="L5857" s="245">
        <v>510531.68000000715</v>
      </c>
    </row>
    <row r="5858" spans="1:16" ht="22.5" x14ac:dyDescent="0.2">
      <c r="A5858" s="246">
        <v>2022</v>
      </c>
      <c r="B5858" s="246">
        <v>2</v>
      </c>
      <c r="C5858" s="246">
        <v>10</v>
      </c>
      <c r="D5858" s="270">
        <f t="shared" si="248"/>
        <v>44602</v>
      </c>
      <c r="E5858" s="279">
        <f t="shared" si="249"/>
        <v>44602</v>
      </c>
      <c r="F5858" s="482" t="s">
        <v>148</v>
      </c>
      <c r="G5858" s="247" t="s">
        <v>94</v>
      </c>
      <c r="H5858" s="247" t="str" cm="1">
        <f t="array" ref="H5858">IFERROR(INDEX(INVESTOR_LIST[INVESTOR NAME],MATCH(I5858,INVESTOR_LIST[INVESTOR CODE],0),)," ")</f>
        <v xml:space="preserve"> </v>
      </c>
      <c r="I5858" s="248" t="s">
        <v>348</v>
      </c>
      <c r="J5858" s="249" t="s">
        <v>95</v>
      </c>
      <c r="K5858" s="250">
        <v>2747.2527472527472</v>
      </c>
      <c r="L5858" s="241"/>
      <c r="M5858" s="160"/>
    </row>
    <row r="5859" spans="1:16" x14ac:dyDescent="0.2">
      <c r="A5859" s="242">
        <v>2022</v>
      </c>
      <c r="B5859" s="242">
        <v>2</v>
      </c>
      <c r="C5859" s="242">
        <v>10</v>
      </c>
      <c r="D5859" s="270">
        <f t="shared" si="248"/>
        <v>44602</v>
      </c>
      <c r="E5859" s="279">
        <f t="shared" si="249"/>
        <v>44602</v>
      </c>
      <c r="F5859" s="478"/>
      <c r="G5859" s="243" t="s">
        <v>94</v>
      </c>
      <c r="H5859" s="243" t="str" cm="1">
        <f t="array" ref="H5859">IFERROR(INDEX(INVESTOR_LIST[INVESTOR NAME],MATCH(I5859,INVESTOR_LIST[INVESTOR CODE],0),)," ")</f>
        <v xml:space="preserve"> </v>
      </c>
      <c r="I5859" s="263" t="s">
        <v>348</v>
      </c>
      <c r="J5859" s="244" t="s">
        <v>63</v>
      </c>
      <c r="K5859" s="245"/>
      <c r="L5859" s="245">
        <v>2747.2527472527472</v>
      </c>
    </row>
    <row r="5860" spans="1:16" x14ac:dyDescent="0.2">
      <c r="A5860" s="246">
        <v>2022</v>
      </c>
      <c r="B5860" s="246">
        <v>2</v>
      </c>
      <c r="C5860" s="246">
        <v>10</v>
      </c>
      <c r="D5860" s="270">
        <f t="shared" si="248"/>
        <v>44602</v>
      </c>
      <c r="E5860" s="279">
        <f t="shared" si="249"/>
        <v>44602</v>
      </c>
      <c r="F5860" s="482" t="s">
        <v>137</v>
      </c>
      <c r="G5860" s="247" t="s">
        <v>94</v>
      </c>
      <c r="H5860" s="247" t="str" cm="1">
        <f t="array" ref="H5860">IFERROR(INDEX(INVESTOR_LIST[INVESTOR NAME],MATCH(I5860,INVESTOR_LIST[INVESTOR CODE],0),)," ")</f>
        <v xml:space="preserve"> </v>
      </c>
      <c r="I5860" s="248" t="s">
        <v>348</v>
      </c>
      <c r="J5860" s="249" t="s">
        <v>97</v>
      </c>
      <c r="K5860" s="250">
        <v>82889.792329211399</v>
      </c>
      <c r="L5860" s="252"/>
    </row>
    <row r="5861" spans="1:16" x14ac:dyDescent="0.2">
      <c r="A5861" s="242">
        <v>2022</v>
      </c>
      <c r="B5861" s="242">
        <v>2</v>
      </c>
      <c r="C5861" s="242">
        <v>10</v>
      </c>
      <c r="D5861" s="270">
        <f t="shared" si="248"/>
        <v>44602</v>
      </c>
      <c r="E5861" s="279">
        <f t="shared" si="249"/>
        <v>44602</v>
      </c>
      <c r="F5861" s="478"/>
      <c r="G5861" s="243" t="s">
        <v>94</v>
      </c>
      <c r="H5861" s="243" t="str" cm="1">
        <f t="array" ref="H5861">IFERROR(INDEX(INVESTOR_LIST[INVESTOR NAME],MATCH(I5861,INVESTOR_LIST[INVESTOR CODE],0),)," ")</f>
        <v xml:space="preserve"> </v>
      </c>
      <c r="I5861" s="263" t="s">
        <v>348</v>
      </c>
      <c r="J5861" s="244" t="s">
        <v>47</v>
      </c>
      <c r="K5861" s="245"/>
      <c r="L5861" s="245">
        <v>82889.792329211399</v>
      </c>
    </row>
    <row r="5862" spans="1:16" x14ac:dyDescent="0.2">
      <c r="A5862" s="246">
        <v>2022</v>
      </c>
      <c r="B5862" s="246">
        <v>2</v>
      </c>
      <c r="C5862" s="246">
        <v>10</v>
      </c>
      <c r="D5862" s="270">
        <f t="shared" si="248"/>
        <v>44602</v>
      </c>
      <c r="E5862" s="279">
        <f t="shared" si="249"/>
        <v>44602</v>
      </c>
      <c r="F5862" s="482" t="s">
        <v>138</v>
      </c>
      <c r="G5862" s="247" t="s">
        <v>94</v>
      </c>
      <c r="H5862" s="247" t="str" cm="1">
        <f t="array" ref="H5862">IFERROR(INDEX(INVESTOR_LIST[INVESTOR NAME],MATCH(I5862,INVESTOR_LIST[INVESTOR CODE],0),)," ")</f>
        <v xml:space="preserve"> </v>
      </c>
      <c r="I5862" s="248" t="s">
        <v>348</v>
      </c>
      <c r="J5862" s="249" t="s">
        <v>100</v>
      </c>
      <c r="K5862" s="250">
        <v>3904.1050010759545</v>
      </c>
      <c r="L5862" s="252"/>
    </row>
    <row r="5863" spans="1:16" x14ac:dyDescent="0.2">
      <c r="A5863" s="242">
        <v>2022</v>
      </c>
      <c r="B5863" s="242">
        <v>2</v>
      </c>
      <c r="C5863" s="242">
        <v>10</v>
      </c>
      <c r="D5863" s="270">
        <f t="shared" si="248"/>
        <v>44602</v>
      </c>
      <c r="E5863" s="279">
        <f t="shared" si="249"/>
        <v>44602</v>
      </c>
      <c r="F5863" s="478"/>
      <c r="G5863" s="243" t="s">
        <v>94</v>
      </c>
      <c r="H5863" s="243" t="str" cm="1">
        <f t="array" ref="H5863">IFERROR(INDEX(INVESTOR_LIST[INVESTOR NAME],MATCH(I5863,INVESTOR_LIST[INVESTOR CODE],0),)," ")</f>
        <v xml:space="preserve"> </v>
      </c>
      <c r="I5863" s="263" t="s">
        <v>348</v>
      </c>
      <c r="J5863" s="244" t="s">
        <v>48</v>
      </c>
      <c r="K5863" s="245"/>
      <c r="L5863" s="245">
        <v>3904.1050010759545</v>
      </c>
    </row>
    <row r="5864" spans="1:16" ht="22.5" x14ac:dyDescent="0.2">
      <c r="A5864" s="168">
        <v>2022</v>
      </c>
      <c r="B5864" s="168">
        <v>2</v>
      </c>
      <c r="C5864" s="133">
        <v>13</v>
      </c>
      <c r="D5864" s="141">
        <f t="shared" si="248"/>
        <v>44605</v>
      </c>
      <c r="E5864" s="275">
        <f t="shared" si="249"/>
        <v>44605</v>
      </c>
      <c r="F5864" s="479" t="s">
        <v>964</v>
      </c>
      <c r="G5864" s="220" t="s">
        <v>74</v>
      </c>
      <c r="H5864" s="142" t="str" cm="1">
        <f t="array" ref="H5864">IFERROR(INDEX(INVESTOR_LIST[INVESTOR NAME],MATCH(I5864,INVESTOR_LIST[INVESTOR CODE],0),)," ")</f>
        <v>TRIPTI BARUA</v>
      </c>
      <c r="I5864" s="142" t="s">
        <v>498</v>
      </c>
      <c r="J5864" s="168" t="s">
        <v>52</v>
      </c>
      <c r="K5864" s="226">
        <v>335000</v>
      </c>
      <c r="L5864" s="226"/>
    </row>
    <row r="5865" spans="1:16" ht="22.5" x14ac:dyDescent="0.2">
      <c r="A5865" s="133">
        <v>2022</v>
      </c>
      <c r="B5865" s="133">
        <v>2</v>
      </c>
      <c r="C5865" s="133">
        <v>13</v>
      </c>
      <c r="D5865" s="141">
        <f t="shared" si="248"/>
        <v>44605</v>
      </c>
      <c r="E5865" s="275">
        <f t="shared" si="249"/>
        <v>44605</v>
      </c>
      <c r="F5865" s="481"/>
      <c r="G5865" s="174" t="s">
        <v>74</v>
      </c>
      <c r="H5865" s="148" t="str" cm="1">
        <f t="array" ref="H5865">IFERROR(INDEX(INVESTOR_LIST[INVESTOR NAME],MATCH(I5865,INVESTOR_LIST[INVESTOR CODE],0),)," ")</f>
        <v>TRIPTI BARUA</v>
      </c>
      <c r="I5865" s="148" t="s">
        <v>498</v>
      </c>
      <c r="J5865" s="133" t="s">
        <v>13</v>
      </c>
      <c r="K5865" s="218"/>
      <c r="L5865" s="218">
        <v>266080</v>
      </c>
    </row>
    <row r="5866" spans="1:16" ht="22.5" x14ac:dyDescent="0.2">
      <c r="A5866" s="163">
        <v>2022</v>
      </c>
      <c r="B5866" s="163">
        <v>2</v>
      </c>
      <c r="C5866" s="163">
        <v>13</v>
      </c>
      <c r="D5866" s="141">
        <f t="shared" si="248"/>
        <v>44605</v>
      </c>
      <c r="E5866" s="275">
        <f t="shared" si="249"/>
        <v>44605</v>
      </c>
      <c r="F5866" s="480"/>
      <c r="G5866" s="221" t="s">
        <v>74</v>
      </c>
      <c r="H5866" s="145" t="str" cm="1">
        <f t="array" ref="H5866">IFERROR(INDEX(INVESTOR_LIST[INVESTOR NAME],MATCH(I5866,INVESTOR_LIST[INVESTOR CODE],0),)," ")</f>
        <v>TRIPTI BARUA</v>
      </c>
      <c r="I5866" s="145" t="s">
        <v>498</v>
      </c>
      <c r="J5866" s="163" t="s">
        <v>53</v>
      </c>
      <c r="K5866" s="219"/>
      <c r="L5866" s="219">
        <v>68920</v>
      </c>
    </row>
    <row r="5867" spans="1:16" ht="45" x14ac:dyDescent="0.2">
      <c r="A5867" s="168">
        <v>2022</v>
      </c>
      <c r="B5867" s="168">
        <v>2</v>
      </c>
      <c r="C5867" s="133">
        <v>13</v>
      </c>
      <c r="D5867" s="141">
        <f t="shared" ref="D5867:D5872" si="252">DATE(A5867,B5867,C5867)</f>
        <v>44605</v>
      </c>
      <c r="E5867" s="275">
        <f t="shared" ref="E5867:E5872" si="253">DATE(A5867,B5867,C5867)</f>
        <v>44605</v>
      </c>
      <c r="F5867" s="479" t="s">
        <v>964</v>
      </c>
      <c r="G5867" s="220" t="s">
        <v>74</v>
      </c>
      <c r="H5867" s="142" t="str" cm="1">
        <f t="array" ref="H5867">IFERROR(INDEX(INVESTOR_LIST[INVESTOR NAME],MATCH(I5867,INVESTOR_LIST[INVESTOR CODE],0),)," ")</f>
        <v>SHARMEEN MAHMUD</v>
      </c>
      <c r="I5867" s="142" t="s">
        <v>924</v>
      </c>
      <c r="J5867" s="168" t="s">
        <v>52</v>
      </c>
      <c r="K5867" s="226">
        <v>1500</v>
      </c>
      <c r="L5867" s="226"/>
    </row>
    <row r="5868" spans="1:16" ht="45" x14ac:dyDescent="0.2">
      <c r="A5868" s="133">
        <v>2022</v>
      </c>
      <c r="B5868" s="133">
        <v>2</v>
      </c>
      <c r="C5868" s="133">
        <v>13</v>
      </c>
      <c r="D5868" s="141">
        <f t="shared" si="252"/>
        <v>44605</v>
      </c>
      <c r="E5868" s="275">
        <f t="shared" si="253"/>
        <v>44605</v>
      </c>
      <c r="F5868" s="481"/>
      <c r="G5868" s="174" t="s">
        <v>74</v>
      </c>
      <c r="H5868" s="148" t="str" cm="1">
        <f t="array" ref="H5868">IFERROR(INDEX(INVESTOR_LIST[INVESTOR NAME],MATCH(I5868,INVESTOR_LIST[INVESTOR CODE],0),)," ")</f>
        <v>SHARMEEN MAHMUD</v>
      </c>
      <c r="I5868" s="148" t="s">
        <v>924</v>
      </c>
      <c r="J5868" s="133" t="s">
        <v>13</v>
      </c>
      <c r="K5868" s="218"/>
      <c r="L5868" s="218">
        <v>1190</v>
      </c>
      <c r="N5868" s="160"/>
    </row>
    <row r="5869" spans="1:16" ht="45" x14ac:dyDescent="0.2">
      <c r="A5869" s="163">
        <v>2022</v>
      </c>
      <c r="B5869" s="163">
        <v>2</v>
      </c>
      <c r="C5869" s="163">
        <v>13</v>
      </c>
      <c r="D5869" s="141">
        <f t="shared" si="252"/>
        <v>44605</v>
      </c>
      <c r="E5869" s="275">
        <f t="shared" si="253"/>
        <v>44605</v>
      </c>
      <c r="F5869" s="480"/>
      <c r="G5869" s="221" t="s">
        <v>74</v>
      </c>
      <c r="H5869" s="145" t="str" cm="1">
        <f t="array" ref="H5869">IFERROR(INDEX(INVESTOR_LIST[INVESTOR NAME],MATCH(I5869,INVESTOR_LIST[INVESTOR CODE],0),)," ")</f>
        <v>SHARMEEN MAHMUD</v>
      </c>
      <c r="I5869" s="145" t="s">
        <v>924</v>
      </c>
      <c r="J5869" s="163" t="s">
        <v>53</v>
      </c>
      <c r="K5869" s="219"/>
      <c r="L5869" s="219">
        <v>310</v>
      </c>
    </row>
    <row r="5870" spans="1:16" x14ac:dyDescent="0.2">
      <c r="A5870" s="168">
        <v>2022</v>
      </c>
      <c r="B5870" s="168">
        <v>2</v>
      </c>
      <c r="C5870" s="133">
        <v>13</v>
      </c>
      <c r="D5870" s="141">
        <f t="shared" si="252"/>
        <v>44605</v>
      </c>
      <c r="E5870" s="275">
        <f t="shared" si="253"/>
        <v>44605</v>
      </c>
      <c r="F5870" s="479" t="s">
        <v>1155</v>
      </c>
      <c r="G5870" s="220" t="s">
        <v>74</v>
      </c>
      <c r="H5870" s="142" t="str" cm="1">
        <f t="array" ref="H5870">IFERROR(INDEX(INVESTOR_LIST[INVESTOR NAME],MATCH(I5870,INVESTOR_LIST[INVESTOR CODE],0),)," ")</f>
        <v xml:space="preserve"> </v>
      </c>
      <c r="I5870" s="142"/>
      <c r="J5870" s="168" t="s">
        <v>358</v>
      </c>
      <c r="K5870" s="226">
        <v>41766.400000000001</v>
      </c>
      <c r="L5870" s="226"/>
    </row>
    <row r="5871" spans="1:16" x14ac:dyDescent="0.2">
      <c r="A5871" s="133">
        <v>2022</v>
      </c>
      <c r="B5871" s="133">
        <v>2</v>
      </c>
      <c r="C5871" s="133">
        <v>13</v>
      </c>
      <c r="D5871" s="141">
        <f t="shared" si="252"/>
        <v>44605</v>
      </c>
      <c r="E5871" s="275">
        <f t="shared" si="253"/>
        <v>44605</v>
      </c>
      <c r="F5871" s="481"/>
      <c r="G5871" s="174" t="s">
        <v>74</v>
      </c>
      <c r="H5871" s="148" t="str" cm="1">
        <f t="array" ref="H5871">IFERROR(INDEX(INVESTOR_LIST[INVESTOR NAME],MATCH(I5871,INVESTOR_LIST[INVESTOR CODE],0),)," ")</f>
        <v xml:space="preserve"> </v>
      </c>
      <c r="J5871" s="133" t="s">
        <v>534</v>
      </c>
      <c r="K5871" s="218"/>
      <c r="L5871" s="218">
        <v>2514.96</v>
      </c>
      <c r="M5871" s="160"/>
    </row>
    <row r="5872" spans="1:16" x14ac:dyDescent="0.2">
      <c r="A5872" s="163">
        <v>2022</v>
      </c>
      <c r="B5872" s="163">
        <v>2</v>
      </c>
      <c r="C5872" s="163">
        <v>13</v>
      </c>
      <c r="D5872" s="141">
        <f t="shared" si="252"/>
        <v>44605</v>
      </c>
      <c r="E5872" s="275">
        <f t="shared" si="253"/>
        <v>44605</v>
      </c>
      <c r="F5872" s="480"/>
      <c r="G5872" s="221" t="s">
        <v>74</v>
      </c>
      <c r="H5872" s="145" t="str" cm="1">
        <f t="array" ref="H5872">IFERROR(INDEX(INVESTOR_LIST[INVESTOR NAME],MATCH(I5872,INVESTOR_LIST[INVESTOR CODE],0),)," ")</f>
        <v xml:space="preserve"> </v>
      </c>
      <c r="I5872" s="145"/>
      <c r="J5872" s="163" t="s">
        <v>52</v>
      </c>
      <c r="K5872" s="219"/>
      <c r="L5872" s="219">
        <v>39251.440000000002</v>
      </c>
      <c r="O5872" s="160"/>
      <c r="P5872" s="160"/>
    </row>
    <row r="5873" spans="1:13" ht="22.5" x14ac:dyDescent="0.2">
      <c r="A5873" s="168">
        <v>2022</v>
      </c>
      <c r="B5873" s="168">
        <v>2</v>
      </c>
      <c r="C5873" s="133">
        <v>13</v>
      </c>
      <c r="D5873" s="141">
        <f t="shared" ref="D5873:D5875" si="254">DATE(A5873,B5873,C5873)</f>
        <v>44605</v>
      </c>
      <c r="E5873" s="275">
        <f t="shared" ref="E5873:E5875" si="255">DATE(A5873,B5873,C5873)</f>
        <v>44605</v>
      </c>
      <c r="F5873" s="479" t="s">
        <v>1315</v>
      </c>
      <c r="G5873" s="220" t="s">
        <v>74</v>
      </c>
      <c r="H5873" s="142" t="str" cm="1">
        <f t="array" ref="H5873">IFERROR(INDEX(INVESTOR_LIST[INVESTOR NAME],MATCH(I5873,INVESTOR_LIST[INVESTOR CODE],0),)," ")</f>
        <v>RAIS-UR-RUBBI</v>
      </c>
      <c r="I5873" s="142" t="s">
        <v>680</v>
      </c>
      <c r="J5873" s="168" t="s">
        <v>13</v>
      </c>
      <c r="K5873" s="226">
        <v>670</v>
      </c>
      <c r="L5873" s="226"/>
    </row>
    <row r="5874" spans="1:13" ht="22.5" x14ac:dyDescent="0.2">
      <c r="A5874" s="133">
        <v>2022</v>
      </c>
      <c r="B5874" s="133">
        <v>2</v>
      </c>
      <c r="C5874" s="133">
        <v>13</v>
      </c>
      <c r="D5874" s="141">
        <f t="shared" si="254"/>
        <v>44605</v>
      </c>
      <c r="E5874" s="275">
        <f t="shared" si="255"/>
        <v>44605</v>
      </c>
      <c r="F5874" s="481"/>
      <c r="G5874" s="174" t="s">
        <v>74</v>
      </c>
      <c r="H5874" s="148" t="str" cm="1">
        <f t="array" ref="H5874">IFERROR(INDEX(INVESTOR_LIST[INVESTOR NAME],MATCH(I5874,INVESTOR_LIST[INVESTOR CODE],0),)," ")</f>
        <v>RAIS-UR-RUBBI</v>
      </c>
      <c r="I5874" s="148" t="s">
        <v>680</v>
      </c>
      <c r="J5874" s="133" t="s">
        <v>53</v>
      </c>
      <c r="K5874" s="218">
        <v>168.32</v>
      </c>
      <c r="L5874" s="218"/>
    </row>
    <row r="5875" spans="1:13" ht="22.5" x14ac:dyDescent="0.2">
      <c r="A5875" s="163">
        <v>2022</v>
      </c>
      <c r="B5875" s="163">
        <v>2</v>
      </c>
      <c r="C5875" s="163">
        <v>13</v>
      </c>
      <c r="D5875" s="141">
        <f t="shared" si="254"/>
        <v>44605</v>
      </c>
      <c r="E5875" s="275">
        <f t="shared" si="255"/>
        <v>44605</v>
      </c>
      <c r="F5875" s="480"/>
      <c r="G5875" s="221" t="s">
        <v>74</v>
      </c>
      <c r="H5875" s="145" t="str" cm="1">
        <f t="array" ref="H5875">IFERROR(INDEX(INVESTOR_LIST[INVESTOR NAME],MATCH(I5875,INVESTOR_LIST[INVESTOR CODE],0),)," ")</f>
        <v>RAIS-UR-RUBBI</v>
      </c>
      <c r="I5875" s="145" t="s">
        <v>680</v>
      </c>
      <c r="J5875" s="163" t="s">
        <v>52</v>
      </c>
      <c r="K5875" s="219"/>
      <c r="L5875" s="219">
        <v>838.31999999999971</v>
      </c>
      <c r="M5875" s="160"/>
    </row>
    <row r="5876" spans="1:13" ht="45" x14ac:dyDescent="0.2">
      <c r="A5876" s="168">
        <v>2022</v>
      </c>
      <c r="B5876" s="168">
        <v>2</v>
      </c>
      <c r="C5876" s="133">
        <v>13</v>
      </c>
      <c r="D5876" s="141">
        <f t="shared" ref="D5876:D5880" si="256">DATE(A5876,B5876,C5876)</f>
        <v>44605</v>
      </c>
      <c r="E5876" s="275">
        <f t="shared" ref="E5876:E5880" si="257">DATE(A5876,B5876,C5876)</f>
        <v>44605</v>
      </c>
      <c r="F5876" s="479" t="s">
        <v>964</v>
      </c>
      <c r="G5876" s="220" t="s">
        <v>74</v>
      </c>
      <c r="H5876" s="142" t="str" cm="1">
        <f t="array" ref="H5876">IFERROR(INDEX(INVESTOR_LIST[INVESTOR NAME],MATCH(I5876,INVESTOR_LIST[INVESTOR CODE],0),)," ")</f>
        <v>QUAZI TOWFIQUE UDDIN</v>
      </c>
      <c r="I5876" s="142" t="s">
        <v>704</v>
      </c>
      <c r="J5876" s="168" t="s">
        <v>52</v>
      </c>
      <c r="K5876" s="226">
        <v>31000</v>
      </c>
      <c r="L5876" s="226"/>
    </row>
    <row r="5877" spans="1:13" ht="45" x14ac:dyDescent="0.2">
      <c r="A5877" s="133">
        <v>2022</v>
      </c>
      <c r="B5877" s="133">
        <v>2</v>
      </c>
      <c r="C5877" s="133">
        <v>13</v>
      </c>
      <c r="D5877" s="141">
        <f t="shared" si="256"/>
        <v>44605</v>
      </c>
      <c r="E5877" s="275">
        <f t="shared" si="257"/>
        <v>44605</v>
      </c>
      <c r="F5877" s="481"/>
      <c r="G5877" s="174" t="s">
        <v>74</v>
      </c>
      <c r="H5877" s="148" t="str" cm="1">
        <f t="array" ref="H5877">IFERROR(INDEX(INVESTOR_LIST[INVESTOR NAME],MATCH(I5877,INVESTOR_LIST[INVESTOR CODE],0),)," ")</f>
        <v>QUAZI TOWFIQUE UDDIN</v>
      </c>
      <c r="I5877" s="148" t="s">
        <v>704</v>
      </c>
      <c r="J5877" s="133" t="s">
        <v>13</v>
      </c>
      <c r="K5877" s="218"/>
      <c r="L5877" s="218">
        <v>24620</v>
      </c>
    </row>
    <row r="5878" spans="1:13" ht="45" x14ac:dyDescent="0.2">
      <c r="A5878" s="163">
        <v>2022</v>
      </c>
      <c r="B5878" s="163">
        <v>2</v>
      </c>
      <c r="C5878" s="163">
        <v>13</v>
      </c>
      <c r="D5878" s="141">
        <f t="shared" si="256"/>
        <v>44605</v>
      </c>
      <c r="E5878" s="275">
        <f t="shared" si="257"/>
        <v>44605</v>
      </c>
      <c r="F5878" s="480"/>
      <c r="G5878" s="221" t="s">
        <v>74</v>
      </c>
      <c r="H5878" s="145" t="str" cm="1">
        <f t="array" ref="H5878">IFERROR(INDEX(INVESTOR_LIST[INVESTOR NAME],MATCH(I5878,INVESTOR_LIST[INVESTOR CODE],0),)," ")</f>
        <v>QUAZI TOWFIQUE UDDIN</v>
      </c>
      <c r="I5878" s="145" t="s">
        <v>704</v>
      </c>
      <c r="J5878" s="163" t="s">
        <v>53</v>
      </c>
      <c r="K5878" s="219"/>
      <c r="L5878" s="219">
        <v>6380</v>
      </c>
    </row>
    <row r="5879" spans="1:13" x14ac:dyDescent="0.2">
      <c r="A5879" s="168">
        <v>2022</v>
      </c>
      <c r="B5879" s="168">
        <v>2</v>
      </c>
      <c r="C5879" s="133">
        <v>13</v>
      </c>
      <c r="D5879" s="141">
        <f t="shared" si="256"/>
        <v>44605</v>
      </c>
      <c r="E5879" s="275">
        <f t="shared" si="257"/>
        <v>44605</v>
      </c>
      <c r="F5879" s="479" t="s">
        <v>1156</v>
      </c>
      <c r="G5879" s="220" t="s">
        <v>74</v>
      </c>
      <c r="H5879" s="142" t="str" cm="1">
        <f t="array" ref="H5879">IFERROR(INDEX(INVESTOR_LIST[INVESTOR NAME],MATCH(I5879,INVESTOR_LIST[INVESTOR CODE],0),)," ")</f>
        <v xml:space="preserve"> </v>
      </c>
      <c r="I5879" s="142"/>
      <c r="J5879" s="168" t="s">
        <v>358</v>
      </c>
      <c r="K5879" s="226">
        <v>19476.599999999999</v>
      </c>
      <c r="L5879" s="226"/>
    </row>
    <row r="5880" spans="1:13" x14ac:dyDescent="0.2">
      <c r="A5880" s="163">
        <v>2022</v>
      </c>
      <c r="B5880" s="163">
        <v>2</v>
      </c>
      <c r="C5880" s="163">
        <v>13</v>
      </c>
      <c r="D5880" s="141">
        <f t="shared" si="256"/>
        <v>44605</v>
      </c>
      <c r="E5880" s="275">
        <f t="shared" si="257"/>
        <v>44605</v>
      </c>
      <c r="F5880" s="480"/>
      <c r="G5880" s="221" t="s">
        <v>74</v>
      </c>
      <c r="H5880" s="145" t="str" cm="1">
        <f t="array" ref="H5880">IFERROR(INDEX(INVESTOR_LIST[INVESTOR NAME],MATCH(I5880,INVESTOR_LIST[INVESTOR CODE],0),)," ")</f>
        <v xml:space="preserve"> </v>
      </c>
      <c r="I5880" s="145"/>
      <c r="J5880" s="163" t="s">
        <v>52</v>
      </c>
      <c r="K5880" s="219"/>
      <c r="L5880" s="219">
        <v>19476.599999999999</v>
      </c>
    </row>
    <row r="5881" spans="1:13" x14ac:dyDescent="0.2">
      <c r="A5881" s="147">
        <v>2022</v>
      </c>
      <c r="B5881" s="147">
        <v>2</v>
      </c>
      <c r="C5881" s="147">
        <v>13</v>
      </c>
      <c r="D5881" s="141">
        <f t="shared" si="248"/>
        <v>44605</v>
      </c>
      <c r="E5881" s="275">
        <f t="shared" si="249"/>
        <v>44605</v>
      </c>
      <c r="F5881" s="481" t="s">
        <v>265</v>
      </c>
      <c r="G5881" s="174" t="s">
        <v>74</v>
      </c>
      <c r="H5881" s="174" t="str" cm="1">
        <f t="array" ref="H5881">IFERROR(INDEX(INVESTOR_LIST[INVESTOR NAME],MATCH(I5881,INVESTOR_LIST[INVESTOR CODE],0),)," ")</f>
        <v xml:space="preserve"> </v>
      </c>
      <c r="I5881" s="148" t="s">
        <v>348</v>
      </c>
      <c r="J5881" s="149" t="s">
        <v>175</v>
      </c>
      <c r="K5881" s="218">
        <v>76976.92</v>
      </c>
      <c r="L5881" s="218"/>
    </row>
    <row r="5882" spans="1:13" x14ac:dyDescent="0.2">
      <c r="A5882" s="144">
        <v>2022</v>
      </c>
      <c r="B5882" s="144">
        <v>2</v>
      </c>
      <c r="C5882" s="144">
        <v>13</v>
      </c>
      <c r="D5882" s="141">
        <f t="shared" si="248"/>
        <v>44605</v>
      </c>
      <c r="E5882" s="275">
        <f t="shared" si="249"/>
        <v>44605</v>
      </c>
      <c r="F5882" s="480"/>
      <c r="G5882" s="221" t="s">
        <v>74</v>
      </c>
      <c r="H5882" s="221" t="str" cm="1">
        <f t="array" ref="H5882">IFERROR(INDEX(INVESTOR_LIST[INVESTOR NAME],MATCH(I5882,INVESTOR_LIST[INVESTOR CODE],0),)," ")</f>
        <v xml:space="preserve"> </v>
      </c>
      <c r="I5882" s="145" t="s">
        <v>348</v>
      </c>
      <c r="J5882" s="146" t="s">
        <v>52</v>
      </c>
      <c r="K5882" s="219"/>
      <c r="L5882" s="219">
        <v>76976.92</v>
      </c>
    </row>
    <row r="5883" spans="1:13" x14ac:dyDescent="0.2">
      <c r="A5883" s="133">
        <v>2022</v>
      </c>
      <c r="B5883" s="133">
        <v>2</v>
      </c>
      <c r="C5883" s="133">
        <v>14</v>
      </c>
      <c r="D5883" s="141">
        <f t="shared" si="248"/>
        <v>44606</v>
      </c>
      <c r="E5883" s="275">
        <f t="shared" si="249"/>
        <v>44606</v>
      </c>
      <c r="F5883" s="481" t="s">
        <v>1033</v>
      </c>
      <c r="G5883" s="174" t="s">
        <v>94</v>
      </c>
      <c r="H5883" s="174" t="str" cm="1">
        <f t="array" ref="H5883">IFERROR(INDEX(INVESTOR_LIST[INVESTOR NAME],MATCH(I5883,INVESTOR_LIST[INVESTOR CODE],0),)," ")</f>
        <v xml:space="preserve"> </v>
      </c>
      <c r="I5883" s="148" t="s">
        <v>348</v>
      </c>
      <c r="J5883" s="149" t="s">
        <v>190</v>
      </c>
      <c r="K5883" s="218">
        <v>814563.94</v>
      </c>
      <c r="L5883" s="218"/>
    </row>
    <row r="5884" spans="1:13" x14ac:dyDescent="0.2">
      <c r="A5884" s="133">
        <v>2022</v>
      </c>
      <c r="B5884" s="133">
        <v>2</v>
      </c>
      <c r="C5884" s="133">
        <v>14</v>
      </c>
      <c r="D5884" s="141">
        <f t="shared" si="248"/>
        <v>44606</v>
      </c>
      <c r="E5884" s="275">
        <f t="shared" si="249"/>
        <v>44606</v>
      </c>
      <c r="F5884" s="481"/>
      <c r="G5884" s="174" t="s">
        <v>94</v>
      </c>
      <c r="H5884" s="174" t="str" cm="1">
        <f t="array" ref="H5884">IFERROR(INDEX(INVESTOR_LIST[INVESTOR NAME],MATCH(I5884,INVESTOR_LIST[INVESTOR CODE],0),)," ")</f>
        <v xml:space="preserve"> </v>
      </c>
      <c r="I5884" s="148" t="s">
        <v>348</v>
      </c>
      <c r="J5884" s="149" t="s">
        <v>80</v>
      </c>
      <c r="K5884" s="218">
        <v>1468.86</v>
      </c>
      <c r="L5884" s="218"/>
    </row>
    <row r="5885" spans="1:13" x14ac:dyDescent="0.2">
      <c r="A5885" s="133">
        <v>2022</v>
      </c>
      <c r="B5885" s="133">
        <v>2</v>
      </c>
      <c r="C5885" s="133">
        <v>14</v>
      </c>
      <c r="D5885" s="141">
        <f t="shared" si="248"/>
        <v>44606</v>
      </c>
      <c r="E5885" s="275">
        <f t="shared" si="249"/>
        <v>44606</v>
      </c>
      <c r="F5885" s="481"/>
      <c r="G5885" s="174" t="s">
        <v>94</v>
      </c>
      <c r="H5885" s="174" t="str" cm="1">
        <f t="array" ref="H5885">IFERROR(INDEX(INVESTOR_LIST[INVESTOR NAME],MATCH(I5885,INVESTOR_LIST[INVESTOR CODE],0),)," ")</f>
        <v xml:space="preserve"> </v>
      </c>
      <c r="I5885" s="148" t="s">
        <v>348</v>
      </c>
      <c r="J5885" s="149" t="s">
        <v>191</v>
      </c>
      <c r="K5885" s="218"/>
      <c r="L5885" s="218">
        <v>661222.80000000005</v>
      </c>
    </row>
    <row r="5886" spans="1:13" x14ac:dyDescent="0.2">
      <c r="A5886" s="163">
        <v>2022</v>
      </c>
      <c r="B5886" s="163">
        <v>2</v>
      </c>
      <c r="C5886" s="163">
        <v>14</v>
      </c>
      <c r="D5886" s="280">
        <f t="shared" si="248"/>
        <v>44606</v>
      </c>
      <c r="E5886" s="281">
        <f t="shared" si="249"/>
        <v>44606</v>
      </c>
      <c r="F5886" s="480"/>
      <c r="G5886" s="221" t="s">
        <v>94</v>
      </c>
      <c r="H5886" s="145" t="str" cm="1">
        <f t="array" ref="H5886">IFERROR(INDEX(INVESTOR_LIST[INVESTOR NAME],MATCH(I5886,INVESTOR_LIST[INVESTOR CODE],0),)," ")</f>
        <v xml:space="preserve"> </v>
      </c>
      <c r="I5886" s="145"/>
      <c r="J5886" s="163" t="s">
        <v>79</v>
      </c>
      <c r="K5886" s="219"/>
      <c r="L5886" s="219">
        <v>154810</v>
      </c>
    </row>
    <row r="5887" spans="1:13" x14ac:dyDescent="0.2">
      <c r="A5887" s="168">
        <v>2022</v>
      </c>
      <c r="B5887" s="168">
        <v>2</v>
      </c>
      <c r="C5887" s="168">
        <v>15</v>
      </c>
      <c r="D5887" s="141">
        <f t="shared" si="248"/>
        <v>44607</v>
      </c>
      <c r="E5887" s="275">
        <f t="shared" si="249"/>
        <v>44607</v>
      </c>
      <c r="F5887" s="479" t="s">
        <v>362</v>
      </c>
      <c r="G5887" s="220" t="s">
        <v>74</v>
      </c>
      <c r="H5887" s="220" t="str" cm="1">
        <f t="array" ref="H5887">IFERROR(INDEX(INVESTOR_LIST[INVESTOR NAME],MATCH(I5887,INVESTOR_LIST[INVESTOR CODE],0),)," ")</f>
        <v xml:space="preserve"> </v>
      </c>
      <c r="I5887" s="142" t="s">
        <v>348</v>
      </c>
      <c r="J5887" s="143" t="s">
        <v>104</v>
      </c>
      <c r="K5887" s="226">
        <v>2323.8200000000002</v>
      </c>
      <c r="L5887" s="226"/>
    </row>
    <row r="5888" spans="1:13" x14ac:dyDescent="0.2">
      <c r="A5888" s="163">
        <v>2022</v>
      </c>
      <c r="B5888" s="163">
        <v>2</v>
      </c>
      <c r="C5888" s="163">
        <v>15</v>
      </c>
      <c r="D5888" s="141">
        <f t="shared" si="248"/>
        <v>44607</v>
      </c>
      <c r="E5888" s="275">
        <f t="shared" si="249"/>
        <v>44607</v>
      </c>
      <c r="F5888" s="480"/>
      <c r="G5888" s="221" t="s">
        <v>74</v>
      </c>
      <c r="H5888" s="221" t="str" cm="1">
        <f t="array" ref="H5888">IFERROR(INDEX(INVESTOR_LIST[INVESTOR NAME],MATCH(I5888,INVESTOR_LIST[INVESTOR CODE],0),)," ")</f>
        <v xml:space="preserve"> </v>
      </c>
      <c r="I5888" s="145" t="s">
        <v>348</v>
      </c>
      <c r="J5888" s="146" t="s">
        <v>52</v>
      </c>
      <c r="K5888" s="219"/>
      <c r="L5888" s="219">
        <v>2323.8200000000002</v>
      </c>
    </row>
    <row r="5889" spans="1:13" ht="33.75" x14ac:dyDescent="0.2">
      <c r="A5889" s="168">
        <v>2022</v>
      </c>
      <c r="B5889" s="168">
        <v>2</v>
      </c>
      <c r="C5889" s="133">
        <v>15</v>
      </c>
      <c r="D5889" s="141">
        <f t="shared" si="248"/>
        <v>44607</v>
      </c>
      <c r="E5889" s="275">
        <f t="shared" si="249"/>
        <v>44607</v>
      </c>
      <c r="F5889" s="479" t="s">
        <v>964</v>
      </c>
      <c r="G5889" s="220" t="s">
        <v>74</v>
      </c>
      <c r="H5889" s="142" t="str" cm="1">
        <f t="array" ref="H5889">IFERROR(INDEX(INVESTOR_LIST[INVESTOR NAME],MATCH(I5889,INVESTOR_LIST[INVESTOR CODE],0),)," ")</f>
        <v>KAZI AHSAN MARUF</v>
      </c>
      <c r="I5889" s="142" t="s">
        <v>423</v>
      </c>
      <c r="J5889" s="168" t="s">
        <v>52</v>
      </c>
      <c r="K5889" s="226">
        <v>100000</v>
      </c>
      <c r="L5889" s="226"/>
    </row>
    <row r="5890" spans="1:13" ht="33.75" x14ac:dyDescent="0.2">
      <c r="A5890" s="133">
        <v>2022</v>
      </c>
      <c r="B5890" s="133">
        <v>2</v>
      </c>
      <c r="C5890" s="133">
        <v>15</v>
      </c>
      <c r="D5890" s="141">
        <f t="shared" si="248"/>
        <v>44607</v>
      </c>
      <c r="E5890" s="275">
        <f t="shared" si="249"/>
        <v>44607</v>
      </c>
      <c r="F5890" s="481"/>
      <c r="G5890" s="174" t="s">
        <v>74</v>
      </c>
      <c r="H5890" s="148" t="str" cm="1">
        <f t="array" ref="H5890">IFERROR(INDEX(INVESTOR_LIST[INVESTOR NAME],MATCH(I5890,INVESTOR_LIST[INVESTOR CODE],0),)," ")</f>
        <v>KAZI AHSAN MARUF</v>
      </c>
      <c r="I5890" s="148" t="s">
        <v>423</v>
      </c>
      <c r="J5890" s="133" t="s">
        <v>13</v>
      </c>
      <c r="K5890" s="218"/>
      <c r="L5890" s="218">
        <v>79430</v>
      </c>
      <c r="M5890" s="160"/>
    </row>
    <row r="5891" spans="1:13" ht="33.75" x14ac:dyDescent="0.2">
      <c r="A5891" s="163">
        <v>2022</v>
      </c>
      <c r="B5891" s="163">
        <v>2</v>
      </c>
      <c r="C5891" s="163">
        <v>15</v>
      </c>
      <c r="D5891" s="141">
        <f t="shared" si="248"/>
        <v>44607</v>
      </c>
      <c r="E5891" s="275">
        <f t="shared" si="249"/>
        <v>44607</v>
      </c>
      <c r="F5891" s="480"/>
      <c r="G5891" s="221" t="s">
        <v>74</v>
      </c>
      <c r="H5891" s="145" t="str" cm="1">
        <f t="array" ref="H5891">IFERROR(INDEX(INVESTOR_LIST[INVESTOR NAME],MATCH(I5891,INVESTOR_LIST[INVESTOR CODE],0),)," ")</f>
        <v>KAZI AHSAN MARUF</v>
      </c>
      <c r="I5891" s="145" t="s">
        <v>423</v>
      </c>
      <c r="J5891" s="163" t="s">
        <v>53</v>
      </c>
      <c r="K5891" s="219"/>
      <c r="L5891" s="219">
        <v>20570</v>
      </c>
    </row>
    <row r="5892" spans="1:13" x14ac:dyDescent="0.2">
      <c r="A5892" s="133">
        <v>2022</v>
      </c>
      <c r="B5892" s="133">
        <v>2</v>
      </c>
      <c r="C5892" s="133">
        <v>15</v>
      </c>
      <c r="D5892" s="141">
        <f t="shared" ref="D5892:D5895" si="258">DATE(A5892,B5892,C5892)</f>
        <v>44607</v>
      </c>
      <c r="E5892" s="275">
        <f t="shared" ref="E5892:E5895" si="259">DATE(A5892,B5892,C5892)</f>
        <v>44607</v>
      </c>
      <c r="F5892" s="479" t="s">
        <v>77</v>
      </c>
      <c r="G5892" s="174" t="s">
        <v>74</v>
      </c>
      <c r="H5892" s="148" t="str" cm="1">
        <f t="array" ref="H5892">IFERROR(INDEX(INVESTOR_LIST[INVESTOR NAME],MATCH(I5892,INVESTOR_LIST[INVESTOR CODE],0),)," ")</f>
        <v xml:space="preserve"> </v>
      </c>
      <c r="I5892" s="148" t="s">
        <v>348</v>
      </c>
      <c r="J5892" s="133" t="s">
        <v>61</v>
      </c>
      <c r="K5892" s="172">
        <v>10</v>
      </c>
      <c r="M5892" s="160">
        <v>5702</v>
      </c>
    </row>
    <row r="5893" spans="1:13" x14ac:dyDescent="0.2">
      <c r="A5893" s="163">
        <v>2022</v>
      </c>
      <c r="B5893" s="163">
        <v>2</v>
      </c>
      <c r="C5893" s="163">
        <v>15</v>
      </c>
      <c r="D5893" s="141">
        <f t="shared" si="258"/>
        <v>44607</v>
      </c>
      <c r="E5893" s="275">
        <f t="shared" si="259"/>
        <v>44607</v>
      </c>
      <c r="F5893" s="480"/>
      <c r="G5893" s="221" t="s">
        <v>74</v>
      </c>
      <c r="H5893" s="145" t="str" cm="1">
        <f t="array" ref="H5893">IFERROR(INDEX(INVESTOR_LIST[INVESTOR NAME],MATCH(I5893,INVESTOR_LIST[INVESTOR CODE],0),)," ")</f>
        <v xml:space="preserve"> </v>
      </c>
      <c r="I5893" s="145" t="s">
        <v>348</v>
      </c>
      <c r="J5893" s="163" t="s">
        <v>52</v>
      </c>
      <c r="K5893" s="219"/>
      <c r="L5893" s="219">
        <v>10</v>
      </c>
    </row>
    <row r="5894" spans="1:13" x14ac:dyDescent="0.2">
      <c r="A5894" s="133">
        <v>2022</v>
      </c>
      <c r="B5894" s="133">
        <v>2</v>
      </c>
      <c r="C5894" s="133">
        <v>15</v>
      </c>
      <c r="D5894" s="141">
        <f t="shared" si="258"/>
        <v>44607</v>
      </c>
      <c r="E5894" s="275">
        <f t="shared" si="259"/>
        <v>44607</v>
      </c>
      <c r="F5894" s="479" t="s">
        <v>1321</v>
      </c>
      <c r="G5894" s="174" t="s">
        <v>94</v>
      </c>
      <c r="H5894" s="148" t="str" cm="1">
        <f t="array" ref="H5894">IFERROR(INDEX(INVESTOR_LIST[INVESTOR NAME],MATCH(I5894,INVESTOR_LIST[INVESTOR CODE],0),)," ")</f>
        <v xml:space="preserve"> </v>
      </c>
      <c r="I5894" s="148" t="s">
        <v>348</v>
      </c>
      <c r="J5894" s="133" t="s">
        <v>168</v>
      </c>
      <c r="K5894" s="172">
        <v>80000</v>
      </c>
    </row>
    <row r="5895" spans="1:13" x14ac:dyDescent="0.2">
      <c r="A5895" s="163">
        <v>2022</v>
      </c>
      <c r="B5895" s="163">
        <v>2</v>
      </c>
      <c r="C5895" s="163">
        <v>15</v>
      </c>
      <c r="D5895" s="141">
        <f t="shared" si="258"/>
        <v>44607</v>
      </c>
      <c r="E5895" s="275">
        <f t="shared" si="259"/>
        <v>44607</v>
      </c>
      <c r="F5895" s="480"/>
      <c r="G5895" s="221" t="s">
        <v>94</v>
      </c>
      <c r="H5895" s="145" t="str" cm="1">
        <f t="array" ref="H5895">IFERROR(INDEX(INVESTOR_LIST[INVESTOR NAME],MATCH(I5895,INVESTOR_LIST[INVESTOR CODE],0),)," ")</f>
        <v xml:space="preserve"> </v>
      </c>
      <c r="I5895" s="145" t="s">
        <v>348</v>
      </c>
      <c r="J5895" s="163" t="s">
        <v>166</v>
      </c>
      <c r="K5895" s="219"/>
      <c r="L5895" s="219">
        <v>80000</v>
      </c>
    </row>
    <row r="5896" spans="1:13" x14ac:dyDescent="0.2">
      <c r="A5896" s="168">
        <v>2022</v>
      </c>
      <c r="B5896" s="168">
        <v>2</v>
      </c>
      <c r="C5896" s="168">
        <v>16</v>
      </c>
      <c r="D5896" s="141">
        <f t="shared" si="248"/>
        <v>44608</v>
      </c>
      <c r="E5896" s="275">
        <f t="shared" si="249"/>
        <v>44608</v>
      </c>
      <c r="F5896" s="479" t="s">
        <v>981</v>
      </c>
      <c r="G5896" s="220" t="s">
        <v>74</v>
      </c>
      <c r="H5896" s="220" t="str" cm="1">
        <f t="array" ref="H5896">IFERROR(INDEX(INVESTOR_LIST[INVESTOR NAME],MATCH(I5896,INVESTOR_LIST[INVESTOR CODE],0),)," ")</f>
        <v xml:space="preserve"> </v>
      </c>
      <c r="I5896" s="142" t="s">
        <v>348</v>
      </c>
      <c r="J5896" s="143" t="s">
        <v>52</v>
      </c>
      <c r="K5896" s="226">
        <v>814563.94</v>
      </c>
      <c r="L5896" s="226"/>
    </row>
    <row r="5897" spans="1:13" x14ac:dyDescent="0.2">
      <c r="A5897" s="163">
        <v>2022</v>
      </c>
      <c r="B5897" s="163">
        <v>2</v>
      </c>
      <c r="C5897" s="163">
        <v>16</v>
      </c>
      <c r="D5897" s="141">
        <f t="shared" si="248"/>
        <v>44608</v>
      </c>
      <c r="E5897" s="275">
        <f t="shared" si="249"/>
        <v>44608</v>
      </c>
      <c r="F5897" s="480"/>
      <c r="G5897" s="221" t="s">
        <v>74</v>
      </c>
      <c r="H5897" s="221" t="str" cm="1">
        <f t="array" ref="H5897">IFERROR(INDEX(INVESTOR_LIST[INVESTOR NAME],MATCH(I5897,INVESTOR_LIST[INVESTOR CODE],0),)," ")</f>
        <v xml:space="preserve"> </v>
      </c>
      <c r="I5897" s="145" t="s">
        <v>348</v>
      </c>
      <c r="J5897" s="146" t="s">
        <v>190</v>
      </c>
      <c r="K5897" s="219"/>
      <c r="L5897" s="219">
        <v>814563.94</v>
      </c>
    </row>
    <row r="5898" spans="1:13" ht="33.75" x14ac:dyDescent="0.2">
      <c r="A5898" s="168">
        <v>2022</v>
      </c>
      <c r="B5898" s="168">
        <v>2</v>
      </c>
      <c r="C5898" s="133">
        <v>16</v>
      </c>
      <c r="D5898" s="141">
        <f t="shared" ref="D5898:D5900" si="260">DATE(A5898,B5898,C5898)</f>
        <v>44608</v>
      </c>
      <c r="E5898" s="275">
        <f t="shared" ref="E5898:E5900" si="261">DATE(A5898,B5898,C5898)</f>
        <v>44608</v>
      </c>
      <c r="F5898" s="479" t="s">
        <v>965</v>
      </c>
      <c r="G5898" s="220" t="s">
        <v>74</v>
      </c>
      <c r="H5898" s="142" t="str" cm="1">
        <f t="array" ref="H5898">IFERROR(INDEX(INVESTOR_LIST[INVESTOR NAME],MATCH(I5898,INVESTOR_LIST[INVESTOR CODE],0),)," ")</f>
        <v>HASIB MUSTABSIR</v>
      </c>
      <c r="I5898" s="142" t="s">
        <v>521</v>
      </c>
      <c r="J5898" s="168" t="s">
        <v>13</v>
      </c>
      <c r="K5898" s="226">
        <v>216570</v>
      </c>
      <c r="L5898" s="226"/>
    </row>
    <row r="5899" spans="1:13" ht="33.75" x14ac:dyDescent="0.2">
      <c r="A5899" s="133">
        <v>2022</v>
      </c>
      <c r="B5899" s="133">
        <v>2</v>
      </c>
      <c r="C5899" s="133">
        <v>16</v>
      </c>
      <c r="D5899" s="141">
        <f t="shared" si="260"/>
        <v>44608</v>
      </c>
      <c r="E5899" s="275">
        <f t="shared" si="261"/>
        <v>44608</v>
      </c>
      <c r="F5899" s="481"/>
      <c r="G5899" s="174" t="s">
        <v>74</v>
      </c>
      <c r="H5899" s="148" t="str" cm="1">
        <f t="array" ref="H5899">IFERROR(INDEX(INVESTOR_LIST[INVESTOR NAME],MATCH(I5899,INVESTOR_LIST[INVESTOR CODE],0),)," ")</f>
        <v>HASIB MUSTABSIR</v>
      </c>
      <c r="I5899" s="148" t="s">
        <v>521</v>
      </c>
      <c r="J5899" s="133" t="s">
        <v>53</v>
      </c>
      <c r="K5899" s="218">
        <v>56091.63</v>
      </c>
      <c r="L5899" s="218"/>
    </row>
    <row r="5900" spans="1:13" ht="33.75" x14ac:dyDescent="0.2">
      <c r="A5900" s="163">
        <v>2022</v>
      </c>
      <c r="B5900" s="163">
        <v>2</v>
      </c>
      <c r="C5900" s="163">
        <v>16</v>
      </c>
      <c r="D5900" s="141">
        <f t="shared" si="260"/>
        <v>44608</v>
      </c>
      <c r="E5900" s="275">
        <f t="shared" si="261"/>
        <v>44608</v>
      </c>
      <c r="F5900" s="480"/>
      <c r="G5900" s="221" t="s">
        <v>74</v>
      </c>
      <c r="H5900" s="145" t="str" cm="1">
        <f t="array" ref="H5900">IFERROR(INDEX(INVESTOR_LIST[INVESTOR NAME],MATCH(I5900,INVESTOR_LIST[INVESTOR CODE],0),)," ")</f>
        <v>HASIB MUSTABSIR</v>
      </c>
      <c r="I5900" s="145" t="s">
        <v>521</v>
      </c>
      <c r="J5900" s="163" t="s">
        <v>52</v>
      </c>
      <c r="K5900" s="219"/>
      <c r="L5900" s="219">
        <v>272661.63</v>
      </c>
    </row>
    <row r="5901" spans="1:13" ht="45" x14ac:dyDescent="0.2">
      <c r="A5901" s="168">
        <v>2022</v>
      </c>
      <c r="B5901" s="168">
        <v>2</v>
      </c>
      <c r="C5901" s="133">
        <v>16</v>
      </c>
      <c r="D5901" s="141">
        <f t="shared" ref="D5901:D5914" si="262">DATE(A5901,B5901,C5901)</f>
        <v>44608</v>
      </c>
      <c r="E5901" s="275">
        <f t="shared" ref="E5901:E5914" si="263">DATE(A5901,B5901,C5901)</f>
        <v>44608</v>
      </c>
      <c r="F5901" s="479" t="s">
        <v>964</v>
      </c>
      <c r="G5901" s="220" t="s">
        <v>74</v>
      </c>
      <c r="H5901" s="142" t="str" cm="1">
        <f t="array" ref="H5901">IFERROR(INDEX(INVESTOR_LIST[INVESTOR NAME],MATCH(I5901,INVESTOR_LIST[INVESTOR CODE],0),)," ")</f>
        <v>B. M. ASIFUR RAHMAN FARHAD</v>
      </c>
      <c r="I5901" s="142" t="s">
        <v>1305</v>
      </c>
      <c r="J5901" s="168" t="s">
        <v>52</v>
      </c>
      <c r="K5901" s="226">
        <v>5036</v>
      </c>
      <c r="L5901" s="226"/>
    </row>
    <row r="5902" spans="1:13" ht="45" x14ac:dyDescent="0.2">
      <c r="A5902" s="133">
        <v>2022</v>
      </c>
      <c r="B5902" s="133">
        <v>2</v>
      </c>
      <c r="C5902" s="133">
        <v>16</v>
      </c>
      <c r="D5902" s="141">
        <f t="shared" si="262"/>
        <v>44608</v>
      </c>
      <c r="E5902" s="275">
        <f t="shared" si="263"/>
        <v>44608</v>
      </c>
      <c r="F5902" s="481"/>
      <c r="G5902" s="174" t="s">
        <v>74</v>
      </c>
      <c r="H5902" s="148" t="str" cm="1">
        <f t="array" ref="H5902">IFERROR(INDEX(INVESTOR_LIST[INVESTOR NAME],MATCH(I5902,INVESTOR_LIST[INVESTOR CODE],0),)," ")</f>
        <v>B. M. ASIFUR RAHMAN FARHAD</v>
      </c>
      <c r="I5902" s="148" t="s">
        <v>1305</v>
      </c>
      <c r="J5902" s="133" t="s">
        <v>13</v>
      </c>
      <c r="K5902" s="218"/>
      <c r="L5902" s="218">
        <v>4000</v>
      </c>
    </row>
    <row r="5903" spans="1:13" ht="45" x14ac:dyDescent="0.2">
      <c r="A5903" s="163">
        <v>2022</v>
      </c>
      <c r="B5903" s="163">
        <v>2</v>
      </c>
      <c r="C5903" s="163">
        <v>16</v>
      </c>
      <c r="D5903" s="141">
        <f t="shared" si="262"/>
        <v>44608</v>
      </c>
      <c r="E5903" s="275">
        <f t="shared" si="263"/>
        <v>44608</v>
      </c>
      <c r="F5903" s="480"/>
      <c r="G5903" s="221" t="s">
        <v>74</v>
      </c>
      <c r="H5903" s="145" t="str" cm="1">
        <f t="array" ref="H5903">IFERROR(INDEX(INVESTOR_LIST[INVESTOR NAME],MATCH(I5903,INVESTOR_LIST[INVESTOR CODE],0),)," ")</f>
        <v>B. M. ASIFUR RAHMAN FARHAD</v>
      </c>
      <c r="I5903" s="145" t="s">
        <v>1305</v>
      </c>
      <c r="J5903" s="163" t="s">
        <v>53</v>
      </c>
      <c r="K5903" s="219"/>
      <c r="L5903" s="219">
        <v>1036</v>
      </c>
    </row>
    <row r="5904" spans="1:13" x14ac:dyDescent="0.2">
      <c r="A5904" s="168">
        <v>2022</v>
      </c>
      <c r="B5904" s="168">
        <v>2</v>
      </c>
      <c r="C5904" s="133">
        <v>16</v>
      </c>
      <c r="D5904" s="141">
        <f t="shared" si="262"/>
        <v>44608</v>
      </c>
      <c r="E5904" s="275">
        <f t="shared" si="263"/>
        <v>44608</v>
      </c>
      <c r="F5904" s="479" t="s">
        <v>1306</v>
      </c>
      <c r="G5904" s="220" t="s">
        <v>74</v>
      </c>
      <c r="H5904" s="142" t="str" cm="1">
        <f t="array" ref="H5904">IFERROR(INDEX(INVESTOR_LIST[INVESTOR NAME],MATCH(I5904,INVESTOR_LIST[INVESTOR CODE],0),)," ")</f>
        <v xml:space="preserve"> </v>
      </c>
      <c r="I5904" s="142"/>
      <c r="J5904" s="168" t="s">
        <v>358</v>
      </c>
      <c r="K5904" s="226">
        <v>32622.2</v>
      </c>
      <c r="L5904" s="226"/>
    </row>
    <row r="5905" spans="1:12" x14ac:dyDescent="0.2">
      <c r="A5905" s="133">
        <v>2022</v>
      </c>
      <c r="B5905" s="133">
        <v>2</v>
      </c>
      <c r="C5905" s="133">
        <v>16</v>
      </c>
      <c r="D5905" s="141">
        <f t="shared" si="262"/>
        <v>44608</v>
      </c>
      <c r="E5905" s="275">
        <f t="shared" si="263"/>
        <v>44608</v>
      </c>
      <c r="F5905" s="481"/>
      <c r="G5905" s="174" t="s">
        <v>74</v>
      </c>
      <c r="H5905" s="148" t="str" cm="1">
        <f t="array" ref="H5905">IFERROR(INDEX(INVESTOR_LIST[INVESTOR NAME],MATCH(I5905,INVESTOR_LIST[INVESTOR CODE],0),)," ")</f>
        <v xml:space="preserve"> </v>
      </c>
      <c r="J5905" s="133" t="s">
        <v>534</v>
      </c>
      <c r="K5905" s="218"/>
      <c r="L5905" s="218">
        <v>762.22000000000014</v>
      </c>
    </row>
    <row r="5906" spans="1:12" x14ac:dyDescent="0.2">
      <c r="A5906" s="163">
        <v>2022</v>
      </c>
      <c r="B5906" s="163">
        <v>2</v>
      </c>
      <c r="C5906" s="163">
        <v>16</v>
      </c>
      <c r="D5906" s="141">
        <f t="shared" si="262"/>
        <v>44608</v>
      </c>
      <c r="E5906" s="275">
        <f t="shared" si="263"/>
        <v>44608</v>
      </c>
      <c r="F5906" s="480"/>
      <c r="G5906" s="221" t="s">
        <v>74</v>
      </c>
      <c r="H5906" s="145" t="str" cm="1">
        <f t="array" ref="H5906">IFERROR(INDEX(INVESTOR_LIST[INVESTOR NAME],MATCH(I5906,INVESTOR_LIST[INVESTOR CODE],0),)," ")</f>
        <v xml:space="preserve"> </v>
      </c>
      <c r="I5906" s="145"/>
      <c r="J5906" s="163" t="s">
        <v>52</v>
      </c>
      <c r="K5906" s="219"/>
      <c r="L5906" s="219">
        <v>31859.98</v>
      </c>
    </row>
    <row r="5907" spans="1:12" x14ac:dyDescent="0.2">
      <c r="A5907" s="168">
        <v>2022</v>
      </c>
      <c r="B5907" s="168">
        <v>2</v>
      </c>
      <c r="C5907" s="133">
        <v>16</v>
      </c>
      <c r="D5907" s="141">
        <f t="shared" si="262"/>
        <v>44608</v>
      </c>
      <c r="E5907" s="275">
        <f t="shared" si="263"/>
        <v>44608</v>
      </c>
      <c r="F5907" s="479" t="s">
        <v>1307</v>
      </c>
      <c r="G5907" s="220" t="s">
        <v>74</v>
      </c>
      <c r="H5907" s="142" t="str" cm="1">
        <f t="array" ref="H5907">IFERROR(INDEX(INVESTOR_LIST[INVESTOR NAME],MATCH(I5907,INVESTOR_LIST[INVESTOR CODE],0),)," ")</f>
        <v xml:space="preserve"> </v>
      </c>
      <c r="I5907" s="142"/>
      <c r="J5907" s="168" t="s">
        <v>358</v>
      </c>
      <c r="K5907" s="226">
        <v>100752.6</v>
      </c>
      <c r="L5907" s="226"/>
    </row>
    <row r="5908" spans="1:12" x14ac:dyDescent="0.2">
      <c r="A5908" s="133">
        <v>2022</v>
      </c>
      <c r="B5908" s="133">
        <v>2</v>
      </c>
      <c r="C5908" s="133">
        <v>16</v>
      </c>
      <c r="D5908" s="141">
        <f t="shared" si="262"/>
        <v>44608</v>
      </c>
      <c r="E5908" s="275">
        <f t="shared" si="263"/>
        <v>44608</v>
      </c>
      <c r="F5908" s="481"/>
      <c r="G5908" s="174" t="s">
        <v>74</v>
      </c>
      <c r="H5908" s="148" t="str" cm="1">
        <f t="array" ref="H5908">IFERROR(INDEX(INVESTOR_LIST[INVESTOR NAME],MATCH(I5908,INVESTOR_LIST[INVESTOR CODE],0),)," ")</f>
        <v xml:space="preserve"> </v>
      </c>
      <c r="J5908" s="133" t="s">
        <v>534</v>
      </c>
      <c r="K5908" s="218"/>
      <c r="L5908" s="218">
        <v>7575.2600000000011</v>
      </c>
    </row>
    <row r="5909" spans="1:12" x14ac:dyDescent="0.2">
      <c r="A5909" s="163">
        <v>2022</v>
      </c>
      <c r="B5909" s="163">
        <v>2</v>
      </c>
      <c r="C5909" s="163">
        <v>16</v>
      </c>
      <c r="D5909" s="141">
        <f t="shared" si="262"/>
        <v>44608</v>
      </c>
      <c r="E5909" s="275">
        <f t="shared" si="263"/>
        <v>44608</v>
      </c>
      <c r="F5909" s="480"/>
      <c r="G5909" s="221" t="s">
        <v>74</v>
      </c>
      <c r="H5909" s="145" t="str" cm="1">
        <f t="array" ref="H5909">IFERROR(INDEX(INVESTOR_LIST[INVESTOR NAME],MATCH(I5909,INVESTOR_LIST[INVESTOR CODE],0),)," ")</f>
        <v xml:space="preserve"> </v>
      </c>
      <c r="I5909" s="145"/>
      <c r="J5909" s="163" t="s">
        <v>52</v>
      </c>
      <c r="K5909" s="219"/>
      <c r="L5909" s="219">
        <v>93177.340000000011</v>
      </c>
    </row>
    <row r="5910" spans="1:12" x14ac:dyDescent="0.2">
      <c r="A5910" s="168">
        <v>2022</v>
      </c>
      <c r="B5910" s="168">
        <v>2</v>
      </c>
      <c r="C5910" s="133">
        <v>17</v>
      </c>
      <c r="D5910" s="141">
        <f t="shared" si="262"/>
        <v>44609</v>
      </c>
      <c r="E5910" s="275">
        <f t="shared" si="263"/>
        <v>44609</v>
      </c>
      <c r="F5910" s="479" t="s">
        <v>970</v>
      </c>
      <c r="G5910" s="220" t="s">
        <v>74</v>
      </c>
      <c r="H5910" s="142" t="str" cm="1">
        <f t="array" ref="H5910">IFERROR(INDEX(INVESTOR_LIST[INVESTOR NAME],MATCH(I5910,INVESTOR_LIST[INVESTOR CODE],0),)," ")</f>
        <v xml:space="preserve"> </v>
      </c>
      <c r="I5910" s="142"/>
      <c r="J5910" s="168" t="s">
        <v>52</v>
      </c>
      <c r="K5910" s="226">
        <v>85000</v>
      </c>
      <c r="L5910" s="226"/>
    </row>
    <row r="5911" spans="1:12" x14ac:dyDescent="0.2">
      <c r="A5911" s="133">
        <v>2022</v>
      </c>
      <c r="B5911" s="133">
        <v>2</v>
      </c>
      <c r="C5911" s="133">
        <v>17</v>
      </c>
      <c r="D5911" s="141">
        <f t="shared" si="262"/>
        <v>44609</v>
      </c>
      <c r="E5911" s="275">
        <f t="shared" si="263"/>
        <v>44609</v>
      </c>
      <c r="F5911" s="481"/>
      <c r="G5911" s="174" t="s">
        <v>74</v>
      </c>
      <c r="H5911" s="148" t="str" cm="1">
        <f t="array" ref="H5911">IFERROR(INDEX(INVESTOR_LIST[INVESTOR NAME],MATCH(I5911,INVESTOR_LIST[INVESTOR CODE],0),)," ")</f>
        <v xml:space="preserve"> </v>
      </c>
      <c r="J5911" s="133" t="s">
        <v>13</v>
      </c>
      <c r="K5911" s="218"/>
      <c r="L5911" s="218">
        <v>67520</v>
      </c>
    </row>
    <row r="5912" spans="1:12" x14ac:dyDescent="0.2">
      <c r="A5912" s="163">
        <v>2022</v>
      </c>
      <c r="B5912" s="163">
        <v>2</v>
      </c>
      <c r="C5912" s="163">
        <v>17</v>
      </c>
      <c r="D5912" s="141">
        <f t="shared" si="262"/>
        <v>44609</v>
      </c>
      <c r="E5912" s="275">
        <f t="shared" si="263"/>
        <v>44609</v>
      </c>
      <c r="F5912" s="480"/>
      <c r="G5912" s="221" t="s">
        <v>74</v>
      </c>
      <c r="H5912" s="145" t="str" cm="1">
        <f t="array" ref="H5912">IFERROR(INDEX(INVESTOR_LIST[INVESTOR NAME],MATCH(I5912,INVESTOR_LIST[INVESTOR CODE],0),)," ")</f>
        <v xml:space="preserve"> </v>
      </c>
      <c r="I5912" s="145"/>
      <c r="J5912" s="163" t="s">
        <v>53</v>
      </c>
      <c r="K5912" s="219"/>
      <c r="L5912" s="219">
        <v>17480</v>
      </c>
    </row>
    <row r="5913" spans="1:12" x14ac:dyDescent="0.2">
      <c r="A5913" s="133">
        <v>2022</v>
      </c>
      <c r="B5913" s="133">
        <v>1</v>
      </c>
      <c r="C5913" s="133">
        <v>17</v>
      </c>
      <c r="D5913" s="141">
        <f t="shared" si="262"/>
        <v>44578</v>
      </c>
      <c r="E5913" s="275">
        <f t="shared" si="263"/>
        <v>44578</v>
      </c>
      <c r="F5913" s="479" t="s">
        <v>1322</v>
      </c>
      <c r="G5913" s="174" t="s">
        <v>94</v>
      </c>
      <c r="H5913" s="148" t="str" cm="1">
        <f t="array" ref="H5913">IFERROR(INDEX(INVESTOR_LIST[INVESTOR NAME],MATCH(I5913,INVESTOR_LIST[INVESTOR CODE],0),)," ")</f>
        <v xml:space="preserve"> </v>
      </c>
      <c r="I5913" s="148" t="s">
        <v>348</v>
      </c>
      <c r="J5913" s="133" t="s">
        <v>52</v>
      </c>
      <c r="K5913" s="172">
        <v>834836.55</v>
      </c>
    </row>
    <row r="5914" spans="1:12" x14ac:dyDescent="0.2">
      <c r="A5914" s="163">
        <v>2022</v>
      </c>
      <c r="B5914" s="163">
        <v>1</v>
      </c>
      <c r="C5914" s="163">
        <v>17</v>
      </c>
      <c r="D5914" s="141">
        <f t="shared" si="262"/>
        <v>44578</v>
      </c>
      <c r="E5914" s="275">
        <f t="shared" si="263"/>
        <v>44578</v>
      </c>
      <c r="F5914" s="480"/>
      <c r="G5914" s="221" t="s">
        <v>94</v>
      </c>
      <c r="H5914" s="145" t="str" cm="1">
        <f t="array" ref="H5914">IFERROR(INDEX(INVESTOR_LIST[INVESTOR NAME],MATCH(I5914,INVESTOR_LIST[INVESTOR CODE],0),)," ")</f>
        <v xml:space="preserve"> </v>
      </c>
      <c r="I5914" s="145" t="s">
        <v>348</v>
      </c>
      <c r="J5914" s="163" t="s">
        <v>168</v>
      </c>
      <c r="K5914" s="219"/>
      <c r="L5914" s="219">
        <v>834836.55</v>
      </c>
    </row>
    <row r="5915" spans="1:12" ht="33.75" x14ac:dyDescent="0.2">
      <c r="A5915" s="168">
        <v>2022</v>
      </c>
      <c r="B5915" s="168">
        <v>2</v>
      </c>
      <c r="C5915" s="133">
        <v>17</v>
      </c>
      <c r="D5915" s="141">
        <f t="shared" ref="D5915:D5936" si="264">DATE(A5915,B5915,C5915)</f>
        <v>44609</v>
      </c>
      <c r="E5915" s="275">
        <f t="shared" ref="E5915:E5936" si="265">DATE(A5915,B5915,C5915)</f>
        <v>44609</v>
      </c>
      <c r="F5915" s="479" t="s">
        <v>964</v>
      </c>
      <c r="G5915" s="220" t="s">
        <v>74</v>
      </c>
      <c r="H5915" s="142" t="str" cm="1">
        <f t="array" ref="H5915">IFERROR(INDEX(INVESTOR_LIST[INVESTOR NAME],MATCH(I5915,INVESTOR_LIST[INVESTOR CODE],0),)," ")</f>
        <v>HASIB MUSTABSIR</v>
      </c>
      <c r="I5915" s="142" t="s">
        <v>521</v>
      </c>
      <c r="J5915" s="168" t="s">
        <v>52</v>
      </c>
      <c r="K5915" s="226">
        <v>1000000</v>
      </c>
      <c r="L5915" s="226"/>
    </row>
    <row r="5916" spans="1:12" ht="33.75" x14ac:dyDescent="0.2">
      <c r="A5916" s="133">
        <v>2022</v>
      </c>
      <c r="B5916" s="133">
        <v>2</v>
      </c>
      <c r="C5916" s="133">
        <v>17</v>
      </c>
      <c r="D5916" s="141">
        <f t="shared" si="264"/>
        <v>44609</v>
      </c>
      <c r="E5916" s="275">
        <f t="shared" si="265"/>
        <v>44609</v>
      </c>
      <c r="F5916" s="481"/>
      <c r="G5916" s="174" t="s">
        <v>74</v>
      </c>
      <c r="H5916" s="148" t="str" cm="1">
        <f t="array" ref="H5916">IFERROR(INDEX(INVESTOR_LIST[INVESTOR NAME],MATCH(I5916,INVESTOR_LIST[INVESTOR CODE],0),)," ")</f>
        <v>HASIB MUSTABSIR</v>
      </c>
      <c r="I5916" s="148" t="s">
        <v>521</v>
      </c>
      <c r="J5916" s="133" t="s">
        <v>13</v>
      </c>
      <c r="K5916" s="218"/>
      <c r="L5916" s="218">
        <v>801920</v>
      </c>
    </row>
    <row r="5917" spans="1:12" ht="33.75" x14ac:dyDescent="0.2">
      <c r="A5917" s="163">
        <v>2022</v>
      </c>
      <c r="B5917" s="163">
        <v>2</v>
      </c>
      <c r="C5917" s="163">
        <v>17</v>
      </c>
      <c r="D5917" s="141">
        <f t="shared" si="264"/>
        <v>44609</v>
      </c>
      <c r="E5917" s="275">
        <f t="shared" si="265"/>
        <v>44609</v>
      </c>
      <c r="F5917" s="480"/>
      <c r="G5917" s="221" t="s">
        <v>74</v>
      </c>
      <c r="H5917" s="145" t="str" cm="1">
        <f t="array" ref="H5917">IFERROR(INDEX(INVESTOR_LIST[INVESTOR NAME],MATCH(I5917,INVESTOR_LIST[INVESTOR CODE],0),)," ")</f>
        <v>HASIB MUSTABSIR</v>
      </c>
      <c r="I5917" s="145" t="s">
        <v>521</v>
      </c>
      <c r="J5917" s="163" t="s">
        <v>53</v>
      </c>
      <c r="K5917" s="219"/>
      <c r="L5917" s="219">
        <v>198080</v>
      </c>
    </row>
    <row r="5918" spans="1:12" ht="22.5" x14ac:dyDescent="0.2">
      <c r="A5918" s="168">
        <v>2022</v>
      </c>
      <c r="B5918" s="168">
        <v>2</v>
      </c>
      <c r="C5918" s="133">
        <v>17</v>
      </c>
      <c r="D5918" s="141">
        <f t="shared" si="264"/>
        <v>44609</v>
      </c>
      <c r="E5918" s="275">
        <f t="shared" si="265"/>
        <v>44609</v>
      </c>
      <c r="F5918" s="479" t="s">
        <v>964</v>
      </c>
      <c r="G5918" s="220" t="s">
        <v>74</v>
      </c>
      <c r="H5918" s="142" t="str" cm="1">
        <f t="array" ref="H5918">IFERROR(INDEX(INVESTOR_LIST[INVESTOR NAME],MATCH(I5918,INVESTOR_LIST[INVESTOR CODE],0),)," ")</f>
        <v>RAJIB SAHA</v>
      </c>
      <c r="I5918" s="142" t="s">
        <v>824</v>
      </c>
      <c r="J5918" s="168" t="s">
        <v>52</v>
      </c>
      <c r="K5918" s="226">
        <v>300000</v>
      </c>
      <c r="L5918" s="226"/>
    </row>
    <row r="5919" spans="1:12" ht="22.5" x14ac:dyDescent="0.2">
      <c r="A5919" s="133">
        <v>2022</v>
      </c>
      <c r="B5919" s="133">
        <v>2</v>
      </c>
      <c r="C5919" s="133">
        <v>17</v>
      </c>
      <c r="D5919" s="141">
        <f t="shared" si="264"/>
        <v>44609</v>
      </c>
      <c r="E5919" s="275">
        <f t="shared" si="265"/>
        <v>44609</v>
      </c>
      <c r="F5919" s="481"/>
      <c r="G5919" s="174" t="s">
        <v>74</v>
      </c>
      <c r="H5919" s="148" t="str" cm="1">
        <f t="array" ref="H5919">IFERROR(INDEX(INVESTOR_LIST[INVESTOR NAME],MATCH(I5919,INVESTOR_LIST[INVESTOR CODE],0),)," ")</f>
        <v>RAJIB SAHA</v>
      </c>
      <c r="I5919" s="148" t="s">
        <v>824</v>
      </c>
      <c r="J5919" s="133" t="s">
        <v>13</v>
      </c>
      <c r="K5919" s="218"/>
      <c r="L5919" s="218">
        <v>238280</v>
      </c>
    </row>
    <row r="5920" spans="1:12" ht="22.5" x14ac:dyDescent="0.2">
      <c r="A5920" s="163">
        <v>2022</v>
      </c>
      <c r="B5920" s="163">
        <v>2</v>
      </c>
      <c r="C5920" s="163">
        <v>17</v>
      </c>
      <c r="D5920" s="141">
        <f t="shared" si="264"/>
        <v>44609</v>
      </c>
      <c r="E5920" s="275">
        <f t="shared" si="265"/>
        <v>44609</v>
      </c>
      <c r="F5920" s="480"/>
      <c r="G5920" s="221" t="s">
        <v>74</v>
      </c>
      <c r="H5920" s="145" t="str" cm="1">
        <f t="array" ref="H5920">IFERROR(INDEX(INVESTOR_LIST[INVESTOR NAME],MATCH(I5920,INVESTOR_LIST[INVESTOR CODE],0),)," ")</f>
        <v>RAJIB SAHA</v>
      </c>
      <c r="I5920" s="145" t="s">
        <v>824</v>
      </c>
      <c r="J5920" s="163" t="s">
        <v>53</v>
      </c>
      <c r="K5920" s="219"/>
      <c r="L5920" s="219">
        <v>61720</v>
      </c>
    </row>
    <row r="5921" spans="1:12" x14ac:dyDescent="0.2">
      <c r="A5921" s="133">
        <v>2022</v>
      </c>
      <c r="B5921" s="133">
        <v>2</v>
      </c>
      <c r="C5921" s="133">
        <v>17</v>
      </c>
      <c r="D5921" s="141">
        <f t="shared" si="264"/>
        <v>44609</v>
      </c>
      <c r="E5921" s="275">
        <f t="shared" si="265"/>
        <v>44609</v>
      </c>
      <c r="F5921" s="479" t="s">
        <v>77</v>
      </c>
      <c r="G5921" s="174" t="s">
        <v>74</v>
      </c>
      <c r="H5921" s="148" t="str" cm="1">
        <f t="array" ref="H5921">IFERROR(INDEX(INVESTOR_LIST[INVESTOR NAME],MATCH(I5921,INVESTOR_LIST[INVESTOR CODE],0),)," ")</f>
        <v xml:space="preserve"> </v>
      </c>
      <c r="I5921" s="148" t="s">
        <v>348</v>
      </c>
      <c r="J5921" s="133" t="s">
        <v>61</v>
      </c>
      <c r="K5921" s="172">
        <v>60</v>
      </c>
    </row>
    <row r="5922" spans="1:12" x14ac:dyDescent="0.2">
      <c r="A5922" s="163">
        <v>2022</v>
      </c>
      <c r="B5922" s="163">
        <v>2</v>
      </c>
      <c r="C5922" s="163">
        <v>17</v>
      </c>
      <c r="D5922" s="141">
        <f t="shared" si="264"/>
        <v>44609</v>
      </c>
      <c r="E5922" s="275">
        <f t="shared" si="265"/>
        <v>44609</v>
      </c>
      <c r="F5922" s="480"/>
      <c r="G5922" s="221" t="s">
        <v>74</v>
      </c>
      <c r="H5922" s="145" t="str" cm="1">
        <f t="array" ref="H5922">IFERROR(INDEX(INVESTOR_LIST[INVESTOR NAME],MATCH(I5922,INVESTOR_LIST[INVESTOR CODE],0),)," ")</f>
        <v xml:space="preserve"> </v>
      </c>
      <c r="I5922" s="145" t="s">
        <v>348</v>
      </c>
      <c r="J5922" s="163" t="s">
        <v>52</v>
      </c>
      <c r="K5922" s="219"/>
      <c r="L5922" s="219">
        <v>60</v>
      </c>
    </row>
    <row r="5923" spans="1:12" x14ac:dyDescent="0.2">
      <c r="A5923" s="133">
        <v>2022</v>
      </c>
      <c r="B5923" s="133">
        <v>2</v>
      </c>
      <c r="C5923" s="133">
        <v>17</v>
      </c>
      <c r="D5923" s="141">
        <f t="shared" si="264"/>
        <v>44609</v>
      </c>
      <c r="E5923" s="275">
        <f t="shared" si="265"/>
        <v>44609</v>
      </c>
      <c r="F5923" s="479" t="s">
        <v>77</v>
      </c>
      <c r="G5923" s="174" t="s">
        <v>74</v>
      </c>
      <c r="H5923" s="148" t="str" cm="1">
        <f t="array" ref="H5923">IFERROR(INDEX(INVESTOR_LIST[INVESTOR NAME],MATCH(I5923,INVESTOR_LIST[INVESTOR CODE],0),)," ")</f>
        <v xml:space="preserve"> </v>
      </c>
      <c r="I5923" s="148" t="s">
        <v>348</v>
      </c>
      <c r="J5923" s="133" t="s">
        <v>61</v>
      </c>
      <c r="K5923" s="172">
        <v>10</v>
      </c>
    </row>
    <row r="5924" spans="1:12" x14ac:dyDescent="0.2">
      <c r="A5924" s="163">
        <v>2022</v>
      </c>
      <c r="B5924" s="163">
        <v>2</v>
      </c>
      <c r="C5924" s="163">
        <v>17</v>
      </c>
      <c r="D5924" s="141">
        <f t="shared" si="264"/>
        <v>44609</v>
      </c>
      <c r="E5924" s="275">
        <f t="shared" si="265"/>
        <v>44609</v>
      </c>
      <c r="F5924" s="480"/>
      <c r="G5924" s="221" t="s">
        <v>74</v>
      </c>
      <c r="H5924" s="145" t="str" cm="1">
        <f t="array" ref="H5924">IFERROR(INDEX(INVESTOR_LIST[INVESTOR NAME],MATCH(I5924,INVESTOR_LIST[INVESTOR CODE],0),)," ")</f>
        <v xml:space="preserve"> </v>
      </c>
      <c r="I5924" s="145" t="s">
        <v>348</v>
      </c>
      <c r="J5924" s="163" t="s">
        <v>52</v>
      </c>
      <c r="K5924" s="219"/>
      <c r="L5924" s="219">
        <v>10</v>
      </c>
    </row>
    <row r="5925" spans="1:12" x14ac:dyDescent="0.2">
      <c r="A5925" s="133">
        <v>2022</v>
      </c>
      <c r="B5925" s="133">
        <v>1</v>
      </c>
      <c r="C5925" s="133">
        <v>17</v>
      </c>
      <c r="D5925" s="141">
        <f t="shared" si="264"/>
        <v>44578</v>
      </c>
      <c r="E5925" s="275">
        <f t="shared" si="265"/>
        <v>44578</v>
      </c>
      <c r="F5925" s="479" t="s">
        <v>1324</v>
      </c>
      <c r="G5925" s="174" t="s">
        <v>94</v>
      </c>
      <c r="H5925" s="148" t="str" cm="1">
        <f t="array" ref="H5925">IFERROR(INDEX(INVESTOR_LIST[INVESTOR NAME],MATCH(I5925,INVESTOR_LIST[INVESTOR CODE],0),)," ")</f>
        <v xml:space="preserve"> </v>
      </c>
      <c r="I5925" s="148" t="s">
        <v>348</v>
      </c>
      <c r="J5925" s="133" t="s">
        <v>168</v>
      </c>
      <c r="K5925" s="172">
        <v>60000</v>
      </c>
    </row>
    <row r="5926" spans="1:12" x14ac:dyDescent="0.2">
      <c r="A5926" s="163">
        <v>2022</v>
      </c>
      <c r="B5926" s="163">
        <v>1</v>
      </c>
      <c r="C5926" s="163">
        <v>17</v>
      </c>
      <c r="D5926" s="141">
        <f t="shared" si="264"/>
        <v>44578</v>
      </c>
      <c r="E5926" s="275">
        <f t="shared" si="265"/>
        <v>44578</v>
      </c>
      <c r="F5926" s="480"/>
      <c r="G5926" s="221" t="s">
        <v>94</v>
      </c>
      <c r="H5926" s="145" t="str" cm="1">
        <f t="array" ref="H5926">IFERROR(INDEX(INVESTOR_LIST[INVESTOR NAME],MATCH(I5926,INVESTOR_LIST[INVESTOR CODE],0),)," ")</f>
        <v xml:space="preserve"> </v>
      </c>
      <c r="I5926" s="145" t="s">
        <v>348</v>
      </c>
      <c r="J5926" s="163" t="s">
        <v>166</v>
      </c>
      <c r="K5926" s="219"/>
      <c r="L5926" s="219">
        <v>60000</v>
      </c>
    </row>
    <row r="5927" spans="1:12" x14ac:dyDescent="0.2">
      <c r="A5927" s="238">
        <v>2022</v>
      </c>
      <c r="B5927" s="238">
        <v>2</v>
      </c>
      <c r="C5927" s="238">
        <v>17</v>
      </c>
      <c r="D5927" s="270">
        <f t="shared" si="264"/>
        <v>44609</v>
      </c>
      <c r="E5927" s="279">
        <f t="shared" si="265"/>
        <v>44609</v>
      </c>
      <c r="F5927" s="477" t="s">
        <v>347</v>
      </c>
      <c r="G5927" s="239" t="s">
        <v>94</v>
      </c>
      <c r="H5927" s="239" t="str" cm="1">
        <f t="array" ref="H5927">IFERROR(INDEX(INVESTOR_LIST[INVESTOR NAME],MATCH(I5927,INVESTOR_LIST[INVESTOR CODE],0),)," ")</f>
        <v xml:space="preserve"> </v>
      </c>
      <c r="I5927" s="262" t="s">
        <v>348</v>
      </c>
      <c r="J5927" s="240" t="s">
        <v>83</v>
      </c>
      <c r="K5927" s="241">
        <v>2021958.0899999738</v>
      </c>
      <c r="L5927" s="241"/>
    </row>
    <row r="5928" spans="1:12" x14ac:dyDescent="0.2">
      <c r="A5928" s="242">
        <v>2022</v>
      </c>
      <c r="B5928" s="242">
        <v>2</v>
      </c>
      <c r="C5928" s="242">
        <v>17</v>
      </c>
      <c r="D5928" s="270">
        <f t="shared" si="264"/>
        <v>44609</v>
      </c>
      <c r="E5928" s="279">
        <f t="shared" si="265"/>
        <v>44609</v>
      </c>
      <c r="F5928" s="478"/>
      <c r="G5928" s="243" t="s">
        <v>94</v>
      </c>
      <c r="H5928" s="243" t="str" cm="1">
        <f t="array" ref="H5928">IFERROR(INDEX(INVESTOR_LIST[INVESTOR NAME],MATCH(I5928,INVESTOR_LIST[INVESTOR CODE],0),)," ")</f>
        <v xml:space="preserve"> </v>
      </c>
      <c r="I5928" s="263" t="s">
        <v>348</v>
      </c>
      <c r="J5928" s="244" t="s">
        <v>108</v>
      </c>
      <c r="K5928" s="245"/>
      <c r="L5928" s="245">
        <v>2021958.0899999738</v>
      </c>
    </row>
    <row r="5929" spans="1:12" ht="22.5" x14ac:dyDescent="0.2">
      <c r="A5929" s="246">
        <v>2022</v>
      </c>
      <c r="B5929" s="246">
        <v>2</v>
      </c>
      <c r="C5929" s="246">
        <v>17</v>
      </c>
      <c r="D5929" s="270">
        <f t="shared" si="264"/>
        <v>44609</v>
      </c>
      <c r="E5929" s="279">
        <f t="shared" si="265"/>
        <v>44609</v>
      </c>
      <c r="F5929" s="482" t="s">
        <v>148</v>
      </c>
      <c r="G5929" s="247" t="s">
        <v>94</v>
      </c>
      <c r="H5929" s="247" t="str" cm="1">
        <f t="array" ref="H5929">IFERROR(INDEX(INVESTOR_LIST[INVESTOR NAME],MATCH(I5929,INVESTOR_LIST[INVESTOR CODE],0),)," ")</f>
        <v xml:space="preserve"> </v>
      </c>
      <c r="I5929" s="248" t="s">
        <v>348</v>
      </c>
      <c r="J5929" s="249" t="s">
        <v>95</v>
      </c>
      <c r="K5929" s="250">
        <v>2747.2527472527472</v>
      </c>
      <c r="L5929" s="241"/>
    </row>
    <row r="5930" spans="1:12" x14ac:dyDescent="0.2">
      <c r="A5930" s="242">
        <v>2022</v>
      </c>
      <c r="B5930" s="242">
        <v>2</v>
      </c>
      <c r="C5930" s="242">
        <v>17</v>
      </c>
      <c r="D5930" s="270">
        <f t="shared" si="264"/>
        <v>44609</v>
      </c>
      <c r="E5930" s="279">
        <f t="shared" si="265"/>
        <v>44609</v>
      </c>
      <c r="F5930" s="478"/>
      <c r="G5930" s="243" t="s">
        <v>94</v>
      </c>
      <c r="H5930" s="243" t="str" cm="1">
        <f t="array" ref="H5930">IFERROR(INDEX(INVESTOR_LIST[INVESTOR NAME],MATCH(I5930,INVESTOR_LIST[INVESTOR CODE],0),)," ")</f>
        <v xml:space="preserve"> </v>
      </c>
      <c r="I5930" s="263" t="s">
        <v>348</v>
      </c>
      <c r="J5930" s="244" t="s">
        <v>63</v>
      </c>
      <c r="K5930" s="245"/>
      <c r="L5930" s="245">
        <v>2747.2527472527472</v>
      </c>
    </row>
    <row r="5931" spans="1:12" x14ac:dyDescent="0.2">
      <c r="A5931" s="246">
        <v>2022</v>
      </c>
      <c r="B5931" s="246">
        <v>2</v>
      </c>
      <c r="C5931" s="246">
        <v>17</v>
      </c>
      <c r="D5931" s="270">
        <f t="shared" si="264"/>
        <v>44609</v>
      </c>
      <c r="E5931" s="279">
        <f t="shared" si="265"/>
        <v>44609</v>
      </c>
      <c r="F5931" s="482" t="s">
        <v>137</v>
      </c>
      <c r="G5931" s="247" t="s">
        <v>94</v>
      </c>
      <c r="H5931" s="247" t="str" cm="1">
        <f t="array" ref="H5931">IFERROR(INDEX(INVESTOR_LIST[INVESTOR NAME],MATCH(I5931,INVESTOR_LIST[INVESTOR CODE],0),)," ")</f>
        <v xml:space="preserve"> </v>
      </c>
      <c r="I5931" s="248" t="s">
        <v>348</v>
      </c>
      <c r="J5931" s="249" t="s">
        <v>97</v>
      </c>
      <c r="K5931" s="250">
        <v>82908.441733027721</v>
      </c>
      <c r="L5931" s="252"/>
    </row>
    <row r="5932" spans="1:12" x14ac:dyDescent="0.2">
      <c r="A5932" s="242">
        <v>2022</v>
      </c>
      <c r="B5932" s="242">
        <v>2</v>
      </c>
      <c r="C5932" s="242">
        <v>17</v>
      </c>
      <c r="D5932" s="270">
        <f t="shared" si="264"/>
        <v>44609</v>
      </c>
      <c r="E5932" s="279">
        <f t="shared" si="265"/>
        <v>44609</v>
      </c>
      <c r="F5932" s="478"/>
      <c r="G5932" s="243" t="s">
        <v>94</v>
      </c>
      <c r="H5932" s="243" t="str" cm="1">
        <f t="array" ref="H5932">IFERROR(INDEX(INVESTOR_LIST[INVESTOR NAME],MATCH(I5932,INVESTOR_LIST[INVESTOR CODE],0),)," ")</f>
        <v xml:space="preserve"> </v>
      </c>
      <c r="I5932" s="263" t="s">
        <v>348</v>
      </c>
      <c r="J5932" s="244" t="s">
        <v>47</v>
      </c>
      <c r="K5932" s="245"/>
      <c r="L5932" s="245">
        <v>82908.441733027721</v>
      </c>
    </row>
    <row r="5933" spans="1:12" x14ac:dyDescent="0.2">
      <c r="A5933" s="246">
        <v>2022</v>
      </c>
      <c r="B5933" s="246">
        <v>2</v>
      </c>
      <c r="C5933" s="246">
        <v>17</v>
      </c>
      <c r="D5933" s="270">
        <f t="shared" si="264"/>
        <v>44609</v>
      </c>
      <c r="E5933" s="279">
        <f t="shared" si="265"/>
        <v>44609</v>
      </c>
      <c r="F5933" s="482" t="s">
        <v>138</v>
      </c>
      <c r="G5933" s="247" t="s">
        <v>94</v>
      </c>
      <c r="H5933" s="247" t="str" cm="1">
        <f t="array" ref="H5933">IFERROR(INDEX(INVESTOR_LIST[INVESTOR NAME],MATCH(I5933,INVESTOR_LIST[INVESTOR CODE],0),)," ")</f>
        <v xml:space="preserve"> </v>
      </c>
      <c r="I5933" s="248" t="s">
        <v>348</v>
      </c>
      <c r="J5933" s="249" t="s">
        <v>100</v>
      </c>
      <c r="K5933" s="250">
        <v>3905.0374712667708</v>
      </c>
      <c r="L5933" s="252"/>
    </row>
    <row r="5934" spans="1:12" x14ac:dyDescent="0.2">
      <c r="A5934" s="242">
        <v>2022</v>
      </c>
      <c r="B5934" s="242">
        <v>2</v>
      </c>
      <c r="C5934" s="242">
        <v>17</v>
      </c>
      <c r="D5934" s="270">
        <f t="shared" si="264"/>
        <v>44609</v>
      </c>
      <c r="E5934" s="279">
        <f t="shared" si="265"/>
        <v>44609</v>
      </c>
      <c r="F5934" s="478"/>
      <c r="G5934" s="243" t="s">
        <v>94</v>
      </c>
      <c r="H5934" s="243" t="str" cm="1">
        <f t="array" ref="H5934">IFERROR(INDEX(INVESTOR_LIST[INVESTOR NAME],MATCH(I5934,INVESTOR_LIST[INVESTOR CODE],0),)," ")</f>
        <v xml:space="preserve"> </v>
      </c>
      <c r="I5934" s="263" t="s">
        <v>348</v>
      </c>
      <c r="J5934" s="244" t="s">
        <v>48</v>
      </c>
      <c r="K5934" s="245"/>
      <c r="L5934" s="245">
        <v>3905.0374712667708</v>
      </c>
    </row>
    <row r="5935" spans="1:12" x14ac:dyDescent="0.2">
      <c r="A5935" s="133">
        <v>2022</v>
      </c>
      <c r="B5935" s="133">
        <v>2</v>
      </c>
      <c r="C5935" s="133">
        <v>20</v>
      </c>
      <c r="D5935" s="141">
        <f t="shared" si="264"/>
        <v>44612</v>
      </c>
      <c r="E5935" s="275">
        <f t="shared" si="265"/>
        <v>44612</v>
      </c>
      <c r="F5935" s="481" t="s">
        <v>1312</v>
      </c>
      <c r="G5935" s="174" t="s">
        <v>74</v>
      </c>
      <c r="H5935" s="174" t="str" cm="1">
        <f t="array" ref="H5935">IFERROR(INDEX(INVESTOR_LIST[INVESTOR NAME],MATCH(I5935,INVESTOR_LIST[INVESTOR CODE],0),)," ")</f>
        <v xml:space="preserve"> </v>
      </c>
      <c r="I5935" s="148" t="s">
        <v>348</v>
      </c>
      <c r="J5935" s="149" t="s">
        <v>163</v>
      </c>
      <c r="K5935" s="218">
        <v>15000</v>
      </c>
      <c r="L5935" s="218"/>
    </row>
    <row r="5936" spans="1:12" x14ac:dyDescent="0.2">
      <c r="A5936" s="163">
        <v>2022</v>
      </c>
      <c r="B5936" s="163">
        <v>2</v>
      </c>
      <c r="C5936" s="163">
        <v>20</v>
      </c>
      <c r="D5936" s="141">
        <f t="shared" si="264"/>
        <v>44612</v>
      </c>
      <c r="E5936" s="275">
        <f t="shared" si="265"/>
        <v>44612</v>
      </c>
      <c r="F5936" s="480"/>
      <c r="G5936" s="221" t="s">
        <v>74</v>
      </c>
      <c r="H5936" s="221" t="str" cm="1">
        <f t="array" ref="H5936">IFERROR(INDEX(INVESTOR_LIST[INVESTOR NAME],MATCH(I5936,INVESTOR_LIST[INVESTOR CODE],0),)," ")</f>
        <v xml:space="preserve"> </v>
      </c>
      <c r="I5936" s="145" t="s">
        <v>348</v>
      </c>
      <c r="J5936" s="146" t="s">
        <v>52</v>
      </c>
      <c r="K5936" s="219"/>
      <c r="L5936" s="219">
        <v>15000</v>
      </c>
    </row>
    <row r="5937" spans="1:14" ht="33.75" x14ac:dyDescent="0.2">
      <c r="A5937" s="168">
        <v>2022</v>
      </c>
      <c r="B5937" s="168">
        <v>2</v>
      </c>
      <c r="C5937" s="133">
        <v>22</v>
      </c>
      <c r="D5937" s="141">
        <f t="shared" ref="D5937:D5954" si="266">DATE(A5937,B5937,C5937)</f>
        <v>44614</v>
      </c>
      <c r="E5937" s="275">
        <f t="shared" ref="E5937:E5954" si="267">DATE(A5937,B5937,C5937)</f>
        <v>44614</v>
      </c>
      <c r="F5937" s="479" t="s">
        <v>964</v>
      </c>
      <c r="G5937" s="220" t="s">
        <v>74</v>
      </c>
      <c r="H5937" s="142" t="str" cm="1">
        <f t="array" ref="H5937">IFERROR(INDEX(INVESTOR_LIST[INVESTOR NAME],MATCH(I5937,INVESTOR_LIST[INVESTOR CODE],0),)," ")</f>
        <v>MD. ABDUL KARIM</v>
      </c>
      <c r="I5937" s="142" t="s">
        <v>1308</v>
      </c>
      <c r="J5937" s="168" t="s">
        <v>52</v>
      </c>
      <c r="K5937" s="226">
        <v>25000</v>
      </c>
      <c r="L5937" s="226"/>
    </row>
    <row r="5938" spans="1:14" ht="33.75" x14ac:dyDescent="0.2">
      <c r="A5938" s="133">
        <v>2022</v>
      </c>
      <c r="B5938" s="133">
        <v>2</v>
      </c>
      <c r="C5938" s="133">
        <v>22</v>
      </c>
      <c r="D5938" s="141">
        <f t="shared" si="266"/>
        <v>44614</v>
      </c>
      <c r="E5938" s="275">
        <f t="shared" si="267"/>
        <v>44614</v>
      </c>
      <c r="F5938" s="481"/>
      <c r="G5938" s="174" t="s">
        <v>74</v>
      </c>
      <c r="H5938" s="148" t="str" cm="1">
        <f t="array" ref="H5938">IFERROR(INDEX(INVESTOR_LIST[INVESTOR NAME],MATCH(I5938,INVESTOR_LIST[INVESTOR CODE],0),)," ")</f>
        <v>MD. ABDUL KARIM</v>
      </c>
      <c r="I5938" s="148" t="s">
        <v>1308</v>
      </c>
      <c r="J5938" s="133" t="s">
        <v>13</v>
      </c>
      <c r="K5938" s="218"/>
      <c r="L5938" s="218">
        <v>20000</v>
      </c>
    </row>
    <row r="5939" spans="1:14" ht="33.75" x14ac:dyDescent="0.2">
      <c r="A5939" s="163">
        <v>2022</v>
      </c>
      <c r="B5939" s="163">
        <v>2</v>
      </c>
      <c r="C5939" s="163">
        <v>22</v>
      </c>
      <c r="D5939" s="141">
        <f t="shared" si="266"/>
        <v>44614</v>
      </c>
      <c r="E5939" s="275">
        <f t="shared" si="267"/>
        <v>44614</v>
      </c>
      <c r="F5939" s="480"/>
      <c r="G5939" s="221" t="s">
        <v>74</v>
      </c>
      <c r="H5939" s="145" t="str" cm="1">
        <f t="array" ref="H5939">IFERROR(INDEX(INVESTOR_LIST[INVESTOR NAME],MATCH(I5939,INVESTOR_LIST[INVESTOR CODE],0),)," ")</f>
        <v>MD. ABDUL KARIM</v>
      </c>
      <c r="I5939" s="145" t="s">
        <v>1308</v>
      </c>
      <c r="J5939" s="163" t="s">
        <v>53</v>
      </c>
      <c r="K5939" s="219"/>
      <c r="L5939" s="219">
        <v>5000</v>
      </c>
      <c r="M5939" s="160"/>
      <c r="N5939" s="160"/>
    </row>
    <row r="5940" spans="1:14" ht="33.75" x14ac:dyDescent="0.2">
      <c r="A5940" s="168">
        <v>2022</v>
      </c>
      <c r="B5940" s="168">
        <v>2</v>
      </c>
      <c r="C5940" s="133">
        <v>23</v>
      </c>
      <c r="D5940" s="141">
        <f t="shared" si="266"/>
        <v>44615</v>
      </c>
      <c r="E5940" s="275">
        <f t="shared" si="267"/>
        <v>44615</v>
      </c>
      <c r="F5940" s="479" t="s">
        <v>1310</v>
      </c>
      <c r="G5940" s="220" t="s">
        <v>74</v>
      </c>
      <c r="H5940" s="142" t="str" cm="1">
        <f t="array" ref="H5940">IFERROR(INDEX(INVESTOR_LIST[INVESTOR NAME],MATCH(I5940,INVESTOR_LIST[INVESTOR CODE],0),)," ")</f>
        <v>IFTAKHAR AHMED</v>
      </c>
      <c r="I5940" s="142" t="s">
        <v>613</v>
      </c>
      <c r="J5940" s="168" t="s">
        <v>13</v>
      </c>
      <c r="K5940" s="226">
        <v>57020</v>
      </c>
      <c r="L5940" s="226"/>
    </row>
    <row r="5941" spans="1:14" ht="33.75" x14ac:dyDescent="0.2">
      <c r="A5941" s="133">
        <v>2022</v>
      </c>
      <c r="B5941" s="133">
        <v>2</v>
      </c>
      <c r="C5941" s="133">
        <v>23</v>
      </c>
      <c r="D5941" s="141">
        <f t="shared" si="266"/>
        <v>44615</v>
      </c>
      <c r="E5941" s="275">
        <f t="shared" si="267"/>
        <v>44615</v>
      </c>
      <c r="F5941" s="481"/>
      <c r="G5941" s="174" t="s">
        <v>74</v>
      </c>
      <c r="H5941" s="148" t="str" cm="1">
        <f t="array" ref="H5941">IFERROR(INDEX(INVESTOR_LIST[INVESTOR NAME],MATCH(I5941,INVESTOR_LIST[INVESTOR CODE],0),)," ")</f>
        <v>IFTAKHAR AHMED</v>
      </c>
      <c r="I5941" s="148" t="s">
        <v>613</v>
      </c>
      <c r="J5941" s="133" t="s">
        <v>53</v>
      </c>
      <c r="K5941" s="218">
        <v>14255</v>
      </c>
      <c r="L5941" s="218"/>
    </row>
    <row r="5942" spans="1:14" ht="33.75" x14ac:dyDescent="0.2">
      <c r="A5942" s="163">
        <v>2022</v>
      </c>
      <c r="B5942" s="163">
        <v>2</v>
      </c>
      <c r="C5942" s="163">
        <v>23</v>
      </c>
      <c r="D5942" s="141">
        <f t="shared" si="266"/>
        <v>44615</v>
      </c>
      <c r="E5942" s="275">
        <f t="shared" si="267"/>
        <v>44615</v>
      </c>
      <c r="F5942" s="480"/>
      <c r="G5942" s="221" t="s">
        <v>74</v>
      </c>
      <c r="H5942" s="145" t="str" cm="1">
        <f t="array" ref="H5942">IFERROR(INDEX(INVESTOR_LIST[INVESTOR NAME],MATCH(I5942,INVESTOR_LIST[INVESTOR CODE],0),)," ")</f>
        <v>IFTAKHAR AHMED</v>
      </c>
      <c r="I5942" s="145" t="s">
        <v>613</v>
      </c>
      <c r="J5942" s="163" t="s">
        <v>52</v>
      </c>
      <c r="K5942" s="219"/>
      <c r="L5942" s="219">
        <v>71275</v>
      </c>
    </row>
    <row r="5943" spans="1:14" x14ac:dyDescent="0.2">
      <c r="A5943" s="133">
        <v>2022</v>
      </c>
      <c r="B5943" s="133">
        <v>2</v>
      </c>
      <c r="C5943" s="133">
        <v>23</v>
      </c>
      <c r="D5943" s="141">
        <f t="shared" si="266"/>
        <v>44615</v>
      </c>
      <c r="E5943" s="275">
        <f t="shared" si="267"/>
        <v>44615</v>
      </c>
      <c r="F5943" s="479" t="s">
        <v>1316</v>
      </c>
      <c r="G5943" s="174" t="s">
        <v>94</v>
      </c>
      <c r="H5943" s="148" t="str" cm="1">
        <f t="array" ref="H5943">IFERROR(INDEX(INVESTOR_LIST[INVESTOR NAME],MATCH(I5943,INVESTOR_LIST[INVESTOR CODE],0),)," ")</f>
        <v xml:space="preserve"> </v>
      </c>
      <c r="I5943" s="148" t="s">
        <v>348</v>
      </c>
      <c r="J5943" s="133" t="s">
        <v>168</v>
      </c>
      <c r="K5943" s="172">
        <v>812500</v>
      </c>
    </row>
    <row r="5944" spans="1:14" x14ac:dyDescent="0.2">
      <c r="A5944" s="163">
        <v>2022</v>
      </c>
      <c r="B5944" s="163">
        <v>2</v>
      </c>
      <c r="C5944" s="163">
        <v>23</v>
      </c>
      <c r="D5944" s="141">
        <f t="shared" si="266"/>
        <v>44615</v>
      </c>
      <c r="E5944" s="275">
        <f t="shared" si="267"/>
        <v>44615</v>
      </c>
      <c r="F5944" s="480"/>
      <c r="G5944" s="221" t="s">
        <v>94</v>
      </c>
      <c r="H5944" s="145" t="str" cm="1">
        <f t="array" ref="H5944">IFERROR(INDEX(INVESTOR_LIST[INVESTOR NAME],MATCH(I5944,INVESTOR_LIST[INVESTOR CODE],0),)," ")</f>
        <v xml:space="preserve"> </v>
      </c>
      <c r="I5944" s="145" t="s">
        <v>348</v>
      </c>
      <c r="J5944" s="163" t="s">
        <v>166</v>
      </c>
      <c r="K5944" s="219"/>
      <c r="L5944" s="219">
        <v>812500</v>
      </c>
    </row>
    <row r="5945" spans="1:14" x14ac:dyDescent="0.2">
      <c r="A5945" s="168">
        <v>2022</v>
      </c>
      <c r="B5945" s="168">
        <v>2</v>
      </c>
      <c r="C5945" s="133">
        <v>24</v>
      </c>
      <c r="D5945" s="141">
        <f t="shared" si="266"/>
        <v>44616</v>
      </c>
      <c r="E5945" s="275">
        <f t="shared" si="267"/>
        <v>44616</v>
      </c>
      <c r="F5945" s="479" t="s">
        <v>1311</v>
      </c>
      <c r="G5945" s="220" t="s">
        <v>74</v>
      </c>
      <c r="H5945" s="142" t="str" cm="1">
        <f t="array" ref="H5945">IFERROR(INDEX(INVESTOR_LIST[INVESTOR NAME],MATCH(I5945,INVESTOR_LIST[INVESTOR CODE],0),)," ")</f>
        <v xml:space="preserve"> </v>
      </c>
      <c r="I5945" s="142"/>
      <c r="J5945" s="168" t="s">
        <v>358</v>
      </c>
      <c r="K5945" s="226">
        <v>33683</v>
      </c>
      <c r="L5945" s="226"/>
    </row>
    <row r="5946" spans="1:14" x14ac:dyDescent="0.2">
      <c r="A5946" s="133">
        <v>2022</v>
      </c>
      <c r="B5946" s="133">
        <v>2</v>
      </c>
      <c r="C5946" s="133">
        <v>24</v>
      </c>
      <c r="D5946" s="141">
        <f t="shared" si="266"/>
        <v>44616</v>
      </c>
      <c r="E5946" s="275">
        <f t="shared" si="267"/>
        <v>44616</v>
      </c>
      <c r="F5946" s="481"/>
      <c r="G5946" s="174" t="s">
        <v>74</v>
      </c>
      <c r="H5946" s="148" t="str" cm="1">
        <f t="array" ref="H5946">IFERROR(INDEX(INVESTOR_LIST[INVESTOR NAME],MATCH(I5946,INVESTOR_LIST[INVESTOR CODE],0),)," ")</f>
        <v xml:space="preserve"> </v>
      </c>
      <c r="J5946" s="133" t="s">
        <v>534</v>
      </c>
      <c r="K5946" s="218"/>
      <c r="L5946" s="218">
        <v>1302.45</v>
      </c>
      <c r="N5946" s="160"/>
    </row>
    <row r="5947" spans="1:14" x14ac:dyDescent="0.2">
      <c r="A5947" s="163">
        <v>2022</v>
      </c>
      <c r="B5947" s="163">
        <v>2</v>
      </c>
      <c r="C5947" s="163">
        <v>24</v>
      </c>
      <c r="D5947" s="141">
        <f t="shared" si="266"/>
        <v>44616</v>
      </c>
      <c r="E5947" s="275">
        <f t="shared" si="267"/>
        <v>44616</v>
      </c>
      <c r="F5947" s="480"/>
      <c r="G5947" s="221" t="s">
        <v>74</v>
      </c>
      <c r="H5947" s="145" t="str" cm="1">
        <f t="array" ref="H5947">IFERROR(INDEX(INVESTOR_LIST[INVESTOR NAME],MATCH(I5947,INVESTOR_LIST[INVESTOR CODE],0),)," ")</f>
        <v xml:space="preserve"> </v>
      </c>
      <c r="I5947" s="145"/>
      <c r="J5947" s="163" t="s">
        <v>52</v>
      </c>
      <c r="K5947" s="219"/>
      <c r="L5947" s="219">
        <v>32380.55</v>
      </c>
    </row>
    <row r="5948" spans="1:14" x14ac:dyDescent="0.2">
      <c r="A5948" s="133">
        <v>2022</v>
      </c>
      <c r="B5948" s="133">
        <v>2</v>
      </c>
      <c r="C5948" s="133">
        <v>24</v>
      </c>
      <c r="D5948" s="141">
        <f t="shared" si="266"/>
        <v>44616</v>
      </c>
      <c r="E5948" s="275">
        <f t="shared" si="267"/>
        <v>44616</v>
      </c>
      <c r="F5948" s="481" t="s">
        <v>275</v>
      </c>
      <c r="G5948" s="174" t="s">
        <v>74</v>
      </c>
      <c r="H5948" s="174" t="str" cm="1">
        <f t="array" ref="H5948">IFERROR(INDEX(INVESTOR_LIST[INVESTOR NAME],MATCH(I5948,INVESTOR_LIST[INVESTOR CODE],0),)," ")</f>
        <v xml:space="preserve"> </v>
      </c>
      <c r="I5948" s="148" t="s">
        <v>348</v>
      </c>
      <c r="J5948" s="149" t="s">
        <v>163</v>
      </c>
      <c r="K5948" s="218">
        <v>3150</v>
      </c>
      <c r="L5948" s="218"/>
    </row>
    <row r="5949" spans="1:14" x14ac:dyDescent="0.2">
      <c r="A5949" s="163">
        <v>2022</v>
      </c>
      <c r="B5949" s="163">
        <v>2</v>
      </c>
      <c r="C5949" s="163">
        <v>24</v>
      </c>
      <c r="D5949" s="141">
        <f t="shared" si="266"/>
        <v>44616</v>
      </c>
      <c r="E5949" s="275">
        <f t="shared" si="267"/>
        <v>44616</v>
      </c>
      <c r="F5949" s="480"/>
      <c r="G5949" s="221" t="s">
        <v>74</v>
      </c>
      <c r="H5949" s="221" t="str" cm="1">
        <f t="array" ref="H5949">IFERROR(INDEX(INVESTOR_LIST[INVESTOR NAME],MATCH(I5949,INVESTOR_LIST[INVESTOR CODE],0),)," ")</f>
        <v xml:space="preserve"> </v>
      </c>
      <c r="I5949" s="145" t="s">
        <v>348</v>
      </c>
      <c r="J5949" s="146" t="s">
        <v>52</v>
      </c>
      <c r="K5949" s="219"/>
      <c r="L5949" s="219">
        <v>3150</v>
      </c>
    </row>
    <row r="5950" spans="1:14" x14ac:dyDescent="0.2">
      <c r="A5950" s="133">
        <v>2022</v>
      </c>
      <c r="B5950" s="133">
        <v>2</v>
      </c>
      <c r="C5950" s="133">
        <v>24</v>
      </c>
      <c r="D5950" s="141">
        <f t="shared" si="266"/>
        <v>44616</v>
      </c>
      <c r="E5950" s="275">
        <f t="shared" si="267"/>
        <v>44616</v>
      </c>
      <c r="F5950" s="481" t="s">
        <v>1313</v>
      </c>
      <c r="G5950" s="174" t="s">
        <v>94</v>
      </c>
      <c r="H5950" s="174" t="str" cm="1">
        <f t="array" ref="H5950">IFERROR(INDEX(INVESTOR_LIST[INVESTOR NAME],MATCH(I5950,INVESTOR_LIST[INVESTOR CODE],0),)," ")</f>
        <v xml:space="preserve"> </v>
      </c>
      <c r="I5950" s="148" t="s">
        <v>348</v>
      </c>
      <c r="J5950" s="149" t="s">
        <v>79</v>
      </c>
      <c r="K5950" s="218">
        <v>1607824.2</v>
      </c>
      <c r="L5950" s="218"/>
    </row>
    <row r="5951" spans="1:14" x14ac:dyDescent="0.2">
      <c r="A5951" s="133">
        <v>2022</v>
      </c>
      <c r="B5951" s="133">
        <v>2</v>
      </c>
      <c r="C5951" s="133">
        <v>24</v>
      </c>
      <c r="D5951" s="141">
        <f t="shared" si="266"/>
        <v>44616</v>
      </c>
      <c r="E5951" s="275">
        <f t="shared" si="267"/>
        <v>44616</v>
      </c>
      <c r="F5951" s="481"/>
      <c r="G5951" s="174" t="s">
        <v>94</v>
      </c>
      <c r="H5951" s="174" t="str" cm="1">
        <f t="array" ref="H5951">IFERROR(INDEX(INVESTOR_LIST[INVESTOR NAME],MATCH(I5951,INVESTOR_LIST[INVESTOR CODE],0),)," ")</f>
        <v xml:space="preserve"> </v>
      </c>
      <c r="I5951" s="148" t="s">
        <v>348</v>
      </c>
      <c r="J5951" s="149" t="s">
        <v>80</v>
      </c>
      <c r="K5951" s="218">
        <v>2894.0835999999999</v>
      </c>
      <c r="L5951" s="218"/>
    </row>
    <row r="5952" spans="1:14" x14ac:dyDescent="0.2">
      <c r="A5952" s="163">
        <v>2022</v>
      </c>
      <c r="B5952" s="163">
        <v>2</v>
      </c>
      <c r="C5952" s="163">
        <v>24</v>
      </c>
      <c r="D5952" s="280">
        <f t="shared" si="266"/>
        <v>44616</v>
      </c>
      <c r="E5952" s="281">
        <f t="shared" si="267"/>
        <v>44616</v>
      </c>
      <c r="F5952" s="480"/>
      <c r="G5952" s="221" t="s">
        <v>94</v>
      </c>
      <c r="H5952" s="145" t="str" cm="1">
        <f t="array" ref="H5952">IFERROR(INDEX(INVESTOR_LIST[INVESTOR NAME],MATCH(I5952,INVESTOR_LIST[INVESTOR CODE],0),)," ")</f>
        <v xml:space="preserve"> </v>
      </c>
      <c r="I5952" s="145"/>
      <c r="J5952" s="163" t="s">
        <v>147</v>
      </c>
      <c r="K5952" s="219"/>
      <c r="L5952" s="219">
        <v>1610718.2836</v>
      </c>
    </row>
    <row r="5953" spans="1:14" x14ac:dyDescent="0.2">
      <c r="A5953" s="168">
        <v>2022</v>
      </c>
      <c r="B5953" s="168">
        <v>2</v>
      </c>
      <c r="C5953" s="168">
        <v>24</v>
      </c>
      <c r="D5953" s="141">
        <f t="shared" si="266"/>
        <v>44616</v>
      </c>
      <c r="E5953" s="275">
        <f t="shared" si="267"/>
        <v>44616</v>
      </c>
      <c r="F5953" s="479" t="s">
        <v>1314</v>
      </c>
      <c r="G5953" s="220" t="s">
        <v>74</v>
      </c>
      <c r="H5953" s="220" t="str" cm="1">
        <f t="array" ref="H5953">IFERROR(INDEX(INVESTOR_LIST[INVESTOR NAME],MATCH(I5953,INVESTOR_LIST[INVESTOR CODE],0),)," ")</f>
        <v xml:space="preserve"> </v>
      </c>
      <c r="I5953" s="142" t="s">
        <v>348</v>
      </c>
      <c r="J5953" s="143" t="s">
        <v>147</v>
      </c>
      <c r="K5953" s="226">
        <v>1610718.2836</v>
      </c>
      <c r="L5953" s="226"/>
    </row>
    <row r="5954" spans="1:14" x14ac:dyDescent="0.2">
      <c r="A5954" s="163">
        <v>2022</v>
      </c>
      <c r="B5954" s="163">
        <v>2</v>
      </c>
      <c r="C5954" s="163">
        <v>24</v>
      </c>
      <c r="D5954" s="141">
        <f t="shared" si="266"/>
        <v>44616</v>
      </c>
      <c r="E5954" s="275">
        <f t="shared" si="267"/>
        <v>44616</v>
      </c>
      <c r="F5954" s="480"/>
      <c r="G5954" s="221" t="s">
        <v>74</v>
      </c>
      <c r="H5954" s="221" t="str" cm="1">
        <f t="array" ref="H5954">IFERROR(INDEX(INVESTOR_LIST[INVESTOR NAME],MATCH(I5954,INVESTOR_LIST[INVESTOR CODE],0),)," ")</f>
        <v xml:space="preserve"> </v>
      </c>
      <c r="I5954" s="145" t="s">
        <v>348</v>
      </c>
      <c r="J5954" s="146" t="s">
        <v>52</v>
      </c>
      <c r="K5954" s="219"/>
      <c r="L5954" s="219">
        <v>1610718.2836</v>
      </c>
    </row>
    <row r="5955" spans="1:14" x14ac:dyDescent="0.2">
      <c r="A5955" s="238">
        <v>2022</v>
      </c>
      <c r="B5955" s="238">
        <v>2</v>
      </c>
      <c r="C5955" s="238">
        <v>24</v>
      </c>
      <c r="D5955" s="270">
        <f t="shared" ref="D5955:D5980" si="268">DATE(A5955,B5955,C5955)</f>
        <v>44616</v>
      </c>
      <c r="E5955" s="279">
        <f t="shared" ref="E5955:E5980" si="269">DATE(A5955,B5955,C5955)</f>
        <v>44616</v>
      </c>
      <c r="F5955" s="477" t="s">
        <v>347</v>
      </c>
      <c r="G5955" s="239" t="s">
        <v>94</v>
      </c>
      <c r="H5955" s="239" t="str" cm="1">
        <f t="array" ref="H5955">IFERROR(INDEX(INVESTOR_LIST[INVESTOR NAME],MATCH(I5955,INVESTOR_LIST[INVESTOR CODE],0),)," ")</f>
        <v xml:space="preserve"> </v>
      </c>
      <c r="I5955" s="262" t="s">
        <v>348</v>
      </c>
      <c r="J5955" s="240" t="s">
        <v>83</v>
      </c>
      <c r="K5955" s="241">
        <v>2579943.2600000203</v>
      </c>
      <c r="L5955" s="241"/>
    </row>
    <row r="5956" spans="1:14" x14ac:dyDescent="0.2">
      <c r="A5956" s="242">
        <v>2022</v>
      </c>
      <c r="B5956" s="242">
        <v>2</v>
      </c>
      <c r="C5956" s="242">
        <v>24</v>
      </c>
      <c r="D5956" s="270">
        <f t="shared" si="268"/>
        <v>44616</v>
      </c>
      <c r="E5956" s="279">
        <f t="shared" si="269"/>
        <v>44616</v>
      </c>
      <c r="F5956" s="478"/>
      <c r="G5956" s="243" t="s">
        <v>94</v>
      </c>
      <c r="H5956" s="243" t="str" cm="1">
        <f t="array" ref="H5956">IFERROR(INDEX(INVESTOR_LIST[INVESTOR NAME],MATCH(I5956,INVESTOR_LIST[INVESTOR CODE],0),)," ")</f>
        <v xml:space="preserve"> </v>
      </c>
      <c r="I5956" s="263" t="s">
        <v>348</v>
      </c>
      <c r="J5956" s="244" t="s">
        <v>108</v>
      </c>
      <c r="K5956" s="245"/>
      <c r="L5956" s="245">
        <v>2579943.2600000203</v>
      </c>
    </row>
    <row r="5957" spans="1:14" ht="22.5" x14ac:dyDescent="0.2">
      <c r="A5957" s="246">
        <v>2022</v>
      </c>
      <c r="B5957" s="246">
        <v>2</v>
      </c>
      <c r="C5957" s="246">
        <v>24</v>
      </c>
      <c r="D5957" s="270">
        <f t="shared" si="268"/>
        <v>44616</v>
      </c>
      <c r="E5957" s="279">
        <f t="shared" si="269"/>
        <v>44616</v>
      </c>
      <c r="F5957" s="482" t="s">
        <v>148</v>
      </c>
      <c r="G5957" s="247" t="s">
        <v>94</v>
      </c>
      <c r="H5957" s="247" t="str" cm="1">
        <f t="array" ref="H5957">IFERROR(INDEX(INVESTOR_LIST[INVESTOR NAME],MATCH(I5957,INVESTOR_LIST[INVESTOR CODE],0),)," ")</f>
        <v xml:space="preserve"> </v>
      </c>
      <c r="I5957" s="248" t="s">
        <v>348</v>
      </c>
      <c r="J5957" s="249" t="s">
        <v>95</v>
      </c>
      <c r="K5957" s="250">
        <v>2747.2527472527472</v>
      </c>
      <c r="L5957" s="241"/>
      <c r="M5957" s="160"/>
      <c r="N5957" s="160"/>
    </row>
    <row r="5958" spans="1:14" x14ac:dyDescent="0.2">
      <c r="A5958" s="242">
        <v>2022</v>
      </c>
      <c r="B5958" s="242">
        <v>2</v>
      </c>
      <c r="C5958" s="242">
        <v>24</v>
      </c>
      <c r="D5958" s="270">
        <f t="shared" si="268"/>
        <v>44616</v>
      </c>
      <c r="E5958" s="279">
        <f t="shared" si="269"/>
        <v>44616</v>
      </c>
      <c r="F5958" s="478"/>
      <c r="G5958" s="243" t="s">
        <v>94</v>
      </c>
      <c r="H5958" s="243" t="str" cm="1">
        <f t="array" ref="H5958">IFERROR(INDEX(INVESTOR_LIST[INVESTOR NAME],MATCH(I5958,INVESTOR_LIST[INVESTOR CODE],0),)," ")</f>
        <v xml:space="preserve"> </v>
      </c>
      <c r="I5958" s="263" t="s">
        <v>348</v>
      </c>
      <c r="J5958" s="244" t="s">
        <v>63</v>
      </c>
      <c r="K5958" s="245"/>
      <c r="L5958" s="245">
        <v>2747.2527472527472</v>
      </c>
    </row>
    <row r="5959" spans="1:14" x14ac:dyDescent="0.2">
      <c r="A5959" s="246">
        <v>2022</v>
      </c>
      <c r="B5959" s="246">
        <v>2</v>
      </c>
      <c r="C5959" s="246">
        <v>24</v>
      </c>
      <c r="D5959" s="270">
        <f t="shared" si="268"/>
        <v>44616</v>
      </c>
      <c r="E5959" s="279">
        <f t="shared" si="269"/>
        <v>44616</v>
      </c>
      <c r="F5959" s="482" t="s">
        <v>137</v>
      </c>
      <c r="G5959" s="247" t="s">
        <v>94</v>
      </c>
      <c r="H5959" s="247" t="str" cm="1">
        <f t="array" ref="H5959">IFERROR(INDEX(INVESTOR_LIST[INVESTOR NAME],MATCH(I5959,INVESTOR_LIST[INVESTOR CODE],0),)," ")</f>
        <v xml:space="preserve"> </v>
      </c>
      <c r="I5959" s="248" t="s">
        <v>348</v>
      </c>
      <c r="J5959" s="249" t="s">
        <v>97</v>
      </c>
      <c r="K5959" s="250">
        <v>81461.745357815569</v>
      </c>
      <c r="L5959" s="252"/>
    </row>
    <row r="5960" spans="1:14" x14ac:dyDescent="0.2">
      <c r="A5960" s="242">
        <v>2022</v>
      </c>
      <c r="B5960" s="242">
        <v>2</v>
      </c>
      <c r="C5960" s="242">
        <v>24</v>
      </c>
      <c r="D5960" s="270">
        <f t="shared" si="268"/>
        <v>44616</v>
      </c>
      <c r="E5960" s="279">
        <f t="shared" si="269"/>
        <v>44616</v>
      </c>
      <c r="F5960" s="478"/>
      <c r="G5960" s="243" t="s">
        <v>94</v>
      </c>
      <c r="H5960" s="243" t="str" cm="1">
        <f t="array" ref="H5960">IFERROR(INDEX(INVESTOR_LIST[INVESTOR NAME],MATCH(I5960,INVESTOR_LIST[INVESTOR CODE],0),)," ")</f>
        <v xml:space="preserve"> </v>
      </c>
      <c r="I5960" s="263" t="s">
        <v>348</v>
      </c>
      <c r="J5960" s="244" t="s">
        <v>47</v>
      </c>
      <c r="K5960" s="245"/>
      <c r="L5960" s="245">
        <v>81461.745357815569</v>
      </c>
    </row>
    <row r="5961" spans="1:14" x14ac:dyDescent="0.2">
      <c r="A5961" s="246">
        <v>2022</v>
      </c>
      <c r="B5961" s="246">
        <v>2</v>
      </c>
      <c r="C5961" s="246">
        <v>24</v>
      </c>
      <c r="D5961" s="270">
        <f t="shared" si="268"/>
        <v>44616</v>
      </c>
      <c r="E5961" s="279">
        <f t="shared" si="269"/>
        <v>44616</v>
      </c>
      <c r="F5961" s="482" t="s">
        <v>138</v>
      </c>
      <c r="G5961" s="247" t="s">
        <v>94</v>
      </c>
      <c r="H5961" s="247" t="str" cm="1">
        <f t="array" ref="H5961">IFERROR(INDEX(INVESTOR_LIST[INVESTOR NAME],MATCH(I5961,INVESTOR_LIST[INVESTOR CODE],0),)," ")</f>
        <v xml:space="preserve"> </v>
      </c>
      <c r="I5961" s="248" t="s">
        <v>348</v>
      </c>
      <c r="J5961" s="249" t="s">
        <v>100</v>
      </c>
      <c r="K5961" s="250">
        <v>3832.7026525061638</v>
      </c>
      <c r="L5961" s="252"/>
    </row>
    <row r="5962" spans="1:14" x14ac:dyDescent="0.2">
      <c r="A5962" s="242">
        <v>2022</v>
      </c>
      <c r="B5962" s="242">
        <v>2</v>
      </c>
      <c r="C5962" s="242">
        <v>24</v>
      </c>
      <c r="D5962" s="270">
        <f t="shared" si="268"/>
        <v>44616</v>
      </c>
      <c r="E5962" s="279">
        <f t="shared" si="269"/>
        <v>44616</v>
      </c>
      <c r="F5962" s="478"/>
      <c r="G5962" s="243" t="s">
        <v>94</v>
      </c>
      <c r="H5962" s="243" t="str" cm="1">
        <f t="array" ref="H5962">IFERROR(INDEX(INVESTOR_LIST[INVESTOR NAME],MATCH(I5962,INVESTOR_LIST[INVESTOR CODE],0),)," ")</f>
        <v xml:space="preserve"> </v>
      </c>
      <c r="I5962" s="263" t="s">
        <v>348</v>
      </c>
      <c r="J5962" s="244" t="s">
        <v>48</v>
      </c>
      <c r="K5962" s="245"/>
      <c r="L5962" s="245">
        <v>3832.7026525061638</v>
      </c>
      <c r="M5962" s="160"/>
    </row>
    <row r="5963" spans="1:14" ht="33.75" x14ac:dyDescent="0.2">
      <c r="A5963" s="168">
        <v>2022</v>
      </c>
      <c r="B5963" s="168">
        <v>2</v>
      </c>
      <c r="C5963" s="133">
        <v>27</v>
      </c>
      <c r="D5963" s="141">
        <f>DATE(A5963,B5963,C5963)</f>
        <v>44619</v>
      </c>
      <c r="E5963" s="275">
        <f>DATE(A5963,B5963,C5963)</f>
        <v>44619</v>
      </c>
      <c r="F5963" s="479" t="s">
        <v>1315</v>
      </c>
      <c r="G5963" s="220" t="s">
        <v>74</v>
      </c>
      <c r="H5963" s="142" t="str" cm="1">
        <f t="array" ref="H5963">IFERROR(INDEX(INVESTOR_LIST[INVESTOR NAME],MATCH(I5963,INVESTOR_LIST[INVESTOR CODE],0),)," ")</f>
        <v>AHMED BIN MONSUR</v>
      </c>
      <c r="I5963" s="142" t="s">
        <v>992</v>
      </c>
      <c r="J5963" s="168" t="s">
        <v>13</v>
      </c>
      <c r="K5963" s="226">
        <v>819670</v>
      </c>
      <c r="L5963" s="226"/>
    </row>
    <row r="5964" spans="1:14" ht="33.75" x14ac:dyDescent="0.2">
      <c r="A5964" s="133">
        <v>2022</v>
      </c>
      <c r="B5964" s="133">
        <v>2</v>
      </c>
      <c r="C5964" s="133">
        <v>27</v>
      </c>
      <c r="D5964" s="141">
        <f>DATE(A5964,B5964,C5964)</f>
        <v>44619</v>
      </c>
      <c r="E5964" s="275">
        <f>DATE(A5964,B5964,C5964)</f>
        <v>44619</v>
      </c>
      <c r="F5964" s="481"/>
      <c r="G5964" s="174" t="s">
        <v>74</v>
      </c>
      <c r="H5964" s="148" t="str" cm="1">
        <f t="array" ref="H5964">IFERROR(INDEX(INVESTOR_LIST[INVESTOR NAME],MATCH(I5964,INVESTOR_LIST[INVESTOR CODE],0),)," ")</f>
        <v>AHMED BIN MONSUR</v>
      </c>
      <c r="I5964" s="148" t="s">
        <v>992</v>
      </c>
      <c r="J5964" s="133" t="s">
        <v>53</v>
      </c>
      <c r="K5964" s="218">
        <v>204917.5</v>
      </c>
      <c r="L5964" s="218"/>
    </row>
    <row r="5965" spans="1:14" ht="33.75" x14ac:dyDescent="0.2">
      <c r="A5965" s="163">
        <v>2022</v>
      </c>
      <c r="B5965" s="163">
        <v>2</v>
      </c>
      <c r="C5965" s="163">
        <v>27</v>
      </c>
      <c r="D5965" s="141">
        <f>DATE(A5965,B5965,C5965)</f>
        <v>44619</v>
      </c>
      <c r="E5965" s="275">
        <f>DATE(A5965,B5965,C5965)</f>
        <v>44619</v>
      </c>
      <c r="F5965" s="480"/>
      <c r="G5965" s="221" t="s">
        <v>74</v>
      </c>
      <c r="H5965" s="145" t="str" cm="1">
        <f t="array" ref="H5965">IFERROR(INDEX(INVESTOR_LIST[INVESTOR NAME],MATCH(I5965,INVESTOR_LIST[INVESTOR CODE],0),)," ")</f>
        <v>AHMED BIN MONSUR</v>
      </c>
      <c r="I5965" s="145" t="s">
        <v>992</v>
      </c>
      <c r="J5965" s="163" t="s">
        <v>52</v>
      </c>
      <c r="K5965" s="219"/>
      <c r="L5965" s="219">
        <v>1024587.5</v>
      </c>
    </row>
    <row r="5966" spans="1:14" x14ac:dyDescent="0.2">
      <c r="A5966" s="133">
        <v>2022</v>
      </c>
      <c r="B5966" s="133">
        <v>2</v>
      </c>
      <c r="C5966" s="133">
        <v>27</v>
      </c>
      <c r="D5966" s="141">
        <f t="shared" ref="D5966:D5968" si="270">DATE(A5966,B5966,C5966)</f>
        <v>44619</v>
      </c>
      <c r="E5966" s="275">
        <f t="shared" ref="E5966:E5968" si="271">DATE(A5966,B5966,C5966)</f>
        <v>44619</v>
      </c>
      <c r="F5966" s="481" t="s">
        <v>1313</v>
      </c>
      <c r="G5966" s="174" t="s">
        <v>94</v>
      </c>
      <c r="H5966" s="174" t="str" cm="1">
        <f t="array" ref="H5966">IFERROR(INDEX(INVESTOR_LIST[INVESTOR NAME],MATCH(I5966,INVESTOR_LIST[INVESTOR CODE],0),)," ")</f>
        <v xml:space="preserve"> </v>
      </c>
      <c r="I5966" s="148" t="s">
        <v>348</v>
      </c>
      <c r="J5966" s="149" t="s">
        <v>79</v>
      </c>
      <c r="K5966" s="218">
        <v>930246.6</v>
      </c>
      <c r="L5966" s="218"/>
    </row>
    <row r="5967" spans="1:14" x14ac:dyDescent="0.2">
      <c r="A5967" s="133">
        <v>2022</v>
      </c>
      <c r="B5967" s="133">
        <v>2</v>
      </c>
      <c r="C5967" s="133">
        <v>27</v>
      </c>
      <c r="D5967" s="141">
        <f t="shared" si="270"/>
        <v>44619</v>
      </c>
      <c r="E5967" s="275">
        <f t="shared" si="271"/>
        <v>44619</v>
      </c>
      <c r="F5967" s="481"/>
      <c r="G5967" s="174" t="s">
        <v>94</v>
      </c>
      <c r="H5967" s="174" t="str" cm="1">
        <f t="array" ref="H5967">IFERROR(INDEX(INVESTOR_LIST[INVESTOR NAME],MATCH(I5967,INVESTOR_LIST[INVESTOR CODE],0),)," ")</f>
        <v xml:space="preserve"> </v>
      </c>
      <c r="I5967" s="148" t="s">
        <v>348</v>
      </c>
      <c r="J5967" s="149" t="s">
        <v>80</v>
      </c>
      <c r="K5967" s="218">
        <v>1674.44</v>
      </c>
      <c r="L5967" s="218"/>
    </row>
    <row r="5968" spans="1:14" x14ac:dyDescent="0.2">
      <c r="A5968" s="163">
        <v>2022</v>
      </c>
      <c r="B5968" s="163">
        <v>2</v>
      </c>
      <c r="C5968" s="163">
        <v>27</v>
      </c>
      <c r="D5968" s="280">
        <f t="shared" si="270"/>
        <v>44619</v>
      </c>
      <c r="E5968" s="281">
        <f t="shared" si="271"/>
        <v>44619</v>
      </c>
      <c r="F5968" s="480"/>
      <c r="G5968" s="221" t="s">
        <v>94</v>
      </c>
      <c r="H5968" s="145" t="str" cm="1">
        <f t="array" ref="H5968">IFERROR(INDEX(INVESTOR_LIST[INVESTOR NAME],MATCH(I5968,INVESTOR_LIST[INVESTOR CODE],0),)," ")</f>
        <v xml:space="preserve"> </v>
      </c>
      <c r="I5968" s="145"/>
      <c r="J5968" s="163" t="s">
        <v>147</v>
      </c>
      <c r="K5968" s="219"/>
      <c r="L5968" s="219">
        <v>931921.04</v>
      </c>
    </row>
    <row r="5969" spans="1:12" x14ac:dyDescent="0.2">
      <c r="A5969" s="168">
        <v>2022</v>
      </c>
      <c r="B5969" s="168">
        <v>2</v>
      </c>
      <c r="C5969" s="168">
        <v>27</v>
      </c>
      <c r="D5969" s="141">
        <f t="shared" ref="D5969:D5972" si="272">DATE(A5969,B5969,C5969)</f>
        <v>44619</v>
      </c>
      <c r="E5969" s="275">
        <f t="shared" ref="E5969:E5972" si="273">DATE(A5969,B5969,C5969)</f>
        <v>44619</v>
      </c>
      <c r="F5969" s="479" t="s">
        <v>1314</v>
      </c>
      <c r="G5969" s="220" t="s">
        <v>74</v>
      </c>
      <c r="H5969" s="220" t="str" cm="1">
        <f t="array" ref="H5969">IFERROR(INDEX(INVESTOR_LIST[INVESTOR NAME],MATCH(I5969,INVESTOR_LIST[INVESTOR CODE],0),)," ")</f>
        <v xml:space="preserve"> </v>
      </c>
      <c r="I5969" s="142" t="s">
        <v>348</v>
      </c>
      <c r="J5969" s="143" t="s">
        <v>147</v>
      </c>
      <c r="K5969" s="226">
        <v>931921.04</v>
      </c>
      <c r="L5969" s="226"/>
    </row>
    <row r="5970" spans="1:12" x14ac:dyDescent="0.2">
      <c r="A5970" s="163">
        <v>2022</v>
      </c>
      <c r="B5970" s="163">
        <v>2</v>
      </c>
      <c r="C5970" s="163">
        <v>27</v>
      </c>
      <c r="D5970" s="141">
        <f t="shared" si="272"/>
        <v>44619</v>
      </c>
      <c r="E5970" s="275">
        <f t="shared" si="273"/>
        <v>44619</v>
      </c>
      <c r="F5970" s="480"/>
      <c r="G5970" s="221" t="s">
        <v>74</v>
      </c>
      <c r="H5970" s="221" t="str" cm="1">
        <f t="array" ref="H5970">IFERROR(INDEX(INVESTOR_LIST[INVESTOR NAME],MATCH(I5970,INVESTOR_LIST[INVESTOR CODE],0),)," ")</f>
        <v xml:space="preserve"> </v>
      </c>
      <c r="I5970" s="145" t="s">
        <v>348</v>
      </c>
      <c r="J5970" s="146" t="s">
        <v>52</v>
      </c>
      <c r="K5970" s="219"/>
      <c r="L5970" s="219">
        <v>931921.04</v>
      </c>
    </row>
    <row r="5971" spans="1:12" x14ac:dyDescent="0.2">
      <c r="A5971" s="168">
        <v>2022</v>
      </c>
      <c r="B5971" s="168">
        <v>2</v>
      </c>
      <c r="C5971" s="168">
        <v>27</v>
      </c>
      <c r="D5971" s="141">
        <f t="shared" si="272"/>
        <v>44619</v>
      </c>
      <c r="E5971" s="275">
        <f t="shared" si="273"/>
        <v>44619</v>
      </c>
      <c r="F5971" s="479" t="s">
        <v>362</v>
      </c>
      <c r="G5971" s="220" t="s">
        <v>74</v>
      </c>
      <c r="H5971" s="220" t="str" cm="1">
        <f t="array" ref="H5971">IFERROR(INDEX(INVESTOR_LIST[INVESTOR NAME],MATCH(I5971,INVESTOR_LIST[INVESTOR CODE],0),)," ")</f>
        <v xml:space="preserve"> </v>
      </c>
      <c r="I5971" s="142" t="s">
        <v>348</v>
      </c>
      <c r="J5971" s="143" t="s">
        <v>104</v>
      </c>
      <c r="K5971" s="226">
        <v>1094.51</v>
      </c>
      <c r="L5971" s="226"/>
    </row>
    <row r="5972" spans="1:12" x14ac:dyDescent="0.2">
      <c r="A5972" s="163">
        <v>2022</v>
      </c>
      <c r="B5972" s="163">
        <v>2</v>
      </c>
      <c r="C5972" s="163">
        <v>27</v>
      </c>
      <c r="D5972" s="141">
        <f t="shared" si="272"/>
        <v>44619</v>
      </c>
      <c r="E5972" s="275">
        <f t="shared" si="273"/>
        <v>44619</v>
      </c>
      <c r="F5972" s="480"/>
      <c r="G5972" s="221" t="s">
        <v>74</v>
      </c>
      <c r="H5972" s="221" t="str" cm="1">
        <f t="array" ref="H5972">IFERROR(INDEX(INVESTOR_LIST[INVESTOR NAME],MATCH(I5972,INVESTOR_LIST[INVESTOR CODE],0),)," ")</f>
        <v xml:space="preserve"> </v>
      </c>
      <c r="I5972" s="145" t="s">
        <v>348</v>
      </c>
      <c r="J5972" s="146" t="s">
        <v>52</v>
      </c>
      <c r="K5972" s="219"/>
      <c r="L5972" s="219">
        <v>1094.51</v>
      </c>
    </row>
    <row r="5973" spans="1:12" x14ac:dyDescent="0.2">
      <c r="A5973" s="133">
        <v>2022</v>
      </c>
      <c r="B5973" s="133">
        <v>2</v>
      </c>
      <c r="C5973" s="133">
        <v>28</v>
      </c>
      <c r="D5973" s="141">
        <f t="shared" si="268"/>
        <v>44620</v>
      </c>
      <c r="E5973" s="275">
        <f t="shared" si="269"/>
        <v>44620</v>
      </c>
      <c r="F5973" s="481" t="s">
        <v>1317</v>
      </c>
      <c r="G5973" s="174" t="s">
        <v>94</v>
      </c>
      <c r="H5973" s="174" t="str" cm="1">
        <f t="array" ref="H5973">IFERROR(INDEX(INVESTOR_LIST[INVESTOR NAME],MATCH(I5973,INVESTOR_LIST[INVESTOR CODE],0),)," ")</f>
        <v xml:space="preserve"> </v>
      </c>
      <c r="I5973" s="148" t="s">
        <v>348</v>
      </c>
      <c r="J5973" s="149" t="s">
        <v>79</v>
      </c>
      <c r="K5973" s="218">
        <v>629666</v>
      </c>
      <c r="L5973" s="218"/>
    </row>
    <row r="5974" spans="1:12" x14ac:dyDescent="0.2">
      <c r="A5974" s="133">
        <v>2022</v>
      </c>
      <c r="B5974" s="133">
        <v>2</v>
      </c>
      <c r="C5974" s="133">
        <v>28</v>
      </c>
      <c r="D5974" s="141">
        <f t="shared" si="268"/>
        <v>44620</v>
      </c>
      <c r="E5974" s="275">
        <f t="shared" si="269"/>
        <v>44620</v>
      </c>
      <c r="F5974" s="481"/>
      <c r="G5974" s="174" t="s">
        <v>94</v>
      </c>
      <c r="H5974" s="174" t="str" cm="1">
        <f t="array" ref="H5974">IFERROR(INDEX(INVESTOR_LIST[INVESTOR NAME],MATCH(I5974,INVESTOR_LIST[INVESTOR CODE],0),)," ")</f>
        <v xml:space="preserve"> </v>
      </c>
      <c r="I5974" s="148" t="s">
        <v>348</v>
      </c>
      <c r="J5974" s="149" t="s">
        <v>80</v>
      </c>
      <c r="K5974" s="218">
        <v>1133.4000000000001</v>
      </c>
      <c r="L5974" s="218"/>
    </row>
    <row r="5975" spans="1:12" x14ac:dyDescent="0.2">
      <c r="A5975" s="163">
        <v>2022</v>
      </c>
      <c r="B5975" s="163">
        <v>2</v>
      </c>
      <c r="C5975" s="163">
        <v>28</v>
      </c>
      <c r="D5975" s="280">
        <f t="shared" si="268"/>
        <v>44620</v>
      </c>
      <c r="E5975" s="281">
        <f t="shared" si="269"/>
        <v>44620</v>
      </c>
      <c r="F5975" s="480"/>
      <c r="G5975" s="221" t="s">
        <v>94</v>
      </c>
      <c r="H5975" s="145" t="str" cm="1">
        <f t="array" ref="H5975">IFERROR(INDEX(INVESTOR_LIST[INVESTOR NAME],MATCH(I5975,INVESTOR_LIST[INVESTOR CODE],0),)," ")</f>
        <v xml:space="preserve"> </v>
      </c>
      <c r="I5975" s="145"/>
      <c r="J5975" s="163" t="s">
        <v>147</v>
      </c>
      <c r="K5975" s="219"/>
      <c r="L5975" s="219">
        <v>630799.39999999991</v>
      </c>
    </row>
    <row r="5976" spans="1:12" ht="123.75" x14ac:dyDescent="0.2">
      <c r="A5976" s="168">
        <v>2022</v>
      </c>
      <c r="B5976" s="133">
        <v>2</v>
      </c>
      <c r="C5976" s="133">
        <v>28</v>
      </c>
      <c r="D5976" s="141">
        <f t="shared" si="268"/>
        <v>44620</v>
      </c>
      <c r="E5976" s="275">
        <f t="shared" si="269"/>
        <v>44620</v>
      </c>
      <c r="F5976" s="479" t="s">
        <v>964</v>
      </c>
      <c r="G5976" s="220" t="s">
        <v>74</v>
      </c>
      <c r="H5976" s="142" t="str" cm="1">
        <f t="array" ref="H5976">IFERROR(INDEX(INVESTOR_LIST[INVESTOR NAME],MATCH(I5976,INVESTOR_LIST[INVESTOR CODE],0),)," ")</f>
        <v>EKUSH WEALTH MANAGEMENT LIMITED EMPLOYEES CONTRIBUTORY PROVIDENT FUND</v>
      </c>
      <c r="I5976" s="142" t="s">
        <v>1299</v>
      </c>
      <c r="J5976" s="168" t="s">
        <v>52</v>
      </c>
      <c r="K5976" s="226">
        <v>50000</v>
      </c>
      <c r="L5976" s="226"/>
    </row>
    <row r="5977" spans="1:12" ht="123.75" x14ac:dyDescent="0.2">
      <c r="A5977" s="133">
        <v>2022</v>
      </c>
      <c r="B5977" s="133">
        <v>2</v>
      </c>
      <c r="C5977" s="133">
        <v>28</v>
      </c>
      <c r="D5977" s="141">
        <f t="shared" si="268"/>
        <v>44620</v>
      </c>
      <c r="E5977" s="275">
        <f t="shared" si="269"/>
        <v>44620</v>
      </c>
      <c r="F5977" s="481"/>
      <c r="G5977" s="174" t="s">
        <v>74</v>
      </c>
      <c r="H5977" s="148" t="str" cm="1">
        <f t="array" ref="H5977">IFERROR(INDEX(INVESTOR_LIST[INVESTOR NAME],MATCH(I5977,INVESTOR_LIST[INVESTOR CODE],0),)," ")</f>
        <v>EKUSH WEALTH MANAGEMENT LIMITED EMPLOYEES CONTRIBUTORY PROVIDENT FUND</v>
      </c>
      <c r="I5977" s="148" t="s">
        <v>1299</v>
      </c>
      <c r="J5977" s="133" t="s">
        <v>13</v>
      </c>
      <c r="K5977" s="218"/>
      <c r="L5977" s="218">
        <v>40390</v>
      </c>
    </row>
    <row r="5978" spans="1:12" ht="123.75" x14ac:dyDescent="0.2">
      <c r="A5978" s="163">
        <v>2022</v>
      </c>
      <c r="B5978" s="163">
        <v>2</v>
      </c>
      <c r="C5978" s="163">
        <v>28</v>
      </c>
      <c r="D5978" s="141">
        <f t="shared" si="268"/>
        <v>44620</v>
      </c>
      <c r="E5978" s="275">
        <f t="shared" si="269"/>
        <v>44620</v>
      </c>
      <c r="F5978" s="480"/>
      <c r="G5978" s="221" t="s">
        <v>74</v>
      </c>
      <c r="H5978" s="145" t="str" cm="1">
        <f t="array" ref="H5978">IFERROR(INDEX(INVESTOR_LIST[INVESTOR NAME],MATCH(I5978,INVESTOR_LIST[INVESTOR CODE],0),)," ")</f>
        <v>EKUSH WEALTH MANAGEMENT LIMITED EMPLOYEES CONTRIBUTORY PROVIDENT FUND</v>
      </c>
      <c r="I5978" s="145" t="s">
        <v>1299</v>
      </c>
      <c r="J5978" s="163" t="s">
        <v>53</v>
      </c>
      <c r="K5978" s="219"/>
      <c r="L5978" s="219">
        <v>9610</v>
      </c>
    </row>
    <row r="5979" spans="1:12" x14ac:dyDescent="0.2">
      <c r="A5979" s="168">
        <v>2022</v>
      </c>
      <c r="B5979" s="168">
        <v>2</v>
      </c>
      <c r="C5979" s="168">
        <v>28</v>
      </c>
      <c r="D5979" s="141">
        <f t="shared" si="268"/>
        <v>44620</v>
      </c>
      <c r="E5979" s="275">
        <f t="shared" si="269"/>
        <v>44620</v>
      </c>
      <c r="F5979" s="479" t="s">
        <v>937</v>
      </c>
      <c r="G5979" s="220" t="s">
        <v>74</v>
      </c>
      <c r="H5979" s="220" t="str" cm="1">
        <f t="array" ref="H5979">IFERROR(INDEX(INVESTOR_LIST[INVESTOR NAME],MATCH(I5979,INVESTOR_LIST[INVESTOR CODE],0),)," ")</f>
        <v xml:space="preserve"> </v>
      </c>
      <c r="I5979" s="142" t="s">
        <v>348</v>
      </c>
      <c r="J5979" s="143" t="s">
        <v>147</v>
      </c>
      <c r="K5979" s="226">
        <v>630799.39999999991</v>
      </c>
      <c r="L5979" s="226"/>
    </row>
    <row r="5980" spans="1:12" x14ac:dyDescent="0.2">
      <c r="A5980" s="163">
        <v>2022</v>
      </c>
      <c r="B5980" s="163">
        <v>2</v>
      </c>
      <c r="C5980" s="163">
        <v>28</v>
      </c>
      <c r="D5980" s="141">
        <f t="shared" si="268"/>
        <v>44620</v>
      </c>
      <c r="E5980" s="275">
        <f t="shared" si="269"/>
        <v>44620</v>
      </c>
      <c r="F5980" s="480"/>
      <c r="G5980" s="221" t="s">
        <v>74</v>
      </c>
      <c r="H5980" s="221" t="str" cm="1">
        <f t="array" ref="H5980">IFERROR(INDEX(INVESTOR_LIST[INVESTOR NAME],MATCH(I5980,INVESTOR_LIST[INVESTOR CODE],0),)," ")</f>
        <v xml:space="preserve"> </v>
      </c>
      <c r="I5980" s="145" t="s">
        <v>348</v>
      </c>
      <c r="J5980" s="146" t="s">
        <v>52</v>
      </c>
      <c r="K5980" s="219"/>
      <c r="L5980" s="219">
        <v>630799.39999999991</v>
      </c>
    </row>
    <row r="5981" spans="1:12" x14ac:dyDescent="0.2">
      <c r="A5981" s="168">
        <v>2022</v>
      </c>
      <c r="B5981" s="168">
        <v>3</v>
      </c>
      <c r="C5981" s="168">
        <v>1</v>
      </c>
      <c r="D5981" s="141">
        <f t="shared" ref="D5981:D5992" si="274">DATE(A5981,B5981,C5981)</f>
        <v>44621</v>
      </c>
      <c r="E5981" s="275">
        <f t="shared" ref="E5981:E5992" si="275">DATE(A5981,B5981,C5981)</f>
        <v>44621</v>
      </c>
      <c r="F5981" s="479" t="s">
        <v>1318</v>
      </c>
      <c r="G5981" s="220" t="s">
        <v>74</v>
      </c>
      <c r="H5981" s="220" t="str" cm="1">
        <f t="array" ref="H5981">IFERROR(INDEX(INVESTOR_LIST[INVESTOR NAME],MATCH(I5981,INVESTOR_LIST[INVESTOR CODE],0),)," ")</f>
        <v xml:space="preserve"> </v>
      </c>
      <c r="I5981" s="142" t="s">
        <v>348</v>
      </c>
      <c r="J5981" s="143" t="s">
        <v>52</v>
      </c>
      <c r="K5981" s="226">
        <v>7368899.9000000004</v>
      </c>
      <c r="L5981" s="226"/>
    </row>
    <row r="5982" spans="1:12" x14ac:dyDescent="0.2">
      <c r="A5982" s="163">
        <v>2022</v>
      </c>
      <c r="B5982" s="163">
        <v>3</v>
      </c>
      <c r="C5982" s="163">
        <v>1</v>
      </c>
      <c r="D5982" s="141">
        <f t="shared" si="274"/>
        <v>44621</v>
      </c>
      <c r="E5982" s="275">
        <f t="shared" si="275"/>
        <v>44621</v>
      </c>
      <c r="F5982" s="480"/>
      <c r="G5982" s="221" t="s">
        <v>74</v>
      </c>
      <c r="H5982" s="221" t="str" cm="1">
        <f t="array" ref="H5982">IFERROR(INDEX(INVESTOR_LIST[INVESTOR NAME],MATCH(I5982,INVESTOR_LIST[INVESTOR CODE],0),)," ")</f>
        <v xml:space="preserve"> </v>
      </c>
      <c r="I5982" s="145" t="s">
        <v>348</v>
      </c>
      <c r="J5982" s="146" t="s">
        <v>190</v>
      </c>
      <c r="K5982" s="219"/>
      <c r="L5982" s="219">
        <v>7368899.9000000004</v>
      </c>
    </row>
    <row r="5983" spans="1:12" x14ac:dyDescent="0.2">
      <c r="A5983" s="168">
        <v>2022</v>
      </c>
      <c r="B5983" s="168">
        <v>3</v>
      </c>
      <c r="C5983" s="133">
        <v>2</v>
      </c>
      <c r="D5983" s="141">
        <f t="shared" si="274"/>
        <v>44622</v>
      </c>
      <c r="E5983" s="275">
        <f t="shared" si="275"/>
        <v>44622</v>
      </c>
      <c r="F5983" s="479" t="s">
        <v>1319</v>
      </c>
      <c r="G5983" s="220" t="s">
        <v>74</v>
      </c>
      <c r="H5983" s="142" t="str" cm="1">
        <f t="array" ref="H5983">IFERROR(INDEX(INVESTOR_LIST[INVESTOR NAME],MATCH(I5983,INVESTOR_LIST[INVESTOR CODE],0),)," ")</f>
        <v xml:space="preserve"> </v>
      </c>
      <c r="I5983" s="142"/>
      <c r="J5983" s="168" t="s">
        <v>52</v>
      </c>
      <c r="K5983" s="226">
        <v>480000</v>
      </c>
      <c r="L5983" s="226"/>
    </row>
    <row r="5984" spans="1:12" x14ac:dyDescent="0.2">
      <c r="A5984" s="133">
        <v>2022</v>
      </c>
      <c r="B5984" s="133">
        <v>3</v>
      </c>
      <c r="C5984" s="133">
        <v>2</v>
      </c>
      <c r="D5984" s="141">
        <f t="shared" si="274"/>
        <v>44622</v>
      </c>
      <c r="E5984" s="275">
        <f t="shared" si="275"/>
        <v>44622</v>
      </c>
      <c r="F5984" s="481"/>
      <c r="G5984" s="174" t="s">
        <v>74</v>
      </c>
      <c r="H5984" s="148" t="str" cm="1">
        <f t="array" ref="H5984">IFERROR(INDEX(INVESTOR_LIST[INVESTOR NAME],MATCH(I5984,INVESTOR_LIST[INVESTOR CODE],0),)," ")</f>
        <v xml:space="preserve"> </v>
      </c>
      <c r="J5984" s="133" t="s">
        <v>13</v>
      </c>
      <c r="K5984" s="218"/>
      <c r="L5984" s="218">
        <v>387820</v>
      </c>
    </row>
    <row r="5985" spans="1:13" x14ac:dyDescent="0.2">
      <c r="A5985" s="163">
        <v>2022</v>
      </c>
      <c r="B5985" s="163">
        <v>3</v>
      </c>
      <c r="C5985" s="163">
        <v>2</v>
      </c>
      <c r="D5985" s="141">
        <f t="shared" si="274"/>
        <v>44622</v>
      </c>
      <c r="E5985" s="275">
        <f t="shared" si="275"/>
        <v>44622</v>
      </c>
      <c r="F5985" s="480"/>
      <c r="G5985" s="221" t="s">
        <v>74</v>
      </c>
      <c r="H5985" s="145" t="str" cm="1">
        <f t="array" ref="H5985">IFERROR(INDEX(INVESTOR_LIST[INVESTOR NAME],MATCH(I5985,INVESTOR_LIST[INVESTOR CODE],0),)," ")</f>
        <v xml:space="preserve"> </v>
      </c>
      <c r="I5985" s="145"/>
      <c r="J5985" s="163" t="s">
        <v>53</v>
      </c>
      <c r="K5985" s="219"/>
      <c r="L5985" s="219">
        <v>92180</v>
      </c>
    </row>
    <row r="5986" spans="1:13" x14ac:dyDescent="0.2">
      <c r="A5986" s="168">
        <v>2022</v>
      </c>
      <c r="B5986" s="168">
        <v>3</v>
      </c>
      <c r="C5986" s="168">
        <v>3</v>
      </c>
      <c r="D5986" s="141">
        <f t="shared" ref="D5986:D5987" si="276">DATE(A5986,B5986,C5986)</f>
        <v>44623</v>
      </c>
      <c r="E5986" s="275">
        <f t="shared" ref="E5986:E5987" si="277">DATE(A5986,B5986,C5986)</f>
        <v>44623</v>
      </c>
      <c r="F5986" s="479" t="s">
        <v>1320</v>
      </c>
      <c r="G5986" s="220" t="s">
        <v>74</v>
      </c>
      <c r="H5986" s="220" t="str" cm="1">
        <f t="array" ref="H5986">IFERROR(INDEX(INVESTOR_LIST[INVESTOR NAME],MATCH(I5986,INVESTOR_LIST[INVESTOR CODE],0),)," ")</f>
        <v xml:space="preserve"> </v>
      </c>
      <c r="I5986" s="142" t="s">
        <v>348</v>
      </c>
      <c r="J5986" s="143" t="s">
        <v>96</v>
      </c>
      <c r="K5986" s="226">
        <v>10000000</v>
      </c>
      <c r="L5986" s="226"/>
    </row>
    <row r="5987" spans="1:13" x14ac:dyDescent="0.2">
      <c r="A5987" s="163">
        <v>2022</v>
      </c>
      <c r="B5987" s="163">
        <v>3</v>
      </c>
      <c r="C5987" s="163">
        <v>3</v>
      </c>
      <c r="D5987" s="141">
        <f t="shared" si="276"/>
        <v>44623</v>
      </c>
      <c r="E5987" s="275">
        <f t="shared" si="277"/>
        <v>44623</v>
      </c>
      <c r="F5987" s="480"/>
      <c r="G5987" s="221" t="s">
        <v>74</v>
      </c>
      <c r="H5987" s="221" t="str" cm="1">
        <f t="array" ref="H5987">IFERROR(INDEX(INVESTOR_LIST[INVESTOR NAME],MATCH(I5987,INVESTOR_LIST[INVESTOR CODE],0),)," ")</f>
        <v xml:space="preserve"> </v>
      </c>
      <c r="I5987" s="145" t="s">
        <v>348</v>
      </c>
      <c r="J5987" s="146" t="s">
        <v>52</v>
      </c>
      <c r="K5987" s="219"/>
      <c r="L5987" s="219">
        <v>10000000</v>
      </c>
    </row>
    <row r="5988" spans="1:13" x14ac:dyDescent="0.2">
      <c r="A5988" s="133">
        <v>2022</v>
      </c>
      <c r="B5988" s="133">
        <v>3</v>
      </c>
      <c r="C5988" s="133">
        <v>3</v>
      </c>
      <c r="D5988" s="141">
        <f t="shared" si="274"/>
        <v>44623</v>
      </c>
      <c r="E5988" s="275">
        <f t="shared" si="275"/>
        <v>44623</v>
      </c>
      <c r="F5988" s="481" t="s">
        <v>1317</v>
      </c>
      <c r="G5988" s="174" t="s">
        <v>94</v>
      </c>
      <c r="H5988" s="174" t="str" cm="1">
        <f t="array" ref="H5988">IFERROR(INDEX(INVESTOR_LIST[INVESTOR NAME],MATCH(I5988,INVESTOR_LIST[INVESTOR CODE],0),)," ")</f>
        <v xml:space="preserve"> </v>
      </c>
      <c r="I5988" s="148" t="s">
        <v>348</v>
      </c>
      <c r="J5988" s="149" t="s">
        <v>79</v>
      </c>
      <c r="K5988" s="218">
        <v>3083706</v>
      </c>
      <c r="L5988" s="218"/>
    </row>
    <row r="5989" spans="1:13" x14ac:dyDescent="0.2">
      <c r="A5989" s="133">
        <v>2022</v>
      </c>
      <c r="B5989" s="133">
        <v>3</v>
      </c>
      <c r="C5989" s="133">
        <v>3</v>
      </c>
      <c r="D5989" s="141">
        <f t="shared" si="274"/>
        <v>44623</v>
      </c>
      <c r="E5989" s="275">
        <f t="shared" si="275"/>
        <v>44623</v>
      </c>
      <c r="F5989" s="481"/>
      <c r="G5989" s="174" t="s">
        <v>94</v>
      </c>
      <c r="H5989" s="174" t="str" cm="1">
        <f t="array" ref="H5989">IFERROR(INDEX(INVESTOR_LIST[INVESTOR NAME],MATCH(I5989,INVESTOR_LIST[INVESTOR CODE],0),)," ")</f>
        <v xml:space="preserve"> </v>
      </c>
      <c r="I5989" s="148" t="s">
        <v>348</v>
      </c>
      <c r="J5989" s="149" t="s">
        <v>80</v>
      </c>
      <c r="K5989" s="218">
        <v>5550.67</v>
      </c>
      <c r="L5989" s="218"/>
    </row>
    <row r="5990" spans="1:13" x14ac:dyDescent="0.2">
      <c r="A5990" s="163">
        <v>2022</v>
      </c>
      <c r="B5990" s="163">
        <v>3</v>
      </c>
      <c r="C5990" s="163">
        <v>3</v>
      </c>
      <c r="D5990" s="280">
        <f t="shared" si="274"/>
        <v>44623</v>
      </c>
      <c r="E5990" s="281">
        <f t="shared" si="275"/>
        <v>44623</v>
      </c>
      <c r="F5990" s="480"/>
      <c r="G5990" s="221" t="s">
        <v>94</v>
      </c>
      <c r="H5990" s="145" t="str" cm="1">
        <f t="array" ref="H5990">IFERROR(INDEX(INVESTOR_LIST[INVESTOR NAME],MATCH(I5990,INVESTOR_LIST[INVESTOR CODE],0),)," ")</f>
        <v xml:space="preserve"> </v>
      </c>
      <c r="I5990" s="145"/>
      <c r="J5990" s="163" t="s">
        <v>147</v>
      </c>
      <c r="K5990" s="219"/>
      <c r="L5990" s="219">
        <v>3089256.67</v>
      </c>
    </row>
    <row r="5991" spans="1:13" x14ac:dyDescent="0.2">
      <c r="A5991" s="168">
        <v>2022</v>
      </c>
      <c r="B5991" s="168">
        <v>3</v>
      </c>
      <c r="C5991" s="168">
        <v>3</v>
      </c>
      <c r="D5991" s="141">
        <f t="shared" si="274"/>
        <v>44623</v>
      </c>
      <c r="E5991" s="275">
        <f t="shared" si="275"/>
        <v>44623</v>
      </c>
      <c r="F5991" s="479" t="s">
        <v>937</v>
      </c>
      <c r="G5991" s="220" t="s">
        <v>74</v>
      </c>
      <c r="H5991" s="220" t="str" cm="1">
        <f t="array" ref="H5991">IFERROR(INDEX(INVESTOR_LIST[INVESTOR NAME],MATCH(I5991,INVESTOR_LIST[INVESTOR CODE],0),)," ")</f>
        <v xml:space="preserve"> </v>
      </c>
      <c r="I5991" s="142" t="s">
        <v>348</v>
      </c>
      <c r="J5991" s="143" t="s">
        <v>147</v>
      </c>
      <c r="K5991" s="226">
        <v>3089256.67</v>
      </c>
      <c r="L5991" s="226"/>
    </row>
    <row r="5992" spans="1:13" x14ac:dyDescent="0.2">
      <c r="A5992" s="163">
        <v>2022</v>
      </c>
      <c r="B5992" s="163">
        <v>3</v>
      </c>
      <c r="C5992" s="163">
        <v>3</v>
      </c>
      <c r="D5992" s="141">
        <f t="shared" si="274"/>
        <v>44623</v>
      </c>
      <c r="E5992" s="275">
        <f t="shared" si="275"/>
        <v>44623</v>
      </c>
      <c r="F5992" s="480"/>
      <c r="G5992" s="221" t="s">
        <v>74</v>
      </c>
      <c r="H5992" s="221" t="str" cm="1">
        <f t="array" ref="H5992">IFERROR(INDEX(INVESTOR_LIST[INVESTOR NAME],MATCH(I5992,INVESTOR_LIST[INVESTOR CODE],0),)," ")</f>
        <v xml:space="preserve"> </v>
      </c>
      <c r="I5992" s="145" t="s">
        <v>348</v>
      </c>
      <c r="J5992" s="146" t="s">
        <v>52</v>
      </c>
      <c r="K5992" s="219"/>
      <c r="L5992" s="219">
        <v>3089256.67</v>
      </c>
    </row>
    <row r="5993" spans="1:13" ht="22.5" x14ac:dyDescent="0.2">
      <c r="A5993" s="168">
        <v>2022</v>
      </c>
      <c r="B5993" s="168">
        <v>3</v>
      </c>
      <c r="C5993" s="133">
        <v>3</v>
      </c>
      <c r="D5993" s="141">
        <f t="shared" ref="D5993:D5998" si="278">DATE(A5993,B5993,C5993)</f>
        <v>44623</v>
      </c>
      <c r="E5993" s="275">
        <f t="shared" ref="E5993:E5998" si="279">DATE(A5993,B5993,C5993)</f>
        <v>44623</v>
      </c>
      <c r="F5993" s="479" t="s">
        <v>1315</v>
      </c>
      <c r="G5993" s="220" t="s">
        <v>74</v>
      </c>
      <c r="H5993" s="142" t="str" cm="1">
        <f t="array" ref="H5993">IFERROR(INDEX(INVESTOR_LIST[INVESTOR NAME],MATCH(I5993,INVESTOR_LIST[INVESTOR CODE],0),)," ")</f>
        <v>RAJIB SAHA</v>
      </c>
      <c r="I5993" s="142" t="s">
        <v>824</v>
      </c>
      <c r="J5993" s="168" t="s">
        <v>13</v>
      </c>
      <c r="K5993" s="226">
        <v>118660</v>
      </c>
      <c r="L5993" s="226"/>
    </row>
    <row r="5994" spans="1:13" ht="22.5" x14ac:dyDescent="0.2">
      <c r="A5994" s="133">
        <v>2022</v>
      </c>
      <c r="B5994" s="133">
        <v>3</v>
      </c>
      <c r="C5994" s="133">
        <v>3</v>
      </c>
      <c r="D5994" s="141">
        <f t="shared" si="278"/>
        <v>44623</v>
      </c>
      <c r="E5994" s="275">
        <f t="shared" si="279"/>
        <v>44623</v>
      </c>
      <c r="F5994" s="481"/>
      <c r="G5994" s="174" t="s">
        <v>74</v>
      </c>
      <c r="H5994" s="148" t="str" cm="1">
        <f t="array" ref="H5994">IFERROR(INDEX(INVESTOR_LIST[INVESTOR NAME],MATCH(I5994,INVESTOR_LIST[INVESTOR CODE],0),)," ")</f>
        <v>RAJIB SAHA</v>
      </c>
      <c r="I5994" s="148" t="s">
        <v>824</v>
      </c>
      <c r="J5994" s="133" t="s">
        <v>53</v>
      </c>
      <c r="K5994" s="218">
        <v>28239.62</v>
      </c>
      <c r="L5994" s="218"/>
    </row>
    <row r="5995" spans="1:13" ht="22.5" x14ac:dyDescent="0.2">
      <c r="A5995" s="163">
        <v>2022</v>
      </c>
      <c r="B5995" s="163">
        <v>3</v>
      </c>
      <c r="C5995" s="163">
        <v>3</v>
      </c>
      <c r="D5995" s="141">
        <f t="shared" si="278"/>
        <v>44623</v>
      </c>
      <c r="E5995" s="275">
        <f t="shared" si="279"/>
        <v>44623</v>
      </c>
      <c r="F5995" s="480"/>
      <c r="G5995" s="221" t="s">
        <v>74</v>
      </c>
      <c r="H5995" s="145" t="str" cm="1">
        <f t="array" ref="H5995">IFERROR(INDEX(INVESTOR_LIST[INVESTOR NAME],MATCH(I5995,INVESTOR_LIST[INVESTOR CODE],0),)," ")</f>
        <v>RAJIB SAHA</v>
      </c>
      <c r="I5995" s="145" t="s">
        <v>824</v>
      </c>
      <c r="J5995" s="163" t="s">
        <v>52</v>
      </c>
      <c r="K5995" s="219"/>
      <c r="L5995" s="219">
        <v>146899.62</v>
      </c>
    </row>
    <row r="5996" spans="1:13" ht="22.5" x14ac:dyDescent="0.2">
      <c r="A5996" s="168">
        <v>2022</v>
      </c>
      <c r="B5996" s="168">
        <v>3</v>
      </c>
      <c r="C5996" s="133">
        <v>3</v>
      </c>
      <c r="D5996" s="141">
        <f t="shared" si="278"/>
        <v>44623</v>
      </c>
      <c r="E5996" s="275">
        <f t="shared" si="279"/>
        <v>44623</v>
      </c>
      <c r="F5996" s="479" t="s">
        <v>1315</v>
      </c>
      <c r="G5996" s="220" t="s">
        <v>74</v>
      </c>
      <c r="H5996" s="142" t="str" cm="1">
        <f t="array" ref="H5996">IFERROR(INDEX(INVESTOR_LIST[INVESTOR NAME],MATCH(I5996,INVESTOR_LIST[INVESTOR CODE],0),)," ")</f>
        <v>MOUMITA ROY</v>
      </c>
      <c r="I5996" s="142" t="s">
        <v>945</v>
      </c>
      <c r="J5996" s="168" t="s">
        <v>13</v>
      </c>
      <c r="K5996" s="226">
        <v>80250</v>
      </c>
      <c r="L5996" s="226"/>
    </row>
    <row r="5997" spans="1:13" ht="22.5" x14ac:dyDescent="0.2">
      <c r="A5997" s="133">
        <v>2022</v>
      </c>
      <c r="B5997" s="133">
        <v>3</v>
      </c>
      <c r="C5997" s="133">
        <v>3</v>
      </c>
      <c r="D5997" s="141">
        <f t="shared" si="278"/>
        <v>44623</v>
      </c>
      <c r="E5997" s="275">
        <f t="shared" si="279"/>
        <v>44623</v>
      </c>
      <c r="F5997" s="481"/>
      <c r="G5997" s="174" t="s">
        <v>74</v>
      </c>
      <c r="H5997" s="148" t="str" cm="1">
        <f t="array" ref="H5997">IFERROR(INDEX(INVESTOR_LIST[INVESTOR NAME],MATCH(I5997,INVESTOR_LIST[INVESTOR CODE],0),)," ")</f>
        <v>MOUMITA ROY</v>
      </c>
      <c r="I5997" s="148" t="s">
        <v>945</v>
      </c>
      <c r="J5997" s="133" t="s">
        <v>53</v>
      </c>
      <c r="K5997" s="218">
        <v>19099.5</v>
      </c>
      <c r="L5997" s="218"/>
    </row>
    <row r="5998" spans="1:13" ht="22.5" x14ac:dyDescent="0.2">
      <c r="A5998" s="163">
        <v>2022</v>
      </c>
      <c r="B5998" s="163">
        <v>3</v>
      </c>
      <c r="C5998" s="163">
        <v>3</v>
      </c>
      <c r="D5998" s="141">
        <f t="shared" si="278"/>
        <v>44623</v>
      </c>
      <c r="E5998" s="275">
        <f t="shared" si="279"/>
        <v>44623</v>
      </c>
      <c r="F5998" s="480"/>
      <c r="G5998" s="221" t="s">
        <v>74</v>
      </c>
      <c r="H5998" s="145" t="str" cm="1">
        <f t="array" ref="H5998">IFERROR(INDEX(INVESTOR_LIST[INVESTOR NAME],MATCH(I5998,INVESTOR_LIST[INVESTOR CODE],0),)," ")</f>
        <v>MOUMITA ROY</v>
      </c>
      <c r="I5998" s="145" t="s">
        <v>945</v>
      </c>
      <c r="J5998" s="163" t="s">
        <v>52</v>
      </c>
      <c r="K5998" s="219"/>
      <c r="L5998" s="219">
        <v>99349.5</v>
      </c>
    </row>
    <row r="5999" spans="1:13" ht="67.5" x14ac:dyDescent="0.2">
      <c r="A5999" s="168">
        <v>2022</v>
      </c>
      <c r="B5999" s="168">
        <v>3</v>
      </c>
      <c r="C5999" s="133">
        <v>3</v>
      </c>
      <c r="D5999" s="141">
        <f t="shared" ref="D5999:D6001" si="280">DATE(A5999,B5999,C5999)</f>
        <v>44623</v>
      </c>
      <c r="E5999" s="275">
        <f t="shared" ref="E5999:E6001" si="281">DATE(A5999,B5999,C5999)</f>
        <v>44623</v>
      </c>
      <c r="F5999" s="479" t="s">
        <v>1319</v>
      </c>
      <c r="G5999" s="220" t="s">
        <v>74</v>
      </c>
      <c r="H5999" s="142" t="str" cm="1">
        <f t="array" ref="H5999">IFERROR(INDEX(INVESTOR_LIST[INVESTOR NAME],MATCH(I5999,INVESTOR_LIST[INVESTOR CODE],0),)," ")</f>
        <v>MOHAMMAD MARUFUR RAHMAN SIKDER</v>
      </c>
      <c r="I5999" s="142" t="s">
        <v>529</v>
      </c>
      <c r="J5999" s="168" t="s">
        <v>52</v>
      </c>
      <c r="K5999" s="226">
        <v>3000</v>
      </c>
      <c r="L5999" s="226"/>
      <c r="M5999" s="160"/>
    </row>
    <row r="6000" spans="1:13" ht="67.5" x14ac:dyDescent="0.2">
      <c r="A6000" s="133">
        <v>2022</v>
      </c>
      <c r="B6000" s="133">
        <v>3</v>
      </c>
      <c r="C6000" s="133">
        <v>3</v>
      </c>
      <c r="D6000" s="141">
        <f t="shared" si="280"/>
        <v>44623</v>
      </c>
      <c r="E6000" s="275">
        <f t="shared" si="281"/>
        <v>44623</v>
      </c>
      <c r="F6000" s="481"/>
      <c r="G6000" s="174" t="s">
        <v>74</v>
      </c>
      <c r="H6000" s="148" t="str" cm="1">
        <f t="array" ref="H6000">IFERROR(INDEX(INVESTOR_LIST[INVESTOR NAME],MATCH(I6000,INVESTOR_LIST[INVESTOR CODE],0),)," ")</f>
        <v>MOHAMMAD MARUFUR RAHMAN SIKDER</v>
      </c>
      <c r="I6000" s="148" t="s">
        <v>529</v>
      </c>
      <c r="J6000" s="133" t="s">
        <v>13</v>
      </c>
      <c r="K6000" s="218"/>
      <c r="L6000" s="218">
        <v>2420</v>
      </c>
    </row>
    <row r="6001" spans="1:13" ht="67.5" x14ac:dyDescent="0.2">
      <c r="A6001" s="163">
        <v>2022</v>
      </c>
      <c r="B6001" s="163">
        <v>3</v>
      </c>
      <c r="C6001" s="163">
        <v>3</v>
      </c>
      <c r="D6001" s="141">
        <f t="shared" si="280"/>
        <v>44623</v>
      </c>
      <c r="E6001" s="275">
        <f t="shared" si="281"/>
        <v>44623</v>
      </c>
      <c r="F6001" s="480"/>
      <c r="G6001" s="221" t="s">
        <v>74</v>
      </c>
      <c r="H6001" s="145" t="str" cm="1">
        <f t="array" ref="H6001">IFERROR(INDEX(INVESTOR_LIST[INVESTOR NAME],MATCH(I6001,INVESTOR_LIST[INVESTOR CODE],0),)," ")</f>
        <v>MOHAMMAD MARUFUR RAHMAN SIKDER</v>
      </c>
      <c r="I6001" s="145" t="s">
        <v>529</v>
      </c>
      <c r="J6001" s="163" t="s">
        <v>53</v>
      </c>
      <c r="K6001" s="219"/>
      <c r="L6001" s="219">
        <v>580</v>
      </c>
    </row>
    <row r="6002" spans="1:13" x14ac:dyDescent="0.2">
      <c r="A6002" s="133">
        <v>2022</v>
      </c>
      <c r="B6002" s="133">
        <v>3</v>
      </c>
      <c r="C6002" s="133">
        <v>3</v>
      </c>
      <c r="D6002" s="141">
        <f t="shared" ref="D6002:D6028" si="282">DATE(A6002,B6002,C6002)</f>
        <v>44623</v>
      </c>
      <c r="E6002" s="275">
        <f t="shared" ref="E6002:E6028" si="283">DATE(A6002,B6002,C6002)</f>
        <v>44623</v>
      </c>
      <c r="F6002" s="479" t="s">
        <v>77</v>
      </c>
      <c r="G6002" s="174" t="s">
        <v>74</v>
      </c>
      <c r="H6002" s="148" t="str" cm="1">
        <f t="array" ref="H6002">IFERROR(INDEX(INVESTOR_LIST[INVESTOR NAME],MATCH(I6002,INVESTOR_LIST[INVESTOR CODE],0),)," ")</f>
        <v xml:space="preserve"> </v>
      </c>
      <c r="I6002" s="148" t="s">
        <v>348</v>
      </c>
      <c r="J6002" s="133" t="s">
        <v>61</v>
      </c>
      <c r="K6002" s="172">
        <v>115</v>
      </c>
    </row>
    <row r="6003" spans="1:13" x14ac:dyDescent="0.2">
      <c r="A6003" s="163">
        <v>2022</v>
      </c>
      <c r="B6003" s="163">
        <v>3</v>
      </c>
      <c r="C6003" s="163">
        <v>3</v>
      </c>
      <c r="D6003" s="141">
        <f t="shared" si="282"/>
        <v>44623</v>
      </c>
      <c r="E6003" s="275">
        <f t="shared" si="283"/>
        <v>44623</v>
      </c>
      <c r="F6003" s="480"/>
      <c r="G6003" s="221" t="s">
        <v>74</v>
      </c>
      <c r="H6003" s="145" t="str" cm="1">
        <f t="array" ref="H6003">IFERROR(INDEX(INVESTOR_LIST[INVESTOR NAME],MATCH(I6003,INVESTOR_LIST[INVESTOR CODE],0),)," ")</f>
        <v xml:space="preserve"> </v>
      </c>
      <c r="I6003" s="145" t="s">
        <v>348</v>
      </c>
      <c r="J6003" s="163" t="s">
        <v>52</v>
      </c>
      <c r="K6003" s="219"/>
      <c r="L6003" s="219">
        <v>115</v>
      </c>
      <c r="M6003" s="160"/>
    </row>
    <row r="6004" spans="1:13" x14ac:dyDescent="0.2">
      <c r="A6004" s="133">
        <v>2022</v>
      </c>
      <c r="B6004" s="133">
        <v>3</v>
      </c>
      <c r="C6004" s="133">
        <v>3</v>
      </c>
      <c r="D6004" s="141">
        <f t="shared" si="282"/>
        <v>44623</v>
      </c>
      <c r="E6004" s="275">
        <f t="shared" si="283"/>
        <v>44623</v>
      </c>
      <c r="F6004" s="479" t="s">
        <v>543</v>
      </c>
      <c r="G6004" s="174" t="s">
        <v>94</v>
      </c>
      <c r="H6004" s="148" t="str" cm="1">
        <f t="array" ref="H6004">IFERROR(INDEX(INVESTOR_LIST[INVESTOR NAME],MATCH(I6004,INVESTOR_LIST[INVESTOR CODE],0),)," ")</f>
        <v xml:space="preserve"> </v>
      </c>
      <c r="I6004" s="148" t="s">
        <v>348</v>
      </c>
      <c r="J6004" s="133" t="s">
        <v>168</v>
      </c>
      <c r="K6004" s="172">
        <v>525000</v>
      </c>
    </row>
    <row r="6005" spans="1:13" x14ac:dyDescent="0.2">
      <c r="A6005" s="163">
        <v>2022</v>
      </c>
      <c r="B6005" s="163">
        <v>3</v>
      </c>
      <c r="C6005" s="163">
        <v>3</v>
      </c>
      <c r="D6005" s="141">
        <f t="shared" si="282"/>
        <v>44623</v>
      </c>
      <c r="E6005" s="275">
        <f t="shared" si="283"/>
        <v>44623</v>
      </c>
      <c r="F6005" s="480"/>
      <c r="G6005" s="221" t="s">
        <v>94</v>
      </c>
      <c r="H6005" s="145" t="str" cm="1">
        <f t="array" ref="H6005">IFERROR(INDEX(INVESTOR_LIST[INVESTOR NAME],MATCH(I6005,INVESTOR_LIST[INVESTOR CODE],0),)," ")</f>
        <v xml:space="preserve"> </v>
      </c>
      <c r="I6005" s="145" t="s">
        <v>348</v>
      </c>
      <c r="J6005" s="163" t="s">
        <v>166</v>
      </c>
      <c r="K6005" s="219"/>
      <c r="L6005" s="219">
        <v>525000</v>
      </c>
    </row>
    <row r="6006" spans="1:13" x14ac:dyDescent="0.2">
      <c r="A6006" s="238">
        <v>2022</v>
      </c>
      <c r="B6006" s="238">
        <v>3</v>
      </c>
      <c r="C6006" s="238">
        <v>3</v>
      </c>
      <c r="D6006" s="270">
        <f t="shared" si="282"/>
        <v>44623</v>
      </c>
      <c r="E6006" s="279">
        <f t="shared" si="283"/>
        <v>44623</v>
      </c>
      <c r="F6006" s="477" t="s">
        <v>347</v>
      </c>
      <c r="G6006" s="239" t="s">
        <v>94</v>
      </c>
      <c r="H6006" s="239" t="str" cm="1">
        <f t="array" ref="H6006">IFERROR(INDEX(INVESTOR_LIST[INVESTOR NAME],MATCH(I6006,INVESTOR_LIST[INVESTOR CODE],0),)," ")</f>
        <v xml:space="preserve"> </v>
      </c>
      <c r="I6006" s="262" t="s">
        <v>348</v>
      </c>
      <c r="J6006" s="240" t="s">
        <v>83</v>
      </c>
      <c r="K6006" s="241">
        <v>4018513.3899999857</v>
      </c>
      <c r="L6006" s="241"/>
    </row>
    <row r="6007" spans="1:13" x14ac:dyDescent="0.2">
      <c r="A6007" s="242">
        <v>2022</v>
      </c>
      <c r="B6007" s="242">
        <v>3</v>
      </c>
      <c r="C6007" s="242">
        <v>3</v>
      </c>
      <c r="D6007" s="270">
        <f t="shared" si="282"/>
        <v>44623</v>
      </c>
      <c r="E6007" s="279">
        <f t="shared" si="283"/>
        <v>44623</v>
      </c>
      <c r="F6007" s="478"/>
      <c r="G6007" s="243" t="s">
        <v>94</v>
      </c>
      <c r="H6007" s="243" t="str" cm="1">
        <f t="array" ref="H6007">IFERROR(INDEX(INVESTOR_LIST[INVESTOR NAME],MATCH(I6007,INVESTOR_LIST[INVESTOR CODE],0),)," ")</f>
        <v xml:space="preserve"> </v>
      </c>
      <c r="I6007" s="263" t="s">
        <v>348</v>
      </c>
      <c r="J6007" s="244" t="s">
        <v>108</v>
      </c>
      <c r="K6007" s="245"/>
      <c r="L6007" s="245">
        <v>4018513.3899999857</v>
      </c>
    </row>
    <row r="6008" spans="1:13" ht="22.5" x14ac:dyDescent="0.2">
      <c r="A6008" s="246">
        <v>2022</v>
      </c>
      <c r="B6008" s="246">
        <v>3</v>
      </c>
      <c r="C6008" s="246">
        <v>3</v>
      </c>
      <c r="D6008" s="270">
        <f t="shared" si="282"/>
        <v>44623</v>
      </c>
      <c r="E6008" s="279">
        <f t="shared" si="283"/>
        <v>44623</v>
      </c>
      <c r="F6008" s="482" t="s">
        <v>148</v>
      </c>
      <c r="G6008" s="247" t="s">
        <v>94</v>
      </c>
      <c r="H6008" s="247" t="str" cm="1">
        <f t="array" ref="H6008">IFERROR(INDEX(INVESTOR_LIST[INVESTOR NAME],MATCH(I6008,INVESTOR_LIST[INVESTOR CODE],0),)," ")</f>
        <v xml:space="preserve"> </v>
      </c>
      <c r="I6008" s="248" t="s">
        <v>348</v>
      </c>
      <c r="J6008" s="249" t="s">
        <v>95</v>
      </c>
      <c r="K6008" s="250">
        <v>2747.2527472527472</v>
      </c>
      <c r="L6008" s="241"/>
    </row>
    <row r="6009" spans="1:13" x14ac:dyDescent="0.2">
      <c r="A6009" s="242">
        <v>2022</v>
      </c>
      <c r="B6009" s="242">
        <v>3</v>
      </c>
      <c r="C6009" s="242">
        <v>3</v>
      </c>
      <c r="D6009" s="270">
        <f t="shared" si="282"/>
        <v>44623</v>
      </c>
      <c r="E6009" s="279">
        <f t="shared" si="283"/>
        <v>44623</v>
      </c>
      <c r="F6009" s="478"/>
      <c r="G6009" s="243" t="s">
        <v>94</v>
      </c>
      <c r="H6009" s="243" t="str" cm="1">
        <f t="array" ref="H6009">IFERROR(INDEX(INVESTOR_LIST[INVESTOR NAME],MATCH(I6009,INVESTOR_LIST[INVESTOR CODE],0),)," ")</f>
        <v xml:space="preserve"> </v>
      </c>
      <c r="I6009" s="263" t="s">
        <v>348</v>
      </c>
      <c r="J6009" s="244" t="s">
        <v>63</v>
      </c>
      <c r="K6009" s="245"/>
      <c r="L6009" s="245">
        <v>2747.2527472527472</v>
      </c>
    </row>
    <row r="6010" spans="1:13" x14ac:dyDescent="0.2">
      <c r="A6010" s="246">
        <v>2022</v>
      </c>
      <c r="B6010" s="246">
        <v>3</v>
      </c>
      <c r="C6010" s="246">
        <v>3</v>
      </c>
      <c r="D6010" s="270">
        <f t="shared" si="282"/>
        <v>44623</v>
      </c>
      <c r="E6010" s="279">
        <f t="shared" si="283"/>
        <v>44623</v>
      </c>
      <c r="F6010" s="482" t="s">
        <v>137</v>
      </c>
      <c r="G6010" s="247" t="s">
        <v>94</v>
      </c>
      <c r="H6010" s="247" t="str" cm="1">
        <f t="array" ref="H6010">IFERROR(INDEX(INVESTOR_LIST[INVESTOR NAME],MATCH(I6010,INVESTOR_LIST[INVESTOR CODE],0),)," ")</f>
        <v xml:space="preserve"> </v>
      </c>
      <c r="I6010" s="248" t="s">
        <v>348</v>
      </c>
      <c r="J6010" s="249" t="s">
        <v>97</v>
      </c>
      <c r="K6010" s="250">
        <v>80336.048030601145</v>
      </c>
      <c r="L6010" s="252"/>
    </row>
    <row r="6011" spans="1:13" x14ac:dyDescent="0.2">
      <c r="A6011" s="242">
        <v>2022</v>
      </c>
      <c r="B6011" s="242">
        <v>3</v>
      </c>
      <c r="C6011" s="242">
        <v>3</v>
      </c>
      <c r="D6011" s="270">
        <f t="shared" si="282"/>
        <v>44623</v>
      </c>
      <c r="E6011" s="279">
        <f t="shared" si="283"/>
        <v>44623</v>
      </c>
      <c r="F6011" s="478"/>
      <c r="G6011" s="243" t="s">
        <v>94</v>
      </c>
      <c r="H6011" s="243" t="str" cm="1">
        <f t="array" ref="H6011">IFERROR(INDEX(INVESTOR_LIST[INVESTOR NAME],MATCH(I6011,INVESTOR_LIST[INVESTOR CODE],0),)," ")</f>
        <v xml:space="preserve"> </v>
      </c>
      <c r="I6011" s="263" t="s">
        <v>348</v>
      </c>
      <c r="J6011" s="244" t="s">
        <v>47</v>
      </c>
      <c r="K6011" s="245"/>
      <c r="L6011" s="245">
        <v>80336.048030601145</v>
      </c>
    </row>
    <row r="6012" spans="1:13" x14ac:dyDescent="0.2">
      <c r="A6012" s="246">
        <v>2022</v>
      </c>
      <c r="B6012" s="246">
        <v>3</v>
      </c>
      <c r="C6012" s="246">
        <v>3</v>
      </c>
      <c r="D6012" s="270">
        <f t="shared" si="282"/>
        <v>44623</v>
      </c>
      <c r="E6012" s="279">
        <f t="shared" si="283"/>
        <v>44623</v>
      </c>
      <c r="F6012" s="482" t="s">
        <v>138</v>
      </c>
      <c r="G6012" s="247" t="s">
        <v>94</v>
      </c>
      <c r="H6012" s="247" t="str" cm="1">
        <f t="array" ref="H6012">IFERROR(INDEX(INVESTOR_LIST[INVESTOR NAME],MATCH(I6012,INVESTOR_LIST[INVESTOR CODE],0),)," ")</f>
        <v xml:space="preserve"> </v>
      </c>
      <c r="I6012" s="248" t="s">
        <v>348</v>
      </c>
      <c r="J6012" s="249" t="s">
        <v>100</v>
      </c>
      <c r="K6012" s="250">
        <v>3776.4177861454418</v>
      </c>
      <c r="L6012" s="252"/>
    </row>
    <row r="6013" spans="1:13" x14ac:dyDescent="0.2">
      <c r="A6013" s="242">
        <v>2022</v>
      </c>
      <c r="B6013" s="242">
        <v>3</v>
      </c>
      <c r="C6013" s="242">
        <v>3</v>
      </c>
      <c r="D6013" s="270">
        <f t="shared" si="282"/>
        <v>44623</v>
      </c>
      <c r="E6013" s="279">
        <f t="shared" si="283"/>
        <v>44623</v>
      </c>
      <c r="F6013" s="478"/>
      <c r="G6013" s="243" t="s">
        <v>94</v>
      </c>
      <c r="H6013" s="243" t="str" cm="1">
        <f t="array" ref="H6013">IFERROR(INDEX(INVESTOR_LIST[INVESTOR NAME],MATCH(I6013,INVESTOR_LIST[INVESTOR CODE],0),)," ")</f>
        <v xml:space="preserve"> </v>
      </c>
      <c r="I6013" s="263" t="s">
        <v>348</v>
      </c>
      <c r="J6013" s="244" t="s">
        <v>48</v>
      </c>
      <c r="K6013" s="245"/>
      <c r="L6013" s="245">
        <v>3776.4177861454418</v>
      </c>
    </row>
    <row r="6014" spans="1:13" x14ac:dyDescent="0.2">
      <c r="A6014" s="133">
        <v>2022</v>
      </c>
      <c r="B6014" s="133">
        <v>3</v>
      </c>
      <c r="C6014" s="133">
        <v>6</v>
      </c>
      <c r="D6014" s="141">
        <f t="shared" si="282"/>
        <v>44626</v>
      </c>
      <c r="E6014" s="275">
        <f t="shared" si="283"/>
        <v>44626</v>
      </c>
      <c r="F6014" s="479" t="s">
        <v>1323</v>
      </c>
      <c r="G6014" s="174" t="s">
        <v>74</v>
      </c>
      <c r="H6014" s="148" t="str" cm="1">
        <f t="array" ref="H6014">IFERROR(INDEX(INVESTOR_LIST[INVESTOR NAME],MATCH(I6014,INVESTOR_LIST[INVESTOR CODE],0),)," ")</f>
        <v xml:space="preserve"> </v>
      </c>
      <c r="I6014" s="148" t="s">
        <v>348</v>
      </c>
      <c r="J6014" s="133" t="s">
        <v>52</v>
      </c>
      <c r="K6014" s="172">
        <v>60000</v>
      </c>
    </row>
    <row r="6015" spans="1:13" x14ac:dyDescent="0.2">
      <c r="A6015" s="163">
        <v>2022</v>
      </c>
      <c r="B6015" s="163">
        <v>3</v>
      </c>
      <c r="C6015" s="163">
        <v>6</v>
      </c>
      <c r="D6015" s="141">
        <f t="shared" si="282"/>
        <v>44626</v>
      </c>
      <c r="E6015" s="275">
        <f t="shared" si="283"/>
        <v>44626</v>
      </c>
      <c r="F6015" s="480"/>
      <c r="G6015" s="221" t="s">
        <v>74</v>
      </c>
      <c r="H6015" s="145" t="str" cm="1">
        <f t="array" ref="H6015">IFERROR(INDEX(INVESTOR_LIST[INVESTOR NAME],MATCH(I6015,INVESTOR_LIST[INVESTOR CODE],0),)," ")</f>
        <v xml:space="preserve"> </v>
      </c>
      <c r="I6015" s="145" t="s">
        <v>348</v>
      </c>
      <c r="J6015" s="163" t="s">
        <v>168</v>
      </c>
      <c r="K6015" s="219"/>
      <c r="L6015" s="219">
        <v>60000</v>
      </c>
    </row>
    <row r="6016" spans="1:13" ht="45" x14ac:dyDescent="0.2">
      <c r="A6016" s="168">
        <v>2022</v>
      </c>
      <c r="B6016" s="168">
        <v>3</v>
      </c>
      <c r="C6016" s="133">
        <v>7</v>
      </c>
      <c r="D6016" s="141">
        <f>DATE(A6016,B6016,C6016)</f>
        <v>44627</v>
      </c>
      <c r="E6016" s="275">
        <f>DATE(A6016,B6016,C6016)</f>
        <v>44627</v>
      </c>
      <c r="F6016" s="479" t="s">
        <v>1325</v>
      </c>
      <c r="G6016" s="220" t="s">
        <v>74</v>
      </c>
      <c r="H6016" s="142" t="str" cm="1">
        <f t="array" ref="H6016">IFERROR(INDEX(INVESTOR_LIST[INVESTOR NAME],MATCH(I6016,INVESTOR_LIST[INVESTOR CODE],0),)," ")</f>
        <v>JUBAIR MOHAMMAD HASAN</v>
      </c>
      <c r="I6016" s="142" t="s">
        <v>783</v>
      </c>
      <c r="J6016" s="168" t="s">
        <v>13</v>
      </c>
      <c r="K6016" s="226">
        <v>21080</v>
      </c>
      <c r="L6016" s="226"/>
    </row>
    <row r="6017" spans="1:13" ht="45" x14ac:dyDescent="0.2">
      <c r="A6017" s="133">
        <v>2022</v>
      </c>
      <c r="B6017" s="133">
        <v>3</v>
      </c>
      <c r="C6017" s="133">
        <v>7</v>
      </c>
      <c r="D6017" s="141">
        <f>DATE(A6017,B6017,C6017)</f>
        <v>44627</v>
      </c>
      <c r="E6017" s="275">
        <f>DATE(A6017,B6017,C6017)</f>
        <v>44627</v>
      </c>
      <c r="F6017" s="481"/>
      <c r="G6017" s="174" t="s">
        <v>74</v>
      </c>
      <c r="H6017" s="148" t="str" cm="1">
        <f t="array" ref="H6017">IFERROR(INDEX(INVESTOR_LIST[INVESTOR NAME],MATCH(I6017,INVESTOR_LIST[INVESTOR CODE],0),)," ")</f>
        <v>JUBAIR MOHAMMAD HASAN</v>
      </c>
      <c r="I6017" s="148" t="s">
        <v>783</v>
      </c>
      <c r="J6017" s="133" t="s">
        <v>53</v>
      </c>
      <c r="K6017" s="218">
        <v>4490.04</v>
      </c>
      <c r="L6017" s="218"/>
    </row>
    <row r="6018" spans="1:13" ht="45" x14ac:dyDescent="0.2">
      <c r="A6018" s="163">
        <v>2022</v>
      </c>
      <c r="B6018" s="163">
        <v>3</v>
      </c>
      <c r="C6018" s="163">
        <v>7</v>
      </c>
      <c r="D6018" s="141">
        <f>DATE(A6018,B6018,C6018)</f>
        <v>44627</v>
      </c>
      <c r="E6018" s="275">
        <f>DATE(A6018,B6018,C6018)</f>
        <v>44627</v>
      </c>
      <c r="F6018" s="480"/>
      <c r="G6018" s="221" t="s">
        <v>74</v>
      </c>
      <c r="H6018" s="145" t="str" cm="1">
        <f t="array" ref="H6018">IFERROR(INDEX(INVESTOR_LIST[INVESTOR NAME],MATCH(I6018,INVESTOR_LIST[INVESTOR CODE],0),)," ")</f>
        <v>JUBAIR MOHAMMAD HASAN</v>
      </c>
      <c r="I6018" s="145" t="s">
        <v>783</v>
      </c>
      <c r="J6018" s="163" t="s">
        <v>52</v>
      </c>
      <c r="K6018" s="219"/>
      <c r="L6018" s="219">
        <v>25570.04</v>
      </c>
    </row>
    <row r="6019" spans="1:13" x14ac:dyDescent="0.2">
      <c r="A6019" s="133">
        <v>2022</v>
      </c>
      <c r="B6019" s="133">
        <v>3</v>
      </c>
      <c r="C6019" s="133">
        <v>7</v>
      </c>
      <c r="D6019" s="141">
        <f t="shared" si="282"/>
        <v>44627</v>
      </c>
      <c r="E6019" s="275">
        <f t="shared" si="283"/>
        <v>44627</v>
      </c>
      <c r="F6019" s="481" t="s">
        <v>1317</v>
      </c>
      <c r="G6019" s="174" t="s">
        <v>94</v>
      </c>
      <c r="H6019" s="174" t="str" cm="1">
        <f t="array" ref="H6019">IFERROR(INDEX(INVESTOR_LIST[INVESTOR NAME],MATCH(I6019,INVESTOR_LIST[INVESTOR CODE],0),)," ")</f>
        <v xml:space="preserve"> </v>
      </c>
      <c r="I6019" s="148" t="s">
        <v>348</v>
      </c>
      <c r="J6019" s="149" t="s">
        <v>79</v>
      </c>
      <c r="K6019" s="218">
        <v>624980</v>
      </c>
      <c r="L6019" s="218"/>
    </row>
    <row r="6020" spans="1:13" x14ac:dyDescent="0.2">
      <c r="A6020" s="133">
        <v>2022</v>
      </c>
      <c r="B6020" s="133">
        <v>3</v>
      </c>
      <c r="C6020" s="133">
        <v>7</v>
      </c>
      <c r="D6020" s="141">
        <f t="shared" si="282"/>
        <v>44627</v>
      </c>
      <c r="E6020" s="275">
        <f t="shared" si="283"/>
        <v>44627</v>
      </c>
      <c r="F6020" s="481"/>
      <c r="G6020" s="174" t="s">
        <v>94</v>
      </c>
      <c r="H6020" s="174" t="str" cm="1">
        <f t="array" ref="H6020">IFERROR(INDEX(INVESTOR_LIST[INVESTOR NAME],MATCH(I6020,INVESTOR_LIST[INVESTOR CODE],0),)," ")</f>
        <v xml:space="preserve"> </v>
      </c>
      <c r="I6020" s="148" t="s">
        <v>348</v>
      </c>
      <c r="J6020" s="149" t="s">
        <v>80</v>
      </c>
      <c r="K6020" s="218">
        <v>1124.96</v>
      </c>
      <c r="L6020" s="218"/>
    </row>
    <row r="6021" spans="1:13" x14ac:dyDescent="0.2">
      <c r="A6021" s="163">
        <v>2022</v>
      </c>
      <c r="B6021" s="163">
        <v>3</v>
      </c>
      <c r="C6021" s="163">
        <v>7</v>
      </c>
      <c r="D6021" s="280">
        <f t="shared" si="282"/>
        <v>44627</v>
      </c>
      <c r="E6021" s="281">
        <f t="shared" si="283"/>
        <v>44627</v>
      </c>
      <c r="F6021" s="480"/>
      <c r="G6021" s="221" t="s">
        <v>94</v>
      </c>
      <c r="H6021" s="145" t="str" cm="1">
        <f t="array" ref="H6021">IFERROR(INDEX(INVESTOR_LIST[INVESTOR NAME],MATCH(I6021,INVESTOR_LIST[INVESTOR CODE],0),)," ")</f>
        <v xml:space="preserve"> </v>
      </c>
      <c r="I6021" s="145"/>
      <c r="J6021" s="163" t="s">
        <v>147</v>
      </c>
      <c r="K6021" s="219"/>
      <c r="L6021" s="219">
        <v>626104.96</v>
      </c>
    </row>
    <row r="6022" spans="1:13" x14ac:dyDescent="0.2">
      <c r="A6022" s="168">
        <v>2022</v>
      </c>
      <c r="B6022" s="168">
        <v>3</v>
      </c>
      <c r="C6022" s="168">
        <v>7</v>
      </c>
      <c r="D6022" s="141">
        <f t="shared" si="282"/>
        <v>44627</v>
      </c>
      <c r="E6022" s="275">
        <f t="shared" si="283"/>
        <v>44627</v>
      </c>
      <c r="F6022" s="479" t="s">
        <v>937</v>
      </c>
      <c r="G6022" s="220" t="s">
        <v>74</v>
      </c>
      <c r="H6022" s="220" t="str" cm="1">
        <f t="array" ref="H6022">IFERROR(INDEX(INVESTOR_LIST[INVESTOR NAME],MATCH(I6022,INVESTOR_LIST[INVESTOR CODE],0),)," ")</f>
        <v xml:space="preserve"> </v>
      </c>
      <c r="I6022" s="142" t="s">
        <v>348</v>
      </c>
      <c r="J6022" s="143" t="s">
        <v>147</v>
      </c>
      <c r="K6022" s="226">
        <v>626104.96</v>
      </c>
      <c r="L6022" s="226"/>
    </row>
    <row r="6023" spans="1:13" x14ac:dyDescent="0.2">
      <c r="A6023" s="163">
        <v>2022</v>
      </c>
      <c r="B6023" s="163">
        <v>3</v>
      </c>
      <c r="C6023" s="163">
        <v>7</v>
      </c>
      <c r="D6023" s="141">
        <f t="shared" si="282"/>
        <v>44627</v>
      </c>
      <c r="E6023" s="275">
        <f t="shared" si="283"/>
        <v>44627</v>
      </c>
      <c r="F6023" s="480"/>
      <c r="G6023" s="221" t="s">
        <v>74</v>
      </c>
      <c r="H6023" s="221" t="str" cm="1">
        <f t="array" ref="H6023">IFERROR(INDEX(INVESTOR_LIST[INVESTOR NAME],MATCH(I6023,INVESTOR_LIST[INVESTOR CODE],0),)," ")</f>
        <v xml:space="preserve"> </v>
      </c>
      <c r="I6023" s="145" t="s">
        <v>348</v>
      </c>
      <c r="J6023" s="146" t="s">
        <v>52</v>
      </c>
      <c r="K6023" s="219"/>
      <c r="L6023" s="219">
        <v>626104.96</v>
      </c>
    </row>
    <row r="6024" spans="1:13" ht="45" x14ac:dyDescent="0.2">
      <c r="A6024" s="168">
        <v>2022</v>
      </c>
      <c r="B6024" s="168">
        <v>3</v>
      </c>
      <c r="C6024" s="133">
        <v>8</v>
      </c>
      <c r="D6024" s="141">
        <f>DATE(A6024,B6024,C6024)</f>
        <v>44628</v>
      </c>
      <c r="E6024" s="275">
        <f>DATE(A6024,B6024,C6024)</f>
        <v>44628</v>
      </c>
      <c r="F6024" s="479" t="s">
        <v>1326</v>
      </c>
      <c r="G6024" s="220" t="s">
        <v>74</v>
      </c>
      <c r="H6024" s="142" t="str" cm="1">
        <f t="array" ref="H6024">IFERROR(INDEX(INVESTOR_LIST[INVESTOR NAME],MATCH(I6024,INVESTOR_LIST[INVESTOR CODE],0),)," ")</f>
        <v>B. M. ASIFUR RAHMAN FARHAD</v>
      </c>
      <c r="I6024" s="142" t="s">
        <v>1305</v>
      </c>
      <c r="J6024" s="168" t="s">
        <v>13</v>
      </c>
      <c r="K6024" s="226">
        <v>4000</v>
      </c>
      <c r="L6024" s="226"/>
    </row>
    <row r="6025" spans="1:13" ht="45" x14ac:dyDescent="0.2">
      <c r="A6025" s="133">
        <v>2022</v>
      </c>
      <c r="B6025" s="133">
        <v>3</v>
      </c>
      <c r="C6025" s="133">
        <v>8</v>
      </c>
      <c r="D6025" s="141">
        <f>DATE(A6025,B6025,C6025)</f>
        <v>44628</v>
      </c>
      <c r="E6025" s="275">
        <f>DATE(A6025,B6025,C6025)</f>
        <v>44628</v>
      </c>
      <c r="F6025" s="481"/>
      <c r="G6025" s="174" t="s">
        <v>74</v>
      </c>
      <c r="H6025" s="148" t="str" cm="1">
        <f t="array" ref="H6025">IFERROR(INDEX(INVESTOR_LIST[INVESTOR NAME],MATCH(I6025,INVESTOR_LIST[INVESTOR CODE],0),)," ")</f>
        <v>B. M. ASIFUR RAHMAN FARHAD</v>
      </c>
      <c r="I6025" s="148" t="s">
        <v>1305</v>
      </c>
      <c r="J6025" s="133" t="s">
        <v>53</v>
      </c>
      <c r="K6025" s="218">
        <v>852</v>
      </c>
      <c r="L6025" s="218"/>
      <c r="M6025" s="160"/>
    </row>
    <row r="6026" spans="1:13" ht="45" x14ac:dyDescent="0.2">
      <c r="A6026" s="163">
        <v>2022</v>
      </c>
      <c r="B6026" s="163">
        <v>3</v>
      </c>
      <c r="C6026" s="163">
        <v>8</v>
      </c>
      <c r="D6026" s="141">
        <f>DATE(A6026,B6026,C6026)</f>
        <v>44628</v>
      </c>
      <c r="E6026" s="275">
        <f>DATE(A6026,B6026,C6026)</f>
        <v>44628</v>
      </c>
      <c r="F6026" s="480"/>
      <c r="G6026" s="221" t="s">
        <v>74</v>
      </c>
      <c r="H6026" s="145" t="str" cm="1">
        <f t="array" ref="H6026">IFERROR(INDEX(INVESTOR_LIST[INVESTOR NAME],MATCH(I6026,INVESTOR_LIST[INVESTOR CODE],0),)," ")</f>
        <v>B. M. ASIFUR RAHMAN FARHAD</v>
      </c>
      <c r="I6026" s="145" t="s">
        <v>1305</v>
      </c>
      <c r="J6026" s="163" t="s">
        <v>52</v>
      </c>
      <c r="K6026" s="219"/>
      <c r="L6026" s="219">
        <v>4852</v>
      </c>
    </row>
    <row r="6027" spans="1:13" x14ac:dyDescent="0.2">
      <c r="A6027" s="133">
        <v>2022</v>
      </c>
      <c r="B6027" s="133">
        <v>2</v>
      </c>
      <c r="C6027" s="133">
        <v>8</v>
      </c>
      <c r="D6027" s="141">
        <f t="shared" si="282"/>
        <v>44600</v>
      </c>
      <c r="E6027" s="275">
        <f t="shared" si="283"/>
        <v>44600</v>
      </c>
      <c r="F6027" s="481" t="s">
        <v>982</v>
      </c>
      <c r="G6027" s="174" t="s">
        <v>74</v>
      </c>
      <c r="H6027" s="174" t="str" cm="1">
        <f t="array" ref="H6027">IFERROR(INDEX(INVESTOR_LIST[INVESTOR NAME],MATCH(I6027,INVESTOR_LIST[INVESTOR CODE],0),)," ")</f>
        <v xml:space="preserve"> </v>
      </c>
      <c r="I6027" s="148" t="s">
        <v>348</v>
      </c>
      <c r="J6027" s="149" t="s">
        <v>163</v>
      </c>
      <c r="K6027" s="218">
        <v>12500</v>
      </c>
      <c r="L6027" s="218"/>
    </row>
    <row r="6028" spans="1:13" x14ac:dyDescent="0.2">
      <c r="A6028" s="163">
        <v>2022</v>
      </c>
      <c r="B6028" s="163">
        <v>2</v>
      </c>
      <c r="C6028" s="163">
        <v>8</v>
      </c>
      <c r="D6028" s="141">
        <f t="shared" si="282"/>
        <v>44600</v>
      </c>
      <c r="E6028" s="275">
        <f t="shared" si="283"/>
        <v>44600</v>
      </c>
      <c r="F6028" s="480"/>
      <c r="G6028" s="221" t="s">
        <v>74</v>
      </c>
      <c r="H6028" s="221" t="str" cm="1">
        <f t="array" ref="H6028">IFERROR(INDEX(INVESTOR_LIST[INVESTOR NAME],MATCH(I6028,INVESTOR_LIST[INVESTOR CODE],0),)," ")</f>
        <v xml:space="preserve"> </v>
      </c>
      <c r="I6028" s="145" t="s">
        <v>348</v>
      </c>
      <c r="J6028" s="146" t="s">
        <v>52</v>
      </c>
      <c r="K6028" s="219"/>
      <c r="L6028" s="219">
        <v>12500</v>
      </c>
    </row>
    <row r="6029" spans="1:13" x14ac:dyDescent="0.2">
      <c r="A6029" s="133">
        <v>2022</v>
      </c>
      <c r="B6029" s="133">
        <v>3</v>
      </c>
      <c r="C6029" s="133">
        <v>8</v>
      </c>
      <c r="D6029" s="141">
        <f t="shared" ref="D6029:D6038" si="284">DATE(A6029,B6029,C6029)</f>
        <v>44628</v>
      </c>
      <c r="E6029" s="275">
        <f t="shared" ref="E6029:E6038" si="285">DATE(A6029,B6029,C6029)</f>
        <v>44628</v>
      </c>
      <c r="F6029" s="481" t="s">
        <v>1317</v>
      </c>
      <c r="G6029" s="174" t="s">
        <v>94</v>
      </c>
      <c r="H6029" s="174" t="str" cm="1">
        <f t="array" ref="H6029">IFERROR(INDEX(INVESTOR_LIST[INVESTOR NAME],MATCH(I6029,INVESTOR_LIST[INVESTOR CODE],0),)," ")</f>
        <v xml:space="preserve"> </v>
      </c>
      <c r="I6029" s="148" t="s">
        <v>348</v>
      </c>
      <c r="J6029" s="149" t="s">
        <v>79</v>
      </c>
      <c r="K6029" s="218">
        <v>1502950</v>
      </c>
      <c r="L6029" s="218"/>
    </row>
    <row r="6030" spans="1:13" x14ac:dyDescent="0.2">
      <c r="A6030" s="133">
        <v>2022</v>
      </c>
      <c r="B6030" s="133">
        <v>3</v>
      </c>
      <c r="C6030" s="133">
        <v>8</v>
      </c>
      <c r="D6030" s="141">
        <f t="shared" si="284"/>
        <v>44628</v>
      </c>
      <c r="E6030" s="275">
        <f t="shared" si="285"/>
        <v>44628</v>
      </c>
      <c r="F6030" s="481"/>
      <c r="G6030" s="174" t="s">
        <v>94</v>
      </c>
      <c r="H6030" s="174" t="str" cm="1">
        <f t="array" ref="H6030">IFERROR(INDEX(INVESTOR_LIST[INVESTOR NAME],MATCH(I6030,INVESTOR_LIST[INVESTOR CODE],0),)," ")</f>
        <v xml:space="preserve"> </v>
      </c>
      <c r="I6030" s="148" t="s">
        <v>348</v>
      </c>
      <c r="J6030" s="149" t="s">
        <v>80</v>
      </c>
      <c r="K6030" s="218">
        <v>2705.31</v>
      </c>
      <c r="L6030" s="218"/>
    </row>
    <row r="6031" spans="1:13" x14ac:dyDescent="0.2">
      <c r="A6031" s="163">
        <v>2022</v>
      </c>
      <c r="B6031" s="163">
        <v>3</v>
      </c>
      <c r="C6031" s="163">
        <v>8</v>
      </c>
      <c r="D6031" s="280">
        <f t="shared" si="284"/>
        <v>44628</v>
      </c>
      <c r="E6031" s="281">
        <f t="shared" si="285"/>
        <v>44628</v>
      </c>
      <c r="F6031" s="480"/>
      <c r="G6031" s="221" t="s">
        <v>94</v>
      </c>
      <c r="H6031" s="145" t="str" cm="1">
        <f t="array" ref="H6031">IFERROR(INDEX(INVESTOR_LIST[INVESTOR NAME],MATCH(I6031,INVESTOR_LIST[INVESTOR CODE],0),)," ")</f>
        <v xml:space="preserve"> </v>
      </c>
      <c r="I6031" s="145"/>
      <c r="J6031" s="163" t="s">
        <v>147</v>
      </c>
      <c r="K6031" s="219"/>
      <c r="L6031" s="219">
        <v>1505655.31</v>
      </c>
    </row>
    <row r="6032" spans="1:13" x14ac:dyDescent="0.2">
      <c r="A6032" s="168">
        <v>2022</v>
      </c>
      <c r="B6032" s="168">
        <v>3</v>
      </c>
      <c r="C6032" s="168">
        <v>8</v>
      </c>
      <c r="D6032" s="141">
        <f t="shared" si="284"/>
        <v>44628</v>
      </c>
      <c r="E6032" s="275">
        <f t="shared" si="285"/>
        <v>44628</v>
      </c>
      <c r="F6032" s="479" t="s">
        <v>937</v>
      </c>
      <c r="G6032" s="220" t="s">
        <v>74</v>
      </c>
      <c r="H6032" s="220" t="str" cm="1">
        <f t="array" ref="H6032">IFERROR(INDEX(INVESTOR_LIST[INVESTOR NAME],MATCH(I6032,INVESTOR_LIST[INVESTOR CODE],0),)," ")</f>
        <v xml:space="preserve"> </v>
      </c>
      <c r="I6032" s="142" t="s">
        <v>348</v>
      </c>
      <c r="J6032" s="143" t="s">
        <v>147</v>
      </c>
      <c r="K6032" s="226">
        <v>1505655.31</v>
      </c>
      <c r="L6032" s="226"/>
    </row>
    <row r="6033" spans="1:12" x14ac:dyDescent="0.2">
      <c r="A6033" s="163">
        <v>2022</v>
      </c>
      <c r="B6033" s="163">
        <v>3</v>
      </c>
      <c r="C6033" s="163">
        <v>8</v>
      </c>
      <c r="D6033" s="141">
        <f t="shared" si="284"/>
        <v>44628</v>
      </c>
      <c r="E6033" s="275">
        <f t="shared" si="285"/>
        <v>44628</v>
      </c>
      <c r="F6033" s="480"/>
      <c r="G6033" s="221" t="s">
        <v>74</v>
      </c>
      <c r="H6033" s="221" t="str" cm="1">
        <f t="array" ref="H6033">IFERROR(INDEX(INVESTOR_LIST[INVESTOR NAME],MATCH(I6033,INVESTOR_LIST[INVESTOR CODE],0),)," ")</f>
        <v xml:space="preserve"> </v>
      </c>
      <c r="I6033" s="145" t="s">
        <v>348</v>
      </c>
      <c r="J6033" s="146" t="s">
        <v>52</v>
      </c>
      <c r="K6033" s="219"/>
      <c r="L6033" s="219">
        <v>1505655.31</v>
      </c>
    </row>
    <row r="6034" spans="1:12" x14ac:dyDescent="0.2">
      <c r="A6034" s="133">
        <v>2022</v>
      </c>
      <c r="B6034" s="133">
        <v>3</v>
      </c>
      <c r="C6034" s="133">
        <v>8</v>
      </c>
      <c r="D6034" s="141">
        <f t="shared" si="284"/>
        <v>44628</v>
      </c>
      <c r="E6034" s="275">
        <f t="shared" si="285"/>
        <v>44628</v>
      </c>
      <c r="F6034" s="479" t="s">
        <v>1327</v>
      </c>
      <c r="G6034" s="174" t="s">
        <v>94</v>
      </c>
      <c r="H6034" s="148" t="str" cm="1">
        <f t="array" ref="H6034">IFERROR(INDEX(INVESTOR_LIST[INVESTOR NAME],MATCH(I6034,INVESTOR_LIST[INVESTOR CODE],0),)," ")</f>
        <v xml:space="preserve"> </v>
      </c>
      <c r="I6034" s="148" t="s">
        <v>348</v>
      </c>
      <c r="J6034" s="133" t="s">
        <v>168</v>
      </c>
      <c r="K6034" s="172">
        <v>22500</v>
      </c>
    </row>
    <row r="6035" spans="1:12" x14ac:dyDescent="0.2">
      <c r="A6035" s="163">
        <v>2022</v>
      </c>
      <c r="B6035" s="163">
        <v>3</v>
      </c>
      <c r="C6035" s="163">
        <v>8</v>
      </c>
      <c r="D6035" s="141">
        <f t="shared" si="284"/>
        <v>44628</v>
      </c>
      <c r="E6035" s="275">
        <f t="shared" si="285"/>
        <v>44628</v>
      </c>
      <c r="F6035" s="480"/>
      <c r="G6035" s="221" t="s">
        <v>94</v>
      </c>
      <c r="H6035" s="145" t="str" cm="1">
        <f t="array" ref="H6035">IFERROR(INDEX(INVESTOR_LIST[INVESTOR NAME],MATCH(I6035,INVESTOR_LIST[INVESTOR CODE],0),)," ")</f>
        <v xml:space="preserve"> </v>
      </c>
      <c r="I6035" s="145" t="s">
        <v>348</v>
      </c>
      <c r="J6035" s="163" t="s">
        <v>166</v>
      </c>
      <c r="K6035" s="219"/>
      <c r="L6035" s="219">
        <v>22500</v>
      </c>
    </row>
    <row r="6036" spans="1:12" ht="33.75" x14ac:dyDescent="0.2">
      <c r="A6036" s="168">
        <v>2022</v>
      </c>
      <c r="B6036" s="168">
        <v>3</v>
      </c>
      <c r="C6036" s="133">
        <v>9</v>
      </c>
      <c r="D6036" s="141">
        <f t="shared" si="284"/>
        <v>44629</v>
      </c>
      <c r="E6036" s="275">
        <f t="shared" si="285"/>
        <v>44629</v>
      </c>
      <c r="F6036" s="479" t="s">
        <v>964</v>
      </c>
      <c r="G6036" s="220" t="s">
        <v>74</v>
      </c>
      <c r="H6036" s="142" t="str" cm="1">
        <f t="array" ref="H6036">IFERROR(INDEX(INVESTOR_LIST[INVESTOR NAME],MATCH(I6036,INVESTOR_LIST[INVESTOR CODE],0),)," ")</f>
        <v>GOURI TOSH PAUL</v>
      </c>
      <c r="I6036" s="142" t="s">
        <v>819</v>
      </c>
      <c r="J6036" s="168" t="s">
        <v>52</v>
      </c>
      <c r="K6036" s="226">
        <v>1400000</v>
      </c>
      <c r="L6036" s="226"/>
    </row>
    <row r="6037" spans="1:12" ht="33.75" x14ac:dyDescent="0.2">
      <c r="A6037" s="133">
        <v>2022</v>
      </c>
      <c r="B6037" s="133">
        <v>3</v>
      </c>
      <c r="C6037" s="133">
        <v>9</v>
      </c>
      <c r="D6037" s="141">
        <f t="shared" si="284"/>
        <v>44629</v>
      </c>
      <c r="E6037" s="275">
        <f t="shared" si="285"/>
        <v>44629</v>
      </c>
      <c r="F6037" s="481"/>
      <c r="G6037" s="174" t="s">
        <v>74</v>
      </c>
      <c r="H6037" s="148" t="str" cm="1">
        <f t="array" ref="H6037">IFERROR(INDEX(INVESTOR_LIST[INVESTOR NAME],MATCH(I6037,INVESTOR_LIST[INVESTOR CODE],0),)," ")</f>
        <v>GOURI TOSH PAUL</v>
      </c>
      <c r="I6037" s="148" t="s">
        <v>819</v>
      </c>
      <c r="J6037" s="133" t="s">
        <v>13</v>
      </c>
      <c r="K6037" s="218"/>
      <c r="L6037" s="218">
        <v>1172520</v>
      </c>
    </row>
    <row r="6038" spans="1:12" ht="33.75" x14ac:dyDescent="0.2">
      <c r="A6038" s="163">
        <v>2022</v>
      </c>
      <c r="B6038" s="163">
        <v>3</v>
      </c>
      <c r="C6038" s="163">
        <v>9</v>
      </c>
      <c r="D6038" s="141">
        <f t="shared" si="284"/>
        <v>44629</v>
      </c>
      <c r="E6038" s="275">
        <f t="shared" si="285"/>
        <v>44629</v>
      </c>
      <c r="F6038" s="480"/>
      <c r="G6038" s="221" t="s">
        <v>74</v>
      </c>
      <c r="H6038" s="145" t="str" cm="1">
        <f t="array" ref="H6038">IFERROR(INDEX(INVESTOR_LIST[INVESTOR NAME],MATCH(I6038,INVESTOR_LIST[INVESTOR CODE],0),)," ")</f>
        <v>GOURI TOSH PAUL</v>
      </c>
      <c r="I6038" s="145" t="s">
        <v>819</v>
      </c>
      <c r="J6038" s="163" t="s">
        <v>53</v>
      </c>
      <c r="K6038" s="219"/>
      <c r="L6038" s="219">
        <v>227480</v>
      </c>
    </row>
    <row r="6039" spans="1:12" x14ac:dyDescent="0.2">
      <c r="A6039" s="133">
        <v>2022</v>
      </c>
      <c r="B6039" s="133">
        <v>3</v>
      </c>
      <c r="C6039" s="133">
        <v>9</v>
      </c>
      <c r="D6039" s="141">
        <f t="shared" ref="D6039:D6050" si="286">DATE(A6039,B6039,C6039)</f>
        <v>44629</v>
      </c>
      <c r="E6039" s="275">
        <f t="shared" ref="E6039:E6050" si="287">DATE(A6039,B6039,C6039)</f>
        <v>44629</v>
      </c>
      <c r="F6039" s="481" t="s">
        <v>1313</v>
      </c>
      <c r="G6039" s="174" t="s">
        <v>94</v>
      </c>
      <c r="H6039" s="174" t="str" cm="1">
        <f t="array" ref="H6039">IFERROR(INDEX(INVESTOR_LIST[INVESTOR NAME],MATCH(I6039,INVESTOR_LIST[INVESTOR CODE],0),)," ")</f>
        <v xml:space="preserve"> </v>
      </c>
      <c r="I6039" s="148" t="s">
        <v>348</v>
      </c>
      <c r="J6039" s="149" t="s">
        <v>79</v>
      </c>
      <c r="K6039" s="218">
        <v>1062000</v>
      </c>
      <c r="L6039" s="218"/>
    </row>
    <row r="6040" spans="1:12" x14ac:dyDescent="0.2">
      <c r="A6040" s="133">
        <v>2022</v>
      </c>
      <c r="B6040" s="133">
        <v>3</v>
      </c>
      <c r="C6040" s="133">
        <v>9</v>
      </c>
      <c r="D6040" s="141">
        <f t="shared" si="286"/>
        <v>44629</v>
      </c>
      <c r="E6040" s="275">
        <f t="shared" si="287"/>
        <v>44629</v>
      </c>
      <c r="F6040" s="481"/>
      <c r="G6040" s="174" t="s">
        <v>94</v>
      </c>
      <c r="H6040" s="174" t="str" cm="1">
        <f t="array" ref="H6040">IFERROR(INDEX(INVESTOR_LIST[INVESTOR NAME],MATCH(I6040,INVESTOR_LIST[INVESTOR CODE],0),)," ")</f>
        <v xml:space="preserve"> </v>
      </c>
      <c r="I6040" s="148" t="s">
        <v>348</v>
      </c>
      <c r="J6040" s="149" t="s">
        <v>80</v>
      </c>
      <c r="K6040" s="218">
        <v>1911.6</v>
      </c>
      <c r="L6040" s="218"/>
    </row>
    <row r="6041" spans="1:12" x14ac:dyDescent="0.2">
      <c r="A6041" s="163">
        <v>2022</v>
      </c>
      <c r="B6041" s="163">
        <v>3</v>
      </c>
      <c r="C6041" s="163">
        <v>9</v>
      </c>
      <c r="D6041" s="280">
        <f t="shared" si="286"/>
        <v>44629</v>
      </c>
      <c r="E6041" s="281">
        <f t="shared" si="287"/>
        <v>44629</v>
      </c>
      <c r="F6041" s="480"/>
      <c r="G6041" s="221" t="s">
        <v>94</v>
      </c>
      <c r="H6041" s="145" t="str" cm="1">
        <f t="array" ref="H6041">IFERROR(INDEX(INVESTOR_LIST[INVESTOR NAME],MATCH(I6041,INVESTOR_LIST[INVESTOR CODE],0),)," ")</f>
        <v xml:space="preserve"> </v>
      </c>
      <c r="I6041" s="145"/>
      <c r="J6041" s="163" t="s">
        <v>147</v>
      </c>
      <c r="K6041" s="219"/>
      <c r="L6041" s="219">
        <v>1063911.6000000001</v>
      </c>
    </row>
    <row r="6042" spans="1:12" x14ac:dyDescent="0.2">
      <c r="A6042" s="168">
        <v>2022</v>
      </c>
      <c r="B6042" s="168">
        <v>3</v>
      </c>
      <c r="C6042" s="168">
        <v>9</v>
      </c>
      <c r="D6042" s="141">
        <f t="shared" si="286"/>
        <v>44629</v>
      </c>
      <c r="E6042" s="275">
        <f t="shared" si="287"/>
        <v>44629</v>
      </c>
      <c r="F6042" s="479" t="s">
        <v>896</v>
      </c>
      <c r="G6042" s="220" t="s">
        <v>74</v>
      </c>
      <c r="H6042" s="220" t="str" cm="1">
        <f t="array" ref="H6042">IFERROR(INDEX(INVESTOR_LIST[INVESTOR NAME],MATCH(I6042,INVESTOR_LIST[INVESTOR CODE],0),)," ")</f>
        <v xml:space="preserve"> </v>
      </c>
      <c r="I6042" s="142" t="s">
        <v>348</v>
      </c>
      <c r="J6042" s="143" t="s">
        <v>147</v>
      </c>
      <c r="K6042" s="226">
        <v>1063911.6000000001</v>
      </c>
      <c r="L6042" s="226"/>
    </row>
    <row r="6043" spans="1:12" x14ac:dyDescent="0.2">
      <c r="A6043" s="163">
        <v>2022</v>
      </c>
      <c r="B6043" s="163">
        <v>3</v>
      </c>
      <c r="C6043" s="163">
        <v>9</v>
      </c>
      <c r="D6043" s="141">
        <f t="shared" si="286"/>
        <v>44629</v>
      </c>
      <c r="E6043" s="275">
        <f t="shared" si="287"/>
        <v>44629</v>
      </c>
      <c r="F6043" s="480"/>
      <c r="G6043" s="221" t="s">
        <v>74</v>
      </c>
      <c r="H6043" s="221" t="str" cm="1">
        <f t="array" ref="H6043">IFERROR(INDEX(INVESTOR_LIST[INVESTOR NAME],MATCH(I6043,INVESTOR_LIST[INVESTOR CODE],0),)," ")</f>
        <v xml:space="preserve"> </v>
      </c>
      <c r="I6043" s="145" t="s">
        <v>348</v>
      </c>
      <c r="J6043" s="146" t="s">
        <v>52</v>
      </c>
      <c r="K6043" s="219"/>
      <c r="L6043" s="219">
        <v>1063911.6000000001</v>
      </c>
    </row>
    <row r="6044" spans="1:12" x14ac:dyDescent="0.2">
      <c r="A6044" s="133">
        <v>2022</v>
      </c>
      <c r="B6044" s="133">
        <v>3</v>
      </c>
      <c r="C6044" s="133">
        <v>9</v>
      </c>
      <c r="D6044" s="141">
        <f t="shared" si="286"/>
        <v>44629</v>
      </c>
      <c r="E6044" s="275">
        <f t="shared" si="287"/>
        <v>44629</v>
      </c>
      <c r="F6044" s="481" t="s">
        <v>1317</v>
      </c>
      <c r="G6044" s="174" t="s">
        <v>94</v>
      </c>
      <c r="H6044" s="174" t="str" cm="1">
        <f t="array" ref="H6044">IFERROR(INDEX(INVESTOR_LIST[INVESTOR NAME],MATCH(I6044,INVESTOR_LIST[INVESTOR CODE],0),)," ")</f>
        <v xml:space="preserve"> </v>
      </c>
      <c r="I6044" s="148" t="s">
        <v>348</v>
      </c>
      <c r="J6044" s="149" t="s">
        <v>79</v>
      </c>
      <c r="K6044" s="218">
        <v>3118350</v>
      </c>
      <c r="L6044" s="218"/>
    </row>
    <row r="6045" spans="1:12" x14ac:dyDescent="0.2">
      <c r="A6045" s="133">
        <v>2022</v>
      </c>
      <c r="B6045" s="133">
        <v>3</v>
      </c>
      <c r="C6045" s="133">
        <v>9</v>
      </c>
      <c r="D6045" s="141">
        <f t="shared" si="286"/>
        <v>44629</v>
      </c>
      <c r="E6045" s="275">
        <f t="shared" si="287"/>
        <v>44629</v>
      </c>
      <c r="F6045" s="481"/>
      <c r="G6045" s="174" t="s">
        <v>94</v>
      </c>
      <c r="H6045" s="174" t="str" cm="1">
        <f t="array" ref="H6045">IFERROR(INDEX(INVESTOR_LIST[INVESTOR NAME],MATCH(I6045,INVESTOR_LIST[INVESTOR CODE],0),)," ")</f>
        <v xml:space="preserve"> </v>
      </c>
      <c r="I6045" s="148" t="s">
        <v>348</v>
      </c>
      <c r="J6045" s="149" t="s">
        <v>80</v>
      </c>
      <c r="K6045" s="218">
        <v>5613.0300000000007</v>
      </c>
      <c r="L6045" s="218"/>
    </row>
    <row r="6046" spans="1:12" x14ac:dyDescent="0.2">
      <c r="A6046" s="163">
        <v>2022</v>
      </c>
      <c r="B6046" s="163">
        <v>3</v>
      </c>
      <c r="C6046" s="163">
        <v>9</v>
      </c>
      <c r="D6046" s="280">
        <f t="shared" si="286"/>
        <v>44629</v>
      </c>
      <c r="E6046" s="281">
        <f t="shared" si="287"/>
        <v>44629</v>
      </c>
      <c r="F6046" s="480"/>
      <c r="G6046" s="221" t="s">
        <v>94</v>
      </c>
      <c r="H6046" s="145" t="str" cm="1">
        <f t="array" ref="H6046">IFERROR(INDEX(INVESTOR_LIST[INVESTOR NAME],MATCH(I6046,INVESTOR_LIST[INVESTOR CODE],0),)," ")</f>
        <v xml:space="preserve"> </v>
      </c>
      <c r="I6046" s="145"/>
      <c r="J6046" s="163" t="s">
        <v>147</v>
      </c>
      <c r="K6046" s="219"/>
      <c r="L6046" s="219">
        <v>3123963.03</v>
      </c>
    </row>
    <row r="6047" spans="1:12" x14ac:dyDescent="0.2">
      <c r="A6047" s="168">
        <v>2022</v>
      </c>
      <c r="B6047" s="168">
        <v>3</v>
      </c>
      <c r="C6047" s="168">
        <v>9</v>
      </c>
      <c r="D6047" s="141">
        <f t="shared" si="286"/>
        <v>44629</v>
      </c>
      <c r="E6047" s="275">
        <f t="shared" si="287"/>
        <v>44629</v>
      </c>
      <c r="F6047" s="479" t="s">
        <v>937</v>
      </c>
      <c r="G6047" s="220" t="s">
        <v>74</v>
      </c>
      <c r="H6047" s="220" t="str" cm="1">
        <f t="array" ref="H6047">IFERROR(INDEX(INVESTOR_LIST[INVESTOR NAME],MATCH(I6047,INVESTOR_LIST[INVESTOR CODE],0),)," ")</f>
        <v xml:space="preserve"> </v>
      </c>
      <c r="I6047" s="142" t="s">
        <v>348</v>
      </c>
      <c r="J6047" s="143" t="s">
        <v>147</v>
      </c>
      <c r="K6047" s="226">
        <v>3123963.03</v>
      </c>
      <c r="L6047" s="226"/>
    </row>
    <row r="6048" spans="1:12" x14ac:dyDescent="0.2">
      <c r="A6048" s="163">
        <v>2022</v>
      </c>
      <c r="B6048" s="163">
        <v>3</v>
      </c>
      <c r="C6048" s="163">
        <v>9</v>
      </c>
      <c r="D6048" s="141">
        <f t="shared" si="286"/>
        <v>44629</v>
      </c>
      <c r="E6048" s="275">
        <f t="shared" si="287"/>
        <v>44629</v>
      </c>
      <c r="F6048" s="480"/>
      <c r="G6048" s="221" t="s">
        <v>74</v>
      </c>
      <c r="H6048" s="221" t="str" cm="1">
        <f t="array" ref="H6048">IFERROR(INDEX(INVESTOR_LIST[INVESTOR NAME],MATCH(I6048,INVESTOR_LIST[INVESTOR CODE],0),)," ")</f>
        <v xml:space="preserve"> </v>
      </c>
      <c r="I6048" s="145" t="s">
        <v>348</v>
      </c>
      <c r="J6048" s="146" t="s">
        <v>52</v>
      </c>
      <c r="K6048" s="219"/>
      <c r="L6048" s="219">
        <v>3123963.03</v>
      </c>
    </row>
    <row r="6049" spans="1:12" x14ac:dyDescent="0.2">
      <c r="A6049" s="133">
        <v>2022</v>
      </c>
      <c r="B6049" s="133">
        <v>3</v>
      </c>
      <c r="C6049" s="133">
        <v>9</v>
      </c>
      <c r="D6049" s="141">
        <f t="shared" si="286"/>
        <v>44629</v>
      </c>
      <c r="E6049" s="275">
        <f t="shared" si="287"/>
        <v>44629</v>
      </c>
      <c r="F6049" s="479" t="s">
        <v>77</v>
      </c>
      <c r="G6049" s="174" t="s">
        <v>74</v>
      </c>
      <c r="H6049" s="148" t="str" cm="1">
        <f t="array" ref="H6049">IFERROR(INDEX(INVESTOR_LIST[INVESTOR NAME],MATCH(I6049,INVESTOR_LIST[INVESTOR CODE],0),)," ")</f>
        <v xml:space="preserve"> </v>
      </c>
      <c r="I6049" s="148" t="s">
        <v>348</v>
      </c>
      <c r="J6049" s="133" t="s">
        <v>61</v>
      </c>
      <c r="K6049" s="172">
        <v>60</v>
      </c>
    </row>
    <row r="6050" spans="1:12" x14ac:dyDescent="0.2">
      <c r="A6050" s="163">
        <v>2022</v>
      </c>
      <c r="B6050" s="163">
        <v>3</v>
      </c>
      <c r="C6050" s="163">
        <v>9</v>
      </c>
      <c r="D6050" s="141">
        <f t="shared" si="286"/>
        <v>44629</v>
      </c>
      <c r="E6050" s="275">
        <f t="shared" si="287"/>
        <v>44629</v>
      </c>
      <c r="F6050" s="480"/>
      <c r="G6050" s="221" t="s">
        <v>74</v>
      </c>
      <c r="H6050" s="145" t="str" cm="1">
        <f t="array" ref="H6050">IFERROR(INDEX(INVESTOR_LIST[INVESTOR NAME],MATCH(I6050,INVESTOR_LIST[INVESTOR CODE],0),)," ")</f>
        <v xml:space="preserve"> </v>
      </c>
      <c r="I6050" s="145" t="s">
        <v>348</v>
      </c>
      <c r="J6050" s="163" t="s">
        <v>52</v>
      </c>
      <c r="K6050" s="219"/>
      <c r="L6050" s="219">
        <v>60</v>
      </c>
    </row>
    <row r="6051" spans="1:12" x14ac:dyDescent="0.2">
      <c r="A6051" s="133">
        <v>2022</v>
      </c>
      <c r="B6051" s="133">
        <v>3</v>
      </c>
      <c r="C6051" s="133">
        <v>9</v>
      </c>
      <c r="D6051" s="141">
        <f t="shared" ref="D6051:D6063" si="288">DATE(A6051,B6051,C6051)</f>
        <v>44629</v>
      </c>
      <c r="E6051" s="275">
        <f t="shared" ref="E6051:E6063" si="289">DATE(A6051,B6051,C6051)</f>
        <v>44629</v>
      </c>
      <c r="F6051" s="479" t="s">
        <v>77</v>
      </c>
      <c r="G6051" s="174" t="s">
        <v>74</v>
      </c>
      <c r="H6051" s="148" t="str" cm="1">
        <f t="array" ref="H6051">IFERROR(INDEX(INVESTOR_LIST[INVESTOR NAME],MATCH(I6051,INVESTOR_LIST[INVESTOR CODE],0),)," ")</f>
        <v xml:space="preserve"> </v>
      </c>
      <c r="I6051" s="148" t="s">
        <v>348</v>
      </c>
      <c r="J6051" s="133" t="s">
        <v>61</v>
      </c>
      <c r="K6051" s="172">
        <v>60</v>
      </c>
    </row>
    <row r="6052" spans="1:12" x14ac:dyDescent="0.2">
      <c r="A6052" s="163">
        <v>2022</v>
      </c>
      <c r="B6052" s="163">
        <v>3</v>
      </c>
      <c r="C6052" s="163">
        <v>9</v>
      </c>
      <c r="D6052" s="141">
        <f t="shared" si="288"/>
        <v>44629</v>
      </c>
      <c r="E6052" s="275">
        <f t="shared" si="289"/>
        <v>44629</v>
      </c>
      <c r="F6052" s="480"/>
      <c r="G6052" s="221" t="s">
        <v>74</v>
      </c>
      <c r="H6052" s="145" t="str" cm="1">
        <f t="array" ref="H6052">IFERROR(INDEX(INVESTOR_LIST[INVESTOR NAME],MATCH(I6052,INVESTOR_LIST[INVESTOR CODE],0),)," ")</f>
        <v xml:space="preserve"> </v>
      </c>
      <c r="I6052" s="145" t="s">
        <v>348</v>
      </c>
      <c r="J6052" s="163" t="s">
        <v>52</v>
      </c>
      <c r="K6052" s="219"/>
      <c r="L6052" s="219">
        <v>60</v>
      </c>
    </row>
    <row r="6053" spans="1:12" x14ac:dyDescent="0.2">
      <c r="A6053" s="168">
        <v>2022</v>
      </c>
      <c r="B6053" s="168">
        <v>3</v>
      </c>
      <c r="C6053" s="133">
        <v>9</v>
      </c>
      <c r="D6053" s="141">
        <f t="shared" si="288"/>
        <v>44629</v>
      </c>
      <c r="E6053" s="275">
        <f t="shared" si="289"/>
        <v>44629</v>
      </c>
      <c r="F6053" s="479" t="s">
        <v>1319</v>
      </c>
      <c r="G6053" s="220" t="s">
        <v>74</v>
      </c>
      <c r="H6053" s="142" t="str" cm="1">
        <f t="array" ref="H6053">IFERROR(INDEX(INVESTOR_LIST[INVESTOR NAME],MATCH(I6053,INVESTOR_LIST[INVESTOR CODE],0),)," ")</f>
        <v xml:space="preserve"> </v>
      </c>
      <c r="I6053" s="142"/>
      <c r="J6053" s="168" t="s">
        <v>52</v>
      </c>
      <c r="K6053" s="226">
        <v>35000</v>
      </c>
      <c r="L6053" s="226"/>
    </row>
    <row r="6054" spans="1:12" x14ac:dyDescent="0.2">
      <c r="A6054" s="133">
        <v>2022</v>
      </c>
      <c r="B6054" s="133">
        <v>3</v>
      </c>
      <c r="C6054" s="133">
        <v>9</v>
      </c>
      <c r="D6054" s="141">
        <f t="shared" si="288"/>
        <v>44629</v>
      </c>
      <c r="E6054" s="275">
        <f t="shared" si="289"/>
        <v>44629</v>
      </c>
      <c r="F6054" s="481"/>
      <c r="G6054" s="174" t="s">
        <v>74</v>
      </c>
      <c r="H6054" s="148" t="str" cm="1">
        <f t="array" ref="H6054">IFERROR(INDEX(INVESTOR_LIST[INVESTOR NAME],MATCH(I6054,INVESTOR_LIST[INVESTOR CODE],0),)," ")</f>
        <v xml:space="preserve"> </v>
      </c>
      <c r="J6054" s="133" t="s">
        <v>13</v>
      </c>
      <c r="K6054" s="218"/>
      <c r="L6054" s="218">
        <v>29340</v>
      </c>
    </row>
    <row r="6055" spans="1:12" x14ac:dyDescent="0.2">
      <c r="A6055" s="163">
        <v>2022</v>
      </c>
      <c r="B6055" s="163">
        <v>3</v>
      </c>
      <c r="C6055" s="163">
        <v>9</v>
      </c>
      <c r="D6055" s="141">
        <f t="shared" si="288"/>
        <v>44629</v>
      </c>
      <c r="E6055" s="275">
        <f t="shared" si="289"/>
        <v>44629</v>
      </c>
      <c r="F6055" s="480"/>
      <c r="G6055" s="221" t="s">
        <v>74</v>
      </c>
      <c r="H6055" s="145" t="str" cm="1">
        <f t="array" ref="H6055">IFERROR(INDEX(INVESTOR_LIST[INVESTOR NAME],MATCH(I6055,INVESTOR_LIST[INVESTOR CODE],0),)," ")</f>
        <v xml:space="preserve"> </v>
      </c>
      <c r="I6055" s="145"/>
      <c r="J6055" s="163" t="s">
        <v>53</v>
      </c>
      <c r="K6055" s="219"/>
      <c r="L6055" s="219">
        <v>5660</v>
      </c>
    </row>
    <row r="6056" spans="1:12" x14ac:dyDescent="0.2">
      <c r="A6056" s="133">
        <v>2022</v>
      </c>
      <c r="B6056" s="133">
        <v>3</v>
      </c>
      <c r="C6056" s="133">
        <v>10</v>
      </c>
      <c r="D6056" s="141">
        <f t="shared" si="288"/>
        <v>44630</v>
      </c>
      <c r="E6056" s="275">
        <f t="shared" si="289"/>
        <v>44630</v>
      </c>
      <c r="F6056" s="481" t="s">
        <v>1317</v>
      </c>
      <c r="G6056" s="174" t="s">
        <v>94</v>
      </c>
      <c r="H6056" s="174" t="str" cm="1">
        <f t="array" ref="H6056">IFERROR(INDEX(INVESTOR_LIST[INVESTOR NAME],MATCH(I6056,INVESTOR_LIST[INVESTOR CODE],0),)," ")</f>
        <v xml:space="preserve"> </v>
      </c>
      <c r="I6056" s="148" t="s">
        <v>348</v>
      </c>
      <c r="J6056" s="149" t="s">
        <v>79</v>
      </c>
      <c r="K6056" s="218">
        <v>1863123.1</v>
      </c>
      <c r="L6056" s="218"/>
    </row>
    <row r="6057" spans="1:12" x14ac:dyDescent="0.2">
      <c r="A6057" s="133">
        <v>2022</v>
      </c>
      <c r="B6057" s="133">
        <v>3</v>
      </c>
      <c r="C6057" s="133">
        <v>10</v>
      </c>
      <c r="D6057" s="141">
        <f t="shared" si="288"/>
        <v>44630</v>
      </c>
      <c r="E6057" s="275">
        <f t="shared" si="289"/>
        <v>44630</v>
      </c>
      <c r="F6057" s="481"/>
      <c r="G6057" s="174" t="s">
        <v>94</v>
      </c>
      <c r="H6057" s="174" t="str" cm="1">
        <f t="array" ref="H6057">IFERROR(INDEX(INVESTOR_LIST[INVESTOR NAME],MATCH(I6057,INVESTOR_LIST[INVESTOR CODE],0),)," ")</f>
        <v xml:space="preserve"> </v>
      </c>
      <c r="I6057" s="148" t="s">
        <v>348</v>
      </c>
      <c r="J6057" s="149" t="s">
        <v>80</v>
      </c>
      <c r="K6057" s="218">
        <v>3353.62</v>
      </c>
      <c r="L6057" s="218"/>
    </row>
    <row r="6058" spans="1:12" x14ac:dyDescent="0.2">
      <c r="A6058" s="163">
        <v>2022</v>
      </c>
      <c r="B6058" s="163">
        <v>3</v>
      </c>
      <c r="C6058" s="163">
        <v>10</v>
      </c>
      <c r="D6058" s="280">
        <f t="shared" si="288"/>
        <v>44630</v>
      </c>
      <c r="E6058" s="281">
        <f t="shared" si="289"/>
        <v>44630</v>
      </c>
      <c r="F6058" s="480"/>
      <c r="G6058" s="221" t="s">
        <v>94</v>
      </c>
      <c r="H6058" s="145" t="str" cm="1">
        <f t="array" ref="H6058">IFERROR(INDEX(INVESTOR_LIST[INVESTOR NAME],MATCH(I6058,INVESTOR_LIST[INVESTOR CODE],0),)," ")</f>
        <v xml:space="preserve"> </v>
      </c>
      <c r="I6058" s="145"/>
      <c r="J6058" s="163" t="s">
        <v>147</v>
      </c>
      <c r="K6058" s="219"/>
      <c r="L6058" s="219">
        <v>1866476.72</v>
      </c>
    </row>
    <row r="6059" spans="1:12" x14ac:dyDescent="0.2">
      <c r="A6059" s="168">
        <v>2022</v>
      </c>
      <c r="B6059" s="168">
        <v>3</v>
      </c>
      <c r="C6059" s="168">
        <v>10</v>
      </c>
      <c r="D6059" s="141">
        <f t="shared" si="288"/>
        <v>44630</v>
      </c>
      <c r="E6059" s="275">
        <f t="shared" si="289"/>
        <v>44630</v>
      </c>
      <c r="F6059" s="479" t="s">
        <v>937</v>
      </c>
      <c r="G6059" s="220" t="s">
        <v>74</v>
      </c>
      <c r="H6059" s="220" t="str" cm="1">
        <f t="array" ref="H6059">IFERROR(INDEX(INVESTOR_LIST[INVESTOR NAME],MATCH(I6059,INVESTOR_LIST[INVESTOR CODE],0),)," ")</f>
        <v xml:space="preserve"> </v>
      </c>
      <c r="I6059" s="142" t="s">
        <v>348</v>
      </c>
      <c r="J6059" s="143" t="s">
        <v>147</v>
      </c>
      <c r="K6059" s="226">
        <v>1866476.72</v>
      </c>
      <c r="L6059" s="226"/>
    </row>
    <row r="6060" spans="1:12" ht="11.25" customHeight="1" x14ac:dyDescent="0.2">
      <c r="A6060" s="163">
        <v>2022</v>
      </c>
      <c r="B6060" s="163">
        <v>3</v>
      </c>
      <c r="C6060" s="163">
        <v>10</v>
      </c>
      <c r="D6060" s="141">
        <f t="shared" si="288"/>
        <v>44630</v>
      </c>
      <c r="E6060" s="275">
        <f t="shared" si="289"/>
        <v>44630</v>
      </c>
      <c r="F6060" s="480"/>
      <c r="G6060" s="221" t="s">
        <v>74</v>
      </c>
      <c r="H6060" s="221" t="str" cm="1">
        <f t="array" ref="H6060">IFERROR(INDEX(INVESTOR_LIST[INVESTOR NAME],MATCH(I6060,INVESTOR_LIST[INVESTOR CODE],0),)," ")</f>
        <v xml:space="preserve"> </v>
      </c>
      <c r="I6060" s="145" t="s">
        <v>348</v>
      </c>
      <c r="J6060" s="146" t="s">
        <v>52</v>
      </c>
      <c r="K6060" s="219"/>
      <c r="L6060" s="219">
        <v>1866476.72</v>
      </c>
    </row>
    <row r="6061" spans="1:12" ht="33.75" x14ac:dyDescent="0.2">
      <c r="A6061" s="168">
        <v>2022</v>
      </c>
      <c r="B6061" s="168">
        <v>3</v>
      </c>
      <c r="C6061" s="133">
        <v>10</v>
      </c>
      <c r="D6061" s="141">
        <f t="shared" si="288"/>
        <v>44630</v>
      </c>
      <c r="E6061" s="275">
        <f t="shared" si="289"/>
        <v>44630</v>
      </c>
      <c r="F6061" s="479" t="s">
        <v>964</v>
      </c>
      <c r="G6061" s="220" t="s">
        <v>74</v>
      </c>
      <c r="H6061" s="142" t="str" cm="1">
        <f t="array" ref="H6061">IFERROR(INDEX(INVESTOR_LIST[INVESTOR NAME],MATCH(I6061,INVESTOR_LIST[INVESTOR CODE],0),)," ")</f>
        <v>LILY RANI PAUL</v>
      </c>
      <c r="I6061" s="142" t="s">
        <v>451</v>
      </c>
      <c r="J6061" s="168" t="s">
        <v>52</v>
      </c>
      <c r="K6061" s="226">
        <v>1100000</v>
      </c>
      <c r="L6061" s="226"/>
    </row>
    <row r="6062" spans="1:12" ht="33.75" x14ac:dyDescent="0.2">
      <c r="A6062" s="133">
        <v>2022</v>
      </c>
      <c r="B6062" s="133">
        <v>3</v>
      </c>
      <c r="C6062" s="133">
        <v>10</v>
      </c>
      <c r="D6062" s="141">
        <f t="shared" si="288"/>
        <v>44630</v>
      </c>
      <c r="E6062" s="275">
        <f t="shared" si="289"/>
        <v>44630</v>
      </c>
      <c r="F6062" s="481"/>
      <c r="G6062" s="174" t="s">
        <v>74</v>
      </c>
      <c r="H6062" s="148" t="str" cm="1">
        <f t="array" ref="H6062">IFERROR(INDEX(INVESTOR_LIST[INVESTOR NAME],MATCH(I6062,INVESTOR_LIST[INVESTOR CODE],0),)," ")</f>
        <v>LILY RANI PAUL</v>
      </c>
      <c r="I6062" s="148" t="s">
        <v>451</v>
      </c>
      <c r="J6062" s="133" t="s">
        <v>13</v>
      </c>
      <c r="K6062" s="218"/>
      <c r="L6062" s="218">
        <v>921270</v>
      </c>
    </row>
    <row r="6063" spans="1:12" ht="33.75" x14ac:dyDescent="0.2">
      <c r="A6063" s="163">
        <v>2022</v>
      </c>
      <c r="B6063" s="163">
        <v>3</v>
      </c>
      <c r="C6063" s="163">
        <v>10</v>
      </c>
      <c r="D6063" s="141">
        <f t="shared" si="288"/>
        <v>44630</v>
      </c>
      <c r="E6063" s="275">
        <f t="shared" si="289"/>
        <v>44630</v>
      </c>
      <c r="F6063" s="480"/>
      <c r="G6063" s="221" t="s">
        <v>74</v>
      </c>
      <c r="H6063" s="145" t="str" cm="1">
        <f t="array" ref="H6063">IFERROR(INDEX(INVESTOR_LIST[INVESTOR NAME],MATCH(I6063,INVESTOR_LIST[INVESTOR CODE],0),)," ")</f>
        <v>LILY RANI PAUL</v>
      </c>
      <c r="I6063" s="145" t="s">
        <v>451</v>
      </c>
      <c r="J6063" s="163" t="s">
        <v>53</v>
      </c>
      <c r="K6063" s="219"/>
      <c r="L6063" s="219">
        <v>178730</v>
      </c>
    </row>
    <row r="6064" spans="1:12" x14ac:dyDescent="0.2">
      <c r="A6064" s="133">
        <v>2022</v>
      </c>
      <c r="B6064" s="133">
        <v>3</v>
      </c>
      <c r="C6064" s="168">
        <v>10</v>
      </c>
      <c r="D6064" s="141">
        <f t="shared" ref="D6064:D6079" si="290">DATE(A6064,B6064,C6064)</f>
        <v>44630</v>
      </c>
      <c r="E6064" s="275">
        <f t="shared" ref="E6064:E6079" si="291">DATE(A6064,B6064,C6064)</f>
        <v>44630</v>
      </c>
      <c r="F6064" s="479" t="s">
        <v>77</v>
      </c>
      <c r="G6064" s="174" t="s">
        <v>74</v>
      </c>
      <c r="H6064" s="148" t="str" cm="1">
        <f t="array" ref="H6064">IFERROR(INDEX(INVESTOR_LIST[INVESTOR NAME],MATCH(I6064,INVESTOR_LIST[INVESTOR CODE],0),)," ")</f>
        <v xml:space="preserve"> </v>
      </c>
      <c r="I6064" s="148" t="s">
        <v>348</v>
      </c>
      <c r="J6064" s="133" t="s">
        <v>61</v>
      </c>
      <c r="K6064" s="172">
        <v>60</v>
      </c>
    </row>
    <row r="6065" spans="1:12" x14ac:dyDescent="0.2">
      <c r="A6065" s="163">
        <v>2022</v>
      </c>
      <c r="B6065" s="163">
        <v>3</v>
      </c>
      <c r="C6065" s="163">
        <v>10</v>
      </c>
      <c r="D6065" s="141">
        <f t="shared" si="290"/>
        <v>44630</v>
      </c>
      <c r="E6065" s="275">
        <f t="shared" si="291"/>
        <v>44630</v>
      </c>
      <c r="F6065" s="480"/>
      <c r="G6065" s="221" t="s">
        <v>74</v>
      </c>
      <c r="H6065" s="145" t="str" cm="1">
        <f t="array" ref="H6065">IFERROR(INDEX(INVESTOR_LIST[INVESTOR NAME],MATCH(I6065,INVESTOR_LIST[INVESTOR CODE],0),)," ")</f>
        <v xml:space="preserve"> </v>
      </c>
      <c r="I6065" s="145" t="s">
        <v>348</v>
      </c>
      <c r="J6065" s="163" t="s">
        <v>52</v>
      </c>
      <c r="K6065" s="219"/>
      <c r="L6065" s="219">
        <v>60</v>
      </c>
    </row>
    <row r="6066" spans="1:12" ht="11.25" customHeight="1" x14ac:dyDescent="0.2">
      <c r="A6066" s="238">
        <v>2022</v>
      </c>
      <c r="B6066" s="238">
        <v>3</v>
      </c>
      <c r="C6066" s="238">
        <v>10</v>
      </c>
      <c r="D6066" s="270">
        <f t="shared" si="290"/>
        <v>44630</v>
      </c>
      <c r="E6066" s="279">
        <f t="shared" si="291"/>
        <v>44630</v>
      </c>
      <c r="F6066" s="477" t="s">
        <v>347</v>
      </c>
      <c r="G6066" s="239" t="s">
        <v>94</v>
      </c>
      <c r="H6066" s="239" t="str" cm="1">
        <f t="array" ref="H6066">IFERROR(INDEX(INVESTOR_LIST[INVESTOR NAME],MATCH(I6066,INVESTOR_LIST[INVESTOR CODE],0),)," ")</f>
        <v xml:space="preserve"> </v>
      </c>
      <c r="I6066" s="262" t="s">
        <v>348</v>
      </c>
      <c r="J6066" s="240" t="s">
        <v>83</v>
      </c>
      <c r="K6066" s="241">
        <v>3846273.0700000226</v>
      </c>
      <c r="L6066" s="241"/>
    </row>
    <row r="6067" spans="1:12" x14ac:dyDescent="0.2">
      <c r="A6067" s="242">
        <v>2022</v>
      </c>
      <c r="B6067" s="242">
        <v>3</v>
      </c>
      <c r="C6067" s="242">
        <v>10</v>
      </c>
      <c r="D6067" s="270">
        <f t="shared" si="290"/>
        <v>44630</v>
      </c>
      <c r="E6067" s="279">
        <f t="shared" si="291"/>
        <v>44630</v>
      </c>
      <c r="F6067" s="478"/>
      <c r="G6067" s="243" t="s">
        <v>94</v>
      </c>
      <c r="H6067" s="243" t="str" cm="1">
        <f t="array" ref="H6067">IFERROR(INDEX(INVESTOR_LIST[INVESTOR NAME],MATCH(I6067,INVESTOR_LIST[INVESTOR CODE],0),)," ")</f>
        <v xml:space="preserve"> </v>
      </c>
      <c r="I6067" s="263" t="s">
        <v>348</v>
      </c>
      <c r="J6067" s="244" t="s">
        <v>108</v>
      </c>
      <c r="K6067" s="245"/>
      <c r="L6067" s="245">
        <v>3846273.0700000226</v>
      </c>
    </row>
    <row r="6068" spans="1:12" ht="22.5" x14ac:dyDescent="0.2">
      <c r="A6068" s="246">
        <v>2022</v>
      </c>
      <c r="B6068" s="246">
        <v>3</v>
      </c>
      <c r="C6068" s="246">
        <v>10</v>
      </c>
      <c r="D6068" s="270">
        <f t="shared" si="290"/>
        <v>44630</v>
      </c>
      <c r="E6068" s="279">
        <f t="shared" si="291"/>
        <v>44630</v>
      </c>
      <c r="F6068" s="482" t="s">
        <v>148</v>
      </c>
      <c r="G6068" s="247" t="s">
        <v>94</v>
      </c>
      <c r="H6068" s="247" t="str" cm="1">
        <f t="array" ref="H6068">IFERROR(INDEX(INVESTOR_LIST[INVESTOR NAME],MATCH(I6068,INVESTOR_LIST[INVESTOR CODE],0),)," ")</f>
        <v xml:space="preserve"> </v>
      </c>
      <c r="I6068" s="248" t="s">
        <v>348</v>
      </c>
      <c r="J6068" s="249" t="s">
        <v>95</v>
      </c>
      <c r="K6068" s="250">
        <v>2747.2527472527472</v>
      </c>
      <c r="L6068" s="241"/>
    </row>
    <row r="6069" spans="1:12" x14ac:dyDescent="0.2">
      <c r="A6069" s="242">
        <v>2022</v>
      </c>
      <c r="B6069" s="242">
        <v>3</v>
      </c>
      <c r="C6069" s="242">
        <v>10</v>
      </c>
      <c r="D6069" s="270">
        <f t="shared" si="290"/>
        <v>44630</v>
      </c>
      <c r="E6069" s="279">
        <f t="shared" si="291"/>
        <v>44630</v>
      </c>
      <c r="F6069" s="478"/>
      <c r="G6069" s="243" t="s">
        <v>94</v>
      </c>
      <c r="H6069" s="243" t="str" cm="1">
        <f t="array" ref="H6069">IFERROR(INDEX(INVESTOR_LIST[INVESTOR NAME],MATCH(I6069,INVESTOR_LIST[INVESTOR CODE],0),)," ")</f>
        <v xml:space="preserve"> </v>
      </c>
      <c r="I6069" s="263" t="s">
        <v>348</v>
      </c>
      <c r="J6069" s="244" t="s">
        <v>63</v>
      </c>
      <c r="K6069" s="245"/>
      <c r="L6069" s="245">
        <v>2747.2527472527472</v>
      </c>
    </row>
    <row r="6070" spans="1:12" x14ac:dyDescent="0.2">
      <c r="A6070" s="246">
        <v>2022</v>
      </c>
      <c r="B6070" s="246">
        <v>3</v>
      </c>
      <c r="C6070" s="246">
        <v>10</v>
      </c>
      <c r="D6070" s="270">
        <f t="shared" si="290"/>
        <v>44630</v>
      </c>
      <c r="E6070" s="279">
        <f t="shared" si="291"/>
        <v>44630</v>
      </c>
      <c r="F6070" s="482" t="s">
        <v>137</v>
      </c>
      <c r="G6070" s="247" t="s">
        <v>94</v>
      </c>
      <c r="H6070" s="247" t="str" cm="1">
        <f t="array" ref="H6070">IFERROR(INDEX(INVESTOR_LIST[INVESTOR NAME],MATCH(I6070,INVESTOR_LIST[INVESTOR CODE],0),)," ")</f>
        <v xml:space="preserve"> </v>
      </c>
      <c r="I6070" s="248" t="s">
        <v>348</v>
      </c>
      <c r="J6070" s="249" t="s">
        <v>97</v>
      </c>
      <c r="K6070" s="250">
        <v>80027.031358076521</v>
      </c>
      <c r="L6070" s="252"/>
    </row>
    <row r="6071" spans="1:12" x14ac:dyDescent="0.2">
      <c r="A6071" s="242">
        <v>2022</v>
      </c>
      <c r="B6071" s="242">
        <v>3</v>
      </c>
      <c r="C6071" s="242">
        <v>10</v>
      </c>
      <c r="D6071" s="270">
        <f t="shared" si="290"/>
        <v>44630</v>
      </c>
      <c r="E6071" s="279">
        <f t="shared" si="291"/>
        <v>44630</v>
      </c>
      <c r="F6071" s="478"/>
      <c r="G6071" s="243" t="s">
        <v>94</v>
      </c>
      <c r="H6071" s="243" t="str" cm="1">
        <f t="array" ref="H6071">IFERROR(INDEX(INVESTOR_LIST[INVESTOR NAME],MATCH(I6071,INVESTOR_LIST[INVESTOR CODE],0),)," ")</f>
        <v xml:space="preserve"> </v>
      </c>
      <c r="I6071" s="263" t="s">
        <v>348</v>
      </c>
      <c r="J6071" s="244" t="s">
        <v>47</v>
      </c>
      <c r="K6071" s="245"/>
      <c r="L6071" s="245">
        <v>80027.031358076521</v>
      </c>
    </row>
    <row r="6072" spans="1:12" x14ac:dyDescent="0.2">
      <c r="A6072" s="246">
        <v>2022</v>
      </c>
      <c r="B6072" s="246">
        <v>3</v>
      </c>
      <c r="C6072" s="246">
        <v>10</v>
      </c>
      <c r="D6072" s="270">
        <f t="shared" si="290"/>
        <v>44630</v>
      </c>
      <c r="E6072" s="279">
        <f t="shared" si="291"/>
        <v>44630</v>
      </c>
      <c r="F6072" s="482" t="s">
        <v>138</v>
      </c>
      <c r="G6072" s="247" t="s">
        <v>94</v>
      </c>
      <c r="H6072" s="247" t="str" cm="1">
        <f t="array" ref="H6072">IFERROR(INDEX(INVESTOR_LIST[INVESTOR NAME],MATCH(I6072,INVESTOR_LIST[INVESTOR CODE],0),)," ")</f>
        <v xml:space="preserve"> </v>
      </c>
      <c r="I6072" s="248" t="s">
        <v>348</v>
      </c>
      <c r="J6072" s="249" t="s">
        <v>100</v>
      </c>
      <c r="K6072" s="250">
        <v>3760.9669525192103</v>
      </c>
      <c r="L6072" s="252"/>
    </row>
    <row r="6073" spans="1:12" x14ac:dyDescent="0.2">
      <c r="A6073" s="242">
        <v>2022</v>
      </c>
      <c r="B6073" s="242">
        <v>3</v>
      </c>
      <c r="C6073" s="242">
        <v>10</v>
      </c>
      <c r="D6073" s="270">
        <f t="shared" si="290"/>
        <v>44630</v>
      </c>
      <c r="E6073" s="279">
        <f t="shared" si="291"/>
        <v>44630</v>
      </c>
      <c r="F6073" s="478"/>
      <c r="G6073" s="243" t="s">
        <v>94</v>
      </c>
      <c r="H6073" s="243" t="str" cm="1">
        <f t="array" ref="H6073">IFERROR(INDEX(INVESTOR_LIST[INVESTOR NAME],MATCH(I6073,INVESTOR_LIST[INVESTOR CODE],0),)," ")</f>
        <v xml:space="preserve"> </v>
      </c>
      <c r="I6073" s="263" t="s">
        <v>348</v>
      </c>
      <c r="J6073" s="244" t="s">
        <v>48</v>
      </c>
      <c r="K6073" s="245"/>
      <c r="L6073" s="245">
        <v>3760.9669525192103</v>
      </c>
    </row>
    <row r="6074" spans="1:12" x14ac:dyDescent="0.2">
      <c r="A6074" s="168">
        <v>2022</v>
      </c>
      <c r="B6074" s="168">
        <v>3</v>
      </c>
      <c r="C6074" s="133">
        <v>13</v>
      </c>
      <c r="D6074" s="141">
        <f>DATE(A6074,B6074,C6074)</f>
        <v>44633</v>
      </c>
      <c r="E6074" s="275">
        <f>DATE(A6074,B6074,C6074)</f>
        <v>44633</v>
      </c>
      <c r="F6074" s="479" t="s">
        <v>1319</v>
      </c>
      <c r="G6074" s="220" t="s">
        <v>74</v>
      </c>
      <c r="H6074" s="142" t="str" cm="1">
        <f t="array" ref="H6074">IFERROR(INDEX(INVESTOR_LIST[INVESTOR NAME],MATCH(I6074,INVESTOR_LIST[INVESTOR CODE],0),)," ")</f>
        <v xml:space="preserve"> </v>
      </c>
      <c r="I6074" s="142"/>
      <c r="J6074" s="168" t="s">
        <v>52</v>
      </c>
      <c r="K6074" s="226">
        <v>290000</v>
      </c>
      <c r="L6074" s="226"/>
    </row>
    <row r="6075" spans="1:12" ht="11.25" customHeight="1" x14ac:dyDescent="0.2">
      <c r="A6075" s="133">
        <v>2022</v>
      </c>
      <c r="B6075" s="133">
        <v>3</v>
      </c>
      <c r="C6075" s="133">
        <v>13</v>
      </c>
      <c r="D6075" s="141">
        <f>DATE(A6075,B6075,C6075)</f>
        <v>44633</v>
      </c>
      <c r="E6075" s="275">
        <f>DATE(A6075,B6075,C6075)</f>
        <v>44633</v>
      </c>
      <c r="F6075" s="481"/>
      <c r="G6075" s="174" t="s">
        <v>74</v>
      </c>
      <c r="H6075" s="148" t="str" cm="1">
        <f t="array" ref="H6075">IFERROR(INDEX(INVESTOR_LIST[INVESTOR NAME],MATCH(I6075,INVESTOR_LIST[INVESTOR CODE],0),)," ")</f>
        <v xml:space="preserve"> </v>
      </c>
      <c r="J6075" s="133" t="s">
        <v>13</v>
      </c>
      <c r="K6075" s="218"/>
      <c r="L6075" s="218">
        <v>243080</v>
      </c>
    </row>
    <row r="6076" spans="1:12" x14ac:dyDescent="0.2">
      <c r="A6076" s="163">
        <v>2022</v>
      </c>
      <c r="B6076" s="163">
        <v>3</v>
      </c>
      <c r="C6076" s="163">
        <v>13</v>
      </c>
      <c r="D6076" s="141">
        <f>DATE(A6076,B6076,C6076)</f>
        <v>44633</v>
      </c>
      <c r="E6076" s="275">
        <f>DATE(A6076,B6076,C6076)</f>
        <v>44633</v>
      </c>
      <c r="F6076" s="480"/>
      <c r="G6076" s="221" t="s">
        <v>74</v>
      </c>
      <c r="H6076" s="145" t="str" cm="1">
        <f t="array" ref="H6076">IFERROR(INDEX(INVESTOR_LIST[INVESTOR NAME],MATCH(I6076,INVESTOR_LIST[INVESTOR CODE],0),)," ")</f>
        <v xml:space="preserve"> </v>
      </c>
      <c r="I6076" s="145"/>
      <c r="J6076" s="163" t="s">
        <v>53</v>
      </c>
      <c r="K6076" s="219"/>
      <c r="L6076" s="219">
        <v>46920</v>
      </c>
    </row>
    <row r="6077" spans="1:12" x14ac:dyDescent="0.2">
      <c r="A6077" s="133">
        <v>2022</v>
      </c>
      <c r="B6077" s="133">
        <v>3</v>
      </c>
      <c r="C6077" s="133">
        <v>14</v>
      </c>
      <c r="D6077" s="141">
        <f t="shared" si="290"/>
        <v>44634</v>
      </c>
      <c r="E6077" s="275">
        <f t="shared" si="291"/>
        <v>44634</v>
      </c>
      <c r="F6077" s="481" t="s">
        <v>1313</v>
      </c>
      <c r="G6077" s="174" t="s">
        <v>94</v>
      </c>
      <c r="H6077" s="174" t="str" cm="1">
        <f t="array" ref="H6077">IFERROR(INDEX(INVESTOR_LIST[INVESTOR NAME],MATCH(I6077,INVESTOR_LIST[INVESTOR CODE],0),)," ")</f>
        <v xml:space="preserve"> </v>
      </c>
      <c r="I6077" s="148" t="s">
        <v>348</v>
      </c>
      <c r="J6077" s="149" t="s">
        <v>79</v>
      </c>
      <c r="K6077" s="218">
        <v>2564127.9</v>
      </c>
      <c r="L6077" s="218"/>
    </row>
    <row r="6078" spans="1:12" x14ac:dyDescent="0.2">
      <c r="A6078" s="133">
        <v>2022</v>
      </c>
      <c r="B6078" s="133">
        <v>3</v>
      </c>
      <c r="C6078" s="133">
        <v>14</v>
      </c>
      <c r="D6078" s="141">
        <f t="shared" si="290"/>
        <v>44634</v>
      </c>
      <c r="E6078" s="275">
        <f t="shared" si="291"/>
        <v>44634</v>
      </c>
      <c r="F6078" s="481"/>
      <c r="G6078" s="174" t="s">
        <v>94</v>
      </c>
      <c r="H6078" s="174" t="str" cm="1">
        <f t="array" ref="H6078">IFERROR(INDEX(INVESTOR_LIST[INVESTOR NAME],MATCH(I6078,INVESTOR_LIST[INVESTOR CODE],0),)," ")</f>
        <v xml:space="preserve"> </v>
      </c>
      <c r="I6078" s="148" t="s">
        <v>348</v>
      </c>
      <c r="J6078" s="149" t="s">
        <v>80</v>
      </c>
      <c r="K6078" s="218">
        <v>4615.43</v>
      </c>
      <c r="L6078" s="218"/>
    </row>
    <row r="6079" spans="1:12" x14ac:dyDescent="0.2">
      <c r="A6079" s="163">
        <v>2022</v>
      </c>
      <c r="B6079" s="163">
        <v>3</v>
      </c>
      <c r="C6079" s="163">
        <v>14</v>
      </c>
      <c r="D6079" s="280">
        <f t="shared" si="290"/>
        <v>44634</v>
      </c>
      <c r="E6079" s="281">
        <f t="shared" si="291"/>
        <v>44634</v>
      </c>
      <c r="F6079" s="480"/>
      <c r="G6079" s="221" t="s">
        <v>94</v>
      </c>
      <c r="H6079" s="145" t="str" cm="1">
        <f t="array" ref="H6079">IFERROR(INDEX(INVESTOR_LIST[INVESTOR NAME],MATCH(I6079,INVESTOR_LIST[INVESTOR CODE],0),)," ")</f>
        <v xml:space="preserve"> </v>
      </c>
      <c r="I6079" s="145"/>
      <c r="J6079" s="163" t="s">
        <v>147</v>
      </c>
      <c r="K6079" s="219"/>
      <c r="L6079" s="219">
        <v>2568743.33</v>
      </c>
    </row>
    <row r="6080" spans="1:12" x14ac:dyDescent="0.2">
      <c r="A6080" s="168">
        <v>2022</v>
      </c>
      <c r="B6080" s="168">
        <v>3</v>
      </c>
      <c r="C6080" s="133">
        <v>14</v>
      </c>
      <c r="D6080" s="141">
        <f t="shared" ref="D6080:D6082" si="292">DATE(A6080,B6080,C6080)</f>
        <v>44634</v>
      </c>
      <c r="E6080" s="275">
        <f t="shared" ref="E6080:E6082" si="293">DATE(A6080,B6080,C6080)</f>
        <v>44634</v>
      </c>
      <c r="F6080" s="479" t="s">
        <v>1329</v>
      </c>
      <c r="G6080" s="220" t="s">
        <v>74</v>
      </c>
      <c r="H6080" s="142" t="str" cm="1">
        <f t="array" ref="H6080">IFERROR(INDEX(INVESTOR_LIST[INVESTOR NAME],MATCH(I6080,INVESTOR_LIST[INVESTOR CODE],0),)," ")</f>
        <v xml:space="preserve"> </v>
      </c>
      <c r="I6080" s="142"/>
      <c r="J6080" s="168" t="s">
        <v>358</v>
      </c>
      <c r="K6080" s="226">
        <v>150488</v>
      </c>
      <c r="L6080" s="226"/>
    </row>
    <row r="6081" spans="1:13" x14ac:dyDescent="0.2">
      <c r="A6081" s="133">
        <v>2022</v>
      </c>
      <c r="B6081" s="133">
        <v>3</v>
      </c>
      <c r="C6081" s="133">
        <v>14</v>
      </c>
      <c r="D6081" s="141">
        <f t="shared" si="292"/>
        <v>44634</v>
      </c>
      <c r="E6081" s="275">
        <f t="shared" si="293"/>
        <v>44634</v>
      </c>
      <c r="F6081" s="481"/>
      <c r="G6081" s="174" t="s">
        <v>74</v>
      </c>
      <c r="H6081" s="148" t="str" cm="1">
        <f t="array" ref="H6081">IFERROR(INDEX(INVESTOR_LIST[INVESTOR NAME],MATCH(I6081,INVESTOR_LIST[INVESTOR CODE],0),)," ")</f>
        <v xml:space="preserve"> </v>
      </c>
      <c r="J6081" s="133" t="s">
        <v>534</v>
      </c>
      <c r="K6081" s="218"/>
      <c r="L6081" s="218">
        <v>18823.2</v>
      </c>
    </row>
    <row r="6082" spans="1:13" x14ac:dyDescent="0.2">
      <c r="A6082" s="163">
        <v>2022</v>
      </c>
      <c r="B6082" s="163">
        <v>3</v>
      </c>
      <c r="C6082" s="163">
        <v>14</v>
      </c>
      <c r="D6082" s="141">
        <f t="shared" si="292"/>
        <v>44634</v>
      </c>
      <c r="E6082" s="275">
        <f t="shared" si="293"/>
        <v>44634</v>
      </c>
      <c r="F6082" s="480"/>
      <c r="G6082" s="221" t="s">
        <v>74</v>
      </c>
      <c r="H6082" s="145" t="str" cm="1">
        <f t="array" ref="H6082">IFERROR(INDEX(INVESTOR_LIST[INVESTOR NAME],MATCH(I6082,INVESTOR_LIST[INVESTOR CODE],0),)," ")</f>
        <v xml:space="preserve"> </v>
      </c>
      <c r="I6082" s="145"/>
      <c r="J6082" s="163" t="s">
        <v>52</v>
      </c>
      <c r="K6082" s="219"/>
      <c r="L6082" s="219">
        <v>131664.79999999999</v>
      </c>
      <c r="M6082" s="160"/>
    </row>
    <row r="6083" spans="1:13" x14ac:dyDescent="0.2">
      <c r="A6083" s="168">
        <v>2022</v>
      </c>
      <c r="B6083" s="168">
        <v>3</v>
      </c>
      <c r="C6083" s="133">
        <v>14</v>
      </c>
      <c r="D6083" s="141">
        <f>DATE(A6083,B6083,C6083)</f>
        <v>44634</v>
      </c>
      <c r="E6083" s="275">
        <f>DATE(A6083,B6083,C6083)</f>
        <v>44634</v>
      </c>
      <c r="F6083" s="479" t="s">
        <v>1328</v>
      </c>
      <c r="G6083" s="220" t="s">
        <v>74</v>
      </c>
      <c r="H6083" s="142" t="str" cm="1">
        <f t="array" ref="H6083">IFERROR(INDEX(INVESTOR_LIST[INVESTOR NAME],MATCH(I6083,INVESTOR_LIST[INVESTOR CODE],0),)," ")</f>
        <v xml:space="preserve"> </v>
      </c>
      <c r="I6083" s="142"/>
      <c r="J6083" s="168" t="s">
        <v>358</v>
      </c>
      <c r="K6083" s="226">
        <v>26000</v>
      </c>
      <c r="L6083" s="226"/>
    </row>
    <row r="6084" spans="1:13" x14ac:dyDescent="0.2">
      <c r="A6084" s="133">
        <v>2022</v>
      </c>
      <c r="B6084" s="133">
        <v>3</v>
      </c>
      <c r="C6084" s="133">
        <v>14</v>
      </c>
      <c r="D6084" s="141">
        <f>DATE(A6084,B6084,C6084)</f>
        <v>44634</v>
      </c>
      <c r="E6084" s="275">
        <f>DATE(A6084,B6084,C6084)</f>
        <v>44634</v>
      </c>
      <c r="F6084" s="481"/>
      <c r="G6084" s="174" t="s">
        <v>74</v>
      </c>
      <c r="H6084" s="148" t="str" cm="1">
        <f t="array" ref="H6084">IFERROR(INDEX(INVESTOR_LIST[INVESTOR NAME],MATCH(I6084,INVESTOR_LIST[INVESTOR CODE],0),)," ")</f>
        <v xml:space="preserve"> </v>
      </c>
      <c r="J6084" s="133" t="s">
        <v>534</v>
      </c>
      <c r="K6084" s="218"/>
      <c r="L6084" s="218">
        <v>150</v>
      </c>
    </row>
    <row r="6085" spans="1:13" x14ac:dyDescent="0.2">
      <c r="A6085" s="163">
        <v>2022</v>
      </c>
      <c r="B6085" s="163">
        <v>3</v>
      </c>
      <c r="C6085" s="163">
        <v>14</v>
      </c>
      <c r="D6085" s="141">
        <f>DATE(A6085,B6085,C6085)</f>
        <v>44634</v>
      </c>
      <c r="E6085" s="275">
        <f>DATE(A6085,B6085,C6085)</f>
        <v>44634</v>
      </c>
      <c r="F6085" s="480"/>
      <c r="G6085" s="221" t="s">
        <v>74</v>
      </c>
      <c r="H6085" s="145" t="str" cm="1">
        <f t="array" ref="H6085">IFERROR(INDEX(INVESTOR_LIST[INVESTOR NAME],MATCH(I6085,INVESTOR_LIST[INVESTOR CODE],0),)," ")</f>
        <v xml:space="preserve"> </v>
      </c>
      <c r="I6085" s="145"/>
      <c r="J6085" s="163" t="s">
        <v>52</v>
      </c>
      <c r="K6085" s="219"/>
      <c r="L6085" s="219">
        <v>25850</v>
      </c>
      <c r="M6085" s="160"/>
    </row>
    <row r="6086" spans="1:13" x14ac:dyDescent="0.2">
      <c r="A6086" s="133">
        <v>2022</v>
      </c>
      <c r="B6086" s="133">
        <v>3</v>
      </c>
      <c r="C6086" s="133">
        <v>15</v>
      </c>
      <c r="D6086" s="141">
        <f t="shared" ref="D6086:D6091" si="294">DATE(A6086,B6086,C6086)</f>
        <v>44635</v>
      </c>
      <c r="E6086" s="275">
        <f t="shared" ref="E6086:E6091" si="295">DATE(A6086,B6086,C6086)</f>
        <v>44635</v>
      </c>
      <c r="F6086" s="481" t="s">
        <v>1313</v>
      </c>
      <c r="G6086" s="174" t="s">
        <v>94</v>
      </c>
      <c r="H6086" s="174" t="str" cm="1">
        <f t="array" ref="H6086">IFERROR(INDEX(INVESTOR_LIST[INVESTOR NAME],MATCH(I6086,INVESTOR_LIST[INVESTOR CODE],0),)," ")</f>
        <v xml:space="preserve"> </v>
      </c>
      <c r="I6086" s="148" t="s">
        <v>348</v>
      </c>
      <c r="J6086" s="149" t="s">
        <v>79</v>
      </c>
      <c r="K6086" s="218">
        <v>133300</v>
      </c>
      <c r="L6086" s="218"/>
    </row>
    <row r="6087" spans="1:13" x14ac:dyDescent="0.2">
      <c r="A6087" s="133">
        <v>2022</v>
      </c>
      <c r="B6087" s="133">
        <v>3</v>
      </c>
      <c r="C6087" s="133">
        <v>15</v>
      </c>
      <c r="D6087" s="141">
        <f t="shared" si="294"/>
        <v>44635</v>
      </c>
      <c r="E6087" s="275">
        <f t="shared" si="295"/>
        <v>44635</v>
      </c>
      <c r="F6087" s="481"/>
      <c r="G6087" s="174" t="s">
        <v>94</v>
      </c>
      <c r="H6087" s="174" t="str" cm="1">
        <f t="array" ref="H6087">IFERROR(INDEX(INVESTOR_LIST[INVESTOR NAME],MATCH(I6087,INVESTOR_LIST[INVESTOR CODE],0),)," ")</f>
        <v xml:space="preserve"> </v>
      </c>
      <c r="I6087" s="148" t="s">
        <v>348</v>
      </c>
      <c r="J6087" s="149" t="s">
        <v>80</v>
      </c>
      <c r="K6087" s="218">
        <v>239.94</v>
      </c>
      <c r="L6087" s="218"/>
    </row>
    <row r="6088" spans="1:13" x14ac:dyDescent="0.2">
      <c r="A6088" s="163">
        <v>2022</v>
      </c>
      <c r="B6088" s="163">
        <v>3</v>
      </c>
      <c r="C6088" s="163">
        <v>15</v>
      </c>
      <c r="D6088" s="280">
        <f t="shared" si="294"/>
        <v>44635</v>
      </c>
      <c r="E6088" s="281">
        <f t="shared" si="295"/>
        <v>44635</v>
      </c>
      <c r="F6088" s="480"/>
      <c r="G6088" s="221" t="s">
        <v>94</v>
      </c>
      <c r="H6088" s="145" t="str" cm="1">
        <f t="array" ref="H6088">IFERROR(INDEX(INVESTOR_LIST[INVESTOR NAME],MATCH(I6088,INVESTOR_LIST[INVESTOR CODE],0),)," ")</f>
        <v xml:space="preserve"> </v>
      </c>
      <c r="I6088" s="145"/>
      <c r="J6088" s="163" t="s">
        <v>147</v>
      </c>
      <c r="K6088" s="219"/>
      <c r="L6088" s="219">
        <v>133539.94</v>
      </c>
    </row>
    <row r="6089" spans="1:13" x14ac:dyDescent="0.2">
      <c r="A6089" s="133">
        <v>2022</v>
      </c>
      <c r="B6089" s="133">
        <v>3</v>
      </c>
      <c r="C6089" s="133">
        <v>15</v>
      </c>
      <c r="D6089" s="141">
        <f t="shared" si="294"/>
        <v>44635</v>
      </c>
      <c r="E6089" s="275">
        <f t="shared" si="295"/>
        <v>44635</v>
      </c>
      <c r="F6089" s="481" t="s">
        <v>1317</v>
      </c>
      <c r="G6089" s="174" t="s">
        <v>94</v>
      </c>
      <c r="H6089" s="174" t="str" cm="1">
        <f t="array" ref="H6089">IFERROR(INDEX(INVESTOR_LIST[INVESTOR NAME],MATCH(I6089,INVESTOR_LIST[INVESTOR CODE],0),)," ")</f>
        <v xml:space="preserve"> </v>
      </c>
      <c r="I6089" s="148" t="s">
        <v>348</v>
      </c>
      <c r="J6089" s="149" t="s">
        <v>79</v>
      </c>
      <c r="K6089" s="218">
        <v>787152.5</v>
      </c>
      <c r="L6089" s="218"/>
    </row>
    <row r="6090" spans="1:13" x14ac:dyDescent="0.2">
      <c r="A6090" s="133">
        <v>2022</v>
      </c>
      <c r="B6090" s="133">
        <v>3</v>
      </c>
      <c r="C6090" s="133">
        <v>15</v>
      </c>
      <c r="D6090" s="141">
        <f t="shared" si="294"/>
        <v>44635</v>
      </c>
      <c r="E6090" s="275">
        <f t="shared" si="295"/>
        <v>44635</v>
      </c>
      <c r="F6090" s="481"/>
      <c r="G6090" s="174" t="s">
        <v>94</v>
      </c>
      <c r="H6090" s="174" t="str" cm="1">
        <f t="array" ref="H6090">IFERROR(INDEX(INVESTOR_LIST[INVESTOR NAME],MATCH(I6090,INVESTOR_LIST[INVESTOR CODE],0),)," ")</f>
        <v xml:space="preserve"> </v>
      </c>
      <c r="I6090" s="148" t="s">
        <v>348</v>
      </c>
      <c r="J6090" s="149" t="s">
        <v>80</v>
      </c>
      <c r="K6090" s="218">
        <v>1416.87</v>
      </c>
      <c r="L6090" s="218"/>
    </row>
    <row r="6091" spans="1:13" x14ac:dyDescent="0.2">
      <c r="A6091" s="163">
        <v>2022</v>
      </c>
      <c r="B6091" s="163">
        <v>3</v>
      </c>
      <c r="C6091" s="163">
        <v>15</v>
      </c>
      <c r="D6091" s="280">
        <f t="shared" si="294"/>
        <v>44635</v>
      </c>
      <c r="E6091" s="281">
        <f t="shared" si="295"/>
        <v>44635</v>
      </c>
      <c r="F6091" s="480"/>
      <c r="G6091" s="221" t="s">
        <v>94</v>
      </c>
      <c r="H6091" s="145" t="str" cm="1">
        <f t="array" ref="H6091">IFERROR(INDEX(INVESTOR_LIST[INVESTOR NAME],MATCH(I6091,INVESTOR_LIST[INVESTOR CODE],0),)," ")</f>
        <v xml:space="preserve"> </v>
      </c>
      <c r="I6091" s="145"/>
      <c r="J6091" s="163" t="s">
        <v>147</v>
      </c>
      <c r="K6091" s="219"/>
      <c r="L6091" s="219">
        <v>788569.37</v>
      </c>
    </row>
    <row r="6092" spans="1:13" ht="33.75" x14ac:dyDescent="0.2">
      <c r="A6092" s="168">
        <v>2022</v>
      </c>
      <c r="B6092" s="168">
        <v>3</v>
      </c>
      <c r="C6092" s="133">
        <v>15</v>
      </c>
      <c r="D6092" s="141">
        <f>DATE(A6092,B6092,C6092)</f>
        <v>44635</v>
      </c>
      <c r="E6092" s="275">
        <f>DATE(A6092,B6092,C6092)</f>
        <v>44635</v>
      </c>
      <c r="F6092" s="479" t="s">
        <v>1315</v>
      </c>
      <c r="G6092" s="220" t="s">
        <v>74</v>
      </c>
      <c r="H6092" s="142" t="str" cm="1">
        <f t="array" ref="H6092">IFERROR(INDEX(INVESTOR_LIST[INVESTOR NAME],MATCH(I6092,INVESTOR_LIST[INVESTOR CODE],0),)," ")</f>
        <v>ASHIT BARAN SAHA</v>
      </c>
      <c r="I6092" s="142" t="s">
        <v>442</v>
      </c>
      <c r="J6092" s="168" t="s">
        <v>13</v>
      </c>
      <c r="K6092" s="226">
        <v>1821500</v>
      </c>
      <c r="L6092" s="226"/>
    </row>
    <row r="6093" spans="1:13" ht="33.75" x14ac:dyDescent="0.2">
      <c r="A6093" s="133">
        <v>2022</v>
      </c>
      <c r="B6093" s="133">
        <v>3</v>
      </c>
      <c r="C6093" s="133">
        <v>15</v>
      </c>
      <c r="D6093" s="141">
        <f>DATE(A6093,B6093,C6093)</f>
        <v>44635</v>
      </c>
      <c r="E6093" s="275">
        <f>DATE(A6093,B6093,C6093)</f>
        <v>44635</v>
      </c>
      <c r="F6093" s="481"/>
      <c r="G6093" s="174" t="s">
        <v>74</v>
      </c>
      <c r="H6093" s="148" t="str" cm="1">
        <f t="array" ref="H6093">IFERROR(INDEX(INVESTOR_LIST[INVESTOR NAME],MATCH(I6093,INVESTOR_LIST[INVESTOR CODE],0),)," ")</f>
        <v>ASHIT BARAN SAHA</v>
      </c>
      <c r="I6093" s="148" t="s">
        <v>442</v>
      </c>
      <c r="J6093" s="133" t="s">
        <v>53</v>
      </c>
      <c r="K6093" s="218">
        <v>424409.5</v>
      </c>
      <c r="L6093" s="218"/>
    </row>
    <row r="6094" spans="1:13" ht="33.75" x14ac:dyDescent="0.2">
      <c r="A6094" s="163">
        <v>2022</v>
      </c>
      <c r="B6094" s="163">
        <v>3</v>
      </c>
      <c r="C6094" s="163">
        <v>15</v>
      </c>
      <c r="D6094" s="141">
        <f>DATE(A6094,B6094,C6094)</f>
        <v>44635</v>
      </c>
      <c r="E6094" s="275">
        <f>DATE(A6094,B6094,C6094)</f>
        <v>44635</v>
      </c>
      <c r="F6094" s="480"/>
      <c r="G6094" s="221" t="s">
        <v>74</v>
      </c>
      <c r="H6094" s="145" t="str" cm="1">
        <f t="array" ref="H6094">IFERROR(INDEX(INVESTOR_LIST[INVESTOR NAME],MATCH(I6094,INVESTOR_LIST[INVESTOR CODE],0),)," ")</f>
        <v>ASHIT BARAN SAHA</v>
      </c>
      <c r="I6094" s="145" t="s">
        <v>442</v>
      </c>
      <c r="J6094" s="163" t="s">
        <v>52</v>
      </c>
      <c r="K6094" s="219"/>
      <c r="L6094" s="219">
        <v>2245909.5</v>
      </c>
    </row>
    <row r="6095" spans="1:13" ht="11.25" customHeight="1" x14ac:dyDescent="0.2">
      <c r="A6095" s="168">
        <v>2022</v>
      </c>
      <c r="B6095" s="168">
        <v>3</v>
      </c>
      <c r="C6095" s="133">
        <v>15</v>
      </c>
      <c r="D6095" s="141">
        <f t="shared" ref="D6095:D6097" si="296">DATE(A6095,B6095,C6095)</f>
        <v>44635</v>
      </c>
      <c r="E6095" s="275">
        <f t="shared" ref="E6095:E6097" si="297">DATE(A6095,B6095,C6095)</f>
        <v>44635</v>
      </c>
      <c r="F6095" s="479" t="s">
        <v>964</v>
      </c>
      <c r="G6095" s="220" t="s">
        <v>74</v>
      </c>
      <c r="H6095" s="142" t="str" cm="1">
        <f t="array" ref="H6095">IFERROR(INDEX(INVESTOR_LIST[INVESTOR NAME],MATCH(I6095,INVESTOR_LIST[INVESTOR CODE],0),)," ")</f>
        <v>MD KAMRUL ISLAM</v>
      </c>
      <c r="I6095" s="142" t="s">
        <v>516</v>
      </c>
      <c r="J6095" s="168" t="s">
        <v>52</v>
      </c>
      <c r="K6095" s="226">
        <v>500000</v>
      </c>
      <c r="L6095" s="226"/>
    </row>
    <row r="6096" spans="1:13" ht="33.75" x14ac:dyDescent="0.2">
      <c r="A6096" s="133">
        <v>2022</v>
      </c>
      <c r="B6096" s="133">
        <v>3</v>
      </c>
      <c r="C6096" s="133">
        <v>15</v>
      </c>
      <c r="D6096" s="141">
        <f t="shared" si="296"/>
        <v>44635</v>
      </c>
      <c r="E6096" s="275">
        <f t="shared" si="297"/>
        <v>44635</v>
      </c>
      <c r="F6096" s="481"/>
      <c r="G6096" s="174" t="s">
        <v>74</v>
      </c>
      <c r="H6096" s="148" t="str" cm="1">
        <f t="array" ref="H6096">IFERROR(INDEX(INVESTOR_LIST[INVESTOR NAME],MATCH(I6096,INVESTOR_LIST[INVESTOR CODE],0),)," ")</f>
        <v>MD KAMRUL ISLAM</v>
      </c>
      <c r="I6096" s="148" t="s">
        <v>516</v>
      </c>
      <c r="J6096" s="133" t="s">
        <v>13</v>
      </c>
      <c r="K6096" s="218"/>
      <c r="L6096" s="218">
        <v>419110</v>
      </c>
    </row>
    <row r="6097" spans="1:13" ht="33.75" x14ac:dyDescent="0.2">
      <c r="A6097" s="163">
        <v>2022</v>
      </c>
      <c r="B6097" s="163">
        <v>3</v>
      </c>
      <c r="C6097" s="163">
        <v>15</v>
      </c>
      <c r="D6097" s="141">
        <f t="shared" si="296"/>
        <v>44635</v>
      </c>
      <c r="E6097" s="275">
        <f t="shared" si="297"/>
        <v>44635</v>
      </c>
      <c r="F6097" s="480"/>
      <c r="G6097" s="221" t="s">
        <v>74</v>
      </c>
      <c r="H6097" s="145" t="str" cm="1">
        <f t="array" ref="H6097">IFERROR(INDEX(INVESTOR_LIST[INVESTOR NAME],MATCH(I6097,INVESTOR_LIST[INVESTOR CODE],0),)," ")</f>
        <v>MD KAMRUL ISLAM</v>
      </c>
      <c r="I6097" s="145" t="s">
        <v>516</v>
      </c>
      <c r="J6097" s="163" t="s">
        <v>53</v>
      </c>
      <c r="K6097" s="219"/>
      <c r="L6097" s="219">
        <v>80890</v>
      </c>
    </row>
    <row r="6098" spans="1:13" ht="56.25" x14ac:dyDescent="0.2">
      <c r="A6098" s="168">
        <v>2022</v>
      </c>
      <c r="B6098" s="168">
        <v>3</v>
      </c>
      <c r="C6098" s="133">
        <v>15</v>
      </c>
      <c r="D6098" s="141">
        <f t="shared" ref="D6098:D6102" si="298">DATE(A6098,B6098,C6098)</f>
        <v>44635</v>
      </c>
      <c r="E6098" s="275">
        <f t="shared" ref="E6098:E6102" si="299">DATE(A6098,B6098,C6098)</f>
        <v>44635</v>
      </c>
      <c r="F6098" s="479" t="s">
        <v>964</v>
      </c>
      <c r="G6098" s="220" t="s">
        <v>74</v>
      </c>
      <c r="H6098" s="142" t="str" cm="1">
        <f t="array" ref="H6098">IFERROR(INDEX(INVESTOR_LIST[INVESTOR NAME],MATCH(I6098,INVESTOR_LIST[INVESTOR CODE],0),)," ")</f>
        <v>M.A. MALEK SIDDIQUE WALI &amp; CO.</v>
      </c>
      <c r="I6098" s="142" t="s">
        <v>1001</v>
      </c>
      <c r="J6098" s="168" t="s">
        <v>52</v>
      </c>
      <c r="K6098" s="226">
        <v>100000</v>
      </c>
      <c r="L6098" s="226"/>
    </row>
    <row r="6099" spans="1:13" ht="56.25" x14ac:dyDescent="0.2">
      <c r="A6099" s="133">
        <v>2022</v>
      </c>
      <c r="B6099" s="133">
        <v>3</v>
      </c>
      <c r="C6099" s="133">
        <v>15</v>
      </c>
      <c r="D6099" s="141">
        <f t="shared" si="298"/>
        <v>44635</v>
      </c>
      <c r="E6099" s="275">
        <f t="shared" si="299"/>
        <v>44635</v>
      </c>
      <c r="F6099" s="481"/>
      <c r="G6099" s="174" t="s">
        <v>74</v>
      </c>
      <c r="H6099" s="148" t="str" cm="1">
        <f t="array" ref="H6099">IFERROR(INDEX(INVESTOR_LIST[INVESTOR NAME],MATCH(I6099,INVESTOR_LIST[INVESTOR CODE],0),)," ")</f>
        <v>M.A. MALEK SIDDIQUE WALI &amp; CO.</v>
      </c>
      <c r="I6099" s="148" t="s">
        <v>1001</v>
      </c>
      <c r="J6099" s="133" t="s">
        <v>13</v>
      </c>
      <c r="K6099" s="218"/>
      <c r="L6099" s="218">
        <v>83820</v>
      </c>
    </row>
    <row r="6100" spans="1:13" ht="56.25" x14ac:dyDescent="0.2">
      <c r="A6100" s="163">
        <v>2022</v>
      </c>
      <c r="B6100" s="163">
        <v>3</v>
      </c>
      <c r="C6100" s="163">
        <v>15</v>
      </c>
      <c r="D6100" s="141">
        <f t="shared" si="298"/>
        <v>44635</v>
      </c>
      <c r="E6100" s="275">
        <f t="shared" si="299"/>
        <v>44635</v>
      </c>
      <c r="F6100" s="480"/>
      <c r="G6100" s="221" t="s">
        <v>74</v>
      </c>
      <c r="H6100" s="145" t="str" cm="1">
        <f t="array" ref="H6100">IFERROR(INDEX(INVESTOR_LIST[INVESTOR NAME],MATCH(I6100,INVESTOR_LIST[INVESTOR CODE],0),)," ")</f>
        <v>M.A. MALEK SIDDIQUE WALI &amp; CO.</v>
      </c>
      <c r="I6100" s="145" t="s">
        <v>1001</v>
      </c>
      <c r="J6100" s="163" t="s">
        <v>53</v>
      </c>
      <c r="K6100" s="219"/>
      <c r="L6100" s="219">
        <v>16180</v>
      </c>
    </row>
    <row r="6101" spans="1:13" x14ac:dyDescent="0.2">
      <c r="A6101" s="133">
        <v>2022</v>
      </c>
      <c r="B6101" s="133">
        <v>3</v>
      </c>
      <c r="C6101" s="168">
        <v>15</v>
      </c>
      <c r="D6101" s="141">
        <f t="shared" si="298"/>
        <v>44635</v>
      </c>
      <c r="E6101" s="275">
        <f t="shared" si="299"/>
        <v>44635</v>
      </c>
      <c r="F6101" s="479" t="s">
        <v>77</v>
      </c>
      <c r="G6101" s="174" t="s">
        <v>74</v>
      </c>
      <c r="H6101" s="148" t="str" cm="1">
        <f t="array" ref="H6101">IFERROR(INDEX(INVESTOR_LIST[INVESTOR NAME],MATCH(I6101,INVESTOR_LIST[INVESTOR CODE],0),)," ")</f>
        <v xml:space="preserve"> </v>
      </c>
      <c r="I6101" s="148" t="s">
        <v>348</v>
      </c>
      <c r="J6101" s="133" t="s">
        <v>61</v>
      </c>
      <c r="K6101" s="172">
        <v>10</v>
      </c>
    </row>
    <row r="6102" spans="1:13" x14ac:dyDescent="0.2">
      <c r="A6102" s="163">
        <v>2022</v>
      </c>
      <c r="B6102" s="163">
        <v>3</v>
      </c>
      <c r="C6102" s="163">
        <v>15</v>
      </c>
      <c r="D6102" s="141">
        <f t="shared" si="298"/>
        <v>44635</v>
      </c>
      <c r="E6102" s="275">
        <f t="shared" si="299"/>
        <v>44635</v>
      </c>
      <c r="F6102" s="480"/>
      <c r="G6102" s="221" t="s">
        <v>74</v>
      </c>
      <c r="H6102" s="145" t="str" cm="1">
        <f t="array" ref="H6102">IFERROR(INDEX(INVESTOR_LIST[INVESTOR NAME],MATCH(I6102,INVESTOR_LIST[INVESTOR CODE],0),)," ")</f>
        <v xml:space="preserve"> </v>
      </c>
      <c r="I6102" s="145" t="s">
        <v>348</v>
      </c>
      <c r="J6102" s="163" t="s">
        <v>52</v>
      </c>
      <c r="K6102" s="219"/>
      <c r="L6102" s="219">
        <v>10</v>
      </c>
      <c r="M6102" s="160"/>
    </row>
    <row r="6103" spans="1:13" x14ac:dyDescent="0.2">
      <c r="A6103" s="168">
        <v>2022</v>
      </c>
      <c r="B6103" s="168">
        <v>3</v>
      </c>
      <c r="C6103" s="133">
        <v>16</v>
      </c>
      <c r="D6103" s="141">
        <f t="shared" ref="D6103:D6105" si="300">DATE(A6103,B6103,C6103)</f>
        <v>44636</v>
      </c>
      <c r="E6103" s="275">
        <f t="shared" ref="E6103:E6105" si="301">DATE(A6103,B6103,C6103)</f>
        <v>44636</v>
      </c>
      <c r="F6103" s="479" t="s">
        <v>1319</v>
      </c>
      <c r="G6103" s="220" t="s">
        <v>74</v>
      </c>
      <c r="H6103" s="142" t="str" cm="1">
        <f t="array" ref="H6103">IFERROR(INDEX(INVESTOR_LIST[INVESTOR NAME],MATCH(I6103,INVESTOR_LIST[INVESTOR CODE],0),)," ")</f>
        <v xml:space="preserve"> </v>
      </c>
      <c r="I6103" s="142"/>
      <c r="J6103" s="168" t="s">
        <v>52</v>
      </c>
      <c r="K6103" s="226">
        <v>89000</v>
      </c>
      <c r="L6103" s="226"/>
    </row>
    <row r="6104" spans="1:13" x14ac:dyDescent="0.2">
      <c r="A6104" s="133">
        <v>2022</v>
      </c>
      <c r="B6104" s="133">
        <v>3</v>
      </c>
      <c r="C6104" s="133">
        <v>16</v>
      </c>
      <c r="D6104" s="141">
        <f t="shared" si="300"/>
        <v>44636</v>
      </c>
      <c r="E6104" s="275">
        <f t="shared" si="301"/>
        <v>44636</v>
      </c>
      <c r="F6104" s="481"/>
      <c r="G6104" s="174" t="s">
        <v>74</v>
      </c>
      <c r="H6104" s="148" t="str" cm="1">
        <f t="array" ref="H6104">IFERROR(INDEX(INVESTOR_LIST[INVESTOR NAME],MATCH(I6104,INVESTOR_LIST[INVESTOR CODE],0),)," ")</f>
        <v xml:space="preserve"> </v>
      </c>
      <c r="J6104" s="133" t="s">
        <v>13</v>
      </c>
      <c r="K6104" s="218"/>
      <c r="L6104" s="218">
        <v>74590</v>
      </c>
    </row>
    <row r="6105" spans="1:13" x14ac:dyDescent="0.2">
      <c r="A6105" s="163">
        <v>2022</v>
      </c>
      <c r="B6105" s="163">
        <v>3</v>
      </c>
      <c r="C6105" s="163">
        <v>16</v>
      </c>
      <c r="D6105" s="141">
        <f t="shared" si="300"/>
        <v>44636</v>
      </c>
      <c r="E6105" s="275">
        <f t="shared" si="301"/>
        <v>44636</v>
      </c>
      <c r="F6105" s="480"/>
      <c r="G6105" s="221" t="s">
        <v>74</v>
      </c>
      <c r="H6105" s="145" t="str" cm="1">
        <f t="array" ref="H6105">IFERROR(INDEX(INVESTOR_LIST[INVESTOR NAME],MATCH(I6105,INVESTOR_LIST[INVESTOR CODE],0),)," ")</f>
        <v xml:space="preserve"> </v>
      </c>
      <c r="I6105" s="145"/>
      <c r="J6105" s="163" t="s">
        <v>53</v>
      </c>
      <c r="K6105" s="219"/>
      <c r="L6105" s="219">
        <v>14410</v>
      </c>
    </row>
    <row r="6106" spans="1:13" x14ac:dyDescent="0.2">
      <c r="A6106" s="168">
        <v>2022</v>
      </c>
      <c r="B6106" s="168">
        <v>3</v>
      </c>
      <c r="C6106" s="168">
        <v>16</v>
      </c>
      <c r="D6106" s="141">
        <f t="shared" ref="D6106:D6111" si="302">DATE(A6106,B6106,C6106)</f>
        <v>44636</v>
      </c>
      <c r="E6106" s="275">
        <f t="shared" ref="E6106:E6111" si="303">DATE(A6106,B6106,C6106)</f>
        <v>44636</v>
      </c>
      <c r="F6106" s="479" t="s">
        <v>896</v>
      </c>
      <c r="G6106" s="220" t="s">
        <v>74</v>
      </c>
      <c r="H6106" s="220" t="str" cm="1">
        <f t="array" ref="H6106">IFERROR(INDEX(INVESTOR_LIST[INVESTOR NAME],MATCH(I6106,INVESTOR_LIST[INVESTOR CODE],0),)," ")</f>
        <v xml:space="preserve"> </v>
      </c>
      <c r="I6106" s="142" t="s">
        <v>348</v>
      </c>
      <c r="J6106" s="143" t="s">
        <v>147</v>
      </c>
      <c r="K6106" s="226">
        <v>2568743.33</v>
      </c>
      <c r="L6106" s="226"/>
    </row>
    <row r="6107" spans="1:13" x14ac:dyDescent="0.2">
      <c r="A6107" s="163">
        <v>2022</v>
      </c>
      <c r="B6107" s="163">
        <v>3</v>
      </c>
      <c r="C6107" s="163">
        <v>16</v>
      </c>
      <c r="D6107" s="141">
        <f t="shared" si="302"/>
        <v>44636</v>
      </c>
      <c r="E6107" s="275">
        <f t="shared" si="303"/>
        <v>44636</v>
      </c>
      <c r="F6107" s="480"/>
      <c r="G6107" s="221" t="s">
        <v>74</v>
      </c>
      <c r="H6107" s="221" t="str" cm="1">
        <f t="array" ref="H6107">IFERROR(INDEX(INVESTOR_LIST[INVESTOR NAME],MATCH(I6107,INVESTOR_LIST[INVESTOR CODE],0),)," ")</f>
        <v xml:space="preserve"> </v>
      </c>
      <c r="I6107" s="145" t="s">
        <v>348</v>
      </c>
      <c r="J6107" s="146" t="s">
        <v>52</v>
      </c>
      <c r="K6107" s="219"/>
      <c r="L6107" s="219">
        <v>2568743.33</v>
      </c>
    </row>
    <row r="6108" spans="1:13" x14ac:dyDescent="0.2">
      <c r="A6108" s="168">
        <v>2022</v>
      </c>
      <c r="B6108" s="168">
        <v>3</v>
      </c>
      <c r="C6108" s="168">
        <v>16</v>
      </c>
      <c r="D6108" s="141">
        <f t="shared" si="302"/>
        <v>44636</v>
      </c>
      <c r="E6108" s="275">
        <f t="shared" si="303"/>
        <v>44636</v>
      </c>
      <c r="F6108" s="479" t="s">
        <v>896</v>
      </c>
      <c r="G6108" s="220" t="s">
        <v>74</v>
      </c>
      <c r="H6108" s="220" t="str" cm="1">
        <f t="array" ref="H6108">IFERROR(INDEX(INVESTOR_LIST[INVESTOR NAME],MATCH(I6108,INVESTOR_LIST[INVESTOR CODE],0),)," ")</f>
        <v xml:space="preserve"> </v>
      </c>
      <c r="I6108" s="142" t="s">
        <v>348</v>
      </c>
      <c r="J6108" s="143" t="s">
        <v>147</v>
      </c>
      <c r="K6108" s="226">
        <v>133539.94</v>
      </c>
      <c r="L6108" s="226"/>
    </row>
    <row r="6109" spans="1:13" x14ac:dyDescent="0.2">
      <c r="A6109" s="163">
        <v>2022</v>
      </c>
      <c r="B6109" s="163">
        <v>3</v>
      </c>
      <c r="C6109" s="163">
        <v>16</v>
      </c>
      <c r="D6109" s="141">
        <f t="shared" si="302"/>
        <v>44636</v>
      </c>
      <c r="E6109" s="275">
        <f t="shared" si="303"/>
        <v>44636</v>
      </c>
      <c r="F6109" s="480"/>
      <c r="G6109" s="221" t="s">
        <v>74</v>
      </c>
      <c r="H6109" s="221" t="str" cm="1">
        <f t="array" ref="H6109">IFERROR(INDEX(INVESTOR_LIST[INVESTOR NAME],MATCH(I6109,INVESTOR_LIST[INVESTOR CODE],0),)," ")</f>
        <v xml:space="preserve"> </v>
      </c>
      <c r="I6109" s="145" t="s">
        <v>348</v>
      </c>
      <c r="J6109" s="146" t="s">
        <v>52</v>
      </c>
      <c r="K6109" s="219"/>
      <c r="L6109" s="219">
        <v>133539.94</v>
      </c>
    </row>
    <row r="6110" spans="1:13" x14ac:dyDescent="0.2">
      <c r="A6110" s="168">
        <v>2022</v>
      </c>
      <c r="B6110" s="168">
        <v>3</v>
      </c>
      <c r="C6110" s="168">
        <v>16</v>
      </c>
      <c r="D6110" s="141">
        <f t="shared" si="302"/>
        <v>44636</v>
      </c>
      <c r="E6110" s="275">
        <f t="shared" si="303"/>
        <v>44636</v>
      </c>
      <c r="F6110" s="479" t="s">
        <v>937</v>
      </c>
      <c r="G6110" s="220" t="s">
        <v>74</v>
      </c>
      <c r="H6110" s="220" t="str" cm="1">
        <f t="array" ref="H6110">IFERROR(INDEX(INVESTOR_LIST[INVESTOR NAME],MATCH(I6110,INVESTOR_LIST[INVESTOR CODE],0),)," ")</f>
        <v xml:space="preserve"> </v>
      </c>
      <c r="I6110" s="142" t="s">
        <v>348</v>
      </c>
      <c r="J6110" s="143" t="s">
        <v>147</v>
      </c>
      <c r="K6110" s="226">
        <v>788569.37</v>
      </c>
      <c r="L6110" s="226"/>
    </row>
    <row r="6111" spans="1:13" x14ac:dyDescent="0.2">
      <c r="A6111" s="163">
        <v>2022</v>
      </c>
      <c r="B6111" s="163">
        <v>3</v>
      </c>
      <c r="C6111" s="163">
        <v>16</v>
      </c>
      <c r="D6111" s="141">
        <f t="shared" si="302"/>
        <v>44636</v>
      </c>
      <c r="E6111" s="275">
        <f t="shared" si="303"/>
        <v>44636</v>
      </c>
      <c r="F6111" s="480"/>
      <c r="G6111" s="221" t="s">
        <v>74</v>
      </c>
      <c r="H6111" s="221" t="str" cm="1">
        <f t="array" ref="H6111">IFERROR(INDEX(INVESTOR_LIST[INVESTOR NAME],MATCH(I6111,INVESTOR_LIST[INVESTOR CODE],0),)," ")</f>
        <v xml:space="preserve"> </v>
      </c>
      <c r="I6111" s="145" t="s">
        <v>348</v>
      </c>
      <c r="J6111" s="146" t="s">
        <v>52</v>
      </c>
      <c r="K6111" s="219"/>
      <c r="L6111" s="219">
        <v>788569.37</v>
      </c>
    </row>
    <row r="6112" spans="1:13" ht="22.5" x14ac:dyDescent="0.2">
      <c r="A6112" s="168">
        <v>2022</v>
      </c>
      <c r="B6112" s="168">
        <v>3</v>
      </c>
      <c r="C6112" s="133">
        <v>16</v>
      </c>
      <c r="D6112" s="141">
        <f t="shared" ref="D6112:D6114" si="304">DATE(A6112,B6112,C6112)</f>
        <v>44636</v>
      </c>
      <c r="E6112" s="275">
        <f t="shared" ref="E6112:E6114" si="305">DATE(A6112,B6112,C6112)</f>
        <v>44636</v>
      </c>
      <c r="F6112" s="479" t="s">
        <v>964</v>
      </c>
      <c r="G6112" s="220" t="s">
        <v>74</v>
      </c>
      <c r="H6112" s="142" t="str" cm="1">
        <f t="array" ref="H6112">IFERROR(INDEX(INVESTOR_LIST[INVESTOR NAME],MATCH(I6112,INVESTOR_LIST[INVESTOR CODE],0),)," ")</f>
        <v>NANDINI SAHA</v>
      </c>
      <c r="I6112" s="142" t="s">
        <v>463</v>
      </c>
      <c r="J6112" s="168" t="s">
        <v>52</v>
      </c>
      <c r="K6112" s="226">
        <v>200000</v>
      </c>
      <c r="L6112" s="226"/>
    </row>
    <row r="6113" spans="1:13" ht="22.5" x14ac:dyDescent="0.2">
      <c r="A6113" s="133">
        <v>2022</v>
      </c>
      <c r="B6113" s="133">
        <v>3</v>
      </c>
      <c r="C6113" s="133">
        <v>16</v>
      </c>
      <c r="D6113" s="141">
        <f t="shared" si="304"/>
        <v>44636</v>
      </c>
      <c r="E6113" s="275">
        <f t="shared" si="305"/>
        <v>44636</v>
      </c>
      <c r="F6113" s="481"/>
      <c r="G6113" s="174" t="s">
        <v>74</v>
      </c>
      <c r="H6113" s="148" t="str" cm="1">
        <f t="array" ref="H6113">IFERROR(INDEX(INVESTOR_LIST[INVESTOR NAME],MATCH(I6113,INVESTOR_LIST[INVESTOR CODE],0),)," ")</f>
        <v>NANDINI SAHA</v>
      </c>
      <c r="I6113" s="148" t="s">
        <v>463</v>
      </c>
      <c r="J6113" s="133" t="s">
        <v>13</v>
      </c>
      <c r="K6113" s="218"/>
      <c r="L6113" s="218">
        <v>167640</v>
      </c>
    </row>
    <row r="6114" spans="1:13" ht="22.5" x14ac:dyDescent="0.2">
      <c r="A6114" s="163">
        <v>2022</v>
      </c>
      <c r="B6114" s="163">
        <v>3</v>
      </c>
      <c r="C6114" s="163">
        <v>16</v>
      </c>
      <c r="D6114" s="141">
        <f t="shared" si="304"/>
        <v>44636</v>
      </c>
      <c r="E6114" s="275">
        <f t="shared" si="305"/>
        <v>44636</v>
      </c>
      <c r="F6114" s="480"/>
      <c r="G6114" s="221" t="s">
        <v>74</v>
      </c>
      <c r="H6114" s="145" t="str" cm="1">
        <f t="array" ref="H6114">IFERROR(INDEX(INVESTOR_LIST[INVESTOR NAME],MATCH(I6114,INVESTOR_LIST[INVESTOR CODE],0),)," ")</f>
        <v>NANDINI SAHA</v>
      </c>
      <c r="I6114" s="145" t="s">
        <v>463</v>
      </c>
      <c r="J6114" s="163" t="s">
        <v>53</v>
      </c>
      <c r="K6114" s="219"/>
      <c r="L6114" s="219">
        <v>32360</v>
      </c>
    </row>
    <row r="6115" spans="1:13" ht="45" x14ac:dyDescent="0.2">
      <c r="A6115" s="168">
        <v>2022</v>
      </c>
      <c r="B6115" s="168">
        <v>3</v>
      </c>
      <c r="C6115" s="133">
        <v>16</v>
      </c>
      <c r="D6115" s="141">
        <f t="shared" ref="D6115:D6130" si="306">DATE(A6115,B6115,C6115)</f>
        <v>44636</v>
      </c>
      <c r="E6115" s="275">
        <f t="shared" ref="E6115:E6130" si="307">DATE(A6115,B6115,C6115)</f>
        <v>44636</v>
      </c>
      <c r="F6115" s="479" t="s">
        <v>964</v>
      </c>
      <c r="G6115" s="220" t="s">
        <v>74</v>
      </c>
      <c r="H6115" s="142" t="str" cm="1">
        <f t="array" ref="H6115">IFERROR(INDEX(INVESTOR_LIST[INVESTOR NAME],MATCH(I6115,INVESTOR_LIST[INVESTOR CODE],0),)," ")</f>
        <v>MOHAMMAD GULAM KIBRIAH</v>
      </c>
      <c r="I6115" s="142" t="s">
        <v>1336</v>
      </c>
      <c r="J6115" s="168" t="s">
        <v>52</v>
      </c>
      <c r="K6115" s="226">
        <v>50000</v>
      </c>
      <c r="L6115" s="226"/>
    </row>
    <row r="6116" spans="1:13" ht="45" x14ac:dyDescent="0.2">
      <c r="A6116" s="133">
        <v>2022</v>
      </c>
      <c r="B6116" s="133">
        <v>3</v>
      </c>
      <c r="C6116" s="133">
        <v>16</v>
      </c>
      <c r="D6116" s="141">
        <f t="shared" si="306"/>
        <v>44636</v>
      </c>
      <c r="E6116" s="275">
        <f t="shared" si="307"/>
        <v>44636</v>
      </c>
      <c r="F6116" s="481"/>
      <c r="G6116" s="174" t="s">
        <v>74</v>
      </c>
      <c r="H6116" s="148" t="str" cm="1">
        <f t="array" ref="H6116">IFERROR(INDEX(INVESTOR_LIST[INVESTOR NAME],MATCH(I6116,INVESTOR_LIST[INVESTOR CODE],0),)," ")</f>
        <v>MOHAMMAD GULAM KIBRIAH</v>
      </c>
      <c r="I6116" s="148" t="s">
        <v>1336</v>
      </c>
      <c r="J6116" s="133" t="s">
        <v>13</v>
      </c>
      <c r="K6116" s="218"/>
      <c r="L6116" s="218">
        <v>41910</v>
      </c>
      <c r="M6116" s="160"/>
    </row>
    <row r="6117" spans="1:13" ht="45" x14ac:dyDescent="0.2">
      <c r="A6117" s="163">
        <v>2022</v>
      </c>
      <c r="B6117" s="163">
        <v>3</v>
      </c>
      <c r="C6117" s="163">
        <v>16</v>
      </c>
      <c r="D6117" s="141">
        <f t="shared" si="306"/>
        <v>44636</v>
      </c>
      <c r="E6117" s="275">
        <f t="shared" si="307"/>
        <v>44636</v>
      </c>
      <c r="F6117" s="480"/>
      <c r="G6117" s="221" t="s">
        <v>74</v>
      </c>
      <c r="H6117" s="145" t="str" cm="1">
        <f t="array" ref="H6117">IFERROR(INDEX(INVESTOR_LIST[INVESTOR NAME],MATCH(I6117,INVESTOR_LIST[INVESTOR CODE],0),)," ")</f>
        <v>MOHAMMAD GULAM KIBRIAH</v>
      </c>
      <c r="I6117" s="145" t="s">
        <v>1336</v>
      </c>
      <c r="J6117" s="163" t="s">
        <v>53</v>
      </c>
      <c r="K6117" s="219"/>
      <c r="L6117" s="219">
        <v>8090</v>
      </c>
    </row>
    <row r="6118" spans="1:13" x14ac:dyDescent="0.2">
      <c r="A6118" s="168">
        <v>2022</v>
      </c>
      <c r="B6118" s="168">
        <v>3</v>
      </c>
      <c r="C6118" s="168">
        <v>16</v>
      </c>
      <c r="D6118" s="141">
        <f t="shared" si="306"/>
        <v>44636</v>
      </c>
      <c r="E6118" s="275">
        <f t="shared" si="307"/>
        <v>44636</v>
      </c>
      <c r="F6118" s="479" t="s">
        <v>1337</v>
      </c>
      <c r="G6118" s="220" t="s">
        <v>74</v>
      </c>
      <c r="H6118" s="142" t="str" cm="1">
        <f t="array" ref="H6118">IFERROR(INDEX(INVESTOR_LIST[INVESTOR NAME],MATCH(I6118,INVESTOR_LIST[INVESTOR CODE],0),)," ")</f>
        <v xml:space="preserve"> </v>
      </c>
      <c r="I6118" s="142"/>
      <c r="J6118" s="168" t="s">
        <v>50</v>
      </c>
      <c r="K6118" s="226">
        <v>30000</v>
      </c>
      <c r="L6118" s="226"/>
    </row>
    <row r="6119" spans="1:13" x14ac:dyDescent="0.2">
      <c r="A6119" s="168">
        <v>2022</v>
      </c>
      <c r="B6119" s="168">
        <v>3</v>
      </c>
      <c r="C6119" s="168">
        <v>16</v>
      </c>
      <c r="D6119" s="141">
        <f t="shared" ref="D6119" si="308">DATE(A6119,B6119,C6119)</f>
        <v>44636</v>
      </c>
      <c r="E6119" s="275">
        <f t="shared" ref="E6119" si="309">DATE(A6119,B6119,C6119)</f>
        <v>44636</v>
      </c>
      <c r="F6119" s="481"/>
      <c r="G6119" s="174" t="s">
        <v>74</v>
      </c>
      <c r="J6119" s="133" t="s">
        <v>103</v>
      </c>
      <c r="K6119" s="218">
        <v>4500</v>
      </c>
      <c r="L6119" s="218"/>
    </row>
    <row r="6120" spans="1:13" x14ac:dyDescent="0.2">
      <c r="A6120" s="163">
        <v>2022</v>
      </c>
      <c r="B6120" s="163">
        <v>3</v>
      </c>
      <c r="C6120" s="163">
        <v>16</v>
      </c>
      <c r="D6120" s="280">
        <f t="shared" si="306"/>
        <v>44636</v>
      </c>
      <c r="E6120" s="281">
        <f t="shared" si="307"/>
        <v>44636</v>
      </c>
      <c r="F6120" s="480"/>
      <c r="G6120" s="221" t="s">
        <v>74</v>
      </c>
      <c r="H6120" s="145" t="str" cm="1">
        <f t="array" ref="H6120">IFERROR(INDEX(INVESTOR_LIST[INVESTOR NAME],MATCH(I6120,INVESTOR_LIST[INVESTOR CODE],0),)," ")</f>
        <v xml:space="preserve"> </v>
      </c>
      <c r="I6120" s="145"/>
      <c r="J6120" s="163" t="s">
        <v>52</v>
      </c>
      <c r="K6120" s="219"/>
      <c r="L6120" s="219">
        <v>34500</v>
      </c>
    </row>
    <row r="6121" spans="1:13" x14ac:dyDescent="0.2">
      <c r="A6121" s="133">
        <v>2022</v>
      </c>
      <c r="B6121" s="133">
        <v>3</v>
      </c>
      <c r="C6121" s="133">
        <v>16</v>
      </c>
      <c r="D6121" s="141">
        <f t="shared" si="306"/>
        <v>44636</v>
      </c>
      <c r="E6121" s="275">
        <f t="shared" si="307"/>
        <v>44636</v>
      </c>
      <c r="F6121" s="481" t="s">
        <v>1317</v>
      </c>
      <c r="G6121" s="174" t="s">
        <v>94</v>
      </c>
      <c r="H6121" s="174" t="str" cm="1">
        <f t="array" ref="H6121">IFERROR(INDEX(INVESTOR_LIST[INVESTOR NAME],MATCH(I6121,INVESTOR_LIST[INVESTOR CODE],0),)," ")</f>
        <v xml:space="preserve"> </v>
      </c>
      <c r="I6121" s="148" t="s">
        <v>348</v>
      </c>
      <c r="J6121" s="149" t="s">
        <v>79</v>
      </c>
      <c r="K6121" s="218">
        <v>675164</v>
      </c>
      <c r="L6121" s="218"/>
      <c r="M6121" s="160"/>
    </row>
    <row r="6122" spans="1:13" x14ac:dyDescent="0.2">
      <c r="A6122" s="133">
        <v>2022</v>
      </c>
      <c r="B6122" s="133">
        <v>3</v>
      </c>
      <c r="C6122" s="133">
        <v>16</v>
      </c>
      <c r="D6122" s="141">
        <f t="shared" si="306"/>
        <v>44636</v>
      </c>
      <c r="E6122" s="275">
        <f t="shared" si="307"/>
        <v>44636</v>
      </c>
      <c r="F6122" s="481"/>
      <c r="G6122" s="174" t="s">
        <v>94</v>
      </c>
      <c r="H6122" s="174" t="str" cm="1">
        <f t="array" ref="H6122">IFERROR(INDEX(INVESTOR_LIST[INVESTOR NAME],MATCH(I6122,INVESTOR_LIST[INVESTOR CODE],0),)," ")</f>
        <v xml:space="preserve"> </v>
      </c>
      <c r="I6122" s="148" t="s">
        <v>348</v>
      </c>
      <c r="J6122" s="149" t="s">
        <v>80</v>
      </c>
      <c r="K6122" s="218">
        <v>1215.3</v>
      </c>
      <c r="L6122" s="218"/>
    </row>
    <row r="6123" spans="1:13" x14ac:dyDescent="0.2">
      <c r="A6123" s="163">
        <v>2022</v>
      </c>
      <c r="B6123" s="163">
        <v>3</v>
      </c>
      <c r="C6123" s="163">
        <v>16</v>
      </c>
      <c r="D6123" s="280">
        <f t="shared" si="306"/>
        <v>44636</v>
      </c>
      <c r="E6123" s="281">
        <f t="shared" si="307"/>
        <v>44636</v>
      </c>
      <c r="F6123" s="480"/>
      <c r="G6123" s="221" t="s">
        <v>94</v>
      </c>
      <c r="H6123" s="145" t="str" cm="1">
        <f t="array" ref="H6123">IFERROR(INDEX(INVESTOR_LIST[INVESTOR NAME],MATCH(I6123,INVESTOR_LIST[INVESTOR CODE],0),)," ")</f>
        <v xml:space="preserve"> </v>
      </c>
      <c r="I6123" s="145"/>
      <c r="J6123" s="163" t="s">
        <v>147</v>
      </c>
      <c r="K6123" s="219"/>
      <c r="L6123" s="219">
        <v>676379.3</v>
      </c>
    </row>
    <row r="6124" spans="1:13" x14ac:dyDescent="0.2">
      <c r="A6124" s="168">
        <v>2022</v>
      </c>
      <c r="B6124" s="168">
        <v>3</v>
      </c>
      <c r="C6124" s="168">
        <v>16</v>
      </c>
      <c r="D6124" s="141">
        <f t="shared" si="306"/>
        <v>44636</v>
      </c>
      <c r="E6124" s="275">
        <f t="shared" si="307"/>
        <v>44636</v>
      </c>
      <c r="F6124" s="479" t="s">
        <v>937</v>
      </c>
      <c r="G6124" s="220" t="s">
        <v>74</v>
      </c>
      <c r="H6124" s="220" t="str" cm="1">
        <f t="array" ref="H6124">IFERROR(INDEX(INVESTOR_LIST[INVESTOR NAME],MATCH(I6124,INVESTOR_LIST[INVESTOR CODE],0),)," ")</f>
        <v xml:space="preserve"> </v>
      </c>
      <c r="I6124" s="142" t="s">
        <v>348</v>
      </c>
      <c r="J6124" s="143" t="s">
        <v>147</v>
      </c>
      <c r="K6124" s="226">
        <v>676379.3</v>
      </c>
      <c r="L6124" s="226"/>
      <c r="M6124" s="160"/>
    </row>
    <row r="6125" spans="1:13" x14ac:dyDescent="0.2">
      <c r="A6125" s="163">
        <v>2022</v>
      </c>
      <c r="B6125" s="163">
        <v>3</v>
      </c>
      <c r="C6125" s="163">
        <v>16</v>
      </c>
      <c r="D6125" s="141">
        <f t="shared" si="306"/>
        <v>44636</v>
      </c>
      <c r="E6125" s="275">
        <f t="shared" si="307"/>
        <v>44636</v>
      </c>
      <c r="F6125" s="480"/>
      <c r="G6125" s="221" t="s">
        <v>74</v>
      </c>
      <c r="H6125" s="221" t="str" cm="1">
        <f t="array" ref="H6125">IFERROR(INDEX(INVESTOR_LIST[INVESTOR NAME],MATCH(I6125,INVESTOR_LIST[INVESTOR CODE],0),)," ")</f>
        <v xml:space="preserve"> </v>
      </c>
      <c r="I6125" s="145" t="s">
        <v>348</v>
      </c>
      <c r="J6125" s="146" t="s">
        <v>52</v>
      </c>
      <c r="K6125" s="219"/>
      <c r="L6125" s="219">
        <v>676379.3</v>
      </c>
    </row>
    <row r="6126" spans="1:13" x14ac:dyDescent="0.2">
      <c r="A6126" s="133">
        <v>2022</v>
      </c>
      <c r="B6126" s="133">
        <v>3</v>
      </c>
      <c r="C6126" s="133">
        <v>16</v>
      </c>
      <c r="D6126" s="141">
        <f t="shared" si="306"/>
        <v>44636</v>
      </c>
      <c r="E6126" s="275">
        <f t="shared" si="307"/>
        <v>44636</v>
      </c>
      <c r="F6126" s="481" t="s">
        <v>1313</v>
      </c>
      <c r="G6126" s="174" t="s">
        <v>94</v>
      </c>
      <c r="H6126" s="174" t="str" cm="1">
        <f t="array" ref="H6126">IFERROR(INDEX(INVESTOR_LIST[INVESTOR NAME],MATCH(I6126,INVESTOR_LIST[INVESTOR CODE],0),)," ")</f>
        <v xml:space="preserve"> </v>
      </c>
      <c r="I6126" s="148" t="s">
        <v>348</v>
      </c>
      <c r="J6126" s="149" t="s">
        <v>79</v>
      </c>
      <c r="K6126" s="218">
        <v>1056000</v>
      </c>
      <c r="L6126" s="218"/>
    </row>
    <row r="6127" spans="1:13" x14ac:dyDescent="0.2">
      <c r="A6127" s="133">
        <v>2022</v>
      </c>
      <c r="B6127" s="133">
        <v>3</v>
      </c>
      <c r="C6127" s="133">
        <v>16</v>
      </c>
      <c r="D6127" s="141">
        <f t="shared" si="306"/>
        <v>44636</v>
      </c>
      <c r="E6127" s="275">
        <f t="shared" si="307"/>
        <v>44636</v>
      </c>
      <c r="F6127" s="481"/>
      <c r="G6127" s="174" t="s">
        <v>94</v>
      </c>
      <c r="H6127" s="174" t="str" cm="1">
        <f t="array" ref="H6127">IFERROR(INDEX(INVESTOR_LIST[INVESTOR NAME],MATCH(I6127,INVESTOR_LIST[INVESTOR CODE],0),)," ")</f>
        <v xml:space="preserve"> </v>
      </c>
      <c r="I6127" s="148" t="s">
        <v>348</v>
      </c>
      <c r="J6127" s="149" t="s">
        <v>80</v>
      </c>
      <c r="K6127" s="218">
        <v>1900.8</v>
      </c>
      <c r="L6127" s="218"/>
      <c r="M6127" s="160"/>
    </row>
    <row r="6128" spans="1:13" x14ac:dyDescent="0.2">
      <c r="A6128" s="163">
        <v>2022</v>
      </c>
      <c r="B6128" s="163">
        <v>3</v>
      </c>
      <c r="C6128" s="163">
        <v>16</v>
      </c>
      <c r="D6128" s="280">
        <f t="shared" si="306"/>
        <v>44636</v>
      </c>
      <c r="E6128" s="281">
        <f t="shared" si="307"/>
        <v>44636</v>
      </c>
      <c r="F6128" s="480"/>
      <c r="G6128" s="221" t="s">
        <v>94</v>
      </c>
      <c r="H6128" s="145" t="str" cm="1">
        <f t="array" ref="H6128">IFERROR(INDEX(INVESTOR_LIST[INVESTOR NAME],MATCH(I6128,INVESTOR_LIST[INVESTOR CODE],0),)," ")</f>
        <v xml:space="preserve"> </v>
      </c>
      <c r="I6128" s="145"/>
      <c r="J6128" s="163" t="s">
        <v>147</v>
      </c>
      <c r="K6128" s="219"/>
      <c r="L6128" s="219">
        <v>1057900.8</v>
      </c>
    </row>
    <row r="6129" spans="1:14" x14ac:dyDescent="0.2">
      <c r="A6129" s="168">
        <v>2022</v>
      </c>
      <c r="B6129" s="168">
        <v>3</v>
      </c>
      <c r="C6129" s="168">
        <v>16</v>
      </c>
      <c r="D6129" s="141">
        <f t="shared" si="306"/>
        <v>44636</v>
      </c>
      <c r="E6129" s="275">
        <f t="shared" si="307"/>
        <v>44636</v>
      </c>
      <c r="F6129" s="479" t="s">
        <v>896</v>
      </c>
      <c r="G6129" s="220" t="s">
        <v>74</v>
      </c>
      <c r="H6129" s="220" t="str" cm="1">
        <f t="array" ref="H6129">IFERROR(INDEX(INVESTOR_LIST[INVESTOR NAME],MATCH(I6129,INVESTOR_LIST[INVESTOR CODE],0),)," ")</f>
        <v xml:space="preserve"> </v>
      </c>
      <c r="I6129" s="142" t="s">
        <v>348</v>
      </c>
      <c r="J6129" s="143" t="s">
        <v>147</v>
      </c>
      <c r="K6129" s="226">
        <v>1057900.8</v>
      </c>
      <c r="L6129" s="226"/>
    </row>
    <row r="6130" spans="1:14" x14ac:dyDescent="0.2">
      <c r="A6130" s="163">
        <v>2022</v>
      </c>
      <c r="B6130" s="163">
        <v>3</v>
      </c>
      <c r="C6130" s="163">
        <v>16</v>
      </c>
      <c r="D6130" s="141">
        <f t="shared" si="306"/>
        <v>44636</v>
      </c>
      <c r="E6130" s="275">
        <f t="shared" si="307"/>
        <v>44636</v>
      </c>
      <c r="F6130" s="480"/>
      <c r="G6130" s="221" t="s">
        <v>74</v>
      </c>
      <c r="H6130" s="221" t="str" cm="1">
        <f t="array" ref="H6130">IFERROR(INDEX(INVESTOR_LIST[INVESTOR NAME],MATCH(I6130,INVESTOR_LIST[INVESTOR CODE],0),)," ")</f>
        <v xml:space="preserve"> </v>
      </c>
      <c r="I6130" s="145" t="s">
        <v>348</v>
      </c>
      <c r="J6130" s="146" t="s">
        <v>52</v>
      </c>
      <c r="K6130" s="219"/>
      <c r="L6130" s="219">
        <v>1057900.8</v>
      </c>
      <c r="M6130" s="160"/>
    </row>
    <row r="6131" spans="1:14" ht="56.25" x14ac:dyDescent="0.2">
      <c r="A6131" s="168">
        <v>2022</v>
      </c>
      <c r="B6131" s="168">
        <v>3</v>
      </c>
      <c r="C6131" s="133">
        <v>16</v>
      </c>
      <c r="D6131" s="141">
        <f t="shared" ref="D6131:D6133" si="310">DATE(A6131,B6131,C6131)</f>
        <v>44636</v>
      </c>
      <c r="E6131" s="275">
        <f t="shared" ref="E6131:E6133" si="311">DATE(A6131,B6131,C6131)</f>
        <v>44636</v>
      </c>
      <c r="F6131" s="479" t="s">
        <v>964</v>
      </c>
      <c r="G6131" s="220" t="s">
        <v>74</v>
      </c>
      <c r="H6131" s="142" t="str" cm="1">
        <f t="array" ref="H6131">IFERROR(INDEX(INVESTOR_LIST[INVESTOR NAME],MATCH(I6131,INVESTOR_LIST[INVESTOR CODE],0),)," ")</f>
        <v>EKUSH WEALTH MANAGEMENT LIMITED</v>
      </c>
      <c r="I6131" s="142" t="s">
        <v>371</v>
      </c>
      <c r="J6131" s="168" t="s">
        <v>52</v>
      </c>
      <c r="K6131" s="226">
        <v>2000000</v>
      </c>
      <c r="L6131" s="226"/>
    </row>
    <row r="6132" spans="1:14" ht="56.25" x14ac:dyDescent="0.2">
      <c r="A6132" s="133">
        <v>2022</v>
      </c>
      <c r="B6132" s="133">
        <v>3</v>
      </c>
      <c r="C6132" s="133">
        <v>16</v>
      </c>
      <c r="D6132" s="141">
        <f t="shared" si="310"/>
        <v>44636</v>
      </c>
      <c r="E6132" s="275">
        <f t="shared" si="311"/>
        <v>44636</v>
      </c>
      <c r="F6132" s="481"/>
      <c r="G6132" s="174" t="s">
        <v>74</v>
      </c>
      <c r="H6132" s="148" t="str" cm="1">
        <f t="array" ref="H6132">IFERROR(INDEX(INVESTOR_LIST[INVESTOR NAME],MATCH(I6132,INVESTOR_LIST[INVESTOR CODE],0),)," ")</f>
        <v>EKUSH WEALTH MANAGEMENT LIMITED</v>
      </c>
      <c r="I6132" s="148" t="s">
        <v>371</v>
      </c>
      <c r="J6132" s="133" t="s">
        <v>13</v>
      </c>
      <c r="K6132" s="218"/>
      <c r="L6132" s="218">
        <v>1676450</v>
      </c>
    </row>
    <row r="6133" spans="1:14" ht="56.25" x14ac:dyDescent="0.2">
      <c r="A6133" s="163">
        <v>2022</v>
      </c>
      <c r="B6133" s="163">
        <v>3</v>
      </c>
      <c r="C6133" s="163">
        <v>16</v>
      </c>
      <c r="D6133" s="141">
        <f t="shared" si="310"/>
        <v>44636</v>
      </c>
      <c r="E6133" s="275">
        <f t="shared" si="311"/>
        <v>44636</v>
      </c>
      <c r="F6133" s="480"/>
      <c r="G6133" s="221" t="s">
        <v>74</v>
      </c>
      <c r="H6133" s="145" t="str" cm="1">
        <f t="array" ref="H6133">IFERROR(INDEX(INVESTOR_LIST[INVESTOR NAME],MATCH(I6133,INVESTOR_LIST[INVESTOR CODE],0),)," ")</f>
        <v>EKUSH WEALTH MANAGEMENT LIMITED</v>
      </c>
      <c r="I6133" s="145" t="s">
        <v>371</v>
      </c>
      <c r="J6133" s="163" t="s">
        <v>53</v>
      </c>
      <c r="K6133" s="219"/>
      <c r="L6133" s="219">
        <v>323550</v>
      </c>
      <c r="M6133" s="160"/>
      <c r="N6133" s="160"/>
    </row>
    <row r="6134" spans="1:14" ht="67.5" x14ac:dyDescent="0.2">
      <c r="A6134" s="168">
        <v>2022</v>
      </c>
      <c r="B6134" s="168">
        <v>3</v>
      </c>
      <c r="C6134" s="133">
        <v>16</v>
      </c>
      <c r="D6134" s="141">
        <f t="shared" ref="D6134:D6136" si="312">DATE(A6134,B6134,C6134)</f>
        <v>44636</v>
      </c>
      <c r="E6134" s="275">
        <f t="shared" ref="E6134:E6136" si="313">DATE(A6134,B6134,C6134)</f>
        <v>44636</v>
      </c>
      <c r="F6134" s="479" t="s">
        <v>964</v>
      </c>
      <c r="G6134" s="220" t="s">
        <v>74</v>
      </c>
      <c r="H6134" s="142" t="str" cm="1">
        <f t="array" ref="H6134">IFERROR(INDEX(INVESTOR_LIST[INVESTOR NAME],MATCH(I6134,INVESTOR_LIST[INVESTOR CODE],0),)," ")</f>
        <v>MERINA TABASSUM AND MD. MONIRUL ISLAM</v>
      </c>
      <c r="I6134" s="142" t="s">
        <v>1334</v>
      </c>
      <c r="J6134" s="168" t="s">
        <v>52</v>
      </c>
      <c r="K6134" s="226">
        <v>500000</v>
      </c>
      <c r="L6134" s="226"/>
    </row>
    <row r="6135" spans="1:14" ht="67.5" x14ac:dyDescent="0.2">
      <c r="A6135" s="133">
        <v>2022</v>
      </c>
      <c r="B6135" s="133">
        <v>3</v>
      </c>
      <c r="C6135" s="133">
        <v>16</v>
      </c>
      <c r="D6135" s="141">
        <f t="shared" si="312"/>
        <v>44636</v>
      </c>
      <c r="E6135" s="275">
        <f t="shared" si="313"/>
        <v>44636</v>
      </c>
      <c r="F6135" s="481"/>
      <c r="G6135" s="174" t="s">
        <v>74</v>
      </c>
      <c r="H6135" s="148" t="str" cm="1">
        <f t="array" ref="H6135">IFERROR(INDEX(INVESTOR_LIST[INVESTOR NAME],MATCH(I6135,INVESTOR_LIST[INVESTOR CODE],0),)," ")</f>
        <v>MERINA TABASSUM AND MD. MONIRUL ISLAM</v>
      </c>
      <c r="I6135" s="148" t="s">
        <v>1334</v>
      </c>
      <c r="J6135" s="133" t="s">
        <v>13</v>
      </c>
      <c r="K6135" s="218"/>
      <c r="L6135" s="218">
        <v>419110</v>
      </c>
    </row>
    <row r="6136" spans="1:14" ht="67.5" x14ac:dyDescent="0.2">
      <c r="A6136" s="163">
        <v>2022</v>
      </c>
      <c r="B6136" s="163">
        <v>3</v>
      </c>
      <c r="C6136" s="163">
        <v>16</v>
      </c>
      <c r="D6136" s="141">
        <f t="shared" si="312"/>
        <v>44636</v>
      </c>
      <c r="E6136" s="275">
        <f t="shared" si="313"/>
        <v>44636</v>
      </c>
      <c r="F6136" s="480"/>
      <c r="G6136" s="221" t="s">
        <v>74</v>
      </c>
      <c r="H6136" s="145" t="str" cm="1">
        <f t="array" ref="H6136">IFERROR(INDEX(INVESTOR_LIST[INVESTOR NAME],MATCH(I6136,INVESTOR_LIST[INVESTOR CODE],0),)," ")</f>
        <v>MERINA TABASSUM AND MD. MONIRUL ISLAM</v>
      </c>
      <c r="I6136" s="145" t="s">
        <v>1334</v>
      </c>
      <c r="J6136" s="163" t="s">
        <v>53</v>
      </c>
      <c r="K6136" s="219"/>
      <c r="L6136" s="219">
        <v>80890</v>
      </c>
    </row>
    <row r="6137" spans="1:14" ht="22.5" x14ac:dyDescent="0.2">
      <c r="A6137" s="168">
        <v>2022</v>
      </c>
      <c r="B6137" s="168">
        <v>3</v>
      </c>
      <c r="C6137" s="133">
        <v>16</v>
      </c>
      <c r="D6137" s="141">
        <f t="shared" ref="D6137:D6139" si="314">DATE(A6137,B6137,C6137)</f>
        <v>44636</v>
      </c>
      <c r="E6137" s="275">
        <f t="shared" ref="E6137:E6139" si="315">DATE(A6137,B6137,C6137)</f>
        <v>44636</v>
      </c>
      <c r="F6137" s="479" t="s">
        <v>964</v>
      </c>
      <c r="G6137" s="220" t="s">
        <v>74</v>
      </c>
      <c r="H6137" s="142" t="str" cm="1">
        <f t="array" ref="H6137">IFERROR(INDEX(INVESTOR_LIST[INVESTOR NAME],MATCH(I6137,INVESTOR_LIST[INVESTOR CODE],0),)," ")</f>
        <v>SULTANA RAZIA</v>
      </c>
      <c r="I6137" s="142" t="s">
        <v>698</v>
      </c>
      <c r="J6137" s="168" t="s">
        <v>52</v>
      </c>
      <c r="K6137" s="226">
        <v>700000</v>
      </c>
      <c r="L6137" s="226"/>
    </row>
    <row r="6138" spans="1:14" ht="22.5" x14ac:dyDescent="0.2">
      <c r="A6138" s="133">
        <v>2022</v>
      </c>
      <c r="B6138" s="133">
        <v>3</v>
      </c>
      <c r="C6138" s="133">
        <v>16</v>
      </c>
      <c r="D6138" s="141">
        <f t="shared" si="314"/>
        <v>44636</v>
      </c>
      <c r="E6138" s="275">
        <f t="shared" si="315"/>
        <v>44636</v>
      </c>
      <c r="F6138" s="481"/>
      <c r="G6138" s="174" t="s">
        <v>74</v>
      </c>
      <c r="H6138" s="148" t="str" cm="1">
        <f t="array" ref="H6138">IFERROR(INDEX(INVESTOR_LIST[INVESTOR NAME],MATCH(I6138,INVESTOR_LIST[INVESTOR CODE],0),)," ")</f>
        <v>SULTANA RAZIA</v>
      </c>
      <c r="I6138" s="148" t="s">
        <v>698</v>
      </c>
      <c r="J6138" s="133" t="s">
        <v>13</v>
      </c>
      <c r="K6138" s="218"/>
      <c r="L6138" s="218">
        <v>586760</v>
      </c>
    </row>
    <row r="6139" spans="1:14" ht="22.5" x14ac:dyDescent="0.2">
      <c r="A6139" s="163">
        <v>2022</v>
      </c>
      <c r="B6139" s="163">
        <v>3</v>
      </c>
      <c r="C6139" s="163">
        <v>16</v>
      </c>
      <c r="D6139" s="141">
        <f t="shared" si="314"/>
        <v>44636</v>
      </c>
      <c r="E6139" s="275">
        <f t="shared" si="315"/>
        <v>44636</v>
      </c>
      <c r="F6139" s="480"/>
      <c r="G6139" s="221" t="s">
        <v>74</v>
      </c>
      <c r="H6139" s="145" t="str" cm="1">
        <f t="array" ref="H6139">IFERROR(INDEX(INVESTOR_LIST[INVESTOR NAME],MATCH(I6139,INVESTOR_LIST[INVESTOR CODE],0),)," ")</f>
        <v>SULTANA RAZIA</v>
      </c>
      <c r="I6139" s="145" t="s">
        <v>698</v>
      </c>
      <c r="J6139" s="163" t="s">
        <v>53</v>
      </c>
      <c r="K6139" s="219"/>
      <c r="L6139" s="219">
        <v>113240</v>
      </c>
    </row>
    <row r="6140" spans="1:14" ht="22.5" x14ac:dyDescent="0.2">
      <c r="A6140" s="168">
        <v>2022</v>
      </c>
      <c r="B6140" s="168">
        <v>3</v>
      </c>
      <c r="C6140" s="133">
        <v>16</v>
      </c>
      <c r="D6140" s="141">
        <f t="shared" ref="D6140:D6142" si="316">DATE(A6140,B6140,C6140)</f>
        <v>44636</v>
      </c>
      <c r="E6140" s="275">
        <f t="shared" ref="E6140:E6142" si="317">DATE(A6140,B6140,C6140)</f>
        <v>44636</v>
      </c>
      <c r="F6140" s="479" t="s">
        <v>964</v>
      </c>
      <c r="G6140" s="220" t="s">
        <v>74</v>
      </c>
      <c r="H6140" s="142" t="str" cm="1">
        <f t="array" ref="H6140">IFERROR(INDEX(INVESTOR_LIST[INVESTOR NAME],MATCH(I6140,INVESTOR_LIST[INVESTOR CODE],0),)," ")</f>
        <v>CHAONIKA SAHA</v>
      </c>
      <c r="I6140" s="142" t="s">
        <v>577</v>
      </c>
      <c r="J6140" s="168" t="s">
        <v>52</v>
      </c>
      <c r="K6140" s="226">
        <v>400000</v>
      </c>
      <c r="L6140" s="226"/>
      <c r="N6140" s="160"/>
    </row>
    <row r="6141" spans="1:14" ht="22.5" x14ac:dyDescent="0.2">
      <c r="A6141" s="133">
        <v>2022</v>
      </c>
      <c r="B6141" s="133">
        <v>3</v>
      </c>
      <c r="C6141" s="133">
        <v>16</v>
      </c>
      <c r="D6141" s="141">
        <f t="shared" si="316"/>
        <v>44636</v>
      </c>
      <c r="E6141" s="275">
        <f t="shared" si="317"/>
        <v>44636</v>
      </c>
      <c r="F6141" s="481"/>
      <c r="G6141" s="174" t="s">
        <v>74</v>
      </c>
      <c r="H6141" s="148" t="str" cm="1">
        <f t="array" ref="H6141">IFERROR(INDEX(INVESTOR_LIST[INVESTOR NAME],MATCH(I6141,INVESTOR_LIST[INVESTOR CODE],0),)," ")</f>
        <v>CHAONIKA SAHA</v>
      </c>
      <c r="I6141" s="148" t="s">
        <v>577</v>
      </c>
      <c r="J6141" s="133" t="s">
        <v>13</v>
      </c>
      <c r="K6141" s="218"/>
      <c r="L6141" s="218">
        <v>335290</v>
      </c>
    </row>
    <row r="6142" spans="1:14" ht="22.5" x14ac:dyDescent="0.2">
      <c r="A6142" s="163">
        <v>2022</v>
      </c>
      <c r="B6142" s="163">
        <v>3</v>
      </c>
      <c r="C6142" s="163">
        <v>16</v>
      </c>
      <c r="D6142" s="141">
        <f t="shared" si="316"/>
        <v>44636</v>
      </c>
      <c r="E6142" s="275">
        <f t="shared" si="317"/>
        <v>44636</v>
      </c>
      <c r="F6142" s="480"/>
      <c r="G6142" s="221" t="s">
        <v>74</v>
      </c>
      <c r="H6142" s="145" t="str" cm="1">
        <f t="array" ref="H6142">IFERROR(INDEX(INVESTOR_LIST[INVESTOR NAME],MATCH(I6142,INVESTOR_LIST[INVESTOR CODE],0),)," ")</f>
        <v>CHAONIKA SAHA</v>
      </c>
      <c r="I6142" s="145" t="s">
        <v>577</v>
      </c>
      <c r="J6142" s="163" t="s">
        <v>53</v>
      </c>
      <c r="K6142" s="219"/>
      <c r="L6142" s="219">
        <v>64710</v>
      </c>
    </row>
    <row r="6143" spans="1:14" ht="33.75" x14ac:dyDescent="0.2">
      <c r="A6143" s="168">
        <v>2022</v>
      </c>
      <c r="B6143" s="168">
        <v>3</v>
      </c>
      <c r="C6143" s="133">
        <v>16</v>
      </c>
      <c r="D6143" s="141">
        <f t="shared" ref="D6143:D6149" si="318">DATE(A6143,B6143,C6143)</f>
        <v>44636</v>
      </c>
      <c r="E6143" s="275">
        <f t="shared" ref="E6143:E6149" si="319">DATE(A6143,B6143,C6143)</f>
        <v>44636</v>
      </c>
      <c r="F6143" s="479" t="s">
        <v>964</v>
      </c>
      <c r="G6143" s="220" t="s">
        <v>74</v>
      </c>
      <c r="H6143" s="142" t="str" cm="1">
        <f t="array" ref="H6143">IFERROR(INDEX(INVESTOR_LIST[INVESTOR NAME],MATCH(I6143,INVESTOR_LIST[INVESTOR CODE],0),)," ")</f>
        <v>AHMED BIN MONSUR</v>
      </c>
      <c r="I6143" s="142" t="s">
        <v>992</v>
      </c>
      <c r="J6143" s="168" t="s">
        <v>52</v>
      </c>
      <c r="K6143" s="226">
        <v>1000000</v>
      </c>
      <c r="L6143" s="226"/>
      <c r="M6143" s="160"/>
    </row>
    <row r="6144" spans="1:14" ht="33.75" x14ac:dyDescent="0.2">
      <c r="A6144" s="133">
        <v>2022</v>
      </c>
      <c r="B6144" s="133">
        <v>3</v>
      </c>
      <c r="C6144" s="133">
        <v>16</v>
      </c>
      <c r="D6144" s="141">
        <f t="shared" si="318"/>
        <v>44636</v>
      </c>
      <c r="E6144" s="275">
        <f t="shared" si="319"/>
        <v>44636</v>
      </c>
      <c r="F6144" s="481"/>
      <c r="G6144" s="174" t="s">
        <v>74</v>
      </c>
      <c r="H6144" s="148" t="str" cm="1">
        <f t="array" ref="H6144">IFERROR(INDEX(INVESTOR_LIST[INVESTOR NAME],MATCH(I6144,INVESTOR_LIST[INVESTOR CODE],0),)," ")</f>
        <v>AHMED BIN MONSUR</v>
      </c>
      <c r="I6144" s="148" t="s">
        <v>992</v>
      </c>
      <c r="J6144" s="133" t="s">
        <v>13</v>
      </c>
      <c r="K6144" s="218"/>
      <c r="L6144" s="218">
        <v>838220</v>
      </c>
    </row>
    <row r="6145" spans="1:13" ht="33.75" x14ac:dyDescent="0.2">
      <c r="A6145" s="163">
        <v>2022</v>
      </c>
      <c r="B6145" s="163">
        <v>3</v>
      </c>
      <c r="C6145" s="163">
        <v>16</v>
      </c>
      <c r="D6145" s="141">
        <f t="shared" si="318"/>
        <v>44636</v>
      </c>
      <c r="E6145" s="275">
        <f t="shared" si="319"/>
        <v>44636</v>
      </c>
      <c r="F6145" s="480"/>
      <c r="G6145" s="221" t="s">
        <v>74</v>
      </c>
      <c r="H6145" s="145" t="str" cm="1">
        <f t="array" ref="H6145">IFERROR(INDEX(INVESTOR_LIST[INVESTOR NAME],MATCH(I6145,INVESTOR_LIST[INVESTOR CODE],0),)," ")</f>
        <v>AHMED BIN MONSUR</v>
      </c>
      <c r="I6145" s="145" t="s">
        <v>992</v>
      </c>
      <c r="J6145" s="163" t="s">
        <v>53</v>
      </c>
      <c r="K6145" s="219"/>
      <c r="L6145" s="219">
        <v>161780</v>
      </c>
    </row>
    <row r="6146" spans="1:13" x14ac:dyDescent="0.2">
      <c r="A6146" s="133">
        <v>2022</v>
      </c>
      <c r="B6146" s="133">
        <v>3</v>
      </c>
      <c r="C6146" s="168">
        <v>16</v>
      </c>
      <c r="D6146" s="141">
        <f t="shared" si="318"/>
        <v>44636</v>
      </c>
      <c r="E6146" s="275">
        <f t="shared" si="319"/>
        <v>44636</v>
      </c>
      <c r="F6146" s="479" t="s">
        <v>77</v>
      </c>
      <c r="G6146" s="174" t="s">
        <v>74</v>
      </c>
      <c r="H6146" s="148" t="str" cm="1">
        <f t="array" ref="H6146">IFERROR(INDEX(INVESTOR_LIST[INVESTOR NAME],MATCH(I6146,INVESTOR_LIST[INVESTOR CODE],0),)," ")</f>
        <v xml:space="preserve"> </v>
      </c>
      <c r="I6146" s="148" t="s">
        <v>348</v>
      </c>
      <c r="J6146" s="133" t="s">
        <v>61</v>
      </c>
      <c r="K6146" s="172">
        <v>60</v>
      </c>
      <c r="M6146" s="160"/>
    </row>
    <row r="6147" spans="1:13" x14ac:dyDescent="0.2">
      <c r="A6147" s="163">
        <v>2022</v>
      </c>
      <c r="B6147" s="163">
        <v>3</v>
      </c>
      <c r="C6147" s="163">
        <v>16</v>
      </c>
      <c r="D6147" s="141">
        <f t="shared" si="318"/>
        <v>44636</v>
      </c>
      <c r="E6147" s="275">
        <f t="shared" si="319"/>
        <v>44636</v>
      </c>
      <c r="F6147" s="480"/>
      <c r="G6147" s="221" t="s">
        <v>74</v>
      </c>
      <c r="H6147" s="145" t="str" cm="1">
        <f t="array" ref="H6147">IFERROR(INDEX(INVESTOR_LIST[INVESTOR NAME],MATCH(I6147,INVESTOR_LIST[INVESTOR CODE],0),)," ")</f>
        <v xml:space="preserve"> </v>
      </c>
      <c r="I6147" s="145" t="s">
        <v>348</v>
      </c>
      <c r="J6147" s="163" t="s">
        <v>52</v>
      </c>
      <c r="K6147" s="219"/>
      <c r="L6147" s="219">
        <v>60</v>
      </c>
    </row>
    <row r="6148" spans="1:13" x14ac:dyDescent="0.2">
      <c r="A6148" s="133">
        <v>2022</v>
      </c>
      <c r="B6148" s="133">
        <v>3</v>
      </c>
      <c r="C6148" s="168">
        <v>16</v>
      </c>
      <c r="D6148" s="141">
        <f t="shared" si="318"/>
        <v>44636</v>
      </c>
      <c r="E6148" s="275">
        <f t="shared" si="319"/>
        <v>44636</v>
      </c>
      <c r="F6148" s="479" t="s">
        <v>77</v>
      </c>
      <c r="G6148" s="174" t="s">
        <v>74</v>
      </c>
      <c r="H6148" s="148" t="str" cm="1">
        <f t="array" ref="H6148">IFERROR(INDEX(INVESTOR_LIST[INVESTOR NAME],MATCH(I6148,INVESTOR_LIST[INVESTOR CODE],0),)," ")</f>
        <v xml:space="preserve"> </v>
      </c>
      <c r="I6148" s="148" t="s">
        <v>348</v>
      </c>
      <c r="J6148" s="133" t="s">
        <v>61</v>
      </c>
      <c r="K6148" s="172">
        <v>60</v>
      </c>
    </row>
    <row r="6149" spans="1:13" x14ac:dyDescent="0.2">
      <c r="A6149" s="163">
        <v>2022</v>
      </c>
      <c r="B6149" s="163">
        <v>3</v>
      </c>
      <c r="C6149" s="163">
        <v>16</v>
      </c>
      <c r="D6149" s="141">
        <f t="shared" si="318"/>
        <v>44636</v>
      </c>
      <c r="E6149" s="275">
        <f t="shared" si="319"/>
        <v>44636</v>
      </c>
      <c r="F6149" s="480"/>
      <c r="G6149" s="221" t="s">
        <v>74</v>
      </c>
      <c r="H6149" s="145" t="str" cm="1">
        <f t="array" ref="H6149">IFERROR(INDEX(INVESTOR_LIST[INVESTOR NAME],MATCH(I6149,INVESTOR_LIST[INVESTOR CODE],0),)," ")</f>
        <v xml:space="preserve"> </v>
      </c>
      <c r="I6149" s="145" t="s">
        <v>348</v>
      </c>
      <c r="J6149" s="163" t="s">
        <v>52</v>
      </c>
      <c r="K6149" s="219"/>
      <c r="L6149" s="219">
        <v>60</v>
      </c>
    </row>
    <row r="6150" spans="1:13" ht="33.75" x14ac:dyDescent="0.2">
      <c r="A6150" s="168">
        <v>2022</v>
      </c>
      <c r="B6150" s="168">
        <v>3</v>
      </c>
      <c r="C6150" s="133">
        <v>16</v>
      </c>
      <c r="D6150" s="141">
        <f t="shared" ref="D6150:D6152" si="320">DATE(A6150,B6150,C6150)</f>
        <v>44636</v>
      </c>
      <c r="E6150" s="275">
        <f t="shared" ref="E6150:E6152" si="321">DATE(A6150,B6150,C6150)</f>
        <v>44636</v>
      </c>
      <c r="F6150" s="479" t="s">
        <v>964</v>
      </c>
      <c r="G6150" s="220" t="s">
        <v>74</v>
      </c>
      <c r="H6150" s="142" t="str" cm="1">
        <f t="array" ref="H6150">IFERROR(INDEX(INVESTOR_LIST[INVESTOR NAME],MATCH(I6150,INVESTOR_LIST[INVESTOR CODE],0),)," ")</f>
        <v>MD KAMRUL ISLAM</v>
      </c>
      <c r="I6150" s="142" t="s">
        <v>516</v>
      </c>
      <c r="J6150" s="168" t="s">
        <v>52</v>
      </c>
      <c r="K6150" s="226">
        <v>300000</v>
      </c>
      <c r="L6150" s="226"/>
    </row>
    <row r="6151" spans="1:13" ht="33.75" x14ac:dyDescent="0.2">
      <c r="A6151" s="133">
        <v>2022</v>
      </c>
      <c r="B6151" s="133">
        <v>3</v>
      </c>
      <c r="C6151" s="133">
        <v>16</v>
      </c>
      <c r="D6151" s="141">
        <f t="shared" si="320"/>
        <v>44636</v>
      </c>
      <c r="E6151" s="275">
        <f t="shared" si="321"/>
        <v>44636</v>
      </c>
      <c r="F6151" s="481"/>
      <c r="G6151" s="174" t="s">
        <v>74</v>
      </c>
      <c r="H6151" s="148" t="str" cm="1">
        <f t="array" ref="H6151">IFERROR(INDEX(INVESTOR_LIST[INVESTOR NAME],MATCH(I6151,INVESTOR_LIST[INVESTOR CODE],0),)," ")</f>
        <v>MD KAMRUL ISLAM</v>
      </c>
      <c r="I6151" s="148" t="s">
        <v>516</v>
      </c>
      <c r="J6151" s="133" t="s">
        <v>13</v>
      </c>
      <c r="K6151" s="218"/>
      <c r="L6151" s="218">
        <v>251470</v>
      </c>
    </row>
    <row r="6152" spans="1:13" ht="33.75" x14ac:dyDescent="0.2">
      <c r="A6152" s="163">
        <v>2022</v>
      </c>
      <c r="B6152" s="163">
        <v>3</v>
      </c>
      <c r="C6152" s="163">
        <v>16</v>
      </c>
      <c r="D6152" s="141">
        <f t="shared" si="320"/>
        <v>44636</v>
      </c>
      <c r="E6152" s="275">
        <f t="shared" si="321"/>
        <v>44636</v>
      </c>
      <c r="F6152" s="480"/>
      <c r="G6152" s="221" t="s">
        <v>74</v>
      </c>
      <c r="H6152" s="145" t="str" cm="1">
        <f t="array" ref="H6152">IFERROR(INDEX(INVESTOR_LIST[INVESTOR NAME],MATCH(I6152,INVESTOR_LIST[INVESTOR CODE],0),)," ")</f>
        <v>MD KAMRUL ISLAM</v>
      </c>
      <c r="I6152" s="145" t="s">
        <v>516</v>
      </c>
      <c r="J6152" s="163" t="s">
        <v>53</v>
      </c>
      <c r="K6152" s="219"/>
      <c r="L6152" s="219">
        <v>48530</v>
      </c>
    </row>
    <row r="6153" spans="1:13" ht="22.5" x14ac:dyDescent="0.2">
      <c r="A6153" s="168">
        <v>2022</v>
      </c>
      <c r="B6153" s="168">
        <v>3</v>
      </c>
      <c r="C6153" s="133">
        <v>16</v>
      </c>
      <c r="D6153" s="141">
        <f t="shared" ref="D6153:D6171" si="322">DATE(A6153,B6153,C6153)</f>
        <v>44636</v>
      </c>
      <c r="E6153" s="275">
        <f t="shared" ref="E6153:E6171" si="323">DATE(A6153,B6153,C6153)</f>
        <v>44636</v>
      </c>
      <c r="F6153" s="479" t="s">
        <v>964</v>
      </c>
      <c r="G6153" s="220" t="s">
        <v>74</v>
      </c>
      <c r="H6153" s="142" t="str" cm="1">
        <f t="array" ref="H6153">IFERROR(INDEX(INVESTOR_LIST[INVESTOR NAME],MATCH(I6153,INVESTOR_LIST[INVESTOR CODE],0),)," ")</f>
        <v>TOFIQ AHAMED</v>
      </c>
      <c r="I6153" s="142" t="s">
        <v>1344</v>
      </c>
      <c r="J6153" s="168" t="s">
        <v>52</v>
      </c>
      <c r="K6153" s="226">
        <v>5010.6000000000004</v>
      </c>
      <c r="L6153" s="226"/>
    </row>
    <row r="6154" spans="1:13" ht="22.5" x14ac:dyDescent="0.2">
      <c r="A6154" s="133">
        <v>2022</v>
      </c>
      <c r="B6154" s="133">
        <v>3</v>
      </c>
      <c r="C6154" s="133">
        <v>16</v>
      </c>
      <c r="D6154" s="141">
        <f t="shared" si="322"/>
        <v>44636</v>
      </c>
      <c r="E6154" s="275">
        <f t="shared" si="323"/>
        <v>44636</v>
      </c>
      <c r="F6154" s="481"/>
      <c r="G6154" s="174" t="s">
        <v>74</v>
      </c>
      <c r="H6154" s="148" t="str" cm="1">
        <f t="array" ref="H6154">IFERROR(INDEX(INVESTOR_LIST[INVESTOR NAME],MATCH(I6154,INVESTOR_LIST[INVESTOR CODE],0),)," ")</f>
        <v>TOFIQ AHAMED</v>
      </c>
      <c r="I6154" s="148" t="s">
        <v>1344</v>
      </c>
      <c r="J6154" s="133" t="s">
        <v>13</v>
      </c>
      <c r="K6154" s="218"/>
      <c r="L6154" s="218">
        <v>4200</v>
      </c>
    </row>
    <row r="6155" spans="1:13" ht="22.5" x14ac:dyDescent="0.2">
      <c r="A6155" s="163">
        <v>2022</v>
      </c>
      <c r="B6155" s="163">
        <v>3</v>
      </c>
      <c r="C6155" s="163">
        <v>16</v>
      </c>
      <c r="D6155" s="141">
        <f t="shared" si="322"/>
        <v>44636</v>
      </c>
      <c r="E6155" s="275">
        <f t="shared" si="323"/>
        <v>44636</v>
      </c>
      <c r="F6155" s="480"/>
      <c r="G6155" s="221" t="s">
        <v>74</v>
      </c>
      <c r="H6155" s="145" t="str" cm="1">
        <f t="array" ref="H6155">IFERROR(INDEX(INVESTOR_LIST[INVESTOR NAME],MATCH(I6155,INVESTOR_LIST[INVESTOR CODE],0),)," ")</f>
        <v>TOFIQ AHAMED</v>
      </c>
      <c r="I6155" s="145" t="s">
        <v>1344</v>
      </c>
      <c r="J6155" s="163" t="s">
        <v>53</v>
      </c>
      <c r="K6155" s="219"/>
      <c r="L6155" s="219">
        <v>810.6</v>
      </c>
    </row>
    <row r="6156" spans="1:13" ht="22.5" x14ac:dyDescent="0.2">
      <c r="A6156" s="168">
        <v>2022</v>
      </c>
      <c r="B6156" s="168">
        <v>3</v>
      </c>
      <c r="C6156" s="133">
        <v>16</v>
      </c>
      <c r="D6156" s="141">
        <f t="shared" si="322"/>
        <v>44636</v>
      </c>
      <c r="E6156" s="275">
        <f t="shared" si="323"/>
        <v>44636</v>
      </c>
      <c r="F6156" s="479" t="s">
        <v>964</v>
      </c>
      <c r="G6156" s="220" t="s">
        <v>74</v>
      </c>
      <c r="H6156" s="142" t="str" cm="1">
        <f t="array" ref="H6156">IFERROR(INDEX(INVESTOR_LIST[INVESTOR NAME],MATCH(I6156,INVESTOR_LIST[INVESTOR CODE],0),)," ")</f>
        <v>ADNAN RASHID</v>
      </c>
      <c r="I6156" s="142" t="s">
        <v>466</v>
      </c>
      <c r="J6156" s="168" t="s">
        <v>52</v>
      </c>
      <c r="K6156" s="226">
        <v>200000</v>
      </c>
      <c r="L6156" s="226"/>
    </row>
    <row r="6157" spans="1:13" ht="22.5" x14ac:dyDescent="0.2">
      <c r="A6157" s="133">
        <v>2022</v>
      </c>
      <c r="B6157" s="133">
        <v>3</v>
      </c>
      <c r="C6157" s="133">
        <v>16</v>
      </c>
      <c r="D6157" s="141">
        <f t="shared" si="322"/>
        <v>44636</v>
      </c>
      <c r="E6157" s="275">
        <f t="shared" si="323"/>
        <v>44636</v>
      </c>
      <c r="F6157" s="481"/>
      <c r="G6157" s="174" t="s">
        <v>74</v>
      </c>
      <c r="H6157" s="148" t="str" cm="1">
        <f t="array" ref="H6157">IFERROR(INDEX(INVESTOR_LIST[INVESTOR NAME],MATCH(I6157,INVESTOR_LIST[INVESTOR CODE],0),)," ")</f>
        <v>ADNAN RASHID</v>
      </c>
      <c r="I6157" s="148" t="s">
        <v>466</v>
      </c>
      <c r="J6157" s="133" t="s">
        <v>13</v>
      </c>
      <c r="K6157" s="218"/>
      <c r="L6157" s="218">
        <v>167640</v>
      </c>
    </row>
    <row r="6158" spans="1:13" ht="22.5" x14ac:dyDescent="0.2">
      <c r="A6158" s="163">
        <v>2022</v>
      </c>
      <c r="B6158" s="163">
        <v>3</v>
      </c>
      <c r="C6158" s="163">
        <v>16</v>
      </c>
      <c r="D6158" s="141">
        <f t="shared" si="322"/>
        <v>44636</v>
      </c>
      <c r="E6158" s="275">
        <f t="shared" si="323"/>
        <v>44636</v>
      </c>
      <c r="F6158" s="480"/>
      <c r="G6158" s="221" t="s">
        <v>74</v>
      </c>
      <c r="H6158" s="145" t="str" cm="1">
        <f t="array" ref="H6158">IFERROR(INDEX(INVESTOR_LIST[INVESTOR NAME],MATCH(I6158,INVESTOR_LIST[INVESTOR CODE],0),)," ")</f>
        <v>ADNAN RASHID</v>
      </c>
      <c r="I6158" s="145" t="s">
        <v>466</v>
      </c>
      <c r="J6158" s="163" t="s">
        <v>53</v>
      </c>
      <c r="K6158" s="219"/>
      <c r="L6158" s="219">
        <v>32360</v>
      </c>
    </row>
    <row r="6159" spans="1:13" x14ac:dyDescent="0.2">
      <c r="A6159" s="133">
        <v>2022</v>
      </c>
      <c r="B6159" s="133">
        <v>3</v>
      </c>
      <c r="C6159" s="168">
        <v>16</v>
      </c>
      <c r="D6159" s="141">
        <f t="shared" si="322"/>
        <v>44636</v>
      </c>
      <c r="E6159" s="275">
        <f t="shared" si="323"/>
        <v>44636</v>
      </c>
      <c r="F6159" s="479" t="s">
        <v>77</v>
      </c>
      <c r="G6159" s="174" t="s">
        <v>74</v>
      </c>
      <c r="H6159" s="148" t="str" cm="1">
        <f t="array" ref="H6159">IFERROR(INDEX(INVESTOR_LIST[INVESTOR NAME],MATCH(I6159,INVESTOR_LIST[INVESTOR CODE],0),)," ")</f>
        <v xml:space="preserve"> </v>
      </c>
      <c r="I6159" s="148" t="s">
        <v>348</v>
      </c>
      <c r="J6159" s="133" t="s">
        <v>61</v>
      </c>
      <c r="K6159" s="172">
        <v>10</v>
      </c>
    </row>
    <row r="6160" spans="1:13" x14ac:dyDescent="0.2">
      <c r="A6160" s="163">
        <v>2022</v>
      </c>
      <c r="B6160" s="163">
        <v>3</v>
      </c>
      <c r="C6160" s="163">
        <v>16</v>
      </c>
      <c r="D6160" s="141">
        <f t="shared" si="322"/>
        <v>44636</v>
      </c>
      <c r="E6160" s="275">
        <f t="shared" si="323"/>
        <v>44636</v>
      </c>
      <c r="F6160" s="480"/>
      <c r="G6160" s="221" t="s">
        <v>74</v>
      </c>
      <c r="H6160" s="145" t="str" cm="1">
        <f t="array" ref="H6160">IFERROR(INDEX(INVESTOR_LIST[INVESTOR NAME],MATCH(I6160,INVESTOR_LIST[INVESTOR CODE],0),)," ")</f>
        <v xml:space="preserve"> </v>
      </c>
      <c r="I6160" s="145" t="s">
        <v>348</v>
      </c>
      <c r="J6160" s="163" t="s">
        <v>52</v>
      </c>
      <c r="K6160" s="219"/>
      <c r="L6160" s="219">
        <v>10</v>
      </c>
    </row>
    <row r="6161" spans="1:13" x14ac:dyDescent="0.2">
      <c r="A6161" s="238">
        <v>2022</v>
      </c>
      <c r="B6161" s="238">
        <v>3</v>
      </c>
      <c r="C6161" s="238">
        <v>16</v>
      </c>
      <c r="D6161" s="270">
        <f t="shared" si="322"/>
        <v>44636</v>
      </c>
      <c r="E6161" s="279">
        <f t="shared" si="323"/>
        <v>44636</v>
      </c>
      <c r="F6161" s="477" t="s">
        <v>347</v>
      </c>
      <c r="G6161" s="239" t="s">
        <v>94</v>
      </c>
      <c r="H6161" s="239" t="str" cm="1">
        <f t="array" ref="H6161">IFERROR(INDEX(INVESTOR_LIST[INVESTOR NAME],MATCH(I6161,INVESTOR_LIST[INVESTOR CODE],0),)," ")</f>
        <v xml:space="preserve"> </v>
      </c>
      <c r="I6161" s="262" t="s">
        <v>348</v>
      </c>
      <c r="J6161" s="240" t="s">
        <v>108</v>
      </c>
      <c r="K6161" s="241">
        <v>3046814.1200000346</v>
      </c>
      <c r="L6161" s="241"/>
    </row>
    <row r="6162" spans="1:13" x14ac:dyDescent="0.2">
      <c r="A6162" s="242">
        <v>2022</v>
      </c>
      <c r="B6162" s="242">
        <v>3</v>
      </c>
      <c r="C6162" s="242">
        <v>16</v>
      </c>
      <c r="D6162" s="270">
        <f t="shared" si="322"/>
        <v>44636</v>
      </c>
      <c r="E6162" s="279">
        <f t="shared" si="323"/>
        <v>44636</v>
      </c>
      <c r="F6162" s="478"/>
      <c r="G6162" s="243" t="s">
        <v>94</v>
      </c>
      <c r="H6162" s="243" t="str" cm="1">
        <f t="array" ref="H6162">IFERROR(INDEX(INVESTOR_LIST[INVESTOR NAME],MATCH(I6162,INVESTOR_LIST[INVESTOR CODE],0),)," ")</f>
        <v xml:space="preserve"> </v>
      </c>
      <c r="I6162" s="263" t="s">
        <v>348</v>
      </c>
      <c r="J6162" s="244" t="s">
        <v>82</v>
      </c>
      <c r="K6162" s="245"/>
      <c r="L6162" s="245">
        <v>3046814.1200000346</v>
      </c>
    </row>
    <row r="6163" spans="1:13" ht="22.5" x14ac:dyDescent="0.2">
      <c r="A6163" s="246">
        <v>2022</v>
      </c>
      <c r="B6163" s="246">
        <v>3</v>
      </c>
      <c r="C6163" s="246">
        <v>16</v>
      </c>
      <c r="D6163" s="270">
        <f t="shared" si="322"/>
        <v>44636</v>
      </c>
      <c r="E6163" s="279">
        <f t="shared" si="323"/>
        <v>44636</v>
      </c>
      <c r="F6163" s="482" t="s">
        <v>148</v>
      </c>
      <c r="G6163" s="247" t="s">
        <v>94</v>
      </c>
      <c r="H6163" s="247" t="str" cm="1">
        <f t="array" ref="H6163">IFERROR(INDEX(INVESTOR_LIST[INVESTOR NAME],MATCH(I6163,INVESTOR_LIST[INVESTOR CODE],0),)," ")</f>
        <v xml:space="preserve"> </v>
      </c>
      <c r="I6163" s="248" t="s">
        <v>348</v>
      </c>
      <c r="J6163" s="249" t="s">
        <v>95</v>
      </c>
      <c r="K6163" s="250">
        <v>2747.2527472527472</v>
      </c>
      <c r="L6163" s="241"/>
      <c r="M6163" s="160"/>
    </row>
    <row r="6164" spans="1:13" x14ac:dyDescent="0.2">
      <c r="A6164" s="242">
        <v>2022</v>
      </c>
      <c r="B6164" s="242">
        <v>3</v>
      </c>
      <c r="C6164" s="242">
        <v>16</v>
      </c>
      <c r="D6164" s="270">
        <f t="shared" si="322"/>
        <v>44636</v>
      </c>
      <c r="E6164" s="279">
        <f t="shared" si="323"/>
        <v>44636</v>
      </c>
      <c r="F6164" s="478"/>
      <c r="G6164" s="243" t="s">
        <v>94</v>
      </c>
      <c r="H6164" s="243" t="str" cm="1">
        <f t="array" ref="H6164">IFERROR(INDEX(INVESTOR_LIST[INVESTOR NAME],MATCH(I6164,INVESTOR_LIST[INVESTOR CODE],0),)," ")</f>
        <v xml:space="preserve"> </v>
      </c>
      <c r="I6164" s="263" t="s">
        <v>348</v>
      </c>
      <c r="J6164" s="244" t="s">
        <v>63</v>
      </c>
      <c r="K6164" s="245"/>
      <c r="L6164" s="245">
        <v>2747.2527472527472</v>
      </c>
    </row>
    <row r="6165" spans="1:13" x14ac:dyDescent="0.2">
      <c r="A6165" s="246">
        <v>2022</v>
      </c>
      <c r="B6165" s="246">
        <v>3</v>
      </c>
      <c r="C6165" s="246">
        <v>16</v>
      </c>
      <c r="D6165" s="270">
        <f t="shared" si="322"/>
        <v>44636</v>
      </c>
      <c r="E6165" s="279">
        <f t="shared" si="323"/>
        <v>44636</v>
      </c>
      <c r="F6165" s="482" t="s">
        <v>137</v>
      </c>
      <c r="G6165" s="247" t="s">
        <v>94</v>
      </c>
      <c r="H6165" s="247" t="str" cm="1">
        <f t="array" ref="H6165">IFERROR(INDEX(INVESTOR_LIST[INVESTOR NAME],MATCH(I6165,INVESTOR_LIST[INVESTOR CODE],0),)," ")</f>
        <v xml:space="preserve"> </v>
      </c>
      <c r="I6165" s="248" t="s">
        <v>348</v>
      </c>
      <c r="J6165" s="249" t="s">
        <v>97</v>
      </c>
      <c r="K6165" s="250">
        <v>82797.242561515814</v>
      </c>
      <c r="L6165" s="252"/>
    </row>
    <row r="6166" spans="1:13" x14ac:dyDescent="0.2">
      <c r="A6166" s="242">
        <v>2022</v>
      </c>
      <c r="B6166" s="242">
        <v>3</v>
      </c>
      <c r="C6166" s="242">
        <v>16</v>
      </c>
      <c r="D6166" s="270">
        <f t="shared" si="322"/>
        <v>44636</v>
      </c>
      <c r="E6166" s="279">
        <f t="shared" si="323"/>
        <v>44636</v>
      </c>
      <c r="F6166" s="478"/>
      <c r="G6166" s="243" t="s">
        <v>94</v>
      </c>
      <c r="H6166" s="243" t="str" cm="1">
        <f t="array" ref="H6166">IFERROR(INDEX(INVESTOR_LIST[INVESTOR NAME],MATCH(I6166,INVESTOR_LIST[INVESTOR CODE],0),)," ")</f>
        <v xml:space="preserve"> </v>
      </c>
      <c r="I6166" s="263" t="s">
        <v>348</v>
      </c>
      <c r="J6166" s="244" t="s">
        <v>47</v>
      </c>
      <c r="K6166" s="245"/>
      <c r="L6166" s="245">
        <v>82797.242561515814</v>
      </c>
      <c r="M6166" s="160"/>
    </row>
    <row r="6167" spans="1:13" x14ac:dyDescent="0.2">
      <c r="A6167" s="246">
        <v>2022</v>
      </c>
      <c r="B6167" s="246">
        <v>3</v>
      </c>
      <c r="C6167" s="246">
        <v>16</v>
      </c>
      <c r="D6167" s="270">
        <f t="shared" si="322"/>
        <v>44636</v>
      </c>
      <c r="E6167" s="279">
        <f t="shared" si="323"/>
        <v>44636</v>
      </c>
      <c r="F6167" s="482" t="s">
        <v>138</v>
      </c>
      <c r="G6167" s="247" t="s">
        <v>94</v>
      </c>
      <c r="H6167" s="247" t="str" cm="1">
        <f t="array" ref="H6167">IFERROR(INDEX(INVESTOR_LIST[INVESTOR NAME],MATCH(I6167,INVESTOR_LIST[INVESTOR CODE],0),)," ")</f>
        <v xml:space="preserve"> </v>
      </c>
      <c r="I6167" s="248" t="s">
        <v>348</v>
      </c>
      <c r="J6167" s="249" t="s">
        <v>100</v>
      </c>
      <c r="K6167" s="250">
        <v>3899.477512691175</v>
      </c>
      <c r="L6167" s="252"/>
    </row>
    <row r="6168" spans="1:13" x14ac:dyDescent="0.2">
      <c r="A6168" s="242">
        <v>2022</v>
      </c>
      <c r="B6168" s="242">
        <v>3</v>
      </c>
      <c r="C6168" s="242">
        <v>16</v>
      </c>
      <c r="D6168" s="270">
        <f t="shared" si="322"/>
        <v>44636</v>
      </c>
      <c r="E6168" s="279">
        <f t="shared" si="323"/>
        <v>44636</v>
      </c>
      <c r="F6168" s="478"/>
      <c r="G6168" s="243" t="s">
        <v>94</v>
      </c>
      <c r="H6168" s="243" t="str" cm="1">
        <f t="array" ref="H6168">IFERROR(INDEX(INVESTOR_LIST[INVESTOR NAME],MATCH(I6168,INVESTOR_LIST[INVESTOR CODE],0),)," ")</f>
        <v xml:space="preserve"> </v>
      </c>
      <c r="I6168" s="263" t="s">
        <v>348</v>
      </c>
      <c r="J6168" s="244" t="s">
        <v>48</v>
      </c>
      <c r="K6168" s="245"/>
      <c r="L6168" s="245">
        <v>3899.477512691175</v>
      </c>
    </row>
    <row r="6169" spans="1:13" ht="33.75" x14ac:dyDescent="0.2">
      <c r="A6169" s="168">
        <v>2022</v>
      </c>
      <c r="B6169" s="168">
        <v>3</v>
      </c>
      <c r="C6169" s="133">
        <v>20</v>
      </c>
      <c r="D6169" s="141">
        <f t="shared" si="322"/>
        <v>44640</v>
      </c>
      <c r="E6169" s="275">
        <f t="shared" si="323"/>
        <v>44640</v>
      </c>
      <c r="F6169" s="479" t="s">
        <v>964</v>
      </c>
      <c r="G6169" s="220" t="s">
        <v>74</v>
      </c>
      <c r="H6169" s="142" t="str" cm="1">
        <f t="array" ref="H6169">IFERROR(INDEX(INVESTOR_LIST[INVESTOR NAME],MATCH(I6169,INVESTOR_LIST[INVESTOR CODE],0),)," ")</f>
        <v>MD. IMRAN HOSSAIN</v>
      </c>
      <c r="I6169" s="142" t="s">
        <v>1047</v>
      </c>
      <c r="J6169" s="168" t="s">
        <v>52</v>
      </c>
      <c r="K6169" s="226">
        <v>200000</v>
      </c>
      <c r="L6169" s="226"/>
    </row>
    <row r="6170" spans="1:13" ht="33.75" x14ac:dyDescent="0.2">
      <c r="A6170" s="133">
        <v>2022</v>
      </c>
      <c r="B6170" s="133">
        <v>3</v>
      </c>
      <c r="C6170" s="133">
        <v>20</v>
      </c>
      <c r="D6170" s="141">
        <f t="shared" si="322"/>
        <v>44640</v>
      </c>
      <c r="E6170" s="275">
        <f t="shared" si="323"/>
        <v>44640</v>
      </c>
      <c r="F6170" s="481"/>
      <c r="G6170" s="174" t="s">
        <v>74</v>
      </c>
      <c r="H6170" s="148" t="str" cm="1">
        <f t="array" ref="H6170">IFERROR(INDEX(INVESTOR_LIST[INVESTOR NAME],MATCH(I6170,INVESTOR_LIST[INVESTOR CODE],0),)," ")</f>
        <v>MD. IMRAN HOSSAIN</v>
      </c>
      <c r="I6170" s="148" t="s">
        <v>1047</v>
      </c>
      <c r="J6170" s="133" t="s">
        <v>13</v>
      </c>
      <c r="K6170" s="218"/>
      <c r="L6170" s="218">
        <v>167640</v>
      </c>
    </row>
    <row r="6171" spans="1:13" ht="33.75" x14ac:dyDescent="0.2">
      <c r="A6171" s="163">
        <v>2022</v>
      </c>
      <c r="B6171" s="163">
        <v>3</v>
      </c>
      <c r="C6171" s="163">
        <v>20</v>
      </c>
      <c r="D6171" s="141">
        <f t="shared" si="322"/>
        <v>44640</v>
      </c>
      <c r="E6171" s="275">
        <f t="shared" si="323"/>
        <v>44640</v>
      </c>
      <c r="F6171" s="480"/>
      <c r="G6171" s="221" t="s">
        <v>74</v>
      </c>
      <c r="H6171" s="145" t="str" cm="1">
        <f t="array" ref="H6171">IFERROR(INDEX(INVESTOR_LIST[INVESTOR NAME],MATCH(I6171,INVESTOR_LIST[INVESTOR CODE],0),)," ")</f>
        <v>MD. IMRAN HOSSAIN</v>
      </c>
      <c r="I6171" s="145" t="s">
        <v>1047</v>
      </c>
      <c r="J6171" s="163" t="s">
        <v>53</v>
      </c>
      <c r="K6171" s="219"/>
      <c r="L6171" s="219">
        <v>32360</v>
      </c>
    </row>
    <row r="6172" spans="1:13" ht="33.75" x14ac:dyDescent="0.2">
      <c r="A6172" s="168">
        <v>2022</v>
      </c>
      <c r="B6172" s="168">
        <v>3</v>
      </c>
      <c r="C6172" s="133">
        <v>20</v>
      </c>
      <c r="D6172" s="141">
        <f>DATE(A6172,B6172,C6172)</f>
        <v>44640</v>
      </c>
      <c r="E6172" s="275">
        <f>DATE(A6172,B6172,C6172)</f>
        <v>44640</v>
      </c>
      <c r="F6172" s="479" t="s">
        <v>1315</v>
      </c>
      <c r="G6172" s="220" t="s">
        <v>74</v>
      </c>
      <c r="H6172" s="142" t="str" cm="1">
        <f t="array" ref="H6172">IFERROR(INDEX(INVESTOR_LIST[INVESTOR NAME],MATCH(I6172,INVESTOR_LIST[INVESTOR CODE],0),)," ")</f>
        <v>RABEYA JAHAN SOAD</v>
      </c>
      <c r="I6172" s="142" t="s">
        <v>447</v>
      </c>
      <c r="J6172" s="168" t="s">
        <v>13</v>
      </c>
      <c r="K6172" s="226">
        <v>37340</v>
      </c>
      <c r="L6172" s="226"/>
      <c r="M6172" s="160"/>
    </row>
    <row r="6173" spans="1:13" ht="33.75" x14ac:dyDescent="0.2">
      <c r="A6173" s="133">
        <v>2022</v>
      </c>
      <c r="B6173" s="133">
        <v>3</v>
      </c>
      <c r="C6173" s="133">
        <v>20</v>
      </c>
      <c r="D6173" s="141">
        <f>DATE(A6173,B6173,C6173)</f>
        <v>44640</v>
      </c>
      <c r="E6173" s="275">
        <f>DATE(A6173,B6173,C6173)</f>
        <v>44640</v>
      </c>
      <c r="F6173" s="481"/>
      <c r="G6173" s="174" t="s">
        <v>74</v>
      </c>
      <c r="H6173" s="148" t="str" cm="1">
        <f t="array" ref="H6173">IFERROR(INDEX(INVESTOR_LIST[INVESTOR NAME],MATCH(I6173,INVESTOR_LIST[INVESTOR CODE],0),)," ")</f>
        <v>RABEYA JAHAN SOAD</v>
      </c>
      <c r="I6173" s="148" t="s">
        <v>447</v>
      </c>
      <c r="J6173" s="133" t="s">
        <v>53</v>
      </c>
      <c r="K6173" s="218">
        <v>7660</v>
      </c>
      <c r="L6173" s="218"/>
    </row>
    <row r="6174" spans="1:13" ht="33.75" x14ac:dyDescent="0.2">
      <c r="A6174" s="163">
        <v>2022</v>
      </c>
      <c r="B6174" s="163">
        <v>3</v>
      </c>
      <c r="C6174" s="163">
        <v>20</v>
      </c>
      <c r="D6174" s="141">
        <f>DATE(A6174,B6174,C6174)</f>
        <v>44640</v>
      </c>
      <c r="E6174" s="275">
        <f>DATE(A6174,B6174,C6174)</f>
        <v>44640</v>
      </c>
      <c r="F6174" s="480"/>
      <c r="G6174" s="221" t="s">
        <v>74</v>
      </c>
      <c r="H6174" s="145" t="str" cm="1">
        <f t="array" ref="H6174">IFERROR(INDEX(INVESTOR_LIST[INVESTOR NAME],MATCH(I6174,INVESTOR_LIST[INVESTOR CODE],0),)," ")</f>
        <v>RABEYA JAHAN SOAD</v>
      </c>
      <c r="I6174" s="145" t="s">
        <v>447</v>
      </c>
      <c r="J6174" s="163" t="s">
        <v>52</v>
      </c>
      <c r="K6174" s="219"/>
      <c r="L6174" s="219">
        <v>45000</v>
      </c>
    </row>
    <row r="6175" spans="1:13" ht="45" x14ac:dyDescent="0.2">
      <c r="A6175" s="168">
        <v>2022</v>
      </c>
      <c r="B6175" s="168">
        <v>3</v>
      </c>
      <c r="C6175" s="133">
        <v>20</v>
      </c>
      <c r="D6175" s="141">
        <f t="shared" ref="D6175:D6183" si="324">DATE(A6175,B6175,C6175)</f>
        <v>44640</v>
      </c>
      <c r="E6175" s="275">
        <f t="shared" ref="E6175:E6183" si="325">DATE(A6175,B6175,C6175)</f>
        <v>44640</v>
      </c>
      <c r="F6175" s="479" t="s">
        <v>964</v>
      </c>
      <c r="G6175" s="220" t="s">
        <v>74</v>
      </c>
      <c r="H6175" s="142" t="str" cm="1">
        <f t="array" ref="H6175">IFERROR(INDEX(INVESTOR_LIST[INVESTOR NAME],MATCH(I6175,INVESTOR_LIST[INVESTOR CODE],0),)," ")</f>
        <v>SAJAL KANTI HOWLADER</v>
      </c>
      <c r="I6175" s="142" t="s">
        <v>1342</v>
      </c>
      <c r="J6175" s="168" t="s">
        <v>52</v>
      </c>
      <c r="K6175" s="226">
        <v>1193000</v>
      </c>
      <c r="L6175" s="226"/>
      <c r="M6175" s="160"/>
    </row>
    <row r="6176" spans="1:13" ht="45" x14ac:dyDescent="0.2">
      <c r="A6176" s="133">
        <v>2022</v>
      </c>
      <c r="B6176" s="133">
        <v>3</v>
      </c>
      <c r="C6176" s="133">
        <v>20</v>
      </c>
      <c r="D6176" s="141">
        <f t="shared" si="324"/>
        <v>44640</v>
      </c>
      <c r="E6176" s="275">
        <f t="shared" si="325"/>
        <v>44640</v>
      </c>
      <c r="F6176" s="481"/>
      <c r="G6176" s="174" t="s">
        <v>74</v>
      </c>
      <c r="H6176" s="148" t="str" cm="1">
        <f t="array" ref="H6176">IFERROR(INDEX(INVESTOR_LIST[INVESTOR NAME],MATCH(I6176,INVESTOR_LIST[INVESTOR CODE],0),)," ")</f>
        <v>SAJAL KANTI HOWLADER</v>
      </c>
      <c r="I6176" s="148" t="s">
        <v>1342</v>
      </c>
      <c r="J6176" s="133" t="s">
        <v>13</v>
      </c>
      <c r="K6176" s="218"/>
      <c r="L6176" s="218">
        <v>1000000</v>
      </c>
    </row>
    <row r="6177" spans="1:13" ht="45" x14ac:dyDescent="0.2">
      <c r="A6177" s="163">
        <v>2022</v>
      </c>
      <c r="B6177" s="163">
        <v>3</v>
      </c>
      <c r="C6177" s="163">
        <v>20</v>
      </c>
      <c r="D6177" s="141">
        <f t="shared" si="324"/>
        <v>44640</v>
      </c>
      <c r="E6177" s="275">
        <f t="shared" si="325"/>
        <v>44640</v>
      </c>
      <c r="F6177" s="480"/>
      <c r="G6177" s="221" t="s">
        <v>74</v>
      </c>
      <c r="H6177" s="145" t="str" cm="1">
        <f t="array" ref="H6177">IFERROR(INDEX(INVESTOR_LIST[INVESTOR NAME],MATCH(I6177,INVESTOR_LIST[INVESTOR CODE],0),)," ")</f>
        <v>SAJAL KANTI HOWLADER</v>
      </c>
      <c r="I6177" s="145" t="s">
        <v>1342</v>
      </c>
      <c r="J6177" s="163" t="s">
        <v>53</v>
      </c>
      <c r="K6177" s="219"/>
      <c r="L6177" s="219">
        <v>193000</v>
      </c>
    </row>
    <row r="6178" spans="1:13" ht="33.75" x14ac:dyDescent="0.2">
      <c r="A6178" s="168">
        <v>2022</v>
      </c>
      <c r="B6178" s="168">
        <v>3</v>
      </c>
      <c r="C6178" s="133">
        <v>20</v>
      </c>
      <c r="D6178" s="141">
        <f t="shared" si="324"/>
        <v>44640</v>
      </c>
      <c r="E6178" s="275">
        <f t="shared" si="325"/>
        <v>44640</v>
      </c>
      <c r="F6178" s="479" t="s">
        <v>964</v>
      </c>
      <c r="G6178" s="220" t="s">
        <v>74</v>
      </c>
      <c r="H6178" s="142" t="str" cm="1">
        <f t="array" ref="H6178">IFERROR(INDEX(INVESTOR_LIST[INVESTOR NAME],MATCH(I6178,INVESTOR_LIST[INVESTOR CODE],0),)," ")</f>
        <v>MIR ARIFUL ISLAM</v>
      </c>
      <c r="I6178" s="142" t="s">
        <v>1353</v>
      </c>
      <c r="J6178" s="168" t="s">
        <v>52</v>
      </c>
      <c r="K6178" s="226">
        <v>835100</v>
      </c>
      <c r="L6178" s="226"/>
    </row>
    <row r="6179" spans="1:13" ht="33.75" x14ac:dyDescent="0.2">
      <c r="A6179" s="133">
        <v>2022</v>
      </c>
      <c r="B6179" s="133">
        <v>3</v>
      </c>
      <c r="C6179" s="133">
        <v>20</v>
      </c>
      <c r="D6179" s="141">
        <f t="shared" si="324"/>
        <v>44640</v>
      </c>
      <c r="E6179" s="275">
        <f t="shared" si="325"/>
        <v>44640</v>
      </c>
      <c r="F6179" s="481"/>
      <c r="G6179" s="174" t="s">
        <v>74</v>
      </c>
      <c r="H6179" s="148" t="str" cm="1">
        <f t="array" ref="H6179">IFERROR(INDEX(INVESTOR_LIST[INVESTOR NAME],MATCH(I6179,INVESTOR_LIST[INVESTOR CODE],0),)," ")</f>
        <v>MIR ARIFUL ISLAM</v>
      </c>
      <c r="I6179" s="148" t="s">
        <v>1353</v>
      </c>
      <c r="J6179" s="133" t="s">
        <v>13</v>
      </c>
      <c r="K6179" s="218"/>
      <c r="L6179" s="218">
        <v>700000</v>
      </c>
    </row>
    <row r="6180" spans="1:13" ht="33.75" x14ac:dyDescent="0.2">
      <c r="A6180" s="163">
        <v>2022</v>
      </c>
      <c r="B6180" s="163">
        <v>3</v>
      </c>
      <c r="C6180" s="163">
        <v>20</v>
      </c>
      <c r="D6180" s="141">
        <f t="shared" si="324"/>
        <v>44640</v>
      </c>
      <c r="E6180" s="275">
        <f t="shared" si="325"/>
        <v>44640</v>
      </c>
      <c r="F6180" s="480"/>
      <c r="G6180" s="221" t="s">
        <v>74</v>
      </c>
      <c r="H6180" s="145" t="str" cm="1">
        <f t="array" ref="H6180">IFERROR(INDEX(INVESTOR_LIST[INVESTOR NAME],MATCH(I6180,INVESTOR_LIST[INVESTOR CODE],0),)," ")</f>
        <v>MIR ARIFUL ISLAM</v>
      </c>
      <c r="I6180" s="145" t="s">
        <v>1353</v>
      </c>
      <c r="J6180" s="163" t="s">
        <v>53</v>
      </c>
      <c r="K6180" s="219"/>
      <c r="L6180" s="219">
        <v>135100</v>
      </c>
    </row>
    <row r="6181" spans="1:13" ht="78.75" x14ac:dyDescent="0.2">
      <c r="A6181" s="168">
        <v>2022</v>
      </c>
      <c r="B6181" s="168">
        <v>3</v>
      </c>
      <c r="C6181" s="133">
        <v>20</v>
      </c>
      <c r="D6181" s="141">
        <f t="shared" si="324"/>
        <v>44640</v>
      </c>
      <c r="E6181" s="275">
        <f t="shared" si="325"/>
        <v>44640</v>
      </c>
      <c r="F6181" s="479" t="s">
        <v>964</v>
      </c>
      <c r="G6181" s="220" t="s">
        <v>74</v>
      </c>
      <c r="H6181" s="142" t="str" cm="1">
        <f t="array" ref="H6181">IFERROR(INDEX(INVESTOR_LIST[INVESTOR NAME],MATCH(I6181,INVESTOR_LIST[INVESTOR CODE],0),)," ")</f>
        <v>KHANDAKAR MOHAMMAD NURUL HADIUZZAMAN</v>
      </c>
      <c r="I6181" s="142" t="s">
        <v>873</v>
      </c>
      <c r="J6181" s="168" t="s">
        <v>52</v>
      </c>
      <c r="K6181" s="226">
        <v>300000</v>
      </c>
      <c r="L6181" s="226"/>
    </row>
    <row r="6182" spans="1:13" ht="78.75" x14ac:dyDescent="0.2">
      <c r="A6182" s="133">
        <v>2022</v>
      </c>
      <c r="B6182" s="133">
        <v>3</v>
      </c>
      <c r="C6182" s="133">
        <v>20</v>
      </c>
      <c r="D6182" s="141">
        <f t="shared" si="324"/>
        <v>44640</v>
      </c>
      <c r="E6182" s="275">
        <f t="shared" si="325"/>
        <v>44640</v>
      </c>
      <c r="F6182" s="481"/>
      <c r="G6182" s="174" t="s">
        <v>74</v>
      </c>
      <c r="H6182" s="148" t="str" cm="1">
        <f t="array" ref="H6182">IFERROR(INDEX(INVESTOR_LIST[INVESTOR NAME],MATCH(I6182,INVESTOR_LIST[INVESTOR CODE],0),)," ")</f>
        <v>KHANDAKAR MOHAMMAD NURUL HADIUZZAMAN</v>
      </c>
      <c r="I6182" s="148" t="s">
        <v>873</v>
      </c>
      <c r="J6182" s="133" t="s">
        <v>13</v>
      </c>
      <c r="K6182" s="218"/>
      <c r="L6182" s="218">
        <v>251470</v>
      </c>
    </row>
    <row r="6183" spans="1:13" ht="78.75" x14ac:dyDescent="0.2">
      <c r="A6183" s="163">
        <v>2022</v>
      </c>
      <c r="B6183" s="163">
        <v>3</v>
      </c>
      <c r="C6183" s="163">
        <v>20</v>
      </c>
      <c r="D6183" s="141">
        <f t="shared" si="324"/>
        <v>44640</v>
      </c>
      <c r="E6183" s="275">
        <f t="shared" si="325"/>
        <v>44640</v>
      </c>
      <c r="F6183" s="480"/>
      <c r="G6183" s="221" t="s">
        <v>74</v>
      </c>
      <c r="H6183" s="145" t="str" cm="1">
        <f t="array" ref="H6183">IFERROR(INDEX(INVESTOR_LIST[INVESTOR NAME],MATCH(I6183,INVESTOR_LIST[INVESTOR CODE],0),)," ")</f>
        <v>KHANDAKAR MOHAMMAD NURUL HADIUZZAMAN</v>
      </c>
      <c r="I6183" s="145" t="s">
        <v>873</v>
      </c>
      <c r="J6183" s="163" t="s">
        <v>53</v>
      </c>
      <c r="K6183" s="219"/>
      <c r="L6183" s="219">
        <v>48530</v>
      </c>
    </row>
    <row r="6184" spans="1:13" x14ac:dyDescent="0.2">
      <c r="A6184" s="133">
        <v>2022</v>
      </c>
      <c r="B6184" s="133">
        <v>3</v>
      </c>
      <c r="C6184" s="133">
        <v>20</v>
      </c>
      <c r="D6184" s="141">
        <f t="shared" ref="D6184:D6189" si="326">DATE(A6184,B6184,C6184)</f>
        <v>44640</v>
      </c>
      <c r="E6184" s="275">
        <f t="shared" ref="E6184:E6189" si="327">DATE(A6184,B6184,C6184)</f>
        <v>44640</v>
      </c>
      <c r="F6184" s="479" t="s">
        <v>1345</v>
      </c>
      <c r="G6184" s="174" t="s">
        <v>74</v>
      </c>
      <c r="H6184" s="148" t="str" cm="1">
        <f t="array" ref="H6184">IFERROR(INDEX(INVESTOR_LIST[INVESTOR NAME],MATCH(I6184,INVESTOR_LIST[INVESTOR CODE],0),)," ")</f>
        <v xml:space="preserve"> </v>
      </c>
      <c r="I6184" s="148" t="s">
        <v>348</v>
      </c>
      <c r="J6184" s="133" t="s">
        <v>52</v>
      </c>
      <c r="K6184" s="172">
        <v>80000</v>
      </c>
    </row>
    <row r="6185" spans="1:13" x14ac:dyDescent="0.2">
      <c r="A6185" s="163">
        <v>2022</v>
      </c>
      <c r="B6185" s="163">
        <v>3</v>
      </c>
      <c r="C6185" s="163">
        <v>20</v>
      </c>
      <c r="D6185" s="141">
        <f t="shared" si="326"/>
        <v>44640</v>
      </c>
      <c r="E6185" s="275">
        <f t="shared" si="327"/>
        <v>44640</v>
      </c>
      <c r="F6185" s="480"/>
      <c r="G6185" s="221" t="s">
        <v>74</v>
      </c>
      <c r="H6185" s="145" t="str" cm="1">
        <f t="array" ref="H6185">IFERROR(INDEX(INVESTOR_LIST[INVESTOR NAME],MATCH(I6185,INVESTOR_LIST[INVESTOR CODE],0),)," ")</f>
        <v xml:space="preserve"> </v>
      </c>
      <c r="I6185" s="145" t="s">
        <v>348</v>
      </c>
      <c r="J6185" s="163" t="s">
        <v>168</v>
      </c>
      <c r="K6185" s="219"/>
      <c r="L6185" s="219">
        <v>80000</v>
      </c>
    </row>
    <row r="6186" spans="1:13" x14ac:dyDescent="0.2">
      <c r="A6186" s="133">
        <v>2022</v>
      </c>
      <c r="B6186" s="133">
        <v>3</v>
      </c>
      <c r="C6186" s="168">
        <v>20</v>
      </c>
      <c r="D6186" s="141">
        <f t="shared" si="326"/>
        <v>44640</v>
      </c>
      <c r="E6186" s="275">
        <f t="shared" si="327"/>
        <v>44640</v>
      </c>
      <c r="F6186" s="479" t="s">
        <v>77</v>
      </c>
      <c r="G6186" s="174" t="s">
        <v>74</v>
      </c>
      <c r="H6186" s="148" t="str" cm="1">
        <f t="array" ref="H6186">IFERROR(INDEX(INVESTOR_LIST[INVESTOR NAME],MATCH(I6186,INVESTOR_LIST[INVESTOR CODE],0),)," ")</f>
        <v xml:space="preserve"> </v>
      </c>
      <c r="I6186" s="148" t="s">
        <v>348</v>
      </c>
      <c r="J6186" s="133" t="s">
        <v>61</v>
      </c>
      <c r="K6186" s="172">
        <v>60</v>
      </c>
      <c r="M6186" s="160"/>
    </row>
    <row r="6187" spans="1:13" x14ac:dyDescent="0.2">
      <c r="A6187" s="163">
        <v>2022</v>
      </c>
      <c r="B6187" s="163">
        <v>3</v>
      </c>
      <c r="C6187" s="163">
        <v>20</v>
      </c>
      <c r="D6187" s="141">
        <f t="shared" si="326"/>
        <v>44640</v>
      </c>
      <c r="E6187" s="275">
        <f t="shared" si="327"/>
        <v>44640</v>
      </c>
      <c r="F6187" s="480"/>
      <c r="G6187" s="221" t="s">
        <v>74</v>
      </c>
      <c r="H6187" s="145" t="str" cm="1">
        <f t="array" ref="H6187">IFERROR(INDEX(INVESTOR_LIST[INVESTOR NAME],MATCH(I6187,INVESTOR_LIST[INVESTOR CODE],0),)," ")</f>
        <v xml:space="preserve"> </v>
      </c>
      <c r="I6187" s="145" t="s">
        <v>348</v>
      </c>
      <c r="J6187" s="163" t="s">
        <v>52</v>
      </c>
      <c r="K6187" s="219"/>
      <c r="L6187" s="219">
        <v>60</v>
      </c>
    </row>
    <row r="6188" spans="1:13" x14ac:dyDescent="0.2">
      <c r="A6188" s="133">
        <v>2022</v>
      </c>
      <c r="B6188" s="133">
        <v>3</v>
      </c>
      <c r="C6188" s="168">
        <v>20</v>
      </c>
      <c r="D6188" s="141">
        <f t="shared" si="326"/>
        <v>44640</v>
      </c>
      <c r="E6188" s="275">
        <f t="shared" si="327"/>
        <v>44640</v>
      </c>
      <c r="F6188" s="479" t="s">
        <v>77</v>
      </c>
      <c r="G6188" s="174" t="s">
        <v>74</v>
      </c>
      <c r="H6188" s="148" t="str" cm="1">
        <f t="array" ref="H6188">IFERROR(INDEX(INVESTOR_LIST[INVESTOR NAME],MATCH(I6188,INVESTOR_LIST[INVESTOR CODE],0),)," ")</f>
        <v xml:space="preserve"> </v>
      </c>
      <c r="I6188" s="148" t="s">
        <v>348</v>
      </c>
      <c r="J6188" s="133" t="s">
        <v>61</v>
      </c>
      <c r="K6188" s="172">
        <v>60</v>
      </c>
    </row>
    <row r="6189" spans="1:13" x14ac:dyDescent="0.2">
      <c r="A6189" s="163">
        <v>2022</v>
      </c>
      <c r="B6189" s="163">
        <v>3</v>
      </c>
      <c r="C6189" s="163">
        <v>20</v>
      </c>
      <c r="D6189" s="141">
        <f t="shared" si="326"/>
        <v>44640</v>
      </c>
      <c r="E6189" s="275">
        <f t="shared" si="327"/>
        <v>44640</v>
      </c>
      <c r="F6189" s="480"/>
      <c r="G6189" s="221" t="s">
        <v>74</v>
      </c>
      <c r="H6189" s="145" t="str" cm="1">
        <f t="array" ref="H6189">IFERROR(INDEX(INVESTOR_LIST[INVESTOR NAME],MATCH(I6189,INVESTOR_LIST[INVESTOR CODE],0),)," ")</f>
        <v xml:space="preserve"> </v>
      </c>
      <c r="I6189" s="145" t="s">
        <v>348</v>
      </c>
      <c r="J6189" s="163" t="s">
        <v>52</v>
      </c>
      <c r="K6189" s="219"/>
      <c r="L6189" s="219">
        <v>60</v>
      </c>
    </row>
    <row r="6190" spans="1:13" x14ac:dyDescent="0.2">
      <c r="A6190" s="133">
        <v>2022</v>
      </c>
      <c r="B6190" s="133">
        <v>3</v>
      </c>
      <c r="C6190" s="168">
        <v>20</v>
      </c>
      <c r="D6190" s="141">
        <f t="shared" ref="D6190:D6196" si="328">DATE(A6190,B6190,C6190)</f>
        <v>44640</v>
      </c>
      <c r="E6190" s="275">
        <f t="shared" ref="E6190:E6196" si="329">DATE(A6190,B6190,C6190)</f>
        <v>44640</v>
      </c>
      <c r="F6190" s="479" t="s">
        <v>77</v>
      </c>
      <c r="G6190" s="174" t="s">
        <v>74</v>
      </c>
      <c r="H6190" s="148" t="str" cm="1">
        <f t="array" ref="H6190">IFERROR(INDEX(INVESTOR_LIST[INVESTOR NAME],MATCH(I6190,INVESTOR_LIST[INVESTOR CODE],0),)," ")</f>
        <v xml:space="preserve"> </v>
      </c>
      <c r="I6190" s="148" t="s">
        <v>348</v>
      </c>
      <c r="J6190" s="133" t="s">
        <v>61</v>
      </c>
      <c r="K6190" s="172">
        <v>10</v>
      </c>
    </row>
    <row r="6191" spans="1:13" x14ac:dyDescent="0.2">
      <c r="A6191" s="163">
        <v>2022</v>
      </c>
      <c r="B6191" s="163">
        <v>3</v>
      </c>
      <c r="C6191" s="163">
        <v>20</v>
      </c>
      <c r="D6191" s="141">
        <f t="shared" si="328"/>
        <v>44640</v>
      </c>
      <c r="E6191" s="275">
        <f t="shared" si="329"/>
        <v>44640</v>
      </c>
      <c r="F6191" s="480"/>
      <c r="G6191" s="221" t="s">
        <v>74</v>
      </c>
      <c r="H6191" s="145" t="str" cm="1">
        <f t="array" ref="H6191">IFERROR(INDEX(INVESTOR_LIST[INVESTOR NAME],MATCH(I6191,INVESTOR_LIST[INVESTOR CODE],0),)," ")</f>
        <v xml:space="preserve"> </v>
      </c>
      <c r="I6191" s="145" t="s">
        <v>348</v>
      </c>
      <c r="J6191" s="163" t="s">
        <v>52</v>
      </c>
      <c r="K6191" s="219"/>
      <c r="L6191" s="219">
        <v>10</v>
      </c>
      <c r="M6191" s="160"/>
    </row>
    <row r="6192" spans="1:13" ht="45" x14ac:dyDescent="0.2">
      <c r="A6192" s="168">
        <v>2022</v>
      </c>
      <c r="B6192" s="168">
        <v>3</v>
      </c>
      <c r="C6192" s="133">
        <v>22</v>
      </c>
      <c r="D6192" s="141">
        <f>DATE(A6192,B6192,C6192)</f>
        <v>44642</v>
      </c>
      <c r="E6192" s="275">
        <f>DATE(A6192,B6192,C6192)</f>
        <v>44642</v>
      </c>
      <c r="F6192" s="479" t="s">
        <v>964</v>
      </c>
      <c r="G6192" s="220" t="s">
        <v>74</v>
      </c>
      <c r="H6192" s="142" t="str" cm="1">
        <f t="array" ref="H6192">IFERROR(INDEX(INVESTOR_LIST[INVESTOR NAME],MATCH(I6192,INVESTOR_LIST[INVESTOR CODE],0),)," ")</f>
        <v>QUAZI TOWFIQUE UDDIN</v>
      </c>
      <c r="I6192" s="142" t="s">
        <v>704</v>
      </c>
      <c r="J6192" s="168" t="s">
        <v>52</v>
      </c>
      <c r="K6192" s="226">
        <v>32000</v>
      </c>
      <c r="L6192" s="226"/>
    </row>
    <row r="6193" spans="1:12" ht="45" x14ac:dyDescent="0.2">
      <c r="A6193" s="133">
        <v>2022</v>
      </c>
      <c r="B6193" s="133">
        <v>3</v>
      </c>
      <c r="C6193" s="133">
        <v>22</v>
      </c>
      <c r="D6193" s="141">
        <f>DATE(A6193,B6193,C6193)</f>
        <v>44642</v>
      </c>
      <c r="E6193" s="275">
        <f>DATE(A6193,B6193,C6193)</f>
        <v>44642</v>
      </c>
      <c r="F6193" s="481"/>
      <c r="G6193" s="174" t="s">
        <v>74</v>
      </c>
      <c r="H6193" s="148" t="str" cm="1">
        <f t="array" ref="H6193">IFERROR(INDEX(INVESTOR_LIST[INVESTOR NAME],MATCH(I6193,INVESTOR_LIST[INVESTOR CODE],0),)," ")</f>
        <v>QUAZI TOWFIQUE UDDIN</v>
      </c>
      <c r="I6193" s="148" t="s">
        <v>704</v>
      </c>
      <c r="J6193" s="133" t="s">
        <v>13</v>
      </c>
      <c r="K6193" s="218"/>
      <c r="L6193" s="218">
        <v>26560</v>
      </c>
    </row>
    <row r="6194" spans="1:12" ht="45" x14ac:dyDescent="0.2">
      <c r="A6194" s="163">
        <v>2022</v>
      </c>
      <c r="B6194" s="163">
        <v>3</v>
      </c>
      <c r="C6194" s="163">
        <v>22</v>
      </c>
      <c r="D6194" s="141">
        <f>DATE(A6194,B6194,C6194)</f>
        <v>44642</v>
      </c>
      <c r="E6194" s="275">
        <f>DATE(A6194,B6194,C6194)</f>
        <v>44642</v>
      </c>
      <c r="F6194" s="480"/>
      <c r="G6194" s="221" t="s">
        <v>74</v>
      </c>
      <c r="H6194" s="145" t="str" cm="1">
        <f t="array" ref="H6194">IFERROR(INDEX(INVESTOR_LIST[INVESTOR NAME],MATCH(I6194,INVESTOR_LIST[INVESTOR CODE],0),)," ")</f>
        <v>QUAZI TOWFIQUE UDDIN</v>
      </c>
      <c r="I6194" s="145" t="s">
        <v>704</v>
      </c>
      <c r="J6194" s="163" t="s">
        <v>53</v>
      </c>
      <c r="K6194" s="219"/>
      <c r="L6194" s="219">
        <v>5440</v>
      </c>
    </row>
    <row r="6195" spans="1:12" x14ac:dyDescent="0.2">
      <c r="A6195" s="168">
        <v>2022</v>
      </c>
      <c r="B6195" s="168">
        <v>3</v>
      </c>
      <c r="C6195" s="168">
        <v>23</v>
      </c>
      <c r="D6195" s="141">
        <f t="shared" si="328"/>
        <v>44643</v>
      </c>
      <c r="E6195" s="275">
        <f t="shared" si="329"/>
        <v>44643</v>
      </c>
      <c r="F6195" s="479" t="s">
        <v>1346</v>
      </c>
      <c r="G6195" s="220" t="s">
        <v>74</v>
      </c>
      <c r="H6195" s="220" t="str" cm="1">
        <f t="array" ref="H6195">IFERROR(INDEX(INVESTOR_LIST[INVESTOR NAME],MATCH(I6195,INVESTOR_LIST[INVESTOR CODE],0),)," ")</f>
        <v xml:space="preserve"> </v>
      </c>
      <c r="I6195" s="142" t="s">
        <v>348</v>
      </c>
      <c r="J6195" s="143" t="s">
        <v>104</v>
      </c>
      <c r="K6195" s="226">
        <v>1422.02</v>
      </c>
      <c r="L6195" s="226"/>
    </row>
    <row r="6196" spans="1:12" x14ac:dyDescent="0.2">
      <c r="A6196" s="163">
        <v>2022</v>
      </c>
      <c r="B6196" s="163">
        <v>3</v>
      </c>
      <c r="C6196" s="163">
        <v>23</v>
      </c>
      <c r="D6196" s="141">
        <f t="shared" si="328"/>
        <v>44643</v>
      </c>
      <c r="E6196" s="275">
        <f t="shared" si="329"/>
        <v>44643</v>
      </c>
      <c r="F6196" s="480"/>
      <c r="G6196" s="221" t="s">
        <v>74</v>
      </c>
      <c r="H6196" s="221" t="str" cm="1">
        <f t="array" ref="H6196">IFERROR(INDEX(INVESTOR_LIST[INVESTOR NAME],MATCH(I6196,INVESTOR_LIST[INVESTOR CODE],0),)," ")</f>
        <v xml:space="preserve"> </v>
      </c>
      <c r="I6196" s="145" t="s">
        <v>348</v>
      </c>
      <c r="J6196" s="146" t="s">
        <v>52</v>
      </c>
      <c r="K6196" s="219"/>
      <c r="L6196" s="219">
        <v>1422.02</v>
      </c>
    </row>
    <row r="6197" spans="1:12" ht="33.75" x14ac:dyDescent="0.2">
      <c r="A6197" s="168">
        <v>2022</v>
      </c>
      <c r="B6197" s="168">
        <v>3</v>
      </c>
      <c r="C6197" s="133">
        <v>24</v>
      </c>
      <c r="D6197" s="141">
        <f>DATE(A6197,B6197,C6197)</f>
        <v>44644</v>
      </c>
      <c r="E6197" s="275">
        <f>DATE(A6197,B6197,C6197)</f>
        <v>44644</v>
      </c>
      <c r="F6197" s="479" t="s">
        <v>964</v>
      </c>
      <c r="G6197" s="220" t="s">
        <v>74</v>
      </c>
      <c r="H6197" s="142" t="str" cm="1">
        <f t="array" ref="H6197">IFERROR(INDEX(INVESTOR_LIST[INVESTOR NAME],MATCH(I6197,INVESTOR_LIST[INVESTOR CODE],0),)," ")</f>
        <v>AMIT KANTI SARKER</v>
      </c>
      <c r="I6197" s="142" t="s">
        <v>494</v>
      </c>
      <c r="J6197" s="168" t="s">
        <v>52</v>
      </c>
      <c r="K6197" s="226">
        <v>300000</v>
      </c>
      <c r="L6197" s="226"/>
    </row>
    <row r="6198" spans="1:12" ht="33.75" x14ac:dyDescent="0.2">
      <c r="A6198" s="133">
        <v>2022</v>
      </c>
      <c r="B6198" s="133">
        <v>3</v>
      </c>
      <c r="C6198" s="133">
        <v>24</v>
      </c>
      <c r="D6198" s="141">
        <f>DATE(A6198,B6198,C6198)</f>
        <v>44644</v>
      </c>
      <c r="E6198" s="275">
        <f>DATE(A6198,B6198,C6198)</f>
        <v>44644</v>
      </c>
      <c r="F6198" s="481"/>
      <c r="G6198" s="174" t="s">
        <v>74</v>
      </c>
      <c r="H6198" s="148" t="str" cm="1">
        <f t="array" ref="H6198">IFERROR(INDEX(INVESTOR_LIST[INVESTOR NAME],MATCH(I6198,INVESTOR_LIST[INVESTOR CODE],0),)," ")</f>
        <v>AMIT KANTI SARKER</v>
      </c>
      <c r="I6198" s="148" t="s">
        <v>494</v>
      </c>
      <c r="J6198" s="133" t="s">
        <v>13</v>
      </c>
      <c r="K6198" s="218"/>
      <c r="L6198" s="218">
        <v>251470</v>
      </c>
    </row>
    <row r="6199" spans="1:12" ht="33.75" x14ac:dyDescent="0.2">
      <c r="A6199" s="163">
        <v>2022</v>
      </c>
      <c r="B6199" s="163">
        <v>3</v>
      </c>
      <c r="C6199" s="163">
        <v>24</v>
      </c>
      <c r="D6199" s="141">
        <f>DATE(A6199,B6199,C6199)</f>
        <v>44644</v>
      </c>
      <c r="E6199" s="275">
        <f>DATE(A6199,B6199,C6199)</f>
        <v>44644</v>
      </c>
      <c r="F6199" s="480"/>
      <c r="G6199" s="221" t="s">
        <v>74</v>
      </c>
      <c r="H6199" s="145" t="str" cm="1">
        <f t="array" ref="H6199">IFERROR(INDEX(INVESTOR_LIST[INVESTOR NAME],MATCH(I6199,INVESTOR_LIST[INVESTOR CODE],0),)," ")</f>
        <v>AMIT KANTI SARKER</v>
      </c>
      <c r="I6199" s="145" t="s">
        <v>494</v>
      </c>
      <c r="J6199" s="163" t="s">
        <v>53</v>
      </c>
      <c r="K6199" s="219"/>
      <c r="L6199" s="219">
        <v>48530</v>
      </c>
    </row>
    <row r="6200" spans="1:12" x14ac:dyDescent="0.2">
      <c r="A6200" s="133">
        <v>2022</v>
      </c>
      <c r="B6200" s="133">
        <v>3</v>
      </c>
      <c r="C6200" s="168">
        <v>24</v>
      </c>
      <c r="D6200" s="141">
        <f t="shared" ref="D6200:D6226" si="330">DATE(A6200,B6200,C6200)</f>
        <v>44644</v>
      </c>
      <c r="E6200" s="275">
        <f t="shared" ref="E6200:E6226" si="331">DATE(A6200,B6200,C6200)</f>
        <v>44644</v>
      </c>
      <c r="F6200" s="479" t="s">
        <v>77</v>
      </c>
      <c r="G6200" s="174" t="s">
        <v>74</v>
      </c>
      <c r="H6200" s="148" t="str" cm="1">
        <f t="array" ref="H6200">IFERROR(INDEX(INVESTOR_LIST[INVESTOR NAME],MATCH(I6200,INVESTOR_LIST[INVESTOR CODE],0),)," ")</f>
        <v xml:space="preserve"> </v>
      </c>
      <c r="I6200" s="148" t="s">
        <v>348</v>
      </c>
      <c r="J6200" s="133" t="s">
        <v>61</v>
      </c>
      <c r="K6200" s="172">
        <v>60</v>
      </c>
    </row>
    <row r="6201" spans="1:12" x14ac:dyDescent="0.2">
      <c r="A6201" s="163">
        <v>2022</v>
      </c>
      <c r="B6201" s="163">
        <v>3</v>
      </c>
      <c r="C6201" s="163">
        <v>24</v>
      </c>
      <c r="D6201" s="141">
        <f t="shared" si="330"/>
        <v>44644</v>
      </c>
      <c r="E6201" s="275">
        <f t="shared" si="331"/>
        <v>44644</v>
      </c>
      <c r="F6201" s="480"/>
      <c r="G6201" s="221" t="s">
        <v>74</v>
      </c>
      <c r="H6201" s="145" t="str" cm="1">
        <f t="array" ref="H6201">IFERROR(INDEX(INVESTOR_LIST[INVESTOR NAME],MATCH(I6201,INVESTOR_LIST[INVESTOR CODE],0),)," ")</f>
        <v xml:space="preserve"> </v>
      </c>
      <c r="I6201" s="145" t="s">
        <v>348</v>
      </c>
      <c r="J6201" s="163" t="s">
        <v>52</v>
      </c>
      <c r="K6201" s="219"/>
      <c r="L6201" s="219">
        <v>60</v>
      </c>
    </row>
    <row r="6202" spans="1:12" x14ac:dyDescent="0.2">
      <c r="A6202" s="133">
        <v>2022</v>
      </c>
      <c r="B6202" s="133">
        <v>3</v>
      </c>
      <c r="C6202" s="168">
        <v>24</v>
      </c>
      <c r="D6202" s="141">
        <f t="shared" ref="D6202:D6203" si="332">DATE(A6202,B6202,C6202)</f>
        <v>44644</v>
      </c>
      <c r="E6202" s="275">
        <f t="shared" ref="E6202:E6203" si="333">DATE(A6202,B6202,C6202)</f>
        <v>44644</v>
      </c>
      <c r="F6202" s="479" t="s">
        <v>77</v>
      </c>
      <c r="G6202" s="174" t="s">
        <v>74</v>
      </c>
      <c r="H6202" s="148" t="str" cm="1">
        <f t="array" ref="H6202">IFERROR(INDEX(INVESTOR_LIST[INVESTOR NAME],MATCH(I6202,INVESTOR_LIST[INVESTOR CODE],0),)," ")</f>
        <v xml:space="preserve"> </v>
      </c>
      <c r="I6202" s="148" t="s">
        <v>348</v>
      </c>
      <c r="J6202" s="133" t="s">
        <v>61</v>
      </c>
      <c r="K6202" s="172">
        <v>10</v>
      </c>
    </row>
    <row r="6203" spans="1:12" x14ac:dyDescent="0.2">
      <c r="A6203" s="163">
        <v>2022</v>
      </c>
      <c r="B6203" s="163">
        <v>3</v>
      </c>
      <c r="C6203" s="163">
        <v>24</v>
      </c>
      <c r="D6203" s="141">
        <f t="shared" si="332"/>
        <v>44644</v>
      </c>
      <c r="E6203" s="275">
        <f t="shared" si="333"/>
        <v>44644</v>
      </c>
      <c r="F6203" s="480"/>
      <c r="G6203" s="221" t="s">
        <v>74</v>
      </c>
      <c r="H6203" s="145" t="str" cm="1">
        <f t="array" ref="H6203">IFERROR(INDEX(INVESTOR_LIST[INVESTOR NAME],MATCH(I6203,INVESTOR_LIST[INVESTOR CODE],0),)," ")</f>
        <v xml:space="preserve"> </v>
      </c>
      <c r="I6203" s="145" t="s">
        <v>348</v>
      </c>
      <c r="J6203" s="163" t="s">
        <v>52</v>
      </c>
      <c r="K6203" s="219"/>
      <c r="L6203" s="219">
        <v>10</v>
      </c>
    </row>
    <row r="6204" spans="1:12" x14ac:dyDescent="0.2">
      <c r="A6204" s="238">
        <v>2022</v>
      </c>
      <c r="B6204" s="238">
        <v>3</v>
      </c>
      <c r="C6204" s="238">
        <v>24</v>
      </c>
      <c r="D6204" s="270">
        <f t="shared" si="330"/>
        <v>44644</v>
      </c>
      <c r="E6204" s="279">
        <f t="shared" si="331"/>
        <v>44644</v>
      </c>
      <c r="F6204" s="477" t="s">
        <v>347</v>
      </c>
      <c r="G6204" s="239" t="s">
        <v>94</v>
      </c>
      <c r="H6204" s="239" t="str" cm="1">
        <f t="array" ref="H6204">IFERROR(INDEX(INVESTOR_LIST[INVESTOR NAME],MATCH(I6204,INVESTOR_LIST[INVESTOR CODE],0),)," ")</f>
        <v xml:space="preserve"> </v>
      </c>
      <c r="I6204" s="262" t="s">
        <v>348</v>
      </c>
      <c r="J6204" s="240" t="s">
        <v>108</v>
      </c>
      <c r="K6204" s="241">
        <v>130968.92999997735</v>
      </c>
      <c r="L6204" s="241"/>
    </row>
    <row r="6205" spans="1:12" x14ac:dyDescent="0.2">
      <c r="A6205" s="242">
        <v>2022</v>
      </c>
      <c r="B6205" s="242">
        <v>3</v>
      </c>
      <c r="C6205" s="242">
        <v>24</v>
      </c>
      <c r="D6205" s="270">
        <f t="shared" si="330"/>
        <v>44644</v>
      </c>
      <c r="E6205" s="279">
        <f t="shared" si="331"/>
        <v>44644</v>
      </c>
      <c r="F6205" s="478"/>
      <c r="G6205" s="243" t="s">
        <v>94</v>
      </c>
      <c r="H6205" s="243" t="str" cm="1">
        <f t="array" ref="H6205">IFERROR(INDEX(INVESTOR_LIST[INVESTOR NAME],MATCH(I6205,INVESTOR_LIST[INVESTOR CODE],0),)," ")</f>
        <v xml:space="preserve"> </v>
      </c>
      <c r="I6205" s="263" t="s">
        <v>348</v>
      </c>
      <c r="J6205" s="244" t="s">
        <v>82</v>
      </c>
      <c r="K6205" s="245"/>
      <c r="L6205" s="245">
        <v>130968.92999997735</v>
      </c>
    </row>
    <row r="6206" spans="1:12" ht="22.5" x14ac:dyDescent="0.2">
      <c r="A6206" s="246">
        <v>2022</v>
      </c>
      <c r="B6206" s="246">
        <v>3</v>
      </c>
      <c r="C6206" s="246">
        <v>24</v>
      </c>
      <c r="D6206" s="270">
        <f t="shared" si="330"/>
        <v>44644</v>
      </c>
      <c r="E6206" s="279">
        <f t="shared" si="331"/>
        <v>44644</v>
      </c>
      <c r="F6206" s="482" t="s">
        <v>148</v>
      </c>
      <c r="G6206" s="247" t="s">
        <v>94</v>
      </c>
      <c r="H6206" s="247" t="str" cm="1">
        <f t="array" ref="H6206">IFERROR(INDEX(INVESTOR_LIST[INVESTOR NAME],MATCH(I6206,INVESTOR_LIST[INVESTOR CODE],0),)," ")</f>
        <v xml:space="preserve"> </v>
      </c>
      <c r="I6206" s="248" t="s">
        <v>348</v>
      </c>
      <c r="J6206" s="249" t="s">
        <v>95</v>
      </c>
      <c r="K6206" s="250">
        <v>2747.2527472527472</v>
      </c>
      <c r="L6206" s="241"/>
    </row>
    <row r="6207" spans="1:12" x14ac:dyDescent="0.2">
      <c r="A6207" s="242">
        <v>2022</v>
      </c>
      <c r="B6207" s="242">
        <v>3</v>
      </c>
      <c r="C6207" s="242">
        <v>24</v>
      </c>
      <c r="D6207" s="270">
        <f t="shared" si="330"/>
        <v>44644</v>
      </c>
      <c r="E6207" s="279">
        <f t="shared" si="331"/>
        <v>44644</v>
      </c>
      <c r="F6207" s="478"/>
      <c r="G6207" s="243" t="s">
        <v>94</v>
      </c>
      <c r="H6207" s="243" t="str" cm="1">
        <f t="array" ref="H6207">IFERROR(INDEX(INVESTOR_LIST[INVESTOR NAME],MATCH(I6207,INVESTOR_LIST[INVESTOR CODE],0),)," ")</f>
        <v xml:space="preserve"> </v>
      </c>
      <c r="I6207" s="263" t="s">
        <v>348</v>
      </c>
      <c r="J6207" s="244" t="s">
        <v>63</v>
      </c>
      <c r="K6207" s="245"/>
      <c r="L6207" s="245">
        <v>2747.2527472527472</v>
      </c>
    </row>
    <row r="6208" spans="1:12" x14ac:dyDescent="0.2">
      <c r="A6208" s="246">
        <v>2022</v>
      </c>
      <c r="B6208" s="246">
        <v>3</v>
      </c>
      <c r="C6208" s="246">
        <v>24</v>
      </c>
      <c r="D6208" s="270">
        <f t="shared" si="330"/>
        <v>44644</v>
      </c>
      <c r="E6208" s="279">
        <f t="shared" si="331"/>
        <v>44644</v>
      </c>
      <c r="F6208" s="482" t="s">
        <v>137</v>
      </c>
      <c r="G6208" s="247" t="s">
        <v>94</v>
      </c>
      <c r="H6208" s="247" t="str" cm="1">
        <f t="array" ref="H6208">IFERROR(INDEX(INVESTOR_LIST[INVESTOR NAME],MATCH(I6208,INVESTOR_LIST[INVESTOR CODE],0),)," ")</f>
        <v xml:space="preserve"> </v>
      </c>
      <c r="I6208" s="248" t="s">
        <v>348</v>
      </c>
      <c r="J6208" s="249" t="s">
        <v>97</v>
      </c>
      <c r="K6208" s="250">
        <v>83928.60181812293</v>
      </c>
      <c r="L6208" s="252"/>
    </row>
    <row r="6209" spans="1:17" x14ac:dyDescent="0.2">
      <c r="A6209" s="242">
        <v>2022</v>
      </c>
      <c r="B6209" s="242">
        <v>3</v>
      </c>
      <c r="C6209" s="242">
        <v>24</v>
      </c>
      <c r="D6209" s="270">
        <f t="shared" si="330"/>
        <v>44644</v>
      </c>
      <c r="E6209" s="279">
        <f t="shared" si="331"/>
        <v>44644</v>
      </c>
      <c r="F6209" s="478"/>
      <c r="G6209" s="243" t="s">
        <v>94</v>
      </c>
      <c r="H6209" s="243" t="str" cm="1">
        <f t="array" ref="H6209">IFERROR(INDEX(INVESTOR_LIST[INVESTOR NAME],MATCH(I6209,INVESTOR_LIST[INVESTOR CODE],0),)," ")</f>
        <v xml:space="preserve"> </v>
      </c>
      <c r="I6209" s="263" t="s">
        <v>348</v>
      </c>
      <c r="J6209" s="244" t="s">
        <v>47</v>
      </c>
      <c r="K6209" s="245"/>
      <c r="L6209" s="245">
        <v>83928.60181812293</v>
      </c>
    </row>
    <row r="6210" spans="1:17" x14ac:dyDescent="0.2">
      <c r="A6210" s="246">
        <v>2022</v>
      </c>
      <c r="B6210" s="246">
        <v>3</v>
      </c>
      <c r="C6210" s="246">
        <v>24</v>
      </c>
      <c r="D6210" s="270">
        <f t="shared" si="330"/>
        <v>44644</v>
      </c>
      <c r="E6210" s="279">
        <f t="shared" si="331"/>
        <v>44644</v>
      </c>
      <c r="F6210" s="482" t="s">
        <v>138</v>
      </c>
      <c r="G6210" s="247" t="s">
        <v>94</v>
      </c>
      <c r="H6210" s="247" t="str" cm="1">
        <f t="array" ref="H6210">IFERROR(INDEX(INVESTOR_LIST[INVESTOR NAME],MATCH(I6210,INVESTOR_LIST[INVESTOR CODE],0),)," ")</f>
        <v xml:space="preserve"> </v>
      </c>
      <c r="I6210" s="248" t="s">
        <v>348</v>
      </c>
      <c r="J6210" s="249" t="s">
        <v>100</v>
      </c>
      <c r="K6210" s="250">
        <v>3956.0454755215319</v>
      </c>
      <c r="L6210" s="252"/>
      <c r="M6210" s="147"/>
      <c r="N6210" s="156"/>
      <c r="Q6210" s="133" t="s">
        <v>348</v>
      </c>
    </row>
    <row r="6211" spans="1:17" x14ac:dyDescent="0.2">
      <c r="A6211" s="242">
        <v>2022</v>
      </c>
      <c r="B6211" s="242">
        <v>3</v>
      </c>
      <c r="C6211" s="242">
        <v>24</v>
      </c>
      <c r="D6211" s="270">
        <f t="shared" si="330"/>
        <v>44644</v>
      </c>
      <c r="E6211" s="279">
        <f t="shared" si="331"/>
        <v>44644</v>
      </c>
      <c r="F6211" s="478"/>
      <c r="G6211" s="243" t="s">
        <v>94</v>
      </c>
      <c r="H6211" s="243" t="str" cm="1">
        <f t="array" ref="H6211">IFERROR(INDEX(INVESTOR_LIST[INVESTOR NAME],MATCH(I6211,INVESTOR_LIST[INVESTOR CODE],0),)," ")</f>
        <v xml:space="preserve"> </v>
      </c>
      <c r="I6211" s="263" t="s">
        <v>348</v>
      </c>
      <c r="J6211" s="244" t="s">
        <v>48</v>
      </c>
      <c r="K6211" s="245"/>
      <c r="L6211" s="245">
        <v>3956.0454755215319</v>
      </c>
      <c r="M6211" s="147"/>
      <c r="N6211" s="156"/>
      <c r="Q6211" s="133" t="s">
        <v>348</v>
      </c>
    </row>
    <row r="6212" spans="1:17" ht="33.75" x14ac:dyDescent="0.2">
      <c r="A6212" s="168">
        <v>2022</v>
      </c>
      <c r="B6212" s="168">
        <v>3</v>
      </c>
      <c r="C6212" s="133">
        <v>27</v>
      </c>
      <c r="D6212" s="141">
        <f t="shared" ref="D6212:D6217" si="334">DATE(A6212,B6212,C6212)</f>
        <v>44647</v>
      </c>
      <c r="E6212" s="275">
        <f t="shared" ref="E6212:E6217" si="335">DATE(A6212,B6212,C6212)</f>
        <v>44647</v>
      </c>
      <c r="F6212" s="479" t="s">
        <v>1319</v>
      </c>
      <c r="G6212" s="220" t="s">
        <v>74</v>
      </c>
      <c r="H6212" s="142" t="str" cm="1">
        <f t="array" ref="H6212">IFERROR(INDEX(INVESTOR_LIST[INVESTOR NAME],MATCH(I6212,INVESTOR_LIST[INVESTOR CODE],0),)," ")</f>
        <v>SYED ADNAN HUDA</v>
      </c>
      <c r="I6212" s="142" t="s">
        <v>575</v>
      </c>
      <c r="J6212" s="168" t="s">
        <v>52</v>
      </c>
      <c r="K6212" s="226">
        <v>50000</v>
      </c>
      <c r="L6212" s="226"/>
    </row>
    <row r="6213" spans="1:17" ht="33.75" x14ac:dyDescent="0.2">
      <c r="A6213" s="133">
        <v>2022</v>
      </c>
      <c r="B6213" s="133">
        <v>3</v>
      </c>
      <c r="C6213" s="133">
        <v>27</v>
      </c>
      <c r="D6213" s="141">
        <f t="shared" si="334"/>
        <v>44647</v>
      </c>
      <c r="E6213" s="275">
        <f t="shared" si="335"/>
        <v>44647</v>
      </c>
      <c r="F6213" s="481"/>
      <c r="G6213" s="174" t="s">
        <v>74</v>
      </c>
      <c r="H6213" s="148" t="str" cm="1">
        <f t="array" ref="H6213">IFERROR(INDEX(INVESTOR_LIST[INVESTOR NAME],MATCH(I6213,INVESTOR_LIST[INVESTOR CODE],0),)," ")</f>
        <v>SYED ADNAN HUDA</v>
      </c>
      <c r="I6213" s="148" t="s">
        <v>575</v>
      </c>
      <c r="J6213" s="133" t="s">
        <v>13</v>
      </c>
      <c r="K6213" s="218"/>
      <c r="L6213" s="218">
        <v>41490</v>
      </c>
      <c r="M6213" s="160"/>
    </row>
    <row r="6214" spans="1:17" ht="33.75" x14ac:dyDescent="0.2">
      <c r="A6214" s="163">
        <v>2022</v>
      </c>
      <c r="B6214" s="163">
        <v>3</v>
      </c>
      <c r="C6214" s="163">
        <v>27</v>
      </c>
      <c r="D6214" s="141">
        <f t="shared" si="334"/>
        <v>44647</v>
      </c>
      <c r="E6214" s="275">
        <f t="shared" si="335"/>
        <v>44647</v>
      </c>
      <c r="F6214" s="480"/>
      <c r="G6214" s="221" t="s">
        <v>74</v>
      </c>
      <c r="H6214" s="145" t="str" cm="1">
        <f t="array" ref="H6214">IFERROR(INDEX(INVESTOR_LIST[INVESTOR NAME],MATCH(I6214,INVESTOR_LIST[INVESTOR CODE],0),)," ")</f>
        <v>SYED ADNAN HUDA</v>
      </c>
      <c r="I6214" s="145" t="s">
        <v>575</v>
      </c>
      <c r="J6214" s="163" t="s">
        <v>53</v>
      </c>
      <c r="K6214" s="219"/>
      <c r="L6214" s="219">
        <v>8510</v>
      </c>
    </row>
    <row r="6215" spans="1:17" ht="45" x14ac:dyDescent="0.2">
      <c r="A6215" s="168">
        <v>2022</v>
      </c>
      <c r="B6215" s="168">
        <v>3</v>
      </c>
      <c r="C6215" s="133">
        <v>27</v>
      </c>
      <c r="D6215" s="141">
        <f t="shared" si="334"/>
        <v>44647</v>
      </c>
      <c r="E6215" s="275">
        <f t="shared" si="335"/>
        <v>44647</v>
      </c>
      <c r="F6215" s="479" t="s">
        <v>964</v>
      </c>
      <c r="G6215" s="220" t="s">
        <v>74</v>
      </c>
      <c r="H6215" s="142" t="str" cm="1">
        <f t="array" ref="H6215">IFERROR(INDEX(INVESTOR_LIST[INVESTOR NAME],MATCH(I6215,INVESTOR_LIST[INVESTOR CODE],0),)," ")</f>
        <v>SWADESH RANJAN SAHA</v>
      </c>
      <c r="I6215" s="142" t="s">
        <v>461</v>
      </c>
      <c r="J6215" s="168" t="s">
        <v>52</v>
      </c>
      <c r="K6215" s="226">
        <v>1200000</v>
      </c>
      <c r="L6215" s="226"/>
      <c r="M6215" s="147"/>
      <c r="N6215" s="156"/>
      <c r="Q6215" s="133" t="s">
        <v>348</v>
      </c>
    </row>
    <row r="6216" spans="1:17" ht="45" x14ac:dyDescent="0.2">
      <c r="A6216" s="133">
        <v>2022</v>
      </c>
      <c r="B6216" s="133">
        <v>3</v>
      </c>
      <c r="C6216" s="133">
        <v>27</v>
      </c>
      <c r="D6216" s="141">
        <f t="shared" si="334"/>
        <v>44647</v>
      </c>
      <c r="E6216" s="275">
        <f t="shared" si="335"/>
        <v>44647</v>
      </c>
      <c r="F6216" s="481"/>
      <c r="G6216" s="174" t="s">
        <v>74</v>
      </c>
      <c r="H6216" s="148" t="str" cm="1">
        <f t="array" ref="H6216">IFERROR(INDEX(INVESTOR_LIST[INVESTOR NAME],MATCH(I6216,INVESTOR_LIST[INVESTOR CODE],0),)," ")</f>
        <v>SWADESH RANJAN SAHA</v>
      </c>
      <c r="I6216" s="148" t="s">
        <v>461</v>
      </c>
      <c r="J6216" s="133" t="s">
        <v>13</v>
      </c>
      <c r="K6216" s="218"/>
      <c r="L6216" s="218">
        <v>995850</v>
      </c>
      <c r="M6216" s="160"/>
    </row>
    <row r="6217" spans="1:17" ht="45" x14ac:dyDescent="0.2">
      <c r="A6217" s="163">
        <v>2022</v>
      </c>
      <c r="B6217" s="163">
        <v>3</v>
      </c>
      <c r="C6217" s="163">
        <v>27</v>
      </c>
      <c r="D6217" s="141">
        <f t="shared" si="334"/>
        <v>44647</v>
      </c>
      <c r="E6217" s="275">
        <f t="shared" si="335"/>
        <v>44647</v>
      </c>
      <c r="F6217" s="480"/>
      <c r="G6217" s="221" t="s">
        <v>74</v>
      </c>
      <c r="H6217" s="145" t="str" cm="1">
        <f t="array" ref="H6217">IFERROR(INDEX(INVESTOR_LIST[INVESTOR NAME],MATCH(I6217,INVESTOR_LIST[INVESTOR CODE],0),)," ")</f>
        <v>SWADESH RANJAN SAHA</v>
      </c>
      <c r="I6217" s="145" t="s">
        <v>461</v>
      </c>
      <c r="J6217" s="163" t="s">
        <v>53</v>
      </c>
      <c r="K6217" s="219"/>
      <c r="L6217" s="219">
        <v>204150</v>
      </c>
    </row>
    <row r="6218" spans="1:17" x14ac:dyDescent="0.2">
      <c r="A6218" s="133">
        <v>2022</v>
      </c>
      <c r="B6218" s="133">
        <v>3</v>
      </c>
      <c r="C6218" s="168">
        <v>27</v>
      </c>
      <c r="D6218" s="141">
        <f t="shared" ref="D6218:D6219" si="336">DATE(A6218,B6218,C6218)</f>
        <v>44647</v>
      </c>
      <c r="E6218" s="275">
        <f t="shared" ref="E6218:E6219" si="337">DATE(A6218,B6218,C6218)</f>
        <v>44647</v>
      </c>
      <c r="F6218" s="479" t="s">
        <v>77</v>
      </c>
      <c r="G6218" s="174" t="s">
        <v>74</v>
      </c>
      <c r="H6218" s="148" t="str" cm="1">
        <f t="array" ref="H6218">IFERROR(INDEX(INVESTOR_LIST[INVESTOR NAME],MATCH(I6218,INVESTOR_LIST[INVESTOR CODE],0),)," ")</f>
        <v xml:space="preserve"> </v>
      </c>
      <c r="I6218" s="148" t="s">
        <v>348</v>
      </c>
      <c r="J6218" s="133" t="s">
        <v>61</v>
      </c>
      <c r="K6218" s="172">
        <v>60</v>
      </c>
    </row>
    <row r="6219" spans="1:17" x14ac:dyDescent="0.2">
      <c r="A6219" s="163">
        <v>2022</v>
      </c>
      <c r="B6219" s="163">
        <v>3</v>
      </c>
      <c r="C6219" s="163">
        <v>27</v>
      </c>
      <c r="D6219" s="141">
        <f t="shared" si="336"/>
        <v>44647</v>
      </c>
      <c r="E6219" s="275">
        <f t="shared" si="337"/>
        <v>44647</v>
      </c>
      <c r="F6219" s="480"/>
      <c r="G6219" s="221" t="s">
        <v>74</v>
      </c>
      <c r="H6219" s="145" t="str" cm="1">
        <f t="array" ref="H6219">IFERROR(INDEX(INVESTOR_LIST[INVESTOR NAME],MATCH(I6219,INVESTOR_LIST[INVESTOR CODE],0),)," ")</f>
        <v xml:space="preserve"> </v>
      </c>
      <c r="I6219" s="145" t="s">
        <v>348</v>
      </c>
      <c r="J6219" s="163" t="s">
        <v>52</v>
      </c>
      <c r="K6219" s="219"/>
      <c r="L6219" s="219">
        <v>60</v>
      </c>
    </row>
    <row r="6220" spans="1:17" x14ac:dyDescent="0.2">
      <c r="A6220" s="133">
        <v>2022</v>
      </c>
      <c r="B6220" s="133">
        <v>3</v>
      </c>
      <c r="C6220" s="168">
        <v>28</v>
      </c>
      <c r="D6220" s="141">
        <f t="shared" ref="D6220:D6221" si="338">DATE(A6220,B6220,C6220)</f>
        <v>44648</v>
      </c>
      <c r="E6220" s="275">
        <f t="shared" ref="E6220:E6221" si="339">DATE(A6220,B6220,C6220)</f>
        <v>44648</v>
      </c>
      <c r="F6220" s="479" t="s">
        <v>77</v>
      </c>
      <c r="G6220" s="174" t="s">
        <v>74</v>
      </c>
      <c r="H6220" s="148" t="str" cm="1">
        <f t="array" ref="H6220">IFERROR(INDEX(INVESTOR_LIST[INVESTOR NAME],MATCH(I6220,INVESTOR_LIST[INVESTOR CODE],0),)," ")</f>
        <v xml:space="preserve"> </v>
      </c>
      <c r="I6220" s="148" t="s">
        <v>348</v>
      </c>
      <c r="J6220" s="133" t="s">
        <v>61</v>
      </c>
      <c r="K6220" s="172">
        <v>10</v>
      </c>
    </row>
    <row r="6221" spans="1:17" x14ac:dyDescent="0.2">
      <c r="A6221" s="163">
        <v>2022</v>
      </c>
      <c r="B6221" s="163">
        <v>3</v>
      </c>
      <c r="C6221" s="163">
        <v>28</v>
      </c>
      <c r="D6221" s="141">
        <f t="shared" si="338"/>
        <v>44648</v>
      </c>
      <c r="E6221" s="275">
        <f t="shared" si="339"/>
        <v>44648</v>
      </c>
      <c r="F6221" s="480"/>
      <c r="G6221" s="221" t="s">
        <v>74</v>
      </c>
      <c r="H6221" s="145" t="str" cm="1">
        <f t="array" ref="H6221">IFERROR(INDEX(INVESTOR_LIST[INVESTOR NAME],MATCH(I6221,INVESTOR_LIST[INVESTOR CODE],0),)," ")</f>
        <v xml:space="preserve"> </v>
      </c>
      <c r="I6221" s="145" t="s">
        <v>348</v>
      </c>
      <c r="J6221" s="163" t="s">
        <v>52</v>
      </c>
      <c r="K6221" s="219"/>
      <c r="L6221" s="219">
        <v>10</v>
      </c>
    </row>
    <row r="6222" spans="1:17" x14ac:dyDescent="0.2">
      <c r="A6222" s="133">
        <v>2022</v>
      </c>
      <c r="B6222" s="133">
        <v>3</v>
      </c>
      <c r="C6222" s="168">
        <v>29</v>
      </c>
      <c r="D6222" s="141">
        <f t="shared" ref="D6222:D6223" si="340">DATE(A6222,B6222,C6222)</f>
        <v>44649</v>
      </c>
      <c r="E6222" s="275">
        <f t="shared" ref="E6222:E6223" si="341">DATE(A6222,B6222,C6222)</f>
        <v>44649</v>
      </c>
      <c r="F6222" s="479" t="s">
        <v>77</v>
      </c>
      <c r="G6222" s="174" t="s">
        <v>74</v>
      </c>
      <c r="H6222" s="148" t="str" cm="1">
        <f t="array" ref="H6222">IFERROR(INDEX(INVESTOR_LIST[INVESTOR NAME],MATCH(I6222,INVESTOR_LIST[INVESTOR CODE],0),)," ")</f>
        <v xml:space="preserve"> </v>
      </c>
      <c r="I6222" s="148" t="s">
        <v>348</v>
      </c>
      <c r="J6222" s="133" t="s">
        <v>61</v>
      </c>
      <c r="K6222" s="172">
        <v>10</v>
      </c>
    </row>
    <row r="6223" spans="1:17" x14ac:dyDescent="0.2">
      <c r="A6223" s="163">
        <v>2022</v>
      </c>
      <c r="B6223" s="163">
        <v>3</v>
      </c>
      <c r="C6223" s="163">
        <v>29</v>
      </c>
      <c r="D6223" s="141">
        <f t="shared" si="340"/>
        <v>44649</v>
      </c>
      <c r="E6223" s="275">
        <f t="shared" si="341"/>
        <v>44649</v>
      </c>
      <c r="F6223" s="480"/>
      <c r="G6223" s="221" t="s">
        <v>74</v>
      </c>
      <c r="H6223" s="145" t="str" cm="1">
        <f t="array" ref="H6223">IFERROR(INDEX(INVESTOR_LIST[INVESTOR NAME],MATCH(I6223,INVESTOR_LIST[INVESTOR CODE],0),)," ")</f>
        <v xml:space="preserve"> </v>
      </c>
      <c r="I6223" s="145" t="s">
        <v>348</v>
      </c>
      <c r="J6223" s="163" t="s">
        <v>52</v>
      </c>
      <c r="K6223" s="219"/>
      <c r="L6223" s="219">
        <v>10</v>
      </c>
    </row>
    <row r="6224" spans="1:17" x14ac:dyDescent="0.2">
      <c r="A6224" s="168">
        <v>2022</v>
      </c>
      <c r="B6224" s="168">
        <v>3</v>
      </c>
      <c r="C6224" s="133">
        <v>29</v>
      </c>
      <c r="D6224" s="141">
        <f t="shared" si="330"/>
        <v>44649</v>
      </c>
      <c r="E6224" s="275">
        <f t="shared" si="331"/>
        <v>44649</v>
      </c>
      <c r="F6224" s="479" t="s">
        <v>1319</v>
      </c>
      <c r="G6224" s="220" t="s">
        <v>74</v>
      </c>
      <c r="H6224" s="142" t="str" cm="1">
        <f t="array" ref="H6224">IFERROR(INDEX(INVESTOR_LIST[INVESTOR NAME],MATCH(I6224,INVESTOR_LIST[INVESTOR CODE],0),)," ")</f>
        <v xml:space="preserve"> </v>
      </c>
      <c r="I6224" s="142"/>
      <c r="J6224" s="168" t="s">
        <v>52</v>
      </c>
      <c r="K6224" s="226">
        <v>487000</v>
      </c>
      <c r="L6224" s="226"/>
      <c r="O6224" s="172"/>
    </row>
    <row r="6225" spans="1:15" x14ac:dyDescent="0.2">
      <c r="A6225" s="133">
        <v>2022</v>
      </c>
      <c r="B6225" s="133">
        <v>3</v>
      </c>
      <c r="C6225" s="133">
        <v>29</v>
      </c>
      <c r="D6225" s="141">
        <f t="shared" si="330"/>
        <v>44649</v>
      </c>
      <c r="E6225" s="275">
        <f t="shared" si="331"/>
        <v>44649</v>
      </c>
      <c r="F6225" s="481"/>
      <c r="G6225" s="174" t="s">
        <v>74</v>
      </c>
      <c r="H6225" s="148" t="str" cm="1">
        <f t="array" ref="H6225">IFERROR(INDEX(INVESTOR_LIST[INVESTOR NAME],MATCH(I6225,INVESTOR_LIST[INVESTOR CODE],0),)," ")</f>
        <v xml:space="preserve"> </v>
      </c>
      <c r="J6225" s="133" t="s">
        <v>13</v>
      </c>
      <c r="K6225" s="218"/>
      <c r="L6225" s="218">
        <v>402410</v>
      </c>
      <c r="M6225" s="160"/>
      <c r="O6225" s="160"/>
    </row>
    <row r="6226" spans="1:15" x14ac:dyDescent="0.2">
      <c r="A6226" s="163">
        <v>2022</v>
      </c>
      <c r="B6226" s="163">
        <v>3</v>
      </c>
      <c r="C6226" s="163">
        <v>29</v>
      </c>
      <c r="D6226" s="141">
        <f t="shared" si="330"/>
        <v>44649</v>
      </c>
      <c r="E6226" s="275">
        <f t="shared" si="331"/>
        <v>44649</v>
      </c>
      <c r="F6226" s="480"/>
      <c r="G6226" s="221" t="s">
        <v>74</v>
      </c>
      <c r="H6226" s="145" t="str" cm="1">
        <f t="array" ref="H6226">IFERROR(INDEX(INVESTOR_LIST[INVESTOR NAME],MATCH(I6226,INVESTOR_LIST[INVESTOR CODE],0),)," ")</f>
        <v xml:space="preserve"> </v>
      </c>
      <c r="I6226" s="145"/>
      <c r="J6226" s="163" t="s">
        <v>53</v>
      </c>
      <c r="K6226" s="219"/>
      <c r="L6226" s="219">
        <v>84590</v>
      </c>
    </row>
    <row r="6227" spans="1:15" ht="33.75" x14ac:dyDescent="0.2">
      <c r="A6227" s="168">
        <v>2022</v>
      </c>
      <c r="B6227" s="168">
        <v>3</v>
      </c>
      <c r="C6227" s="133">
        <v>29</v>
      </c>
      <c r="D6227" s="141">
        <f t="shared" ref="D6227:D6253" si="342">DATE(A6227,B6227,C6227)</f>
        <v>44649</v>
      </c>
      <c r="E6227" s="275">
        <f t="shared" ref="E6227:E6253" si="343">DATE(A6227,B6227,C6227)</f>
        <v>44649</v>
      </c>
      <c r="F6227" s="479" t="s">
        <v>964</v>
      </c>
      <c r="G6227" s="220" t="s">
        <v>74</v>
      </c>
      <c r="H6227" s="142" t="str" cm="1">
        <f t="array" ref="H6227">IFERROR(INDEX(INVESTOR_LIST[INVESTOR NAME],MATCH(I6227,INVESTOR_LIST[INVESTOR CODE],0),)," ")</f>
        <v>FAIYEAD AHMEDUL HYE</v>
      </c>
      <c r="I6227" s="142" t="s">
        <v>496</v>
      </c>
      <c r="J6227" s="168" t="s">
        <v>52</v>
      </c>
      <c r="K6227" s="226">
        <v>50000</v>
      </c>
      <c r="L6227" s="226"/>
    </row>
    <row r="6228" spans="1:15" ht="33.75" x14ac:dyDescent="0.2">
      <c r="A6228" s="133">
        <v>2022</v>
      </c>
      <c r="B6228" s="133">
        <v>3</v>
      </c>
      <c r="C6228" s="133">
        <v>29</v>
      </c>
      <c r="D6228" s="141">
        <f t="shared" si="342"/>
        <v>44649</v>
      </c>
      <c r="E6228" s="275">
        <f t="shared" si="343"/>
        <v>44649</v>
      </c>
      <c r="F6228" s="481"/>
      <c r="G6228" s="174" t="s">
        <v>74</v>
      </c>
      <c r="H6228" s="148" t="str" cm="1">
        <f t="array" ref="H6228">IFERROR(INDEX(INVESTOR_LIST[INVESTOR NAME],MATCH(I6228,INVESTOR_LIST[INVESTOR CODE],0),)," ")</f>
        <v>FAIYEAD AHMEDUL HYE</v>
      </c>
      <c r="I6228" s="148" t="s">
        <v>496</v>
      </c>
      <c r="J6228" s="133" t="s">
        <v>13</v>
      </c>
      <c r="K6228" s="218"/>
      <c r="L6228" s="218">
        <v>41490</v>
      </c>
      <c r="M6228" s="160"/>
    </row>
    <row r="6229" spans="1:15" ht="33.75" x14ac:dyDescent="0.2">
      <c r="A6229" s="163">
        <v>2022</v>
      </c>
      <c r="B6229" s="163">
        <v>3</v>
      </c>
      <c r="C6229" s="163">
        <v>29</v>
      </c>
      <c r="D6229" s="141">
        <f t="shared" si="342"/>
        <v>44649</v>
      </c>
      <c r="E6229" s="275">
        <f t="shared" si="343"/>
        <v>44649</v>
      </c>
      <c r="F6229" s="480"/>
      <c r="G6229" s="221" t="s">
        <v>74</v>
      </c>
      <c r="H6229" s="145" t="str" cm="1">
        <f t="array" ref="H6229">IFERROR(INDEX(INVESTOR_LIST[INVESTOR NAME],MATCH(I6229,INVESTOR_LIST[INVESTOR CODE],0),)," ")</f>
        <v>FAIYEAD AHMEDUL HYE</v>
      </c>
      <c r="I6229" s="145" t="s">
        <v>496</v>
      </c>
      <c r="J6229" s="163" t="s">
        <v>53</v>
      </c>
      <c r="K6229" s="219"/>
      <c r="L6229" s="219">
        <v>8510</v>
      </c>
    </row>
    <row r="6230" spans="1:15" x14ac:dyDescent="0.2">
      <c r="A6230" s="133">
        <v>2022</v>
      </c>
      <c r="B6230" s="133">
        <v>3</v>
      </c>
      <c r="C6230" s="133">
        <v>31</v>
      </c>
      <c r="D6230" s="141">
        <f t="shared" si="342"/>
        <v>44651</v>
      </c>
      <c r="E6230" s="275">
        <f t="shared" si="343"/>
        <v>44651</v>
      </c>
      <c r="F6230" s="479" t="s">
        <v>1347</v>
      </c>
      <c r="G6230" s="220" t="s">
        <v>74</v>
      </c>
      <c r="H6230" s="220" t="str" cm="1">
        <f t="array" ref="H6230">IFERROR(INDEX(INVESTOR_LIST[INVESTOR NAME],MATCH(I6230,INVESTOR_LIST[INVESTOR CODE],0),)," ")</f>
        <v xml:space="preserve"> </v>
      </c>
      <c r="I6230" s="142" t="s">
        <v>348</v>
      </c>
      <c r="J6230" s="143" t="s">
        <v>184</v>
      </c>
      <c r="K6230" s="226">
        <v>5000000</v>
      </c>
      <c r="L6230" s="226"/>
    </row>
    <row r="6231" spans="1:15" x14ac:dyDescent="0.2">
      <c r="A6231" s="133">
        <v>2022</v>
      </c>
      <c r="B6231" s="133">
        <v>3</v>
      </c>
      <c r="C6231" s="133">
        <v>31</v>
      </c>
      <c r="D6231" s="141">
        <f t="shared" si="342"/>
        <v>44651</v>
      </c>
      <c r="E6231" s="275">
        <f t="shared" si="343"/>
        <v>44651</v>
      </c>
      <c r="F6231" s="481"/>
      <c r="G6231" s="174" t="s">
        <v>74</v>
      </c>
      <c r="H6231" s="174" t="str" cm="1">
        <f t="array" ref="H6231">IFERROR(INDEX(INVESTOR_LIST[INVESTOR NAME],MATCH(I6231,INVESTOR_LIST[INVESTOR CODE],0),)," ")</f>
        <v xml:space="preserve"> </v>
      </c>
      <c r="I6231" s="148" t="s">
        <v>348</v>
      </c>
      <c r="J6231" s="149" t="s">
        <v>61</v>
      </c>
      <c r="K6231" s="218">
        <v>115</v>
      </c>
      <c r="L6231" s="218"/>
    </row>
    <row r="6232" spans="1:15" x14ac:dyDescent="0.2">
      <c r="A6232" s="163">
        <v>2022</v>
      </c>
      <c r="B6232" s="163">
        <v>3</v>
      </c>
      <c r="C6232" s="163">
        <v>31</v>
      </c>
      <c r="D6232" s="141">
        <f t="shared" si="342"/>
        <v>44651</v>
      </c>
      <c r="E6232" s="275">
        <f t="shared" si="343"/>
        <v>44651</v>
      </c>
      <c r="F6232" s="480"/>
      <c r="G6232" s="221" t="s">
        <v>74</v>
      </c>
      <c r="H6232" s="221" t="str" cm="1">
        <f t="array" ref="H6232">IFERROR(INDEX(INVESTOR_LIST[INVESTOR NAME],MATCH(I6232,INVESTOR_LIST[INVESTOR CODE],0),)," ")</f>
        <v xml:space="preserve"> </v>
      </c>
      <c r="I6232" s="145" t="s">
        <v>348</v>
      </c>
      <c r="J6232" s="146" t="s">
        <v>52</v>
      </c>
      <c r="K6232" s="219"/>
      <c r="L6232" s="219">
        <v>5000115</v>
      </c>
    </row>
    <row r="6233" spans="1:15" x14ac:dyDescent="0.2">
      <c r="A6233" s="168">
        <v>2022</v>
      </c>
      <c r="B6233" s="168">
        <v>3</v>
      </c>
      <c r="C6233" s="133">
        <v>31</v>
      </c>
      <c r="D6233" s="141">
        <f t="shared" si="342"/>
        <v>44651</v>
      </c>
      <c r="E6233" s="275">
        <f t="shared" si="343"/>
        <v>44651</v>
      </c>
      <c r="F6233" s="479" t="s">
        <v>1348</v>
      </c>
      <c r="G6233" s="220" t="s">
        <v>74</v>
      </c>
      <c r="H6233" s="142" t="str" cm="1">
        <f t="array" ref="H6233">IFERROR(INDEX(INVESTOR_LIST[INVESTOR NAME],MATCH(I6233,INVESTOR_LIST[INVESTOR CODE],0),)," ")</f>
        <v xml:space="preserve"> </v>
      </c>
      <c r="I6233" s="142"/>
      <c r="J6233" s="168" t="s">
        <v>358</v>
      </c>
      <c r="K6233" s="226">
        <v>58559.8</v>
      </c>
      <c r="L6233" s="226"/>
    </row>
    <row r="6234" spans="1:15" x14ac:dyDescent="0.2">
      <c r="A6234" s="133">
        <v>2022</v>
      </c>
      <c r="B6234" s="133">
        <v>3</v>
      </c>
      <c r="C6234" s="133">
        <v>31</v>
      </c>
      <c r="D6234" s="141">
        <f t="shared" si="342"/>
        <v>44651</v>
      </c>
      <c r="E6234" s="275">
        <f t="shared" si="343"/>
        <v>44651</v>
      </c>
      <c r="F6234" s="481"/>
      <c r="G6234" s="174" t="s">
        <v>74</v>
      </c>
      <c r="H6234" s="148" t="str" cm="1">
        <f t="array" ref="H6234">IFERROR(INDEX(INVESTOR_LIST[INVESTOR NAME],MATCH(I6234,INVESTOR_LIST[INVESTOR CODE],0),)," ")</f>
        <v xml:space="preserve"> </v>
      </c>
      <c r="J6234" s="133" t="s">
        <v>534</v>
      </c>
      <c r="K6234" s="218"/>
      <c r="L6234" s="218">
        <v>5033.97</v>
      </c>
    </row>
    <row r="6235" spans="1:15" x14ac:dyDescent="0.2">
      <c r="A6235" s="163">
        <v>2022</v>
      </c>
      <c r="B6235" s="163">
        <v>3</v>
      </c>
      <c r="C6235" s="163">
        <v>31</v>
      </c>
      <c r="D6235" s="141">
        <f t="shared" si="342"/>
        <v>44651</v>
      </c>
      <c r="E6235" s="275">
        <f t="shared" si="343"/>
        <v>44651</v>
      </c>
      <c r="F6235" s="480"/>
      <c r="G6235" s="221" t="s">
        <v>74</v>
      </c>
      <c r="H6235" s="145" t="str" cm="1">
        <f t="array" ref="H6235">IFERROR(INDEX(INVESTOR_LIST[INVESTOR NAME],MATCH(I6235,INVESTOR_LIST[INVESTOR CODE],0),)," ")</f>
        <v xml:space="preserve"> </v>
      </c>
      <c r="I6235" s="145"/>
      <c r="J6235" s="163" t="s">
        <v>52</v>
      </c>
      <c r="K6235" s="219"/>
      <c r="L6235" s="219">
        <v>53525.83</v>
      </c>
      <c r="M6235" s="160"/>
    </row>
    <row r="6236" spans="1:15" x14ac:dyDescent="0.2">
      <c r="A6236" s="238">
        <v>2022</v>
      </c>
      <c r="B6236" s="238">
        <v>3</v>
      </c>
      <c r="C6236" s="238">
        <v>31</v>
      </c>
      <c r="D6236" s="270">
        <f t="shared" si="342"/>
        <v>44651</v>
      </c>
      <c r="E6236" s="279">
        <f t="shared" si="343"/>
        <v>44651</v>
      </c>
      <c r="F6236" s="477" t="s">
        <v>347</v>
      </c>
      <c r="G6236" s="239" t="s">
        <v>94</v>
      </c>
      <c r="H6236" s="239" t="str" cm="1">
        <f t="array" ref="H6236">IFERROR(INDEX(INVESTOR_LIST[INVESTOR NAME],MATCH(I6236,INVESTOR_LIST[INVESTOR CODE],0),)," ")</f>
        <v xml:space="preserve"> </v>
      </c>
      <c r="I6236" s="262" t="s">
        <v>348</v>
      </c>
      <c r="J6236" s="240" t="s">
        <v>108</v>
      </c>
      <c r="K6236" s="241">
        <v>138715.24000000954</v>
      </c>
      <c r="L6236" s="241"/>
    </row>
    <row r="6237" spans="1:15" x14ac:dyDescent="0.2">
      <c r="A6237" s="242">
        <v>2022</v>
      </c>
      <c r="B6237" s="242">
        <v>3</v>
      </c>
      <c r="C6237" s="242">
        <v>31</v>
      </c>
      <c r="D6237" s="270">
        <f t="shared" si="342"/>
        <v>44651</v>
      </c>
      <c r="E6237" s="279">
        <f t="shared" si="343"/>
        <v>44651</v>
      </c>
      <c r="F6237" s="478"/>
      <c r="G6237" s="243" t="s">
        <v>94</v>
      </c>
      <c r="H6237" s="243" t="str" cm="1">
        <f t="array" ref="H6237">IFERROR(INDEX(INVESTOR_LIST[INVESTOR NAME],MATCH(I6237,INVESTOR_LIST[INVESTOR CODE],0),)," ")</f>
        <v xml:space="preserve"> </v>
      </c>
      <c r="I6237" s="263" t="s">
        <v>348</v>
      </c>
      <c r="J6237" s="244" t="s">
        <v>82</v>
      </c>
      <c r="K6237" s="245"/>
      <c r="L6237" s="245">
        <v>138715.24000000954</v>
      </c>
    </row>
    <row r="6238" spans="1:15" ht="22.5" x14ac:dyDescent="0.2">
      <c r="A6238" s="246">
        <v>2022</v>
      </c>
      <c r="B6238" s="246">
        <v>3</v>
      </c>
      <c r="C6238" s="246">
        <v>31</v>
      </c>
      <c r="D6238" s="270">
        <f t="shared" si="342"/>
        <v>44651</v>
      </c>
      <c r="E6238" s="279">
        <f t="shared" si="343"/>
        <v>44651</v>
      </c>
      <c r="F6238" s="482" t="s">
        <v>148</v>
      </c>
      <c r="G6238" s="247" t="s">
        <v>94</v>
      </c>
      <c r="H6238" s="247" t="str" cm="1">
        <f t="array" ref="H6238">IFERROR(INDEX(INVESTOR_LIST[INVESTOR NAME],MATCH(I6238,INVESTOR_LIST[INVESTOR CODE],0),)," ")</f>
        <v xml:space="preserve"> </v>
      </c>
      <c r="I6238" s="248" t="s">
        <v>348</v>
      </c>
      <c r="J6238" s="249" t="s">
        <v>95</v>
      </c>
      <c r="K6238" s="250">
        <v>2747.2527472527472</v>
      </c>
      <c r="L6238" s="241"/>
    </row>
    <row r="6239" spans="1:15" x14ac:dyDescent="0.2">
      <c r="A6239" s="242">
        <v>2022</v>
      </c>
      <c r="B6239" s="242">
        <v>3</v>
      </c>
      <c r="C6239" s="242">
        <v>31</v>
      </c>
      <c r="D6239" s="270">
        <f t="shared" si="342"/>
        <v>44651</v>
      </c>
      <c r="E6239" s="279">
        <f t="shared" si="343"/>
        <v>44651</v>
      </c>
      <c r="F6239" s="478"/>
      <c r="G6239" s="243" t="s">
        <v>94</v>
      </c>
      <c r="H6239" s="243" t="str" cm="1">
        <f t="array" ref="H6239">IFERROR(INDEX(INVESTOR_LIST[INVESTOR NAME],MATCH(I6239,INVESTOR_LIST[INVESTOR CODE],0),)," ")</f>
        <v xml:space="preserve"> </v>
      </c>
      <c r="I6239" s="263" t="s">
        <v>348</v>
      </c>
      <c r="J6239" s="244" t="s">
        <v>63</v>
      </c>
      <c r="K6239" s="245"/>
      <c r="L6239" s="245">
        <v>2747.2527472527472</v>
      </c>
    </row>
    <row r="6240" spans="1:15" x14ac:dyDescent="0.2">
      <c r="A6240" s="246">
        <v>2022</v>
      </c>
      <c r="B6240" s="246">
        <v>3</v>
      </c>
      <c r="C6240" s="246">
        <v>31</v>
      </c>
      <c r="D6240" s="270">
        <f t="shared" si="342"/>
        <v>44651</v>
      </c>
      <c r="E6240" s="279">
        <f t="shared" si="343"/>
        <v>44651</v>
      </c>
      <c r="F6240" s="482" t="s">
        <v>137</v>
      </c>
      <c r="G6240" s="247" t="s">
        <v>94</v>
      </c>
      <c r="H6240" s="247" t="str" cm="1">
        <f t="array" ref="H6240">IFERROR(INDEX(INVESTOR_LIST[INVESTOR NAME],MATCH(I6240,INVESTOR_LIST[INVESTOR CODE],0),)," ")</f>
        <v xml:space="preserve"> </v>
      </c>
      <c r="I6240" s="248" t="s">
        <v>348</v>
      </c>
      <c r="J6240" s="249" t="s">
        <v>97</v>
      </c>
      <c r="K6240" s="250">
        <v>84650.098533491822</v>
      </c>
      <c r="L6240" s="252"/>
    </row>
    <row r="6241" spans="1:22" x14ac:dyDescent="0.2">
      <c r="A6241" s="242">
        <v>2022</v>
      </c>
      <c r="B6241" s="242">
        <v>3</v>
      </c>
      <c r="C6241" s="242">
        <v>31</v>
      </c>
      <c r="D6241" s="270">
        <f t="shared" si="342"/>
        <v>44651</v>
      </c>
      <c r="E6241" s="279">
        <f t="shared" si="343"/>
        <v>44651</v>
      </c>
      <c r="F6241" s="478"/>
      <c r="G6241" s="243" t="s">
        <v>94</v>
      </c>
      <c r="H6241" s="243" t="str" cm="1">
        <f t="array" ref="H6241">IFERROR(INDEX(INVESTOR_LIST[INVESTOR NAME],MATCH(I6241,INVESTOR_LIST[INVESTOR CODE],0),)," ")</f>
        <v xml:space="preserve"> </v>
      </c>
      <c r="I6241" s="263" t="s">
        <v>348</v>
      </c>
      <c r="J6241" s="244" t="s">
        <v>47</v>
      </c>
      <c r="K6241" s="245"/>
      <c r="L6241" s="245">
        <v>84650.098533491822</v>
      </c>
    </row>
    <row r="6242" spans="1:22" x14ac:dyDescent="0.2">
      <c r="A6242" s="246">
        <v>2022</v>
      </c>
      <c r="B6242" s="246">
        <v>3</v>
      </c>
      <c r="C6242" s="246">
        <v>31</v>
      </c>
      <c r="D6242" s="270">
        <f t="shared" si="342"/>
        <v>44651</v>
      </c>
      <c r="E6242" s="279">
        <f t="shared" si="343"/>
        <v>44651</v>
      </c>
      <c r="F6242" s="482" t="s">
        <v>138</v>
      </c>
      <c r="G6242" s="247" t="s">
        <v>94</v>
      </c>
      <c r="H6242" s="247" t="str" cm="1">
        <f t="array" ref="H6242">IFERROR(INDEX(INVESTOR_LIST[INVESTOR NAME],MATCH(I6242,INVESTOR_LIST[INVESTOR CODE],0),)," ")</f>
        <v xml:space="preserve"> </v>
      </c>
      <c r="I6242" s="248" t="s">
        <v>348</v>
      </c>
      <c r="J6242" s="249" t="s">
        <v>100</v>
      </c>
      <c r="K6242" s="250">
        <v>3992.1203112899757</v>
      </c>
      <c r="L6242" s="252"/>
    </row>
    <row r="6243" spans="1:22" x14ac:dyDescent="0.2">
      <c r="A6243" s="242">
        <v>2022</v>
      </c>
      <c r="B6243" s="242">
        <v>3</v>
      </c>
      <c r="C6243" s="242">
        <v>31</v>
      </c>
      <c r="D6243" s="270">
        <f t="shared" si="342"/>
        <v>44651</v>
      </c>
      <c r="E6243" s="279">
        <f t="shared" si="343"/>
        <v>44651</v>
      </c>
      <c r="F6243" s="478"/>
      <c r="G6243" s="243" t="s">
        <v>94</v>
      </c>
      <c r="H6243" s="243" t="str" cm="1">
        <f t="array" ref="H6243">IFERROR(INDEX(INVESTOR_LIST[INVESTOR NAME],MATCH(I6243,INVESTOR_LIST[INVESTOR CODE],0),)," ")</f>
        <v xml:space="preserve"> </v>
      </c>
      <c r="I6243" s="263" t="s">
        <v>348</v>
      </c>
      <c r="J6243" s="244" t="s">
        <v>48</v>
      </c>
      <c r="K6243" s="245"/>
      <c r="L6243" s="245">
        <v>3992.1203112899757</v>
      </c>
    </row>
    <row r="6244" spans="1:22" x14ac:dyDescent="0.2">
      <c r="A6244" s="133">
        <v>2022</v>
      </c>
      <c r="B6244" s="133">
        <v>4</v>
      </c>
      <c r="C6244" s="133">
        <v>3</v>
      </c>
      <c r="D6244" s="141">
        <f t="shared" ref="D6244:D6248" si="344">DATE(A6244,B6244,C6244)</f>
        <v>44654</v>
      </c>
      <c r="E6244" s="275">
        <f t="shared" ref="E6244:E6248" si="345">DATE(A6244,B6244,C6244)</f>
        <v>44654</v>
      </c>
      <c r="F6244" s="481" t="s">
        <v>1313</v>
      </c>
      <c r="G6244" s="174" t="s">
        <v>94</v>
      </c>
      <c r="H6244" s="174" t="str" cm="1">
        <f t="array" ref="H6244">IFERROR(INDEX(INVESTOR_LIST[INVESTOR NAME],MATCH(I6244,INVESTOR_LIST[INVESTOR CODE],0),)," ")</f>
        <v xml:space="preserve"> </v>
      </c>
      <c r="I6244" s="148" t="s">
        <v>348</v>
      </c>
      <c r="J6244" s="149" t="s">
        <v>79</v>
      </c>
      <c r="K6244" s="218">
        <v>270374.40000000002</v>
      </c>
      <c r="L6244" s="218"/>
    </row>
    <row r="6245" spans="1:22" x14ac:dyDescent="0.2">
      <c r="A6245" s="133">
        <v>2022</v>
      </c>
      <c r="B6245" s="133">
        <v>4</v>
      </c>
      <c r="C6245" s="133">
        <v>3</v>
      </c>
      <c r="D6245" s="141">
        <f t="shared" si="344"/>
        <v>44654</v>
      </c>
      <c r="E6245" s="275">
        <f t="shared" si="345"/>
        <v>44654</v>
      </c>
      <c r="F6245" s="481"/>
      <c r="G6245" s="174" t="s">
        <v>94</v>
      </c>
      <c r="H6245" s="174" t="str" cm="1">
        <f t="array" ref="H6245">IFERROR(INDEX(INVESTOR_LIST[INVESTOR NAME],MATCH(I6245,INVESTOR_LIST[INVESTOR CODE],0),)," ")</f>
        <v xml:space="preserve"> </v>
      </c>
      <c r="I6245" s="148" t="s">
        <v>348</v>
      </c>
      <c r="J6245" s="149" t="s">
        <v>80</v>
      </c>
      <c r="K6245" s="218">
        <v>486.67</v>
      </c>
      <c r="L6245" s="218"/>
      <c r="P6245" s="160"/>
    </row>
    <row r="6246" spans="1:22" x14ac:dyDescent="0.2">
      <c r="A6246" s="163">
        <v>2022</v>
      </c>
      <c r="B6246" s="163">
        <v>4</v>
      </c>
      <c r="C6246" s="163">
        <v>3</v>
      </c>
      <c r="D6246" s="280">
        <f t="shared" si="344"/>
        <v>44654</v>
      </c>
      <c r="E6246" s="281">
        <f t="shared" si="345"/>
        <v>44654</v>
      </c>
      <c r="F6246" s="480"/>
      <c r="G6246" s="221" t="s">
        <v>94</v>
      </c>
      <c r="H6246" s="145" t="str" cm="1">
        <f t="array" ref="H6246">IFERROR(INDEX(INVESTOR_LIST[INVESTOR NAME],MATCH(I6246,INVESTOR_LIST[INVESTOR CODE],0),)," ")</f>
        <v xml:space="preserve"> </v>
      </c>
      <c r="I6246" s="145"/>
      <c r="J6246" s="163" t="s">
        <v>147</v>
      </c>
      <c r="K6246" s="219"/>
      <c r="L6246" s="219">
        <v>270861.07</v>
      </c>
      <c r="M6246" s="172"/>
      <c r="N6246" s="179"/>
      <c r="O6246" s="172"/>
      <c r="P6246" s="172"/>
      <c r="Q6246" s="172"/>
      <c r="R6246" s="172"/>
      <c r="S6246" s="172"/>
      <c r="U6246" s="160"/>
    </row>
    <row r="6247" spans="1:22" x14ac:dyDescent="0.2">
      <c r="A6247" s="168">
        <v>2022</v>
      </c>
      <c r="B6247" s="168">
        <v>4</v>
      </c>
      <c r="C6247" s="168">
        <v>4</v>
      </c>
      <c r="D6247" s="141">
        <f t="shared" si="344"/>
        <v>44655</v>
      </c>
      <c r="E6247" s="275">
        <f t="shared" si="345"/>
        <v>44655</v>
      </c>
      <c r="F6247" s="479" t="s">
        <v>937</v>
      </c>
      <c r="G6247" s="220" t="s">
        <v>74</v>
      </c>
      <c r="H6247" s="220" t="str" cm="1">
        <f t="array" ref="H6247">IFERROR(INDEX(INVESTOR_LIST[INVESTOR NAME],MATCH(I6247,INVESTOR_LIST[INVESTOR CODE],0),)," ")</f>
        <v xml:space="preserve"> </v>
      </c>
      <c r="I6247" s="142" t="s">
        <v>348</v>
      </c>
      <c r="J6247" s="143" t="s">
        <v>147</v>
      </c>
      <c r="K6247" s="226">
        <v>270861.07</v>
      </c>
      <c r="L6247" s="226"/>
      <c r="M6247" s="172"/>
      <c r="N6247" s="179"/>
      <c r="O6247" s="172"/>
      <c r="P6247" s="172"/>
      <c r="Q6247" s="172"/>
      <c r="R6247" s="172"/>
      <c r="S6247" s="172"/>
      <c r="U6247" s="160"/>
    </row>
    <row r="6248" spans="1:22" x14ac:dyDescent="0.2">
      <c r="A6248" s="163">
        <v>2022</v>
      </c>
      <c r="B6248" s="163">
        <v>4</v>
      </c>
      <c r="C6248" s="163">
        <v>4</v>
      </c>
      <c r="D6248" s="141">
        <f t="shared" si="344"/>
        <v>44655</v>
      </c>
      <c r="E6248" s="275">
        <f t="shared" si="345"/>
        <v>44655</v>
      </c>
      <c r="F6248" s="480"/>
      <c r="G6248" s="221" t="s">
        <v>74</v>
      </c>
      <c r="H6248" s="221" t="str" cm="1">
        <f t="array" ref="H6248">IFERROR(INDEX(INVESTOR_LIST[INVESTOR NAME],MATCH(I6248,INVESTOR_LIST[INVESTOR CODE],0),)," ")</f>
        <v xml:space="preserve"> </v>
      </c>
      <c r="I6248" s="145" t="s">
        <v>348</v>
      </c>
      <c r="J6248" s="146" t="s">
        <v>52</v>
      </c>
      <c r="K6248" s="219"/>
      <c r="L6248" s="219">
        <v>270861.07</v>
      </c>
      <c r="M6248" s="172"/>
      <c r="N6248" s="179"/>
      <c r="O6248" s="172"/>
      <c r="P6248" s="172"/>
      <c r="Q6248" s="172"/>
      <c r="R6248" s="172"/>
      <c r="S6248" s="172"/>
      <c r="U6248" s="160"/>
    </row>
    <row r="6249" spans="1:22" x14ac:dyDescent="0.2">
      <c r="A6249" s="133">
        <v>2022</v>
      </c>
      <c r="B6249" s="133">
        <v>4</v>
      </c>
      <c r="C6249" s="133">
        <v>4</v>
      </c>
      <c r="D6249" s="141">
        <f t="shared" si="342"/>
        <v>44655</v>
      </c>
      <c r="E6249" s="275">
        <f t="shared" si="343"/>
        <v>44655</v>
      </c>
      <c r="F6249" s="481" t="s">
        <v>1313</v>
      </c>
      <c r="G6249" s="174" t="s">
        <v>94</v>
      </c>
      <c r="H6249" s="174" t="str" cm="1">
        <f t="array" ref="H6249">IFERROR(INDEX(INVESTOR_LIST[INVESTOR NAME],MATCH(I6249,INVESTOR_LIST[INVESTOR CODE],0),)," ")</f>
        <v xml:space="preserve"> </v>
      </c>
      <c r="I6249" s="148" t="s">
        <v>348</v>
      </c>
      <c r="J6249" s="149" t="s">
        <v>79</v>
      </c>
      <c r="K6249" s="218">
        <v>269705.59999999998</v>
      </c>
      <c r="L6249" s="218"/>
      <c r="U6249" s="160"/>
    </row>
    <row r="6250" spans="1:22" x14ac:dyDescent="0.2">
      <c r="A6250" s="133">
        <v>2022</v>
      </c>
      <c r="B6250" s="133">
        <v>4</v>
      </c>
      <c r="C6250" s="133">
        <v>4</v>
      </c>
      <c r="D6250" s="141">
        <f t="shared" si="342"/>
        <v>44655</v>
      </c>
      <c r="E6250" s="275">
        <f t="shared" si="343"/>
        <v>44655</v>
      </c>
      <c r="F6250" s="481"/>
      <c r="G6250" s="174" t="s">
        <v>94</v>
      </c>
      <c r="H6250" s="174" t="str" cm="1">
        <f t="array" ref="H6250">IFERROR(INDEX(INVESTOR_LIST[INVESTOR NAME],MATCH(I6250,INVESTOR_LIST[INVESTOR CODE],0),)," ")</f>
        <v xml:space="preserve"> </v>
      </c>
      <c r="I6250" s="148" t="s">
        <v>348</v>
      </c>
      <c r="J6250" s="149" t="s">
        <v>80</v>
      </c>
      <c r="K6250" s="218">
        <v>485.47</v>
      </c>
      <c r="L6250" s="218"/>
      <c r="U6250" s="160"/>
      <c r="V6250" s="160"/>
    </row>
    <row r="6251" spans="1:22" x14ac:dyDescent="0.2">
      <c r="A6251" s="163">
        <v>2022</v>
      </c>
      <c r="B6251" s="163">
        <v>4</v>
      </c>
      <c r="C6251" s="163">
        <v>4</v>
      </c>
      <c r="D6251" s="280">
        <f t="shared" si="342"/>
        <v>44655</v>
      </c>
      <c r="E6251" s="281">
        <f t="shared" si="343"/>
        <v>44655</v>
      </c>
      <c r="F6251" s="480"/>
      <c r="G6251" s="221" t="s">
        <v>94</v>
      </c>
      <c r="H6251" s="145" t="str" cm="1">
        <f t="array" ref="H6251">IFERROR(INDEX(INVESTOR_LIST[INVESTOR NAME],MATCH(I6251,INVESTOR_LIST[INVESTOR CODE],0),)," ")</f>
        <v xml:space="preserve"> </v>
      </c>
      <c r="I6251" s="145"/>
      <c r="J6251" s="163" t="s">
        <v>147</v>
      </c>
      <c r="K6251" s="219"/>
      <c r="L6251" s="219">
        <v>270191.07</v>
      </c>
    </row>
    <row r="6252" spans="1:22" x14ac:dyDescent="0.2">
      <c r="A6252" s="168">
        <v>2022</v>
      </c>
      <c r="B6252" s="168">
        <v>4</v>
      </c>
      <c r="C6252" s="168">
        <v>4</v>
      </c>
      <c r="D6252" s="141">
        <f t="shared" si="342"/>
        <v>44655</v>
      </c>
      <c r="E6252" s="275">
        <f t="shared" si="343"/>
        <v>44655</v>
      </c>
      <c r="F6252" s="479" t="s">
        <v>937</v>
      </c>
      <c r="G6252" s="220" t="s">
        <v>74</v>
      </c>
      <c r="H6252" s="220" t="str" cm="1">
        <f t="array" ref="H6252">IFERROR(INDEX(INVESTOR_LIST[INVESTOR NAME],MATCH(I6252,INVESTOR_LIST[INVESTOR CODE],0),)," ")</f>
        <v xml:space="preserve"> </v>
      </c>
      <c r="I6252" s="142" t="s">
        <v>348</v>
      </c>
      <c r="J6252" s="143" t="s">
        <v>147</v>
      </c>
      <c r="K6252" s="226">
        <v>270191.07</v>
      </c>
      <c r="L6252" s="226"/>
    </row>
    <row r="6253" spans="1:22" x14ac:dyDescent="0.2">
      <c r="A6253" s="163">
        <v>2022</v>
      </c>
      <c r="B6253" s="163">
        <v>4</v>
      </c>
      <c r="C6253" s="163">
        <v>4</v>
      </c>
      <c r="D6253" s="141">
        <f t="shared" si="342"/>
        <v>44655</v>
      </c>
      <c r="E6253" s="275">
        <f t="shared" si="343"/>
        <v>44655</v>
      </c>
      <c r="F6253" s="480"/>
      <c r="G6253" s="221" t="s">
        <v>74</v>
      </c>
      <c r="H6253" s="221" t="str" cm="1">
        <f t="array" ref="H6253">IFERROR(INDEX(INVESTOR_LIST[INVESTOR NAME],MATCH(I6253,INVESTOR_LIST[INVESTOR CODE],0),)," ")</f>
        <v xml:space="preserve"> </v>
      </c>
      <c r="I6253" s="145" t="s">
        <v>348</v>
      </c>
      <c r="J6253" s="146" t="s">
        <v>52</v>
      </c>
      <c r="K6253" s="219"/>
      <c r="L6253" s="219">
        <v>270191.07</v>
      </c>
    </row>
    <row r="6254" spans="1:22" x14ac:dyDescent="0.2">
      <c r="A6254" s="133">
        <v>2022</v>
      </c>
      <c r="B6254" s="133">
        <v>4</v>
      </c>
      <c r="C6254" s="133">
        <v>4</v>
      </c>
      <c r="D6254" s="141">
        <f t="shared" ref="D6254:D6272" si="346">DATE(A6254,B6254,C6254)</f>
        <v>44655</v>
      </c>
      <c r="E6254" s="275">
        <f t="shared" ref="E6254:E6272" si="347">DATE(A6254,B6254,C6254)</f>
        <v>44655</v>
      </c>
      <c r="F6254" s="481" t="s">
        <v>1313</v>
      </c>
      <c r="G6254" s="174" t="s">
        <v>94</v>
      </c>
      <c r="H6254" s="174" t="str" cm="1">
        <f t="array" ref="H6254">IFERROR(INDEX(INVESTOR_LIST[INVESTOR NAME],MATCH(I6254,INVESTOR_LIST[INVESTOR CODE],0),)," ")</f>
        <v xml:space="preserve"> </v>
      </c>
      <c r="I6254" s="148" t="s">
        <v>348</v>
      </c>
      <c r="J6254" s="149" t="s">
        <v>190</v>
      </c>
      <c r="K6254" s="218">
        <v>27590.9</v>
      </c>
      <c r="L6254" s="218"/>
    </row>
    <row r="6255" spans="1:22" x14ac:dyDescent="0.2">
      <c r="A6255" s="133">
        <v>2022</v>
      </c>
      <c r="B6255" s="133">
        <v>4</v>
      </c>
      <c r="C6255" s="133">
        <v>4</v>
      </c>
      <c r="D6255" s="141">
        <f t="shared" ref="D6255:D6256" si="348">DATE(A6255,B6255,C6255)</f>
        <v>44655</v>
      </c>
      <c r="E6255" s="275">
        <f t="shared" ref="E6255:E6256" si="349">DATE(A6255,B6255,C6255)</f>
        <v>44655</v>
      </c>
      <c r="F6255" s="481"/>
      <c r="G6255" s="174" t="s">
        <v>94</v>
      </c>
      <c r="H6255" s="174"/>
      <c r="J6255" s="149" t="s">
        <v>79</v>
      </c>
      <c r="K6255" s="218">
        <v>959200</v>
      </c>
      <c r="L6255" s="218"/>
    </row>
    <row r="6256" spans="1:22" x14ac:dyDescent="0.2">
      <c r="A6256" s="133">
        <v>2022</v>
      </c>
      <c r="B6256" s="133">
        <v>4</v>
      </c>
      <c r="C6256" s="133">
        <v>4</v>
      </c>
      <c r="D6256" s="141">
        <f t="shared" si="348"/>
        <v>44655</v>
      </c>
      <c r="E6256" s="275">
        <f t="shared" si="349"/>
        <v>44655</v>
      </c>
      <c r="F6256" s="481"/>
      <c r="G6256" s="174" t="s">
        <v>94</v>
      </c>
      <c r="H6256" s="174"/>
      <c r="J6256" s="149" t="s">
        <v>80</v>
      </c>
      <c r="K6256" s="218">
        <v>3509.1</v>
      </c>
      <c r="L6256" s="218"/>
    </row>
    <row r="6257" spans="1:13" x14ac:dyDescent="0.2">
      <c r="A6257" s="133">
        <v>2022</v>
      </c>
      <c r="B6257" s="133">
        <v>4</v>
      </c>
      <c r="C6257" s="133">
        <v>4</v>
      </c>
      <c r="D6257" s="141">
        <f t="shared" si="346"/>
        <v>44655</v>
      </c>
      <c r="E6257" s="275">
        <f t="shared" si="347"/>
        <v>44655</v>
      </c>
      <c r="F6257" s="481"/>
      <c r="G6257" s="174" t="s">
        <v>94</v>
      </c>
      <c r="H6257" s="174" t="str" cm="1">
        <f t="array" ref="H6257">IFERROR(INDEX(INVESTOR_LIST[INVESTOR NAME],MATCH(I6257,INVESTOR_LIST[INVESTOR CODE],0),)," ")</f>
        <v xml:space="preserve"> </v>
      </c>
      <c r="I6257" s="148" t="s">
        <v>348</v>
      </c>
      <c r="J6257" s="149" t="s">
        <v>191</v>
      </c>
      <c r="K6257" s="218"/>
      <c r="L6257" s="218">
        <v>511776.9</v>
      </c>
    </row>
    <row r="6258" spans="1:13" x14ac:dyDescent="0.2">
      <c r="A6258" s="163">
        <v>2022</v>
      </c>
      <c r="B6258" s="163">
        <v>4</v>
      </c>
      <c r="C6258" s="163">
        <v>4</v>
      </c>
      <c r="D6258" s="280">
        <f t="shared" si="346"/>
        <v>44655</v>
      </c>
      <c r="E6258" s="281">
        <f t="shared" si="347"/>
        <v>44655</v>
      </c>
      <c r="F6258" s="480"/>
      <c r="G6258" s="221" t="s">
        <v>94</v>
      </c>
      <c r="H6258" s="145" t="str" cm="1">
        <f t="array" ref="H6258">IFERROR(INDEX(INVESTOR_LIST[INVESTOR NAME],MATCH(I6258,INVESTOR_LIST[INVESTOR CODE],0),)," ")</f>
        <v xml:space="preserve"> </v>
      </c>
      <c r="I6258" s="145"/>
      <c r="J6258" s="163" t="s">
        <v>79</v>
      </c>
      <c r="K6258" s="219"/>
      <c r="L6258" s="219">
        <v>478523.1</v>
      </c>
    </row>
    <row r="6259" spans="1:13" x14ac:dyDescent="0.2">
      <c r="A6259" s="168">
        <v>2022</v>
      </c>
      <c r="B6259" s="168">
        <v>4</v>
      </c>
      <c r="C6259" s="168">
        <v>4</v>
      </c>
      <c r="D6259" s="141">
        <f t="shared" si="346"/>
        <v>44655</v>
      </c>
      <c r="E6259" s="275">
        <f t="shared" si="347"/>
        <v>44655</v>
      </c>
      <c r="F6259" s="479" t="s">
        <v>1349</v>
      </c>
      <c r="G6259" s="220" t="s">
        <v>74</v>
      </c>
      <c r="H6259" s="220" t="str" cm="1">
        <f t="array" ref="H6259">IFERROR(INDEX(INVESTOR_LIST[INVESTOR NAME],MATCH(I6259,INVESTOR_LIST[INVESTOR CODE],0),)," ")</f>
        <v xml:space="preserve"> </v>
      </c>
      <c r="I6259" s="142" t="s">
        <v>348</v>
      </c>
      <c r="J6259" s="143" t="s">
        <v>79</v>
      </c>
      <c r="K6259" s="226">
        <v>221140</v>
      </c>
      <c r="L6259" s="226"/>
    </row>
    <row r="6260" spans="1:13" x14ac:dyDescent="0.2">
      <c r="A6260" s="133">
        <v>2022</v>
      </c>
      <c r="B6260" s="133">
        <v>4</v>
      </c>
      <c r="C6260" s="133">
        <v>4</v>
      </c>
      <c r="D6260" s="141">
        <f t="shared" si="346"/>
        <v>44655</v>
      </c>
      <c r="E6260" s="275">
        <f t="shared" si="347"/>
        <v>44655</v>
      </c>
      <c r="F6260" s="481"/>
      <c r="G6260" s="174" t="s">
        <v>74</v>
      </c>
      <c r="H6260" s="174" t="str" cm="1">
        <f t="array" ref="H6260">IFERROR(INDEX(INVESTOR_LIST[INVESTOR NAME],MATCH(I6260,INVESTOR_LIST[INVESTOR CODE],0),)," ")</f>
        <v xml:space="preserve"> </v>
      </c>
      <c r="I6260" s="148" t="s">
        <v>348</v>
      </c>
      <c r="J6260" s="149" t="s">
        <v>52</v>
      </c>
      <c r="K6260" s="218">
        <v>4778860</v>
      </c>
      <c r="L6260" s="218"/>
    </row>
    <row r="6261" spans="1:13" x14ac:dyDescent="0.2">
      <c r="A6261" s="163">
        <v>2022</v>
      </c>
      <c r="B6261" s="163">
        <v>4</v>
      </c>
      <c r="C6261" s="163">
        <v>4</v>
      </c>
      <c r="D6261" s="141">
        <f t="shared" si="346"/>
        <v>44655</v>
      </c>
      <c r="E6261" s="275">
        <f t="shared" si="347"/>
        <v>44655</v>
      </c>
      <c r="F6261" s="480"/>
      <c r="G6261" s="221" t="s">
        <v>74</v>
      </c>
      <c r="H6261" s="221" t="str" cm="1">
        <f t="array" ref="H6261">IFERROR(INDEX(INVESTOR_LIST[INVESTOR NAME],MATCH(I6261,INVESTOR_LIST[INVESTOR CODE],0),)," ")</f>
        <v xml:space="preserve"> </v>
      </c>
      <c r="I6261" s="145" t="s">
        <v>348</v>
      </c>
      <c r="J6261" s="146" t="s">
        <v>184</v>
      </c>
      <c r="K6261" s="219"/>
      <c r="L6261" s="219">
        <v>5000000</v>
      </c>
    </row>
    <row r="6262" spans="1:13" x14ac:dyDescent="0.2">
      <c r="A6262" s="168">
        <v>2022</v>
      </c>
      <c r="B6262" s="168">
        <v>4</v>
      </c>
      <c r="C6262" s="133">
        <v>3</v>
      </c>
      <c r="D6262" s="141">
        <f t="shared" si="346"/>
        <v>44654</v>
      </c>
      <c r="E6262" s="275">
        <f t="shared" si="347"/>
        <v>44654</v>
      </c>
      <c r="F6262" s="479" t="s">
        <v>1319</v>
      </c>
      <c r="G6262" s="220" t="s">
        <v>74</v>
      </c>
      <c r="H6262" s="142" t="str" cm="1">
        <f t="array" ref="H6262">IFERROR(INDEX(INVESTOR_LIST[INVESTOR NAME],MATCH(I6262,INVESTOR_LIST[INVESTOR CODE],0),)," ")</f>
        <v xml:space="preserve"> </v>
      </c>
      <c r="I6262" s="142"/>
      <c r="J6262" s="168" t="s">
        <v>52</v>
      </c>
      <c r="K6262" s="226">
        <v>25000</v>
      </c>
      <c r="L6262" s="226"/>
    </row>
    <row r="6263" spans="1:13" x14ac:dyDescent="0.2">
      <c r="A6263" s="133">
        <v>2022</v>
      </c>
      <c r="B6263" s="133">
        <v>4</v>
      </c>
      <c r="C6263" s="133">
        <v>3</v>
      </c>
      <c r="D6263" s="141">
        <f t="shared" si="346"/>
        <v>44654</v>
      </c>
      <c r="E6263" s="275">
        <f t="shared" si="347"/>
        <v>44654</v>
      </c>
      <c r="F6263" s="481"/>
      <c r="G6263" s="174" t="s">
        <v>74</v>
      </c>
      <c r="H6263" s="148" t="str" cm="1">
        <f t="array" ref="H6263">IFERROR(INDEX(INVESTOR_LIST[INVESTOR NAME],MATCH(I6263,INVESTOR_LIST[INVESTOR CODE],0),)," ")</f>
        <v xml:space="preserve"> </v>
      </c>
      <c r="J6263" s="133" t="s">
        <v>13</v>
      </c>
      <c r="K6263" s="218"/>
      <c r="L6263" s="218">
        <v>20680</v>
      </c>
    </row>
    <row r="6264" spans="1:13" x14ac:dyDescent="0.2">
      <c r="A6264" s="163">
        <v>2022</v>
      </c>
      <c r="B6264" s="163">
        <v>4</v>
      </c>
      <c r="C6264" s="163">
        <v>3</v>
      </c>
      <c r="D6264" s="141">
        <f t="shared" si="346"/>
        <v>44654</v>
      </c>
      <c r="E6264" s="275">
        <f t="shared" si="347"/>
        <v>44654</v>
      </c>
      <c r="F6264" s="480"/>
      <c r="G6264" s="221" t="s">
        <v>74</v>
      </c>
      <c r="H6264" s="145" t="str" cm="1">
        <f t="array" ref="H6264">IFERROR(INDEX(INVESTOR_LIST[INVESTOR NAME],MATCH(I6264,INVESTOR_LIST[INVESTOR CODE],0),)," ")</f>
        <v xml:space="preserve"> </v>
      </c>
      <c r="I6264" s="145"/>
      <c r="J6264" s="163" t="s">
        <v>53</v>
      </c>
      <c r="K6264" s="219"/>
      <c r="L6264" s="219">
        <v>4320</v>
      </c>
    </row>
    <row r="6265" spans="1:13" ht="33.75" x14ac:dyDescent="0.2">
      <c r="A6265" s="168">
        <v>2022</v>
      </c>
      <c r="B6265" s="168">
        <v>4</v>
      </c>
      <c r="C6265" s="133">
        <v>3</v>
      </c>
      <c r="D6265" s="141">
        <f t="shared" si="346"/>
        <v>44654</v>
      </c>
      <c r="E6265" s="275">
        <f t="shared" si="347"/>
        <v>44654</v>
      </c>
      <c r="F6265" s="479" t="s">
        <v>964</v>
      </c>
      <c r="G6265" s="220" t="s">
        <v>74</v>
      </c>
      <c r="H6265" s="142" t="str" cm="1">
        <f t="array" ref="H6265">IFERROR(INDEX(INVESTOR_LIST[INVESTOR NAME],MATCH(I6265,INVESTOR_LIST[INVESTOR CODE],0),)," ")</f>
        <v>MD. NABIL BARKET</v>
      </c>
      <c r="I6265" s="142" t="s">
        <v>599</v>
      </c>
      <c r="J6265" s="168" t="s">
        <v>52</v>
      </c>
      <c r="K6265" s="226">
        <v>100000</v>
      </c>
      <c r="L6265" s="226"/>
    </row>
    <row r="6266" spans="1:13" ht="33.75" x14ac:dyDescent="0.2">
      <c r="A6266" s="133">
        <v>2022</v>
      </c>
      <c r="B6266" s="133">
        <v>4</v>
      </c>
      <c r="C6266" s="133">
        <v>3</v>
      </c>
      <c r="D6266" s="141">
        <f t="shared" si="346"/>
        <v>44654</v>
      </c>
      <c r="E6266" s="275">
        <f t="shared" si="347"/>
        <v>44654</v>
      </c>
      <c r="F6266" s="481"/>
      <c r="G6266" s="174" t="s">
        <v>74</v>
      </c>
      <c r="H6266" s="148" t="str" cm="1">
        <f t="array" ref="H6266">IFERROR(INDEX(INVESTOR_LIST[INVESTOR NAME],MATCH(I6266,INVESTOR_LIST[INVESTOR CODE],0),)," ")</f>
        <v>MD. NABIL BARKET</v>
      </c>
      <c r="I6266" s="148" t="s">
        <v>599</v>
      </c>
      <c r="J6266" s="133" t="s">
        <v>13</v>
      </c>
      <c r="K6266" s="218"/>
      <c r="L6266" s="218">
        <v>82710</v>
      </c>
      <c r="M6266" s="160"/>
    </row>
    <row r="6267" spans="1:13" ht="33.75" x14ac:dyDescent="0.2">
      <c r="A6267" s="163">
        <v>2022</v>
      </c>
      <c r="B6267" s="163">
        <v>4</v>
      </c>
      <c r="C6267" s="163">
        <v>3</v>
      </c>
      <c r="D6267" s="141">
        <f t="shared" si="346"/>
        <v>44654</v>
      </c>
      <c r="E6267" s="275">
        <f t="shared" si="347"/>
        <v>44654</v>
      </c>
      <c r="F6267" s="480"/>
      <c r="G6267" s="221" t="s">
        <v>74</v>
      </c>
      <c r="H6267" s="145" t="str" cm="1">
        <f t="array" ref="H6267">IFERROR(INDEX(INVESTOR_LIST[INVESTOR NAME],MATCH(I6267,INVESTOR_LIST[INVESTOR CODE],0),)," ")</f>
        <v>MD. NABIL BARKET</v>
      </c>
      <c r="I6267" s="145" t="s">
        <v>599</v>
      </c>
      <c r="J6267" s="163" t="s">
        <v>53</v>
      </c>
      <c r="K6267" s="219"/>
      <c r="L6267" s="219">
        <v>17290</v>
      </c>
    </row>
    <row r="6268" spans="1:13" ht="22.5" x14ac:dyDescent="0.2">
      <c r="A6268" s="168">
        <v>2022</v>
      </c>
      <c r="B6268" s="168">
        <v>4</v>
      </c>
      <c r="C6268" s="133">
        <v>3</v>
      </c>
      <c r="D6268" s="141">
        <f t="shared" si="346"/>
        <v>44654</v>
      </c>
      <c r="E6268" s="275">
        <f t="shared" si="347"/>
        <v>44654</v>
      </c>
      <c r="F6268" s="479" t="s">
        <v>964</v>
      </c>
      <c r="G6268" s="220" t="s">
        <v>74</v>
      </c>
      <c r="H6268" s="142" t="str" cm="1">
        <f t="array" ref="H6268">IFERROR(INDEX(INVESTOR_LIST[INVESTOR NAME],MATCH(I6268,INVESTOR_LIST[INVESTOR CODE],0),)," ")</f>
        <v>RASIDA BEGUM</v>
      </c>
      <c r="I6268" s="142" t="s">
        <v>1137</v>
      </c>
      <c r="J6268" s="168" t="s">
        <v>52</v>
      </c>
      <c r="K6268" s="226">
        <v>100000</v>
      </c>
      <c r="L6268" s="226"/>
    </row>
    <row r="6269" spans="1:13" ht="22.5" x14ac:dyDescent="0.2">
      <c r="A6269" s="133">
        <v>2022</v>
      </c>
      <c r="B6269" s="133">
        <v>4</v>
      </c>
      <c r="C6269" s="133">
        <v>3</v>
      </c>
      <c r="D6269" s="141">
        <f t="shared" si="346"/>
        <v>44654</v>
      </c>
      <c r="E6269" s="275">
        <f t="shared" si="347"/>
        <v>44654</v>
      </c>
      <c r="F6269" s="481"/>
      <c r="G6269" s="174" t="s">
        <v>74</v>
      </c>
      <c r="H6269" s="148" t="str" cm="1">
        <f t="array" ref="H6269">IFERROR(INDEX(INVESTOR_LIST[INVESTOR NAME],MATCH(I6269,INVESTOR_LIST[INVESTOR CODE],0),)," ")</f>
        <v>RASIDA BEGUM</v>
      </c>
      <c r="I6269" s="148" t="s">
        <v>1137</v>
      </c>
      <c r="J6269" s="133" t="s">
        <v>13</v>
      </c>
      <c r="K6269" s="218"/>
      <c r="L6269" s="218">
        <v>82710</v>
      </c>
    </row>
    <row r="6270" spans="1:13" ht="22.5" x14ac:dyDescent="0.2">
      <c r="A6270" s="163">
        <v>2022</v>
      </c>
      <c r="B6270" s="163">
        <v>4</v>
      </c>
      <c r="C6270" s="163">
        <v>3</v>
      </c>
      <c r="D6270" s="141">
        <f t="shared" si="346"/>
        <v>44654</v>
      </c>
      <c r="E6270" s="275">
        <f t="shared" si="347"/>
        <v>44654</v>
      </c>
      <c r="F6270" s="480"/>
      <c r="G6270" s="221" t="s">
        <v>74</v>
      </c>
      <c r="H6270" s="145" t="str" cm="1">
        <f t="array" ref="H6270">IFERROR(INDEX(INVESTOR_LIST[INVESTOR NAME],MATCH(I6270,INVESTOR_LIST[INVESTOR CODE],0),)," ")</f>
        <v>RASIDA BEGUM</v>
      </c>
      <c r="I6270" s="145" t="s">
        <v>1137</v>
      </c>
      <c r="J6270" s="163" t="s">
        <v>53</v>
      </c>
      <c r="K6270" s="219"/>
      <c r="L6270" s="219">
        <v>17290</v>
      </c>
    </row>
    <row r="6271" spans="1:13" x14ac:dyDescent="0.2">
      <c r="A6271" s="133">
        <v>2022</v>
      </c>
      <c r="B6271" s="133">
        <v>4</v>
      </c>
      <c r="C6271" s="168">
        <v>3</v>
      </c>
      <c r="D6271" s="141">
        <f t="shared" si="346"/>
        <v>44654</v>
      </c>
      <c r="E6271" s="275">
        <f t="shared" si="347"/>
        <v>44654</v>
      </c>
      <c r="F6271" s="479" t="s">
        <v>77</v>
      </c>
      <c r="G6271" s="174" t="s">
        <v>74</v>
      </c>
      <c r="H6271" s="148" t="str" cm="1">
        <f t="array" ref="H6271">IFERROR(INDEX(INVESTOR_LIST[INVESTOR NAME],MATCH(I6271,INVESTOR_LIST[INVESTOR CODE],0),)," ")</f>
        <v xml:space="preserve"> </v>
      </c>
      <c r="I6271" s="148" t="s">
        <v>348</v>
      </c>
      <c r="J6271" s="133" t="s">
        <v>61</v>
      </c>
      <c r="K6271" s="172">
        <v>10</v>
      </c>
    </row>
    <row r="6272" spans="1:13" x14ac:dyDescent="0.2">
      <c r="A6272" s="163">
        <v>2022</v>
      </c>
      <c r="B6272" s="163">
        <v>4</v>
      </c>
      <c r="C6272" s="163">
        <v>3</v>
      </c>
      <c r="D6272" s="141">
        <f t="shared" si="346"/>
        <v>44654</v>
      </c>
      <c r="E6272" s="275">
        <f t="shared" si="347"/>
        <v>44654</v>
      </c>
      <c r="F6272" s="480"/>
      <c r="G6272" s="221" t="s">
        <v>74</v>
      </c>
      <c r="H6272" s="145" t="str" cm="1">
        <f t="array" ref="H6272">IFERROR(INDEX(INVESTOR_LIST[INVESTOR NAME],MATCH(I6272,INVESTOR_LIST[INVESTOR CODE],0),)," ")</f>
        <v xml:space="preserve"> </v>
      </c>
      <c r="I6272" s="145" t="s">
        <v>348</v>
      </c>
      <c r="J6272" s="163" t="s">
        <v>52</v>
      </c>
      <c r="K6272" s="219"/>
      <c r="L6272" s="219">
        <v>10</v>
      </c>
    </row>
    <row r="6273" spans="1:13" ht="33.75" x14ac:dyDescent="0.2">
      <c r="A6273" s="168">
        <v>2022</v>
      </c>
      <c r="B6273" s="168">
        <v>4</v>
      </c>
      <c r="C6273" s="133">
        <v>5</v>
      </c>
      <c r="D6273" s="141">
        <f>DATE(A6273,B6273,C6273)</f>
        <v>44656</v>
      </c>
      <c r="E6273" s="275">
        <f>DATE(A6273,B6273,C6273)</f>
        <v>44656</v>
      </c>
      <c r="F6273" s="479" t="s">
        <v>1315</v>
      </c>
      <c r="G6273" s="220" t="s">
        <v>74</v>
      </c>
      <c r="H6273" s="142" t="str" cm="1">
        <f t="array" ref="H6273">IFERROR(INDEX(INVESTOR_LIST[INVESTOR NAME],MATCH(I6273,INVESTOR_LIST[INVESTOR CODE],0),)," ")</f>
        <v>RABEYA JAHAN SOAD</v>
      </c>
      <c r="I6273" s="142" t="s">
        <v>447</v>
      </c>
      <c r="J6273" s="168" t="s">
        <v>13</v>
      </c>
      <c r="K6273" s="226">
        <v>236840</v>
      </c>
      <c r="L6273" s="226"/>
    </row>
    <row r="6274" spans="1:13" ht="33.75" x14ac:dyDescent="0.2">
      <c r="A6274" s="133">
        <v>2022</v>
      </c>
      <c r="B6274" s="133">
        <v>4</v>
      </c>
      <c r="C6274" s="133">
        <v>5</v>
      </c>
      <c r="D6274" s="141">
        <f>DATE(A6274,B6274,C6274)</f>
        <v>44656</v>
      </c>
      <c r="E6274" s="275">
        <f>DATE(A6274,B6274,C6274)</f>
        <v>44656</v>
      </c>
      <c r="F6274" s="481"/>
      <c r="G6274" s="174" t="s">
        <v>74</v>
      </c>
      <c r="H6274" s="148" t="str" cm="1">
        <f t="array" ref="H6274">IFERROR(INDEX(INVESTOR_LIST[INVESTOR NAME],MATCH(I6274,INVESTOR_LIST[INVESTOR CODE],0),)," ")</f>
        <v>RABEYA JAHAN SOAD</v>
      </c>
      <c r="I6274" s="148" t="s">
        <v>447</v>
      </c>
      <c r="J6274" s="133" t="s">
        <v>53</v>
      </c>
      <c r="K6274" s="218">
        <v>49499.56</v>
      </c>
      <c r="L6274" s="218"/>
    </row>
    <row r="6275" spans="1:13" ht="33.75" x14ac:dyDescent="0.2">
      <c r="A6275" s="163">
        <v>2022</v>
      </c>
      <c r="B6275" s="163">
        <v>4</v>
      </c>
      <c r="C6275" s="163">
        <v>5</v>
      </c>
      <c r="D6275" s="141">
        <f>DATE(A6275,B6275,C6275)</f>
        <v>44656</v>
      </c>
      <c r="E6275" s="275">
        <f>DATE(A6275,B6275,C6275)</f>
        <v>44656</v>
      </c>
      <c r="F6275" s="480"/>
      <c r="G6275" s="221" t="s">
        <v>74</v>
      </c>
      <c r="H6275" s="145" t="str" cm="1">
        <f t="array" ref="H6275">IFERROR(INDEX(INVESTOR_LIST[INVESTOR NAME],MATCH(I6275,INVESTOR_LIST[INVESTOR CODE],0),)," ")</f>
        <v>RABEYA JAHAN SOAD</v>
      </c>
      <c r="I6275" s="145" t="s">
        <v>447</v>
      </c>
      <c r="J6275" s="163" t="s">
        <v>52</v>
      </c>
      <c r="K6275" s="219"/>
      <c r="L6275" s="219">
        <v>286339.56</v>
      </c>
      <c r="M6275" s="160">
        <v>23684</v>
      </c>
    </row>
    <row r="6276" spans="1:13" x14ac:dyDescent="0.2">
      <c r="A6276" s="168">
        <v>2022</v>
      </c>
      <c r="B6276" s="168">
        <v>4</v>
      </c>
      <c r="C6276" s="133">
        <v>6</v>
      </c>
      <c r="D6276" s="141">
        <f t="shared" ref="D6276:D6288" si="350">DATE(A6276,B6276,C6276)</f>
        <v>44657</v>
      </c>
      <c r="E6276" s="275">
        <f t="shared" ref="E6276:E6288" si="351">DATE(A6276,B6276,C6276)</f>
        <v>44657</v>
      </c>
      <c r="F6276" s="479" t="s">
        <v>1319</v>
      </c>
      <c r="G6276" s="220" t="s">
        <v>74</v>
      </c>
      <c r="H6276" s="142" t="str" cm="1">
        <f t="array" ref="H6276">IFERROR(INDEX(INVESTOR_LIST[INVESTOR NAME],MATCH(I6276,INVESTOR_LIST[INVESTOR CODE],0),)," ")</f>
        <v xml:space="preserve"> </v>
      </c>
      <c r="I6276" s="142"/>
      <c r="J6276" s="168" t="s">
        <v>52</v>
      </c>
      <c r="K6276" s="226">
        <v>345000</v>
      </c>
      <c r="L6276" s="226"/>
    </row>
    <row r="6277" spans="1:13" x14ac:dyDescent="0.2">
      <c r="A6277" s="133">
        <v>2022</v>
      </c>
      <c r="B6277" s="133">
        <v>4</v>
      </c>
      <c r="C6277" s="133">
        <v>6</v>
      </c>
      <c r="D6277" s="141">
        <f t="shared" si="350"/>
        <v>44657</v>
      </c>
      <c r="E6277" s="275">
        <f t="shared" si="351"/>
        <v>44657</v>
      </c>
      <c r="F6277" s="481"/>
      <c r="G6277" s="174" t="s">
        <v>74</v>
      </c>
      <c r="H6277" s="148" t="str" cm="1">
        <f t="array" ref="H6277">IFERROR(INDEX(INVESTOR_LIST[INVESTOR NAME],MATCH(I6277,INVESTOR_LIST[INVESTOR CODE],0),)," ")</f>
        <v xml:space="preserve"> </v>
      </c>
      <c r="J6277" s="133" t="s">
        <v>13</v>
      </c>
      <c r="K6277" s="218"/>
      <c r="L6277" s="218">
        <v>285410</v>
      </c>
    </row>
    <row r="6278" spans="1:13" x14ac:dyDescent="0.2">
      <c r="A6278" s="163">
        <v>2022</v>
      </c>
      <c r="B6278" s="163">
        <v>4</v>
      </c>
      <c r="C6278" s="163">
        <v>6</v>
      </c>
      <c r="D6278" s="141">
        <f t="shared" si="350"/>
        <v>44657</v>
      </c>
      <c r="E6278" s="275">
        <f t="shared" si="351"/>
        <v>44657</v>
      </c>
      <c r="F6278" s="480"/>
      <c r="G6278" s="221" t="s">
        <v>74</v>
      </c>
      <c r="H6278" s="145" t="str" cm="1">
        <f t="array" ref="H6278">IFERROR(INDEX(INVESTOR_LIST[INVESTOR NAME],MATCH(I6278,INVESTOR_LIST[INVESTOR CODE],0),)," ")</f>
        <v xml:space="preserve"> </v>
      </c>
      <c r="I6278" s="145"/>
      <c r="J6278" s="163" t="s">
        <v>53</v>
      </c>
      <c r="K6278" s="219"/>
      <c r="L6278" s="219">
        <v>59590</v>
      </c>
    </row>
    <row r="6279" spans="1:13" ht="123.75" x14ac:dyDescent="0.2">
      <c r="A6279" s="317">
        <v>2022</v>
      </c>
      <c r="B6279" s="317">
        <v>4</v>
      </c>
      <c r="C6279" s="318">
        <v>6</v>
      </c>
      <c r="D6279" s="141">
        <f t="shared" si="350"/>
        <v>44657</v>
      </c>
      <c r="E6279" s="275">
        <f t="shared" si="351"/>
        <v>44657</v>
      </c>
      <c r="F6279" s="479" t="s">
        <v>964</v>
      </c>
      <c r="G6279" s="220" t="s">
        <v>74</v>
      </c>
      <c r="H6279" s="142" t="str" cm="1">
        <f t="array" ref="H6279">IFERROR(INDEX(INVESTOR_LIST[INVESTOR NAME],MATCH(I6279,INVESTOR_LIST[INVESTOR CODE],0),)," ")</f>
        <v>EKUSH WEALTH MANAGEMENT LIMITED EMPLOYEES CONTRIBUTORY PROVIDENT FUND</v>
      </c>
      <c r="I6279" s="220" t="s">
        <v>1299</v>
      </c>
      <c r="J6279" s="168" t="s">
        <v>52</v>
      </c>
      <c r="K6279" s="226">
        <v>22000</v>
      </c>
      <c r="L6279" s="226"/>
    </row>
    <row r="6280" spans="1:13" ht="123.75" x14ac:dyDescent="0.2">
      <c r="A6280" s="318">
        <v>2022</v>
      </c>
      <c r="B6280" s="318">
        <v>4</v>
      </c>
      <c r="C6280" s="318">
        <v>6</v>
      </c>
      <c r="D6280" s="141">
        <f t="shared" si="350"/>
        <v>44657</v>
      </c>
      <c r="E6280" s="275">
        <f t="shared" si="351"/>
        <v>44657</v>
      </c>
      <c r="F6280" s="481"/>
      <c r="G6280" s="174" t="s">
        <v>74</v>
      </c>
      <c r="H6280" s="148" t="str" cm="1">
        <f t="array" ref="H6280">IFERROR(INDEX(INVESTOR_LIST[INVESTOR NAME],MATCH(I6280,INVESTOR_LIST[INVESTOR CODE],0),)," ")</f>
        <v>EKUSH WEALTH MANAGEMENT LIMITED EMPLOYEES CONTRIBUTORY PROVIDENT FUND</v>
      </c>
      <c r="I6280" s="174" t="s">
        <v>1299</v>
      </c>
      <c r="J6280" s="133" t="s">
        <v>13</v>
      </c>
      <c r="K6280" s="218"/>
      <c r="L6280" s="218">
        <v>18200</v>
      </c>
    </row>
    <row r="6281" spans="1:13" ht="123.75" x14ac:dyDescent="0.2">
      <c r="A6281" s="319">
        <v>2022</v>
      </c>
      <c r="B6281" s="319">
        <v>4</v>
      </c>
      <c r="C6281" s="319">
        <v>6</v>
      </c>
      <c r="D6281" s="141">
        <f t="shared" si="350"/>
        <v>44657</v>
      </c>
      <c r="E6281" s="275">
        <f t="shared" si="351"/>
        <v>44657</v>
      </c>
      <c r="F6281" s="480"/>
      <c r="G6281" s="221" t="s">
        <v>74</v>
      </c>
      <c r="H6281" s="145" t="str" cm="1">
        <f t="array" ref="H6281">IFERROR(INDEX(INVESTOR_LIST[INVESTOR NAME],MATCH(I6281,INVESTOR_LIST[INVESTOR CODE],0),)," ")</f>
        <v>EKUSH WEALTH MANAGEMENT LIMITED EMPLOYEES CONTRIBUTORY PROVIDENT FUND</v>
      </c>
      <c r="I6281" s="221" t="s">
        <v>1299</v>
      </c>
      <c r="J6281" s="163" t="s">
        <v>53</v>
      </c>
      <c r="K6281" s="219"/>
      <c r="L6281" s="219">
        <v>3800</v>
      </c>
    </row>
    <row r="6282" spans="1:13" ht="45" x14ac:dyDescent="0.2">
      <c r="A6282" s="168">
        <v>2022</v>
      </c>
      <c r="B6282" s="168">
        <v>4</v>
      </c>
      <c r="C6282" s="133">
        <v>6</v>
      </c>
      <c r="D6282" s="141">
        <f t="shared" si="350"/>
        <v>44657</v>
      </c>
      <c r="E6282" s="275">
        <f t="shared" si="351"/>
        <v>44657</v>
      </c>
      <c r="F6282" s="479" t="s">
        <v>964</v>
      </c>
      <c r="G6282" s="220" t="s">
        <v>74</v>
      </c>
      <c r="H6282" s="142" t="str" cm="1">
        <f t="array" ref="H6282">IFERROR(INDEX(INVESTOR_LIST[INVESTOR NAME],MATCH(I6282,INVESTOR_LIST[INVESTOR CODE],0),)," ")</f>
        <v>MD. MIZANUR RAHMAN</v>
      </c>
      <c r="I6282" s="142" t="s">
        <v>1360</v>
      </c>
      <c r="J6282" s="168" t="s">
        <v>52</v>
      </c>
      <c r="K6282" s="226">
        <v>2000000</v>
      </c>
      <c r="L6282" s="226"/>
    </row>
    <row r="6283" spans="1:13" ht="45" x14ac:dyDescent="0.2">
      <c r="A6283" s="133">
        <v>2022</v>
      </c>
      <c r="B6283" s="133">
        <v>4</v>
      </c>
      <c r="C6283" s="133">
        <v>6</v>
      </c>
      <c r="D6283" s="141">
        <f t="shared" si="350"/>
        <v>44657</v>
      </c>
      <c r="E6283" s="275">
        <f t="shared" si="351"/>
        <v>44657</v>
      </c>
      <c r="F6283" s="481"/>
      <c r="G6283" s="174" t="s">
        <v>74</v>
      </c>
      <c r="H6283" s="148" t="str" cm="1">
        <f t="array" ref="H6283">IFERROR(INDEX(INVESTOR_LIST[INVESTOR NAME],MATCH(I6283,INVESTOR_LIST[INVESTOR CODE],0),)," ")</f>
        <v>MD. MIZANUR RAHMAN</v>
      </c>
      <c r="I6283" s="148" t="s">
        <v>1360</v>
      </c>
      <c r="J6283" s="133" t="s">
        <v>13</v>
      </c>
      <c r="K6283" s="218"/>
      <c r="L6283" s="218">
        <v>1654260</v>
      </c>
      <c r="M6283" s="160"/>
    </row>
    <row r="6284" spans="1:13" ht="45" x14ac:dyDescent="0.2">
      <c r="A6284" s="163">
        <v>2022</v>
      </c>
      <c r="B6284" s="163">
        <v>4</v>
      </c>
      <c r="C6284" s="163">
        <v>6</v>
      </c>
      <c r="D6284" s="141">
        <f t="shared" si="350"/>
        <v>44657</v>
      </c>
      <c r="E6284" s="275">
        <f t="shared" si="351"/>
        <v>44657</v>
      </c>
      <c r="F6284" s="480"/>
      <c r="G6284" s="221" t="s">
        <v>74</v>
      </c>
      <c r="H6284" s="145" t="str" cm="1">
        <f t="array" ref="H6284">IFERROR(INDEX(INVESTOR_LIST[INVESTOR NAME],MATCH(I6284,INVESTOR_LIST[INVESTOR CODE],0),)," ")</f>
        <v>MD. MIZANUR RAHMAN</v>
      </c>
      <c r="I6284" s="145" t="s">
        <v>1360</v>
      </c>
      <c r="J6284" s="163" t="s">
        <v>53</v>
      </c>
      <c r="K6284" s="219"/>
      <c r="L6284" s="219">
        <v>345740</v>
      </c>
    </row>
    <row r="6285" spans="1:13" x14ac:dyDescent="0.2">
      <c r="A6285" s="133">
        <v>2022</v>
      </c>
      <c r="B6285" s="133">
        <v>4</v>
      </c>
      <c r="C6285" s="168">
        <v>6</v>
      </c>
      <c r="D6285" s="141">
        <f t="shared" si="350"/>
        <v>44657</v>
      </c>
      <c r="E6285" s="275">
        <f t="shared" si="351"/>
        <v>44657</v>
      </c>
      <c r="F6285" s="479" t="s">
        <v>77</v>
      </c>
      <c r="G6285" s="174" t="s">
        <v>74</v>
      </c>
      <c r="H6285" s="148" t="str" cm="1">
        <f t="array" ref="H6285">IFERROR(INDEX(INVESTOR_LIST[INVESTOR NAME],MATCH(I6285,INVESTOR_LIST[INVESTOR CODE],0),)," ")</f>
        <v xml:space="preserve"> </v>
      </c>
      <c r="I6285" s="148" t="s">
        <v>348</v>
      </c>
      <c r="J6285" s="133" t="s">
        <v>61</v>
      </c>
      <c r="K6285" s="172">
        <v>60</v>
      </c>
    </row>
    <row r="6286" spans="1:13" x14ac:dyDescent="0.2">
      <c r="A6286" s="163">
        <v>2022</v>
      </c>
      <c r="B6286" s="163">
        <v>4</v>
      </c>
      <c r="C6286" s="163">
        <v>6</v>
      </c>
      <c r="D6286" s="141">
        <f t="shared" si="350"/>
        <v>44657</v>
      </c>
      <c r="E6286" s="275">
        <f t="shared" si="351"/>
        <v>44657</v>
      </c>
      <c r="F6286" s="480"/>
      <c r="G6286" s="221" t="s">
        <v>74</v>
      </c>
      <c r="H6286" s="145" t="str" cm="1">
        <f t="array" ref="H6286">IFERROR(INDEX(INVESTOR_LIST[INVESTOR NAME],MATCH(I6286,INVESTOR_LIST[INVESTOR CODE],0),)," ")</f>
        <v xml:space="preserve"> </v>
      </c>
      <c r="I6286" s="145" t="s">
        <v>348</v>
      </c>
      <c r="J6286" s="163" t="s">
        <v>52</v>
      </c>
      <c r="K6286" s="219"/>
      <c r="L6286" s="219">
        <v>60</v>
      </c>
    </row>
    <row r="6287" spans="1:13" x14ac:dyDescent="0.2">
      <c r="A6287" s="133">
        <v>2022</v>
      </c>
      <c r="B6287" s="133">
        <v>4</v>
      </c>
      <c r="C6287" s="168">
        <v>6</v>
      </c>
      <c r="D6287" s="141">
        <f t="shared" si="350"/>
        <v>44657</v>
      </c>
      <c r="E6287" s="275">
        <f t="shared" si="351"/>
        <v>44657</v>
      </c>
      <c r="F6287" s="479" t="s">
        <v>1393</v>
      </c>
      <c r="G6287" s="174" t="s">
        <v>94</v>
      </c>
      <c r="H6287" s="148" t="str" cm="1">
        <f t="array" ref="H6287">IFERROR(INDEX(INVESTOR_LIST[INVESTOR NAME],MATCH(I6287,INVESTOR_LIST[INVESTOR CODE],0),)," ")</f>
        <v xml:space="preserve"> </v>
      </c>
      <c r="I6287" s="148" t="s">
        <v>348</v>
      </c>
      <c r="J6287" s="133" t="s">
        <v>168</v>
      </c>
      <c r="K6287" s="172">
        <v>295500</v>
      </c>
    </row>
    <row r="6288" spans="1:13" x14ac:dyDescent="0.2">
      <c r="A6288" s="163">
        <v>2022</v>
      </c>
      <c r="B6288" s="163">
        <v>4</v>
      </c>
      <c r="C6288" s="163">
        <v>6</v>
      </c>
      <c r="D6288" s="141">
        <f t="shared" si="350"/>
        <v>44657</v>
      </c>
      <c r="E6288" s="275">
        <f t="shared" si="351"/>
        <v>44657</v>
      </c>
      <c r="F6288" s="480"/>
      <c r="G6288" s="221" t="s">
        <v>94</v>
      </c>
      <c r="H6288" s="145" t="str" cm="1">
        <f t="array" ref="H6288">IFERROR(INDEX(INVESTOR_LIST[INVESTOR NAME],MATCH(I6288,INVESTOR_LIST[INVESTOR CODE],0),)," ")</f>
        <v xml:space="preserve"> </v>
      </c>
      <c r="I6288" s="145" t="s">
        <v>348</v>
      </c>
      <c r="J6288" s="163" t="s">
        <v>166</v>
      </c>
      <c r="K6288" s="219"/>
      <c r="L6288" s="219">
        <v>295500</v>
      </c>
      <c r="M6288" s="172"/>
    </row>
    <row r="6289" spans="1:16" ht="33.75" x14ac:dyDescent="0.2">
      <c r="A6289" s="168">
        <v>2022</v>
      </c>
      <c r="B6289" s="168">
        <v>4</v>
      </c>
      <c r="C6289" s="133">
        <v>7</v>
      </c>
      <c r="D6289" s="141">
        <f>DATE(A6289,B6289,C6289)</f>
        <v>44658</v>
      </c>
      <c r="E6289" s="275">
        <f>DATE(A6289,B6289,C6289)</f>
        <v>44658</v>
      </c>
      <c r="F6289" s="479" t="s">
        <v>1315</v>
      </c>
      <c r="G6289" s="220" t="s">
        <v>74</v>
      </c>
      <c r="H6289" s="142" t="str" cm="1">
        <f t="array" ref="H6289">IFERROR(INDEX(INVESTOR_LIST[INVESTOR NAME],MATCH(I6289,INVESTOR_LIST[INVESTOR CODE],0),)," ")</f>
        <v>MD. IMRAN HOSSAIN</v>
      </c>
      <c r="I6289" s="142" t="s">
        <v>1047</v>
      </c>
      <c r="J6289" s="168" t="s">
        <v>13</v>
      </c>
      <c r="K6289" s="226">
        <v>167640</v>
      </c>
      <c r="L6289" s="226"/>
      <c r="M6289" s="160">
        <v>16764</v>
      </c>
    </row>
    <row r="6290" spans="1:16" ht="33.75" x14ac:dyDescent="0.2">
      <c r="A6290" s="133">
        <v>2022</v>
      </c>
      <c r="B6290" s="133">
        <v>4</v>
      </c>
      <c r="C6290" s="133">
        <v>7</v>
      </c>
      <c r="D6290" s="141">
        <f>DATE(A6290,B6290,C6290)</f>
        <v>44658</v>
      </c>
      <c r="E6290" s="275">
        <f>DATE(A6290,B6290,C6290)</f>
        <v>44658</v>
      </c>
      <c r="F6290" s="481"/>
      <c r="G6290" s="174" t="s">
        <v>74</v>
      </c>
      <c r="H6290" s="148" t="str" cm="1">
        <f t="array" ref="H6290">IFERROR(INDEX(INVESTOR_LIST[INVESTOR NAME],MATCH(I6290,INVESTOR_LIST[INVESTOR CODE],0),)," ")</f>
        <v>MD. IMRAN HOSSAIN</v>
      </c>
      <c r="I6290" s="148" t="s">
        <v>1047</v>
      </c>
      <c r="J6290" s="133" t="s">
        <v>53</v>
      </c>
      <c r="K6290" s="218">
        <v>35036.76</v>
      </c>
      <c r="L6290" s="218"/>
    </row>
    <row r="6291" spans="1:16" ht="33.75" x14ac:dyDescent="0.2">
      <c r="A6291" s="163">
        <v>2022</v>
      </c>
      <c r="B6291" s="163">
        <v>4</v>
      </c>
      <c r="C6291" s="163">
        <v>7</v>
      </c>
      <c r="D6291" s="141">
        <f>DATE(A6291,B6291,C6291)</f>
        <v>44658</v>
      </c>
      <c r="E6291" s="275">
        <f>DATE(A6291,B6291,C6291)</f>
        <v>44658</v>
      </c>
      <c r="F6291" s="480"/>
      <c r="G6291" s="221" t="s">
        <v>74</v>
      </c>
      <c r="H6291" s="145" t="str" cm="1">
        <f t="array" ref="H6291">IFERROR(INDEX(INVESTOR_LIST[INVESTOR NAME],MATCH(I6291,INVESTOR_LIST[INVESTOR CODE],0),)," ")</f>
        <v>MD. IMRAN HOSSAIN</v>
      </c>
      <c r="I6291" s="145" t="s">
        <v>1047</v>
      </c>
      <c r="J6291" s="163" t="s">
        <v>52</v>
      </c>
      <c r="K6291" s="219"/>
      <c r="L6291" s="219">
        <v>202676.76</v>
      </c>
    </row>
    <row r="6292" spans="1:16" x14ac:dyDescent="0.2">
      <c r="A6292" s="238">
        <v>2022</v>
      </c>
      <c r="B6292" s="238">
        <v>4</v>
      </c>
      <c r="C6292" s="238">
        <v>7</v>
      </c>
      <c r="D6292" s="270">
        <f t="shared" ref="D6292:D6319" si="352">DATE(A6292,B6292,C6292)</f>
        <v>44658</v>
      </c>
      <c r="E6292" s="279">
        <f t="shared" ref="E6292:E6319" si="353">DATE(A6292,B6292,C6292)</f>
        <v>44658</v>
      </c>
      <c r="F6292" s="477" t="s">
        <v>347</v>
      </c>
      <c r="G6292" s="239" t="s">
        <v>94</v>
      </c>
      <c r="H6292" s="239" t="str" cm="1">
        <f t="array" ref="H6292">IFERROR(INDEX(INVESTOR_LIST[INVESTOR NAME],MATCH(I6292,INVESTOR_LIST[INVESTOR CODE],0),)," ")</f>
        <v xml:space="preserve"> </v>
      </c>
      <c r="I6292" s="262" t="s">
        <v>348</v>
      </c>
      <c r="J6292" s="240" t="s">
        <v>82</v>
      </c>
      <c r="K6292" s="241">
        <v>106068.42000001669</v>
      </c>
      <c r="L6292" s="241"/>
    </row>
    <row r="6293" spans="1:16" x14ac:dyDescent="0.2">
      <c r="A6293" s="242">
        <v>2022</v>
      </c>
      <c r="B6293" s="242">
        <v>4</v>
      </c>
      <c r="C6293" s="242">
        <v>7</v>
      </c>
      <c r="D6293" s="270">
        <f t="shared" si="352"/>
        <v>44658</v>
      </c>
      <c r="E6293" s="279">
        <f t="shared" si="353"/>
        <v>44658</v>
      </c>
      <c r="F6293" s="478"/>
      <c r="G6293" s="243" t="s">
        <v>94</v>
      </c>
      <c r="H6293" s="243" t="str" cm="1">
        <f t="array" ref="H6293">IFERROR(INDEX(INVESTOR_LIST[INVESTOR NAME],MATCH(I6293,INVESTOR_LIST[INVESTOR CODE],0),)," ")</f>
        <v xml:space="preserve"> </v>
      </c>
      <c r="I6293" s="263" t="s">
        <v>348</v>
      </c>
      <c r="J6293" s="244" t="s">
        <v>108</v>
      </c>
      <c r="K6293" s="245"/>
      <c r="L6293" s="245">
        <v>106068.42000001669</v>
      </c>
    </row>
    <row r="6294" spans="1:16" ht="22.5" x14ac:dyDescent="0.2">
      <c r="A6294" s="246">
        <v>2022</v>
      </c>
      <c r="B6294" s="246">
        <v>4</v>
      </c>
      <c r="C6294" s="246">
        <v>7</v>
      </c>
      <c r="D6294" s="270">
        <f t="shared" si="352"/>
        <v>44658</v>
      </c>
      <c r="E6294" s="279">
        <f t="shared" si="353"/>
        <v>44658</v>
      </c>
      <c r="F6294" s="482" t="s">
        <v>148</v>
      </c>
      <c r="G6294" s="247" t="s">
        <v>94</v>
      </c>
      <c r="H6294" s="247" t="str" cm="1">
        <f t="array" ref="H6294">IFERROR(INDEX(INVESTOR_LIST[INVESTOR NAME],MATCH(I6294,INVESTOR_LIST[INVESTOR CODE],0),)," ")</f>
        <v xml:space="preserve"> </v>
      </c>
      <c r="I6294" s="248" t="s">
        <v>348</v>
      </c>
      <c r="J6294" s="249" t="s">
        <v>95</v>
      </c>
      <c r="K6294" s="250">
        <v>2747.2527472527472</v>
      </c>
      <c r="L6294" s="241"/>
    </row>
    <row r="6295" spans="1:16" x14ac:dyDescent="0.2">
      <c r="A6295" s="242">
        <v>2022</v>
      </c>
      <c r="B6295" s="242">
        <v>4</v>
      </c>
      <c r="C6295" s="242">
        <v>7</v>
      </c>
      <c r="D6295" s="270">
        <f t="shared" si="352"/>
        <v>44658</v>
      </c>
      <c r="E6295" s="279">
        <f t="shared" si="353"/>
        <v>44658</v>
      </c>
      <c r="F6295" s="478"/>
      <c r="G6295" s="243" t="s">
        <v>94</v>
      </c>
      <c r="H6295" s="243" t="str" cm="1">
        <f t="array" ref="H6295">IFERROR(INDEX(INVESTOR_LIST[INVESTOR NAME],MATCH(I6295,INVESTOR_LIST[INVESTOR CODE],0),)," ")</f>
        <v xml:space="preserve"> </v>
      </c>
      <c r="I6295" s="263" t="s">
        <v>348</v>
      </c>
      <c r="J6295" s="244" t="s">
        <v>63</v>
      </c>
      <c r="K6295" s="245"/>
      <c r="L6295" s="245">
        <v>2747.2527472527472</v>
      </c>
    </row>
    <row r="6296" spans="1:16" x14ac:dyDescent="0.2">
      <c r="A6296" s="246">
        <v>2022</v>
      </c>
      <c r="B6296" s="246">
        <v>4</v>
      </c>
      <c r="C6296" s="246">
        <v>7</v>
      </c>
      <c r="D6296" s="270">
        <f t="shared" si="352"/>
        <v>44658</v>
      </c>
      <c r="E6296" s="279">
        <f t="shared" si="353"/>
        <v>44658</v>
      </c>
      <c r="F6296" s="482" t="s">
        <v>137</v>
      </c>
      <c r="G6296" s="247" t="s">
        <v>94</v>
      </c>
      <c r="H6296" s="247" t="str" cm="1">
        <f t="array" ref="H6296">IFERROR(INDEX(INVESTOR_LIST[INVESTOR NAME],MATCH(I6296,INVESTOR_LIST[INVESTOR CODE],0),)," ")</f>
        <v xml:space="preserve"> </v>
      </c>
      <c r="I6296" s="248" t="s">
        <v>348</v>
      </c>
      <c r="J6296" s="249" t="s">
        <v>97</v>
      </c>
      <c r="K6296" s="250">
        <v>85691.733705956431</v>
      </c>
      <c r="L6296" s="252"/>
    </row>
    <row r="6297" spans="1:16" x14ac:dyDescent="0.2">
      <c r="A6297" s="242">
        <v>2022</v>
      </c>
      <c r="B6297" s="242">
        <v>4</v>
      </c>
      <c r="C6297" s="242">
        <v>7</v>
      </c>
      <c r="D6297" s="270">
        <f t="shared" si="352"/>
        <v>44658</v>
      </c>
      <c r="E6297" s="279">
        <f t="shared" si="353"/>
        <v>44658</v>
      </c>
      <c r="F6297" s="478"/>
      <c r="G6297" s="243" t="s">
        <v>94</v>
      </c>
      <c r="H6297" s="243" t="str" cm="1">
        <f t="array" ref="H6297">IFERROR(INDEX(INVESTOR_LIST[INVESTOR NAME],MATCH(I6297,INVESTOR_LIST[INVESTOR CODE],0),)," ")</f>
        <v xml:space="preserve"> </v>
      </c>
      <c r="I6297" s="263" t="s">
        <v>348</v>
      </c>
      <c r="J6297" s="244" t="s">
        <v>47</v>
      </c>
      <c r="K6297" s="245"/>
      <c r="L6297" s="245">
        <v>85691.733705956431</v>
      </c>
    </row>
    <row r="6298" spans="1:16" x14ac:dyDescent="0.2">
      <c r="A6298" s="246">
        <v>2022</v>
      </c>
      <c r="B6298" s="246">
        <v>4</v>
      </c>
      <c r="C6298" s="246">
        <v>7</v>
      </c>
      <c r="D6298" s="270">
        <f t="shared" si="352"/>
        <v>44658</v>
      </c>
      <c r="E6298" s="279">
        <f t="shared" si="353"/>
        <v>44658</v>
      </c>
      <c r="F6298" s="482" t="s">
        <v>138</v>
      </c>
      <c r="G6298" s="247" t="s">
        <v>94</v>
      </c>
      <c r="H6298" s="247" t="str" cm="1">
        <f t="array" ref="H6298">IFERROR(INDEX(INVESTOR_LIST[INVESTOR NAME],MATCH(I6298,INVESTOR_LIST[INVESTOR CODE],0),)," ")</f>
        <v xml:space="preserve"> </v>
      </c>
      <c r="I6298" s="248" t="s">
        <v>348</v>
      </c>
      <c r="J6298" s="249" t="s">
        <v>100</v>
      </c>
      <c r="K6298" s="250">
        <v>4044.2020699132063</v>
      </c>
      <c r="L6298" s="252"/>
    </row>
    <row r="6299" spans="1:16" x14ac:dyDescent="0.2">
      <c r="A6299" s="242">
        <v>2022</v>
      </c>
      <c r="B6299" s="242">
        <v>4</v>
      </c>
      <c r="C6299" s="242">
        <v>7</v>
      </c>
      <c r="D6299" s="270">
        <f t="shared" si="352"/>
        <v>44658</v>
      </c>
      <c r="E6299" s="279">
        <f t="shared" si="353"/>
        <v>44658</v>
      </c>
      <c r="F6299" s="478"/>
      <c r="G6299" s="243" t="s">
        <v>94</v>
      </c>
      <c r="H6299" s="243" t="str" cm="1">
        <f t="array" ref="H6299">IFERROR(INDEX(INVESTOR_LIST[INVESTOR NAME],MATCH(I6299,INVESTOR_LIST[INVESTOR CODE],0),)," ")</f>
        <v xml:space="preserve"> </v>
      </c>
      <c r="I6299" s="263" t="s">
        <v>348</v>
      </c>
      <c r="J6299" s="244" t="s">
        <v>48</v>
      </c>
      <c r="K6299" s="245"/>
      <c r="L6299" s="245">
        <v>4044.2020699132063</v>
      </c>
    </row>
    <row r="6300" spans="1:16" x14ac:dyDescent="0.2">
      <c r="A6300" s="168">
        <v>2022</v>
      </c>
      <c r="B6300" s="168">
        <v>4</v>
      </c>
      <c r="C6300" s="168">
        <v>10</v>
      </c>
      <c r="D6300" s="141">
        <f>DATE(A6300,B6300,C6300)</f>
        <v>44661</v>
      </c>
      <c r="E6300" s="275">
        <f>DATE(A6300,B6300,C6300)</f>
        <v>44661</v>
      </c>
      <c r="F6300" s="479" t="s">
        <v>1361</v>
      </c>
      <c r="G6300" s="220" t="s">
        <v>74</v>
      </c>
      <c r="H6300" s="220" t="str" cm="1">
        <f t="array" ref="H6300">IFERROR(INDEX(INVESTOR_LIST[INVESTOR NAME],MATCH(I6300,INVESTOR_LIST[INVESTOR CODE],0),)," ")</f>
        <v xml:space="preserve"> </v>
      </c>
      <c r="I6300" s="142" t="s">
        <v>348</v>
      </c>
      <c r="J6300" s="143" t="s">
        <v>52</v>
      </c>
      <c r="K6300" s="226">
        <v>27590.9</v>
      </c>
      <c r="L6300" s="226"/>
    </row>
    <row r="6301" spans="1:16" x14ac:dyDescent="0.2">
      <c r="A6301" s="163">
        <v>2022</v>
      </c>
      <c r="B6301" s="163">
        <v>4</v>
      </c>
      <c r="C6301" s="163">
        <v>10</v>
      </c>
      <c r="D6301" s="141">
        <f>DATE(A6301,B6301,C6301)</f>
        <v>44661</v>
      </c>
      <c r="E6301" s="275">
        <f>DATE(A6301,B6301,C6301)</f>
        <v>44661</v>
      </c>
      <c r="F6301" s="480"/>
      <c r="G6301" s="221" t="s">
        <v>74</v>
      </c>
      <c r="H6301" s="221" t="str" cm="1">
        <f t="array" ref="H6301">IFERROR(INDEX(INVESTOR_LIST[INVESTOR NAME],MATCH(I6301,INVESTOR_LIST[INVESTOR CODE],0),)," ")</f>
        <v xml:space="preserve"> </v>
      </c>
      <c r="I6301" s="145" t="s">
        <v>348</v>
      </c>
      <c r="J6301" s="146" t="s">
        <v>190</v>
      </c>
      <c r="K6301" s="219"/>
      <c r="L6301" s="219">
        <v>27590.9</v>
      </c>
    </row>
    <row r="6302" spans="1:16" x14ac:dyDescent="0.2">
      <c r="A6302" s="133">
        <v>2022</v>
      </c>
      <c r="B6302" s="133">
        <v>4</v>
      </c>
      <c r="C6302" s="133">
        <v>10</v>
      </c>
      <c r="D6302" s="141">
        <f t="shared" si="352"/>
        <v>44661</v>
      </c>
      <c r="E6302" s="275">
        <f t="shared" si="353"/>
        <v>44661</v>
      </c>
      <c r="F6302" s="481" t="s">
        <v>1362</v>
      </c>
      <c r="G6302" s="174" t="s">
        <v>94</v>
      </c>
      <c r="H6302" s="174" t="str" cm="1">
        <f t="array" ref="H6302">IFERROR(INDEX(INVESTOR_LIST[INVESTOR NAME],MATCH(I6302,INVESTOR_LIST[INVESTOR CODE],0),)," ")</f>
        <v xml:space="preserve"> </v>
      </c>
      <c r="I6302" s="148" t="s">
        <v>348</v>
      </c>
      <c r="J6302" s="149" t="s">
        <v>79</v>
      </c>
      <c r="K6302" s="218">
        <v>2875038.5</v>
      </c>
      <c r="L6302" s="218"/>
    </row>
    <row r="6303" spans="1:16" x14ac:dyDescent="0.2">
      <c r="A6303" s="133">
        <v>2022</v>
      </c>
      <c r="B6303" s="133">
        <v>4</v>
      </c>
      <c r="C6303" s="133">
        <v>10</v>
      </c>
      <c r="D6303" s="141">
        <f t="shared" si="352"/>
        <v>44661</v>
      </c>
      <c r="E6303" s="275">
        <f t="shared" si="353"/>
        <v>44661</v>
      </c>
      <c r="F6303" s="481"/>
      <c r="G6303" s="174" t="s">
        <v>94</v>
      </c>
      <c r="H6303" s="174"/>
      <c r="J6303" s="149" t="s">
        <v>80</v>
      </c>
      <c r="K6303" s="218">
        <v>9816.23</v>
      </c>
      <c r="L6303" s="218"/>
      <c r="N6303" s="264"/>
      <c r="O6303" s="264"/>
      <c r="P6303" s="264"/>
    </row>
    <row r="6304" spans="1:16" x14ac:dyDescent="0.2">
      <c r="A6304" s="133">
        <v>2022</v>
      </c>
      <c r="B6304" s="133">
        <v>4</v>
      </c>
      <c r="C6304" s="133">
        <v>10</v>
      </c>
      <c r="D6304" s="141">
        <f t="shared" si="352"/>
        <v>44661</v>
      </c>
      <c r="E6304" s="275">
        <f t="shared" si="353"/>
        <v>44661</v>
      </c>
      <c r="F6304" s="481"/>
      <c r="G6304" s="174" t="s">
        <v>94</v>
      </c>
      <c r="H6304" s="174"/>
      <c r="J6304" s="149" t="s">
        <v>191</v>
      </c>
      <c r="K6304" s="218">
        <v>21349.52</v>
      </c>
      <c r="L6304" s="218"/>
    </row>
    <row r="6305" spans="1:13" x14ac:dyDescent="0.2">
      <c r="A6305" s="133">
        <v>2022</v>
      </c>
      <c r="B6305" s="133">
        <v>4</v>
      </c>
      <c r="C6305" s="133">
        <v>10</v>
      </c>
      <c r="D6305" s="141">
        <f t="shared" si="352"/>
        <v>44661</v>
      </c>
      <c r="E6305" s="275">
        <f t="shared" si="353"/>
        <v>44661</v>
      </c>
      <c r="F6305" s="481"/>
      <c r="G6305" s="174" t="s">
        <v>94</v>
      </c>
      <c r="H6305" s="174" t="str" cm="1">
        <f t="array" ref="H6305">IFERROR(INDEX(INVESTOR_LIST[INVESTOR NAME],MATCH(I6305,INVESTOR_LIST[INVESTOR CODE],0),)," ")</f>
        <v xml:space="preserve"> </v>
      </c>
      <c r="I6305" s="148" t="s">
        <v>348</v>
      </c>
      <c r="J6305" s="149" t="s">
        <v>147</v>
      </c>
      <c r="K6305" s="218"/>
      <c r="L6305" s="218">
        <v>306432.53000000003</v>
      </c>
    </row>
    <row r="6306" spans="1:13" x14ac:dyDescent="0.2">
      <c r="A6306" s="163">
        <v>2022</v>
      </c>
      <c r="B6306" s="163">
        <v>4</v>
      </c>
      <c r="C6306" s="163">
        <v>10</v>
      </c>
      <c r="D6306" s="280">
        <f t="shared" si="352"/>
        <v>44661</v>
      </c>
      <c r="E6306" s="281">
        <f t="shared" si="353"/>
        <v>44661</v>
      </c>
      <c r="F6306" s="480"/>
      <c r="G6306" s="221" t="s">
        <v>94</v>
      </c>
      <c r="H6306" s="145" t="str" cm="1">
        <f t="array" ref="H6306">IFERROR(INDEX(INVESTOR_LIST[INVESTOR NAME],MATCH(I6306,INVESTOR_LIST[INVESTOR CODE],0),)," ")</f>
        <v xml:space="preserve"> </v>
      </c>
      <c r="I6306" s="145"/>
      <c r="J6306" s="163" t="s">
        <v>79</v>
      </c>
      <c r="K6306" s="219"/>
      <c r="L6306" s="219">
        <v>2599771.7200000002</v>
      </c>
    </row>
    <row r="6307" spans="1:13" x14ac:dyDescent="0.2">
      <c r="A6307" s="168">
        <v>2022</v>
      </c>
      <c r="B6307" s="168">
        <v>4</v>
      </c>
      <c r="C6307" s="168">
        <v>11</v>
      </c>
      <c r="D6307" s="141">
        <f t="shared" si="352"/>
        <v>44662</v>
      </c>
      <c r="E6307" s="275">
        <f t="shared" si="353"/>
        <v>44662</v>
      </c>
      <c r="F6307" s="479" t="s">
        <v>937</v>
      </c>
      <c r="G6307" s="220" t="s">
        <v>74</v>
      </c>
      <c r="H6307" s="220" t="str" cm="1">
        <f t="array" ref="H6307">IFERROR(INDEX(INVESTOR_LIST[INVESTOR NAME],MATCH(I6307,INVESTOR_LIST[INVESTOR CODE],0),)," ")</f>
        <v xml:space="preserve"> </v>
      </c>
      <c r="I6307" s="142" t="s">
        <v>348</v>
      </c>
      <c r="J6307" s="143" t="s">
        <v>147</v>
      </c>
      <c r="K6307" s="226">
        <v>306432.53000000003</v>
      </c>
      <c r="L6307" s="226"/>
    </row>
    <row r="6308" spans="1:13" x14ac:dyDescent="0.2">
      <c r="A6308" s="163">
        <v>2022</v>
      </c>
      <c r="B6308" s="163">
        <v>4</v>
      </c>
      <c r="C6308" s="163">
        <v>11</v>
      </c>
      <c r="D6308" s="141">
        <f t="shared" si="352"/>
        <v>44662</v>
      </c>
      <c r="E6308" s="275">
        <f t="shared" si="353"/>
        <v>44662</v>
      </c>
      <c r="F6308" s="480"/>
      <c r="G6308" s="221" t="s">
        <v>74</v>
      </c>
      <c r="H6308" s="221" t="str" cm="1">
        <f t="array" ref="H6308">IFERROR(INDEX(INVESTOR_LIST[INVESTOR NAME],MATCH(I6308,INVESTOR_LIST[INVESTOR CODE],0),)," ")</f>
        <v xml:space="preserve"> </v>
      </c>
      <c r="I6308" s="145" t="s">
        <v>348</v>
      </c>
      <c r="J6308" s="146" t="s">
        <v>52</v>
      </c>
      <c r="K6308" s="219"/>
      <c r="L6308" s="219">
        <v>306432.53000000003</v>
      </c>
    </row>
    <row r="6309" spans="1:13" x14ac:dyDescent="0.2">
      <c r="A6309" s="168">
        <v>2022</v>
      </c>
      <c r="B6309" s="168">
        <v>4</v>
      </c>
      <c r="C6309" s="168">
        <v>11</v>
      </c>
      <c r="D6309" s="141">
        <f t="shared" si="352"/>
        <v>44662</v>
      </c>
      <c r="E6309" s="275">
        <f t="shared" si="353"/>
        <v>44662</v>
      </c>
      <c r="F6309" s="481" t="s">
        <v>275</v>
      </c>
      <c r="G6309" s="174" t="s">
        <v>74</v>
      </c>
      <c r="H6309" s="174" t="str" cm="1">
        <f t="array" ref="H6309">IFERROR(INDEX(INVESTOR_LIST[INVESTOR NAME],MATCH(I6309,INVESTOR_LIST[INVESTOR CODE],0),)," ")</f>
        <v xml:space="preserve"> </v>
      </c>
      <c r="I6309" s="148" t="s">
        <v>348</v>
      </c>
      <c r="J6309" s="149" t="s">
        <v>163</v>
      </c>
      <c r="K6309" s="218">
        <v>1575</v>
      </c>
      <c r="L6309" s="218"/>
    </row>
    <row r="6310" spans="1:13" x14ac:dyDescent="0.2">
      <c r="A6310" s="163">
        <v>2022</v>
      </c>
      <c r="B6310" s="163">
        <v>4</v>
      </c>
      <c r="C6310" s="163">
        <v>11</v>
      </c>
      <c r="D6310" s="141">
        <f t="shared" si="352"/>
        <v>44662</v>
      </c>
      <c r="E6310" s="275">
        <f t="shared" si="353"/>
        <v>44662</v>
      </c>
      <c r="F6310" s="480"/>
      <c r="G6310" s="221" t="s">
        <v>74</v>
      </c>
      <c r="H6310" s="221" t="str" cm="1">
        <f t="array" ref="H6310">IFERROR(INDEX(INVESTOR_LIST[INVESTOR NAME],MATCH(I6310,INVESTOR_LIST[INVESTOR CODE],0),)," ")</f>
        <v xml:space="preserve"> </v>
      </c>
      <c r="I6310" s="145" t="s">
        <v>348</v>
      </c>
      <c r="J6310" s="146" t="s">
        <v>52</v>
      </c>
      <c r="K6310" s="219"/>
      <c r="L6310" s="219">
        <v>1575</v>
      </c>
    </row>
    <row r="6311" spans="1:13" ht="45" x14ac:dyDescent="0.2">
      <c r="A6311" s="168">
        <v>2022</v>
      </c>
      <c r="B6311" s="168">
        <v>4</v>
      </c>
      <c r="C6311" s="133">
        <v>11</v>
      </c>
      <c r="D6311" s="141">
        <f>DATE(A6311,B6311,C6311)</f>
        <v>44662</v>
      </c>
      <c r="E6311" s="275">
        <f>DATE(A6311,B6311,C6311)</f>
        <v>44662</v>
      </c>
      <c r="F6311" s="479" t="s">
        <v>1315</v>
      </c>
      <c r="G6311" s="220" t="s">
        <v>74</v>
      </c>
      <c r="H6311" s="142" t="str" cm="1">
        <f t="array" ref="H6311">IFERROR(INDEX(INVESTOR_LIST[INVESTOR NAME],MATCH(I6311,INVESTOR_LIST[INVESTOR CODE],0),)," ")</f>
        <v>SHARMEEN MAHMUD</v>
      </c>
      <c r="I6311" s="142" t="s">
        <v>924</v>
      </c>
      <c r="J6311" s="168" t="s">
        <v>13</v>
      </c>
      <c r="K6311" s="226">
        <v>14520</v>
      </c>
      <c r="L6311" s="226"/>
    </row>
    <row r="6312" spans="1:13" ht="45" x14ac:dyDescent="0.2">
      <c r="A6312" s="133">
        <v>2022</v>
      </c>
      <c r="B6312" s="133">
        <v>4</v>
      </c>
      <c r="C6312" s="133">
        <v>11</v>
      </c>
      <c r="D6312" s="141">
        <f>DATE(A6312,B6312,C6312)</f>
        <v>44662</v>
      </c>
      <c r="E6312" s="275">
        <f>DATE(A6312,B6312,C6312)</f>
        <v>44662</v>
      </c>
      <c r="F6312" s="481"/>
      <c r="G6312" s="174" t="s">
        <v>74</v>
      </c>
      <c r="H6312" s="148" t="str" cm="1">
        <f t="array" ref="H6312">IFERROR(INDEX(INVESTOR_LIST[INVESTOR NAME],MATCH(I6312,INVESTOR_LIST[INVESTOR CODE],0),)," ")</f>
        <v>SHARMEEN MAHMUD</v>
      </c>
      <c r="I6312" s="148" t="s">
        <v>924</v>
      </c>
      <c r="J6312" s="133" t="s">
        <v>53</v>
      </c>
      <c r="K6312" s="218">
        <v>3107.28</v>
      </c>
      <c r="L6312" s="218"/>
    </row>
    <row r="6313" spans="1:13" ht="45" x14ac:dyDescent="0.2">
      <c r="A6313" s="163">
        <v>2022</v>
      </c>
      <c r="B6313" s="163">
        <v>4</v>
      </c>
      <c r="C6313" s="163">
        <v>11</v>
      </c>
      <c r="D6313" s="141">
        <f>DATE(A6313,B6313,C6313)</f>
        <v>44662</v>
      </c>
      <c r="E6313" s="275">
        <f>DATE(A6313,B6313,C6313)</f>
        <v>44662</v>
      </c>
      <c r="F6313" s="480"/>
      <c r="G6313" s="221" t="s">
        <v>74</v>
      </c>
      <c r="H6313" s="145" t="str" cm="1">
        <f t="array" ref="H6313">IFERROR(INDEX(INVESTOR_LIST[INVESTOR NAME],MATCH(I6313,INVESTOR_LIST[INVESTOR CODE],0),)," ")</f>
        <v>SHARMEEN MAHMUD</v>
      </c>
      <c r="I6313" s="145" t="s">
        <v>924</v>
      </c>
      <c r="J6313" s="163" t="s">
        <v>52</v>
      </c>
      <c r="K6313" s="219"/>
      <c r="L6313" s="219">
        <v>17627.28</v>
      </c>
    </row>
    <row r="6314" spans="1:13" ht="33.75" x14ac:dyDescent="0.2">
      <c r="A6314" s="168">
        <v>2022</v>
      </c>
      <c r="B6314" s="168">
        <v>4</v>
      </c>
      <c r="C6314" s="133">
        <v>11</v>
      </c>
      <c r="D6314" s="141">
        <f t="shared" ref="D6314:D6316" si="354">DATE(A6314,B6314,C6314)</f>
        <v>44662</v>
      </c>
      <c r="E6314" s="275">
        <f t="shared" ref="E6314:E6316" si="355">DATE(A6314,B6314,C6314)</f>
        <v>44662</v>
      </c>
      <c r="F6314" s="479" t="s">
        <v>964</v>
      </c>
      <c r="G6314" s="220" t="s">
        <v>74</v>
      </c>
      <c r="H6314" s="142" t="str" cm="1">
        <f t="array" ref="H6314">IFERROR(INDEX(INVESTOR_LIST[INVESTOR NAME],MATCH(I6314,INVESTOR_LIST[INVESTOR CODE],0),)," ")</f>
        <v>MD. TAZUL ISLAM</v>
      </c>
      <c r="I6314" s="142" t="s">
        <v>1364</v>
      </c>
      <c r="J6314" s="168" t="s">
        <v>52</v>
      </c>
      <c r="K6314" s="226">
        <v>500000</v>
      </c>
      <c r="L6314" s="226"/>
    </row>
    <row r="6315" spans="1:13" ht="33.75" x14ac:dyDescent="0.2">
      <c r="A6315" s="133">
        <v>2022</v>
      </c>
      <c r="B6315" s="133">
        <v>4</v>
      </c>
      <c r="C6315" s="133">
        <v>11</v>
      </c>
      <c r="D6315" s="141">
        <f t="shared" si="354"/>
        <v>44662</v>
      </c>
      <c r="E6315" s="275">
        <f t="shared" si="355"/>
        <v>44662</v>
      </c>
      <c r="F6315" s="481"/>
      <c r="G6315" s="174" t="s">
        <v>74</v>
      </c>
      <c r="H6315" s="148" t="str" cm="1">
        <f t="array" ref="H6315">IFERROR(INDEX(INVESTOR_LIST[INVESTOR NAME],MATCH(I6315,INVESTOR_LIST[INVESTOR CODE],0),)," ")</f>
        <v>MD. TAZUL ISLAM</v>
      </c>
      <c r="I6315" s="148" t="s">
        <v>1364</v>
      </c>
      <c r="J6315" s="133" t="s">
        <v>13</v>
      </c>
      <c r="K6315" s="218"/>
      <c r="L6315" s="218">
        <v>411860</v>
      </c>
      <c r="M6315" s="160"/>
    </row>
    <row r="6316" spans="1:13" ht="33.75" x14ac:dyDescent="0.2">
      <c r="A6316" s="163">
        <v>2022</v>
      </c>
      <c r="B6316" s="163">
        <v>4</v>
      </c>
      <c r="C6316" s="163">
        <v>11</v>
      </c>
      <c r="D6316" s="141">
        <f t="shared" si="354"/>
        <v>44662</v>
      </c>
      <c r="E6316" s="275">
        <f t="shared" si="355"/>
        <v>44662</v>
      </c>
      <c r="F6316" s="480"/>
      <c r="G6316" s="221" t="s">
        <v>74</v>
      </c>
      <c r="H6316" s="145" t="str" cm="1">
        <f t="array" ref="H6316">IFERROR(INDEX(INVESTOR_LIST[INVESTOR NAME],MATCH(I6316,INVESTOR_LIST[INVESTOR CODE],0),)," ")</f>
        <v>MD. TAZUL ISLAM</v>
      </c>
      <c r="I6316" s="145" t="s">
        <v>1364</v>
      </c>
      <c r="J6316" s="163" t="s">
        <v>53</v>
      </c>
      <c r="K6316" s="219"/>
      <c r="L6316" s="219">
        <v>88140</v>
      </c>
    </row>
    <row r="6317" spans="1:13" x14ac:dyDescent="0.2">
      <c r="A6317" s="133">
        <v>2022</v>
      </c>
      <c r="B6317" s="133">
        <v>4</v>
      </c>
      <c r="C6317" s="133">
        <v>12</v>
      </c>
      <c r="D6317" s="141">
        <f t="shared" si="352"/>
        <v>44663</v>
      </c>
      <c r="E6317" s="275">
        <f t="shared" si="353"/>
        <v>44663</v>
      </c>
      <c r="F6317" s="481" t="s">
        <v>1363</v>
      </c>
      <c r="G6317" s="174" t="s">
        <v>94</v>
      </c>
      <c r="H6317" s="174" t="str" cm="1">
        <f t="array" ref="H6317">IFERROR(INDEX(INVESTOR_LIST[INVESTOR NAME],MATCH(I6317,INVESTOR_LIST[INVESTOR CODE],0),)," ")</f>
        <v xml:space="preserve"> </v>
      </c>
      <c r="I6317" s="148" t="s">
        <v>348</v>
      </c>
      <c r="J6317" s="149" t="s">
        <v>79</v>
      </c>
      <c r="K6317" s="218">
        <v>666000</v>
      </c>
      <c r="L6317" s="218"/>
    </row>
    <row r="6318" spans="1:13" x14ac:dyDescent="0.2">
      <c r="A6318" s="133">
        <v>2022</v>
      </c>
      <c r="B6318" s="133">
        <v>4</v>
      </c>
      <c r="C6318" s="133">
        <v>12</v>
      </c>
      <c r="D6318" s="141">
        <f t="shared" si="352"/>
        <v>44663</v>
      </c>
      <c r="E6318" s="275">
        <f t="shared" si="353"/>
        <v>44663</v>
      </c>
      <c r="F6318" s="481"/>
      <c r="G6318" s="174" t="s">
        <v>94</v>
      </c>
      <c r="H6318" s="174" t="str" cm="1">
        <f t="array" ref="H6318">IFERROR(INDEX(INVESTOR_LIST[INVESTOR NAME],MATCH(I6318,INVESTOR_LIST[INVESTOR CODE],0),)," ")</f>
        <v xml:space="preserve"> </v>
      </c>
      <c r="I6318" s="148" t="s">
        <v>348</v>
      </c>
      <c r="J6318" s="149" t="s">
        <v>80</v>
      </c>
      <c r="K6318" s="218">
        <v>1198.8</v>
      </c>
      <c r="L6318" s="218"/>
    </row>
    <row r="6319" spans="1:13" x14ac:dyDescent="0.2">
      <c r="A6319" s="163">
        <v>2022</v>
      </c>
      <c r="B6319" s="163">
        <v>4</v>
      </c>
      <c r="C6319" s="163">
        <v>12</v>
      </c>
      <c r="D6319" s="280">
        <f t="shared" si="352"/>
        <v>44663</v>
      </c>
      <c r="E6319" s="281">
        <f t="shared" si="353"/>
        <v>44663</v>
      </c>
      <c r="F6319" s="480"/>
      <c r="G6319" s="221" t="s">
        <v>94</v>
      </c>
      <c r="H6319" s="145" t="str" cm="1">
        <f t="array" ref="H6319">IFERROR(INDEX(INVESTOR_LIST[INVESTOR NAME],MATCH(I6319,INVESTOR_LIST[INVESTOR CODE],0),)," ")</f>
        <v xml:space="preserve"> </v>
      </c>
      <c r="I6319" s="145"/>
      <c r="J6319" s="163" t="s">
        <v>147</v>
      </c>
      <c r="K6319" s="219"/>
      <c r="L6319" s="219">
        <v>667198.80000000005</v>
      </c>
    </row>
    <row r="6320" spans="1:13" x14ac:dyDescent="0.2">
      <c r="A6320" s="168">
        <v>2022</v>
      </c>
      <c r="B6320" s="168">
        <v>4</v>
      </c>
      <c r="C6320" s="168">
        <v>13</v>
      </c>
      <c r="D6320" s="141">
        <f t="shared" ref="D6320:D6334" si="356">DATE(A6320,B6320,C6320)</f>
        <v>44664</v>
      </c>
      <c r="E6320" s="275">
        <f t="shared" ref="E6320:E6334" si="357">DATE(A6320,B6320,C6320)</f>
        <v>44664</v>
      </c>
      <c r="F6320" s="481" t="s">
        <v>982</v>
      </c>
      <c r="G6320" s="174" t="s">
        <v>74</v>
      </c>
      <c r="H6320" s="174" t="str" cm="1">
        <f t="array" ref="H6320">IFERROR(INDEX(INVESTOR_LIST[INVESTOR NAME],MATCH(I6320,INVESTOR_LIST[INVESTOR CODE],0),)," ")</f>
        <v xml:space="preserve"> </v>
      </c>
      <c r="I6320" s="148" t="s">
        <v>348</v>
      </c>
      <c r="J6320" s="149" t="s">
        <v>163</v>
      </c>
      <c r="K6320" s="218">
        <v>4000</v>
      </c>
      <c r="L6320" s="218"/>
    </row>
    <row r="6321" spans="1:13" x14ac:dyDescent="0.2">
      <c r="A6321" s="163">
        <v>2022</v>
      </c>
      <c r="B6321" s="163">
        <v>4</v>
      </c>
      <c r="C6321" s="163">
        <v>13</v>
      </c>
      <c r="D6321" s="141">
        <f t="shared" si="356"/>
        <v>44664</v>
      </c>
      <c r="E6321" s="275">
        <f t="shared" si="357"/>
        <v>44664</v>
      </c>
      <c r="F6321" s="480"/>
      <c r="G6321" s="221" t="s">
        <v>74</v>
      </c>
      <c r="H6321" s="221" t="str" cm="1">
        <f t="array" ref="H6321">IFERROR(INDEX(INVESTOR_LIST[INVESTOR NAME],MATCH(I6321,INVESTOR_LIST[INVESTOR CODE],0),)," ")</f>
        <v xml:space="preserve"> </v>
      </c>
      <c r="I6321" s="145" t="s">
        <v>348</v>
      </c>
      <c r="J6321" s="146" t="s">
        <v>52</v>
      </c>
      <c r="K6321" s="219"/>
      <c r="L6321" s="219">
        <v>4000</v>
      </c>
    </row>
    <row r="6322" spans="1:13" x14ac:dyDescent="0.2">
      <c r="A6322" s="168">
        <v>2022</v>
      </c>
      <c r="B6322" s="168">
        <v>4</v>
      </c>
      <c r="C6322" s="168">
        <v>13</v>
      </c>
      <c r="D6322" s="141">
        <f t="shared" si="356"/>
        <v>44664</v>
      </c>
      <c r="E6322" s="275">
        <f t="shared" si="357"/>
        <v>44664</v>
      </c>
      <c r="F6322" s="479" t="s">
        <v>937</v>
      </c>
      <c r="G6322" s="220" t="s">
        <v>74</v>
      </c>
      <c r="H6322" s="220" t="str" cm="1">
        <f t="array" ref="H6322">IFERROR(INDEX(INVESTOR_LIST[INVESTOR NAME],MATCH(I6322,INVESTOR_LIST[INVESTOR CODE],0),)," ")</f>
        <v xml:space="preserve"> </v>
      </c>
      <c r="I6322" s="142" t="s">
        <v>348</v>
      </c>
      <c r="J6322" s="143" t="s">
        <v>147</v>
      </c>
      <c r="K6322" s="226">
        <v>667198.80000000005</v>
      </c>
      <c r="L6322" s="226"/>
    </row>
    <row r="6323" spans="1:13" x14ac:dyDescent="0.2">
      <c r="A6323" s="163">
        <v>2022</v>
      </c>
      <c r="B6323" s="163">
        <v>4</v>
      </c>
      <c r="C6323" s="163">
        <v>13</v>
      </c>
      <c r="D6323" s="141">
        <f t="shared" si="356"/>
        <v>44664</v>
      </c>
      <c r="E6323" s="275">
        <f t="shared" si="357"/>
        <v>44664</v>
      </c>
      <c r="F6323" s="480"/>
      <c r="G6323" s="221" t="s">
        <v>74</v>
      </c>
      <c r="H6323" s="221" t="str" cm="1">
        <f t="array" ref="H6323">IFERROR(INDEX(INVESTOR_LIST[INVESTOR NAME],MATCH(I6323,INVESTOR_LIST[INVESTOR CODE],0),)," ")</f>
        <v xml:space="preserve"> </v>
      </c>
      <c r="I6323" s="145" t="s">
        <v>348</v>
      </c>
      <c r="J6323" s="146" t="s">
        <v>52</v>
      </c>
      <c r="K6323" s="219"/>
      <c r="L6323" s="219">
        <v>667198.80000000005</v>
      </c>
    </row>
    <row r="6324" spans="1:13" ht="45" x14ac:dyDescent="0.2">
      <c r="A6324" s="168">
        <v>2022</v>
      </c>
      <c r="B6324" s="168">
        <v>4</v>
      </c>
      <c r="C6324" s="133">
        <v>13</v>
      </c>
      <c r="D6324" s="141">
        <f t="shared" si="356"/>
        <v>44664</v>
      </c>
      <c r="E6324" s="275">
        <f t="shared" si="357"/>
        <v>44664</v>
      </c>
      <c r="F6324" s="479" t="s">
        <v>964</v>
      </c>
      <c r="G6324" s="220" t="s">
        <v>74</v>
      </c>
      <c r="H6324" s="142" t="str" cm="1">
        <f t="array" ref="H6324">IFERROR(INDEX(INVESTOR_LIST[INVESTOR NAME],MATCH(I6324,INVESTOR_LIST[INVESTOR CODE],0),)," ")</f>
        <v>MD. WALID - AL - ZUBAYER</v>
      </c>
      <c r="I6324" s="142" t="s">
        <v>764</v>
      </c>
      <c r="J6324" s="168" t="s">
        <v>52</v>
      </c>
      <c r="K6324" s="226">
        <v>297430</v>
      </c>
      <c r="L6324" s="226"/>
    </row>
    <row r="6325" spans="1:13" ht="45" x14ac:dyDescent="0.2">
      <c r="A6325" s="133">
        <v>2022</v>
      </c>
      <c r="B6325" s="133">
        <v>4</v>
      </c>
      <c r="C6325" s="133">
        <v>13</v>
      </c>
      <c r="D6325" s="141">
        <f t="shared" si="356"/>
        <v>44664</v>
      </c>
      <c r="E6325" s="275">
        <f t="shared" si="357"/>
        <v>44664</v>
      </c>
      <c r="F6325" s="481"/>
      <c r="G6325" s="174" t="s">
        <v>74</v>
      </c>
      <c r="H6325" s="148" t="str" cm="1">
        <f t="array" ref="H6325">IFERROR(INDEX(INVESTOR_LIST[INVESTOR NAME],MATCH(I6325,INVESTOR_LIST[INVESTOR CODE],0),)," ")</f>
        <v>MD. WALID - AL - ZUBAYER</v>
      </c>
      <c r="I6325" s="148" t="s">
        <v>764</v>
      </c>
      <c r="J6325" s="133" t="s">
        <v>13</v>
      </c>
      <c r="K6325" s="218"/>
      <c r="L6325" s="218">
        <v>245000</v>
      </c>
    </row>
    <row r="6326" spans="1:13" ht="45" x14ac:dyDescent="0.2">
      <c r="A6326" s="163">
        <v>2022</v>
      </c>
      <c r="B6326" s="163">
        <v>4</v>
      </c>
      <c r="C6326" s="163">
        <v>13</v>
      </c>
      <c r="D6326" s="141">
        <f t="shared" si="356"/>
        <v>44664</v>
      </c>
      <c r="E6326" s="275">
        <f t="shared" si="357"/>
        <v>44664</v>
      </c>
      <c r="F6326" s="480"/>
      <c r="G6326" s="221" t="s">
        <v>74</v>
      </c>
      <c r="H6326" s="145" t="str" cm="1">
        <f t="array" ref="H6326">IFERROR(INDEX(INVESTOR_LIST[INVESTOR NAME],MATCH(I6326,INVESTOR_LIST[INVESTOR CODE],0),)," ")</f>
        <v>MD. WALID - AL - ZUBAYER</v>
      </c>
      <c r="I6326" s="145" t="s">
        <v>764</v>
      </c>
      <c r="J6326" s="163" t="s">
        <v>53</v>
      </c>
      <c r="K6326" s="219"/>
      <c r="L6326" s="219">
        <v>52430</v>
      </c>
    </row>
    <row r="6327" spans="1:13" x14ac:dyDescent="0.2">
      <c r="A6327" s="238">
        <v>2022</v>
      </c>
      <c r="B6327" s="238">
        <v>4</v>
      </c>
      <c r="C6327" s="238">
        <v>13</v>
      </c>
      <c r="D6327" s="270">
        <f t="shared" si="356"/>
        <v>44664</v>
      </c>
      <c r="E6327" s="279">
        <f t="shared" si="357"/>
        <v>44664</v>
      </c>
      <c r="F6327" s="477" t="s">
        <v>347</v>
      </c>
      <c r="G6327" s="239" t="s">
        <v>94</v>
      </c>
      <c r="H6327" s="239" t="str" cm="1">
        <f t="array" ref="H6327">IFERROR(INDEX(INVESTOR_LIST[INVESTOR NAME],MATCH(I6327,INVESTOR_LIST[INVESTOR CODE],0),)," ")</f>
        <v xml:space="preserve"> </v>
      </c>
      <c r="I6327" s="262" t="s">
        <v>348</v>
      </c>
      <c r="J6327" s="240" t="s">
        <v>108</v>
      </c>
      <c r="K6327" s="241">
        <v>2831092.8600000143</v>
      </c>
      <c r="L6327" s="241"/>
    </row>
    <row r="6328" spans="1:13" x14ac:dyDescent="0.2">
      <c r="A6328" s="242">
        <v>2022</v>
      </c>
      <c r="B6328" s="242">
        <v>4</v>
      </c>
      <c r="C6328" s="242">
        <v>13</v>
      </c>
      <c r="D6328" s="270">
        <f t="shared" si="356"/>
        <v>44664</v>
      </c>
      <c r="E6328" s="279">
        <f t="shared" si="357"/>
        <v>44664</v>
      </c>
      <c r="F6328" s="478"/>
      <c r="G6328" s="243" t="s">
        <v>94</v>
      </c>
      <c r="H6328" s="243" t="str" cm="1">
        <f t="array" ref="H6328">IFERROR(INDEX(INVESTOR_LIST[INVESTOR NAME],MATCH(I6328,INVESTOR_LIST[INVESTOR CODE],0),)," ")</f>
        <v xml:space="preserve"> </v>
      </c>
      <c r="I6328" s="263" t="s">
        <v>348</v>
      </c>
      <c r="J6328" s="244" t="s">
        <v>82</v>
      </c>
      <c r="K6328" s="245"/>
      <c r="L6328" s="245">
        <v>2831092.8600000143</v>
      </c>
    </row>
    <row r="6329" spans="1:13" ht="22.5" x14ac:dyDescent="0.2">
      <c r="A6329" s="246">
        <v>2022</v>
      </c>
      <c r="B6329" s="246">
        <v>4</v>
      </c>
      <c r="C6329" s="246">
        <v>13</v>
      </c>
      <c r="D6329" s="270">
        <f t="shared" si="356"/>
        <v>44664</v>
      </c>
      <c r="E6329" s="279">
        <f t="shared" si="357"/>
        <v>44664</v>
      </c>
      <c r="F6329" s="482" t="s">
        <v>148</v>
      </c>
      <c r="G6329" s="247" t="s">
        <v>94</v>
      </c>
      <c r="H6329" s="247" t="str" cm="1">
        <f t="array" ref="H6329">IFERROR(INDEX(INVESTOR_LIST[INVESTOR NAME],MATCH(I6329,INVESTOR_LIST[INVESTOR CODE],0),)," ")</f>
        <v xml:space="preserve"> </v>
      </c>
      <c r="I6329" s="248" t="s">
        <v>348</v>
      </c>
      <c r="J6329" s="249" t="s">
        <v>95</v>
      </c>
      <c r="K6329" s="250">
        <v>2747.2527472527472</v>
      </c>
      <c r="L6329" s="241"/>
    </row>
    <row r="6330" spans="1:13" x14ac:dyDescent="0.2">
      <c r="A6330" s="242">
        <v>2022</v>
      </c>
      <c r="B6330" s="242">
        <v>4</v>
      </c>
      <c r="C6330" s="242">
        <v>13</v>
      </c>
      <c r="D6330" s="270">
        <f t="shared" si="356"/>
        <v>44664</v>
      </c>
      <c r="E6330" s="279">
        <f t="shared" si="357"/>
        <v>44664</v>
      </c>
      <c r="F6330" s="478"/>
      <c r="G6330" s="243" t="s">
        <v>94</v>
      </c>
      <c r="H6330" s="243" t="str" cm="1">
        <f t="array" ref="H6330">IFERROR(INDEX(INVESTOR_LIST[INVESTOR NAME],MATCH(I6330,INVESTOR_LIST[INVESTOR CODE],0),)," ")</f>
        <v xml:space="preserve"> </v>
      </c>
      <c r="I6330" s="263" t="s">
        <v>348</v>
      </c>
      <c r="J6330" s="244" t="s">
        <v>63</v>
      </c>
      <c r="K6330" s="245"/>
      <c r="L6330" s="245">
        <v>2747.2527472527472</v>
      </c>
    </row>
    <row r="6331" spans="1:13" x14ac:dyDescent="0.2">
      <c r="A6331" s="246">
        <v>2022</v>
      </c>
      <c r="B6331" s="246">
        <v>4</v>
      </c>
      <c r="C6331" s="246">
        <v>13</v>
      </c>
      <c r="D6331" s="270">
        <f t="shared" si="356"/>
        <v>44664</v>
      </c>
      <c r="E6331" s="279">
        <f t="shared" si="357"/>
        <v>44664</v>
      </c>
      <c r="F6331" s="482" t="s">
        <v>137</v>
      </c>
      <c r="G6331" s="247" t="s">
        <v>94</v>
      </c>
      <c r="H6331" s="247" t="str" cm="1">
        <f t="array" ref="H6331">IFERROR(INDEX(INVESTOR_LIST[INVESTOR NAME],MATCH(I6331,INVESTOR_LIST[INVESTOR CODE],0),)," ")</f>
        <v xml:space="preserve"> </v>
      </c>
      <c r="I6331" s="248" t="s">
        <v>348</v>
      </c>
      <c r="J6331" s="249" t="s">
        <v>97</v>
      </c>
      <c r="K6331" s="250">
        <v>87030.377106524465</v>
      </c>
      <c r="L6331" s="252"/>
    </row>
    <row r="6332" spans="1:13" x14ac:dyDescent="0.2">
      <c r="A6332" s="242">
        <v>2022</v>
      </c>
      <c r="B6332" s="242">
        <v>4</v>
      </c>
      <c r="C6332" s="242">
        <v>13</v>
      </c>
      <c r="D6332" s="270">
        <f t="shared" si="356"/>
        <v>44664</v>
      </c>
      <c r="E6332" s="279">
        <f t="shared" si="357"/>
        <v>44664</v>
      </c>
      <c r="F6332" s="478"/>
      <c r="G6332" s="243" t="s">
        <v>94</v>
      </c>
      <c r="H6332" s="243" t="str" cm="1">
        <f t="array" ref="H6332">IFERROR(INDEX(INVESTOR_LIST[INVESTOR NAME],MATCH(I6332,INVESTOR_LIST[INVESTOR CODE],0),)," ")</f>
        <v xml:space="preserve"> </v>
      </c>
      <c r="I6332" s="263" t="s">
        <v>348</v>
      </c>
      <c r="J6332" s="244" t="s">
        <v>47</v>
      </c>
      <c r="K6332" s="245"/>
      <c r="L6332" s="245">
        <v>87030.377106524465</v>
      </c>
    </row>
    <row r="6333" spans="1:13" x14ac:dyDescent="0.2">
      <c r="A6333" s="246">
        <v>2022</v>
      </c>
      <c r="B6333" s="246">
        <v>4</v>
      </c>
      <c r="C6333" s="246">
        <v>13</v>
      </c>
      <c r="D6333" s="270">
        <f t="shared" si="356"/>
        <v>44664</v>
      </c>
      <c r="E6333" s="279">
        <f t="shared" si="357"/>
        <v>44664</v>
      </c>
      <c r="F6333" s="482" t="s">
        <v>138</v>
      </c>
      <c r="G6333" s="247" t="s">
        <v>94</v>
      </c>
      <c r="H6333" s="247" t="str" cm="1">
        <f t="array" ref="H6333">IFERROR(INDEX(INVESTOR_LIST[INVESTOR NAME],MATCH(I6333,INVESTOR_LIST[INVESTOR CODE],0),)," ")</f>
        <v xml:space="preserve"> </v>
      </c>
      <c r="I6333" s="248" t="s">
        <v>348</v>
      </c>
      <c r="J6333" s="249" t="s">
        <v>100</v>
      </c>
      <c r="K6333" s="250">
        <v>4111.134239941608</v>
      </c>
      <c r="L6333" s="252"/>
    </row>
    <row r="6334" spans="1:13" x14ac:dyDescent="0.2">
      <c r="A6334" s="242">
        <v>2022</v>
      </c>
      <c r="B6334" s="242">
        <v>4</v>
      </c>
      <c r="C6334" s="242">
        <v>13</v>
      </c>
      <c r="D6334" s="270">
        <f t="shared" si="356"/>
        <v>44664</v>
      </c>
      <c r="E6334" s="279">
        <f t="shared" si="357"/>
        <v>44664</v>
      </c>
      <c r="F6334" s="478"/>
      <c r="G6334" s="243" t="s">
        <v>94</v>
      </c>
      <c r="H6334" s="243" t="str" cm="1">
        <f t="array" ref="H6334">IFERROR(INDEX(INVESTOR_LIST[INVESTOR NAME],MATCH(I6334,INVESTOR_LIST[INVESTOR CODE],0),)," ")</f>
        <v xml:space="preserve"> </v>
      </c>
      <c r="I6334" s="263" t="s">
        <v>348</v>
      </c>
      <c r="J6334" s="244" t="s">
        <v>48</v>
      </c>
      <c r="K6334" s="245"/>
      <c r="L6334" s="245">
        <v>4111.134239941608</v>
      </c>
    </row>
    <row r="6335" spans="1:13" ht="33.75" x14ac:dyDescent="0.2">
      <c r="A6335" s="168">
        <v>2022</v>
      </c>
      <c r="B6335" s="168">
        <v>4</v>
      </c>
      <c r="C6335" s="133">
        <v>17</v>
      </c>
      <c r="D6335" s="141">
        <f t="shared" ref="D6335:D6340" si="358">DATE(A6335,B6335,C6335)</f>
        <v>44668</v>
      </c>
      <c r="E6335" s="275">
        <f t="shared" ref="E6335:E6340" si="359">DATE(A6335,B6335,C6335)</f>
        <v>44668</v>
      </c>
      <c r="F6335" s="479" t="s">
        <v>964</v>
      </c>
      <c r="G6335" s="220" t="s">
        <v>74</v>
      </c>
      <c r="H6335" s="142" t="str" cm="1">
        <f t="array" ref="H6335">IFERROR(INDEX(INVESTOR_LIST[INVESTOR NAME],MATCH(I6335,INVESTOR_LIST[INVESTOR CODE],0),)," ")</f>
        <v>NADIA FERDOUS NOOR</v>
      </c>
      <c r="I6335" s="142" t="s">
        <v>1367</v>
      </c>
      <c r="J6335" s="168" t="s">
        <v>52</v>
      </c>
      <c r="K6335" s="226">
        <v>100000</v>
      </c>
      <c r="L6335" s="226"/>
    </row>
    <row r="6336" spans="1:13" ht="33.75" x14ac:dyDescent="0.2">
      <c r="A6336" s="133">
        <v>2022</v>
      </c>
      <c r="B6336" s="133">
        <v>4</v>
      </c>
      <c r="C6336" s="133">
        <v>17</v>
      </c>
      <c r="D6336" s="141">
        <f t="shared" si="358"/>
        <v>44668</v>
      </c>
      <c r="E6336" s="275">
        <f t="shared" si="359"/>
        <v>44668</v>
      </c>
      <c r="F6336" s="481"/>
      <c r="G6336" s="174" t="s">
        <v>74</v>
      </c>
      <c r="H6336" s="148" t="str" cm="1">
        <f t="array" ref="H6336">IFERROR(INDEX(INVESTOR_LIST[INVESTOR NAME],MATCH(I6336,INVESTOR_LIST[INVESTOR CODE],0),)," ")</f>
        <v>NADIA FERDOUS NOOR</v>
      </c>
      <c r="I6336" s="148" t="s">
        <v>1367</v>
      </c>
      <c r="J6336" s="133" t="s">
        <v>13</v>
      </c>
      <c r="K6336" s="218"/>
      <c r="L6336" s="218">
        <v>81630</v>
      </c>
      <c r="M6336" s="160"/>
    </row>
    <row r="6337" spans="1:14" ht="33.75" x14ac:dyDescent="0.2">
      <c r="A6337" s="163">
        <v>2022</v>
      </c>
      <c r="B6337" s="163">
        <v>4</v>
      </c>
      <c r="C6337" s="163">
        <v>17</v>
      </c>
      <c r="D6337" s="141">
        <f t="shared" si="358"/>
        <v>44668</v>
      </c>
      <c r="E6337" s="275">
        <f t="shared" si="359"/>
        <v>44668</v>
      </c>
      <c r="F6337" s="480"/>
      <c r="G6337" s="221" t="s">
        <v>74</v>
      </c>
      <c r="H6337" s="145" t="str" cm="1">
        <f t="array" ref="H6337">IFERROR(INDEX(INVESTOR_LIST[INVESTOR NAME],MATCH(I6337,INVESTOR_LIST[INVESTOR CODE],0),)," ")</f>
        <v>NADIA FERDOUS NOOR</v>
      </c>
      <c r="I6337" s="145" t="s">
        <v>1367</v>
      </c>
      <c r="J6337" s="163" t="s">
        <v>53</v>
      </c>
      <c r="K6337" s="219"/>
      <c r="L6337" s="219">
        <v>18370</v>
      </c>
    </row>
    <row r="6338" spans="1:14" ht="45" x14ac:dyDescent="0.2">
      <c r="A6338" s="168">
        <v>2022</v>
      </c>
      <c r="B6338" s="168">
        <v>4</v>
      </c>
      <c r="C6338" s="133">
        <v>18</v>
      </c>
      <c r="D6338" s="141">
        <f t="shared" si="358"/>
        <v>44669</v>
      </c>
      <c r="E6338" s="275">
        <f t="shared" si="359"/>
        <v>44669</v>
      </c>
      <c r="F6338" s="479" t="s">
        <v>964</v>
      </c>
      <c r="G6338" s="220" t="s">
        <v>74</v>
      </c>
      <c r="H6338" s="142" t="str" cm="1">
        <f t="array" ref="H6338">IFERROR(INDEX(INVESTOR_LIST[INVESTOR NAME],MATCH(I6338,INVESTOR_LIST[INVESTOR CODE],0),)," ")</f>
        <v>MOHAMMED ALI XAHANGIR</v>
      </c>
      <c r="I6338" s="142" t="s">
        <v>616</v>
      </c>
      <c r="J6338" s="168" t="s">
        <v>52</v>
      </c>
      <c r="K6338" s="226">
        <v>875000</v>
      </c>
      <c r="L6338" s="226"/>
    </row>
    <row r="6339" spans="1:14" ht="45" x14ac:dyDescent="0.2">
      <c r="A6339" s="133">
        <v>2022</v>
      </c>
      <c r="B6339" s="133">
        <v>4</v>
      </c>
      <c r="C6339" s="133">
        <v>18</v>
      </c>
      <c r="D6339" s="141">
        <f t="shared" si="358"/>
        <v>44669</v>
      </c>
      <c r="E6339" s="275">
        <f t="shared" si="359"/>
        <v>44669</v>
      </c>
      <c r="F6339" s="481"/>
      <c r="G6339" s="174" t="s">
        <v>74</v>
      </c>
      <c r="H6339" s="148" t="str" cm="1">
        <f t="array" ref="H6339">IFERROR(INDEX(INVESTOR_LIST[INVESTOR NAME],MATCH(I6339,INVESTOR_LIST[INVESTOR CODE],0),)," ")</f>
        <v>MOHAMMED ALI XAHANGIR</v>
      </c>
      <c r="I6339" s="148" t="s">
        <v>616</v>
      </c>
      <c r="J6339" s="133" t="s">
        <v>13</v>
      </c>
      <c r="K6339" s="218"/>
      <c r="L6339" s="218">
        <v>714280</v>
      </c>
      <c r="M6339" s="160"/>
    </row>
    <row r="6340" spans="1:14" ht="45" x14ac:dyDescent="0.2">
      <c r="A6340" s="163">
        <v>2022</v>
      </c>
      <c r="B6340" s="163">
        <v>4</v>
      </c>
      <c r="C6340" s="163">
        <v>18</v>
      </c>
      <c r="D6340" s="141">
        <f t="shared" si="358"/>
        <v>44669</v>
      </c>
      <c r="E6340" s="275">
        <f t="shared" si="359"/>
        <v>44669</v>
      </c>
      <c r="F6340" s="480"/>
      <c r="G6340" s="221" t="s">
        <v>74</v>
      </c>
      <c r="H6340" s="145" t="str" cm="1">
        <f t="array" ref="H6340">IFERROR(INDEX(INVESTOR_LIST[INVESTOR NAME],MATCH(I6340,INVESTOR_LIST[INVESTOR CODE],0),)," ")</f>
        <v>MOHAMMED ALI XAHANGIR</v>
      </c>
      <c r="I6340" s="145" t="s">
        <v>616</v>
      </c>
      <c r="J6340" s="163" t="s">
        <v>53</v>
      </c>
      <c r="K6340" s="219"/>
      <c r="L6340" s="219">
        <v>160720</v>
      </c>
    </row>
    <row r="6341" spans="1:14" ht="33.75" x14ac:dyDescent="0.2">
      <c r="A6341" s="168">
        <v>2022</v>
      </c>
      <c r="B6341" s="168">
        <v>4</v>
      </c>
      <c r="C6341" s="133">
        <v>18</v>
      </c>
      <c r="D6341" s="141">
        <f t="shared" ref="D6341:D6346" si="360">DATE(A6341,B6341,C6341)</f>
        <v>44669</v>
      </c>
      <c r="E6341" s="275">
        <f t="shared" ref="E6341:E6346" si="361">DATE(A6341,B6341,C6341)</f>
        <v>44669</v>
      </c>
      <c r="F6341" s="479" t="s">
        <v>964</v>
      </c>
      <c r="G6341" s="220" t="s">
        <v>74</v>
      </c>
      <c r="H6341" s="142" t="str" cm="1">
        <f t="array" ref="H6341">IFERROR(INDEX(INVESTOR_LIST[INVESTOR NAME],MATCH(I6341,INVESTOR_LIST[INVESTOR CODE],0),)," ")</f>
        <v>MD. RAKEBUL ISLAM</v>
      </c>
      <c r="I6341" s="142" t="s">
        <v>1369</v>
      </c>
      <c r="J6341" s="168" t="s">
        <v>52</v>
      </c>
      <c r="K6341" s="226">
        <v>5513</v>
      </c>
      <c r="L6341" s="226"/>
    </row>
    <row r="6342" spans="1:14" ht="33.75" x14ac:dyDescent="0.2">
      <c r="A6342" s="133">
        <v>2022</v>
      </c>
      <c r="B6342" s="133">
        <v>4</v>
      </c>
      <c r="C6342" s="133">
        <v>18</v>
      </c>
      <c r="D6342" s="141">
        <f t="shared" si="360"/>
        <v>44669</v>
      </c>
      <c r="E6342" s="275">
        <f t="shared" si="361"/>
        <v>44669</v>
      </c>
      <c r="F6342" s="481"/>
      <c r="G6342" s="174" t="s">
        <v>74</v>
      </c>
      <c r="H6342" s="148" t="str" cm="1">
        <f t="array" ref="H6342">IFERROR(INDEX(INVESTOR_LIST[INVESTOR NAME],MATCH(I6342,INVESTOR_LIST[INVESTOR CODE],0),)," ")</f>
        <v>MD. RAKEBUL ISLAM</v>
      </c>
      <c r="I6342" s="148" t="s">
        <v>1369</v>
      </c>
      <c r="J6342" s="133" t="s">
        <v>13</v>
      </c>
      <c r="K6342" s="218"/>
      <c r="L6342" s="218">
        <v>4500</v>
      </c>
    </row>
    <row r="6343" spans="1:14" ht="33.75" x14ac:dyDescent="0.2">
      <c r="A6343" s="163">
        <v>2022</v>
      </c>
      <c r="B6343" s="163">
        <v>4</v>
      </c>
      <c r="C6343" s="163">
        <v>18</v>
      </c>
      <c r="D6343" s="141">
        <f t="shared" si="360"/>
        <v>44669</v>
      </c>
      <c r="E6343" s="275">
        <f t="shared" si="361"/>
        <v>44669</v>
      </c>
      <c r="F6343" s="480"/>
      <c r="G6343" s="221" t="s">
        <v>74</v>
      </c>
      <c r="H6343" s="145" t="str" cm="1">
        <f t="array" ref="H6343">IFERROR(INDEX(INVESTOR_LIST[INVESTOR NAME],MATCH(I6343,INVESTOR_LIST[INVESTOR CODE],0),)," ")</f>
        <v>MD. RAKEBUL ISLAM</v>
      </c>
      <c r="I6343" s="145" t="s">
        <v>1369</v>
      </c>
      <c r="J6343" s="163" t="s">
        <v>53</v>
      </c>
      <c r="K6343" s="219"/>
      <c r="L6343" s="219">
        <v>1013</v>
      </c>
    </row>
    <row r="6344" spans="1:14" x14ac:dyDescent="0.2">
      <c r="A6344" s="168">
        <v>2022</v>
      </c>
      <c r="B6344" s="168">
        <v>4</v>
      </c>
      <c r="C6344" s="133">
        <v>18</v>
      </c>
      <c r="D6344" s="141">
        <f t="shared" si="360"/>
        <v>44669</v>
      </c>
      <c r="E6344" s="275">
        <f t="shared" si="361"/>
        <v>44669</v>
      </c>
      <c r="F6344" s="479" t="s">
        <v>1319</v>
      </c>
      <c r="G6344" s="220" t="s">
        <v>74</v>
      </c>
      <c r="H6344" s="142" t="str" cm="1">
        <f t="array" ref="H6344">IFERROR(INDEX(INVESTOR_LIST[INVESTOR NAME],MATCH(I6344,INVESTOR_LIST[INVESTOR CODE],0),)," ")</f>
        <v xml:space="preserve"> </v>
      </c>
      <c r="I6344" s="142"/>
      <c r="J6344" s="168" t="s">
        <v>52</v>
      </c>
      <c r="K6344" s="226">
        <v>89000</v>
      </c>
      <c r="L6344" s="226"/>
    </row>
    <row r="6345" spans="1:14" x14ac:dyDescent="0.2">
      <c r="A6345" s="133">
        <v>2022</v>
      </c>
      <c r="B6345" s="133">
        <v>4</v>
      </c>
      <c r="C6345" s="133">
        <v>18</v>
      </c>
      <c r="D6345" s="141">
        <f t="shared" si="360"/>
        <v>44669</v>
      </c>
      <c r="E6345" s="275">
        <f t="shared" si="361"/>
        <v>44669</v>
      </c>
      <c r="F6345" s="481"/>
      <c r="G6345" s="174" t="s">
        <v>74</v>
      </c>
      <c r="H6345" s="148" t="str" cm="1">
        <f t="array" ref="H6345">IFERROR(INDEX(INVESTOR_LIST[INVESTOR NAME],MATCH(I6345,INVESTOR_LIST[INVESTOR CODE],0),)," ")</f>
        <v xml:space="preserve"> </v>
      </c>
      <c r="J6345" s="133" t="s">
        <v>13</v>
      </c>
      <c r="K6345" s="218"/>
      <c r="L6345" s="218">
        <v>72650</v>
      </c>
      <c r="M6345" s="160"/>
    </row>
    <row r="6346" spans="1:14" x14ac:dyDescent="0.2">
      <c r="A6346" s="163">
        <v>2022</v>
      </c>
      <c r="B6346" s="163">
        <v>4</v>
      </c>
      <c r="C6346" s="163">
        <v>18</v>
      </c>
      <c r="D6346" s="141">
        <f t="shared" si="360"/>
        <v>44669</v>
      </c>
      <c r="E6346" s="275">
        <f t="shared" si="361"/>
        <v>44669</v>
      </c>
      <c r="F6346" s="480"/>
      <c r="G6346" s="221" t="s">
        <v>74</v>
      </c>
      <c r="H6346" s="145" t="str" cm="1">
        <f t="array" ref="H6346">IFERROR(INDEX(INVESTOR_LIST[INVESTOR NAME],MATCH(I6346,INVESTOR_LIST[INVESTOR CODE],0),)," ")</f>
        <v xml:space="preserve"> </v>
      </c>
      <c r="I6346" s="145"/>
      <c r="J6346" s="163" t="s">
        <v>53</v>
      </c>
      <c r="K6346" s="219"/>
      <c r="L6346" s="219">
        <v>16350</v>
      </c>
      <c r="N6346" s="160"/>
    </row>
    <row r="6347" spans="1:14" x14ac:dyDescent="0.2">
      <c r="A6347" s="133">
        <v>2022</v>
      </c>
      <c r="B6347" s="133">
        <v>4</v>
      </c>
      <c r="C6347" s="133">
        <v>18</v>
      </c>
      <c r="D6347" s="141">
        <f t="shared" ref="D6347:D6359" si="362">DATE(A6347,B6347,C6347)</f>
        <v>44669</v>
      </c>
      <c r="E6347" s="275">
        <f t="shared" ref="E6347:E6359" si="363">DATE(A6347,B6347,C6347)</f>
        <v>44669</v>
      </c>
      <c r="F6347" s="481" t="s">
        <v>1362</v>
      </c>
      <c r="G6347" s="174" t="s">
        <v>94</v>
      </c>
      <c r="H6347" s="174" t="str" cm="1">
        <f t="array" ref="H6347">IFERROR(INDEX(INVESTOR_LIST[INVESTOR NAME],MATCH(I6347,INVESTOR_LIST[INVESTOR CODE],0),)," ")</f>
        <v xml:space="preserve"> </v>
      </c>
      <c r="I6347" s="148" t="s">
        <v>348</v>
      </c>
      <c r="J6347" s="149" t="s">
        <v>79</v>
      </c>
      <c r="K6347" s="218">
        <v>2115532.4</v>
      </c>
      <c r="L6347" s="218"/>
    </row>
    <row r="6348" spans="1:14" x14ac:dyDescent="0.2">
      <c r="A6348" s="133">
        <v>2022</v>
      </c>
      <c r="B6348" s="133">
        <v>4</v>
      </c>
      <c r="C6348" s="133">
        <v>18</v>
      </c>
      <c r="D6348" s="141">
        <f t="shared" si="362"/>
        <v>44669</v>
      </c>
      <c r="E6348" s="275">
        <f t="shared" si="363"/>
        <v>44669</v>
      </c>
      <c r="F6348" s="481"/>
      <c r="G6348" s="174" t="s">
        <v>94</v>
      </c>
      <c r="H6348" s="174"/>
      <c r="J6348" s="149" t="s">
        <v>80</v>
      </c>
      <c r="K6348" s="218">
        <v>20040.91</v>
      </c>
      <c r="L6348" s="218"/>
    </row>
    <row r="6349" spans="1:14" x14ac:dyDescent="0.2">
      <c r="A6349" s="133">
        <v>2022</v>
      </c>
      <c r="B6349" s="133">
        <v>4</v>
      </c>
      <c r="C6349" s="133">
        <v>18</v>
      </c>
      <c r="D6349" s="141">
        <f t="shared" si="362"/>
        <v>44669</v>
      </c>
      <c r="E6349" s="275">
        <f t="shared" si="363"/>
        <v>44669</v>
      </c>
      <c r="F6349" s="481"/>
      <c r="G6349" s="174" t="s">
        <v>94</v>
      </c>
      <c r="H6349" s="174"/>
      <c r="J6349" s="149" t="s">
        <v>190</v>
      </c>
      <c r="K6349" s="218">
        <v>6882735.29</v>
      </c>
      <c r="L6349" s="218"/>
      <c r="M6349" s="160"/>
    </row>
    <row r="6350" spans="1:14" x14ac:dyDescent="0.2">
      <c r="A6350" s="133">
        <v>2022</v>
      </c>
      <c r="B6350" s="133">
        <v>4</v>
      </c>
      <c r="C6350" s="133">
        <v>18</v>
      </c>
      <c r="D6350" s="141">
        <f t="shared" si="362"/>
        <v>44669</v>
      </c>
      <c r="E6350" s="275">
        <f t="shared" si="363"/>
        <v>44669</v>
      </c>
      <c r="F6350" s="481"/>
      <c r="G6350" s="174" t="s">
        <v>94</v>
      </c>
      <c r="H6350" s="174" t="str" cm="1">
        <f t="array" ref="H6350">IFERROR(INDEX(INVESTOR_LIST[INVESTOR NAME],MATCH(I6350,INVESTOR_LIST[INVESTOR CODE],0),)," ")</f>
        <v xml:space="preserve"> </v>
      </c>
      <c r="I6350" s="148" t="s">
        <v>348</v>
      </c>
      <c r="J6350" s="149" t="s">
        <v>191</v>
      </c>
      <c r="K6350" s="218"/>
      <c r="L6350" s="218">
        <v>5268308.5999999996</v>
      </c>
    </row>
    <row r="6351" spans="1:14" x14ac:dyDescent="0.2">
      <c r="A6351" s="163">
        <v>2022</v>
      </c>
      <c r="B6351" s="163">
        <v>4</v>
      </c>
      <c r="C6351" s="163">
        <v>18</v>
      </c>
      <c r="D6351" s="280">
        <f t="shared" si="362"/>
        <v>44669</v>
      </c>
      <c r="E6351" s="281">
        <f t="shared" si="363"/>
        <v>44669</v>
      </c>
      <c r="F6351" s="480"/>
      <c r="G6351" s="221" t="s">
        <v>94</v>
      </c>
      <c r="H6351" s="145" t="str" cm="1">
        <f t="array" ref="H6351">IFERROR(INDEX(INVESTOR_LIST[INVESTOR NAME],MATCH(I6351,INVESTOR_LIST[INVESTOR CODE],0),)," ")</f>
        <v xml:space="preserve"> </v>
      </c>
      <c r="I6351" s="145"/>
      <c r="J6351" s="163" t="s">
        <v>79</v>
      </c>
      <c r="K6351" s="219"/>
      <c r="L6351" s="219">
        <v>3750000</v>
      </c>
    </row>
    <row r="6352" spans="1:14" x14ac:dyDescent="0.2">
      <c r="A6352" s="133">
        <v>2022</v>
      </c>
      <c r="B6352" s="133">
        <v>4</v>
      </c>
      <c r="C6352" s="133">
        <v>19</v>
      </c>
      <c r="D6352" s="141">
        <f t="shared" si="362"/>
        <v>44670</v>
      </c>
      <c r="E6352" s="275">
        <f t="shared" si="363"/>
        <v>44670</v>
      </c>
      <c r="F6352" s="481" t="s">
        <v>1362</v>
      </c>
      <c r="G6352" s="174" t="s">
        <v>94</v>
      </c>
      <c r="H6352" s="174" t="str" cm="1">
        <f t="array" ref="H6352">IFERROR(INDEX(INVESTOR_LIST[INVESTOR NAME],MATCH(I6352,INVESTOR_LIST[INVESTOR CODE],0),)," ")</f>
        <v xml:space="preserve"> </v>
      </c>
      <c r="I6352" s="148" t="s">
        <v>348</v>
      </c>
      <c r="J6352" s="149" t="s">
        <v>79</v>
      </c>
      <c r="K6352" s="218">
        <v>2545000</v>
      </c>
      <c r="L6352" s="218"/>
    </row>
    <row r="6353" spans="1:13" x14ac:dyDescent="0.2">
      <c r="A6353" s="133">
        <v>2022</v>
      </c>
      <c r="B6353" s="133">
        <v>4</v>
      </c>
      <c r="C6353" s="133">
        <v>19</v>
      </c>
      <c r="D6353" s="141">
        <f t="shared" si="362"/>
        <v>44670</v>
      </c>
      <c r="E6353" s="275">
        <f t="shared" si="363"/>
        <v>44670</v>
      </c>
      <c r="F6353" s="481"/>
      <c r="G6353" s="174" t="s">
        <v>94</v>
      </c>
      <c r="H6353" s="174"/>
      <c r="J6353" s="149" t="s">
        <v>80</v>
      </c>
      <c r="K6353" s="218">
        <v>8605.33</v>
      </c>
      <c r="L6353" s="218"/>
      <c r="M6353" s="264"/>
    </row>
    <row r="6354" spans="1:13" x14ac:dyDescent="0.2">
      <c r="A6354" s="133">
        <v>2022</v>
      </c>
      <c r="B6354" s="133">
        <v>4</v>
      </c>
      <c r="C6354" s="133">
        <v>19</v>
      </c>
      <c r="D6354" s="141">
        <f t="shared" si="362"/>
        <v>44670</v>
      </c>
      <c r="E6354" s="275">
        <f t="shared" si="363"/>
        <v>44670</v>
      </c>
      <c r="F6354" s="481"/>
      <c r="G6354" s="174" t="s">
        <v>94</v>
      </c>
      <c r="H6354" s="174"/>
      <c r="J6354" s="149" t="s">
        <v>191</v>
      </c>
      <c r="K6354" s="218">
        <v>39060.65</v>
      </c>
      <c r="L6354" s="218"/>
      <c r="M6354" s="264"/>
    </row>
    <row r="6355" spans="1:13" x14ac:dyDescent="0.2">
      <c r="A6355" s="133">
        <v>2022</v>
      </c>
      <c r="B6355" s="133">
        <v>4</v>
      </c>
      <c r="C6355" s="133">
        <v>19</v>
      </c>
      <c r="D6355" s="141">
        <f t="shared" si="362"/>
        <v>44670</v>
      </c>
      <c r="E6355" s="275">
        <f t="shared" si="363"/>
        <v>44670</v>
      </c>
      <c r="F6355" s="481"/>
      <c r="G6355" s="174" t="s">
        <v>94</v>
      </c>
      <c r="H6355" s="174" t="str" cm="1">
        <f t="array" ref="H6355">IFERROR(INDEX(INVESTOR_LIST[INVESTOR NAME],MATCH(I6355,INVESTOR_LIST[INVESTOR CODE],0),)," ")</f>
        <v xml:space="preserve"> </v>
      </c>
      <c r="I6355" s="148" t="s">
        <v>348</v>
      </c>
      <c r="J6355" s="149" t="s">
        <v>147</v>
      </c>
      <c r="K6355" s="218"/>
      <c r="L6355" s="218">
        <v>317865.73</v>
      </c>
    </row>
    <row r="6356" spans="1:13" x14ac:dyDescent="0.2">
      <c r="A6356" s="163">
        <v>2022</v>
      </c>
      <c r="B6356" s="163">
        <v>4</v>
      </c>
      <c r="C6356" s="163">
        <v>19</v>
      </c>
      <c r="D6356" s="280">
        <f t="shared" si="362"/>
        <v>44670</v>
      </c>
      <c r="E6356" s="281">
        <f t="shared" si="363"/>
        <v>44670</v>
      </c>
      <c r="F6356" s="480"/>
      <c r="G6356" s="221" t="s">
        <v>94</v>
      </c>
      <c r="H6356" s="145" t="str" cm="1">
        <f t="array" ref="H6356">IFERROR(INDEX(INVESTOR_LIST[INVESTOR NAME],MATCH(I6356,INVESTOR_LIST[INVESTOR CODE],0),)," ")</f>
        <v xml:space="preserve"> </v>
      </c>
      <c r="I6356" s="145"/>
      <c r="J6356" s="163" t="s">
        <v>79</v>
      </c>
      <c r="K6356" s="219"/>
      <c r="L6356" s="219">
        <v>2274800.25</v>
      </c>
    </row>
    <row r="6357" spans="1:13" ht="22.5" x14ac:dyDescent="0.2">
      <c r="A6357" s="168">
        <v>2022</v>
      </c>
      <c r="B6357" s="168">
        <v>4</v>
      </c>
      <c r="C6357" s="133">
        <v>19</v>
      </c>
      <c r="D6357" s="141">
        <f t="shared" si="362"/>
        <v>44670</v>
      </c>
      <c r="E6357" s="275">
        <f t="shared" si="363"/>
        <v>44670</v>
      </c>
      <c r="F6357" s="479" t="s">
        <v>1370</v>
      </c>
      <c r="G6357" s="220" t="s">
        <v>74</v>
      </c>
      <c r="H6357" s="142" t="str" cm="1">
        <f t="array" ref="H6357">IFERROR(INDEX(INVESTOR_LIST[INVESTOR NAME],MATCH(I6357,INVESTOR_LIST[INVESTOR CODE],0),)," ")</f>
        <v>ASMA UL HUSNA</v>
      </c>
      <c r="I6357" s="142" t="s">
        <v>620</v>
      </c>
      <c r="J6357" s="168" t="s">
        <v>13</v>
      </c>
      <c r="K6357" s="226">
        <v>164960</v>
      </c>
      <c r="L6357" s="226"/>
    </row>
    <row r="6358" spans="1:13" ht="22.5" x14ac:dyDescent="0.2">
      <c r="A6358" s="133">
        <v>2022</v>
      </c>
      <c r="B6358" s="133">
        <v>4</v>
      </c>
      <c r="C6358" s="133">
        <v>19</v>
      </c>
      <c r="D6358" s="141">
        <f t="shared" si="362"/>
        <v>44670</v>
      </c>
      <c r="E6358" s="275">
        <f t="shared" si="363"/>
        <v>44670</v>
      </c>
      <c r="F6358" s="481"/>
      <c r="G6358" s="174" t="s">
        <v>74</v>
      </c>
      <c r="H6358" s="148" t="str" cm="1">
        <f t="array" ref="H6358">IFERROR(INDEX(INVESTOR_LIST[INVESTOR NAME],MATCH(I6358,INVESTOR_LIST[INVESTOR CODE],0),)," ")</f>
        <v>ASMA UL HUSNA</v>
      </c>
      <c r="I6358" s="148" t="s">
        <v>620</v>
      </c>
      <c r="J6358" s="133" t="s">
        <v>53</v>
      </c>
      <c r="K6358" s="218">
        <v>37116</v>
      </c>
      <c r="L6358" s="218"/>
    </row>
    <row r="6359" spans="1:13" ht="22.5" x14ac:dyDescent="0.2">
      <c r="A6359" s="163">
        <v>2022</v>
      </c>
      <c r="B6359" s="163">
        <v>4</v>
      </c>
      <c r="C6359" s="163">
        <v>19</v>
      </c>
      <c r="D6359" s="141">
        <f t="shared" si="362"/>
        <v>44670</v>
      </c>
      <c r="E6359" s="275">
        <f t="shared" si="363"/>
        <v>44670</v>
      </c>
      <c r="F6359" s="480"/>
      <c r="G6359" s="221" t="s">
        <v>74</v>
      </c>
      <c r="H6359" s="145" t="str" cm="1">
        <f t="array" ref="H6359">IFERROR(INDEX(INVESTOR_LIST[INVESTOR NAME],MATCH(I6359,INVESTOR_LIST[INVESTOR CODE],0),)," ")</f>
        <v>ASMA UL HUSNA</v>
      </c>
      <c r="I6359" s="145" t="s">
        <v>620</v>
      </c>
      <c r="J6359" s="163" t="s">
        <v>52</v>
      </c>
      <c r="K6359" s="219"/>
      <c r="L6359" s="219">
        <v>202076</v>
      </c>
    </row>
    <row r="6360" spans="1:13" x14ac:dyDescent="0.2">
      <c r="A6360" s="168">
        <v>2022</v>
      </c>
      <c r="B6360" s="168">
        <v>4</v>
      </c>
      <c r="C6360" s="168">
        <v>20</v>
      </c>
      <c r="D6360" s="141">
        <f t="shared" ref="D6360:D6361" si="364">DATE(A6360,B6360,C6360)</f>
        <v>44671</v>
      </c>
      <c r="E6360" s="275">
        <f t="shared" ref="E6360:E6361" si="365">DATE(A6360,B6360,C6360)</f>
        <v>44671</v>
      </c>
      <c r="F6360" s="479" t="s">
        <v>937</v>
      </c>
      <c r="G6360" s="220" t="s">
        <v>74</v>
      </c>
      <c r="H6360" s="220" t="str" cm="1">
        <f t="array" ref="H6360">IFERROR(INDEX(INVESTOR_LIST[INVESTOR NAME],MATCH(I6360,INVESTOR_LIST[INVESTOR CODE],0),)," ")</f>
        <v xml:space="preserve"> </v>
      </c>
      <c r="I6360" s="142" t="s">
        <v>348</v>
      </c>
      <c r="J6360" s="143" t="s">
        <v>147</v>
      </c>
      <c r="K6360" s="226">
        <v>317865.73</v>
      </c>
      <c r="L6360" s="226"/>
    </row>
    <row r="6361" spans="1:13" x14ac:dyDescent="0.2">
      <c r="A6361" s="163">
        <v>2022</v>
      </c>
      <c r="B6361" s="163">
        <v>4</v>
      </c>
      <c r="C6361" s="163">
        <v>20</v>
      </c>
      <c r="D6361" s="141">
        <f t="shared" si="364"/>
        <v>44671</v>
      </c>
      <c r="E6361" s="275">
        <f t="shared" si="365"/>
        <v>44671</v>
      </c>
      <c r="F6361" s="480"/>
      <c r="G6361" s="221" t="s">
        <v>74</v>
      </c>
      <c r="H6361" s="221" t="str" cm="1">
        <f t="array" ref="H6361">IFERROR(INDEX(INVESTOR_LIST[INVESTOR NAME],MATCH(I6361,INVESTOR_LIST[INVESTOR CODE],0),)," ")</f>
        <v xml:space="preserve"> </v>
      </c>
      <c r="I6361" s="145" t="s">
        <v>348</v>
      </c>
      <c r="J6361" s="146" t="s">
        <v>52</v>
      </c>
      <c r="K6361" s="219"/>
      <c r="L6361" s="219">
        <v>317865.73</v>
      </c>
    </row>
    <row r="6362" spans="1:13" x14ac:dyDescent="0.2">
      <c r="A6362" s="133">
        <v>2022</v>
      </c>
      <c r="B6362" s="168">
        <v>4</v>
      </c>
      <c r="C6362" s="168">
        <v>20</v>
      </c>
      <c r="D6362" s="141">
        <f t="shared" ref="D6362:D6363" si="366">DATE(A6362,B6362,C6362)</f>
        <v>44671</v>
      </c>
      <c r="E6362" s="275">
        <f t="shared" ref="E6362:E6363" si="367">DATE(A6362,B6362,C6362)</f>
        <v>44671</v>
      </c>
      <c r="F6362" s="479" t="s">
        <v>687</v>
      </c>
      <c r="G6362" s="174" t="s">
        <v>74</v>
      </c>
      <c r="H6362" s="148" t="str" cm="1">
        <f t="array" ref="H6362">IFERROR(INDEX(INVESTOR_LIST[INVESTOR NAME],MATCH(I6362,INVESTOR_LIST[INVESTOR CODE],0),)," ")</f>
        <v xml:space="preserve"> </v>
      </c>
      <c r="I6362" s="148" t="s">
        <v>348</v>
      </c>
      <c r="J6362" s="133" t="s">
        <v>52</v>
      </c>
      <c r="K6362" s="172">
        <v>525000</v>
      </c>
    </row>
    <row r="6363" spans="1:13" x14ac:dyDescent="0.2">
      <c r="A6363" s="163">
        <v>2022</v>
      </c>
      <c r="B6363" s="163">
        <v>4</v>
      </c>
      <c r="C6363" s="163">
        <v>20</v>
      </c>
      <c r="D6363" s="141">
        <f t="shared" si="366"/>
        <v>44671</v>
      </c>
      <c r="E6363" s="275">
        <f t="shared" si="367"/>
        <v>44671</v>
      </c>
      <c r="F6363" s="480"/>
      <c r="G6363" s="221" t="s">
        <v>74</v>
      </c>
      <c r="H6363" s="145" t="str" cm="1">
        <f t="array" ref="H6363">IFERROR(INDEX(INVESTOR_LIST[INVESTOR NAME],MATCH(I6363,INVESTOR_LIST[INVESTOR CODE],0),)," ")</f>
        <v xml:space="preserve"> </v>
      </c>
      <c r="I6363" s="145" t="s">
        <v>348</v>
      </c>
      <c r="J6363" s="163" t="s">
        <v>168</v>
      </c>
      <c r="K6363" s="219"/>
      <c r="L6363" s="219">
        <v>525000</v>
      </c>
    </row>
    <row r="6364" spans="1:13" ht="33.75" x14ac:dyDescent="0.2">
      <c r="A6364" s="168">
        <v>2022</v>
      </c>
      <c r="B6364" s="168">
        <v>4</v>
      </c>
      <c r="C6364" s="133">
        <v>21</v>
      </c>
      <c r="D6364" s="141">
        <f>DATE(A6364,B6364,C6364)</f>
        <v>44672</v>
      </c>
      <c r="E6364" s="275">
        <f>DATE(A6364,B6364,C6364)</f>
        <v>44672</v>
      </c>
      <c r="F6364" s="479" t="s">
        <v>964</v>
      </c>
      <c r="G6364" s="220" t="s">
        <v>74</v>
      </c>
      <c r="H6364" s="142" t="str" cm="1">
        <f t="array" ref="H6364">IFERROR(INDEX(INVESTOR_LIST[INVESTOR NAME],MATCH(I6364,INVESTOR_LIST[INVESTOR CODE],0),)," ")</f>
        <v>RAHNUMA SULTANA</v>
      </c>
      <c r="I6364" s="142" t="s">
        <v>446</v>
      </c>
      <c r="J6364" s="168" t="s">
        <v>52</v>
      </c>
      <c r="K6364" s="226">
        <v>200000</v>
      </c>
      <c r="L6364" s="226"/>
    </row>
    <row r="6365" spans="1:13" ht="33.75" x14ac:dyDescent="0.2">
      <c r="A6365" s="133">
        <v>2022</v>
      </c>
      <c r="B6365" s="133">
        <v>4</v>
      </c>
      <c r="C6365" s="133">
        <v>21</v>
      </c>
      <c r="D6365" s="141">
        <f>DATE(A6365,B6365,C6365)</f>
        <v>44672</v>
      </c>
      <c r="E6365" s="275">
        <f>DATE(A6365,B6365,C6365)</f>
        <v>44672</v>
      </c>
      <c r="F6365" s="481"/>
      <c r="G6365" s="174" t="s">
        <v>74</v>
      </c>
      <c r="H6365" s="148" t="str" cm="1">
        <f t="array" ref="H6365">IFERROR(INDEX(INVESTOR_LIST[INVESTOR NAME],MATCH(I6365,INVESTOR_LIST[INVESTOR CODE],0),)," ")</f>
        <v>RAHNUMA SULTANA</v>
      </c>
      <c r="I6365" s="148" t="s">
        <v>446</v>
      </c>
      <c r="J6365" s="133" t="s">
        <v>13</v>
      </c>
      <c r="K6365" s="218"/>
      <c r="L6365" s="218">
        <v>163270</v>
      </c>
    </row>
    <row r="6366" spans="1:13" ht="33.75" x14ac:dyDescent="0.2">
      <c r="A6366" s="163">
        <v>2022</v>
      </c>
      <c r="B6366" s="163">
        <v>4</v>
      </c>
      <c r="C6366" s="163">
        <v>21</v>
      </c>
      <c r="D6366" s="141">
        <f>DATE(A6366,B6366,C6366)</f>
        <v>44672</v>
      </c>
      <c r="E6366" s="275">
        <f>DATE(A6366,B6366,C6366)</f>
        <v>44672</v>
      </c>
      <c r="F6366" s="480"/>
      <c r="G6366" s="221" t="s">
        <v>74</v>
      </c>
      <c r="H6366" s="145" t="str" cm="1">
        <f t="array" ref="H6366">IFERROR(INDEX(INVESTOR_LIST[INVESTOR NAME],MATCH(I6366,INVESTOR_LIST[INVESTOR CODE],0),)," ")</f>
        <v>RAHNUMA SULTANA</v>
      </c>
      <c r="I6366" s="145" t="s">
        <v>446</v>
      </c>
      <c r="J6366" s="163" t="s">
        <v>53</v>
      </c>
      <c r="K6366" s="219"/>
      <c r="L6366" s="219">
        <v>36730</v>
      </c>
    </row>
    <row r="6367" spans="1:13" x14ac:dyDescent="0.2">
      <c r="A6367" s="168">
        <v>2022</v>
      </c>
      <c r="B6367" s="168">
        <v>4</v>
      </c>
      <c r="C6367" s="168">
        <v>21</v>
      </c>
      <c r="D6367" s="141">
        <f>DATE(A6367,B6367,C6367)</f>
        <v>44672</v>
      </c>
      <c r="E6367" s="275">
        <f>DATE(A6367,B6367,C6367)</f>
        <v>44672</v>
      </c>
      <c r="F6367" s="479" t="s">
        <v>1361</v>
      </c>
      <c r="G6367" s="220" t="s">
        <v>74</v>
      </c>
      <c r="H6367" s="220" t="str" cm="1">
        <f t="array" ref="H6367">IFERROR(INDEX(INVESTOR_LIST[INVESTOR NAME],MATCH(I6367,INVESTOR_LIST[INVESTOR CODE],0),)," ")</f>
        <v xml:space="preserve"> </v>
      </c>
      <c r="I6367" s="142" t="s">
        <v>348</v>
      </c>
      <c r="J6367" s="143" t="s">
        <v>52</v>
      </c>
      <c r="K6367" s="226">
        <v>6882735.29</v>
      </c>
      <c r="L6367" s="226"/>
    </row>
    <row r="6368" spans="1:13" x14ac:dyDescent="0.2">
      <c r="A6368" s="163">
        <v>2022</v>
      </c>
      <c r="B6368" s="163">
        <v>4</v>
      </c>
      <c r="C6368" s="163">
        <v>21</v>
      </c>
      <c r="D6368" s="141">
        <f>DATE(A6368,B6368,C6368)</f>
        <v>44672</v>
      </c>
      <c r="E6368" s="275">
        <f>DATE(A6368,B6368,C6368)</f>
        <v>44672</v>
      </c>
      <c r="F6368" s="480"/>
      <c r="G6368" s="221" t="s">
        <v>74</v>
      </c>
      <c r="H6368" s="221" t="str" cm="1">
        <f t="array" ref="H6368">IFERROR(INDEX(INVESTOR_LIST[INVESTOR NAME],MATCH(I6368,INVESTOR_LIST[INVESTOR CODE],0),)," ")</f>
        <v xml:space="preserve"> </v>
      </c>
      <c r="I6368" s="145" t="s">
        <v>348</v>
      </c>
      <c r="J6368" s="146" t="s">
        <v>190</v>
      </c>
      <c r="K6368" s="219"/>
      <c r="L6368" s="219">
        <v>6882735.29</v>
      </c>
    </row>
    <row r="6369" spans="1:13" x14ac:dyDescent="0.2">
      <c r="A6369" s="238">
        <v>2022</v>
      </c>
      <c r="B6369" s="238">
        <v>4</v>
      </c>
      <c r="C6369" s="238">
        <v>21</v>
      </c>
      <c r="D6369" s="270">
        <f t="shared" ref="D6369:D6388" si="368">DATE(A6369,B6369,C6369)</f>
        <v>44672</v>
      </c>
      <c r="E6369" s="279">
        <f t="shared" ref="E6369:E6388" si="369">DATE(A6369,B6369,C6369)</f>
        <v>44672</v>
      </c>
      <c r="F6369" s="477" t="s">
        <v>347</v>
      </c>
      <c r="G6369" s="239" t="s">
        <v>94</v>
      </c>
      <c r="H6369" s="239" t="str" cm="1">
        <f t="array" ref="H6369">IFERROR(INDEX(INVESTOR_LIST[INVESTOR NAME],MATCH(I6369,INVESTOR_LIST[INVESTOR CODE],0),)," ")</f>
        <v xml:space="preserve"> </v>
      </c>
      <c r="I6369" s="262" t="s">
        <v>348</v>
      </c>
      <c r="J6369" s="240" t="s">
        <v>82</v>
      </c>
      <c r="K6369" s="241">
        <v>1496114.8799999952</v>
      </c>
      <c r="L6369" s="241"/>
    </row>
    <row r="6370" spans="1:13" x14ac:dyDescent="0.2">
      <c r="A6370" s="242">
        <v>2022</v>
      </c>
      <c r="B6370" s="242">
        <v>4</v>
      </c>
      <c r="C6370" s="242">
        <v>21</v>
      </c>
      <c r="D6370" s="270">
        <f t="shared" si="368"/>
        <v>44672</v>
      </c>
      <c r="E6370" s="279">
        <f t="shared" si="369"/>
        <v>44672</v>
      </c>
      <c r="F6370" s="478"/>
      <c r="G6370" s="243" t="s">
        <v>94</v>
      </c>
      <c r="H6370" s="243" t="str" cm="1">
        <f t="array" ref="H6370">IFERROR(INDEX(INVESTOR_LIST[INVESTOR NAME],MATCH(I6370,INVESTOR_LIST[INVESTOR CODE],0),)," ")</f>
        <v xml:space="preserve"> </v>
      </c>
      <c r="I6370" s="263" t="s">
        <v>348</v>
      </c>
      <c r="J6370" s="244" t="s">
        <v>108</v>
      </c>
      <c r="K6370" s="245"/>
      <c r="L6370" s="245">
        <v>1496114.8799999952</v>
      </c>
    </row>
    <row r="6371" spans="1:13" ht="22.5" x14ac:dyDescent="0.2">
      <c r="A6371" s="246">
        <v>2022</v>
      </c>
      <c r="B6371" s="246">
        <v>4</v>
      </c>
      <c r="C6371" s="246">
        <v>21</v>
      </c>
      <c r="D6371" s="270">
        <f t="shared" si="368"/>
        <v>44672</v>
      </c>
      <c r="E6371" s="279">
        <f t="shared" si="369"/>
        <v>44672</v>
      </c>
      <c r="F6371" s="482" t="s">
        <v>148</v>
      </c>
      <c r="G6371" s="247" t="s">
        <v>94</v>
      </c>
      <c r="H6371" s="247" t="str" cm="1">
        <f t="array" ref="H6371">IFERROR(INDEX(INVESTOR_LIST[INVESTOR NAME],MATCH(I6371,INVESTOR_LIST[INVESTOR CODE],0),)," ")</f>
        <v xml:space="preserve"> </v>
      </c>
      <c r="I6371" s="248" t="s">
        <v>348</v>
      </c>
      <c r="J6371" s="249" t="s">
        <v>95</v>
      </c>
      <c r="K6371" s="250">
        <v>2747.2527472527472</v>
      </c>
      <c r="L6371" s="241"/>
    </row>
    <row r="6372" spans="1:13" x14ac:dyDescent="0.2">
      <c r="A6372" s="242">
        <v>2022</v>
      </c>
      <c r="B6372" s="242">
        <v>4</v>
      </c>
      <c r="C6372" s="242">
        <v>21</v>
      </c>
      <c r="D6372" s="270">
        <f t="shared" si="368"/>
        <v>44672</v>
      </c>
      <c r="E6372" s="279">
        <f t="shared" si="369"/>
        <v>44672</v>
      </c>
      <c r="F6372" s="478"/>
      <c r="G6372" s="243" t="s">
        <v>94</v>
      </c>
      <c r="H6372" s="243" t="str" cm="1">
        <f t="array" ref="H6372">IFERROR(INDEX(INVESTOR_LIST[INVESTOR NAME],MATCH(I6372,INVESTOR_LIST[INVESTOR CODE],0),)," ")</f>
        <v xml:space="preserve"> </v>
      </c>
      <c r="I6372" s="263" t="s">
        <v>348</v>
      </c>
      <c r="J6372" s="244" t="s">
        <v>63</v>
      </c>
      <c r="K6372" s="245"/>
      <c r="L6372" s="245">
        <v>2747.2527472527472</v>
      </c>
    </row>
    <row r="6373" spans="1:13" x14ac:dyDescent="0.2">
      <c r="A6373" s="246">
        <v>2022</v>
      </c>
      <c r="B6373" s="246">
        <v>4</v>
      </c>
      <c r="C6373" s="246">
        <v>21</v>
      </c>
      <c r="D6373" s="270">
        <f t="shared" si="368"/>
        <v>44672</v>
      </c>
      <c r="E6373" s="279">
        <f t="shared" si="369"/>
        <v>44672</v>
      </c>
      <c r="F6373" s="482" t="s">
        <v>137</v>
      </c>
      <c r="G6373" s="247" t="s">
        <v>94</v>
      </c>
      <c r="H6373" s="247" t="str" cm="1">
        <f t="array" ref="H6373">IFERROR(INDEX(INVESTOR_LIST[INVESTOR NAME],MATCH(I6373,INVESTOR_LIST[INVESTOR CODE],0),)," ")</f>
        <v xml:space="preserve"> </v>
      </c>
      <c r="I6373" s="248" t="s">
        <v>348</v>
      </c>
      <c r="J6373" s="249" t="s">
        <v>97</v>
      </c>
      <c r="K6373" s="250">
        <v>88829.621362642283</v>
      </c>
      <c r="L6373" s="252"/>
    </row>
    <row r="6374" spans="1:13" x14ac:dyDescent="0.2">
      <c r="A6374" s="242">
        <v>2022</v>
      </c>
      <c r="B6374" s="242">
        <v>4</v>
      </c>
      <c r="C6374" s="242">
        <v>21</v>
      </c>
      <c r="D6374" s="270">
        <f t="shared" si="368"/>
        <v>44672</v>
      </c>
      <c r="E6374" s="279">
        <f t="shared" si="369"/>
        <v>44672</v>
      </c>
      <c r="F6374" s="478"/>
      <c r="G6374" s="243" t="s">
        <v>94</v>
      </c>
      <c r="H6374" s="243" t="str" cm="1">
        <f t="array" ref="H6374">IFERROR(INDEX(INVESTOR_LIST[INVESTOR NAME],MATCH(I6374,INVESTOR_LIST[INVESTOR CODE],0),)," ")</f>
        <v xml:space="preserve"> </v>
      </c>
      <c r="I6374" s="263" t="s">
        <v>348</v>
      </c>
      <c r="J6374" s="244" t="s">
        <v>47</v>
      </c>
      <c r="K6374" s="245"/>
      <c r="L6374" s="245">
        <v>88829.621362642283</v>
      </c>
    </row>
    <row r="6375" spans="1:13" x14ac:dyDescent="0.2">
      <c r="A6375" s="246">
        <v>2022</v>
      </c>
      <c r="B6375" s="246">
        <v>4</v>
      </c>
      <c r="C6375" s="246">
        <v>21</v>
      </c>
      <c r="D6375" s="270">
        <f t="shared" si="368"/>
        <v>44672</v>
      </c>
      <c r="E6375" s="279">
        <f t="shared" si="369"/>
        <v>44672</v>
      </c>
      <c r="F6375" s="482" t="s">
        <v>138</v>
      </c>
      <c r="G6375" s="247" t="s">
        <v>94</v>
      </c>
      <c r="H6375" s="247" t="str" cm="1">
        <f t="array" ref="H6375">IFERROR(INDEX(INVESTOR_LIST[INVESTOR NAME],MATCH(I6375,INVESTOR_LIST[INVESTOR CODE],0),)," ")</f>
        <v xml:space="preserve"> </v>
      </c>
      <c r="I6375" s="248" t="s">
        <v>348</v>
      </c>
      <c r="J6375" s="249" t="s">
        <v>100</v>
      </c>
      <c r="K6375" s="250">
        <v>4201.096452747498</v>
      </c>
      <c r="L6375" s="252"/>
    </row>
    <row r="6376" spans="1:13" x14ac:dyDescent="0.2">
      <c r="A6376" s="242">
        <v>2022</v>
      </c>
      <c r="B6376" s="242">
        <v>4</v>
      </c>
      <c r="C6376" s="242">
        <v>21</v>
      </c>
      <c r="D6376" s="270">
        <f t="shared" si="368"/>
        <v>44672</v>
      </c>
      <c r="E6376" s="279">
        <f t="shared" si="369"/>
        <v>44672</v>
      </c>
      <c r="F6376" s="478"/>
      <c r="G6376" s="243" t="s">
        <v>94</v>
      </c>
      <c r="H6376" s="243" t="str" cm="1">
        <f t="array" ref="H6376">IFERROR(INDEX(INVESTOR_LIST[INVESTOR NAME],MATCH(I6376,INVESTOR_LIST[INVESTOR CODE],0),)," ")</f>
        <v xml:space="preserve"> </v>
      </c>
      <c r="I6376" s="263" t="s">
        <v>348</v>
      </c>
      <c r="J6376" s="244" t="s">
        <v>48</v>
      </c>
      <c r="K6376" s="245"/>
      <c r="L6376" s="245">
        <v>4201.096452747498</v>
      </c>
    </row>
    <row r="6377" spans="1:13" x14ac:dyDescent="0.2">
      <c r="A6377" s="133">
        <v>2022</v>
      </c>
      <c r="B6377" s="133">
        <v>4</v>
      </c>
      <c r="C6377" s="133">
        <v>24</v>
      </c>
      <c r="D6377" s="141">
        <f t="shared" si="368"/>
        <v>44675</v>
      </c>
      <c r="E6377" s="275">
        <f t="shared" si="369"/>
        <v>44675</v>
      </c>
      <c r="F6377" s="481" t="s">
        <v>1362</v>
      </c>
      <c r="G6377" s="174" t="s">
        <v>94</v>
      </c>
      <c r="H6377" s="174" t="str" cm="1">
        <f t="array" ref="H6377">IFERROR(INDEX(INVESTOR_LIST[INVESTOR NAME],MATCH(I6377,INVESTOR_LIST[INVESTOR CODE],0),)," ")</f>
        <v xml:space="preserve"> </v>
      </c>
      <c r="I6377" s="148" t="s">
        <v>348</v>
      </c>
      <c r="J6377" s="149" t="s">
        <v>79</v>
      </c>
      <c r="K6377" s="218">
        <v>160425</v>
      </c>
      <c r="L6377" s="218"/>
    </row>
    <row r="6378" spans="1:13" x14ac:dyDescent="0.2">
      <c r="A6378" s="133">
        <v>2022</v>
      </c>
      <c r="B6378" s="133">
        <v>4</v>
      </c>
      <c r="C6378" s="133">
        <v>24</v>
      </c>
      <c r="D6378" s="141">
        <f t="shared" si="368"/>
        <v>44675</v>
      </c>
      <c r="E6378" s="275">
        <f t="shared" si="369"/>
        <v>44675</v>
      </c>
      <c r="F6378" s="481"/>
      <c r="G6378" s="174" t="s">
        <v>94</v>
      </c>
      <c r="H6378" s="174" t="str" cm="1">
        <f t="array" ref="H6378">IFERROR(INDEX(INVESTOR_LIST[INVESTOR NAME],MATCH(I6378,INVESTOR_LIST[INVESTOR CODE],0),)," ")</f>
        <v xml:space="preserve"> </v>
      </c>
      <c r="J6378" s="149" t="s">
        <v>80</v>
      </c>
      <c r="K6378" s="218">
        <v>595.39</v>
      </c>
      <c r="L6378" s="218"/>
    </row>
    <row r="6379" spans="1:13" x14ac:dyDescent="0.2">
      <c r="A6379" s="133">
        <v>2022</v>
      </c>
      <c r="B6379" s="133">
        <v>4</v>
      </c>
      <c r="C6379" s="133">
        <v>24</v>
      </c>
      <c r="D6379" s="141">
        <f t="shared" si="368"/>
        <v>44675</v>
      </c>
      <c r="E6379" s="275">
        <f t="shared" si="369"/>
        <v>44675</v>
      </c>
      <c r="F6379" s="481"/>
      <c r="G6379" s="174" t="s">
        <v>94</v>
      </c>
      <c r="H6379" s="174" t="str" cm="1">
        <f t="array" ref="H6379">IFERROR(INDEX(INVESTOR_LIST[INVESTOR NAME],MATCH(I6379,INVESTOR_LIST[INVESTOR CODE],0),)," ")</f>
        <v xml:space="preserve"> </v>
      </c>
      <c r="J6379" s="149" t="s">
        <v>190</v>
      </c>
      <c r="K6379" s="218">
        <v>9326.61</v>
      </c>
      <c r="L6379" s="218"/>
      <c r="M6379" s="160"/>
    </row>
    <row r="6380" spans="1:13" x14ac:dyDescent="0.2">
      <c r="A6380" s="133">
        <v>2022</v>
      </c>
      <c r="B6380" s="133">
        <v>4</v>
      </c>
      <c r="C6380" s="133">
        <v>24</v>
      </c>
      <c r="D6380" s="141">
        <f t="shared" si="368"/>
        <v>44675</v>
      </c>
      <c r="E6380" s="275">
        <f t="shared" si="369"/>
        <v>44675</v>
      </c>
      <c r="F6380" s="481"/>
      <c r="G6380" s="174" t="s">
        <v>94</v>
      </c>
      <c r="H6380" s="174" t="str" cm="1">
        <f t="array" ref="H6380">IFERROR(INDEX(INVESTOR_LIST[INVESTOR NAME],MATCH(I6380,INVESTOR_LIST[INVESTOR CODE],0),)," ")</f>
        <v xml:space="preserve"> </v>
      </c>
      <c r="I6380" s="148" t="s">
        <v>348</v>
      </c>
      <c r="J6380" s="149" t="s">
        <v>191</v>
      </c>
      <c r="K6380" s="218"/>
      <c r="L6380" s="218">
        <v>304.60000000000002</v>
      </c>
    </row>
    <row r="6381" spans="1:13" x14ac:dyDescent="0.2">
      <c r="A6381" s="163">
        <v>2022</v>
      </c>
      <c r="B6381" s="163">
        <v>4</v>
      </c>
      <c r="C6381" s="163">
        <v>24</v>
      </c>
      <c r="D6381" s="280">
        <f t="shared" si="368"/>
        <v>44675</v>
      </c>
      <c r="E6381" s="281">
        <f t="shared" si="369"/>
        <v>44675</v>
      </c>
      <c r="F6381" s="480"/>
      <c r="G6381" s="221" t="s">
        <v>94</v>
      </c>
      <c r="H6381" s="145" t="str" cm="1">
        <f t="array" ref="H6381">IFERROR(INDEX(INVESTOR_LIST[INVESTOR NAME],MATCH(I6381,INVESTOR_LIST[INVESTOR CODE],0),)," ")</f>
        <v xml:space="preserve"> </v>
      </c>
      <c r="I6381" s="145"/>
      <c r="J6381" s="163" t="s">
        <v>79</v>
      </c>
      <c r="K6381" s="219"/>
      <c r="L6381" s="219">
        <v>170042.4</v>
      </c>
    </row>
    <row r="6382" spans="1:13" x14ac:dyDescent="0.2">
      <c r="A6382" s="133">
        <v>2022</v>
      </c>
      <c r="B6382" s="168">
        <v>4</v>
      </c>
      <c r="C6382" s="168">
        <v>25</v>
      </c>
      <c r="D6382" s="141">
        <f t="shared" si="368"/>
        <v>44676</v>
      </c>
      <c r="E6382" s="275">
        <f t="shared" si="369"/>
        <v>44676</v>
      </c>
      <c r="F6382" s="479" t="s">
        <v>1371</v>
      </c>
      <c r="G6382" s="174" t="s">
        <v>94</v>
      </c>
      <c r="H6382" s="148" t="str" cm="1">
        <f t="array" ref="H6382">IFERROR(INDEX(INVESTOR_LIST[INVESTOR NAME],MATCH(I6382,INVESTOR_LIST[INVESTOR CODE],0),)," ")</f>
        <v xml:space="preserve"> </v>
      </c>
      <c r="I6382" s="148" t="s">
        <v>348</v>
      </c>
      <c r="J6382" s="133" t="s">
        <v>168</v>
      </c>
      <c r="K6382" s="172">
        <v>562500</v>
      </c>
    </row>
    <row r="6383" spans="1:13" x14ac:dyDescent="0.2">
      <c r="A6383" s="163">
        <v>2022</v>
      </c>
      <c r="B6383" s="163">
        <v>4</v>
      </c>
      <c r="C6383" s="163">
        <v>25</v>
      </c>
      <c r="D6383" s="141">
        <f t="shared" si="368"/>
        <v>44676</v>
      </c>
      <c r="E6383" s="275">
        <f t="shared" si="369"/>
        <v>44676</v>
      </c>
      <c r="F6383" s="480"/>
      <c r="G6383" s="221" t="s">
        <v>94</v>
      </c>
      <c r="H6383" s="145" t="str" cm="1">
        <f t="array" ref="H6383">IFERROR(INDEX(INVESTOR_LIST[INVESTOR NAME],MATCH(I6383,INVESTOR_LIST[INVESTOR CODE],0),)," ")</f>
        <v xml:space="preserve"> </v>
      </c>
      <c r="I6383" s="145" t="s">
        <v>348</v>
      </c>
      <c r="J6383" s="163" t="s">
        <v>166</v>
      </c>
      <c r="K6383" s="219"/>
      <c r="L6383" s="219">
        <v>562500</v>
      </c>
    </row>
    <row r="6384" spans="1:13" ht="33.75" x14ac:dyDescent="0.2">
      <c r="A6384" s="168">
        <v>2022</v>
      </c>
      <c r="B6384" s="168">
        <v>4</v>
      </c>
      <c r="C6384" s="133">
        <v>25</v>
      </c>
      <c r="D6384" s="141">
        <f t="shared" si="368"/>
        <v>44676</v>
      </c>
      <c r="E6384" s="275">
        <f t="shared" si="369"/>
        <v>44676</v>
      </c>
      <c r="F6384" s="479" t="s">
        <v>1315</v>
      </c>
      <c r="G6384" s="220" t="s">
        <v>74</v>
      </c>
      <c r="H6384" s="142" t="str" cm="1">
        <f t="array" ref="H6384">IFERROR(INDEX(INVESTOR_LIST[INVESTOR NAME],MATCH(I6384,INVESTOR_LIST[INVESTOR CODE],0),)," ")</f>
        <v>FAIYEAD AHMEDUL HYE</v>
      </c>
      <c r="I6384" s="142" t="s">
        <v>496</v>
      </c>
      <c r="J6384" s="168" t="s">
        <v>13</v>
      </c>
      <c r="K6384" s="226">
        <v>120190</v>
      </c>
      <c r="L6384" s="226"/>
    </row>
    <row r="6385" spans="1:14" ht="33.75" x14ac:dyDescent="0.2">
      <c r="A6385" s="133">
        <v>2022</v>
      </c>
      <c r="B6385" s="133">
        <v>4</v>
      </c>
      <c r="C6385" s="133">
        <v>25</v>
      </c>
      <c r="D6385" s="141">
        <f t="shared" si="368"/>
        <v>44676</v>
      </c>
      <c r="E6385" s="275">
        <f t="shared" si="369"/>
        <v>44676</v>
      </c>
      <c r="F6385" s="481"/>
      <c r="G6385" s="174" t="s">
        <v>74</v>
      </c>
      <c r="H6385" s="148" t="str" cm="1">
        <f t="array" ref="H6385">IFERROR(INDEX(INVESTOR_LIST[INVESTOR NAME],MATCH(I6385,INVESTOR_LIST[INVESTOR CODE],0),)," ")</f>
        <v>FAIYEAD AHMEDUL HYE</v>
      </c>
      <c r="I6385" s="148" t="s">
        <v>496</v>
      </c>
      <c r="J6385" s="133" t="s">
        <v>53</v>
      </c>
      <c r="K6385" s="218">
        <v>29810</v>
      </c>
      <c r="L6385" s="218"/>
      <c r="M6385" s="160"/>
    </row>
    <row r="6386" spans="1:14" ht="33.75" x14ac:dyDescent="0.2">
      <c r="A6386" s="163">
        <v>2022</v>
      </c>
      <c r="B6386" s="163">
        <v>4</v>
      </c>
      <c r="C6386" s="163">
        <v>25</v>
      </c>
      <c r="D6386" s="141">
        <f t="shared" si="368"/>
        <v>44676</v>
      </c>
      <c r="E6386" s="275">
        <f t="shared" si="369"/>
        <v>44676</v>
      </c>
      <c r="F6386" s="480"/>
      <c r="G6386" s="221" t="s">
        <v>74</v>
      </c>
      <c r="H6386" s="145" t="str" cm="1">
        <f t="array" ref="H6386">IFERROR(INDEX(INVESTOR_LIST[INVESTOR NAME],MATCH(I6386,INVESTOR_LIST[INVESTOR CODE],0),)," ")</f>
        <v>FAIYEAD AHMEDUL HYE</v>
      </c>
      <c r="I6386" s="145" t="s">
        <v>496</v>
      </c>
      <c r="J6386" s="163" t="s">
        <v>52</v>
      </c>
      <c r="K6386" s="219"/>
      <c r="L6386" s="219">
        <v>150000</v>
      </c>
    </row>
    <row r="6387" spans="1:14" x14ac:dyDescent="0.2">
      <c r="A6387" s="133">
        <v>2022</v>
      </c>
      <c r="B6387" s="133">
        <v>4</v>
      </c>
      <c r="C6387" s="168">
        <v>25</v>
      </c>
      <c r="D6387" s="141">
        <f t="shared" si="368"/>
        <v>44676</v>
      </c>
      <c r="E6387" s="275">
        <f t="shared" si="369"/>
        <v>44676</v>
      </c>
      <c r="F6387" s="479" t="s">
        <v>77</v>
      </c>
      <c r="G6387" s="174" t="s">
        <v>74</v>
      </c>
      <c r="H6387" s="148" t="str" cm="1">
        <f t="array" ref="H6387">IFERROR(INDEX(INVESTOR_LIST[INVESTOR NAME],MATCH(I6387,INVESTOR_LIST[INVESTOR CODE],0),)," ")</f>
        <v xml:space="preserve"> </v>
      </c>
      <c r="I6387" s="148" t="s">
        <v>348</v>
      </c>
      <c r="J6387" s="133" t="s">
        <v>61</v>
      </c>
      <c r="K6387" s="172">
        <v>58</v>
      </c>
    </row>
    <row r="6388" spans="1:14" x14ac:dyDescent="0.2">
      <c r="A6388" s="163">
        <v>2022</v>
      </c>
      <c r="B6388" s="163">
        <v>4</v>
      </c>
      <c r="C6388" s="163">
        <v>25</v>
      </c>
      <c r="D6388" s="141">
        <f t="shared" si="368"/>
        <v>44676</v>
      </c>
      <c r="E6388" s="275">
        <f t="shared" si="369"/>
        <v>44676</v>
      </c>
      <c r="F6388" s="480"/>
      <c r="G6388" s="221" t="s">
        <v>74</v>
      </c>
      <c r="H6388" s="145" t="str" cm="1">
        <f t="array" ref="H6388">IFERROR(INDEX(INVESTOR_LIST[INVESTOR NAME],MATCH(I6388,INVESTOR_LIST[INVESTOR CODE],0),)," ")</f>
        <v xml:space="preserve"> </v>
      </c>
      <c r="I6388" s="145" t="s">
        <v>348</v>
      </c>
      <c r="J6388" s="163" t="s">
        <v>52</v>
      </c>
      <c r="K6388" s="219"/>
      <c r="L6388" s="219">
        <v>58</v>
      </c>
      <c r="M6388" s="160"/>
    </row>
    <row r="6389" spans="1:14" ht="33.75" x14ac:dyDescent="0.2">
      <c r="A6389" s="168">
        <v>2022</v>
      </c>
      <c r="B6389" s="168">
        <v>4</v>
      </c>
      <c r="C6389" s="133">
        <v>25</v>
      </c>
      <c r="D6389" s="141">
        <f t="shared" ref="D6389:D6391" si="370">DATE(A6389,B6389,C6389)</f>
        <v>44676</v>
      </c>
      <c r="E6389" s="275">
        <f t="shared" ref="E6389:E6391" si="371">DATE(A6389,B6389,C6389)</f>
        <v>44676</v>
      </c>
      <c r="F6389" s="479" t="s">
        <v>964</v>
      </c>
      <c r="G6389" s="220" t="s">
        <v>74</v>
      </c>
      <c r="H6389" s="142" t="str" cm="1">
        <f t="array" ref="H6389">IFERROR(INDEX(INVESTOR_LIST[INVESTOR NAME],MATCH(I6389,INVESTOR_LIST[INVESTOR CODE],0),)," ")</f>
        <v>MD. BABUL MIAH</v>
      </c>
      <c r="I6389" s="142" t="s">
        <v>1375</v>
      </c>
      <c r="J6389" s="168" t="s">
        <v>52</v>
      </c>
      <c r="K6389" s="226">
        <v>50000</v>
      </c>
      <c r="L6389" s="226"/>
    </row>
    <row r="6390" spans="1:14" ht="33.75" x14ac:dyDescent="0.2">
      <c r="A6390" s="133">
        <v>2022</v>
      </c>
      <c r="B6390" s="133">
        <v>4</v>
      </c>
      <c r="C6390" s="133">
        <v>25</v>
      </c>
      <c r="D6390" s="141">
        <f t="shared" si="370"/>
        <v>44676</v>
      </c>
      <c r="E6390" s="275">
        <f t="shared" si="371"/>
        <v>44676</v>
      </c>
      <c r="F6390" s="481"/>
      <c r="G6390" s="174" t="s">
        <v>74</v>
      </c>
      <c r="H6390" s="148" t="str" cm="1">
        <f t="array" ref="H6390">IFERROR(INDEX(INVESTOR_LIST[INVESTOR NAME],MATCH(I6390,INVESTOR_LIST[INVESTOR CODE],0),)," ")</f>
        <v>MD. BABUL MIAH</v>
      </c>
      <c r="I6390" s="148" t="s">
        <v>1375</v>
      </c>
      <c r="J6390" s="133" t="s">
        <v>13</v>
      </c>
      <c r="K6390" s="218"/>
      <c r="L6390" s="218">
        <v>40820</v>
      </c>
    </row>
    <row r="6391" spans="1:14" ht="33.75" x14ac:dyDescent="0.2">
      <c r="A6391" s="163">
        <v>2022</v>
      </c>
      <c r="B6391" s="163">
        <v>4</v>
      </c>
      <c r="C6391" s="163">
        <v>25</v>
      </c>
      <c r="D6391" s="141">
        <f t="shared" si="370"/>
        <v>44676</v>
      </c>
      <c r="E6391" s="275">
        <f t="shared" si="371"/>
        <v>44676</v>
      </c>
      <c r="F6391" s="480"/>
      <c r="G6391" s="221" t="s">
        <v>74</v>
      </c>
      <c r="H6391" s="145" t="str" cm="1">
        <f t="array" ref="H6391">IFERROR(INDEX(INVESTOR_LIST[INVESTOR NAME],MATCH(I6391,INVESTOR_LIST[INVESTOR CODE],0),)," ")</f>
        <v>MD. BABUL MIAH</v>
      </c>
      <c r="I6391" s="145" t="s">
        <v>1375</v>
      </c>
      <c r="J6391" s="163" t="s">
        <v>53</v>
      </c>
      <c r="K6391" s="219"/>
      <c r="L6391" s="219">
        <v>9180</v>
      </c>
    </row>
    <row r="6392" spans="1:14" ht="22.5" x14ac:dyDescent="0.2">
      <c r="A6392" s="168">
        <v>2022</v>
      </c>
      <c r="B6392" s="168">
        <v>4</v>
      </c>
      <c r="C6392" s="133">
        <v>25</v>
      </c>
      <c r="D6392" s="141">
        <f t="shared" ref="D6392:D6401" si="372">DATE(A6392,B6392,C6392)</f>
        <v>44676</v>
      </c>
      <c r="E6392" s="275">
        <f t="shared" ref="E6392:E6401" si="373">DATE(A6392,B6392,C6392)</f>
        <v>44676</v>
      </c>
      <c r="F6392" s="479" t="s">
        <v>964</v>
      </c>
      <c r="G6392" s="220" t="s">
        <v>74</v>
      </c>
      <c r="H6392" s="142" t="str" cm="1">
        <f t="array" ref="H6392">IFERROR(INDEX(INVESTOR_LIST[INVESTOR NAME],MATCH(I6392,INVESTOR_LIST[INVESTOR CODE],0),)," ")</f>
        <v>IFTEKHAR ALAM</v>
      </c>
      <c r="I6392" s="142" t="s">
        <v>452</v>
      </c>
      <c r="J6392" s="168" t="s">
        <v>52</v>
      </c>
      <c r="K6392" s="226">
        <v>60000</v>
      </c>
      <c r="L6392" s="226"/>
    </row>
    <row r="6393" spans="1:14" ht="22.5" x14ac:dyDescent="0.2">
      <c r="A6393" s="133">
        <v>2022</v>
      </c>
      <c r="B6393" s="133">
        <v>4</v>
      </c>
      <c r="C6393" s="133">
        <v>25</v>
      </c>
      <c r="D6393" s="141">
        <f t="shared" si="372"/>
        <v>44676</v>
      </c>
      <c r="E6393" s="275">
        <f t="shared" si="373"/>
        <v>44676</v>
      </c>
      <c r="F6393" s="481"/>
      <c r="G6393" s="174" t="s">
        <v>74</v>
      </c>
      <c r="H6393" s="148" t="str" cm="1">
        <f t="array" ref="H6393">IFERROR(INDEX(INVESTOR_LIST[INVESTOR NAME],MATCH(I6393,INVESTOR_LIST[INVESTOR CODE],0),)," ")</f>
        <v>IFTEKHAR ALAM</v>
      </c>
      <c r="I6393" s="148" t="s">
        <v>452</v>
      </c>
      <c r="J6393" s="133" t="s">
        <v>13</v>
      </c>
      <c r="K6393" s="218"/>
      <c r="L6393" s="218">
        <v>48080</v>
      </c>
    </row>
    <row r="6394" spans="1:14" ht="22.5" x14ac:dyDescent="0.2">
      <c r="A6394" s="163">
        <v>2022</v>
      </c>
      <c r="B6394" s="163">
        <v>4</v>
      </c>
      <c r="C6394" s="163">
        <v>25</v>
      </c>
      <c r="D6394" s="141">
        <f t="shared" si="372"/>
        <v>44676</v>
      </c>
      <c r="E6394" s="275">
        <f t="shared" si="373"/>
        <v>44676</v>
      </c>
      <c r="F6394" s="480"/>
      <c r="G6394" s="221" t="s">
        <v>74</v>
      </c>
      <c r="H6394" s="145" t="str" cm="1">
        <f t="array" ref="H6394">IFERROR(INDEX(INVESTOR_LIST[INVESTOR NAME],MATCH(I6394,INVESTOR_LIST[INVESTOR CODE],0),)," ")</f>
        <v>IFTEKHAR ALAM</v>
      </c>
      <c r="I6394" s="145" t="s">
        <v>452</v>
      </c>
      <c r="J6394" s="163" t="s">
        <v>53</v>
      </c>
      <c r="K6394" s="219"/>
      <c r="L6394" s="219">
        <v>11920</v>
      </c>
    </row>
    <row r="6395" spans="1:14" x14ac:dyDescent="0.2">
      <c r="A6395" s="133">
        <v>2022</v>
      </c>
      <c r="B6395" s="133">
        <v>4</v>
      </c>
      <c r="C6395" s="168">
        <v>25</v>
      </c>
      <c r="D6395" s="141">
        <f t="shared" si="372"/>
        <v>44676</v>
      </c>
      <c r="E6395" s="275">
        <f t="shared" si="373"/>
        <v>44676</v>
      </c>
      <c r="F6395" s="479" t="s">
        <v>77</v>
      </c>
      <c r="G6395" s="174" t="s">
        <v>74</v>
      </c>
      <c r="H6395" s="148" t="str" cm="1">
        <f t="array" ref="H6395">IFERROR(INDEX(INVESTOR_LIST[INVESTOR NAME],MATCH(I6395,INVESTOR_LIST[INVESTOR CODE],0),)," ")</f>
        <v xml:space="preserve"> </v>
      </c>
      <c r="I6395" s="148" t="s">
        <v>348</v>
      </c>
      <c r="J6395" s="133" t="s">
        <v>61</v>
      </c>
      <c r="K6395" s="172">
        <v>10</v>
      </c>
    </row>
    <row r="6396" spans="1:14" x14ac:dyDescent="0.2">
      <c r="A6396" s="163">
        <v>2022</v>
      </c>
      <c r="B6396" s="163">
        <v>4</v>
      </c>
      <c r="C6396" s="163">
        <v>25</v>
      </c>
      <c r="D6396" s="141">
        <f t="shared" si="372"/>
        <v>44676</v>
      </c>
      <c r="E6396" s="275">
        <f t="shared" si="373"/>
        <v>44676</v>
      </c>
      <c r="F6396" s="480"/>
      <c r="G6396" s="221" t="s">
        <v>74</v>
      </c>
      <c r="H6396" s="145" t="str" cm="1">
        <f t="array" ref="H6396">IFERROR(INDEX(INVESTOR_LIST[INVESTOR NAME],MATCH(I6396,INVESTOR_LIST[INVESTOR CODE],0),)," ")</f>
        <v xml:space="preserve"> </v>
      </c>
      <c r="I6396" s="145" t="s">
        <v>348</v>
      </c>
      <c r="J6396" s="163" t="s">
        <v>52</v>
      </c>
      <c r="K6396" s="219"/>
      <c r="L6396" s="219">
        <v>10</v>
      </c>
      <c r="M6396" s="160"/>
      <c r="N6396" s="160"/>
    </row>
    <row r="6397" spans="1:14" x14ac:dyDescent="0.2">
      <c r="A6397" s="133">
        <v>2022</v>
      </c>
      <c r="B6397" s="133">
        <v>4</v>
      </c>
      <c r="C6397" s="168">
        <v>25</v>
      </c>
      <c r="D6397" s="141">
        <f t="shared" si="372"/>
        <v>44676</v>
      </c>
      <c r="E6397" s="275">
        <f t="shared" si="373"/>
        <v>44676</v>
      </c>
      <c r="F6397" s="479" t="s">
        <v>362</v>
      </c>
      <c r="G6397" s="220" t="s">
        <v>74</v>
      </c>
      <c r="H6397" s="220" t="str" cm="1">
        <f t="array" ref="H6397">IFERROR(INDEX(INVESTOR_LIST[INVESTOR NAME],MATCH(I6397,INVESTOR_LIST[INVESTOR CODE],0),)," ")</f>
        <v xml:space="preserve"> </v>
      </c>
      <c r="I6397" s="142" t="s">
        <v>348</v>
      </c>
      <c r="J6397" s="143" t="s">
        <v>104</v>
      </c>
      <c r="K6397" s="226">
        <v>2257.84</v>
      </c>
      <c r="L6397" s="226"/>
    </row>
    <row r="6398" spans="1:14" x14ac:dyDescent="0.2">
      <c r="A6398" s="163">
        <v>2022</v>
      </c>
      <c r="B6398" s="163">
        <v>4</v>
      </c>
      <c r="C6398" s="163">
        <v>25</v>
      </c>
      <c r="D6398" s="141">
        <f t="shared" si="372"/>
        <v>44676</v>
      </c>
      <c r="E6398" s="275">
        <f t="shared" si="373"/>
        <v>44676</v>
      </c>
      <c r="F6398" s="480"/>
      <c r="G6398" s="221" t="s">
        <v>74</v>
      </c>
      <c r="H6398" s="221" t="str" cm="1">
        <f t="array" ref="H6398">IFERROR(INDEX(INVESTOR_LIST[INVESTOR NAME],MATCH(I6398,INVESTOR_LIST[INVESTOR CODE],0),)," ")</f>
        <v xml:space="preserve"> </v>
      </c>
      <c r="I6398" s="145" t="s">
        <v>348</v>
      </c>
      <c r="J6398" s="146" t="s">
        <v>52</v>
      </c>
      <c r="K6398" s="219"/>
      <c r="L6398" s="219">
        <v>2257.84</v>
      </c>
      <c r="N6398" s="160"/>
    </row>
    <row r="6399" spans="1:14" ht="22.5" x14ac:dyDescent="0.2">
      <c r="A6399" s="168">
        <v>2022</v>
      </c>
      <c r="B6399" s="168">
        <v>4</v>
      </c>
      <c r="C6399" s="133">
        <v>26</v>
      </c>
      <c r="D6399" s="141">
        <f t="shared" si="372"/>
        <v>44677</v>
      </c>
      <c r="E6399" s="275">
        <f t="shared" si="373"/>
        <v>44677</v>
      </c>
      <c r="F6399" s="479" t="s">
        <v>1370</v>
      </c>
      <c r="G6399" s="220" t="s">
        <v>74</v>
      </c>
      <c r="H6399" s="142" t="str" cm="1">
        <f t="array" ref="H6399">IFERROR(INDEX(INVESTOR_LIST[INVESTOR NAME],MATCH(I6399,INVESTOR_LIST[INVESTOR CODE],0),)," ")</f>
        <v>SHAMSUZZAMAN</v>
      </c>
      <c r="I6399" s="142" t="s">
        <v>465</v>
      </c>
      <c r="J6399" s="168" t="s">
        <v>13</v>
      </c>
      <c r="K6399" s="226">
        <v>206390</v>
      </c>
      <c r="L6399" s="226"/>
    </row>
    <row r="6400" spans="1:14" ht="22.5" x14ac:dyDescent="0.2">
      <c r="A6400" s="133">
        <v>2022</v>
      </c>
      <c r="B6400" s="133">
        <v>4</v>
      </c>
      <c r="C6400" s="133">
        <v>26</v>
      </c>
      <c r="D6400" s="141">
        <f t="shared" si="372"/>
        <v>44677</v>
      </c>
      <c r="E6400" s="275">
        <f t="shared" si="373"/>
        <v>44677</v>
      </c>
      <c r="F6400" s="481"/>
      <c r="G6400" s="174" t="s">
        <v>74</v>
      </c>
      <c r="H6400" s="148" t="str" cm="1">
        <f t="array" ref="H6400">IFERROR(INDEX(INVESTOR_LIST[INVESTOR NAME],MATCH(I6400,INVESTOR_LIST[INVESTOR CODE],0),)," ")</f>
        <v>SHAMSUZZAMAN</v>
      </c>
      <c r="I6400" s="148" t="s">
        <v>465</v>
      </c>
      <c r="J6400" s="133" t="s">
        <v>53</v>
      </c>
      <c r="K6400" s="218">
        <v>51184.72</v>
      </c>
      <c r="L6400" s="218"/>
      <c r="M6400" s="160"/>
    </row>
    <row r="6401" spans="1:13" ht="22.5" x14ac:dyDescent="0.2">
      <c r="A6401" s="163">
        <v>2022</v>
      </c>
      <c r="B6401" s="163">
        <v>4</v>
      </c>
      <c r="C6401" s="163">
        <v>26</v>
      </c>
      <c r="D6401" s="141">
        <f t="shared" si="372"/>
        <v>44677</v>
      </c>
      <c r="E6401" s="275">
        <f t="shared" si="373"/>
        <v>44677</v>
      </c>
      <c r="F6401" s="480"/>
      <c r="G6401" s="221" t="s">
        <v>74</v>
      </c>
      <c r="H6401" s="145" t="str" cm="1">
        <f t="array" ref="H6401">IFERROR(INDEX(INVESTOR_LIST[INVESTOR NAME],MATCH(I6401,INVESTOR_LIST[INVESTOR CODE],0),)," ")</f>
        <v>SHAMSUZZAMAN</v>
      </c>
      <c r="I6401" s="145" t="s">
        <v>465</v>
      </c>
      <c r="J6401" s="163" t="s">
        <v>52</v>
      </c>
      <c r="K6401" s="219"/>
      <c r="L6401" s="219">
        <v>257574.72</v>
      </c>
    </row>
    <row r="6402" spans="1:13" ht="45" x14ac:dyDescent="0.2">
      <c r="A6402" s="168">
        <v>2022</v>
      </c>
      <c r="B6402" s="168">
        <v>4</v>
      </c>
      <c r="C6402" s="133">
        <v>26</v>
      </c>
      <c r="D6402" s="141">
        <f t="shared" ref="D6402:D6419" si="374">DATE(A6402,B6402,C6402)</f>
        <v>44677</v>
      </c>
      <c r="E6402" s="275">
        <f t="shared" ref="E6402:E6419" si="375">DATE(A6402,B6402,C6402)</f>
        <v>44677</v>
      </c>
      <c r="F6402" s="479" t="s">
        <v>964</v>
      </c>
      <c r="G6402" s="220" t="s">
        <v>74</v>
      </c>
      <c r="H6402" s="142" t="str" cm="1">
        <f t="array" ref="H6402">IFERROR(INDEX(INVESTOR_LIST[INVESTOR NAME],MATCH(I6402,INVESTOR_LIST[INVESTOR CODE],0),)," ")</f>
        <v>MD MIZANUR RAHMAN</v>
      </c>
      <c r="I6402" s="142" t="s">
        <v>482</v>
      </c>
      <c r="J6402" s="168" t="s">
        <v>52</v>
      </c>
      <c r="K6402" s="226">
        <v>100000</v>
      </c>
      <c r="L6402" s="226"/>
    </row>
    <row r="6403" spans="1:13" ht="45" x14ac:dyDescent="0.2">
      <c r="A6403" s="133">
        <v>2022</v>
      </c>
      <c r="B6403" s="133">
        <v>4</v>
      </c>
      <c r="C6403" s="133">
        <v>26</v>
      </c>
      <c r="D6403" s="141">
        <f t="shared" si="374"/>
        <v>44677</v>
      </c>
      <c r="E6403" s="275">
        <f t="shared" si="375"/>
        <v>44677</v>
      </c>
      <c r="F6403" s="481"/>
      <c r="G6403" s="174" t="s">
        <v>74</v>
      </c>
      <c r="H6403" s="148" t="str" cm="1">
        <f t="array" ref="H6403">IFERROR(INDEX(INVESTOR_LIST[INVESTOR NAME],MATCH(I6403,INVESTOR_LIST[INVESTOR CODE],0),)," ")</f>
        <v>MD MIZANUR RAHMAN</v>
      </c>
      <c r="I6403" s="148" t="s">
        <v>482</v>
      </c>
      <c r="J6403" s="133" t="s">
        <v>13</v>
      </c>
      <c r="K6403" s="218"/>
      <c r="L6403" s="218">
        <v>80130</v>
      </c>
    </row>
    <row r="6404" spans="1:13" ht="45" x14ac:dyDescent="0.2">
      <c r="A6404" s="163">
        <v>2022</v>
      </c>
      <c r="B6404" s="163">
        <v>4</v>
      </c>
      <c r="C6404" s="163">
        <v>26</v>
      </c>
      <c r="D6404" s="141">
        <f t="shared" si="374"/>
        <v>44677</v>
      </c>
      <c r="E6404" s="275">
        <f t="shared" si="375"/>
        <v>44677</v>
      </c>
      <c r="F6404" s="480"/>
      <c r="G6404" s="221" t="s">
        <v>74</v>
      </c>
      <c r="H6404" s="145" t="str" cm="1">
        <f t="array" ref="H6404">IFERROR(INDEX(INVESTOR_LIST[INVESTOR NAME],MATCH(I6404,INVESTOR_LIST[INVESTOR CODE],0),)," ")</f>
        <v>MD MIZANUR RAHMAN</v>
      </c>
      <c r="I6404" s="145" t="s">
        <v>482</v>
      </c>
      <c r="J6404" s="163" t="s">
        <v>53</v>
      </c>
      <c r="K6404" s="219"/>
      <c r="L6404" s="219">
        <v>19870</v>
      </c>
    </row>
    <row r="6405" spans="1:13" x14ac:dyDescent="0.2">
      <c r="A6405" s="168">
        <v>2022</v>
      </c>
      <c r="B6405" s="168">
        <v>4</v>
      </c>
      <c r="C6405" s="133">
        <v>26</v>
      </c>
      <c r="D6405" s="141">
        <f t="shared" si="374"/>
        <v>44677</v>
      </c>
      <c r="E6405" s="275">
        <f t="shared" si="375"/>
        <v>44677</v>
      </c>
      <c r="F6405" s="479" t="s">
        <v>1319</v>
      </c>
      <c r="G6405" s="220" t="s">
        <v>74</v>
      </c>
      <c r="H6405" s="142" t="str" cm="1">
        <f t="array" ref="H6405">IFERROR(INDEX(INVESTOR_LIST[INVESTOR NAME],MATCH(I6405,INVESTOR_LIST[INVESTOR CODE],0),)," ")</f>
        <v xml:space="preserve"> </v>
      </c>
      <c r="I6405" s="142"/>
      <c r="J6405" s="168" t="s">
        <v>52</v>
      </c>
      <c r="K6405" s="226">
        <v>505000</v>
      </c>
      <c r="L6405" s="226"/>
      <c r="M6405" s="160"/>
    </row>
    <row r="6406" spans="1:13" x14ac:dyDescent="0.2">
      <c r="A6406" s="133">
        <v>2022</v>
      </c>
      <c r="B6406" s="133">
        <v>4</v>
      </c>
      <c r="C6406" s="133">
        <v>26</v>
      </c>
      <c r="D6406" s="141">
        <f t="shared" si="374"/>
        <v>44677</v>
      </c>
      <c r="E6406" s="275">
        <f t="shared" si="375"/>
        <v>44677</v>
      </c>
      <c r="F6406" s="481"/>
      <c r="G6406" s="174" t="s">
        <v>74</v>
      </c>
      <c r="H6406" s="148" t="str" cm="1">
        <f t="array" ref="H6406">IFERROR(INDEX(INVESTOR_LIST[INVESTOR NAME],MATCH(I6406,INVESTOR_LIST[INVESTOR CODE],0),)," ")</f>
        <v xml:space="preserve"> </v>
      </c>
      <c r="J6406" s="133" t="s">
        <v>13</v>
      </c>
      <c r="K6406" s="218"/>
      <c r="L6406" s="218">
        <v>404650</v>
      </c>
    </row>
    <row r="6407" spans="1:13" x14ac:dyDescent="0.2">
      <c r="A6407" s="163">
        <v>2022</v>
      </c>
      <c r="B6407" s="163">
        <v>4</v>
      </c>
      <c r="C6407" s="163">
        <v>26</v>
      </c>
      <c r="D6407" s="141">
        <f t="shared" si="374"/>
        <v>44677</v>
      </c>
      <c r="E6407" s="275">
        <f t="shared" si="375"/>
        <v>44677</v>
      </c>
      <c r="F6407" s="480"/>
      <c r="G6407" s="221" t="s">
        <v>74</v>
      </c>
      <c r="H6407" s="145" t="str" cm="1">
        <f t="array" ref="H6407">IFERROR(INDEX(INVESTOR_LIST[INVESTOR NAME],MATCH(I6407,INVESTOR_LIST[INVESTOR CODE],0),)," ")</f>
        <v xml:space="preserve"> </v>
      </c>
      <c r="I6407" s="145"/>
      <c r="J6407" s="163" t="s">
        <v>53</v>
      </c>
      <c r="K6407" s="219"/>
      <c r="L6407" s="219">
        <v>100350</v>
      </c>
    </row>
    <row r="6408" spans="1:13" x14ac:dyDescent="0.2">
      <c r="A6408" s="133">
        <v>2022</v>
      </c>
      <c r="B6408" s="133">
        <v>4</v>
      </c>
      <c r="C6408" s="168">
        <v>26</v>
      </c>
      <c r="D6408" s="141">
        <f t="shared" ref="D6408:D6410" si="376">DATE(A6408,B6408,C6408)</f>
        <v>44677</v>
      </c>
      <c r="E6408" s="275">
        <f t="shared" ref="E6408:E6410" si="377">DATE(A6408,B6408,C6408)</f>
        <v>44677</v>
      </c>
      <c r="F6408" s="479" t="s">
        <v>1382</v>
      </c>
      <c r="G6408" s="174" t="s">
        <v>74</v>
      </c>
      <c r="H6408" s="148" t="str" cm="1">
        <f t="array" ref="H6408">IFERROR(INDEX(INVESTOR_LIST[INVESTOR NAME],MATCH(I6408,INVESTOR_LIST[INVESTOR CODE],0),)," ")</f>
        <v xml:space="preserve"> </v>
      </c>
      <c r="I6408" s="148" t="s">
        <v>348</v>
      </c>
      <c r="J6408" s="133" t="s">
        <v>52</v>
      </c>
      <c r="K6408" s="172">
        <v>19125</v>
      </c>
      <c r="M6408" s="160"/>
    </row>
    <row r="6409" spans="1:13" x14ac:dyDescent="0.2">
      <c r="A6409" s="133">
        <v>2022</v>
      </c>
      <c r="B6409" s="133">
        <v>4</v>
      </c>
      <c r="C6409" s="133">
        <v>26</v>
      </c>
      <c r="D6409" s="141">
        <f t="shared" ref="D6409" si="378">DATE(A6409,B6409,C6409)</f>
        <v>44677</v>
      </c>
      <c r="E6409" s="275">
        <f t="shared" ref="E6409" si="379">DATE(A6409,B6409,C6409)</f>
        <v>44677</v>
      </c>
      <c r="F6409" s="481"/>
      <c r="G6409" s="174" t="s">
        <v>74</v>
      </c>
      <c r="J6409" s="133" t="s">
        <v>163</v>
      </c>
      <c r="K6409" s="172">
        <v>3375</v>
      </c>
    </row>
    <row r="6410" spans="1:13" x14ac:dyDescent="0.2">
      <c r="A6410" s="163">
        <v>2022</v>
      </c>
      <c r="B6410" s="163">
        <v>4</v>
      </c>
      <c r="C6410" s="163">
        <v>26</v>
      </c>
      <c r="D6410" s="141">
        <f t="shared" si="376"/>
        <v>44677</v>
      </c>
      <c r="E6410" s="275">
        <f t="shared" si="377"/>
        <v>44677</v>
      </c>
      <c r="F6410" s="480"/>
      <c r="G6410" s="221" t="s">
        <v>74</v>
      </c>
      <c r="H6410" s="145" t="str" cm="1">
        <f t="array" ref="H6410">IFERROR(INDEX(INVESTOR_LIST[INVESTOR NAME],MATCH(I6410,INVESTOR_LIST[INVESTOR CODE],0),)," ")</f>
        <v xml:space="preserve"> </v>
      </c>
      <c r="I6410" s="145" t="s">
        <v>348</v>
      </c>
      <c r="J6410" s="163" t="s">
        <v>168</v>
      </c>
      <c r="K6410" s="219"/>
      <c r="L6410" s="219">
        <v>22500</v>
      </c>
    </row>
    <row r="6411" spans="1:13" x14ac:dyDescent="0.2">
      <c r="A6411" s="168">
        <v>2022</v>
      </c>
      <c r="B6411" s="168">
        <v>4</v>
      </c>
      <c r="C6411" s="168">
        <v>27</v>
      </c>
      <c r="D6411" s="141">
        <f>DATE(A6411,B6411,C6411)</f>
        <v>44678</v>
      </c>
      <c r="E6411" s="275">
        <f>DATE(A6411,B6411,C6411)</f>
        <v>44678</v>
      </c>
      <c r="F6411" s="479" t="s">
        <v>1361</v>
      </c>
      <c r="G6411" s="220" t="s">
        <v>74</v>
      </c>
      <c r="H6411" s="220" t="str" cm="1">
        <f t="array" ref="H6411">IFERROR(INDEX(INVESTOR_LIST[INVESTOR NAME],MATCH(I6411,INVESTOR_LIST[INVESTOR CODE],0),)," ")</f>
        <v xml:space="preserve"> </v>
      </c>
      <c r="I6411" s="142" t="s">
        <v>348</v>
      </c>
      <c r="J6411" s="143" t="s">
        <v>52</v>
      </c>
      <c r="K6411" s="226">
        <v>9326.61</v>
      </c>
      <c r="L6411" s="226"/>
      <c r="M6411" s="160"/>
    </row>
    <row r="6412" spans="1:13" x14ac:dyDescent="0.2">
      <c r="A6412" s="163">
        <v>2022</v>
      </c>
      <c r="B6412" s="163">
        <v>4</v>
      </c>
      <c r="C6412" s="163">
        <v>27</v>
      </c>
      <c r="D6412" s="141">
        <f>DATE(A6412,B6412,C6412)</f>
        <v>44678</v>
      </c>
      <c r="E6412" s="275">
        <f>DATE(A6412,B6412,C6412)</f>
        <v>44678</v>
      </c>
      <c r="F6412" s="480"/>
      <c r="G6412" s="221" t="s">
        <v>74</v>
      </c>
      <c r="H6412" s="221" t="str" cm="1">
        <f t="array" ref="H6412">IFERROR(INDEX(INVESTOR_LIST[INVESTOR NAME],MATCH(I6412,INVESTOR_LIST[INVESTOR CODE],0),)," ")</f>
        <v xml:space="preserve"> </v>
      </c>
      <c r="I6412" s="145" t="s">
        <v>348</v>
      </c>
      <c r="J6412" s="146" t="s">
        <v>190</v>
      </c>
      <c r="K6412" s="219"/>
      <c r="L6412" s="219">
        <v>9326.61</v>
      </c>
    </row>
    <row r="6413" spans="1:13" ht="33.75" x14ac:dyDescent="0.2">
      <c r="A6413" s="168">
        <v>2022</v>
      </c>
      <c r="B6413" s="168">
        <v>4</v>
      </c>
      <c r="C6413" s="133">
        <v>27</v>
      </c>
      <c r="D6413" s="141">
        <f t="shared" si="374"/>
        <v>44678</v>
      </c>
      <c r="E6413" s="275">
        <f t="shared" si="375"/>
        <v>44678</v>
      </c>
      <c r="F6413" s="479" t="s">
        <v>1315</v>
      </c>
      <c r="G6413" s="220" t="s">
        <v>74</v>
      </c>
      <c r="H6413" s="142" t="str" cm="1">
        <f t="array" ref="H6413">IFERROR(INDEX(INVESTOR_LIST[INVESTOR NAME],MATCH(I6413,INVESTOR_LIST[INVESTOR CODE],0),)," ")</f>
        <v>FAIYEAD AHMEDUL HYE</v>
      </c>
      <c r="I6413" s="142" t="s">
        <v>496</v>
      </c>
      <c r="J6413" s="168" t="s">
        <v>13</v>
      </c>
      <c r="K6413" s="226">
        <v>160260</v>
      </c>
      <c r="L6413" s="226"/>
    </row>
    <row r="6414" spans="1:13" ht="33.75" x14ac:dyDescent="0.2">
      <c r="A6414" s="133">
        <v>2022</v>
      </c>
      <c r="B6414" s="133">
        <v>4</v>
      </c>
      <c r="C6414" s="133">
        <v>27</v>
      </c>
      <c r="D6414" s="141">
        <f t="shared" si="374"/>
        <v>44678</v>
      </c>
      <c r="E6414" s="275">
        <f t="shared" si="375"/>
        <v>44678</v>
      </c>
      <c r="F6414" s="481"/>
      <c r="G6414" s="174" t="s">
        <v>74</v>
      </c>
      <c r="H6414" s="148" t="str" cm="1">
        <f t="array" ref="H6414">IFERROR(INDEX(INVESTOR_LIST[INVESTOR NAME],MATCH(I6414,INVESTOR_LIST[INVESTOR CODE],0),)," ")</f>
        <v>FAIYEAD AHMEDUL HYE</v>
      </c>
      <c r="I6414" s="148" t="s">
        <v>496</v>
      </c>
      <c r="J6414" s="133" t="s">
        <v>53</v>
      </c>
      <c r="K6414" s="218">
        <v>39740</v>
      </c>
      <c r="L6414" s="218"/>
      <c r="M6414" s="160"/>
    </row>
    <row r="6415" spans="1:13" ht="33.75" x14ac:dyDescent="0.2">
      <c r="A6415" s="163">
        <v>2022</v>
      </c>
      <c r="B6415" s="163">
        <v>4</v>
      </c>
      <c r="C6415" s="163">
        <v>27</v>
      </c>
      <c r="D6415" s="141">
        <f t="shared" si="374"/>
        <v>44678</v>
      </c>
      <c r="E6415" s="275">
        <f t="shared" si="375"/>
        <v>44678</v>
      </c>
      <c r="F6415" s="480"/>
      <c r="G6415" s="221" t="s">
        <v>74</v>
      </c>
      <c r="H6415" s="145" t="str" cm="1">
        <f t="array" ref="H6415">IFERROR(INDEX(INVESTOR_LIST[INVESTOR NAME],MATCH(I6415,INVESTOR_LIST[INVESTOR CODE],0),)," ")</f>
        <v>FAIYEAD AHMEDUL HYE</v>
      </c>
      <c r="I6415" s="145" t="s">
        <v>496</v>
      </c>
      <c r="J6415" s="163" t="s">
        <v>52</v>
      </c>
      <c r="K6415" s="219"/>
      <c r="L6415" s="219">
        <v>200000</v>
      </c>
    </row>
    <row r="6416" spans="1:13" x14ac:dyDescent="0.2">
      <c r="A6416" s="133">
        <v>2022</v>
      </c>
      <c r="B6416" s="133">
        <v>4</v>
      </c>
      <c r="C6416" s="168">
        <v>27</v>
      </c>
      <c r="D6416" s="141">
        <f t="shared" si="374"/>
        <v>44678</v>
      </c>
      <c r="E6416" s="275">
        <f t="shared" si="375"/>
        <v>44678</v>
      </c>
      <c r="F6416" s="479" t="s">
        <v>77</v>
      </c>
      <c r="G6416" s="174" t="s">
        <v>74</v>
      </c>
      <c r="H6416" s="148" t="str" cm="1">
        <f t="array" ref="H6416">IFERROR(INDEX(INVESTOR_LIST[INVESTOR NAME],MATCH(I6416,INVESTOR_LIST[INVESTOR CODE],0),)," ")</f>
        <v xml:space="preserve"> </v>
      </c>
      <c r="I6416" s="148" t="s">
        <v>348</v>
      </c>
      <c r="J6416" s="133" t="s">
        <v>61</v>
      </c>
      <c r="K6416" s="172">
        <v>58</v>
      </c>
    </row>
    <row r="6417" spans="1:12" x14ac:dyDescent="0.2">
      <c r="A6417" s="163">
        <v>2022</v>
      </c>
      <c r="B6417" s="163">
        <v>4</v>
      </c>
      <c r="C6417" s="163">
        <v>27</v>
      </c>
      <c r="D6417" s="141">
        <f t="shared" si="374"/>
        <v>44678</v>
      </c>
      <c r="E6417" s="275">
        <f t="shared" si="375"/>
        <v>44678</v>
      </c>
      <c r="F6417" s="480"/>
      <c r="G6417" s="221" t="s">
        <v>74</v>
      </c>
      <c r="H6417" s="145" t="str" cm="1">
        <f t="array" ref="H6417">IFERROR(INDEX(INVESTOR_LIST[INVESTOR NAME],MATCH(I6417,INVESTOR_LIST[INVESTOR CODE],0),)," ")</f>
        <v xml:space="preserve"> </v>
      </c>
      <c r="I6417" s="145" t="s">
        <v>348</v>
      </c>
      <c r="J6417" s="163" t="s">
        <v>52</v>
      </c>
      <c r="K6417" s="219"/>
      <c r="L6417" s="219">
        <v>58</v>
      </c>
    </row>
    <row r="6418" spans="1:12" x14ac:dyDescent="0.2">
      <c r="A6418" s="133">
        <v>2022</v>
      </c>
      <c r="B6418" s="133">
        <v>4</v>
      </c>
      <c r="C6418" s="168">
        <v>27</v>
      </c>
      <c r="D6418" s="141">
        <f t="shared" si="374"/>
        <v>44678</v>
      </c>
      <c r="E6418" s="275">
        <f t="shared" si="375"/>
        <v>44678</v>
      </c>
      <c r="F6418" s="479" t="s">
        <v>1378</v>
      </c>
      <c r="G6418" s="174" t="s">
        <v>74</v>
      </c>
      <c r="H6418" s="148" t="str" cm="1">
        <f t="array" ref="H6418">IFERROR(INDEX(INVESTOR_LIST[INVESTOR NAME],MATCH(I6418,INVESTOR_LIST[INVESTOR CODE],0),)," ")</f>
        <v xml:space="preserve"> </v>
      </c>
      <c r="I6418" s="148" t="s">
        <v>348</v>
      </c>
      <c r="J6418" s="133" t="s">
        <v>52</v>
      </c>
      <c r="K6418" s="172">
        <v>812500</v>
      </c>
    </row>
    <row r="6419" spans="1:12" x14ac:dyDescent="0.2">
      <c r="A6419" s="163">
        <v>2022</v>
      </c>
      <c r="B6419" s="163">
        <v>4</v>
      </c>
      <c r="C6419" s="163">
        <v>27</v>
      </c>
      <c r="D6419" s="141">
        <f t="shared" si="374"/>
        <v>44678</v>
      </c>
      <c r="E6419" s="275">
        <f t="shared" si="375"/>
        <v>44678</v>
      </c>
      <c r="F6419" s="480"/>
      <c r="G6419" s="221" t="s">
        <v>74</v>
      </c>
      <c r="H6419" s="145" t="str" cm="1">
        <f t="array" ref="H6419">IFERROR(INDEX(INVESTOR_LIST[INVESTOR NAME],MATCH(I6419,INVESTOR_LIST[INVESTOR CODE],0),)," ")</f>
        <v xml:space="preserve"> </v>
      </c>
      <c r="I6419" s="145" t="s">
        <v>348</v>
      </c>
      <c r="J6419" s="163" t="s">
        <v>168</v>
      </c>
      <c r="K6419" s="219"/>
      <c r="L6419" s="219">
        <v>812500</v>
      </c>
    </row>
    <row r="6420" spans="1:12" ht="45" x14ac:dyDescent="0.2">
      <c r="A6420" s="168">
        <v>2022</v>
      </c>
      <c r="B6420" s="168">
        <v>4</v>
      </c>
      <c r="C6420" s="133">
        <v>28</v>
      </c>
      <c r="D6420" s="141">
        <f t="shared" ref="D6420:D6425" si="380">DATE(A6420,B6420,C6420)</f>
        <v>44679</v>
      </c>
      <c r="E6420" s="275">
        <f t="shared" ref="E6420:E6425" si="381">DATE(A6420,B6420,C6420)</f>
        <v>44679</v>
      </c>
      <c r="F6420" s="479" t="s">
        <v>964</v>
      </c>
      <c r="G6420" s="220" t="s">
        <v>74</v>
      </c>
      <c r="H6420" s="142" t="str" cm="1">
        <f t="array" ref="H6420">IFERROR(INDEX(INVESTOR_LIST[INVESTOR NAME],MATCH(I6420,INVESTOR_LIST[INVESTOR CODE],0),)," ")</f>
        <v>QUAZI TOWFIQUE UDDIN</v>
      </c>
      <c r="I6420" s="142" t="s">
        <v>704</v>
      </c>
      <c r="J6420" s="168" t="s">
        <v>52</v>
      </c>
      <c r="K6420" s="226">
        <v>24000</v>
      </c>
      <c r="L6420" s="226"/>
    </row>
    <row r="6421" spans="1:12" ht="45" x14ac:dyDescent="0.2">
      <c r="A6421" s="133">
        <v>2022</v>
      </c>
      <c r="B6421" s="133">
        <v>4</v>
      </c>
      <c r="C6421" s="133">
        <v>28</v>
      </c>
      <c r="D6421" s="141">
        <f t="shared" si="380"/>
        <v>44679</v>
      </c>
      <c r="E6421" s="275">
        <f t="shared" si="381"/>
        <v>44679</v>
      </c>
      <c r="F6421" s="481"/>
      <c r="G6421" s="174" t="s">
        <v>74</v>
      </c>
      <c r="H6421" s="148" t="str" cm="1">
        <f t="array" ref="H6421">IFERROR(INDEX(INVESTOR_LIST[INVESTOR NAME],MATCH(I6421,INVESTOR_LIST[INVESTOR CODE],0),)," ")</f>
        <v>QUAZI TOWFIQUE UDDIN</v>
      </c>
      <c r="I6421" s="148" t="s">
        <v>704</v>
      </c>
      <c r="J6421" s="133" t="s">
        <v>13</v>
      </c>
      <c r="K6421" s="218"/>
      <c r="L6421" s="218">
        <v>19230</v>
      </c>
    </row>
    <row r="6422" spans="1:12" ht="45" x14ac:dyDescent="0.2">
      <c r="A6422" s="163">
        <v>2022</v>
      </c>
      <c r="B6422" s="163">
        <v>4</v>
      </c>
      <c r="C6422" s="163">
        <v>28</v>
      </c>
      <c r="D6422" s="141">
        <f t="shared" si="380"/>
        <v>44679</v>
      </c>
      <c r="E6422" s="275">
        <f t="shared" si="381"/>
        <v>44679</v>
      </c>
      <c r="F6422" s="480"/>
      <c r="G6422" s="221" t="s">
        <v>74</v>
      </c>
      <c r="H6422" s="145" t="str" cm="1">
        <f t="array" ref="H6422">IFERROR(INDEX(INVESTOR_LIST[INVESTOR NAME],MATCH(I6422,INVESTOR_LIST[INVESTOR CODE],0),)," ")</f>
        <v>QUAZI TOWFIQUE UDDIN</v>
      </c>
      <c r="I6422" s="145" t="s">
        <v>704</v>
      </c>
      <c r="J6422" s="163" t="s">
        <v>53</v>
      </c>
      <c r="K6422" s="219"/>
      <c r="L6422" s="219">
        <v>4770</v>
      </c>
    </row>
    <row r="6423" spans="1:12" ht="33.75" x14ac:dyDescent="0.2">
      <c r="A6423" s="168">
        <v>2022</v>
      </c>
      <c r="B6423" s="168">
        <v>4</v>
      </c>
      <c r="C6423" s="133">
        <v>28</v>
      </c>
      <c r="D6423" s="141">
        <f t="shared" si="380"/>
        <v>44679</v>
      </c>
      <c r="E6423" s="275">
        <f t="shared" si="381"/>
        <v>44679</v>
      </c>
      <c r="F6423" s="479" t="s">
        <v>964</v>
      </c>
      <c r="G6423" s="220" t="s">
        <v>74</v>
      </c>
      <c r="H6423" s="142" t="str" cm="1">
        <f t="array" ref="H6423">IFERROR(INDEX(INVESTOR_LIST[INVESTOR NAME],MATCH(I6423,INVESTOR_LIST[INVESTOR CODE],0),)," ")</f>
        <v>MD. BABUL MIAH</v>
      </c>
      <c r="I6423" s="142" t="s">
        <v>1375</v>
      </c>
      <c r="J6423" s="168" t="s">
        <v>52</v>
      </c>
      <c r="K6423" s="226">
        <v>15000</v>
      </c>
      <c r="L6423" s="226"/>
    </row>
    <row r="6424" spans="1:12" ht="33.75" x14ac:dyDescent="0.2">
      <c r="A6424" s="133">
        <v>2022</v>
      </c>
      <c r="B6424" s="133">
        <v>4</v>
      </c>
      <c r="C6424" s="133">
        <v>28</v>
      </c>
      <c r="D6424" s="141">
        <f t="shared" si="380"/>
        <v>44679</v>
      </c>
      <c r="E6424" s="275">
        <f t="shared" si="381"/>
        <v>44679</v>
      </c>
      <c r="F6424" s="481"/>
      <c r="G6424" s="174" t="s">
        <v>74</v>
      </c>
      <c r="H6424" s="148" t="str" cm="1">
        <f t="array" ref="H6424">IFERROR(INDEX(INVESTOR_LIST[INVESTOR NAME],MATCH(I6424,INVESTOR_LIST[INVESTOR CODE],0),)," ")</f>
        <v>MD. BABUL MIAH</v>
      </c>
      <c r="I6424" s="148" t="s">
        <v>1375</v>
      </c>
      <c r="J6424" s="133" t="s">
        <v>13</v>
      </c>
      <c r="K6424" s="218"/>
      <c r="L6424" s="218">
        <v>12240</v>
      </c>
    </row>
    <row r="6425" spans="1:12" ht="33.75" x14ac:dyDescent="0.2">
      <c r="A6425" s="163">
        <v>2022</v>
      </c>
      <c r="B6425" s="163">
        <v>4</v>
      </c>
      <c r="C6425" s="163">
        <v>28</v>
      </c>
      <c r="D6425" s="141">
        <f t="shared" si="380"/>
        <v>44679</v>
      </c>
      <c r="E6425" s="275">
        <f t="shared" si="381"/>
        <v>44679</v>
      </c>
      <c r="F6425" s="480"/>
      <c r="G6425" s="221" t="s">
        <v>74</v>
      </c>
      <c r="H6425" s="145" t="str" cm="1">
        <f t="array" ref="H6425">IFERROR(INDEX(INVESTOR_LIST[INVESTOR NAME],MATCH(I6425,INVESTOR_LIST[INVESTOR CODE],0),)," ")</f>
        <v>MD. BABUL MIAH</v>
      </c>
      <c r="I6425" s="145" t="s">
        <v>1375</v>
      </c>
      <c r="J6425" s="163" t="s">
        <v>53</v>
      </c>
      <c r="K6425" s="219"/>
      <c r="L6425" s="219">
        <v>2760</v>
      </c>
    </row>
    <row r="6426" spans="1:12" ht="33.75" x14ac:dyDescent="0.2">
      <c r="A6426" s="168">
        <v>2022</v>
      </c>
      <c r="B6426" s="168">
        <v>4</v>
      </c>
      <c r="C6426" s="133">
        <v>28</v>
      </c>
      <c r="D6426" s="141">
        <f t="shared" ref="D6426:D6428" si="382">DATE(A6426,B6426,C6426)</f>
        <v>44679</v>
      </c>
      <c r="E6426" s="275">
        <f t="shared" ref="E6426:E6428" si="383">DATE(A6426,B6426,C6426)</f>
        <v>44679</v>
      </c>
      <c r="F6426" s="479" t="s">
        <v>964</v>
      </c>
      <c r="G6426" s="220" t="s">
        <v>74</v>
      </c>
      <c r="H6426" s="142" t="str" cm="1">
        <f t="array" ref="H6426">IFERROR(INDEX(INVESTOR_LIST[INVESTOR NAME],MATCH(I6426,INVESTOR_LIST[INVESTOR CODE],0),)," ")</f>
        <v>NAUSHEEN AHMED</v>
      </c>
      <c r="I6426" s="142" t="s">
        <v>787</v>
      </c>
      <c r="J6426" s="168" t="s">
        <v>52</v>
      </c>
      <c r="K6426" s="226">
        <v>449280</v>
      </c>
      <c r="L6426" s="226"/>
    </row>
    <row r="6427" spans="1:12" ht="33.75" x14ac:dyDescent="0.2">
      <c r="A6427" s="133">
        <v>2022</v>
      </c>
      <c r="B6427" s="133">
        <v>4</v>
      </c>
      <c r="C6427" s="133">
        <v>28</v>
      </c>
      <c r="D6427" s="141">
        <f t="shared" si="382"/>
        <v>44679</v>
      </c>
      <c r="E6427" s="275">
        <f t="shared" si="383"/>
        <v>44679</v>
      </c>
      <c r="F6427" s="481"/>
      <c r="G6427" s="174" t="s">
        <v>74</v>
      </c>
      <c r="H6427" s="148" t="str" cm="1">
        <f t="array" ref="H6427">IFERROR(INDEX(INVESTOR_LIST[INVESTOR NAME],MATCH(I6427,INVESTOR_LIST[INVESTOR CODE],0),)," ")</f>
        <v>NAUSHEEN AHMED</v>
      </c>
      <c r="I6427" s="148" t="s">
        <v>787</v>
      </c>
      <c r="J6427" s="133" t="s">
        <v>13</v>
      </c>
      <c r="K6427" s="218"/>
      <c r="L6427" s="218">
        <v>360000</v>
      </c>
    </row>
    <row r="6428" spans="1:12" ht="33.75" x14ac:dyDescent="0.2">
      <c r="A6428" s="163">
        <v>2022</v>
      </c>
      <c r="B6428" s="163">
        <v>4</v>
      </c>
      <c r="C6428" s="163">
        <v>28</v>
      </c>
      <c r="D6428" s="141">
        <f t="shared" si="382"/>
        <v>44679</v>
      </c>
      <c r="E6428" s="275">
        <f t="shared" si="383"/>
        <v>44679</v>
      </c>
      <c r="F6428" s="480"/>
      <c r="G6428" s="221" t="s">
        <v>74</v>
      </c>
      <c r="H6428" s="145" t="str" cm="1">
        <f t="array" ref="H6428">IFERROR(INDEX(INVESTOR_LIST[INVESTOR NAME],MATCH(I6428,INVESTOR_LIST[INVESTOR CODE],0),)," ")</f>
        <v>NAUSHEEN AHMED</v>
      </c>
      <c r="I6428" s="145" t="s">
        <v>787</v>
      </c>
      <c r="J6428" s="163" t="s">
        <v>53</v>
      </c>
      <c r="K6428" s="219"/>
      <c r="L6428" s="219">
        <v>89280</v>
      </c>
    </row>
    <row r="6429" spans="1:12" ht="33.75" x14ac:dyDescent="0.2">
      <c r="A6429" s="168">
        <v>2022</v>
      </c>
      <c r="B6429" s="168">
        <v>4</v>
      </c>
      <c r="C6429" s="133">
        <v>28</v>
      </c>
      <c r="D6429" s="141">
        <f t="shared" ref="D6429:D6445" si="384">DATE(A6429,B6429,C6429)</f>
        <v>44679</v>
      </c>
      <c r="E6429" s="275">
        <f t="shared" ref="E6429:E6445" si="385">DATE(A6429,B6429,C6429)</f>
        <v>44679</v>
      </c>
      <c r="F6429" s="479" t="s">
        <v>964</v>
      </c>
      <c r="G6429" s="220" t="s">
        <v>74</v>
      </c>
      <c r="H6429" s="142" t="str" cm="1">
        <f t="array" ref="H6429">IFERROR(INDEX(INVESTOR_LIST[INVESTOR NAME],MATCH(I6429,INVESTOR_LIST[INVESTOR CODE],0),)," ")</f>
        <v>JOY SHREE SAHA</v>
      </c>
      <c r="I6429" s="142" t="s">
        <v>777</v>
      </c>
      <c r="J6429" s="168" t="s">
        <v>52</v>
      </c>
      <c r="K6429" s="226">
        <v>1225000</v>
      </c>
      <c r="L6429" s="226"/>
    </row>
    <row r="6430" spans="1:12" ht="33.75" x14ac:dyDescent="0.2">
      <c r="A6430" s="133">
        <v>2022</v>
      </c>
      <c r="B6430" s="133">
        <v>4</v>
      </c>
      <c r="C6430" s="133">
        <v>28</v>
      </c>
      <c r="D6430" s="141">
        <f t="shared" si="384"/>
        <v>44679</v>
      </c>
      <c r="E6430" s="275">
        <f t="shared" si="385"/>
        <v>44679</v>
      </c>
      <c r="F6430" s="481"/>
      <c r="G6430" s="174" t="s">
        <v>74</v>
      </c>
      <c r="H6430" s="148" t="str" cm="1">
        <f t="array" ref="H6430">IFERROR(INDEX(INVESTOR_LIST[INVESTOR NAME],MATCH(I6430,INVESTOR_LIST[INVESTOR CODE],0),)," ")</f>
        <v>JOY SHREE SAHA</v>
      </c>
      <c r="I6430" s="148" t="s">
        <v>777</v>
      </c>
      <c r="J6430" s="133" t="s">
        <v>13</v>
      </c>
      <c r="K6430" s="218"/>
      <c r="L6430" s="218">
        <v>995930</v>
      </c>
    </row>
    <row r="6431" spans="1:12" ht="33.75" x14ac:dyDescent="0.2">
      <c r="A6431" s="163">
        <v>2022</v>
      </c>
      <c r="B6431" s="163">
        <v>4</v>
      </c>
      <c r="C6431" s="163">
        <v>28</v>
      </c>
      <c r="D6431" s="141">
        <f t="shared" si="384"/>
        <v>44679</v>
      </c>
      <c r="E6431" s="275">
        <f t="shared" si="385"/>
        <v>44679</v>
      </c>
      <c r="F6431" s="480"/>
      <c r="G6431" s="221" t="s">
        <v>74</v>
      </c>
      <c r="H6431" s="145" t="str" cm="1">
        <f t="array" ref="H6431">IFERROR(INDEX(INVESTOR_LIST[INVESTOR NAME],MATCH(I6431,INVESTOR_LIST[INVESTOR CODE],0),)," ")</f>
        <v>JOY SHREE SAHA</v>
      </c>
      <c r="I6431" s="145" t="s">
        <v>777</v>
      </c>
      <c r="J6431" s="163" t="s">
        <v>53</v>
      </c>
      <c r="K6431" s="219"/>
      <c r="L6431" s="219">
        <v>229070</v>
      </c>
    </row>
    <row r="6432" spans="1:12" x14ac:dyDescent="0.2">
      <c r="A6432" s="238">
        <v>2022</v>
      </c>
      <c r="B6432" s="238">
        <v>4</v>
      </c>
      <c r="C6432" s="238">
        <v>28</v>
      </c>
      <c r="D6432" s="270">
        <f t="shared" si="384"/>
        <v>44679</v>
      </c>
      <c r="E6432" s="279">
        <f t="shared" si="385"/>
        <v>44679</v>
      </c>
      <c r="F6432" s="477" t="s">
        <v>347</v>
      </c>
      <c r="G6432" s="239" t="s">
        <v>94</v>
      </c>
      <c r="H6432" s="239" t="str" cm="1">
        <f t="array" ref="H6432">IFERROR(INDEX(INVESTOR_LIST[INVESTOR NAME],MATCH(I6432,INVESTOR_LIST[INVESTOR CODE],0),)," ")</f>
        <v xml:space="preserve"> </v>
      </c>
      <c r="I6432" s="262" t="s">
        <v>348</v>
      </c>
      <c r="J6432" s="240" t="s">
        <v>82</v>
      </c>
      <c r="K6432" s="241">
        <v>680595</v>
      </c>
      <c r="L6432" s="241"/>
    </row>
    <row r="6433" spans="1:13" x14ac:dyDescent="0.2">
      <c r="A6433" s="242">
        <v>2022</v>
      </c>
      <c r="B6433" s="242">
        <v>4</v>
      </c>
      <c r="C6433" s="242">
        <v>28</v>
      </c>
      <c r="D6433" s="270">
        <f t="shared" si="384"/>
        <v>44679</v>
      </c>
      <c r="E6433" s="279">
        <f t="shared" si="385"/>
        <v>44679</v>
      </c>
      <c r="F6433" s="478"/>
      <c r="G6433" s="243" t="s">
        <v>94</v>
      </c>
      <c r="H6433" s="243" t="str" cm="1">
        <f t="array" ref="H6433">IFERROR(INDEX(INVESTOR_LIST[INVESTOR NAME],MATCH(I6433,INVESTOR_LIST[INVESTOR CODE],0),)," ")</f>
        <v xml:space="preserve"> </v>
      </c>
      <c r="I6433" s="263" t="s">
        <v>348</v>
      </c>
      <c r="J6433" s="244" t="s">
        <v>108</v>
      </c>
      <c r="K6433" s="245"/>
      <c r="L6433" s="245">
        <v>680595</v>
      </c>
    </row>
    <row r="6434" spans="1:13" ht="22.5" x14ac:dyDescent="0.2">
      <c r="A6434" s="246">
        <v>2022</v>
      </c>
      <c r="B6434" s="246">
        <v>4</v>
      </c>
      <c r="C6434" s="246">
        <v>28</v>
      </c>
      <c r="D6434" s="270">
        <f t="shared" si="384"/>
        <v>44679</v>
      </c>
      <c r="E6434" s="279">
        <f t="shared" si="385"/>
        <v>44679</v>
      </c>
      <c r="F6434" s="482" t="s">
        <v>148</v>
      </c>
      <c r="G6434" s="247" t="s">
        <v>94</v>
      </c>
      <c r="H6434" s="247" t="str" cm="1">
        <f t="array" ref="H6434">IFERROR(INDEX(INVESTOR_LIST[INVESTOR NAME],MATCH(I6434,INVESTOR_LIST[INVESTOR CODE],0),)," ")</f>
        <v xml:space="preserve"> </v>
      </c>
      <c r="I6434" s="248" t="s">
        <v>348</v>
      </c>
      <c r="J6434" s="249" t="s">
        <v>95</v>
      </c>
      <c r="K6434" s="250">
        <v>2747.2527472527472</v>
      </c>
      <c r="L6434" s="241"/>
    </row>
    <row r="6435" spans="1:13" x14ac:dyDescent="0.2">
      <c r="A6435" s="242">
        <v>2022</v>
      </c>
      <c r="B6435" s="242">
        <v>4</v>
      </c>
      <c r="C6435" s="242">
        <v>28</v>
      </c>
      <c r="D6435" s="270">
        <f t="shared" si="384"/>
        <v>44679</v>
      </c>
      <c r="E6435" s="279">
        <f t="shared" si="385"/>
        <v>44679</v>
      </c>
      <c r="F6435" s="478"/>
      <c r="G6435" s="243" t="s">
        <v>94</v>
      </c>
      <c r="H6435" s="243" t="str" cm="1">
        <f t="array" ref="H6435">IFERROR(INDEX(INVESTOR_LIST[INVESTOR NAME],MATCH(I6435,INVESTOR_LIST[INVESTOR CODE],0),)," ")</f>
        <v xml:space="preserve"> </v>
      </c>
      <c r="I6435" s="263" t="s">
        <v>348</v>
      </c>
      <c r="J6435" s="244" t="s">
        <v>63</v>
      </c>
      <c r="K6435" s="245"/>
      <c r="L6435" s="245">
        <v>2747.2527472527472</v>
      </c>
    </row>
    <row r="6436" spans="1:13" x14ac:dyDescent="0.2">
      <c r="A6436" s="246">
        <v>2022</v>
      </c>
      <c r="B6436" s="246">
        <v>4</v>
      </c>
      <c r="C6436" s="246">
        <v>28</v>
      </c>
      <c r="D6436" s="270">
        <f t="shared" si="384"/>
        <v>44679</v>
      </c>
      <c r="E6436" s="279">
        <f t="shared" si="385"/>
        <v>44679</v>
      </c>
      <c r="F6436" s="482" t="s">
        <v>137</v>
      </c>
      <c r="G6436" s="247" t="s">
        <v>94</v>
      </c>
      <c r="H6436" s="247" t="str" cm="1">
        <f t="array" ref="H6436">IFERROR(INDEX(INVESTOR_LIST[INVESTOR NAME],MATCH(I6436,INVESTOR_LIST[INVESTOR CODE],0),)," ")</f>
        <v xml:space="preserve"> </v>
      </c>
      <c r="I6436" s="248" t="s">
        <v>348</v>
      </c>
      <c r="J6436" s="249" t="s">
        <v>97</v>
      </c>
      <c r="K6436" s="250">
        <v>89399.494527810471</v>
      </c>
      <c r="L6436" s="252"/>
    </row>
    <row r="6437" spans="1:13" x14ac:dyDescent="0.2">
      <c r="A6437" s="242">
        <v>2022</v>
      </c>
      <c r="B6437" s="242">
        <v>4</v>
      </c>
      <c r="C6437" s="242">
        <v>28</v>
      </c>
      <c r="D6437" s="270">
        <f t="shared" si="384"/>
        <v>44679</v>
      </c>
      <c r="E6437" s="279">
        <f t="shared" si="385"/>
        <v>44679</v>
      </c>
      <c r="F6437" s="478"/>
      <c r="G6437" s="243" t="s">
        <v>94</v>
      </c>
      <c r="H6437" s="243" t="str" cm="1">
        <f t="array" ref="H6437">IFERROR(INDEX(INVESTOR_LIST[INVESTOR NAME],MATCH(I6437,INVESTOR_LIST[INVESTOR CODE],0),)," ")</f>
        <v xml:space="preserve"> </v>
      </c>
      <c r="I6437" s="263" t="s">
        <v>348</v>
      </c>
      <c r="J6437" s="244" t="s">
        <v>47</v>
      </c>
      <c r="K6437" s="245"/>
      <c r="L6437" s="245">
        <v>89399.494527810471</v>
      </c>
    </row>
    <row r="6438" spans="1:13" x14ac:dyDescent="0.2">
      <c r="A6438" s="246">
        <v>2022</v>
      </c>
      <c r="B6438" s="246">
        <v>4</v>
      </c>
      <c r="C6438" s="246">
        <v>28</v>
      </c>
      <c r="D6438" s="270">
        <f t="shared" si="384"/>
        <v>44679</v>
      </c>
      <c r="E6438" s="279">
        <f t="shared" si="385"/>
        <v>44679</v>
      </c>
      <c r="F6438" s="482" t="s">
        <v>138</v>
      </c>
      <c r="G6438" s="247" t="s">
        <v>94</v>
      </c>
      <c r="H6438" s="247" t="str" cm="1">
        <f t="array" ref="H6438">IFERROR(INDEX(INVESTOR_LIST[INVESTOR NAME],MATCH(I6438,INVESTOR_LIST[INVESTOR CODE],0),)," ")</f>
        <v xml:space="preserve"> </v>
      </c>
      <c r="I6438" s="248" t="s">
        <v>348</v>
      </c>
      <c r="J6438" s="249" t="s">
        <v>100</v>
      </c>
      <c r="K6438" s="250">
        <v>4229.5901110059085</v>
      </c>
      <c r="L6438" s="252"/>
      <c r="M6438" s="160"/>
    </row>
    <row r="6439" spans="1:13" x14ac:dyDescent="0.2">
      <c r="A6439" s="242">
        <v>2022</v>
      </c>
      <c r="B6439" s="242">
        <v>4</v>
      </c>
      <c r="C6439" s="242">
        <v>28</v>
      </c>
      <c r="D6439" s="270">
        <f t="shared" si="384"/>
        <v>44679</v>
      </c>
      <c r="E6439" s="279">
        <f t="shared" si="385"/>
        <v>44679</v>
      </c>
      <c r="F6439" s="478"/>
      <c r="G6439" s="243" t="s">
        <v>94</v>
      </c>
      <c r="H6439" s="243" t="str" cm="1">
        <f t="array" ref="H6439">IFERROR(INDEX(INVESTOR_LIST[INVESTOR NAME],MATCH(I6439,INVESTOR_LIST[INVESTOR CODE],0),)," ")</f>
        <v xml:space="preserve"> </v>
      </c>
      <c r="I6439" s="263" t="s">
        <v>348</v>
      </c>
      <c r="J6439" s="244" t="s">
        <v>48</v>
      </c>
      <c r="K6439" s="245"/>
      <c r="L6439" s="245">
        <v>4229.5901110059085</v>
      </c>
    </row>
    <row r="6440" spans="1:13" ht="33.75" x14ac:dyDescent="0.2">
      <c r="A6440" s="168">
        <v>2022</v>
      </c>
      <c r="B6440" s="168">
        <v>4</v>
      </c>
      <c r="C6440" s="133">
        <v>29</v>
      </c>
      <c r="D6440" s="141">
        <f t="shared" si="384"/>
        <v>44680</v>
      </c>
      <c r="E6440" s="275">
        <f t="shared" si="385"/>
        <v>44680</v>
      </c>
      <c r="F6440" s="479" t="s">
        <v>964</v>
      </c>
      <c r="G6440" s="220" t="s">
        <v>74</v>
      </c>
      <c r="H6440" s="142" t="str" cm="1">
        <f t="array" ref="H6440">IFERROR(INDEX(INVESTOR_LIST[INVESTOR NAME],MATCH(I6440,INVESTOR_LIST[INVESTOR CODE],0),)," ")</f>
        <v>NAUSHEEN AHMED</v>
      </c>
      <c r="I6440" s="142" t="s">
        <v>787</v>
      </c>
      <c r="J6440" s="168" t="s">
        <v>52</v>
      </c>
      <c r="K6440" s="226">
        <v>399360</v>
      </c>
      <c r="L6440" s="226"/>
    </row>
    <row r="6441" spans="1:13" ht="33.75" x14ac:dyDescent="0.2">
      <c r="A6441" s="133">
        <v>2022</v>
      </c>
      <c r="B6441" s="133">
        <v>4</v>
      </c>
      <c r="C6441" s="133">
        <v>29</v>
      </c>
      <c r="D6441" s="141">
        <f t="shared" si="384"/>
        <v>44680</v>
      </c>
      <c r="E6441" s="275">
        <f t="shared" si="385"/>
        <v>44680</v>
      </c>
      <c r="F6441" s="481"/>
      <c r="G6441" s="174" t="s">
        <v>74</v>
      </c>
      <c r="H6441" s="148" t="str" cm="1">
        <f t="array" ref="H6441">IFERROR(INDEX(INVESTOR_LIST[INVESTOR NAME],MATCH(I6441,INVESTOR_LIST[INVESTOR CODE],0),)," ")</f>
        <v>NAUSHEEN AHMED</v>
      </c>
      <c r="I6441" s="148" t="s">
        <v>787</v>
      </c>
      <c r="J6441" s="133" t="s">
        <v>13</v>
      </c>
      <c r="K6441" s="218"/>
      <c r="L6441" s="218">
        <v>320000</v>
      </c>
    </row>
    <row r="6442" spans="1:13" ht="33.75" x14ac:dyDescent="0.2">
      <c r="A6442" s="163">
        <v>2022</v>
      </c>
      <c r="B6442" s="163">
        <v>4</v>
      </c>
      <c r="C6442" s="163">
        <v>29</v>
      </c>
      <c r="D6442" s="141">
        <f t="shared" si="384"/>
        <v>44680</v>
      </c>
      <c r="E6442" s="275">
        <f t="shared" si="385"/>
        <v>44680</v>
      </c>
      <c r="F6442" s="480"/>
      <c r="G6442" s="221" t="s">
        <v>74</v>
      </c>
      <c r="H6442" s="145" t="str" cm="1">
        <f t="array" ref="H6442">IFERROR(INDEX(INVESTOR_LIST[INVESTOR NAME],MATCH(I6442,INVESTOR_LIST[INVESTOR CODE],0),)," ")</f>
        <v>NAUSHEEN AHMED</v>
      </c>
      <c r="I6442" s="145" t="s">
        <v>787</v>
      </c>
      <c r="J6442" s="163" t="s">
        <v>53</v>
      </c>
      <c r="K6442" s="219"/>
      <c r="L6442" s="219">
        <v>79360</v>
      </c>
    </row>
    <row r="6443" spans="1:13" ht="33.75" x14ac:dyDescent="0.2">
      <c r="A6443" s="168">
        <v>2022</v>
      </c>
      <c r="B6443" s="168">
        <v>4</v>
      </c>
      <c r="C6443" s="133">
        <v>30</v>
      </c>
      <c r="D6443" s="141">
        <f t="shared" si="384"/>
        <v>44681</v>
      </c>
      <c r="E6443" s="275">
        <f t="shared" si="385"/>
        <v>44681</v>
      </c>
      <c r="F6443" s="479" t="s">
        <v>964</v>
      </c>
      <c r="G6443" s="220" t="s">
        <v>74</v>
      </c>
      <c r="H6443" s="142" t="str" cm="1">
        <f t="array" ref="H6443">IFERROR(INDEX(INVESTOR_LIST[INVESTOR NAME],MATCH(I6443,INVESTOR_LIST[INVESTOR CODE],0),)," ")</f>
        <v>ASHIT BARAN SAHA</v>
      </c>
      <c r="I6443" s="142" t="s">
        <v>442</v>
      </c>
      <c r="J6443" s="168" t="s">
        <v>52</v>
      </c>
      <c r="K6443" s="226">
        <v>1225000</v>
      </c>
      <c r="L6443" s="226"/>
    </row>
    <row r="6444" spans="1:13" ht="33.75" x14ac:dyDescent="0.2">
      <c r="A6444" s="133">
        <v>2022</v>
      </c>
      <c r="B6444" s="133">
        <v>4</v>
      </c>
      <c r="C6444" s="133">
        <v>30</v>
      </c>
      <c r="D6444" s="141">
        <f t="shared" si="384"/>
        <v>44681</v>
      </c>
      <c r="E6444" s="275">
        <f t="shared" si="385"/>
        <v>44681</v>
      </c>
      <c r="F6444" s="481"/>
      <c r="G6444" s="174" t="s">
        <v>74</v>
      </c>
      <c r="H6444" s="148" t="str" cm="1">
        <f t="array" ref="H6444">IFERROR(INDEX(INVESTOR_LIST[INVESTOR NAME],MATCH(I6444,INVESTOR_LIST[INVESTOR CODE],0),)," ")</f>
        <v>ASHIT BARAN SAHA</v>
      </c>
      <c r="I6444" s="148" t="s">
        <v>442</v>
      </c>
      <c r="J6444" s="133" t="s">
        <v>13</v>
      </c>
      <c r="K6444" s="218"/>
      <c r="L6444" s="218">
        <v>995930</v>
      </c>
      <c r="M6444" s="160"/>
    </row>
    <row r="6445" spans="1:13" ht="33.75" x14ac:dyDescent="0.2">
      <c r="A6445" s="163">
        <v>2022</v>
      </c>
      <c r="B6445" s="163">
        <v>4</v>
      </c>
      <c r="C6445" s="163">
        <v>30</v>
      </c>
      <c r="D6445" s="141">
        <f t="shared" si="384"/>
        <v>44681</v>
      </c>
      <c r="E6445" s="275">
        <f t="shared" si="385"/>
        <v>44681</v>
      </c>
      <c r="F6445" s="480"/>
      <c r="G6445" s="221" t="s">
        <v>74</v>
      </c>
      <c r="H6445" s="145" t="str" cm="1">
        <f t="array" ref="H6445">IFERROR(INDEX(INVESTOR_LIST[INVESTOR NAME],MATCH(I6445,INVESTOR_LIST[INVESTOR CODE],0),)," ")</f>
        <v>ASHIT BARAN SAHA</v>
      </c>
      <c r="I6445" s="145" t="s">
        <v>442</v>
      </c>
      <c r="J6445" s="163" t="s">
        <v>53</v>
      </c>
      <c r="K6445" s="219"/>
      <c r="L6445" s="219">
        <v>229070</v>
      </c>
    </row>
    <row r="6446" spans="1:13" ht="22.5" x14ac:dyDescent="0.2">
      <c r="A6446" s="168">
        <v>2022</v>
      </c>
      <c r="B6446" s="168">
        <v>4</v>
      </c>
      <c r="C6446" s="133">
        <v>30</v>
      </c>
      <c r="D6446" s="141">
        <f t="shared" ref="D6446:D6464" si="386">DATE(A6446,B6446,C6446)</f>
        <v>44681</v>
      </c>
      <c r="E6446" s="275">
        <f t="shared" ref="E6446:E6464" si="387">DATE(A6446,B6446,C6446)</f>
        <v>44681</v>
      </c>
      <c r="F6446" s="479" t="s">
        <v>964</v>
      </c>
      <c r="G6446" s="220" t="s">
        <v>74</v>
      </c>
      <c r="H6446" s="142" t="str" cm="1">
        <f t="array" ref="H6446">IFERROR(INDEX(INVESTOR_LIST[INVESTOR NAME],MATCH(I6446,INVESTOR_LIST[INVESTOR CODE],0),)," ")</f>
        <v>ARCHONA SAHA</v>
      </c>
      <c r="I6446" s="142" t="s">
        <v>1377</v>
      </c>
      <c r="J6446" s="168" t="s">
        <v>52</v>
      </c>
      <c r="K6446" s="226">
        <v>150000</v>
      </c>
      <c r="L6446" s="226"/>
    </row>
    <row r="6447" spans="1:13" ht="22.5" x14ac:dyDescent="0.2">
      <c r="A6447" s="133">
        <v>2022</v>
      </c>
      <c r="B6447" s="133">
        <v>4</v>
      </c>
      <c r="C6447" s="133">
        <v>30</v>
      </c>
      <c r="D6447" s="141">
        <f t="shared" si="386"/>
        <v>44681</v>
      </c>
      <c r="E6447" s="275">
        <f t="shared" si="387"/>
        <v>44681</v>
      </c>
      <c r="F6447" s="481"/>
      <c r="G6447" s="174" t="s">
        <v>74</v>
      </c>
      <c r="H6447" s="148" t="str" cm="1">
        <f t="array" ref="H6447">IFERROR(INDEX(INVESTOR_LIST[INVESTOR NAME],MATCH(I6447,INVESTOR_LIST[INVESTOR CODE],0),)," ")</f>
        <v>ARCHONA SAHA</v>
      </c>
      <c r="I6447" s="148" t="s">
        <v>1377</v>
      </c>
      <c r="J6447" s="133" t="s">
        <v>13</v>
      </c>
      <c r="K6447" s="218"/>
      <c r="L6447" s="218">
        <v>120190</v>
      </c>
    </row>
    <row r="6448" spans="1:13" ht="22.5" x14ac:dyDescent="0.2">
      <c r="A6448" s="163">
        <v>2022</v>
      </c>
      <c r="B6448" s="163">
        <v>4</v>
      </c>
      <c r="C6448" s="163">
        <v>30</v>
      </c>
      <c r="D6448" s="141">
        <f t="shared" si="386"/>
        <v>44681</v>
      </c>
      <c r="E6448" s="275">
        <f t="shared" si="387"/>
        <v>44681</v>
      </c>
      <c r="F6448" s="480"/>
      <c r="G6448" s="221" t="s">
        <v>74</v>
      </c>
      <c r="H6448" s="145" t="str" cm="1">
        <f t="array" ref="H6448">IFERROR(INDEX(INVESTOR_LIST[INVESTOR NAME],MATCH(I6448,INVESTOR_LIST[INVESTOR CODE],0),)," ")</f>
        <v>ARCHONA SAHA</v>
      </c>
      <c r="I6448" s="145" t="s">
        <v>1377</v>
      </c>
      <c r="J6448" s="163" t="s">
        <v>53</v>
      </c>
      <c r="K6448" s="219"/>
      <c r="L6448" s="219">
        <v>29810</v>
      </c>
    </row>
    <row r="6449" spans="1:13" x14ac:dyDescent="0.2">
      <c r="A6449" s="133">
        <v>2022</v>
      </c>
      <c r="B6449" s="133">
        <v>4</v>
      </c>
      <c r="C6449" s="168">
        <v>30</v>
      </c>
      <c r="D6449" s="141">
        <f t="shared" si="386"/>
        <v>44681</v>
      </c>
      <c r="E6449" s="275">
        <f t="shared" si="387"/>
        <v>44681</v>
      </c>
      <c r="F6449" s="479" t="s">
        <v>77</v>
      </c>
      <c r="G6449" s="174" t="s">
        <v>74</v>
      </c>
      <c r="H6449" s="148" t="str" cm="1">
        <f t="array" ref="H6449">IFERROR(INDEX(INVESTOR_LIST[INVESTOR NAME],MATCH(I6449,INVESTOR_LIST[INVESTOR CODE],0),)," ")</f>
        <v xml:space="preserve"> </v>
      </c>
      <c r="I6449" s="148" t="s">
        <v>348</v>
      </c>
      <c r="J6449" s="133" t="s">
        <v>61</v>
      </c>
      <c r="K6449" s="172">
        <v>60</v>
      </c>
    </row>
    <row r="6450" spans="1:13" x14ac:dyDescent="0.2">
      <c r="A6450" s="163">
        <v>2022</v>
      </c>
      <c r="B6450" s="163">
        <v>4</v>
      </c>
      <c r="C6450" s="163">
        <v>30</v>
      </c>
      <c r="D6450" s="141">
        <f t="shared" si="386"/>
        <v>44681</v>
      </c>
      <c r="E6450" s="275">
        <f t="shared" si="387"/>
        <v>44681</v>
      </c>
      <c r="F6450" s="480"/>
      <c r="G6450" s="221" t="s">
        <v>74</v>
      </c>
      <c r="H6450" s="145" t="str" cm="1">
        <f t="array" ref="H6450">IFERROR(INDEX(INVESTOR_LIST[INVESTOR NAME],MATCH(I6450,INVESTOR_LIST[INVESTOR CODE],0),)," ")</f>
        <v xml:space="preserve"> </v>
      </c>
      <c r="I6450" s="145" t="s">
        <v>348</v>
      </c>
      <c r="J6450" s="163" t="s">
        <v>52</v>
      </c>
      <c r="K6450" s="219"/>
      <c r="L6450" s="219">
        <v>60</v>
      </c>
    </row>
    <row r="6451" spans="1:13" x14ac:dyDescent="0.2">
      <c r="A6451" s="133">
        <v>2022</v>
      </c>
      <c r="B6451" s="133">
        <v>4</v>
      </c>
      <c r="C6451" s="168">
        <v>30</v>
      </c>
      <c r="D6451" s="141">
        <f t="shared" ref="D6451:D6452" si="388">DATE(A6451,B6451,C6451)</f>
        <v>44681</v>
      </c>
      <c r="E6451" s="275">
        <f t="shared" ref="E6451:E6452" si="389">DATE(A6451,B6451,C6451)</f>
        <v>44681</v>
      </c>
      <c r="F6451" s="479" t="s">
        <v>77</v>
      </c>
      <c r="G6451" s="174" t="s">
        <v>74</v>
      </c>
      <c r="H6451" s="148" t="str" cm="1">
        <f t="array" ref="H6451">IFERROR(INDEX(INVESTOR_LIST[INVESTOR NAME],MATCH(I6451,INVESTOR_LIST[INVESTOR CODE],0),)," ")</f>
        <v xml:space="preserve"> </v>
      </c>
      <c r="I6451" s="148" t="s">
        <v>348</v>
      </c>
      <c r="J6451" s="133" t="s">
        <v>61</v>
      </c>
      <c r="K6451" s="172">
        <v>10</v>
      </c>
    </row>
    <row r="6452" spans="1:13" x14ac:dyDescent="0.2">
      <c r="A6452" s="163">
        <v>2022</v>
      </c>
      <c r="B6452" s="163">
        <v>4</v>
      </c>
      <c r="C6452" s="163">
        <v>30</v>
      </c>
      <c r="D6452" s="141">
        <f t="shared" si="388"/>
        <v>44681</v>
      </c>
      <c r="E6452" s="275">
        <f t="shared" si="389"/>
        <v>44681</v>
      </c>
      <c r="F6452" s="480"/>
      <c r="G6452" s="221" t="s">
        <v>74</v>
      </c>
      <c r="H6452" s="145" t="str" cm="1">
        <f t="array" ref="H6452">IFERROR(INDEX(INVESTOR_LIST[INVESTOR NAME],MATCH(I6452,INVESTOR_LIST[INVESTOR CODE],0),)," ")</f>
        <v xml:space="preserve"> </v>
      </c>
      <c r="I6452" s="145" t="s">
        <v>348</v>
      </c>
      <c r="J6452" s="163" t="s">
        <v>52</v>
      </c>
      <c r="K6452" s="219"/>
      <c r="L6452" s="219">
        <v>10</v>
      </c>
    </row>
    <row r="6453" spans="1:13" x14ac:dyDescent="0.2">
      <c r="A6453" s="133">
        <v>2022</v>
      </c>
      <c r="B6453" s="133">
        <v>5</v>
      </c>
      <c r="C6453" s="133">
        <v>5</v>
      </c>
      <c r="D6453" s="141">
        <f t="shared" si="386"/>
        <v>44686</v>
      </c>
      <c r="E6453" s="275">
        <f t="shared" si="387"/>
        <v>44686</v>
      </c>
      <c r="F6453" s="481" t="s">
        <v>1033</v>
      </c>
      <c r="G6453" s="174" t="s">
        <v>94</v>
      </c>
      <c r="H6453" s="174" t="str" cm="1">
        <f t="array" ref="H6453">IFERROR(INDEX(INVESTOR_LIST[INVESTOR NAME],MATCH(I6453,INVESTOR_LIST[INVESTOR CODE],0),)," ")</f>
        <v xml:space="preserve"> </v>
      </c>
      <c r="I6453" s="148" t="s">
        <v>348</v>
      </c>
      <c r="J6453" s="149" t="s">
        <v>190</v>
      </c>
      <c r="K6453" s="218">
        <v>319623.64</v>
      </c>
      <c r="L6453" s="218"/>
    </row>
    <row r="6454" spans="1:13" x14ac:dyDescent="0.2">
      <c r="A6454" s="133">
        <v>2022</v>
      </c>
      <c r="B6454" s="133">
        <v>5</v>
      </c>
      <c r="C6454" s="133">
        <v>5</v>
      </c>
      <c r="D6454" s="141">
        <f t="shared" si="386"/>
        <v>44686</v>
      </c>
      <c r="E6454" s="275">
        <f t="shared" si="387"/>
        <v>44686</v>
      </c>
      <c r="F6454" s="481"/>
      <c r="G6454" s="174" t="s">
        <v>94</v>
      </c>
      <c r="H6454" s="174"/>
      <c r="J6454" s="149" t="s">
        <v>80</v>
      </c>
      <c r="K6454" s="218">
        <v>576.36</v>
      </c>
      <c r="L6454" s="218"/>
    </row>
    <row r="6455" spans="1:13" x14ac:dyDescent="0.2">
      <c r="A6455" s="133">
        <v>2022</v>
      </c>
      <c r="B6455" s="133">
        <v>5</v>
      </c>
      <c r="C6455" s="133">
        <v>5</v>
      </c>
      <c r="D6455" s="141">
        <f t="shared" si="386"/>
        <v>44686</v>
      </c>
      <c r="E6455" s="275">
        <f t="shared" si="387"/>
        <v>44686</v>
      </c>
      <c r="F6455" s="481"/>
      <c r="G6455" s="174" t="s">
        <v>94</v>
      </c>
      <c r="H6455" s="174"/>
      <c r="J6455" s="149" t="s">
        <v>191</v>
      </c>
      <c r="K6455" s="218">
        <v>4771.46</v>
      </c>
      <c r="L6455" s="218"/>
    </row>
    <row r="6456" spans="1:13" x14ac:dyDescent="0.2">
      <c r="A6456" s="163">
        <v>2022</v>
      </c>
      <c r="B6456" s="163">
        <v>5</v>
      </c>
      <c r="C6456" s="163">
        <v>5</v>
      </c>
      <c r="D6456" s="280">
        <f t="shared" si="386"/>
        <v>44686</v>
      </c>
      <c r="E6456" s="281">
        <f t="shared" si="387"/>
        <v>44686</v>
      </c>
      <c r="F6456" s="480"/>
      <c r="G6456" s="221" t="s">
        <v>94</v>
      </c>
      <c r="H6456" s="145" t="str" cm="1">
        <f t="array" ref="H6456">IFERROR(INDEX(INVESTOR_LIST[INVESTOR NAME],MATCH(I6456,INVESTOR_LIST[INVESTOR CODE],0),)," ")</f>
        <v xml:space="preserve"> </v>
      </c>
      <c r="I6456" s="145"/>
      <c r="J6456" s="163" t="s">
        <v>79</v>
      </c>
      <c r="K6456" s="219"/>
      <c r="L6456" s="219">
        <v>324971.46000000002</v>
      </c>
    </row>
    <row r="6457" spans="1:13" x14ac:dyDescent="0.2">
      <c r="A6457" s="168">
        <v>2022</v>
      </c>
      <c r="B6457" s="168">
        <v>5</v>
      </c>
      <c r="C6457" s="133">
        <v>5</v>
      </c>
      <c r="D6457" s="141">
        <f t="shared" si="386"/>
        <v>44686</v>
      </c>
      <c r="E6457" s="275">
        <f t="shared" si="387"/>
        <v>44686</v>
      </c>
      <c r="F6457" s="479" t="s">
        <v>1319</v>
      </c>
      <c r="G6457" s="220" t="s">
        <v>74</v>
      </c>
      <c r="H6457" s="142" t="str" cm="1">
        <f t="array" ref="H6457">IFERROR(INDEX(INVESTOR_LIST[INVESTOR NAME],MATCH(I6457,INVESTOR_LIST[INVESTOR CODE],0),)," ")</f>
        <v xml:space="preserve"> </v>
      </c>
      <c r="I6457" s="142"/>
      <c r="J6457" s="168" t="s">
        <v>52</v>
      </c>
      <c r="K6457" s="226">
        <v>347500</v>
      </c>
      <c r="L6457" s="226"/>
    </row>
    <row r="6458" spans="1:13" x14ac:dyDescent="0.2">
      <c r="A6458" s="133">
        <v>2022</v>
      </c>
      <c r="B6458" s="133">
        <v>5</v>
      </c>
      <c r="C6458" s="133">
        <v>5</v>
      </c>
      <c r="D6458" s="141">
        <f t="shared" si="386"/>
        <v>44686</v>
      </c>
      <c r="E6458" s="275">
        <f t="shared" si="387"/>
        <v>44686</v>
      </c>
      <c r="F6458" s="481"/>
      <c r="G6458" s="174" t="s">
        <v>74</v>
      </c>
      <c r="H6458" s="148" t="str" cm="1">
        <f t="array" ref="H6458">IFERROR(INDEX(INVESTOR_LIST[INVESTOR NAME],MATCH(I6458,INVESTOR_LIST[INVESTOR CODE],0),)," ")</f>
        <v xml:space="preserve"> </v>
      </c>
      <c r="J6458" s="133" t="s">
        <v>13</v>
      </c>
      <c r="K6458" s="218"/>
      <c r="L6458" s="218">
        <v>277560</v>
      </c>
    </row>
    <row r="6459" spans="1:13" x14ac:dyDescent="0.2">
      <c r="A6459" s="163">
        <v>2022</v>
      </c>
      <c r="B6459" s="163">
        <v>5</v>
      </c>
      <c r="C6459" s="163">
        <v>5</v>
      </c>
      <c r="D6459" s="141">
        <f t="shared" si="386"/>
        <v>44686</v>
      </c>
      <c r="E6459" s="275">
        <f t="shared" si="387"/>
        <v>44686</v>
      </c>
      <c r="F6459" s="480"/>
      <c r="G6459" s="221" t="s">
        <v>74</v>
      </c>
      <c r="H6459" s="145" t="str" cm="1">
        <f t="array" ref="H6459">IFERROR(INDEX(INVESTOR_LIST[INVESTOR NAME],MATCH(I6459,INVESTOR_LIST[INVESTOR CODE],0),)," ")</f>
        <v xml:space="preserve"> </v>
      </c>
      <c r="I6459" s="145"/>
      <c r="J6459" s="163" t="s">
        <v>53</v>
      </c>
      <c r="K6459" s="219"/>
      <c r="L6459" s="219">
        <v>69940</v>
      </c>
    </row>
    <row r="6460" spans="1:13" x14ac:dyDescent="0.2">
      <c r="A6460" s="133">
        <v>2022</v>
      </c>
      <c r="B6460" s="133">
        <v>5</v>
      </c>
      <c r="C6460" s="133">
        <v>9</v>
      </c>
      <c r="D6460" s="141">
        <f t="shared" si="386"/>
        <v>44690</v>
      </c>
      <c r="E6460" s="275">
        <f t="shared" si="387"/>
        <v>44690</v>
      </c>
      <c r="F6460" s="481" t="s">
        <v>1379</v>
      </c>
      <c r="G6460" s="174" t="s">
        <v>94</v>
      </c>
      <c r="H6460" s="174" t="str" cm="1">
        <f t="array" ref="H6460">IFERROR(INDEX(INVESTOR_LIST[INVESTOR NAME],MATCH(I6460,INVESTOR_LIST[INVESTOR CODE],0),)," ")</f>
        <v xml:space="preserve"> </v>
      </c>
      <c r="I6460" s="148" t="s">
        <v>348</v>
      </c>
      <c r="J6460" s="149" t="s">
        <v>79</v>
      </c>
      <c r="K6460" s="218">
        <v>3597912.2</v>
      </c>
      <c r="L6460" s="218"/>
    </row>
    <row r="6461" spans="1:13" x14ac:dyDescent="0.2">
      <c r="A6461" s="133">
        <v>2022</v>
      </c>
      <c r="B6461" s="133">
        <v>5</v>
      </c>
      <c r="C6461" s="133">
        <v>9</v>
      </c>
      <c r="D6461" s="141">
        <f t="shared" si="386"/>
        <v>44690</v>
      </c>
      <c r="E6461" s="275">
        <f t="shared" si="387"/>
        <v>44690</v>
      </c>
      <c r="F6461" s="481"/>
      <c r="G6461" s="174" t="s">
        <v>94</v>
      </c>
      <c r="H6461" s="174"/>
      <c r="J6461" s="149" t="s">
        <v>80</v>
      </c>
      <c r="K6461" s="218">
        <v>13150.34</v>
      </c>
      <c r="L6461" s="218"/>
    </row>
    <row r="6462" spans="1:13" x14ac:dyDescent="0.2">
      <c r="A6462" s="133">
        <v>2022</v>
      </c>
      <c r="B6462" s="133">
        <v>5</v>
      </c>
      <c r="C6462" s="133">
        <v>9</v>
      </c>
      <c r="D6462" s="141">
        <f t="shared" si="386"/>
        <v>44690</v>
      </c>
      <c r="E6462" s="275">
        <f t="shared" si="387"/>
        <v>44690</v>
      </c>
      <c r="F6462" s="481"/>
      <c r="G6462" s="174" t="s">
        <v>94</v>
      </c>
      <c r="H6462" s="174"/>
      <c r="J6462" s="149" t="s">
        <v>191</v>
      </c>
      <c r="K6462" s="218">
        <v>63233.63</v>
      </c>
      <c r="L6462" s="218"/>
      <c r="M6462" s="160"/>
    </row>
    <row r="6463" spans="1:13" x14ac:dyDescent="0.2">
      <c r="A6463" s="133">
        <v>2022</v>
      </c>
      <c r="B6463" s="133">
        <v>5</v>
      </c>
      <c r="C6463" s="133">
        <v>9</v>
      </c>
      <c r="D6463" s="141">
        <f t="shared" si="386"/>
        <v>44690</v>
      </c>
      <c r="E6463" s="275">
        <f t="shared" si="387"/>
        <v>44690</v>
      </c>
      <c r="F6463" s="481"/>
      <c r="G6463" s="174" t="s">
        <v>94</v>
      </c>
      <c r="H6463" s="174" t="str" cm="1">
        <f t="array" ref="H6463">IFERROR(INDEX(INVESTOR_LIST[INVESTOR NAME],MATCH(I6463,INVESTOR_LIST[INVESTOR CODE],0),)," ")</f>
        <v xml:space="preserve"> </v>
      </c>
      <c r="I6463" s="148" t="s">
        <v>348</v>
      </c>
      <c r="J6463" s="149" t="s">
        <v>190</v>
      </c>
      <c r="K6463" s="218">
        <v>96769.86</v>
      </c>
      <c r="L6463" s="218"/>
    </row>
    <row r="6464" spans="1:13" x14ac:dyDescent="0.2">
      <c r="A6464" s="163">
        <v>2022</v>
      </c>
      <c r="B6464" s="163">
        <v>5</v>
      </c>
      <c r="C6464" s="163">
        <v>9</v>
      </c>
      <c r="D6464" s="280">
        <f t="shared" si="386"/>
        <v>44690</v>
      </c>
      <c r="E6464" s="281">
        <f t="shared" si="387"/>
        <v>44690</v>
      </c>
      <c r="F6464" s="480"/>
      <c r="G6464" s="221" t="s">
        <v>94</v>
      </c>
      <c r="H6464" s="145" t="str" cm="1">
        <f t="array" ref="H6464">IFERROR(INDEX(INVESTOR_LIST[INVESTOR NAME],MATCH(I6464,INVESTOR_LIST[INVESTOR CODE],0),)," ")</f>
        <v xml:space="preserve"> </v>
      </c>
      <c r="I6464" s="145"/>
      <c r="J6464" s="163" t="s">
        <v>79</v>
      </c>
      <c r="K6464" s="219"/>
      <c r="L6464" s="219">
        <v>3771066.0300000003</v>
      </c>
    </row>
    <row r="6465" spans="1:13" x14ac:dyDescent="0.2">
      <c r="A6465" s="168">
        <v>2022</v>
      </c>
      <c r="B6465" s="168">
        <v>5</v>
      </c>
      <c r="C6465" s="168">
        <v>9</v>
      </c>
      <c r="D6465" s="141">
        <f>DATE(A6465,B6465,C6465)</f>
        <v>44690</v>
      </c>
      <c r="E6465" s="275">
        <f>DATE(A6465,B6465,C6465)</f>
        <v>44690</v>
      </c>
      <c r="F6465" s="479" t="s">
        <v>1361</v>
      </c>
      <c r="G6465" s="220" t="s">
        <v>74</v>
      </c>
      <c r="H6465" s="220" t="str" cm="1">
        <f t="array" ref="H6465">IFERROR(INDEX(INVESTOR_LIST[INVESTOR NAME],MATCH(I6465,INVESTOR_LIST[INVESTOR CODE],0),)," ")</f>
        <v xml:space="preserve"> </v>
      </c>
      <c r="I6465" s="142" t="s">
        <v>348</v>
      </c>
      <c r="J6465" s="143" t="s">
        <v>52</v>
      </c>
      <c r="K6465" s="226">
        <v>319623.64</v>
      </c>
      <c r="L6465" s="226"/>
      <c r="M6465" s="160"/>
    </row>
    <row r="6466" spans="1:13" x14ac:dyDescent="0.2">
      <c r="A6466" s="163">
        <v>2022</v>
      </c>
      <c r="B6466" s="163">
        <v>5</v>
      </c>
      <c r="C6466" s="163">
        <v>9</v>
      </c>
      <c r="D6466" s="141">
        <f>DATE(A6466,B6466,C6466)</f>
        <v>44690</v>
      </c>
      <c r="E6466" s="275">
        <f>DATE(A6466,B6466,C6466)</f>
        <v>44690</v>
      </c>
      <c r="F6466" s="480"/>
      <c r="G6466" s="221" t="s">
        <v>74</v>
      </c>
      <c r="H6466" s="221" t="str" cm="1">
        <f t="array" ref="H6466">IFERROR(INDEX(INVESTOR_LIST[INVESTOR NAME],MATCH(I6466,INVESTOR_LIST[INVESTOR CODE],0),)," ")</f>
        <v xml:space="preserve"> </v>
      </c>
      <c r="I6466" s="145" t="s">
        <v>348</v>
      </c>
      <c r="J6466" s="146" t="s">
        <v>190</v>
      </c>
      <c r="K6466" s="219"/>
      <c r="L6466" s="219">
        <v>319623.64</v>
      </c>
    </row>
    <row r="6467" spans="1:13" x14ac:dyDescent="0.2">
      <c r="A6467" s="168">
        <v>2022</v>
      </c>
      <c r="B6467" s="168">
        <v>5</v>
      </c>
      <c r="C6467" s="168">
        <v>9</v>
      </c>
      <c r="D6467" s="141">
        <f t="shared" ref="D6467:D6486" si="390">DATE(A6467,B6467,C6467)</f>
        <v>44690</v>
      </c>
      <c r="E6467" s="275">
        <f t="shared" ref="E6467:E6486" si="391">DATE(A6467,B6467,C6467)</f>
        <v>44690</v>
      </c>
      <c r="F6467" s="479" t="s">
        <v>747</v>
      </c>
      <c r="G6467" s="220" t="s">
        <v>74</v>
      </c>
      <c r="H6467" s="142" t="str" cm="1">
        <f t="array" ref="H6467">IFERROR(INDEX(INVESTOR_LIST[INVESTOR NAME],MATCH(I6467,INVESTOR_LIST[INVESTOR CODE],0),)," ")</f>
        <v xml:space="preserve"> </v>
      </c>
      <c r="I6467" s="142"/>
      <c r="J6467" s="168" t="s">
        <v>534</v>
      </c>
      <c r="K6467" s="226">
        <v>3823301.16</v>
      </c>
      <c r="L6467" s="226"/>
    </row>
    <row r="6468" spans="1:13" x14ac:dyDescent="0.2">
      <c r="A6468" s="133">
        <v>2022</v>
      </c>
      <c r="B6468" s="133">
        <v>5</v>
      </c>
      <c r="C6468" s="133">
        <v>9</v>
      </c>
      <c r="D6468" s="141">
        <f t="shared" si="390"/>
        <v>44690</v>
      </c>
      <c r="E6468" s="275">
        <f t="shared" si="391"/>
        <v>44690</v>
      </c>
      <c r="F6468" s="481"/>
      <c r="G6468" s="174" t="s">
        <v>74</v>
      </c>
      <c r="H6468" s="148" t="str" cm="1">
        <f t="array" ref="H6468">IFERROR(INDEX(INVESTOR_LIST[INVESTOR NAME],MATCH(I6468,INVESTOR_LIST[INVESTOR CODE],0),)," ")</f>
        <v xml:space="preserve"> </v>
      </c>
      <c r="J6468" s="133" t="s">
        <v>61</v>
      </c>
      <c r="K6468" s="218">
        <v>115</v>
      </c>
      <c r="L6468" s="218"/>
    </row>
    <row r="6469" spans="1:13" x14ac:dyDescent="0.2">
      <c r="A6469" s="163">
        <v>2022</v>
      </c>
      <c r="B6469" s="163">
        <v>5</v>
      </c>
      <c r="C6469" s="163">
        <v>9</v>
      </c>
      <c r="D6469" s="141">
        <f t="shared" si="390"/>
        <v>44690</v>
      </c>
      <c r="E6469" s="275">
        <f t="shared" si="391"/>
        <v>44690</v>
      </c>
      <c r="F6469" s="480"/>
      <c r="G6469" s="221" t="s">
        <v>74</v>
      </c>
      <c r="H6469" s="145" t="str" cm="1">
        <f t="array" ref="H6469">IFERROR(INDEX(INVESTOR_LIST[INVESTOR NAME],MATCH(I6469,INVESTOR_LIST[INVESTOR CODE],0),)," ")</f>
        <v xml:space="preserve"> </v>
      </c>
      <c r="I6469" s="145"/>
      <c r="J6469" s="163" t="s">
        <v>52</v>
      </c>
      <c r="K6469" s="219"/>
      <c r="L6469" s="219">
        <v>3823416.16</v>
      </c>
    </row>
    <row r="6470" spans="1:13" ht="22.5" x14ac:dyDescent="0.2">
      <c r="A6470" s="168">
        <v>2022</v>
      </c>
      <c r="B6470" s="168">
        <v>5</v>
      </c>
      <c r="C6470" s="133">
        <v>10</v>
      </c>
      <c r="D6470" s="141">
        <f t="shared" si="390"/>
        <v>44691</v>
      </c>
      <c r="E6470" s="275">
        <f t="shared" si="391"/>
        <v>44691</v>
      </c>
      <c r="F6470" s="479" t="s">
        <v>964</v>
      </c>
      <c r="G6470" s="220" t="s">
        <v>74</v>
      </c>
      <c r="H6470" s="142" t="str" cm="1">
        <f t="array" ref="H6470">IFERROR(INDEX(INVESTOR_LIST[INVESTOR NAME],MATCH(I6470,INVESTOR_LIST[INVESTOR CODE],0),)," ")</f>
        <v>RASIDA BEGUM</v>
      </c>
      <c r="I6470" s="142" t="s">
        <v>1137</v>
      </c>
      <c r="J6470" s="168" t="s">
        <v>52</v>
      </c>
      <c r="K6470" s="226">
        <v>100000</v>
      </c>
      <c r="L6470" s="226"/>
      <c r="M6470" s="160"/>
    </row>
    <row r="6471" spans="1:13" ht="22.5" x14ac:dyDescent="0.2">
      <c r="A6471" s="133">
        <v>2022</v>
      </c>
      <c r="B6471" s="133">
        <v>5</v>
      </c>
      <c r="C6471" s="133">
        <v>10</v>
      </c>
      <c r="D6471" s="141">
        <f t="shared" si="390"/>
        <v>44691</v>
      </c>
      <c r="E6471" s="275">
        <f t="shared" si="391"/>
        <v>44691</v>
      </c>
      <c r="F6471" s="481"/>
      <c r="G6471" s="174" t="s">
        <v>74</v>
      </c>
      <c r="H6471" s="148" t="str" cm="1">
        <f t="array" ref="H6471">IFERROR(INDEX(INVESTOR_LIST[INVESTOR NAME],MATCH(I6471,INVESTOR_LIST[INVESTOR CODE],0),)," ")</f>
        <v>RASIDA BEGUM</v>
      </c>
      <c r="I6471" s="148" t="s">
        <v>1137</v>
      </c>
      <c r="J6471" s="133" t="s">
        <v>13</v>
      </c>
      <c r="K6471" s="218"/>
      <c r="L6471" s="218">
        <v>79870</v>
      </c>
    </row>
    <row r="6472" spans="1:13" ht="22.5" x14ac:dyDescent="0.2">
      <c r="A6472" s="163">
        <v>2022</v>
      </c>
      <c r="B6472" s="163">
        <v>5</v>
      </c>
      <c r="C6472" s="163">
        <v>10</v>
      </c>
      <c r="D6472" s="141">
        <f t="shared" si="390"/>
        <v>44691</v>
      </c>
      <c r="E6472" s="275">
        <f t="shared" si="391"/>
        <v>44691</v>
      </c>
      <c r="F6472" s="480"/>
      <c r="G6472" s="221" t="s">
        <v>74</v>
      </c>
      <c r="H6472" s="145" t="str" cm="1">
        <f t="array" ref="H6472">IFERROR(INDEX(INVESTOR_LIST[INVESTOR NAME],MATCH(I6472,INVESTOR_LIST[INVESTOR CODE],0),)," ")</f>
        <v>RASIDA BEGUM</v>
      </c>
      <c r="I6472" s="145" t="s">
        <v>1137</v>
      </c>
      <c r="J6472" s="163" t="s">
        <v>53</v>
      </c>
      <c r="K6472" s="219"/>
      <c r="L6472" s="219">
        <v>20130</v>
      </c>
    </row>
    <row r="6473" spans="1:13" ht="33.75" x14ac:dyDescent="0.2">
      <c r="A6473" s="168">
        <v>2022</v>
      </c>
      <c r="B6473" s="168">
        <v>5</v>
      </c>
      <c r="C6473" s="133">
        <v>10</v>
      </c>
      <c r="D6473" s="141">
        <f t="shared" si="390"/>
        <v>44691</v>
      </c>
      <c r="E6473" s="275">
        <f t="shared" si="391"/>
        <v>44691</v>
      </c>
      <c r="F6473" s="479" t="s">
        <v>964</v>
      </c>
      <c r="G6473" s="220" t="s">
        <v>74</v>
      </c>
      <c r="H6473" s="142" t="str" cm="1">
        <f t="array" ref="H6473">IFERROR(INDEX(INVESTOR_LIST[INVESTOR NAME],MATCH(I6473,INVESTOR_LIST[INVESTOR CODE],0),)," ")</f>
        <v>FAIYEAD AHMEDUL HYE</v>
      </c>
      <c r="I6473" s="142" t="s">
        <v>496</v>
      </c>
      <c r="J6473" s="168" t="s">
        <v>52</v>
      </c>
      <c r="K6473" s="226">
        <v>100000</v>
      </c>
      <c r="L6473" s="226"/>
    </row>
    <row r="6474" spans="1:13" ht="33.75" x14ac:dyDescent="0.2">
      <c r="A6474" s="133">
        <v>2022</v>
      </c>
      <c r="B6474" s="133">
        <v>5</v>
      </c>
      <c r="C6474" s="133">
        <v>10</v>
      </c>
      <c r="D6474" s="141">
        <f t="shared" si="390"/>
        <v>44691</v>
      </c>
      <c r="E6474" s="275">
        <f t="shared" si="391"/>
        <v>44691</v>
      </c>
      <c r="F6474" s="481"/>
      <c r="G6474" s="174" t="s">
        <v>74</v>
      </c>
      <c r="H6474" s="148" t="str" cm="1">
        <f t="array" ref="H6474">IFERROR(INDEX(INVESTOR_LIST[INVESTOR NAME],MATCH(I6474,INVESTOR_LIST[INVESTOR CODE],0),)," ")</f>
        <v>FAIYEAD AHMEDUL HYE</v>
      </c>
      <c r="I6474" s="148" t="s">
        <v>496</v>
      </c>
      <c r="J6474" s="133" t="s">
        <v>13</v>
      </c>
      <c r="K6474" s="218"/>
      <c r="L6474" s="218">
        <v>79870</v>
      </c>
    </row>
    <row r="6475" spans="1:13" ht="33.75" x14ac:dyDescent="0.2">
      <c r="A6475" s="163">
        <v>2022</v>
      </c>
      <c r="B6475" s="163">
        <v>5</v>
      </c>
      <c r="C6475" s="163">
        <v>10</v>
      </c>
      <c r="D6475" s="141">
        <f t="shared" si="390"/>
        <v>44691</v>
      </c>
      <c r="E6475" s="275">
        <f t="shared" si="391"/>
        <v>44691</v>
      </c>
      <c r="F6475" s="480"/>
      <c r="G6475" s="221" t="s">
        <v>74</v>
      </c>
      <c r="H6475" s="145" t="str" cm="1">
        <f t="array" ref="H6475">IFERROR(INDEX(INVESTOR_LIST[INVESTOR NAME],MATCH(I6475,INVESTOR_LIST[INVESTOR CODE],0),)," ")</f>
        <v>FAIYEAD AHMEDUL HYE</v>
      </c>
      <c r="I6475" s="145" t="s">
        <v>496</v>
      </c>
      <c r="J6475" s="163" t="s">
        <v>53</v>
      </c>
      <c r="K6475" s="219"/>
      <c r="L6475" s="219">
        <v>20130</v>
      </c>
    </row>
    <row r="6476" spans="1:13" ht="56.25" x14ac:dyDescent="0.2">
      <c r="A6476" s="168">
        <v>2022</v>
      </c>
      <c r="B6476" s="168">
        <v>5</v>
      </c>
      <c r="C6476" s="133">
        <v>10</v>
      </c>
      <c r="D6476" s="141">
        <f t="shared" si="390"/>
        <v>44691</v>
      </c>
      <c r="E6476" s="275">
        <f t="shared" si="391"/>
        <v>44691</v>
      </c>
      <c r="F6476" s="479" t="s">
        <v>964</v>
      </c>
      <c r="G6476" s="220" t="s">
        <v>74</v>
      </c>
      <c r="H6476" s="142" t="str" cm="1">
        <f t="array" ref="H6476">IFERROR(INDEX(INVESTOR_LIST[INVESTOR NAME],MATCH(I6476,INVESTOR_LIST[INVESTOR CODE],0),)," ")</f>
        <v>TOWHIDUR RAHMAN CHOWDHURY</v>
      </c>
      <c r="I6476" s="142" t="s">
        <v>1384</v>
      </c>
      <c r="J6476" s="168" t="s">
        <v>52</v>
      </c>
      <c r="K6476" s="226">
        <v>500000</v>
      </c>
      <c r="L6476" s="226"/>
    </row>
    <row r="6477" spans="1:13" ht="56.25" x14ac:dyDescent="0.2">
      <c r="A6477" s="133">
        <v>2022</v>
      </c>
      <c r="B6477" s="133">
        <v>5</v>
      </c>
      <c r="C6477" s="133">
        <v>10</v>
      </c>
      <c r="D6477" s="141">
        <f t="shared" si="390"/>
        <v>44691</v>
      </c>
      <c r="E6477" s="275">
        <f t="shared" si="391"/>
        <v>44691</v>
      </c>
      <c r="F6477" s="481"/>
      <c r="G6477" s="174" t="s">
        <v>74</v>
      </c>
      <c r="H6477" s="148" t="str" cm="1">
        <f t="array" ref="H6477">IFERROR(INDEX(INVESTOR_LIST[INVESTOR NAME],MATCH(I6477,INVESTOR_LIST[INVESTOR CODE],0),)," ")</f>
        <v>TOWHIDUR RAHMAN CHOWDHURY</v>
      </c>
      <c r="I6477" s="148" t="s">
        <v>1384</v>
      </c>
      <c r="J6477" s="133" t="s">
        <v>13</v>
      </c>
      <c r="K6477" s="218"/>
      <c r="L6477" s="218">
        <v>402250</v>
      </c>
    </row>
    <row r="6478" spans="1:13" ht="56.25" x14ac:dyDescent="0.2">
      <c r="A6478" s="163">
        <v>2022</v>
      </c>
      <c r="B6478" s="163">
        <v>5</v>
      </c>
      <c r="C6478" s="163">
        <v>10</v>
      </c>
      <c r="D6478" s="141">
        <f t="shared" si="390"/>
        <v>44691</v>
      </c>
      <c r="E6478" s="275">
        <f t="shared" si="391"/>
        <v>44691</v>
      </c>
      <c r="F6478" s="480"/>
      <c r="G6478" s="221" t="s">
        <v>74</v>
      </c>
      <c r="H6478" s="145" t="str" cm="1">
        <f t="array" ref="H6478">IFERROR(INDEX(INVESTOR_LIST[INVESTOR NAME],MATCH(I6478,INVESTOR_LIST[INVESTOR CODE],0),)," ")</f>
        <v>TOWHIDUR RAHMAN CHOWDHURY</v>
      </c>
      <c r="I6478" s="145" t="s">
        <v>1384</v>
      </c>
      <c r="J6478" s="163" t="s">
        <v>53</v>
      </c>
      <c r="K6478" s="219"/>
      <c r="L6478" s="219">
        <v>97750</v>
      </c>
    </row>
    <row r="6479" spans="1:13" ht="22.5" x14ac:dyDescent="0.2">
      <c r="A6479" s="168">
        <v>2022</v>
      </c>
      <c r="B6479" s="168">
        <v>5</v>
      </c>
      <c r="C6479" s="133">
        <v>11</v>
      </c>
      <c r="D6479" s="141">
        <f t="shared" si="390"/>
        <v>44692</v>
      </c>
      <c r="E6479" s="275">
        <f t="shared" si="391"/>
        <v>44692</v>
      </c>
      <c r="F6479" s="479" t="s">
        <v>1315</v>
      </c>
      <c r="G6479" s="220" t="s">
        <v>74</v>
      </c>
      <c r="H6479" s="142" t="str" cm="1">
        <f t="array" ref="H6479">IFERROR(INDEX(INVESTOR_LIST[INVESTOR NAME],MATCH(I6479,INVESTOR_LIST[INVESTOR CODE],0),)," ")</f>
        <v>BILKISS ARA</v>
      </c>
      <c r="I6479" s="142" t="s">
        <v>441</v>
      </c>
      <c r="J6479" s="168" t="s">
        <v>13</v>
      </c>
      <c r="K6479" s="226">
        <v>306700</v>
      </c>
      <c r="L6479" s="226"/>
    </row>
    <row r="6480" spans="1:13" ht="22.5" x14ac:dyDescent="0.2">
      <c r="A6480" s="133">
        <v>2022</v>
      </c>
      <c r="B6480" s="133">
        <v>5</v>
      </c>
      <c r="C6480" s="133">
        <v>11</v>
      </c>
      <c r="D6480" s="141">
        <f t="shared" si="390"/>
        <v>44692</v>
      </c>
      <c r="E6480" s="275">
        <f t="shared" si="391"/>
        <v>44692</v>
      </c>
      <c r="F6480" s="481"/>
      <c r="G6480" s="174" t="s">
        <v>74</v>
      </c>
      <c r="H6480" s="148" t="str" cm="1">
        <f t="array" ref="H6480">IFERROR(INDEX(INVESTOR_LIST[INVESTOR NAME],MATCH(I6480,INVESTOR_LIST[INVESTOR CODE],0),)," ")</f>
        <v>BILKISS ARA</v>
      </c>
      <c r="I6480" s="148" t="s">
        <v>441</v>
      </c>
      <c r="J6480" s="133" t="s">
        <v>53</v>
      </c>
      <c r="K6480" s="218">
        <v>77288.399999999994</v>
      </c>
      <c r="L6480" s="218"/>
    </row>
    <row r="6481" spans="1:12" ht="22.5" x14ac:dyDescent="0.2">
      <c r="A6481" s="163">
        <v>2022</v>
      </c>
      <c r="B6481" s="163">
        <v>5</v>
      </c>
      <c r="C6481" s="163">
        <v>11</v>
      </c>
      <c r="D6481" s="141">
        <f t="shared" si="390"/>
        <v>44692</v>
      </c>
      <c r="E6481" s="275">
        <f t="shared" si="391"/>
        <v>44692</v>
      </c>
      <c r="F6481" s="480"/>
      <c r="G6481" s="221" t="s">
        <v>74</v>
      </c>
      <c r="H6481" s="145" t="str" cm="1">
        <f t="array" ref="H6481">IFERROR(INDEX(INVESTOR_LIST[INVESTOR NAME],MATCH(I6481,INVESTOR_LIST[INVESTOR CODE],0),)," ")</f>
        <v>BILKISS ARA</v>
      </c>
      <c r="I6481" s="145" t="s">
        <v>441</v>
      </c>
      <c r="J6481" s="163" t="s">
        <v>52</v>
      </c>
      <c r="K6481" s="219"/>
      <c r="L6481" s="219">
        <v>383988.4</v>
      </c>
    </row>
    <row r="6482" spans="1:12" x14ac:dyDescent="0.2">
      <c r="A6482" s="133">
        <v>2022</v>
      </c>
      <c r="B6482" s="133">
        <v>5</v>
      </c>
      <c r="C6482" s="133">
        <v>11</v>
      </c>
      <c r="D6482" s="141">
        <f t="shared" si="390"/>
        <v>44692</v>
      </c>
      <c r="E6482" s="275">
        <f t="shared" si="391"/>
        <v>44692</v>
      </c>
      <c r="F6482" s="481" t="s">
        <v>1379</v>
      </c>
      <c r="G6482" s="174" t="s">
        <v>94</v>
      </c>
      <c r="H6482" s="174" t="str" cm="1">
        <f t="array" ref="H6482">IFERROR(INDEX(INVESTOR_LIST[INVESTOR NAME],MATCH(I6482,INVESTOR_LIST[INVESTOR CODE],0),)," ")</f>
        <v xml:space="preserve"> </v>
      </c>
      <c r="I6482" s="148" t="s">
        <v>348</v>
      </c>
      <c r="J6482" s="149" t="s">
        <v>79</v>
      </c>
      <c r="K6482" s="218">
        <v>11807.5</v>
      </c>
      <c r="L6482" s="218"/>
    </row>
    <row r="6483" spans="1:12" x14ac:dyDescent="0.2">
      <c r="A6483" s="133">
        <v>2022</v>
      </c>
      <c r="B6483" s="133">
        <v>5</v>
      </c>
      <c r="C6483" s="133">
        <v>11</v>
      </c>
      <c r="D6483" s="141">
        <f t="shared" si="390"/>
        <v>44692</v>
      </c>
      <c r="E6483" s="275">
        <f t="shared" si="391"/>
        <v>44692</v>
      </c>
      <c r="F6483" s="481"/>
      <c r="G6483" s="174" t="s">
        <v>94</v>
      </c>
      <c r="H6483" s="174"/>
      <c r="J6483" s="149" t="s">
        <v>80</v>
      </c>
      <c r="K6483" s="218">
        <v>13690.56</v>
      </c>
      <c r="L6483" s="218"/>
    </row>
    <row r="6484" spans="1:12" x14ac:dyDescent="0.2">
      <c r="A6484" s="133">
        <v>2022</v>
      </c>
      <c r="B6484" s="133">
        <v>5</v>
      </c>
      <c r="C6484" s="133">
        <v>11</v>
      </c>
      <c r="D6484" s="141">
        <f t="shared" si="390"/>
        <v>44692</v>
      </c>
      <c r="E6484" s="275">
        <f t="shared" si="391"/>
        <v>44692</v>
      </c>
      <c r="F6484" s="481"/>
      <c r="G6484" s="174" t="s">
        <v>94</v>
      </c>
      <c r="H6484" s="174"/>
      <c r="J6484" s="149" t="s">
        <v>191</v>
      </c>
      <c r="K6484" s="218">
        <v>205257.96</v>
      </c>
      <c r="L6484" s="218"/>
    </row>
    <row r="6485" spans="1:12" x14ac:dyDescent="0.2">
      <c r="A6485" s="133">
        <v>2022</v>
      </c>
      <c r="B6485" s="133">
        <v>5</v>
      </c>
      <c r="C6485" s="133">
        <v>11</v>
      </c>
      <c r="D6485" s="141">
        <f t="shared" si="390"/>
        <v>44692</v>
      </c>
      <c r="E6485" s="275">
        <f t="shared" si="391"/>
        <v>44692</v>
      </c>
      <c r="F6485" s="481"/>
      <c r="G6485" s="174" t="s">
        <v>94</v>
      </c>
      <c r="H6485" s="174" t="str" cm="1">
        <f t="array" ref="H6485">IFERROR(INDEX(INVESTOR_LIST[INVESTOR NAME],MATCH(I6485,INVESTOR_LIST[INVESTOR CODE],0),)," ")</f>
        <v xml:space="preserve"> </v>
      </c>
      <c r="I6485" s="148" t="s">
        <v>348</v>
      </c>
      <c r="J6485" s="149" t="s">
        <v>190</v>
      </c>
      <c r="K6485" s="218">
        <v>7568559.1399999997</v>
      </c>
      <c r="L6485" s="218"/>
    </row>
    <row r="6486" spans="1:12" x14ac:dyDescent="0.2">
      <c r="A6486" s="163">
        <v>2022</v>
      </c>
      <c r="B6486" s="163">
        <v>5</v>
      </c>
      <c r="C6486" s="163">
        <v>11</v>
      </c>
      <c r="D6486" s="280">
        <f t="shared" si="390"/>
        <v>44692</v>
      </c>
      <c r="E6486" s="281">
        <f t="shared" si="391"/>
        <v>44692</v>
      </c>
      <c r="F6486" s="480"/>
      <c r="G6486" s="221" t="s">
        <v>94</v>
      </c>
      <c r="H6486" s="145" t="str" cm="1">
        <f t="array" ref="H6486">IFERROR(INDEX(INVESTOR_LIST[INVESTOR NAME],MATCH(I6486,INVESTOR_LIST[INVESTOR CODE],0),)," ")</f>
        <v xml:space="preserve"> </v>
      </c>
      <c r="I6486" s="145"/>
      <c r="J6486" s="163" t="s">
        <v>79</v>
      </c>
      <c r="K6486" s="219"/>
      <c r="L6486" s="219">
        <v>7799315.1600000001</v>
      </c>
    </row>
    <row r="6487" spans="1:12" x14ac:dyDescent="0.2">
      <c r="A6487" s="168">
        <v>2022</v>
      </c>
      <c r="B6487" s="168">
        <v>5</v>
      </c>
      <c r="C6487" s="168">
        <v>11</v>
      </c>
      <c r="D6487" s="141">
        <f>DATE(A6487,B6487,C6487)</f>
        <v>44692</v>
      </c>
      <c r="E6487" s="275">
        <f>DATE(A6487,B6487,C6487)</f>
        <v>44692</v>
      </c>
      <c r="F6487" s="479" t="s">
        <v>1361</v>
      </c>
      <c r="G6487" s="220" t="s">
        <v>74</v>
      </c>
      <c r="H6487" s="220" t="str" cm="1">
        <f t="array" ref="H6487">IFERROR(INDEX(INVESTOR_LIST[INVESTOR NAME],MATCH(I6487,INVESTOR_LIST[INVESTOR CODE],0),)," ")</f>
        <v xml:space="preserve"> </v>
      </c>
      <c r="I6487" s="142" t="s">
        <v>348</v>
      </c>
      <c r="J6487" s="143" t="s">
        <v>52</v>
      </c>
      <c r="K6487" s="226">
        <v>96769.86</v>
      </c>
      <c r="L6487" s="226"/>
    </row>
    <row r="6488" spans="1:12" x14ac:dyDescent="0.2">
      <c r="A6488" s="163">
        <v>2022</v>
      </c>
      <c r="B6488" s="163">
        <v>5</v>
      </c>
      <c r="C6488" s="163">
        <v>11</v>
      </c>
      <c r="D6488" s="141">
        <f>DATE(A6488,B6488,C6488)</f>
        <v>44692</v>
      </c>
      <c r="E6488" s="275">
        <f>DATE(A6488,B6488,C6488)</f>
        <v>44692</v>
      </c>
      <c r="F6488" s="480"/>
      <c r="G6488" s="221" t="s">
        <v>74</v>
      </c>
      <c r="H6488" s="221" t="str" cm="1">
        <f t="array" ref="H6488">IFERROR(INDEX(INVESTOR_LIST[INVESTOR NAME],MATCH(I6488,INVESTOR_LIST[INVESTOR CODE],0),)," ")</f>
        <v xml:space="preserve"> </v>
      </c>
      <c r="I6488" s="145" t="s">
        <v>348</v>
      </c>
      <c r="J6488" s="146" t="s">
        <v>190</v>
      </c>
      <c r="K6488" s="219"/>
      <c r="L6488" s="219">
        <v>96769.86</v>
      </c>
    </row>
    <row r="6489" spans="1:12" x14ac:dyDescent="0.2">
      <c r="A6489" s="133">
        <v>2022</v>
      </c>
      <c r="B6489" s="168">
        <v>5</v>
      </c>
      <c r="C6489" s="168">
        <v>11</v>
      </c>
      <c r="D6489" s="141">
        <f t="shared" ref="D6489:D6490" si="392">DATE(A6489,B6489,C6489)</f>
        <v>44692</v>
      </c>
      <c r="E6489" s="275">
        <f t="shared" ref="E6489:E6490" si="393">DATE(A6489,B6489,C6489)</f>
        <v>44692</v>
      </c>
      <c r="F6489" s="479" t="s">
        <v>1389</v>
      </c>
      <c r="G6489" s="174" t="s">
        <v>74</v>
      </c>
      <c r="H6489" s="148" t="str" cm="1">
        <f t="array" ref="H6489">IFERROR(INDEX(INVESTOR_LIST[INVESTOR NAME],MATCH(I6489,INVESTOR_LIST[INVESTOR CODE],0),)," ")</f>
        <v xml:space="preserve"> </v>
      </c>
      <c r="I6489" s="148" t="s">
        <v>348</v>
      </c>
      <c r="J6489" s="133" t="s">
        <v>168</v>
      </c>
      <c r="K6489" s="172">
        <v>104167.2</v>
      </c>
    </row>
    <row r="6490" spans="1:12" x14ac:dyDescent="0.2">
      <c r="A6490" s="163">
        <v>2022</v>
      </c>
      <c r="B6490" s="163">
        <v>5</v>
      </c>
      <c r="C6490" s="163">
        <v>11</v>
      </c>
      <c r="D6490" s="141">
        <f t="shared" si="392"/>
        <v>44692</v>
      </c>
      <c r="E6490" s="275">
        <f t="shared" si="393"/>
        <v>44692</v>
      </c>
      <c r="F6490" s="480"/>
      <c r="G6490" s="221" t="s">
        <v>74</v>
      </c>
      <c r="H6490" s="145" t="str" cm="1">
        <f t="array" ref="H6490">IFERROR(INDEX(INVESTOR_LIST[INVESTOR NAME],MATCH(I6490,INVESTOR_LIST[INVESTOR CODE],0),)," ")</f>
        <v xml:space="preserve"> </v>
      </c>
      <c r="I6490" s="145" t="s">
        <v>348</v>
      </c>
      <c r="J6490" s="163" t="s">
        <v>166</v>
      </c>
      <c r="K6490" s="219"/>
      <c r="L6490" s="219">
        <v>104167.2</v>
      </c>
    </row>
    <row r="6491" spans="1:12" x14ac:dyDescent="0.2">
      <c r="A6491" s="133">
        <v>2022</v>
      </c>
      <c r="B6491" s="168">
        <v>5</v>
      </c>
      <c r="C6491" s="168">
        <v>11</v>
      </c>
      <c r="D6491" s="141">
        <f t="shared" ref="D6491:D6492" si="394">DATE(A6491,B6491,C6491)</f>
        <v>44692</v>
      </c>
      <c r="E6491" s="275">
        <f t="shared" ref="E6491:E6492" si="395">DATE(A6491,B6491,C6491)</f>
        <v>44692</v>
      </c>
      <c r="F6491" s="479" t="s">
        <v>1390</v>
      </c>
      <c r="G6491" s="174" t="s">
        <v>74</v>
      </c>
      <c r="H6491" s="148" t="str" cm="1">
        <f t="array" ref="H6491">IFERROR(INDEX(INVESTOR_LIST[INVESTOR NAME],MATCH(I6491,INVESTOR_LIST[INVESTOR CODE],0),)," ")</f>
        <v xml:space="preserve"> </v>
      </c>
      <c r="I6491" s="148" t="s">
        <v>348</v>
      </c>
      <c r="J6491" s="133" t="s">
        <v>168</v>
      </c>
      <c r="K6491" s="172">
        <v>528750</v>
      </c>
    </row>
    <row r="6492" spans="1:12" x14ac:dyDescent="0.2">
      <c r="A6492" s="163">
        <v>2022</v>
      </c>
      <c r="B6492" s="163">
        <v>5</v>
      </c>
      <c r="C6492" s="163">
        <v>11</v>
      </c>
      <c r="D6492" s="141">
        <f t="shared" si="394"/>
        <v>44692</v>
      </c>
      <c r="E6492" s="275">
        <f t="shared" si="395"/>
        <v>44692</v>
      </c>
      <c r="F6492" s="480"/>
      <c r="G6492" s="221" t="s">
        <v>74</v>
      </c>
      <c r="H6492" s="145" t="str" cm="1">
        <f t="array" ref="H6492">IFERROR(INDEX(INVESTOR_LIST[INVESTOR NAME],MATCH(I6492,INVESTOR_LIST[INVESTOR CODE],0),)," ")</f>
        <v xml:space="preserve"> </v>
      </c>
      <c r="I6492" s="145" t="s">
        <v>348</v>
      </c>
      <c r="J6492" s="163" t="s">
        <v>166</v>
      </c>
      <c r="K6492" s="219"/>
      <c r="L6492" s="219">
        <v>528750</v>
      </c>
    </row>
    <row r="6493" spans="1:12" x14ac:dyDescent="0.2">
      <c r="A6493" s="168">
        <v>2022</v>
      </c>
      <c r="B6493" s="168">
        <v>5</v>
      </c>
      <c r="C6493" s="168">
        <v>12</v>
      </c>
      <c r="D6493" s="141">
        <f>DATE(A6493,B6493,C6493)</f>
        <v>44693</v>
      </c>
      <c r="E6493" s="275">
        <f>DATE(A6493,B6493,C6493)</f>
        <v>44693</v>
      </c>
      <c r="F6493" s="479" t="s">
        <v>1381</v>
      </c>
      <c r="G6493" s="220" t="s">
        <v>74</v>
      </c>
      <c r="H6493" s="220" t="str" cm="1">
        <f t="array" ref="H6493">IFERROR(INDEX(INVESTOR_LIST[INVESTOR NAME],MATCH(I6493,INVESTOR_LIST[INVESTOR CODE],0),)," ")</f>
        <v xml:space="preserve"> </v>
      </c>
      <c r="I6493" s="142" t="s">
        <v>348</v>
      </c>
      <c r="J6493" s="143" t="s">
        <v>96</v>
      </c>
      <c r="K6493" s="226">
        <v>2500000</v>
      </c>
      <c r="L6493" s="226"/>
    </row>
    <row r="6494" spans="1:12" x14ac:dyDescent="0.2">
      <c r="A6494" s="163">
        <v>2022</v>
      </c>
      <c r="B6494" s="163">
        <v>5</v>
      </c>
      <c r="C6494" s="163">
        <v>12</v>
      </c>
      <c r="D6494" s="141">
        <f>DATE(A6494,B6494,C6494)</f>
        <v>44693</v>
      </c>
      <c r="E6494" s="275">
        <f>DATE(A6494,B6494,C6494)</f>
        <v>44693</v>
      </c>
      <c r="F6494" s="480"/>
      <c r="G6494" s="221" t="s">
        <v>74</v>
      </c>
      <c r="H6494" s="221" t="str" cm="1">
        <f t="array" ref="H6494">IFERROR(INDEX(INVESTOR_LIST[INVESTOR NAME],MATCH(I6494,INVESTOR_LIST[INVESTOR CODE],0),)," ")</f>
        <v xml:space="preserve"> </v>
      </c>
      <c r="I6494" s="145" t="s">
        <v>348</v>
      </c>
      <c r="J6494" s="146" t="s">
        <v>52</v>
      </c>
      <c r="K6494" s="219"/>
      <c r="L6494" s="219">
        <v>2500000</v>
      </c>
    </row>
    <row r="6495" spans="1:12" x14ac:dyDescent="0.2">
      <c r="A6495" s="133">
        <v>2022</v>
      </c>
      <c r="B6495" s="133">
        <v>5</v>
      </c>
      <c r="C6495" s="133">
        <v>12</v>
      </c>
      <c r="D6495" s="141">
        <f t="shared" ref="D6495:D6499" si="396">DATE(A6495,B6495,C6495)</f>
        <v>44693</v>
      </c>
      <c r="E6495" s="275">
        <f t="shared" ref="E6495:E6499" si="397">DATE(A6495,B6495,C6495)</f>
        <v>44693</v>
      </c>
      <c r="F6495" s="481" t="s">
        <v>1379</v>
      </c>
      <c r="G6495" s="174" t="s">
        <v>94</v>
      </c>
      <c r="H6495" s="174" t="str" cm="1">
        <f t="array" ref="H6495">IFERROR(INDEX(INVESTOR_LIST[INVESTOR NAME],MATCH(I6495,INVESTOR_LIST[INVESTOR CODE],0),)," ")</f>
        <v xml:space="preserve"> </v>
      </c>
      <c r="I6495" s="148" t="s">
        <v>348</v>
      </c>
      <c r="J6495" s="149" t="s">
        <v>79</v>
      </c>
      <c r="K6495" s="218">
        <v>1174385</v>
      </c>
      <c r="L6495" s="218"/>
    </row>
    <row r="6496" spans="1:12" x14ac:dyDescent="0.2">
      <c r="A6496" s="133">
        <v>2022</v>
      </c>
      <c r="B6496" s="133">
        <v>5</v>
      </c>
      <c r="C6496" s="133">
        <v>12</v>
      </c>
      <c r="D6496" s="141">
        <f t="shared" si="396"/>
        <v>44693</v>
      </c>
      <c r="E6496" s="275">
        <f t="shared" si="397"/>
        <v>44693</v>
      </c>
      <c r="F6496" s="481"/>
      <c r="G6496" s="174" t="s">
        <v>94</v>
      </c>
      <c r="H6496" s="174"/>
      <c r="J6496" s="149" t="s">
        <v>80</v>
      </c>
      <c r="K6496" s="218">
        <v>7798.11</v>
      </c>
      <c r="L6496" s="218"/>
    </row>
    <row r="6497" spans="1:12" x14ac:dyDescent="0.2">
      <c r="A6497" s="133">
        <v>2022</v>
      </c>
      <c r="B6497" s="133">
        <v>5</v>
      </c>
      <c r="C6497" s="133">
        <v>12</v>
      </c>
      <c r="D6497" s="141">
        <f t="shared" si="396"/>
        <v>44693</v>
      </c>
      <c r="E6497" s="275">
        <f t="shared" si="397"/>
        <v>44693</v>
      </c>
      <c r="F6497" s="481"/>
      <c r="G6497" s="174" t="s">
        <v>94</v>
      </c>
      <c r="H6497" s="174"/>
      <c r="J6497" s="149" t="s">
        <v>191</v>
      </c>
      <c r="K6497" s="218">
        <v>228932.59</v>
      </c>
      <c r="L6497" s="218"/>
    </row>
    <row r="6498" spans="1:12" x14ac:dyDescent="0.2">
      <c r="A6498" s="133">
        <v>2022</v>
      </c>
      <c r="B6498" s="133">
        <v>5</v>
      </c>
      <c r="C6498" s="133">
        <v>12</v>
      </c>
      <c r="D6498" s="141">
        <f t="shared" si="396"/>
        <v>44693</v>
      </c>
      <c r="E6498" s="275">
        <f t="shared" si="397"/>
        <v>44693</v>
      </c>
      <c r="F6498" s="481"/>
      <c r="G6498" s="174" t="s">
        <v>94</v>
      </c>
      <c r="H6498" s="174" t="str" cm="1">
        <f t="array" ref="H6498">IFERROR(INDEX(INVESTOR_LIST[INVESTOR NAME],MATCH(I6498,INVESTOR_LIST[INVESTOR CODE],0),)," ")</f>
        <v xml:space="preserve"> </v>
      </c>
      <c r="I6498" s="148" t="s">
        <v>348</v>
      </c>
      <c r="J6498" s="149" t="s">
        <v>190</v>
      </c>
      <c r="K6498" s="218">
        <v>1975713.09</v>
      </c>
      <c r="L6498" s="218"/>
    </row>
    <row r="6499" spans="1:12" x14ac:dyDescent="0.2">
      <c r="A6499" s="163">
        <v>2022</v>
      </c>
      <c r="B6499" s="163">
        <v>5</v>
      </c>
      <c r="C6499" s="163">
        <v>12</v>
      </c>
      <c r="D6499" s="280">
        <f t="shared" si="396"/>
        <v>44693</v>
      </c>
      <c r="E6499" s="281">
        <f t="shared" si="397"/>
        <v>44693</v>
      </c>
      <c r="F6499" s="480"/>
      <c r="G6499" s="221" t="s">
        <v>94</v>
      </c>
      <c r="H6499" s="145" t="str" cm="1">
        <f t="array" ref="H6499">IFERROR(INDEX(INVESTOR_LIST[INVESTOR NAME],MATCH(I6499,INVESTOR_LIST[INVESTOR CODE],0),)," ")</f>
        <v xml:space="preserve"> </v>
      </c>
      <c r="I6499" s="145"/>
      <c r="J6499" s="163" t="s">
        <v>79</v>
      </c>
      <c r="K6499" s="219"/>
      <c r="L6499" s="219">
        <v>3386828.79</v>
      </c>
    </row>
    <row r="6500" spans="1:12" x14ac:dyDescent="0.2">
      <c r="A6500" s="168">
        <v>2022</v>
      </c>
      <c r="B6500" s="168">
        <v>5</v>
      </c>
      <c r="C6500" s="168">
        <v>12</v>
      </c>
      <c r="D6500" s="141">
        <f>DATE(A6500,B6500,C6500)</f>
        <v>44693</v>
      </c>
      <c r="E6500" s="275">
        <f>DATE(A6500,B6500,C6500)</f>
        <v>44693</v>
      </c>
      <c r="F6500" s="479" t="s">
        <v>1380</v>
      </c>
      <c r="G6500" s="220" t="s">
        <v>74</v>
      </c>
      <c r="H6500" s="220" t="str" cm="1">
        <f t="array" ref="H6500">IFERROR(INDEX(INVESTOR_LIST[INVESTOR NAME],MATCH(I6500,INVESTOR_LIST[INVESTOR CODE],0),)," ")</f>
        <v xml:space="preserve"> </v>
      </c>
      <c r="I6500" s="142" t="s">
        <v>348</v>
      </c>
      <c r="J6500" s="143" t="s">
        <v>96</v>
      </c>
      <c r="K6500" s="226">
        <v>3000000</v>
      </c>
      <c r="L6500" s="226"/>
    </row>
    <row r="6501" spans="1:12" x14ac:dyDescent="0.2">
      <c r="A6501" s="163">
        <v>2022</v>
      </c>
      <c r="B6501" s="163">
        <v>5</v>
      </c>
      <c r="C6501" s="163">
        <v>12</v>
      </c>
      <c r="D6501" s="141">
        <f>DATE(A6501,B6501,C6501)</f>
        <v>44693</v>
      </c>
      <c r="E6501" s="275">
        <f>DATE(A6501,B6501,C6501)</f>
        <v>44693</v>
      </c>
      <c r="F6501" s="480"/>
      <c r="G6501" s="221" t="s">
        <v>74</v>
      </c>
      <c r="H6501" s="221" t="str" cm="1">
        <f t="array" ref="H6501">IFERROR(INDEX(INVESTOR_LIST[INVESTOR NAME],MATCH(I6501,INVESTOR_LIST[INVESTOR CODE],0),)," ")</f>
        <v xml:space="preserve"> </v>
      </c>
      <c r="I6501" s="145" t="s">
        <v>348</v>
      </c>
      <c r="J6501" s="146" t="s">
        <v>52</v>
      </c>
      <c r="K6501" s="219"/>
      <c r="L6501" s="219">
        <v>3000000</v>
      </c>
    </row>
    <row r="6502" spans="1:12" x14ac:dyDescent="0.2">
      <c r="A6502" s="238">
        <v>2022</v>
      </c>
      <c r="B6502" s="238">
        <v>5</v>
      </c>
      <c r="C6502" s="238">
        <v>12</v>
      </c>
      <c r="D6502" s="270">
        <f t="shared" ref="D6502:D6512" si="398">DATE(A6502,B6502,C6502)</f>
        <v>44693</v>
      </c>
      <c r="E6502" s="279">
        <f t="shared" ref="E6502:E6512" si="399">DATE(A6502,B6502,C6502)</f>
        <v>44693</v>
      </c>
      <c r="F6502" s="477" t="s">
        <v>347</v>
      </c>
      <c r="G6502" s="239" t="s">
        <v>94</v>
      </c>
      <c r="H6502" s="239" t="str" cm="1">
        <f t="array" ref="H6502">IFERROR(INDEX(INVESTOR_LIST[INVESTOR NAME],MATCH(I6502,INVESTOR_LIST[INVESTOR CODE],0),)," ")</f>
        <v xml:space="preserve"> </v>
      </c>
      <c r="I6502" s="262" t="s">
        <v>348</v>
      </c>
      <c r="J6502" s="240" t="s">
        <v>82</v>
      </c>
      <c r="K6502" s="241">
        <v>203656.65000000596</v>
      </c>
      <c r="L6502" s="241"/>
    </row>
    <row r="6503" spans="1:12" x14ac:dyDescent="0.2">
      <c r="A6503" s="242">
        <v>2022</v>
      </c>
      <c r="B6503" s="242">
        <v>5</v>
      </c>
      <c r="C6503" s="242">
        <v>12</v>
      </c>
      <c r="D6503" s="270">
        <f t="shared" si="398"/>
        <v>44693</v>
      </c>
      <c r="E6503" s="279">
        <f t="shared" si="399"/>
        <v>44693</v>
      </c>
      <c r="F6503" s="478"/>
      <c r="G6503" s="243" t="s">
        <v>94</v>
      </c>
      <c r="H6503" s="243" t="str" cm="1">
        <f t="array" ref="H6503">IFERROR(INDEX(INVESTOR_LIST[INVESTOR NAME],MATCH(I6503,INVESTOR_LIST[INVESTOR CODE],0),)," ")</f>
        <v xml:space="preserve"> </v>
      </c>
      <c r="I6503" s="263" t="s">
        <v>348</v>
      </c>
      <c r="J6503" s="244" t="s">
        <v>108</v>
      </c>
      <c r="K6503" s="245"/>
      <c r="L6503" s="245">
        <v>203656.65000000596</v>
      </c>
    </row>
    <row r="6504" spans="1:12" ht="22.5" x14ac:dyDescent="0.2">
      <c r="A6504" s="246">
        <v>2022</v>
      </c>
      <c r="B6504" s="246">
        <v>5</v>
      </c>
      <c r="C6504" s="246">
        <v>12</v>
      </c>
      <c r="D6504" s="270">
        <f t="shared" si="398"/>
        <v>44693</v>
      </c>
      <c r="E6504" s="279">
        <f t="shared" si="399"/>
        <v>44693</v>
      </c>
      <c r="F6504" s="482" t="s">
        <v>148</v>
      </c>
      <c r="G6504" s="247" t="s">
        <v>94</v>
      </c>
      <c r="H6504" s="247" t="str" cm="1">
        <f t="array" ref="H6504">IFERROR(INDEX(INVESTOR_LIST[INVESTOR NAME],MATCH(I6504,INVESTOR_LIST[INVESTOR CODE],0),)," ")</f>
        <v xml:space="preserve"> </v>
      </c>
      <c r="I6504" s="248" t="s">
        <v>348</v>
      </c>
      <c r="J6504" s="249" t="s">
        <v>95</v>
      </c>
      <c r="K6504" s="250">
        <v>2747.2527472527472</v>
      </c>
      <c r="L6504" s="241"/>
    </row>
    <row r="6505" spans="1:12" x14ac:dyDescent="0.2">
      <c r="A6505" s="242">
        <v>2022</v>
      </c>
      <c r="B6505" s="242">
        <v>5</v>
      </c>
      <c r="C6505" s="242">
        <v>12</v>
      </c>
      <c r="D6505" s="270">
        <f t="shared" si="398"/>
        <v>44693</v>
      </c>
      <c r="E6505" s="279">
        <f t="shared" si="399"/>
        <v>44693</v>
      </c>
      <c r="F6505" s="478"/>
      <c r="G6505" s="243" t="s">
        <v>94</v>
      </c>
      <c r="H6505" s="243" t="str" cm="1">
        <f t="array" ref="H6505">IFERROR(INDEX(INVESTOR_LIST[INVESTOR NAME],MATCH(I6505,INVESTOR_LIST[INVESTOR CODE],0),)," ")</f>
        <v xml:space="preserve"> </v>
      </c>
      <c r="I6505" s="263" t="s">
        <v>348</v>
      </c>
      <c r="J6505" s="244" t="s">
        <v>63</v>
      </c>
      <c r="K6505" s="245"/>
      <c r="L6505" s="245">
        <v>2747.2527472527472</v>
      </c>
    </row>
    <row r="6506" spans="1:12" x14ac:dyDescent="0.2">
      <c r="A6506" s="246">
        <v>2022</v>
      </c>
      <c r="B6506" s="246">
        <v>5</v>
      </c>
      <c r="C6506" s="246">
        <v>12</v>
      </c>
      <c r="D6506" s="270">
        <f t="shared" si="398"/>
        <v>44693</v>
      </c>
      <c r="E6506" s="279">
        <f t="shared" si="399"/>
        <v>44693</v>
      </c>
      <c r="F6506" s="482" t="s">
        <v>137</v>
      </c>
      <c r="G6506" s="247" t="s">
        <v>94</v>
      </c>
      <c r="H6506" s="247" t="str" cm="1">
        <f t="array" ref="H6506">IFERROR(INDEX(INVESTOR_LIST[INVESTOR NAME],MATCH(I6506,INVESTOR_LIST[INVESTOR CODE],0),)," ")</f>
        <v xml:space="preserve"> </v>
      </c>
      <c r="I6506" s="248" t="s">
        <v>348</v>
      </c>
      <c r="J6506" s="249" t="s">
        <v>97</v>
      </c>
      <c r="K6506" s="250">
        <v>90060.896774969675</v>
      </c>
      <c r="L6506" s="252"/>
    </row>
    <row r="6507" spans="1:12" x14ac:dyDescent="0.2">
      <c r="A6507" s="242">
        <v>2022</v>
      </c>
      <c r="B6507" s="242">
        <v>5</v>
      </c>
      <c r="C6507" s="242">
        <v>12</v>
      </c>
      <c r="D6507" s="270">
        <f t="shared" si="398"/>
        <v>44693</v>
      </c>
      <c r="E6507" s="279">
        <f t="shared" si="399"/>
        <v>44693</v>
      </c>
      <c r="F6507" s="478"/>
      <c r="G6507" s="243" t="s">
        <v>94</v>
      </c>
      <c r="H6507" s="243" t="str" cm="1">
        <f t="array" ref="H6507">IFERROR(INDEX(INVESTOR_LIST[INVESTOR NAME],MATCH(I6507,INVESTOR_LIST[INVESTOR CODE],0),)," ")</f>
        <v xml:space="preserve"> </v>
      </c>
      <c r="I6507" s="263" t="s">
        <v>348</v>
      </c>
      <c r="J6507" s="244" t="s">
        <v>47</v>
      </c>
      <c r="K6507" s="245"/>
      <c r="L6507" s="245">
        <v>90060.896774969675</v>
      </c>
    </row>
    <row r="6508" spans="1:12" ht="11.25" customHeight="1" x14ac:dyDescent="0.2">
      <c r="A6508" s="246">
        <v>2022</v>
      </c>
      <c r="B6508" s="246">
        <v>5</v>
      </c>
      <c r="C6508" s="246">
        <v>12</v>
      </c>
      <c r="D6508" s="270">
        <f t="shared" si="398"/>
        <v>44693</v>
      </c>
      <c r="E6508" s="279">
        <f t="shared" si="399"/>
        <v>44693</v>
      </c>
      <c r="F6508" s="482" t="s">
        <v>138</v>
      </c>
      <c r="G6508" s="247" t="s">
        <v>94</v>
      </c>
      <c r="H6508" s="247" t="str" cm="1">
        <f t="array" ref="H6508">IFERROR(INDEX(INVESTOR_LIST[INVESTOR NAME],MATCH(I6508,INVESTOR_LIST[INVESTOR CODE],0),)," ")</f>
        <v xml:space="preserve"> </v>
      </c>
      <c r="I6508" s="248" t="s">
        <v>348</v>
      </c>
      <c r="J6508" s="249" t="s">
        <v>100</v>
      </c>
      <c r="K6508" s="250">
        <v>4262.6602233638687</v>
      </c>
      <c r="L6508" s="252"/>
    </row>
    <row r="6509" spans="1:12" x14ac:dyDescent="0.2">
      <c r="A6509" s="242">
        <v>2022</v>
      </c>
      <c r="B6509" s="242">
        <v>5</v>
      </c>
      <c r="C6509" s="242">
        <v>12</v>
      </c>
      <c r="D6509" s="270">
        <f t="shared" si="398"/>
        <v>44693</v>
      </c>
      <c r="E6509" s="279">
        <f t="shared" si="399"/>
        <v>44693</v>
      </c>
      <c r="F6509" s="478"/>
      <c r="G6509" s="243" t="s">
        <v>94</v>
      </c>
      <c r="H6509" s="243" t="str" cm="1">
        <f t="array" ref="H6509">IFERROR(INDEX(INVESTOR_LIST[INVESTOR NAME],MATCH(I6509,INVESTOR_LIST[INVESTOR CODE],0),)," ")</f>
        <v xml:space="preserve"> </v>
      </c>
      <c r="I6509" s="263" t="s">
        <v>348</v>
      </c>
      <c r="J6509" s="244" t="s">
        <v>48</v>
      </c>
      <c r="K6509" s="245"/>
      <c r="L6509" s="245">
        <v>4262.6602233638687</v>
      </c>
    </row>
    <row r="6510" spans="1:12" ht="45" x14ac:dyDescent="0.2">
      <c r="A6510" s="168">
        <v>2022</v>
      </c>
      <c r="B6510" s="168">
        <v>5</v>
      </c>
      <c r="C6510" s="133">
        <v>16</v>
      </c>
      <c r="D6510" s="141">
        <f t="shared" si="398"/>
        <v>44697</v>
      </c>
      <c r="E6510" s="275">
        <f t="shared" si="399"/>
        <v>44697</v>
      </c>
      <c r="F6510" s="479" t="s">
        <v>1315</v>
      </c>
      <c r="G6510" s="220" t="s">
        <v>74</v>
      </c>
      <c r="H6510" s="142" t="str" cm="1">
        <f t="array" ref="H6510">IFERROR(INDEX(INVESTOR_LIST[INVESTOR NAME],MATCH(I6510,INVESTOR_LIST[INVESTOR CODE],0),)," ")</f>
        <v>RABITA RASHID MAJUMDER</v>
      </c>
      <c r="I6510" s="142" t="s">
        <v>512</v>
      </c>
      <c r="J6510" s="168" t="s">
        <v>13</v>
      </c>
      <c r="K6510" s="226">
        <v>98380</v>
      </c>
      <c r="L6510" s="226"/>
    </row>
    <row r="6511" spans="1:12" ht="45" x14ac:dyDescent="0.2">
      <c r="A6511" s="133">
        <v>2022</v>
      </c>
      <c r="B6511" s="133">
        <v>5</v>
      </c>
      <c r="C6511" s="133">
        <v>16</v>
      </c>
      <c r="D6511" s="141">
        <f t="shared" si="398"/>
        <v>44697</v>
      </c>
      <c r="E6511" s="275">
        <f t="shared" si="399"/>
        <v>44697</v>
      </c>
      <c r="F6511" s="481"/>
      <c r="G6511" s="174" t="s">
        <v>74</v>
      </c>
      <c r="H6511" s="148" t="str" cm="1">
        <f t="array" ref="H6511">IFERROR(INDEX(INVESTOR_LIST[INVESTOR NAME],MATCH(I6511,INVESTOR_LIST[INVESTOR CODE],0),)," ")</f>
        <v>RABITA RASHID MAJUMDER</v>
      </c>
      <c r="I6511" s="148" t="s">
        <v>512</v>
      </c>
      <c r="J6511" s="133" t="s">
        <v>53</v>
      </c>
      <c r="K6511" s="218">
        <v>24398.240000000002</v>
      </c>
      <c r="L6511" s="218"/>
    </row>
    <row r="6512" spans="1:12" ht="45" x14ac:dyDescent="0.2">
      <c r="A6512" s="163">
        <v>2022</v>
      </c>
      <c r="B6512" s="163">
        <v>5</v>
      </c>
      <c r="C6512" s="163">
        <v>16</v>
      </c>
      <c r="D6512" s="141">
        <f t="shared" si="398"/>
        <v>44697</v>
      </c>
      <c r="E6512" s="275">
        <f t="shared" si="399"/>
        <v>44697</v>
      </c>
      <c r="F6512" s="480"/>
      <c r="G6512" s="221" t="s">
        <v>74</v>
      </c>
      <c r="H6512" s="145" t="str" cm="1">
        <f t="array" ref="H6512">IFERROR(INDEX(INVESTOR_LIST[INVESTOR NAME],MATCH(I6512,INVESTOR_LIST[INVESTOR CODE],0),)," ")</f>
        <v>RABITA RASHID MAJUMDER</v>
      </c>
      <c r="I6512" s="145" t="s">
        <v>512</v>
      </c>
      <c r="J6512" s="163" t="s">
        <v>52</v>
      </c>
      <c r="K6512" s="219"/>
      <c r="L6512" s="219">
        <v>122778.24000000001</v>
      </c>
    </row>
    <row r="6513" spans="1:13" ht="33.75" x14ac:dyDescent="0.2">
      <c r="A6513" s="168">
        <v>2022</v>
      </c>
      <c r="B6513" s="168">
        <v>5</v>
      </c>
      <c r="C6513" s="133">
        <v>16</v>
      </c>
      <c r="D6513" s="141">
        <f t="shared" ref="D6513:D6515" si="400">DATE(A6513,B6513,C6513)</f>
        <v>44697</v>
      </c>
      <c r="E6513" s="275">
        <f t="shared" ref="E6513:E6515" si="401">DATE(A6513,B6513,C6513)</f>
        <v>44697</v>
      </c>
      <c r="F6513" s="479" t="s">
        <v>1315</v>
      </c>
      <c r="G6513" s="220" t="s">
        <v>74</v>
      </c>
      <c r="H6513" s="142" t="str" cm="1">
        <f t="array" ref="H6513">IFERROR(INDEX(INVESTOR_LIST[INVESTOR NAME],MATCH(I6513,INVESTOR_LIST[INVESTOR CODE],0),)," ")</f>
        <v>KAZI AHSAN MARUF</v>
      </c>
      <c r="I6513" s="142" t="s">
        <v>423</v>
      </c>
      <c r="J6513" s="168" t="s">
        <v>13</v>
      </c>
      <c r="K6513" s="226">
        <v>890470</v>
      </c>
      <c r="L6513" s="226"/>
      <c r="M6513" s="160"/>
    </row>
    <row r="6514" spans="1:13" ht="33.75" x14ac:dyDescent="0.2">
      <c r="A6514" s="133">
        <v>2022</v>
      </c>
      <c r="B6514" s="133">
        <v>5</v>
      </c>
      <c r="C6514" s="133">
        <v>16</v>
      </c>
      <c r="D6514" s="141">
        <f t="shared" si="400"/>
        <v>44697</v>
      </c>
      <c r="E6514" s="275">
        <f t="shared" si="401"/>
        <v>44697</v>
      </c>
      <c r="F6514" s="481"/>
      <c r="G6514" s="174" t="s">
        <v>74</v>
      </c>
      <c r="H6514" s="148" t="str" cm="1">
        <f t="array" ref="H6514">IFERROR(INDEX(INVESTOR_LIST[INVESTOR NAME],MATCH(I6514,INVESTOR_LIST[INVESTOR CODE],0),)," ")</f>
        <v>KAZI AHSAN MARUF</v>
      </c>
      <c r="I6514" s="148" t="s">
        <v>423</v>
      </c>
      <c r="J6514" s="133" t="s">
        <v>53</v>
      </c>
      <c r="K6514" s="218">
        <v>217274.68</v>
      </c>
      <c r="L6514" s="218"/>
    </row>
    <row r="6515" spans="1:13" ht="33.75" x14ac:dyDescent="0.2">
      <c r="A6515" s="163">
        <v>2022</v>
      </c>
      <c r="B6515" s="163">
        <v>5</v>
      </c>
      <c r="C6515" s="163">
        <v>16</v>
      </c>
      <c r="D6515" s="141">
        <f t="shared" si="400"/>
        <v>44697</v>
      </c>
      <c r="E6515" s="275">
        <f t="shared" si="401"/>
        <v>44697</v>
      </c>
      <c r="F6515" s="480"/>
      <c r="G6515" s="221" t="s">
        <v>74</v>
      </c>
      <c r="H6515" s="145" t="str" cm="1">
        <f t="array" ref="H6515">IFERROR(INDEX(INVESTOR_LIST[INVESTOR NAME],MATCH(I6515,INVESTOR_LIST[INVESTOR CODE],0),)," ")</f>
        <v>KAZI AHSAN MARUF</v>
      </c>
      <c r="I6515" s="145" t="s">
        <v>423</v>
      </c>
      <c r="J6515" s="163" t="s">
        <v>52</v>
      </c>
      <c r="K6515" s="219"/>
      <c r="L6515" s="219">
        <v>1107744.68</v>
      </c>
    </row>
    <row r="6516" spans="1:13" ht="33.75" x14ac:dyDescent="0.2">
      <c r="A6516" s="168">
        <v>2022</v>
      </c>
      <c r="B6516" s="168">
        <v>5</v>
      </c>
      <c r="C6516" s="133">
        <v>16</v>
      </c>
      <c r="D6516" s="141">
        <f t="shared" ref="D6516:D6521" si="402">DATE(A6516,B6516,C6516)</f>
        <v>44697</v>
      </c>
      <c r="E6516" s="275">
        <f t="shared" ref="E6516:E6521" si="403">DATE(A6516,B6516,C6516)</f>
        <v>44697</v>
      </c>
      <c r="F6516" s="479" t="s">
        <v>1315</v>
      </c>
      <c r="G6516" s="220" t="s">
        <v>74</v>
      </c>
      <c r="H6516" s="142" t="str" cm="1">
        <f t="array" ref="H6516">IFERROR(INDEX(INVESTOR_LIST[INVESTOR NAME],MATCH(I6516,INVESTOR_LIST[INVESTOR CODE],0),)," ")</f>
        <v>MIR ARIFUL ISLAM</v>
      </c>
      <c r="I6516" s="142" t="s">
        <v>1353</v>
      </c>
      <c r="J6516" s="168" t="s">
        <v>13</v>
      </c>
      <c r="K6516" s="226">
        <v>700000</v>
      </c>
      <c r="L6516" s="226"/>
    </row>
    <row r="6517" spans="1:13" ht="33.75" x14ac:dyDescent="0.2">
      <c r="A6517" s="133">
        <v>2022</v>
      </c>
      <c r="B6517" s="133">
        <v>5</v>
      </c>
      <c r="C6517" s="133">
        <v>16</v>
      </c>
      <c r="D6517" s="141">
        <f t="shared" si="402"/>
        <v>44697</v>
      </c>
      <c r="E6517" s="275">
        <f t="shared" si="403"/>
        <v>44697</v>
      </c>
      <c r="F6517" s="481"/>
      <c r="G6517" s="174" t="s">
        <v>74</v>
      </c>
      <c r="H6517" s="148" t="str" cm="1">
        <f t="array" ref="H6517">IFERROR(INDEX(INVESTOR_LIST[INVESTOR NAME],MATCH(I6517,INVESTOR_LIST[INVESTOR CODE],0),)," ")</f>
        <v>MIR ARIFUL ISLAM</v>
      </c>
      <c r="I6517" s="148" t="s">
        <v>1353</v>
      </c>
      <c r="J6517" s="133" t="s">
        <v>53</v>
      </c>
      <c r="K6517" s="218">
        <v>176400</v>
      </c>
      <c r="L6517" s="218"/>
    </row>
    <row r="6518" spans="1:13" ht="33.75" x14ac:dyDescent="0.2">
      <c r="A6518" s="163">
        <v>2022</v>
      </c>
      <c r="B6518" s="163">
        <v>5</v>
      </c>
      <c r="C6518" s="163">
        <v>16</v>
      </c>
      <c r="D6518" s="141">
        <f t="shared" si="402"/>
        <v>44697</v>
      </c>
      <c r="E6518" s="275">
        <f t="shared" si="403"/>
        <v>44697</v>
      </c>
      <c r="F6518" s="480"/>
      <c r="G6518" s="221" t="s">
        <v>74</v>
      </c>
      <c r="H6518" s="145" t="str" cm="1">
        <f t="array" ref="H6518">IFERROR(INDEX(INVESTOR_LIST[INVESTOR NAME],MATCH(I6518,INVESTOR_LIST[INVESTOR CODE],0),)," ")</f>
        <v>MIR ARIFUL ISLAM</v>
      </c>
      <c r="I6518" s="145" t="s">
        <v>1353</v>
      </c>
      <c r="J6518" s="163" t="s">
        <v>52</v>
      </c>
      <c r="K6518" s="219"/>
      <c r="L6518" s="219">
        <v>876400</v>
      </c>
    </row>
    <row r="6519" spans="1:13" ht="22.5" x14ac:dyDescent="0.2">
      <c r="A6519" s="168">
        <v>2022</v>
      </c>
      <c r="B6519" s="168">
        <v>5</v>
      </c>
      <c r="C6519" s="133">
        <v>16</v>
      </c>
      <c r="D6519" s="141">
        <f t="shared" si="402"/>
        <v>44697</v>
      </c>
      <c r="E6519" s="275">
        <f t="shared" si="403"/>
        <v>44697</v>
      </c>
      <c r="F6519" s="479" t="s">
        <v>964</v>
      </c>
      <c r="G6519" s="220" t="s">
        <v>74</v>
      </c>
      <c r="H6519" s="142" t="str" cm="1">
        <f t="array" ref="H6519">IFERROR(INDEX(INVESTOR_LIST[INVESTOR NAME],MATCH(I6519,INVESTOR_LIST[INVESTOR CODE],0),)," ")</f>
        <v>MORSHEDA MIM</v>
      </c>
      <c r="I6519" s="142" t="s">
        <v>373</v>
      </c>
      <c r="J6519" s="168" t="s">
        <v>52</v>
      </c>
      <c r="K6519" s="226">
        <v>5000</v>
      </c>
      <c r="L6519" s="226"/>
    </row>
    <row r="6520" spans="1:13" ht="22.5" x14ac:dyDescent="0.2">
      <c r="A6520" s="133">
        <v>2022</v>
      </c>
      <c r="B6520" s="133">
        <v>5</v>
      </c>
      <c r="C6520" s="133">
        <v>16</v>
      </c>
      <c r="D6520" s="141">
        <f t="shared" si="402"/>
        <v>44697</v>
      </c>
      <c r="E6520" s="275">
        <f t="shared" si="403"/>
        <v>44697</v>
      </c>
      <c r="F6520" s="481"/>
      <c r="G6520" s="174" t="s">
        <v>74</v>
      </c>
      <c r="H6520" s="148" t="str" cm="1">
        <f t="array" ref="H6520">IFERROR(INDEX(INVESTOR_LIST[INVESTOR NAME],MATCH(I6520,INVESTOR_LIST[INVESTOR CODE],0),)," ")</f>
        <v>MORSHEDA MIM</v>
      </c>
      <c r="I6520" s="148" t="s">
        <v>373</v>
      </c>
      <c r="J6520" s="133" t="s">
        <v>13</v>
      </c>
      <c r="K6520" s="218"/>
      <c r="L6520" s="218">
        <v>4020</v>
      </c>
    </row>
    <row r="6521" spans="1:13" ht="22.5" x14ac:dyDescent="0.2">
      <c r="A6521" s="163">
        <v>2022</v>
      </c>
      <c r="B6521" s="163">
        <v>5</v>
      </c>
      <c r="C6521" s="163">
        <v>16</v>
      </c>
      <c r="D6521" s="141">
        <f t="shared" si="402"/>
        <v>44697</v>
      </c>
      <c r="E6521" s="275">
        <f t="shared" si="403"/>
        <v>44697</v>
      </c>
      <c r="F6521" s="480"/>
      <c r="G6521" s="221" t="s">
        <v>74</v>
      </c>
      <c r="H6521" s="145" t="str" cm="1">
        <f t="array" ref="H6521">IFERROR(INDEX(INVESTOR_LIST[INVESTOR NAME],MATCH(I6521,INVESTOR_LIST[INVESTOR CODE],0),)," ")</f>
        <v>MORSHEDA MIM</v>
      </c>
      <c r="I6521" s="145" t="s">
        <v>373</v>
      </c>
      <c r="J6521" s="163" t="s">
        <v>53</v>
      </c>
      <c r="K6521" s="219"/>
      <c r="L6521" s="219">
        <v>980</v>
      </c>
    </row>
    <row r="6522" spans="1:13" x14ac:dyDescent="0.2">
      <c r="A6522" s="168">
        <v>2022</v>
      </c>
      <c r="B6522" s="168">
        <v>5</v>
      </c>
      <c r="C6522" s="168">
        <v>16</v>
      </c>
      <c r="D6522" s="141">
        <f>DATE(A6522,B6522,C6522)</f>
        <v>44697</v>
      </c>
      <c r="E6522" s="275">
        <f>DATE(A6522,B6522,C6522)</f>
        <v>44697</v>
      </c>
      <c r="F6522" s="479" t="s">
        <v>1361</v>
      </c>
      <c r="G6522" s="220" t="s">
        <v>74</v>
      </c>
      <c r="H6522" s="220" t="str" cm="1">
        <f t="array" ref="H6522">IFERROR(INDEX(INVESTOR_LIST[INVESTOR NAME],MATCH(I6522,INVESTOR_LIST[INVESTOR CODE],0),)," ")</f>
        <v xml:space="preserve"> </v>
      </c>
      <c r="I6522" s="142" t="s">
        <v>348</v>
      </c>
      <c r="J6522" s="143" t="s">
        <v>52</v>
      </c>
      <c r="K6522" s="226">
        <v>7568559.1399999997</v>
      </c>
      <c r="L6522" s="226"/>
    </row>
    <row r="6523" spans="1:13" x14ac:dyDescent="0.2">
      <c r="A6523" s="163">
        <v>2022</v>
      </c>
      <c r="B6523" s="163">
        <v>5</v>
      </c>
      <c r="C6523" s="163">
        <v>16</v>
      </c>
      <c r="D6523" s="141">
        <f>DATE(A6523,B6523,C6523)</f>
        <v>44697</v>
      </c>
      <c r="E6523" s="275">
        <f>DATE(A6523,B6523,C6523)</f>
        <v>44697</v>
      </c>
      <c r="F6523" s="480"/>
      <c r="G6523" s="221" t="s">
        <v>74</v>
      </c>
      <c r="H6523" s="221" t="str" cm="1">
        <f t="array" ref="H6523">IFERROR(INDEX(INVESTOR_LIST[INVESTOR NAME],MATCH(I6523,INVESTOR_LIST[INVESTOR CODE],0),)," ")</f>
        <v xml:space="preserve"> </v>
      </c>
      <c r="I6523" s="145" t="s">
        <v>348</v>
      </c>
      <c r="J6523" s="146" t="s">
        <v>190</v>
      </c>
      <c r="K6523" s="219"/>
      <c r="L6523" s="219">
        <v>7568559.1399999997</v>
      </c>
    </row>
    <row r="6524" spans="1:13" x14ac:dyDescent="0.2">
      <c r="A6524" s="168">
        <v>2022</v>
      </c>
      <c r="B6524" s="168">
        <v>5</v>
      </c>
      <c r="C6524" s="168">
        <v>16</v>
      </c>
      <c r="D6524" s="141">
        <f t="shared" ref="D6524:D6525" si="404">DATE(A6524,B6524,C6524)</f>
        <v>44697</v>
      </c>
      <c r="E6524" s="275">
        <f t="shared" ref="E6524:E6525" si="405">DATE(A6524,B6524,C6524)</f>
        <v>44697</v>
      </c>
      <c r="F6524" s="481" t="s">
        <v>982</v>
      </c>
      <c r="G6524" s="174" t="s">
        <v>74</v>
      </c>
      <c r="H6524" s="174" t="str" cm="1">
        <f t="array" ref="H6524">IFERROR(INDEX(INVESTOR_LIST[INVESTOR NAME],MATCH(I6524,INVESTOR_LIST[INVESTOR CODE],0),)," ")</f>
        <v xml:space="preserve"> </v>
      </c>
      <c r="I6524" s="148" t="s">
        <v>348</v>
      </c>
      <c r="J6524" s="149" t="s">
        <v>163</v>
      </c>
      <c r="K6524" s="218">
        <v>4000</v>
      </c>
      <c r="L6524" s="218"/>
    </row>
    <row r="6525" spans="1:13" x14ac:dyDescent="0.2">
      <c r="A6525" s="163">
        <v>2022</v>
      </c>
      <c r="B6525" s="163">
        <v>5</v>
      </c>
      <c r="C6525" s="163">
        <v>16</v>
      </c>
      <c r="D6525" s="141">
        <f t="shared" si="404"/>
        <v>44697</v>
      </c>
      <c r="E6525" s="275">
        <f t="shared" si="405"/>
        <v>44697</v>
      </c>
      <c r="F6525" s="480"/>
      <c r="G6525" s="221" t="s">
        <v>74</v>
      </c>
      <c r="H6525" s="221" t="str" cm="1">
        <f t="array" ref="H6525">IFERROR(INDEX(INVESTOR_LIST[INVESTOR NAME],MATCH(I6525,INVESTOR_LIST[INVESTOR CODE],0),)," ")</f>
        <v xml:space="preserve"> </v>
      </c>
      <c r="I6525" s="145" t="s">
        <v>348</v>
      </c>
      <c r="J6525" s="146" t="s">
        <v>52</v>
      </c>
      <c r="K6525" s="219"/>
      <c r="L6525" s="219">
        <v>4000</v>
      </c>
    </row>
    <row r="6526" spans="1:13" ht="45" x14ac:dyDescent="0.2">
      <c r="A6526" s="168">
        <v>2022</v>
      </c>
      <c r="B6526" s="168">
        <v>5</v>
      </c>
      <c r="C6526" s="133">
        <v>17</v>
      </c>
      <c r="D6526" s="141">
        <f t="shared" ref="D6526:D6535" si="406">DATE(A6526,B6526,C6526)</f>
        <v>44698</v>
      </c>
      <c r="E6526" s="275">
        <f t="shared" ref="E6526:E6535" si="407">DATE(A6526,B6526,C6526)</f>
        <v>44698</v>
      </c>
      <c r="F6526" s="479" t="s">
        <v>1315</v>
      </c>
      <c r="G6526" s="220" t="s">
        <v>74</v>
      </c>
      <c r="H6526" s="142" t="str" cm="1">
        <f t="array" ref="H6526">IFERROR(INDEX(INVESTOR_LIST[INVESTOR NAME],MATCH(I6526,INVESTOR_LIST[INVESTOR CODE],0),)," ")</f>
        <v>MOHAMMED ALI XAHANGIR</v>
      </c>
      <c r="I6526" s="142" t="s">
        <v>616</v>
      </c>
      <c r="J6526" s="168" t="s">
        <v>13</v>
      </c>
      <c r="K6526" s="226">
        <v>733100</v>
      </c>
      <c r="L6526" s="226"/>
    </row>
    <row r="6527" spans="1:13" ht="45" x14ac:dyDescent="0.2">
      <c r="A6527" s="133">
        <v>2022</v>
      </c>
      <c r="B6527" s="133">
        <v>5</v>
      </c>
      <c r="C6527" s="133">
        <v>17</v>
      </c>
      <c r="D6527" s="141">
        <f t="shared" si="406"/>
        <v>44698</v>
      </c>
      <c r="E6527" s="275">
        <f t="shared" si="407"/>
        <v>44698</v>
      </c>
      <c r="F6527" s="481"/>
      <c r="G6527" s="174" t="s">
        <v>74</v>
      </c>
      <c r="H6527" s="148" t="str" cm="1">
        <f t="array" ref="H6527">IFERROR(INDEX(INVESTOR_LIST[INVESTOR NAME],MATCH(I6527,INVESTOR_LIST[INVESTOR CODE],0),)," ")</f>
        <v>MOHAMMED ALI XAHANGIR</v>
      </c>
      <c r="I6527" s="148" t="s">
        <v>616</v>
      </c>
      <c r="J6527" s="133" t="s">
        <v>53</v>
      </c>
      <c r="K6527" s="218">
        <v>184741.2</v>
      </c>
      <c r="L6527" s="218"/>
    </row>
    <row r="6528" spans="1:13" ht="45" x14ac:dyDescent="0.2">
      <c r="A6528" s="163">
        <v>2022</v>
      </c>
      <c r="B6528" s="163">
        <v>5</v>
      </c>
      <c r="C6528" s="163">
        <v>17</v>
      </c>
      <c r="D6528" s="141">
        <f t="shared" si="406"/>
        <v>44698</v>
      </c>
      <c r="E6528" s="275">
        <f t="shared" si="407"/>
        <v>44698</v>
      </c>
      <c r="F6528" s="480"/>
      <c r="G6528" s="221" t="s">
        <v>74</v>
      </c>
      <c r="H6528" s="145" t="str" cm="1">
        <f t="array" ref="H6528">IFERROR(INDEX(INVESTOR_LIST[INVESTOR NAME],MATCH(I6528,INVESTOR_LIST[INVESTOR CODE],0),)," ")</f>
        <v>MOHAMMED ALI XAHANGIR</v>
      </c>
      <c r="I6528" s="145" t="s">
        <v>616</v>
      </c>
      <c r="J6528" s="163" t="s">
        <v>52</v>
      </c>
      <c r="K6528" s="219"/>
      <c r="L6528" s="219">
        <v>917841.2</v>
      </c>
    </row>
    <row r="6529" spans="1:13" ht="33.75" x14ac:dyDescent="0.2">
      <c r="A6529" s="168">
        <v>2022</v>
      </c>
      <c r="B6529" s="168">
        <v>5</v>
      </c>
      <c r="C6529" s="133">
        <v>17</v>
      </c>
      <c r="D6529" s="141">
        <f t="shared" si="406"/>
        <v>44698</v>
      </c>
      <c r="E6529" s="275">
        <f t="shared" si="407"/>
        <v>44698</v>
      </c>
      <c r="F6529" s="479" t="s">
        <v>1315</v>
      </c>
      <c r="G6529" s="220" t="s">
        <v>74</v>
      </c>
      <c r="H6529" s="142" t="str" cm="1">
        <f t="array" ref="H6529">IFERROR(INDEX(INVESTOR_LIST[INVESTOR NAME],MATCH(I6529,INVESTOR_LIST[INVESTOR CODE],0),)," ")</f>
        <v>AHMED BIN MONSUR</v>
      </c>
      <c r="I6529" s="142" t="s">
        <v>992</v>
      </c>
      <c r="J6529" s="168" t="s">
        <v>13</v>
      </c>
      <c r="K6529" s="226">
        <v>838220</v>
      </c>
      <c r="L6529" s="226"/>
    </row>
    <row r="6530" spans="1:13" ht="33.75" x14ac:dyDescent="0.2">
      <c r="A6530" s="133">
        <v>2022</v>
      </c>
      <c r="B6530" s="133">
        <v>5</v>
      </c>
      <c r="C6530" s="133">
        <v>17</v>
      </c>
      <c r="D6530" s="141">
        <f t="shared" si="406"/>
        <v>44698</v>
      </c>
      <c r="E6530" s="275">
        <f t="shared" si="407"/>
        <v>44698</v>
      </c>
      <c r="F6530" s="481"/>
      <c r="G6530" s="174" t="s">
        <v>74</v>
      </c>
      <c r="H6530" s="148" t="str" cm="1">
        <f t="array" ref="H6530">IFERROR(INDEX(INVESTOR_LIST[INVESTOR NAME],MATCH(I6530,INVESTOR_LIST[INVESTOR CODE],0),)," ")</f>
        <v>AHMED BIN MONSUR</v>
      </c>
      <c r="I6530" s="148" t="s">
        <v>992</v>
      </c>
      <c r="J6530" s="133" t="s">
        <v>53</v>
      </c>
      <c r="K6530" s="218">
        <v>211231.44</v>
      </c>
      <c r="L6530" s="218"/>
    </row>
    <row r="6531" spans="1:13" ht="33.75" x14ac:dyDescent="0.2">
      <c r="A6531" s="163">
        <v>2022</v>
      </c>
      <c r="B6531" s="163">
        <v>5</v>
      </c>
      <c r="C6531" s="163">
        <v>17</v>
      </c>
      <c r="D6531" s="141">
        <f t="shared" si="406"/>
        <v>44698</v>
      </c>
      <c r="E6531" s="275">
        <f t="shared" si="407"/>
        <v>44698</v>
      </c>
      <c r="F6531" s="480"/>
      <c r="G6531" s="221" t="s">
        <v>74</v>
      </c>
      <c r="H6531" s="145" t="str" cm="1">
        <f t="array" ref="H6531">IFERROR(INDEX(INVESTOR_LIST[INVESTOR NAME],MATCH(I6531,INVESTOR_LIST[INVESTOR CODE],0),)," ")</f>
        <v>AHMED BIN MONSUR</v>
      </c>
      <c r="I6531" s="145" t="s">
        <v>992</v>
      </c>
      <c r="J6531" s="163" t="s">
        <v>52</v>
      </c>
      <c r="K6531" s="219"/>
      <c r="L6531" s="219">
        <v>1049451.44</v>
      </c>
    </row>
    <row r="6532" spans="1:13" x14ac:dyDescent="0.2">
      <c r="A6532" s="168">
        <v>2022</v>
      </c>
      <c r="B6532" s="168">
        <v>5</v>
      </c>
      <c r="C6532" s="133">
        <v>17</v>
      </c>
      <c r="D6532" s="141">
        <f t="shared" si="406"/>
        <v>44698</v>
      </c>
      <c r="E6532" s="275">
        <f t="shared" si="407"/>
        <v>44698</v>
      </c>
      <c r="F6532" s="479" t="s">
        <v>1387</v>
      </c>
      <c r="G6532" s="220" t="s">
        <v>74</v>
      </c>
      <c r="H6532" s="220" t="str" cm="1">
        <f t="array" ref="H6532">IFERROR(INDEX(INVESTOR_LIST[INVESTOR NAME],MATCH(I6532,INVESTOR_LIST[INVESTOR CODE],0),)," ")</f>
        <v xml:space="preserve"> </v>
      </c>
      <c r="I6532" s="142" t="s">
        <v>348</v>
      </c>
      <c r="J6532" s="143" t="s">
        <v>184</v>
      </c>
      <c r="K6532" s="226">
        <v>680000</v>
      </c>
      <c r="L6532" s="226"/>
    </row>
    <row r="6533" spans="1:13" x14ac:dyDescent="0.2">
      <c r="A6533" s="133">
        <v>2022</v>
      </c>
      <c r="B6533" s="133">
        <v>5</v>
      </c>
      <c r="C6533" s="133">
        <v>17</v>
      </c>
      <c r="D6533" s="141">
        <f t="shared" ref="D6533" si="408">DATE(A6533,B6533,C6533)</f>
        <v>44698</v>
      </c>
      <c r="E6533" s="275">
        <f t="shared" ref="E6533" si="409">DATE(A6533,B6533,C6533)</f>
        <v>44698</v>
      </c>
      <c r="F6533" s="481"/>
      <c r="G6533" s="174" t="s">
        <v>74</v>
      </c>
      <c r="H6533" s="174"/>
      <c r="J6533" s="149" t="s">
        <v>185</v>
      </c>
      <c r="K6533" s="218">
        <v>3000</v>
      </c>
      <c r="L6533" s="218"/>
    </row>
    <row r="6534" spans="1:13" x14ac:dyDescent="0.2">
      <c r="A6534" s="133">
        <v>2022</v>
      </c>
      <c r="B6534" s="133">
        <v>5</v>
      </c>
      <c r="C6534" s="133">
        <v>17</v>
      </c>
      <c r="D6534" s="141">
        <f t="shared" si="406"/>
        <v>44698</v>
      </c>
      <c r="E6534" s="275">
        <f t="shared" si="407"/>
        <v>44698</v>
      </c>
      <c r="F6534" s="481"/>
      <c r="G6534" s="174" t="s">
        <v>74</v>
      </c>
      <c r="H6534" s="174" t="str" cm="1">
        <f t="array" ref="H6534">IFERROR(INDEX(INVESTOR_LIST[INVESTOR NAME],MATCH(I6534,INVESTOR_LIST[INVESTOR CODE],0),)," ")</f>
        <v xml:space="preserve"> </v>
      </c>
      <c r="I6534" s="148" t="s">
        <v>348</v>
      </c>
      <c r="J6534" s="149" t="s">
        <v>61</v>
      </c>
      <c r="K6534" s="218">
        <v>115</v>
      </c>
      <c r="L6534" s="218"/>
    </row>
    <row r="6535" spans="1:13" x14ac:dyDescent="0.2">
      <c r="A6535" s="163">
        <v>2022</v>
      </c>
      <c r="B6535" s="163">
        <v>5</v>
      </c>
      <c r="C6535" s="163">
        <v>17</v>
      </c>
      <c r="D6535" s="141">
        <f t="shared" si="406"/>
        <v>44698</v>
      </c>
      <c r="E6535" s="275">
        <f t="shared" si="407"/>
        <v>44698</v>
      </c>
      <c r="F6535" s="480"/>
      <c r="G6535" s="221" t="s">
        <v>74</v>
      </c>
      <c r="H6535" s="221" t="str" cm="1">
        <f t="array" ref="H6535">IFERROR(INDEX(INVESTOR_LIST[INVESTOR NAME],MATCH(I6535,INVESTOR_LIST[INVESTOR CODE],0),)," ")</f>
        <v xml:space="preserve"> </v>
      </c>
      <c r="I6535" s="145" t="s">
        <v>348</v>
      </c>
      <c r="J6535" s="146" t="s">
        <v>52</v>
      </c>
      <c r="K6535" s="219"/>
      <c r="L6535" s="219">
        <v>683115</v>
      </c>
    </row>
    <row r="6536" spans="1:13" x14ac:dyDescent="0.2">
      <c r="A6536" s="168">
        <v>2022</v>
      </c>
      <c r="B6536" s="168">
        <v>5</v>
      </c>
      <c r="C6536" s="168">
        <v>17</v>
      </c>
      <c r="D6536" s="141">
        <f>DATE(A6536,B6536,C6536)</f>
        <v>44698</v>
      </c>
      <c r="E6536" s="275">
        <f>DATE(A6536,B6536,C6536)</f>
        <v>44698</v>
      </c>
      <c r="F6536" s="479" t="s">
        <v>1361</v>
      </c>
      <c r="G6536" s="220" t="s">
        <v>74</v>
      </c>
      <c r="H6536" s="220" t="str" cm="1">
        <f t="array" ref="H6536">IFERROR(INDEX(INVESTOR_LIST[INVESTOR NAME],MATCH(I6536,INVESTOR_LIST[INVESTOR CODE],0),)," ")</f>
        <v xml:space="preserve"> </v>
      </c>
      <c r="I6536" s="142" t="s">
        <v>348</v>
      </c>
      <c r="J6536" s="143" t="s">
        <v>52</v>
      </c>
      <c r="K6536" s="226">
        <v>1975713.09</v>
      </c>
      <c r="L6536" s="226"/>
    </row>
    <row r="6537" spans="1:13" x14ac:dyDescent="0.2">
      <c r="A6537" s="163">
        <v>2022</v>
      </c>
      <c r="B6537" s="163">
        <v>5</v>
      </c>
      <c r="C6537" s="163">
        <v>17</v>
      </c>
      <c r="D6537" s="141">
        <f>DATE(A6537,B6537,C6537)</f>
        <v>44698</v>
      </c>
      <c r="E6537" s="275">
        <f>DATE(A6537,B6537,C6537)</f>
        <v>44698</v>
      </c>
      <c r="F6537" s="480"/>
      <c r="G6537" s="221" t="s">
        <v>74</v>
      </c>
      <c r="H6537" s="221" t="str" cm="1">
        <f t="array" ref="H6537">IFERROR(INDEX(INVESTOR_LIST[INVESTOR NAME],MATCH(I6537,INVESTOR_LIST[INVESTOR CODE],0),)," ")</f>
        <v xml:space="preserve"> </v>
      </c>
      <c r="I6537" s="145" t="s">
        <v>348</v>
      </c>
      <c r="J6537" s="146" t="s">
        <v>190</v>
      </c>
      <c r="K6537" s="219"/>
      <c r="L6537" s="219">
        <v>1975713.09</v>
      </c>
    </row>
    <row r="6538" spans="1:13" x14ac:dyDescent="0.2">
      <c r="A6538" s="133">
        <v>2022</v>
      </c>
      <c r="B6538" s="133">
        <v>5</v>
      </c>
      <c r="C6538" s="133">
        <v>17</v>
      </c>
      <c r="D6538" s="141">
        <f t="shared" ref="D6538:D6542" si="410">DATE(A6538,B6538,C6538)</f>
        <v>44698</v>
      </c>
      <c r="E6538" s="275">
        <f t="shared" ref="E6538:E6542" si="411">DATE(A6538,B6538,C6538)</f>
        <v>44698</v>
      </c>
      <c r="F6538" s="481" t="s">
        <v>1379</v>
      </c>
      <c r="G6538" s="174" t="s">
        <v>94</v>
      </c>
      <c r="H6538" s="174" t="str" cm="1">
        <f t="array" ref="H6538">IFERROR(INDEX(INVESTOR_LIST[INVESTOR NAME],MATCH(I6538,INVESTOR_LIST[INVESTOR CODE],0),)," ")</f>
        <v xml:space="preserve"> </v>
      </c>
      <c r="I6538" s="148" t="s">
        <v>348</v>
      </c>
      <c r="J6538" s="149" t="s">
        <v>79</v>
      </c>
      <c r="K6538" s="218">
        <v>6016794.9000000004</v>
      </c>
      <c r="L6538" s="218"/>
    </row>
    <row r="6539" spans="1:13" x14ac:dyDescent="0.2">
      <c r="A6539" s="133">
        <v>2022</v>
      </c>
      <c r="B6539" s="133">
        <v>5</v>
      </c>
      <c r="C6539" s="133">
        <v>17</v>
      </c>
      <c r="D6539" s="141">
        <f t="shared" si="410"/>
        <v>44698</v>
      </c>
      <c r="E6539" s="275">
        <f t="shared" si="411"/>
        <v>44698</v>
      </c>
      <c r="F6539" s="481"/>
      <c r="G6539" s="174" t="s">
        <v>94</v>
      </c>
      <c r="H6539" s="174"/>
      <c r="J6539" s="149" t="s">
        <v>80</v>
      </c>
      <c r="K6539" s="218">
        <f>10830.23+6268.49</f>
        <v>17098.72</v>
      </c>
      <c r="L6539" s="218"/>
      <c r="M6539" s="160"/>
    </row>
    <row r="6540" spans="1:13" x14ac:dyDescent="0.2">
      <c r="A6540" s="133">
        <v>2022</v>
      </c>
      <c r="B6540" s="133">
        <v>5</v>
      </c>
      <c r="C6540" s="133">
        <v>17</v>
      </c>
      <c r="D6540" s="141">
        <f t="shared" si="410"/>
        <v>44698</v>
      </c>
      <c r="E6540" s="275">
        <f t="shared" si="411"/>
        <v>44698</v>
      </c>
      <c r="F6540" s="481"/>
      <c r="G6540" s="174" t="s">
        <v>94</v>
      </c>
      <c r="H6540" s="174"/>
      <c r="J6540" s="149" t="s">
        <v>191</v>
      </c>
      <c r="K6540" s="218">
        <v>158984.88</v>
      </c>
      <c r="L6540" s="218"/>
    </row>
    <row r="6541" spans="1:13" x14ac:dyDescent="0.2">
      <c r="A6541" s="133">
        <v>2022</v>
      </c>
      <c r="B6541" s="133">
        <v>5</v>
      </c>
      <c r="C6541" s="133">
        <v>17</v>
      </c>
      <c r="D6541" s="141">
        <f t="shared" si="410"/>
        <v>44698</v>
      </c>
      <c r="E6541" s="275">
        <f t="shared" si="411"/>
        <v>44698</v>
      </c>
      <c r="F6541" s="481"/>
      <c r="G6541" s="174" t="s">
        <v>94</v>
      </c>
      <c r="H6541" s="174" t="str" cm="1">
        <f t="array" ref="H6541">IFERROR(INDEX(INVESTOR_LIST[INVESTOR NAME],MATCH(I6541,INVESTOR_LIST[INVESTOR CODE],0),)," ")</f>
        <v xml:space="preserve"> </v>
      </c>
      <c r="I6541" s="148" t="s">
        <v>348</v>
      </c>
      <c r="J6541" s="149" t="s">
        <v>147</v>
      </c>
      <c r="K6541" s="218"/>
      <c r="L6541" s="218">
        <v>2551397.7200000002</v>
      </c>
    </row>
    <row r="6542" spans="1:13" x14ac:dyDescent="0.2">
      <c r="A6542" s="163">
        <v>2022</v>
      </c>
      <c r="B6542" s="163">
        <v>5</v>
      </c>
      <c r="C6542" s="163">
        <v>17</v>
      </c>
      <c r="D6542" s="280">
        <f t="shared" si="410"/>
        <v>44698</v>
      </c>
      <c r="E6542" s="281">
        <f t="shared" si="411"/>
        <v>44698</v>
      </c>
      <c r="F6542" s="480"/>
      <c r="G6542" s="221" t="s">
        <v>94</v>
      </c>
      <c r="H6542" s="145" t="str" cm="1">
        <f t="array" ref="H6542">IFERROR(INDEX(INVESTOR_LIST[INVESTOR NAME],MATCH(I6542,INVESTOR_LIST[INVESTOR CODE],0),)," ")</f>
        <v xml:space="preserve"> </v>
      </c>
      <c r="I6542" s="145"/>
      <c r="J6542" s="163" t="s">
        <v>79</v>
      </c>
      <c r="K6542" s="219"/>
      <c r="L6542" s="219">
        <v>3641480.7800000003</v>
      </c>
      <c r="M6542" s="160"/>
    </row>
    <row r="6543" spans="1:13" x14ac:dyDescent="0.2">
      <c r="A6543" s="168">
        <v>2022</v>
      </c>
      <c r="B6543" s="168">
        <v>5</v>
      </c>
      <c r="C6543" s="168">
        <v>17</v>
      </c>
      <c r="D6543" s="141">
        <f>DATE(A6543,B6543,C6543)</f>
        <v>44698</v>
      </c>
      <c r="E6543" s="275">
        <f>DATE(A6543,B6543,C6543)</f>
        <v>44698</v>
      </c>
      <c r="F6543" s="479" t="s">
        <v>1388</v>
      </c>
      <c r="G6543" s="220" t="s">
        <v>74</v>
      </c>
      <c r="H6543" s="220" t="str" cm="1">
        <f t="array" ref="H6543">IFERROR(INDEX(INVESTOR_LIST[INVESTOR NAME],MATCH(I6543,INVESTOR_LIST[INVESTOR CODE],0),)," ")</f>
        <v xml:space="preserve"> </v>
      </c>
      <c r="I6543" s="142" t="s">
        <v>348</v>
      </c>
      <c r="J6543" s="143" t="s">
        <v>147</v>
      </c>
      <c r="K6543" s="226">
        <v>2551397.7200000002</v>
      </c>
      <c r="L6543" s="226"/>
    </row>
    <row r="6544" spans="1:13" x14ac:dyDescent="0.2">
      <c r="A6544" s="163">
        <v>2022</v>
      </c>
      <c r="B6544" s="163">
        <v>5</v>
      </c>
      <c r="C6544" s="163">
        <v>17</v>
      </c>
      <c r="D6544" s="141">
        <f>DATE(A6544,B6544,C6544)</f>
        <v>44698</v>
      </c>
      <c r="E6544" s="275">
        <f>DATE(A6544,B6544,C6544)</f>
        <v>44698</v>
      </c>
      <c r="F6544" s="480"/>
      <c r="G6544" s="221" t="s">
        <v>74</v>
      </c>
      <c r="H6544" s="221" t="str" cm="1">
        <f t="array" ref="H6544">IFERROR(INDEX(INVESTOR_LIST[INVESTOR NAME],MATCH(I6544,INVESTOR_LIST[INVESTOR CODE],0),)," ")</f>
        <v xml:space="preserve"> </v>
      </c>
      <c r="I6544" s="145" t="s">
        <v>348</v>
      </c>
      <c r="J6544" s="146" t="s">
        <v>52</v>
      </c>
      <c r="K6544" s="219"/>
      <c r="L6544" s="219">
        <v>2551397.7200000002</v>
      </c>
    </row>
    <row r="6545" spans="1:12" x14ac:dyDescent="0.2">
      <c r="A6545" s="133">
        <v>2022</v>
      </c>
      <c r="B6545" s="133">
        <v>5</v>
      </c>
      <c r="C6545" s="133">
        <v>18</v>
      </c>
      <c r="D6545" s="141">
        <f t="shared" ref="D6545:D6555" si="412">DATE(A6545,B6545,C6545)</f>
        <v>44699</v>
      </c>
      <c r="E6545" s="275">
        <f t="shared" ref="E6545:E6555" si="413">DATE(A6545,B6545,C6545)</f>
        <v>44699</v>
      </c>
      <c r="F6545" s="481" t="s">
        <v>1379</v>
      </c>
      <c r="G6545" s="174" t="s">
        <v>94</v>
      </c>
      <c r="H6545" s="174" t="str" cm="1">
        <f t="array" ref="H6545">IFERROR(INDEX(INVESTOR_LIST[INVESTOR NAME],MATCH(I6545,INVESTOR_LIST[INVESTOR CODE],0),)," ")</f>
        <v xml:space="preserve"> </v>
      </c>
      <c r="I6545" s="148" t="s">
        <v>348</v>
      </c>
      <c r="J6545" s="149" t="s">
        <v>79</v>
      </c>
      <c r="K6545" s="218">
        <v>1450000</v>
      </c>
      <c r="L6545" s="218"/>
    </row>
    <row r="6546" spans="1:12" x14ac:dyDescent="0.2">
      <c r="A6546" s="133">
        <v>2022</v>
      </c>
      <c r="B6546" s="133">
        <v>5</v>
      </c>
      <c r="C6546" s="133">
        <v>18</v>
      </c>
      <c r="D6546" s="141">
        <f t="shared" si="412"/>
        <v>44699</v>
      </c>
      <c r="E6546" s="275">
        <f t="shared" si="413"/>
        <v>44699</v>
      </c>
      <c r="F6546" s="481"/>
      <c r="G6546" s="174" t="s">
        <v>94</v>
      </c>
      <c r="H6546" s="174"/>
      <c r="J6546" s="149" t="s">
        <v>80</v>
      </c>
      <c r="K6546" s="218">
        <v>8752.369999999999</v>
      </c>
      <c r="L6546" s="218"/>
    </row>
    <row r="6547" spans="1:12" x14ac:dyDescent="0.2">
      <c r="A6547" s="133">
        <v>2022</v>
      </c>
      <c r="B6547" s="133">
        <v>5</v>
      </c>
      <c r="C6547" s="133">
        <v>18</v>
      </c>
      <c r="D6547" s="141">
        <f t="shared" si="412"/>
        <v>44699</v>
      </c>
      <c r="E6547" s="275">
        <f t="shared" si="413"/>
        <v>44699</v>
      </c>
      <c r="F6547" s="481"/>
      <c r="G6547" s="174" t="s">
        <v>94</v>
      </c>
      <c r="H6547" s="174"/>
      <c r="J6547" s="149" t="s">
        <v>190</v>
      </c>
      <c r="K6547" s="218">
        <v>1953672.83</v>
      </c>
      <c r="L6547" s="218"/>
    </row>
    <row r="6548" spans="1:12" x14ac:dyDescent="0.2">
      <c r="A6548" s="133">
        <v>2022</v>
      </c>
      <c r="B6548" s="133">
        <v>5</v>
      </c>
      <c r="C6548" s="133">
        <v>18</v>
      </c>
      <c r="D6548" s="141">
        <f t="shared" si="412"/>
        <v>44699</v>
      </c>
      <c r="E6548" s="275">
        <f t="shared" si="413"/>
        <v>44699</v>
      </c>
      <c r="F6548" s="481"/>
      <c r="G6548" s="174" t="s">
        <v>94</v>
      </c>
      <c r="H6548" s="174" t="str" cm="1">
        <f t="array" ref="H6548">IFERROR(INDEX(INVESTOR_LIST[INVESTOR NAME],MATCH(I6548,INVESTOR_LIST[INVESTOR CODE],0),)," ")</f>
        <v xml:space="preserve"> </v>
      </c>
      <c r="I6548" s="148" t="s">
        <v>348</v>
      </c>
      <c r="J6548" s="149" t="s">
        <v>191</v>
      </c>
      <c r="K6548" s="218"/>
      <c r="L6548" s="218">
        <v>900.52999999999884</v>
      </c>
    </row>
    <row r="6549" spans="1:12" x14ac:dyDescent="0.2">
      <c r="A6549" s="163">
        <v>2022</v>
      </c>
      <c r="B6549" s="163">
        <v>5</v>
      </c>
      <c r="C6549" s="163">
        <v>18</v>
      </c>
      <c r="D6549" s="280">
        <f t="shared" si="412"/>
        <v>44699</v>
      </c>
      <c r="E6549" s="281">
        <f t="shared" si="413"/>
        <v>44699</v>
      </c>
      <c r="F6549" s="480"/>
      <c r="G6549" s="221" t="s">
        <v>94</v>
      </c>
      <c r="H6549" s="145" t="str" cm="1">
        <f t="array" ref="H6549">IFERROR(INDEX(INVESTOR_LIST[INVESTOR NAME],MATCH(I6549,INVESTOR_LIST[INVESTOR CODE],0),)," ")</f>
        <v xml:space="preserve"> </v>
      </c>
      <c r="I6549" s="145"/>
      <c r="J6549" s="163" t="s">
        <v>79</v>
      </c>
      <c r="K6549" s="219"/>
      <c r="L6549" s="219">
        <v>3411524.67</v>
      </c>
    </row>
    <row r="6550" spans="1:12" ht="22.5" x14ac:dyDescent="0.2">
      <c r="A6550" s="168">
        <v>2022</v>
      </c>
      <c r="B6550" s="168">
        <v>5</v>
      </c>
      <c r="C6550" s="133">
        <v>18</v>
      </c>
      <c r="D6550" s="141">
        <f t="shared" si="412"/>
        <v>44699</v>
      </c>
      <c r="E6550" s="275">
        <f t="shared" si="413"/>
        <v>44699</v>
      </c>
      <c r="F6550" s="479" t="s">
        <v>1315</v>
      </c>
      <c r="G6550" s="220" t="s">
        <v>74</v>
      </c>
      <c r="H6550" s="142" t="str" cm="1">
        <f t="array" ref="H6550">IFERROR(INDEX(INVESTOR_LIST[INVESTOR NAME],MATCH(I6550,INVESTOR_LIST[INVESTOR CODE],0),)," ")</f>
        <v>IFTEKHAR ALAM</v>
      </c>
      <c r="I6550" s="142" t="s">
        <v>452</v>
      </c>
      <c r="J6550" s="168" t="s">
        <v>13</v>
      </c>
      <c r="K6550" s="226">
        <v>1003600</v>
      </c>
      <c r="L6550" s="226"/>
    </row>
    <row r="6551" spans="1:12" ht="22.5" x14ac:dyDescent="0.2">
      <c r="A6551" s="133">
        <v>2022</v>
      </c>
      <c r="B6551" s="133">
        <v>5</v>
      </c>
      <c r="C6551" s="133">
        <v>18</v>
      </c>
      <c r="D6551" s="141">
        <f t="shared" si="412"/>
        <v>44699</v>
      </c>
      <c r="E6551" s="275">
        <f t="shared" si="413"/>
        <v>44699</v>
      </c>
      <c r="F6551" s="481"/>
      <c r="G6551" s="174" t="s">
        <v>74</v>
      </c>
      <c r="H6551" s="148" t="str" cm="1">
        <f t="array" ref="H6551">IFERROR(INDEX(INVESTOR_LIST[INVESTOR NAME],MATCH(I6551,INVESTOR_LIST[INVESTOR CODE],0),)," ")</f>
        <v>IFTEKHAR ALAM</v>
      </c>
      <c r="I6551" s="148" t="s">
        <v>452</v>
      </c>
      <c r="J6551" s="133" t="s">
        <v>53</v>
      </c>
      <c r="K6551" s="218">
        <v>244878.4</v>
      </c>
      <c r="L6551" s="218"/>
    </row>
    <row r="6552" spans="1:12" ht="22.5" x14ac:dyDescent="0.2">
      <c r="A6552" s="163">
        <v>2022</v>
      </c>
      <c r="B6552" s="163">
        <v>5</v>
      </c>
      <c r="C6552" s="163">
        <v>18</v>
      </c>
      <c r="D6552" s="141">
        <f t="shared" si="412"/>
        <v>44699</v>
      </c>
      <c r="E6552" s="275">
        <f t="shared" si="413"/>
        <v>44699</v>
      </c>
      <c r="F6552" s="480"/>
      <c r="G6552" s="221" t="s">
        <v>74</v>
      </c>
      <c r="H6552" s="145" t="str" cm="1">
        <f t="array" ref="H6552">IFERROR(INDEX(INVESTOR_LIST[INVESTOR NAME],MATCH(I6552,INVESTOR_LIST[INVESTOR CODE],0),)," ")</f>
        <v>IFTEKHAR ALAM</v>
      </c>
      <c r="I6552" s="145" t="s">
        <v>452</v>
      </c>
      <c r="J6552" s="163" t="s">
        <v>52</v>
      </c>
      <c r="K6552" s="219"/>
      <c r="L6552" s="219">
        <v>1248478.3999999999</v>
      </c>
    </row>
    <row r="6553" spans="1:12" ht="45" x14ac:dyDescent="0.2">
      <c r="A6553" s="168">
        <v>2022</v>
      </c>
      <c r="B6553" s="168">
        <v>5</v>
      </c>
      <c r="C6553" s="133">
        <v>18</v>
      </c>
      <c r="D6553" s="141">
        <f t="shared" si="412"/>
        <v>44699</v>
      </c>
      <c r="E6553" s="275">
        <f t="shared" si="413"/>
        <v>44699</v>
      </c>
      <c r="F6553" s="479" t="s">
        <v>1315</v>
      </c>
      <c r="G6553" s="220" t="s">
        <v>74</v>
      </c>
      <c r="H6553" s="142" t="str" cm="1">
        <f t="array" ref="H6553">IFERROR(INDEX(INVESTOR_LIST[INVESTOR NAME],MATCH(I6553,INVESTOR_LIST[INVESTOR CODE],0),)," ")</f>
        <v>MOHAMMED ALI XAHANGIR</v>
      </c>
      <c r="I6553" s="142" t="s">
        <v>616</v>
      </c>
      <c r="J6553" s="168" t="s">
        <v>13</v>
      </c>
      <c r="K6553" s="226">
        <v>112410</v>
      </c>
      <c r="L6553" s="226"/>
    </row>
    <row r="6554" spans="1:12" ht="45" x14ac:dyDescent="0.2">
      <c r="A6554" s="133">
        <v>2022</v>
      </c>
      <c r="B6554" s="133">
        <v>5</v>
      </c>
      <c r="C6554" s="133">
        <v>18</v>
      </c>
      <c r="D6554" s="141">
        <f t="shared" si="412"/>
        <v>44699</v>
      </c>
      <c r="E6554" s="275">
        <f t="shared" si="413"/>
        <v>44699</v>
      </c>
      <c r="F6554" s="481"/>
      <c r="G6554" s="174" t="s">
        <v>74</v>
      </c>
      <c r="H6554" s="148" t="str" cm="1">
        <f t="array" ref="H6554">IFERROR(INDEX(INVESTOR_LIST[INVESTOR NAME],MATCH(I6554,INVESTOR_LIST[INVESTOR CODE],0),)," ")</f>
        <v>MOHAMMED ALI XAHANGIR</v>
      </c>
      <c r="I6554" s="148" t="s">
        <v>616</v>
      </c>
      <c r="J6554" s="133" t="s">
        <v>53</v>
      </c>
      <c r="K6554" s="218">
        <v>28327.32</v>
      </c>
      <c r="L6554" s="218"/>
    </row>
    <row r="6555" spans="1:12" ht="45" x14ac:dyDescent="0.2">
      <c r="A6555" s="163">
        <v>2022</v>
      </c>
      <c r="B6555" s="163">
        <v>5</v>
      </c>
      <c r="C6555" s="163">
        <v>18</v>
      </c>
      <c r="D6555" s="141">
        <f t="shared" si="412"/>
        <v>44699</v>
      </c>
      <c r="E6555" s="275">
        <f t="shared" si="413"/>
        <v>44699</v>
      </c>
      <c r="F6555" s="480"/>
      <c r="G6555" s="221" t="s">
        <v>74</v>
      </c>
      <c r="H6555" s="145" t="str" cm="1">
        <f t="array" ref="H6555">IFERROR(INDEX(INVESTOR_LIST[INVESTOR NAME],MATCH(I6555,INVESTOR_LIST[INVESTOR CODE],0),)," ")</f>
        <v>MOHAMMED ALI XAHANGIR</v>
      </c>
      <c r="I6555" s="145" t="s">
        <v>616</v>
      </c>
      <c r="J6555" s="163" t="s">
        <v>52</v>
      </c>
      <c r="K6555" s="219"/>
      <c r="L6555" s="219">
        <v>140737.32</v>
      </c>
    </row>
    <row r="6556" spans="1:12" ht="33.75" x14ac:dyDescent="0.2">
      <c r="A6556" s="168">
        <v>2022</v>
      </c>
      <c r="B6556" s="168">
        <v>5</v>
      </c>
      <c r="C6556" s="133">
        <v>18</v>
      </c>
      <c r="D6556" s="141">
        <f t="shared" ref="D6556:D6590" si="414">DATE(A6556,B6556,C6556)</f>
        <v>44699</v>
      </c>
      <c r="E6556" s="275">
        <f t="shared" ref="E6556:E6590" si="415">DATE(A6556,B6556,C6556)</f>
        <v>44699</v>
      </c>
      <c r="F6556" s="479" t="s">
        <v>1315</v>
      </c>
      <c r="G6556" s="220" t="s">
        <v>74</v>
      </c>
      <c r="H6556" s="142" t="str" cm="1">
        <f t="array" ref="H6556">IFERROR(INDEX(INVESTOR_LIST[INVESTOR NAME],MATCH(I6556,INVESTOR_LIST[INVESTOR CODE],0),)," ")</f>
        <v>MAHFUZUL ISLAM</v>
      </c>
      <c r="I6556" s="142" t="s">
        <v>663</v>
      </c>
      <c r="J6556" s="168" t="s">
        <v>13</v>
      </c>
      <c r="K6556" s="226">
        <v>8130</v>
      </c>
      <c r="L6556" s="226"/>
    </row>
    <row r="6557" spans="1:12" ht="33.75" x14ac:dyDescent="0.2">
      <c r="A6557" s="133">
        <v>2022</v>
      </c>
      <c r="B6557" s="133">
        <v>5</v>
      </c>
      <c r="C6557" s="133">
        <v>18</v>
      </c>
      <c r="D6557" s="141">
        <f t="shared" si="414"/>
        <v>44699</v>
      </c>
      <c r="E6557" s="275">
        <f t="shared" si="415"/>
        <v>44699</v>
      </c>
      <c r="F6557" s="481"/>
      <c r="G6557" s="174" t="s">
        <v>74</v>
      </c>
      <c r="H6557" s="148" t="str" cm="1">
        <f t="array" ref="H6557">IFERROR(INDEX(INVESTOR_LIST[INVESTOR NAME],MATCH(I6557,INVESTOR_LIST[INVESTOR CODE],0),)," ")</f>
        <v>MAHFUZUL ISLAM</v>
      </c>
      <c r="I6557" s="148" t="s">
        <v>663</v>
      </c>
      <c r="J6557" s="133" t="s">
        <v>53</v>
      </c>
      <c r="K6557" s="218">
        <v>1983.72</v>
      </c>
      <c r="L6557" s="218"/>
    </row>
    <row r="6558" spans="1:12" ht="33.75" x14ac:dyDescent="0.2">
      <c r="A6558" s="163">
        <v>2022</v>
      </c>
      <c r="B6558" s="163">
        <v>5</v>
      </c>
      <c r="C6558" s="163">
        <v>18</v>
      </c>
      <c r="D6558" s="141">
        <f t="shared" si="414"/>
        <v>44699</v>
      </c>
      <c r="E6558" s="275">
        <f t="shared" si="415"/>
        <v>44699</v>
      </c>
      <c r="F6558" s="480"/>
      <c r="G6558" s="221" t="s">
        <v>74</v>
      </c>
      <c r="H6558" s="145" t="str" cm="1">
        <f t="array" ref="H6558">IFERROR(INDEX(INVESTOR_LIST[INVESTOR NAME],MATCH(I6558,INVESTOR_LIST[INVESTOR CODE],0),)," ")</f>
        <v>MAHFUZUL ISLAM</v>
      </c>
      <c r="I6558" s="145" t="s">
        <v>663</v>
      </c>
      <c r="J6558" s="163" t="s">
        <v>52</v>
      </c>
      <c r="K6558" s="219"/>
      <c r="L6558" s="219">
        <v>10113.719999999999</v>
      </c>
    </row>
    <row r="6559" spans="1:12" x14ac:dyDescent="0.2">
      <c r="A6559" s="168">
        <v>2022</v>
      </c>
      <c r="B6559" s="168">
        <v>5</v>
      </c>
      <c r="C6559" s="168">
        <v>18</v>
      </c>
      <c r="D6559" s="141">
        <f t="shared" si="414"/>
        <v>44699</v>
      </c>
      <c r="E6559" s="275">
        <f t="shared" si="415"/>
        <v>44699</v>
      </c>
      <c r="F6559" s="481" t="s">
        <v>275</v>
      </c>
      <c r="G6559" s="174" t="s">
        <v>74</v>
      </c>
      <c r="H6559" s="174" t="str" cm="1">
        <f t="array" ref="H6559">IFERROR(INDEX(INVESTOR_LIST[INVESTOR NAME],MATCH(I6559,INVESTOR_LIST[INVESTOR CODE],0),)," ")</f>
        <v xml:space="preserve"> </v>
      </c>
      <c r="I6559" s="148" t="s">
        <v>348</v>
      </c>
      <c r="J6559" s="149" t="s">
        <v>163</v>
      </c>
      <c r="K6559" s="218">
        <v>1575</v>
      </c>
      <c r="L6559" s="218"/>
    </row>
    <row r="6560" spans="1:12" x14ac:dyDescent="0.2">
      <c r="A6560" s="163">
        <v>2022</v>
      </c>
      <c r="B6560" s="163">
        <v>5</v>
      </c>
      <c r="C6560" s="163">
        <v>18</v>
      </c>
      <c r="D6560" s="141">
        <f t="shared" si="414"/>
        <v>44699</v>
      </c>
      <c r="E6560" s="275">
        <f t="shared" si="415"/>
        <v>44699</v>
      </c>
      <c r="F6560" s="480"/>
      <c r="G6560" s="221" t="s">
        <v>74</v>
      </c>
      <c r="H6560" s="221" t="str" cm="1">
        <f t="array" ref="H6560">IFERROR(INDEX(INVESTOR_LIST[INVESTOR NAME],MATCH(I6560,INVESTOR_LIST[INVESTOR CODE],0),)," ")</f>
        <v xml:space="preserve"> </v>
      </c>
      <c r="I6560" s="145" t="s">
        <v>348</v>
      </c>
      <c r="J6560" s="146" t="s">
        <v>52</v>
      </c>
      <c r="K6560" s="219"/>
      <c r="L6560" s="219">
        <v>1575</v>
      </c>
    </row>
    <row r="6561" spans="1:13" x14ac:dyDescent="0.2">
      <c r="A6561" s="133">
        <v>2022</v>
      </c>
      <c r="B6561" s="168">
        <v>5</v>
      </c>
      <c r="C6561" s="168">
        <v>18</v>
      </c>
      <c r="D6561" s="141">
        <f t="shared" si="414"/>
        <v>44699</v>
      </c>
      <c r="E6561" s="275">
        <f t="shared" si="415"/>
        <v>44699</v>
      </c>
      <c r="F6561" s="479" t="s">
        <v>362</v>
      </c>
      <c r="G6561" s="220" t="s">
        <v>74</v>
      </c>
      <c r="H6561" s="220" t="str" cm="1">
        <f t="array" ref="H6561">IFERROR(INDEX(INVESTOR_LIST[INVESTOR NAME],MATCH(I6561,INVESTOR_LIST[INVESTOR CODE],0),)," ")</f>
        <v xml:space="preserve"> </v>
      </c>
      <c r="I6561" s="142" t="s">
        <v>348</v>
      </c>
      <c r="J6561" s="143" t="s">
        <v>104</v>
      </c>
      <c r="K6561" s="226">
        <v>3145.16</v>
      </c>
      <c r="L6561" s="226"/>
    </row>
    <row r="6562" spans="1:13" x14ac:dyDescent="0.2">
      <c r="A6562" s="163">
        <v>2022</v>
      </c>
      <c r="B6562" s="163">
        <v>5</v>
      </c>
      <c r="C6562" s="163">
        <v>18</v>
      </c>
      <c r="D6562" s="141">
        <f t="shared" si="414"/>
        <v>44699</v>
      </c>
      <c r="E6562" s="275">
        <f t="shared" si="415"/>
        <v>44699</v>
      </c>
      <c r="F6562" s="480"/>
      <c r="G6562" s="221" t="s">
        <v>74</v>
      </c>
      <c r="H6562" s="221" t="str" cm="1">
        <f t="array" ref="H6562">IFERROR(INDEX(INVESTOR_LIST[INVESTOR NAME],MATCH(I6562,INVESTOR_LIST[INVESTOR CODE],0),)," ")</f>
        <v xml:space="preserve"> </v>
      </c>
      <c r="I6562" s="145" t="s">
        <v>348</v>
      </c>
      <c r="J6562" s="146" t="s">
        <v>52</v>
      </c>
      <c r="K6562" s="219"/>
      <c r="L6562" s="219">
        <v>3145.16</v>
      </c>
    </row>
    <row r="6563" spans="1:13" x14ac:dyDescent="0.2">
      <c r="A6563" s="168">
        <v>2022</v>
      </c>
      <c r="B6563" s="168">
        <v>5</v>
      </c>
      <c r="C6563" s="133">
        <v>18</v>
      </c>
      <c r="D6563" s="141">
        <f t="shared" si="414"/>
        <v>44699</v>
      </c>
      <c r="E6563" s="275">
        <f t="shared" si="415"/>
        <v>44699</v>
      </c>
      <c r="F6563" s="479" t="s">
        <v>1319</v>
      </c>
      <c r="G6563" s="220" t="s">
        <v>74</v>
      </c>
      <c r="H6563" s="142" t="str" cm="1">
        <f t="array" ref="H6563">IFERROR(INDEX(INVESTOR_LIST[INVESTOR NAME],MATCH(I6563,INVESTOR_LIST[INVESTOR CODE],0),)," ")</f>
        <v xml:space="preserve"> </v>
      </c>
      <c r="I6563" s="142"/>
      <c r="J6563" s="168" t="s">
        <v>52</v>
      </c>
      <c r="K6563" s="226">
        <v>129000</v>
      </c>
      <c r="L6563" s="226"/>
    </row>
    <row r="6564" spans="1:13" x14ac:dyDescent="0.2">
      <c r="A6564" s="133">
        <v>2022</v>
      </c>
      <c r="B6564" s="133">
        <v>5</v>
      </c>
      <c r="C6564" s="133">
        <v>18</v>
      </c>
      <c r="D6564" s="141">
        <f t="shared" si="414"/>
        <v>44699</v>
      </c>
      <c r="E6564" s="275">
        <f t="shared" si="415"/>
        <v>44699</v>
      </c>
      <c r="F6564" s="481"/>
      <c r="G6564" s="174" t="s">
        <v>74</v>
      </c>
      <c r="H6564" s="148" t="str" cm="1">
        <f t="array" ref="H6564">IFERROR(INDEX(INVESTOR_LIST[INVESTOR NAME],MATCH(I6564,INVESTOR_LIST[INVESTOR CODE],0),)," ")</f>
        <v xml:space="preserve"> </v>
      </c>
      <c r="J6564" s="133" t="s">
        <v>13</v>
      </c>
      <c r="K6564" s="218"/>
      <c r="L6564" s="218">
        <v>103690</v>
      </c>
    </row>
    <row r="6565" spans="1:13" x14ac:dyDescent="0.2">
      <c r="A6565" s="163">
        <v>2022</v>
      </c>
      <c r="B6565" s="163">
        <v>5</v>
      </c>
      <c r="C6565" s="163">
        <v>18</v>
      </c>
      <c r="D6565" s="141">
        <f t="shared" si="414"/>
        <v>44699</v>
      </c>
      <c r="E6565" s="275">
        <f t="shared" si="415"/>
        <v>44699</v>
      </c>
      <c r="F6565" s="480"/>
      <c r="G6565" s="221" t="s">
        <v>74</v>
      </c>
      <c r="H6565" s="145" t="str" cm="1">
        <f t="array" ref="H6565">IFERROR(INDEX(INVESTOR_LIST[INVESTOR NAME],MATCH(I6565,INVESTOR_LIST[INVESTOR CODE],0),)," ")</f>
        <v xml:space="preserve"> </v>
      </c>
      <c r="I6565" s="145"/>
      <c r="J6565" s="163" t="s">
        <v>53</v>
      </c>
      <c r="K6565" s="219"/>
      <c r="L6565" s="219">
        <v>25310</v>
      </c>
    </row>
    <row r="6566" spans="1:13" x14ac:dyDescent="0.2">
      <c r="A6566" s="133">
        <v>2022</v>
      </c>
      <c r="B6566" s="133">
        <v>5</v>
      </c>
      <c r="C6566" s="133">
        <v>19</v>
      </c>
      <c r="D6566" s="141">
        <f t="shared" si="414"/>
        <v>44700</v>
      </c>
      <c r="E6566" s="275">
        <f t="shared" si="415"/>
        <v>44700</v>
      </c>
      <c r="F6566" s="481" t="s">
        <v>1379</v>
      </c>
      <c r="G6566" s="174" t="s">
        <v>94</v>
      </c>
      <c r="H6566" s="174" t="str" cm="1">
        <f t="array" ref="H6566">IFERROR(INDEX(INVESTOR_LIST[INVESTOR NAME],MATCH(I6566,INVESTOR_LIST[INVESTOR CODE],0),)," ")</f>
        <v xml:space="preserve"> </v>
      </c>
      <c r="I6566" s="148" t="s">
        <v>348</v>
      </c>
      <c r="J6566" s="149" t="s">
        <v>79</v>
      </c>
      <c r="K6566" s="218">
        <v>1484306</v>
      </c>
      <c r="L6566" s="218"/>
    </row>
    <row r="6567" spans="1:13" x14ac:dyDescent="0.2">
      <c r="A6567" s="133">
        <v>2022</v>
      </c>
      <c r="B6567" s="133">
        <v>5</v>
      </c>
      <c r="C6567" s="133">
        <v>19</v>
      </c>
      <c r="D6567" s="141">
        <f t="shared" si="414"/>
        <v>44700</v>
      </c>
      <c r="E6567" s="275">
        <f t="shared" si="415"/>
        <v>44700</v>
      </c>
      <c r="F6567" s="481"/>
      <c r="G6567" s="174" t="s">
        <v>94</v>
      </c>
      <c r="H6567" s="174"/>
      <c r="J6567" s="149" t="s">
        <v>80</v>
      </c>
      <c r="K6567" s="218">
        <v>6416.09</v>
      </c>
      <c r="L6567" s="218"/>
    </row>
    <row r="6568" spans="1:13" x14ac:dyDescent="0.2">
      <c r="A6568" s="133">
        <v>2022</v>
      </c>
      <c r="B6568" s="133">
        <v>5</v>
      </c>
      <c r="C6568" s="133">
        <v>19</v>
      </c>
      <c r="D6568" s="141">
        <f t="shared" si="414"/>
        <v>44700</v>
      </c>
      <c r="E6568" s="275">
        <f t="shared" si="415"/>
        <v>44700</v>
      </c>
      <c r="F6568" s="481"/>
      <c r="G6568" s="174" t="s">
        <v>94</v>
      </c>
      <c r="H6568" s="174"/>
      <c r="J6568" s="149" t="s">
        <v>190</v>
      </c>
      <c r="K6568" s="218">
        <v>589465.61</v>
      </c>
      <c r="L6568" s="218"/>
    </row>
    <row r="6569" spans="1:13" x14ac:dyDescent="0.2">
      <c r="A6569" s="133">
        <v>2022</v>
      </c>
      <c r="B6569" s="133">
        <v>5</v>
      </c>
      <c r="C6569" s="133">
        <v>19</v>
      </c>
      <c r="D6569" s="141">
        <f t="shared" si="414"/>
        <v>44700</v>
      </c>
      <c r="E6569" s="275">
        <f t="shared" si="415"/>
        <v>44700</v>
      </c>
      <c r="F6569" s="481"/>
      <c r="G6569" s="174" t="s">
        <v>94</v>
      </c>
      <c r="H6569" s="174" t="str" cm="1">
        <f t="array" ref="H6569">IFERROR(INDEX(INVESTOR_LIST[INVESTOR NAME],MATCH(I6569,INVESTOR_LIST[INVESTOR CODE],0),)," ")</f>
        <v xml:space="preserve"> </v>
      </c>
      <c r="I6569" s="148" t="s">
        <v>348</v>
      </c>
      <c r="J6569" s="149" t="s">
        <v>191</v>
      </c>
      <c r="K6569" s="218"/>
      <c r="L6569" s="218">
        <v>228726.62</v>
      </c>
    </row>
    <row r="6570" spans="1:13" x14ac:dyDescent="0.2">
      <c r="A6570" s="163">
        <v>2022</v>
      </c>
      <c r="B6570" s="163">
        <v>5</v>
      </c>
      <c r="C6570" s="163">
        <v>19</v>
      </c>
      <c r="D6570" s="280">
        <f t="shared" si="414"/>
        <v>44700</v>
      </c>
      <c r="E6570" s="281">
        <f t="shared" si="415"/>
        <v>44700</v>
      </c>
      <c r="F6570" s="480"/>
      <c r="G6570" s="221" t="s">
        <v>94</v>
      </c>
      <c r="H6570" s="145" t="str" cm="1">
        <f t="array" ref="H6570">IFERROR(INDEX(INVESTOR_LIST[INVESTOR NAME],MATCH(I6570,INVESTOR_LIST[INVESTOR CODE],0),)," ")</f>
        <v xml:space="preserve"> </v>
      </c>
      <c r="I6570" s="145"/>
      <c r="J6570" s="163" t="s">
        <v>79</v>
      </c>
      <c r="K6570" s="219"/>
      <c r="L6570" s="219">
        <v>1851461.0799999998</v>
      </c>
    </row>
    <row r="6571" spans="1:13" x14ac:dyDescent="0.2">
      <c r="A6571" s="238">
        <v>2022</v>
      </c>
      <c r="B6571" s="238">
        <v>5</v>
      </c>
      <c r="C6571" s="238">
        <v>19</v>
      </c>
      <c r="D6571" s="270">
        <f t="shared" si="414"/>
        <v>44700</v>
      </c>
      <c r="E6571" s="279">
        <f t="shared" si="415"/>
        <v>44700</v>
      </c>
      <c r="F6571" s="477" t="s">
        <v>347</v>
      </c>
      <c r="G6571" s="239" t="s">
        <v>94</v>
      </c>
      <c r="H6571" s="239" t="str" cm="1">
        <f t="array" ref="H6571">IFERROR(INDEX(INVESTOR_LIST[INVESTOR NAME],MATCH(I6571,INVESTOR_LIST[INVESTOR CODE],0),)," ")</f>
        <v xml:space="preserve"> </v>
      </c>
      <c r="I6571" s="262" t="s">
        <v>348</v>
      </c>
      <c r="J6571" s="240" t="s">
        <v>82</v>
      </c>
      <c r="K6571" s="241">
        <v>5866672.3700000048</v>
      </c>
      <c r="L6571" s="241"/>
      <c r="M6571" s="160"/>
    </row>
    <row r="6572" spans="1:13" x14ac:dyDescent="0.2">
      <c r="A6572" s="242">
        <v>2022</v>
      </c>
      <c r="B6572" s="242">
        <v>5</v>
      </c>
      <c r="C6572" s="242">
        <v>19</v>
      </c>
      <c r="D6572" s="270">
        <f t="shared" si="414"/>
        <v>44700</v>
      </c>
      <c r="E6572" s="279">
        <f t="shared" si="415"/>
        <v>44700</v>
      </c>
      <c r="F6572" s="478"/>
      <c r="G6572" s="243" t="s">
        <v>94</v>
      </c>
      <c r="H6572" s="243" t="str" cm="1">
        <f t="array" ref="H6572">IFERROR(INDEX(INVESTOR_LIST[INVESTOR NAME],MATCH(I6572,INVESTOR_LIST[INVESTOR CODE],0),)," ")</f>
        <v xml:space="preserve"> </v>
      </c>
      <c r="I6572" s="263" t="s">
        <v>348</v>
      </c>
      <c r="J6572" s="244" t="s">
        <v>108</v>
      </c>
      <c r="K6572" s="245"/>
      <c r="L6572" s="245">
        <v>5866672.3700000048</v>
      </c>
    </row>
    <row r="6573" spans="1:13" ht="22.5" x14ac:dyDescent="0.2">
      <c r="A6573" s="246">
        <v>2022</v>
      </c>
      <c r="B6573" s="246">
        <v>5</v>
      </c>
      <c r="C6573" s="246">
        <v>19</v>
      </c>
      <c r="D6573" s="270">
        <f t="shared" si="414"/>
        <v>44700</v>
      </c>
      <c r="E6573" s="279">
        <f t="shared" si="415"/>
        <v>44700</v>
      </c>
      <c r="F6573" s="482" t="s">
        <v>148</v>
      </c>
      <c r="G6573" s="247" t="s">
        <v>94</v>
      </c>
      <c r="H6573" s="247" t="str" cm="1">
        <f t="array" ref="H6573">IFERROR(INDEX(INVESTOR_LIST[INVESTOR NAME],MATCH(I6573,INVESTOR_LIST[INVESTOR CODE],0),)," ")</f>
        <v xml:space="preserve"> </v>
      </c>
      <c r="I6573" s="248" t="s">
        <v>348</v>
      </c>
      <c r="J6573" s="249" t="s">
        <v>95</v>
      </c>
      <c r="K6573" s="250">
        <v>2747.2527472527472</v>
      </c>
      <c r="L6573" s="241"/>
    </row>
    <row r="6574" spans="1:13" x14ac:dyDescent="0.2">
      <c r="A6574" s="242">
        <v>2022</v>
      </c>
      <c r="B6574" s="242">
        <v>5</v>
      </c>
      <c r="C6574" s="242">
        <v>19</v>
      </c>
      <c r="D6574" s="270">
        <f t="shared" si="414"/>
        <v>44700</v>
      </c>
      <c r="E6574" s="279">
        <f t="shared" si="415"/>
        <v>44700</v>
      </c>
      <c r="F6574" s="478"/>
      <c r="G6574" s="243" t="s">
        <v>94</v>
      </c>
      <c r="H6574" s="243" t="str" cm="1">
        <f t="array" ref="H6574">IFERROR(INDEX(INVESTOR_LIST[INVESTOR NAME],MATCH(I6574,INVESTOR_LIST[INVESTOR CODE],0),)," ")</f>
        <v xml:space="preserve"> </v>
      </c>
      <c r="I6574" s="263" t="s">
        <v>348</v>
      </c>
      <c r="J6574" s="244" t="s">
        <v>63</v>
      </c>
      <c r="K6574" s="245"/>
      <c r="L6574" s="245">
        <v>2747.2527472527472</v>
      </c>
    </row>
    <row r="6575" spans="1:13" x14ac:dyDescent="0.2">
      <c r="A6575" s="246">
        <v>2022</v>
      </c>
      <c r="B6575" s="246">
        <v>5</v>
      </c>
      <c r="C6575" s="246">
        <v>19</v>
      </c>
      <c r="D6575" s="270">
        <f t="shared" si="414"/>
        <v>44700</v>
      </c>
      <c r="E6575" s="279">
        <f t="shared" si="415"/>
        <v>44700</v>
      </c>
      <c r="F6575" s="482" t="s">
        <v>137</v>
      </c>
      <c r="G6575" s="247" t="s">
        <v>94</v>
      </c>
      <c r="H6575" s="247" t="str" cm="1">
        <f t="array" ref="H6575">IFERROR(INDEX(INVESTOR_LIST[INVESTOR NAME],MATCH(I6575,INVESTOR_LIST[INVESTOR CODE],0),)," ")</f>
        <v xml:space="preserve"> </v>
      </c>
      <c r="I6575" s="248" t="s">
        <v>348</v>
      </c>
      <c r="J6575" s="249" t="s">
        <v>97</v>
      </c>
      <c r="K6575" s="250">
        <v>85969.807909682917</v>
      </c>
      <c r="L6575" s="252"/>
    </row>
    <row r="6576" spans="1:13" x14ac:dyDescent="0.2">
      <c r="A6576" s="242">
        <v>2022</v>
      </c>
      <c r="B6576" s="242">
        <v>5</v>
      </c>
      <c r="C6576" s="242">
        <v>19</v>
      </c>
      <c r="D6576" s="270">
        <f t="shared" si="414"/>
        <v>44700</v>
      </c>
      <c r="E6576" s="279">
        <f t="shared" si="415"/>
        <v>44700</v>
      </c>
      <c r="F6576" s="478"/>
      <c r="G6576" s="243" t="s">
        <v>94</v>
      </c>
      <c r="H6576" s="243" t="str" cm="1">
        <f t="array" ref="H6576">IFERROR(INDEX(INVESTOR_LIST[INVESTOR NAME],MATCH(I6576,INVESTOR_LIST[INVESTOR CODE],0),)," ")</f>
        <v xml:space="preserve"> </v>
      </c>
      <c r="I6576" s="263" t="s">
        <v>348</v>
      </c>
      <c r="J6576" s="244" t="s">
        <v>47</v>
      </c>
      <c r="K6576" s="245"/>
      <c r="L6576" s="245">
        <v>85969.807909682917</v>
      </c>
    </row>
    <row r="6577" spans="1:12" x14ac:dyDescent="0.2">
      <c r="A6577" s="246">
        <v>2022</v>
      </c>
      <c r="B6577" s="246">
        <v>5</v>
      </c>
      <c r="C6577" s="246">
        <v>19</v>
      </c>
      <c r="D6577" s="270">
        <f t="shared" si="414"/>
        <v>44700</v>
      </c>
      <c r="E6577" s="279">
        <f t="shared" si="415"/>
        <v>44700</v>
      </c>
      <c r="F6577" s="482" t="s">
        <v>138</v>
      </c>
      <c r="G6577" s="247" t="s">
        <v>94</v>
      </c>
      <c r="H6577" s="247" t="str" cm="1">
        <f t="array" ref="H6577">IFERROR(INDEX(INVESTOR_LIST[INVESTOR NAME],MATCH(I6577,INVESTOR_LIST[INVESTOR CODE],0),)," ")</f>
        <v xml:space="preserve"> </v>
      </c>
      <c r="I6577" s="248" t="s">
        <v>348</v>
      </c>
      <c r="J6577" s="249" t="s">
        <v>100</v>
      </c>
      <c r="K6577" s="250">
        <v>4058.1057800995304</v>
      </c>
      <c r="L6577" s="252"/>
    </row>
    <row r="6578" spans="1:12" x14ac:dyDescent="0.2">
      <c r="A6578" s="242">
        <v>2022</v>
      </c>
      <c r="B6578" s="242">
        <v>5</v>
      </c>
      <c r="C6578" s="242">
        <v>19</v>
      </c>
      <c r="D6578" s="270">
        <f t="shared" si="414"/>
        <v>44700</v>
      </c>
      <c r="E6578" s="279">
        <f t="shared" si="415"/>
        <v>44700</v>
      </c>
      <c r="F6578" s="478"/>
      <c r="G6578" s="243" t="s">
        <v>94</v>
      </c>
      <c r="H6578" s="243" t="str" cm="1">
        <f t="array" ref="H6578">IFERROR(INDEX(INVESTOR_LIST[INVESTOR NAME],MATCH(I6578,INVESTOR_LIST[INVESTOR CODE],0),)," ")</f>
        <v xml:space="preserve"> </v>
      </c>
      <c r="I6578" s="263" t="s">
        <v>348</v>
      </c>
      <c r="J6578" s="244" t="s">
        <v>48</v>
      </c>
      <c r="K6578" s="245"/>
      <c r="L6578" s="245">
        <v>4058.1057800995304</v>
      </c>
    </row>
    <row r="6579" spans="1:12" ht="45" x14ac:dyDescent="0.2">
      <c r="A6579" s="168">
        <v>2022</v>
      </c>
      <c r="B6579" s="168">
        <v>5</v>
      </c>
      <c r="C6579" s="133">
        <v>22</v>
      </c>
      <c r="D6579" s="141">
        <f t="shared" si="414"/>
        <v>44703</v>
      </c>
      <c r="E6579" s="275">
        <f t="shared" si="415"/>
        <v>44703</v>
      </c>
      <c r="F6579" s="479" t="s">
        <v>1315</v>
      </c>
      <c r="G6579" s="220" t="s">
        <v>74</v>
      </c>
      <c r="H6579" s="142" t="str" cm="1">
        <f t="array" ref="H6579">IFERROR(INDEX(INVESTOR_LIST[INVESTOR NAME],MATCH(I6579,INVESTOR_LIST[INVESTOR CODE],0),)," ")</f>
        <v>MD. WALID - AL - ZUBAYER</v>
      </c>
      <c r="I6579" s="142" t="s">
        <v>764</v>
      </c>
      <c r="J6579" s="168" t="s">
        <v>13</v>
      </c>
      <c r="K6579" s="226">
        <v>245000</v>
      </c>
      <c r="L6579" s="226"/>
    </row>
    <row r="6580" spans="1:12" ht="45" x14ac:dyDescent="0.2">
      <c r="A6580" s="133">
        <v>2022</v>
      </c>
      <c r="B6580" s="133">
        <v>5</v>
      </c>
      <c r="C6580" s="133">
        <v>22</v>
      </c>
      <c r="D6580" s="141">
        <f t="shared" si="414"/>
        <v>44703</v>
      </c>
      <c r="E6580" s="275">
        <f t="shared" si="415"/>
        <v>44703</v>
      </c>
      <c r="F6580" s="481"/>
      <c r="G6580" s="174" t="s">
        <v>74</v>
      </c>
      <c r="H6580" s="148" t="str" cm="1">
        <f t="array" ref="H6580">IFERROR(INDEX(INVESTOR_LIST[INVESTOR NAME],MATCH(I6580,INVESTOR_LIST[INVESTOR CODE],0),)," ")</f>
        <v>MD. WALID - AL - ZUBAYER</v>
      </c>
      <c r="I6580" s="148" t="s">
        <v>764</v>
      </c>
      <c r="J6580" s="133" t="s">
        <v>53</v>
      </c>
      <c r="K6580" s="218">
        <v>59780</v>
      </c>
      <c r="L6580" s="218"/>
    </row>
    <row r="6581" spans="1:12" ht="45" x14ac:dyDescent="0.2">
      <c r="A6581" s="163">
        <v>2022</v>
      </c>
      <c r="B6581" s="163">
        <v>5</v>
      </c>
      <c r="C6581" s="163">
        <v>22</v>
      </c>
      <c r="D6581" s="141">
        <f t="shared" si="414"/>
        <v>44703</v>
      </c>
      <c r="E6581" s="275">
        <f t="shared" si="415"/>
        <v>44703</v>
      </c>
      <c r="F6581" s="480"/>
      <c r="G6581" s="221" t="s">
        <v>74</v>
      </c>
      <c r="H6581" s="145" t="str" cm="1">
        <f t="array" ref="H6581">IFERROR(INDEX(INVESTOR_LIST[INVESTOR NAME],MATCH(I6581,INVESTOR_LIST[INVESTOR CODE],0),)," ")</f>
        <v>MD. WALID - AL - ZUBAYER</v>
      </c>
      <c r="I6581" s="145" t="s">
        <v>764</v>
      </c>
      <c r="J6581" s="163" t="s">
        <v>52</v>
      </c>
      <c r="K6581" s="219"/>
      <c r="L6581" s="219">
        <v>304780</v>
      </c>
    </row>
    <row r="6582" spans="1:12" x14ac:dyDescent="0.2">
      <c r="A6582" s="133">
        <v>2022</v>
      </c>
      <c r="B6582" s="168">
        <v>5</v>
      </c>
      <c r="C6582" s="168">
        <v>22</v>
      </c>
      <c r="D6582" s="141">
        <f t="shared" si="414"/>
        <v>44703</v>
      </c>
      <c r="E6582" s="275">
        <f t="shared" si="415"/>
        <v>44703</v>
      </c>
      <c r="F6582" s="479" t="s">
        <v>1391</v>
      </c>
      <c r="G6582" s="174" t="s">
        <v>74</v>
      </c>
      <c r="H6582" s="148" t="str" cm="1">
        <f t="array" ref="H6582">IFERROR(INDEX(INVESTOR_LIST[INVESTOR NAME],MATCH(I6582,INVESTOR_LIST[INVESTOR CODE],0),)," ")</f>
        <v xml:space="preserve"> </v>
      </c>
      <c r="I6582" s="148" t="s">
        <v>348</v>
      </c>
      <c r="J6582" s="133" t="s">
        <v>52</v>
      </c>
      <c r="K6582" s="172">
        <v>104167.2</v>
      </c>
    </row>
    <row r="6583" spans="1:12" x14ac:dyDescent="0.2">
      <c r="A6583" s="163">
        <v>2022</v>
      </c>
      <c r="B6583" s="163">
        <v>5</v>
      </c>
      <c r="C6583" s="163">
        <v>22</v>
      </c>
      <c r="D6583" s="141">
        <f t="shared" si="414"/>
        <v>44703</v>
      </c>
      <c r="E6583" s="275">
        <f t="shared" si="415"/>
        <v>44703</v>
      </c>
      <c r="F6583" s="480"/>
      <c r="G6583" s="221" t="s">
        <v>74</v>
      </c>
      <c r="H6583" s="145" t="str" cm="1">
        <f t="array" ref="H6583">IFERROR(INDEX(INVESTOR_LIST[INVESTOR NAME],MATCH(I6583,INVESTOR_LIST[INVESTOR CODE],0),)," ")</f>
        <v xml:space="preserve"> </v>
      </c>
      <c r="I6583" s="145" t="s">
        <v>348</v>
      </c>
      <c r="J6583" s="163" t="s">
        <v>168</v>
      </c>
      <c r="K6583" s="219"/>
      <c r="L6583" s="219">
        <v>104167.2</v>
      </c>
    </row>
    <row r="6584" spans="1:12" x14ac:dyDescent="0.2">
      <c r="A6584" s="133">
        <v>2022</v>
      </c>
      <c r="B6584" s="168">
        <v>5</v>
      </c>
      <c r="C6584" s="168">
        <v>22</v>
      </c>
      <c r="D6584" s="141">
        <f t="shared" si="414"/>
        <v>44703</v>
      </c>
      <c r="E6584" s="275">
        <f t="shared" si="415"/>
        <v>44703</v>
      </c>
      <c r="F6584" s="479" t="s">
        <v>1392</v>
      </c>
      <c r="G6584" s="174" t="s">
        <v>74</v>
      </c>
      <c r="H6584" s="148" t="str" cm="1">
        <f t="array" ref="H6584">IFERROR(INDEX(INVESTOR_LIST[INVESTOR NAME],MATCH(I6584,INVESTOR_LIST[INVESTOR CODE],0),)," ")</f>
        <v xml:space="preserve"> </v>
      </c>
      <c r="I6584" s="148" t="s">
        <v>348</v>
      </c>
      <c r="J6584" s="133" t="s">
        <v>52</v>
      </c>
      <c r="K6584" s="172">
        <v>562500</v>
      </c>
    </row>
    <row r="6585" spans="1:12" x14ac:dyDescent="0.2">
      <c r="A6585" s="163">
        <v>2022</v>
      </c>
      <c r="B6585" s="163">
        <v>5</v>
      </c>
      <c r="C6585" s="163">
        <v>22</v>
      </c>
      <c r="D6585" s="141">
        <f t="shared" si="414"/>
        <v>44703</v>
      </c>
      <c r="E6585" s="275">
        <f t="shared" si="415"/>
        <v>44703</v>
      </c>
      <c r="F6585" s="480"/>
      <c r="G6585" s="221" t="s">
        <v>74</v>
      </c>
      <c r="H6585" s="145" t="str" cm="1">
        <f t="array" ref="H6585">IFERROR(INDEX(INVESTOR_LIST[INVESTOR NAME],MATCH(I6585,INVESTOR_LIST[INVESTOR CODE],0),)," ")</f>
        <v xml:space="preserve"> </v>
      </c>
      <c r="I6585" s="145" t="s">
        <v>348</v>
      </c>
      <c r="J6585" s="163" t="s">
        <v>168</v>
      </c>
      <c r="K6585" s="219"/>
      <c r="L6585" s="219">
        <v>562500</v>
      </c>
    </row>
    <row r="6586" spans="1:12" x14ac:dyDescent="0.2">
      <c r="A6586" s="168">
        <v>2022</v>
      </c>
      <c r="B6586" s="168">
        <v>5</v>
      </c>
      <c r="C6586" s="168">
        <v>22</v>
      </c>
      <c r="D6586" s="141">
        <f>DATE(A6586,B6586,C6586)</f>
        <v>44703</v>
      </c>
      <c r="E6586" s="275">
        <f>DATE(A6586,B6586,C6586)</f>
        <v>44703</v>
      </c>
      <c r="F6586" s="479" t="s">
        <v>1361</v>
      </c>
      <c r="G6586" s="220" t="s">
        <v>74</v>
      </c>
      <c r="H6586" s="220" t="str" cm="1">
        <f t="array" ref="H6586">IFERROR(INDEX(INVESTOR_LIST[INVESTOR NAME],MATCH(I6586,INVESTOR_LIST[INVESTOR CODE],0),)," ")</f>
        <v xml:space="preserve"> </v>
      </c>
      <c r="I6586" s="142" t="s">
        <v>348</v>
      </c>
      <c r="J6586" s="143" t="s">
        <v>52</v>
      </c>
      <c r="K6586" s="226">
        <v>1953672.83</v>
      </c>
      <c r="L6586" s="226"/>
    </row>
    <row r="6587" spans="1:12" x14ac:dyDescent="0.2">
      <c r="A6587" s="163">
        <v>2022</v>
      </c>
      <c r="B6587" s="163">
        <v>5</v>
      </c>
      <c r="C6587" s="163">
        <v>22</v>
      </c>
      <c r="D6587" s="141">
        <f>DATE(A6587,B6587,C6587)</f>
        <v>44703</v>
      </c>
      <c r="E6587" s="275">
        <f>DATE(A6587,B6587,C6587)</f>
        <v>44703</v>
      </c>
      <c r="F6587" s="480"/>
      <c r="G6587" s="221" t="s">
        <v>74</v>
      </c>
      <c r="H6587" s="221" t="str" cm="1">
        <f t="array" ref="H6587">IFERROR(INDEX(INVESTOR_LIST[INVESTOR NAME],MATCH(I6587,INVESTOR_LIST[INVESTOR CODE],0),)," ")</f>
        <v xml:space="preserve"> </v>
      </c>
      <c r="I6587" s="145" t="s">
        <v>348</v>
      </c>
      <c r="J6587" s="146" t="s">
        <v>190</v>
      </c>
      <c r="K6587" s="219"/>
      <c r="L6587" s="219">
        <v>1953672.83</v>
      </c>
    </row>
    <row r="6588" spans="1:12" ht="33.75" x14ac:dyDescent="0.2">
      <c r="A6588" s="168">
        <v>2022</v>
      </c>
      <c r="B6588" s="168">
        <v>5</v>
      </c>
      <c r="C6588" s="133">
        <v>23</v>
      </c>
      <c r="D6588" s="141">
        <f t="shared" si="414"/>
        <v>44704</v>
      </c>
      <c r="E6588" s="275">
        <f t="shared" si="415"/>
        <v>44704</v>
      </c>
      <c r="F6588" s="479" t="s">
        <v>1315</v>
      </c>
      <c r="G6588" s="220" t="s">
        <v>74</v>
      </c>
      <c r="H6588" s="142" t="str" cm="1">
        <f t="array" ref="H6588">IFERROR(INDEX(INVESTOR_LIST[INVESTOR NAME],MATCH(I6588,INVESTOR_LIST[INVESTOR CODE],0),)," ")</f>
        <v>NAUSHEEN AHMED</v>
      </c>
      <c r="I6588" s="142" t="s">
        <v>787</v>
      </c>
      <c r="J6588" s="168" t="s">
        <v>13</v>
      </c>
      <c r="K6588" s="226">
        <v>680000</v>
      </c>
      <c r="L6588" s="226"/>
    </row>
    <row r="6589" spans="1:12" ht="33.75" x14ac:dyDescent="0.2">
      <c r="A6589" s="133">
        <v>2022</v>
      </c>
      <c r="B6589" s="133">
        <v>5</v>
      </c>
      <c r="C6589" s="133">
        <v>23</v>
      </c>
      <c r="D6589" s="141">
        <f t="shared" si="414"/>
        <v>44704</v>
      </c>
      <c r="E6589" s="275">
        <f t="shared" si="415"/>
        <v>44704</v>
      </c>
      <c r="F6589" s="481"/>
      <c r="G6589" s="174" t="s">
        <v>74</v>
      </c>
      <c r="H6589" s="148" t="str" cm="1">
        <f t="array" ref="H6589">IFERROR(INDEX(INVESTOR_LIST[INVESTOR NAME],MATCH(I6589,INVESTOR_LIST[INVESTOR CODE],0),)," ")</f>
        <v>NAUSHEEN AHMED</v>
      </c>
      <c r="I6589" s="148" t="s">
        <v>787</v>
      </c>
      <c r="J6589" s="133" t="s">
        <v>53</v>
      </c>
      <c r="K6589" s="218">
        <v>165920</v>
      </c>
      <c r="L6589" s="218"/>
    </row>
    <row r="6590" spans="1:12" ht="33.75" x14ac:dyDescent="0.2">
      <c r="A6590" s="163">
        <v>2022</v>
      </c>
      <c r="B6590" s="163">
        <v>5</v>
      </c>
      <c r="C6590" s="163">
        <v>23</v>
      </c>
      <c r="D6590" s="141">
        <f t="shared" si="414"/>
        <v>44704</v>
      </c>
      <c r="E6590" s="275">
        <f t="shared" si="415"/>
        <v>44704</v>
      </c>
      <c r="F6590" s="480"/>
      <c r="G6590" s="221" t="s">
        <v>74</v>
      </c>
      <c r="H6590" s="145" t="str" cm="1">
        <f t="array" ref="H6590">IFERROR(INDEX(INVESTOR_LIST[INVESTOR NAME],MATCH(I6590,INVESTOR_LIST[INVESTOR CODE],0),)," ")</f>
        <v>NAUSHEEN AHMED</v>
      </c>
      <c r="I6590" s="145" t="s">
        <v>787</v>
      </c>
      <c r="J6590" s="163" t="s">
        <v>52</v>
      </c>
      <c r="K6590" s="219"/>
      <c r="L6590" s="219">
        <v>845920</v>
      </c>
    </row>
    <row r="6591" spans="1:12" ht="45" x14ac:dyDescent="0.2">
      <c r="A6591" s="168">
        <v>2022</v>
      </c>
      <c r="B6591" s="168">
        <v>5</v>
      </c>
      <c r="C6591" s="133">
        <v>23</v>
      </c>
      <c r="D6591" s="141">
        <f t="shared" ref="D6591:D6601" si="416">DATE(A6591,B6591,C6591)</f>
        <v>44704</v>
      </c>
      <c r="E6591" s="275">
        <f t="shared" ref="E6591:E6601" si="417">DATE(A6591,B6591,C6591)</f>
        <v>44704</v>
      </c>
      <c r="F6591" s="479" t="s">
        <v>1315</v>
      </c>
      <c r="G6591" s="220" t="s">
        <v>74</v>
      </c>
      <c r="H6591" s="142" t="str" cm="1">
        <f t="array" ref="H6591">IFERROR(INDEX(INVESTOR_LIST[INVESTOR NAME],MATCH(I6591,INVESTOR_LIST[INVESTOR CODE],0),)," ")</f>
        <v>SAMMIR BIN DELOWER</v>
      </c>
      <c r="I6591" s="142" t="s">
        <v>899</v>
      </c>
      <c r="J6591" s="168" t="s">
        <v>13</v>
      </c>
      <c r="K6591" s="226">
        <v>159380</v>
      </c>
      <c r="L6591" s="226"/>
    </row>
    <row r="6592" spans="1:12" ht="45" x14ac:dyDescent="0.2">
      <c r="A6592" s="133">
        <v>2022</v>
      </c>
      <c r="B6592" s="133">
        <v>5</v>
      </c>
      <c r="C6592" s="133">
        <v>23</v>
      </c>
      <c r="D6592" s="141">
        <f t="shared" si="416"/>
        <v>44704</v>
      </c>
      <c r="E6592" s="275">
        <f t="shared" si="417"/>
        <v>44704</v>
      </c>
      <c r="F6592" s="481"/>
      <c r="G6592" s="174" t="s">
        <v>74</v>
      </c>
      <c r="H6592" s="148" t="str" cm="1">
        <f t="array" ref="H6592">IFERROR(INDEX(INVESTOR_LIST[INVESTOR NAME],MATCH(I6592,INVESTOR_LIST[INVESTOR CODE],0),)," ")</f>
        <v>SAMMIR BIN DELOWER</v>
      </c>
      <c r="I6592" s="148" t="s">
        <v>899</v>
      </c>
      <c r="J6592" s="133" t="s">
        <v>53</v>
      </c>
      <c r="K6592" s="218">
        <v>38888.720000000001</v>
      </c>
      <c r="L6592" s="218"/>
    </row>
    <row r="6593" spans="1:12" ht="45" x14ac:dyDescent="0.2">
      <c r="A6593" s="163">
        <v>2022</v>
      </c>
      <c r="B6593" s="163">
        <v>5</v>
      </c>
      <c r="C6593" s="163">
        <v>23</v>
      </c>
      <c r="D6593" s="141">
        <f t="shared" si="416"/>
        <v>44704</v>
      </c>
      <c r="E6593" s="275">
        <f t="shared" si="417"/>
        <v>44704</v>
      </c>
      <c r="F6593" s="480"/>
      <c r="G6593" s="221" t="s">
        <v>74</v>
      </c>
      <c r="H6593" s="145" t="str" cm="1">
        <f t="array" ref="H6593">IFERROR(INDEX(INVESTOR_LIST[INVESTOR NAME],MATCH(I6593,INVESTOR_LIST[INVESTOR CODE],0),)," ")</f>
        <v>SAMMIR BIN DELOWER</v>
      </c>
      <c r="I6593" s="145" t="s">
        <v>899</v>
      </c>
      <c r="J6593" s="163" t="s">
        <v>52</v>
      </c>
      <c r="K6593" s="219"/>
      <c r="L6593" s="219">
        <v>198268.72</v>
      </c>
    </row>
    <row r="6594" spans="1:12" ht="33.75" x14ac:dyDescent="0.2">
      <c r="A6594" s="168">
        <v>2022</v>
      </c>
      <c r="B6594" s="168">
        <v>5</v>
      </c>
      <c r="C6594" s="133">
        <v>23</v>
      </c>
      <c r="D6594" s="141">
        <f t="shared" si="416"/>
        <v>44704</v>
      </c>
      <c r="E6594" s="275">
        <f t="shared" si="417"/>
        <v>44704</v>
      </c>
      <c r="F6594" s="479" t="s">
        <v>1315</v>
      </c>
      <c r="G6594" s="220" t="s">
        <v>74</v>
      </c>
      <c r="H6594" s="142" t="str" cm="1">
        <f t="array" ref="H6594">IFERROR(INDEX(INVESTOR_LIST[INVESTOR NAME],MATCH(I6594,INVESTOR_LIST[INVESTOR CODE],0),)," ")</f>
        <v>ASHIT BARAN SAHA</v>
      </c>
      <c r="I6594" s="142" t="s">
        <v>442</v>
      </c>
      <c r="J6594" s="168" t="s">
        <v>13</v>
      </c>
      <c r="K6594" s="226">
        <v>995930</v>
      </c>
      <c r="L6594" s="226"/>
    </row>
    <row r="6595" spans="1:12" ht="33.75" x14ac:dyDescent="0.2">
      <c r="A6595" s="133">
        <v>2022</v>
      </c>
      <c r="B6595" s="133">
        <v>5</v>
      </c>
      <c r="C6595" s="133">
        <v>23</v>
      </c>
      <c r="D6595" s="141">
        <f t="shared" si="416"/>
        <v>44704</v>
      </c>
      <c r="E6595" s="275">
        <f t="shared" si="417"/>
        <v>44704</v>
      </c>
      <c r="F6595" s="481"/>
      <c r="G6595" s="174" t="s">
        <v>74</v>
      </c>
      <c r="H6595" s="148" t="str" cm="1">
        <f t="array" ref="H6595">IFERROR(INDEX(INVESTOR_LIST[INVESTOR NAME],MATCH(I6595,INVESTOR_LIST[INVESTOR CODE],0),)," ")</f>
        <v>ASHIT BARAN SAHA</v>
      </c>
      <c r="I6595" s="148" t="s">
        <v>442</v>
      </c>
      <c r="J6595" s="133" t="s">
        <v>53</v>
      </c>
      <c r="K6595" s="218">
        <v>243006.92</v>
      </c>
      <c r="L6595" s="218"/>
    </row>
    <row r="6596" spans="1:12" ht="33.75" x14ac:dyDescent="0.2">
      <c r="A6596" s="163">
        <v>2022</v>
      </c>
      <c r="B6596" s="163">
        <v>5</v>
      </c>
      <c r="C6596" s="163">
        <v>23</v>
      </c>
      <c r="D6596" s="141">
        <f t="shared" si="416"/>
        <v>44704</v>
      </c>
      <c r="E6596" s="275">
        <f t="shared" si="417"/>
        <v>44704</v>
      </c>
      <c r="F6596" s="480"/>
      <c r="G6596" s="221" t="s">
        <v>74</v>
      </c>
      <c r="H6596" s="145" t="str" cm="1">
        <f t="array" ref="H6596">IFERROR(INDEX(INVESTOR_LIST[INVESTOR NAME],MATCH(I6596,INVESTOR_LIST[INVESTOR CODE],0),)," ")</f>
        <v>ASHIT BARAN SAHA</v>
      </c>
      <c r="I6596" s="145" t="s">
        <v>442</v>
      </c>
      <c r="J6596" s="163" t="s">
        <v>52</v>
      </c>
      <c r="K6596" s="219"/>
      <c r="L6596" s="219">
        <v>1238936.92</v>
      </c>
    </row>
    <row r="6597" spans="1:12" ht="33.75" x14ac:dyDescent="0.2">
      <c r="A6597" s="168">
        <v>2022</v>
      </c>
      <c r="B6597" s="168">
        <v>5</v>
      </c>
      <c r="C6597" s="133">
        <v>23</v>
      </c>
      <c r="D6597" s="141">
        <f t="shared" si="416"/>
        <v>44704</v>
      </c>
      <c r="E6597" s="275">
        <f t="shared" si="417"/>
        <v>44704</v>
      </c>
      <c r="F6597" s="479" t="s">
        <v>1315</v>
      </c>
      <c r="G6597" s="220" t="s">
        <v>74</v>
      </c>
      <c r="H6597" s="142" t="str" cm="1">
        <f t="array" ref="H6597">IFERROR(INDEX(INVESTOR_LIST[INVESTOR NAME],MATCH(I6597,INVESTOR_LIST[INVESTOR CODE],0),)," ")</f>
        <v>JOY SHREE SAHA</v>
      </c>
      <c r="I6597" s="142" t="s">
        <v>777</v>
      </c>
      <c r="J6597" s="168" t="s">
        <v>13</v>
      </c>
      <c r="K6597" s="226">
        <v>995930</v>
      </c>
      <c r="L6597" s="226"/>
    </row>
    <row r="6598" spans="1:12" ht="33.75" x14ac:dyDescent="0.2">
      <c r="A6598" s="133">
        <v>2022</v>
      </c>
      <c r="B6598" s="133">
        <v>5</v>
      </c>
      <c r="C6598" s="133">
        <v>23</v>
      </c>
      <c r="D6598" s="141">
        <f t="shared" si="416"/>
        <v>44704</v>
      </c>
      <c r="E6598" s="275">
        <f t="shared" si="417"/>
        <v>44704</v>
      </c>
      <c r="F6598" s="481"/>
      <c r="G6598" s="174" t="s">
        <v>74</v>
      </c>
      <c r="H6598" s="148" t="str" cm="1">
        <f t="array" ref="H6598">IFERROR(INDEX(INVESTOR_LIST[INVESTOR NAME],MATCH(I6598,INVESTOR_LIST[INVESTOR CODE],0),)," ")</f>
        <v>JOY SHREE SAHA</v>
      </c>
      <c r="I6598" s="148" t="s">
        <v>777</v>
      </c>
      <c r="J6598" s="133" t="s">
        <v>53</v>
      </c>
      <c r="K6598" s="218">
        <v>243006.92</v>
      </c>
      <c r="L6598" s="218"/>
    </row>
    <row r="6599" spans="1:12" ht="33.75" x14ac:dyDescent="0.2">
      <c r="A6599" s="163">
        <v>2022</v>
      </c>
      <c r="B6599" s="163">
        <v>5</v>
      </c>
      <c r="C6599" s="163">
        <v>23</v>
      </c>
      <c r="D6599" s="141">
        <f t="shared" si="416"/>
        <v>44704</v>
      </c>
      <c r="E6599" s="275">
        <f t="shared" si="417"/>
        <v>44704</v>
      </c>
      <c r="F6599" s="480"/>
      <c r="G6599" s="221" t="s">
        <v>74</v>
      </c>
      <c r="H6599" s="145" t="str" cm="1">
        <f t="array" ref="H6599">IFERROR(INDEX(INVESTOR_LIST[INVESTOR NAME],MATCH(I6599,INVESTOR_LIST[INVESTOR CODE],0),)," ")</f>
        <v>JOY SHREE SAHA</v>
      </c>
      <c r="I6599" s="145" t="s">
        <v>777</v>
      </c>
      <c r="J6599" s="163" t="s">
        <v>52</v>
      </c>
      <c r="K6599" s="219"/>
      <c r="L6599" s="219">
        <v>1238936.92</v>
      </c>
    </row>
    <row r="6600" spans="1:12" x14ac:dyDescent="0.2">
      <c r="A6600" s="133">
        <v>2022</v>
      </c>
      <c r="B6600" s="133">
        <v>5</v>
      </c>
      <c r="C6600" s="168">
        <v>23</v>
      </c>
      <c r="D6600" s="141">
        <f t="shared" si="416"/>
        <v>44704</v>
      </c>
      <c r="E6600" s="275">
        <f t="shared" si="417"/>
        <v>44704</v>
      </c>
      <c r="F6600" s="479" t="s">
        <v>1396</v>
      </c>
      <c r="G6600" s="174" t="s">
        <v>74</v>
      </c>
      <c r="H6600" s="148" t="str" cm="1">
        <f t="array" ref="H6600">IFERROR(INDEX(INVESTOR_LIST[INVESTOR NAME],MATCH(I6600,INVESTOR_LIST[INVESTOR CODE],0),)," ")</f>
        <v xml:space="preserve"> </v>
      </c>
      <c r="I6600" s="148" t="s">
        <v>348</v>
      </c>
      <c r="J6600" s="133" t="s">
        <v>52</v>
      </c>
      <c r="K6600" s="172">
        <v>295500</v>
      </c>
    </row>
    <row r="6601" spans="1:12" x14ac:dyDescent="0.2">
      <c r="A6601" s="163">
        <v>2022</v>
      </c>
      <c r="B6601" s="163">
        <v>5</v>
      </c>
      <c r="C6601" s="163">
        <v>23</v>
      </c>
      <c r="D6601" s="141">
        <f t="shared" si="416"/>
        <v>44704</v>
      </c>
      <c r="E6601" s="275">
        <f t="shared" si="417"/>
        <v>44704</v>
      </c>
      <c r="F6601" s="480"/>
      <c r="G6601" s="221" t="s">
        <v>74</v>
      </c>
      <c r="H6601" s="145" t="str" cm="1">
        <f t="array" ref="H6601">IFERROR(INDEX(INVESTOR_LIST[INVESTOR NAME],MATCH(I6601,INVESTOR_LIST[INVESTOR CODE],0),)," ")</f>
        <v xml:space="preserve"> </v>
      </c>
      <c r="I6601" s="145" t="s">
        <v>348</v>
      </c>
      <c r="J6601" s="163" t="s">
        <v>168</v>
      </c>
      <c r="K6601" s="219"/>
      <c r="L6601" s="219">
        <v>295500</v>
      </c>
    </row>
    <row r="6602" spans="1:12" x14ac:dyDescent="0.2">
      <c r="A6602" s="133">
        <v>2022</v>
      </c>
      <c r="B6602" s="133">
        <v>5</v>
      </c>
      <c r="C6602" s="133">
        <v>24</v>
      </c>
      <c r="D6602" s="141">
        <f t="shared" ref="D6602:D6606" si="418">DATE(A6602,B6602,C6602)</f>
        <v>44705</v>
      </c>
      <c r="E6602" s="275">
        <f t="shared" ref="E6602:E6606" si="419">DATE(A6602,B6602,C6602)</f>
        <v>44705</v>
      </c>
      <c r="F6602" s="481" t="s">
        <v>1379</v>
      </c>
      <c r="G6602" s="174" t="s">
        <v>94</v>
      </c>
      <c r="H6602" s="174" t="str" cm="1">
        <f t="array" ref="H6602">IFERROR(INDEX(INVESTOR_LIST[INVESTOR NAME],MATCH(I6602,INVESTOR_LIST[INVESTOR CODE],0),)," ")</f>
        <v xml:space="preserve"> </v>
      </c>
      <c r="J6602" s="149" t="s">
        <v>79</v>
      </c>
      <c r="K6602" s="218">
        <v>1032500</v>
      </c>
      <c r="L6602" s="218"/>
    </row>
    <row r="6603" spans="1:12" x14ac:dyDescent="0.2">
      <c r="A6603" s="133">
        <v>2022</v>
      </c>
      <c r="B6603" s="133">
        <v>5</v>
      </c>
      <c r="C6603" s="133">
        <v>24</v>
      </c>
      <c r="D6603" s="141">
        <f t="shared" si="418"/>
        <v>44705</v>
      </c>
      <c r="E6603" s="275">
        <f t="shared" si="419"/>
        <v>44705</v>
      </c>
      <c r="F6603" s="481"/>
      <c r="G6603" s="174" t="s">
        <v>94</v>
      </c>
      <c r="H6603" s="174"/>
      <c r="J6603" s="149" t="s">
        <v>80</v>
      </c>
      <c r="K6603" s="218">
        <v>4296.21</v>
      </c>
      <c r="L6603" s="218"/>
    </row>
    <row r="6604" spans="1:12" x14ac:dyDescent="0.2">
      <c r="A6604" s="133">
        <v>2022</v>
      </c>
      <c r="B6604" s="133">
        <v>5</v>
      </c>
      <c r="C6604" s="133">
        <v>24</v>
      </c>
      <c r="D6604" s="141">
        <f t="shared" si="418"/>
        <v>44705</v>
      </c>
      <c r="E6604" s="275">
        <f t="shared" si="419"/>
        <v>44705</v>
      </c>
      <c r="F6604" s="481"/>
      <c r="G6604" s="174" t="s">
        <v>94</v>
      </c>
      <c r="H6604" s="174"/>
      <c r="J6604" s="149" t="s">
        <v>190</v>
      </c>
      <c r="K6604" s="218">
        <v>317488.28999999998</v>
      </c>
      <c r="L6604" s="218"/>
    </row>
    <row r="6605" spans="1:12" x14ac:dyDescent="0.2">
      <c r="A6605" s="133">
        <v>2022</v>
      </c>
      <c r="B6605" s="133">
        <v>5</v>
      </c>
      <c r="C6605" s="133">
        <v>24</v>
      </c>
      <c r="D6605" s="141">
        <f t="shared" si="418"/>
        <v>44705</v>
      </c>
      <c r="E6605" s="275">
        <f t="shared" si="419"/>
        <v>44705</v>
      </c>
      <c r="F6605" s="481"/>
      <c r="G6605" s="174" t="s">
        <v>94</v>
      </c>
      <c r="H6605" s="174" t="str" cm="1">
        <f t="array" ref="H6605">IFERROR(INDEX(INVESTOR_LIST[INVESTOR NAME],MATCH(I6605,INVESTOR_LIST[INVESTOR CODE],0),)," ")</f>
        <v xml:space="preserve"> </v>
      </c>
      <c r="J6605" s="149" t="s">
        <v>191</v>
      </c>
      <c r="K6605" s="218"/>
      <c r="L6605" s="218">
        <v>134086.93</v>
      </c>
    </row>
    <row r="6606" spans="1:12" x14ac:dyDescent="0.2">
      <c r="A6606" s="163">
        <v>2022</v>
      </c>
      <c r="B6606" s="163">
        <v>5</v>
      </c>
      <c r="C6606" s="163">
        <v>24</v>
      </c>
      <c r="D6606" s="280">
        <f t="shared" si="418"/>
        <v>44705</v>
      </c>
      <c r="E6606" s="281">
        <f t="shared" si="419"/>
        <v>44705</v>
      </c>
      <c r="F6606" s="480"/>
      <c r="G6606" s="221" t="s">
        <v>94</v>
      </c>
      <c r="H6606" s="145" t="str" cm="1">
        <f t="array" ref="H6606">IFERROR(INDEX(INVESTOR_LIST[INVESTOR NAME],MATCH(I6606,INVESTOR_LIST[INVESTOR CODE],0),)," ")</f>
        <v xml:space="preserve"> </v>
      </c>
      <c r="I6606" s="145"/>
      <c r="J6606" s="163" t="s">
        <v>79</v>
      </c>
      <c r="K6606" s="219"/>
      <c r="L6606" s="219">
        <v>1220197.57</v>
      </c>
    </row>
    <row r="6607" spans="1:12" x14ac:dyDescent="0.2">
      <c r="A6607" s="168">
        <v>2022</v>
      </c>
      <c r="B6607" s="168">
        <v>5</v>
      </c>
      <c r="C6607" s="168">
        <v>24</v>
      </c>
      <c r="D6607" s="141">
        <f>DATE(A6607,B6607,C6607)</f>
        <v>44705</v>
      </c>
      <c r="E6607" s="275">
        <f>DATE(A6607,B6607,C6607)</f>
        <v>44705</v>
      </c>
      <c r="F6607" s="479" t="s">
        <v>1361</v>
      </c>
      <c r="G6607" s="220" t="s">
        <v>74</v>
      </c>
      <c r="H6607" s="220" t="str" cm="1">
        <f t="array" ref="H6607">IFERROR(INDEX(INVESTOR_LIST[INVESTOR NAME],MATCH(I6607,INVESTOR_LIST[INVESTOR CODE],0),)," ")</f>
        <v xml:space="preserve"> </v>
      </c>
      <c r="I6607" s="142" t="s">
        <v>348</v>
      </c>
      <c r="J6607" s="143" t="s">
        <v>52</v>
      </c>
      <c r="K6607" s="226">
        <v>589465.61</v>
      </c>
      <c r="L6607" s="226"/>
    </row>
    <row r="6608" spans="1:12" x14ac:dyDescent="0.2">
      <c r="A6608" s="163">
        <v>2022</v>
      </c>
      <c r="B6608" s="163">
        <v>5</v>
      </c>
      <c r="C6608" s="163">
        <v>24</v>
      </c>
      <c r="D6608" s="141">
        <f>DATE(A6608,B6608,C6608)</f>
        <v>44705</v>
      </c>
      <c r="E6608" s="275">
        <f>DATE(A6608,B6608,C6608)</f>
        <v>44705</v>
      </c>
      <c r="F6608" s="480"/>
      <c r="G6608" s="221" t="s">
        <v>74</v>
      </c>
      <c r="H6608" s="221" t="str" cm="1">
        <f t="array" ref="H6608">IFERROR(INDEX(INVESTOR_LIST[INVESTOR NAME],MATCH(I6608,INVESTOR_LIST[INVESTOR CODE],0),)," ")</f>
        <v xml:space="preserve"> </v>
      </c>
      <c r="I6608" s="145" t="s">
        <v>348</v>
      </c>
      <c r="J6608" s="146" t="s">
        <v>190</v>
      </c>
      <c r="K6608" s="219"/>
      <c r="L6608" s="219">
        <v>589465.61</v>
      </c>
    </row>
    <row r="6609" spans="1:15" ht="22.5" x14ac:dyDescent="0.2">
      <c r="A6609" s="168">
        <v>2022</v>
      </c>
      <c r="B6609" s="168">
        <v>5</v>
      </c>
      <c r="C6609" s="133">
        <v>25</v>
      </c>
      <c r="D6609" s="141">
        <f t="shared" ref="D6609:D6617" si="420">DATE(A6609,B6609,C6609)</f>
        <v>44706</v>
      </c>
      <c r="E6609" s="275">
        <f t="shared" ref="E6609:E6617" si="421">DATE(A6609,B6609,C6609)</f>
        <v>44706</v>
      </c>
      <c r="F6609" s="479" t="s">
        <v>1315</v>
      </c>
      <c r="G6609" s="220" t="s">
        <v>74</v>
      </c>
      <c r="H6609" s="142" t="str" cm="1">
        <f t="array" ref="H6609">IFERROR(INDEX(INVESTOR_LIST[INVESTOR NAME],MATCH(I6609,INVESTOR_LIST[INVESTOR CODE],0),)," ")</f>
        <v>MINHAJ UDDIN</v>
      </c>
      <c r="I6609" s="142" t="s">
        <v>390</v>
      </c>
      <c r="J6609" s="168" t="s">
        <v>13</v>
      </c>
      <c r="K6609" s="226">
        <v>276590</v>
      </c>
      <c r="L6609" s="226"/>
    </row>
    <row r="6610" spans="1:15" ht="22.5" x14ac:dyDescent="0.2">
      <c r="A6610" s="133">
        <v>2022</v>
      </c>
      <c r="B6610" s="133">
        <v>5</v>
      </c>
      <c r="C6610" s="133">
        <v>25</v>
      </c>
      <c r="D6610" s="141">
        <f t="shared" si="420"/>
        <v>44706</v>
      </c>
      <c r="E6610" s="275">
        <f t="shared" si="421"/>
        <v>44706</v>
      </c>
      <c r="F6610" s="481"/>
      <c r="G6610" s="174" t="s">
        <v>74</v>
      </c>
      <c r="H6610" s="148" t="str" cm="1">
        <f t="array" ref="H6610">IFERROR(INDEX(INVESTOR_LIST[INVESTOR NAME],MATCH(I6610,INVESTOR_LIST[INVESTOR CODE],0),)," ")</f>
        <v>MINHAJ UDDIN</v>
      </c>
      <c r="I6610" s="148" t="s">
        <v>390</v>
      </c>
      <c r="J6610" s="133" t="s">
        <v>53</v>
      </c>
      <c r="K6610" s="218">
        <v>67487.960000000006</v>
      </c>
      <c r="L6610" s="218"/>
    </row>
    <row r="6611" spans="1:15" ht="22.5" x14ac:dyDescent="0.2">
      <c r="A6611" s="163">
        <v>2022</v>
      </c>
      <c r="B6611" s="163">
        <v>5</v>
      </c>
      <c r="C6611" s="163">
        <v>25</v>
      </c>
      <c r="D6611" s="141">
        <f t="shared" si="420"/>
        <v>44706</v>
      </c>
      <c r="E6611" s="275">
        <f t="shared" si="421"/>
        <v>44706</v>
      </c>
      <c r="F6611" s="480"/>
      <c r="G6611" s="221" t="s">
        <v>74</v>
      </c>
      <c r="H6611" s="145" t="str" cm="1">
        <f t="array" ref="H6611">IFERROR(INDEX(INVESTOR_LIST[INVESTOR NAME],MATCH(I6611,INVESTOR_LIST[INVESTOR CODE],0),)," ")</f>
        <v>MINHAJ UDDIN</v>
      </c>
      <c r="I6611" s="145" t="s">
        <v>390</v>
      </c>
      <c r="J6611" s="163" t="s">
        <v>52</v>
      </c>
      <c r="K6611" s="219"/>
      <c r="L6611" s="219">
        <v>344077.96</v>
      </c>
      <c r="O6611" s="160"/>
    </row>
    <row r="6612" spans="1:15" x14ac:dyDescent="0.2">
      <c r="A6612" s="168">
        <v>2022</v>
      </c>
      <c r="B6612" s="168">
        <v>5</v>
      </c>
      <c r="C6612" s="133">
        <v>25</v>
      </c>
      <c r="D6612" s="141">
        <f t="shared" si="420"/>
        <v>44706</v>
      </c>
      <c r="E6612" s="275">
        <f t="shared" si="421"/>
        <v>44706</v>
      </c>
      <c r="F6612" s="479" t="s">
        <v>1394</v>
      </c>
      <c r="G6612" s="220" t="s">
        <v>74</v>
      </c>
      <c r="H6612" s="220" t="str" cm="1">
        <f t="array" ref="H6612">IFERROR(INDEX(INVESTOR_LIST[INVESTOR NAME],MATCH(I6612,INVESTOR_LIST[INVESTOR CODE],0),)," ")</f>
        <v xml:space="preserve"> </v>
      </c>
      <c r="I6612" s="142" t="s">
        <v>348</v>
      </c>
      <c r="J6612" s="143" t="s">
        <v>79</v>
      </c>
      <c r="K6612" s="226">
        <v>73110</v>
      </c>
      <c r="L6612" s="226"/>
      <c r="M6612" s="160"/>
      <c r="O6612" s="160"/>
    </row>
    <row r="6613" spans="1:15" x14ac:dyDescent="0.2">
      <c r="A6613" s="133">
        <v>2022</v>
      </c>
      <c r="B6613" s="133">
        <v>5</v>
      </c>
      <c r="C6613" s="133">
        <v>25</v>
      </c>
      <c r="D6613" s="141">
        <f t="shared" si="420"/>
        <v>44706</v>
      </c>
      <c r="E6613" s="275">
        <f t="shared" si="421"/>
        <v>44706</v>
      </c>
      <c r="F6613" s="481"/>
      <c r="G6613" s="174" t="s">
        <v>74</v>
      </c>
      <c r="H6613" s="174" t="str" cm="1">
        <f t="array" ref="H6613">IFERROR(INDEX(INVESTOR_LIST[INVESTOR NAME],MATCH(I6613,INVESTOR_LIST[INVESTOR CODE],0),)," ")</f>
        <v xml:space="preserve"> </v>
      </c>
      <c r="I6613" s="148" t="s">
        <v>348</v>
      </c>
      <c r="J6613" s="149" t="s">
        <v>52</v>
      </c>
      <c r="K6613" s="218">
        <v>606890</v>
      </c>
      <c r="L6613" s="218"/>
      <c r="M6613" s="160"/>
    </row>
    <row r="6614" spans="1:15" x14ac:dyDescent="0.2">
      <c r="A6614" s="163">
        <v>2022</v>
      </c>
      <c r="B6614" s="163">
        <v>5</v>
      </c>
      <c r="C6614" s="163">
        <v>25</v>
      </c>
      <c r="D6614" s="141">
        <f t="shared" si="420"/>
        <v>44706</v>
      </c>
      <c r="E6614" s="275">
        <f t="shared" si="421"/>
        <v>44706</v>
      </c>
      <c r="F6614" s="480"/>
      <c r="G6614" s="221" t="s">
        <v>74</v>
      </c>
      <c r="H6614" s="221" t="str" cm="1">
        <f t="array" ref="H6614">IFERROR(INDEX(INVESTOR_LIST[INVESTOR NAME],MATCH(I6614,INVESTOR_LIST[INVESTOR CODE],0),)," ")</f>
        <v xml:space="preserve"> </v>
      </c>
      <c r="I6614" s="145" t="s">
        <v>348</v>
      </c>
      <c r="J6614" s="146" t="s">
        <v>184</v>
      </c>
      <c r="K6614" s="219"/>
      <c r="L6614" s="219">
        <v>680000</v>
      </c>
    </row>
    <row r="6615" spans="1:15" x14ac:dyDescent="0.2">
      <c r="A6615" s="168">
        <v>2022</v>
      </c>
      <c r="B6615" s="168">
        <v>5</v>
      </c>
      <c r="C6615" s="133">
        <v>25</v>
      </c>
      <c r="D6615" s="141">
        <f t="shared" si="420"/>
        <v>44706</v>
      </c>
      <c r="E6615" s="275">
        <f t="shared" si="421"/>
        <v>44706</v>
      </c>
      <c r="F6615" s="479" t="s">
        <v>1395</v>
      </c>
      <c r="G6615" s="220" t="s">
        <v>74</v>
      </c>
      <c r="H6615" s="220" t="str" cm="1">
        <f t="array" ref="H6615">IFERROR(INDEX(INVESTOR_LIST[INVESTOR NAME],MATCH(I6615,INVESTOR_LIST[INVESTOR CODE],0),)," ")</f>
        <v xml:space="preserve"> </v>
      </c>
      <c r="I6615" s="142" t="s">
        <v>348</v>
      </c>
      <c r="J6615" s="143" t="s">
        <v>184</v>
      </c>
      <c r="K6615" s="226">
        <v>12000000</v>
      </c>
      <c r="L6615" s="226"/>
    </row>
    <row r="6616" spans="1:15" x14ac:dyDescent="0.2">
      <c r="A6616" s="133">
        <v>2022</v>
      </c>
      <c r="B6616" s="133">
        <v>5</v>
      </c>
      <c r="C6616" s="133">
        <v>25</v>
      </c>
      <c r="D6616" s="141">
        <f t="shared" si="420"/>
        <v>44706</v>
      </c>
      <c r="E6616" s="275">
        <f t="shared" si="421"/>
        <v>44706</v>
      </c>
      <c r="F6616" s="481"/>
      <c r="G6616" s="174" t="s">
        <v>74</v>
      </c>
      <c r="H6616" s="174" t="str" cm="1">
        <f t="array" ref="H6616">IFERROR(INDEX(INVESTOR_LIST[INVESTOR NAME],MATCH(I6616,INVESTOR_LIST[INVESTOR CODE],0),)," ")</f>
        <v xml:space="preserve"> </v>
      </c>
      <c r="I6616" s="148" t="s">
        <v>348</v>
      </c>
      <c r="J6616" s="149" t="s">
        <v>61</v>
      </c>
      <c r="K6616" s="218">
        <v>115</v>
      </c>
      <c r="L6616" s="218"/>
    </row>
    <row r="6617" spans="1:15" x14ac:dyDescent="0.2">
      <c r="A6617" s="163">
        <v>2022</v>
      </c>
      <c r="B6617" s="163">
        <v>5</v>
      </c>
      <c r="C6617" s="163">
        <v>25</v>
      </c>
      <c r="D6617" s="141">
        <f t="shared" si="420"/>
        <v>44706</v>
      </c>
      <c r="E6617" s="275">
        <f t="shared" si="421"/>
        <v>44706</v>
      </c>
      <c r="F6617" s="480"/>
      <c r="G6617" s="221" t="s">
        <v>74</v>
      </c>
      <c r="H6617" s="221" t="str" cm="1">
        <f t="array" ref="H6617">IFERROR(INDEX(INVESTOR_LIST[INVESTOR NAME],MATCH(I6617,INVESTOR_LIST[INVESTOR CODE],0),)," ")</f>
        <v xml:space="preserve"> </v>
      </c>
      <c r="I6617" s="145" t="s">
        <v>348</v>
      </c>
      <c r="J6617" s="146" t="s">
        <v>52</v>
      </c>
      <c r="K6617" s="219"/>
      <c r="L6617" s="219">
        <v>12000115</v>
      </c>
    </row>
    <row r="6618" spans="1:15" ht="22.5" x14ac:dyDescent="0.2">
      <c r="A6618" s="168">
        <v>2022</v>
      </c>
      <c r="B6618" s="168">
        <v>5</v>
      </c>
      <c r="C6618" s="133">
        <v>26</v>
      </c>
      <c r="D6618" s="141">
        <f t="shared" ref="D6618:D6622" si="422">DATE(A6618,B6618,C6618)</f>
        <v>44707</v>
      </c>
      <c r="E6618" s="275">
        <f t="shared" ref="E6618:E6622" si="423">DATE(A6618,B6618,C6618)</f>
        <v>44707</v>
      </c>
      <c r="F6618" s="479" t="s">
        <v>1370</v>
      </c>
      <c r="G6618" s="220" t="s">
        <v>74</v>
      </c>
      <c r="H6618" s="142" t="str" cm="1">
        <f t="array" ref="H6618">IFERROR(INDEX(INVESTOR_LIST[INVESTOR NAME],MATCH(I6618,INVESTOR_LIST[INVESTOR CODE],0),)," ")</f>
        <v>FAHMIDA KHAN</v>
      </c>
      <c r="I6618" s="142" t="s">
        <v>617</v>
      </c>
      <c r="J6618" s="168" t="s">
        <v>13</v>
      </c>
      <c r="K6618" s="226">
        <v>159220</v>
      </c>
      <c r="L6618" s="226"/>
    </row>
    <row r="6619" spans="1:15" ht="22.5" x14ac:dyDescent="0.2">
      <c r="A6619" s="133">
        <v>2022</v>
      </c>
      <c r="B6619" s="133">
        <v>5</v>
      </c>
      <c r="C6619" s="133">
        <v>26</v>
      </c>
      <c r="D6619" s="141">
        <f t="shared" si="422"/>
        <v>44707</v>
      </c>
      <c r="E6619" s="275">
        <f t="shared" si="423"/>
        <v>44707</v>
      </c>
      <c r="F6619" s="481"/>
      <c r="G6619" s="174" t="s">
        <v>74</v>
      </c>
      <c r="H6619" s="148" t="str" cm="1">
        <f t="array" ref="H6619">IFERROR(INDEX(INVESTOR_LIST[INVESTOR NAME],MATCH(I6619,INVESTOR_LIST[INVESTOR CODE],0),)," ")</f>
        <v>FAHMIDA KHAN</v>
      </c>
      <c r="I6619" s="148" t="s">
        <v>617</v>
      </c>
      <c r="J6619" s="133" t="s">
        <v>53</v>
      </c>
      <c r="K6619" s="218">
        <v>33913.86</v>
      </c>
      <c r="L6619" s="218"/>
    </row>
    <row r="6620" spans="1:15" ht="22.5" x14ac:dyDescent="0.2">
      <c r="A6620" s="163">
        <v>2022</v>
      </c>
      <c r="B6620" s="163">
        <v>5</v>
      </c>
      <c r="C6620" s="163">
        <v>26</v>
      </c>
      <c r="D6620" s="141">
        <f t="shared" si="422"/>
        <v>44707</v>
      </c>
      <c r="E6620" s="275">
        <f t="shared" si="423"/>
        <v>44707</v>
      </c>
      <c r="F6620" s="480"/>
      <c r="G6620" s="221" t="s">
        <v>74</v>
      </c>
      <c r="H6620" s="145" t="str" cm="1">
        <f t="array" ref="H6620">IFERROR(INDEX(INVESTOR_LIST[INVESTOR NAME],MATCH(I6620,INVESTOR_LIST[INVESTOR CODE],0),)," ")</f>
        <v>FAHMIDA KHAN</v>
      </c>
      <c r="I6620" s="145" t="s">
        <v>617</v>
      </c>
      <c r="J6620" s="163" t="s">
        <v>52</v>
      </c>
      <c r="K6620" s="219"/>
      <c r="L6620" s="219">
        <v>193133.86</v>
      </c>
    </row>
    <row r="6621" spans="1:15" x14ac:dyDescent="0.2">
      <c r="A6621" s="133">
        <v>2022</v>
      </c>
      <c r="B6621" s="133">
        <v>5</v>
      </c>
      <c r="C6621" s="168">
        <v>26</v>
      </c>
      <c r="D6621" s="141">
        <f t="shared" si="422"/>
        <v>44707</v>
      </c>
      <c r="E6621" s="275">
        <f t="shared" si="423"/>
        <v>44707</v>
      </c>
      <c r="F6621" s="479" t="s">
        <v>1397</v>
      </c>
      <c r="G6621" s="174" t="s">
        <v>74</v>
      </c>
      <c r="H6621" s="148" t="str" cm="1">
        <f t="array" ref="H6621">IFERROR(INDEX(INVESTOR_LIST[INVESTOR NAME],MATCH(I6621,INVESTOR_LIST[INVESTOR CODE],0),)," ")</f>
        <v xml:space="preserve"> </v>
      </c>
      <c r="I6621" s="148" t="s">
        <v>348</v>
      </c>
      <c r="J6621" s="133" t="s">
        <v>52</v>
      </c>
      <c r="K6621" s="172">
        <v>528750</v>
      </c>
    </row>
    <row r="6622" spans="1:15" x14ac:dyDescent="0.2">
      <c r="A6622" s="163">
        <v>2022</v>
      </c>
      <c r="B6622" s="163">
        <v>5</v>
      </c>
      <c r="C6622" s="163">
        <v>26</v>
      </c>
      <c r="D6622" s="141">
        <f t="shared" si="422"/>
        <v>44707</v>
      </c>
      <c r="E6622" s="275">
        <f t="shared" si="423"/>
        <v>44707</v>
      </c>
      <c r="F6622" s="480"/>
      <c r="G6622" s="221" t="s">
        <v>74</v>
      </c>
      <c r="H6622" s="145" t="str" cm="1">
        <f t="array" ref="H6622">IFERROR(INDEX(INVESTOR_LIST[INVESTOR NAME],MATCH(I6622,INVESTOR_LIST[INVESTOR CODE],0),)," ")</f>
        <v xml:space="preserve"> </v>
      </c>
      <c r="I6622" s="145" t="s">
        <v>348</v>
      </c>
      <c r="J6622" s="163" t="s">
        <v>168</v>
      </c>
      <c r="K6622" s="219"/>
      <c r="L6622" s="219">
        <v>528750</v>
      </c>
    </row>
    <row r="6623" spans="1:15" x14ac:dyDescent="0.2">
      <c r="A6623" s="168">
        <v>2022</v>
      </c>
      <c r="B6623" s="168">
        <v>5</v>
      </c>
      <c r="C6623" s="168">
        <v>26</v>
      </c>
      <c r="D6623" s="141">
        <f>DATE(A6623,B6623,C6623)</f>
        <v>44707</v>
      </c>
      <c r="E6623" s="275">
        <f>DATE(A6623,B6623,C6623)</f>
        <v>44707</v>
      </c>
      <c r="F6623" s="479" t="s">
        <v>1361</v>
      </c>
      <c r="G6623" s="220" t="s">
        <v>74</v>
      </c>
      <c r="H6623" s="220" t="str" cm="1">
        <f t="array" ref="H6623">IFERROR(INDEX(INVESTOR_LIST[INVESTOR NAME],MATCH(I6623,INVESTOR_LIST[INVESTOR CODE],0),)," ")</f>
        <v xml:space="preserve"> </v>
      </c>
      <c r="I6623" s="142" t="s">
        <v>348</v>
      </c>
      <c r="J6623" s="143" t="s">
        <v>52</v>
      </c>
      <c r="K6623" s="226">
        <v>317488.28999999998</v>
      </c>
      <c r="L6623" s="226"/>
    </row>
    <row r="6624" spans="1:15" x14ac:dyDescent="0.2">
      <c r="A6624" s="163">
        <v>2022</v>
      </c>
      <c r="B6624" s="163">
        <v>5</v>
      </c>
      <c r="C6624" s="163">
        <v>26</v>
      </c>
      <c r="D6624" s="141">
        <f>DATE(A6624,B6624,C6624)</f>
        <v>44707</v>
      </c>
      <c r="E6624" s="275">
        <f>DATE(A6624,B6624,C6624)</f>
        <v>44707</v>
      </c>
      <c r="F6624" s="480"/>
      <c r="G6624" s="221" t="s">
        <v>74</v>
      </c>
      <c r="H6624" s="221" t="str" cm="1">
        <f t="array" ref="H6624">IFERROR(INDEX(INVESTOR_LIST[INVESTOR NAME],MATCH(I6624,INVESTOR_LIST[INVESTOR CODE],0),)," ")</f>
        <v xml:space="preserve"> </v>
      </c>
      <c r="I6624" s="145" t="s">
        <v>348</v>
      </c>
      <c r="J6624" s="146" t="s">
        <v>190</v>
      </c>
      <c r="K6624" s="219"/>
      <c r="L6624" s="219">
        <v>317488.28999999998</v>
      </c>
    </row>
    <row r="6625" spans="1:13" x14ac:dyDescent="0.2">
      <c r="A6625" s="133">
        <v>2022</v>
      </c>
      <c r="B6625" s="133">
        <v>5</v>
      </c>
      <c r="C6625" s="133">
        <v>26</v>
      </c>
      <c r="D6625" s="141">
        <f t="shared" ref="D6625:D6627" si="424">DATE(A6625,B6625,C6625)</f>
        <v>44707</v>
      </c>
      <c r="E6625" s="275">
        <f t="shared" ref="E6625:E6627" si="425">DATE(A6625,B6625,C6625)</f>
        <v>44707</v>
      </c>
      <c r="F6625" s="481" t="s">
        <v>1362</v>
      </c>
      <c r="G6625" s="174" t="s">
        <v>94</v>
      </c>
      <c r="H6625" s="174" t="str" cm="1">
        <f t="array" ref="H6625">IFERROR(INDEX(INVESTOR_LIST[INVESTOR NAME],MATCH(I6625,INVESTOR_LIST[INVESTOR CODE],0),)," ")</f>
        <v xml:space="preserve"> </v>
      </c>
      <c r="J6625" s="149" t="s">
        <v>79</v>
      </c>
      <c r="K6625" s="218">
        <v>609000</v>
      </c>
      <c r="L6625" s="218"/>
    </row>
    <row r="6626" spans="1:13" x14ac:dyDescent="0.2">
      <c r="A6626" s="133">
        <v>2022</v>
      </c>
      <c r="B6626" s="133">
        <v>5</v>
      </c>
      <c r="C6626" s="133">
        <v>26</v>
      </c>
      <c r="D6626" s="141">
        <f t="shared" si="424"/>
        <v>44707</v>
      </c>
      <c r="E6626" s="275">
        <f t="shared" si="425"/>
        <v>44707</v>
      </c>
      <c r="F6626" s="481"/>
      <c r="G6626" s="174" t="s">
        <v>94</v>
      </c>
      <c r="H6626" s="174"/>
      <c r="J6626" s="149" t="s">
        <v>80</v>
      </c>
      <c r="K6626" s="218">
        <v>1096.2</v>
      </c>
      <c r="L6626" s="218"/>
    </row>
    <row r="6627" spans="1:13" x14ac:dyDescent="0.2">
      <c r="A6627" s="163">
        <v>2022</v>
      </c>
      <c r="B6627" s="163">
        <v>5</v>
      </c>
      <c r="C6627" s="163">
        <v>26</v>
      </c>
      <c r="D6627" s="280">
        <f t="shared" si="424"/>
        <v>44707</v>
      </c>
      <c r="E6627" s="281">
        <f t="shared" si="425"/>
        <v>44707</v>
      </c>
      <c r="F6627" s="480"/>
      <c r="G6627" s="221" t="s">
        <v>94</v>
      </c>
      <c r="H6627" s="145" t="str" cm="1">
        <f t="array" ref="H6627">IFERROR(INDEX(INVESTOR_LIST[INVESTOR NAME],MATCH(I6627,INVESTOR_LIST[INVESTOR CODE],0),)," ")</f>
        <v xml:space="preserve"> </v>
      </c>
      <c r="I6627" s="145"/>
      <c r="J6627" s="163" t="s">
        <v>147</v>
      </c>
      <c r="K6627" s="219"/>
      <c r="L6627" s="219">
        <v>610096.19999999995</v>
      </c>
    </row>
    <row r="6628" spans="1:13" x14ac:dyDescent="0.2">
      <c r="A6628" s="168">
        <v>2022</v>
      </c>
      <c r="B6628" s="168">
        <v>5</v>
      </c>
      <c r="C6628" s="168">
        <v>26</v>
      </c>
      <c r="D6628" s="141">
        <f>DATE(A6628,B6628,C6628)</f>
        <v>44707</v>
      </c>
      <c r="E6628" s="275">
        <f>DATE(A6628,B6628,C6628)</f>
        <v>44707</v>
      </c>
      <c r="F6628" s="479" t="s">
        <v>1388</v>
      </c>
      <c r="G6628" s="220" t="s">
        <v>74</v>
      </c>
      <c r="H6628" s="220" t="str" cm="1">
        <f t="array" ref="H6628">IFERROR(INDEX(INVESTOR_LIST[INVESTOR NAME],MATCH(I6628,INVESTOR_LIST[INVESTOR CODE],0),)," ")</f>
        <v xml:space="preserve"> </v>
      </c>
      <c r="I6628" s="142" t="s">
        <v>348</v>
      </c>
      <c r="J6628" s="143" t="s">
        <v>147</v>
      </c>
      <c r="K6628" s="226">
        <v>610096.19999999995</v>
      </c>
      <c r="L6628" s="226"/>
    </row>
    <row r="6629" spans="1:13" x14ac:dyDescent="0.2">
      <c r="A6629" s="163">
        <v>2022</v>
      </c>
      <c r="B6629" s="163">
        <v>5</v>
      </c>
      <c r="C6629" s="163">
        <v>26</v>
      </c>
      <c r="D6629" s="141">
        <f>DATE(A6629,B6629,C6629)</f>
        <v>44707</v>
      </c>
      <c r="E6629" s="275">
        <f>DATE(A6629,B6629,C6629)</f>
        <v>44707</v>
      </c>
      <c r="F6629" s="480"/>
      <c r="G6629" s="221" t="s">
        <v>74</v>
      </c>
      <c r="H6629" s="221" t="str" cm="1">
        <f t="array" ref="H6629">IFERROR(INDEX(INVESTOR_LIST[INVESTOR NAME],MATCH(I6629,INVESTOR_LIST[INVESTOR CODE],0),)," ")</f>
        <v xml:space="preserve"> </v>
      </c>
      <c r="I6629" s="145" t="s">
        <v>348</v>
      </c>
      <c r="J6629" s="146" t="s">
        <v>52</v>
      </c>
      <c r="K6629" s="219"/>
      <c r="L6629" s="219">
        <v>610096.19999999995</v>
      </c>
    </row>
    <row r="6630" spans="1:13" x14ac:dyDescent="0.2">
      <c r="A6630" s="238">
        <v>2022</v>
      </c>
      <c r="B6630" s="238">
        <v>5</v>
      </c>
      <c r="C6630" s="238">
        <v>26</v>
      </c>
      <c r="D6630" s="270">
        <f t="shared" ref="D6630:D6646" si="426">DATE(A6630,B6630,C6630)</f>
        <v>44707</v>
      </c>
      <c r="E6630" s="279">
        <f t="shared" ref="E6630:E6646" si="427">DATE(A6630,B6630,C6630)</f>
        <v>44707</v>
      </c>
      <c r="F6630" s="477" t="s">
        <v>347</v>
      </c>
      <c r="G6630" s="239" t="s">
        <v>94</v>
      </c>
      <c r="H6630" s="239" t="str" cm="1">
        <f t="array" ref="H6630">IFERROR(INDEX(INVESTOR_LIST[INVESTOR NAME],MATCH(I6630,INVESTOR_LIST[INVESTOR CODE],0),)," ")</f>
        <v xml:space="preserve"> </v>
      </c>
      <c r="I6630" s="262" t="s">
        <v>348</v>
      </c>
      <c r="J6630" s="240" t="s">
        <v>82</v>
      </c>
      <c r="K6630" s="241">
        <v>2073952.3500000238</v>
      </c>
      <c r="L6630" s="241"/>
    </row>
    <row r="6631" spans="1:13" x14ac:dyDescent="0.2">
      <c r="A6631" s="242">
        <v>2022</v>
      </c>
      <c r="B6631" s="242">
        <v>5</v>
      </c>
      <c r="C6631" s="242">
        <v>26</v>
      </c>
      <c r="D6631" s="270">
        <f t="shared" si="426"/>
        <v>44707</v>
      </c>
      <c r="E6631" s="279">
        <f t="shared" si="427"/>
        <v>44707</v>
      </c>
      <c r="F6631" s="478"/>
      <c r="G6631" s="243" t="s">
        <v>94</v>
      </c>
      <c r="H6631" s="243" t="str" cm="1">
        <f t="array" ref="H6631">IFERROR(INDEX(INVESTOR_LIST[INVESTOR NAME],MATCH(I6631,INVESTOR_LIST[INVESTOR CODE],0),)," ")</f>
        <v xml:space="preserve"> </v>
      </c>
      <c r="I6631" s="263" t="s">
        <v>348</v>
      </c>
      <c r="J6631" s="244" t="s">
        <v>108</v>
      </c>
      <c r="K6631" s="245"/>
      <c r="L6631" s="245">
        <v>2073952.3500000238</v>
      </c>
    </row>
    <row r="6632" spans="1:13" ht="22.5" x14ac:dyDescent="0.2">
      <c r="A6632" s="246">
        <v>2022</v>
      </c>
      <c r="B6632" s="246">
        <v>5</v>
      </c>
      <c r="C6632" s="246">
        <v>26</v>
      </c>
      <c r="D6632" s="270">
        <f t="shared" si="426"/>
        <v>44707</v>
      </c>
      <c r="E6632" s="279">
        <f t="shared" si="427"/>
        <v>44707</v>
      </c>
      <c r="F6632" s="482" t="s">
        <v>148</v>
      </c>
      <c r="G6632" s="247" t="s">
        <v>94</v>
      </c>
      <c r="H6632" s="247" t="str" cm="1">
        <f t="array" ref="H6632">IFERROR(INDEX(INVESTOR_LIST[INVESTOR NAME],MATCH(I6632,INVESTOR_LIST[INVESTOR CODE],0),)," ")</f>
        <v xml:space="preserve"> </v>
      </c>
      <c r="I6632" s="248" t="s">
        <v>348</v>
      </c>
      <c r="J6632" s="249" t="s">
        <v>95</v>
      </c>
      <c r="K6632" s="250">
        <v>2747.2527472527472</v>
      </c>
      <c r="L6632" s="241"/>
    </row>
    <row r="6633" spans="1:13" x14ac:dyDescent="0.2">
      <c r="A6633" s="242">
        <v>2022</v>
      </c>
      <c r="B6633" s="242">
        <v>5</v>
      </c>
      <c r="C6633" s="242">
        <v>26</v>
      </c>
      <c r="D6633" s="270">
        <f t="shared" si="426"/>
        <v>44707</v>
      </c>
      <c r="E6633" s="279">
        <f t="shared" si="427"/>
        <v>44707</v>
      </c>
      <c r="F6633" s="478"/>
      <c r="G6633" s="243" t="s">
        <v>94</v>
      </c>
      <c r="H6633" s="243" t="str" cm="1">
        <f t="array" ref="H6633">IFERROR(INDEX(INVESTOR_LIST[INVESTOR NAME],MATCH(I6633,INVESTOR_LIST[INVESTOR CODE],0),)," ")</f>
        <v xml:space="preserve"> </v>
      </c>
      <c r="I6633" s="263" t="s">
        <v>348</v>
      </c>
      <c r="J6633" s="244" t="s">
        <v>63</v>
      </c>
      <c r="K6633" s="245"/>
      <c r="L6633" s="245">
        <v>2747.2527472527472</v>
      </c>
    </row>
    <row r="6634" spans="1:13" x14ac:dyDescent="0.2">
      <c r="A6634" s="246">
        <v>2022</v>
      </c>
      <c r="B6634" s="246">
        <v>5</v>
      </c>
      <c r="C6634" s="246">
        <v>26</v>
      </c>
      <c r="D6634" s="270">
        <f t="shared" si="426"/>
        <v>44707</v>
      </c>
      <c r="E6634" s="279">
        <f t="shared" si="427"/>
        <v>44707</v>
      </c>
      <c r="F6634" s="482" t="s">
        <v>137</v>
      </c>
      <c r="G6634" s="247" t="s">
        <v>94</v>
      </c>
      <c r="H6634" s="247" t="str" cm="1">
        <f t="array" ref="H6634">IFERROR(INDEX(INVESTOR_LIST[INVESTOR NAME],MATCH(I6634,INVESTOR_LIST[INVESTOR CODE],0),)," ")</f>
        <v xml:space="preserve"> </v>
      </c>
      <c r="I6634" s="248" t="s">
        <v>348</v>
      </c>
      <c r="J6634" s="249" t="s">
        <v>97</v>
      </c>
      <c r="K6634" s="250">
        <v>83505.883918745589</v>
      </c>
      <c r="L6634" s="252"/>
    </row>
    <row r="6635" spans="1:13" x14ac:dyDescent="0.2">
      <c r="A6635" s="242">
        <v>2022</v>
      </c>
      <c r="B6635" s="242">
        <v>5</v>
      </c>
      <c r="C6635" s="242">
        <v>26</v>
      </c>
      <c r="D6635" s="270">
        <f t="shared" si="426"/>
        <v>44707</v>
      </c>
      <c r="E6635" s="279">
        <f t="shared" si="427"/>
        <v>44707</v>
      </c>
      <c r="F6635" s="478"/>
      <c r="G6635" s="243" t="s">
        <v>94</v>
      </c>
      <c r="H6635" s="243" t="str" cm="1">
        <f t="array" ref="H6635">IFERROR(INDEX(INVESTOR_LIST[INVESTOR NAME],MATCH(I6635,INVESTOR_LIST[INVESTOR CODE],0),)," ")</f>
        <v xml:space="preserve"> </v>
      </c>
      <c r="I6635" s="263" t="s">
        <v>348</v>
      </c>
      <c r="J6635" s="244" t="s">
        <v>47</v>
      </c>
      <c r="K6635" s="245"/>
      <c r="L6635" s="245">
        <v>83505.883918745589</v>
      </c>
    </row>
    <row r="6636" spans="1:13" x14ac:dyDescent="0.2">
      <c r="A6636" s="246">
        <v>2022</v>
      </c>
      <c r="B6636" s="246">
        <v>5</v>
      </c>
      <c r="C6636" s="246">
        <v>26</v>
      </c>
      <c r="D6636" s="270">
        <f t="shared" si="426"/>
        <v>44707</v>
      </c>
      <c r="E6636" s="279">
        <f t="shared" si="427"/>
        <v>44707</v>
      </c>
      <c r="F6636" s="482" t="s">
        <v>138</v>
      </c>
      <c r="G6636" s="247" t="s">
        <v>94</v>
      </c>
      <c r="H6636" s="247" t="str" cm="1">
        <f t="array" ref="H6636">IFERROR(INDEX(INVESTOR_LIST[INVESTOR NAME],MATCH(I6636,INVESTOR_LIST[INVESTOR CODE],0),)," ")</f>
        <v xml:space="preserve"> </v>
      </c>
      <c r="I6636" s="248" t="s">
        <v>348</v>
      </c>
      <c r="J6636" s="249" t="s">
        <v>100</v>
      </c>
      <c r="K6636" s="250">
        <v>3934.909580552664</v>
      </c>
      <c r="L6636" s="252"/>
    </row>
    <row r="6637" spans="1:13" x14ac:dyDescent="0.2">
      <c r="A6637" s="242">
        <v>2022</v>
      </c>
      <c r="B6637" s="242">
        <v>5</v>
      </c>
      <c r="C6637" s="242">
        <v>26</v>
      </c>
      <c r="D6637" s="270">
        <f t="shared" si="426"/>
        <v>44707</v>
      </c>
      <c r="E6637" s="279">
        <f t="shared" si="427"/>
        <v>44707</v>
      </c>
      <c r="F6637" s="478"/>
      <c r="G6637" s="243" t="s">
        <v>94</v>
      </c>
      <c r="H6637" s="243" t="str" cm="1">
        <f t="array" ref="H6637">IFERROR(INDEX(INVESTOR_LIST[INVESTOR NAME],MATCH(I6637,INVESTOR_LIST[INVESTOR CODE],0),)," ")</f>
        <v xml:space="preserve"> </v>
      </c>
      <c r="I6637" s="263" t="s">
        <v>348</v>
      </c>
      <c r="J6637" s="244" t="s">
        <v>48</v>
      </c>
      <c r="K6637" s="245"/>
      <c r="L6637" s="245">
        <v>3934.909580552664</v>
      </c>
    </row>
    <row r="6638" spans="1:13" x14ac:dyDescent="0.2">
      <c r="A6638" s="168">
        <v>2022</v>
      </c>
      <c r="B6638" s="168">
        <v>5</v>
      </c>
      <c r="C6638" s="133">
        <v>26</v>
      </c>
      <c r="D6638" s="141">
        <f t="shared" si="426"/>
        <v>44707</v>
      </c>
      <c r="E6638" s="275">
        <f t="shared" si="427"/>
        <v>44707</v>
      </c>
      <c r="F6638" s="479" t="s">
        <v>1319</v>
      </c>
      <c r="G6638" s="220" t="s">
        <v>74</v>
      </c>
      <c r="H6638" s="142" t="str" cm="1">
        <f t="array" ref="H6638">IFERROR(INDEX(INVESTOR_LIST[INVESTOR NAME],MATCH(I6638,INVESTOR_LIST[INVESTOR CODE],0),)," ")</f>
        <v xml:space="preserve"> </v>
      </c>
      <c r="I6638" s="142"/>
      <c r="J6638" s="168" t="s">
        <v>52</v>
      </c>
      <c r="K6638" s="226">
        <v>490000</v>
      </c>
      <c r="L6638" s="226"/>
    </row>
    <row r="6639" spans="1:13" x14ac:dyDescent="0.2">
      <c r="A6639" s="133">
        <v>2022</v>
      </c>
      <c r="B6639" s="133">
        <v>5</v>
      </c>
      <c r="C6639" s="133">
        <v>26</v>
      </c>
      <c r="D6639" s="141">
        <f t="shared" si="426"/>
        <v>44707</v>
      </c>
      <c r="E6639" s="275">
        <f t="shared" si="427"/>
        <v>44707</v>
      </c>
      <c r="F6639" s="481"/>
      <c r="G6639" s="174" t="s">
        <v>74</v>
      </c>
      <c r="H6639" s="148" t="str" cm="1">
        <f t="array" ref="H6639">IFERROR(INDEX(INVESTOR_LIST[INVESTOR NAME],MATCH(I6639,INVESTOR_LIST[INVESTOR CODE],0),)," ")</f>
        <v xml:space="preserve"> </v>
      </c>
      <c r="J6639" s="133" t="s">
        <v>13</v>
      </c>
      <c r="K6639" s="218"/>
      <c r="L6639" s="218">
        <v>408370</v>
      </c>
      <c r="M6639" s="160"/>
    </row>
    <row r="6640" spans="1:13" x14ac:dyDescent="0.2">
      <c r="A6640" s="163">
        <v>2022</v>
      </c>
      <c r="B6640" s="163">
        <v>5</v>
      </c>
      <c r="C6640" s="163">
        <v>26</v>
      </c>
      <c r="D6640" s="141">
        <f t="shared" si="426"/>
        <v>44707</v>
      </c>
      <c r="E6640" s="275">
        <f t="shared" si="427"/>
        <v>44707</v>
      </c>
      <c r="F6640" s="480"/>
      <c r="G6640" s="221" t="s">
        <v>74</v>
      </c>
      <c r="H6640" s="145" t="str" cm="1">
        <f t="array" ref="H6640">IFERROR(INDEX(INVESTOR_LIST[INVESTOR NAME],MATCH(I6640,INVESTOR_LIST[INVESTOR CODE],0),)," ")</f>
        <v xml:space="preserve"> </v>
      </c>
      <c r="I6640" s="145"/>
      <c r="J6640" s="163" t="s">
        <v>53</v>
      </c>
      <c r="K6640" s="219"/>
      <c r="L6640" s="219">
        <v>81630</v>
      </c>
    </row>
    <row r="6641" spans="1:12" ht="45" x14ac:dyDescent="0.2">
      <c r="A6641" s="168">
        <v>2022</v>
      </c>
      <c r="B6641" s="168">
        <v>5</v>
      </c>
      <c r="C6641" s="133">
        <v>29</v>
      </c>
      <c r="D6641" s="141">
        <f t="shared" si="426"/>
        <v>44710</v>
      </c>
      <c r="E6641" s="275">
        <f t="shared" si="427"/>
        <v>44710</v>
      </c>
      <c r="F6641" s="479" t="s">
        <v>964</v>
      </c>
      <c r="G6641" s="220" t="s">
        <v>74</v>
      </c>
      <c r="H6641" s="142" t="str" cm="1">
        <f t="array" ref="H6641">IFERROR(INDEX(INVESTOR_LIST[INVESTOR NAME],MATCH(I6641,INVESTOR_LIST[INVESTOR CODE],0),)," ")</f>
        <v>QUAZI TOWFIQUE UDDIN</v>
      </c>
      <c r="I6641" s="142" t="s">
        <v>704</v>
      </c>
      <c r="J6641" s="168" t="s">
        <v>52</v>
      </c>
      <c r="K6641" s="226">
        <v>24000</v>
      </c>
      <c r="L6641" s="226"/>
    </row>
    <row r="6642" spans="1:12" ht="45" x14ac:dyDescent="0.2">
      <c r="A6642" s="133">
        <v>2022</v>
      </c>
      <c r="B6642" s="133">
        <v>5</v>
      </c>
      <c r="C6642" s="133">
        <v>29</v>
      </c>
      <c r="D6642" s="141">
        <f t="shared" si="426"/>
        <v>44710</v>
      </c>
      <c r="E6642" s="275">
        <f t="shared" si="427"/>
        <v>44710</v>
      </c>
      <c r="F6642" s="481"/>
      <c r="G6642" s="174" t="s">
        <v>74</v>
      </c>
      <c r="H6642" s="148" t="str" cm="1">
        <f t="array" ref="H6642">IFERROR(INDEX(INVESTOR_LIST[INVESTOR NAME],MATCH(I6642,INVESTOR_LIST[INVESTOR CODE],0),)," ")</f>
        <v>QUAZI TOWFIQUE UDDIN</v>
      </c>
      <c r="I6642" s="148" t="s">
        <v>704</v>
      </c>
      <c r="J6642" s="133" t="s">
        <v>13</v>
      </c>
      <c r="K6642" s="218"/>
      <c r="L6642" s="218">
        <v>20000</v>
      </c>
    </row>
    <row r="6643" spans="1:12" ht="45" x14ac:dyDescent="0.2">
      <c r="A6643" s="163">
        <v>2022</v>
      </c>
      <c r="B6643" s="163">
        <v>5</v>
      </c>
      <c r="C6643" s="163">
        <v>29</v>
      </c>
      <c r="D6643" s="141">
        <f t="shared" si="426"/>
        <v>44710</v>
      </c>
      <c r="E6643" s="275">
        <f t="shared" si="427"/>
        <v>44710</v>
      </c>
      <c r="F6643" s="480"/>
      <c r="G6643" s="221" t="s">
        <v>74</v>
      </c>
      <c r="H6643" s="145" t="str" cm="1">
        <f t="array" ref="H6643">IFERROR(INDEX(INVESTOR_LIST[INVESTOR NAME],MATCH(I6643,INVESTOR_LIST[INVESTOR CODE],0),)," ")</f>
        <v>QUAZI TOWFIQUE UDDIN</v>
      </c>
      <c r="I6643" s="145" t="s">
        <v>704</v>
      </c>
      <c r="J6643" s="163" t="s">
        <v>53</v>
      </c>
      <c r="K6643" s="219"/>
      <c r="L6643" s="219">
        <v>4000</v>
      </c>
    </row>
    <row r="6644" spans="1:12" ht="45" x14ac:dyDescent="0.2">
      <c r="A6644" s="168">
        <v>2022</v>
      </c>
      <c r="B6644" s="168">
        <v>5</v>
      </c>
      <c r="C6644" s="133">
        <v>30</v>
      </c>
      <c r="D6644" s="141">
        <f t="shared" si="426"/>
        <v>44711</v>
      </c>
      <c r="E6644" s="275">
        <f t="shared" si="427"/>
        <v>44711</v>
      </c>
      <c r="F6644" s="479" t="s">
        <v>1370</v>
      </c>
      <c r="G6644" s="220" t="s">
        <v>74</v>
      </c>
      <c r="H6644" s="142" t="str" cm="1">
        <f t="array" ref="H6644">IFERROR(INDEX(INVESTOR_LIST[INVESTOR NAME],MATCH(I6644,INVESTOR_LIST[INVESTOR CODE],0),)," ")</f>
        <v>MD. MIZANUR RAHMAN</v>
      </c>
      <c r="I6644" s="142" t="s">
        <v>1360</v>
      </c>
      <c r="J6644" s="168" t="s">
        <v>13</v>
      </c>
      <c r="K6644" s="226">
        <v>1654260</v>
      </c>
      <c r="L6644" s="226"/>
    </row>
    <row r="6645" spans="1:12" ht="45" x14ac:dyDescent="0.2">
      <c r="A6645" s="133">
        <v>2022</v>
      </c>
      <c r="B6645" s="133">
        <v>5</v>
      </c>
      <c r="C6645" s="133">
        <v>30</v>
      </c>
      <c r="D6645" s="141">
        <f t="shared" si="426"/>
        <v>44711</v>
      </c>
      <c r="E6645" s="275">
        <f t="shared" si="427"/>
        <v>44711</v>
      </c>
      <c r="F6645" s="481"/>
      <c r="G6645" s="174" t="s">
        <v>74</v>
      </c>
      <c r="H6645" s="148" t="str" cm="1">
        <f t="array" ref="H6645">IFERROR(INDEX(INVESTOR_LIST[INVESTOR NAME],MATCH(I6645,INVESTOR_LIST[INVESTOR CODE],0),)," ")</f>
        <v>MD. MIZANUR RAHMAN</v>
      </c>
      <c r="I6645" s="148" t="s">
        <v>1360</v>
      </c>
      <c r="J6645" s="133" t="s">
        <v>53</v>
      </c>
      <c r="K6645" s="218">
        <v>416873.52</v>
      </c>
      <c r="L6645" s="218"/>
    </row>
    <row r="6646" spans="1:12" ht="45" x14ac:dyDescent="0.2">
      <c r="A6646" s="163">
        <v>2022</v>
      </c>
      <c r="B6646" s="163">
        <v>5</v>
      </c>
      <c r="C6646" s="163">
        <v>30</v>
      </c>
      <c r="D6646" s="141">
        <f t="shared" si="426"/>
        <v>44711</v>
      </c>
      <c r="E6646" s="275">
        <f t="shared" si="427"/>
        <v>44711</v>
      </c>
      <c r="F6646" s="480"/>
      <c r="G6646" s="221" t="s">
        <v>74</v>
      </c>
      <c r="H6646" s="145" t="str" cm="1">
        <f t="array" ref="H6646">IFERROR(INDEX(INVESTOR_LIST[INVESTOR NAME],MATCH(I6646,INVESTOR_LIST[INVESTOR CODE],0),)," ")</f>
        <v>MD. MIZANUR RAHMAN</v>
      </c>
      <c r="I6646" s="145" t="s">
        <v>1360</v>
      </c>
      <c r="J6646" s="163" t="s">
        <v>52</v>
      </c>
      <c r="K6646" s="219"/>
      <c r="L6646" s="219">
        <v>2071133.52</v>
      </c>
    </row>
    <row r="6647" spans="1:12" ht="33.75" x14ac:dyDescent="0.2">
      <c r="A6647" s="168">
        <v>2022</v>
      </c>
      <c r="B6647" s="168">
        <v>6</v>
      </c>
      <c r="C6647" s="133">
        <v>1</v>
      </c>
      <c r="D6647" s="141">
        <f t="shared" ref="D6647:D6686" si="428">DATE(A6647,B6647,C6647)</f>
        <v>44713</v>
      </c>
      <c r="E6647" s="275">
        <f t="shared" ref="E6647:E6686" si="429">DATE(A6647,B6647,C6647)</f>
        <v>44713</v>
      </c>
      <c r="F6647" s="479" t="s">
        <v>964</v>
      </c>
      <c r="G6647" s="220" t="s">
        <v>74</v>
      </c>
      <c r="H6647" s="142" t="str" cm="1">
        <f t="array" ref="H6647">IFERROR(INDEX(INVESTOR_LIST[INVESTOR NAME],MATCH(I6647,INVESTOR_LIST[INVESTOR CODE],0),)," ")</f>
        <v>FAIYEAD AHMEDUL HYE</v>
      </c>
      <c r="I6647" s="142" t="s">
        <v>496</v>
      </c>
      <c r="J6647" s="168" t="s">
        <v>52</v>
      </c>
      <c r="K6647" s="226">
        <v>50000</v>
      </c>
      <c r="L6647" s="226"/>
    </row>
    <row r="6648" spans="1:12" ht="33.75" x14ac:dyDescent="0.2">
      <c r="A6648" s="133">
        <v>2022</v>
      </c>
      <c r="B6648" s="133">
        <v>6</v>
      </c>
      <c r="C6648" s="133">
        <v>1</v>
      </c>
      <c r="D6648" s="141">
        <f t="shared" si="428"/>
        <v>44713</v>
      </c>
      <c r="E6648" s="275">
        <f t="shared" si="429"/>
        <v>44713</v>
      </c>
      <c r="F6648" s="481"/>
      <c r="G6648" s="174" t="s">
        <v>74</v>
      </c>
      <c r="H6648" s="148" t="str" cm="1">
        <f t="array" ref="H6648">IFERROR(INDEX(INVESTOR_LIST[INVESTOR NAME],MATCH(I6648,INVESTOR_LIST[INVESTOR CODE],0),)," ")</f>
        <v>FAIYEAD AHMEDUL HYE</v>
      </c>
      <c r="I6648" s="148" t="s">
        <v>496</v>
      </c>
      <c r="J6648" s="133" t="s">
        <v>13</v>
      </c>
      <c r="K6648" s="218"/>
      <c r="L6648" s="172">
        <v>41670</v>
      </c>
    </row>
    <row r="6649" spans="1:12" ht="33.75" x14ac:dyDescent="0.2">
      <c r="A6649" s="163">
        <v>2022</v>
      </c>
      <c r="B6649" s="163">
        <v>6</v>
      </c>
      <c r="C6649" s="163">
        <v>1</v>
      </c>
      <c r="D6649" s="141">
        <f t="shared" si="428"/>
        <v>44713</v>
      </c>
      <c r="E6649" s="275">
        <f t="shared" si="429"/>
        <v>44713</v>
      </c>
      <c r="F6649" s="480"/>
      <c r="G6649" s="221" t="s">
        <v>74</v>
      </c>
      <c r="H6649" s="145" t="str" cm="1">
        <f t="array" ref="H6649">IFERROR(INDEX(INVESTOR_LIST[INVESTOR NAME],MATCH(I6649,INVESTOR_LIST[INVESTOR CODE],0),)," ")</f>
        <v>FAIYEAD AHMEDUL HYE</v>
      </c>
      <c r="I6649" s="145" t="s">
        <v>496</v>
      </c>
      <c r="J6649" s="163" t="s">
        <v>53</v>
      </c>
      <c r="K6649" s="219"/>
      <c r="L6649" s="219">
        <f>K6647-L6648</f>
        <v>8330</v>
      </c>
    </row>
    <row r="6650" spans="1:12" ht="45" x14ac:dyDescent="0.2">
      <c r="A6650" s="168">
        <v>2022</v>
      </c>
      <c r="B6650" s="168">
        <v>6</v>
      </c>
      <c r="C6650" s="133">
        <v>2</v>
      </c>
      <c r="D6650" s="141">
        <f t="shared" si="428"/>
        <v>44714</v>
      </c>
      <c r="E6650" s="275">
        <f t="shared" si="429"/>
        <v>44714</v>
      </c>
      <c r="F6650" s="479" t="s">
        <v>964</v>
      </c>
      <c r="G6650" s="220" t="s">
        <v>74</v>
      </c>
      <c r="H6650" s="142" t="str" cm="1">
        <f t="array" ref="H6650">IFERROR(INDEX(INVESTOR_LIST[INVESTOR NAME],MATCH(I6650,INVESTOR_LIST[INVESTOR CODE],0),)," ")</f>
        <v>MD. WALID - AL - ZUBAYER</v>
      </c>
      <c r="I6650" s="142" t="s">
        <v>764</v>
      </c>
      <c r="J6650" s="168" t="s">
        <v>52</v>
      </c>
      <c r="K6650" s="226">
        <v>444816</v>
      </c>
      <c r="L6650" s="226"/>
    </row>
    <row r="6651" spans="1:12" ht="45" x14ac:dyDescent="0.2">
      <c r="A6651" s="133">
        <v>2022</v>
      </c>
      <c r="B6651" s="133">
        <v>6</v>
      </c>
      <c r="C6651" s="133">
        <v>2</v>
      </c>
      <c r="D6651" s="141">
        <f t="shared" si="428"/>
        <v>44714</v>
      </c>
      <c r="E6651" s="275">
        <f t="shared" si="429"/>
        <v>44714</v>
      </c>
      <c r="F6651" s="481"/>
      <c r="G6651" s="174" t="s">
        <v>74</v>
      </c>
      <c r="H6651" s="148" t="str" cm="1">
        <f t="array" ref="H6651">IFERROR(INDEX(INVESTOR_LIST[INVESTOR NAME],MATCH(I6651,INVESTOR_LIST[INVESTOR CODE],0),)," ")</f>
        <v>MD. WALID - AL - ZUBAYER</v>
      </c>
      <c r="I6651" s="148" t="s">
        <v>764</v>
      </c>
      <c r="J6651" s="133" t="s">
        <v>13</v>
      </c>
      <c r="K6651" s="218"/>
      <c r="L6651" s="172">
        <v>370680</v>
      </c>
    </row>
    <row r="6652" spans="1:12" ht="45" x14ac:dyDescent="0.2">
      <c r="A6652" s="163">
        <v>2022</v>
      </c>
      <c r="B6652" s="163">
        <v>6</v>
      </c>
      <c r="C6652" s="163">
        <v>2</v>
      </c>
      <c r="D6652" s="141">
        <f t="shared" si="428"/>
        <v>44714</v>
      </c>
      <c r="E6652" s="275">
        <f t="shared" si="429"/>
        <v>44714</v>
      </c>
      <c r="F6652" s="480"/>
      <c r="G6652" s="221" t="s">
        <v>74</v>
      </c>
      <c r="H6652" s="145" t="str" cm="1">
        <f t="array" ref="H6652">IFERROR(INDEX(INVESTOR_LIST[INVESTOR NAME],MATCH(I6652,INVESTOR_LIST[INVESTOR CODE],0),)," ")</f>
        <v>MD. WALID - AL - ZUBAYER</v>
      </c>
      <c r="I6652" s="145" t="s">
        <v>764</v>
      </c>
      <c r="J6652" s="163" t="s">
        <v>53</v>
      </c>
      <c r="K6652" s="219"/>
      <c r="L6652" s="219">
        <f>K6650-L6651</f>
        <v>74136</v>
      </c>
    </row>
    <row r="6653" spans="1:12" ht="33.75" x14ac:dyDescent="0.2">
      <c r="A6653" s="168">
        <v>2022</v>
      </c>
      <c r="B6653" s="168">
        <v>6</v>
      </c>
      <c r="C6653" s="133">
        <v>2</v>
      </c>
      <c r="D6653" s="141">
        <f t="shared" si="428"/>
        <v>44714</v>
      </c>
      <c r="E6653" s="275">
        <f t="shared" si="429"/>
        <v>44714</v>
      </c>
      <c r="F6653" s="479" t="s">
        <v>964</v>
      </c>
      <c r="G6653" s="220" t="s">
        <v>74</v>
      </c>
      <c r="H6653" s="142" t="str" cm="1">
        <f t="array" ref="H6653">IFERROR(INDEX(INVESTOR_LIST[INVESTOR NAME],MATCH(I6653,INVESTOR_LIST[INVESTOR CODE],0),)," ")</f>
        <v>NAUSHEEN AHMED</v>
      </c>
      <c r="I6653" s="142" t="s">
        <v>787</v>
      </c>
      <c r="J6653" s="168" t="s">
        <v>52</v>
      </c>
      <c r="K6653" s="226">
        <v>400020</v>
      </c>
      <c r="L6653" s="226"/>
    </row>
    <row r="6654" spans="1:12" ht="33.75" x14ac:dyDescent="0.2">
      <c r="A6654" s="133">
        <v>2022</v>
      </c>
      <c r="B6654" s="133">
        <v>6</v>
      </c>
      <c r="C6654" s="133">
        <v>2</v>
      </c>
      <c r="D6654" s="141">
        <f t="shared" si="428"/>
        <v>44714</v>
      </c>
      <c r="E6654" s="275">
        <f t="shared" si="429"/>
        <v>44714</v>
      </c>
      <c r="F6654" s="481"/>
      <c r="G6654" s="174" t="s">
        <v>74</v>
      </c>
      <c r="H6654" s="148" t="str" cm="1">
        <f t="array" ref="H6654">IFERROR(INDEX(INVESTOR_LIST[INVESTOR NAME],MATCH(I6654,INVESTOR_LIST[INVESTOR CODE],0),)," ")</f>
        <v>NAUSHEEN AHMED</v>
      </c>
      <c r="I6654" s="148" t="s">
        <v>787</v>
      </c>
      <c r="J6654" s="133" t="s">
        <v>13</v>
      </c>
      <c r="K6654" s="218"/>
      <c r="L6654" s="172">
        <v>333350</v>
      </c>
    </row>
    <row r="6655" spans="1:12" ht="33.75" x14ac:dyDescent="0.2">
      <c r="A6655" s="163">
        <v>2022</v>
      </c>
      <c r="B6655" s="163">
        <v>6</v>
      </c>
      <c r="C6655" s="163">
        <v>2</v>
      </c>
      <c r="D6655" s="141">
        <f t="shared" si="428"/>
        <v>44714</v>
      </c>
      <c r="E6655" s="275">
        <f t="shared" si="429"/>
        <v>44714</v>
      </c>
      <c r="F6655" s="480"/>
      <c r="G6655" s="221" t="s">
        <v>74</v>
      </c>
      <c r="H6655" s="145" t="str" cm="1">
        <f t="array" ref="H6655">IFERROR(INDEX(INVESTOR_LIST[INVESTOR NAME],MATCH(I6655,INVESTOR_LIST[INVESTOR CODE],0),)," ")</f>
        <v>NAUSHEEN AHMED</v>
      </c>
      <c r="I6655" s="145" t="s">
        <v>787</v>
      </c>
      <c r="J6655" s="163" t="s">
        <v>53</v>
      </c>
      <c r="K6655" s="219"/>
      <c r="L6655" s="219">
        <f>K6653-L6654</f>
        <v>66670</v>
      </c>
    </row>
    <row r="6656" spans="1:12" ht="45" x14ac:dyDescent="0.2">
      <c r="A6656" s="168">
        <v>2022</v>
      </c>
      <c r="B6656" s="168">
        <v>6</v>
      </c>
      <c r="C6656" s="133">
        <v>2</v>
      </c>
      <c r="D6656" s="141">
        <f t="shared" si="428"/>
        <v>44714</v>
      </c>
      <c r="E6656" s="275">
        <f t="shared" si="429"/>
        <v>44714</v>
      </c>
      <c r="F6656" s="479" t="s">
        <v>964</v>
      </c>
      <c r="G6656" s="220" t="s">
        <v>74</v>
      </c>
      <c r="H6656" s="142" t="str" cm="1">
        <f t="array" ref="H6656">IFERROR(INDEX(INVESTOR_LIST[INVESTOR NAME],MATCH(I6656,INVESTOR_LIST[INVESTOR CODE],0),)," ")</f>
        <v>MD. WALID - AL - ZUBAYER</v>
      </c>
      <c r="I6656" s="142" t="s">
        <v>764</v>
      </c>
      <c r="J6656" s="168" t="s">
        <v>52</v>
      </c>
      <c r="K6656" s="226">
        <v>473604</v>
      </c>
      <c r="L6656" s="226"/>
    </row>
    <row r="6657" spans="1:12" ht="45" x14ac:dyDescent="0.2">
      <c r="A6657" s="133">
        <v>2022</v>
      </c>
      <c r="B6657" s="133">
        <v>6</v>
      </c>
      <c r="C6657" s="133">
        <v>2</v>
      </c>
      <c r="D6657" s="141">
        <f t="shared" si="428"/>
        <v>44714</v>
      </c>
      <c r="E6657" s="275">
        <f t="shared" si="429"/>
        <v>44714</v>
      </c>
      <c r="F6657" s="481"/>
      <c r="G6657" s="174" t="s">
        <v>74</v>
      </c>
      <c r="H6657" s="148" t="str" cm="1">
        <f t="array" ref="H6657">IFERROR(INDEX(INVESTOR_LIST[INVESTOR NAME],MATCH(I6657,INVESTOR_LIST[INVESTOR CODE],0),)," ")</f>
        <v>MD. WALID - AL - ZUBAYER</v>
      </c>
      <c r="I6657" s="148" t="s">
        <v>764</v>
      </c>
      <c r="J6657" s="133" t="s">
        <v>13</v>
      </c>
      <c r="K6657" s="218"/>
      <c r="L6657" s="172">
        <v>394670</v>
      </c>
    </row>
    <row r="6658" spans="1:12" ht="45" x14ac:dyDescent="0.2">
      <c r="A6658" s="163">
        <v>2022</v>
      </c>
      <c r="B6658" s="163">
        <v>6</v>
      </c>
      <c r="C6658" s="163">
        <v>2</v>
      </c>
      <c r="D6658" s="141">
        <f t="shared" si="428"/>
        <v>44714</v>
      </c>
      <c r="E6658" s="275">
        <f t="shared" si="429"/>
        <v>44714</v>
      </c>
      <c r="F6658" s="480"/>
      <c r="G6658" s="221" t="s">
        <v>74</v>
      </c>
      <c r="H6658" s="145" t="str" cm="1">
        <f t="array" ref="H6658">IFERROR(INDEX(INVESTOR_LIST[INVESTOR NAME],MATCH(I6658,INVESTOR_LIST[INVESTOR CODE],0),)," ")</f>
        <v>MD. WALID - AL - ZUBAYER</v>
      </c>
      <c r="I6658" s="145" t="s">
        <v>764</v>
      </c>
      <c r="J6658" s="163" t="s">
        <v>53</v>
      </c>
      <c r="K6658" s="219"/>
      <c r="L6658" s="219">
        <f>K6656-L6657</f>
        <v>78934</v>
      </c>
    </row>
    <row r="6659" spans="1:12" ht="45" x14ac:dyDescent="0.2">
      <c r="A6659" s="168">
        <v>2022</v>
      </c>
      <c r="B6659" s="168">
        <v>6</v>
      </c>
      <c r="C6659" s="133">
        <v>2</v>
      </c>
      <c r="D6659" s="141">
        <f t="shared" si="428"/>
        <v>44714</v>
      </c>
      <c r="E6659" s="275">
        <f t="shared" si="429"/>
        <v>44714</v>
      </c>
      <c r="F6659" s="479" t="s">
        <v>964</v>
      </c>
      <c r="G6659" s="220" t="s">
        <v>74</v>
      </c>
      <c r="H6659" s="142" t="str" cm="1">
        <f t="array" ref="H6659">IFERROR(INDEX(INVESTOR_LIST[INVESTOR NAME],MATCH(I6659,INVESTOR_LIST[INVESTOR CODE],0),)," ")</f>
        <v>SAMMIR BIN DELOWER</v>
      </c>
      <c r="I6659" s="142" t="s">
        <v>899</v>
      </c>
      <c r="J6659" s="168" t="s">
        <v>52</v>
      </c>
      <c r="K6659" s="226">
        <v>200000</v>
      </c>
      <c r="L6659" s="226"/>
    </row>
    <row r="6660" spans="1:12" ht="45" x14ac:dyDescent="0.2">
      <c r="A6660" s="133">
        <v>2022</v>
      </c>
      <c r="B6660" s="133">
        <v>6</v>
      </c>
      <c r="C6660" s="133">
        <v>2</v>
      </c>
      <c r="D6660" s="141">
        <f t="shared" si="428"/>
        <v>44714</v>
      </c>
      <c r="E6660" s="275">
        <f t="shared" si="429"/>
        <v>44714</v>
      </c>
      <c r="F6660" s="481"/>
      <c r="G6660" s="174" t="s">
        <v>74</v>
      </c>
      <c r="H6660" s="148" t="str" cm="1">
        <f t="array" ref="H6660">IFERROR(INDEX(INVESTOR_LIST[INVESTOR NAME],MATCH(I6660,INVESTOR_LIST[INVESTOR CODE],0),)," ")</f>
        <v>SAMMIR BIN DELOWER</v>
      </c>
      <c r="I6660" s="148" t="s">
        <v>899</v>
      </c>
      <c r="J6660" s="133" t="s">
        <v>13</v>
      </c>
      <c r="K6660" s="218"/>
      <c r="L6660" s="172">
        <v>166670</v>
      </c>
    </row>
    <row r="6661" spans="1:12" ht="45" x14ac:dyDescent="0.2">
      <c r="A6661" s="163">
        <v>2022</v>
      </c>
      <c r="B6661" s="163">
        <v>6</v>
      </c>
      <c r="C6661" s="163">
        <v>2</v>
      </c>
      <c r="D6661" s="141">
        <f t="shared" si="428"/>
        <v>44714</v>
      </c>
      <c r="E6661" s="275">
        <f t="shared" si="429"/>
        <v>44714</v>
      </c>
      <c r="F6661" s="480"/>
      <c r="G6661" s="221" t="s">
        <v>74</v>
      </c>
      <c r="H6661" s="145" t="str" cm="1">
        <f t="array" ref="H6661">IFERROR(INDEX(INVESTOR_LIST[INVESTOR NAME],MATCH(I6661,INVESTOR_LIST[INVESTOR CODE],0),)," ")</f>
        <v>SAMMIR BIN DELOWER</v>
      </c>
      <c r="I6661" s="145" t="s">
        <v>899</v>
      </c>
      <c r="J6661" s="163" t="s">
        <v>53</v>
      </c>
      <c r="K6661" s="219"/>
      <c r="L6661" s="219">
        <f>K6659-L6660</f>
        <v>33330</v>
      </c>
    </row>
    <row r="6662" spans="1:12" ht="33.75" x14ac:dyDescent="0.2">
      <c r="A6662" s="168">
        <v>2022</v>
      </c>
      <c r="B6662" s="168">
        <v>6</v>
      </c>
      <c r="C6662" s="133">
        <v>2</v>
      </c>
      <c r="D6662" s="141">
        <f t="shared" si="428"/>
        <v>44714</v>
      </c>
      <c r="E6662" s="275">
        <f t="shared" si="429"/>
        <v>44714</v>
      </c>
      <c r="F6662" s="479" t="s">
        <v>964</v>
      </c>
      <c r="G6662" s="220" t="s">
        <v>74</v>
      </c>
      <c r="H6662" s="142" t="str" cm="1">
        <f t="array" ref="H6662">IFERROR(INDEX(INVESTOR_LIST[INVESTOR NAME],MATCH(I6662,INVESTOR_LIST[INVESTOR CODE],0),)," ")</f>
        <v>MIR ARIFUL ISLAM</v>
      </c>
      <c r="I6662" s="142" t="s">
        <v>1353</v>
      </c>
      <c r="J6662" s="168" t="s">
        <v>52</v>
      </c>
      <c r="K6662" s="226">
        <v>840000</v>
      </c>
      <c r="L6662" s="226"/>
    </row>
    <row r="6663" spans="1:12" ht="33.75" x14ac:dyDescent="0.2">
      <c r="A6663" s="133">
        <v>2022</v>
      </c>
      <c r="B6663" s="133">
        <v>6</v>
      </c>
      <c r="C6663" s="133">
        <v>2</v>
      </c>
      <c r="D6663" s="141">
        <f t="shared" si="428"/>
        <v>44714</v>
      </c>
      <c r="E6663" s="275">
        <f t="shared" si="429"/>
        <v>44714</v>
      </c>
      <c r="F6663" s="481"/>
      <c r="G6663" s="174" t="s">
        <v>74</v>
      </c>
      <c r="H6663" s="148" t="str" cm="1">
        <f t="array" ref="H6663">IFERROR(INDEX(INVESTOR_LIST[INVESTOR NAME],MATCH(I6663,INVESTOR_LIST[INVESTOR CODE],0),)," ")</f>
        <v>MIR ARIFUL ISLAM</v>
      </c>
      <c r="I6663" s="148" t="s">
        <v>1353</v>
      </c>
      <c r="J6663" s="133" t="s">
        <v>13</v>
      </c>
      <c r="K6663" s="218"/>
      <c r="L6663" s="172">
        <v>700000</v>
      </c>
    </row>
    <row r="6664" spans="1:12" ht="33.75" x14ac:dyDescent="0.2">
      <c r="A6664" s="163">
        <v>2022</v>
      </c>
      <c r="B6664" s="163">
        <v>6</v>
      </c>
      <c r="C6664" s="163">
        <v>2</v>
      </c>
      <c r="D6664" s="141">
        <f t="shared" si="428"/>
        <v>44714</v>
      </c>
      <c r="E6664" s="275">
        <f t="shared" si="429"/>
        <v>44714</v>
      </c>
      <c r="F6664" s="480"/>
      <c r="G6664" s="221" t="s">
        <v>74</v>
      </c>
      <c r="H6664" s="145" t="str" cm="1">
        <f t="array" ref="H6664">IFERROR(INDEX(INVESTOR_LIST[INVESTOR NAME],MATCH(I6664,INVESTOR_LIST[INVESTOR CODE],0),)," ")</f>
        <v>MIR ARIFUL ISLAM</v>
      </c>
      <c r="I6664" s="145" t="s">
        <v>1353</v>
      </c>
      <c r="J6664" s="163" t="s">
        <v>53</v>
      </c>
      <c r="K6664" s="219"/>
      <c r="L6664" s="219">
        <f>K6662-L6663</f>
        <v>140000</v>
      </c>
    </row>
    <row r="6665" spans="1:12" ht="45" x14ac:dyDescent="0.2">
      <c r="A6665" s="168">
        <v>2022</v>
      </c>
      <c r="B6665" s="168">
        <v>6</v>
      </c>
      <c r="C6665" s="133">
        <v>2</v>
      </c>
      <c r="D6665" s="141">
        <f t="shared" si="428"/>
        <v>44714</v>
      </c>
      <c r="E6665" s="275">
        <f t="shared" si="429"/>
        <v>44714</v>
      </c>
      <c r="F6665" s="479" t="s">
        <v>1315</v>
      </c>
      <c r="G6665" s="220" t="s">
        <v>74</v>
      </c>
      <c r="H6665" s="142" t="str" cm="1">
        <f t="array" ref="H6665">IFERROR(INDEX(INVESTOR_LIST[INVESTOR NAME],MATCH(I6665,INVESTOR_LIST[INVESTOR CODE],0),)," ")</f>
        <v>SWADESH RANJAN SAHA</v>
      </c>
      <c r="I6665" s="142" t="s">
        <v>461</v>
      </c>
      <c r="J6665" s="168" t="s">
        <v>13</v>
      </c>
      <c r="K6665" s="226">
        <v>666670</v>
      </c>
      <c r="L6665" s="226"/>
    </row>
    <row r="6666" spans="1:12" ht="45" x14ac:dyDescent="0.2">
      <c r="A6666" s="133">
        <v>2022</v>
      </c>
      <c r="B6666" s="133">
        <v>6</v>
      </c>
      <c r="C6666" s="133">
        <v>2</v>
      </c>
      <c r="D6666" s="141">
        <f t="shared" si="428"/>
        <v>44714</v>
      </c>
      <c r="E6666" s="275">
        <f t="shared" si="429"/>
        <v>44714</v>
      </c>
      <c r="F6666" s="481"/>
      <c r="G6666" s="174" t="s">
        <v>74</v>
      </c>
      <c r="H6666" s="148" t="str" cm="1">
        <f t="array" ref="H6666">IFERROR(INDEX(INVESTOR_LIST[INVESTOR NAME],MATCH(I6666,INVESTOR_LIST[INVESTOR CODE],0),)," ")</f>
        <v>SWADESH RANJAN SAHA</v>
      </c>
      <c r="I6666" s="148" t="s">
        <v>461</v>
      </c>
      <c r="J6666" s="133" t="s">
        <v>53</v>
      </c>
      <c r="K6666" s="218">
        <v>133330</v>
      </c>
      <c r="L6666" s="218"/>
    </row>
    <row r="6667" spans="1:12" ht="45" x14ac:dyDescent="0.2">
      <c r="A6667" s="163">
        <v>2022</v>
      </c>
      <c r="B6667" s="163">
        <v>6</v>
      </c>
      <c r="C6667" s="163">
        <v>2</v>
      </c>
      <c r="D6667" s="141">
        <f t="shared" si="428"/>
        <v>44714</v>
      </c>
      <c r="E6667" s="275">
        <f t="shared" si="429"/>
        <v>44714</v>
      </c>
      <c r="F6667" s="480"/>
      <c r="G6667" s="221" t="s">
        <v>74</v>
      </c>
      <c r="H6667" s="145" t="str" cm="1">
        <f t="array" ref="H6667">IFERROR(INDEX(INVESTOR_LIST[INVESTOR NAME],MATCH(I6667,INVESTOR_LIST[INVESTOR CODE],0),)," ")</f>
        <v>SWADESH RANJAN SAHA</v>
      </c>
      <c r="I6667" s="145" t="s">
        <v>461</v>
      </c>
      <c r="J6667" s="163" t="s">
        <v>52</v>
      </c>
      <c r="K6667" s="219"/>
      <c r="L6667" s="219">
        <v>800000</v>
      </c>
    </row>
    <row r="6668" spans="1:12" x14ac:dyDescent="0.2">
      <c r="A6668" s="133">
        <v>2022</v>
      </c>
      <c r="B6668" s="133">
        <v>6</v>
      </c>
      <c r="C6668" s="168">
        <v>2</v>
      </c>
      <c r="D6668" s="141">
        <f t="shared" si="428"/>
        <v>44714</v>
      </c>
      <c r="E6668" s="275">
        <f t="shared" si="429"/>
        <v>44714</v>
      </c>
      <c r="F6668" s="479" t="s">
        <v>77</v>
      </c>
      <c r="G6668" s="174" t="s">
        <v>74</v>
      </c>
      <c r="H6668" s="148" t="str" cm="1">
        <f t="array" ref="H6668">IFERROR(INDEX(INVESTOR_LIST[INVESTOR NAME],MATCH(I6668,INVESTOR_LIST[INVESTOR CODE],0),)," ")</f>
        <v xml:space="preserve"> </v>
      </c>
      <c r="I6668" s="148" t="s">
        <v>348</v>
      </c>
      <c r="J6668" s="133" t="s">
        <v>61</v>
      </c>
      <c r="K6668" s="172">
        <v>60</v>
      </c>
    </row>
    <row r="6669" spans="1:12" x14ac:dyDescent="0.2">
      <c r="A6669" s="163">
        <v>2022</v>
      </c>
      <c r="B6669" s="163">
        <v>6</v>
      </c>
      <c r="C6669" s="163">
        <v>2</v>
      </c>
      <c r="D6669" s="141">
        <f t="shared" si="428"/>
        <v>44714</v>
      </c>
      <c r="E6669" s="275">
        <f t="shared" si="429"/>
        <v>44714</v>
      </c>
      <c r="F6669" s="480"/>
      <c r="G6669" s="221" t="s">
        <v>74</v>
      </c>
      <c r="H6669" s="145" t="str" cm="1">
        <f t="array" ref="H6669">IFERROR(INDEX(INVESTOR_LIST[INVESTOR NAME],MATCH(I6669,INVESTOR_LIST[INVESTOR CODE],0),)," ")</f>
        <v xml:space="preserve"> </v>
      </c>
      <c r="I6669" s="145" t="s">
        <v>348</v>
      </c>
      <c r="J6669" s="163" t="s">
        <v>52</v>
      </c>
      <c r="K6669" s="219"/>
      <c r="L6669" s="219">
        <v>60</v>
      </c>
    </row>
    <row r="6670" spans="1:12" x14ac:dyDescent="0.2">
      <c r="A6670" s="238">
        <v>2022</v>
      </c>
      <c r="B6670" s="238">
        <v>6</v>
      </c>
      <c r="C6670" s="238">
        <v>2</v>
      </c>
      <c r="D6670" s="270">
        <f t="shared" si="428"/>
        <v>44714</v>
      </c>
      <c r="E6670" s="279">
        <f t="shared" si="429"/>
        <v>44714</v>
      </c>
      <c r="F6670" s="477" t="s">
        <v>347</v>
      </c>
      <c r="G6670" s="239" t="s">
        <v>94</v>
      </c>
      <c r="H6670" s="239" t="str" cm="1">
        <f t="array" ref="H6670">IFERROR(INDEX(INVESTOR_LIST[INVESTOR NAME],MATCH(I6670,INVESTOR_LIST[INVESTOR CODE],0),)," ")</f>
        <v xml:space="preserve"> </v>
      </c>
      <c r="I6670" s="262" t="s">
        <v>348</v>
      </c>
      <c r="J6670" s="240" t="s">
        <v>108</v>
      </c>
      <c r="K6670" s="241">
        <v>2253593.3900000453</v>
      </c>
      <c r="L6670" s="241"/>
    </row>
    <row r="6671" spans="1:12" x14ac:dyDescent="0.2">
      <c r="A6671" s="242">
        <v>2022</v>
      </c>
      <c r="B6671" s="242">
        <v>6</v>
      </c>
      <c r="C6671" s="242">
        <v>2</v>
      </c>
      <c r="D6671" s="270">
        <f t="shared" si="428"/>
        <v>44714</v>
      </c>
      <c r="E6671" s="279">
        <f t="shared" si="429"/>
        <v>44714</v>
      </c>
      <c r="F6671" s="478"/>
      <c r="G6671" s="243" t="s">
        <v>94</v>
      </c>
      <c r="H6671" s="243" t="str" cm="1">
        <f t="array" ref="H6671">IFERROR(INDEX(INVESTOR_LIST[INVESTOR NAME],MATCH(I6671,INVESTOR_LIST[INVESTOR CODE],0),)," ")</f>
        <v xml:space="preserve"> </v>
      </c>
      <c r="I6671" s="263" t="s">
        <v>348</v>
      </c>
      <c r="J6671" s="244" t="s">
        <v>82</v>
      </c>
      <c r="K6671" s="245"/>
      <c r="L6671" s="245">
        <v>2253593.3900000453</v>
      </c>
    </row>
    <row r="6672" spans="1:12" ht="22.5" x14ac:dyDescent="0.2">
      <c r="A6672" s="246">
        <v>2022</v>
      </c>
      <c r="B6672" s="246">
        <v>6</v>
      </c>
      <c r="C6672" s="246">
        <v>2</v>
      </c>
      <c r="D6672" s="270">
        <f t="shared" si="428"/>
        <v>44714</v>
      </c>
      <c r="E6672" s="279">
        <f t="shared" si="429"/>
        <v>44714</v>
      </c>
      <c r="F6672" s="482" t="s">
        <v>148</v>
      </c>
      <c r="G6672" s="247" t="s">
        <v>94</v>
      </c>
      <c r="H6672" s="247" t="str" cm="1">
        <f t="array" ref="H6672">IFERROR(INDEX(INVESTOR_LIST[INVESTOR NAME],MATCH(I6672,INVESTOR_LIST[INVESTOR CODE],0),)," ")</f>
        <v xml:space="preserve"> </v>
      </c>
      <c r="I6672" s="248" t="s">
        <v>348</v>
      </c>
      <c r="J6672" s="249" t="s">
        <v>95</v>
      </c>
      <c r="K6672" s="250">
        <v>2747.2527472527472</v>
      </c>
      <c r="L6672" s="241"/>
    </row>
    <row r="6673" spans="1:14" x14ac:dyDescent="0.2">
      <c r="A6673" s="242">
        <v>2022</v>
      </c>
      <c r="B6673" s="242">
        <v>6</v>
      </c>
      <c r="C6673" s="242">
        <v>2</v>
      </c>
      <c r="D6673" s="270">
        <f t="shared" si="428"/>
        <v>44714</v>
      </c>
      <c r="E6673" s="279">
        <f t="shared" si="429"/>
        <v>44714</v>
      </c>
      <c r="F6673" s="478"/>
      <c r="G6673" s="243" t="s">
        <v>94</v>
      </c>
      <c r="H6673" s="243" t="str" cm="1">
        <f t="array" ref="H6673">IFERROR(INDEX(INVESTOR_LIST[INVESTOR NAME],MATCH(I6673,INVESTOR_LIST[INVESTOR CODE],0),)," ")</f>
        <v xml:space="preserve"> </v>
      </c>
      <c r="I6673" s="263" t="s">
        <v>348</v>
      </c>
      <c r="J6673" s="244" t="s">
        <v>63</v>
      </c>
      <c r="K6673" s="245"/>
      <c r="L6673" s="245">
        <v>2747.2527472527472</v>
      </c>
    </row>
    <row r="6674" spans="1:14" x14ac:dyDescent="0.2">
      <c r="A6674" s="246">
        <v>2022</v>
      </c>
      <c r="B6674" s="246">
        <v>6</v>
      </c>
      <c r="C6674" s="246">
        <v>2</v>
      </c>
      <c r="D6674" s="270">
        <f t="shared" si="428"/>
        <v>44714</v>
      </c>
      <c r="E6674" s="279">
        <f t="shared" si="429"/>
        <v>44714</v>
      </c>
      <c r="F6674" s="482" t="s">
        <v>137</v>
      </c>
      <c r="G6674" s="247" t="s">
        <v>94</v>
      </c>
      <c r="H6674" s="247" t="str" cm="1">
        <f t="array" ref="H6674">IFERROR(INDEX(INVESTOR_LIST[INVESTOR NAME],MATCH(I6674,INVESTOR_LIST[INVESTOR CODE],0),)," ")</f>
        <v xml:space="preserve"> </v>
      </c>
      <c r="I6674" s="248" t="s">
        <v>348</v>
      </c>
      <c r="J6674" s="249" t="s">
        <v>97</v>
      </c>
      <c r="K6674" s="250">
        <v>82435.566324035346</v>
      </c>
      <c r="L6674" s="252"/>
    </row>
    <row r="6675" spans="1:14" x14ac:dyDescent="0.2">
      <c r="A6675" s="242">
        <v>2022</v>
      </c>
      <c r="B6675" s="242">
        <v>6</v>
      </c>
      <c r="C6675" s="242">
        <v>2</v>
      </c>
      <c r="D6675" s="270">
        <f t="shared" si="428"/>
        <v>44714</v>
      </c>
      <c r="E6675" s="279">
        <f t="shared" si="429"/>
        <v>44714</v>
      </c>
      <c r="F6675" s="478"/>
      <c r="G6675" s="243" t="s">
        <v>94</v>
      </c>
      <c r="H6675" s="243" t="str" cm="1">
        <f t="array" ref="H6675">IFERROR(INDEX(INVESTOR_LIST[INVESTOR NAME],MATCH(I6675,INVESTOR_LIST[INVESTOR CODE],0),)," ")</f>
        <v xml:space="preserve"> </v>
      </c>
      <c r="I6675" s="263" t="s">
        <v>348</v>
      </c>
      <c r="J6675" s="244" t="s">
        <v>47</v>
      </c>
      <c r="K6675" s="245"/>
      <c r="L6675" s="245">
        <v>82435.566324035346</v>
      </c>
    </row>
    <row r="6676" spans="1:14" x14ac:dyDescent="0.2">
      <c r="A6676" s="246">
        <v>2022</v>
      </c>
      <c r="B6676" s="246">
        <v>6</v>
      </c>
      <c r="C6676" s="246">
        <v>2</v>
      </c>
      <c r="D6676" s="270">
        <f t="shared" si="428"/>
        <v>44714</v>
      </c>
      <c r="E6676" s="279">
        <f t="shared" si="429"/>
        <v>44714</v>
      </c>
      <c r="F6676" s="482" t="s">
        <v>138</v>
      </c>
      <c r="G6676" s="247" t="s">
        <v>94</v>
      </c>
      <c r="H6676" s="247" t="str" cm="1">
        <f t="array" ref="H6676">IFERROR(INDEX(INVESTOR_LIST[INVESTOR NAME],MATCH(I6676,INVESTOR_LIST[INVESTOR CODE],0),)," ")</f>
        <v xml:space="preserve"> </v>
      </c>
      <c r="I6676" s="248" t="s">
        <v>348</v>
      </c>
      <c r="J6676" s="249" t="s">
        <v>100</v>
      </c>
      <c r="K6676" s="250">
        <v>3881.393700817152</v>
      </c>
      <c r="L6676" s="252"/>
    </row>
    <row r="6677" spans="1:14" x14ac:dyDescent="0.2">
      <c r="A6677" s="242">
        <v>2022</v>
      </c>
      <c r="B6677" s="242">
        <v>6</v>
      </c>
      <c r="C6677" s="242">
        <v>2</v>
      </c>
      <c r="D6677" s="270">
        <f t="shared" si="428"/>
        <v>44714</v>
      </c>
      <c r="E6677" s="279">
        <f t="shared" si="429"/>
        <v>44714</v>
      </c>
      <c r="F6677" s="478"/>
      <c r="G6677" s="243" t="s">
        <v>94</v>
      </c>
      <c r="H6677" s="243" t="str" cm="1">
        <f t="array" ref="H6677">IFERROR(INDEX(INVESTOR_LIST[INVESTOR NAME],MATCH(I6677,INVESTOR_LIST[INVESTOR CODE],0),)," ")</f>
        <v xml:space="preserve"> </v>
      </c>
      <c r="I6677" s="263" t="s">
        <v>348</v>
      </c>
      <c r="J6677" s="244" t="s">
        <v>48</v>
      </c>
      <c r="K6677" s="245"/>
      <c r="L6677" s="245">
        <v>3881.393700817152</v>
      </c>
    </row>
    <row r="6678" spans="1:14" x14ac:dyDescent="0.2">
      <c r="A6678" s="168">
        <v>2022</v>
      </c>
      <c r="B6678" s="168">
        <v>6</v>
      </c>
      <c r="C6678" s="133">
        <v>3</v>
      </c>
      <c r="D6678" s="141">
        <f t="shared" si="428"/>
        <v>44715</v>
      </c>
      <c r="E6678" s="275">
        <f t="shared" si="429"/>
        <v>44715</v>
      </c>
      <c r="F6678" s="479" t="s">
        <v>1430</v>
      </c>
      <c r="G6678" s="220" t="s">
        <v>74</v>
      </c>
      <c r="H6678" s="142" t="str" cm="1">
        <f t="array" ref="H6678">IFERROR(INDEX(INVESTOR_LIST[INVESTOR NAME],MATCH(I6678,INVESTOR_LIST[INVESTOR CODE],0),)," ")</f>
        <v xml:space="preserve"> </v>
      </c>
      <c r="I6678" s="142"/>
      <c r="J6678" s="168" t="s">
        <v>96</v>
      </c>
      <c r="K6678" s="226">
        <v>10163750</v>
      </c>
      <c r="L6678" s="226"/>
      <c r="M6678" s="264"/>
      <c r="N6678" s="264"/>
    </row>
    <row r="6679" spans="1:14" x14ac:dyDescent="0.2">
      <c r="A6679" s="133">
        <v>2022</v>
      </c>
      <c r="B6679" s="133">
        <v>6</v>
      </c>
      <c r="C6679" s="133">
        <v>3</v>
      </c>
      <c r="D6679" s="141">
        <f t="shared" si="428"/>
        <v>44715</v>
      </c>
      <c r="E6679" s="275">
        <f t="shared" si="429"/>
        <v>44715</v>
      </c>
      <c r="F6679" s="481"/>
      <c r="G6679" s="174" t="s">
        <v>74</v>
      </c>
      <c r="H6679" s="148" t="str" cm="1">
        <f t="array" ref="H6679">IFERROR(INDEX(INVESTOR_LIST[INVESTOR NAME],MATCH(I6679,INVESTOR_LIST[INVESTOR CODE],0),)," ")</f>
        <v xml:space="preserve"> </v>
      </c>
      <c r="J6679" s="133" t="s">
        <v>1431</v>
      </c>
      <c r="K6679" s="218"/>
      <c r="L6679" s="172">
        <v>163750</v>
      </c>
    </row>
    <row r="6680" spans="1:14" x14ac:dyDescent="0.2">
      <c r="A6680" s="163">
        <v>2022</v>
      </c>
      <c r="B6680" s="163">
        <v>6</v>
      </c>
      <c r="C6680" s="163">
        <v>3</v>
      </c>
      <c r="D6680" s="141">
        <f t="shared" si="428"/>
        <v>44715</v>
      </c>
      <c r="E6680" s="275">
        <f t="shared" si="429"/>
        <v>44715</v>
      </c>
      <c r="F6680" s="480"/>
      <c r="G6680" s="221" t="s">
        <v>74</v>
      </c>
      <c r="H6680" s="145" t="str" cm="1">
        <f t="array" ref="H6680">IFERROR(INDEX(INVESTOR_LIST[INVESTOR NAME],MATCH(I6680,INVESTOR_LIST[INVESTOR CODE],0),)," ")</f>
        <v xml:space="preserve"> </v>
      </c>
      <c r="I6680" s="145"/>
      <c r="J6680" s="163" t="s">
        <v>96</v>
      </c>
      <c r="K6680" s="219"/>
      <c r="L6680" s="219">
        <v>10000000</v>
      </c>
    </row>
    <row r="6681" spans="1:14" x14ac:dyDescent="0.2">
      <c r="A6681" s="168">
        <v>2022</v>
      </c>
      <c r="B6681" s="168">
        <v>6</v>
      </c>
      <c r="C6681" s="133">
        <v>5</v>
      </c>
      <c r="D6681" s="141">
        <f t="shared" si="428"/>
        <v>44717</v>
      </c>
      <c r="E6681" s="275">
        <f t="shared" si="429"/>
        <v>44717</v>
      </c>
      <c r="F6681" s="479" t="s">
        <v>1319</v>
      </c>
      <c r="G6681" s="220" t="s">
        <v>74</v>
      </c>
      <c r="H6681" s="142" t="str" cm="1">
        <f t="array" ref="H6681">IFERROR(INDEX(INVESTOR_LIST[INVESTOR NAME],MATCH(I6681,INVESTOR_LIST[INVESTOR CODE],0),)," ")</f>
        <v xml:space="preserve"> </v>
      </c>
      <c r="I6681" s="142"/>
      <c r="J6681" s="168" t="s">
        <v>52</v>
      </c>
      <c r="K6681" s="226">
        <v>368000</v>
      </c>
      <c r="L6681" s="226"/>
      <c r="N6681" s="160"/>
    </row>
    <row r="6682" spans="1:14" x14ac:dyDescent="0.2">
      <c r="A6682" s="133">
        <v>2022</v>
      </c>
      <c r="B6682" s="133">
        <v>6</v>
      </c>
      <c r="C6682" s="133">
        <v>5</v>
      </c>
      <c r="D6682" s="141">
        <f t="shared" si="428"/>
        <v>44717</v>
      </c>
      <c r="E6682" s="275">
        <f t="shared" si="429"/>
        <v>44717</v>
      </c>
      <c r="F6682" s="481"/>
      <c r="G6682" s="174" t="s">
        <v>74</v>
      </c>
      <c r="H6682" s="148" t="str" cm="1">
        <f t="array" ref="H6682">IFERROR(INDEX(INVESTOR_LIST[INVESTOR NAME],MATCH(I6682,INVESTOR_LIST[INVESTOR CODE],0),)," ")</f>
        <v xml:space="preserve"> </v>
      </c>
      <c r="J6682" s="133" t="s">
        <v>13</v>
      </c>
      <c r="K6682" s="218"/>
      <c r="L6682" s="218">
        <v>304070</v>
      </c>
      <c r="M6682" s="160"/>
      <c r="N6682" s="160"/>
    </row>
    <row r="6683" spans="1:14" x14ac:dyDescent="0.2">
      <c r="A6683" s="163">
        <v>2022</v>
      </c>
      <c r="B6683" s="163">
        <v>6</v>
      </c>
      <c r="C6683" s="163">
        <v>5</v>
      </c>
      <c r="D6683" s="141">
        <f t="shared" si="428"/>
        <v>44717</v>
      </c>
      <c r="E6683" s="275">
        <f t="shared" si="429"/>
        <v>44717</v>
      </c>
      <c r="F6683" s="480"/>
      <c r="G6683" s="221" t="s">
        <v>74</v>
      </c>
      <c r="H6683" s="145" t="str" cm="1">
        <f t="array" ref="H6683">IFERROR(INDEX(INVESTOR_LIST[INVESTOR NAME],MATCH(I6683,INVESTOR_LIST[INVESTOR CODE],0),)," ")</f>
        <v xml:space="preserve"> </v>
      </c>
      <c r="I6683" s="145"/>
      <c r="J6683" s="163" t="s">
        <v>53</v>
      </c>
      <c r="K6683" s="219"/>
      <c r="L6683" s="219">
        <v>63930</v>
      </c>
      <c r="M6683" s="160"/>
    </row>
    <row r="6684" spans="1:14" x14ac:dyDescent="0.2">
      <c r="A6684" s="168">
        <v>2022</v>
      </c>
      <c r="B6684" s="168">
        <v>6</v>
      </c>
      <c r="C6684" s="133">
        <v>5</v>
      </c>
      <c r="D6684" s="141">
        <f t="shared" si="428"/>
        <v>44717</v>
      </c>
      <c r="E6684" s="275">
        <f t="shared" si="429"/>
        <v>44717</v>
      </c>
      <c r="F6684" s="479" t="s">
        <v>1398</v>
      </c>
      <c r="G6684" s="220" t="s">
        <v>74</v>
      </c>
      <c r="H6684" s="220" t="str" cm="1">
        <f t="array" ref="H6684">IFERROR(INDEX(INVESTOR_LIST[INVESTOR NAME],MATCH(I6684,INVESTOR_LIST[INVESTOR CODE],0),)," ")</f>
        <v xml:space="preserve"> </v>
      </c>
      <c r="I6684" s="142" t="s">
        <v>348</v>
      </c>
      <c r="J6684" s="143" t="s">
        <v>79</v>
      </c>
      <c r="K6684" s="226">
        <v>255500</v>
      </c>
      <c r="L6684" s="226"/>
    </row>
    <row r="6685" spans="1:14" x14ac:dyDescent="0.2">
      <c r="A6685" s="133">
        <v>2022</v>
      </c>
      <c r="B6685" s="133">
        <v>6</v>
      </c>
      <c r="C6685" s="133">
        <v>5</v>
      </c>
      <c r="D6685" s="141">
        <f t="shared" si="428"/>
        <v>44717</v>
      </c>
      <c r="E6685" s="275">
        <f t="shared" si="429"/>
        <v>44717</v>
      </c>
      <c r="F6685" s="481"/>
      <c r="G6685" s="174" t="s">
        <v>74</v>
      </c>
      <c r="H6685" s="174" t="str" cm="1">
        <f t="array" ref="H6685">IFERROR(INDEX(INVESTOR_LIST[INVESTOR NAME],MATCH(I6685,INVESTOR_LIST[INVESTOR CODE],0),)," ")</f>
        <v xml:space="preserve"> </v>
      </c>
      <c r="I6685" s="148" t="s">
        <v>348</v>
      </c>
      <c r="J6685" s="149" t="s">
        <v>52</v>
      </c>
      <c r="K6685" s="218">
        <v>11744500</v>
      </c>
      <c r="L6685" s="218"/>
    </row>
    <row r="6686" spans="1:14" x14ac:dyDescent="0.2">
      <c r="A6686" s="163">
        <v>2022</v>
      </c>
      <c r="B6686" s="163">
        <v>6</v>
      </c>
      <c r="C6686" s="163">
        <v>5</v>
      </c>
      <c r="D6686" s="141">
        <f t="shared" si="428"/>
        <v>44717</v>
      </c>
      <c r="E6686" s="275">
        <f t="shared" si="429"/>
        <v>44717</v>
      </c>
      <c r="F6686" s="480"/>
      <c r="G6686" s="221" t="s">
        <v>74</v>
      </c>
      <c r="H6686" s="221" t="str" cm="1">
        <f t="array" ref="H6686">IFERROR(INDEX(INVESTOR_LIST[INVESTOR NAME],MATCH(I6686,INVESTOR_LIST[INVESTOR CODE],0),)," ")</f>
        <v xml:space="preserve"> </v>
      </c>
      <c r="I6686" s="145" t="s">
        <v>348</v>
      </c>
      <c r="J6686" s="146" t="s">
        <v>184</v>
      </c>
      <c r="K6686" s="219"/>
      <c r="L6686" s="219">
        <v>12000000</v>
      </c>
      <c r="M6686" s="160"/>
    </row>
    <row r="6687" spans="1:14" ht="33.75" x14ac:dyDescent="0.2">
      <c r="A6687" s="168">
        <v>2022</v>
      </c>
      <c r="B6687" s="168">
        <v>6</v>
      </c>
      <c r="C6687" s="133">
        <v>5</v>
      </c>
      <c r="D6687" s="141">
        <f t="shared" ref="D6687:D6694" si="430">DATE(A6687,B6687,C6687)</f>
        <v>44717</v>
      </c>
      <c r="E6687" s="275">
        <f t="shared" ref="E6687:E6694" si="431">DATE(A6687,B6687,C6687)</f>
        <v>44717</v>
      </c>
      <c r="F6687" s="479" t="s">
        <v>964</v>
      </c>
      <c r="G6687" s="220" t="s">
        <v>74</v>
      </c>
      <c r="H6687" s="142" t="str" cm="1">
        <f t="array" ref="H6687">IFERROR(INDEX(INVESTOR_LIST[INVESTOR NAME],MATCH(I6687,INVESTOR_LIST[INVESTOR CODE],0),)," ")</f>
        <v>AHMED BIN MONSUR</v>
      </c>
      <c r="I6687" s="142" t="s">
        <v>992</v>
      </c>
      <c r="J6687" s="168" t="s">
        <v>52</v>
      </c>
      <c r="K6687" s="226">
        <v>1000000</v>
      </c>
      <c r="L6687" s="226"/>
    </row>
    <row r="6688" spans="1:14" ht="33.75" x14ac:dyDescent="0.2">
      <c r="A6688" s="133">
        <v>2022</v>
      </c>
      <c r="B6688" s="133">
        <v>6</v>
      </c>
      <c r="C6688" s="133">
        <v>5</v>
      </c>
      <c r="D6688" s="141">
        <f t="shared" si="430"/>
        <v>44717</v>
      </c>
      <c r="E6688" s="275">
        <f t="shared" si="431"/>
        <v>44717</v>
      </c>
      <c r="F6688" s="481"/>
      <c r="G6688" s="174" t="s">
        <v>74</v>
      </c>
      <c r="H6688" s="148" t="str" cm="1">
        <f t="array" ref="H6688">IFERROR(INDEX(INVESTOR_LIST[INVESTOR NAME],MATCH(I6688,INVESTOR_LIST[INVESTOR CODE],0),)," ")</f>
        <v>AHMED BIN MONSUR</v>
      </c>
      <c r="I6688" s="148" t="s">
        <v>992</v>
      </c>
      <c r="J6688" s="133" t="s">
        <v>13</v>
      </c>
      <c r="K6688" s="218"/>
      <c r="L6688" s="172">
        <v>833330</v>
      </c>
      <c r="M6688" s="160"/>
    </row>
    <row r="6689" spans="1:12" ht="33.75" x14ac:dyDescent="0.2">
      <c r="A6689" s="163">
        <v>2022</v>
      </c>
      <c r="B6689" s="163">
        <v>6</v>
      </c>
      <c r="C6689" s="163">
        <v>5</v>
      </c>
      <c r="D6689" s="141">
        <f t="shared" si="430"/>
        <v>44717</v>
      </c>
      <c r="E6689" s="275">
        <f t="shared" si="431"/>
        <v>44717</v>
      </c>
      <c r="F6689" s="480"/>
      <c r="G6689" s="221" t="s">
        <v>74</v>
      </c>
      <c r="H6689" s="145" t="str" cm="1">
        <f t="array" ref="H6689">IFERROR(INDEX(INVESTOR_LIST[INVESTOR NAME],MATCH(I6689,INVESTOR_LIST[INVESTOR CODE],0),)," ")</f>
        <v>AHMED BIN MONSUR</v>
      </c>
      <c r="I6689" s="145" t="s">
        <v>992</v>
      </c>
      <c r="J6689" s="163" t="s">
        <v>53</v>
      </c>
      <c r="K6689" s="219"/>
      <c r="L6689" s="219">
        <v>166670</v>
      </c>
    </row>
    <row r="6690" spans="1:12" x14ac:dyDescent="0.2">
      <c r="A6690" s="133">
        <v>2022</v>
      </c>
      <c r="B6690" s="133">
        <v>6</v>
      </c>
      <c r="C6690" s="168">
        <v>5</v>
      </c>
      <c r="D6690" s="141">
        <f t="shared" si="430"/>
        <v>44717</v>
      </c>
      <c r="E6690" s="275">
        <f t="shared" si="431"/>
        <v>44717</v>
      </c>
      <c r="F6690" s="479" t="s">
        <v>77</v>
      </c>
      <c r="G6690" s="174" t="s">
        <v>74</v>
      </c>
      <c r="H6690" s="148" t="str" cm="1">
        <f t="array" ref="H6690">IFERROR(INDEX(INVESTOR_LIST[INVESTOR NAME],MATCH(I6690,INVESTOR_LIST[INVESTOR CODE],0),)," ")</f>
        <v xml:space="preserve"> </v>
      </c>
      <c r="I6690" s="148" t="s">
        <v>348</v>
      </c>
      <c r="J6690" s="133" t="s">
        <v>61</v>
      </c>
      <c r="K6690" s="172">
        <v>60</v>
      </c>
    </row>
    <row r="6691" spans="1:12" x14ac:dyDescent="0.2">
      <c r="A6691" s="163">
        <v>2022</v>
      </c>
      <c r="B6691" s="163">
        <v>6</v>
      </c>
      <c r="C6691" s="163">
        <v>5</v>
      </c>
      <c r="D6691" s="141">
        <f t="shared" si="430"/>
        <v>44717</v>
      </c>
      <c r="E6691" s="275">
        <f t="shared" si="431"/>
        <v>44717</v>
      </c>
      <c r="F6691" s="480"/>
      <c r="G6691" s="221" t="s">
        <v>74</v>
      </c>
      <c r="H6691" s="145" t="str" cm="1">
        <f t="array" ref="H6691">IFERROR(INDEX(INVESTOR_LIST[INVESTOR NAME],MATCH(I6691,INVESTOR_LIST[INVESTOR CODE],0),)," ")</f>
        <v xml:space="preserve"> </v>
      </c>
      <c r="I6691" s="145" t="s">
        <v>348</v>
      </c>
      <c r="J6691" s="163" t="s">
        <v>52</v>
      </c>
      <c r="K6691" s="219"/>
      <c r="L6691" s="219">
        <v>60</v>
      </c>
    </row>
    <row r="6692" spans="1:12" ht="45" x14ac:dyDescent="0.2">
      <c r="A6692" s="168">
        <v>2022</v>
      </c>
      <c r="B6692" s="168">
        <v>6</v>
      </c>
      <c r="C6692" s="133">
        <v>8</v>
      </c>
      <c r="D6692" s="141">
        <f t="shared" si="430"/>
        <v>44720</v>
      </c>
      <c r="E6692" s="275">
        <f t="shared" si="431"/>
        <v>44720</v>
      </c>
      <c r="F6692" s="479" t="s">
        <v>1315</v>
      </c>
      <c r="G6692" s="220" t="s">
        <v>74</v>
      </c>
      <c r="H6692" s="142" t="str" cm="1">
        <f t="array" ref="H6692">IFERROR(INDEX(INVESTOR_LIST[INVESTOR NAME],MATCH(I6692,INVESTOR_LIST[INVESTOR CODE],0),)," ")</f>
        <v>KABIR AHMED TALUKDER</v>
      </c>
      <c r="I6692" s="142" t="s">
        <v>509</v>
      </c>
      <c r="J6692" s="168" t="s">
        <v>13</v>
      </c>
      <c r="K6692" s="226">
        <v>1484320</v>
      </c>
      <c r="L6692" s="226"/>
    </row>
    <row r="6693" spans="1:12" ht="45" x14ac:dyDescent="0.2">
      <c r="A6693" s="133">
        <v>2022</v>
      </c>
      <c r="B6693" s="133">
        <v>6</v>
      </c>
      <c r="C6693" s="133">
        <v>8</v>
      </c>
      <c r="D6693" s="141">
        <f t="shared" si="430"/>
        <v>44720</v>
      </c>
      <c r="E6693" s="275">
        <f t="shared" si="431"/>
        <v>44720</v>
      </c>
      <c r="F6693" s="481"/>
      <c r="G6693" s="174" t="s">
        <v>74</v>
      </c>
      <c r="H6693" s="148" t="str" cm="1">
        <f t="array" ref="H6693">IFERROR(INDEX(INVESTOR_LIST[INVESTOR NAME],MATCH(I6693,INVESTOR_LIST[INVESTOR CODE],0),)," ")</f>
        <v>KABIR AHMED TALUKDER</v>
      </c>
      <c r="I6693" s="148" t="s">
        <v>509</v>
      </c>
      <c r="J6693" s="133" t="s">
        <v>53</v>
      </c>
      <c r="K6693" s="218">
        <v>311707.2</v>
      </c>
      <c r="L6693" s="218"/>
    </row>
    <row r="6694" spans="1:12" ht="45" x14ac:dyDescent="0.2">
      <c r="A6694" s="163">
        <v>2022</v>
      </c>
      <c r="B6694" s="163">
        <v>6</v>
      </c>
      <c r="C6694" s="163">
        <v>8</v>
      </c>
      <c r="D6694" s="141">
        <f t="shared" si="430"/>
        <v>44720</v>
      </c>
      <c r="E6694" s="275">
        <f t="shared" si="431"/>
        <v>44720</v>
      </c>
      <c r="F6694" s="480"/>
      <c r="G6694" s="221" t="s">
        <v>74</v>
      </c>
      <c r="H6694" s="145" t="str" cm="1">
        <f t="array" ref="H6694">IFERROR(INDEX(INVESTOR_LIST[INVESTOR NAME],MATCH(I6694,INVESTOR_LIST[INVESTOR CODE],0),)," ")</f>
        <v>KABIR AHMED TALUKDER</v>
      </c>
      <c r="I6694" s="145" t="s">
        <v>509</v>
      </c>
      <c r="J6694" s="163" t="s">
        <v>52</v>
      </c>
      <c r="K6694" s="219"/>
      <c r="L6694" s="219">
        <v>1796027.2</v>
      </c>
    </row>
    <row r="6695" spans="1:12" ht="56.25" x14ac:dyDescent="0.2">
      <c r="A6695" s="168">
        <v>2022</v>
      </c>
      <c r="B6695" s="168">
        <v>6</v>
      </c>
      <c r="C6695" s="133">
        <v>9</v>
      </c>
      <c r="D6695" s="141">
        <f t="shared" ref="D6695:D6697" si="432">DATE(A6695,B6695,C6695)</f>
        <v>44721</v>
      </c>
      <c r="E6695" s="275">
        <f t="shared" ref="E6695:E6697" si="433">DATE(A6695,B6695,C6695)</f>
        <v>44721</v>
      </c>
      <c r="F6695" s="479" t="s">
        <v>964</v>
      </c>
      <c r="G6695" s="220" t="s">
        <v>74</v>
      </c>
      <c r="H6695" s="142" t="str" cm="1">
        <f t="array" ref="H6695">IFERROR(INDEX(INVESTOR_LIST[INVESTOR NAME],MATCH(I6695,INVESTOR_LIST[INVESTOR CODE],0),)," ")</f>
        <v>SK FEROZ ALAM &amp; MD BULBUL ISLAM</v>
      </c>
      <c r="I6695" s="142" t="s">
        <v>553</v>
      </c>
      <c r="J6695" s="168" t="s">
        <v>52</v>
      </c>
      <c r="K6695" s="226">
        <v>200000</v>
      </c>
      <c r="L6695" s="226"/>
    </row>
    <row r="6696" spans="1:12" ht="56.25" x14ac:dyDescent="0.2">
      <c r="A6696" s="133">
        <v>2022</v>
      </c>
      <c r="B6696" s="133">
        <v>6</v>
      </c>
      <c r="C6696" s="133">
        <v>9</v>
      </c>
      <c r="D6696" s="141">
        <f t="shared" si="432"/>
        <v>44721</v>
      </c>
      <c r="E6696" s="275">
        <f t="shared" si="433"/>
        <v>44721</v>
      </c>
      <c r="F6696" s="481"/>
      <c r="G6696" s="174" t="s">
        <v>74</v>
      </c>
      <c r="H6696" s="148" t="str" cm="1">
        <f t="array" ref="H6696">IFERROR(INDEX(INVESTOR_LIST[INVESTOR NAME],MATCH(I6696,INVESTOR_LIST[INVESTOR CODE],0),)," ")</f>
        <v>SK FEROZ ALAM &amp; MD BULBUL ISLAM</v>
      </c>
      <c r="I6696" s="148" t="s">
        <v>553</v>
      </c>
      <c r="J6696" s="133" t="s">
        <v>13</v>
      </c>
      <c r="K6696" s="218"/>
      <c r="L6696" s="172">
        <v>165290</v>
      </c>
    </row>
    <row r="6697" spans="1:12" ht="56.25" x14ac:dyDescent="0.2">
      <c r="A6697" s="163">
        <v>2022</v>
      </c>
      <c r="B6697" s="163">
        <v>6</v>
      </c>
      <c r="C6697" s="163">
        <v>9</v>
      </c>
      <c r="D6697" s="141">
        <f t="shared" si="432"/>
        <v>44721</v>
      </c>
      <c r="E6697" s="275">
        <f t="shared" si="433"/>
        <v>44721</v>
      </c>
      <c r="F6697" s="480"/>
      <c r="G6697" s="221" t="s">
        <v>74</v>
      </c>
      <c r="H6697" s="145" t="str" cm="1">
        <f t="array" ref="H6697">IFERROR(INDEX(INVESTOR_LIST[INVESTOR NAME],MATCH(I6697,INVESTOR_LIST[INVESTOR CODE],0),)," ")</f>
        <v>SK FEROZ ALAM &amp; MD BULBUL ISLAM</v>
      </c>
      <c r="I6697" s="145" t="s">
        <v>553</v>
      </c>
      <c r="J6697" s="163" t="s">
        <v>53</v>
      </c>
      <c r="K6697" s="219"/>
      <c r="L6697" s="219">
        <v>34710</v>
      </c>
    </row>
    <row r="6698" spans="1:12" x14ac:dyDescent="0.2">
      <c r="A6698" s="168">
        <v>2022</v>
      </c>
      <c r="B6698" s="168">
        <v>6</v>
      </c>
      <c r="C6698" s="168">
        <v>9</v>
      </c>
      <c r="D6698" s="141">
        <f>DATE(A6698,B6698,C6698)</f>
        <v>44721</v>
      </c>
      <c r="E6698" s="275">
        <f>DATE(A6698,B6698,C6698)</f>
        <v>44721</v>
      </c>
      <c r="F6698" s="481" t="s">
        <v>982</v>
      </c>
      <c r="G6698" s="174" t="s">
        <v>74</v>
      </c>
      <c r="H6698" s="174" t="str" cm="1">
        <f t="array" ref="H6698">IFERROR(INDEX(INVESTOR_LIST[INVESTOR NAME],MATCH(I6698,INVESTOR_LIST[INVESTOR CODE],0),)," ")</f>
        <v xml:space="preserve"> </v>
      </c>
      <c r="I6698" s="148" t="s">
        <v>348</v>
      </c>
      <c r="J6698" s="149" t="s">
        <v>163</v>
      </c>
      <c r="K6698" s="218">
        <v>19000</v>
      </c>
      <c r="L6698" s="218"/>
    </row>
    <row r="6699" spans="1:12" x14ac:dyDescent="0.2">
      <c r="A6699" s="163">
        <v>2022</v>
      </c>
      <c r="B6699" s="163">
        <v>6</v>
      </c>
      <c r="C6699" s="163">
        <v>9</v>
      </c>
      <c r="D6699" s="141">
        <f>DATE(A6699,B6699,C6699)</f>
        <v>44721</v>
      </c>
      <c r="E6699" s="275">
        <f>DATE(A6699,B6699,C6699)</f>
        <v>44721</v>
      </c>
      <c r="F6699" s="480"/>
      <c r="G6699" s="221" t="s">
        <v>74</v>
      </c>
      <c r="H6699" s="221" t="str" cm="1">
        <f t="array" ref="H6699">IFERROR(INDEX(INVESTOR_LIST[INVESTOR NAME],MATCH(I6699,INVESTOR_LIST[INVESTOR CODE],0),)," ")</f>
        <v xml:space="preserve"> </v>
      </c>
      <c r="I6699" s="145" t="s">
        <v>348</v>
      </c>
      <c r="J6699" s="146" t="s">
        <v>52</v>
      </c>
      <c r="K6699" s="219"/>
      <c r="L6699" s="219">
        <v>19000</v>
      </c>
    </row>
    <row r="6700" spans="1:12" x14ac:dyDescent="0.2">
      <c r="A6700" s="238">
        <v>2022</v>
      </c>
      <c r="B6700" s="238">
        <v>6</v>
      </c>
      <c r="C6700" s="238">
        <v>9</v>
      </c>
      <c r="D6700" s="270">
        <f t="shared" ref="D6700:D6729" si="434">DATE(A6700,B6700,C6700)</f>
        <v>44721</v>
      </c>
      <c r="E6700" s="279">
        <f t="shared" ref="E6700:E6729" si="435">DATE(A6700,B6700,C6700)</f>
        <v>44721</v>
      </c>
      <c r="F6700" s="477" t="s">
        <v>347</v>
      </c>
      <c r="G6700" s="239" t="s">
        <v>94</v>
      </c>
      <c r="H6700" s="239" t="str" cm="1">
        <f t="array" ref="H6700">IFERROR(INDEX(INVESTOR_LIST[INVESTOR NAME],MATCH(I6700,INVESTOR_LIST[INVESTOR CODE],0),)," ")</f>
        <v xml:space="preserve"> </v>
      </c>
      <c r="I6700" s="262" t="s">
        <v>348</v>
      </c>
      <c r="J6700" s="240" t="s">
        <v>108</v>
      </c>
      <c r="K6700" s="241">
        <v>2158463.2799999714</v>
      </c>
      <c r="L6700" s="241"/>
    </row>
    <row r="6701" spans="1:12" x14ac:dyDescent="0.2">
      <c r="A6701" s="242">
        <v>2022</v>
      </c>
      <c r="B6701" s="242">
        <v>6</v>
      </c>
      <c r="C6701" s="242">
        <v>9</v>
      </c>
      <c r="D6701" s="270">
        <f t="shared" si="434"/>
        <v>44721</v>
      </c>
      <c r="E6701" s="279">
        <f t="shared" si="435"/>
        <v>44721</v>
      </c>
      <c r="F6701" s="478"/>
      <c r="G6701" s="243" t="s">
        <v>94</v>
      </c>
      <c r="H6701" s="243" t="str" cm="1">
        <f t="array" ref="H6701">IFERROR(INDEX(INVESTOR_LIST[INVESTOR NAME],MATCH(I6701,INVESTOR_LIST[INVESTOR CODE],0),)," ")</f>
        <v xml:space="preserve"> </v>
      </c>
      <c r="I6701" s="263" t="s">
        <v>348</v>
      </c>
      <c r="J6701" s="244" t="s">
        <v>82</v>
      </c>
      <c r="K6701" s="245"/>
      <c r="L6701" s="245">
        <v>2158463.2799999714</v>
      </c>
    </row>
    <row r="6702" spans="1:12" ht="22.5" x14ac:dyDescent="0.2">
      <c r="A6702" s="246">
        <v>2022</v>
      </c>
      <c r="B6702" s="246">
        <v>6</v>
      </c>
      <c r="C6702" s="246">
        <v>9</v>
      </c>
      <c r="D6702" s="270">
        <f t="shared" si="434"/>
        <v>44721</v>
      </c>
      <c r="E6702" s="279">
        <f t="shared" si="435"/>
        <v>44721</v>
      </c>
      <c r="F6702" s="482" t="s">
        <v>148</v>
      </c>
      <c r="G6702" s="247" t="s">
        <v>94</v>
      </c>
      <c r="H6702" s="247" t="str" cm="1">
        <f t="array" ref="H6702">IFERROR(INDEX(INVESTOR_LIST[INVESTOR NAME],MATCH(I6702,INVESTOR_LIST[INVESTOR CODE],0),)," ")</f>
        <v xml:space="preserve"> </v>
      </c>
      <c r="I6702" s="248" t="s">
        <v>348</v>
      </c>
      <c r="J6702" s="249" t="s">
        <v>95</v>
      </c>
      <c r="K6702" s="250">
        <v>2747.2527472527472</v>
      </c>
      <c r="L6702" s="241"/>
    </row>
    <row r="6703" spans="1:12" x14ac:dyDescent="0.2">
      <c r="A6703" s="242">
        <v>2022</v>
      </c>
      <c r="B6703" s="242">
        <v>6</v>
      </c>
      <c r="C6703" s="242">
        <v>9</v>
      </c>
      <c r="D6703" s="270">
        <f t="shared" si="434"/>
        <v>44721</v>
      </c>
      <c r="E6703" s="279">
        <f t="shared" si="435"/>
        <v>44721</v>
      </c>
      <c r="F6703" s="478"/>
      <c r="G6703" s="243" t="s">
        <v>94</v>
      </c>
      <c r="H6703" s="243" t="str" cm="1">
        <f t="array" ref="H6703">IFERROR(INDEX(INVESTOR_LIST[INVESTOR NAME],MATCH(I6703,INVESTOR_LIST[INVESTOR CODE],0),)," ")</f>
        <v xml:space="preserve"> </v>
      </c>
      <c r="I6703" s="263" t="s">
        <v>348</v>
      </c>
      <c r="J6703" s="244" t="s">
        <v>63</v>
      </c>
      <c r="K6703" s="245"/>
      <c r="L6703" s="245">
        <v>2747.2527472527472</v>
      </c>
    </row>
    <row r="6704" spans="1:12" x14ac:dyDescent="0.2">
      <c r="A6704" s="246">
        <v>2022</v>
      </c>
      <c r="B6704" s="246">
        <v>6</v>
      </c>
      <c r="C6704" s="246">
        <v>9</v>
      </c>
      <c r="D6704" s="270">
        <f t="shared" si="434"/>
        <v>44721</v>
      </c>
      <c r="E6704" s="279">
        <f t="shared" si="435"/>
        <v>44721</v>
      </c>
      <c r="F6704" s="482" t="s">
        <v>137</v>
      </c>
      <c r="G6704" s="247" t="s">
        <v>94</v>
      </c>
      <c r="H6704" s="247" t="str" cm="1">
        <f t="array" ref="H6704">IFERROR(INDEX(INVESTOR_LIST[INVESTOR NAME],MATCH(I6704,INVESTOR_LIST[INVESTOR CODE],0),)," ")</f>
        <v xml:space="preserve"> </v>
      </c>
      <c r="I6704" s="248" t="s">
        <v>348</v>
      </c>
      <c r="J6704" s="249" t="s">
        <v>97</v>
      </c>
      <c r="K6704" s="250">
        <v>85061.527342199959</v>
      </c>
      <c r="L6704" s="252"/>
    </row>
    <row r="6705" spans="1:17" x14ac:dyDescent="0.2">
      <c r="A6705" s="242">
        <v>2022</v>
      </c>
      <c r="B6705" s="242">
        <v>6</v>
      </c>
      <c r="C6705" s="242">
        <v>9</v>
      </c>
      <c r="D6705" s="270">
        <f t="shared" si="434"/>
        <v>44721</v>
      </c>
      <c r="E6705" s="279">
        <f t="shared" si="435"/>
        <v>44721</v>
      </c>
      <c r="F6705" s="478"/>
      <c r="G6705" s="243" t="s">
        <v>94</v>
      </c>
      <c r="H6705" s="243" t="str" cm="1">
        <f t="array" ref="H6705">IFERROR(INDEX(INVESTOR_LIST[INVESTOR NAME],MATCH(I6705,INVESTOR_LIST[INVESTOR CODE],0),)," ")</f>
        <v xml:space="preserve"> </v>
      </c>
      <c r="I6705" s="263" t="s">
        <v>348</v>
      </c>
      <c r="J6705" s="244" t="s">
        <v>47</v>
      </c>
      <c r="K6705" s="245"/>
      <c r="L6705" s="245">
        <v>85061.527342199959</v>
      </c>
    </row>
    <row r="6706" spans="1:17" x14ac:dyDescent="0.2">
      <c r="A6706" s="246">
        <v>2022</v>
      </c>
      <c r="B6706" s="246">
        <v>6</v>
      </c>
      <c r="C6706" s="246">
        <v>9</v>
      </c>
      <c r="D6706" s="270">
        <f t="shared" si="434"/>
        <v>44721</v>
      </c>
      <c r="E6706" s="279">
        <f t="shared" si="435"/>
        <v>44721</v>
      </c>
      <c r="F6706" s="482" t="s">
        <v>138</v>
      </c>
      <c r="G6706" s="247" t="s">
        <v>94</v>
      </c>
      <c r="H6706" s="247" t="str" cm="1">
        <f t="array" ref="H6706">IFERROR(INDEX(INVESTOR_LIST[INVESTOR NAME],MATCH(I6706,INVESTOR_LIST[INVESTOR CODE],0),)," ")</f>
        <v xml:space="preserve"> </v>
      </c>
      <c r="I6706" s="248" t="s">
        <v>348</v>
      </c>
      <c r="J6706" s="249" t="s">
        <v>100</v>
      </c>
      <c r="K6706" s="250">
        <v>4012.6917517253823</v>
      </c>
      <c r="L6706" s="252"/>
    </row>
    <row r="6707" spans="1:17" x14ac:dyDescent="0.2">
      <c r="A6707" s="242">
        <v>2022</v>
      </c>
      <c r="B6707" s="242">
        <v>6</v>
      </c>
      <c r="C6707" s="242">
        <v>9</v>
      </c>
      <c r="D6707" s="270">
        <f t="shared" si="434"/>
        <v>44721</v>
      </c>
      <c r="E6707" s="279">
        <f t="shared" si="435"/>
        <v>44721</v>
      </c>
      <c r="F6707" s="478"/>
      <c r="G6707" s="243" t="s">
        <v>94</v>
      </c>
      <c r="H6707" s="243" t="str" cm="1">
        <f t="array" ref="H6707">IFERROR(INDEX(INVESTOR_LIST[INVESTOR NAME],MATCH(I6707,INVESTOR_LIST[INVESTOR CODE],0),)," ")</f>
        <v xml:space="preserve"> </v>
      </c>
      <c r="I6707" s="263" t="s">
        <v>348</v>
      </c>
      <c r="J6707" s="244" t="s">
        <v>48</v>
      </c>
      <c r="K6707" s="245"/>
      <c r="L6707" s="245">
        <v>4012.6917517253823</v>
      </c>
    </row>
    <row r="6708" spans="1:17" ht="22.5" x14ac:dyDescent="0.2">
      <c r="A6708" s="168">
        <v>2022</v>
      </c>
      <c r="B6708" s="168">
        <v>6</v>
      </c>
      <c r="C6708" s="133">
        <v>12</v>
      </c>
      <c r="D6708" s="141">
        <f>DATE(A6708,B6708,C6708)</f>
        <v>44724</v>
      </c>
      <c r="E6708" s="275">
        <f>DATE(A6708,B6708,C6708)</f>
        <v>44724</v>
      </c>
      <c r="F6708" s="479" t="s">
        <v>1310</v>
      </c>
      <c r="G6708" s="220" t="s">
        <v>74</v>
      </c>
      <c r="H6708" s="142" t="str" cm="1">
        <f t="array" ref="H6708">IFERROR(INDEX(INVESTOR_LIST[INVESTOR NAME],MATCH(I6708,INVESTOR_LIST[INVESTOR CODE],0),)," ")</f>
        <v>JNANDIP PAUL</v>
      </c>
      <c r="I6708" s="142" t="s">
        <v>459</v>
      </c>
      <c r="J6708" s="168" t="s">
        <v>13</v>
      </c>
      <c r="K6708" s="226">
        <v>50560</v>
      </c>
      <c r="L6708" s="226"/>
    </row>
    <row r="6709" spans="1:17" ht="22.5" x14ac:dyDescent="0.2">
      <c r="A6709" s="133">
        <v>2022</v>
      </c>
      <c r="B6709" s="133">
        <v>6</v>
      </c>
      <c r="C6709" s="133">
        <v>12</v>
      </c>
      <c r="D6709" s="141">
        <f>DATE(A6709,B6709,C6709)</f>
        <v>44724</v>
      </c>
      <c r="E6709" s="275">
        <f>DATE(A6709,B6709,C6709)</f>
        <v>44724</v>
      </c>
      <c r="F6709" s="481"/>
      <c r="G6709" s="174" t="s">
        <v>74</v>
      </c>
      <c r="H6709" s="148" t="str" cm="1">
        <f t="array" ref="H6709">IFERROR(INDEX(INVESTOR_LIST[INVESTOR NAME],MATCH(I6709,INVESTOR_LIST[INVESTOR CODE],0),)," ")</f>
        <v>JNANDIP PAUL</v>
      </c>
      <c r="I6709" s="148" t="s">
        <v>459</v>
      </c>
      <c r="J6709" s="133" t="s">
        <v>53</v>
      </c>
      <c r="K6709" s="218">
        <v>11325.44</v>
      </c>
      <c r="L6709" s="218"/>
    </row>
    <row r="6710" spans="1:17" ht="22.5" x14ac:dyDescent="0.2">
      <c r="A6710" s="163">
        <v>2022</v>
      </c>
      <c r="B6710" s="163">
        <v>6</v>
      </c>
      <c r="C6710" s="163">
        <v>12</v>
      </c>
      <c r="D6710" s="141">
        <f>DATE(A6710,B6710,C6710)</f>
        <v>44724</v>
      </c>
      <c r="E6710" s="275">
        <f>DATE(A6710,B6710,C6710)</f>
        <v>44724</v>
      </c>
      <c r="F6710" s="480"/>
      <c r="G6710" s="221" t="s">
        <v>74</v>
      </c>
      <c r="H6710" s="145" t="str" cm="1">
        <f t="array" ref="H6710">IFERROR(INDEX(INVESTOR_LIST[INVESTOR NAME],MATCH(I6710,INVESTOR_LIST[INVESTOR CODE],0),)," ")</f>
        <v>JNANDIP PAUL</v>
      </c>
      <c r="I6710" s="145" t="s">
        <v>459</v>
      </c>
      <c r="J6710" s="163" t="s">
        <v>52</v>
      </c>
      <c r="K6710" s="219"/>
      <c r="L6710" s="219">
        <v>61885.440000000002</v>
      </c>
      <c r="M6710" s="160"/>
    </row>
    <row r="6711" spans="1:17" ht="45" x14ac:dyDescent="0.2">
      <c r="A6711" s="168">
        <v>2022</v>
      </c>
      <c r="B6711" s="168">
        <v>6</v>
      </c>
      <c r="C6711" s="133">
        <v>13</v>
      </c>
      <c r="D6711" s="141">
        <f t="shared" ref="D6711:D6713" si="436">DATE(A6711,B6711,C6711)</f>
        <v>44725</v>
      </c>
      <c r="E6711" s="275">
        <f t="shared" ref="E6711:E6713" si="437">DATE(A6711,B6711,C6711)</f>
        <v>44725</v>
      </c>
      <c r="F6711" s="479" t="s">
        <v>1315</v>
      </c>
      <c r="G6711" s="220" t="s">
        <v>74</v>
      </c>
      <c r="H6711" s="142" t="str" cm="1">
        <f t="array" ref="H6711">IFERROR(INDEX(INVESTOR_LIST[INVESTOR NAME],MATCH(I6711,INVESTOR_LIST[INVESTOR CODE],0),)," ")</f>
        <v>KAMRUL HASAN MAHMUD</v>
      </c>
      <c r="I6711" s="142" t="s">
        <v>517</v>
      </c>
      <c r="J6711" s="168" t="s">
        <v>13</v>
      </c>
      <c r="K6711" s="226">
        <v>8170</v>
      </c>
      <c r="L6711" s="226"/>
    </row>
    <row r="6712" spans="1:17" ht="45" x14ac:dyDescent="0.2">
      <c r="A6712" s="133">
        <v>2022</v>
      </c>
      <c r="B6712" s="133">
        <v>6</v>
      </c>
      <c r="C6712" s="133">
        <v>13</v>
      </c>
      <c r="D6712" s="141">
        <f t="shared" si="436"/>
        <v>44725</v>
      </c>
      <c r="E6712" s="275">
        <f t="shared" si="437"/>
        <v>44725</v>
      </c>
      <c r="F6712" s="481"/>
      <c r="G6712" s="174" t="s">
        <v>74</v>
      </c>
      <c r="H6712" s="148" t="str" cm="1">
        <f t="array" ref="H6712">IFERROR(INDEX(INVESTOR_LIST[INVESTOR NAME],MATCH(I6712,INVESTOR_LIST[INVESTOR CODE],0),)," ")</f>
        <v>KAMRUL HASAN MAHMUD</v>
      </c>
      <c r="I6712" s="148" t="s">
        <v>517</v>
      </c>
      <c r="J6712" s="133" t="s">
        <v>53</v>
      </c>
      <c r="K6712" s="218">
        <v>1830</v>
      </c>
      <c r="L6712" s="218"/>
    </row>
    <row r="6713" spans="1:17" ht="45" x14ac:dyDescent="0.2">
      <c r="A6713" s="163">
        <v>2022</v>
      </c>
      <c r="B6713" s="163">
        <v>6</v>
      </c>
      <c r="C6713" s="163">
        <v>13</v>
      </c>
      <c r="D6713" s="141">
        <f t="shared" si="436"/>
        <v>44725</v>
      </c>
      <c r="E6713" s="275">
        <f t="shared" si="437"/>
        <v>44725</v>
      </c>
      <c r="F6713" s="480"/>
      <c r="G6713" s="221" t="s">
        <v>74</v>
      </c>
      <c r="H6713" s="145" t="str" cm="1">
        <f t="array" ref="H6713">IFERROR(INDEX(INVESTOR_LIST[INVESTOR NAME],MATCH(I6713,INVESTOR_LIST[INVESTOR CODE],0),)," ")</f>
        <v>KAMRUL HASAN MAHMUD</v>
      </c>
      <c r="I6713" s="145" t="s">
        <v>517</v>
      </c>
      <c r="J6713" s="163" t="s">
        <v>52</v>
      </c>
      <c r="K6713" s="219"/>
      <c r="L6713" s="219">
        <v>10000</v>
      </c>
      <c r="M6713" s="160"/>
    </row>
    <row r="6714" spans="1:17" ht="56.25" x14ac:dyDescent="0.2">
      <c r="A6714" s="168">
        <v>2022</v>
      </c>
      <c r="B6714" s="168">
        <v>6</v>
      </c>
      <c r="C6714" s="133">
        <v>13</v>
      </c>
      <c r="D6714" s="141">
        <f t="shared" ref="D6714:D6716" si="438">DATE(A6714,B6714,C6714)</f>
        <v>44725</v>
      </c>
      <c r="E6714" s="275">
        <f t="shared" ref="E6714:E6716" si="439">DATE(A6714,B6714,C6714)</f>
        <v>44725</v>
      </c>
      <c r="F6714" s="479" t="s">
        <v>1315</v>
      </c>
      <c r="G6714" s="220" t="s">
        <v>74</v>
      </c>
      <c r="H6714" s="142" t="str" cm="1">
        <f t="array" ref="H6714">IFERROR(INDEX(INVESTOR_LIST[INVESTOR NAME],MATCH(I6714,INVESTOR_LIST[INVESTOR CODE],0),)," ")</f>
        <v>M.A. MALEK SIDDIQUE WALI &amp; CO.</v>
      </c>
      <c r="I6714" s="142" t="s">
        <v>1001</v>
      </c>
      <c r="J6714" s="168" t="s">
        <v>13</v>
      </c>
      <c r="K6714" s="226">
        <v>83820</v>
      </c>
      <c r="L6714" s="226"/>
    </row>
    <row r="6715" spans="1:17" ht="56.25" x14ac:dyDescent="0.2">
      <c r="A6715" s="133">
        <v>2022</v>
      </c>
      <c r="B6715" s="133">
        <v>6</v>
      </c>
      <c r="C6715" s="133">
        <v>13</v>
      </c>
      <c r="D6715" s="141">
        <f t="shared" si="438"/>
        <v>44725</v>
      </c>
      <c r="E6715" s="275">
        <f t="shared" si="439"/>
        <v>44725</v>
      </c>
      <c r="F6715" s="481"/>
      <c r="G6715" s="174" t="s">
        <v>74</v>
      </c>
      <c r="H6715" s="148" t="str" cm="1">
        <f t="array" ref="H6715">IFERROR(INDEX(INVESTOR_LIST[INVESTOR NAME],MATCH(I6715,INVESTOR_LIST[INVESTOR CODE],0),)," ")</f>
        <v>M.A. MALEK SIDDIQUE WALI &amp; CO.</v>
      </c>
      <c r="I6715" s="148" t="s">
        <v>1001</v>
      </c>
      <c r="J6715" s="133" t="s">
        <v>53</v>
      </c>
      <c r="K6715" s="218">
        <v>18775.68</v>
      </c>
      <c r="L6715" s="218"/>
    </row>
    <row r="6716" spans="1:17" ht="56.25" x14ac:dyDescent="0.2">
      <c r="A6716" s="163">
        <v>2022</v>
      </c>
      <c r="B6716" s="163">
        <v>6</v>
      </c>
      <c r="C6716" s="163">
        <v>13</v>
      </c>
      <c r="D6716" s="141">
        <f t="shared" si="438"/>
        <v>44725</v>
      </c>
      <c r="E6716" s="275">
        <f t="shared" si="439"/>
        <v>44725</v>
      </c>
      <c r="F6716" s="480"/>
      <c r="G6716" s="221" t="s">
        <v>74</v>
      </c>
      <c r="H6716" s="145" t="str" cm="1">
        <f t="array" ref="H6716">IFERROR(INDEX(INVESTOR_LIST[INVESTOR NAME],MATCH(I6716,INVESTOR_LIST[INVESTOR CODE],0),)," ")</f>
        <v>M.A. MALEK SIDDIQUE WALI &amp; CO.</v>
      </c>
      <c r="I6716" s="145" t="s">
        <v>1001</v>
      </c>
      <c r="J6716" s="163" t="s">
        <v>52</v>
      </c>
      <c r="K6716" s="219"/>
      <c r="L6716" s="219">
        <v>102595.68</v>
      </c>
      <c r="M6716" s="160"/>
    </row>
    <row r="6717" spans="1:17" x14ac:dyDescent="0.2">
      <c r="A6717" s="133">
        <v>2022</v>
      </c>
      <c r="B6717" s="133">
        <v>6</v>
      </c>
      <c r="C6717" s="133">
        <v>15</v>
      </c>
      <c r="D6717" s="141">
        <f t="shared" si="434"/>
        <v>44727</v>
      </c>
      <c r="E6717" s="275">
        <f t="shared" si="435"/>
        <v>44727</v>
      </c>
      <c r="F6717" s="481" t="s">
        <v>1379</v>
      </c>
      <c r="G6717" s="174" t="s">
        <v>94</v>
      </c>
      <c r="H6717" s="174" t="str" cm="1">
        <f t="array" ref="H6717">IFERROR(INDEX(INVESTOR_LIST[INVESTOR NAME],MATCH(I6717,INVESTOR_LIST[INVESTOR CODE],0),)," ")</f>
        <v xml:space="preserve"> </v>
      </c>
      <c r="I6717" s="148" t="s">
        <v>348</v>
      </c>
      <c r="J6717" s="149" t="s">
        <v>79</v>
      </c>
      <c r="K6717" s="218">
        <v>2401514.6</v>
      </c>
      <c r="L6717" s="218"/>
    </row>
    <row r="6718" spans="1:17" x14ac:dyDescent="0.2">
      <c r="A6718" s="133">
        <v>2022</v>
      </c>
      <c r="B6718" s="133">
        <v>6</v>
      </c>
      <c r="C6718" s="133">
        <v>15</v>
      </c>
      <c r="D6718" s="141">
        <f t="shared" si="434"/>
        <v>44727</v>
      </c>
      <c r="E6718" s="275">
        <f t="shared" si="435"/>
        <v>44727</v>
      </c>
      <c r="F6718" s="481"/>
      <c r="G6718" s="174" t="s">
        <v>94</v>
      </c>
      <c r="H6718" s="174"/>
      <c r="J6718" s="149" t="s">
        <v>80</v>
      </c>
      <c r="K6718" s="218">
        <v>28421.67</v>
      </c>
      <c r="L6718" s="218"/>
    </row>
    <row r="6719" spans="1:17" x14ac:dyDescent="0.2">
      <c r="A6719" s="133">
        <v>2022</v>
      </c>
      <c r="B6719" s="133">
        <v>6</v>
      </c>
      <c r="C6719" s="133">
        <v>15</v>
      </c>
      <c r="D6719" s="141">
        <f t="shared" si="434"/>
        <v>44727</v>
      </c>
      <c r="E6719" s="275">
        <f t="shared" si="435"/>
        <v>44727</v>
      </c>
      <c r="F6719" s="481"/>
      <c r="G6719" s="174" t="s">
        <v>94</v>
      </c>
      <c r="H6719" s="174"/>
      <c r="J6719" s="149" t="s">
        <v>190</v>
      </c>
      <c r="K6719" s="218">
        <v>10958363.43</v>
      </c>
      <c r="L6719" s="218"/>
    </row>
    <row r="6720" spans="1:17" x14ac:dyDescent="0.2">
      <c r="A6720" s="133">
        <v>2022</v>
      </c>
      <c r="B6720" s="133">
        <v>6</v>
      </c>
      <c r="C6720" s="133">
        <v>15</v>
      </c>
      <c r="D6720" s="141">
        <f t="shared" si="434"/>
        <v>44727</v>
      </c>
      <c r="E6720" s="275">
        <f t="shared" si="435"/>
        <v>44727</v>
      </c>
      <c r="F6720" s="481"/>
      <c r="G6720" s="174" t="s">
        <v>94</v>
      </c>
      <c r="H6720" s="174" t="str" cm="1">
        <f t="array" ref="H6720">IFERROR(INDEX(INVESTOR_LIST[INVESTOR NAME],MATCH(I6720,INVESTOR_LIST[INVESTOR CODE],0),)," ")</f>
        <v xml:space="preserve"> </v>
      </c>
      <c r="I6720" s="148" t="s">
        <v>348</v>
      </c>
      <c r="J6720" s="149" t="s">
        <v>191</v>
      </c>
      <c r="K6720" s="218"/>
      <c r="L6720" s="218">
        <v>534098.56999999995</v>
      </c>
      <c r="M6720" s="147"/>
      <c r="Q6720" s="133" t="s">
        <v>348</v>
      </c>
    </row>
    <row r="6721" spans="1:17" x14ac:dyDescent="0.2">
      <c r="A6721" s="163">
        <v>2022</v>
      </c>
      <c r="B6721" s="163">
        <v>6</v>
      </c>
      <c r="C6721" s="163">
        <v>15</v>
      </c>
      <c r="D6721" s="280">
        <f t="shared" si="434"/>
        <v>44727</v>
      </c>
      <c r="E6721" s="281">
        <f t="shared" si="435"/>
        <v>44727</v>
      </c>
      <c r="F6721" s="480"/>
      <c r="G6721" s="221" t="s">
        <v>94</v>
      </c>
      <c r="H6721" s="145" t="str" cm="1">
        <f t="array" ref="H6721">IFERROR(INDEX(INVESTOR_LIST[INVESTOR NAME],MATCH(I6721,INVESTOR_LIST[INVESTOR CODE],0),)," ")</f>
        <v xml:space="preserve"> </v>
      </c>
      <c r="I6721" s="145"/>
      <c r="J6721" s="163" t="s">
        <v>79</v>
      </c>
      <c r="K6721" s="219"/>
      <c r="L6721" s="219">
        <v>12854201.129999999</v>
      </c>
      <c r="M6721" s="147"/>
      <c r="Q6721" s="133" t="s">
        <v>348</v>
      </c>
    </row>
    <row r="6722" spans="1:17" ht="56.25" x14ac:dyDescent="0.2">
      <c r="A6722" s="168">
        <v>2022</v>
      </c>
      <c r="B6722" s="168">
        <v>6</v>
      </c>
      <c r="C6722" s="133">
        <v>15</v>
      </c>
      <c r="D6722" s="141">
        <f t="shared" si="434"/>
        <v>44727</v>
      </c>
      <c r="E6722" s="275">
        <f t="shared" si="435"/>
        <v>44727</v>
      </c>
      <c r="F6722" s="479" t="s">
        <v>1315</v>
      </c>
      <c r="G6722" s="220" t="s">
        <v>74</v>
      </c>
      <c r="H6722" s="142" t="str" cm="1">
        <f t="array" ref="H6722">IFERROR(INDEX(INVESTOR_LIST[INVESTOR NAME],MATCH(I6722,INVESTOR_LIST[INVESTOR CODE],0),)," ")</f>
        <v>SK FEROZ ALAM &amp; MD BULBUL ISLAM</v>
      </c>
      <c r="I6722" s="142" t="s">
        <v>553</v>
      </c>
      <c r="J6722" s="168" t="s">
        <v>13</v>
      </c>
      <c r="K6722" s="226">
        <v>165290</v>
      </c>
      <c r="L6722" s="226"/>
    </row>
    <row r="6723" spans="1:17" ht="56.25" x14ac:dyDescent="0.2">
      <c r="A6723" s="133">
        <v>2022</v>
      </c>
      <c r="B6723" s="133">
        <v>6</v>
      </c>
      <c r="C6723" s="133">
        <v>15</v>
      </c>
      <c r="D6723" s="141">
        <f t="shared" si="434"/>
        <v>44727</v>
      </c>
      <c r="E6723" s="275">
        <f t="shared" si="435"/>
        <v>44727</v>
      </c>
      <c r="F6723" s="481"/>
      <c r="G6723" s="174" t="s">
        <v>74</v>
      </c>
      <c r="H6723" s="148" t="str" cm="1">
        <f t="array" ref="H6723">IFERROR(INDEX(INVESTOR_LIST[INVESTOR NAME],MATCH(I6723,INVESTOR_LIST[INVESTOR CODE],0),)," ")</f>
        <v>SK FEROZ ALAM &amp; MD BULBUL ISLAM</v>
      </c>
      <c r="I6723" s="148" t="s">
        <v>553</v>
      </c>
      <c r="J6723" s="133" t="s">
        <v>53</v>
      </c>
      <c r="K6723" s="218">
        <v>37024.959999999999</v>
      </c>
      <c r="L6723" s="218"/>
    </row>
    <row r="6724" spans="1:17" ht="56.25" x14ac:dyDescent="0.2">
      <c r="A6724" s="163">
        <v>2022</v>
      </c>
      <c r="B6724" s="163">
        <v>6</v>
      </c>
      <c r="C6724" s="163">
        <v>15</v>
      </c>
      <c r="D6724" s="141">
        <f t="shared" si="434"/>
        <v>44727</v>
      </c>
      <c r="E6724" s="275">
        <f t="shared" si="435"/>
        <v>44727</v>
      </c>
      <c r="F6724" s="480"/>
      <c r="G6724" s="221" t="s">
        <v>74</v>
      </c>
      <c r="H6724" s="145" t="str" cm="1">
        <f t="array" ref="H6724">IFERROR(INDEX(INVESTOR_LIST[INVESTOR NAME],MATCH(I6724,INVESTOR_LIST[INVESTOR CODE],0),)," ")</f>
        <v>SK FEROZ ALAM &amp; MD BULBUL ISLAM</v>
      </c>
      <c r="I6724" s="145" t="s">
        <v>553</v>
      </c>
      <c r="J6724" s="163" t="s">
        <v>52</v>
      </c>
      <c r="K6724" s="219"/>
      <c r="L6724" s="219">
        <v>202314.96</v>
      </c>
    </row>
    <row r="6725" spans="1:17" x14ac:dyDescent="0.2">
      <c r="A6725" s="133">
        <v>2022</v>
      </c>
      <c r="B6725" s="133">
        <v>6</v>
      </c>
      <c r="C6725" s="133">
        <v>15</v>
      </c>
      <c r="D6725" s="141">
        <f t="shared" si="434"/>
        <v>44727</v>
      </c>
      <c r="E6725" s="275">
        <f t="shared" si="435"/>
        <v>44727</v>
      </c>
      <c r="F6725" s="481" t="s">
        <v>275</v>
      </c>
      <c r="G6725" s="174" t="s">
        <v>74</v>
      </c>
      <c r="H6725" s="174" t="str" cm="1">
        <f t="array" ref="H6725">IFERROR(INDEX(INVESTOR_LIST[INVESTOR NAME],MATCH(I6725,INVESTOR_LIST[INVESTOR CODE],0),)," ")</f>
        <v xml:space="preserve"> </v>
      </c>
      <c r="I6725" s="148" t="s">
        <v>348</v>
      </c>
      <c r="J6725" s="149" t="s">
        <v>163</v>
      </c>
      <c r="K6725" s="218">
        <v>1575</v>
      </c>
      <c r="L6725" s="218"/>
    </row>
    <row r="6726" spans="1:17" x14ac:dyDescent="0.2">
      <c r="A6726" s="163">
        <v>2022</v>
      </c>
      <c r="B6726" s="163">
        <v>6</v>
      </c>
      <c r="C6726" s="163">
        <v>15</v>
      </c>
      <c r="D6726" s="141">
        <f t="shared" si="434"/>
        <v>44727</v>
      </c>
      <c r="E6726" s="275">
        <f t="shared" si="435"/>
        <v>44727</v>
      </c>
      <c r="F6726" s="480"/>
      <c r="G6726" s="221" t="s">
        <v>74</v>
      </c>
      <c r="H6726" s="221" t="str" cm="1">
        <f t="array" ref="H6726">IFERROR(INDEX(INVESTOR_LIST[INVESTOR NAME],MATCH(I6726,INVESTOR_LIST[INVESTOR CODE],0),)," ")</f>
        <v xml:space="preserve"> </v>
      </c>
      <c r="I6726" s="145" t="s">
        <v>348</v>
      </c>
      <c r="J6726" s="146" t="s">
        <v>52</v>
      </c>
      <c r="K6726" s="219"/>
      <c r="L6726" s="219">
        <v>1575</v>
      </c>
    </row>
    <row r="6727" spans="1:17" x14ac:dyDescent="0.2">
      <c r="A6727" s="168">
        <v>2022</v>
      </c>
      <c r="B6727" s="168">
        <v>6</v>
      </c>
      <c r="C6727" s="133">
        <v>15</v>
      </c>
      <c r="D6727" s="141">
        <f t="shared" si="434"/>
        <v>44727</v>
      </c>
      <c r="E6727" s="275">
        <f t="shared" si="435"/>
        <v>44727</v>
      </c>
      <c r="F6727" s="479" t="s">
        <v>1319</v>
      </c>
      <c r="G6727" s="220" t="s">
        <v>74</v>
      </c>
      <c r="H6727" s="142" t="str" cm="1">
        <f t="array" ref="H6727">IFERROR(INDEX(INVESTOR_LIST[INVESTOR NAME],MATCH(I6727,INVESTOR_LIST[INVESTOR CODE],0),)," ")</f>
        <v xml:space="preserve"> </v>
      </c>
      <c r="I6727" s="142"/>
      <c r="J6727" s="168" t="s">
        <v>52</v>
      </c>
      <c r="K6727" s="226">
        <v>97000</v>
      </c>
      <c r="L6727" s="226"/>
      <c r="M6727" s="264"/>
      <c r="N6727" s="264"/>
      <c r="O6727" s="264"/>
    </row>
    <row r="6728" spans="1:17" x14ac:dyDescent="0.2">
      <c r="A6728" s="133">
        <v>2022</v>
      </c>
      <c r="B6728" s="133">
        <v>6</v>
      </c>
      <c r="C6728" s="133">
        <v>15</v>
      </c>
      <c r="D6728" s="141">
        <f t="shared" si="434"/>
        <v>44727</v>
      </c>
      <c r="E6728" s="275">
        <f t="shared" si="435"/>
        <v>44727</v>
      </c>
      <c r="F6728" s="481"/>
      <c r="G6728" s="174" t="s">
        <v>74</v>
      </c>
      <c r="H6728" s="148" t="str" cm="1">
        <f t="array" ref="H6728">IFERROR(INDEX(INVESTOR_LIST[INVESTOR NAME],MATCH(I6728,INVESTOR_LIST[INVESTOR CODE],0),)," ")</f>
        <v xml:space="preserve"> </v>
      </c>
      <c r="J6728" s="133" t="s">
        <v>13</v>
      </c>
      <c r="K6728" s="218"/>
      <c r="L6728" s="218">
        <v>79220</v>
      </c>
    </row>
    <row r="6729" spans="1:17" x14ac:dyDescent="0.2">
      <c r="A6729" s="163">
        <v>2022</v>
      </c>
      <c r="B6729" s="163">
        <v>6</v>
      </c>
      <c r="C6729" s="163">
        <v>15</v>
      </c>
      <c r="D6729" s="141">
        <f t="shared" si="434"/>
        <v>44727</v>
      </c>
      <c r="E6729" s="275">
        <f t="shared" si="435"/>
        <v>44727</v>
      </c>
      <c r="F6729" s="480"/>
      <c r="G6729" s="221" t="s">
        <v>74</v>
      </c>
      <c r="H6729" s="145" t="str" cm="1">
        <f t="array" ref="H6729">IFERROR(INDEX(INVESTOR_LIST[INVESTOR NAME],MATCH(I6729,INVESTOR_LIST[INVESTOR CODE],0),)," ")</f>
        <v xml:space="preserve"> </v>
      </c>
      <c r="I6729" s="145"/>
      <c r="J6729" s="163" t="s">
        <v>53</v>
      </c>
      <c r="K6729" s="219"/>
      <c r="L6729" s="219">
        <v>17780</v>
      </c>
    </row>
    <row r="6730" spans="1:17" x14ac:dyDescent="0.2">
      <c r="A6730" s="133">
        <v>2022</v>
      </c>
      <c r="B6730" s="133">
        <v>6</v>
      </c>
      <c r="C6730" s="133">
        <v>16</v>
      </c>
      <c r="D6730" s="141">
        <f t="shared" ref="D6730:D6736" si="440">DATE(A6730,B6730,C6730)</f>
        <v>44728</v>
      </c>
      <c r="E6730" s="275">
        <f t="shared" ref="E6730:E6736" si="441">DATE(A6730,B6730,C6730)</f>
        <v>44728</v>
      </c>
      <c r="F6730" s="481" t="s">
        <v>1033</v>
      </c>
      <c r="G6730" s="174" t="s">
        <v>94</v>
      </c>
      <c r="H6730" s="174"/>
      <c r="J6730" s="149" t="s">
        <v>80</v>
      </c>
      <c r="K6730" s="218">
        <v>11399.01</v>
      </c>
      <c r="L6730" s="218"/>
    </row>
    <row r="6731" spans="1:17" x14ac:dyDescent="0.2">
      <c r="A6731" s="133">
        <v>2022</v>
      </c>
      <c r="B6731" s="133">
        <v>6</v>
      </c>
      <c r="C6731" s="133">
        <v>16</v>
      </c>
      <c r="D6731" s="141">
        <f t="shared" si="440"/>
        <v>44728</v>
      </c>
      <c r="E6731" s="275">
        <f t="shared" si="441"/>
        <v>44728</v>
      </c>
      <c r="F6731" s="481"/>
      <c r="G6731" s="174" t="s">
        <v>94</v>
      </c>
      <c r="H6731" s="174"/>
      <c r="J6731" s="149" t="s">
        <v>190</v>
      </c>
      <c r="K6731" s="218">
        <v>6321384.4900000002</v>
      </c>
      <c r="L6731" s="218"/>
    </row>
    <row r="6732" spans="1:17" x14ac:dyDescent="0.2">
      <c r="A6732" s="133">
        <v>2022</v>
      </c>
      <c r="B6732" s="133">
        <v>6</v>
      </c>
      <c r="C6732" s="133">
        <v>16</v>
      </c>
      <c r="D6732" s="141">
        <f t="shared" si="440"/>
        <v>44728</v>
      </c>
      <c r="E6732" s="275">
        <f t="shared" si="441"/>
        <v>44728</v>
      </c>
      <c r="F6732" s="481"/>
      <c r="G6732" s="174" t="s">
        <v>94</v>
      </c>
      <c r="H6732" s="174" t="str" cm="1">
        <f t="array" ref="H6732">IFERROR(INDEX(INVESTOR_LIST[INVESTOR NAME],MATCH(I6732,INVESTOR_LIST[INVESTOR CODE],0),)," ")</f>
        <v xml:space="preserve"> </v>
      </c>
      <c r="I6732" s="148" t="s">
        <v>348</v>
      </c>
      <c r="J6732" s="149" t="s">
        <v>191</v>
      </c>
      <c r="K6732" s="218"/>
      <c r="L6732" s="218">
        <v>104498.34</v>
      </c>
    </row>
    <row r="6733" spans="1:17" x14ac:dyDescent="0.2">
      <c r="A6733" s="163">
        <v>2022</v>
      </c>
      <c r="B6733" s="163">
        <v>6</v>
      </c>
      <c r="C6733" s="163">
        <v>16</v>
      </c>
      <c r="D6733" s="280">
        <f t="shared" si="440"/>
        <v>44728</v>
      </c>
      <c r="E6733" s="281">
        <f t="shared" si="441"/>
        <v>44728</v>
      </c>
      <c r="F6733" s="480"/>
      <c r="G6733" s="221" t="s">
        <v>94</v>
      </c>
      <c r="H6733" s="145" t="str" cm="1">
        <f t="array" ref="H6733">IFERROR(INDEX(INVESTOR_LIST[INVESTOR NAME],MATCH(I6733,INVESTOR_LIST[INVESTOR CODE],0),)," ")</f>
        <v xml:space="preserve"> </v>
      </c>
      <c r="I6733" s="145"/>
      <c r="J6733" s="163" t="s">
        <v>79</v>
      </c>
      <c r="K6733" s="219"/>
      <c r="L6733" s="219">
        <v>6228285.1600000001</v>
      </c>
    </row>
    <row r="6734" spans="1:17" ht="33.75" x14ac:dyDescent="0.2">
      <c r="A6734" s="168">
        <v>2022</v>
      </c>
      <c r="B6734" s="168">
        <v>6</v>
      </c>
      <c r="C6734" s="133">
        <v>16</v>
      </c>
      <c r="D6734" s="141">
        <f t="shared" si="440"/>
        <v>44728</v>
      </c>
      <c r="E6734" s="275">
        <f t="shared" si="441"/>
        <v>44728</v>
      </c>
      <c r="F6734" s="479" t="s">
        <v>1315</v>
      </c>
      <c r="G6734" s="220" t="s">
        <v>74</v>
      </c>
      <c r="H6734" s="142" t="str" cm="1">
        <f t="array" ref="H6734">IFERROR(INDEX(INVESTOR_LIST[INVESTOR NAME],MATCH(I6734,INVESTOR_LIST[INVESTOR CODE],0),)," ")</f>
        <v>AHMED BIN MONSUR</v>
      </c>
      <c r="I6734" s="142" t="s">
        <v>992</v>
      </c>
      <c r="J6734" s="168" t="s">
        <v>13</v>
      </c>
      <c r="K6734" s="226">
        <v>833330</v>
      </c>
      <c r="L6734" s="226"/>
    </row>
    <row r="6735" spans="1:17" ht="33.75" x14ac:dyDescent="0.2">
      <c r="A6735" s="133">
        <v>2022</v>
      </c>
      <c r="B6735" s="133">
        <v>6</v>
      </c>
      <c r="C6735" s="133">
        <v>16</v>
      </c>
      <c r="D6735" s="141">
        <f t="shared" si="440"/>
        <v>44728</v>
      </c>
      <c r="E6735" s="275">
        <f t="shared" si="441"/>
        <v>44728</v>
      </c>
      <c r="F6735" s="481"/>
      <c r="G6735" s="174" t="s">
        <v>74</v>
      </c>
      <c r="H6735" s="148" t="str" cm="1">
        <f t="array" ref="H6735">IFERROR(INDEX(INVESTOR_LIST[INVESTOR NAME],MATCH(I6735,INVESTOR_LIST[INVESTOR CODE],0),)," ")</f>
        <v>AHMED BIN MONSUR</v>
      </c>
      <c r="I6735" s="148" t="s">
        <v>992</v>
      </c>
      <c r="J6735" s="133" t="s">
        <v>53</v>
      </c>
      <c r="K6735" s="218">
        <v>186665.92</v>
      </c>
      <c r="L6735" s="218"/>
    </row>
    <row r="6736" spans="1:17" ht="33.75" x14ac:dyDescent="0.2">
      <c r="A6736" s="163">
        <v>2022</v>
      </c>
      <c r="B6736" s="163">
        <v>6</v>
      </c>
      <c r="C6736" s="163">
        <v>16</v>
      </c>
      <c r="D6736" s="280">
        <f t="shared" si="440"/>
        <v>44728</v>
      </c>
      <c r="E6736" s="281">
        <f t="shared" si="441"/>
        <v>44728</v>
      </c>
      <c r="F6736" s="480"/>
      <c r="G6736" s="221" t="s">
        <v>74</v>
      </c>
      <c r="H6736" s="145" t="str" cm="1">
        <f t="array" ref="H6736">IFERROR(INDEX(INVESTOR_LIST[INVESTOR NAME],MATCH(I6736,INVESTOR_LIST[INVESTOR CODE],0),)," ")</f>
        <v>AHMED BIN MONSUR</v>
      </c>
      <c r="I6736" s="145" t="s">
        <v>992</v>
      </c>
      <c r="J6736" s="163" t="s">
        <v>52</v>
      </c>
      <c r="K6736" s="219"/>
      <c r="L6736" s="219">
        <v>1019995.92</v>
      </c>
    </row>
    <row r="6737" spans="1:12" ht="56.25" x14ac:dyDescent="0.2">
      <c r="A6737" s="168">
        <v>2022</v>
      </c>
      <c r="B6737" s="168">
        <v>6</v>
      </c>
      <c r="C6737" s="133">
        <v>16</v>
      </c>
      <c r="D6737" s="141">
        <f t="shared" ref="D6737:D6739" si="442">DATE(A6737,B6737,C6737)</f>
        <v>44728</v>
      </c>
      <c r="E6737" s="275">
        <f t="shared" ref="E6737:E6739" si="443">DATE(A6737,B6737,C6737)</f>
        <v>44728</v>
      </c>
      <c r="F6737" s="479" t="s">
        <v>1315</v>
      </c>
      <c r="G6737" s="220" t="s">
        <v>74</v>
      </c>
      <c r="H6737" s="142" t="str" cm="1">
        <f t="array" ref="H6737">IFERROR(INDEX(INVESTOR_LIST[INVESTOR NAME],MATCH(I6737,INVESTOR_LIST[INVESTOR CODE],0),)," ")</f>
        <v>EDGE BANGLADESH MUTUAL FUND</v>
      </c>
      <c r="I6737" s="142" t="s">
        <v>490</v>
      </c>
      <c r="J6737" s="168" t="s">
        <v>13</v>
      </c>
      <c r="K6737" s="226">
        <v>4000000</v>
      </c>
      <c r="L6737" s="226"/>
    </row>
    <row r="6738" spans="1:12" ht="56.25" x14ac:dyDescent="0.2">
      <c r="A6738" s="133">
        <v>2022</v>
      </c>
      <c r="B6738" s="133">
        <v>6</v>
      </c>
      <c r="C6738" s="133">
        <v>16</v>
      </c>
      <c r="D6738" s="141">
        <f t="shared" si="442"/>
        <v>44728</v>
      </c>
      <c r="E6738" s="275">
        <f t="shared" si="443"/>
        <v>44728</v>
      </c>
      <c r="F6738" s="481"/>
      <c r="G6738" s="174" t="s">
        <v>74</v>
      </c>
      <c r="H6738" s="148" t="str" cm="1">
        <f t="array" ref="H6738">IFERROR(INDEX(INVESTOR_LIST[INVESTOR NAME],MATCH(I6738,INVESTOR_LIST[INVESTOR CODE],0),)," ")</f>
        <v>EDGE BANGLADESH MUTUAL FUND</v>
      </c>
      <c r="I6738" s="148" t="s">
        <v>490</v>
      </c>
      <c r="J6738" s="133" t="s">
        <v>53</v>
      </c>
      <c r="K6738" s="218">
        <v>852000</v>
      </c>
      <c r="L6738" s="218"/>
    </row>
    <row r="6739" spans="1:12" ht="56.25" x14ac:dyDescent="0.2">
      <c r="A6739" s="163">
        <v>2022</v>
      </c>
      <c r="B6739" s="163">
        <v>6</v>
      </c>
      <c r="C6739" s="163">
        <v>16</v>
      </c>
      <c r="D6739" s="280">
        <f t="shared" si="442"/>
        <v>44728</v>
      </c>
      <c r="E6739" s="281">
        <f t="shared" si="443"/>
        <v>44728</v>
      </c>
      <c r="F6739" s="480"/>
      <c r="G6739" s="221" t="s">
        <v>74</v>
      </c>
      <c r="H6739" s="145" t="str" cm="1">
        <f t="array" ref="H6739">IFERROR(INDEX(INVESTOR_LIST[INVESTOR NAME],MATCH(I6739,INVESTOR_LIST[INVESTOR CODE],0),)," ")</f>
        <v>EDGE BANGLADESH MUTUAL FUND</v>
      </c>
      <c r="I6739" s="145" t="s">
        <v>490</v>
      </c>
      <c r="J6739" s="163" t="s">
        <v>52</v>
      </c>
      <c r="K6739" s="219"/>
      <c r="L6739" s="219">
        <v>4852000</v>
      </c>
    </row>
    <row r="6740" spans="1:12" ht="45" x14ac:dyDescent="0.2">
      <c r="A6740" s="168">
        <v>2022</v>
      </c>
      <c r="B6740" s="168">
        <v>6</v>
      </c>
      <c r="C6740" s="133">
        <v>16</v>
      </c>
      <c r="D6740" s="141">
        <f t="shared" ref="D6740:D6772" si="444">DATE(A6740,B6740,C6740)</f>
        <v>44728</v>
      </c>
      <c r="E6740" s="275">
        <f t="shared" ref="E6740:E6772" si="445">DATE(A6740,B6740,C6740)</f>
        <v>44728</v>
      </c>
      <c r="F6740" s="479" t="s">
        <v>1315</v>
      </c>
      <c r="G6740" s="220" t="s">
        <v>74</v>
      </c>
      <c r="H6740" s="142" t="str" cm="1">
        <f t="array" ref="H6740">IFERROR(INDEX(INVESTOR_LIST[INVESTOR NAME],MATCH(I6740,INVESTOR_LIST[INVESTOR CODE],0),)," ")</f>
        <v>EDGE AMC GROWTH FUND</v>
      </c>
      <c r="I6740" s="142" t="s">
        <v>491</v>
      </c>
      <c r="J6740" s="168" t="s">
        <v>13</v>
      </c>
      <c r="K6740" s="226">
        <v>4000000</v>
      </c>
      <c r="L6740" s="226"/>
    </row>
    <row r="6741" spans="1:12" ht="45" x14ac:dyDescent="0.2">
      <c r="A6741" s="133">
        <v>2022</v>
      </c>
      <c r="B6741" s="133">
        <v>6</v>
      </c>
      <c r="C6741" s="133">
        <v>16</v>
      </c>
      <c r="D6741" s="141">
        <f t="shared" si="444"/>
        <v>44728</v>
      </c>
      <c r="E6741" s="275">
        <f t="shared" si="445"/>
        <v>44728</v>
      </c>
      <c r="F6741" s="481"/>
      <c r="G6741" s="174" t="s">
        <v>74</v>
      </c>
      <c r="H6741" s="148" t="str" cm="1">
        <f t="array" ref="H6741">IFERROR(INDEX(INVESTOR_LIST[INVESTOR NAME],MATCH(I6741,INVESTOR_LIST[INVESTOR CODE],0),)," ")</f>
        <v>EDGE AMC GROWTH FUND</v>
      </c>
      <c r="I6741" s="148" t="s">
        <v>491</v>
      </c>
      <c r="J6741" s="133" t="s">
        <v>53</v>
      </c>
      <c r="K6741" s="218">
        <v>852000</v>
      </c>
      <c r="L6741" s="218"/>
    </row>
    <row r="6742" spans="1:12" ht="45" x14ac:dyDescent="0.2">
      <c r="A6742" s="163">
        <v>2022</v>
      </c>
      <c r="B6742" s="163">
        <v>6</v>
      </c>
      <c r="C6742" s="163">
        <v>16</v>
      </c>
      <c r="D6742" s="280">
        <f t="shared" si="444"/>
        <v>44728</v>
      </c>
      <c r="E6742" s="281">
        <f t="shared" si="445"/>
        <v>44728</v>
      </c>
      <c r="F6742" s="480"/>
      <c r="G6742" s="221" t="s">
        <v>74</v>
      </c>
      <c r="H6742" s="145" t="str" cm="1">
        <f t="array" ref="H6742">IFERROR(INDEX(INVESTOR_LIST[INVESTOR NAME],MATCH(I6742,INVESTOR_LIST[INVESTOR CODE],0),)," ")</f>
        <v>EDGE AMC GROWTH FUND</v>
      </c>
      <c r="I6742" s="145" t="s">
        <v>491</v>
      </c>
      <c r="J6742" s="163" t="s">
        <v>52</v>
      </c>
      <c r="K6742" s="219"/>
      <c r="L6742" s="219">
        <v>4852000</v>
      </c>
    </row>
    <row r="6743" spans="1:12" x14ac:dyDescent="0.2">
      <c r="A6743" s="238">
        <v>2022</v>
      </c>
      <c r="B6743" s="238">
        <v>6</v>
      </c>
      <c r="C6743" s="238">
        <v>16</v>
      </c>
      <c r="D6743" s="270">
        <f t="shared" si="444"/>
        <v>44728</v>
      </c>
      <c r="E6743" s="279">
        <f t="shared" si="445"/>
        <v>44728</v>
      </c>
      <c r="F6743" s="477" t="s">
        <v>347</v>
      </c>
      <c r="G6743" s="239" t="s">
        <v>94</v>
      </c>
      <c r="H6743" s="239" t="str" cm="1">
        <f t="array" ref="H6743">IFERROR(INDEX(INVESTOR_LIST[INVESTOR NAME],MATCH(I6743,INVESTOR_LIST[INVESTOR CODE],0),)," ")</f>
        <v xml:space="preserve"> </v>
      </c>
      <c r="I6743" s="262" t="s">
        <v>348</v>
      </c>
      <c r="J6743" s="240" t="s">
        <v>82</v>
      </c>
      <c r="K6743" s="241">
        <v>3067256.1399999857</v>
      </c>
      <c r="L6743" s="241"/>
    </row>
    <row r="6744" spans="1:12" x14ac:dyDescent="0.2">
      <c r="A6744" s="242">
        <v>2022</v>
      </c>
      <c r="B6744" s="242">
        <v>6</v>
      </c>
      <c r="C6744" s="242">
        <v>16</v>
      </c>
      <c r="D6744" s="270">
        <f t="shared" si="444"/>
        <v>44728</v>
      </c>
      <c r="E6744" s="279">
        <f t="shared" si="445"/>
        <v>44728</v>
      </c>
      <c r="F6744" s="478"/>
      <c r="G6744" s="243" t="s">
        <v>94</v>
      </c>
      <c r="H6744" s="243" t="str" cm="1">
        <f t="array" ref="H6744">IFERROR(INDEX(INVESTOR_LIST[INVESTOR NAME],MATCH(I6744,INVESTOR_LIST[INVESTOR CODE],0),)," ")</f>
        <v xml:space="preserve"> </v>
      </c>
      <c r="I6744" s="263" t="s">
        <v>348</v>
      </c>
      <c r="J6744" s="244" t="s">
        <v>108</v>
      </c>
      <c r="K6744" s="245"/>
      <c r="L6744" s="245">
        <v>3067256.1399999857</v>
      </c>
    </row>
    <row r="6745" spans="1:12" ht="22.5" x14ac:dyDescent="0.2">
      <c r="A6745" s="246">
        <v>2022</v>
      </c>
      <c r="B6745" s="246">
        <v>6</v>
      </c>
      <c r="C6745" s="246">
        <v>16</v>
      </c>
      <c r="D6745" s="270">
        <f t="shared" si="444"/>
        <v>44728</v>
      </c>
      <c r="E6745" s="279">
        <f t="shared" si="445"/>
        <v>44728</v>
      </c>
      <c r="F6745" s="482" t="s">
        <v>148</v>
      </c>
      <c r="G6745" s="247" t="s">
        <v>94</v>
      </c>
      <c r="H6745" s="247" t="str" cm="1">
        <f t="array" ref="H6745">IFERROR(INDEX(INVESTOR_LIST[INVESTOR NAME],MATCH(I6745,INVESTOR_LIST[INVESTOR CODE],0),)," ")</f>
        <v xml:space="preserve"> </v>
      </c>
      <c r="I6745" s="248" t="s">
        <v>348</v>
      </c>
      <c r="J6745" s="249" t="s">
        <v>95</v>
      </c>
      <c r="K6745" s="250">
        <v>2747.2527472527472</v>
      </c>
      <c r="L6745" s="241"/>
    </row>
    <row r="6746" spans="1:12" x14ac:dyDescent="0.2">
      <c r="A6746" s="242">
        <v>2022</v>
      </c>
      <c r="B6746" s="242">
        <v>6</v>
      </c>
      <c r="C6746" s="242">
        <v>16</v>
      </c>
      <c r="D6746" s="270">
        <f t="shared" si="444"/>
        <v>44728</v>
      </c>
      <c r="E6746" s="279">
        <f t="shared" si="445"/>
        <v>44728</v>
      </c>
      <c r="F6746" s="478"/>
      <c r="G6746" s="243" t="s">
        <v>94</v>
      </c>
      <c r="H6746" s="243" t="str" cm="1">
        <f t="array" ref="H6746">IFERROR(INDEX(INVESTOR_LIST[INVESTOR NAME],MATCH(I6746,INVESTOR_LIST[INVESTOR CODE],0),)," ")</f>
        <v xml:space="preserve"> </v>
      </c>
      <c r="I6746" s="263" t="s">
        <v>348</v>
      </c>
      <c r="J6746" s="244" t="s">
        <v>63</v>
      </c>
      <c r="K6746" s="245"/>
      <c r="L6746" s="245">
        <v>2747.2527472527472</v>
      </c>
    </row>
    <row r="6747" spans="1:12" x14ac:dyDescent="0.2">
      <c r="A6747" s="246">
        <v>2022</v>
      </c>
      <c r="B6747" s="246">
        <v>6</v>
      </c>
      <c r="C6747" s="246">
        <v>16</v>
      </c>
      <c r="D6747" s="270">
        <f t="shared" si="444"/>
        <v>44728</v>
      </c>
      <c r="E6747" s="279">
        <f t="shared" si="445"/>
        <v>44728</v>
      </c>
      <c r="F6747" s="482" t="s">
        <v>137</v>
      </c>
      <c r="G6747" s="247" t="s">
        <v>94</v>
      </c>
      <c r="H6747" s="247" t="str" cm="1">
        <f t="array" ref="H6747">IFERROR(INDEX(INVESTOR_LIST[INVESTOR NAME],MATCH(I6747,INVESTOR_LIST[INVESTOR CODE],0),)," ")</f>
        <v xml:space="preserve"> </v>
      </c>
      <c r="I6747" s="248" t="s">
        <v>348</v>
      </c>
      <c r="J6747" s="249" t="s">
        <v>97</v>
      </c>
      <c r="K6747" s="250">
        <v>79903.866426107197</v>
      </c>
      <c r="L6747" s="252"/>
    </row>
    <row r="6748" spans="1:12" ht="12.75" customHeight="1" x14ac:dyDescent="0.2">
      <c r="A6748" s="242">
        <v>2022</v>
      </c>
      <c r="B6748" s="242">
        <v>6</v>
      </c>
      <c r="C6748" s="242">
        <v>16</v>
      </c>
      <c r="D6748" s="270">
        <f t="shared" si="444"/>
        <v>44728</v>
      </c>
      <c r="E6748" s="279">
        <f t="shared" si="445"/>
        <v>44728</v>
      </c>
      <c r="F6748" s="478"/>
      <c r="G6748" s="243" t="s">
        <v>94</v>
      </c>
      <c r="H6748" s="243" t="str" cm="1">
        <f t="array" ref="H6748">IFERROR(INDEX(INVESTOR_LIST[INVESTOR NAME],MATCH(I6748,INVESTOR_LIST[INVESTOR CODE],0),)," ")</f>
        <v xml:space="preserve"> </v>
      </c>
      <c r="I6748" s="263" t="s">
        <v>348</v>
      </c>
      <c r="J6748" s="244" t="s">
        <v>47</v>
      </c>
      <c r="K6748" s="245"/>
      <c r="L6748" s="245">
        <v>79903.866426107197</v>
      </c>
    </row>
    <row r="6749" spans="1:12" ht="12.75" customHeight="1" x14ac:dyDescent="0.2">
      <c r="A6749" s="246">
        <v>2022</v>
      </c>
      <c r="B6749" s="246">
        <v>6</v>
      </c>
      <c r="C6749" s="246">
        <v>16</v>
      </c>
      <c r="D6749" s="270">
        <f t="shared" si="444"/>
        <v>44728</v>
      </c>
      <c r="E6749" s="279">
        <f t="shared" si="445"/>
        <v>44728</v>
      </c>
      <c r="F6749" s="482" t="s">
        <v>138</v>
      </c>
      <c r="G6749" s="247" t="s">
        <v>94</v>
      </c>
      <c r="H6749" s="247" t="str" cm="1">
        <f t="array" ref="H6749">IFERROR(INDEX(INVESTOR_LIST[INVESTOR NAME],MATCH(I6749,INVESTOR_LIST[INVESTOR CODE],0),)," ")</f>
        <v xml:space="preserve"> </v>
      </c>
      <c r="I6749" s="248" t="s">
        <v>348</v>
      </c>
      <c r="J6749" s="249" t="s">
        <v>100</v>
      </c>
      <c r="K6749" s="250">
        <v>3754.8087059207446</v>
      </c>
      <c r="L6749" s="252"/>
    </row>
    <row r="6750" spans="1:12" ht="12.75" customHeight="1" x14ac:dyDescent="0.2">
      <c r="A6750" s="242">
        <v>2022</v>
      </c>
      <c r="B6750" s="242">
        <v>6</v>
      </c>
      <c r="C6750" s="242">
        <v>16</v>
      </c>
      <c r="D6750" s="321">
        <f t="shared" si="444"/>
        <v>44728</v>
      </c>
      <c r="E6750" s="322">
        <f t="shared" si="445"/>
        <v>44728</v>
      </c>
      <c r="F6750" s="478"/>
      <c r="G6750" s="243" t="s">
        <v>94</v>
      </c>
      <c r="H6750" s="243" t="str" cm="1">
        <f t="array" ref="H6750">IFERROR(INDEX(INVESTOR_LIST[INVESTOR NAME],MATCH(I6750,INVESTOR_LIST[INVESTOR CODE],0),)," ")</f>
        <v xml:space="preserve"> </v>
      </c>
      <c r="I6750" s="263" t="s">
        <v>348</v>
      </c>
      <c r="J6750" s="244" t="s">
        <v>48</v>
      </c>
      <c r="K6750" s="245"/>
      <c r="L6750" s="245">
        <v>3754.8087059207446</v>
      </c>
    </row>
    <row r="6751" spans="1:12" ht="56.25" x14ac:dyDescent="0.2">
      <c r="A6751" s="168">
        <v>2022</v>
      </c>
      <c r="B6751" s="168">
        <v>6</v>
      </c>
      <c r="C6751" s="133">
        <v>19</v>
      </c>
      <c r="D6751" s="141">
        <f t="shared" si="444"/>
        <v>44731</v>
      </c>
      <c r="E6751" s="275">
        <f t="shared" si="445"/>
        <v>44731</v>
      </c>
      <c r="F6751" s="479" t="s">
        <v>1315</v>
      </c>
      <c r="G6751" s="220" t="s">
        <v>74</v>
      </c>
      <c r="H6751" s="142" t="str" cm="1">
        <f t="array" ref="H6751">IFERROR(INDEX(INVESTOR_LIST[INVESTOR NAME],MATCH(I6751,INVESTOR_LIST[INVESTOR CODE],0),)," ")</f>
        <v>EKUSH WEALTH MANAGEMENT LIMITED</v>
      </c>
      <c r="I6751" s="142" t="s">
        <v>371</v>
      </c>
      <c r="J6751" s="168" t="s">
        <v>13</v>
      </c>
      <c r="K6751" s="226">
        <v>1851040</v>
      </c>
      <c r="L6751" s="226"/>
    </row>
    <row r="6752" spans="1:12" ht="56.25" x14ac:dyDescent="0.2">
      <c r="A6752" s="133">
        <v>2022</v>
      </c>
      <c r="B6752" s="133">
        <v>6</v>
      </c>
      <c r="C6752" s="133">
        <v>19</v>
      </c>
      <c r="D6752" s="141">
        <f t="shared" si="444"/>
        <v>44731</v>
      </c>
      <c r="E6752" s="275">
        <f t="shared" si="445"/>
        <v>44731</v>
      </c>
      <c r="F6752" s="481"/>
      <c r="G6752" s="174" t="s">
        <v>74</v>
      </c>
      <c r="H6752" s="148" t="str" cm="1">
        <f t="array" ref="H6752">IFERROR(INDEX(INVESTOR_LIST[INVESTOR NAME],MATCH(I6752,INVESTOR_LIST[INVESTOR CODE],0),)," ")</f>
        <v>EKUSH WEALTH MANAGEMENT LIMITED</v>
      </c>
      <c r="I6752" s="148" t="s">
        <v>371</v>
      </c>
      <c r="J6752" s="133" t="s">
        <v>53</v>
      </c>
      <c r="K6752" s="218">
        <v>390569</v>
      </c>
      <c r="L6752" s="218"/>
    </row>
    <row r="6753" spans="1:12" ht="56.25" x14ac:dyDescent="0.2">
      <c r="A6753" s="163">
        <v>2022</v>
      </c>
      <c r="B6753" s="163">
        <v>6</v>
      </c>
      <c r="C6753" s="163">
        <v>19</v>
      </c>
      <c r="D6753" s="280">
        <f t="shared" si="444"/>
        <v>44731</v>
      </c>
      <c r="E6753" s="281">
        <f t="shared" si="445"/>
        <v>44731</v>
      </c>
      <c r="F6753" s="480"/>
      <c r="G6753" s="221" t="s">
        <v>74</v>
      </c>
      <c r="H6753" s="145" t="str" cm="1">
        <f t="array" ref="H6753">IFERROR(INDEX(INVESTOR_LIST[INVESTOR NAME],MATCH(I6753,INVESTOR_LIST[INVESTOR CODE],0),)," ")</f>
        <v>EKUSH WEALTH MANAGEMENT LIMITED</v>
      </c>
      <c r="I6753" s="145" t="s">
        <v>371</v>
      </c>
      <c r="J6753" s="163" t="s">
        <v>52</v>
      </c>
      <c r="K6753" s="219"/>
      <c r="L6753" s="219">
        <v>2241609</v>
      </c>
    </row>
    <row r="6754" spans="1:12" x14ac:dyDescent="0.2">
      <c r="A6754" s="168">
        <v>2022</v>
      </c>
      <c r="B6754" s="168">
        <v>6</v>
      </c>
      <c r="C6754" s="168">
        <v>19</v>
      </c>
      <c r="D6754" s="141">
        <f>DATE(A6754,B6754,C6754)</f>
        <v>44731</v>
      </c>
      <c r="E6754" s="275">
        <f>DATE(A6754,B6754,C6754)</f>
        <v>44731</v>
      </c>
      <c r="F6754" s="479" t="s">
        <v>1361</v>
      </c>
      <c r="G6754" s="220" t="s">
        <v>74</v>
      </c>
      <c r="H6754" s="220" t="str" cm="1">
        <f t="array" ref="H6754">IFERROR(INDEX(INVESTOR_LIST[INVESTOR NAME],MATCH(I6754,INVESTOR_LIST[INVESTOR CODE],0),)," ")</f>
        <v xml:space="preserve"> </v>
      </c>
      <c r="I6754" s="142" t="s">
        <v>348</v>
      </c>
      <c r="J6754" s="143" t="s">
        <v>52</v>
      </c>
      <c r="K6754" s="226">
        <v>10958363.43</v>
      </c>
      <c r="L6754" s="226"/>
    </row>
    <row r="6755" spans="1:12" x14ac:dyDescent="0.2">
      <c r="A6755" s="163">
        <v>2022</v>
      </c>
      <c r="B6755" s="163">
        <v>6</v>
      </c>
      <c r="C6755" s="163">
        <v>19</v>
      </c>
      <c r="D6755" s="141">
        <f>DATE(A6755,B6755,C6755)</f>
        <v>44731</v>
      </c>
      <c r="E6755" s="275">
        <f>DATE(A6755,B6755,C6755)</f>
        <v>44731</v>
      </c>
      <c r="F6755" s="480"/>
      <c r="G6755" s="221" t="s">
        <v>74</v>
      </c>
      <c r="H6755" s="221" t="str" cm="1">
        <f t="array" ref="H6755">IFERROR(INDEX(INVESTOR_LIST[INVESTOR NAME],MATCH(I6755,INVESTOR_LIST[INVESTOR CODE],0),)," ")</f>
        <v xml:space="preserve"> </v>
      </c>
      <c r="I6755" s="145" t="s">
        <v>348</v>
      </c>
      <c r="J6755" s="146" t="s">
        <v>190</v>
      </c>
      <c r="K6755" s="219"/>
      <c r="L6755" s="219">
        <v>10958363.43</v>
      </c>
    </row>
    <row r="6756" spans="1:12" x14ac:dyDescent="0.2">
      <c r="A6756" s="133">
        <v>2022</v>
      </c>
      <c r="B6756" s="168">
        <v>6</v>
      </c>
      <c r="C6756" s="168">
        <v>19</v>
      </c>
      <c r="D6756" s="141">
        <f t="shared" ref="D6756:D6760" si="446">DATE(A6756,B6756,C6756)</f>
        <v>44731</v>
      </c>
      <c r="E6756" s="275">
        <f t="shared" ref="E6756:E6760" si="447">DATE(A6756,B6756,C6756)</f>
        <v>44731</v>
      </c>
      <c r="F6756" s="479" t="s">
        <v>1411</v>
      </c>
      <c r="G6756" s="174" t="s">
        <v>74</v>
      </c>
      <c r="H6756" s="148" t="str" cm="1">
        <f t="array" ref="H6756">IFERROR(INDEX(INVESTOR_LIST[INVESTOR NAME],MATCH(I6756,INVESTOR_LIST[INVESTOR CODE],0),)," ")</f>
        <v xml:space="preserve"> </v>
      </c>
      <c r="I6756" s="148" t="s">
        <v>348</v>
      </c>
      <c r="J6756" s="133" t="s">
        <v>47</v>
      </c>
      <c r="K6756" s="172">
        <v>2340550</v>
      </c>
    </row>
    <row r="6757" spans="1:12" x14ac:dyDescent="0.2">
      <c r="A6757" s="163">
        <v>2022</v>
      </c>
      <c r="B6757" s="163">
        <v>6</v>
      </c>
      <c r="C6757" s="163">
        <v>19</v>
      </c>
      <c r="D6757" s="141">
        <f t="shared" si="446"/>
        <v>44731</v>
      </c>
      <c r="E6757" s="275">
        <f t="shared" si="447"/>
        <v>44731</v>
      </c>
      <c r="F6757" s="480"/>
      <c r="G6757" s="221" t="s">
        <v>74</v>
      </c>
      <c r="H6757" s="145" t="str" cm="1">
        <f t="array" ref="H6757">IFERROR(INDEX(INVESTOR_LIST[INVESTOR NAME],MATCH(I6757,INVESTOR_LIST[INVESTOR CODE],0),)," ")</f>
        <v xml:space="preserve"> </v>
      </c>
      <c r="I6757" s="145" t="s">
        <v>348</v>
      </c>
      <c r="J6757" s="163" t="s">
        <v>52</v>
      </c>
      <c r="K6757" s="219"/>
      <c r="L6757" s="219">
        <v>2340550</v>
      </c>
    </row>
    <row r="6758" spans="1:12" ht="45" x14ac:dyDescent="0.2">
      <c r="A6758" s="168">
        <v>2022</v>
      </c>
      <c r="B6758" s="168">
        <v>6</v>
      </c>
      <c r="C6758" s="133">
        <v>20</v>
      </c>
      <c r="D6758" s="141">
        <f t="shared" si="446"/>
        <v>44732</v>
      </c>
      <c r="E6758" s="275">
        <f t="shared" si="447"/>
        <v>44732</v>
      </c>
      <c r="F6758" s="479" t="s">
        <v>1315</v>
      </c>
      <c r="G6758" s="220" t="s">
        <v>74</v>
      </c>
      <c r="H6758" s="142" t="str" cm="1">
        <f t="array" ref="H6758">IFERROR(INDEX(INVESTOR_LIST[INVESTOR NAME],MATCH(I6758,INVESTOR_LIST[INVESTOR CODE],0),)," ")</f>
        <v>MD MIZANUR RAHMAN</v>
      </c>
      <c r="I6758" s="142" t="s">
        <v>482</v>
      </c>
      <c r="J6758" s="168" t="s">
        <v>13</v>
      </c>
      <c r="K6758" s="226">
        <v>21830</v>
      </c>
      <c r="L6758" s="226"/>
    </row>
    <row r="6759" spans="1:12" ht="45" x14ac:dyDescent="0.2">
      <c r="A6759" s="133">
        <v>2022</v>
      </c>
      <c r="B6759" s="133">
        <v>6</v>
      </c>
      <c r="C6759" s="133">
        <v>20</v>
      </c>
      <c r="D6759" s="141">
        <f t="shared" si="446"/>
        <v>44732</v>
      </c>
      <c r="E6759" s="275">
        <f t="shared" si="447"/>
        <v>44732</v>
      </c>
      <c r="F6759" s="481"/>
      <c r="G6759" s="174" t="s">
        <v>74</v>
      </c>
      <c r="H6759" s="148" t="str" cm="1">
        <f t="array" ref="H6759">IFERROR(INDEX(INVESTOR_LIST[INVESTOR NAME],MATCH(I6759,INVESTOR_LIST[INVESTOR CODE],0),)," ")</f>
        <v>MD MIZANUR RAHMAN</v>
      </c>
      <c r="I6759" s="148" t="s">
        <v>482</v>
      </c>
      <c r="J6759" s="133" t="s">
        <v>53</v>
      </c>
      <c r="K6759" s="218">
        <v>4605.08</v>
      </c>
      <c r="L6759" s="218"/>
    </row>
    <row r="6760" spans="1:12" ht="45" x14ac:dyDescent="0.2">
      <c r="A6760" s="163">
        <v>2022</v>
      </c>
      <c r="B6760" s="163">
        <v>6</v>
      </c>
      <c r="C6760" s="163">
        <v>20</v>
      </c>
      <c r="D6760" s="280">
        <f t="shared" si="446"/>
        <v>44732</v>
      </c>
      <c r="E6760" s="281">
        <f t="shared" si="447"/>
        <v>44732</v>
      </c>
      <c r="F6760" s="480"/>
      <c r="G6760" s="221" t="s">
        <v>74</v>
      </c>
      <c r="H6760" s="145" t="str" cm="1">
        <f t="array" ref="H6760">IFERROR(INDEX(INVESTOR_LIST[INVESTOR NAME],MATCH(I6760,INVESTOR_LIST[INVESTOR CODE],0),)," ")</f>
        <v>MD MIZANUR RAHMAN</v>
      </c>
      <c r="I6760" s="145" t="s">
        <v>482</v>
      </c>
      <c r="J6760" s="163" t="s">
        <v>52</v>
      </c>
      <c r="K6760" s="219"/>
      <c r="L6760" s="219">
        <v>26435.08</v>
      </c>
    </row>
    <row r="6761" spans="1:12" x14ac:dyDescent="0.2">
      <c r="A6761" s="168">
        <v>2022</v>
      </c>
      <c r="B6761" s="168">
        <v>6</v>
      </c>
      <c r="C6761" s="168">
        <v>20</v>
      </c>
      <c r="D6761" s="141">
        <f>DATE(A6761,B6761,C6761)</f>
        <v>44732</v>
      </c>
      <c r="E6761" s="275">
        <f>DATE(A6761,B6761,C6761)</f>
        <v>44732</v>
      </c>
      <c r="F6761" s="479" t="s">
        <v>1361</v>
      </c>
      <c r="G6761" s="220" t="s">
        <v>74</v>
      </c>
      <c r="H6761" s="220" t="str" cm="1">
        <f t="array" ref="H6761">IFERROR(INDEX(INVESTOR_LIST[INVESTOR NAME],MATCH(I6761,INVESTOR_LIST[INVESTOR CODE],0),)," ")</f>
        <v xml:space="preserve"> </v>
      </c>
      <c r="I6761" s="142" t="s">
        <v>348</v>
      </c>
      <c r="J6761" s="143" t="s">
        <v>52</v>
      </c>
      <c r="K6761" s="226">
        <v>6321384.4900000002</v>
      </c>
      <c r="L6761" s="226"/>
    </row>
    <row r="6762" spans="1:12" x14ac:dyDescent="0.2">
      <c r="A6762" s="163">
        <v>2022</v>
      </c>
      <c r="B6762" s="163">
        <v>6</v>
      </c>
      <c r="C6762" s="163">
        <v>20</v>
      </c>
      <c r="D6762" s="141">
        <f>DATE(A6762,B6762,C6762)</f>
        <v>44732</v>
      </c>
      <c r="E6762" s="275">
        <f>DATE(A6762,B6762,C6762)</f>
        <v>44732</v>
      </c>
      <c r="F6762" s="480"/>
      <c r="G6762" s="221" t="s">
        <v>74</v>
      </c>
      <c r="H6762" s="221" t="str" cm="1">
        <f t="array" ref="H6762">IFERROR(INDEX(INVESTOR_LIST[INVESTOR NAME],MATCH(I6762,INVESTOR_LIST[INVESTOR CODE],0),)," ")</f>
        <v xml:space="preserve"> </v>
      </c>
      <c r="I6762" s="145" t="s">
        <v>348</v>
      </c>
      <c r="J6762" s="146" t="s">
        <v>190</v>
      </c>
      <c r="K6762" s="219"/>
      <c r="L6762" s="219">
        <v>6321384.4900000002</v>
      </c>
    </row>
    <row r="6763" spans="1:12" ht="45" x14ac:dyDescent="0.2">
      <c r="A6763" s="168">
        <v>2022</v>
      </c>
      <c r="B6763" s="168">
        <v>6</v>
      </c>
      <c r="C6763" s="133">
        <v>21</v>
      </c>
      <c r="D6763" s="141">
        <f t="shared" ref="D6763:D6765" si="448">DATE(A6763,B6763,C6763)</f>
        <v>44733</v>
      </c>
      <c r="E6763" s="275">
        <f t="shared" ref="E6763:E6765" si="449">DATE(A6763,B6763,C6763)</f>
        <v>44733</v>
      </c>
      <c r="F6763" s="479" t="s">
        <v>1315</v>
      </c>
      <c r="G6763" s="220" t="s">
        <v>74</v>
      </c>
      <c r="H6763" s="142" t="str" cm="1">
        <f t="array" ref="H6763">IFERROR(INDEX(INVESTOR_LIST[INVESTOR NAME],MATCH(I6763,INVESTOR_LIST[INVESTOR CODE],0),)," ")</f>
        <v>MD MIZANUR RAHMAN</v>
      </c>
      <c r="I6763" s="142" t="s">
        <v>482</v>
      </c>
      <c r="J6763" s="168" t="s">
        <v>13</v>
      </c>
      <c r="K6763" s="226">
        <v>58300</v>
      </c>
      <c r="L6763" s="226"/>
    </row>
    <row r="6764" spans="1:12" ht="45" x14ac:dyDescent="0.2">
      <c r="A6764" s="133">
        <v>2022</v>
      </c>
      <c r="B6764" s="133">
        <v>6</v>
      </c>
      <c r="C6764" s="133">
        <v>21</v>
      </c>
      <c r="D6764" s="141">
        <f t="shared" si="448"/>
        <v>44733</v>
      </c>
      <c r="E6764" s="275">
        <f t="shared" si="449"/>
        <v>44733</v>
      </c>
      <c r="F6764" s="481"/>
      <c r="G6764" s="174" t="s">
        <v>74</v>
      </c>
      <c r="H6764" s="148" t="str" cm="1">
        <f t="array" ref="H6764">IFERROR(INDEX(INVESTOR_LIST[INVESTOR NAME],MATCH(I6764,INVESTOR_LIST[INVESTOR CODE],0),)," ")</f>
        <v>MD MIZANUR RAHMAN</v>
      </c>
      <c r="I6764" s="148" t="s">
        <v>482</v>
      </c>
      <c r="J6764" s="133" t="s">
        <v>53</v>
      </c>
      <c r="K6764" s="218">
        <v>12302.35</v>
      </c>
      <c r="L6764" s="218"/>
    </row>
    <row r="6765" spans="1:12" ht="45" x14ac:dyDescent="0.2">
      <c r="A6765" s="163">
        <v>2022</v>
      </c>
      <c r="B6765" s="163">
        <v>6</v>
      </c>
      <c r="C6765" s="163">
        <v>21</v>
      </c>
      <c r="D6765" s="280">
        <f t="shared" si="448"/>
        <v>44733</v>
      </c>
      <c r="E6765" s="281">
        <f t="shared" si="449"/>
        <v>44733</v>
      </c>
      <c r="F6765" s="480"/>
      <c r="G6765" s="221" t="s">
        <v>74</v>
      </c>
      <c r="H6765" s="145" t="str" cm="1">
        <f t="array" ref="H6765">IFERROR(INDEX(INVESTOR_LIST[INVESTOR NAME],MATCH(I6765,INVESTOR_LIST[INVESTOR CODE],0),)," ")</f>
        <v>MD MIZANUR RAHMAN</v>
      </c>
      <c r="I6765" s="145" t="s">
        <v>482</v>
      </c>
      <c r="J6765" s="163" t="s">
        <v>52</v>
      </c>
      <c r="K6765" s="219"/>
      <c r="L6765" s="219">
        <v>70602.350000000006</v>
      </c>
    </row>
    <row r="6766" spans="1:12" x14ac:dyDescent="0.2">
      <c r="A6766" s="133">
        <v>2022</v>
      </c>
      <c r="B6766" s="168">
        <v>6</v>
      </c>
      <c r="C6766" s="168">
        <v>21</v>
      </c>
      <c r="D6766" s="141">
        <f t="shared" ref="D6766:D6767" si="450">DATE(A6766,B6766,C6766)</f>
        <v>44733</v>
      </c>
      <c r="E6766" s="275">
        <f t="shared" ref="E6766:E6767" si="451">DATE(A6766,B6766,C6766)</f>
        <v>44733</v>
      </c>
      <c r="F6766" s="479" t="s">
        <v>362</v>
      </c>
      <c r="G6766" s="220" t="s">
        <v>74</v>
      </c>
      <c r="H6766" s="220" t="str" cm="1">
        <f t="array" ref="H6766">IFERROR(INDEX(INVESTOR_LIST[INVESTOR NAME],MATCH(I6766,INVESTOR_LIST[INVESTOR CODE],0),)," ")</f>
        <v xml:space="preserve"> </v>
      </c>
      <c r="I6766" s="142" t="s">
        <v>348</v>
      </c>
      <c r="J6766" s="143" t="s">
        <v>104</v>
      </c>
      <c r="K6766" s="226">
        <v>5034.12</v>
      </c>
      <c r="L6766" s="226"/>
    </row>
    <row r="6767" spans="1:12" x14ac:dyDescent="0.2">
      <c r="A6767" s="163">
        <v>2022</v>
      </c>
      <c r="B6767" s="163">
        <v>6</v>
      </c>
      <c r="C6767" s="163">
        <v>21</v>
      </c>
      <c r="D6767" s="141">
        <f t="shared" si="450"/>
        <v>44733</v>
      </c>
      <c r="E6767" s="275">
        <f t="shared" si="451"/>
        <v>44733</v>
      </c>
      <c r="F6767" s="480"/>
      <c r="G6767" s="221" t="s">
        <v>74</v>
      </c>
      <c r="H6767" s="221" t="str" cm="1">
        <f t="array" ref="H6767">IFERROR(INDEX(INVESTOR_LIST[INVESTOR NAME],MATCH(I6767,INVESTOR_LIST[INVESTOR CODE],0),)," ")</f>
        <v xml:space="preserve"> </v>
      </c>
      <c r="I6767" s="145" t="s">
        <v>348</v>
      </c>
      <c r="J6767" s="146" t="s">
        <v>52</v>
      </c>
      <c r="K6767" s="219"/>
      <c r="L6767" s="219">
        <v>5034.12</v>
      </c>
    </row>
    <row r="6768" spans="1:12" x14ac:dyDescent="0.2">
      <c r="A6768" s="133">
        <v>2022</v>
      </c>
      <c r="B6768" s="133">
        <v>6</v>
      </c>
      <c r="C6768" s="133">
        <v>21</v>
      </c>
      <c r="D6768" s="141">
        <f t="shared" si="444"/>
        <v>44733</v>
      </c>
      <c r="E6768" s="275">
        <f t="shared" si="445"/>
        <v>44733</v>
      </c>
      <c r="F6768" s="481" t="s">
        <v>1379</v>
      </c>
      <c r="G6768" s="174" t="s">
        <v>94</v>
      </c>
      <c r="H6768" s="174" t="str" cm="1">
        <f t="array" ref="H6768">IFERROR(INDEX(INVESTOR_LIST[INVESTOR NAME],MATCH(I6768,INVESTOR_LIST[INVESTOR CODE],0),)," ")</f>
        <v xml:space="preserve"> </v>
      </c>
      <c r="J6768" s="149" t="s">
        <v>79</v>
      </c>
      <c r="K6768" s="218">
        <v>1444272</v>
      </c>
      <c r="L6768" s="218"/>
    </row>
    <row r="6769" spans="1:12" x14ac:dyDescent="0.2">
      <c r="A6769" s="133">
        <v>2022</v>
      </c>
      <c r="B6769" s="133">
        <v>6</v>
      </c>
      <c r="C6769" s="133">
        <v>21</v>
      </c>
      <c r="D6769" s="141">
        <f t="shared" si="444"/>
        <v>44733</v>
      </c>
      <c r="E6769" s="275">
        <f t="shared" si="445"/>
        <v>44733</v>
      </c>
      <c r="F6769" s="481"/>
      <c r="G6769" s="174" t="s">
        <v>94</v>
      </c>
      <c r="H6769" s="174"/>
      <c r="J6769" s="149" t="s">
        <v>80</v>
      </c>
      <c r="K6769" s="218">
        <v>5188.4500000000007</v>
      </c>
      <c r="L6769" s="218"/>
    </row>
    <row r="6770" spans="1:12" x14ac:dyDescent="0.2">
      <c r="A6770" s="133">
        <v>2022</v>
      </c>
      <c r="B6770" s="133">
        <v>6</v>
      </c>
      <c r="C6770" s="133">
        <v>21</v>
      </c>
      <c r="D6770" s="141">
        <f t="shared" si="444"/>
        <v>44733</v>
      </c>
      <c r="E6770" s="275">
        <f t="shared" si="445"/>
        <v>44733</v>
      </c>
      <c r="F6770" s="481"/>
      <c r="G6770" s="174" t="s">
        <v>94</v>
      </c>
      <c r="H6770" s="174"/>
      <c r="J6770" s="149" t="s">
        <v>147</v>
      </c>
      <c r="K6770" s="218"/>
      <c r="L6770" s="218">
        <v>11260.45</v>
      </c>
    </row>
    <row r="6771" spans="1:12" x14ac:dyDescent="0.2">
      <c r="A6771" s="133">
        <v>2022</v>
      </c>
      <c r="B6771" s="133">
        <v>6</v>
      </c>
      <c r="C6771" s="133">
        <v>21</v>
      </c>
      <c r="D6771" s="141">
        <f t="shared" si="444"/>
        <v>44733</v>
      </c>
      <c r="E6771" s="275">
        <f t="shared" si="445"/>
        <v>44733</v>
      </c>
      <c r="F6771" s="481"/>
      <c r="G6771" s="174" t="s">
        <v>94</v>
      </c>
      <c r="H6771" s="174" t="str" cm="1">
        <f t="array" ref="H6771">IFERROR(INDEX(INVESTOR_LIST[INVESTOR NAME],MATCH(I6771,INVESTOR_LIST[INVESTOR CODE],0),)," ")</f>
        <v xml:space="preserve"> </v>
      </c>
      <c r="J6771" s="149" t="s">
        <v>191</v>
      </c>
      <c r="K6771" s="218">
        <v>5482.37</v>
      </c>
      <c r="L6771" s="218"/>
    </row>
    <row r="6772" spans="1:12" x14ac:dyDescent="0.2">
      <c r="A6772" s="163">
        <v>2022</v>
      </c>
      <c r="B6772" s="163">
        <v>6</v>
      </c>
      <c r="C6772" s="163">
        <v>21</v>
      </c>
      <c r="D6772" s="280">
        <f t="shared" si="444"/>
        <v>44733</v>
      </c>
      <c r="E6772" s="281">
        <f t="shared" si="445"/>
        <v>44733</v>
      </c>
      <c r="F6772" s="480"/>
      <c r="G6772" s="221" t="s">
        <v>94</v>
      </c>
      <c r="H6772" s="145" t="str" cm="1">
        <f t="array" ref="H6772">IFERROR(INDEX(INVESTOR_LIST[INVESTOR NAME],MATCH(I6772,INVESTOR_LIST[INVESTOR CODE],0),)," ")</f>
        <v xml:space="preserve"> </v>
      </c>
      <c r="I6772" s="145"/>
      <c r="J6772" s="163" t="s">
        <v>79</v>
      </c>
      <c r="K6772" s="219"/>
      <c r="L6772" s="219">
        <v>1443682.37</v>
      </c>
    </row>
    <row r="6773" spans="1:12" x14ac:dyDescent="0.2">
      <c r="A6773" s="168">
        <v>2022</v>
      </c>
      <c r="B6773" s="168">
        <v>6</v>
      </c>
      <c r="C6773" s="168">
        <v>22</v>
      </c>
      <c r="D6773" s="141">
        <f>DATE(A6773,B6773,C6773)</f>
        <v>44734</v>
      </c>
      <c r="E6773" s="275">
        <f>DATE(A6773,B6773,C6773)</f>
        <v>44734</v>
      </c>
      <c r="F6773" s="479" t="s">
        <v>1388</v>
      </c>
      <c r="G6773" s="220" t="s">
        <v>74</v>
      </c>
      <c r="H6773" s="220" t="str" cm="1">
        <f t="array" ref="H6773">IFERROR(INDEX(INVESTOR_LIST[INVESTOR NAME],MATCH(I6773,INVESTOR_LIST[INVESTOR CODE],0),)," ")</f>
        <v xml:space="preserve"> </v>
      </c>
      <c r="I6773" s="142" t="s">
        <v>348</v>
      </c>
      <c r="J6773" s="143" t="s">
        <v>147</v>
      </c>
      <c r="K6773" s="226">
        <v>11260.45</v>
      </c>
      <c r="L6773" s="226"/>
    </row>
    <row r="6774" spans="1:12" x14ac:dyDescent="0.2">
      <c r="A6774" s="163">
        <v>2022</v>
      </c>
      <c r="B6774" s="163">
        <v>6</v>
      </c>
      <c r="C6774" s="163">
        <v>22</v>
      </c>
      <c r="D6774" s="141">
        <f>DATE(A6774,B6774,C6774)</f>
        <v>44734</v>
      </c>
      <c r="E6774" s="275">
        <f>DATE(A6774,B6774,C6774)</f>
        <v>44734</v>
      </c>
      <c r="F6774" s="480"/>
      <c r="G6774" s="221" t="s">
        <v>74</v>
      </c>
      <c r="H6774" s="221" t="str" cm="1">
        <f t="array" ref="H6774">IFERROR(INDEX(INVESTOR_LIST[INVESTOR NAME],MATCH(I6774,INVESTOR_LIST[INVESTOR CODE],0),)," ")</f>
        <v xml:space="preserve"> </v>
      </c>
      <c r="I6774" s="145" t="s">
        <v>348</v>
      </c>
      <c r="J6774" s="146" t="s">
        <v>52</v>
      </c>
      <c r="K6774" s="219"/>
      <c r="L6774" s="219">
        <v>11260.45</v>
      </c>
    </row>
    <row r="6775" spans="1:12" x14ac:dyDescent="0.2">
      <c r="A6775" s="168">
        <v>2022</v>
      </c>
      <c r="B6775" s="168">
        <v>6</v>
      </c>
      <c r="C6775" s="133">
        <v>22</v>
      </c>
      <c r="D6775" s="141">
        <f t="shared" ref="D6775:D6808" si="452">DATE(A6775,B6775,C6775)</f>
        <v>44734</v>
      </c>
      <c r="E6775" s="275">
        <f t="shared" ref="E6775:E6808" si="453">DATE(A6775,B6775,C6775)</f>
        <v>44734</v>
      </c>
      <c r="F6775" s="479" t="s">
        <v>1412</v>
      </c>
      <c r="G6775" s="220" t="s">
        <v>74</v>
      </c>
      <c r="H6775" s="220" t="str" cm="1">
        <f t="array" ref="H6775">IFERROR(INDEX(INVESTOR_LIST[INVESTOR NAME],MATCH(I6775,INVESTOR_LIST[INVESTOR CODE],0),)," ")</f>
        <v xml:space="preserve"> </v>
      </c>
      <c r="I6775" s="142" t="s">
        <v>348</v>
      </c>
      <c r="J6775" s="143" t="s">
        <v>184</v>
      </c>
      <c r="K6775" s="226">
        <v>15000000</v>
      </c>
      <c r="L6775" s="226"/>
    </row>
    <row r="6776" spans="1:12" x14ac:dyDescent="0.2">
      <c r="A6776" s="133">
        <v>2022</v>
      </c>
      <c r="B6776" s="133">
        <v>6</v>
      </c>
      <c r="C6776" s="133">
        <v>22</v>
      </c>
      <c r="D6776" s="141">
        <f t="shared" si="452"/>
        <v>44734</v>
      </c>
      <c r="E6776" s="275">
        <f t="shared" si="453"/>
        <v>44734</v>
      </c>
      <c r="F6776" s="481"/>
      <c r="G6776" s="174" t="s">
        <v>74</v>
      </c>
      <c r="H6776" s="174" t="str" cm="1">
        <f t="array" ref="H6776">IFERROR(INDEX(INVESTOR_LIST[INVESTOR NAME],MATCH(I6776,INVESTOR_LIST[INVESTOR CODE],0),)," ")</f>
        <v xml:space="preserve"> </v>
      </c>
      <c r="I6776" s="148" t="s">
        <v>348</v>
      </c>
      <c r="J6776" s="149" t="s">
        <v>61</v>
      </c>
      <c r="K6776" s="218">
        <v>115</v>
      </c>
      <c r="L6776" s="218"/>
    </row>
    <row r="6777" spans="1:12" x14ac:dyDescent="0.2">
      <c r="A6777" s="163">
        <v>2022</v>
      </c>
      <c r="B6777" s="163">
        <v>6</v>
      </c>
      <c r="C6777" s="163">
        <v>22</v>
      </c>
      <c r="D6777" s="141">
        <f t="shared" si="452"/>
        <v>44734</v>
      </c>
      <c r="E6777" s="275">
        <f t="shared" si="453"/>
        <v>44734</v>
      </c>
      <c r="F6777" s="480"/>
      <c r="G6777" s="221" t="s">
        <v>74</v>
      </c>
      <c r="H6777" s="221" t="str" cm="1">
        <f t="array" ref="H6777">IFERROR(INDEX(INVESTOR_LIST[INVESTOR NAME],MATCH(I6777,INVESTOR_LIST[INVESTOR CODE],0),)," ")</f>
        <v xml:space="preserve"> </v>
      </c>
      <c r="I6777" s="145" t="s">
        <v>348</v>
      </c>
      <c r="J6777" s="146" t="s">
        <v>52</v>
      </c>
      <c r="K6777" s="219"/>
      <c r="L6777" s="219">
        <v>15000115</v>
      </c>
    </row>
    <row r="6778" spans="1:12" x14ac:dyDescent="0.2">
      <c r="A6778" s="133">
        <v>2022</v>
      </c>
      <c r="B6778" s="133">
        <v>6</v>
      </c>
      <c r="C6778" s="133">
        <v>23</v>
      </c>
      <c r="D6778" s="141">
        <f t="shared" si="452"/>
        <v>44735</v>
      </c>
      <c r="E6778" s="275">
        <f t="shared" si="453"/>
        <v>44735</v>
      </c>
      <c r="F6778" s="481" t="s">
        <v>1429</v>
      </c>
      <c r="G6778" s="174" t="s">
        <v>94</v>
      </c>
      <c r="H6778" s="174" t="str" cm="1">
        <f t="array" ref="H6778">IFERROR(INDEX(INVESTOR_LIST[INVESTOR NAME],MATCH(I6778,INVESTOR_LIST[INVESTOR CODE],0),)," ")</f>
        <v xml:space="preserve"> </v>
      </c>
      <c r="I6778" s="148" t="s">
        <v>348</v>
      </c>
      <c r="J6778" s="149" t="s">
        <v>168</v>
      </c>
      <c r="K6778" s="218">
        <v>297000</v>
      </c>
      <c r="L6778" s="218"/>
    </row>
    <row r="6779" spans="1:12" x14ac:dyDescent="0.2">
      <c r="A6779" s="163">
        <v>2022</v>
      </c>
      <c r="B6779" s="163">
        <v>6</v>
      </c>
      <c r="C6779" s="163">
        <v>23</v>
      </c>
      <c r="D6779" s="141">
        <f t="shared" si="452"/>
        <v>44735</v>
      </c>
      <c r="E6779" s="275">
        <f t="shared" si="453"/>
        <v>44735</v>
      </c>
      <c r="F6779" s="480"/>
      <c r="G6779" s="221" t="s">
        <v>94</v>
      </c>
      <c r="H6779" s="221" t="str" cm="1">
        <f t="array" ref="H6779">IFERROR(INDEX(INVESTOR_LIST[INVESTOR NAME],MATCH(I6779,INVESTOR_LIST[INVESTOR CODE],0),)," ")</f>
        <v xml:space="preserve"> </v>
      </c>
      <c r="I6779" s="145" t="s">
        <v>348</v>
      </c>
      <c r="J6779" s="146" t="s">
        <v>166</v>
      </c>
      <c r="K6779" s="219"/>
      <c r="L6779" s="219">
        <v>297000</v>
      </c>
    </row>
    <row r="6780" spans="1:12" x14ac:dyDescent="0.2">
      <c r="A6780" s="238">
        <v>2022</v>
      </c>
      <c r="B6780" s="238">
        <v>6</v>
      </c>
      <c r="C6780" s="238">
        <v>23</v>
      </c>
      <c r="D6780" s="270">
        <f t="shared" si="452"/>
        <v>44735</v>
      </c>
      <c r="E6780" s="279">
        <f t="shared" si="453"/>
        <v>44735</v>
      </c>
      <c r="F6780" s="477" t="s">
        <v>347</v>
      </c>
      <c r="G6780" s="239" t="s">
        <v>94</v>
      </c>
      <c r="H6780" s="239" t="str" cm="1">
        <f t="array" ref="H6780">IFERROR(INDEX(INVESTOR_LIST[INVESTOR NAME],MATCH(I6780,INVESTOR_LIST[INVESTOR CODE],0),)," ")</f>
        <v xml:space="preserve"> </v>
      </c>
      <c r="I6780" s="262" t="s">
        <v>348</v>
      </c>
      <c r="J6780" s="240" t="s">
        <v>82</v>
      </c>
      <c r="K6780" s="241">
        <v>1348700.9599999785</v>
      </c>
      <c r="L6780" s="241"/>
    </row>
    <row r="6781" spans="1:12" x14ac:dyDescent="0.2">
      <c r="A6781" s="242">
        <v>2022</v>
      </c>
      <c r="B6781" s="242">
        <v>6</v>
      </c>
      <c r="C6781" s="242">
        <v>23</v>
      </c>
      <c r="D6781" s="270">
        <f t="shared" si="452"/>
        <v>44735</v>
      </c>
      <c r="E6781" s="279">
        <f t="shared" si="453"/>
        <v>44735</v>
      </c>
      <c r="F6781" s="478"/>
      <c r="G6781" s="243" t="s">
        <v>94</v>
      </c>
      <c r="H6781" s="243" t="str" cm="1">
        <f t="array" ref="H6781">IFERROR(INDEX(INVESTOR_LIST[INVESTOR NAME],MATCH(I6781,INVESTOR_LIST[INVESTOR CODE],0),)," ")</f>
        <v xml:space="preserve"> </v>
      </c>
      <c r="I6781" s="263" t="s">
        <v>348</v>
      </c>
      <c r="J6781" s="244" t="s">
        <v>108</v>
      </c>
      <c r="K6781" s="245"/>
      <c r="L6781" s="245">
        <v>1348700.9599999785</v>
      </c>
    </row>
    <row r="6782" spans="1:12" ht="22.5" x14ac:dyDescent="0.2">
      <c r="A6782" s="246">
        <v>2022</v>
      </c>
      <c r="B6782" s="246">
        <v>6</v>
      </c>
      <c r="C6782" s="246">
        <v>23</v>
      </c>
      <c r="D6782" s="270">
        <f t="shared" si="452"/>
        <v>44735</v>
      </c>
      <c r="E6782" s="279">
        <f t="shared" si="453"/>
        <v>44735</v>
      </c>
      <c r="F6782" s="482" t="s">
        <v>148</v>
      </c>
      <c r="G6782" s="247" t="s">
        <v>94</v>
      </c>
      <c r="H6782" s="247" t="str" cm="1">
        <f t="array" ref="H6782">IFERROR(INDEX(INVESTOR_LIST[INVESTOR NAME],MATCH(I6782,INVESTOR_LIST[INVESTOR CODE],0),)," ")</f>
        <v xml:space="preserve"> </v>
      </c>
      <c r="I6782" s="248" t="s">
        <v>348</v>
      </c>
      <c r="J6782" s="249" t="s">
        <v>95</v>
      </c>
      <c r="K6782" s="250">
        <v>2747.2527472527472</v>
      </c>
      <c r="L6782" s="241"/>
    </row>
    <row r="6783" spans="1:12" x14ac:dyDescent="0.2">
      <c r="A6783" s="242">
        <v>2022</v>
      </c>
      <c r="B6783" s="242">
        <v>6</v>
      </c>
      <c r="C6783" s="242">
        <v>23</v>
      </c>
      <c r="D6783" s="270">
        <f t="shared" si="452"/>
        <v>44735</v>
      </c>
      <c r="E6783" s="279">
        <f t="shared" si="453"/>
        <v>44735</v>
      </c>
      <c r="F6783" s="478"/>
      <c r="G6783" s="243" t="s">
        <v>94</v>
      </c>
      <c r="H6783" s="243" t="str" cm="1">
        <f t="array" ref="H6783">IFERROR(INDEX(INVESTOR_LIST[INVESTOR NAME],MATCH(I6783,INVESTOR_LIST[INVESTOR CODE],0),)," ")</f>
        <v xml:space="preserve"> </v>
      </c>
      <c r="I6783" s="263" t="s">
        <v>348</v>
      </c>
      <c r="J6783" s="244" t="s">
        <v>63</v>
      </c>
      <c r="K6783" s="245"/>
      <c r="L6783" s="245">
        <v>2747.2527472527472</v>
      </c>
    </row>
    <row r="6784" spans="1:12" x14ac:dyDescent="0.2">
      <c r="A6784" s="246">
        <v>2022</v>
      </c>
      <c r="B6784" s="246">
        <v>6</v>
      </c>
      <c r="C6784" s="246">
        <v>23</v>
      </c>
      <c r="D6784" s="270">
        <f t="shared" si="452"/>
        <v>44735</v>
      </c>
      <c r="E6784" s="279">
        <f t="shared" si="453"/>
        <v>44735</v>
      </c>
      <c r="F6784" s="482" t="s">
        <v>137</v>
      </c>
      <c r="G6784" s="247" t="s">
        <v>94</v>
      </c>
      <c r="H6784" s="247" t="str" cm="1">
        <f t="array" ref="H6784">IFERROR(INDEX(INVESTOR_LIST[INVESTOR NAME],MATCH(I6784,INVESTOR_LIST[INVESTOR CODE],0),)," ")</f>
        <v xml:space="preserve"> </v>
      </c>
      <c r="I6784" s="248" t="s">
        <v>348</v>
      </c>
      <c r="J6784" s="249" t="s">
        <v>97</v>
      </c>
      <c r="K6784" s="250">
        <v>78445.281614327774</v>
      </c>
      <c r="L6784" s="252"/>
    </row>
    <row r="6785" spans="1:13" x14ac:dyDescent="0.2">
      <c r="A6785" s="242">
        <v>2022</v>
      </c>
      <c r="B6785" s="242">
        <v>6</v>
      </c>
      <c r="C6785" s="242">
        <v>23</v>
      </c>
      <c r="D6785" s="270">
        <f t="shared" si="452"/>
        <v>44735</v>
      </c>
      <c r="E6785" s="279">
        <f t="shared" si="453"/>
        <v>44735</v>
      </c>
      <c r="F6785" s="478"/>
      <c r="G6785" s="243" t="s">
        <v>94</v>
      </c>
      <c r="H6785" s="243" t="str" cm="1">
        <f t="array" ref="H6785">IFERROR(INDEX(INVESTOR_LIST[INVESTOR NAME],MATCH(I6785,INVESTOR_LIST[INVESTOR CODE],0),)," ")</f>
        <v xml:space="preserve"> </v>
      </c>
      <c r="I6785" s="263" t="s">
        <v>348</v>
      </c>
      <c r="J6785" s="244" t="s">
        <v>47</v>
      </c>
      <c r="K6785" s="245"/>
      <c r="L6785" s="245">
        <v>78445.281614327774</v>
      </c>
    </row>
    <row r="6786" spans="1:13" x14ac:dyDescent="0.2">
      <c r="A6786" s="246">
        <v>2022</v>
      </c>
      <c r="B6786" s="246">
        <v>6</v>
      </c>
      <c r="C6786" s="246">
        <v>23</v>
      </c>
      <c r="D6786" s="270">
        <f t="shared" si="452"/>
        <v>44735</v>
      </c>
      <c r="E6786" s="279">
        <f t="shared" si="453"/>
        <v>44735</v>
      </c>
      <c r="F6786" s="482" t="s">
        <v>138</v>
      </c>
      <c r="G6786" s="247" t="s">
        <v>94</v>
      </c>
      <c r="H6786" s="247" t="str" cm="1">
        <f t="array" ref="H6786">IFERROR(INDEX(INVESTOR_LIST[INVESTOR NAME],MATCH(I6786,INVESTOR_LIST[INVESTOR CODE],0),)," ")</f>
        <v xml:space="preserve"> </v>
      </c>
      <c r="I6786" s="248" t="s">
        <v>348</v>
      </c>
      <c r="J6786" s="249" t="s">
        <v>100</v>
      </c>
      <c r="K6786" s="250">
        <v>3680.3709022238054</v>
      </c>
      <c r="L6786" s="252"/>
      <c r="M6786" s="160"/>
    </row>
    <row r="6787" spans="1:13" x14ac:dyDescent="0.2">
      <c r="A6787" s="242">
        <v>2022</v>
      </c>
      <c r="B6787" s="242">
        <v>6</v>
      </c>
      <c r="C6787" s="242">
        <v>23</v>
      </c>
      <c r="D6787" s="321">
        <f t="shared" si="452"/>
        <v>44735</v>
      </c>
      <c r="E6787" s="322">
        <f t="shared" si="453"/>
        <v>44735</v>
      </c>
      <c r="F6787" s="478"/>
      <c r="G6787" s="243" t="s">
        <v>94</v>
      </c>
      <c r="H6787" s="243" t="str" cm="1">
        <f t="array" ref="H6787">IFERROR(INDEX(INVESTOR_LIST[INVESTOR NAME],MATCH(I6787,INVESTOR_LIST[INVESTOR CODE],0),)," ")</f>
        <v xml:space="preserve"> </v>
      </c>
      <c r="I6787" s="263" t="s">
        <v>348</v>
      </c>
      <c r="J6787" s="244" t="s">
        <v>48</v>
      </c>
      <c r="K6787" s="245"/>
      <c r="L6787" s="245">
        <v>3680.3709022238054</v>
      </c>
    </row>
    <row r="6788" spans="1:13" x14ac:dyDescent="0.2">
      <c r="A6788" s="168">
        <v>2022</v>
      </c>
      <c r="B6788" s="168">
        <v>6</v>
      </c>
      <c r="C6788" s="133">
        <v>26</v>
      </c>
      <c r="D6788" s="141">
        <f t="shared" si="452"/>
        <v>44738</v>
      </c>
      <c r="E6788" s="275">
        <f t="shared" si="453"/>
        <v>44738</v>
      </c>
      <c r="F6788" s="479" t="s">
        <v>1319</v>
      </c>
      <c r="G6788" s="220" t="s">
        <v>74</v>
      </c>
      <c r="H6788" s="142" t="str" cm="1">
        <f t="array" ref="H6788">IFERROR(INDEX(INVESTOR_LIST[INVESTOR NAME],MATCH(I6788,INVESTOR_LIST[INVESTOR CODE],0),)," ")</f>
        <v xml:space="preserve"> </v>
      </c>
      <c r="I6788" s="142"/>
      <c r="J6788" s="168" t="s">
        <v>52</v>
      </c>
      <c r="K6788" s="226">
        <v>506000</v>
      </c>
      <c r="L6788" s="226"/>
    </row>
    <row r="6789" spans="1:13" x14ac:dyDescent="0.2">
      <c r="A6789" s="133">
        <v>2022</v>
      </c>
      <c r="B6789" s="133">
        <v>6</v>
      </c>
      <c r="C6789" s="133">
        <v>26</v>
      </c>
      <c r="D6789" s="141">
        <f t="shared" si="452"/>
        <v>44738</v>
      </c>
      <c r="E6789" s="275">
        <f t="shared" si="453"/>
        <v>44738</v>
      </c>
      <c r="F6789" s="481"/>
      <c r="G6789" s="174" t="s">
        <v>74</v>
      </c>
      <c r="H6789" s="148" t="str" cm="1">
        <f t="array" ref="H6789">IFERROR(INDEX(INVESTOR_LIST[INVESTOR NAME],MATCH(I6789,INVESTOR_LIST[INVESTOR CODE],0),)," ")</f>
        <v xml:space="preserve"> </v>
      </c>
      <c r="J6789" s="133" t="s">
        <v>13</v>
      </c>
      <c r="K6789" s="218"/>
      <c r="L6789" s="218">
        <v>421030</v>
      </c>
    </row>
    <row r="6790" spans="1:13" x14ac:dyDescent="0.2">
      <c r="A6790" s="163">
        <v>2022</v>
      </c>
      <c r="B6790" s="163">
        <v>6</v>
      </c>
      <c r="C6790" s="163">
        <v>26</v>
      </c>
      <c r="D6790" s="141">
        <f t="shared" si="452"/>
        <v>44738</v>
      </c>
      <c r="E6790" s="275">
        <f t="shared" si="453"/>
        <v>44738</v>
      </c>
      <c r="F6790" s="480"/>
      <c r="G6790" s="221" t="s">
        <v>74</v>
      </c>
      <c r="H6790" s="145" t="str" cm="1">
        <f t="array" ref="H6790">IFERROR(INDEX(INVESTOR_LIST[INVESTOR NAME],MATCH(I6790,INVESTOR_LIST[INVESTOR CODE],0),)," ")</f>
        <v xml:space="preserve"> </v>
      </c>
      <c r="I6790" s="145"/>
      <c r="J6790" s="163" t="s">
        <v>53</v>
      </c>
      <c r="K6790" s="219"/>
      <c r="L6790" s="219">
        <v>84970</v>
      </c>
    </row>
    <row r="6791" spans="1:13" x14ac:dyDescent="0.2">
      <c r="A6791" s="133">
        <v>2022</v>
      </c>
      <c r="B6791" s="133">
        <v>6</v>
      </c>
      <c r="C6791" s="133">
        <v>27</v>
      </c>
      <c r="D6791" s="141">
        <f t="shared" si="452"/>
        <v>44739</v>
      </c>
      <c r="E6791" s="275">
        <f t="shared" si="453"/>
        <v>44739</v>
      </c>
      <c r="F6791" s="481" t="s">
        <v>1033</v>
      </c>
      <c r="G6791" s="174" t="s">
        <v>94</v>
      </c>
      <c r="H6791" s="174"/>
      <c r="J6791" s="149" t="s">
        <v>80</v>
      </c>
      <c r="K6791" s="218">
        <v>1576.8</v>
      </c>
      <c r="L6791" s="218"/>
    </row>
    <row r="6792" spans="1:13" x14ac:dyDescent="0.2">
      <c r="A6792" s="133">
        <v>2022</v>
      </c>
      <c r="B6792" s="133">
        <v>6</v>
      </c>
      <c r="C6792" s="133">
        <v>27</v>
      </c>
      <c r="D6792" s="141">
        <f t="shared" si="452"/>
        <v>44739</v>
      </c>
      <c r="E6792" s="275">
        <f t="shared" si="453"/>
        <v>44739</v>
      </c>
      <c r="F6792" s="481"/>
      <c r="G6792" s="174" t="s">
        <v>94</v>
      </c>
      <c r="H6792" s="174"/>
      <c r="J6792" s="149" t="s">
        <v>190</v>
      </c>
      <c r="K6792" s="218">
        <v>874423.2</v>
      </c>
      <c r="L6792" s="218"/>
    </row>
    <row r="6793" spans="1:13" x14ac:dyDescent="0.2">
      <c r="A6793" s="133">
        <v>2022</v>
      </c>
      <c r="B6793" s="133">
        <v>6</v>
      </c>
      <c r="C6793" s="133">
        <v>27</v>
      </c>
      <c r="D6793" s="141">
        <f t="shared" si="452"/>
        <v>44739</v>
      </c>
      <c r="E6793" s="275">
        <f t="shared" si="453"/>
        <v>44739</v>
      </c>
      <c r="F6793" s="481"/>
      <c r="G6793" s="174" t="s">
        <v>94</v>
      </c>
      <c r="H6793" s="174" t="str" cm="1">
        <f t="array" ref="H6793">IFERROR(INDEX(INVESTOR_LIST[INVESTOR NAME],MATCH(I6793,INVESTOR_LIST[INVESTOR CODE],0),)," ")</f>
        <v xml:space="preserve"> </v>
      </c>
      <c r="I6793" s="148" t="s">
        <v>348</v>
      </c>
      <c r="J6793" s="149" t="s">
        <v>191</v>
      </c>
      <c r="K6793" s="218">
        <v>5786.16</v>
      </c>
      <c r="L6793" s="218"/>
    </row>
    <row r="6794" spans="1:13" x14ac:dyDescent="0.2">
      <c r="A6794" s="163">
        <v>2022</v>
      </c>
      <c r="B6794" s="163">
        <v>6</v>
      </c>
      <c r="C6794" s="163">
        <v>27</v>
      </c>
      <c r="D6794" s="280">
        <f t="shared" si="452"/>
        <v>44739</v>
      </c>
      <c r="E6794" s="281">
        <f t="shared" si="453"/>
        <v>44739</v>
      </c>
      <c r="F6794" s="480"/>
      <c r="G6794" s="221" t="s">
        <v>94</v>
      </c>
      <c r="H6794" s="145" t="str" cm="1">
        <f t="array" ref="H6794">IFERROR(INDEX(INVESTOR_LIST[INVESTOR NAME],MATCH(I6794,INVESTOR_LIST[INVESTOR CODE],0),)," ")</f>
        <v xml:space="preserve"> </v>
      </c>
      <c r="I6794" s="145"/>
      <c r="J6794" s="163" t="s">
        <v>79</v>
      </c>
      <c r="K6794" s="219"/>
      <c r="L6794" s="219">
        <v>881786.16</v>
      </c>
    </row>
    <row r="6795" spans="1:13" x14ac:dyDescent="0.2">
      <c r="A6795" s="168">
        <v>2022</v>
      </c>
      <c r="B6795" s="168">
        <v>6</v>
      </c>
      <c r="C6795" s="168">
        <v>27</v>
      </c>
      <c r="D6795" s="141">
        <f t="shared" si="452"/>
        <v>44739</v>
      </c>
      <c r="E6795" s="275">
        <f t="shared" si="453"/>
        <v>44739</v>
      </c>
      <c r="F6795" s="479" t="s">
        <v>911</v>
      </c>
      <c r="G6795" s="220" t="s">
        <v>74</v>
      </c>
      <c r="H6795" s="220" t="str" cm="1">
        <f t="array" ref="H6795">IFERROR(INDEX(INVESTOR_LIST[INVESTOR NAME],MATCH(I6795,INVESTOR_LIST[INVESTOR CODE],0),)," ")</f>
        <v xml:space="preserve"> </v>
      </c>
      <c r="I6795" s="142" t="s">
        <v>348</v>
      </c>
      <c r="J6795" s="143" t="s">
        <v>101</v>
      </c>
      <c r="K6795" s="226">
        <v>191375.61</v>
      </c>
      <c r="L6795" s="226"/>
    </row>
    <row r="6796" spans="1:13" x14ac:dyDescent="0.2">
      <c r="A6796" s="168">
        <v>2022</v>
      </c>
      <c r="B6796" s="168">
        <v>6</v>
      </c>
      <c r="C6796" s="168">
        <v>27</v>
      </c>
      <c r="D6796" s="141">
        <f t="shared" ref="D6796" si="454">DATE(A6796,B6796,C6796)</f>
        <v>44739</v>
      </c>
      <c r="E6796" s="275">
        <f t="shared" ref="E6796" si="455">DATE(A6796,B6796,C6796)</f>
        <v>44739</v>
      </c>
      <c r="F6796" s="481"/>
      <c r="G6796" s="174" t="s">
        <v>74</v>
      </c>
      <c r="H6796" s="174"/>
      <c r="J6796" s="149" t="s">
        <v>61</v>
      </c>
      <c r="K6796" s="218">
        <v>115</v>
      </c>
      <c r="L6796" s="218"/>
    </row>
    <row r="6797" spans="1:13" x14ac:dyDescent="0.2">
      <c r="A6797" s="163">
        <v>2022</v>
      </c>
      <c r="B6797" s="163">
        <v>6</v>
      </c>
      <c r="C6797" s="163">
        <v>27</v>
      </c>
      <c r="D6797" s="141">
        <f t="shared" si="452"/>
        <v>44739</v>
      </c>
      <c r="E6797" s="275">
        <f t="shared" si="453"/>
        <v>44739</v>
      </c>
      <c r="F6797" s="480"/>
      <c r="G6797" s="221" t="s">
        <v>74</v>
      </c>
      <c r="H6797" s="221" t="str" cm="1">
        <f t="array" ref="H6797">IFERROR(INDEX(INVESTOR_LIST[INVESTOR NAME],MATCH(I6797,INVESTOR_LIST[INVESTOR CODE],0),)," ")</f>
        <v xml:space="preserve"> </v>
      </c>
      <c r="I6797" s="145" t="s">
        <v>348</v>
      </c>
      <c r="J6797" s="146" t="s">
        <v>52</v>
      </c>
      <c r="K6797" s="219"/>
      <c r="L6797" s="219">
        <v>191490.61</v>
      </c>
    </row>
    <row r="6798" spans="1:13" ht="45" x14ac:dyDescent="0.2">
      <c r="A6798" s="168">
        <v>2022</v>
      </c>
      <c r="B6798" s="168">
        <v>6</v>
      </c>
      <c r="C6798" s="133">
        <v>28</v>
      </c>
      <c r="D6798" s="141">
        <f t="shared" si="452"/>
        <v>44740</v>
      </c>
      <c r="E6798" s="275">
        <f t="shared" si="453"/>
        <v>44740</v>
      </c>
      <c r="F6798" s="479" t="s">
        <v>964</v>
      </c>
      <c r="G6798" s="220" t="s">
        <v>74</v>
      </c>
      <c r="H6798" s="142" t="str" cm="1">
        <f t="array" ref="H6798">IFERROR(INDEX(INVESTOR_LIST[INVESTOR NAME],MATCH(I6798,INVESTOR_LIST[INVESTOR CODE],0),)," ")</f>
        <v>SIDDHARTHA SANKAR MALLICK</v>
      </c>
      <c r="I6798" s="142" t="s">
        <v>1414</v>
      </c>
      <c r="J6798" s="168" t="s">
        <v>52</v>
      </c>
      <c r="K6798" s="226">
        <v>36030</v>
      </c>
      <c r="L6798" s="226"/>
    </row>
    <row r="6799" spans="1:13" ht="45" x14ac:dyDescent="0.2">
      <c r="A6799" s="133">
        <v>2022</v>
      </c>
      <c r="B6799" s="133">
        <v>6</v>
      </c>
      <c r="C6799" s="133">
        <v>28</v>
      </c>
      <c r="D6799" s="141">
        <f t="shared" si="452"/>
        <v>44740</v>
      </c>
      <c r="E6799" s="275">
        <f t="shared" si="453"/>
        <v>44740</v>
      </c>
      <c r="F6799" s="481"/>
      <c r="G6799" s="174" t="s">
        <v>74</v>
      </c>
      <c r="H6799" s="148" t="str" cm="1">
        <f t="array" ref="H6799">IFERROR(INDEX(INVESTOR_LIST[INVESTOR NAME],MATCH(I6799,INVESTOR_LIST[INVESTOR CODE],0),)," ")</f>
        <v>SIDDHARTHA SANKAR MALLICK</v>
      </c>
      <c r="I6799" s="148" t="s">
        <v>1414</v>
      </c>
      <c r="J6799" s="133" t="s">
        <v>13</v>
      </c>
      <c r="K6799" s="218"/>
      <c r="L6799" s="172">
        <v>30000</v>
      </c>
    </row>
    <row r="6800" spans="1:13" ht="45" x14ac:dyDescent="0.2">
      <c r="A6800" s="163">
        <v>2022</v>
      </c>
      <c r="B6800" s="163">
        <v>6</v>
      </c>
      <c r="C6800" s="163">
        <v>28</v>
      </c>
      <c r="D6800" s="141">
        <f t="shared" si="452"/>
        <v>44740</v>
      </c>
      <c r="E6800" s="275">
        <f t="shared" si="453"/>
        <v>44740</v>
      </c>
      <c r="F6800" s="480"/>
      <c r="G6800" s="221" t="s">
        <v>74</v>
      </c>
      <c r="H6800" s="145" t="str" cm="1">
        <f t="array" ref="H6800">IFERROR(INDEX(INVESTOR_LIST[INVESTOR NAME],MATCH(I6800,INVESTOR_LIST[INVESTOR CODE],0),)," ")</f>
        <v>SIDDHARTHA SANKAR MALLICK</v>
      </c>
      <c r="I6800" s="145" t="s">
        <v>1414</v>
      </c>
      <c r="J6800" s="163" t="s">
        <v>53</v>
      </c>
      <c r="K6800" s="219"/>
      <c r="L6800" s="219">
        <v>6030</v>
      </c>
    </row>
    <row r="6801" spans="1:13" ht="22.5" x14ac:dyDescent="0.2">
      <c r="A6801" s="168">
        <v>2022</v>
      </c>
      <c r="B6801" s="168">
        <v>6</v>
      </c>
      <c r="C6801" s="133">
        <v>28</v>
      </c>
      <c r="D6801" s="141">
        <f t="shared" si="452"/>
        <v>44740</v>
      </c>
      <c r="E6801" s="275">
        <f t="shared" si="453"/>
        <v>44740</v>
      </c>
      <c r="F6801" s="479" t="s">
        <v>1315</v>
      </c>
      <c r="G6801" s="220" t="s">
        <v>74</v>
      </c>
      <c r="H6801" s="142" t="str" cm="1">
        <f t="array" ref="H6801">IFERROR(INDEX(INVESTOR_LIST[INVESTOR NAME],MATCH(I6801,INVESTOR_LIST[INVESTOR CODE],0),)," ")</f>
        <v>TOFIQ AHAMED</v>
      </c>
      <c r="I6801" s="142" t="s">
        <v>1344</v>
      </c>
      <c r="J6801" s="168" t="s">
        <v>13</v>
      </c>
      <c r="K6801" s="226">
        <v>4200</v>
      </c>
      <c r="L6801" s="226"/>
    </row>
    <row r="6802" spans="1:13" ht="22.5" x14ac:dyDescent="0.2">
      <c r="A6802" s="133">
        <v>2022</v>
      </c>
      <c r="B6802" s="133">
        <v>6</v>
      </c>
      <c r="C6802" s="133">
        <v>28</v>
      </c>
      <c r="D6802" s="141">
        <f t="shared" si="452"/>
        <v>44740</v>
      </c>
      <c r="E6802" s="275">
        <f t="shared" si="453"/>
        <v>44740</v>
      </c>
      <c r="F6802" s="481"/>
      <c r="G6802" s="174" t="s">
        <v>74</v>
      </c>
      <c r="H6802" s="148" t="str" cm="1">
        <f t="array" ref="H6802">IFERROR(INDEX(INVESTOR_LIST[INVESTOR NAME],MATCH(I6802,INVESTOR_LIST[INVESTOR CODE],0),)," ")</f>
        <v>TOFIQ AHAMED</v>
      </c>
      <c r="I6802" s="148" t="s">
        <v>1344</v>
      </c>
      <c r="J6802" s="133" t="s">
        <v>53</v>
      </c>
      <c r="K6802" s="218">
        <v>886.2</v>
      </c>
      <c r="L6802" s="218"/>
    </row>
    <row r="6803" spans="1:13" ht="22.5" x14ac:dyDescent="0.2">
      <c r="A6803" s="163">
        <v>2022</v>
      </c>
      <c r="B6803" s="163">
        <v>6</v>
      </c>
      <c r="C6803" s="163">
        <v>28</v>
      </c>
      <c r="D6803" s="280">
        <f t="shared" si="452"/>
        <v>44740</v>
      </c>
      <c r="E6803" s="281">
        <f t="shared" si="453"/>
        <v>44740</v>
      </c>
      <c r="F6803" s="480"/>
      <c r="G6803" s="221" t="s">
        <v>74</v>
      </c>
      <c r="H6803" s="145" t="str" cm="1">
        <f t="array" ref="H6803">IFERROR(INDEX(INVESTOR_LIST[INVESTOR NAME],MATCH(I6803,INVESTOR_LIST[INVESTOR CODE],0),)," ")</f>
        <v>TOFIQ AHAMED</v>
      </c>
      <c r="I6803" s="145" t="s">
        <v>1344</v>
      </c>
      <c r="J6803" s="163" t="s">
        <v>52</v>
      </c>
      <c r="K6803" s="219"/>
      <c r="L6803" s="219">
        <v>5086.2</v>
      </c>
    </row>
    <row r="6804" spans="1:13" x14ac:dyDescent="0.2">
      <c r="A6804" s="133">
        <v>2022</v>
      </c>
      <c r="B6804" s="133">
        <v>6</v>
      </c>
      <c r="C6804" s="133">
        <v>29</v>
      </c>
      <c r="D6804" s="141">
        <f t="shared" si="452"/>
        <v>44741</v>
      </c>
      <c r="E6804" s="275">
        <f t="shared" si="453"/>
        <v>44741</v>
      </c>
      <c r="F6804" s="481" t="s">
        <v>1379</v>
      </c>
      <c r="G6804" s="174" t="s">
        <v>94</v>
      </c>
      <c r="H6804" s="174" t="str" cm="1">
        <f t="array" ref="H6804">IFERROR(INDEX(INVESTOR_LIST[INVESTOR NAME],MATCH(I6804,INVESTOR_LIST[INVESTOR CODE],0),)," ")</f>
        <v xml:space="preserve"> </v>
      </c>
      <c r="J6804" s="149" t="s">
        <v>79</v>
      </c>
      <c r="K6804" s="218">
        <v>967390.1</v>
      </c>
      <c r="L6804" s="218"/>
      <c r="M6804" s="160"/>
    </row>
    <row r="6805" spans="1:13" x14ac:dyDescent="0.2">
      <c r="A6805" s="133">
        <v>2022</v>
      </c>
      <c r="B6805" s="133">
        <v>6</v>
      </c>
      <c r="C6805" s="133">
        <v>29</v>
      </c>
      <c r="D6805" s="141">
        <f t="shared" si="452"/>
        <v>44741</v>
      </c>
      <c r="E6805" s="275">
        <f t="shared" si="453"/>
        <v>44741</v>
      </c>
      <c r="F6805" s="481"/>
      <c r="G6805" s="174" t="s">
        <v>94</v>
      </c>
      <c r="H6805" s="174"/>
      <c r="J6805" s="149" t="s">
        <v>80</v>
      </c>
      <c r="K6805" s="218">
        <v>3588.1099999999997</v>
      </c>
      <c r="L6805" s="218"/>
    </row>
    <row r="6806" spans="1:13" x14ac:dyDescent="0.2">
      <c r="A6806" s="133">
        <v>2022</v>
      </c>
      <c r="B6806" s="133">
        <v>6</v>
      </c>
      <c r="C6806" s="133">
        <v>29</v>
      </c>
      <c r="D6806" s="141">
        <f t="shared" si="452"/>
        <v>44741</v>
      </c>
      <c r="E6806" s="275">
        <f t="shared" si="453"/>
        <v>44741</v>
      </c>
      <c r="F6806" s="481"/>
      <c r="G6806" s="174" t="s">
        <v>94</v>
      </c>
      <c r="H6806" s="174"/>
      <c r="J6806" s="149" t="s">
        <v>190</v>
      </c>
      <c r="K6806" s="218">
        <v>55028.39</v>
      </c>
      <c r="L6806" s="218"/>
    </row>
    <row r="6807" spans="1:13" x14ac:dyDescent="0.2">
      <c r="A6807" s="133">
        <v>2022</v>
      </c>
      <c r="B6807" s="133">
        <v>6</v>
      </c>
      <c r="C6807" s="133">
        <v>29</v>
      </c>
      <c r="D6807" s="141">
        <f t="shared" si="452"/>
        <v>44741</v>
      </c>
      <c r="E6807" s="275">
        <f t="shared" si="453"/>
        <v>44741</v>
      </c>
      <c r="F6807" s="481"/>
      <c r="G6807" s="174" t="s">
        <v>94</v>
      </c>
      <c r="H6807" s="174" t="str" cm="1">
        <f t="array" ref="H6807">IFERROR(INDEX(INVESTOR_LIST[INVESTOR NAME],MATCH(I6807,INVESTOR_LIST[INVESTOR CODE],0),)," ")</f>
        <v xml:space="preserve"> </v>
      </c>
      <c r="J6807" s="149" t="s">
        <v>191</v>
      </c>
      <c r="K6807" s="218">
        <v>16188.71</v>
      </c>
      <c r="L6807" s="218"/>
      <c r="M6807" s="160"/>
    </row>
    <row r="6808" spans="1:13" x14ac:dyDescent="0.2">
      <c r="A6808" s="163">
        <v>2022</v>
      </c>
      <c r="B6808" s="163">
        <v>6</v>
      </c>
      <c r="C6808" s="163">
        <v>29</v>
      </c>
      <c r="D6808" s="280">
        <f t="shared" si="452"/>
        <v>44741</v>
      </c>
      <c r="E6808" s="281">
        <f t="shared" si="453"/>
        <v>44741</v>
      </c>
      <c r="F6808" s="480"/>
      <c r="G6808" s="221" t="s">
        <v>94</v>
      </c>
      <c r="H6808" s="145" t="str" cm="1">
        <f t="array" ref="H6808">IFERROR(INDEX(INVESTOR_LIST[INVESTOR NAME],MATCH(I6808,INVESTOR_LIST[INVESTOR CODE],0),)," ")</f>
        <v xml:space="preserve"> </v>
      </c>
      <c r="I6808" s="145"/>
      <c r="J6808" s="163" t="s">
        <v>79</v>
      </c>
      <c r="K6808" s="219"/>
      <c r="L6808" s="219">
        <v>1042195.31</v>
      </c>
    </row>
    <row r="6809" spans="1:13" x14ac:dyDescent="0.2">
      <c r="A6809" s="168">
        <v>2022</v>
      </c>
      <c r="B6809" s="168">
        <v>6</v>
      </c>
      <c r="C6809" s="168">
        <v>29</v>
      </c>
      <c r="D6809" s="141">
        <f>DATE(A6809,B6809,C6809)</f>
        <v>44741</v>
      </c>
      <c r="E6809" s="275">
        <f>DATE(A6809,B6809,C6809)</f>
        <v>44741</v>
      </c>
      <c r="F6809" s="479" t="s">
        <v>1361</v>
      </c>
      <c r="G6809" s="220" t="s">
        <v>74</v>
      </c>
      <c r="H6809" s="220" t="str" cm="1">
        <f t="array" ref="H6809">IFERROR(INDEX(INVESTOR_LIST[INVESTOR NAME],MATCH(I6809,INVESTOR_LIST[INVESTOR CODE],0),)," ")</f>
        <v xml:space="preserve"> </v>
      </c>
      <c r="I6809" s="142" t="s">
        <v>348</v>
      </c>
      <c r="J6809" s="143" t="s">
        <v>52</v>
      </c>
      <c r="K6809" s="226">
        <v>874423.2</v>
      </c>
      <c r="L6809" s="226"/>
    </row>
    <row r="6810" spans="1:13" x14ac:dyDescent="0.2">
      <c r="A6810" s="163">
        <v>2022</v>
      </c>
      <c r="B6810" s="163">
        <v>6</v>
      </c>
      <c r="C6810" s="163">
        <v>29</v>
      </c>
      <c r="D6810" s="141">
        <f>DATE(A6810,B6810,C6810)</f>
        <v>44741</v>
      </c>
      <c r="E6810" s="275">
        <f>DATE(A6810,B6810,C6810)</f>
        <v>44741</v>
      </c>
      <c r="F6810" s="480"/>
      <c r="G6810" s="221" t="s">
        <v>74</v>
      </c>
      <c r="H6810" s="221" t="str" cm="1">
        <f t="array" ref="H6810">IFERROR(INDEX(INVESTOR_LIST[INVESTOR NAME],MATCH(I6810,INVESTOR_LIST[INVESTOR CODE],0),)," ")</f>
        <v xml:space="preserve"> </v>
      </c>
      <c r="I6810" s="145" t="s">
        <v>348</v>
      </c>
      <c r="J6810" s="146" t="s">
        <v>190</v>
      </c>
      <c r="K6810" s="219"/>
      <c r="L6810" s="219">
        <v>874423.2</v>
      </c>
    </row>
    <row r="6811" spans="1:13" ht="45" x14ac:dyDescent="0.2">
      <c r="A6811" s="168">
        <v>2022</v>
      </c>
      <c r="B6811" s="168">
        <v>6</v>
      </c>
      <c r="C6811" s="133">
        <v>29</v>
      </c>
      <c r="D6811" s="141">
        <f t="shared" ref="D6811:D6813" si="456">DATE(A6811,B6811,C6811)</f>
        <v>44741</v>
      </c>
      <c r="E6811" s="275">
        <f t="shared" ref="E6811:E6813" si="457">DATE(A6811,B6811,C6811)</f>
        <v>44741</v>
      </c>
      <c r="F6811" s="479" t="s">
        <v>964</v>
      </c>
      <c r="G6811" s="220" t="s">
        <v>74</v>
      </c>
      <c r="H6811" s="142" t="str" cm="1">
        <f t="array" ref="H6811">IFERROR(INDEX(INVESTOR_LIST[INVESTOR NAME],MATCH(I6811,INVESTOR_LIST[INVESTOR CODE],0),)," ")</f>
        <v>MD. MOSTAFIJUR RAHMAN</v>
      </c>
      <c r="I6811" s="142" t="s">
        <v>1434</v>
      </c>
      <c r="J6811" s="168" t="s">
        <v>52</v>
      </c>
      <c r="K6811" s="226">
        <v>150000</v>
      </c>
      <c r="L6811" s="226"/>
    </row>
    <row r="6812" spans="1:13" ht="45" x14ac:dyDescent="0.2">
      <c r="A6812" s="133">
        <v>2022</v>
      </c>
      <c r="B6812" s="133">
        <v>6</v>
      </c>
      <c r="C6812" s="133">
        <v>29</v>
      </c>
      <c r="D6812" s="141">
        <f t="shared" si="456"/>
        <v>44741</v>
      </c>
      <c r="E6812" s="275">
        <f t="shared" si="457"/>
        <v>44741</v>
      </c>
      <c r="F6812" s="481"/>
      <c r="G6812" s="174" t="s">
        <v>74</v>
      </c>
      <c r="H6812" s="148" t="str" cm="1">
        <f t="array" ref="H6812">IFERROR(INDEX(INVESTOR_LIST[INVESTOR NAME],MATCH(I6812,INVESTOR_LIST[INVESTOR CODE],0),)," ")</f>
        <v>MD. MOSTAFIJUR RAHMAN</v>
      </c>
      <c r="I6812" s="148" t="s">
        <v>1434</v>
      </c>
      <c r="J6812" s="133" t="s">
        <v>13</v>
      </c>
      <c r="K6812" s="218"/>
      <c r="L6812" s="172">
        <v>124900</v>
      </c>
      <c r="M6812" s="160"/>
    </row>
    <row r="6813" spans="1:13" ht="45" x14ac:dyDescent="0.2">
      <c r="A6813" s="163">
        <v>2022</v>
      </c>
      <c r="B6813" s="163">
        <v>6</v>
      </c>
      <c r="C6813" s="163">
        <v>29</v>
      </c>
      <c r="D6813" s="141">
        <f t="shared" si="456"/>
        <v>44741</v>
      </c>
      <c r="E6813" s="275">
        <f t="shared" si="457"/>
        <v>44741</v>
      </c>
      <c r="F6813" s="480"/>
      <c r="G6813" s="221" t="s">
        <v>74</v>
      </c>
      <c r="H6813" s="145" t="str" cm="1">
        <f t="array" ref="H6813">IFERROR(INDEX(INVESTOR_LIST[INVESTOR NAME],MATCH(I6813,INVESTOR_LIST[INVESTOR CODE],0),)," ")</f>
        <v>MD. MOSTAFIJUR RAHMAN</v>
      </c>
      <c r="I6813" s="145" t="s">
        <v>1434</v>
      </c>
      <c r="J6813" s="163" t="s">
        <v>53</v>
      </c>
      <c r="K6813" s="219"/>
      <c r="L6813" s="219">
        <v>25100</v>
      </c>
    </row>
    <row r="6814" spans="1:13" ht="22.5" x14ac:dyDescent="0.2">
      <c r="A6814" s="168">
        <v>2022</v>
      </c>
      <c r="B6814" s="168">
        <v>6</v>
      </c>
      <c r="C6814" s="133">
        <v>30</v>
      </c>
      <c r="D6814" s="141">
        <f t="shared" ref="D6814:D6816" si="458">DATE(A6814,B6814,C6814)</f>
        <v>44742</v>
      </c>
      <c r="E6814" s="275">
        <f t="shared" ref="E6814:E6816" si="459">DATE(A6814,B6814,C6814)</f>
        <v>44742</v>
      </c>
      <c r="F6814" s="479" t="s">
        <v>964</v>
      </c>
      <c r="G6814" s="220" t="s">
        <v>74</v>
      </c>
      <c r="H6814" s="142" t="str" cm="1">
        <f t="array" ref="H6814">IFERROR(INDEX(INVESTOR_LIST[INVESTOR NAME],MATCH(I6814,INVESTOR_LIST[INVESTOR CODE],0),)," ")</f>
        <v>SRIJON GHOSH</v>
      </c>
      <c r="I6814" s="142" t="s">
        <v>1418</v>
      </c>
      <c r="J6814" s="168" t="s">
        <v>52</v>
      </c>
      <c r="K6814" s="226">
        <v>10000</v>
      </c>
      <c r="L6814" s="226"/>
    </row>
    <row r="6815" spans="1:13" ht="22.5" x14ac:dyDescent="0.2">
      <c r="A6815" s="133">
        <v>2022</v>
      </c>
      <c r="B6815" s="133">
        <v>6</v>
      </c>
      <c r="C6815" s="133">
        <v>30</v>
      </c>
      <c r="D6815" s="141">
        <f t="shared" si="458"/>
        <v>44742</v>
      </c>
      <c r="E6815" s="275">
        <f t="shared" si="459"/>
        <v>44742</v>
      </c>
      <c r="F6815" s="481"/>
      <c r="G6815" s="174" t="s">
        <v>74</v>
      </c>
      <c r="H6815" s="148" t="str" cm="1">
        <f t="array" ref="H6815">IFERROR(INDEX(INVESTOR_LIST[INVESTOR NAME],MATCH(I6815,INVESTOR_LIST[INVESTOR CODE],0),)," ")</f>
        <v>SRIJON GHOSH</v>
      </c>
      <c r="I6815" s="148" t="s">
        <v>1418</v>
      </c>
      <c r="J6815" s="133" t="s">
        <v>13</v>
      </c>
      <c r="K6815" s="218"/>
      <c r="L6815" s="172">
        <v>8330</v>
      </c>
    </row>
    <row r="6816" spans="1:13" ht="22.5" x14ac:dyDescent="0.2">
      <c r="A6816" s="163">
        <v>2022</v>
      </c>
      <c r="B6816" s="163">
        <v>6</v>
      </c>
      <c r="C6816" s="163">
        <v>30</v>
      </c>
      <c r="D6816" s="141">
        <f t="shared" si="458"/>
        <v>44742</v>
      </c>
      <c r="E6816" s="275">
        <f t="shared" si="459"/>
        <v>44742</v>
      </c>
      <c r="F6816" s="480"/>
      <c r="G6816" s="221" t="s">
        <v>74</v>
      </c>
      <c r="H6816" s="145" t="str" cm="1">
        <f t="array" ref="H6816">IFERROR(INDEX(INVESTOR_LIST[INVESTOR NAME],MATCH(I6816,INVESTOR_LIST[INVESTOR CODE],0),)," ")</f>
        <v>SRIJON GHOSH</v>
      </c>
      <c r="I6816" s="145" t="s">
        <v>1418</v>
      </c>
      <c r="J6816" s="163" t="s">
        <v>53</v>
      </c>
      <c r="K6816" s="219"/>
      <c r="L6816" s="219">
        <v>1670</v>
      </c>
    </row>
    <row r="6817" spans="1:12" ht="33.75" x14ac:dyDescent="0.2">
      <c r="A6817" s="168">
        <v>2022</v>
      </c>
      <c r="B6817" s="168">
        <v>6</v>
      </c>
      <c r="C6817" s="133">
        <v>30</v>
      </c>
      <c r="D6817" s="141">
        <f>DATE(A6817,B6817,C6817)</f>
        <v>44742</v>
      </c>
      <c r="E6817" s="275">
        <f>DATE(A6817,B6817,C6817)</f>
        <v>44742</v>
      </c>
      <c r="F6817" s="479" t="s">
        <v>1315</v>
      </c>
      <c r="G6817" s="220" t="s">
        <v>74</v>
      </c>
      <c r="H6817" s="142" t="str" cm="1">
        <f t="array" ref="H6817">IFERROR(INDEX(INVESTOR_LIST[INVESTOR NAME],MATCH(I6817,INVESTOR_LIST[INVESTOR CODE],0),)," ")</f>
        <v>MIR ARIFUL ISLAM</v>
      </c>
      <c r="I6817" s="142" t="s">
        <v>1353</v>
      </c>
      <c r="J6817" s="168" t="s">
        <v>13</v>
      </c>
      <c r="K6817" s="226">
        <v>700000</v>
      </c>
      <c r="L6817" s="226"/>
    </row>
    <row r="6818" spans="1:12" ht="33.75" x14ac:dyDescent="0.2">
      <c r="A6818" s="133">
        <v>2022</v>
      </c>
      <c r="B6818" s="133">
        <v>6</v>
      </c>
      <c r="C6818" s="133">
        <v>30</v>
      </c>
      <c r="D6818" s="141">
        <f>DATE(A6818,B6818,C6818)</f>
        <v>44742</v>
      </c>
      <c r="E6818" s="275">
        <f>DATE(A6818,B6818,C6818)</f>
        <v>44742</v>
      </c>
      <c r="F6818" s="481"/>
      <c r="G6818" s="174" t="s">
        <v>74</v>
      </c>
      <c r="H6818" s="148" t="str" cm="1">
        <f t="array" ref="H6818">IFERROR(INDEX(INVESTOR_LIST[INVESTOR NAME],MATCH(I6818,INVESTOR_LIST[INVESTOR CODE],0),)," ")</f>
        <v>MIR ARIFUL ISLAM</v>
      </c>
      <c r="I6818" s="148" t="s">
        <v>1353</v>
      </c>
      <c r="J6818" s="133" t="s">
        <v>53</v>
      </c>
      <c r="K6818" s="218">
        <v>156800</v>
      </c>
      <c r="L6818" s="218"/>
    </row>
    <row r="6819" spans="1:12" ht="33.75" x14ac:dyDescent="0.2">
      <c r="A6819" s="163">
        <v>2022</v>
      </c>
      <c r="B6819" s="163">
        <v>6</v>
      </c>
      <c r="C6819" s="163">
        <v>30</v>
      </c>
      <c r="D6819" s="280">
        <f>DATE(A6819,B6819,C6819)</f>
        <v>44742</v>
      </c>
      <c r="E6819" s="281">
        <f>DATE(A6819,B6819,C6819)</f>
        <v>44742</v>
      </c>
      <c r="F6819" s="480"/>
      <c r="G6819" s="221" t="s">
        <v>74</v>
      </c>
      <c r="H6819" s="145" t="str" cm="1">
        <f t="array" ref="H6819">IFERROR(INDEX(INVESTOR_LIST[INVESTOR NAME],MATCH(I6819,INVESTOR_LIST[INVESTOR CODE],0),)," ")</f>
        <v>MIR ARIFUL ISLAM</v>
      </c>
      <c r="I6819" s="145" t="s">
        <v>1353</v>
      </c>
      <c r="J6819" s="163" t="s">
        <v>52</v>
      </c>
      <c r="K6819" s="219"/>
      <c r="L6819" s="219">
        <v>856800</v>
      </c>
    </row>
    <row r="6820" spans="1:12" x14ac:dyDescent="0.2">
      <c r="A6820" s="133">
        <v>2022</v>
      </c>
      <c r="B6820" s="133">
        <v>6</v>
      </c>
      <c r="C6820" s="168">
        <v>30</v>
      </c>
      <c r="D6820" s="141">
        <f t="shared" ref="D6820:D6821" si="460">DATE(A6820,B6820,C6820)</f>
        <v>44742</v>
      </c>
      <c r="E6820" s="275">
        <f t="shared" ref="E6820:E6821" si="461">DATE(A6820,B6820,C6820)</f>
        <v>44742</v>
      </c>
      <c r="F6820" s="479" t="s">
        <v>77</v>
      </c>
      <c r="G6820" s="174" t="s">
        <v>74</v>
      </c>
      <c r="H6820" s="148" t="str" cm="1">
        <f t="array" ref="H6820">IFERROR(INDEX(INVESTOR_LIST[INVESTOR NAME],MATCH(I6820,INVESTOR_LIST[INVESTOR CODE],0),)," ")</f>
        <v xml:space="preserve"> </v>
      </c>
      <c r="I6820" s="148" t="s">
        <v>348</v>
      </c>
      <c r="J6820" s="133" t="s">
        <v>61</v>
      </c>
      <c r="K6820" s="172">
        <v>100</v>
      </c>
    </row>
    <row r="6821" spans="1:12" x14ac:dyDescent="0.2">
      <c r="A6821" s="163">
        <v>2022</v>
      </c>
      <c r="B6821" s="163">
        <v>6</v>
      </c>
      <c r="C6821" s="163">
        <v>30</v>
      </c>
      <c r="D6821" s="141">
        <f t="shared" si="460"/>
        <v>44742</v>
      </c>
      <c r="E6821" s="275">
        <f t="shared" si="461"/>
        <v>44742</v>
      </c>
      <c r="F6821" s="480"/>
      <c r="G6821" s="221" t="s">
        <v>74</v>
      </c>
      <c r="H6821" s="145" t="str" cm="1">
        <f t="array" ref="H6821">IFERROR(INDEX(INVESTOR_LIST[INVESTOR NAME],MATCH(I6821,INVESTOR_LIST[INVESTOR CODE],0),)," ")</f>
        <v xml:space="preserve"> </v>
      </c>
      <c r="I6821" s="145" t="s">
        <v>348</v>
      </c>
      <c r="J6821" s="163" t="s">
        <v>52</v>
      </c>
      <c r="K6821" s="219"/>
      <c r="L6821" s="219">
        <v>100</v>
      </c>
    </row>
    <row r="6822" spans="1:12" ht="22.5" x14ac:dyDescent="0.2">
      <c r="A6822" s="168">
        <v>2022</v>
      </c>
      <c r="B6822" s="168">
        <v>6</v>
      </c>
      <c r="C6822" s="133">
        <v>30</v>
      </c>
      <c r="D6822" s="141">
        <f t="shared" ref="D6822:D6885" si="462">DATE(A6822,B6822,C6822)</f>
        <v>44742</v>
      </c>
      <c r="E6822" s="275">
        <f t="shared" ref="E6822:E6885" si="463">DATE(A6822,B6822,C6822)</f>
        <v>44742</v>
      </c>
      <c r="F6822" s="479" t="s">
        <v>964</v>
      </c>
      <c r="G6822" s="220" t="s">
        <v>74</v>
      </c>
      <c r="H6822" s="142" t="str" cm="1">
        <f t="array" ref="H6822">IFERROR(INDEX(INVESTOR_LIST[INVESTOR NAME],MATCH(I6822,INVESTOR_LIST[INVESTOR CODE],0),)," ")</f>
        <v>MONIR AHMED</v>
      </c>
      <c r="I6822" s="142" t="s">
        <v>407</v>
      </c>
      <c r="J6822" s="168" t="s">
        <v>52</v>
      </c>
      <c r="K6822" s="226">
        <v>30000</v>
      </c>
      <c r="L6822" s="226"/>
    </row>
    <row r="6823" spans="1:12" ht="22.5" x14ac:dyDescent="0.2">
      <c r="A6823" s="133">
        <v>2022</v>
      </c>
      <c r="B6823" s="133">
        <v>6</v>
      </c>
      <c r="C6823" s="133">
        <v>30</v>
      </c>
      <c r="D6823" s="141">
        <f t="shared" si="462"/>
        <v>44742</v>
      </c>
      <c r="E6823" s="275">
        <f t="shared" si="463"/>
        <v>44742</v>
      </c>
      <c r="F6823" s="481"/>
      <c r="G6823" s="174" t="s">
        <v>74</v>
      </c>
      <c r="H6823" s="148" t="str" cm="1">
        <f t="array" ref="H6823">IFERROR(INDEX(INVESTOR_LIST[INVESTOR NAME],MATCH(I6823,INVESTOR_LIST[INVESTOR CODE],0),)," ")</f>
        <v>MONIR AHMED</v>
      </c>
      <c r="I6823" s="148" t="s">
        <v>407</v>
      </c>
      <c r="J6823" s="133" t="s">
        <v>13</v>
      </c>
      <c r="K6823" s="218"/>
      <c r="L6823" s="172">
        <v>24980</v>
      </c>
    </row>
    <row r="6824" spans="1:12" ht="22.5" x14ac:dyDescent="0.2">
      <c r="A6824" s="163">
        <v>2022</v>
      </c>
      <c r="B6824" s="163">
        <v>6</v>
      </c>
      <c r="C6824" s="163">
        <v>30</v>
      </c>
      <c r="D6824" s="141">
        <f t="shared" si="462"/>
        <v>44742</v>
      </c>
      <c r="E6824" s="275">
        <f t="shared" si="463"/>
        <v>44742</v>
      </c>
      <c r="F6824" s="480"/>
      <c r="G6824" s="221" t="s">
        <v>74</v>
      </c>
      <c r="H6824" s="145" t="str" cm="1">
        <f t="array" ref="H6824">IFERROR(INDEX(INVESTOR_LIST[INVESTOR NAME],MATCH(I6824,INVESTOR_LIST[INVESTOR CODE],0),)," ")</f>
        <v>MONIR AHMED</v>
      </c>
      <c r="I6824" s="145" t="s">
        <v>407</v>
      </c>
      <c r="J6824" s="163" t="s">
        <v>53</v>
      </c>
      <c r="K6824" s="219"/>
      <c r="L6824" s="219">
        <v>5020</v>
      </c>
    </row>
    <row r="6825" spans="1:12" x14ac:dyDescent="0.2">
      <c r="A6825" s="133">
        <v>2022</v>
      </c>
      <c r="B6825" s="133">
        <v>6</v>
      </c>
      <c r="C6825" s="168">
        <v>30</v>
      </c>
      <c r="D6825" s="141">
        <f t="shared" si="462"/>
        <v>44742</v>
      </c>
      <c r="E6825" s="275">
        <f t="shared" si="463"/>
        <v>44742</v>
      </c>
      <c r="F6825" s="479" t="s">
        <v>1432</v>
      </c>
      <c r="G6825" s="174" t="s">
        <v>74</v>
      </c>
      <c r="H6825" s="148" t="str" cm="1">
        <f t="array" ref="H6825">IFERROR(INDEX(INVESTOR_LIST[INVESTOR NAME],MATCH(I6825,INVESTOR_LIST[INVESTOR CODE],0),)," ")</f>
        <v xml:space="preserve"> </v>
      </c>
      <c r="I6825" s="148" t="s">
        <v>348</v>
      </c>
      <c r="J6825" s="133" t="s">
        <v>52</v>
      </c>
      <c r="K6825" s="172">
        <v>286255</v>
      </c>
    </row>
    <row r="6826" spans="1:12" x14ac:dyDescent="0.2">
      <c r="A6826" s="163">
        <v>2022</v>
      </c>
      <c r="B6826" s="163">
        <v>6</v>
      </c>
      <c r="C6826" s="163">
        <v>30</v>
      </c>
      <c r="D6826" s="141">
        <f t="shared" si="462"/>
        <v>44742</v>
      </c>
      <c r="E6826" s="275">
        <f t="shared" si="463"/>
        <v>44742</v>
      </c>
      <c r="F6826" s="480"/>
      <c r="G6826" s="221" t="s">
        <v>74</v>
      </c>
      <c r="H6826" s="145" t="str" cm="1">
        <f t="array" ref="H6826">IFERROR(INDEX(INVESTOR_LIST[INVESTOR NAME],MATCH(I6826,INVESTOR_LIST[INVESTOR CODE],0),)," ")</f>
        <v xml:space="preserve"> </v>
      </c>
      <c r="I6826" s="145" t="s">
        <v>348</v>
      </c>
      <c r="J6826" s="163" t="s">
        <v>60</v>
      </c>
      <c r="K6826" s="219"/>
      <c r="L6826" s="219">
        <v>286255</v>
      </c>
    </row>
    <row r="6827" spans="1:12" x14ac:dyDescent="0.2">
      <c r="A6827" s="238">
        <v>2022</v>
      </c>
      <c r="B6827" s="238">
        <v>6</v>
      </c>
      <c r="C6827" s="238">
        <v>30</v>
      </c>
      <c r="D6827" s="270">
        <f t="shared" si="462"/>
        <v>44742</v>
      </c>
      <c r="E6827" s="279">
        <f t="shared" si="463"/>
        <v>44742</v>
      </c>
      <c r="F6827" s="477" t="s">
        <v>347</v>
      </c>
      <c r="G6827" s="239" t="s">
        <v>94</v>
      </c>
      <c r="H6827" s="239" t="str" cm="1">
        <f t="array" ref="H6827">IFERROR(INDEX(INVESTOR_LIST[INVESTOR NAME],MATCH(I6827,INVESTOR_LIST[INVESTOR CODE],0),)," ")</f>
        <v xml:space="preserve"> </v>
      </c>
      <c r="I6827" s="262" t="s">
        <v>348</v>
      </c>
      <c r="J6827" s="240" t="s">
        <v>108</v>
      </c>
      <c r="K6827" s="241">
        <v>2888087.099999994</v>
      </c>
      <c r="L6827" s="241"/>
    </row>
    <row r="6828" spans="1:12" x14ac:dyDescent="0.2">
      <c r="A6828" s="242">
        <v>2022</v>
      </c>
      <c r="B6828" s="242">
        <v>6</v>
      </c>
      <c r="C6828" s="242">
        <v>30</v>
      </c>
      <c r="D6828" s="270">
        <f t="shared" si="462"/>
        <v>44742</v>
      </c>
      <c r="E6828" s="279">
        <f t="shared" si="463"/>
        <v>44742</v>
      </c>
      <c r="F6828" s="478"/>
      <c r="G6828" s="243" t="s">
        <v>94</v>
      </c>
      <c r="H6828" s="243" t="str" cm="1">
        <f t="array" ref="H6828">IFERROR(INDEX(INVESTOR_LIST[INVESTOR NAME],MATCH(I6828,INVESTOR_LIST[INVESTOR CODE],0),)," ")</f>
        <v xml:space="preserve"> </v>
      </c>
      <c r="I6828" s="263" t="s">
        <v>348</v>
      </c>
      <c r="J6828" s="244" t="s">
        <v>82</v>
      </c>
      <c r="K6828" s="245"/>
      <c r="L6828" s="245">
        <v>2888087.099999994</v>
      </c>
    </row>
    <row r="6829" spans="1:12" ht="22.5" x14ac:dyDescent="0.2">
      <c r="A6829" s="246">
        <v>2022</v>
      </c>
      <c r="B6829" s="246">
        <v>6</v>
      </c>
      <c r="C6829" s="246">
        <v>30</v>
      </c>
      <c r="D6829" s="270">
        <f t="shared" si="462"/>
        <v>44742</v>
      </c>
      <c r="E6829" s="279">
        <f t="shared" si="463"/>
        <v>44742</v>
      </c>
      <c r="F6829" s="482" t="s">
        <v>148</v>
      </c>
      <c r="G6829" s="247" t="s">
        <v>94</v>
      </c>
      <c r="H6829" s="247" t="str" cm="1">
        <f t="array" ref="H6829">IFERROR(INDEX(INVESTOR_LIST[INVESTOR NAME],MATCH(I6829,INVESTOR_LIST[INVESTOR CODE],0),)," ")</f>
        <v xml:space="preserve"> </v>
      </c>
      <c r="I6829" s="248" t="s">
        <v>348</v>
      </c>
      <c r="J6829" s="249" t="s">
        <v>95</v>
      </c>
      <c r="K6829" s="250">
        <v>2747.2527472527472</v>
      </c>
      <c r="L6829" s="241"/>
    </row>
    <row r="6830" spans="1:12" x14ac:dyDescent="0.2">
      <c r="A6830" s="242">
        <v>2022</v>
      </c>
      <c r="B6830" s="242">
        <v>6</v>
      </c>
      <c r="C6830" s="242">
        <v>30</v>
      </c>
      <c r="D6830" s="270">
        <f t="shared" si="462"/>
        <v>44742</v>
      </c>
      <c r="E6830" s="279">
        <f t="shared" si="463"/>
        <v>44742</v>
      </c>
      <c r="F6830" s="478"/>
      <c r="G6830" s="243" t="s">
        <v>94</v>
      </c>
      <c r="H6830" s="243" t="str" cm="1">
        <f t="array" ref="H6830">IFERROR(INDEX(INVESTOR_LIST[INVESTOR NAME],MATCH(I6830,INVESTOR_LIST[INVESTOR CODE],0),)," ")</f>
        <v xml:space="preserve"> </v>
      </c>
      <c r="I6830" s="263" t="s">
        <v>348</v>
      </c>
      <c r="J6830" s="244" t="s">
        <v>63</v>
      </c>
      <c r="K6830" s="245"/>
      <c r="L6830" s="245">
        <v>2747.2527472527472</v>
      </c>
    </row>
    <row r="6831" spans="1:12" x14ac:dyDescent="0.2">
      <c r="A6831" s="246">
        <v>2022</v>
      </c>
      <c r="B6831" s="246">
        <v>6</v>
      </c>
      <c r="C6831" s="246">
        <v>30</v>
      </c>
      <c r="D6831" s="270">
        <f t="shared" si="462"/>
        <v>44742</v>
      </c>
      <c r="E6831" s="279">
        <f t="shared" si="463"/>
        <v>44742</v>
      </c>
      <c r="F6831" s="482" t="s">
        <v>137</v>
      </c>
      <c r="G6831" s="247" t="s">
        <v>94</v>
      </c>
      <c r="H6831" s="247" t="str" cm="1">
        <f t="array" ref="H6831">IFERROR(INDEX(INVESTOR_LIST[INVESTOR NAME],MATCH(I6831,INVESTOR_LIST[INVESTOR CODE],0),)," ")</f>
        <v xml:space="preserve"> </v>
      </c>
      <c r="I6831" s="248" t="s">
        <v>348</v>
      </c>
      <c r="J6831" s="249" t="s">
        <v>97</v>
      </c>
      <c r="K6831" s="250">
        <v>79645.660405667557</v>
      </c>
      <c r="L6831" s="252"/>
    </row>
    <row r="6832" spans="1:12" x14ac:dyDescent="0.2">
      <c r="A6832" s="242">
        <v>2022</v>
      </c>
      <c r="B6832" s="242">
        <v>6</v>
      </c>
      <c r="C6832" s="242">
        <v>30</v>
      </c>
      <c r="D6832" s="270">
        <f t="shared" si="462"/>
        <v>44742</v>
      </c>
      <c r="E6832" s="279">
        <f t="shared" si="463"/>
        <v>44742</v>
      </c>
      <c r="F6832" s="478"/>
      <c r="G6832" s="243" t="s">
        <v>94</v>
      </c>
      <c r="H6832" s="243" t="str" cm="1">
        <f t="array" ref="H6832">IFERROR(INDEX(INVESTOR_LIST[INVESTOR NAME],MATCH(I6832,INVESTOR_LIST[INVESTOR CODE],0),)," ")</f>
        <v xml:space="preserve"> </v>
      </c>
      <c r="I6832" s="263" t="s">
        <v>348</v>
      </c>
      <c r="J6832" s="244" t="s">
        <v>47</v>
      </c>
      <c r="K6832" s="245"/>
      <c r="L6832" s="245">
        <v>79645.660405667557</v>
      </c>
    </row>
    <row r="6833" spans="1:13" x14ac:dyDescent="0.2">
      <c r="A6833" s="246">
        <v>2022</v>
      </c>
      <c r="B6833" s="246">
        <v>6</v>
      </c>
      <c r="C6833" s="246">
        <v>30</v>
      </c>
      <c r="D6833" s="270">
        <f t="shared" si="462"/>
        <v>44742</v>
      </c>
      <c r="E6833" s="279">
        <f t="shared" si="463"/>
        <v>44742</v>
      </c>
      <c r="F6833" s="482" t="s">
        <v>138</v>
      </c>
      <c r="G6833" s="247" t="s">
        <v>94</v>
      </c>
      <c r="H6833" s="247" t="str" cm="1">
        <f t="array" ref="H6833">IFERROR(INDEX(INVESTOR_LIST[INVESTOR NAME],MATCH(I6833,INVESTOR_LIST[INVESTOR CODE],0),)," ")</f>
        <v xml:space="preserve"> </v>
      </c>
      <c r="I6833" s="248" t="s">
        <v>348</v>
      </c>
      <c r="J6833" s="249" t="s">
        <v>100</v>
      </c>
      <c r="K6833" s="250">
        <v>3741.8984048987627</v>
      </c>
      <c r="L6833" s="252"/>
    </row>
    <row r="6834" spans="1:13" x14ac:dyDescent="0.2">
      <c r="A6834" s="242">
        <v>2022</v>
      </c>
      <c r="B6834" s="242">
        <v>6</v>
      </c>
      <c r="C6834" s="242">
        <v>30</v>
      </c>
      <c r="D6834" s="321">
        <f t="shared" si="462"/>
        <v>44742</v>
      </c>
      <c r="E6834" s="322">
        <f t="shared" si="463"/>
        <v>44742</v>
      </c>
      <c r="F6834" s="478"/>
      <c r="G6834" s="243" t="s">
        <v>94</v>
      </c>
      <c r="H6834" s="243" t="str" cm="1">
        <f t="array" ref="H6834">IFERROR(INDEX(INVESTOR_LIST[INVESTOR NAME],MATCH(I6834,INVESTOR_LIST[INVESTOR CODE],0),)," ")</f>
        <v xml:space="preserve"> </v>
      </c>
      <c r="I6834" s="263" t="s">
        <v>348</v>
      </c>
      <c r="J6834" s="244" t="s">
        <v>48</v>
      </c>
      <c r="K6834" s="245"/>
      <c r="L6834" s="245">
        <v>3741.8984048987627</v>
      </c>
    </row>
    <row r="6835" spans="1:13" x14ac:dyDescent="0.2">
      <c r="A6835" s="133">
        <v>2022</v>
      </c>
      <c r="B6835" s="133">
        <v>7</v>
      </c>
      <c r="C6835" s="168">
        <v>1</v>
      </c>
      <c r="D6835" s="141">
        <f t="shared" ref="D6835:D6840" si="464">DATE(A6835,B6835,C6835)</f>
        <v>44743</v>
      </c>
      <c r="E6835" s="275">
        <f t="shared" ref="E6835:E6840" si="465">DATE(A6835,B6835,C6835)</f>
        <v>44743</v>
      </c>
      <c r="F6835" s="479" t="s">
        <v>1432</v>
      </c>
      <c r="G6835" s="174" t="s">
        <v>74</v>
      </c>
      <c r="H6835" s="148" t="str" cm="1">
        <f t="array" ref="H6835">IFERROR(INDEX(INVESTOR_LIST[INVESTOR NAME],MATCH(I6835,INVESTOR_LIST[INVESTOR CODE],0),)," ")</f>
        <v xml:space="preserve"> </v>
      </c>
      <c r="I6835" s="148" t="s">
        <v>348</v>
      </c>
      <c r="J6835" s="133" t="s">
        <v>52</v>
      </c>
      <c r="K6835" s="172">
        <v>61599</v>
      </c>
    </row>
    <row r="6836" spans="1:13" x14ac:dyDescent="0.2">
      <c r="A6836" s="163">
        <v>2022</v>
      </c>
      <c r="B6836" s="163">
        <v>7</v>
      </c>
      <c r="C6836" s="163">
        <v>1</v>
      </c>
      <c r="D6836" s="141">
        <f t="shared" si="464"/>
        <v>44743</v>
      </c>
      <c r="E6836" s="275">
        <f t="shared" si="465"/>
        <v>44743</v>
      </c>
      <c r="F6836" s="480"/>
      <c r="G6836" s="221" t="s">
        <v>74</v>
      </c>
      <c r="H6836" s="145" t="str" cm="1">
        <f t="array" ref="H6836">IFERROR(INDEX(INVESTOR_LIST[INVESTOR NAME],MATCH(I6836,INVESTOR_LIST[INVESTOR CODE],0),)," ")</f>
        <v xml:space="preserve"> </v>
      </c>
      <c r="I6836" s="145" t="s">
        <v>348</v>
      </c>
      <c r="J6836" s="163" t="s">
        <v>60</v>
      </c>
      <c r="K6836" s="219"/>
      <c r="L6836" s="219">
        <v>61599</v>
      </c>
    </row>
    <row r="6837" spans="1:13" x14ac:dyDescent="0.2">
      <c r="A6837" s="133">
        <v>2022</v>
      </c>
      <c r="B6837" s="133">
        <v>7</v>
      </c>
      <c r="C6837" s="168">
        <v>1</v>
      </c>
      <c r="D6837" s="141">
        <f t="shared" si="464"/>
        <v>44743</v>
      </c>
      <c r="E6837" s="275">
        <f t="shared" si="465"/>
        <v>44743</v>
      </c>
      <c r="F6837" s="479" t="s">
        <v>77</v>
      </c>
      <c r="G6837" s="174" t="s">
        <v>74</v>
      </c>
      <c r="H6837" s="148" t="str" cm="1">
        <f t="array" ref="H6837">IFERROR(INDEX(INVESTOR_LIST[INVESTOR NAME],MATCH(I6837,INVESTOR_LIST[INVESTOR CODE],0),)," ")</f>
        <v xml:space="preserve"> </v>
      </c>
      <c r="I6837" s="148" t="s">
        <v>348</v>
      </c>
      <c r="J6837" s="133" t="s">
        <v>61</v>
      </c>
      <c r="K6837" s="172">
        <v>345</v>
      </c>
    </row>
    <row r="6838" spans="1:13" x14ac:dyDescent="0.2">
      <c r="A6838" s="163">
        <v>2022</v>
      </c>
      <c r="B6838" s="163">
        <v>7</v>
      </c>
      <c r="C6838" s="163">
        <v>1</v>
      </c>
      <c r="D6838" s="141">
        <f t="shared" si="464"/>
        <v>44743</v>
      </c>
      <c r="E6838" s="275">
        <f t="shared" si="465"/>
        <v>44743</v>
      </c>
      <c r="F6838" s="480"/>
      <c r="G6838" s="221" t="s">
        <v>74</v>
      </c>
      <c r="H6838" s="145" t="str" cm="1">
        <f t="array" ref="H6838">IFERROR(INDEX(INVESTOR_LIST[INVESTOR NAME],MATCH(I6838,INVESTOR_LIST[INVESTOR CODE],0),)," ")</f>
        <v xml:space="preserve"> </v>
      </c>
      <c r="I6838" s="145" t="s">
        <v>348</v>
      </c>
      <c r="J6838" s="163" t="s">
        <v>52</v>
      </c>
      <c r="K6838" s="219"/>
      <c r="L6838" s="219">
        <v>345</v>
      </c>
    </row>
    <row r="6839" spans="1:13" x14ac:dyDescent="0.2">
      <c r="A6839" s="133">
        <v>2022</v>
      </c>
      <c r="B6839" s="133">
        <v>7</v>
      </c>
      <c r="C6839" s="168">
        <v>1</v>
      </c>
      <c r="D6839" s="141">
        <f t="shared" si="464"/>
        <v>44743</v>
      </c>
      <c r="E6839" s="275">
        <f t="shared" si="465"/>
        <v>44743</v>
      </c>
      <c r="F6839" s="479" t="s">
        <v>77</v>
      </c>
      <c r="G6839" s="174" t="s">
        <v>74</v>
      </c>
      <c r="H6839" s="148" t="str" cm="1">
        <f t="array" ref="H6839">IFERROR(INDEX(INVESTOR_LIST[INVESTOR NAME],MATCH(I6839,INVESTOR_LIST[INVESTOR CODE],0),)," ")</f>
        <v xml:space="preserve"> </v>
      </c>
      <c r="I6839" s="148" t="s">
        <v>348</v>
      </c>
      <c r="J6839" s="133" t="s">
        <v>61</v>
      </c>
      <c r="K6839" s="172">
        <v>575</v>
      </c>
    </row>
    <row r="6840" spans="1:13" x14ac:dyDescent="0.2">
      <c r="A6840" s="163">
        <v>2022</v>
      </c>
      <c r="B6840" s="163">
        <v>7</v>
      </c>
      <c r="C6840" s="163">
        <v>1</v>
      </c>
      <c r="D6840" s="141">
        <f t="shared" si="464"/>
        <v>44743</v>
      </c>
      <c r="E6840" s="275">
        <f t="shared" si="465"/>
        <v>44743</v>
      </c>
      <c r="F6840" s="480"/>
      <c r="G6840" s="221" t="s">
        <v>74</v>
      </c>
      <c r="H6840" s="145" t="str" cm="1">
        <f t="array" ref="H6840">IFERROR(INDEX(INVESTOR_LIST[INVESTOR NAME],MATCH(I6840,INVESTOR_LIST[INVESTOR CODE],0),)," ")</f>
        <v xml:space="preserve"> </v>
      </c>
      <c r="I6840" s="145" t="s">
        <v>348</v>
      </c>
      <c r="J6840" s="163" t="s">
        <v>52</v>
      </c>
      <c r="K6840" s="219"/>
      <c r="L6840" s="219">
        <v>575</v>
      </c>
    </row>
    <row r="6841" spans="1:13" x14ac:dyDescent="0.2">
      <c r="A6841" s="133">
        <v>2022</v>
      </c>
      <c r="B6841" s="133">
        <v>7</v>
      </c>
      <c r="C6841" s="168">
        <v>1</v>
      </c>
      <c r="D6841" s="141">
        <f t="shared" ref="D6841:D6842" si="466">DATE(A6841,B6841,C6841)</f>
        <v>44743</v>
      </c>
      <c r="E6841" s="275">
        <f t="shared" ref="E6841:E6842" si="467">DATE(A6841,B6841,C6841)</f>
        <v>44743</v>
      </c>
      <c r="F6841" s="479" t="s">
        <v>1439</v>
      </c>
      <c r="G6841" s="174" t="s">
        <v>74</v>
      </c>
      <c r="H6841" s="148" t="str" cm="1">
        <f t="array" ref="H6841">IFERROR(INDEX(INVESTOR_LIST[INVESTOR NAME],MATCH(I6841,INVESTOR_LIST[INVESTOR CODE],0),)," ")</f>
        <v xml:space="preserve"> </v>
      </c>
      <c r="I6841" s="148" t="s">
        <v>348</v>
      </c>
      <c r="J6841" s="133" t="s">
        <v>61</v>
      </c>
      <c r="K6841" s="172">
        <v>300</v>
      </c>
    </row>
    <row r="6842" spans="1:13" x14ac:dyDescent="0.2">
      <c r="A6842" s="163">
        <v>2022</v>
      </c>
      <c r="B6842" s="163">
        <v>7</v>
      </c>
      <c r="C6842" s="163">
        <v>1</v>
      </c>
      <c r="D6842" s="141">
        <f t="shared" si="466"/>
        <v>44743</v>
      </c>
      <c r="E6842" s="275">
        <f t="shared" si="467"/>
        <v>44743</v>
      </c>
      <c r="F6842" s="480"/>
      <c r="G6842" s="221" t="s">
        <v>74</v>
      </c>
      <c r="H6842" s="145" t="str" cm="1">
        <f t="array" ref="H6842">IFERROR(INDEX(INVESTOR_LIST[INVESTOR NAME],MATCH(I6842,INVESTOR_LIST[INVESTOR CODE],0),)," ")</f>
        <v xml:space="preserve"> </v>
      </c>
      <c r="I6842" s="145" t="s">
        <v>348</v>
      </c>
      <c r="J6842" s="163" t="s">
        <v>52</v>
      </c>
      <c r="K6842" s="219"/>
      <c r="L6842" s="219">
        <v>300</v>
      </c>
    </row>
    <row r="6843" spans="1:13" x14ac:dyDescent="0.2">
      <c r="A6843" s="133">
        <v>2022</v>
      </c>
      <c r="B6843" s="133">
        <v>7</v>
      </c>
      <c r="C6843" s="168">
        <v>1</v>
      </c>
      <c r="D6843" s="141">
        <f t="shared" ref="D6843:D6844" si="468">DATE(A6843,B6843,C6843)</f>
        <v>44743</v>
      </c>
      <c r="E6843" s="275">
        <f t="shared" ref="E6843:E6844" si="469">DATE(A6843,B6843,C6843)</f>
        <v>44743</v>
      </c>
      <c r="F6843" s="479" t="s">
        <v>1440</v>
      </c>
      <c r="G6843" s="174" t="s">
        <v>74</v>
      </c>
      <c r="H6843" s="148" t="str" cm="1">
        <f t="array" ref="H6843">IFERROR(INDEX(INVESTOR_LIST[INVESTOR NAME],MATCH(I6843,INVESTOR_LIST[INVESTOR CODE],0),)," ")</f>
        <v xml:space="preserve"> </v>
      </c>
      <c r="I6843" s="148" t="s">
        <v>348</v>
      </c>
      <c r="J6843" s="133" t="s">
        <v>61</v>
      </c>
      <c r="K6843" s="172">
        <v>45</v>
      </c>
    </row>
    <row r="6844" spans="1:13" x14ac:dyDescent="0.2">
      <c r="A6844" s="163">
        <v>2022</v>
      </c>
      <c r="B6844" s="163">
        <v>7</v>
      </c>
      <c r="C6844" s="163">
        <v>1</v>
      </c>
      <c r="D6844" s="141">
        <f t="shared" si="468"/>
        <v>44743</v>
      </c>
      <c r="E6844" s="275">
        <f t="shared" si="469"/>
        <v>44743</v>
      </c>
      <c r="F6844" s="480"/>
      <c r="G6844" s="221" t="s">
        <v>74</v>
      </c>
      <c r="H6844" s="145" t="str" cm="1">
        <f t="array" ref="H6844">IFERROR(INDEX(INVESTOR_LIST[INVESTOR NAME],MATCH(I6844,INVESTOR_LIST[INVESTOR CODE],0),)," ")</f>
        <v xml:space="preserve"> </v>
      </c>
      <c r="I6844" s="145" t="s">
        <v>348</v>
      </c>
      <c r="J6844" s="163" t="s">
        <v>52</v>
      </c>
      <c r="K6844" s="219"/>
      <c r="L6844" s="219">
        <v>45</v>
      </c>
    </row>
    <row r="6845" spans="1:13" ht="33.75" x14ac:dyDescent="0.2">
      <c r="A6845" s="168">
        <v>2022</v>
      </c>
      <c r="B6845" s="168">
        <v>7</v>
      </c>
      <c r="C6845" s="133">
        <v>3</v>
      </c>
      <c r="D6845" s="141">
        <f t="shared" ref="D6845:D6847" si="470">DATE(A6845,B6845,C6845)</f>
        <v>44745</v>
      </c>
      <c r="E6845" s="275">
        <f t="shared" ref="E6845:E6847" si="471">DATE(A6845,B6845,C6845)</f>
        <v>44745</v>
      </c>
      <c r="F6845" s="479" t="s">
        <v>964</v>
      </c>
      <c r="G6845" s="220" t="s">
        <v>74</v>
      </c>
      <c r="H6845" s="142" t="str" cm="1">
        <f t="array" ref="H6845">IFERROR(INDEX(INVESTOR_LIST[INVESTOR NAME],MATCH(I6845,INVESTOR_LIST[INVESTOR CODE],0),)," ")</f>
        <v>AHMED BIN MONSUR</v>
      </c>
      <c r="I6845" s="142" t="s">
        <v>992</v>
      </c>
      <c r="J6845" s="168" t="s">
        <v>52</v>
      </c>
      <c r="K6845" s="226">
        <v>1000000</v>
      </c>
      <c r="L6845" s="226"/>
    </row>
    <row r="6846" spans="1:13" ht="33.75" x14ac:dyDescent="0.2">
      <c r="A6846" s="133">
        <v>2022</v>
      </c>
      <c r="B6846" s="133">
        <v>7</v>
      </c>
      <c r="C6846" s="133">
        <v>3</v>
      </c>
      <c r="D6846" s="141">
        <f t="shared" si="470"/>
        <v>44745</v>
      </c>
      <c r="E6846" s="275">
        <f t="shared" si="471"/>
        <v>44745</v>
      </c>
      <c r="F6846" s="481"/>
      <c r="G6846" s="174" t="s">
        <v>74</v>
      </c>
      <c r="H6846" s="148" t="str" cm="1">
        <f t="array" ref="H6846">IFERROR(INDEX(INVESTOR_LIST[INVESTOR NAME],MATCH(I6846,INVESTOR_LIST[INVESTOR CODE],0),)," ")</f>
        <v>AHMED BIN MONSUR</v>
      </c>
      <c r="I6846" s="148" t="s">
        <v>992</v>
      </c>
      <c r="J6846" s="133" t="s">
        <v>13</v>
      </c>
      <c r="K6846" s="218"/>
      <c r="L6846" s="172">
        <v>832640</v>
      </c>
      <c r="M6846" s="160"/>
    </row>
    <row r="6847" spans="1:13" ht="33.75" x14ac:dyDescent="0.2">
      <c r="A6847" s="163">
        <v>2022</v>
      </c>
      <c r="B6847" s="163">
        <v>7</v>
      </c>
      <c r="C6847" s="163">
        <v>3</v>
      </c>
      <c r="D6847" s="141">
        <f t="shared" si="470"/>
        <v>44745</v>
      </c>
      <c r="E6847" s="275">
        <f t="shared" si="471"/>
        <v>44745</v>
      </c>
      <c r="F6847" s="480"/>
      <c r="G6847" s="221" t="s">
        <v>74</v>
      </c>
      <c r="H6847" s="145" t="str" cm="1">
        <f t="array" ref="H6847">IFERROR(INDEX(INVESTOR_LIST[INVESTOR NAME],MATCH(I6847,INVESTOR_LIST[INVESTOR CODE],0),)," ")</f>
        <v>AHMED BIN MONSUR</v>
      </c>
      <c r="I6847" s="145" t="s">
        <v>992</v>
      </c>
      <c r="J6847" s="163" t="s">
        <v>53</v>
      </c>
      <c r="K6847" s="219"/>
      <c r="L6847" s="219">
        <v>167360</v>
      </c>
    </row>
    <row r="6848" spans="1:13" ht="56.25" x14ac:dyDescent="0.2">
      <c r="A6848" s="168">
        <v>2022</v>
      </c>
      <c r="B6848" s="168">
        <v>7</v>
      </c>
      <c r="C6848" s="133">
        <v>3</v>
      </c>
      <c r="D6848" s="141">
        <f t="shared" ref="D6848:D6850" si="472">DATE(A6848,B6848,C6848)</f>
        <v>44745</v>
      </c>
      <c r="E6848" s="275">
        <f t="shared" ref="E6848:E6850" si="473">DATE(A6848,B6848,C6848)</f>
        <v>44745</v>
      </c>
      <c r="F6848" s="479" t="s">
        <v>964</v>
      </c>
      <c r="G6848" s="220" t="s">
        <v>74</v>
      </c>
      <c r="H6848" s="142" t="str" cm="1">
        <f t="array" ref="H6848">IFERROR(INDEX(INVESTOR_LIST[INVESTOR NAME],MATCH(I6848,INVESTOR_LIST[INVESTOR CODE],0),)," ")</f>
        <v>MD. OMAR FARUQUE Al QUADERI</v>
      </c>
      <c r="I6848" s="142" t="s">
        <v>424</v>
      </c>
      <c r="J6848" s="168" t="s">
        <v>52</v>
      </c>
      <c r="K6848" s="226">
        <v>150000</v>
      </c>
      <c r="L6848" s="226"/>
    </row>
    <row r="6849" spans="1:12" ht="56.25" x14ac:dyDescent="0.2">
      <c r="A6849" s="133">
        <v>2022</v>
      </c>
      <c r="B6849" s="133">
        <v>7</v>
      </c>
      <c r="C6849" s="133">
        <v>3</v>
      </c>
      <c r="D6849" s="141">
        <f t="shared" si="472"/>
        <v>44745</v>
      </c>
      <c r="E6849" s="275">
        <f t="shared" si="473"/>
        <v>44745</v>
      </c>
      <c r="F6849" s="481"/>
      <c r="G6849" s="174" t="s">
        <v>74</v>
      </c>
      <c r="H6849" s="148" t="str" cm="1">
        <f t="array" ref="H6849">IFERROR(INDEX(INVESTOR_LIST[INVESTOR NAME],MATCH(I6849,INVESTOR_LIST[INVESTOR CODE],0),)," ")</f>
        <v>MD. OMAR FARUQUE Al QUADERI</v>
      </c>
      <c r="I6849" s="148" t="s">
        <v>424</v>
      </c>
      <c r="J6849" s="133" t="s">
        <v>13</v>
      </c>
      <c r="K6849" s="218"/>
      <c r="L6849" s="172">
        <v>124900</v>
      </c>
    </row>
    <row r="6850" spans="1:12" ht="56.25" x14ac:dyDescent="0.2">
      <c r="A6850" s="163">
        <v>2022</v>
      </c>
      <c r="B6850" s="163">
        <v>7</v>
      </c>
      <c r="C6850" s="163">
        <v>3</v>
      </c>
      <c r="D6850" s="141">
        <f t="shared" si="472"/>
        <v>44745</v>
      </c>
      <c r="E6850" s="275">
        <f t="shared" si="473"/>
        <v>44745</v>
      </c>
      <c r="F6850" s="480"/>
      <c r="G6850" s="221" t="s">
        <v>74</v>
      </c>
      <c r="H6850" s="145" t="str" cm="1">
        <f t="array" ref="H6850">IFERROR(INDEX(INVESTOR_LIST[INVESTOR NAME],MATCH(I6850,INVESTOR_LIST[INVESTOR CODE],0),)," ")</f>
        <v>MD. OMAR FARUQUE Al QUADERI</v>
      </c>
      <c r="I6850" s="145" t="s">
        <v>424</v>
      </c>
      <c r="J6850" s="163" t="s">
        <v>53</v>
      </c>
      <c r="K6850" s="219"/>
      <c r="L6850" s="219">
        <v>25100</v>
      </c>
    </row>
    <row r="6851" spans="1:12" x14ac:dyDescent="0.2">
      <c r="A6851" s="133">
        <v>2022</v>
      </c>
      <c r="B6851" s="133">
        <v>7</v>
      </c>
      <c r="C6851" s="168">
        <v>3</v>
      </c>
      <c r="D6851" s="141">
        <f t="shared" ref="D6851:D6861" si="474">DATE(A6851,B6851,C6851)</f>
        <v>44745</v>
      </c>
      <c r="E6851" s="275">
        <f t="shared" ref="E6851:E6861" si="475">DATE(A6851,B6851,C6851)</f>
        <v>44745</v>
      </c>
      <c r="F6851" s="479" t="s">
        <v>77</v>
      </c>
      <c r="G6851" s="174" t="s">
        <v>74</v>
      </c>
      <c r="H6851" s="148" t="str" cm="1">
        <f t="array" ref="H6851">IFERROR(INDEX(INVESTOR_LIST[INVESTOR NAME],MATCH(I6851,INVESTOR_LIST[INVESTOR CODE],0),)," ")</f>
        <v xml:space="preserve"> </v>
      </c>
      <c r="I6851" s="148" t="s">
        <v>348</v>
      </c>
      <c r="J6851" s="133" t="s">
        <v>61</v>
      </c>
      <c r="K6851" s="172">
        <v>10</v>
      </c>
    </row>
    <row r="6852" spans="1:12" x14ac:dyDescent="0.2">
      <c r="A6852" s="163">
        <v>2022</v>
      </c>
      <c r="B6852" s="163">
        <v>7</v>
      </c>
      <c r="C6852" s="163">
        <v>3</v>
      </c>
      <c r="D6852" s="141">
        <f t="shared" si="474"/>
        <v>44745</v>
      </c>
      <c r="E6852" s="275">
        <f t="shared" si="475"/>
        <v>44745</v>
      </c>
      <c r="F6852" s="480"/>
      <c r="G6852" s="221" t="s">
        <v>74</v>
      </c>
      <c r="H6852" s="145" t="str" cm="1">
        <f t="array" ref="H6852">IFERROR(INDEX(INVESTOR_LIST[INVESTOR NAME],MATCH(I6852,INVESTOR_LIST[INVESTOR CODE],0),)," ")</f>
        <v xml:space="preserve"> </v>
      </c>
      <c r="I6852" s="145" t="s">
        <v>348</v>
      </c>
      <c r="J6852" s="163" t="s">
        <v>52</v>
      </c>
      <c r="K6852" s="219"/>
      <c r="L6852" s="219">
        <v>10</v>
      </c>
    </row>
    <row r="6853" spans="1:12" ht="33.75" x14ac:dyDescent="0.2">
      <c r="A6853" s="168">
        <v>2022</v>
      </c>
      <c r="B6853" s="168">
        <v>7</v>
      </c>
      <c r="C6853" s="133">
        <v>3</v>
      </c>
      <c r="D6853" s="141">
        <f t="shared" si="474"/>
        <v>44745</v>
      </c>
      <c r="E6853" s="275">
        <f t="shared" si="475"/>
        <v>44745</v>
      </c>
      <c r="F6853" s="479" t="s">
        <v>1315</v>
      </c>
      <c r="G6853" s="220" t="s">
        <v>74</v>
      </c>
      <c r="H6853" s="142" t="str" cm="1">
        <f t="array" ref="H6853">IFERROR(INDEX(INVESTOR_LIST[INVESTOR NAME],MATCH(I6853,INVESTOR_LIST[INVESTOR CODE],0),)," ")</f>
        <v>NAUSHEEN AHMED</v>
      </c>
      <c r="I6853" s="142" t="s">
        <v>787</v>
      </c>
      <c r="J6853" s="168" t="s">
        <v>13</v>
      </c>
      <c r="K6853" s="226">
        <v>333350</v>
      </c>
      <c r="L6853" s="226"/>
    </row>
    <row r="6854" spans="1:12" ht="33.75" x14ac:dyDescent="0.2">
      <c r="A6854" s="133">
        <v>2022</v>
      </c>
      <c r="B6854" s="133">
        <v>7</v>
      </c>
      <c r="C6854" s="133">
        <v>3</v>
      </c>
      <c r="D6854" s="141">
        <f t="shared" si="474"/>
        <v>44745</v>
      </c>
      <c r="E6854" s="275">
        <f t="shared" si="475"/>
        <v>44745</v>
      </c>
      <c r="F6854" s="481"/>
      <c r="G6854" s="174" t="s">
        <v>74</v>
      </c>
      <c r="H6854" s="148" t="str" cm="1">
        <f t="array" ref="H6854">IFERROR(INDEX(INVESTOR_LIST[INVESTOR NAME],MATCH(I6854,INVESTOR_LIST[INVESTOR CODE],0),)," ")</f>
        <v>NAUSHEEN AHMED</v>
      </c>
      <c r="I6854" s="148" t="s">
        <v>787</v>
      </c>
      <c r="J6854" s="133" t="s">
        <v>53</v>
      </c>
      <c r="K6854" s="218">
        <v>74003.7</v>
      </c>
      <c r="L6854" s="218"/>
    </row>
    <row r="6855" spans="1:12" ht="33.75" x14ac:dyDescent="0.2">
      <c r="A6855" s="163">
        <v>2022</v>
      </c>
      <c r="B6855" s="163">
        <v>7</v>
      </c>
      <c r="C6855" s="163">
        <v>3</v>
      </c>
      <c r="D6855" s="280">
        <f t="shared" si="474"/>
        <v>44745</v>
      </c>
      <c r="E6855" s="281">
        <f t="shared" si="475"/>
        <v>44745</v>
      </c>
      <c r="F6855" s="480"/>
      <c r="G6855" s="221" t="s">
        <v>74</v>
      </c>
      <c r="H6855" s="145" t="str" cm="1">
        <f t="array" ref="H6855">IFERROR(INDEX(INVESTOR_LIST[INVESTOR NAME],MATCH(I6855,INVESTOR_LIST[INVESTOR CODE],0),)," ")</f>
        <v>NAUSHEEN AHMED</v>
      </c>
      <c r="I6855" s="145" t="s">
        <v>787</v>
      </c>
      <c r="J6855" s="163" t="s">
        <v>52</v>
      </c>
      <c r="K6855" s="219"/>
      <c r="L6855" s="219">
        <v>407353.7</v>
      </c>
    </row>
    <row r="6856" spans="1:12" ht="45" x14ac:dyDescent="0.2">
      <c r="A6856" s="168">
        <v>2022</v>
      </c>
      <c r="B6856" s="168">
        <v>7</v>
      </c>
      <c r="C6856" s="133">
        <v>3</v>
      </c>
      <c r="D6856" s="141">
        <f t="shared" si="474"/>
        <v>44745</v>
      </c>
      <c r="E6856" s="275">
        <f t="shared" si="475"/>
        <v>44745</v>
      </c>
      <c r="F6856" s="479" t="s">
        <v>1315</v>
      </c>
      <c r="G6856" s="220" t="s">
        <v>74</v>
      </c>
      <c r="H6856" s="142" t="str" cm="1">
        <f t="array" ref="H6856">IFERROR(INDEX(INVESTOR_LIST[INVESTOR NAME],MATCH(I6856,INVESTOR_LIST[INVESTOR CODE],0),)," ")</f>
        <v>MD. WALID - AL - ZUBAYER</v>
      </c>
      <c r="I6856" s="142" t="s">
        <v>764</v>
      </c>
      <c r="J6856" s="168" t="s">
        <v>13</v>
      </c>
      <c r="K6856" s="226">
        <v>32870</v>
      </c>
      <c r="L6856" s="226"/>
    </row>
    <row r="6857" spans="1:12" ht="45" x14ac:dyDescent="0.2">
      <c r="A6857" s="133">
        <v>2022</v>
      </c>
      <c r="B6857" s="133">
        <v>7</v>
      </c>
      <c r="C6857" s="133">
        <v>3</v>
      </c>
      <c r="D6857" s="141">
        <f t="shared" si="474"/>
        <v>44745</v>
      </c>
      <c r="E6857" s="275">
        <f t="shared" si="475"/>
        <v>44745</v>
      </c>
      <c r="F6857" s="481"/>
      <c r="G6857" s="174" t="s">
        <v>74</v>
      </c>
      <c r="H6857" s="148" t="str" cm="1">
        <f t="array" ref="H6857">IFERROR(INDEX(INVESTOR_LIST[INVESTOR NAME],MATCH(I6857,INVESTOR_LIST[INVESTOR CODE],0),)," ")</f>
        <v>MD. WALID - AL - ZUBAYER</v>
      </c>
      <c r="I6857" s="148" t="s">
        <v>764</v>
      </c>
      <c r="J6857" s="133" t="s">
        <v>53</v>
      </c>
      <c r="K6857" s="218">
        <v>7297.14</v>
      </c>
      <c r="L6857" s="218"/>
    </row>
    <row r="6858" spans="1:12" ht="45" x14ac:dyDescent="0.2">
      <c r="A6858" s="163">
        <v>2022</v>
      </c>
      <c r="B6858" s="163">
        <v>7</v>
      </c>
      <c r="C6858" s="163">
        <v>3</v>
      </c>
      <c r="D6858" s="280">
        <f t="shared" si="474"/>
        <v>44745</v>
      </c>
      <c r="E6858" s="281">
        <f t="shared" si="475"/>
        <v>44745</v>
      </c>
      <c r="F6858" s="480"/>
      <c r="G6858" s="221" t="s">
        <v>74</v>
      </c>
      <c r="H6858" s="145" t="str" cm="1">
        <f t="array" ref="H6858">IFERROR(INDEX(INVESTOR_LIST[INVESTOR NAME],MATCH(I6858,INVESTOR_LIST[INVESTOR CODE],0),)," ")</f>
        <v>MD. WALID - AL - ZUBAYER</v>
      </c>
      <c r="I6858" s="145" t="s">
        <v>764</v>
      </c>
      <c r="J6858" s="163" t="s">
        <v>52</v>
      </c>
      <c r="K6858" s="219"/>
      <c r="L6858" s="219">
        <v>40167.14</v>
      </c>
    </row>
    <row r="6859" spans="1:12" ht="45" x14ac:dyDescent="0.2">
      <c r="A6859" s="168">
        <v>2022</v>
      </c>
      <c r="B6859" s="168">
        <v>7</v>
      </c>
      <c r="C6859" s="133">
        <v>3</v>
      </c>
      <c r="D6859" s="141">
        <f t="shared" si="474"/>
        <v>44745</v>
      </c>
      <c r="E6859" s="275">
        <f t="shared" si="475"/>
        <v>44745</v>
      </c>
      <c r="F6859" s="479" t="s">
        <v>1315</v>
      </c>
      <c r="G6859" s="220" t="s">
        <v>74</v>
      </c>
      <c r="H6859" s="142" t="str" cm="1">
        <f t="array" ref="H6859">IFERROR(INDEX(INVESTOR_LIST[INVESTOR NAME],MATCH(I6859,INVESTOR_LIST[INVESTOR CODE],0),)," ")</f>
        <v>MD. WALID - AL - ZUBAYER</v>
      </c>
      <c r="I6859" s="142" t="s">
        <v>764</v>
      </c>
      <c r="J6859" s="168" t="s">
        <v>13</v>
      </c>
      <c r="K6859" s="226">
        <v>366240</v>
      </c>
      <c r="L6859" s="226"/>
    </row>
    <row r="6860" spans="1:12" ht="45" x14ac:dyDescent="0.2">
      <c r="A6860" s="133">
        <v>2022</v>
      </c>
      <c r="B6860" s="133">
        <v>7</v>
      </c>
      <c r="C6860" s="133">
        <v>3</v>
      </c>
      <c r="D6860" s="141">
        <f t="shared" si="474"/>
        <v>44745</v>
      </c>
      <c r="E6860" s="275">
        <f t="shared" si="475"/>
        <v>44745</v>
      </c>
      <c r="F6860" s="481"/>
      <c r="G6860" s="174" t="s">
        <v>74</v>
      </c>
      <c r="H6860" s="148" t="str" cm="1">
        <f t="array" ref="H6860">IFERROR(INDEX(INVESTOR_LIST[INVESTOR NAME],MATCH(I6860,INVESTOR_LIST[INVESTOR CODE],0),)," ")</f>
        <v>MD. WALID - AL - ZUBAYER</v>
      </c>
      <c r="I6860" s="148" t="s">
        <v>764</v>
      </c>
      <c r="J6860" s="133" t="s">
        <v>53</v>
      </c>
      <c r="K6860" s="218">
        <v>81305.279999999999</v>
      </c>
      <c r="L6860" s="218"/>
    </row>
    <row r="6861" spans="1:12" ht="45" x14ac:dyDescent="0.2">
      <c r="A6861" s="163">
        <v>2022</v>
      </c>
      <c r="B6861" s="163">
        <v>7</v>
      </c>
      <c r="C6861" s="163">
        <v>3</v>
      </c>
      <c r="D6861" s="280">
        <f t="shared" si="474"/>
        <v>44745</v>
      </c>
      <c r="E6861" s="281">
        <f t="shared" si="475"/>
        <v>44745</v>
      </c>
      <c r="F6861" s="480"/>
      <c r="G6861" s="221" t="s">
        <v>74</v>
      </c>
      <c r="H6861" s="145" t="str" cm="1">
        <f t="array" ref="H6861">IFERROR(INDEX(INVESTOR_LIST[INVESTOR NAME],MATCH(I6861,INVESTOR_LIST[INVESTOR CODE],0),)," ")</f>
        <v>MD. WALID - AL - ZUBAYER</v>
      </c>
      <c r="I6861" s="145" t="s">
        <v>764</v>
      </c>
      <c r="J6861" s="163" t="s">
        <v>52</v>
      </c>
      <c r="K6861" s="219"/>
      <c r="L6861" s="219">
        <v>447545.28</v>
      </c>
    </row>
    <row r="6862" spans="1:12" x14ac:dyDescent="0.2">
      <c r="A6862" s="168">
        <v>2022</v>
      </c>
      <c r="B6862" s="168">
        <v>7</v>
      </c>
      <c r="C6862" s="133">
        <v>3</v>
      </c>
      <c r="D6862" s="141">
        <f t="shared" ref="D6862:D6868" si="476">DATE(A6862,B6862,C6862)</f>
        <v>44745</v>
      </c>
      <c r="E6862" s="275">
        <f t="shared" ref="E6862:E6868" si="477">DATE(A6862,B6862,C6862)</f>
        <v>44745</v>
      </c>
      <c r="F6862" s="479" t="s">
        <v>1436</v>
      </c>
      <c r="G6862" s="220" t="s">
        <v>74</v>
      </c>
      <c r="H6862" s="220" t="str" cm="1">
        <f t="array" ref="H6862">IFERROR(INDEX(INVESTOR_LIST[INVESTOR NAME],MATCH(I6862,INVESTOR_LIST[INVESTOR CODE],0),)," ")</f>
        <v xml:space="preserve"> </v>
      </c>
      <c r="I6862" s="142" t="s">
        <v>348</v>
      </c>
      <c r="J6862" s="143" t="s">
        <v>79</v>
      </c>
      <c r="K6862" s="226">
        <v>272600</v>
      </c>
      <c r="L6862" s="226"/>
    </row>
    <row r="6863" spans="1:12" x14ac:dyDescent="0.2">
      <c r="A6863" s="133">
        <v>2022</v>
      </c>
      <c r="B6863" s="133">
        <v>7</v>
      </c>
      <c r="C6863" s="133">
        <v>3</v>
      </c>
      <c r="D6863" s="141">
        <f t="shared" si="476"/>
        <v>44745</v>
      </c>
      <c r="E6863" s="275">
        <f t="shared" si="477"/>
        <v>44745</v>
      </c>
      <c r="F6863" s="481"/>
      <c r="G6863" s="174" t="s">
        <v>74</v>
      </c>
      <c r="H6863" s="174" t="str" cm="1">
        <f t="array" ref="H6863">IFERROR(INDEX(INVESTOR_LIST[INVESTOR NAME],MATCH(I6863,INVESTOR_LIST[INVESTOR CODE],0),)," ")</f>
        <v xml:space="preserve"> </v>
      </c>
      <c r="I6863" s="148" t="s">
        <v>348</v>
      </c>
      <c r="J6863" s="149" t="s">
        <v>52</v>
      </c>
      <c r="K6863" s="218">
        <v>14727400</v>
      </c>
      <c r="L6863" s="218"/>
    </row>
    <row r="6864" spans="1:12" x14ac:dyDescent="0.2">
      <c r="A6864" s="163">
        <v>2022</v>
      </c>
      <c r="B6864" s="163">
        <v>7</v>
      </c>
      <c r="C6864" s="163">
        <v>3</v>
      </c>
      <c r="D6864" s="141">
        <f t="shared" si="476"/>
        <v>44745</v>
      </c>
      <c r="E6864" s="275">
        <f t="shared" si="477"/>
        <v>44745</v>
      </c>
      <c r="F6864" s="480"/>
      <c r="G6864" s="221" t="s">
        <v>74</v>
      </c>
      <c r="H6864" s="221" t="str" cm="1">
        <f t="array" ref="H6864">IFERROR(INDEX(INVESTOR_LIST[INVESTOR NAME],MATCH(I6864,INVESTOR_LIST[INVESTOR CODE],0),)," ")</f>
        <v xml:space="preserve"> </v>
      </c>
      <c r="I6864" s="145" t="s">
        <v>348</v>
      </c>
      <c r="J6864" s="146" t="s">
        <v>184</v>
      </c>
      <c r="K6864" s="219"/>
      <c r="L6864" s="219">
        <v>15000000</v>
      </c>
    </row>
    <row r="6865" spans="1:12" x14ac:dyDescent="0.2">
      <c r="A6865" s="168">
        <v>2022</v>
      </c>
      <c r="B6865" s="168">
        <v>7</v>
      </c>
      <c r="C6865" s="133">
        <v>3</v>
      </c>
      <c r="D6865" s="141">
        <f t="shared" si="476"/>
        <v>44745</v>
      </c>
      <c r="E6865" s="275">
        <f t="shared" si="477"/>
        <v>44745</v>
      </c>
      <c r="F6865" s="479" t="s">
        <v>1435</v>
      </c>
      <c r="G6865" s="220" t="s">
        <v>74</v>
      </c>
      <c r="H6865" s="220" t="str" cm="1">
        <f t="array" ref="H6865">IFERROR(INDEX(INVESTOR_LIST[INVESTOR NAME],MATCH(I6865,INVESTOR_LIST[INVESTOR CODE],0),)," ")</f>
        <v xml:space="preserve"> </v>
      </c>
      <c r="I6865" s="142" t="s">
        <v>348</v>
      </c>
      <c r="J6865" s="143" t="s">
        <v>184</v>
      </c>
      <c r="K6865" s="226">
        <v>3194200</v>
      </c>
      <c r="L6865" s="226"/>
    </row>
    <row r="6866" spans="1:12" x14ac:dyDescent="0.2">
      <c r="A6866" s="133">
        <v>2022</v>
      </c>
      <c r="B6866" s="133">
        <v>7</v>
      </c>
      <c r="C6866" s="133">
        <v>3</v>
      </c>
      <c r="D6866" s="141">
        <f t="shared" si="476"/>
        <v>44745</v>
      </c>
      <c r="E6866" s="275">
        <f t="shared" si="477"/>
        <v>44745</v>
      </c>
      <c r="F6866" s="481"/>
      <c r="G6866" s="174" t="s">
        <v>74</v>
      </c>
      <c r="H6866" s="174" t="str" cm="1">
        <f t="array" ref="H6866">IFERROR(INDEX(INVESTOR_LIST[INVESTOR NAME],MATCH(I6866,INVESTOR_LIST[INVESTOR CODE],0),)," ")</f>
        <v xml:space="preserve"> </v>
      </c>
      <c r="I6866" s="148" t="s">
        <v>348</v>
      </c>
      <c r="J6866" s="149" t="s">
        <v>61</v>
      </c>
      <c r="K6866" s="218">
        <v>115</v>
      </c>
      <c r="L6866" s="218"/>
    </row>
    <row r="6867" spans="1:12" x14ac:dyDescent="0.2">
      <c r="A6867" s="133">
        <v>2022</v>
      </c>
      <c r="B6867" s="133">
        <v>7</v>
      </c>
      <c r="C6867" s="133">
        <v>3</v>
      </c>
      <c r="D6867" s="141">
        <f t="shared" ref="D6867" si="478">DATE(A6867,B6867,C6867)</f>
        <v>44745</v>
      </c>
      <c r="E6867" s="275">
        <f t="shared" ref="E6867" si="479">DATE(A6867,B6867,C6867)</f>
        <v>44745</v>
      </c>
      <c r="F6867" s="481"/>
      <c r="G6867" s="174" t="s">
        <v>74</v>
      </c>
      <c r="H6867" s="174"/>
      <c r="J6867" s="149" t="s">
        <v>185</v>
      </c>
      <c r="K6867" s="218">
        <v>5000</v>
      </c>
      <c r="L6867" s="218"/>
    </row>
    <row r="6868" spans="1:12" x14ac:dyDescent="0.2">
      <c r="A6868" s="163">
        <v>2022</v>
      </c>
      <c r="B6868" s="163">
        <v>7</v>
      </c>
      <c r="C6868" s="163">
        <v>3</v>
      </c>
      <c r="D6868" s="141">
        <f t="shared" si="476"/>
        <v>44745</v>
      </c>
      <c r="E6868" s="275">
        <f t="shared" si="477"/>
        <v>44745</v>
      </c>
      <c r="F6868" s="480"/>
      <c r="G6868" s="221" t="s">
        <v>74</v>
      </c>
      <c r="H6868" s="221" t="str" cm="1">
        <f t="array" ref="H6868">IFERROR(INDEX(INVESTOR_LIST[INVESTOR NAME],MATCH(I6868,INVESTOR_LIST[INVESTOR CODE],0),)," ")</f>
        <v xml:space="preserve"> </v>
      </c>
      <c r="I6868" s="145" t="s">
        <v>348</v>
      </c>
      <c r="J6868" s="146" t="s">
        <v>52</v>
      </c>
      <c r="K6868" s="219"/>
      <c r="L6868" s="219">
        <v>3192615</v>
      </c>
    </row>
    <row r="6869" spans="1:12" x14ac:dyDescent="0.2">
      <c r="A6869" s="168">
        <v>2022</v>
      </c>
      <c r="B6869" s="168">
        <v>7</v>
      </c>
      <c r="C6869" s="168">
        <v>4</v>
      </c>
      <c r="D6869" s="141">
        <f>DATE(A6869,B6869,C6869)</f>
        <v>44746</v>
      </c>
      <c r="E6869" s="275">
        <f>DATE(A6869,B6869,C6869)</f>
        <v>44746</v>
      </c>
      <c r="F6869" s="479" t="s">
        <v>1361</v>
      </c>
      <c r="G6869" s="220" t="s">
        <v>74</v>
      </c>
      <c r="H6869" s="220" t="str" cm="1">
        <f t="array" ref="H6869">IFERROR(INDEX(INVESTOR_LIST[INVESTOR NAME],MATCH(I6869,INVESTOR_LIST[INVESTOR CODE],0),)," ")</f>
        <v xml:space="preserve"> </v>
      </c>
      <c r="I6869" s="142" t="s">
        <v>348</v>
      </c>
      <c r="J6869" s="143" t="s">
        <v>52</v>
      </c>
      <c r="K6869" s="226">
        <v>55028.39</v>
      </c>
      <c r="L6869" s="226"/>
    </row>
    <row r="6870" spans="1:12" x14ac:dyDescent="0.2">
      <c r="A6870" s="163">
        <v>2022</v>
      </c>
      <c r="B6870" s="163">
        <v>7</v>
      </c>
      <c r="C6870" s="163">
        <v>4</v>
      </c>
      <c r="D6870" s="141">
        <f>DATE(A6870,B6870,C6870)</f>
        <v>44746</v>
      </c>
      <c r="E6870" s="275">
        <f>DATE(A6870,B6870,C6870)</f>
        <v>44746</v>
      </c>
      <c r="F6870" s="480"/>
      <c r="G6870" s="221" t="s">
        <v>74</v>
      </c>
      <c r="H6870" s="221" t="str" cm="1">
        <f t="array" ref="H6870">IFERROR(INDEX(INVESTOR_LIST[INVESTOR NAME],MATCH(I6870,INVESTOR_LIST[INVESTOR CODE],0),)," ")</f>
        <v xml:space="preserve"> </v>
      </c>
      <c r="I6870" s="145" t="s">
        <v>348</v>
      </c>
      <c r="J6870" s="146" t="s">
        <v>190</v>
      </c>
      <c r="K6870" s="219"/>
      <c r="L6870" s="219">
        <v>55028.39</v>
      </c>
    </row>
    <row r="6871" spans="1:12" x14ac:dyDescent="0.2">
      <c r="A6871" s="133">
        <v>2022</v>
      </c>
      <c r="B6871" s="133">
        <v>7</v>
      </c>
      <c r="C6871" s="133">
        <v>5</v>
      </c>
      <c r="D6871" s="141">
        <f t="shared" si="462"/>
        <v>44747</v>
      </c>
      <c r="E6871" s="275">
        <f t="shared" si="463"/>
        <v>44747</v>
      </c>
      <c r="F6871" s="481" t="s">
        <v>1033</v>
      </c>
      <c r="G6871" s="174" t="s">
        <v>94</v>
      </c>
      <c r="H6871" s="174"/>
      <c r="J6871" s="149" t="s">
        <v>80</v>
      </c>
      <c r="K6871" s="218">
        <v>1926.98</v>
      </c>
      <c r="L6871" s="218"/>
    </row>
    <row r="6872" spans="1:12" x14ac:dyDescent="0.2">
      <c r="A6872" s="133">
        <v>2022</v>
      </c>
      <c r="B6872" s="133">
        <v>7</v>
      </c>
      <c r="C6872" s="133">
        <v>5</v>
      </c>
      <c r="D6872" s="141">
        <f t="shared" si="462"/>
        <v>44747</v>
      </c>
      <c r="E6872" s="275">
        <f t="shared" si="463"/>
        <v>44747</v>
      </c>
      <c r="F6872" s="481"/>
      <c r="G6872" s="174" t="s">
        <v>94</v>
      </c>
      <c r="H6872" s="174"/>
      <c r="J6872" s="149" t="s">
        <v>190</v>
      </c>
      <c r="K6872" s="218">
        <v>1068618.02</v>
      </c>
      <c r="L6872" s="218"/>
    </row>
    <row r="6873" spans="1:12" x14ac:dyDescent="0.2">
      <c r="A6873" s="133">
        <v>2022</v>
      </c>
      <c r="B6873" s="133">
        <v>7</v>
      </c>
      <c r="C6873" s="133">
        <v>5</v>
      </c>
      <c r="D6873" s="141">
        <f t="shared" si="462"/>
        <v>44747</v>
      </c>
      <c r="E6873" s="275">
        <f t="shared" si="463"/>
        <v>44747</v>
      </c>
      <c r="F6873" s="481"/>
      <c r="G6873" s="174" t="s">
        <v>94</v>
      </c>
      <c r="H6873" s="174" t="str" cm="1">
        <f t="array" ref="H6873">IFERROR(INDEX(INVESTOR_LIST[INVESTOR NAME],MATCH(I6873,INVESTOR_LIST[INVESTOR CODE],0),)," ")</f>
        <v xml:space="preserve"> </v>
      </c>
      <c r="I6873" s="148" t="s">
        <v>348</v>
      </c>
      <c r="J6873" s="149" t="s">
        <v>191</v>
      </c>
      <c r="K6873" s="218"/>
      <c r="L6873" s="218">
        <v>815045</v>
      </c>
    </row>
    <row r="6874" spans="1:12" x14ac:dyDescent="0.2">
      <c r="A6874" s="163">
        <v>2022</v>
      </c>
      <c r="B6874" s="163">
        <v>7</v>
      </c>
      <c r="C6874" s="163">
        <v>5</v>
      </c>
      <c r="D6874" s="280">
        <f t="shared" si="462"/>
        <v>44747</v>
      </c>
      <c r="E6874" s="281">
        <f t="shared" si="463"/>
        <v>44747</v>
      </c>
      <c r="F6874" s="480"/>
      <c r="G6874" s="221" t="s">
        <v>94</v>
      </c>
      <c r="H6874" s="145" t="str" cm="1">
        <f t="array" ref="H6874">IFERROR(INDEX(INVESTOR_LIST[INVESTOR NAME],MATCH(I6874,INVESTOR_LIST[INVESTOR CODE],0),)," ")</f>
        <v xml:space="preserve"> </v>
      </c>
      <c r="I6874" s="145"/>
      <c r="J6874" s="163" t="s">
        <v>79</v>
      </c>
      <c r="K6874" s="219"/>
      <c r="L6874" s="219">
        <v>255500</v>
      </c>
    </row>
    <row r="6875" spans="1:12" ht="33.75" x14ac:dyDescent="0.2">
      <c r="A6875" s="168">
        <v>2022</v>
      </c>
      <c r="B6875" s="168">
        <v>7</v>
      </c>
      <c r="C6875" s="133">
        <v>5</v>
      </c>
      <c r="D6875" s="141">
        <f>DATE(A6875,B6875,C6875)</f>
        <v>44747</v>
      </c>
      <c r="E6875" s="275">
        <f>DATE(A6875,B6875,C6875)</f>
        <v>44747</v>
      </c>
      <c r="F6875" s="479" t="s">
        <v>1315</v>
      </c>
      <c r="G6875" s="220" t="s">
        <v>74</v>
      </c>
      <c r="H6875" s="142" t="str" cm="1">
        <f t="array" ref="H6875">IFERROR(INDEX(INVESTOR_LIST[INVESTOR NAME],MATCH(I6875,INVESTOR_LIST[INVESTOR CODE],0),)," ")</f>
        <v>MAMUNUR RASHID</v>
      </c>
      <c r="I6875" s="142" t="s">
        <v>389</v>
      </c>
      <c r="J6875" s="168" t="s">
        <v>13</v>
      </c>
      <c r="K6875" s="226">
        <v>10000</v>
      </c>
      <c r="L6875" s="226"/>
    </row>
    <row r="6876" spans="1:12" ht="33.75" x14ac:dyDescent="0.2">
      <c r="A6876" s="133">
        <v>2022</v>
      </c>
      <c r="B6876" s="133">
        <v>7</v>
      </c>
      <c r="C6876" s="133">
        <v>5</v>
      </c>
      <c r="D6876" s="141">
        <f>DATE(A6876,B6876,C6876)</f>
        <v>44747</v>
      </c>
      <c r="E6876" s="275">
        <f>DATE(A6876,B6876,C6876)</f>
        <v>44747</v>
      </c>
      <c r="F6876" s="481"/>
      <c r="G6876" s="174" t="s">
        <v>74</v>
      </c>
      <c r="H6876" s="148" t="str" cm="1">
        <f t="array" ref="H6876">IFERROR(INDEX(INVESTOR_LIST[INVESTOR NAME],MATCH(I6876,INVESTOR_LIST[INVESTOR CODE],0),)," ")</f>
        <v>MAMUNUR RASHID</v>
      </c>
      <c r="I6876" s="148" t="s">
        <v>389</v>
      </c>
      <c r="J6876" s="133" t="s">
        <v>53</v>
      </c>
      <c r="K6876" s="218">
        <v>2220</v>
      </c>
      <c r="L6876" s="218"/>
    </row>
    <row r="6877" spans="1:12" ht="33.75" x14ac:dyDescent="0.2">
      <c r="A6877" s="163">
        <v>2022</v>
      </c>
      <c r="B6877" s="163">
        <v>7</v>
      </c>
      <c r="C6877" s="163">
        <v>5</v>
      </c>
      <c r="D6877" s="280">
        <f>DATE(A6877,B6877,C6877)</f>
        <v>44747</v>
      </c>
      <c r="E6877" s="281">
        <f>DATE(A6877,B6877,C6877)</f>
        <v>44747</v>
      </c>
      <c r="F6877" s="480"/>
      <c r="G6877" s="221" t="s">
        <v>74</v>
      </c>
      <c r="H6877" s="145" t="str" cm="1">
        <f t="array" ref="H6877">IFERROR(INDEX(INVESTOR_LIST[INVESTOR NAME],MATCH(I6877,INVESTOR_LIST[INVESTOR CODE],0),)," ")</f>
        <v>MAMUNUR RASHID</v>
      </c>
      <c r="I6877" s="145" t="s">
        <v>389</v>
      </c>
      <c r="J6877" s="163" t="s">
        <v>52</v>
      </c>
      <c r="K6877" s="219"/>
      <c r="L6877" s="219">
        <v>12220</v>
      </c>
    </row>
    <row r="6878" spans="1:12" x14ac:dyDescent="0.2">
      <c r="A6878" s="168">
        <v>2022</v>
      </c>
      <c r="B6878" s="168">
        <v>7</v>
      </c>
      <c r="C6878" s="133">
        <v>5</v>
      </c>
      <c r="D6878" s="141">
        <f t="shared" ref="D6878:D6880" si="480">DATE(A6878,B6878,C6878)</f>
        <v>44747</v>
      </c>
      <c r="E6878" s="275">
        <f t="shared" ref="E6878:E6880" si="481">DATE(A6878,B6878,C6878)</f>
        <v>44747</v>
      </c>
      <c r="F6878" s="479" t="s">
        <v>1319</v>
      </c>
      <c r="G6878" s="220" t="s">
        <v>74</v>
      </c>
      <c r="H6878" s="142" t="str" cm="1">
        <f t="array" ref="H6878">IFERROR(INDEX(INVESTOR_LIST[INVESTOR NAME],MATCH(I6878,INVESTOR_LIST[INVESTOR CODE],0),)," ")</f>
        <v xml:space="preserve"> </v>
      </c>
      <c r="I6878" s="142"/>
      <c r="J6878" s="168" t="s">
        <v>52</v>
      </c>
      <c r="K6878" s="226">
        <v>369000</v>
      </c>
      <c r="L6878" s="226"/>
    </row>
    <row r="6879" spans="1:12" x14ac:dyDescent="0.2">
      <c r="A6879" s="133">
        <v>2022</v>
      </c>
      <c r="B6879" s="133">
        <v>7</v>
      </c>
      <c r="C6879" s="133">
        <v>5</v>
      </c>
      <c r="D6879" s="141">
        <f t="shared" si="480"/>
        <v>44747</v>
      </c>
      <c r="E6879" s="275">
        <f t="shared" si="481"/>
        <v>44747</v>
      </c>
      <c r="F6879" s="481"/>
      <c r="G6879" s="174" t="s">
        <v>74</v>
      </c>
      <c r="H6879" s="148" t="str" cm="1">
        <f t="array" ref="H6879">IFERROR(INDEX(INVESTOR_LIST[INVESTOR NAME],MATCH(I6879,INVESTOR_LIST[INVESTOR CODE],0),)," ")</f>
        <v xml:space="preserve"> </v>
      </c>
      <c r="J6879" s="133" t="s">
        <v>13</v>
      </c>
      <c r="K6879" s="218"/>
      <c r="L6879" s="218">
        <v>305770</v>
      </c>
    </row>
    <row r="6880" spans="1:12" x14ac:dyDescent="0.2">
      <c r="A6880" s="163">
        <v>2022</v>
      </c>
      <c r="B6880" s="163">
        <v>7</v>
      </c>
      <c r="C6880" s="163">
        <v>5</v>
      </c>
      <c r="D6880" s="141">
        <f t="shared" si="480"/>
        <v>44747</v>
      </c>
      <c r="E6880" s="275">
        <f t="shared" si="481"/>
        <v>44747</v>
      </c>
      <c r="F6880" s="480"/>
      <c r="G6880" s="221" t="s">
        <v>74</v>
      </c>
      <c r="H6880" s="145" t="str" cm="1">
        <f t="array" ref="H6880">IFERROR(INDEX(INVESTOR_LIST[INVESTOR NAME],MATCH(I6880,INVESTOR_LIST[INVESTOR CODE],0),)," ")</f>
        <v xml:space="preserve"> </v>
      </c>
      <c r="I6880" s="145"/>
      <c r="J6880" s="163" t="s">
        <v>53</v>
      </c>
      <c r="K6880" s="219"/>
      <c r="L6880" s="219">
        <f>63230</f>
        <v>63230</v>
      </c>
    </row>
    <row r="6881" spans="1:13" x14ac:dyDescent="0.2">
      <c r="A6881" s="133">
        <v>2022</v>
      </c>
      <c r="B6881" s="133">
        <v>7</v>
      </c>
      <c r="C6881" s="133">
        <v>7</v>
      </c>
      <c r="D6881" s="141">
        <f t="shared" si="462"/>
        <v>44749</v>
      </c>
      <c r="E6881" s="275">
        <f t="shared" si="463"/>
        <v>44749</v>
      </c>
      <c r="F6881" s="481" t="s">
        <v>1379</v>
      </c>
      <c r="G6881" s="174" t="s">
        <v>94</v>
      </c>
      <c r="H6881" s="174" t="str" cm="1">
        <f t="array" ref="H6881">IFERROR(INDEX(INVESTOR_LIST[INVESTOR NAME],MATCH(I6881,INVESTOR_LIST[INVESTOR CODE],0),)," ")</f>
        <v xml:space="preserve"> </v>
      </c>
      <c r="J6881" s="149" t="s">
        <v>79</v>
      </c>
      <c r="K6881" s="218">
        <v>1879447.1</v>
      </c>
      <c r="L6881" s="218"/>
      <c r="M6881" s="160">
        <v>6991</v>
      </c>
    </row>
    <row r="6882" spans="1:13" x14ac:dyDescent="0.2">
      <c r="A6882" s="133">
        <v>2022</v>
      </c>
      <c r="B6882" s="133">
        <v>7</v>
      </c>
      <c r="C6882" s="133">
        <v>7</v>
      </c>
      <c r="D6882" s="141">
        <f t="shared" si="462"/>
        <v>44749</v>
      </c>
      <c r="E6882" s="275">
        <f t="shared" si="463"/>
        <v>44749</v>
      </c>
      <c r="F6882" s="481"/>
      <c r="G6882" s="174" t="s">
        <v>94</v>
      </c>
      <c r="H6882" s="174"/>
      <c r="J6882" s="149" t="s">
        <v>80</v>
      </c>
      <c r="K6882" s="218">
        <v>6503.26</v>
      </c>
      <c r="L6882" s="218"/>
    </row>
    <row r="6883" spans="1:13" x14ac:dyDescent="0.2">
      <c r="A6883" s="133">
        <v>2022</v>
      </c>
      <c r="B6883" s="133">
        <v>7</v>
      </c>
      <c r="C6883" s="133">
        <v>7</v>
      </c>
      <c r="D6883" s="141">
        <f t="shared" si="462"/>
        <v>44749</v>
      </c>
      <c r="E6883" s="275">
        <f t="shared" si="463"/>
        <v>44749</v>
      </c>
      <c r="F6883" s="481"/>
      <c r="G6883" s="174" t="s">
        <v>94</v>
      </c>
      <c r="H6883" s="174"/>
      <c r="J6883" s="149" t="s">
        <v>147</v>
      </c>
      <c r="K6883" s="218"/>
      <c r="L6883" s="218">
        <v>152477.26</v>
      </c>
    </row>
    <row r="6884" spans="1:13" x14ac:dyDescent="0.2">
      <c r="A6884" s="133">
        <v>2022</v>
      </c>
      <c r="B6884" s="133">
        <v>7</v>
      </c>
      <c r="C6884" s="133">
        <v>7</v>
      </c>
      <c r="D6884" s="141">
        <f t="shared" si="462"/>
        <v>44749</v>
      </c>
      <c r="E6884" s="275">
        <f t="shared" si="463"/>
        <v>44749</v>
      </c>
      <c r="F6884" s="481"/>
      <c r="G6884" s="174" t="s">
        <v>94</v>
      </c>
      <c r="H6884" s="174" t="str" cm="1">
        <f t="array" ref="H6884">IFERROR(INDEX(INVESTOR_LIST[INVESTOR NAME],MATCH(I6884,INVESTOR_LIST[INVESTOR CODE],0),)," ")</f>
        <v xml:space="preserve"> </v>
      </c>
      <c r="J6884" s="149" t="s">
        <v>191</v>
      </c>
      <c r="K6884" s="218">
        <v>4314.92</v>
      </c>
      <c r="L6884" s="218"/>
    </row>
    <row r="6885" spans="1:13" x14ac:dyDescent="0.2">
      <c r="A6885" s="163">
        <v>2022</v>
      </c>
      <c r="B6885" s="163">
        <v>7</v>
      </c>
      <c r="C6885" s="163">
        <v>7</v>
      </c>
      <c r="D6885" s="280">
        <f t="shared" si="462"/>
        <v>44749</v>
      </c>
      <c r="E6885" s="281">
        <f t="shared" si="463"/>
        <v>44749</v>
      </c>
      <c r="F6885" s="480"/>
      <c r="G6885" s="221" t="s">
        <v>94</v>
      </c>
      <c r="H6885" s="145" t="str" cm="1">
        <f t="array" ref="H6885">IFERROR(INDEX(INVESTOR_LIST[INVESTOR NAME],MATCH(I6885,INVESTOR_LIST[INVESTOR CODE],0),)," ")</f>
        <v xml:space="preserve"> </v>
      </c>
      <c r="I6885" s="145"/>
      <c r="J6885" s="163" t="s">
        <v>79</v>
      </c>
      <c r="K6885" s="219"/>
      <c r="L6885" s="219">
        <v>1737788.02</v>
      </c>
    </row>
    <row r="6886" spans="1:13" ht="33.75" x14ac:dyDescent="0.2">
      <c r="A6886" s="168">
        <v>2022</v>
      </c>
      <c r="B6886" s="168">
        <v>7</v>
      </c>
      <c r="C6886" s="133">
        <v>7</v>
      </c>
      <c r="D6886" s="141">
        <f t="shared" ref="D6886:D6893" si="482">DATE(A6886,B6886,C6886)</f>
        <v>44749</v>
      </c>
      <c r="E6886" s="275">
        <f t="shared" ref="E6886:E6893" si="483">DATE(A6886,B6886,C6886)</f>
        <v>44749</v>
      </c>
      <c r="F6886" s="479" t="s">
        <v>1315</v>
      </c>
      <c r="G6886" s="220" t="s">
        <v>74</v>
      </c>
      <c r="H6886" s="142" t="str" cm="1">
        <f t="array" ref="H6886">IFERROR(INDEX(INVESTOR_LIST[INVESTOR NAME],MATCH(I6886,INVESTOR_LIST[INVESTOR CODE],0),)," ")</f>
        <v>AHMED BIN MONSUR</v>
      </c>
      <c r="I6886" s="142" t="s">
        <v>992</v>
      </c>
      <c r="J6886" s="168" t="s">
        <v>13</v>
      </c>
      <c r="K6886" s="226">
        <v>832640</v>
      </c>
      <c r="L6886" s="226"/>
    </row>
    <row r="6887" spans="1:13" ht="33.75" x14ac:dyDescent="0.2">
      <c r="A6887" s="133">
        <v>2022</v>
      </c>
      <c r="B6887" s="133">
        <v>7</v>
      </c>
      <c r="C6887" s="133">
        <v>7</v>
      </c>
      <c r="D6887" s="141">
        <f t="shared" si="482"/>
        <v>44749</v>
      </c>
      <c r="E6887" s="275">
        <f t="shared" si="483"/>
        <v>44749</v>
      </c>
      <c r="F6887" s="481"/>
      <c r="G6887" s="174" t="s">
        <v>74</v>
      </c>
      <c r="H6887" s="148" t="str" cm="1">
        <f t="array" ref="H6887">IFERROR(INDEX(INVESTOR_LIST[INVESTOR NAME],MATCH(I6887,INVESTOR_LIST[INVESTOR CODE],0),)," ")</f>
        <v>AHMED BIN MONSUR</v>
      </c>
      <c r="I6887" s="148" t="s">
        <v>992</v>
      </c>
      <c r="J6887" s="133" t="s">
        <v>53</v>
      </c>
      <c r="K6887" s="218">
        <v>184846.07999999999</v>
      </c>
      <c r="L6887" s="218"/>
    </row>
    <row r="6888" spans="1:13" ht="33.75" x14ac:dyDescent="0.2">
      <c r="A6888" s="163">
        <v>2022</v>
      </c>
      <c r="B6888" s="163">
        <v>7</v>
      </c>
      <c r="C6888" s="163">
        <v>7</v>
      </c>
      <c r="D6888" s="280">
        <f t="shared" si="482"/>
        <v>44749</v>
      </c>
      <c r="E6888" s="281">
        <f t="shared" si="483"/>
        <v>44749</v>
      </c>
      <c r="F6888" s="480"/>
      <c r="G6888" s="221" t="s">
        <v>74</v>
      </c>
      <c r="H6888" s="145" t="str" cm="1">
        <f t="array" ref="H6888">IFERROR(INDEX(INVESTOR_LIST[INVESTOR NAME],MATCH(I6888,INVESTOR_LIST[INVESTOR CODE],0),)," ")</f>
        <v>AHMED BIN MONSUR</v>
      </c>
      <c r="I6888" s="145" t="s">
        <v>992</v>
      </c>
      <c r="J6888" s="163" t="s">
        <v>52</v>
      </c>
      <c r="K6888" s="219"/>
      <c r="L6888" s="219">
        <v>1017486.08</v>
      </c>
    </row>
    <row r="6889" spans="1:13" ht="45" x14ac:dyDescent="0.2">
      <c r="A6889" s="168">
        <v>2022</v>
      </c>
      <c r="B6889" s="168">
        <v>7</v>
      </c>
      <c r="C6889" s="133">
        <v>7</v>
      </c>
      <c r="D6889" s="141">
        <f t="shared" si="482"/>
        <v>44749</v>
      </c>
      <c r="E6889" s="275">
        <f t="shared" si="483"/>
        <v>44749</v>
      </c>
      <c r="F6889" s="479" t="s">
        <v>1315</v>
      </c>
      <c r="G6889" s="220" t="s">
        <v>74</v>
      </c>
      <c r="H6889" s="142" t="str" cm="1">
        <f t="array" ref="H6889">IFERROR(INDEX(INVESTOR_LIST[INVESTOR NAME],MATCH(I6889,INVESTOR_LIST[INVESTOR CODE],0),)," ")</f>
        <v>MUHAMMAD TANVIR ARAFAT</v>
      </c>
      <c r="I6889" s="142" t="s">
        <v>642</v>
      </c>
      <c r="J6889" s="168" t="s">
        <v>13</v>
      </c>
      <c r="K6889" s="226">
        <v>69910</v>
      </c>
      <c r="L6889" s="226"/>
    </row>
    <row r="6890" spans="1:13" ht="45" x14ac:dyDescent="0.2">
      <c r="A6890" s="133">
        <v>2022</v>
      </c>
      <c r="B6890" s="133">
        <v>7</v>
      </c>
      <c r="C6890" s="133">
        <v>7</v>
      </c>
      <c r="D6890" s="141">
        <f t="shared" si="482"/>
        <v>44749</v>
      </c>
      <c r="E6890" s="275">
        <f t="shared" si="483"/>
        <v>44749</v>
      </c>
      <c r="F6890" s="481"/>
      <c r="G6890" s="174" t="s">
        <v>74</v>
      </c>
      <c r="H6890" s="148" t="str" cm="1">
        <f t="array" ref="H6890">IFERROR(INDEX(INVESTOR_LIST[INVESTOR NAME],MATCH(I6890,INVESTOR_LIST[INVESTOR CODE],0),)," ")</f>
        <v>MUHAMMAD TANVIR ARAFAT</v>
      </c>
      <c r="I6890" s="148" t="s">
        <v>642</v>
      </c>
      <c r="J6890" s="133" t="s">
        <v>53</v>
      </c>
      <c r="K6890" s="218">
        <v>15520.02</v>
      </c>
      <c r="L6890" s="218"/>
    </row>
    <row r="6891" spans="1:13" ht="45" x14ac:dyDescent="0.2">
      <c r="A6891" s="163">
        <v>2022</v>
      </c>
      <c r="B6891" s="163">
        <v>7</v>
      </c>
      <c r="C6891" s="163">
        <v>7</v>
      </c>
      <c r="D6891" s="280">
        <f t="shared" si="482"/>
        <v>44749</v>
      </c>
      <c r="E6891" s="281">
        <f t="shared" si="483"/>
        <v>44749</v>
      </c>
      <c r="F6891" s="480"/>
      <c r="G6891" s="221" t="s">
        <v>74</v>
      </c>
      <c r="H6891" s="145" t="str" cm="1">
        <f t="array" ref="H6891">IFERROR(INDEX(INVESTOR_LIST[INVESTOR NAME],MATCH(I6891,INVESTOR_LIST[INVESTOR CODE],0),)," ")</f>
        <v>MUHAMMAD TANVIR ARAFAT</v>
      </c>
      <c r="I6891" s="145" t="s">
        <v>642</v>
      </c>
      <c r="J6891" s="163" t="s">
        <v>52</v>
      </c>
      <c r="K6891" s="219"/>
      <c r="L6891" s="219">
        <v>85430.02</v>
      </c>
    </row>
    <row r="6892" spans="1:13" x14ac:dyDescent="0.2">
      <c r="A6892" s="168">
        <v>2022</v>
      </c>
      <c r="B6892" s="168">
        <v>7</v>
      </c>
      <c r="C6892" s="168">
        <v>7</v>
      </c>
      <c r="D6892" s="141">
        <f t="shared" si="482"/>
        <v>44749</v>
      </c>
      <c r="E6892" s="275">
        <f t="shared" si="483"/>
        <v>44749</v>
      </c>
      <c r="F6892" s="479" t="s">
        <v>1361</v>
      </c>
      <c r="G6892" s="220" t="s">
        <v>74</v>
      </c>
      <c r="H6892" s="220" t="str" cm="1">
        <f t="array" ref="H6892">IFERROR(INDEX(INVESTOR_LIST[INVESTOR NAME],MATCH(I6892,INVESTOR_LIST[INVESTOR CODE],0),)," ")</f>
        <v xml:space="preserve"> </v>
      </c>
      <c r="I6892" s="142" t="s">
        <v>348</v>
      </c>
      <c r="J6892" s="143" t="s">
        <v>52</v>
      </c>
      <c r="K6892" s="226">
        <v>1068618.02</v>
      </c>
      <c r="L6892" s="226"/>
    </row>
    <row r="6893" spans="1:13" x14ac:dyDescent="0.2">
      <c r="A6893" s="163">
        <v>2022</v>
      </c>
      <c r="B6893" s="163">
        <v>7</v>
      </c>
      <c r="C6893" s="163">
        <v>7</v>
      </c>
      <c r="D6893" s="141">
        <f t="shared" si="482"/>
        <v>44749</v>
      </c>
      <c r="E6893" s="275">
        <f t="shared" si="483"/>
        <v>44749</v>
      </c>
      <c r="F6893" s="480"/>
      <c r="G6893" s="221" t="s">
        <v>74</v>
      </c>
      <c r="H6893" s="221" t="str" cm="1">
        <f t="array" ref="H6893">IFERROR(INDEX(INVESTOR_LIST[INVESTOR NAME],MATCH(I6893,INVESTOR_LIST[INVESTOR CODE],0),)," ")</f>
        <v xml:space="preserve"> </v>
      </c>
      <c r="I6893" s="145" t="s">
        <v>348</v>
      </c>
      <c r="J6893" s="146" t="s">
        <v>190</v>
      </c>
      <c r="K6893" s="219"/>
      <c r="L6893" s="219">
        <v>1068618.02</v>
      </c>
    </row>
    <row r="6894" spans="1:13" x14ac:dyDescent="0.2">
      <c r="A6894" s="238">
        <v>2022</v>
      </c>
      <c r="B6894" s="238">
        <v>7</v>
      </c>
      <c r="C6894" s="238">
        <v>7</v>
      </c>
      <c r="D6894" s="270">
        <f t="shared" ref="D6894:D6901" si="484">DATE(A6894,B6894,C6894)</f>
        <v>44749</v>
      </c>
      <c r="E6894" s="279">
        <f t="shared" ref="E6894:E6901" si="485">DATE(A6894,B6894,C6894)</f>
        <v>44749</v>
      </c>
      <c r="F6894" s="477" t="s">
        <v>347</v>
      </c>
      <c r="G6894" s="239" t="s">
        <v>94</v>
      </c>
      <c r="H6894" s="239" t="str" cm="1">
        <f t="array" ref="H6894">IFERROR(INDEX(INVESTOR_LIST[INVESTOR NAME],MATCH(I6894,INVESTOR_LIST[INVESTOR CODE],0),)," ")</f>
        <v xml:space="preserve"> </v>
      </c>
      <c r="I6894" s="262" t="s">
        <v>348</v>
      </c>
      <c r="J6894" s="240" t="s">
        <v>82</v>
      </c>
      <c r="K6894" s="241">
        <v>2940361.8600000143</v>
      </c>
      <c r="L6894" s="241"/>
    </row>
    <row r="6895" spans="1:13" x14ac:dyDescent="0.2">
      <c r="A6895" s="242">
        <v>2022</v>
      </c>
      <c r="B6895" s="242">
        <v>7</v>
      </c>
      <c r="C6895" s="242">
        <v>7</v>
      </c>
      <c r="D6895" s="270">
        <f t="shared" si="484"/>
        <v>44749</v>
      </c>
      <c r="E6895" s="279">
        <f t="shared" si="485"/>
        <v>44749</v>
      </c>
      <c r="F6895" s="478"/>
      <c r="G6895" s="243" t="s">
        <v>94</v>
      </c>
      <c r="H6895" s="243" t="str" cm="1">
        <f t="array" ref="H6895">IFERROR(INDEX(INVESTOR_LIST[INVESTOR NAME],MATCH(I6895,INVESTOR_LIST[INVESTOR CODE],0),)," ")</f>
        <v xml:space="preserve"> </v>
      </c>
      <c r="I6895" s="263" t="s">
        <v>348</v>
      </c>
      <c r="J6895" s="244" t="s">
        <v>108</v>
      </c>
      <c r="K6895" s="245"/>
      <c r="L6895" s="245">
        <v>2940361.8600000143</v>
      </c>
    </row>
    <row r="6896" spans="1:13" ht="22.5" x14ac:dyDescent="0.2">
      <c r="A6896" s="246">
        <v>2022</v>
      </c>
      <c r="B6896" s="246">
        <v>7</v>
      </c>
      <c r="C6896" s="246">
        <v>7</v>
      </c>
      <c r="D6896" s="270">
        <f t="shared" si="484"/>
        <v>44749</v>
      </c>
      <c r="E6896" s="279">
        <f t="shared" si="485"/>
        <v>44749</v>
      </c>
      <c r="F6896" s="482" t="s">
        <v>148</v>
      </c>
      <c r="G6896" s="247" t="s">
        <v>94</v>
      </c>
      <c r="H6896" s="247" t="str" cm="1">
        <f t="array" ref="H6896">IFERROR(INDEX(INVESTOR_LIST[INVESTOR NAME],MATCH(I6896,INVESTOR_LIST[INVESTOR CODE],0),)," ")</f>
        <v xml:space="preserve"> </v>
      </c>
      <c r="I6896" s="248" t="s">
        <v>348</v>
      </c>
      <c r="J6896" s="249" t="s">
        <v>95</v>
      </c>
      <c r="K6896" s="250">
        <v>2747.2527472527472</v>
      </c>
      <c r="L6896" s="241"/>
    </row>
    <row r="6897" spans="1:12" x14ac:dyDescent="0.2">
      <c r="A6897" s="242">
        <v>2022</v>
      </c>
      <c r="B6897" s="242">
        <v>7</v>
      </c>
      <c r="C6897" s="242">
        <v>7</v>
      </c>
      <c r="D6897" s="270">
        <f t="shared" si="484"/>
        <v>44749</v>
      </c>
      <c r="E6897" s="279">
        <f t="shared" si="485"/>
        <v>44749</v>
      </c>
      <c r="F6897" s="478"/>
      <c r="G6897" s="243" t="s">
        <v>94</v>
      </c>
      <c r="H6897" s="243" t="str" cm="1">
        <f t="array" ref="H6897">IFERROR(INDEX(INVESTOR_LIST[INVESTOR NAME],MATCH(I6897,INVESTOR_LIST[INVESTOR CODE],0),)," ")</f>
        <v xml:space="preserve"> </v>
      </c>
      <c r="I6897" s="263" t="s">
        <v>348</v>
      </c>
      <c r="J6897" s="244" t="s">
        <v>63</v>
      </c>
      <c r="K6897" s="245"/>
      <c r="L6897" s="245">
        <v>2747.2527472527472</v>
      </c>
    </row>
    <row r="6898" spans="1:12" x14ac:dyDescent="0.2">
      <c r="A6898" s="246">
        <v>2022</v>
      </c>
      <c r="B6898" s="246">
        <v>7</v>
      </c>
      <c r="C6898" s="246">
        <v>7</v>
      </c>
      <c r="D6898" s="270">
        <f t="shared" si="484"/>
        <v>44749</v>
      </c>
      <c r="E6898" s="279">
        <f t="shared" si="485"/>
        <v>44749</v>
      </c>
      <c r="F6898" s="482" t="s">
        <v>137</v>
      </c>
      <c r="G6898" s="247" t="s">
        <v>94</v>
      </c>
      <c r="H6898" s="247" t="str" cm="1">
        <f t="array" ref="H6898">IFERROR(INDEX(INVESTOR_LIST[INVESTOR NAME],MATCH(I6898,INVESTOR_LIST[INVESTOR CODE],0),)," ")</f>
        <v xml:space="preserve"> </v>
      </c>
      <c r="I6898" s="248" t="s">
        <v>348</v>
      </c>
      <c r="J6898" s="249" t="s">
        <v>97</v>
      </c>
      <c r="K6898" s="250">
        <v>78450.583462760696</v>
      </c>
      <c r="L6898" s="252"/>
    </row>
    <row r="6899" spans="1:12" x14ac:dyDescent="0.2">
      <c r="A6899" s="242">
        <v>2022</v>
      </c>
      <c r="B6899" s="242">
        <v>7</v>
      </c>
      <c r="C6899" s="242">
        <v>7</v>
      </c>
      <c r="D6899" s="270">
        <f t="shared" si="484"/>
        <v>44749</v>
      </c>
      <c r="E6899" s="279">
        <f t="shared" si="485"/>
        <v>44749</v>
      </c>
      <c r="F6899" s="478"/>
      <c r="G6899" s="243" t="s">
        <v>94</v>
      </c>
      <c r="H6899" s="243" t="str" cm="1">
        <f t="array" ref="H6899">IFERROR(INDEX(INVESTOR_LIST[INVESTOR NAME],MATCH(I6899,INVESTOR_LIST[INVESTOR CODE],0),)," ")</f>
        <v xml:space="preserve"> </v>
      </c>
      <c r="I6899" s="263" t="s">
        <v>348</v>
      </c>
      <c r="J6899" s="244" t="s">
        <v>47</v>
      </c>
      <c r="K6899" s="245"/>
      <c r="L6899" s="245">
        <v>78450.583462760696</v>
      </c>
    </row>
    <row r="6900" spans="1:12" x14ac:dyDescent="0.2">
      <c r="A6900" s="246">
        <v>2022</v>
      </c>
      <c r="B6900" s="246">
        <v>7</v>
      </c>
      <c r="C6900" s="246">
        <v>7</v>
      </c>
      <c r="D6900" s="270">
        <f t="shared" si="484"/>
        <v>44749</v>
      </c>
      <c r="E6900" s="279">
        <f t="shared" si="485"/>
        <v>44749</v>
      </c>
      <c r="F6900" s="482" t="s">
        <v>138</v>
      </c>
      <c r="G6900" s="247" t="s">
        <v>94</v>
      </c>
      <c r="H6900" s="247" t="str" cm="1">
        <f t="array" ref="H6900">IFERROR(INDEX(INVESTOR_LIST[INVESTOR NAME],MATCH(I6900,INVESTOR_LIST[INVESTOR CODE],0),)," ")</f>
        <v xml:space="preserve"> </v>
      </c>
      <c r="I6900" s="248" t="s">
        <v>348</v>
      </c>
      <c r="J6900" s="249" t="s">
        <v>100</v>
      </c>
      <c r="K6900" s="250">
        <v>3682.14455775342</v>
      </c>
      <c r="L6900" s="252"/>
    </row>
    <row r="6901" spans="1:12" x14ac:dyDescent="0.2">
      <c r="A6901" s="242">
        <v>2022</v>
      </c>
      <c r="B6901" s="242">
        <v>7</v>
      </c>
      <c r="C6901" s="242">
        <v>7</v>
      </c>
      <c r="D6901" s="321">
        <f t="shared" si="484"/>
        <v>44749</v>
      </c>
      <c r="E6901" s="322">
        <f t="shared" si="485"/>
        <v>44749</v>
      </c>
      <c r="F6901" s="478"/>
      <c r="G6901" s="243" t="s">
        <v>94</v>
      </c>
      <c r="H6901" s="243" t="str" cm="1">
        <f t="array" ref="H6901">IFERROR(INDEX(INVESTOR_LIST[INVESTOR NAME],MATCH(I6901,INVESTOR_LIST[INVESTOR CODE],0),)," ")</f>
        <v xml:space="preserve"> </v>
      </c>
      <c r="I6901" s="263" t="s">
        <v>348</v>
      </c>
      <c r="J6901" s="244" t="s">
        <v>48</v>
      </c>
      <c r="K6901" s="245"/>
      <c r="L6901" s="245">
        <v>3682.14455775342</v>
      </c>
    </row>
    <row r="6902" spans="1:12" x14ac:dyDescent="0.2">
      <c r="A6902" s="168">
        <v>2022</v>
      </c>
      <c r="B6902" s="168">
        <v>7</v>
      </c>
      <c r="C6902" s="168">
        <v>13</v>
      </c>
      <c r="D6902" s="141">
        <f>DATE(A6902,B6902,C6902)</f>
        <v>44755</v>
      </c>
      <c r="E6902" s="275">
        <f>DATE(A6902,B6902,C6902)</f>
        <v>44755</v>
      </c>
      <c r="F6902" s="479" t="s">
        <v>1388</v>
      </c>
      <c r="G6902" s="220" t="s">
        <v>74</v>
      </c>
      <c r="H6902" s="220" t="str" cm="1">
        <f t="array" ref="H6902">IFERROR(INDEX(INVESTOR_LIST[INVESTOR NAME],MATCH(I6902,INVESTOR_LIST[INVESTOR CODE],0),)," ")</f>
        <v xml:space="preserve"> </v>
      </c>
      <c r="I6902" s="142" t="s">
        <v>348</v>
      </c>
      <c r="J6902" s="143" t="s">
        <v>147</v>
      </c>
      <c r="K6902" s="226">
        <v>152477.26</v>
      </c>
      <c r="L6902" s="226"/>
    </row>
    <row r="6903" spans="1:12" x14ac:dyDescent="0.2">
      <c r="A6903" s="163">
        <v>2022</v>
      </c>
      <c r="B6903" s="163">
        <v>7</v>
      </c>
      <c r="C6903" s="163">
        <v>13</v>
      </c>
      <c r="D6903" s="280">
        <f>DATE(A6903,B6903,C6903)</f>
        <v>44755</v>
      </c>
      <c r="E6903" s="281">
        <f>DATE(A6903,B6903,C6903)</f>
        <v>44755</v>
      </c>
      <c r="F6903" s="480"/>
      <c r="G6903" s="221" t="s">
        <v>74</v>
      </c>
      <c r="H6903" s="221" t="str" cm="1">
        <f t="array" ref="H6903">IFERROR(INDEX(INVESTOR_LIST[INVESTOR NAME],MATCH(I6903,INVESTOR_LIST[INVESTOR CODE],0),)," ")</f>
        <v xml:space="preserve"> </v>
      </c>
      <c r="I6903" s="145" t="s">
        <v>348</v>
      </c>
      <c r="J6903" s="146" t="s">
        <v>52</v>
      </c>
      <c r="K6903" s="219"/>
      <c r="L6903" s="219">
        <v>152477.26</v>
      </c>
    </row>
    <row r="6904" spans="1:12" ht="22.5" x14ac:dyDescent="0.2">
      <c r="A6904" s="168">
        <v>2022</v>
      </c>
      <c r="B6904" s="168">
        <v>7</v>
      </c>
      <c r="C6904" s="133">
        <v>14</v>
      </c>
      <c r="D6904" s="141">
        <f t="shared" ref="D6904:D6906" si="486">DATE(A6904,B6904,C6904)</f>
        <v>44756</v>
      </c>
      <c r="E6904" s="275">
        <f t="shared" ref="E6904:E6906" si="487">DATE(A6904,B6904,C6904)</f>
        <v>44756</v>
      </c>
      <c r="F6904" s="479" t="s">
        <v>964</v>
      </c>
      <c r="G6904" s="220" t="s">
        <v>74</v>
      </c>
      <c r="H6904" s="142" t="str" cm="1">
        <f t="array" ref="H6904">IFERROR(INDEX(INVESTOR_LIST[INVESTOR NAME],MATCH(I6904,INVESTOR_LIST[INVESTOR CODE],0),)," ")</f>
        <v>ARIFUR RAHMAN</v>
      </c>
      <c r="I6904" s="142" t="s">
        <v>469</v>
      </c>
      <c r="J6904" s="168" t="s">
        <v>52</v>
      </c>
      <c r="K6904" s="226">
        <v>50000</v>
      </c>
      <c r="L6904" s="226"/>
    </row>
    <row r="6905" spans="1:12" ht="22.5" x14ac:dyDescent="0.2">
      <c r="A6905" s="133">
        <v>2022</v>
      </c>
      <c r="B6905" s="133">
        <v>7</v>
      </c>
      <c r="C6905" s="133">
        <v>14</v>
      </c>
      <c r="D6905" s="141">
        <f t="shared" si="486"/>
        <v>44756</v>
      </c>
      <c r="E6905" s="275">
        <f t="shared" si="487"/>
        <v>44756</v>
      </c>
      <c r="F6905" s="481"/>
      <c r="G6905" s="174" t="s">
        <v>74</v>
      </c>
      <c r="H6905" s="148" t="str" cm="1">
        <f t="array" ref="H6905">IFERROR(INDEX(INVESTOR_LIST[INVESTOR NAME],MATCH(I6905,INVESTOR_LIST[INVESTOR CODE],0),)," ")</f>
        <v>ARIFUR RAHMAN</v>
      </c>
      <c r="I6905" s="148" t="s">
        <v>469</v>
      </c>
      <c r="J6905" s="133" t="s">
        <v>13</v>
      </c>
      <c r="K6905" s="218"/>
      <c r="L6905" s="172">
        <v>41430</v>
      </c>
    </row>
    <row r="6906" spans="1:12" ht="22.5" x14ac:dyDescent="0.2">
      <c r="A6906" s="163">
        <v>2022</v>
      </c>
      <c r="B6906" s="163">
        <v>7</v>
      </c>
      <c r="C6906" s="163">
        <v>14</v>
      </c>
      <c r="D6906" s="141">
        <f t="shared" si="486"/>
        <v>44756</v>
      </c>
      <c r="E6906" s="275">
        <f t="shared" si="487"/>
        <v>44756</v>
      </c>
      <c r="F6906" s="480"/>
      <c r="G6906" s="221" t="s">
        <v>74</v>
      </c>
      <c r="H6906" s="145" t="str" cm="1">
        <f t="array" ref="H6906">IFERROR(INDEX(INVESTOR_LIST[INVESTOR NAME],MATCH(I6906,INVESTOR_LIST[INVESTOR CODE],0),)," ")</f>
        <v>ARIFUR RAHMAN</v>
      </c>
      <c r="I6906" s="145" t="s">
        <v>469</v>
      </c>
      <c r="J6906" s="163" t="s">
        <v>53</v>
      </c>
      <c r="K6906" s="219"/>
      <c r="L6906" s="219">
        <v>8570</v>
      </c>
    </row>
    <row r="6907" spans="1:12" x14ac:dyDescent="0.2">
      <c r="A6907" s="238">
        <v>2022</v>
      </c>
      <c r="B6907" s="238">
        <v>7</v>
      </c>
      <c r="C6907" s="238">
        <v>14</v>
      </c>
      <c r="D6907" s="270">
        <f t="shared" ref="D6907:D6945" si="488">DATE(A6907,B6907,C6907)</f>
        <v>44756</v>
      </c>
      <c r="E6907" s="279">
        <f t="shared" ref="E6907:E6945" si="489">DATE(A6907,B6907,C6907)</f>
        <v>44756</v>
      </c>
      <c r="F6907" s="477" t="s">
        <v>347</v>
      </c>
      <c r="G6907" s="239" t="s">
        <v>94</v>
      </c>
      <c r="H6907" s="239" t="str" cm="1">
        <f t="array" ref="H6907">IFERROR(INDEX(INVESTOR_LIST[INVESTOR NAME],MATCH(I6907,INVESTOR_LIST[INVESTOR CODE],0),)," ")</f>
        <v xml:space="preserve"> </v>
      </c>
      <c r="I6907" s="262" t="s">
        <v>348</v>
      </c>
      <c r="J6907" s="240" t="s">
        <v>82</v>
      </c>
      <c r="K6907" s="241">
        <v>317653.960000008</v>
      </c>
      <c r="L6907" s="241"/>
    </row>
    <row r="6908" spans="1:12" x14ac:dyDescent="0.2">
      <c r="A6908" s="242">
        <v>2022</v>
      </c>
      <c r="B6908" s="242">
        <v>7</v>
      </c>
      <c r="C6908" s="242">
        <v>14</v>
      </c>
      <c r="D6908" s="270">
        <f t="shared" si="488"/>
        <v>44756</v>
      </c>
      <c r="E6908" s="279">
        <f t="shared" si="489"/>
        <v>44756</v>
      </c>
      <c r="F6908" s="478"/>
      <c r="G6908" s="243" t="s">
        <v>94</v>
      </c>
      <c r="H6908" s="243" t="str" cm="1">
        <f t="array" ref="H6908">IFERROR(INDEX(INVESTOR_LIST[INVESTOR NAME],MATCH(I6908,INVESTOR_LIST[INVESTOR CODE],0),)," ")</f>
        <v xml:space="preserve"> </v>
      </c>
      <c r="I6908" s="263" t="s">
        <v>348</v>
      </c>
      <c r="J6908" s="244" t="s">
        <v>108</v>
      </c>
      <c r="K6908" s="245"/>
      <c r="L6908" s="245">
        <v>317653.960000008</v>
      </c>
    </row>
    <row r="6909" spans="1:12" ht="22.5" x14ac:dyDescent="0.2">
      <c r="A6909" s="246">
        <v>2022</v>
      </c>
      <c r="B6909" s="246">
        <v>7</v>
      </c>
      <c r="C6909" s="246">
        <v>14</v>
      </c>
      <c r="D6909" s="270">
        <f t="shared" si="488"/>
        <v>44756</v>
      </c>
      <c r="E6909" s="279">
        <f t="shared" si="489"/>
        <v>44756</v>
      </c>
      <c r="F6909" s="482" t="s">
        <v>148</v>
      </c>
      <c r="G6909" s="247" t="s">
        <v>94</v>
      </c>
      <c r="H6909" s="247" t="str" cm="1">
        <f t="array" ref="H6909">IFERROR(INDEX(INVESTOR_LIST[INVESTOR NAME],MATCH(I6909,INVESTOR_LIST[INVESTOR CODE],0),)," ")</f>
        <v xml:space="preserve"> </v>
      </c>
      <c r="I6909" s="248" t="s">
        <v>348</v>
      </c>
      <c r="J6909" s="249" t="s">
        <v>95</v>
      </c>
      <c r="K6909" s="250">
        <v>2747.2527472527472</v>
      </c>
      <c r="L6909" s="241"/>
    </row>
    <row r="6910" spans="1:12" x14ac:dyDescent="0.2">
      <c r="A6910" s="242">
        <v>2022</v>
      </c>
      <c r="B6910" s="242">
        <v>7</v>
      </c>
      <c r="C6910" s="242">
        <v>14</v>
      </c>
      <c r="D6910" s="270">
        <f t="shared" si="488"/>
        <v>44756</v>
      </c>
      <c r="E6910" s="279">
        <f t="shared" si="489"/>
        <v>44756</v>
      </c>
      <c r="F6910" s="478"/>
      <c r="G6910" s="243" t="s">
        <v>94</v>
      </c>
      <c r="H6910" s="243" t="str" cm="1">
        <f t="array" ref="H6910">IFERROR(INDEX(INVESTOR_LIST[INVESTOR NAME],MATCH(I6910,INVESTOR_LIST[INVESTOR CODE],0),)," ")</f>
        <v xml:space="preserve"> </v>
      </c>
      <c r="I6910" s="263" t="s">
        <v>348</v>
      </c>
      <c r="J6910" s="244" t="s">
        <v>63</v>
      </c>
      <c r="K6910" s="245"/>
      <c r="L6910" s="245">
        <v>2747.2527472527472</v>
      </c>
    </row>
    <row r="6911" spans="1:12" x14ac:dyDescent="0.2">
      <c r="A6911" s="246">
        <v>2022</v>
      </c>
      <c r="B6911" s="246">
        <v>7</v>
      </c>
      <c r="C6911" s="246">
        <v>14</v>
      </c>
      <c r="D6911" s="270">
        <f t="shared" si="488"/>
        <v>44756</v>
      </c>
      <c r="E6911" s="279">
        <f t="shared" si="489"/>
        <v>44756</v>
      </c>
      <c r="F6911" s="482" t="s">
        <v>137</v>
      </c>
      <c r="G6911" s="247" t="s">
        <v>94</v>
      </c>
      <c r="H6911" s="247" t="str" cm="1">
        <f t="array" ref="H6911">IFERROR(INDEX(INVESTOR_LIST[INVESTOR NAME],MATCH(I6911,INVESTOR_LIST[INVESTOR CODE],0),)," ")</f>
        <v xml:space="preserve"> </v>
      </c>
      <c r="I6911" s="248" t="s">
        <v>348</v>
      </c>
      <c r="J6911" s="249" t="s">
        <v>97</v>
      </c>
      <c r="K6911" s="250">
        <v>78456.916562465398</v>
      </c>
      <c r="L6911" s="252"/>
    </row>
    <row r="6912" spans="1:12" x14ac:dyDescent="0.2">
      <c r="A6912" s="242">
        <v>2022</v>
      </c>
      <c r="B6912" s="242">
        <v>7</v>
      </c>
      <c r="C6912" s="242">
        <v>14</v>
      </c>
      <c r="D6912" s="270">
        <f t="shared" si="488"/>
        <v>44756</v>
      </c>
      <c r="E6912" s="279">
        <f t="shared" si="489"/>
        <v>44756</v>
      </c>
      <c r="F6912" s="478"/>
      <c r="G6912" s="243" t="s">
        <v>94</v>
      </c>
      <c r="H6912" s="243" t="str" cm="1">
        <f t="array" ref="H6912">IFERROR(INDEX(INVESTOR_LIST[INVESTOR NAME],MATCH(I6912,INVESTOR_LIST[INVESTOR CODE],0),)," ")</f>
        <v xml:space="preserve"> </v>
      </c>
      <c r="I6912" s="263" t="s">
        <v>348</v>
      </c>
      <c r="J6912" s="244" t="s">
        <v>47</v>
      </c>
      <c r="K6912" s="245"/>
      <c r="L6912" s="245">
        <v>78456.916562465398</v>
      </c>
    </row>
    <row r="6913" spans="1:17" x14ac:dyDescent="0.2">
      <c r="A6913" s="246">
        <v>2022</v>
      </c>
      <c r="B6913" s="246">
        <v>7</v>
      </c>
      <c r="C6913" s="246">
        <v>14</v>
      </c>
      <c r="D6913" s="270">
        <f t="shared" si="488"/>
        <v>44756</v>
      </c>
      <c r="E6913" s="279">
        <f t="shared" si="489"/>
        <v>44756</v>
      </c>
      <c r="F6913" s="482" t="s">
        <v>138</v>
      </c>
      <c r="G6913" s="247" t="s">
        <v>94</v>
      </c>
      <c r="H6913" s="247" t="str" cm="1">
        <f t="array" ref="H6913">IFERROR(INDEX(INVESTOR_LIST[INVESTOR NAME],MATCH(I6913,INVESTOR_LIST[INVESTOR CODE],0),)," ")</f>
        <v xml:space="preserve"> </v>
      </c>
      <c r="I6913" s="248" t="s">
        <v>348</v>
      </c>
      <c r="J6913" s="249" t="s">
        <v>100</v>
      </c>
      <c r="K6913" s="250">
        <v>3682.4612127386549</v>
      </c>
      <c r="L6913" s="252"/>
    </row>
    <row r="6914" spans="1:17" x14ac:dyDescent="0.2">
      <c r="A6914" s="242">
        <v>2022</v>
      </c>
      <c r="B6914" s="242">
        <v>7</v>
      </c>
      <c r="C6914" s="242">
        <v>14</v>
      </c>
      <c r="D6914" s="321">
        <f t="shared" si="488"/>
        <v>44756</v>
      </c>
      <c r="E6914" s="322">
        <f t="shared" si="489"/>
        <v>44756</v>
      </c>
      <c r="F6914" s="478"/>
      <c r="G6914" s="243" t="s">
        <v>94</v>
      </c>
      <c r="H6914" s="243" t="str" cm="1">
        <f t="array" ref="H6914">IFERROR(INDEX(INVESTOR_LIST[INVESTOR NAME],MATCH(I6914,INVESTOR_LIST[INVESTOR CODE],0),)," ")</f>
        <v xml:space="preserve"> </v>
      </c>
      <c r="I6914" s="263" t="s">
        <v>348</v>
      </c>
      <c r="J6914" s="244" t="s">
        <v>48</v>
      </c>
      <c r="K6914" s="245"/>
      <c r="L6914" s="245">
        <v>3682.4612127386549</v>
      </c>
    </row>
    <row r="6915" spans="1:17" ht="45" x14ac:dyDescent="0.2">
      <c r="A6915" s="168">
        <v>2022</v>
      </c>
      <c r="B6915" s="168">
        <v>7</v>
      </c>
      <c r="C6915" s="133">
        <v>17</v>
      </c>
      <c r="D6915" s="141">
        <f t="shared" si="488"/>
        <v>44759</v>
      </c>
      <c r="E6915" s="275">
        <f t="shared" si="489"/>
        <v>44759</v>
      </c>
      <c r="F6915" s="479" t="s">
        <v>1315</v>
      </c>
      <c r="G6915" s="220" t="s">
        <v>74</v>
      </c>
      <c r="H6915" s="142" t="str" cm="1">
        <f t="array" ref="H6915">IFERROR(INDEX(INVESTOR_LIST[INVESTOR NAME],MATCH(I6915,INVESTOR_LIST[INVESTOR CODE],0),)," ")</f>
        <v>SWADESH RANJAN SAHA</v>
      </c>
      <c r="I6915" s="142" t="s">
        <v>461</v>
      </c>
      <c r="J6915" s="168" t="s">
        <v>13</v>
      </c>
      <c r="K6915" s="226">
        <v>829880</v>
      </c>
      <c r="L6915" s="226"/>
    </row>
    <row r="6916" spans="1:17" ht="45" x14ac:dyDescent="0.2">
      <c r="A6916" s="133">
        <v>2022</v>
      </c>
      <c r="B6916" s="133">
        <v>7</v>
      </c>
      <c r="C6916" s="133">
        <v>17</v>
      </c>
      <c r="D6916" s="141">
        <f t="shared" si="488"/>
        <v>44759</v>
      </c>
      <c r="E6916" s="275">
        <f t="shared" si="489"/>
        <v>44759</v>
      </c>
      <c r="F6916" s="481"/>
      <c r="G6916" s="174" t="s">
        <v>74</v>
      </c>
      <c r="H6916" s="148" t="str" cm="1">
        <f t="array" ref="H6916">IFERROR(INDEX(INVESTOR_LIST[INVESTOR NAME],MATCH(I6916,INVESTOR_LIST[INVESTOR CODE],0),)," ")</f>
        <v>SWADESH RANJAN SAHA</v>
      </c>
      <c r="I6916" s="148" t="s">
        <v>461</v>
      </c>
      <c r="J6916" s="133" t="s">
        <v>53</v>
      </c>
      <c r="K6916" s="218">
        <v>170120</v>
      </c>
      <c r="L6916" s="218"/>
    </row>
    <row r="6917" spans="1:17" ht="45" x14ac:dyDescent="0.2">
      <c r="A6917" s="163">
        <v>2022</v>
      </c>
      <c r="B6917" s="163">
        <v>7</v>
      </c>
      <c r="C6917" s="163">
        <v>17</v>
      </c>
      <c r="D6917" s="280">
        <f t="shared" si="488"/>
        <v>44759</v>
      </c>
      <c r="E6917" s="281">
        <f t="shared" si="489"/>
        <v>44759</v>
      </c>
      <c r="F6917" s="480"/>
      <c r="G6917" s="221" t="s">
        <v>74</v>
      </c>
      <c r="H6917" s="145" t="str" cm="1">
        <f t="array" ref="H6917">IFERROR(INDEX(INVESTOR_LIST[INVESTOR NAME],MATCH(I6917,INVESTOR_LIST[INVESTOR CODE],0),)," ")</f>
        <v>SWADESH RANJAN SAHA</v>
      </c>
      <c r="I6917" s="145" t="s">
        <v>461</v>
      </c>
      <c r="J6917" s="163" t="s">
        <v>52</v>
      </c>
      <c r="K6917" s="219"/>
      <c r="L6917" s="219">
        <v>1000000</v>
      </c>
    </row>
    <row r="6918" spans="1:17" ht="33.75" x14ac:dyDescent="0.2">
      <c r="A6918" s="168">
        <v>2022</v>
      </c>
      <c r="B6918" s="168">
        <v>7</v>
      </c>
      <c r="C6918" s="133">
        <v>15</v>
      </c>
      <c r="D6918" s="141">
        <f t="shared" si="488"/>
        <v>44757</v>
      </c>
      <c r="E6918" s="275">
        <f t="shared" si="489"/>
        <v>44757</v>
      </c>
      <c r="F6918" s="479" t="s">
        <v>1319</v>
      </c>
      <c r="G6918" s="220" t="s">
        <v>74</v>
      </c>
      <c r="H6918" s="142" t="str" cm="1">
        <f t="array" ref="H6918">IFERROR(INDEX(INVESTOR_LIST[INVESTOR NAME],MATCH(I6918,INVESTOR_LIST[INVESTOR CODE],0),)," ")</f>
        <v>MUQIT-AL RAHMAN</v>
      </c>
      <c r="I6918" s="142" t="s">
        <v>473</v>
      </c>
      <c r="J6918" s="168" t="s">
        <v>52</v>
      </c>
      <c r="K6918" s="226">
        <v>50000</v>
      </c>
      <c r="L6918" s="226"/>
    </row>
    <row r="6919" spans="1:17" ht="33.75" x14ac:dyDescent="0.2">
      <c r="A6919" s="133">
        <v>2022</v>
      </c>
      <c r="B6919" s="133">
        <v>7</v>
      </c>
      <c r="C6919" s="133">
        <v>15</v>
      </c>
      <c r="D6919" s="141">
        <f t="shared" si="488"/>
        <v>44757</v>
      </c>
      <c r="E6919" s="275">
        <f t="shared" si="489"/>
        <v>44757</v>
      </c>
      <c r="F6919" s="481"/>
      <c r="G6919" s="174" t="s">
        <v>74</v>
      </c>
      <c r="H6919" s="148" t="str" cm="1">
        <f t="array" ref="H6919">IFERROR(INDEX(INVESTOR_LIST[INVESTOR NAME],MATCH(I6919,INVESTOR_LIST[INVESTOR CODE],0),)," ")</f>
        <v>MUQIT-AL RAHMAN</v>
      </c>
      <c r="I6919" s="148" t="s">
        <v>473</v>
      </c>
      <c r="J6919" s="133" t="s">
        <v>13</v>
      </c>
      <c r="K6919" s="218"/>
      <c r="L6919" s="218">
        <v>41490</v>
      </c>
    </row>
    <row r="6920" spans="1:17" ht="33.75" x14ac:dyDescent="0.2">
      <c r="A6920" s="163">
        <v>2022</v>
      </c>
      <c r="B6920" s="163">
        <v>7</v>
      </c>
      <c r="C6920" s="163">
        <v>15</v>
      </c>
      <c r="D6920" s="141">
        <f t="shared" si="488"/>
        <v>44757</v>
      </c>
      <c r="E6920" s="275">
        <f t="shared" si="489"/>
        <v>44757</v>
      </c>
      <c r="F6920" s="480"/>
      <c r="G6920" s="221" t="s">
        <v>74</v>
      </c>
      <c r="H6920" s="145" t="str" cm="1">
        <f t="array" ref="H6920">IFERROR(INDEX(INVESTOR_LIST[INVESTOR NAME],MATCH(I6920,INVESTOR_LIST[INVESTOR CODE],0),)," ")</f>
        <v>MUQIT-AL RAHMAN</v>
      </c>
      <c r="I6920" s="145" t="s">
        <v>473</v>
      </c>
      <c r="J6920" s="163" t="s">
        <v>53</v>
      </c>
      <c r="K6920" s="219"/>
      <c r="L6920" s="219">
        <v>8510</v>
      </c>
    </row>
    <row r="6921" spans="1:17" x14ac:dyDescent="0.2">
      <c r="A6921" s="168">
        <v>2022</v>
      </c>
      <c r="B6921" s="168">
        <v>7</v>
      </c>
      <c r="C6921" s="133">
        <v>15</v>
      </c>
      <c r="D6921" s="141">
        <f t="shared" ref="D6921:D6923" si="490">DATE(A6921,B6921,C6921)</f>
        <v>44757</v>
      </c>
      <c r="E6921" s="275">
        <f t="shared" ref="E6921:E6923" si="491">DATE(A6921,B6921,C6921)</f>
        <v>44757</v>
      </c>
      <c r="F6921" s="479" t="s">
        <v>1319</v>
      </c>
      <c r="G6921" s="220" t="s">
        <v>74</v>
      </c>
      <c r="H6921" s="142" t="str" cm="1">
        <f t="array" ref="H6921">IFERROR(INDEX(INVESTOR_LIST[INVESTOR NAME],MATCH(I6921,INVESTOR_LIST[INVESTOR CODE],0),)," ")</f>
        <v xml:space="preserve"> </v>
      </c>
      <c r="I6921" s="142"/>
      <c r="J6921" s="168" t="s">
        <v>52</v>
      </c>
      <c r="K6921" s="226">
        <v>96000</v>
      </c>
      <c r="L6921" s="226"/>
    </row>
    <row r="6922" spans="1:17" x14ac:dyDescent="0.2">
      <c r="A6922" s="133">
        <v>2022</v>
      </c>
      <c r="B6922" s="133">
        <v>7</v>
      </c>
      <c r="C6922" s="133">
        <v>15</v>
      </c>
      <c r="D6922" s="141">
        <f t="shared" si="490"/>
        <v>44757</v>
      </c>
      <c r="E6922" s="275">
        <f t="shared" si="491"/>
        <v>44757</v>
      </c>
      <c r="F6922" s="481"/>
      <c r="G6922" s="174" t="s">
        <v>74</v>
      </c>
      <c r="H6922" s="148" t="str" cm="1">
        <f t="array" ref="H6922">IFERROR(INDEX(INVESTOR_LIST[INVESTOR NAME],MATCH(I6922,INVESTOR_LIST[INVESTOR CODE],0),)," ")</f>
        <v xml:space="preserve"> </v>
      </c>
      <c r="J6922" s="133" t="s">
        <v>13</v>
      </c>
      <c r="K6922" s="218"/>
      <c r="L6922" s="218">
        <v>79670</v>
      </c>
    </row>
    <row r="6923" spans="1:17" x14ac:dyDescent="0.2">
      <c r="A6923" s="163">
        <v>2022</v>
      </c>
      <c r="B6923" s="163">
        <v>7</v>
      </c>
      <c r="C6923" s="163">
        <v>15</v>
      </c>
      <c r="D6923" s="141">
        <f t="shared" si="490"/>
        <v>44757</v>
      </c>
      <c r="E6923" s="275">
        <f t="shared" si="491"/>
        <v>44757</v>
      </c>
      <c r="F6923" s="480"/>
      <c r="G6923" s="221" t="s">
        <v>74</v>
      </c>
      <c r="H6923" s="145" t="str" cm="1">
        <f t="array" ref="H6923">IFERROR(INDEX(INVESTOR_LIST[INVESTOR NAME],MATCH(I6923,INVESTOR_LIST[INVESTOR CODE],0),)," ")</f>
        <v xml:space="preserve"> </v>
      </c>
      <c r="I6923" s="145"/>
      <c r="J6923" s="163" t="s">
        <v>53</v>
      </c>
      <c r="K6923" s="219"/>
      <c r="L6923" s="219">
        <v>16330</v>
      </c>
    </row>
    <row r="6924" spans="1:17" x14ac:dyDescent="0.2">
      <c r="A6924" s="133">
        <v>2022</v>
      </c>
      <c r="B6924" s="133">
        <v>7</v>
      </c>
      <c r="C6924" s="133">
        <v>18</v>
      </c>
      <c r="D6924" s="141">
        <f t="shared" si="488"/>
        <v>44760</v>
      </c>
      <c r="E6924" s="275">
        <f t="shared" si="489"/>
        <v>44760</v>
      </c>
      <c r="F6924" s="481" t="s">
        <v>174</v>
      </c>
      <c r="G6924" s="174" t="s">
        <v>74</v>
      </c>
      <c r="H6924" s="174" t="str" cm="1">
        <f t="array" ref="H6924">IFERROR(INDEX(INVESTOR_LIST[INVESTOR NAME],MATCH(I6924,INVESTOR_LIST[INVESTOR CODE],0),)," ")</f>
        <v xml:space="preserve"> </v>
      </c>
      <c r="I6924" s="148" t="s">
        <v>348</v>
      </c>
      <c r="J6924" s="149" t="s">
        <v>175</v>
      </c>
      <c r="K6924" s="218">
        <v>1800</v>
      </c>
      <c r="L6924" s="218"/>
      <c r="M6924" s="147"/>
      <c r="Q6924" s="133" t="s">
        <v>348</v>
      </c>
    </row>
    <row r="6925" spans="1:17" x14ac:dyDescent="0.2">
      <c r="A6925" s="163">
        <v>2022</v>
      </c>
      <c r="B6925" s="163">
        <v>7</v>
      </c>
      <c r="C6925" s="163">
        <v>18</v>
      </c>
      <c r="D6925" s="141">
        <f t="shared" si="488"/>
        <v>44760</v>
      </c>
      <c r="E6925" s="275">
        <f t="shared" si="489"/>
        <v>44760</v>
      </c>
      <c r="F6925" s="480"/>
      <c r="G6925" s="221" t="s">
        <v>74</v>
      </c>
      <c r="H6925" s="221" t="str" cm="1">
        <f t="array" ref="H6925">IFERROR(INDEX(INVESTOR_LIST[INVESTOR NAME],MATCH(I6925,INVESTOR_LIST[INVESTOR CODE],0),)," ")</f>
        <v xml:space="preserve"> </v>
      </c>
      <c r="I6925" s="145" t="s">
        <v>348</v>
      </c>
      <c r="J6925" s="146" t="s">
        <v>52</v>
      </c>
      <c r="K6925" s="219"/>
      <c r="L6925" s="219">
        <v>1800</v>
      </c>
      <c r="M6925" s="147"/>
      <c r="Q6925" s="133" t="s">
        <v>348</v>
      </c>
    </row>
    <row r="6926" spans="1:17" x14ac:dyDescent="0.2">
      <c r="A6926" s="133">
        <v>2022</v>
      </c>
      <c r="B6926" s="168">
        <v>7</v>
      </c>
      <c r="C6926" s="168">
        <v>18</v>
      </c>
      <c r="D6926" s="141">
        <f t="shared" si="488"/>
        <v>44760</v>
      </c>
      <c r="E6926" s="275">
        <f t="shared" si="489"/>
        <v>44760</v>
      </c>
      <c r="F6926" s="479" t="s">
        <v>1437</v>
      </c>
      <c r="G6926" s="220" t="s">
        <v>74</v>
      </c>
      <c r="H6926" s="220" t="str" cm="1">
        <f t="array" ref="H6926">IFERROR(INDEX(INVESTOR_LIST[INVESTOR NAME],MATCH(I6926,INVESTOR_LIST[INVESTOR CODE],0),)," ")</f>
        <v xml:space="preserve"> </v>
      </c>
      <c r="I6926" s="142" t="s">
        <v>348</v>
      </c>
      <c r="J6926" s="143" t="s">
        <v>104</v>
      </c>
      <c r="K6926" s="226">
        <v>3364.54</v>
      </c>
      <c r="L6926" s="226"/>
    </row>
    <row r="6927" spans="1:17" x14ac:dyDescent="0.2">
      <c r="A6927" s="163">
        <v>2022</v>
      </c>
      <c r="B6927" s="163">
        <v>7</v>
      </c>
      <c r="C6927" s="163">
        <v>18</v>
      </c>
      <c r="D6927" s="141">
        <f t="shared" si="488"/>
        <v>44760</v>
      </c>
      <c r="E6927" s="275">
        <f t="shared" si="489"/>
        <v>44760</v>
      </c>
      <c r="F6927" s="480"/>
      <c r="G6927" s="221" t="s">
        <v>74</v>
      </c>
      <c r="H6927" s="221" t="str" cm="1">
        <f t="array" ref="H6927">IFERROR(INDEX(INVESTOR_LIST[INVESTOR NAME],MATCH(I6927,INVESTOR_LIST[INVESTOR CODE],0),)," ")</f>
        <v xml:space="preserve"> </v>
      </c>
      <c r="I6927" s="145" t="s">
        <v>348</v>
      </c>
      <c r="J6927" s="146" t="s">
        <v>52</v>
      </c>
      <c r="K6927" s="219"/>
      <c r="L6927" s="219">
        <v>3364.54</v>
      </c>
    </row>
    <row r="6928" spans="1:17" x14ac:dyDescent="0.2">
      <c r="A6928" s="133">
        <v>2022</v>
      </c>
      <c r="B6928" s="133">
        <v>7</v>
      </c>
      <c r="C6928" s="133">
        <v>18</v>
      </c>
      <c r="D6928" s="141">
        <f t="shared" si="488"/>
        <v>44760</v>
      </c>
      <c r="E6928" s="275">
        <f t="shared" si="489"/>
        <v>44760</v>
      </c>
      <c r="F6928" s="481" t="s">
        <v>1438</v>
      </c>
      <c r="G6928" s="174" t="s">
        <v>74</v>
      </c>
      <c r="H6928" s="174" t="str" cm="1">
        <f t="array" ref="H6928">IFERROR(INDEX(INVESTOR_LIST[INVESTOR NAME],MATCH(I6928,INVESTOR_LIST[INVESTOR CODE],0),)," ")</f>
        <v xml:space="preserve"> </v>
      </c>
      <c r="I6928" s="148" t="s">
        <v>348</v>
      </c>
      <c r="J6928" s="149" t="s">
        <v>163</v>
      </c>
      <c r="K6928" s="218">
        <v>1575</v>
      </c>
      <c r="L6928" s="218"/>
    </row>
    <row r="6929" spans="1:13" x14ac:dyDescent="0.2">
      <c r="A6929" s="163">
        <v>2022</v>
      </c>
      <c r="B6929" s="163">
        <v>7</v>
      </c>
      <c r="C6929" s="163">
        <v>18</v>
      </c>
      <c r="D6929" s="141">
        <f t="shared" si="488"/>
        <v>44760</v>
      </c>
      <c r="E6929" s="275">
        <f t="shared" si="489"/>
        <v>44760</v>
      </c>
      <c r="F6929" s="480"/>
      <c r="G6929" s="221" t="s">
        <v>74</v>
      </c>
      <c r="H6929" s="221" t="str" cm="1">
        <f t="array" ref="H6929">IFERROR(INDEX(INVESTOR_LIST[INVESTOR NAME],MATCH(I6929,INVESTOR_LIST[INVESTOR CODE],0),)," ")</f>
        <v xml:space="preserve"> </v>
      </c>
      <c r="I6929" s="145" t="s">
        <v>348</v>
      </c>
      <c r="J6929" s="146" t="s">
        <v>52</v>
      </c>
      <c r="K6929" s="219"/>
      <c r="L6929" s="219">
        <v>1575</v>
      </c>
    </row>
    <row r="6930" spans="1:13" x14ac:dyDescent="0.2">
      <c r="A6930" s="133">
        <v>2022</v>
      </c>
      <c r="B6930" s="133">
        <v>7</v>
      </c>
      <c r="C6930" s="133">
        <v>18</v>
      </c>
      <c r="D6930" s="141">
        <f t="shared" ref="D6930:D6933" si="492">DATE(A6930,B6930,C6930)</f>
        <v>44760</v>
      </c>
      <c r="E6930" s="275">
        <f t="shared" ref="E6930:E6933" si="493">DATE(A6930,B6930,C6930)</f>
        <v>44760</v>
      </c>
      <c r="F6930" s="481" t="s">
        <v>1033</v>
      </c>
      <c r="G6930" s="174" t="s">
        <v>94</v>
      </c>
      <c r="H6930" s="174"/>
      <c r="J6930" s="149" t="s">
        <v>80</v>
      </c>
      <c r="K6930" s="218">
        <v>590.9</v>
      </c>
      <c r="L6930" s="218"/>
    </row>
    <row r="6931" spans="1:13" x14ac:dyDescent="0.2">
      <c r="A6931" s="133">
        <v>2022</v>
      </c>
      <c r="B6931" s="133">
        <v>7</v>
      </c>
      <c r="C6931" s="133">
        <v>18</v>
      </c>
      <c r="D6931" s="141">
        <f t="shared" si="492"/>
        <v>44760</v>
      </c>
      <c r="E6931" s="275">
        <f t="shared" si="493"/>
        <v>44760</v>
      </c>
      <c r="F6931" s="481"/>
      <c r="G6931" s="174" t="s">
        <v>94</v>
      </c>
      <c r="H6931" s="174"/>
      <c r="J6931" s="149" t="s">
        <v>190</v>
      </c>
      <c r="K6931" s="218">
        <v>327685</v>
      </c>
      <c r="L6931" s="218"/>
    </row>
    <row r="6932" spans="1:13" x14ac:dyDescent="0.2">
      <c r="A6932" s="133">
        <v>2022</v>
      </c>
      <c r="B6932" s="133">
        <v>7</v>
      </c>
      <c r="C6932" s="133">
        <v>18</v>
      </c>
      <c r="D6932" s="141">
        <f t="shared" si="492"/>
        <v>44760</v>
      </c>
      <c r="E6932" s="275">
        <f t="shared" si="493"/>
        <v>44760</v>
      </c>
      <c r="F6932" s="481"/>
      <c r="G6932" s="174" t="s">
        <v>94</v>
      </c>
      <c r="H6932" s="174" t="str" cm="1">
        <f t="array" ref="H6932">IFERROR(INDEX(INVESTOR_LIST[INVESTOR NAME],MATCH(I6932,INVESTOR_LIST[INVESTOR CODE],0),)," ")</f>
        <v xml:space="preserve"> </v>
      </c>
      <c r="I6932" s="148" t="s">
        <v>348</v>
      </c>
      <c r="J6932" s="149" t="s">
        <v>191</v>
      </c>
      <c r="K6932" s="218">
        <v>6802.84</v>
      </c>
      <c r="L6932" s="218"/>
    </row>
    <row r="6933" spans="1:13" x14ac:dyDescent="0.2">
      <c r="A6933" s="163">
        <v>2022</v>
      </c>
      <c r="B6933" s="163">
        <v>7</v>
      </c>
      <c r="C6933" s="163">
        <v>18</v>
      </c>
      <c r="D6933" s="280">
        <f t="shared" si="492"/>
        <v>44760</v>
      </c>
      <c r="E6933" s="281">
        <f t="shared" si="493"/>
        <v>44760</v>
      </c>
      <c r="F6933" s="480"/>
      <c r="G6933" s="221" t="s">
        <v>94</v>
      </c>
      <c r="H6933" s="145" t="str" cm="1">
        <f t="array" ref="H6933">IFERROR(INDEX(INVESTOR_LIST[INVESTOR NAME],MATCH(I6933,INVESTOR_LIST[INVESTOR CODE],0),)," ")</f>
        <v xml:space="preserve"> </v>
      </c>
      <c r="I6933" s="145"/>
      <c r="J6933" s="163" t="s">
        <v>79</v>
      </c>
      <c r="K6933" s="219"/>
      <c r="L6933" s="219">
        <v>335078.74</v>
      </c>
    </row>
    <row r="6934" spans="1:13" x14ac:dyDescent="0.2">
      <c r="A6934" s="133">
        <v>2022</v>
      </c>
      <c r="B6934" s="133">
        <v>7</v>
      </c>
      <c r="C6934" s="133">
        <v>19</v>
      </c>
      <c r="D6934" s="141">
        <f t="shared" si="488"/>
        <v>44761</v>
      </c>
      <c r="E6934" s="275">
        <f t="shared" si="489"/>
        <v>44761</v>
      </c>
      <c r="F6934" s="481" t="s">
        <v>1033</v>
      </c>
      <c r="G6934" s="174" t="s">
        <v>94</v>
      </c>
      <c r="H6934" s="174"/>
      <c r="J6934" s="149" t="s">
        <v>80</v>
      </c>
      <c r="K6934" s="218">
        <v>4066.08</v>
      </c>
      <c r="L6934" s="218"/>
    </row>
    <row r="6935" spans="1:13" x14ac:dyDescent="0.2">
      <c r="A6935" s="133">
        <v>2022</v>
      </c>
      <c r="B6935" s="133">
        <v>7</v>
      </c>
      <c r="C6935" s="133">
        <v>19</v>
      </c>
      <c r="D6935" s="141">
        <f t="shared" si="488"/>
        <v>44761</v>
      </c>
      <c r="E6935" s="275">
        <f t="shared" si="489"/>
        <v>44761</v>
      </c>
      <c r="F6935" s="481"/>
      <c r="G6935" s="174" t="s">
        <v>94</v>
      </c>
      <c r="H6935" s="174"/>
      <c r="J6935" s="149" t="s">
        <v>190</v>
      </c>
      <c r="K6935" s="218">
        <v>2254868.92</v>
      </c>
      <c r="L6935" s="218"/>
    </row>
    <row r="6936" spans="1:13" x14ac:dyDescent="0.2">
      <c r="A6936" s="133">
        <v>2022</v>
      </c>
      <c r="B6936" s="133">
        <v>7</v>
      </c>
      <c r="C6936" s="133">
        <v>19</v>
      </c>
      <c r="D6936" s="141">
        <f t="shared" si="488"/>
        <v>44761</v>
      </c>
      <c r="E6936" s="275">
        <f t="shared" si="489"/>
        <v>44761</v>
      </c>
      <c r="F6936" s="481"/>
      <c r="G6936" s="174" t="s">
        <v>94</v>
      </c>
      <c r="H6936" s="174" t="str" cm="1">
        <f t="array" ref="H6936">IFERROR(INDEX(INVESTOR_LIST[INVESTOR NAME],MATCH(I6936,INVESTOR_LIST[INVESTOR CODE],0),)," ")</f>
        <v xml:space="preserve"> </v>
      </c>
      <c r="I6936" s="148" t="s">
        <v>348</v>
      </c>
      <c r="J6936" s="149" t="s">
        <v>191</v>
      </c>
      <c r="K6936" s="218">
        <v>51344.74</v>
      </c>
      <c r="L6936" s="218"/>
    </row>
    <row r="6937" spans="1:13" x14ac:dyDescent="0.2">
      <c r="A6937" s="163">
        <v>2022</v>
      </c>
      <c r="B6937" s="163">
        <v>7</v>
      </c>
      <c r="C6937" s="163">
        <v>19</v>
      </c>
      <c r="D6937" s="280">
        <f t="shared" si="488"/>
        <v>44761</v>
      </c>
      <c r="E6937" s="281">
        <f t="shared" si="489"/>
        <v>44761</v>
      </c>
      <c r="F6937" s="480"/>
      <c r="G6937" s="221" t="s">
        <v>94</v>
      </c>
      <c r="H6937" s="145" t="str" cm="1">
        <f t="array" ref="H6937">IFERROR(INDEX(INVESTOR_LIST[INVESTOR NAME],MATCH(I6937,INVESTOR_LIST[INVESTOR CODE],0),)," ")</f>
        <v xml:space="preserve"> </v>
      </c>
      <c r="I6937" s="145"/>
      <c r="J6937" s="163" t="s">
        <v>79</v>
      </c>
      <c r="K6937" s="219"/>
      <c r="L6937" s="219">
        <v>2310279.7400000002</v>
      </c>
    </row>
    <row r="6938" spans="1:13" x14ac:dyDescent="0.2">
      <c r="A6938" s="133">
        <v>2022</v>
      </c>
      <c r="B6938" s="133">
        <v>7</v>
      </c>
      <c r="C6938" s="133">
        <v>20</v>
      </c>
      <c r="D6938" s="141">
        <f t="shared" si="488"/>
        <v>44762</v>
      </c>
      <c r="E6938" s="275">
        <f t="shared" si="489"/>
        <v>44762</v>
      </c>
      <c r="F6938" s="481" t="s">
        <v>1379</v>
      </c>
      <c r="G6938" s="174" t="s">
        <v>94</v>
      </c>
      <c r="H6938" s="174" t="str" cm="1">
        <f t="array" ref="H6938">IFERROR(INDEX(INVESTOR_LIST[INVESTOR NAME],MATCH(I6938,INVESTOR_LIST[INVESTOR CODE],0),)," ")</f>
        <v xml:space="preserve"> </v>
      </c>
      <c r="J6938" s="149" t="s">
        <v>79</v>
      </c>
      <c r="K6938" s="218">
        <v>592000</v>
      </c>
      <c r="L6938" s="218"/>
      <c r="M6938" s="160"/>
    </row>
    <row r="6939" spans="1:13" x14ac:dyDescent="0.2">
      <c r="A6939" s="133">
        <v>2022</v>
      </c>
      <c r="B6939" s="133">
        <v>7</v>
      </c>
      <c r="C6939" s="133">
        <v>20</v>
      </c>
      <c r="D6939" s="141">
        <f t="shared" si="488"/>
        <v>44762</v>
      </c>
      <c r="E6939" s="275">
        <f t="shared" si="489"/>
        <v>44762</v>
      </c>
      <c r="F6939" s="481"/>
      <c r="G6939" s="174" t="s">
        <v>94</v>
      </c>
      <c r="H6939" s="174"/>
      <c r="J6939" s="149" t="s">
        <v>80</v>
      </c>
      <c r="K6939" s="218">
        <v>3621.6</v>
      </c>
      <c r="L6939" s="218"/>
    </row>
    <row r="6940" spans="1:13" x14ac:dyDescent="0.2">
      <c r="A6940" s="133">
        <v>2022</v>
      </c>
      <c r="B6940" s="133">
        <v>7</v>
      </c>
      <c r="C6940" s="133">
        <v>20</v>
      </c>
      <c r="D6940" s="141">
        <f t="shared" si="488"/>
        <v>44762</v>
      </c>
      <c r="E6940" s="275">
        <f t="shared" si="489"/>
        <v>44762</v>
      </c>
      <c r="F6940" s="481"/>
      <c r="G6940" s="174" t="s">
        <v>94</v>
      </c>
      <c r="H6940" s="174"/>
      <c r="J6940" s="149" t="s">
        <v>190</v>
      </c>
      <c r="K6940" s="218">
        <v>824378.4</v>
      </c>
      <c r="L6940" s="218"/>
    </row>
    <row r="6941" spans="1:13" x14ac:dyDescent="0.2">
      <c r="A6941" s="133">
        <v>2022</v>
      </c>
      <c r="B6941" s="133">
        <v>7</v>
      </c>
      <c r="C6941" s="133">
        <v>20</v>
      </c>
      <c r="D6941" s="141">
        <f t="shared" si="488"/>
        <v>44762</v>
      </c>
      <c r="E6941" s="275">
        <f t="shared" si="489"/>
        <v>44762</v>
      </c>
      <c r="F6941" s="481"/>
      <c r="G6941" s="174" t="s">
        <v>94</v>
      </c>
      <c r="H6941" s="174" t="str" cm="1">
        <f t="array" ref="H6941">IFERROR(INDEX(INVESTOR_LIST[INVESTOR NAME],MATCH(I6941,INVESTOR_LIST[INVESTOR CODE],0),)," ")</f>
        <v xml:space="preserve"> </v>
      </c>
      <c r="J6941" s="149" t="s">
        <v>191</v>
      </c>
      <c r="K6941" s="218">
        <v>16163.49</v>
      </c>
      <c r="L6941" s="218"/>
    </row>
    <row r="6942" spans="1:13" x14ac:dyDescent="0.2">
      <c r="A6942" s="163">
        <v>2022</v>
      </c>
      <c r="B6942" s="163">
        <v>7</v>
      </c>
      <c r="C6942" s="163">
        <v>20</v>
      </c>
      <c r="D6942" s="280">
        <f t="shared" si="488"/>
        <v>44762</v>
      </c>
      <c r="E6942" s="281">
        <f t="shared" si="489"/>
        <v>44762</v>
      </c>
      <c r="F6942" s="480"/>
      <c r="G6942" s="221" t="s">
        <v>94</v>
      </c>
      <c r="H6942" s="145" t="str" cm="1">
        <f t="array" ref="H6942">IFERROR(INDEX(INVESTOR_LIST[INVESTOR NAME],MATCH(I6942,INVESTOR_LIST[INVESTOR CODE],0),)," ")</f>
        <v xml:space="preserve"> </v>
      </c>
      <c r="I6942" s="145"/>
      <c r="J6942" s="163" t="s">
        <v>79</v>
      </c>
      <c r="K6942" s="219"/>
      <c r="L6942" s="219">
        <v>1436163.49</v>
      </c>
    </row>
    <row r="6943" spans="1:13" x14ac:dyDescent="0.2">
      <c r="A6943" s="168">
        <v>2022</v>
      </c>
      <c r="B6943" s="168">
        <v>7</v>
      </c>
      <c r="C6943" s="133">
        <v>20</v>
      </c>
      <c r="D6943" s="141">
        <f t="shared" si="488"/>
        <v>44762</v>
      </c>
      <c r="E6943" s="275">
        <f t="shared" si="489"/>
        <v>44762</v>
      </c>
      <c r="F6943" s="479" t="s">
        <v>1441</v>
      </c>
      <c r="G6943" s="220" t="s">
        <v>74</v>
      </c>
      <c r="H6943" s="220" t="str" cm="1">
        <f t="array" ref="H6943">IFERROR(INDEX(INVESTOR_LIST[INVESTOR NAME],MATCH(I6943,INVESTOR_LIST[INVESTOR CODE],0),)," ")</f>
        <v xml:space="preserve"> </v>
      </c>
      <c r="I6943" s="142" t="s">
        <v>348</v>
      </c>
      <c r="J6943" s="143" t="s">
        <v>79</v>
      </c>
      <c r="K6943" s="226">
        <v>3185800</v>
      </c>
      <c r="L6943" s="226"/>
    </row>
    <row r="6944" spans="1:13" x14ac:dyDescent="0.2">
      <c r="A6944" s="133">
        <v>2022</v>
      </c>
      <c r="B6944" s="133">
        <v>7</v>
      </c>
      <c r="C6944" s="133">
        <v>20</v>
      </c>
      <c r="D6944" s="141">
        <f t="shared" si="488"/>
        <v>44762</v>
      </c>
      <c r="E6944" s="275">
        <f t="shared" si="489"/>
        <v>44762</v>
      </c>
      <c r="F6944" s="481"/>
      <c r="G6944" s="174" t="s">
        <v>74</v>
      </c>
      <c r="H6944" s="174" t="str" cm="1">
        <f t="array" ref="H6944">IFERROR(INDEX(INVESTOR_LIST[INVESTOR NAME],MATCH(I6944,INVESTOR_LIST[INVESTOR CODE],0),)," ")</f>
        <v xml:space="preserve"> </v>
      </c>
      <c r="I6944" s="148" t="s">
        <v>348</v>
      </c>
      <c r="J6944" s="149" t="s">
        <v>52</v>
      </c>
      <c r="K6944" s="218">
        <v>1700</v>
      </c>
      <c r="L6944" s="218"/>
    </row>
    <row r="6945" spans="1:12" x14ac:dyDescent="0.2">
      <c r="A6945" s="163">
        <v>2022</v>
      </c>
      <c r="B6945" s="163">
        <v>7</v>
      </c>
      <c r="C6945" s="163">
        <v>20</v>
      </c>
      <c r="D6945" s="141">
        <f t="shared" si="488"/>
        <v>44762</v>
      </c>
      <c r="E6945" s="275">
        <f t="shared" si="489"/>
        <v>44762</v>
      </c>
      <c r="F6945" s="480"/>
      <c r="G6945" s="221" t="s">
        <v>74</v>
      </c>
      <c r="H6945" s="221" t="str" cm="1">
        <f t="array" ref="H6945">IFERROR(INDEX(INVESTOR_LIST[INVESTOR NAME],MATCH(I6945,INVESTOR_LIST[INVESTOR CODE],0),)," ")</f>
        <v xml:space="preserve"> </v>
      </c>
      <c r="I6945" s="145" t="s">
        <v>348</v>
      </c>
      <c r="J6945" s="146" t="s">
        <v>184</v>
      </c>
      <c r="K6945" s="219"/>
      <c r="L6945" s="219">
        <v>3194200</v>
      </c>
    </row>
    <row r="6946" spans="1:12" x14ac:dyDescent="0.2">
      <c r="A6946" s="168">
        <v>2022</v>
      </c>
      <c r="B6946" s="168">
        <v>7</v>
      </c>
      <c r="C6946" s="168">
        <v>20</v>
      </c>
      <c r="D6946" s="141">
        <f>DATE(A6946,B6946,C6946)</f>
        <v>44762</v>
      </c>
      <c r="E6946" s="275">
        <f>DATE(A6946,B6946,C6946)</f>
        <v>44762</v>
      </c>
      <c r="F6946" s="479" t="s">
        <v>1361</v>
      </c>
      <c r="G6946" s="220" t="s">
        <v>74</v>
      </c>
      <c r="H6946" s="220" t="str" cm="1">
        <f t="array" ref="H6946">IFERROR(INDEX(INVESTOR_LIST[INVESTOR NAME],MATCH(I6946,INVESTOR_LIST[INVESTOR CODE],0),)," ")</f>
        <v xml:space="preserve"> </v>
      </c>
      <c r="I6946" s="142" t="s">
        <v>348</v>
      </c>
      <c r="J6946" s="143" t="s">
        <v>52</v>
      </c>
      <c r="K6946" s="226">
        <v>327685</v>
      </c>
      <c r="L6946" s="226"/>
    </row>
    <row r="6947" spans="1:12" x14ac:dyDescent="0.2">
      <c r="A6947" s="163">
        <v>2022</v>
      </c>
      <c r="B6947" s="163">
        <v>7</v>
      </c>
      <c r="C6947" s="163">
        <v>20</v>
      </c>
      <c r="D6947" s="141">
        <f>DATE(A6947,B6947,C6947)</f>
        <v>44762</v>
      </c>
      <c r="E6947" s="275">
        <f>DATE(A6947,B6947,C6947)</f>
        <v>44762</v>
      </c>
      <c r="F6947" s="480"/>
      <c r="G6947" s="221" t="s">
        <v>74</v>
      </c>
      <c r="H6947" s="221" t="str" cm="1">
        <f t="array" ref="H6947">IFERROR(INDEX(INVESTOR_LIST[INVESTOR NAME],MATCH(I6947,INVESTOR_LIST[INVESTOR CODE],0),)," ")</f>
        <v xml:space="preserve"> </v>
      </c>
      <c r="I6947" s="145" t="s">
        <v>348</v>
      </c>
      <c r="J6947" s="146" t="s">
        <v>190</v>
      </c>
      <c r="K6947" s="219"/>
      <c r="L6947" s="219">
        <v>327685</v>
      </c>
    </row>
    <row r="6948" spans="1:12" ht="22.5" x14ac:dyDescent="0.2">
      <c r="A6948" s="168">
        <v>2022</v>
      </c>
      <c r="B6948" s="168">
        <v>7</v>
      </c>
      <c r="C6948" s="133">
        <v>21</v>
      </c>
      <c r="D6948" s="141">
        <f t="shared" ref="D6948:D6971" si="494">DATE(A6948,B6948,C6948)</f>
        <v>44763</v>
      </c>
      <c r="E6948" s="275">
        <f t="shared" ref="E6948:E6971" si="495">DATE(A6948,B6948,C6948)</f>
        <v>44763</v>
      </c>
      <c r="F6948" s="479" t="s">
        <v>1315</v>
      </c>
      <c r="G6948" s="220" t="s">
        <v>74</v>
      </c>
      <c r="H6948" s="142" t="str" cm="1">
        <f t="array" ref="H6948">IFERROR(INDEX(INVESTOR_LIST[INVESTOR NAME],MATCH(I6948,INVESTOR_LIST[INVESTOR CODE],0),)," ")</f>
        <v>CHAONIKA SAHA</v>
      </c>
      <c r="I6948" s="142" t="s">
        <v>577</v>
      </c>
      <c r="J6948" s="168" t="s">
        <v>13</v>
      </c>
      <c r="K6948" s="226">
        <v>337730</v>
      </c>
      <c r="L6948" s="226"/>
    </row>
    <row r="6949" spans="1:12" ht="22.5" x14ac:dyDescent="0.2">
      <c r="A6949" s="133">
        <v>2022</v>
      </c>
      <c r="B6949" s="133">
        <v>7</v>
      </c>
      <c r="C6949" s="133">
        <v>21</v>
      </c>
      <c r="D6949" s="141">
        <f t="shared" si="494"/>
        <v>44763</v>
      </c>
      <c r="E6949" s="275">
        <f t="shared" si="495"/>
        <v>44763</v>
      </c>
      <c r="F6949" s="481"/>
      <c r="G6949" s="174" t="s">
        <v>74</v>
      </c>
      <c r="H6949" s="148" t="str" cm="1">
        <f t="array" ref="H6949">IFERROR(INDEX(INVESTOR_LIST[INVESTOR NAME],MATCH(I6949,INVESTOR_LIST[INVESTOR CODE],0),)," ")</f>
        <v>CHAONIKA SAHA</v>
      </c>
      <c r="I6949" s="148" t="s">
        <v>577</v>
      </c>
      <c r="J6949" s="133" t="s">
        <v>53</v>
      </c>
      <c r="K6949" s="218">
        <v>69234.649999999994</v>
      </c>
      <c r="L6949" s="218"/>
    </row>
    <row r="6950" spans="1:12" ht="22.5" x14ac:dyDescent="0.2">
      <c r="A6950" s="163">
        <v>2022</v>
      </c>
      <c r="B6950" s="163">
        <v>7</v>
      </c>
      <c r="C6950" s="163">
        <v>21</v>
      </c>
      <c r="D6950" s="280">
        <f t="shared" si="494"/>
        <v>44763</v>
      </c>
      <c r="E6950" s="281">
        <f t="shared" si="495"/>
        <v>44763</v>
      </c>
      <c r="F6950" s="480"/>
      <c r="G6950" s="221" t="s">
        <v>74</v>
      </c>
      <c r="H6950" s="145" t="str" cm="1">
        <f t="array" ref="H6950">IFERROR(INDEX(INVESTOR_LIST[INVESTOR NAME],MATCH(I6950,INVESTOR_LIST[INVESTOR CODE],0),)," ")</f>
        <v>CHAONIKA SAHA</v>
      </c>
      <c r="I6950" s="145" t="s">
        <v>577</v>
      </c>
      <c r="J6950" s="163" t="s">
        <v>52</v>
      </c>
      <c r="K6950" s="219"/>
      <c r="L6950" s="219">
        <v>406964.65</v>
      </c>
    </row>
    <row r="6951" spans="1:12" ht="22.5" x14ac:dyDescent="0.2">
      <c r="A6951" s="168">
        <v>2022</v>
      </c>
      <c r="B6951" s="168">
        <v>7</v>
      </c>
      <c r="C6951" s="133">
        <v>21</v>
      </c>
      <c r="D6951" s="141">
        <f t="shared" si="494"/>
        <v>44763</v>
      </c>
      <c r="E6951" s="275">
        <f t="shared" si="495"/>
        <v>44763</v>
      </c>
      <c r="F6951" s="479" t="s">
        <v>1310</v>
      </c>
      <c r="G6951" s="220" t="s">
        <v>74</v>
      </c>
      <c r="H6951" s="142" t="str" cm="1">
        <f t="array" ref="H6951">IFERROR(INDEX(INVESTOR_LIST[INVESTOR NAME],MATCH(I6951,INVESTOR_LIST[INVESTOR CODE],0),)," ")</f>
        <v>CHAONIKA SAHA</v>
      </c>
      <c r="I6951" s="142" t="s">
        <v>577</v>
      </c>
      <c r="J6951" s="168" t="s">
        <v>13</v>
      </c>
      <c r="K6951" s="226">
        <v>16380</v>
      </c>
      <c r="L6951" s="226"/>
    </row>
    <row r="6952" spans="1:12" ht="22.5" x14ac:dyDescent="0.2">
      <c r="A6952" s="133">
        <v>2022</v>
      </c>
      <c r="B6952" s="133">
        <v>7</v>
      </c>
      <c r="C6952" s="133">
        <v>21</v>
      </c>
      <c r="D6952" s="141">
        <f t="shared" si="494"/>
        <v>44763</v>
      </c>
      <c r="E6952" s="275">
        <f t="shared" si="495"/>
        <v>44763</v>
      </c>
      <c r="F6952" s="481"/>
      <c r="G6952" s="174" t="s">
        <v>74</v>
      </c>
      <c r="H6952" s="148" t="str" cm="1">
        <f t="array" ref="H6952">IFERROR(INDEX(INVESTOR_LIST[INVESTOR NAME],MATCH(I6952,INVESTOR_LIST[INVESTOR CODE],0),)," ")</f>
        <v>CHAONIKA SAHA</v>
      </c>
      <c r="I6952" s="148" t="s">
        <v>577</v>
      </c>
      <c r="J6952" s="133" t="s">
        <v>53</v>
      </c>
      <c r="K6952" s="218">
        <v>3357.9</v>
      </c>
      <c r="L6952" s="218"/>
    </row>
    <row r="6953" spans="1:12" ht="22.5" x14ac:dyDescent="0.2">
      <c r="A6953" s="163">
        <v>2022</v>
      </c>
      <c r="B6953" s="163">
        <v>7</v>
      </c>
      <c r="C6953" s="163">
        <v>21</v>
      </c>
      <c r="D6953" s="280">
        <f t="shared" si="494"/>
        <v>44763</v>
      </c>
      <c r="E6953" s="281">
        <f t="shared" si="495"/>
        <v>44763</v>
      </c>
      <c r="F6953" s="480"/>
      <c r="G6953" s="221" t="s">
        <v>74</v>
      </c>
      <c r="H6953" s="145" t="str" cm="1">
        <f t="array" ref="H6953">IFERROR(INDEX(INVESTOR_LIST[INVESTOR NAME],MATCH(I6953,INVESTOR_LIST[INVESTOR CODE],0),)," ")</f>
        <v>CHAONIKA SAHA</v>
      </c>
      <c r="I6953" s="145" t="s">
        <v>577</v>
      </c>
      <c r="J6953" s="163" t="s">
        <v>52</v>
      </c>
      <c r="K6953" s="219"/>
      <c r="L6953" s="219">
        <v>19737.900000000001</v>
      </c>
    </row>
    <row r="6954" spans="1:12" ht="22.5" x14ac:dyDescent="0.2">
      <c r="A6954" s="168">
        <v>2022</v>
      </c>
      <c r="B6954" s="168">
        <v>7</v>
      </c>
      <c r="C6954" s="133">
        <v>21</v>
      </c>
      <c r="D6954" s="141">
        <f t="shared" si="494"/>
        <v>44763</v>
      </c>
      <c r="E6954" s="275">
        <f t="shared" si="495"/>
        <v>44763</v>
      </c>
      <c r="F6954" s="479" t="s">
        <v>1315</v>
      </c>
      <c r="G6954" s="220" t="s">
        <v>74</v>
      </c>
      <c r="H6954" s="142" t="str" cm="1">
        <f t="array" ref="H6954">IFERROR(INDEX(INVESTOR_LIST[INVESTOR NAME],MATCH(I6954,INVESTOR_LIST[INVESTOR CODE],0),)," ")</f>
        <v>ARCHONA SAHA</v>
      </c>
      <c r="I6954" s="142" t="s">
        <v>1377</v>
      </c>
      <c r="J6954" s="168" t="s">
        <v>13</v>
      </c>
      <c r="K6954" s="226">
        <v>120190</v>
      </c>
      <c r="L6954" s="226"/>
    </row>
    <row r="6955" spans="1:12" ht="22.5" x14ac:dyDescent="0.2">
      <c r="A6955" s="133">
        <v>2022</v>
      </c>
      <c r="B6955" s="133">
        <v>7</v>
      </c>
      <c r="C6955" s="133">
        <v>21</v>
      </c>
      <c r="D6955" s="141">
        <f t="shared" si="494"/>
        <v>44763</v>
      </c>
      <c r="E6955" s="275">
        <f t="shared" si="495"/>
        <v>44763</v>
      </c>
      <c r="F6955" s="481"/>
      <c r="G6955" s="174" t="s">
        <v>74</v>
      </c>
      <c r="H6955" s="148" t="str" cm="1">
        <f t="array" ref="H6955">IFERROR(INDEX(INVESTOR_LIST[INVESTOR NAME],MATCH(I6955,INVESTOR_LIST[INVESTOR CODE],0),)," ")</f>
        <v>ARCHONA SAHA</v>
      </c>
      <c r="I6955" s="148" t="s">
        <v>1377</v>
      </c>
      <c r="J6955" s="133" t="s">
        <v>53</v>
      </c>
      <c r="K6955" s="218">
        <v>24638.95</v>
      </c>
      <c r="L6955" s="218"/>
    </row>
    <row r="6956" spans="1:12" ht="22.5" x14ac:dyDescent="0.2">
      <c r="A6956" s="163">
        <v>2022</v>
      </c>
      <c r="B6956" s="163">
        <v>7</v>
      </c>
      <c r="C6956" s="163">
        <v>21</v>
      </c>
      <c r="D6956" s="280">
        <f t="shared" si="494"/>
        <v>44763</v>
      </c>
      <c r="E6956" s="281">
        <f t="shared" si="495"/>
        <v>44763</v>
      </c>
      <c r="F6956" s="480"/>
      <c r="G6956" s="221" t="s">
        <v>74</v>
      </c>
      <c r="H6956" s="145" t="str" cm="1">
        <f t="array" ref="H6956">IFERROR(INDEX(INVESTOR_LIST[INVESTOR NAME],MATCH(I6956,INVESTOR_LIST[INVESTOR CODE],0),)," ")</f>
        <v>ARCHONA SAHA</v>
      </c>
      <c r="I6956" s="145" t="s">
        <v>1377</v>
      </c>
      <c r="J6956" s="163" t="s">
        <v>52</v>
      </c>
      <c r="K6956" s="219"/>
      <c r="L6956" s="219">
        <v>144828.95000000001</v>
      </c>
    </row>
    <row r="6957" spans="1:12" ht="22.5" x14ac:dyDescent="0.2">
      <c r="A6957" s="168">
        <v>2022</v>
      </c>
      <c r="B6957" s="168">
        <v>7</v>
      </c>
      <c r="C6957" s="133">
        <v>21</v>
      </c>
      <c r="D6957" s="141">
        <f t="shared" si="494"/>
        <v>44763</v>
      </c>
      <c r="E6957" s="275">
        <f t="shared" si="495"/>
        <v>44763</v>
      </c>
      <c r="F6957" s="479" t="s">
        <v>1315</v>
      </c>
      <c r="G6957" s="220" t="s">
        <v>74</v>
      </c>
      <c r="H6957" s="142" t="str" cm="1">
        <f t="array" ref="H6957">IFERROR(INDEX(INVESTOR_LIST[INVESTOR NAME],MATCH(I6957,INVESTOR_LIST[INVESTOR CODE],0),)," ")</f>
        <v>ANWAR ZAHID</v>
      </c>
      <c r="I6957" s="142" t="s">
        <v>879</v>
      </c>
      <c r="J6957" s="168" t="s">
        <v>13</v>
      </c>
      <c r="K6957" s="226">
        <v>96330</v>
      </c>
      <c r="L6957" s="226"/>
    </row>
    <row r="6958" spans="1:12" ht="22.5" x14ac:dyDescent="0.2">
      <c r="A6958" s="133">
        <v>2022</v>
      </c>
      <c r="B6958" s="133">
        <v>7</v>
      </c>
      <c r="C6958" s="133">
        <v>21</v>
      </c>
      <c r="D6958" s="141">
        <f t="shared" si="494"/>
        <v>44763</v>
      </c>
      <c r="E6958" s="275">
        <f t="shared" si="495"/>
        <v>44763</v>
      </c>
      <c r="F6958" s="481"/>
      <c r="G6958" s="174" t="s">
        <v>74</v>
      </c>
      <c r="H6958" s="148" t="str" cm="1">
        <f t="array" ref="H6958">IFERROR(INDEX(INVESTOR_LIST[INVESTOR NAME],MATCH(I6958,INVESTOR_LIST[INVESTOR CODE],0),)," ")</f>
        <v>ANWAR ZAHID</v>
      </c>
      <c r="I6958" s="148" t="s">
        <v>879</v>
      </c>
      <c r="J6958" s="133" t="s">
        <v>53</v>
      </c>
      <c r="K6958" s="218">
        <v>19747.650000000001</v>
      </c>
      <c r="L6958" s="218"/>
    </row>
    <row r="6959" spans="1:12" ht="22.5" x14ac:dyDescent="0.2">
      <c r="A6959" s="163">
        <v>2022</v>
      </c>
      <c r="B6959" s="163">
        <v>7</v>
      </c>
      <c r="C6959" s="163">
        <v>21</v>
      </c>
      <c r="D6959" s="280">
        <f t="shared" si="494"/>
        <v>44763</v>
      </c>
      <c r="E6959" s="281">
        <f t="shared" si="495"/>
        <v>44763</v>
      </c>
      <c r="F6959" s="480"/>
      <c r="G6959" s="221" t="s">
        <v>74</v>
      </c>
      <c r="H6959" s="145" t="str" cm="1">
        <f t="array" ref="H6959">IFERROR(INDEX(INVESTOR_LIST[INVESTOR NAME],MATCH(I6959,INVESTOR_LIST[INVESTOR CODE],0),)," ")</f>
        <v>ANWAR ZAHID</v>
      </c>
      <c r="I6959" s="145" t="s">
        <v>879</v>
      </c>
      <c r="J6959" s="163" t="s">
        <v>52</v>
      </c>
      <c r="K6959" s="219"/>
      <c r="L6959" s="219">
        <v>116077.65</v>
      </c>
    </row>
    <row r="6960" spans="1:12" x14ac:dyDescent="0.2">
      <c r="A6960" s="168">
        <v>2022</v>
      </c>
      <c r="B6960" s="168">
        <v>7</v>
      </c>
      <c r="C6960" s="168">
        <v>21</v>
      </c>
      <c r="D6960" s="141">
        <f>DATE(A6960,B6960,C6960)</f>
        <v>44763</v>
      </c>
      <c r="E6960" s="275">
        <f>DATE(A6960,B6960,C6960)</f>
        <v>44763</v>
      </c>
      <c r="F6960" s="479" t="s">
        <v>1361</v>
      </c>
      <c r="G6960" s="220" t="s">
        <v>74</v>
      </c>
      <c r="H6960" s="220" t="str" cm="1">
        <f t="array" ref="H6960">IFERROR(INDEX(INVESTOR_LIST[INVESTOR NAME],MATCH(I6960,INVESTOR_LIST[INVESTOR CODE],0),)," ")</f>
        <v xml:space="preserve"> </v>
      </c>
      <c r="I6960" s="142" t="s">
        <v>348</v>
      </c>
      <c r="J6960" s="143" t="s">
        <v>52</v>
      </c>
      <c r="K6960" s="226">
        <v>2254868.92</v>
      </c>
      <c r="L6960" s="226"/>
    </row>
    <row r="6961" spans="1:12" x14ac:dyDescent="0.2">
      <c r="A6961" s="163">
        <v>2022</v>
      </c>
      <c r="B6961" s="163">
        <v>7</v>
      </c>
      <c r="C6961" s="163">
        <v>21</v>
      </c>
      <c r="D6961" s="141">
        <f>DATE(A6961,B6961,C6961)</f>
        <v>44763</v>
      </c>
      <c r="E6961" s="275">
        <f>DATE(A6961,B6961,C6961)</f>
        <v>44763</v>
      </c>
      <c r="F6961" s="480"/>
      <c r="G6961" s="221" t="s">
        <v>74</v>
      </c>
      <c r="H6961" s="221" t="str" cm="1">
        <f t="array" ref="H6961">IFERROR(INDEX(INVESTOR_LIST[INVESTOR NAME],MATCH(I6961,INVESTOR_LIST[INVESTOR CODE],0),)," ")</f>
        <v xml:space="preserve"> </v>
      </c>
      <c r="I6961" s="145" t="s">
        <v>348</v>
      </c>
      <c r="J6961" s="146" t="s">
        <v>190</v>
      </c>
      <c r="K6961" s="219"/>
      <c r="L6961" s="219">
        <v>2254868.92</v>
      </c>
    </row>
    <row r="6962" spans="1:12" x14ac:dyDescent="0.2">
      <c r="A6962" s="238">
        <v>2022</v>
      </c>
      <c r="B6962" s="238">
        <v>7</v>
      </c>
      <c r="C6962" s="238">
        <v>21</v>
      </c>
      <c r="D6962" s="270">
        <f t="shared" si="494"/>
        <v>44763</v>
      </c>
      <c r="E6962" s="279">
        <f t="shared" si="495"/>
        <v>44763</v>
      </c>
      <c r="F6962" s="477" t="s">
        <v>347</v>
      </c>
      <c r="G6962" s="239" t="s">
        <v>94</v>
      </c>
      <c r="H6962" s="239" t="str" cm="1">
        <f t="array" ref="H6962">IFERROR(INDEX(INVESTOR_LIST[INVESTOR NAME],MATCH(I6962,INVESTOR_LIST[INVESTOR CODE],0),)," ")</f>
        <v xml:space="preserve"> </v>
      </c>
      <c r="I6962" s="262" t="s">
        <v>348</v>
      </c>
      <c r="J6962" s="240" t="s">
        <v>82</v>
      </c>
      <c r="K6962" s="241">
        <v>2249247.71000004</v>
      </c>
      <c r="L6962" s="241"/>
    </row>
    <row r="6963" spans="1:12" x14ac:dyDescent="0.2">
      <c r="A6963" s="242">
        <v>2022</v>
      </c>
      <c r="B6963" s="242">
        <v>7</v>
      </c>
      <c r="C6963" s="242">
        <v>21</v>
      </c>
      <c r="D6963" s="270">
        <f t="shared" si="494"/>
        <v>44763</v>
      </c>
      <c r="E6963" s="279">
        <f t="shared" si="495"/>
        <v>44763</v>
      </c>
      <c r="F6963" s="478"/>
      <c r="G6963" s="243" t="s">
        <v>94</v>
      </c>
      <c r="H6963" s="243" t="str" cm="1">
        <f t="array" ref="H6963">IFERROR(INDEX(INVESTOR_LIST[INVESTOR NAME],MATCH(I6963,INVESTOR_LIST[INVESTOR CODE],0),)," ")</f>
        <v xml:space="preserve"> </v>
      </c>
      <c r="I6963" s="263" t="s">
        <v>348</v>
      </c>
      <c r="J6963" s="244" t="s">
        <v>108</v>
      </c>
      <c r="K6963" s="245"/>
      <c r="L6963" s="245">
        <v>2249247.71000004</v>
      </c>
    </row>
    <row r="6964" spans="1:12" ht="22.5" x14ac:dyDescent="0.2">
      <c r="A6964" s="246">
        <v>2022</v>
      </c>
      <c r="B6964" s="246">
        <v>7</v>
      </c>
      <c r="C6964" s="246">
        <v>21</v>
      </c>
      <c r="D6964" s="270">
        <f t="shared" si="494"/>
        <v>44763</v>
      </c>
      <c r="E6964" s="279">
        <f t="shared" si="495"/>
        <v>44763</v>
      </c>
      <c r="F6964" s="482" t="s">
        <v>148</v>
      </c>
      <c r="G6964" s="247" t="s">
        <v>94</v>
      </c>
      <c r="H6964" s="247" t="str" cm="1">
        <f t="array" ref="H6964">IFERROR(INDEX(INVESTOR_LIST[INVESTOR NAME],MATCH(I6964,INVESTOR_LIST[INVESTOR CODE],0),)," ")</f>
        <v xml:space="preserve"> </v>
      </c>
      <c r="I6964" s="248" t="s">
        <v>348</v>
      </c>
      <c r="J6964" s="249" t="s">
        <v>95</v>
      </c>
      <c r="K6964" s="250">
        <v>2747.2527472527472</v>
      </c>
      <c r="L6964" s="241"/>
    </row>
    <row r="6965" spans="1:12" x14ac:dyDescent="0.2">
      <c r="A6965" s="242">
        <v>2022</v>
      </c>
      <c r="B6965" s="242">
        <v>7</v>
      </c>
      <c r="C6965" s="242">
        <v>21</v>
      </c>
      <c r="D6965" s="270">
        <f t="shared" si="494"/>
        <v>44763</v>
      </c>
      <c r="E6965" s="279">
        <f t="shared" si="495"/>
        <v>44763</v>
      </c>
      <c r="F6965" s="478"/>
      <c r="G6965" s="243" t="s">
        <v>94</v>
      </c>
      <c r="H6965" s="243" t="str" cm="1">
        <f t="array" ref="H6965">IFERROR(INDEX(INVESTOR_LIST[INVESTOR NAME],MATCH(I6965,INVESTOR_LIST[INVESTOR CODE],0),)," ")</f>
        <v xml:space="preserve"> </v>
      </c>
      <c r="I6965" s="263" t="s">
        <v>348</v>
      </c>
      <c r="J6965" s="244" t="s">
        <v>63</v>
      </c>
      <c r="K6965" s="245"/>
      <c r="L6965" s="245">
        <v>2747.2527472527472</v>
      </c>
    </row>
    <row r="6966" spans="1:12" x14ac:dyDescent="0.2">
      <c r="A6966" s="246">
        <v>2022</v>
      </c>
      <c r="B6966" s="246">
        <v>7</v>
      </c>
      <c r="C6966" s="246">
        <v>21</v>
      </c>
      <c r="D6966" s="270">
        <f t="shared" si="494"/>
        <v>44763</v>
      </c>
      <c r="E6966" s="279">
        <f t="shared" si="495"/>
        <v>44763</v>
      </c>
      <c r="F6966" s="482" t="s">
        <v>137</v>
      </c>
      <c r="G6966" s="247" t="s">
        <v>94</v>
      </c>
      <c r="H6966" s="247" t="str" cm="1">
        <f t="array" ref="H6966">IFERROR(INDEX(INVESTOR_LIST[INVESTOR NAME],MATCH(I6966,INVESTOR_LIST[INVESTOR CODE],0),)," ")</f>
        <v xml:space="preserve"> </v>
      </c>
      <c r="I6966" s="248" t="s">
        <v>348</v>
      </c>
      <c r="J6966" s="249" t="s">
        <v>97</v>
      </c>
      <c r="K6966" s="250">
        <v>76929.832839187526</v>
      </c>
      <c r="L6966" s="252"/>
    </row>
    <row r="6967" spans="1:12" x14ac:dyDescent="0.2">
      <c r="A6967" s="242">
        <v>2022</v>
      </c>
      <c r="B6967" s="242">
        <v>7</v>
      </c>
      <c r="C6967" s="242">
        <v>21</v>
      </c>
      <c r="D6967" s="270">
        <f t="shared" si="494"/>
        <v>44763</v>
      </c>
      <c r="E6967" s="279">
        <f t="shared" si="495"/>
        <v>44763</v>
      </c>
      <c r="F6967" s="478"/>
      <c r="G6967" s="243" t="s">
        <v>94</v>
      </c>
      <c r="H6967" s="243" t="str" cm="1">
        <f t="array" ref="H6967">IFERROR(INDEX(INVESTOR_LIST[INVESTOR NAME],MATCH(I6967,INVESTOR_LIST[INVESTOR CODE],0),)," ")</f>
        <v xml:space="preserve"> </v>
      </c>
      <c r="I6967" s="263" t="s">
        <v>348</v>
      </c>
      <c r="J6967" s="244" t="s">
        <v>47</v>
      </c>
      <c r="K6967" s="245"/>
      <c r="L6967" s="245">
        <v>76929.832839187526</v>
      </c>
    </row>
    <row r="6968" spans="1:12" x14ac:dyDescent="0.2">
      <c r="A6968" s="246">
        <v>2022</v>
      </c>
      <c r="B6968" s="246">
        <v>7</v>
      </c>
      <c r="C6968" s="246">
        <v>21</v>
      </c>
      <c r="D6968" s="270">
        <f t="shared" si="494"/>
        <v>44763</v>
      </c>
      <c r="E6968" s="279">
        <f t="shared" si="495"/>
        <v>44763</v>
      </c>
      <c r="F6968" s="482" t="s">
        <v>138</v>
      </c>
      <c r="G6968" s="247" t="s">
        <v>94</v>
      </c>
      <c r="H6968" s="247" t="str" cm="1">
        <f t="array" ref="H6968">IFERROR(INDEX(INVESTOR_LIST[INVESTOR NAME],MATCH(I6968,INVESTOR_LIST[INVESTOR CODE],0),)," ")</f>
        <v xml:space="preserve"> </v>
      </c>
      <c r="I6968" s="248" t="s">
        <v>348</v>
      </c>
      <c r="J6968" s="249" t="s">
        <v>100</v>
      </c>
      <c r="K6968" s="250">
        <v>3606.1070265747612</v>
      </c>
      <c r="L6968" s="252"/>
    </row>
    <row r="6969" spans="1:12" x14ac:dyDescent="0.2">
      <c r="A6969" s="242">
        <v>2022</v>
      </c>
      <c r="B6969" s="242">
        <v>7</v>
      </c>
      <c r="C6969" s="242">
        <v>21</v>
      </c>
      <c r="D6969" s="321">
        <f t="shared" si="494"/>
        <v>44763</v>
      </c>
      <c r="E6969" s="322">
        <f t="shared" si="495"/>
        <v>44763</v>
      </c>
      <c r="F6969" s="478"/>
      <c r="G6969" s="243" t="s">
        <v>94</v>
      </c>
      <c r="H6969" s="243" t="str" cm="1">
        <f t="array" ref="H6969">IFERROR(INDEX(INVESTOR_LIST[INVESTOR NAME],MATCH(I6969,INVESTOR_LIST[INVESTOR CODE],0),)," ")</f>
        <v xml:space="preserve"> </v>
      </c>
      <c r="I6969" s="263" t="s">
        <v>348</v>
      </c>
      <c r="J6969" s="244" t="s">
        <v>48</v>
      </c>
      <c r="K6969" s="245"/>
      <c r="L6969" s="245">
        <v>3606.1070265747612</v>
      </c>
    </row>
    <row r="6970" spans="1:12" x14ac:dyDescent="0.2">
      <c r="A6970" s="133">
        <v>2022</v>
      </c>
      <c r="B6970" s="133">
        <v>7</v>
      </c>
      <c r="C6970" s="168">
        <v>24</v>
      </c>
      <c r="D6970" s="141">
        <f t="shared" si="494"/>
        <v>44766</v>
      </c>
      <c r="E6970" s="275">
        <f t="shared" si="495"/>
        <v>44766</v>
      </c>
      <c r="F6970" s="479" t="s">
        <v>1345</v>
      </c>
      <c r="G6970" s="174" t="s">
        <v>74</v>
      </c>
      <c r="H6970" s="148" t="str" cm="1">
        <f t="array" ref="H6970">IFERROR(INDEX(INVESTOR_LIST[INVESTOR NAME],MATCH(I6970,INVESTOR_LIST[INVESTOR CODE],0),)," ")</f>
        <v xml:space="preserve"> </v>
      </c>
      <c r="I6970" s="148" t="s">
        <v>348</v>
      </c>
      <c r="J6970" s="133" t="s">
        <v>52</v>
      </c>
      <c r="K6970" s="172">
        <v>297000</v>
      </c>
    </row>
    <row r="6971" spans="1:12" x14ac:dyDescent="0.2">
      <c r="A6971" s="163">
        <v>2022</v>
      </c>
      <c r="B6971" s="163">
        <v>7</v>
      </c>
      <c r="C6971" s="163">
        <v>24</v>
      </c>
      <c r="D6971" s="141">
        <f t="shared" si="494"/>
        <v>44766</v>
      </c>
      <c r="E6971" s="275">
        <f t="shared" si="495"/>
        <v>44766</v>
      </c>
      <c r="F6971" s="480"/>
      <c r="G6971" s="221" t="s">
        <v>74</v>
      </c>
      <c r="H6971" s="145" t="str" cm="1">
        <f t="array" ref="H6971">IFERROR(INDEX(INVESTOR_LIST[INVESTOR NAME],MATCH(I6971,INVESTOR_LIST[INVESTOR CODE],0),)," ")</f>
        <v xml:space="preserve"> </v>
      </c>
      <c r="I6971" s="145" t="s">
        <v>348</v>
      </c>
      <c r="J6971" s="163" t="s">
        <v>168</v>
      </c>
      <c r="K6971" s="219"/>
      <c r="L6971" s="219">
        <v>297000</v>
      </c>
    </row>
    <row r="6972" spans="1:12" x14ac:dyDescent="0.2">
      <c r="A6972" s="168">
        <v>2022</v>
      </c>
      <c r="B6972" s="133">
        <v>7</v>
      </c>
      <c r="C6972" s="168">
        <v>24</v>
      </c>
      <c r="D6972" s="141">
        <f>DATE(A6972,B6972,C6972)</f>
        <v>44766</v>
      </c>
      <c r="E6972" s="275">
        <f>DATE(A6972,B6972,C6972)</f>
        <v>44766</v>
      </c>
      <c r="F6972" s="481" t="s">
        <v>982</v>
      </c>
      <c r="G6972" s="174" t="s">
        <v>74</v>
      </c>
      <c r="H6972" s="174" t="str" cm="1">
        <f t="array" ref="H6972">IFERROR(INDEX(INVESTOR_LIST[INVESTOR NAME],MATCH(I6972,INVESTOR_LIST[INVESTOR CODE],0),)," ")</f>
        <v xml:space="preserve"> </v>
      </c>
      <c r="I6972" s="148" t="s">
        <v>348</v>
      </c>
      <c r="J6972" s="149" t="s">
        <v>163</v>
      </c>
      <c r="K6972" s="218">
        <v>9000</v>
      </c>
      <c r="L6972" s="218"/>
    </row>
    <row r="6973" spans="1:12" x14ac:dyDescent="0.2">
      <c r="A6973" s="163">
        <v>2022</v>
      </c>
      <c r="B6973" s="163">
        <v>7</v>
      </c>
      <c r="C6973" s="163">
        <v>24</v>
      </c>
      <c r="D6973" s="141">
        <f>DATE(A6973,B6973,C6973)</f>
        <v>44766</v>
      </c>
      <c r="E6973" s="275">
        <f>DATE(A6973,B6973,C6973)</f>
        <v>44766</v>
      </c>
      <c r="F6973" s="480"/>
      <c r="G6973" s="221" t="s">
        <v>74</v>
      </c>
      <c r="H6973" s="221" t="str" cm="1">
        <f t="array" ref="H6973">IFERROR(INDEX(INVESTOR_LIST[INVESTOR NAME],MATCH(I6973,INVESTOR_LIST[INVESTOR CODE],0),)," ")</f>
        <v xml:space="preserve"> </v>
      </c>
      <c r="I6973" s="145" t="s">
        <v>348</v>
      </c>
      <c r="J6973" s="146" t="s">
        <v>52</v>
      </c>
      <c r="K6973" s="219"/>
      <c r="L6973" s="219">
        <v>9000</v>
      </c>
    </row>
    <row r="6974" spans="1:12" x14ac:dyDescent="0.2">
      <c r="A6974" s="133">
        <v>2022</v>
      </c>
      <c r="B6974" s="133">
        <v>7</v>
      </c>
      <c r="C6974" s="133">
        <v>25</v>
      </c>
      <c r="D6974" s="141">
        <f t="shared" ref="D6974:D6977" si="496">DATE(A6974,B6974,C6974)</f>
        <v>44767</v>
      </c>
      <c r="E6974" s="275">
        <f t="shared" ref="E6974:E6977" si="497">DATE(A6974,B6974,C6974)</f>
        <v>44767</v>
      </c>
      <c r="F6974" s="481" t="s">
        <v>1442</v>
      </c>
      <c r="G6974" s="174" t="s">
        <v>94</v>
      </c>
      <c r="H6974" s="174"/>
      <c r="J6974" s="149" t="s">
        <v>80</v>
      </c>
      <c r="K6974" s="218">
        <v>2225.4499999999998</v>
      </c>
      <c r="L6974" s="218"/>
    </row>
    <row r="6975" spans="1:12" x14ac:dyDescent="0.2">
      <c r="A6975" s="133">
        <v>2022</v>
      </c>
      <c r="B6975" s="133">
        <v>7</v>
      </c>
      <c r="C6975" s="133">
        <v>25</v>
      </c>
      <c r="D6975" s="141">
        <f t="shared" si="496"/>
        <v>44767</v>
      </c>
      <c r="E6975" s="275">
        <f t="shared" si="497"/>
        <v>44767</v>
      </c>
      <c r="F6975" s="481"/>
      <c r="G6975" s="174" t="s">
        <v>94</v>
      </c>
      <c r="H6975" s="174"/>
      <c r="J6975" s="149" t="s">
        <v>190</v>
      </c>
      <c r="K6975" s="218">
        <v>1234134.45</v>
      </c>
      <c r="L6975" s="218"/>
    </row>
    <row r="6976" spans="1:12" x14ac:dyDescent="0.2">
      <c r="A6976" s="133">
        <v>2022</v>
      </c>
      <c r="B6976" s="133">
        <v>7</v>
      </c>
      <c r="C6976" s="133">
        <v>25</v>
      </c>
      <c r="D6976" s="141">
        <f t="shared" si="496"/>
        <v>44767</v>
      </c>
      <c r="E6976" s="275">
        <f t="shared" si="497"/>
        <v>44767</v>
      </c>
      <c r="F6976" s="481"/>
      <c r="G6976" s="174" t="s">
        <v>94</v>
      </c>
      <c r="H6976" s="174" t="str" cm="1">
        <f t="array" ref="H6976">IFERROR(INDEX(INVESTOR_LIST[INVESTOR NAME],MATCH(I6976,INVESTOR_LIST[INVESTOR CODE],0),)," ")</f>
        <v xml:space="preserve"> </v>
      </c>
      <c r="J6976" s="149" t="s">
        <v>191</v>
      </c>
      <c r="K6976" s="218">
        <v>42230.03</v>
      </c>
      <c r="L6976" s="218"/>
    </row>
    <row r="6977" spans="1:12" x14ac:dyDescent="0.2">
      <c r="A6977" s="163">
        <v>2022</v>
      </c>
      <c r="B6977" s="163">
        <v>7</v>
      </c>
      <c r="C6977" s="163">
        <v>25</v>
      </c>
      <c r="D6977" s="280">
        <f t="shared" si="496"/>
        <v>44767</v>
      </c>
      <c r="E6977" s="281">
        <f t="shared" si="497"/>
        <v>44767</v>
      </c>
      <c r="F6977" s="480"/>
      <c r="G6977" s="221" t="s">
        <v>94</v>
      </c>
      <c r="H6977" s="145" t="str" cm="1">
        <f t="array" ref="H6977">IFERROR(INDEX(INVESTOR_LIST[INVESTOR NAME],MATCH(I6977,INVESTOR_LIST[INVESTOR CODE],0),)," ")</f>
        <v xml:space="preserve"> </v>
      </c>
      <c r="I6977" s="145"/>
      <c r="J6977" s="163" t="s">
        <v>79</v>
      </c>
      <c r="K6977" s="219"/>
      <c r="L6977" s="219">
        <v>1278589.93</v>
      </c>
    </row>
    <row r="6978" spans="1:12" x14ac:dyDescent="0.2">
      <c r="A6978" s="168">
        <v>2022</v>
      </c>
      <c r="B6978" s="168">
        <v>7</v>
      </c>
      <c r="C6978" s="168">
        <v>25</v>
      </c>
      <c r="D6978" s="141">
        <f>DATE(A6978,B6978,C6978)</f>
        <v>44767</v>
      </c>
      <c r="E6978" s="275">
        <f>DATE(A6978,B6978,C6978)</f>
        <v>44767</v>
      </c>
      <c r="F6978" s="479" t="s">
        <v>1361</v>
      </c>
      <c r="G6978" s="220" t="s">
        <v>74</v>
      </c>
      <c r="H6978" s="220" t="str" cm="1">
        <f t="array" ref="H6978">IFERROR(INDEX(INVESTOR_LIST[INVESTOR NAME],MATCH(I6978,INVESTOR_LIST[INVESTOR CODE],0),)," ")</f>
        <v xml:space="preserve"> </v>
      </c>
      <c r="I6978" s="142" t="s">
        <v>348</v>
      </c>
      <c r="J6978" s="143" t="s">
        <v>52</v>
      </c>
      <c r="K6978" s="226">
        <v>824378.4</v>
      </c>
      <c r="L6978" s="226"/>
    </row>
    <row r="6979" spans="1:12" x14ac:dyDescent="0.2">
      <c r="A6979" s="163">
        <v>2022</v>
      </c>
      <c r="B6979" s="163">
        <v>7</v>
      </c>
      <c r="C6979" s="163">
        <v>25</v>
      </c>
      <c r="D6979" s="141">
        <f>DATE(A6979,B6979,C6979)</f>
        <v>44767</v>
      </c>
      <c r="E6979" s="275">
        <f>DATE(A6979,B6979,C6979)</f>
        <v>44767</v>
      </c>
      <c r="F6979" s="480"/>
      <c r="G6979" s="221" t="s">
        <v>74</v>
      </c>
      <c r="H6979" s="221" t="str" cm="1">
        <f t="array" ref="H6979">IFERROR(INDEX(INVESTOR_LIST[INVESTOR NAME],MATCH(I6979,INVESTOR_LIST[INVESTOR CODE],0),)," ")</f>
        <v xml:space="preserve"> </v>
      </c>
      <c r="I6979" s="145" t="s">
        <v>348</v>
      </c>
      <c r="J6979" s="146" t="s">
        <v>190</v>
      </c>
      <c r="K6979" s="219"/>
      <c r="L6979" s="219">
        <v>824378.4</v>
      </c>
    </row>
    <row r="6980" spans="1:12" ht="33.75" x14ac:dyDescent="0.2">
      <c r="A6980" s="168">
        <v>2022</v>
      </c>
      <c r="B6980" s="168">
        <v>7</v>
      </c>
      <c r="C6980" s="133">
        <v>25</v>
      </c>
      <c r="D6980" s="141">
        <f t="shared" ref="D6980:D6991" si="498">DATE(A6980,B6980,C6980)</f>
        <v>44767</v>
      </c>
      <c r="E6980" s="275">
        <f t="shared" ref="E6980:E6991" si="499">DATE(A6980,B6980,C6980)</f>
        <v>44767</v>
      </c>
      <c r="F6980" s="479" t="s">
        <v>964</v>
      </c>
      <c r="G6980" s="220" t="s">
        <v>74</v>
      </c>
      <c r="H6980" s="142" t="str" cm="1">
        <f t="array" ref="H6980">IFERROR(INDEX(INVESTOR_LIST[INVESTOR NAME],MATCH(I6980,INVESTOR_LIST[INVESTOR CODE],0),)," ")</f>
        <v>MAYA RANI SAHA</v>
      </c>
      <c r="I6980" s="142" t="s">
        <v>456</v>
      </c>
      <c r="J6980" s="168" t="s">
        <v>52</v>
      </c>
      <c r="K6980" s="226">
        <v>329000</v>
      </c>
      <c r="L6980" s="226"/>
    </row>
    <row r="6981" spans="1:12" ht="33.75" x14ac:dyDescent="0.2">
      <c r="A6981" s="133">
        <v>2022</v>
      </c>
      <c r="B6981" s="133">
        <v>7</v>
      </c>
      <c r="C6981" s="133">
        <v>25</v>
      </c>
      <c r="D6981" s="141">
        <f t="shared" si="498"/>
        <v>44767</v>
      </c>
      <c r="E6981" s="275">
        <f t="shared" si="499"/>
        <v>44767</v>
      </c>
      <c r="F6981" s="481"/>
      <c r="G6981" s="174" t="s">
        <v>74</v>
      </c>
      <c r="H6981" s="148" t="str" cm="1">
        <f t="array" ref="H6981">IFERROR(INDEX(INVESTOR_LIST[INVESTOR NAME],MATCH(I6981,INVESTOR_LIST[INVESTOR CODE],0),)," ")</f>
        <v>MAYA RANI SAHA</v>
      </c>
      <c r="I6981" s="148" t="s">
        <v>456</v>
      </c>
      <c r="J6981" s="133" t="s">
        <v>13</v>
      </c>
      <c r="K6981" s="218"/>
      <c r="L6981" s="218">
        <v>278580</v>
      </c>
    </row>
    <row r="6982" spans="1:12" ht="33.75" x14ac:dyDescent="0.2">
      <c r="A6982" s="163">
        <v>2022</v>
      </c>
      <c r="B6982" s="163">
        <v>7</v>
      </c>
      <c r="C6982" s="163">
        <v>25</v>
      </c>
      <c r="D6982" s="141">
        <f t="shared" si="498"/>
        <v>44767</v>
      </c>
      <c r="E6982" s="275">
        <f t="shared" si="499"/>
        <v>44767</v>
      </c>
      <c r="F6982" s="480"/>
      <c r="G6982" s="221" t="s">
        <v>74</v>
      </c>
      <c r="H6982" s="145" t="str" cm="1">
        <f t="array" ref="H6982">IFERROR(INDEX(INVESTOR_LIST[INVESTOR NAME],MATCH(I6982,INVESTOR_LIST[INVESTOR CODE],0),)," ")</f>
        <v>MAYA RANI SAHA</v>
      </c>
      <c r="I6982" s="145" t="s">
        <v>456</v>
      </c>
      <c r="J6982" s="163" t="s">
        <v>53</v>
      </c>
      <c r="K6982" s="219"/>
      <c r="L6982" s="219">
        <v>50420</v>
      </c>
    </row>
    <row r="6983" spans="1:12" x14ac:dyDescent="0.2">
      <c r="A6983" s="133">
        <v>2022</v>
      </c>
      <c r="B6983" s="133">
        <v>7</v>
      </c>
      <c r="C6983" s="133">
        <v>25</v>
      </c>
      <c r="D6983" s="141">
        <f t="shared" si="498"/>
        <v>44767</v>
      </c>
      <c r="E6983" s="275">
        <f t="shared" si="499"/>
        <v>44767</v>
      </c>
      <c r="F6983" s="481" t="s">
        <v>1442</v>
      </c>
      <c r="G6983" s="174" t="s">
        <v>94</v>
      </c>
      <c r="H6983" s="174"/>
      <c r="J6983" s="149" t="s">
        <v>80</v>
      </c>
      <c r="K6983" s="218">
        <v>841.73</v>
      </c>
      <c r="L6983" s="218"/>
    </row>
    <row r="6984" spans="1:12" x14ac:dyDescent="0.2">
      <c r="A6984" s="133">
        <v>2022</v>
      </c>
      <c r="B6984" s="133">
        <v>7</v>
      </c>
      <c r="C6984" s="133">
        <v>25</v>
      </c>
      <c r="D6984" s="141">
        <f t="shared" si="498"/>
        <v>44767</v>
      </c>
      <c r="E6984" s="275">
        <f t="shared" si="499"/>
        <v>44767</v>
      </c>
      <c r="F6984" s="481"/>
      <c r="G6984" s="174" t="s">
        <v>94</v>
      </c>
      <c r="H6984" s="174"/>
      <c r="J6984" s="149" t="s">
        <v>190</v>
      </c>
      <c r="K6984" s="218">
        <v>466784.27</v>
      </c>
      <c r="L6984" s="218"/>
    </row>
    <row r="6985" spans="1:12" x14ac:dyDescent="0.2">
      <c r="A6985" s="133">
        <v>2022</v>
      </c>
      <c r="B6985" s="133">
        <v>7</v>
      </c>
      <c r="C6985" s="133">
        <v>25</v>
      </c>
      <c r="D6985" s="141">
        <f t="shared" si="498"/>
        <v>44767</v>
      </c>
      <c r="E6985" s="275">
        <f t="shared" si="499"/>
        <v>44767</v>
      </c>
      <c r="F6985" s="481"/>
      <c r="G6985" s="174" t="s">
        <v>94</v>
      </c>
      <c r="H6985" s="174" t="str" cm="1">
        <f t="array" ref="H6985">IFERROR(INDEX(INVESTOR_LIST[INVESTOR NAME],MATCH(I6985,INVESTOR_LIST[INVESTOR CODE],0),)," ")</f>
        <v xml:space="preserve"> </v>
      </c>
      <c r="J6985" s="149" t="s">
        <v>191</v>
      </c>
      <c r="K6985" s="218">
        <v>17356.39</v>
      </c>
      <c r="L6985" s="218"/>
    </row>
    <row r="6986" spans="1:12" x14ac:dyDescent="0.2">
      <c r="A6986" s="163">
        <v>2022</v>
      </c>
      <c r="B6986" s="163">
        <v>7</v>
      </c>
      <c r="C6986" s="163">
        <v>25</v>
      </c>
      <c r="D6986" s="280">
        <f t="shared" si="498"/>
        <v>44767</v>
      </c>
      <c r="E6986" s="281">
        <f t="shared" si="499"/>
        <v>44767</v>
      </c>
      <c r="F6986" s="480"/>
      <c r="G6986" s="221" t="s">
        <v>94</v>
      </c>
      <c r="H6986" s="145" t="str" cm="1">
        <f t="array" ref="H6986">IFERROR(INDEX(INVESTOR_LIST[INVESTOR NAME],MATCH(I6986,INVESTOR_LIST[INVESTOR CODE],0),)," ")</f>
        <v xml:space="preserve"> </v>
      </c>
      <c r="I6986" s="145"/>
      <c r="J6986" s="163" t="s">
        <v>79</v>
      </c>
      <c r="K6986" s="219"/>
      <c r="L6986" s="219">
        <v>484982.39</v>
      </c>
    </row>
    <row r="6987" spans="1:12" x14ac:dyDescent="0.2">
      <c r="A6987" s="133">
        <v>2022</v>
      </c>
      <c r="B6987" s="133">
        <v>7</v>
      </c>
      <c r="C6987" s="168">
        <v>26</v>
      </c>
      <c r="D6987" s="141">
        <f t="shared" si="498"/>
        <v>44768</v>
      </c>
      <c r="E6987" s="275">
        <f t="shared" si="499"/>
        <v>44768</v>
      </c>
      <c r="F6987" s="479" t="s">
        <v>1443</v>
      </c>
      <c r="G6987" s="174" t="s">
        <v>74</v>
      </c>
      <c r="H6987" s="148" t="str" cm="1">
        <f t="array" ref="H6987">IFERROR(INDEX(INVESTOR_LIST[INVESTOR NAME],MATCH(I6987,INVESTOR_LIST[INVESTOR CODE],0),)," ")</f>
        <v xml:space="preserve"> </v>
      </c>
      <c r="I6987" s="148" t="s">
        <v>348</v>
      </c>
      <c r="J6987" s="133" t="s">
        <v>61</v>
      </c>
      <c r="K6987" s="172">
        <v>920</v>
      </c>
    </row>
    <row r="6988" spans="1:12" x14ac:dyDescent="0.2">
      <c r="A6988" s="163">
        <v>2022</v>
      </c>
      <c r="B6988" s="163">
        <v>7</v>
      </c>
      <c r="C6988" s="163">
        <v>26</v>
      </c>
      <c r="D6988" s="141">
        <f t="shared" si="498"/>
        <v>44768</v>
      </c>
      <c r="E6988" s="275">
        <f t="shared" si="499"/>
        <v>44768</v>
      </c>
      <c r="F6988" s="480"/>
      <c r="G6988" s="221" t="s">
        <v>74</v>
      </c>
      <c r="H6988" s="145" t="str" cm="1">
        <f t="array" ref="H6988">IFERROR(INDEX(INVESTOR_LIST[INVESTOR NAME],MATCH(I6988,INVESTOR_LIST[INVESTOR CODE],0),)," ")</f>
        <v xml:space="preserve"> </v>
      </c>
      <c r="I6988" s="145" t="s">
        <v>348</v>
      </c>
      <c r="J6988" s="163" t="s">
        <v>52</v>
      </c>
      <c r="K6988" s="219"/>
      <c r="L6988" s="219">
        <v>920</v>
      </c>
    </row>
    <row r="6989" spans="1:12" ht="22.5" x14ac:dyDescent="0.2">
      <c r="A6989" s="168">
        <v>2022</v>
      </c>
      <c r="B6989" s="168">
        <v>7</v>
      </c>
      <c r="C6989" s="133">
        <v>27</v>
      </c>
      <c r="D6989" s="141">
        <f t="shared" si="498"/>
        <v>44769</v>
      </c>
      <c r="E6989" s="275">
        <f t="shared" si="499"/>
        <v>44769</v>
      </c>
      <c r="F6989" s="479" t="s">
        <v>1310</v>
      </c>
      <c r="G6989" s="220" t="s">
        <v>74</v>
      </c>
      <c r="H6989" s="142" t="str" cm="1">
        <f t="array" ref="H6989">IFERROR(INDEX(INVESTOR_LIST[INVESTOR NAME],MATCH(I6989,INVESTOR_LIST[INVESTOR CODE],0),)," ")</f>
        <v>ARKO SAHA</v>
      </c>
      <c r="I6989" s="142" t="s">
        <v>480</v>
      </c>
      <c r="J6989" s="168" t="s">
        <v>13</v>
      </c>
      <c r="K6989" s="226">
        <v>76860</v>
      </c>
      <c r="L6989" s="226"/>
    </row>
    <row r="6990" spans="1:12" ht="22.5" x14ac:dyDescent="0.2">
      <c r="A6990" s="133">
        <v>2022</v>
      </c>
      <c r="B6990" s="133">
        <v>7</v>
      </c>
      <c r="C6990" s="133">
        <v>27</v>
      </c>
      <c r="D6990" s="141">
        <f t="shared" si="498"/>
        <v>44769</v>
      </c>
      <c r="E6990" s="275">
        <f t="shared" si="499"/>
        <v>44769</v>
      </c>
      <c r="F6990" s="481"/>
      <c r="G6990" s="174" t="s">
        <v>74</v>
      </c>
      <c r="H6990" s="148" t="str" cm="1">
        <f t="array" ref="H6990">IFERROR(INDEX(INVESTOR_LIST[INVESTOR NAME],MATCH(I6990,INVESTOR_LIST[INVESTOR CODE],0),)," ")</f>
        <v>ARKO SAHA</v>
      </c>
      <c r="I6990" s="148" t="s">
        <v>480</v>
      </c>
      <c r="J6990" s="133" t="s">
        <v>53</v>
      </c>
      <c r="K6990" s="218">
        <v>14526.54</v>
      </c>
      <c r="L6990" s="218"/>
    </row>
    <row r="6991" spans="1:12" ht="22.5" x14ac:dyDescent="0.2">
      <c r="A6991" s="163">
        <v>2022</v>
      </c>
      <c r="B6991" s="163">
        <v>7</v>
      </c>
      <c r="C6991" s="163">
        <v>27</v>
      </c>
      <c r="D6991" s="280">
        <f t="shared" si="498"/>
        <v>44769</v>
      </c>
      <c r="E6991" s="281">
        <f t="shared" si="499"/>
        <v>44769</v>
      </c>
      <c r="F6991" s="480"/>
      <c r="G6991" s="221" t="s">
        <v>74</v>
      </c>
      <c r="H6991" s="145" t="str" cm="1">
        <f t="array" ref="H6991">IFERROR(INDEX(INVESTOR_LIST[INVESTOR NAME],MATCH(I6991,INVESTOR_LIST[INVESTOR CODE],0),)," ")</f>
        <v>ARKO SAHA</v>
      </c>
      <c r="I6991" s="145" t="s">
        <v>480</v>
      </c>
      <c r="J6991" s="163" t="s">
        <v>52</v>
      </c>
      <c r="K6991" s="219"/>
      <c r="L6991" s="219">
        <v>91386.54</v>
      </c>
    </row>
    <row r="6992" spans="1:12" x14ac:dyDescent="0.2">
      <c r="A6992" s="168">
        <v>2022</v>
      </c>
      <c r="B6992" s="168">
        <v>7</v>
      </c>
      <c r="C6992" s="168">
        <v>26</v>
      </c>
      <c r="D6992" s="141">
        <f>DATE(A6992,B6992,C6992)</f>
        <v>44768</v>
      </c>
      <c r="E6992" s="275">
        <f>DATE(A6992,B6992,C6992)</f>
        <v>44768</v>
      </c>
      <c r="F6992" s="479" t="s">
        <v>1444</v>
      </c>
      <c r="G6992" s="220" t="s">
        <v>74</v>
      </c>
      <c r="H6992" s="220" t="str" cm="1">
        <f t="array" ref="H6992">IFERROR(INDEX(INVESTOR_LIST[INVESTOR NAME],MATCH(I6992,INVESTOR_LIST[INVESTOR CODE],0),)," ")</f>
        <v xml:space="preserve"> </v>
      </c>
      <c r="I6992" s="142" t="s">
        <v>348</v>
      </c>
      <c r="J6992" s="143" t="s">
        <v>52</v>
      </c>
      <c r="K6992" s="226">
        <v>1234134.45</v>
      </c>
      <c r="L6992" s="226"/>
    </row>
    <row r="6993" spans="1:12" x14ac:dyDescent="0.2">
      <c r="A6993" s="163">
        <v>2022</v>
      </c>
      <c r="B6993" s="163">
        <v>7</v>
      </c>
      <c r="C6993" s="163">
        <v>26</v>
      </c>
      <c r="D6993" s="141">
        <f>DATE(A6993,B6993,C6993)</f>
        <v>44768</v>
      </c>
      <c r="E6993" s="275">
        <f>DATE(A6993,B6993,C6993)</f>
        <v>44768</v>
      </c>
      <c r="F6993" s="480"/>
      <c r="G6993" s="221" t="s">
        <v>74</v>
      </c>
      <c r="H6993" s="221" t="str" cm="1">
        <f t="array" ref="H6993">IFERROR(INDEX(INVESTOR_LIST[INVESTOR NAME],MATCH(I6993,INVESTOR_LIST[INVESTOR CODE],0),)," ")</f>
        <v xml:space="preserve"> </v>
      </c>
      <c r="I6993" s="145" t="s">
        <v>348</v>
      </c>
      <c r="J6993" s="146" t="s">
        <v>190</v>
      </c>
      <c r="K6993" s="219"/>
      <c r="L6993" s="219">
        <v>1234134.45</v>
      </c>
    </row>
    <row r="6994" spans="1:12" x14ac:dyDescent="0.2">
      <c r="A6994" s="133">
        <v>2022</v>
      </c>
      <c r="B6994" s="133">
        <v>7</v>
      </c>
      <c r="C6994" s="168">
        <v>26</v>
      </c>
      <c r="D6994" s="141">
        <f t="shared" ref="D6994:D6998" si="500">DATE(A6994,B6994,C6994)</f>
        <v>44768</v>
      </c>
      <c r="E6994" s="275">
        <f t="shared" ref="E6994:E6998" si="501">DATE(A6994,B6994,C6994)</f>
        <v>44768</v>
      </c>
      <c r="F6994" s="479" t="s">
        <v>1443</v>
      </c>
      <c r="G6994" s="174" t="s">
        <v>74</v>
      </c>
      <c r="H6994" s="148" t="str" cm="1">
        <f t="array" ref="H6994">IFERROR(INDEX(INVESTOR_LIST[INVESTOR NAME],MATCH(I6994,INVESTOR_LIST[INVESTOR CODE],0),)," ")</f>
        <v xml:space="preserve"> </v>
      </c>
      <c r="I6994" s="148" t="s">
        <v>348</v>
      </c>
      <c r="J6994" s="133" t="s">
        <v>61</v>
      </c>
      <c r="K6994" s="172">
        <v>920</v>
      </c>
    </row>
    <row r="6995" spans="1:12" x14ac:dyDescent="0.2">
      <c r="A6995" s="163">
        <v>2022</v>
      </c>
      <c r="B6995" s="163">
        <v>7</v>
      </c>
      <c r="C6995" s="163">
        <v>26</v>
      </c>
      <c r="D6995" s="141">
        <f t="shared" si="500"/>
        <v>44768</v>
      </c>
      <c r="E6995" s="275">
        <f t="shared" si="501"/>
        <v>44768</v>
      </c>
      <c r="F6995" s="480"/>
      <c r="G6995" s="221" t="s">
        <v>74</v>
      </c>
      <c r="H6995" s="145" t="str" cm="1">
        <f t="array" ref="H6995">IFERROR(INDEX(INVESTOR_LIST[INVESTOR NAME],MATCH(I6995,INVESTOR_LIST[INVESTOR CODE],0),)," ")</f>
        <v xml:space="preserve"> </v>
      </c>
      <c r="I6995" s="145" t="s">
        <v>348</v>
      </c>
      <c r="J6995" s="163" t="s">
        <v>52</v>
      </c>
      <c r="K6995" s="219"/>
      <c r="L6995" s="219">
        <v>920</v>
      </c>
    </row>
    <row r="6996" spans="1:12" x14ac:dyDescent="0.2">
      <c r="A6996" s="168">
        <v>2022</v>
      </c>
      <c r="B6996" s="168">
        <v>7</v>
      </c>
      <c r="C6996" s="133">
        <v>26</v>
      </c>
      <c r="D6996" s="141">
        <f t="shared" si="500"/>
        <v>44768</v>
      </c>
      <c r="E6996" s="275">
        <f t="shared" si="501"/>
        <v>44768</v>
      </c>
      <c r="F6996" s="479" t="s">
        <v>1319</v>
      </c>
      <c r="G6996" s="220" t="s">
        <v>74</v>
      </c>
      <c r="H6996" s="142" t="str" cm="1">
        <f t="array" ref="H6996">IFERROR(INDEX(INVESTOR_LIST[INVESTOR NAME],MATCH(I6996,INVESTOR_LIST[INVESTOR CODE],0),)," ")</f>
        <v xml:space="preserve"> </v>
      </c>
      <c r="I6996" s="142"/>
      <c r="J6996" s="168" t="s">
        <v>52</v>
      </c>
      <c r="K6996" s="226">
        <v>502000</v>
      </c>
      <c r="L6996" s="226"/>
    </row>
    <row r="6997" spans="1:12" x14ac:dyDescent="0.2">
      <c r="A6997" s="133">
        <v>2022</v>
      </c>
      <c r="B6997" s="133">
        <v>7</v>
      </c>
      <c r="C6997" s="133">
        <v>26</v>
      </c>
      <c r="D6997" s="141">
        <f t="shared" si="500"/>
        <v>44768</v>
      </c>
      <c r="E6997" s="275">
        <f t="shared" si="501"/>
        <v>44768</v>
      </c>
      <c r="F6997" s="481"/>
      <c r="G6997" s="174" t="s">
        <v>74</v>
      </c>
      <c r="H6997" s="148" t="str" cm="1">
        <f t="array" ref="H6997">IFERROR(INDEX(INVESTOR_LIST[INVESTOR NAME],MATCH(I6997,INVESTOR_LIST[INVESTOR CODE],0),)," ")</f>
        <v xml:space="preserve"> </v>
      </c>
      <c r="J6997" s="133" t="s">
        <v>13</v>
      </c>
      <c r="K6997" s="218"/>
      <c r="L6997" s="218">
        <v>422640</v>
      </c>
    </row>
    <row r="6998" spans="1:12" x14ac:dyDescent="0.2">
      <c r="A6998" s="163">
        <v>2022</v>
      </c>
      <c r="B6998" s="163">
        <v>7</v>
      </c>
      <c r="C6998" s="163">
        <v>26</v>
      </c>
      <c r="D6998" s="141">
        <f t="shared" si="500"/>
        <v>44768</v>
      </c>
      <c r="E6998" s="275">
        <f t="shared" si="501"/>
        <v>44768</v>
      </c>
      <c r="F6998" s="480"/>
      <c r="G6998" s="221" t="s">
        <v>74</v>
      </c>
      <c r="H6998" s="145" t="str" cm="1">
        <f t="array" ref="H6998">IFERROR(INDEX(INVESTOR_LIST[INVESTOR NAME],MATCH(I6998,INVESTOR_LIST[INVESTOR CODE],0),)," ")</f>
        <v xml:space="preserve"> </v>
      </c>
      <c r="I6998" s="145"/>
      <c r="J6998" s="163" t="s">
        <v>53</v>
      </c>
      <c r="K6998" s="219"/>
      <c r="L6998" s="219">
        <v>79360</v>
      </c>
    </row>
    <row r="6999" spans="1:12" x14ac:dyDescent="0.2">
      <c r="A6999" s="168">
        <v>2022</v>
      </c>
      <c r="B6999" s="168">
        <v>7</v>
      </c>
      <c r="C6999" s="168">
        <v>27</v>
      </c>
      <c r="D6999" s="141">
        <f>DATE(A6999,B6999,C6999)</f>
        <v>44769</v>
      </c>
      <c r="E6999" s="275">
        <f>DATE(A6999,B6999,C6999)</f>
        <v>44769</v>
      </c>
      <c r="F6999" s="479" t="s">
        <v>1444</v>
      </c>
      <c r="G6999" s="220" t="s">
        <v>74</v>
      </c>
      <c r="H6999" s="220" t="str" cm="1">
        <f t="array" ref="H6999">IFERROR(INDEX(INVESTOR_LIST[INVESTOR NAME],MATCH(I6999,INVESTOR_LIST[INVESTOR CODE],0),)," ")</f>
        <v xml:space="preserve"> </v>
      </c>
      <c r="I6999" s="142"/>
      <c r="J6999" s="143" t="s">
        <v>52</v>
      </c>
      <c r="K6999" s="226">
        <v>466784.27</v>
      </c>
      <c r="L6999" s="226"/>
    </row>
    <row r="7000" spans="1:12" x14ac:dyDescent="0.2">
      <c r="A7000" s="163">
        <v>2022</v>
      </c>
      <c r="B7000" s="163">
        <v>7</v>
      </c>
      <c r="C7000" s="163">
        <v>27</v>
      </c>
      <c r="D7000" s="141">
        <f>DATE(A7000,B7000,C7000)</f>
        <v>44769</v>
      </c>
      <c r="E7000" s="275">
        <f>DATE(A7000,B7000,C7000)</f>
        <v>44769</v>
      </c>
      <c r="F7000" s="480"/>
      <c r="G7000" s="221" t="s">
        <v>74</v>
      </c>
      <c r="H7000" s="221" t="str" cm="1">
        <f t="array" ref="H7000">IFERROR(INDEX(INVESTOR_LIST[INVESTOR NAME],MATCH(I7000,INVESTOR_LIST[INVESTOR CODE],0),)," ")</f>
        <v xml:space="preserve"> </v>
      </c>
      <c r="I7000" s="145" t="s">
        <v>348</v>
      </c>
      <c r="J7000" s="146" t="s">
        <v>190</v>
      </c>
      <c r="K7000" s="219"/>
      <c r="L7000" s="219">
        <v>466784.27</v>
      </c>
    </row>
    <row r="7001" spans="1:12" x14ac:dyDescent="0.2">
      <c r="A7001" s="133">
        <v>2022</v>
      </c>
      <c r="B7001" s="133">
        <v>7</v>
      </c>
      <c r="C7001" s="133">
        <v>27</v>
      </c>
      <c r="D7001" s="141">
        <f t="shared" ref="D7001:D7007" si="502">DATE(A7001,B7001,C7001)</f>
        <v>44769</v>
      </c>
      <c r="E7001" s="275">
        <f t="shared" ref="E7001:E7007" si="503">DATE(A7001,B7001,C7001)</f>
        <v>44769</v>
      </c>
      <c r="F7001" s="481" t="s">
        <v>1442</v>
      </c>
      <c r="G7001" s="174" t="s">
        <v>94</v>
      </c>
      <c r="H7001" s="174"/>
      <c r="J7001" s="149" t="s">
        <v>80</v>
      </c>
      <c r="K7001" s="218">
        <v>599.94000000000005</v>
      </c>
      <c r="L7001" s="218"/>
    </row>
    <row r="7002" spans="1:12" x14ac:dyDescent="0.2">
      <c r="A7002" s="133">
        <v>2022</v>
      </c>
      <c r="B7002" s="133">
        <v>7</v>
      </c>
      <c r="C7002" s="133">
        <v>27</v>
      </c>
      <c r="D7002" s="141">
        <f t="shared" si="502"/>
        <v>44769</v>
      </c>
      <c r="E7002" s="275">
        <f t="shared" si="503"/>
        <v>44769</v>
      </c>
      <c r="F7002" s="481"/>
      <c r="G7002" s="174" t="s">
        <v>94</v>
      </c>
      <c r="H7002" s="174"/>
      <c r="J7002" s="149" t="s">
        <v>190</v>
      </c>
      <c r="K7002" s="218">
        <v>332698.06</v>
      </c>
      <c r="L7002" s="218"/>
    </row>
    <row r="7003" spans="1:12" x14ac:dyDescent="0.2">
      <c r="A7003" s="133">
        <v>2022</v>
      </c>
      <c r="B7003" s="133">
        <v>7</v>
      </c>
      <c r="C7003" s="133">
        <v>27</v>
      </c>
      <c r="D7003" s="141">
        <f t="shared" si="502"/>
        <v>44769</v>
      </c>
      <c r="E7003" s="275">
        <f t="shared" si="503"/>
        <v>44769</v>
      </c>
      <c r="F7003" s="481"/>
      <c r="G7003" s="174" t="s">
        <v>94</v>
      </c>
      <c r="H7003" s="174" t="str" cm="1">
        <f t="array" ref="H7003">IFERROR(INDEX(INVESTOR_LIST[INVESTOR NAME],MATCH(I7003,INVESTOR_LIST[INVESTOR CODE],0),)," ")</f>
        <v xml:space="preserve"> </v>
      </c>
      <c r="J7003" s="149" t="s">
        <v>191</v>
      </c>
      <c r="K7003" s="218"/>
      <c r="L7003" s="218">
        <v>260188</v>
      </c>
    </row>
    <row r="7004" spans="1:12" x14ac:dyDescent="0.2">
      <c r="A7004" s="163">
        <v>2022</v>
      </c>
      <c r="B7004" s="163">
        <v>7</v>
      </c>
      <c r="C7004" s="163">
        <v>27</v>
      </c>
      <c r="D7004" s="280">
        <f t="shared" si="502"/>
        <v>44769</v>
      </c>
      <c r="E7004" s="281">
        <f t="shared" si="503"/>
        <v>44769</v>
      </c>
      <c r="F7004" s="480"/>
      <c r="G7004" s="221" t="s">
        <v>94</v>
      </c>
      <c r="H7004" s="145" t="str" cm="1">
        <f t="array" ref="H7004">IFERROR(INDEX(INVESTOR_LIST[INVESTOR NAME],MATCH(I7004,INVESTOR_LIST[INVESTOR CODE],0),)," ")</f>
        <v xml:space="preserve"> </v>
      </c>
      <c r="I7004" s="145"/>
      <c r="J7004" s="163" t="s">
        <v>79</v>
      </c>
      <c r="K7004" s="219"/>
      <c r="L7004" s="219">
        <v>73110</v>
      </c>
    </row>
    <row r="7005" spans="1:12" ht="22.5" x14ac:dyDescent="0.2">
      <c r="A7005" s="168">
        <v>2022</v>
      </c>
      <c r="B7005" s="168">
        <v>7</v>
      </c>
      <c r="C7005" s="133">
        <v>28</v>
      </c>
      <c r="D7005" s="141">
        <f t="shared" si="502"/>
        <v>44770</v>
      </c>
      <c r="E7005" s="275">
        <f t="shared" si="503"/>
        <v>44770</v>
      </c>
      <c r="F7005" s="479" t="s">
        <v>1310</v>
      </c>
      <c r="G7005" s="220" t="s">
        <v>74</v>
      </c>
      <c r="H7005" s="142" t="str" cm="1">
        <f t="array" ref="H7005">IFERROR(INDEX(INVESTOR_LIST[INVESTOR NAME],MATCH(I7005,INVESTOR_LIST[INVESTOR CODE],0),)," ")</f>
        <v>ARKO SAHA</v>
      </c>
      <c r="I7005" s="142" t="s">
        <v>480</v>
      </c>
      <c r="J7005" s="168" t="s">
        <v>13</v>
      </c>
      <c r="K7005" s="226">
        <v>4210</v>
      </c>
      <c r="L7005" s="226"/>
    </row>
    <row r="7006" spans="1:12" ht="22.5" x14ac:dyDescent="0.2">
      <c r="A7006" s="133">
        <v>2022</v>
      </c>
      <c r="B7006" s="133">
        <v>7</v>
      </c>
      <c r="C7006" s="133">
        <v>28</v>
      </c>
      <c r="D7006" s="141">
        <f t="shared" si="502"/>
        <v>44770</v>
      </c>
      <c r="E7006" s="275">
        <f t="shared" si="503"/>
        <v>44770</v>
      </c>
      <c r="F7006" s="481"/>
      <c r="G7006" s="174" t="s">
        <v>74</v>
      </c>
      <c r="H7006" s="148" t="str" cm="1">
        <f t="array" ref="H7006">IFERROR(INDEX(INVESTOR_LIST[INVESTOR NAME],MATCH(I7006,INVESTOR_LIST[INVESTOR CODE],0),)," ")</f>
        <v>ARKO SAHA</v>
      </c>
      <c r="I7006" s="148" t="s">
        <v>480</v>
      </c>
      <c r="J7006" s="133" t="s">
        <v>53</v>
      </c>
      <c r="K7006" s="218">
        <v>790</v>
      </c>
      <c r="L7006" s="218"/>
    </row>
    <row r="7007" spans="1:12" ht="22.5" x14ac:dyDescent="0.2">
      <c r="A7007" s="163">
        <v>2022</v>
      </c>
      <c r="B7007" s="163">
        <v>7</v>
      </c>
      <c r="C7007" s="163">
        <v>28</v>
      </c>
      <c r="D7007" s="280">
        <f t="shared" si="502"/>
        <v>44770</v>
      </c>
      <c r="E7007" s="281">
        <f t="shared" si="503"/>
        <v>44770</v>
      </c>
      <c r="F7007" s="480"/>
      <c r="G7007" s="221" t="s">
        <v>74</v>
      </c>
      <c r="H7007" s="145" t="str" cm="1">
        <f t="array" ref="H7007">IFERROR(INDEX(INVESTOR_LIST[INVESTOR NAME],MATCH(I7007,INVESTOR_LIST[INVESTOR CODE],0),)," ")</f>
        <v>ARKO SAHA</v>
      </c>
      <c r="I7007" s="145" t="s">
        <v>480</v>
      </c>
      <c r="J7007" s="163" t="s">
        <v>52</v>
      </c>
      <c r="K7007" s="219"/>
      <c r="L7007" s="219">
        <v>5000</v>
      </c>
    </row>
    <row r="7008" spans="1:12" ht="33.75" x14ac:dyDescent="0.2">
      <c r="A7008" s="168">
        <v>2022</v>
      </c>
      <c r="B7008" s="168">
        <v>7</v>
      </c>
      <c r="C7008" s="133">
        <v>28</v>
      </c>
      <c r="D7008" s="141">
        <f t="shared" ref="D7008:D7010" si="504">DATE(A7008,B7008,C7008)</f>
        <v>44770</v>
      </c>
      <c r="E7008" s="275">
        <f t="shared" ref="E7008:E7010" si="505">DATE(A7008,B7008,C7008)</f>
        <v>44770</v>
      </c>
      <c r="F7008" s="479" t="s">
        <v>1310</v>
      </c>
      <c r="G7008" s="220" t="s">
        <v>74</v>
      </c>
      <c r="H7008" s="142" t="str" cm="1">
        <f t="array" ref="H7008">IFERROR(INDEX(INVESTOR_LIST[INVESTOR NAME],MATCH(I7008,INVESTOR_LIST[INVESTOR CODE],0),)," ")</f>
        <v>MEHERUN NESSA JUTHY</v>
      </c>
      <c r="I7008" s="142" t="s">
        <v>773</v>
      </c>
      <c r="J7008" s="168" t="s">
        <v>13</v>
      </c>
      <c r="K7008" s="226">
        <v>19760</v>
      </c>
      <c r="L7008" s="226"/>
    </row>
    <row r="7009" spans="1:13" ht="33.75" x14ac:dyDescent="0.2">
      <c r="A7009" s="133">
        <v>2022</v>
      </c>
      <c r="B7009" s="133">
        <v>7</v>
      </c>
      <c r="C7009" s="133">
        <v>28</v>
      </c>
      <c r="D7009" s="141">
        <f t="shared" si="504"/>
        <v>44770</v>
      </c>
      <c r="E7009" s="275">
        <f t="shared" si="505"/>
        <v>44770</v>
      </c>
      <c r="F7009" s="481"/>
      <c r="G7009" s="174" t="s">
        <v>74</v>
      </c>
      <c r="H7009" s="148" t="str" cm="1">
        <f t="array" ref="H7009">IFERROR(INDEX(INVESTOR_LIST[INVESTOR NAME],MATCH(I7009,INVESTOR_LIST[INVESTOR CODE],0),)," ")</f>
        <v>MEHERUN NESSA JUTHY</v>
      </c>
      <c r="I7009" s="148" t="s">
        <v>773</v>
      </c>
      <c r="J7009" s="133" t="s">
        <v>53</v>
      </c>
      <c r="K7009" s="218">
        <v>3734.64</v>
      </c>
      <c r="L7009" s="218"/>
    </row>
    <row r="7010" spans="1:13" ht="33.75" x14ac:dyDescent="0.2">
      <c r="A7010" s="163">
        <v>2022</v>
      </c>
      <c r="B7010" s="163">
        <v>7</v>
      </c>
      <c r="C7010" s="163">
        <v>28</v>
      </c>
      <c r="D7010" s="280">
        <f t="shared" si="504"/>
        <v>44770</v>
      </c>
      <c r="E7010" s="281">
        <f t="shared" si="505"/>
        <v>44770</v>
      </c>
      <c r="F7010" s="480"/>
      <c r="G7010" s="221" t="s">
        <v>74</v>
      </c>
      <c r="H7010" s="145" t="str" cm="1">
        <f t="array" ref="H7010">IFERROR(INDEX(INVESTOR_LIST[INVESTOR NAME],MATCH(I7010,INVESTOR_LIST[INVESTOR CODE],0),)," ")</f>
        <v>MEHERUN NESSA JUTHY</v>
      </c>
      <c r="I7010" s="145" t="s">
        <v>773</v>
      </c>
      <c r="J7010" s="163" t="s">
        <v>52</v>
      </c>
      <c r="K7010" s="219"/>
      <c r="L7010" s="219">
        <v>23494.639999999999</v>
      </c>
    </row>
    <row r="7011" spans="1:13" ht="33.75" x14ac:dyDescent="0.2">
      <c r="A7011" s="168">
        <v>2022</v>
      </c>
      <c r="B7011" s="168">
        <v>7</v>
      </c>
      <c r="C7011" s="133">
        <v>28</v>
      </c>
      <c r="D7011" s="141">
        <f t="shared" ref="D7011:D7029" si="506">DATE(A7011,B7011,C7011)</f>
        <v>44770</v>
      </c>
      <c r="E7011" s="275">
        <f t="shared" ref="E7011:E7029" si="507">DATE(A7011,B7011,C7011)</f>
        <v>44770</v>
      </c>
      <c r="F7011" s="479" t="s">
        <v>1310</v>
      </c>
      <c r="G7011" s="220" t="s">
        <v>74</v>
      </c>
      <c r="H7011" s="142" t="str" cm="1">
        <f t="array" ref="H7011">IFERROR(INDEX(INVESTOR_LIST[INVESTOR NAME],MATCH(I7011,INVESTOR_LIST[INVESTOR CODE],0),)," ")</f>
        <v>SARDER SAYED AKRAM</v>
      </c>
      <c r="I7011" s="142" t="s">
        <v>754</v>
      </c>
      <c r="J7011" s="168" t="s">
        <v>13</v>
      </c>
      <c r="K7011" s="226">
        <v>16780</v>
      </c>
      <c r="L7011" s="226"/>
    </row>
    <row r="7012" spans="1:13" ht="33.75" x14ac:dyDescent="0.2">
      <c r="A7012" s="133">
        <v>2022</v>
      </c>
      <c r="B7012" s="133">
        <v>7</v>
      </c>
      <c r="C7012" s="133">
        <v>28</v>
      </c>
      <c r="D7012" s="141">
        <f t="shared" si="506"/>
        <v>44770</v>
      </c>
      <c r="E7012" s="275">
        <f t="shared" si="507"/>
        <v>44770</v>
      </c>
      <c r="F7012" s="481"/>
      <c r="G7012" s="174" t="s">
        <v>74</v>
      </c>
      <c r="H7012" s="148" t="str" cm="1">
        <f t="array" ref="H7012">IFERROR(INDEX(INVESTOR_LIST[INVESTOR NAME],MATCH(I7012,INVESTOR_LIST[INVESTOR CODE],0),)," ")</f>
        <v>SARDER SAYED AKRAM</v>
      </c>
      <c r="I7012" s="148" t="s">
        <v>754</v>
      </c>
      <c r="J7012" s="133" t="s">
        <v>53</v>
      </c>
      <c r="K7012" s="218">
        <v>3171.42</v>
      </c>
      <c r="L7012" s="218"/>
    </row>
    <row r="7013" spans="1:13" ht="33.75" x14ac:dyDescent="0.2">
      <c r="A7013" s="163">
        <v>2022</v>
      </c>
      <c r="B7013" s="163">
        <v>7</v>
      </c>
      <c r="C7013" s="163">
        <v>28</v>
      </c>
      <c r="D7013" s="280">
        <f t="shared" si="506"/>
        <v>44770</v>
      </c>
      <c r="E7013" s="281">
        <f t="shared" si="507"/>
        <v>44770</v>
      </c>
      <c r="F7013" s="480"/>
      <c r="G7013" s="221" t="s">
        <v>74</v>
      </c>
      <c r="H7013" s="145" t="str" cm="1">
        <f t="array" ref="H7013">IFERROR(INDEX(INVESTOR_LIST[INVESTOR NAME],MATCH(I7013,INVESTOR_LIST[INVESTOR CODE],0),)," ")</f>
        <v>SARDER SAYED AKRAM</v>
      </c>
      <c r="I7013" s="145" t="s">
        <v>754</v>
      </c>
      <c r="J7013" s="163" t="s">
        <v>52</v>
      </c>
      <c r="K7013" s="219"/>
      <c r="L7013" s="219">
        <v>19951.419999999998</v>
      </c>
    </row>
    <row r="7014" spans="1:13" x14ac:dyDescent="0.2">
      <c r="A7014" s="133">
        <v>2022</v>
      </c>
      <c r="B7014" s="133">
        <v>7</v>
      </c>
      <c r="C7014" s="133">
        <v>28</v>
      </c>
      <c r="D7014" s="141">
        <f t="shared" si="506"/>
        <v>44770</v>
      </c>
      <c r="E7014" s="275">
        <f t="shared" si="507"/>
        <v>44770</v>
      </c>
      <c r="F7014" s="481" t="s">
        <v>1445</v>
      </c>
      <c r="G7014" s="174" t="s">
        <v>94</v>
      </c>
      <c r="H7014" s="174" t="str" cm="1">
        <f t="array" ref="H7014">IFERROR(INDEX(INVESTOR_LIST[INVESTOR NAME],MATCH(I7014,INVESTOR_LIST[INVESTOR CODE],0),)," ")</f>
        <v xml:space="preserve"> </v>
      </c>
      <c r="J7014" s="149" t="s">
        <v>79</v>
      </c>
      <c r="K7014" s="218">
        <v>2433726</v>
      </c>
      <c r="L7014" s="218"/>
      <c r="M7014" s="160"/>
    </row>
    <row r="7015" spans="1:13" x14ac:dyDescent="0.2">
      <c r="A7015" s="133">
        <v>2022</v>
      </c>
      <c r="B7015" s="133">
        <v>7</v>
      </c>
      <c r="C7015" s="133">
        <v>28</v>
      </c>
      <c r="D7015" s="141">
        <f t="shared" si="506"/>
        <v>44770</v>
      </c>
      <c r="E7015" s="275">
        <f t="shared" si="507"/>
        <v>44770</v>
      </c>
      <c r="F7015" s="481"/>
      <c r="G7015" s="174" t="s">
        <v>94</v>
      </c>
      <c r="H7015" s="174"/>
      <c r="J7015" s="149" t="s">
        <v>80</v>
      </c>
      <c r="K7015" s="218">
        <v>9042.82</v>
      </c>
      <c r="L7015" s="218"/>
    </row>
    <row r="7016" spans="1:13" x14ac:dyDescent="0.2">
      <c r="A7016" s="133">
        <v>2022</v>
      </c>
      <c r="B7016" s="133">
        <v>7</v>
      </c>
      <c r="C7016" s="133">
        <v>28</v>
      </c>
      <c r="D7016" s="141">
        <f t="shared" si="506"/>
        <v>44770</v>
      </c>
      <c r="E7016" s="275">
        <f t="shared" si="507"/>
        <v>44770</v>
      </c>
      <c r="F7016" s="481"/>
      <c r="G7016" s="174" t="s">
        <v>94</v>
      </c>
      <c r="H7016" s="174"/>
      <c r="J7016" s="149" t="s">
        <v>190</v>
      </c>
      <c r="K7016" s="218">
        <v>147296.38</v>
      </c>
      <c r="L7016" s="218"/>
    </row>
    <row r="7017" spans="1:13" x14ac:dyDescent="0.2">
      <c r="A7017" s="133">
        <v>2022</v>
      </c>
      <c r="B7017" s="133">
        <v>7</v>
      </c>
      <c r="C7017" s="133">
        <v>28</v>
      </c>
      <c r="D7017" s="141">
        <f t="shared" si="506"/>
        <v>44770</v>
      </c>
      <c r="E7017" s="275">
        <f t="shared" si="507"/>
        <v>44770</v>
      </c>
      <c r="F7017" s="481"/>
      <c r="G7017" s="174" t="s">
        <v>94</v>
      </c>
      <c r="H7017" s="174" t="str" cm="1">
        <f t="array" ref="H7017">IFERROR(INDEX(INVESTOR_LIST[INVESTOR NAME],MATCH(I7017,INVESTOR_LIST[INVESTOR CODE],0),)," ")</f>
        <v xml:space="preserve"> </v>
      </c>
      <c r="J7017" s="149" t="s">
        <v>191</v>
      </c>
      <c r="K7017" s="218"/>
      <c r="L7017" s="218">
        <v>241058.6</v>
      </c>
    </row>
    <row r="7018" spans="1:13" x14ac:dyDescent="0.2">
      <c r="A7018" s="163">
        <v>2022</v>
      </c>
      <c r="B7018" s="163">
        <v>7</v>
      </c>
      <c r="C7018" s="163">
        <v>28</v>
      </c>
      <c r="D7018" s="280">
        <f t="shared" si="506"/>
        <v>44770</v>
      </c>
      <c r="E7018" s="281">
        <f t="shared" si="507"/>
        <v>44770</v>
      </c>
      <c r="F7018" s="480"/>
      <c r="G7018" s="221" t="s">
        <v>94</v>
      </c>
      <c r="H7018" s="145" t="str" cm="1">
        <f t="array" ref="H7018">IFERROR(INDEX(INVESTOR_LIST[INVESTOR NAME],MATCH(I7018,INVESTOR_LIST[INVESTOR CODE],0),)," ")</f>
        <v xml:space="preserve"> </v>
      </c>
      <c r="I7018" s="145"/>
      <c r="J7018" s="163" t="s">
        <v>79</v>
      </c>
      <c r="K7018" s="219"/>
      <c r="L7018" s="219">
        <v>2349006.6</v>
      </c>
    </row>
    <row r="7019" spans="1:13" ht="22.5" x14ac:dyDescent="0.2">
      <c r="A7019" s="168">
        <v>2022</v>
      </c>
      <c r="B7019" s="168">
        <v>7</v>
      </c>
      <c r="C7019" s="133">
        <v>28</v>
      </c>
      <c r="D7019" s="141">
        <f t="shared" ref="D7019:D7021" si="508">DATE(A7019,B7019,C7019)</f>
        <v>44770</v>
      </c>
      <c r="E7019" s="275">
        <f t="shared" ref="E7019:E7021" si="509">DATE(A7019,B7019,C7019)</f>
        <v>44770</v>
      </c>
      <c r="F7019" s="479" t="s">
        <v>1448</v>
      </c>
      <c r="G7019" s="220" t="s">
        <v>74</v>
      </c>
      <c r="H7019" s="142" t="str" cm="1">
        <f t="array" ref="H7019">IFERROR(INDEX(INVESTOR_LIST[INVESTOR NAME],MATCH(I7019,INVESTOR_LIST[INVESTOR CODE],0),)," ")</f>
        <v>MONIR AHMED</v>
      </c>
      <c r="I7019" s="142" t="s">
        <v>407</v>
      </c>
      <c r="J7019" s="168" t="s">
        <v>13</v>
      </c>
      <c r="K7019" s="226">
        <v>207900</v>
      </c>
      <c r="L7019" s="226"/>
    </row>
    <row r="7020" spans="1:13" ht="22.5" x14ac:dyDescent="0.2">
      <c r="A7020" s="133">
        <v>2022</v>
      </c>
      <c r="B7020" s="133">
        <v>7</v>
      </c>
      <c r="C7020" s="133">
        <v>28</v>
      </c>
      <c r="D7020" s="141">
        <f t="shared" si="508"/>
        <v>44770</v>
      </c>
      <c r="E7020" s="275">
        <f t="shared" si="509"/>
        <v>44770</v>
      </c>
      <c r="F7020" s="481"/>
      <c r="G7020" s="174" t="s">
        <v>74</v>
      </c>
      <c r="H7020" s="148" t="str" cm="1">
        <f t="array" ref="H7020">IFERROR(INDEX(INVESTOR_LIST[INVESTOR NAME],MATCH(I7020,INVESTOR_LIST[INVESTOR CODE],0),)," ")</f>
        <v>MONIR AHMED</v>
      </c>
      <c r="I7020" s="148" t="s">
        <v>407</v>
      </c>
      <c r="J7020" s="133" t="s">
        <v>53</v>
      </c>
      <c r="K7020" s="218">
        <v>39293.1</v>
      </c>
      <c r="L7020" s="218"/>
    </row>
    <row r="7021" spans="1:13" ht="22.5" x14ac:dyDescent="0.2">
      <c r="A7021" s="163">
        <v>2022</v>
      </c>
      <c r="B7021" s="163">
        <v>7</v>
      </c>
      <c r="C7021" s="163">
        <v>28</v>
      </c>
      <c r="D7021" s="280">
        <f t="shared" si="508"/>
        <v>44770</v>
      </c>
      <c r="E7021" s="281">
        <f t="shared" si="509"/>
        <v>44770</v>
      </c>
      <c r="F7021" s="480"/>
      <c r="G7021" s="221" t="s">
        <v>74</v>
      </c>
      <c r="H7021" s="145" t="str" cm="1">
        <f t="array" ref="H7021">IFERROR(INDEX(INVESTOR_LIST[INVESTOR NAME],MATCH(I7021,INVESTOR_LIST[INVESTOR CODE],0),)," ")</f>
        <v>MONIR AHMED</v>
      </c>
      <c r="I7021" s="145" t="s">
        <v>407</v>
      </c>
      <c r="J7021" s="163" t="s">
        <v>52</v>
      </c>
      <c r="K7021" s="219"/>
      <c r="L7021" s="219">
        <v>247193.1</v>
      </c>
    </row>
    <row r="7022" spans="1:13" x14ac:dyDescent="0.2">
      <c r="A7022" s="238">
        <v>2022</v>
      </c>
      <c r="B7022" s="238">
        <v>7</v>
      </c>
      <c r="C7022" s="238">
        <v>28</v>
      </c>
      <c r="D7022" s="270">
        <f t="shared" si="506"/>
        <v>44770</v>
      </c>
      <c r="E7022" s="279">
        <f t="shared" si="507"/>
        <v>44770</v>
      </c>
      <c r="F7022" s="477" t="s">
        <v>347</v>
      </c>
      <c r="G7022" s="239" t="s">
        <v>94</v>
      </c>
      <c r="H7022" s="239" t="str" cm="1">
        <f t="array" ref="H7022">IFERROR(INDEX(INVESTOR_LIST[INVESTOR NAME],MATCH(I7022,INVESTOR_LIST[INVESTOR CODE],0),)," ")</f>
        <v xml:space="preserve"> </v>
      </c>
      <c r="I7022" s="262" t="s">
        <v>348</v>
      </c>
      <c r="J7022" s="240" t="s">
        <v>82</v>
      </c>
      <c r="K7022" s="241">
        <v>1602169.3599999845</v>
      </c>
      <c r="L7022" s="241"/>
    </row>
    <row r="7023" spans="1:13" x14ac:dyDescent="0.2">
      <c r="A7023" s="242">
        <v>2022</v>
      </c>
      <c r="B7023" s="242">
        <v>7</v>
      </c>
      <c r="C7023" s="242">
        <v>28</v>
      </c>
      <c r="D7023" s="270">
        <f t="shared" si="506"/>
        <v>44770</v>
      </c>
      <c r="E7023" s="279">
        <f t="shared" si="507"/>
        <v>44770</v>
      </c>
      <c r="F7023" s="478"/>
      <c r="G7023" s="243" t="s">
        <v>94</v>
      </c>
      <c r="H7023" s="243" t="str" cm="1">
        <f t="array" ref="H7023">IFERROR(INDEX(INVESTOR_LIST[INVESTOR NAME],MATCH(I7023,INVESTOR_LIST[INVESTOR CODE],0),)," ")</f>
        <v xml:space="preserve"> </v>
      </c>
      <c r="I7023" s="263" t="s">
        <v>348</v>
      </c>
      <c r="J7023" s="244" t="s">
        <v>108</v>
      </c>
      <c r="K7023" s="245"/>
      <c r="L7023" s="245">
        <v>1602169.3599999845</v>
      </c>
    </row>
    <row r="7024" spans="1:13" ht="22.5" x14ac:dyDescent="0.2">
      <c r="A7024" s="246">
        <v>2022</v>
      </c>
      <c r="B7024" s="246">
        <v>7</v>
      </c>
      <c r="C7024" s="246">
        <v>28</v>
      </c>
      <c r="D7024" s="270">
        <f t="shared" si="506"/>
        <v>44770</v>
      </c>
      <c r="E7024" s="279">
        <f t="shared" si="507"/>
        <v>44770</v>
      </c>
      <c r="F7024" s="482" t="s">
        <v>148</v>
      </c>
      <c r="G7024" s="247" t="s">
        <v>94</v>
      </c>
      <c r="H7024" s="247" t="str" cm="1">
        <f t="array" ref="H7024">IFERROR(INDEX(INVESTOR_LIST[INVESTOR NAME],MATCH(I7024,INVESTOR_LIST[INVESTOR CODE],0),)," ")</f>
        <v xml:space="preserve"> </v>
      </c>
      <c r="I7024" s="248" t="s">
        <v>348</v>
      </c>
      <c r="J7024" s="249" t="s">
        <v>95</v>
      </c>
      <c r="K7024" s="250">
        <v>2747.2527472527472</v>
      </c>
      <c r="L7024" s="241"/>
    </row>
    <row r="7025" spans="1:17" x14ac:dyDescent="0.2">
      <c r="A7025" s="242">
        <v>2022</v>
      </c>
      <c r="B7025" s="242">
        <v>7</v>
      </c>
      <c r="C7025" s="242">
        <v>28</v>
      </c>
      <c r="D7025" s="270">
        <f t="shared" si="506"/>
        <v>44770</v>
      </c>
      <c r="E7025" s="279">
        <f t="shared" si="507"/>
        <v>44770</v>
      </c>
      <c r="F7025" s="478"/>
      <c r="G7025" s="243" t="s">
        <v>94</v>
      </c>
      <c r="H7025" s="243" t="str" cm="1">
        <f t="array" ref="H7025">IFERROR(INDEX(INVESTOR_LIST[INVESTOR NAME],MATCH(I7025,INVESTOR_LIST[INVESTOR CODE],0),)," ")</f>
        <v xml:space="preserve"> </v>
      </c>
      <c r="I7025" s="263" t="s">
        <v>348</v>
      </c>
      <c r="J7025" s="244" t="s">
        <v>63</v>
      </c>
      <c r="K7025" s="245"/>
      <c r="L7025" s="245">
        <v>2747.2527472527472</v>
      </c>
    </row>
    <row r="7026" spans="1:17" x14ac:dyDescent="0.2">
      <c r="A7026" s="246">
        <v>2022</v>
      </c>
      <c r="B7026" s="246">
        <v>7</v>
      </c>
      <c r="C7026" s="246">
        <v>28</v>
      </c>
      <c r="D7026" s="270">
        <f t="shared" si="506"/>
        <v>44770</v>
      </c>
      <c r="E7026" s="279">
        <f t="shared" si="507"/>
        <v>44770</v>
      </c>
      <c r="F7026" s="482" t="s">
        <v>137</v>
      </c>
      <c r="G7026" s="247" t="s">
        <v>94</v>
      </c>
      <c r="H7026" s="247" t="str" cm="1">
        <f t="array" ref="H7026">IFERROR(INDEX(INVESTOR_LIST[INVESTOR NAME],MATCH(I7026,INVESTOR_LIST[INVESTOR CODE],0),)," ")</f>
        <v xml:space="preserve"> </v>
      </c>
      <c r="I7026" s="248" t="s">
        <v>348</v>
      </c>
      <c r="J7026" s="249" t="s">
        <v>97</v>
      </c>
      <c r="K7026" s="250">
        <v>76708.227103567129</v>
      </c>
      <c r="L7026" s="252"/>
    </row>
    <row r="7027" spans="1:17" x14ac:dyDescent="0.2">
      <c r="A7027" s="242">
        <v>2022</v>
      </c>
      <c r="B7027" s="242">
        <v>7</v>
      </c>
      <c r="C7027" s="242">
        <v>28</v>
      </c>
      <c r="D7027" s="270">
        <f t="shared" si="506"/>
        <v>44770</v>
      </c>
      <c r="E7027" s="279">
        <f t="shared" si="507"/>
        <v>44770</v>
      </c>
      <c r="F7027" s="478"/>
      <c r="G7027" s="243" t="s">
        <v>94</v>
      </c>
      <c r="H7027" s="243" t="str" cm="1">
        <f t="array" ref="H7027">IFERROR(INDEX(INVESTOR_LIST[INVESTOR NAME],MATCH(I7027,INVESTOR_LIST[INVESTOR CODE],0),)," ")</f>
        <v xml:space="preserve"> </v>
      </c>
      <c r="I7027" s="263" t="s">
        <v>348</v>
      </c>
      <c r="J7027" s="244" t="s">
        <v>47</v>
      </c>
      <c r="K7027" s="245"/>
      <c r="L7027" s="245">
        <v>76708.227103567129</v>
      </c>
    </row>
    <row r="7028" spans="1:17" x14ac:dyDescent="0.2">
      <c r="A7028" s="246">
        <v>2022</v>
      </c>
      <c r="B7028" s="246">
        <v>7</v>
      </c>
      <c r="C7028" s="246">
        <v>28</v>
      </c>
      <c r="D7028" s="270">
        <f t="shared" si="506"/>
        <v>44770</v>
      </c>
      <c r="E7028" s="279">
        <f t="shared" si="507"/>
        <v>44770</v>
      </c>
      <c r="F7028" s="482" t="s">
        <v>138</v>
      </c>
      <c r="G7028" s="247" t="s">
        <v>94</v>
      </c>
      <c r="H7028" s="247" t="str" cm="1">
        <f t="array" ref="H7028">IFERROR(INDEX(INVESTOR_LIST[INVESTOR NAME],MATCH(I7028,INVESTOR_LIST[INVESTOR CODE],0),)," ")</f>
        <v xml:space="preserve"> </v>
      </c>
      <c r="I7028" s="248" t="s">
        <v>348</v>
      </c>
      <c r="J7028" s="249" t="s">
        <v>100</v>
      </c>
      <c r="K7028" s="250">
        <v>3595.0267397937414</v>
      </c>
      <c r="L7028" s="252"/>
    </row>
    <row r="7029" spans="1:17" x14ac:dyDescent="0.2">
      <c r="A7029" s="242">
        <v>2022</v>
      </c>
      <c r="B7029" s="242">
        <v>7</v>
      </c>
      <c r="C7029" s="242">
        <v>28</v>
      </c>
      <c r="D7029" s="321">
        <f t="shared" si="506"/>
        <v>44770</v>
      </c>
      <c r="E7029" s="322">
        <f t="shared" si="507"/>
        <v>44770</v>
      </c>
      <c r="F7029" s="478"/>
      <c r="G7029" s="243" t="s">
        <v>94</v>
      </c>
      <c r="H7029" s="243" t="str" cm="1">
        <f t="array" ref="H7029">IFERROR(INDEX(INVESTOR_LIST[INVESTOR NAME],MATCH(I7029,INVESTOR_LIST[INVESTOR CODE],0),)," ")</f>
        <v xml:space="preserve"> </v>
      </c>
      <c r="I7029" s="263" t="s">
        <v>348</v>
      </c>
      <c r="J7029" s="244" t="s">
        <v>48</v>
      </c>
      <c r="K7029" s="245"/>
      <c r="L7029" s="245">
        <v>3595.0267397937414</v>
      </c>
    </row>
    <row r="7030" spans="1:17" x14ac:dyDescent="0.2">
      <c r="A7030" s="168">
        <v>2022</v>
      </c>
      <c r="B7030" s="168">
        <v>7</v>
      </c>
      <c r="C7030" s="168">
        <v>31</v>
      </c>
      <c r="D7030" s="141">
        <f>DATE(A7030,B7030,C7030)</f>
        <v>44773</v>
      </c>
      <c r="E7030" s="275">
        <f>DATE(A7030,B7030,C7030)</f>
        <v>44773</v>
      </c>
      <c r="F7030" s="479" t="s">
        <v>1444</v>
      </c>
      <c r="G7030" s="220" t="s">
        <v>74</v>
      </c>
      <c r="H7030" s="220" t="str" cm="1">
        <f t="array" ref="H7030">IFERROR(INDEX(INVESTOR_LIST[INVESTOR NAME],MATCH(I7030,INVESTOR_LIST[INVESTOR CODE],0),)," ")</f>
        <v xml:space="preserve"> </v>
      </c>
      <c r="I7030" s="142"/>
      <c r="J7030" s="143" t="s">
        <v>52</v>
      </c>
      <c r="K7030" s="226">
        <v>332698.06</v>
      </c>
      <c r="L7030" s="226"/>
    </row>
    <row r="7031" spans="1:17" x14ac:dyDescent="0.2">
      <c r="A7031" s="163">
        <v>2022</v>
      </c>
      <c r="B7031" s="163">
        <v>7</v>
      </c>
      <c r="C7031" s="163">
        <v>31</v>
      </c>
      <c r="D7031" s="141">
        <f>DATE(A7031,B7031,C7031)</f>
        <v>44773</v>
      </c>
      <c r="E7031" s="275">
        <f>DATE(A7031,B7031,C7031)</f>
        <v>44773</v>
      </c>
      <c r="F7031" s="480"/>
      <c r="G7031" s="221" t="s">
        <v>74</v>
      </c>
      <c r="H7031" s="221" t="str" cm="1">
        <f t="array" ref="H7031">IFERROR(INDEX(INVESTOR_LIST[INVESTOR NAME],MATCH(I7031,INVESTOR_LIST[INVESTOR CODE],0),)," ")</f>
        <v xml:space="preserve"> </v>
      </c>
      <c r="I7031" s="145" t="s">
        <v>348</v>
      </c>
      <c r="J7031" s="146" t="s">
        <v>190</v>
      </c>
      <c r="K7031" s="219"/>
      <c r="L7031" s="219">
        <v>332698.06</v>
      </c>
    </row>
    <row r="7032" spans="1:17" x14ac:dyDescent="0.2">
      <c r="A7032" s="168">
        <v>2022</v>
      </c>
      <c r="B7032" s="168">
        <v>7</v>
      </c>
      <c r="C7032" s="168">
        <v>31</v>
      </c>
      <c r="D7032" s="141">
        <f t="shared" ref="D7032:D7034" si="510">DATE(A7032,B7032,C7032)</f>
        <v>44773</v>
      </c>
      <c r="E7032" s="275">
        <f t="shared" ref="E7032:E7034" si="511">DATE(A7032,B7032,C7032)</f>
        <v>44773</v>
      </c>
      <c r="F7032" s="479" t="s">
        <v>1446</v>
      </c>
      <c r="G7032" s="220" t="s">
        <v>94</v>
      </c>
      <c r="H7032" s="220" t="str" cm="1">
        <f t="array" ref="H7032">IFERROR(INDEX(INVESTOR_LIST[INVESTOR NAME],MATCH(I7032,INVESTOR_LIST[INVESTOR CODE],0),)," ")</f>
        <v xml:space="preserve"> </v>
      </c>
      <c r="I7032" s="142" t="s">
        <v>348</v>
      </c>
      <c r="J7032" s="143" t="s">
        <v>79</v>
      </c>
      <c r="K7032" s="226">
        <v>1649105.6</v>
      </c>
      <c r="L7032" s="226"/>
      <c r="M7032" s="147">
        <v>0</v>
      </c>
      <c r="Q7032" s="133" t="s">
        <v>348</v>
      </c>
    </row>
    <row r="7033" spans="1:17" x14ac:dyDescent="0.2">
      <c r="A7033" s="133">
        <v>2022</v>
      </c>
      <c r="B7033" s="133">
        <v>7</v>
      </c>
      <c r="C7033" s="133">
        <v>31</v>
      </c>
      <c r="D7033" s="141">
        <f t="shared" si="510"/>
        <v>44773</v>
      </c>
      <c r="E7033" s="275">
        <f t="shared" si="511"/>
        <v>44773</v>
      </c>
      <c r="F7033" s="481"/>
      <c r="G7033" s="174" t="s">
        <v>94</v>
      </c>
      <c r="H7033" s="174" t="str" cm="1">
        <f t="array" ref="H7033">IFERROR(INDEX(INVESTOR_LIST[INVESTOR NAME],MATCH(I7033,INVESTOR_LIST[INVESTOR CODE],0),)," ")</f>
        <v xml:space="preserve"> </v>
      </c>
      <c r="I7033" s="148" t="s">
        <v>348</v>
      </c>
      <c r="J7033" s="149" t="s">
        <v>80</v>
      </c>
      <c r="K7033" s="218">
        <v>2968.39</v>
      </c>
      <c r="L7033" s="218"/>
      <c r="M7033" s="147">
        <v>0</v>
      </c>
      <c r="Q7033" s="133" t="s">
        <v>348</v>
      </c>
    </row>
    <row r="7034" spans="1:17" x14ac:dyDescent="0.2">
      <c r="A7034" s="163">
        <v>2022</v>
      </c>
      <c r="B7034" s="163">
        <v>7</v>
      </c>
      <c r="C7034" s="163">
        <v>31</v>
      </c>
      <c r="D7034" s="141">
        <f t="shared" si="510"/>
        <v>44773</v>
      </c>
      <c r="E7034" s="275">
        <f t="shared" si="511"/>
        <v>44773</v>
      </c>
      <c r="F7034" s="480"/>
      <c r="G7034" s="221" t="s">
        <v>94</v>
      </c>
      <c r="H7034" s="221" t="str" cm="1">
        <f t="array" ref="H7034">IFERROR(INDEX(INVESTOR_LIST[INVESTOR NAME],MATCH(I7034,INVESTOR_LIST[INVESTOR CODE],0),)," ")</f>
        <v xml:space="preserve"> </v>
      </c>
      <c r="I7034" s="145" t="s">
        <v>348</v>
      </c>
      <c r="J7034" s="146" t="s">
        <v>147</v>
      </c>
      <c r="K7034" s="219"/>
      <c r="L7034" s="219">
        <v>1652073.99</v>
      </c>
      <c r="M7034" s="147">
        <v>0</v>
      </c>
      <c r="Q7034" s="133" t="s">
        <v>348</v>
      </c>
    </row>
    <row r="7035" spans="1:17" x14ac:dyDescent="0.2">
      <c r="A7035" s="168">
        <v>2022</v>
      </c>
      <c r="B7035" s="168">
        <v>7</v>
      </c>
      <c r="C7035" s="168">
        <v>31</v>
      </c>
      <c r="D7035" s="141">
        <f>DATE(A7035,B7035,C7035)</f>
        <v>44773</v>
      </c>
      <c r="E7035" s="275">
        <f>DATE(A7035,B7035,C7035)</f>
        <v>44773</v>
      </c>
      <c r="F7035" s="479" t="s">
        <v>1447</v>
      </c>
      <c r="G7035" s="220" t="s">
        <v>74</v>
      </c>
      <c r="H7035" s="220" t="str" cm="1">
        <f t="array" ref="H7035">IFERROR(INDEX(INVESTOR_LIST[INVESTOR NAME],MATCH(I7035,INVESTOR_LIST[INVESTOR CODE],0),)," ")</f>
        <v xml:space="preserve"> </v>
      </c>
      <c r="I7035" s="142"/>
      <c r="J7035" s="143" t="s">
        <v>147</v>
      </c>
      <c r="K7035" s="226">
        <v>1652073.99</v>
      </c>
      <c r="L7035" s="226"/>
    </row>
    <row r="7036" spans="1:17" x14ac:dyDescent="0.2">
      <c r="A7036" s="163">
        <v>2022</v>
      </c>
      <c r="B7036" s="163">
        <v>7</v>
      </c>
      <c r="C7036" s="163">
        <v>31</v>
      </c>
      <c r="D7036" s="141">
        <f>DATE(A7036,B7036,C7036)</f>
        <v>44773</v>
      </c>
      <c r="E7036" s="275">
        <f>DATE(A7036,B7036,C7036)</f>
        <v>44773</v>
      </c>
      <c r="F7036" s="480"/>
      <c r="G7036" s="221" t="s">
        <v>74</v>
      </c>
      <c r="H7036" s="221" t="str" cm="1">
        <f t="array" ref="H7036">IFERROR(INDEX(INVESTOR_LIST[INVESTOR NAME],MATCH(I7036,INVESTOR_LIST[INVESTOR CODE],0),)," ")</f>
        <v xml:space="preserve"> </v>
      </c>
      <c r="I7036" s="145" t="s">
        <v>348</v>
      </c>
      <c r="J7036" s="146" t="s">
        <v>52</v>
      </c>
      <c r="K7036" s="219"/>
      <c r="L7036" s="219">
        <v>1652073.99</v>
      </c>
    </row>
    <row r="7037" spans="1:17" x14ac:dyDescent="0.2">
      <c r="A7037" s="168">
        <v>2022</v>
      </c>
      <c r="B7037" s="168">
        <v>8</v>
      </c>
      <c r="C7037" s="168">
        <v>1</v>
      </c>
      <c r="D7037" s="141">
        <f>DATE(A7037,B7037,C7037)</f>
        <v>44774</v>
      </c>
      <c r="E7037" s="275">
        <f>DATE(A7037,B7037,C7037)</f>
        <v>44774</v>
      </c>
      <c r="F7037" s="479" t="s">
        <v>1444</v>
      </c>
      <c r="G7037" s="220" t="s">
        <v>74</v>
      </c>
      <c r="H7037" s="220" t="str" cm="1">
        <f t="array" ref="H7037">IFERROR(INDEX(INVESTOR_LIST[INVESTOR NAME],MATCH(I7037,INVESTOR_LIST[INVESTOR CODE],0),)," ")</f>
        <v xml:space="preserve"> </v>
      </c>
      <c r="I7037" s="142"/>
      <c r="J7037" s="143" t="s">
        <v>52</v>
      </c>
      <c r="K7037" s="226">
        <v>147296.37</v>
      </c>
      <c r="L7037" s="226"/>
    </row>
    <row r="7038" spans="1:17" x14ac:dyDescent="0.2">
      <c r="A7038" s="163">
        <v>2022</v>
      </c>
      <c r="B7038" s="163">
        <v>8</v>
      </c>
      <c r="C7038" s="163">
        <v>1</v>
      </c>
      <c r="D7038" s="141">
        <f>DATE(A7038,B7038,C7038)</f>
        <v>44774</v>
      </c>
      <c r="E7038" s="275">
        <f>DATE(A7038,B7038,C7038)</f>
        <v>44774</v>
      </c>
      <c r="F7038" s="480"/>
      <c r="G7038" s="221" t="s">
        <v>74</v>
      </c>
      <c r="H7038" s="221" t="str" cm="1">
        <f t="array" ref="H7038">IFERROR(INDEX(INVESTOR_LIST[INVESTOR NAME],MATCH(I7038,INVESTOR_LIST[INVESTOR CODE],0),)," ")</f>
        <v xml:space="preserve"> </v>
      </c>
      <c r="I7038" s="145" t="s">
        <v>348</v>
      </c>
      <c r="J7038" s="146" t="s">
        <v>190</v>
      </c>
      <c r="K7038" s="219"/>
      <c r="L7038" s="219">
        <v>147296.37</v>
      </c>
    </row>
    <row r="7039" spans="1:17" x14ac:dyDescent="0.2">
      <c r="A7039" s="133">
        <v>2022</v>
      </c>
      <c r="B7039" s="133">
        <v>8</v>
      </c>
      <c r="C7039" s="133">
        <v>1</v>
      </c>
      <c r="D7039" s="141">
        <f t="shared" ref="D7039:D7048" si="512">DATE(A7039,B7039,C7039)</f>
        <v>44774</v>
      </c>
      <c r="E7039" s="275">
        <f t="shared" ref="E7039:E7048" si="513">DATE(A7039,B7039,C7039)</f>
        <v>44774</v>
      </c>
      <c r="F7039" s="481" t="s">
        <v>1442</v>
      </c>
      <c r="G7039" s="174" t="s">
        <v>94</v>
      </c>
      <c r="H7039" s="174"/>
      <c r="J7039" s="149" t="s">
        <v>80</v>
      </c>
      <c r="K7039" s="218">
        <v>3616.72</v>
      </c>
      <c r="L7039" s="218"/>
    </row>
    <row r="7040" spans="1:17" x14ac:dyDescent="0.2">
      <c r="A7040" s="133">
        <v>2022</v>
      </c>
      <c r="B7040" s="133">
        <v>8</v>
      </c>
      <c r="C7040" s="133">
        <v>1</v>
      </c>
      <c r="D7040" s="141">
        <f t="shared" si="512"/>
        <v>44774</v>
      </c>
      <c r="E7040" s="275">
        <f t="shared" si="513"/>
        <v>44774</v>
      </c>
      <c r="F7040" s="481"/>
      <c r="G7040" s="174" t="s">
        <v>94</v>
      </c>
      <c r="H7040" s="174"/>
      <c r="J7040" s="149" t="s">
        <v>190</v>
      </c>
      <c r="K7040" s="218">
        <v>2005672.28</v>
      </c>
      <c r="L7040" s="218"/>
    </row>
    <row r="7041" spans="1:12" x14ac:dyDescent="0.2">
      <c r="A7041" s="133">
        <v>2022</v>
      </c>
      <c r="B7041" s="133">
        <v>8</v>
      </c>
      <c r="C7041" s="133">
        <v>1</v>
      </c>
      <c r="D7041" s="141">
        <f t="shared" si="512"/>
        <v>44774</v>
      </c>
      <c r="E7041" s="275">
        <f t="shared" si="513"/>
        <v>44774</v>
      </c>
      <c r="F7041" s="481"/>
      <c r="G7041" s="174" t="s">
        <v>94</v>
      </c>
      <c r="H7041" s="174" t="str" cm="1">
        <f t="array" ref="H7041">IFERROR(INDEX(INVESTOR_LIST[INVESTOR NAME],MATCH(I7041,INVESTOR_LIST[INVESTOR CODE],0),)," ")</f>
        <v xml:space="preserve"> </v>
      </c>
      <c r="J7041" s="149" t="s">
        <v>191</v>
      </c>
      <c r="K7041" s="218">
        <v>144956.23000000001</v>
      </c>
      <c r="L7041" s="218"/>
    </row>
    <row r="7042" spans="1:12" x14ac:dyDescent="0.2">
      <c r="A7042" s="163">
        <v>2022</v>
      </c>
      <c r="B7042" s="163">
        <v>8</v>
      </c>
      <c r="C7042" s="163">
        <v>1</v>
      </c>
      <c r="D7042" s="280">
        <f t="shared" si="512"/>
        <v>44774</v>
      </c>
      <c r="E7042" s="281">
        <f t="shared" si="513"/>
        <v>44774</v>
      </c>
      <c r="F7042" s="480"/>
      <c r="G7042" s="221" t="s">
        <v>94</v>
      </c>
      <c r="H7042" s="145" t="str" cm="1">
        <f t="array" ref="H7042">IFERROR(INDEX(INVESTOR_LIST[INVESTOR NAME],MATCH(I7042,INVESTOR_LIST[INVESTOR CODE],0),)," ")</f>
        <v xml:space="preserve"> </v>
      </c>
      <c r="I7042" s="145"/>
      <c r="J7042" s="163" t="s">
        <v>79</v>
      </c>
      <c r="K7042" s="219"/>
      <c r="L7042" s="219">
        <v>2154245.23</v>
      </c>
    </row>
    <row r="7043" spans="1:12" ht="22.5" x14ac:dyDescent="0.2">
      <c r="A7043" s="168">
        <v>2022</v>
      </c>
      <c r="B7043" s="168">
        <v>8</v>
      </c>
      <c r="C7043" s="133">
        <v>1</v>
      </c>
      <c r="D7043" s="141">
        <f t="shared" ref="D7043:D7045" si="514">DATE(A7043,B7043,C7043)</f>
        <v>44774</v>
      </c>
      <c r="E7043" s="275">
        <f t="shared" ref="E7043:E7045" si="515">DATE(A7043,B7043,C7043)</f>
        <v>44774</v>
      </c>
      <c r="F7043" s="479" t="s">
        <v>1466</v>
      </c>
      <c r="G7043" s="220" t="s">
        <v>74</v>
      </c>
      <c r="H7043" s="142" t="str" cm="1">
        <f t="array" ref="H7043">IFERROR(INDEX(INVESTOR_LIST[INVESTOR NAME],MATCH(I7043,INVESTOR_LIST[INVESTOR CODE],0),)," ")</f>
        <v>AHMED FARUK</v>
      </c>
      <c r="I7043" s="142" t="s">
        <v>1455</v>
      </c>
      <c r="J7043" s="168" t="s">
        <v>52</v>
      </c>
      <c r="K7043" s="226">
        <v>5000</v>
      </c>
      <c r="L7043" s="226"/>
    </row>
    <row r="7044" spans="1:12" ht="22.5" x14ac:dyDescent="0.2">
      <c r="A7044" s="133">
        <v>2022</v>
      </c>
      <c r="B7044" s="133">
        <v>8</v>
      </c>
      <c r="C7044" s="133">
        <v>1</v>
      </c>
      <c r="D7044" s="141">
        <f t="shared" si="514"/>
        <v>44774</v>
      </c>
      <c r="E7044" s="275">
        <f t="shared" si="515"/>
        <v>44774</v>
      </c>
      <c r="F7044" s="481"/>
      <c r="G7044" s="174" t="s">
        <v>74</v>
      </c>
      <c r="H7044" s="148" t="str" cm="1">
        <f t="array" ref="H7044">IFERROR(INDEX(INVESTOR_LIST[INVESTOR NAME],MATCH(I7044,INVESTOR_LIST[INVESTOR CODE],0),)," ")</f>
        <v>AHMED FARUK</v>
      </c>
      <c r="I7044" s="148" t="s">
        <v>1455</v>
      </c>
      <c r="J7044" s="133" t="s">
        <v>13</v>
      </c>
      <c r="K7044" s="218"/>
      <c r="L7044" s="218">
        <v>4230</v>
      </c>
    </row>
    <row r="7045" spans="1:12" ht="22.5" x14ac:dyDescent="0.2">
      <c r="A7045" s="163">
        <v>2022</v>
      </c>
      <c r="B7045" s="163">
        <v>8</v>
      </c>
      <c r="C7045" s="163">
        <v>1</v>
      </c>
      <c r="D7045" s="141">
        <f t="shared" si="514"/>
        <v>44774</v>
      </c>
      <c r="E7045" s="275">
        <f t="shared" si="515"/>
        <v>44774</v>
      </c>
      <c r="F7045" s="480"/>
      <c r="G7045" s="221" t="s">
        <v>74</v>
      </c>
      <c r="H7045" s="145" t="str" cm="1">
        <f t="array" ref="H7045">IFERROR(INDEX(INVESTOR_LIST[INVESTOR NAME],MATCH(I7045,INVESTOR_LIST[INVESTOR CODE],0),)," ")</f>
        <v>AHMED FARUK</v>
      </c>
      <c r="I7045" s="145" t="s">
        <v>1455</v>
      </c>
      <c r="J7045" s="163" t="s">
        <v>53</v>
      </c>
      <c r="K7045" s="219"/>
      <c r="L7045" s="219">
        <v>770</v>
      </c>
    </row>
    <row r="7046" spans="1:12" ht="22.5" x14ac:dyDescent="0.2">
      <c r="A7046" s="168">
        <v>2022</v>
      </c>
      <c r="B7046" s="168">
        <v>8</v>
      </c>
      <c r="C7046" s="133">
        <v>2</v>
      </c>
      <c r="D7046" s="141">
        <f t="shared" si="512"/>
        <v>44775</v>
      </c>
      <c r="E7046" s="275">
        <f t="shared" si="513"/>
        <v>44775</v>
      </c>
      <c r="F7046" s="479" t="s">
        <v>964</v>
      </c>
      <c r="G7046" s="220" t="s">
        <v>74</v>
      </c>
      <c r="H7046" s="142" t="str" cm="1">
        <f t="array" ref="H7046">IFERROR(INDEX(INVESTOR_LIST[INVESTOR NAME],MATCH(I7046,INVESTOR_LIST[INVESTOR CODE],0),)," ")</f>
        <v>SYED AHMAD</v>
      </c>
      <c r="I7046" s="142" t="s">
        <v>1449</v>
      </c>
      <c r="J7046" s="168" t="s">
        <v>52</v>
      </c>
      <c r="K7046" s="226">
        <v>11810</v>
      </c>
      <c r="L7046" s="226"/>
    </row>
    <row r="7047" spans="1:12" ht="22.5" x14ac:dyDescent="0.2">
      <c r="A7047" s="133">
        <v>2022</v>
      </c>
      <c r="B7047" s="133">
        <v>8</v>
      </c>
      <c r="C7047" s="133">
        <v>2</v>
      </c>
      <c r="D7047" s="141">
        <f t="shared" si="512"/>
        <v>44775</v>
      </c>
      <c r="E7047" s="275">
        <f t="shared" si="513"/>
        <v>44775</v>
      </c>
      <c r="F7047" s="481"/>
      <c r="G7047" s="174" t="s">
        <v>74</v>
      </c>
      <c r="H7047" s="148" t="str" cm="1">
        <f t="array" ref="H7047">IFERROR(INDEX(INVESTOR_LIST[INVESTOR NAME],MATCH(I7047,INVESTOR_LIST[INVESTOR CODE],0),)," ")</f>
        <v>SYED AHMAD</v>
      </c>
      <c r="I7047" s="148" t="s">
        <v>1449</v>
      </c>
      <c r="J7047" s="133" t="s">
        <v>13</v>
      </c>
      <c r="K7047" s="218"/>
      <c r="L7047" s="218">
        <v>10000</v>
      </c>
    </row>
    <row r="7048" spans="1:12" ht="22.5" x14ac:dyDescent="0.2">
      <c r="A7048" s="163">
        <v>2022</v>
      </c>
      <c r="B7048" s="163">
        <v>8</v>
      </c>
      <c r="C7048" s="163">
        <v>2</v>
      </c>
      <c r="D7048" s="141">
        <f t="shared" si="512"/>
        <v>44775</v>
      </c>
      <c r="E7048" s="275">
        <f t="shared" si="513"/>
        <v>44775</v>
      </c>
      <c r="F7048" s="480"/>
      <c r="G7048" s="221" t="s">
        <v>74</v>
      </c>
      <c r="H7048" s="145" t="str" cm="1">
        <f t="array" ref="H7048">IFERROR(INDEX(INVESTOR_LIST[INVESTOR NAME],MATCH(I7048,INVESTOR_LIST[INVESTOR CODE],0),)," ")</f>
        <v>SYED AHMAD</v>
      </c>
      <c r="I7048" s="145" t="s">
        <v>1449</v>
      </c>
      <c r="J7048" s="163" t="s">
        <v>53</v>
      </c>
      <c r="K7048" s="219"/>
      <c r="L7048" s="219">
        <v>1810</v>
      </c>
    </row>
    <row r="7049" spans="1:12" ht="22.5" x14ac:dyDescent="0.2">
      <c r="A7049" s="168">
        <v>2022</v>
      </c>
      <c r="B7049" s="168">
        <v>8</v>
      </c>
      <c r="C7049" s="133">
        <v>2</v>
      </c>
      <c r="D7049" s="141">
        <f t="shared" ref="D7049:D7051" si="516">DATE(A7049,B7049,C7049)</f>
        <v>44775</v>
      </c>
      <c r="E7049" s="275">
        <f t="shared" ref="E7049:E7051" si="517">DATE(A7049,B7049,C7049)</f>
        <v>44775</v>
      </c>
      <c r="F7049" s="479" t="s">
        <v>964</v>
      </c>
      <c r="G7049" s="220" t="s">
        <v>74</v>
      </c>
      <c r="H7049" s="142" t="str" cm="1">
        <f t="array" ref="H7049">IFERROR(INDEX(INVESTOR_LIST[INVESTOR NAME],MATCH(I7049,INVESTOR_LIST[INVESTOR CODE],0),)," ")</f>
        <v>ISHRAT NUR</v>
      </c>
      <c r="I7049" s="142" t="s">
        <v>1458</v>
      </c>
      <c r="J7049" s="168" t="s">
        <v>52</v>
      </c>
      <c r="K7049" s="226">
        <v>11810</v>
      </c>
      <c r="L7049" s="226"/>
    </row>
    <row r="7050" spans="1:12" ht="22.5" x14ac:dyDescent="0.2">
      <c r="A7050" s="133">
        <v>2022</v>
      </c>
      <c r="B7050" s="133">
        <v>8</v>
      </c>
      <c r="C7050" s="133">
        <v>2</v>
      </c>
      <c r="D7050" s="141">
        <f t="shared" si="516"/>
        <v>44775</v>
      </c>
      <c r="E7050" s="275">
        <f t="shared" si="517"/>
        <v>44775</v>
      </c>
      <c r="F7050" s="481"/>
      <c r="G7050" s="174" t="s">
        <v>74</v>
      </c>
      <c r="H7050" s="148" t="str" cm="1">
        <f t="array" ref="H7050">IFERROR(INDEX(INVESTOR_LIST[INVESTOR NAME],MATCH(I7050,INVESTOR_LIST[INVESTOR CODE],0),)," ")</f>
        <v>ISHRAT NUR</v>
      </c>
      <c r="I7050" s="148" t="s">
        <v>1458</v>
      </c>
      <c r="J7050" s="133" t="s">
        <v>13</v>
      </c>
      <c r="K7050" s="218"/>
      <c r="L7050" s="218">
        <v>10000</v>
      </c>
    </row>
    <row r="7051" spans="1:12" ht="22.5" x14ac:dyDescent="0.2">
      <c r="A7051" s="163">
        <v>2022</v>
      </c>
      <c r="B7051" s="163">
        <v>8</v>
      </c>
      <c r="C7051" s="163">
        <v>2</v>
      </c>
      <c r="D7051" s="141">
        <f t="shared" si="516"/>
        <v>44775</v>
      </c>
      <c r="E7051" s="275">
        <f t="shared" si="517"/>
        <v>44775</v>
      </c>
      <c r="F7051" s="480"/>
      <c r="G7051" s="221" t="s">
        <v>74</v>
      </c>
      <c r="H7051" s="145" t="str" cm="1">
        <f t="array" ref="H7051">IFERROR(INDEX(INVESTOR_LIST[INVESTOR NAME],MATCH(I7051,INVESTOR_LIST[INVESTOR CODE],0),)," ")</f>
        <v>ISHRAT NUR</v>
      </c>
      <c r="I7051" s="145" t="s">
        <v>1458</v>
      </c>
      <c r="J7051" s="163" t="s">
        <v>53</v>
      </c>
      <c r="K7051" s="219"/>
      <c r="L7051" s="219">
        <v>1810</v>
      </c>
    </row>
    <row r="7052" spans="1:12" ht="33.75" x14ac:dyDescent="0.2">
      <c r="A7052" s="168">
        <v>2022</v>
      </c>
      <c r="B7052" s="168">
        <v>8</v>
      </c>
      <c r="C7052" s="133">
        <v>2</v>
      </c>
      <c r="D7052" s="141">
        <f t="shared" ref="D7052:D7054" si="518">DATE(A7052,B7052,C7052)</f>
        <v>44775</v>
      </c>
      <c r="E7052" s="275">
        <f t="shared" ref="E7052:E7054" si="519">DATE(A7052,B7052,C7052)</f>
        <v>44775</v>
      </c>
      <c r="F7052" s="479" t="s">
        <v>964</v>
      </c>
      <c r="G7052" s="220" t="s">
        <v>74</v>
      </c>
      <c r="H7052" s="142" t="str" cm="1">
        <f t="array" ref="H7052">IFERROR(INDEX(INVESTOR_LIST[INVESTOR NAME],MATCH(I7052,INVESTOR_LIST[INVESTOR CODE],0),)," ")</f>
        <v>SADIA SYED TAHIA</v>
      </c>
      <c r="I7052" s="142" t="s">
        <v>1460</v>
      </c>
      <c r="J7052" s="168" t="s">
        <v>52</v>
      </c>
      <c r="K7052" s="226">
        <v>11810</v>
      </c>
      <c r="L7052" s="226"/>
    </row>
    <row r="7053" spans="1:12" ht="33.75" x14ac:dyDescent="0.2">
      <c r="A7053" s="133">
        <v>2022</v>
      </c>
      <c r="B7053" s="133">
        <v>8</v>
      </c>
      <c r="C7053" s="133">
        <v>2</v>
      </c>
      <c r="D7053" s="141">
        <f t="shared" si="518"/>
        <v>44775</v>
      </c>
      <c r="E7053" s="275">
        <f t="shared" si="519"/>
        <v>44775</v>
      </c>
      <c r="F7053" s="481"/>
      <c r="G7053" s="174" t="s">
        <v>74</v>
      </c>
      <c r="H7053" s="148" t="str" cm="1">
        <f t="array" ref="H7053">IFERROR(INDEX(INVESTOR_LIST[INVESTOR NAME],MATCH(I7053,INVESTOR_LIST[INVESTOR CODE],0),)," ")</f>
        <v>SADIA SYED TAHIA</v>
      </c>
      <c r="I7053" s="148" t="s">
        <v>1460</v>
      </c>
      <c r="J7053" s="133" t="s">
        <v>13</v>
      </c>
      <c r="K7053" s="218"/>
      <c r="L7053" s="218">
        <v>10000</v>
      </c>
    </row>
    <row r="7054" spans="1:12" ht="33.75" x14ac:dyDescent="0.2">
      <c r="A7054" s="163">
        <v>2022</v>
      </c>
      <c r="B7054" s="163">
        <v>8</v>
      </c>
      <c r="C7054" s="163">
        <v>2</v>
      </c>
      <c r="D7054" s="141">
        <f t="shared" si="518"/>
        <v>44775</v>
      </c>
      <c r="E7054" s="275">
        <f t="shared" si="519"/>
        <v>44775</v>
      </c>
      <c r="F7054" s="480"/>
      <c r="G7054" s="221" t="s">
        <v>74</v>
      </c>
      <c r="H7054" s="145" t="str" cm="1">
        <f t="array" ref="H7054">IFERROR(INDEX(INVESTOR_LIST[INVESTOR NAME],MATCH(I7054,INVESTOR_LIST[INVESTOR CODE],0),)," ")</f>
        <v>SADIA SYED TAHIA</v>
      </c>
      <c r="I7054" s="145" t="s">
        <v>1460</v>
      </c>
      <c r="J7054" s="163" t="s">
        <v>53</v>
      </c>
      <c r="K7054" s="219"/>
      <c r="L7054" s="219">
        <v>1810</v>
      </c>
    </row>
    <row r="7055" spans="1:12" ht="45" x14ac:dyDescent="0.2">
      <c r="A7055" s="168">
        <v>2022</v>
      </c>
      <c r="B7055" s="168">
        <v>8</v>
      </c>
      <c r="C7055" s="133">
        <v>2</v>
      </c>
      <c r="D7055" s="141">
        <f t="shared" ref="D7055:D7057" si="520">DATE(A7055,B7055,C7055)</f>
        <v>44775</v>
      </c>
      <c r="E7055" s="275">
        <f t="shared" ref="E7055:E7057" si="521">DATE(A7055,B7055,C7055)</f>
        <v>44775</v>
      </c>
      <c r="F7055" s="479" t="s">
        <v>964</v>
      </c>
      <c r="G7055" s="220" t="s">
        <v>74</v>
      </c>
      <c r="H7055" s="142" t="str" cm="1">
        <f t="array" ref="H7055">IFERROR(INDEX(INVESTOR_LIST[INVESTOR NAME],MATCH(I7055,INVESTOR_LIST[INVESTOR CODE],0),)," ")</f>
        <v>MD. WALID - AL - ZUBAYER</v>
      </c>
      <c r="I7055" s="142" t="s">
        <v>764</v>
      </c>
      <c r="J7055" s="168" t="s">
        <v>52</v>
      </c>
      <c r="K7055" s="226">
        <v>449961</v>
      </c>
      <c r="L7055" s="226"/>
    </row>
    <row r="7056" spans="1:12" ht="45" x14ac:dyDescent="0.2">
      <c r="A7056" s="133">
        <v>2022</v>
      </c>
      <c r="B7056" s="133">
        <v>8</v>
      </c>
      <c r="C7056" s="133">
        <v>2</v>
      </c>
      <c r="D7056" s="141">
        <f t="shared" si="520"/>
        <v>44775</v>
      </c>
      <c r="E7056" s="275">
        <f t="shared" si="521"/>
        <v>44775</v>
      </c>
      <c r="F7056" s="481"/>
      <c r="G7056" s="174" t="s">
        <v>74</v>
      </c>
      <c r="H7056" s="148" t="str" cm="1">
        <f t="array" ref="H7056">IFERROR(INDEX(INVESTOR_LIST[INVESTOR NAME],MATCH(I7056,INVESTOR_LIST[INVESTOR CODE],0),)," ")</f>
        <v>MD. WALID - AL - ZUBAYER</v>
      </c>
      <c r="I7056" s="148" t="s">
        <v>764</v>
      </c>
      <c r="J7056" s="133" t="s">
        <v>13</v>
      </c>
      <c r="K7056" s="218"/>
      <c r="L7056" s="218">
        <v>381000</v>
      </c>
    </row>
    <row r="7057" spans="1:12" ht="45" x14ac:dyDescent="0.2">
      <c r="A7057" s="163">
        <v>2022</v>
      </c>
      <c r="B7057" s="163">
        <v>8</v>
      </c>
      <c r="C7057" s="163">
        <v>2</v>
      </c>
      <c r="D7057" s="141">
        <f t="shared" si="520"/>
        <v>44775</v>
      </c>
      <c r="E7057" s="275">
        <f t="shared" si="521"/>
        <v>44775</v>
      </c>
      <c r="F7057" s="480"/>
      <c r="G7057" s="221" t="s">
        <v>74</v>
      </c>
      <c r="H7057" s="145" t="str" cm="1">
        <f t="array" ref="H7057">IFERROR(INDEX(INVESTOR_LIST[INVESTOR NAME],MATCH(I7057,INVESTOR_LIST[INVESTOR CODE],0),)," ")</f>
        <v>MD. WALID - AL - ZUBAYER</v>
      </c>
      <c r="I7057" s="145" t="s">
        <v>764</v>
      </c>
      <c r="J7057" s="163" t="s">
        <v>53</v>
      </c>
      <c r="K7057" s="219"/>
      <c r="L7057" s="219">
        <v>68961</v>
      </c>
    </row>
    <row r="7058" spans="1:12" ht="33.75" x14ac:dyDescent="0.2">
      <c r="A7058" s="168">
        <v>2022</v>
      </c>
      <c r="B7058" s="168">
        <v>8</v>
      </c>
      <c r="C7058" s="133">
        <v>3</v>
      </c>
      <c r="D7058" s="141">
        <f t="shared" ref="D7058:D7060" si="522">DATE(A7058,B7058,C7058)</f>
        <v>44776</v>
      </c>
      <c r="E7058" s="275">
        <f t="shared" ref="E7058:E7060" si="523">DATE(A7058,B7058,C7058)</f>
        <v>44776</v>
      </c>
      <c r="F7058" s="479" t="s">
        <v>964</v>
      </c>
      <c r="G7058" s="220" t="s">
        <v>74</v>
      </c>
      <c r="H7058" s="142" t="str" cm="1">
        <f t="array" ref="H7058">IFERROR(INDEX(INVESTOR_LIST[INVESTOR NAME],MATCH(I7058,INVESTOR_LIST[INVESTOR CODE],0),)," ")</f>
        <v>MD. BABUL MIAH</v>
      </c>
      <c r="I7058" s="142" t="s">
        <v>1375</v>
      </c>
      <c r="J7058" s="168" t="s">
        <v>52</v>
      </c>
      <c r="K7058" s="226">
        <v>30000</v>
      </c>
      <c r="L7058" s="226"/>
    </row>
    <row r="7059" spans="1:12" ht="33.75" x14ac:dyDescent="0.2">
      <c r="A7059" s="133">
        <v>2022</v>
      </c>
      <c r="B7059" s="133">
        <v>8</v>
      </c>
      <c r="C7059" s="133">
        <v>3</v>
      </c>
      <c r="D7059" s="141">
        <f t="shared" si="522"/>
        <v>44776</v>
      </c>
      <c r="E7059" s="275">
        <f t="shared" si="523"/>
        <v>44776</v>
      </c>
      <c r="F7059" s="481"/>
      <c r="G7059" s="174" t="s">
        <v>74</v>
      </c>
      <c r="H7059" s="148" t="str" cm="1">
        <f t="array" ref="H7059">IFERROR(INDEX(INVESTOR_LIST[INVESTOR NAME],MATCH(I7059,INVESTOR_LIST[INVESTOR CODE],0),)," ")</f>
        <v>MD. BABUL MIAH</v>
      </c>
      <c r="I7059" s="148" t="s">
        <v>1375</v>
      </c>
      <c r="J7059" s="133" t="s">
        <v>13</v>
      </c>
      <c r="K7059" s="218"/>
      <c r="L7059" s="218">
        <v>25400</v>
      </c>
    </row>
    <row r="7060" spans="1:12" ht="33.75" x14ac:dyDescent="0.2">
      <c r="A7060" s="163">
        <v>2022</v>
      </c>
      <c r="B7060" s="163">
        <v>8</v>
      </c>
      <c r="C7060" s="163">
        <v>3</v>
      </c>
      <c r="D7060" s="141">
        <f t="shared" si="522"/>
        <v>44776</v>
      </c>
      <c r="E7060" s="275">
        <f t="shared" si="523"/>
        <v>44776</v>
      </c>
      <c r="F7060" s="480"/>
      <c r="G7060" s="221" t="s">
        <v>74</v>
      </c>
      <c r="H7060" s="145" t="str" cm="1">
        <f t="array" ref="H7060">IFERROR(INDEX(INVESTOR_LIST[INVESTOR NAME],MATCH(I7060,INVESTOR_LIST[INVESTOR CODE],0),)," ")</f>
        <v>MD. BABUL MIAH</v>
      </c>
      <c r="I7060" s="145" t="s">
        <v>1375</v>
      </c>
      <c r="J7060" s="163" t="s">
        <v>53</v>
      </c>
      <c r="K7060" s="219"/>
      <c r="L7060" s="219">
        <v>4600</v>
      </c>
    </row>
    <row r="7061" spans="1:12" ht="33.75" x14ac:dyDescent="0.2">
      <c r="A7061" s="168">
        <v>2022</v>
      </c>
      <c r="B7061" s="168">
        <v>8</v>
      </c>
      <c r="C7061" s="133">
        <v>3</v>
      </c>
      <c r="D7061" s="141">
        <f t="shared" ref="D7061:D7063" si="524">DATE(A7061,B7061,C7061)</f>
        <v>44776</v>
      </c>
      <c r="E7061" s="275">
        <f t="shared" ref="E7061:E7063" si="525">DATE(A7061,B7061,C7061)</f>
        <v>44776</v>
      </c>
      <c r="F7061" s="479" t="s">
        <v>964</v>
      </c>
      <c r="G7061" s="220" t="s">
        <v>74</v>
      </c>
      <c r="H7061" s="142" t="str" cm="1">
        <f t="array" ref="H7061">IFERROR(INDEX(INVESTOR_LIST[INVESTOR NAME],MATCH(I7061,INVESTOR_LIST[INVESTOR CODE],0),)," ")</f>
        <v>NAUSHEEN AHMED</v>
      </c>
      <c r="I7061" s="142" t="s">
        <v>787</v>
      </c>
      <c r="J7061" s="168" t="s">
        <v>52</v>
      </c>
      <c r="K7061" s="226">
        <v>449961</v>
      </c>
      <c r="L7061" s="226"/>
    </row>
    <row r="7062" spans="1:12" ht="33.75" x14ac:dyDescent="0.2">
      <c r="A7062" s="133">
        <v>2022</v>
      </c>
      <c r="B7062" s="133">
        <v>8</v>
      </c>
      <c r="C7062" s="133">
        <v>3</v>
      </c>
      <c r="D7062" s="141">
        <f t="shared" si="524"/>
        <v>44776</v>
      </c>
      <c r="E7062" s="275">
        <f t="shared" si="525"/>
        <v>44776</v>
      </c>
      <c r="F7062" s="481"/>
      <c r="G7062" s="174" t="s">
        <v>74</v>
      </c>
      <c r="H7062" s="148" t="str" cm="1">
        <f t="array" ref="H7062">IFERROR(INDEX(INVESTOR_LIST[INVESTOR NAME],MATCH(I7062,INVESTOR_LIST[INVESTOR CODE],0),)," ")</f>
        <v>NAUSHEEN AHMED</v>
      </c>
      <c r="I7062" s="148" t="s">
        <v>787</v>
      </c>
      <c r="J7062" s="133" t="s">
        <v>13</v>
      </c>
      <c r="K7062" s="218"/>
      <c r="L7062" s="218">
        <v>381000</v>
      </c>
    </row>
    <row r="7063" spans="1:12" ht="33.75" x14ac:dyDescent="0.2">
      <c r="A7063" s="163">
        <v>2022</v>
      </c>
      <c r="B7063" s="163">
        <v>8</v>
      </c>
      <c r="C7063" s="163">
        <v>3</v>
      </c>
      <c r="D7063" s="141">
        <f t="shared" si="524"/>
        <v>44776</v>
      </c>
      <c r="E7063" s="275">
        <f t="shared" si="525"/>
        <v>44776</v>
      </c>
      <c r="F7063" s="480"/>
      <c r="G7063" s="221" t="s">
        <v>74</v>
      </c>
      <c r="H7063" s="145" t="str" cm="1">
        <f t="array" ref="H7063">IFERROR(INDEX(INVESTOR_LIST[INVESTOR NAME],MATCH(I7063,INVESTOR_LIST[INVESTOR CODE],0),)," ")</f>
        <v>NAUSHEEN AHMED</v>
      </c>
      <c r="I7063" s="145" t="s">
        <v>787</v>
      </c>
      <c r="J7063" s="163" t="s">
        <v>53</v>
      </c>
      <c r="K7063" s="219"/>
      <c r="L7063" s="219">
        <v>68961</v>
      </c>
    </row>
    <row r="7064" spans="1:12" ht="22.5" x14ac:dyDescent="0.2">
      <c r="A7064" s="168">
        <v>2022</v>
      </c>
      <c r="B7064" s="168">
        <v>8</v>
      </c>
      <c r="C7064" s="133">
        <v>3</v>
      </c>
      <c r="D7064" s="141">
        <f t="shared" ref="D7064:D7066" si="526">DATE(A7064,B7064,C7064)</f>
        <v>44776</v>
      </c>
      <c r="E7064" s="275">
        <f t="shared" ref="E7064:E7066" si="527">DATE(A7064,B7064,C7064)</f>
        <v>44776</v>
      </c>
      <c r="F7064" s="479" t="s">
        <v>964</v>
      </c>
      <c r="G7064" s="220" t="s">
        <v>74</v>
      </c>
      <c r="H7064" s="142" t="str" cm="1">
        <f t="array" ref="H7064">IFERROR(INDEX(INVESTOR_LIST[INVESTOR NAME],MATCH(I7064,INVESTOR_LIST[INVESTOR CODE],0),)," ")</f>
        <v>TAMRIN AL DEEN</v>
      </c>
      <c r="I7064" s="142" t="s">
        <v>1422</v>
      </c>
      <c r="J7064" s="168" t="s">
        <v>52</v>
      </c>
      <c r="K7064" s="226">
        <v>10000</v>
      </c>
      <c r="L7064" s="226"/>
    </row>
    <row r="7065" spans="1:12" ht="22.5" x14ac:dyDescent="0.2">
      <c r="A7065" s="133">
        <v>2022</v>
      </c>
      <c r="B7065" s="133">
        <v>8</v>
      </c>
      <c r="C7065" s="133">
        <v>3</v>
      </c>
      <c r="D7065" s="141">
        <f t="shared" si="526"/>
        <v>44776</v>
      </c>
      <c r="E7065" s="275">
        <f t="shared" si="527"/>
        <v>44776</v>
      </c>
      <c r="F7065" s="481"/>
      <c r="G7065" s="174" t="s">
        <v>74</v>
      </c>
      <c r="H7065" s="148" t="str" cm="1">
        <f t="array" ref="H7065">IFERROR(INDEX(INVESTOR_LIST[INVESTOR NAME],MATCH(I7065,INVESTOR_LIST[INVESTOR CODE],0),)," ")</f>
        <v>TAMRIN AL DEEN</v>
      </c>
      <c r="I7065" s="148" t="s">
        <v>1422</v>
      </c>
      <c r="J7065" s="133" t="s">
        <v>13</v>
      </c>
      <c r="K7065" s="218"/>
      <c r="L7065" s="218">
        <v>8470</v>
      </c>
    </row>
    <row r="7066" spans="1:12" ht="22.5" x14ac:dyDescent="0.2">
      <c r="A7066" s="163">
        <v>2022</v>
      </c>
      <c r="B7066" s="163">
        <v>8</v>
      </c>
      <c r="C7066" s="163">
        <v>3</v>
      </c>
      <c r="D7066" s="141">
        <f t="shared" si="526"/>
        <v>44776</v>
      </c>
      <c r="E7066" s="275">
        <f t="shared" si="527"/>
        <v>44776</v>
      </c>
      <c r="F7066" s="480"/>
      <c r="G7066" s="221" t="s">
        <v>74</v>
      </c>
      <c r="H7066" s="145" t="str" cm="1">
        <f t="array" ref="H7066">IFERROR(INDEX(INVESTOR_LIST[INVESTOR NAME],MATCH(I7066,INVESTOR_LIST[INVESTOR CODE],0),)," ")</f>
        <v>TAMRIN AL DEEN</v>
      </c>
      <c r="I7066" s="145" t="s">
        <v>1422</v>
      </c>
      <c r="J7066" s="163" t="s">
        <v>53</v>
      </c>
      <c r="K7066" s="219"/>
      <c r="L7066" s="219">
        <v>1530</v>
      </c>
    </row>
    <row r="7067" spans="1:12" x14ac:dyDescent="0.2">
      <c r="A7067" s="168">
        <v>2022</v>
      </c>
      <c r="B7067" s="168">
        <v>8</v>
      </c>
      <c r="C7067" s="168">
        <v>3</v>
      </c>
      <c r="D7067" s="141">
        <f>DATE(A7067,B7067,C7067)</f>
        <v>44776</v>
      </c>
      <c r="E7067" s="275">
        <f>DATE(A7067,B7067,C7067)</f>
        <v>44776</v>
      </c>
      <c r="F7067" s="479" t="s">
        <v>1444</v>
      </c>
      <c r="G7067" s="220" t="s">
        <v>74</v>
      </c>
      <c r="H7067" s="220" t="str" cm="1">
        <f t="array" ref="H7067">IFERROR(INDEX(INVESTOR_LIST[INVESTOR NAME],MATCH(I7067,INVESTOR_LIST[INVESTOR CODE],0),)," ")</f>
        <v xml:space="preserve"> </v>
      </c>
      <c r="I7067" s="142"/>
      <c r="J7067" s="143" t="s">
        <v>52</v>
      </c>
      <c r="K7067" s="226">
        <v>2005672.28</v>
      </c>
      <c r="L7067" s="226"/>
    </row>
    <row r="7068" spans="1:12" x14ac:dyDescent="0.2">
      <c r="A7068" s="163">
        <v>2022</v>
      </c>
      <c r="B7068" s="163">
        <v>8</v>
      </c>
      <c r="C7068" s="163">
        <v>3</v>
      </c>
      <c r="D7068" s="141">
        <f>DATE(A7068,B7068,C7068)</f>
        <v>44776</v>
      </c>
      <c r="E7068" s="275">
        <f>DATE(A7068,B7068,C7068)</f>
        <v>44776</v>
      </c>
      <c r="F7068" s="480"/>
      <c r="G7068" s="221" t="s">
        <v>74</v>
      </c>
      <c r="H7068" s="221" t="str" cm="1">
        <f t="array" ref="H7068">IFERROR(INDEX(INVESTOR_LIST[INVESTOR NAME],MATCH(I7068,INVESTOR_LIST[INVESTOR CODE],0),)," ")</f>
        <v xml:space="preserve"> </v>
      </c>
      <c r="I7068" s="145" t="s">
        <v>348</v>
      </c>
      <c r="J7068" s="146" t="s">
        <v>190</v>
      </c>
      <c r="K7068" s="219"/>
      <c r="L7068" s="219">
        <v>2005672.28</v>
      </c>
    </row>
    <row r="7069" spans="1:12" ht="45" x14ac:dyDescent="0.2">
      <c r="A7069" s="168">
        <v>2022</v>
      </c>
      <c r="B7069" s="168">
        <v>8</v>
      </c>
      <c r="C7069" s="133">
        <v>3</v>
      </c>
      <c r="D7069" s="141">
        <f t="shared" ref="D7069:D7071" si="528">DATE(A7069,B7069,C7069)</f>
        <v>44776</v>
      </c>
      <c r="E7069" s="275">
        <f t="shared" ref="E7069:E7071" si="529">DATE(A7069,B7069,C7069)</f>
        <v>44776</v>
      </c>
      <c r="F7069" s="479" t="s">
        <v>964</v>
      </c>
      <c r="G7069" s="220" t="s">
        <v>74</v>
      </c>
      <c r="H7069" s="142" t="str" cm="1">
        <f t="array" ref="H7069">IFERROR(INDEX(INVESTOR_LIST[INVESTOR NAME],MATCH(I7069,INVESTOR_LIST[INVESTOR CODE],0),)," ")</f>
        <v>MD. RIFAT MUNJUR SUNNY</v>
      </c>
      <c r="I7069" s="142" t="s">
        <v>1462</v>
      </c>
      <c r="J7069" s="168" t="s">
        <v>52</v>
      </c>
      <c r="K7069" s="226">
        <v>100000</v>
      </c>
      <c r="L7069" s="226"/>
    </row>
    <row r="7070" spans="1:12" ht="45" x14ac:dyDescent="0.2">
      <c r="A7070" s="133">
        <v>2022</v>
      </c>
      <c r="B7070" s="133">
        <v>8</v>
      </c>
      <c r="C7070" s="133">
        <v>3</v>
      </c>
      <c r="D7070" s="141">
        <f t="shared" si="528"/>
        <v>44776</v>
      </c>
      <c r="E7070" s="275">
        <f t="shared" si="529"/>
        <v>44776</v>
      </c>
      <c r="F7070" s="481"/>
      <c r="G7070" s="174" t="s">
        <v>74</v>
      </c>
      <c r="H7070" s="148" t="str" cm="1">
        <f t="array" ref="H7070">IFERROR(INDEX(INVESTOR_LIST[INVESTOR NAME],MATCH(I7070,INVESTOR_LIST[INVESTOR CODE],0),)," ")</f>
        <v>MD. RIFAT MUNJUR SUNNY</v>
      </c>
      <c r="I7070" s="148" t="s">
        <v>1462</v>
      </c>
      <c r="J7070" s="133" t="s">
        <v>13</v>
      </c>
      <c r="K7070" s="218"/>
      <c r="L7070" s="218">
        <v>84670</v>
      </c>
    </row>
    <row r="7071" spans="1:12" ht="45" x14ac:dyDescent="0.2">
      <c r="A7071" s="163">
        <v>2022</v>
      </c>
      <c r="B7071" s="163">
        <v>8</v>
      </c>
      <c r="C7071" s="163">
        <v>3</v>
      </c>
      <c r="D7071" s="141">
        <f t="shared" si="528"/>
        <v>44776</v>
      </c>
      <c r="E7071" s="275">
        <f t="shared" si="529"/>
        <v>44776</v>
      </c>
      <c r="F7071" s="480"/>
      <c r="G7071" s="221" t="s">
        <v>74</v>
      </c>
      <c r="H7071" s="145" t="str" cm="1">
        <f t="array" ref="H7071">IFERROR(INDEX(INVESTOR_LIST[INVESTOR NAME],MATCH(I7071,INVESTOR_LIST[INVESTOR CODE],0),)," ")</f>
        <v>MD. RIFAT MUNJUR SUNNY</v>
      </c>
      <c r="I7071" s="145" t="s">
        <v>1462</v>
      </c>
      <c r="J7071" s="163" t="s">
        <v>53</v>
      </c>
      <c r="K7071" s="219"/>
      <c r="L7071" s="219">
        <v>15330</v>
      </c>
    </row>
    <row r="7072" spans="1:12" ht="45" x14ac:dyDescent="0.2">
      <c r="A7072" s="168">
        <v>2022</v>
      </c>
      <c r="B7072" s="168">
        <v>8</v>
      </c>
      <c r="C7072" s="133">
        <v>3</v>
      </c>
      <c r="D7072" s="141">
        <f t="shared" ref="D7072:D7076" si="530">DATE(A7072,B7072,C7072)</f>
        <v>44776</v>
      </c>
      <c r="E7072" s="275">
        <f t="shared" ref="E7072:E7076" si="531">DATE(A7072,B7072,C7072)</f>
        <v>44776</v>
      </c>
      <c r="F7072" s="479" t="s">
        <v>964</v>
      </c>
      <c r="G7072" s="220" t="s">
        <v>74</v>
      </c>
      <c r="H7072" s="142" t="str" cm="1">
        <f t="array" ref="H7072">IFERROR(INDEX(INVESTOR_LIST[INVESTOR NAME],MATCH(I7072,INVESTOR_LIST[INVESTOR CODE],0),)," ")</f>
        <v>SIDDHARTHA SANKAR MALLICK</v>
      </c>
      <c r="I7072" s="142" t="s">
        <v>1414</v>
      </c>
      <c r="J7072" s="168" t="s">
        <v>52</v>
      </c>
      <c r="K7072" s="226">
        <v>35430</v>
      </c>
      <c r="L7072" s="226"/>
    </row>
    <row r="7073" spans="1:12" ht="45" x14ac:dyDescent="0.2">
      <c r="A7073" s="133">
        <v>2022</v>
      </c>
      <c r="B7073" s="133">
        <v>8</v>
      </c>
      <c r="C7073" s="133">
        <v>3</v>
      </c>
      <c r="D7073" s="141">
        <f t="shared" si="530"/>
        <v>44776</v>
      </c>
      <c r="E7073" s="275">
        <f t="shared" si="531"/>
        <v>44776</v>
      </c>
      <c r="F7073" s="481"/>
      <c r="G7073" s="174" t="s">
        <v>74</v>
      </c>
      <c r="H7073" s="148" t="str" cm="1">
        <f t="array" ref="H7073">IFERROR(INDEX(INVESTOR_LIST[INVESTOR NAME],MATCH(I7073,INVESTOR_LIST[INVESTOR CODE],0),)," ")</f>
        <v>SIDDHARTHA SANKAR MALLICK</v>
      </c>
      <c r="I7073" s="148" t="s">
        <v>1414</v>
      </c>
      <c r="J7073" s="133" t="s">
        <v>13</v>
      </c>
      <c r="K7073" s="218"/>
      <c r="L7073" s="218">
        <v>30000</v>
      </c>
    </row>
    <row r="7074" spans="1:12" ht="45" x14ac:dyDescent="0.2">
      <c r="A7074" s="163">
        <v>2022</v>
      </c>
      <c r="B7074" s="163">
        <v>8</v>
      </c>
      <c r="C7074" s="163">
        <v>3</v>
      </c>
      <c r="D7074" s="141">
        <f t="shared" si="530"/>
        <v>44776</v>
      </c>
      <c r="E7074" s="275">
        <f t="shared" si="531"/>
        <v>44776</v>
      </c>
      <c r="F7074" s="480"/>
      <c r="G7074" s="221" t="s">
        <v>74</v>
      </c>
      <c r="H7074" s="145" t="str" cm="1">
        <f t="array" ref="H7074">IFERROR(INDEX(INVESTOR_LIST[INVESTOR NAME],MATCH(I7074,INVESTOR_LIST[INVESTOR CODE],0),)," ")</f>
        <v>SIDDHARTHA SANKAR MALLICK</v>
      </c>
      <c r="I7074" s="145" t="s">
        <v>1414</v>
      </c>
      <c r="J7074" s="163" t="s">
        <v>53</v>
      </c>
      <c r="K7074" s="219"/>
      <c r="L7074" s="219">
        <v>5430</v>
      </c>
    </row>
    <row r="7075" spans="1:12" x14ac:dyDescent="0.2">
      <c r="A7075" s="133">
        <v>2022</v>
      </c>
      <c r="B7075" s="133">
        <v>8</v>
      </c>
      <c r="C7075" s="168">
        <v>3</v>
      </c>
      <c r="D7075" s="141">
        <f t="shared" si="530"/>
        <v>44776</v>
      </c>
      <c r="E7075" s="275">
        <f t="shared" si="531"/>
        <v>44776</v>
      </c>
      <c r="F7075" s="479" t="s">
        <v>1465</v>
      </c>
      <c r="G7075" s="174" t="s">
        <v>74</v>
      </c>
      <c r="H7075" s="148" t="str" cm="1">
        <f t="array" ref="H7075">IFERROR(INDEX(INVESTOR_LIST[INVESTOR NAME],MATCH(I7075,INVESTOR_LIST[INVESTOR CODE],0),)," ")</f>
        <v xml:space="preserve"> </v>
      </c>
      <c r="I7075" s="148" t="s">
        <v>348</v>
      </c>
      <c r="J7075" s="133" t="s">
        <v>61</v>
      </c>
      <c r="K7075" s="172">
        <v>10</v>
      </c>
    </row>
    <row r="7076" spans="1:12" x14ac:dyDescent="0.2">
      <c r="A7076" s="163">
        <v>2022</v>
      </c>
      <c r="B7076" s="163">
        <v>8</v>
      </c>
      <c r="C7076" s="163">
        <v>3</v>
      </c>
      <c r="D7076" s="141">
        <f t="shared" si="530"/>
        <v>44776</v>
      </c>
      <c r="E7076" s="275">
        <f t="shared" si="531"/>
        <v>44776</v>
      </c>
      <c r="F7076" s="480"/>
      <c r="G7076" s="221" t="s">
        <v>74</v>
      </c>
      <c r="H7076" s="145" t="str" cm="1">
        <f t="array" ref="H7076">IFERROR(INDEX(INVESTOR_LIST[INVESTOR NAME],MATCH(I7076,INVESTOR_LIST[INVESTOR CODE],0),)," ")</f>
        <v xml:space="preserve"> </v>
      </c>
      <c r="I7076" s="145" t="s">
        <v>348</v>
      </c>
      <c r="J7076" s="163" t="s">
        <v>52</v>
      </c>
      <c r="K7076" s="219"/>
      <c r="L7076" s="219">
        <v>10</v>
      </c>
    </row>
    <row r="7077" spans="1:12" ht="22.5" x14ac:dyDescent="0.2">
      <c r="A7077" s="168">
        <v>2022</v>
      </c>
      <c r="B7077" s="168">
        <v>8</v>
      </c>
      <c r="C7077" s="133">
        <v>4</v>
      </c>
      <c r="D7077" s="141">
        <f t="shared" ref="D7077:D7079" si="532">DATE(A7077,B7077,C7077)</f>
        <v>44777</v>
      </c>
      <c r="E7077" s="275">
        <f t="shared" ref="E7077:E7079" si="533">DATE(A7077,B7077,C7077)</f>
        <v>44777</v>
      </c>
      <c r="F7077" s="479" t="s">
        <v>964</v>
      </c>
      <c r="G7077" s="220" t="s">
        <v>74</v>
      </c>
      <c r="H7077" s="142" t="str" cm="1">
        <f t="array" ref="H7077">IFERROR(INDEX(INVESTOR_LIST[INVESTOR NAME],MATCH(I7077,INVESTOR_LIST[INVESTOR CODE],0),)," ")</f>
        <v>SHUVA SAHA</v>
      </c>
      <c r="I7077" s="142" t="s">
        <v>421</v>
      </c>
      <c r="J7077" s="168" t="s">
        <v>52</v>
      </c>
      <c r="K7077" s="226">
        <v>150000</v>
      </c>
      <c r="L7077" s="226"/>
    </row>
    <row r="7078" spans="1:12" ht="22.5" x14ac:dyDescent="0.2">
      <c r="A7078" s="133">
        <v>2022</v>
      </c>
      <c r="B7078" s="133">
        <v>8</v>
      </c>
      <c r="C7078" s="133">
        <v>4</v>
      </c>
      <c r="D7078" s="141">
        <f t="shared" si="532"/>
        <v>44777</v>
      </c>
      <c r="E7078" s="275">
        <f t="shared" si="533"/>
        <v>44777</v>
      </c>
      <c r="F7078" s="481"/>
      <c r="G7078" s="174" t="s">
        <v>74</v>
      </c>
      <c r="H7078" s="148" t="str" cm="1">
        <f t="array" ref="H7078">IFERROR(INDEX(INVESTOR_LIST[INVESTOR NAME],MATCH(I7078,INVESTOR_LIST[INVESTOR CODE],0),)," ")</f>
        <v>SHUVA SAHA</v>
      </c>
      <c r="I7078" s="148" t="s">
        <v>421</v>
      </c>
      <c r="J7078" s="133" t="s">
        <v>13</v>
      </c>
      <c r="K7078" s="218"/>
      <c r="L7078" s="218">
        <v>127010</v>
      </c>
    </row>
    <row r="7079" spans="1:12" ht="22.5" x14ac:dyDescent="0.2">
      <c r="A7079" s="163">
        <v>2022</v>
      </c>
      <c r="B7079" s="163">
        <v>8</v>
      </c>
      <c r="C7079" s="163">
        <v>4</v>
      </c>
      <c r="D7079" s="141">
        <f t="shared" si="532"/>
        <v>44777</v>
      </c>
      <c r="E7079" s="275">
        <f t="shared" si="533"/>
        <v>44777</v>
      </c>
      <c r="F7079" s="480"/>
      <c r="G7079" s="221" t="s">
        <v>74</v>
      </c>
      <c r="H7079" s="145" t="str" cm="1">
        <f t="array" ref="H7079">IFERROR(INDEX(INVESTOR_LIST[INVESTOR NAME],MATCH(I7079,INVESTOR_LIST[INVESTOR CODE],0),)," ")</f>
        <v>SHUVA SAHA</v>
      </c>
      <c r="I7079" s="145" t="s">
        <v>421</v>
      </c>
      <c r="J7079" s="163" t="s">
        <v>53</v>
      </c>
      <c r="K7079" s="219"/>
      <c r="L7079" s="219">
        <v>22990</v>
      </c>
    </row>
    <row r="7080" spans="1:12" ht="22.5" x14ac:dyDescent="0.2">
      <c r="A7080" s="168">
        <v>2022</v>
      </c>
      <c r="B7080" s="168">
        <v>8</v>
      </c>
      <c r="C7080" s="133">
        <v>4</v>
      </c>
      <c r="D7080" s="141">
        <f t="shared" ref="D7080:D7082" si="534">DATE(A7080,B7080,C7080)</f>
        <v>44777</v>
      </c>
      <c r="E7080" s="275">
        <f t="shared" ref="E7080:E7082" si="535">DATE(A7080,B7080,C7080)</f>
        <v>44777</v>
      </c>
      <c r="F7080" s="479" t="s">
        <v>964</v>
      </c>
      <c r="G7080" s="220" t="s">
        <v>74</v>
      </c>
      <c r="H7080" s="142" t="str" cm="1">
        <f t="array" ref="H7080">IFERROR(INDEX(INVESTOR_LIST[INVESTOR NAME],MATCH(I7080,INVESTOR_LIST[INVESTOR CODE],0),)," ")</f>
        <v>SHUVA SAHA</v>
      </c>
      <c r="I7080" s="142" t="s">
        <v>421</v>
      </c>
      <c r="J7080" s="168" t="s">
        <v>52</v>
      </c>
      <c r="K7080" s="226">
        <v>300000</v>
      </c>
      <c r="L7080" s="226"/>
    </row>
    <row r="7081" spans="1:12" ht="22.5" x14ac:dyDescent="0.2">
      <c r="A7081" s="133">
        <v>2022</v>
      </c>
      <c r="B7081" s="133">
        <v>8</v>
      </c>
      <c r="C7081" s="133">
        <v>4</v>
      </c>
      <c r="D7081" s="141">
        <f t="shared" si="534"/>
        <v>44777</v>
      </c>
      <c r="E7081" s="275">
        <f t="shared" si="535"/>
        <v>44777</v>
      </c>
      <c r="F7081" s="481"/>
      <c r="G7081" s="174" t="s">
        <v>74</v>
      </c>
      <c r="H7081" s="148" t="str" cm="1">
        <f t="array" ref="H7081">IFERROR(INDEX(INVESTOR_LIST[INVESTOR NAME],MATCH(I7081,INVESTOR_LIST[INVESTOR CODE],0),)," ")</f>
        <v>SHUVA SAHA</v>
      </c>
      <c r="I7081" s="148" t="s">
        <v>421</v>
      </c>
      <c r="J7081" s="133" t="s">
        <v>13</v>
      </c>
      <c r="K7081" s="218"/>
      <c r="L7081" s="218">
        <v>254020</v>
      </c>
    </row>
    <row r="7082" spans="1:12" ht="22.5" x14ac:dyDescent="0.2">
      <c r="A7082" s="163">
        <v>2022</v>
      </c>
      <c r="B7082" s="163">
        <v>8</v>
      </c>
      <c r="C7082" s="163">
        <v>4</v>
      </c>
      <c r="D7082" s="141">
        <f t="shared" si="534"/>
        <v>44777</v>
      </c>
      <c r="E7082" s="275">
        <f t="shared" si="535"/>
        <v>44777</v>
      </c>
      <c r="F7082" s="480"/>
      <c r="G7082" s="221" t="s">
        <v>74</v>
      </c>
      <c r="H7082" s="145" t="str" cm="1">
        <f t="array" ref="H7082">IFERROR(INDEX(INVESTOR_LIST[INVESTOR NAME],MATCH(I7082,INVESTOR_LIST[INVESTOR CODE],0),)," ")</f>
        <v>SHUVA SAHA</v>
      </c>
      <c r="I7082" s="145" t="s">
        <v>421</v>
      </c>
      <c r="J7082" s="163" t="s">
        <v>53</v>
      </c>
      <c r="K7082" s="219"/>
      <c r="L7082" s="219">
        <v>45980</v>
      </c>
    </row>
    <row r="7083" spans="1:12" ht="22.5" x14ac:dyDescent="0.2">
      <c r="A7083" s="168">
        <v>2022</v>
      </c>
      <c r="B7083" s="168">
        <v>8</v>
      </c>
      <c r="C7083" s="133">
        <v>4</v>
      </c>
      <c r="D7083" s="141">
        <f t="shared" ref="D7083:D7085" si="536">DATE(A7083,B7083,C7083)</f>
        <v>44777</v>
      </c>
      <c r="E7083" s="275">
        <f t="shared" ref="E7083:E7085" si="537">DATE(A7083,B7083,C7083)</f>
        <v>44777</v>
      </c>
      <c r="F7083" s="479" t="s">
        <v>964</v>
      </c>
      <c r="G7083" s="220" t="s">
        <v>74</v>
      </c>
      <c r="H7083" s="142" t="str" cm="1">
        <f t="array" ref="H7083">IFERROR(INDEX(INVESTOR_LIST[INVESTOR NAME],MATCH(I7083,INVESTOR_LIST[INVESTOR CODE],0),)," ")</f>
        <v>SRIJON GHOSH</v>
      </c>
      <c r="I7083" s="142" t="s">
        <v>1418</v>
      </c>
      <c r="J7083" s="168" t="s">
        <v>52</v>
      </c>
      <c r="K7083" s="226">
        <v>20000</v>
      </c>
      <c r="L7083" s="226"/>
    </row>
    <row r="7084" spans="1:12" ht="22.5" x14ac:dyDescent="0.2">
      <c r="A7084" s="133">
        <v>2022</v>
      </c>
      <c r="B7084" s="133">
        <v>8</v>
      </c>
      <c r="C7084" s="133">
        <v>4</v>
      </c>
      <c r="D7084" s="141">
        <f t="shared" si="536"/>
        <v>44777</v>
      </c>
      <c r="E7084" s="275">
        <f t="shared" si="537"/>
        <v>44777</v>
      </c>
      <c r="F7084" s="481"/>
      <c r="G7084" s="174" t="s">
        <v>74</v>
      </c>
      <c r="H7084" s="148" t="str" cm="1">
        <f t="array" ref="H7084">IFERROR(INDEX(INVESTOR_LIST[INVESTOR NAME],MATCH(I7084,INVESTOR_LIST[INVESTOR CODE],0),)," ")</f>
        <v>SRIJON GHOSH</v>
      </c>
      <c r="I7084" s="148" t="s">
        <v>1418</v>
      </c>
      <c r="J7084" s="133" t="s">
        <v>13</v>
      </c>
      <c r="K7084" s="218"/>
      <c r="L7084" s="218">
        <v>16930</v>
      </c>
    </row>
    <row r="7085" spans="1:12" ht="22.5" x14ac:dyDescent="0.2">
      <c r="A7085" s="163">
        <v>2022</v>
      </c>
      <c r="B7085" s="163">
        <v>8</v>
      </c>
      <c r="C7085" s="163">
        <v>4</v>
      </c>
      <c r="D7085" s="141">
        <f t="shared" si="536"/>
        <v>44777</v>
      </c>
      <c r="E7085" s="275">
        <f t="shared" si="537"/>
        <v>44777</v>
      </c>
      <c r="F7085" s="480"/>
      <c r="G7085" s="221" t="s">
        <v>74</v>
      </c>
      <c r="H7085" s="145" t="str" cm="1">
        <f t="array" ref="H7085">IFERROR(INDEX(INVESTOR_LIST[INVESTOR NAME],MATCH(I7085,INVESTOR_LIST[INVESTOR CODE],0),)," ")</f>
        <v>SRIJON GHOSH</v>
      </c>
      <c r="I7085" s="145" t="s">
        <v>1418</v>
      </c>
      <c r="J7085" s="163" t="s">
        <v>53</v>
      </c>
      <c r="K7085" s="219"/>
      <c r="L7085" s="219">
        <v>3070</v>
      </c>
    </row>
    <row r="7086" spans="1:12" ht="33.75" x14ac:dyDescent="0.2">
      <c r="A7086" s="168">
        <v>2022</v>
      </c>
      <c r="B7086" s="168">
        <v>8</v>
      </c>
      <c r="C7086" s="133">
        <v>4</v>
      </c>
      <c r="D7086" s="141">
        <f t="shared" ref="D7086:D7088" si="538">DATE(A7086,B7086,C7086)</f>
        <v>44777</v>
      </c>
      <c r="E7086" s="275">
        <f t="shared" ref="E7086:E7088" si="539">DATE(A7086,B7086,C7086)</f>
        <v>44777</v>
      </c>
      <c r="F7086" s="479" t="s">
        <v>964</v>
      </c>
      <c r="G7086" s="220" t="s">
        <v>74</v>
      </c>
      <c r="H7086" s="142" t="str" cm="1">
        <f t="array" ref="H7086">IFERROR(INDEX(INVESTOR_LIST[INVESTOR NAME],MATCH(I7086,INVESTOR_LIST[INVESTOR CODE],0),)," ")</f>
        <v>MIR ARIFUL ISLAM</v>
      </c>
      <c r="I7086" s="142" t="s">
        <v>1353</v>
      </c>
      <c r="J7086" s="168" t="s">
        <v>52</v>
      </c>
      <c r="K7086" s="226">
        <v>1121950</v>
      </c>
      <c r="L7086" s="226"/>
    </row>
    <row r="7087" spans="1:12" ht="33.75" x14ac:dyDescent="0.2">
      <c r="A7087" s="133">
        <v>2022</v>
      </c>
      <c r="B7087" s="133">
        <v>8</v>
      </c>
      <c r="C7087" s="133">
        <v>4</v>
      </c>
      <c r="D7087" s="141">
        <f t="shared" si="538"/>
        <v>44777</v>
      </c>
      <c r="E7087" s="275">
        <f t="shared" si="539"/>
        <v>44777</v>
      </c>
      <c r="F7087" s="481"/>
      <c r="G7087" s="174" t="s">
        <v>74</v>
      </c>
      <c r="H7087" s="148" t="str" cm="1">
        <f t="array" ref="H7087">IFERROR(INDEX(INVESTOR_LIST[INVESTOR NAME],MATCH(I7087,INVESTOR_LIST[INVESTOR CODE],0),)," ")</f>
        <v>MIR ARIFUL ISLAM</v>
      </c>
      <c r="I7087" s="148" t="s">
        <v>1353</v>
      </c>
      <c r="J7087" s="133" t="s">
        <v>13</v>
      </c>
      <c r="K7087" s="218"/>
      <c r="L7087" s="218">
        <v>950000</v>
      </c>
    </row>
    <row r="7088" spans="1:12" ht="33.75" x14ac:dyDescent="0.2">
      <c r="A7088" s="163">
        <v>2022</v>
      </c>
      <c r="B7088" s="163">
        <v>8</v>
      </c>
      <c r="C7088" s="163">
        <v>4</v>
      </c>
      <c r="D7088" s="141">
        <f t="shared" si="538"/>
        <v>44777</v>
      </c>
      <c r="E7088" s="275">
        <f t="shared" si="539"/>
        <v>44777</v>
      </c>
      <c r="F7088" s="480"/>
      <c r="G7088" s="221" t="s">
        <v>74</v>
      </c>
      <c r="H7088" s="145" t="str" cm="1">
        <f t="array" ref="H7088">IFERROR(INDEX(INVESTOR_LIST[INVESTOR NAME],MATCH(I7088,INVESTOR_LIST[INVESTOR CODE],0),)," ")</f>
        <v>MIR ARIFUL ISLAM</v>
      </c>
      <c r="I7088" s="145" t="s">
        <v>1353</v>
      </c>
      <c r="J7088" s="163" t="s">
        <v>53</v>
      </c>
      <c r="K7088" s="219"/>
      <c r="L7088" s="219">
        <v>171950</v>
      </c>
    </row>
    <row r="7089" spans="1:12" ht="56.25" x14ac:dyDescent="0.2">
      <c r="A7089" s="168">
        <v>2022</v>
      </c>
      <c r="B7089" s="168">
        <v>8</v>
      </c>
      <c r="C7089" s="133">
        <v>4</v>
      </c>
      <c r="D7089" s="141">
        <f t="shared" ref="D7089:D7091" si="540">DATE(A7089,B7089,C7089)</f>
        <v>44777</v>
      </c>
      <c r="E7089" s="275">
        <f t="shared" ref="E7089:E7091" si="541">DATE(A7089,B7089,C7089)</f>
        <v>44777</v>
      </c>
      <c r="F7089" s="479" t="s">
        <v>964</v>
      </c>
      <c r="G7089" s="220" t="s">
        <v>74</v>
      </c>
      <c r="H7089" s="142" t="str" cm="1">
        <f t="array" ref="H7089">IFERROR(INDEX(INVESTOR_LIST[INVESTOR NAME],MATCH(I7089,INVESTOR_LIST[INVESTOR CODE],0),)," ")</f>
        <v>SANDHANI ASSET MANAGEMENT LIMITED</v>
      </c>
      <c r="I7089" s="142" t="s">
        <v>1464</v>
      </c>
      <c r="J7089" s="168" t="s">
        <v>52</v>
      </c>
      <c r="K7089" s="226">
        <v>2952500</v>
      </c>
      <c r="L7089" s="226"/>
    </row>
    <row r="7090" spans="1:12" ht="56.25" x14ac:dyDescent="0.2">
      <c r="A7090" s="133">
        <v>2022</v>
      </c>
      <c r="B7090" s="133">
        <v>8</v>
      </c>
      <c r="C7090" s="133">
        <v>4</v>
      </c>
      <c r="D7090" s="141">
        <f t="shared" si="540"/>
        <v>44777</v>
      </c>
      <c r="E7090" s="275">
        <f t="shared" si="541"/>
        <v>44777</v>
      </c>
      <c r="F7090" s="481"/>
      <c r="G7090" s="174" t="s">
        <v>74</v>
      </c>
      <c r="H7090" s="148" t="str" cm="1">
        <f t="array" ref="H7090">IFERROR(INDEX(INVESTOR_LIST[INVESTOR NAME],MATCH(I7090,INVESTOR_LIST[INVESTOR CODE],0),)," ")</f>
        <v>SANDHANI ASSET MANAGEMENT LIMITED</v>
      </c>
      <c r="I7090" s="148" t="s">
        <v>1464</v>
      </c>
      <c r="J7090" s="133" t="s">
        <v>13</v>
      </c>
      <c r="K7090" s="218"/>
      <c r="L7090" s="218">
        <v>2500000</v>
      </c>
    </row>
    <row r="7091" spans="1:12" ht="56.25" x14ac:dyDescent="0.2">
      <c r="A7091" s="163">
        <v>2022</v>
      </c>
      <c r="B7091" s="163">
        <v>8</v>
      </c>
      <c r="C7091" s="163">
        <v>4</v>
      </c>
      <c r="D7091" s="141">
        <f t="shared" si="540"/>
        <v>44777</v>
      </c>
      <c r="E7091" s="275">
        <f t="shared" si="541"/>
        <v>44777</v>
      </c>
      <c r="F7091" s="480"/>
      <c r="G7091" s="221" t="s">
        <v>74</v>
      </c>
      <c r="H7091" s="145" t="str" cm="1">
        <f t="array" ref="H7091">IFERROR(INDEX(INVESTOR_LIST[INVESTOR NAME],MATCH(I7091,INVESTOR_LIST[INVESTOR CODE],0),)," ")</f>
        <v>SANDHANI ASSET MANAGEMENT LIMITED</v>
      </c>
      <c r="I7091" s="145" t="s">
        <v>1464</v>
      </c>
      <c r="J7091" s="163" t="s">
        <v>53</v>
      </c>
      <c r="K7091" s="219"/>
      <c r="L7091" s="219">
        <v>452500</v>
      </c>
    </row>
    <row r="7092" spans="1:12" ht="33.75" x14ac:dyDescent="0.2">
      <c r="A7092" s="168">
        <v>2022</v>
      </c>
      <c r="B7092" s="168">
        <v>8</v>
      </c>
      <c r="C7092" s="133">
        <v>4</v>
      </c>
      <c r="D7092" s="141">
        <f t="shared" ref="D7092:D7094" si="542">DATE(A7092,B7092,C7092)</f>
        <v>44777</v>
      </c>
      <c r="E7092" s="275">
        <f t="shared" ref="E7092:E7094" si="543">DATE(A7092,B7092,C7092)</f>
        <v>44777</v>
      </c>
      <c r="F7092" s="479" t="s">
        <v>964</v>
      </c>
      <c r="G7092" s="220" t="s">
        <v>74</v>
      </c>
      <c r="H7092" s="142" t="str" cm="1">
        <f t="array" ref="H7092">IFERROR(INDEX(INVESTOR_LIST[INVESTOR NAME],MATCH(I7092,INVESTOR_LIST[INVESTOR CODE],0),)," ")</f>
        <v>MD. IMRAN HOSSAIN</v>
      </c>
      <c r="I7092" s="142" t="s">
        <v>1047</v>
      </c>
      <c r="J7092" s="168" t="s">
        <v>52</v>
      </c>
      <c r="K7092" s="226">
        <v>500000</v>
      </c>
      <c r="L7092" s="226"/>
    </row>
    <row r="7093" spans="1:12" ht="33.75" x14ac:dyDescent="0.2">
      <c r="A7093" s="133">
        <v>2022</v>
      </c>
      <c r="B7093" s="133">
        <v>8</v>
      </c>
      <c r="C7093" s="133">
        <v>4</v>
      </c>
      <c r="D7093" s="141">
        <f t="shared" si="542"/>
        <v>44777</v>
      </c>
      <c r="E7093" s="275">
        <f t="shared" si="543"/>
        <v>44777</v>
      </c>
      <c r="F7093" s="481"/>
      <c r="G7093" s="174" t="s">
        <v>74</v>
      </c>
      <c r="H7093" s="148" t="str" cm="1">
        <f t="array" ref="H7093">IFERROR(INDEX(INVESTOR_LIST[INVESTOR NAME],MATCH(I7093,INVESTOR_LIST[INVESTOR CODE],0),)," ")</f>
        <v>MD. IMRAN HOSSAIN</v>
      </c>
      <c r="I7093" s="148" t="s">
        <v>1047</v>
      </c>
      <c r="J7093" s="133" t="s">
        <v>13</v>
      </c>
      <c r="K7093" s="218"/>
      <c r="L7093" s="218">
        <v>423370</v>
      </c>
    </row>
    <row r="7094" spans="1:12" ht="33.75" x14ac:dyDescent="0.2">
      <c r="A7094" s="163">
        <v>2022</v>
      </c>
      <c r="B7094" s="163">
        <v>8</v>
      </c>
      <c r="C7094" s="163">
        <v>4</v>
      </c>
      <c r="D7094" s="141">
        <f t="shared" si="542"/>
        <v>44777</v>
      </c>
      <c r="E7094" s="275">
        <f t="shared" si="543"/>
        <v>44777</v>
      </c>
      <c r="F7094" s="480"/>
      <c r="G7094" s="221" t="s">
        <v>74</v>
      </c>
      <c r="H7094" s="145" t="str" cm="1">
        <f t="array" ref="H7094">IFERROR(INDEX(INVESTOR_LIST[INVESTOR NAME],MATCH(I7094,INVESTOR_LIST[INVESTOR CODE],0),)," ")</f>
        <v>MD. IMRAN HOSSAIN</v>
      </c>
      <c r="I7094" s="145" t="s">
        <v>1047</v>
      </c>
      <c r="J7094" s="163" t="s">
        <v>53</v>
      </c>
      <c r="K7094" s="219"/>
      <c r="L7094" s="219">
        <v>76630</v>
      </c>
    </row>
    <row r="7095" spans="1:12" ht="22.5" x14ac:dyDescent="0.2">
      <c r="A7095" s="168">
        <v>2022</v>
      </c>
      <c r="B7095" s="168">
        <v>8</v>
      </c>
      <c r="C7095" s="133">
        <v>4</v>
      </c>
      <c r="D7095" s="141">
        <f t="shared" ref="D7095:D7107" si="544">DATE(A7095,B7095,C7095)</f>
        <v>44777</v>
      </c>
      <c r="E7095" s="275">
        <f t="shared" ref="E7095:E7107" si="545">DATE(A7095,B7095,C7095)</f>
        <v>44777</v>
      </c>
      <c r="F7095" s="479" t="s">
        <v>964</v>
      </c>
      <c r="G7095" s="220" t="s">
        <v>74</v>
      </c>
      <c r="H7095" s="142" t="str" cm="1">
        <f t="array" ref="H7095">IFERROR(INDEX(INVESTOR_LIST[INVESTOR NAME],MATCH(I7095,INVESTOR_LIST[INVESTOR CODE],0),)," ")</f>
        <v>IMTIAJ ARA</v>
      </c>
      <c r="I7095" s="142" t="s">
        <v>789</v>
      </c>
      <c r="J7095" s="168" t="s">
        <v>52</v>
      </c>
      <c r="K7095" s="226">
        <v>300000</v>
      </c>
      <c r="L7095" s="226"/>
    </row>
    <row r="7096" spans="1:12" ht="22.5" x14ac:dyDescent="0.2">
      <c r="A7096" s="133">
        <v>2022</v>
      </c>
      <c r="B7096" s="133">
        <v>8</v>
      </c>
      <c r="C7096" s="133">
        <v>4</v>
      </c>
      <c r="D7096" s="141">
        <f t="shared" si="544"/>
        <v>44777</v>
      </c>
      <c r="E7096" s="275">
        <f t="shared" si="545"/>
        <v>44777</v>
      </c>
      <c r="F7096" s="481"/>
      <c r="G7096" s="174" t="s">
        <v>74</v>
      </c>
      <c r="H7096" s="148" t="str" cm="1">
        <f t="array" ref="H7096">IFERROR(INDEX(INVESTOR_LIST[INVESTOR NAME],MATCH(I7096,INVESTOR_LIST[INVESTOR CODE],0),)," ")</f>
        <v>IMTIAJ ARA</v>
      </c>
      <c r="I7096" s="148" t="s">
        <v>789</v>
      </c>
      <c r="J7096" s="133" t="s">
        <v>13</v>
      </c>
      <c r="K7096" s="218"/>
      <c r="L7096" s="218">
        <v>254020</v>
      </c>
    </row>
    <row r="7097" spans="1:12" ht="22.5" x14ac:dyDescent="0.2">
      <c r="A7097" s="163">
        <v>2022</v>
      </c>
      <c r="B7097" s="163">
        <v>8</v>
      </c>
      <c r="C7097" s="163">
        <v>4</v>
      </c>
      <c r="D7097" s="141">
        <f t="shared" si="544"/>
        <v>44777</v>
      </c>
      <c r="E7097" s="275">
        <f t="shared" si="545"/>
        <v>44777</v>
      </c>
      <c r="F7097" s="480"/>
      <c r="G7097" s="221" t="s">
        <v>74</v>
      </c>
      <c r="H7097" s="145" t="str" cm="1">
        <f t="array" ref="H7097">IFERROR(INDEX(INVESTOR_LIST[INVESTOR NAME],MATCH(I7097,INVESTOR_LIST[INVESTOR CODE],0),)," ")</f>
        <v>IMTIAJ ARA</v>
      </c>
      <c r="I7097" s="145" t="s">
        <v>789</v>
      </c>
      <c r="J7097" s="163" t="s">
        <v>53</v>
      </c>
      <c r="K7097" s="219"/>
      <c r="L7097" s="219">
        <v>45980</v>
      </c>
    </row>
    <row r="7098" spans="1:12" x14ac:dyDescent="0.2">
      <c r="A7098" s="238">
        <v>2022</v>
      </c>
      <c r="B7098" s="238">
        <v>8</v>
      </c>
      <c r="C7098" s="238">
        <v>4</v>
      </c>
      <c r="D7098" s="270">
        <f t="shared" si="544"/>
        <v>44777</v>
      </c>
      <c r="E7098" s="279">
        <f t="shared" si="545"/>
        <v>44777</v>
      </c>
      <c r="F7098" s="477" t="s">
        <v>347</v>
      </c>
      <c r="G7098" s="239" t="s">
        <v>94</v>
      </c>
      <c r="H7098" s="239" t="str" cm="1">
        <f t="array" ref="H7098">IFERROR(INDEX(INVESTOR_LIST[INVESTOR NAME],MATCH(I7098,INVESTOR_LIST[INVESTOR CODE],0),)," ")</f>
        <v xml:space="preserve"> </v>
      </c>
      <c r="I7098" s="262" t="s">
        <v>348</v>
      </c>
      <c r="J7098" s="240" t="s">
        <v>108</v>
      </c>
      <c r="K7098" s="241">
        <v>3504452.9000000358</v>
      </c>
      <c r="L7098" s="241"/>
    </row>
    <row r="7099" spans="1:12" x14ac:dyDescent="0.2">
      <c r="A7099" s="242">
        <v>2022</v>
      </c>
      <c r="B7099" s="242">
        <v>8</v>
      </c>
      <c r="C7099" s="242">
        <v>4</v>
      </c>
      <c r="D7099" s="270">
        <f t="shared" si="544"/>
        <v>44777</v>
      </c>
      <c r="E7099" s="279">
        <f t="shared" si="545"/>
        <v>44777</v>
      </c>
      <c r="F7099" s="478"/>
      <c r="G7099" s="243" t="s">
        <v>94</v>
      </c>
      <c r="H7099" s="243" t="str" cm="1">
        <f t="array" ref="H7099">IFERROR(INDEX(INVESTOR_LIST[INVESTOR NAME],MATCH(I7099,INVESTOR_LIST[INVESTOR CODE],0),)," ")</f>
        <v xml:space="preserve"> </v>
      </c>
      <c r="I7099" s="263" t="s">
        <v>348</v>
      </c>
      <c r="J7099" s="244" t="s">
        <v>82</v>
      </c>
      <c r="K7099" s="245"/>
      <c r="L7099" s="245">
        <v>3504452.9000000358</v>
      </c>
    </row>
    <row r="7100" spans="1:12" ht="22.5" x14ac:dyDescent="0.2">
      <c r="A7100" s="246">
        <v>2022</v>
      </c>
      <c r="B7100" s="238">
        <v>8</v>
      </c>
      <c r="C7100" s="238">
        <v>4</v>
      </c>
      <c r="D7100" s="270">
        <f t="shared" si="544"/>
        <v>44777</v>
      </c>
      <c r="E7100" s="279">
        <f t="shared" si="545"/>
        <v>44777</v>
      </c>
      <c r="F7100" s="482" t="s">
        <v>148</v>
      </c>
      <c r="G7100" s="247" t="s">
        <v>94</v>
      </c>
      <c r="H7100" s="247" t="str" cm="1">
        <f t="array" ref="H7100">IFERROR(INDEX(INVESTOR_LIST[INVESTOR NAME],MATCH(I7100,INVESTOR_LIST[INVESTOR CODE],0),)," ")</f>
        <v xml:space="preserve"> </v>
      </c>
      <c r="I7100" s="248" t="s">
        <v>348</v>
      </c>
      <c r="J7100" s="249" t="s">
        <v>95</v>
      </c>
      <c r="K7100" s="250">
        <v>2747.2527472527472</v>
      </c>
      <c r="L7100" s="241"/>
    </row>
    <row r="7101" spans="1:12" x14ac:dyDescent="0.2">
      <c r="A7101" s="242">
        <v>2022</v>
      </c>
      <c r="B7101" s="242">
        <v>8</v>
      </c>
      <c r="C7101" s="242">
        <v>4</v>
      </c>
      <c r="D7101" s="270">
        <f t="shared" si="544"/>
        <v>44777</v>
      </c>
      <c r="E7101" s="279">
        <f t="shared" si="545"/>
        <v>44777</v>
      </c>
      <c r="F7101" s="478"/>
      <c r="G7101" s="243" t="s">
        <v>94</v>
      </c>
      <c r="H7101" s="243" t="str" cm="1">
        <f t="array" ref="H7101">IFERROR(INDEX(INVESTOR_LIST[INVESTOR NAME],MATCH(I7101,INVESTOR_LIST[INVESTOR CODE],0),)," ")</f>
        <v xml:space="preserve"> </v>
      </c>
      <c r="I7101" s="263" t="s">
        <v>348</v>
      </c>
      <c r="J7101" s="244" t="s">
        <v>63</v>
      </c>
      <c r="K7101" s="245"/>
      <c r="L7101" s="245">
        <v>2747.2527472527472</v>
      </c>
    </row>
    <row r="7102" spans="1:12" x14ac:dyDescent="0.2">
      <c r="A7102" s="246">
        <v>2022</v>
      </c>
      <c r="B7102" s="238">
        <v>8</v>
      </c>
      <c r="C7102" s="238">
        <v>4</v>
      </c>
      <c r="D7102" s="270">
        <f t="shared" si="544"/>
        <v>44777</v>
      </c>
      <c r="E7102" s="279">
        <f t="shared" si="545"/>
        <v>44777</v>
      </c>
      <c r="F7102" s="482" t="s">
        <v>137</v>
      </c>
      <c r="G7102" s="247" t="s">
        <v>94</v>
      </c>
      <c r="H7102" s="247" t="str" cm="1">
        <f t="array" ref="H7102">IFERROR(INDEX(INVESTOR_LIST[INVESTOR NAME],MATCH(I7102,INVESTOR_LIST[INVESTOR CODE],0),)," ")</f>
        <v xml:space="preserve"> </v>
      </c>
      <c r="I7102" s="248" t="s">
        <v>348</v>
      </c>
      <c r="J7102" s="249" t="s">
        <v>97</v>
      </c>
      <c r="K7102" s="250">
        <v>80355.492470263067</v>
      </c>
      <c r="L7102" s="252"/>
    </row>
    <row r="7103" spans="1:12" x14ac:dyDescent="0.2">
      <c r="A7103" s="242">
        <v>2022</v>
      </c>
      <c r="B7103" s="242">
        <v>8</v>
      </c>
      <c r="C7103" s="242">
        <v>4</v>
      </c>
      <c r="D7103" s="270">
        <f t="shared" si="544"/>
        <v>44777</v>
      </c>
      <c r="E7103" s="279">
        <f t="shared" si="545"/>
        <v>44777</v>
      </c>
      <c r="F7103" s="478"/>
      <c r="G7103" s="243" t="s">
        <v>94</v>
      </c>
      <c r="H7103" s="243" t="str" cm="1">
        <f t="array" ref="H7103">IFERROR(INDEX(INVESTOR_LIST[INVESTOR NAME],MATCH(I7103,INVESTOR_LIST[INVESTOR CODE],0),)," ")</f>
        <v xml:space="preserve"> </v>
      </c>
      <c r="I7103" s="263" t="s">
        <v>348</v>
      </c>
      <c r="J7103" s="244" t="s">
        <v>47</v>
      </c>
      <c r="K7103" s="245"/>
      <c r="L7103" s="245">
        <v>80355.492470263067</v>
      </c>
    </row>
    <row r="7104" spans="1:12" x14ac:dyDescent="0.2">
      <c r="A7104" s="246">
        <v>2022</v>
      </c>
      <c r="B7104" s="238">
        <v>8</v>
      </c>
      <c r="C7104" s="238">
        <v>4</v>
      </c>
      <c r="D7104" s="270">
        <f t="shared" si="544"/>
        <v>44777</v>
      </c>
      <c r="E7104" s="279">
        <f t="shared" si="545"/>
        <v>44777</v>
      </c>
      <c r="F7104" s="482" t="s">
        <v>138</v>
      </c>
      <c r="G7104" s="247" t="s">
        <v>94</v>
      </c>
      <c r="H7104" s="247" t="str" cm="1">
        <f t="array" ref="H7104">IFERROR(INDEX(INVESTOR_LIST[INVESTOR NAME],MATCH(I7104,INVESTOR_LIST[INVESTOR CODE],0),)," ")</f>
        <v xml:space="preserve"> </v>
      </c>
      <c r="I7104" s="248" t="s">
        <v>348</v>
      </c>
      <c r="J7104" s="249" t="s">
        <v>100</v>
      </c>
      <c r="K7104" s="250">
        <v>3777.3900081285374</v>
      </c>
      <c r="L7104" s="252"/>
    </row>
    <row r="7105" spans="1:12" x14ac:dyDescent="0.2">
      <c r="A7105" s="242">
        <v>2022</v>
      </c>
      <c r="B7105" s="242">
        <v>8</v>
      </c>
      <c r="C7105" s="242">
        <v>4</v>
      </c>
      <c r="D7105" s="321">
        <f t="shared" si="544"/>
        <v>44777</v>
      </c>
      <c r="E7105" s="322">
        <f t="shared" si="545"/>
        <v>44777</v>
      </c>
      <c r="F7105" s="478"/>
      <c r="G7105" s="243" t="s">
        <v>94</v>
      </c>
      <c r="H7105" s="243" t="str" cm="1">
        <f t="array" ref="H7105">IFERROR(INDEX(INVESTOR_LIST[INVESTOR NAME],MATCH(I7105,INVESTOR_LIST[INVESTOR CODE],0),)," ")</f>
        <v xml:space="preserve"> </v>
      </c>
      <c r="I7105" s="263" t="s">
        <v>348</v>
      </c>
      <c r="J7105" s="244" t="s">
        <v>48</v>
      </c>
      <c r="K7105" s="245"/>
      <c r="L7105" s="245">
        <v>3777.3900081285374</v>
      </c>
    </row>
    <row r="7106" spans="1:12" x14ac:dyDescent="0.2">
      <c r="A7106" s="133">
        <v>2022</v>
      </c>
      <c r="B7106" s="133">
        <v>8</v>
      </c>
      <c r="C7106" s="168">
        <v>4</v>
      </c>
      <c r="D7106" s="141">
        <f t="shared" si="544"/>
        <v>44777</v>
      </c>
      <c r="E7106" s="275">
        <f t="shared" si="545"/>
        <v>44777</v>
      </c>
      <c r="F7106" s="479" t="s">
        <v>1468</v>
      </c>
      <c r="G7106" s="174" t="s">
        <v>74</v>
      </c>
      <c r="H7106" s="148" t="str" cm="1">
        <f t="array" ref="H7106">IFERROR(INDEX(INVESTOR_LIST[INVESTOR NAME],MATCH(I7106,INVESTOR_LIST[INVESTOR CODE],0),)," ")</f>
        <v xml:space="preserve"> </v>
      </c>
      <c r="I7106" s="148" t="s">
        <v>348</v>
      </c>
      <c r="J7106" s="133" t="s">
        <v>61</v>
      </c>
      <c r="K7106" s="172">
        <v>60</v>
      </c>
    </row>
    <row r="7107" spans="1:12" x14ac:dyDescent="0.2">
      <c r="A7107" s="163">
        <v>2022</v>
      </c>
      <c r="B7107" s="163">
        <v>8</v>
      </c>
      <c r="C7107" s="163">
        <v>4</v>
      </c>
      <c r="D7107" s="141">
        <f t="shared" si="544"/>
        <v>44777</v>
      </c>
      <c r="E7107" s="275">
        <f t="shared" si="545"/>
        <v>44777</v>
      </c>
      <c r="F7107" s="480"/>
      <c r="G7107" s="221" t="s">
        <v>74</v>
      </c>
      <c r="H7107" s="145" t="str" cm="1">
        <f t="array" ref="H7107">IFERROR(INDEX(INVESTOR_LIST[INVESTOR NAME],MATCH(I7107,INVESTOR_LIST[INVESTOR CODE],0),)," ")</f>
        <v xml:space="preserve"> </v>
      </c>
      <c r="I7107" s="145" t="s">
        <v>348</v>
      </c>
      <c r="J7107" s="163" t="s">
        <v>52</v>
      </c>
      <c r="K7107" s="219"/>
      <c r="L7107" s="219">
        <v>60</v>
      </c>
    </row>
    <row r="7108" spans="1:12" ht="10.15" customHeight="1" x14ac:dyDescent="0.2">
      <c r="A7108" s="133">
        <v>2022</v>
      </c>
      <c r="B7108" s="133">
        <v>8</v>
      </c>
      <c r="C7108" s="168">
        <v>4</v>
      </c>
      <c r="D7108" s="141">
        <f t="shared" ref="D7108:D7111" si="546">DATE(A7108,B7108,C7108)</f>
        <v>44777</v>
      </c>
      <c r="E7108" s="275">
        <f t="shared" ref="E7108:E7111" si="547">DATE(A7108,B7108,C7108)</f>
        <v>44777</v>
      </c>
      <c r="F7108" s="479" t="s">
        <v>1469</v>
      </c>
      <c r="G7108" s="174" t="s">
        <v>74</v>
      </c>
      <c r="H7108" s="148" t="str" cm="1">
        <f t="array" ref="H7108">IFERROR(INDEX(INVESTOR_LIST[INVESTOR NAME],MATCH(I7108,INVESTOR_LIST[INVESTOR CODE],0),)," ")</f>
        <v xml:space="preserve"> </v>
      </c>
      <c r="I7108" s="148" t="s">
        <v>348</v>
      </c>
      <c r="J7108" s="133" t="s">
        <v>61</v>
      </c>
      <c r="K7108" s="172">
        <v>60</v>
      </c>
    </row>
    <row r="7109" spans="1:12" x14ac:dyDescent="0.2">
      <c r="A7109" s="163">
        <v>2022</v>
      </c>
      <c r="B7109" s="163">
        <v>8</v>
      </c>
      <c r="C7109" s="163">
        <v>4</v>
      </c>
      <c r="D7109" s="141">
        <f t="shared" si="546"/>
        <v>44777</v>
      </c>
      <c r="E7109" s="275">
        <f t="shared" si="547"/>
        <v>44777</v>
      </c>
      <c r="F7109" s="480"/>
      <c r="G7109" s="221" t="s">
        <v>74</v>
      </c>
      <c r="H7109" s="145" t="str" cm="1">
        <f t="array" ref="H7109">IFERROR(INDEX(INVESTOR_LIST[INVESTOR NAME],MATCH(I7109,INVESTOR_LIST[INVESTOR CODE],0),)," ")</f>
        <v xml:space="preserve"> </v>
      </c>
      <c r="I7109" s="145" t="s">
        <v>348</v>
      </c>
      <c r="J7109" s="163" t="s">
        <v>52</v>
      </c>
      <c r="K7109" s="219"/>
      <c r="L7109" s="219">
        <v>60</v>
      </c>
    </row>
    <row r="7110" spans="1:12" ht="10.15" customHeight="1" x14ac:dyDescent="0.2">
      <c r="A7110" s="133">
        <v>2022</v>
      </c>
      <c r="B7110" s="133">
        <v>8</v>
      </c>
      <c r="C7110" s="168">
        <v>4</v>
      </c>
      <c r="D7110" s="141">
        <f t="shared" si="546"/>
        <v>44777</v>
      </c>
      <c r="E7110" s="275">
        <f t="shared" si="547"/>
        <v>44777</v>
      </c>
      <c r="F7110" s="479" t="s">
        <v>1470</v>
      </c>
      <c r="G7110" s="174" t="s">
        <v>74</v>
      </c>
      <c r="H7110" s="148" t="str" cm="1">
        <f t="array" ref="H7110">IFERROR(INDEX(INVESTOR_LIST[INVESTOR NAME],MATCH(I7110,INVESTOR_LIST[INVESTOR CODE],0),)," ")</f>
        <v xml:space="preserve"> </v>
      </c>
      <c r="I7110" s="148" t="s">
        <v>348</v>
      </c>
      <c r="J7110" s="133" t="s">
        <v>61</v>
      </c>
      <c r="K7110" s="172">
        <v>60</v>
      </c>
    </row>
    <row r="7111" spans="1:12" x14ac:dyDescent="0.2">
      <c r="A7111" s="163">
        <v>2022</v>
      </c>
      <c r="B7111" s="163">
        <v>8</v>
      </c>
      <c r="C7111" s="163">
        <v>4</v>
      </c>
      <c r="D7111" s="141">
        <f t="shared" si="546"/>
        <v>44777</v>
      </c>
      <c r="E7111" s="275">
        <f t="shared" si="547"/>
        <v>44777</v>
      </c>
      <c r="F7111" s="480"/>
      <c r="G7111" s="221" t="s">
        <v>74</v>
      </c>
      <c r="H7111" s="145" t="str" cm="1">
        <f t="array" ref="H7111">IFERROR(INDEX(INVESTOR_LIST[INVESTOR NAME],MATCH(I7111,INVESTOR_LIST[INVESTOR CODE],0),)," ")</f>
        <v xml:space="preserve"> </v>
      </c>
      <c r="I7111" s="145" t="s">
        <v>348</v>
      </c>
      <c r="J7111" s="163" t="s">
        <v>52</v>
      </c>
      <c r="K7111" s="219"/>
      <c r="L7111" s="219">
        <v>60</v>
      </c>
    </row>
    <row r="7112" spans="1:12" ht="10.15" customHeight="1" x14ac:dyDescent="0.2">
      <c r="A7112" s="133">
        <v>2022</v>
      </c>
      <c r="B7112" s="133">
        <v>8</v>
      </c>
      <c r="C7112" s="168">
        <v>4</v>
      </c>
      <c r="D7112" s="141">
        <f t="shared" ref="D7112:D7122" si="548">DATE(A7112,B7112,C7112)</f>
        <v>44777</v>
      </c>
      <c r="E7112" s="275">
        <f t="shared" ref="E7112:E7122" si="549">DATE(A7112,B7112,C7112)</f>
        <v>44777</v>
      </c>
      <c r="F7112" s="479" t="s">
        <v>1471</v>
      </c>
      <c r="G7112" s="174" t="s">
        <v>74</v>
      </c>
      <c r="H7112" s="148" t="str" cm="1">
        <f t="array" ref="H7112">IFERROR(INDEX(INVESTOR_LIST[INVESTOR NAME],MATCH(I7112,INVESTOR_LIST[INVESTOR CODE],0),)," ")</f>
        <v xml:space="preserve"> </v>
      </c>
      <c r="I7112" s="148" t="s">
        <v>348</v>
      </c>
      <c r="J7112" s="133" t="s">
        <v>61</v>
      </c>
      <c r="K7112" s="172">
        <v>10</v>
      </c>
    </row>
    <row r="7113" spans="1:12" x14ac:dyDescent="0.2">
      <c r="A7113" s="163">
        <v>2022</v>
      </c>
      <c r="B7113" s="163">
        <v>8</v>
      </c>
      <c r="C7113" s="163">
        <v>4</v>
      </c>
      <c r="D7113" s="141">
        <f t="shared" si="548"/>
        <v>44777</v>
      </c>
      <c r="E7113" s="275">
        <f t="shared" si="549"/>
        <v>44777</v>
      </c>
      <c r="F7113" s="480"/>
      <c r="G7113" s="221" t="s">
        <v>74</v>
      </c>
      <c r="H7113" s="145" t="str" cm="1">
        <f t="array" ref="H7113">IFERROR(INDEX(INVESTOR_LIST[INVESTOR NAME],MATCH(I7113,INVESTOR_LIST[INVESTOR CODE],0),)," ")</f>
        <v xml:space="preserve"> </v>
      </c>
      <c r="I7113" s="145" t="s">
        <v>348</v>
      </c>
      <c r="J7113" s="163" t="s">
        <v>52</v>
      </c>
      <c r="K7113" s="219"/>
      <c r="L7113" s="219">
        <v>10</v>
      </c>
    </row>
    <row r="7114" spans="1:12" x14ac:dyDescent="0.2">
      <c r="A7114" s="168">
        <v>2022</v>
      </c>
      <c r="B7114" s="168">
        <v>8</v>
      </c>
      <c r="C7114" s="133">
        <v>5</v>
      </c>
      <c r="D7114" s="141">
        <f t="shared" si="548"/>
        <v>44778</v>
      </c>
      <c r="E7114" s="275">
        <f t="shared" si="549"/>
        <v>44778</v>
      </c>
      <c r="F7114" s="479" t="s">
        <v>1319</v>
      </c>
      <c r="G7114" s="220" t="s">
        <v>74</v>
      </c>
      <c r="H7114" s="142" t="str" cm="1">
        <f t="array" ref="H7114">IFERROR(INDEX(INVESTOR_LIST[INVESTOR NAME],MATCH(I7114,INVESTOR_LIST[INVESTOR CODE],0),)," ")</f>
        <v xml:space="preserve"> </v>
      </c>
      <c r="I7114" s="142"/>
      <c r="J7114" s="168" t="s">
        <v>52</v>
      </c>
      <c r="K7114" s="226">
        <v>406000</v>
      </c>
      <c r="L7114" s="226"/>
    </row>
    <row r="7115" spans="1:12" x14ac:dyDescent="0.2">
      <c r="A7115" s="133">
        <v>2022</v>
      </c>
      <c r="B7115" s="133">
        <v>8</v>
      </c>
      <c r="C7115" s="133">
        <v>5</v>
      </c>
      <c r="D7115" s="141">
        <f t="shared" si="548"/>
        <v>44778</v>
      </c>
      <c r="E7115" s="275">
        <f t="shared" si="549"/>
        <v>44778</v>
      </c>
      <c r="F7115" s="481"/>
      <c r="G7115" s="174" t="s">
        <v>74</v>
      </c>
      <c r="H7115" s="148" t="str" cm="1">
        <f t="array" ref="H7115">IFERROR(INDEX(INVESTOR_LIST[INVESTOR NAME],MATCH(I7115,INVESTOR_LIST[INVESTOR CODE],0),)," ")</f>
        <v xml:space="preserve"> </v>
      </c>
      <c r="J7115" s="133" t="s">
        <v>13</v>
      </c>
      <c r="K7115" s="218"/>
      <c r="L7115" s="218">
        <v>338060</v>
      </c>
    </row>
    <row r="7116" spans="1:12" x14ac:dyDescent="0.2">
      <c r="A7116" s="163">
        <v>2022</v>
      </c>
      <c r="B7116" s="163">
        <v>8</v>
      </c>
      <c r="C7116" s="163">
        <v>5</v>
      </c>
      <c r="D7116" s="141">
        <f t="shared" si="548"/>
        <v>44778</v>
      </c>
      <c r="E7116" s="275">
        <f t="shared" si="549"/>
        <v>44778</v>
      </c>
      <c r="F7116" s="480"/>
      <c r="G7116" s="221" t="s">
        <v>74</v>
      </c>
      <c r="H7116" s="145" t="str" cm="1">
        <f t="array" ref="H7116">IFERROR(INDEX(INVESTOR_LIST[INVESTOR NAME],MATCH(I7116,INVESTOR_LIST[INVESTOR CODE],0),)," ")</f>
        <v xml:space="preserve"> </v>
      </c>
      <c r="I7116" s="145"/>
      <c r="J7116" s="163" t="s">
        <v>53</v>
      </c>
      <c r="K7116" s="219"/>
      <c r="L7116" s="219">
        <v>67940</v>
      </c>
    </row>
    <row r="7117" spans="1:12" ht="22.5" x14ac:dyDescent="0.2">
      <c r="A7117" s="168">
        <v>2022</v>
      </c>
      <c r="B7117" s="168">
        <v>8</v>
      </c>
      <c r="C7117" s="133">
        <v>7</v>
      </c>
      <c r="D7117" s="141">
        <f t="shared" ref="D7117:D7119" si="550">DATE(A7117,B7117,C7117)</f>
        <v>44780</v>
      </c>
      <c r="E7117" s="275">
        <f t="shared" ref="E7117:E7119" si="551">DATE(A7117,B7117,C7117)</f>
        <v>44780</v>
      </c>
      <c r="F7117" s="479" t="s">
        <v>964</v>
      </c>
      <c r="G7117" s="220" t="s">
        <v>74</v>
      </c>
      <c r="H7117" s="142" t="str" cm="1">
        <f t="array" ref="H7117">IFERROR(INDEX(INVESTOR_LIST[INVESTOR NAME],MATCH(I7117,INVESTOR_LIST[INVESTOR CODE],0),)," ")</f>
        <v>SYED AHMAD</v>
      </c>
      <c r="I7117" s="142" t="s">
        <v>1449</v>
      </c>
      <c r="J7117" s="168" t="s">
        <v>52</v>
      </c>
      <c r="K7117" s="226">
        <v>12010</v>
      </c>
      <c r="L7117" s="226"/>
    </row>
    <row r="7118" spans="1:12" ht="22.5" x14ac:dyDescent="0.2">
      <c r="A7118" s="133">
        <v>2022</v>
      </c>
      <c r="B7118" s="133">
        <v>8</v>
      </c>
      <c r="C7118" s="133">
        <v>7</v>
      </c>
      <c r="D7118" s="141">
        <f t="shared" si="550"/>
        <v>44780</v>
      </c>
      <c r="E7118" s="275">
        <f t="shared" si="551"/>
        <v>44780</v>
      </c>
      <c r="F7118" s="481"/>
      <c r="G7118" s="174" t="s">
        <v>74</v>
      </c>
      <c r="H7118" s="148" t="str" cm="1">
        <f t="array" ref="H7118">IFERROR(INDEX(INVESTOR_LIST[INVESTOR NAME],MATCH(I7118,INVESTOR_LIST[INVESTOR CODE],0),)," ")</f>
        <v>SYED AHMAD</v>
      </c>
      <c r="I7118" s="148" t="s">
        <v>1449</v>
      </c>
      <c r="J7118" s="133" t="s">
        <v>13</v>
      </c>
      <c r="K7118" s="218"/>
      <c r="L7118" s="218">
        <v>10000</v>
      </c>
    </row>
    <row r="7119" spans="1:12" ht="22.5" x14ac:dyDescent="0.2">
      <c r="A7119" s="163">
        <v>2022</v>
      </c>
      <c r="B7119" s="163">
        <v>8</v>
      </c>
      <c r="C7119" s="163">
        <v>7</v>
      </c>
      <c r="D7119" s="141">
        <f t="shared" si="550"/>
        <v>44780</v>
      </c>
      <c r="E7119" s="275">
        <f t="shared" si="551"/>
        <v>44780</v>
      </c>
      <c r="F7119" s="480"/>
      <c r="G7119" s="221" t="s">
        <v>74</v>
      </c>
      <c r="H7119" s="145" t="str" cm="1">
        <f t="array" ref="H7119">IFERROR(INDEX(INVESTOR_LIST[INVESTOR NAME],MATCH(I7119,INVESTOR_LIST[INVESTOR CODE],0),)," ")</f>
        <v>SYED AHMAD</v>
      </c>
      <c r="I7119" s="145" t="s">
        <v>1449</v>
      </c>
      <c r="J7119" s="163" t="s">
        <v>53</v>
      </c>
      <c r="K7119" s="219"/>
      <c r="L7119" s="219">
        <v>2010</v>
      </c>
    </row>
    <row r="7120" spans="1:12" ht="33.75" x14ac:dyDescent="0.2">
      <c r="A7120" s="168">
        <v>2022</v>
      </c>
      <c r="B7120" s="168">
        <v>8</v>
      </c>
      <c r="C7120" s="133">
        <v>7</v>
      </c>
      <c r="D7120" s="141">
        <f t="shared" si="548"/>
        <v>44780</v>
      </c>
      <c r="E7120" s="275">
        <f t="shared" si="549"/>
        <v>44780</v>
      </c>
      <c r="F7120" s="479" t="s">
        <v>964</v>
      </c>
      <c r="G7120" s="220" t="s">
        <v>74</v>
      </c>
      <c r="H7120" s="142" t="str" cm="1">
        <f t="array" ref="H7120">IFERROR(INDEX(INVESTOR_LIST[INVESTOR NAME],MATCH(I7120,INVESTOR_LIST[INVESTOR CODE],0),)," ")</f>
        <v>SADIA SYED TAHIA</v>
      </c>
      <c r="I7120" s="142" t="s">
        <v>1460</v>
      </c>
      <c r="J7120" s="168" t="s">
        <v>52</v>
      </c>
      <c r="K7120" s="226">
        <v>12010</v>
      </c>
      <c r="L7120" s="226"/>
    </row>
    <row r="7121" spans="1:12" ht="33.75" x14ac:dyDescent="0.2">
      <c r="A7121" s="133">
        <v>2022</v>
      </c>
      <c r="B7121" s="133">
        <v>8</v>
      </c>
      <c r="C7121" s="133">
        <v>7</v>
      </c>
      <c r="D7121" s="141">
        <f t="shared" si="548"/>
        <v>44780</v>
      </c>
      <c r="E7121" s="275">
        <f t="shared" si="549"/>
        <v>44780</v>
      </c>
      <c r="F7121" s="481"/>
      <c r="G7121" s="174" t="s">
        <v>74</v>
      </c>
      <c r="H7121" s="148" t="str" cm="1">
        <f t="array" ref="H7121">IFERROR(INDEX(INVESTOR_LIST[INVESTOR NAME],MATCH(I7121,INVESTOR_LIST[INVESTOR CODE],0),)," ")</f>
        <v>SADIA SYED TAHIA</v>
      </c>
      <c r="I7121" s="148" t="s">
        <v>1460</v>
      </c>
      <c r="J7121" s="133" t="s">
        <v>13</v>
      </c>
      <c r="K7121" s="218"/>
      <c r="L7121" s="218">
        <v>10000</v>
      </c>
    </row>
    <row r="7122" spans="1:12" ht="33.75" x14ac:dyDescent="0.2">
      <c r="A7122" s="163">
        <v>2022</v>
      </c>
      <c r="B7122" s="163">
        <v>8</v>
      </c>
      <c r="C7122" s="163">
        <v>7</v>
      </c>
      <c r="D7122" s="141">
        <f t="shared" si="548"/>
        <v>44780</v>
      </c>
      <c r="E7122" s="275">
        <f t="shared" si="549"/>
        <v>44780</v>
      </c>
      <c r="F7122" s="480"/>
      <c r="G7122" s="221" t="s">
        <v>74</v>
      </c>
      <c r="H7122" s="145" t="str" cm="1">
        <f t="array" ref="H7122">IFERROR(INDEX(INVESTOR_LIST[INVESTOR NAME],MATCH(I7122,INVESTOR_LIST[INVESTOR CODE],0),)," ")</f>
        <v>SADIA SYED TAHIA</v>
      </c>
      <c r="I7122" s="145" t="s">
        <v>1460</v>
      </c>
      <c r="J7122" s="163" t="s">
        <v>53</v>
      </c>
      <c r="K7122" s="219"/>
      <c r="L7122" s="219">
        <v>2010</v>
      </c>
    </row>
    <row r="7123" spans="1:12" ht="33.75" x14ac:dyDescent="0.2">
      <c r="A7123" s="168">
        <v>2022</v>
      </c>
      <c r="B7123" s="168">
        <v>8</v>
      </c>
      <c r="C7123" s="133">
        <v>7</v>
      </c>
      <c r="D7123" s="141">
        <f t="shared" ref="D7123:D7134" si="552">DATE(A7123,B7123,C7123)</f>
        <v>44780</v>
      </c>
      <c r="E7123" s="275">
        <f t="shared" ref="E7123:E7134" si="553">DATE(A7123,B7123,C7123)</f>
        <v>44780</v>
      </c>
      <c r="F7123" s="479" t="s">
        <v>964</v>
      </c>
      <c r="G7123" s="220" t="s">
        <v>74</v>
      </c>
      <c r="H7123" s="142" t="str" cm="1">
        <f t="array" ref="H7123">IFERROR(INDEX(INVESTOR_LIST[INVESTOR NAME],MATCH(I7123,INVESTOR_LIST[INVESTOR CODE],0),)," ")</f>
        <v>AHMED BIN MONSUR</v>
      </c>
      <c r="I7123" s="142" t="s">
        <v>992</v>
      </c>
      <c r="J7123" s="168" t="s">
        <v>52</v>
      </c>
      <c r="K7123" s="226">
        <v>999126</v>
      </c>
      <c r="L7123" s="226"/>
    </row>
    <row r="7124" spans="1:12" ht="33.75" x14ac:dyDescent="0.2">
      <c r="A7124" s="133">
        <v>2022</v>
      </c>
      <c r="B7124" s="133">
        <v>8</v>
      </c>
      <c r="C7124" s="133">
        <v>7</v>
      </c>
      <c r="D7124" s="141">
        <f t="shared" si="552"/>
        <v>44780</v>
      </c>
      <c r="E7124" s="275">
        <f t="shared" si="553"/>
        <v>44780</v>
      </c>
      <c r="F7124" s="481"/>
      <c r="G7124" s="174" t="s">
        <v>74</v>
      </c>
      <c r="H7124" s="148" t="str" cm="1">
        <f t="array" ref="H7124">IFERROR(INDEX(INVESTOR_LIST[INVESTOR NAME],MATCH(I7124,INVESTOR_LIST[INVESTOR CODE],0),)," ")</f>
        <v>AHMED BIN MONSUR</v>
      </c>
      <c r="I7124" s="148" t="s">
        <v>992</v>
      </c>
      <c r="J7124" s="133" t="s">
        <v>13</v>
      </c>
      <c r="K7124" s="218"/>
      <c r="L7124" s="218">
        <v>846000</v>
      </c>
    </row>
    <row r="7125" spans="1:12" ht="33.75" x14ac:dyDescent="0.2">
      <c r="A7125" s="163">
        <v>2022</v>
      </c>
      <c r="B7125" s="163">
        <v>8</v>
      </c>
      <c r="C7125" s="163">
        <v>7</v>
      </c>
      <c r="D7125" s="141">
        <f t="shared" si="552"/>
        <v>44780</v>
      </c>
      <c r="E7125" s="275">
        <f t="shared" si="553"/>
        <v>44780</v>
      </c>
      <c r="F7125" s="480"/>
      <c r="G7125" s="221" t="s">
        <v>74</v>
      </c>
      <c r="H7125" s="145" t="str" cm="1">
        <f t="array" ref="H7125">IFERROR(INDEX(INVESTOR_LIST[INVESTOR NAME],MATCH(I7125,INVESTOR_LIST[INVESTOR CODE],0),)," ")</f>
        <v>AHMED BIN MONSUR</v>
      </c>
      <c r="I7125" s="145" t="s">
        <v>992</v>
      </c>
      <c r="J7125" s="163" t="s">
        <v>53</v>
      </c>
      <c r="K7125" s="219"/>
      <c r="L7125" s="219">
        <v>153126</v>
      </c>
    </row>
    <row r="7126" spans="1:12" ht="45" x14ac:dyDescent="0.2">
      <c r="A7126" s="168">
        <v>2022</v>
      </c>
      <c r="B7126" s="168">
        <v>8</v>
      </c>
      <c r="C7126" s="133">
        <v>7</v>
      </c>
      <c r="D7126" s="141">
        <f t="shared" si="552"/>
        <v>44780</v>
      </c>
      <c r="E7126" s="275">
        <f t="shared" si="553"/>
        <v>44780</v>
      </c>
      <c r="F7126" s="479" t="s">
        <v>1315</v>
      </c>
      <c r="G7126" s="220" t="s">
        <v>74</v>
      </c>
      <c r="H7126" s="142" t="str" cm="1">
        <f t="array" ref="H7126">IFERROR(INDEX(INVESTOR_LIST[INVESTOR NAME],MATCH(I7126,INVESTOR_LIST[INVESTOR CODE],0),)," ")</f>
        <v>MD. ALAMGIR HOSSAIN</v>
      </c>
      <c r="I7126" s="142" t="s">
        <v>518</v>
      </c>
      <c r="J7126" s="168" t="s">
        <v>13</v>
      </c>
      <c r="K7126" s="226">
        <v>810860</v>
      </c>
      <c r="L7126" s="226"/>
    </row>
    <row r="7127" spans="1:12" ht="45" x14ac:dyDescent="0.2">
      <c r="A7127" s="133">
        <v>2022</v>
      </c>
      <c r="B7127" s="133">
        <v>8</v>
      </c>
      <c r="C7127" s="133">
        <v>7</v>
      </c>
      <c r="D7127" s="141">
        <f t="shared" si="552"/>
        <v>44780</v>
      </c>
      <c r="E7127" s="275">
        <f t="shared" si="553"/>
        <v>44780</v>
      </c>
      <c r="F7127" s="481"/>
      <c r="G7127" s="174" t="s">
        <v>74</v>
      </c>
      <c r="H7127" s="148" t="str" cm="1">
        <f t="array" ref="H7127">IFERROR(INDEX(INVESTOR_LIST[INVESTOR NAME],MATCH(I7127,INVESTOR_LIST[INVESTOR CODE],0),)," ")</f>
        <v>MD. ALAMGIR HOSSAIN</v>
      </c>
      <c r="I7127" s="148" t="s">
        <v>518</v>
      </c>
      <c r="J7127" s="133" t="s">
        <v>53</v>
      </c>
      <c r="K7127" s="218">
        <v>162982.9</v>
      </c>
      <c r="L7127" s="218"/>
    </row>
    <row r="7128" spans="1:12" ht="45" x14ac:dyDescent="0.2">
      <c r="A7128" s="163">
        <v>2022</v>
      </c>
      <c r="B7128" s="163">
        <v>8</v>
      </c>
      <c r="C7128" s="163">
        <v>7</v>
      </c>
      <c r="D7128" s="280">
        <f t="shared" si="552"/>
        <v>44780</v>
      </c>
      <c r="E7128" s="281">
        <f t="shared" si="553"/>
        <v>44780</v>
      </c>
      <c r="F7128" s="480"/>
      <c r="G7128" s="221" t="s">
        <v>74</v>
      </c>
      <c r="H7128" s="145" t="str" cm="1">
        <f t="array" ref="H7128">IFERROR(INDEX(INVESTOR_LIST[INVESTOR NAME],MATCH(I7128,INVESTOR_LIST[INVESTOR CODE],0),)," ")</f>
        <v>MD. ALAMGIR HOSSAIN</v>
      </c>
      <c r="I7128" s="145" t="s">
        <v>518</v>
      </c>
      <c r="J7128" s="163" t="s">
        <v>52</v>
      </c>
      <c r="K7128" s="219"/>
      <c r="L7128" s="219">
        <v>973842.9</v>
      </c>
    </row>
    <row r="7129" spans="1:12" x14ac:dyDescent="0.2">
      <c r="A7129" s="133">
        <v>2022</v>
      </c>
      <c r="B7129" s="133">
        <v>8</v>
      </c>
      <c r="C7129" s="168">
        <v>7</v>
      </c>
      <c r="D7129" s="141">
        <f t="shared" si="552"/>
        <v>44780</v>
      </c>
      <c r="E7129" s="275">
        <f t="shared" si="553"/>
        <v>44780</v>
      </c>
      <c r="F7129" s="479" t="s">
        <v>1467</v>
      </c>
      <c r="G7129" s="174" t="s">
        <v>74</v>
      </c>
      <c r="H7129" s="148" t="str" cm="1">
        <f t="array" ref="H7129">IFERROR(INDEX(INVESTOR_LIST[INVESTOR NAME],MATCH(I7129,INVESTOR_LIST[INVESTOR CODE],0),)," ")</f>
        <v xml:space="preserve"> </v>
      </c>
      <c r="I7129" s="148" t="s">
        <v>348</v>
      </c>
      <c r="J7129" s="133" t="s">
        <v>61</v>
      </c>
      <c r="K7129" s="172">
        <v>100</v>
      </c>
    </row>
    <row r="7130" spans="1:12" x14ac:dyDescent="0.2">
      <c r="A7130" s="163">
        <v>2022</v>
      </c>
      <c r="B7130" s="163">
        <v>8</v>
      </c>
      <c r="C7130" s="163">
        <v>7</v>
      </c>
      <c r="D7130" s="141">
        <f t="shared" si="552"/>
        <v>44780</v>
      </c>
      <c r="E7130" s="275">
        <f t="shared" si="553"/>
        <v>44780</v>
      </c>
      <c r="F7130" s="480"/>
      <c r="G7130" s="221" t="s">
        <v>74</v>
      </c>
      <c r="H7130" s="145" t="str" cm="1">
        <f t="array" ref="H7130">IFERROR(INDEX(INVESTOR_LIST[INVESTOR NAME],MATCH(I7130,INVESTOR_LIST[INVESTOR CODE],0),)," ")</f>
        <v xml:space="preserve"> </v>
      </c>
      <c r="I7130" s="145" t="s">
        <v>348</v>
      </c>
      <c r="J7130" s="163" t="s">
        <v>52</v>
      </c>
      <c r="K7130" s="219"/>
      <c r="L7130" s="219">
        <v>100</v>
      </c>
    </row>
    <row r="7131" spans="1:12" x14ac:dyDescent="0.2">
      <c r="A7131" s="168">
        <v>2022</v>
      </c>
      <c r="B7131" s="133">
        <v>8</v>
      </c>
      <c r="C7131" s="168">
        <v>8</v>
      </c>
      <c r="D7131" s="141">
        <f t="shared" si="552"/>
        <v>44781</v>
      </c>
      <c r="E7131" s="275">
        <f t="shared" si="553"/>
        <v>44781</v>
      </c>
      <c r="F7131" s="479" t="s">
        <v>821</v>
      </c>
      <c r="G7131" s="220" t="s">
        <v>74</v>
      </c>
      <c r="H7131" s="220" t="str" cm="1">
        <f t="array" ref="H7131">IFERROR(INDEX(INVESTOR_LIST[INVESTOR NAME],MATCH(I7131,INVESTOR_LIST[INVESTOR CODE],0),)," ")</f>
        <v xml:space="preserve"> </v>
      </c>
      <c r="I7131" s="142" t="s">
        <v>348</v>
      </c>
      <c r="J7131" s="143" t="s">
        <v>52</v>
      </c>
      <c r="K7131" s="226">
        <v>59062.5</v>
      </c>
      <c r="L7131" s="226"/>
    </row>
    <row r="7132" spans="1:12" x14ac:dyDescent="0.2">
      <c r="A7132" s="163">
        <v>2022</v>
      </c>
      <c r="B7132" s="163">
        <v>8</v>
      </c>
      <c r="C7132" s="163">
        <v>8</v>
      </c>
      <c r="D7132" s="141">
        <f t="shared" si="552"/>
        <v>44781</v>
      </c>
      <c r="E7132" s="275">
        <f t="shared" si="553"/>
        <v>44781</v>
      </c>
      <c r="F7132" s="480"/>
      <c r="G7132" s="221" t="s">
        <v>74</v>
      </c>
      <c r="H7132" s="221" t="str" cm="1">
        <f t="array" ref="H7132">IFERROR(INDEX(INVESTOR_LIST[INVESTOR NAME],MATCH(I7132,INVESTOR_LIST[INVESTOR CODE],0),)," ")</f>
        <v xml:space="preserve"> </v>
      </c>
      <c r="I7132" s="145" t="s">
        <v>348</v>
      </c>
      <c r="J7132" s="146" t="s">
        <v>60</v>
      </c>
      <c r="K7132" s="219"/>
      <c r="L7132" s="219">
        <v>59062.5</v>
      </c>
    </row>
    <row r="7133" spans="1:12" ht="10.15" customHeight="1" x14ac:dyDescent="0.2">
      <c r="A7133" s="133">
        <v>2022</v>
      </c>
      <c r="B7133" s="133">
        <v>8</v>
      </c>
      <c r="C7133" s="168">
        <v>8</v>
      </c>
      <c r="D7133" s="141">
        <f t="shared" si="552"/>
        <v>44781</v>
      </c>
      <c r="E7133" s="275">
        <f t="shared" si="553"/>
        <v>44781</v>
      </c>
      <c r="F7133" s="479" t="s">
        <v>1472</v>
      </c>
      <c r="G7133" s="174" t="s">
        <v>74</v>
      </c>
      <c r="H7133" s="148" t="str" cm="1">
        <f t="array" ref="H7133">IFERROR(INDEX(INVESTOR_LIST[INVESTOR NAME],MATCH(I7133,INVESTOR_LIST[INVESTOR CODE],0),)," ")</f>
        <v xml:space="preserve"> </v>
      </c>
      <c r="I7133" s="148" t="s">
        <v>348</v>
      </c>
      <c r="J7133" s="133" t="s">
        <v>61</v>
      </c>
      <c r="K7133" s="172">
        <v>10</v>
      </c>
    </row>
    <row r="7134" spans="1:12" x14ac:dyDescent="0.2">
      <c r="A7134" s="163">
        <v>2022</v>
      </c>
      <c r="B7134" s="163">
        <v>8</v>
      </c>
      <c r="C7134" s="163">
        <v>8</v>
      </c>
      <c r="D7134" s="141">
        <f t="shared" si="552"/>
        <v>44781</v>
      </c>
      <c r="E7134" s="275">
        <f t="shared" si="553"/>
        <v>44781</v>
      </c>
      <c r="F7134" s="480"/>
      <c r="G7134" s="221" t="s">
        <v>74</v>
      </c>
      <c r="H7134" s="145" t="str" cm="1">
        <f t="array" ref="H7134">IFERROR(INDEX(INVESTOR_LIST[INVESTOR NAME],MATCH(I7134,INVESTOR_LIST[INVESTOR CODE],0),)," ")</f>
        <v xml:space="preserve"> </v>
      </c>
      <c r="I7134" s="145" t="s">
        <v>348</v>
      </c>
      <c r="J7134" s="163" t="s">
        <v>52</v>
      </c>
      <c r="K7134" s="219"/>
      <c r="L7134" s="219">
        <v>10</v>
      </c>
    </row>
    <row r="7135" spans="1:12" ht="45" x14ac:dyDescent="0.2">
      <c r="A7135" s="168">
        <v>2022</v>
      </c>
      <c r="B7135" s="168">
        <v>8</v>
      </c>
      <c r="C7135" s="133">
        <v>10</v>
      </c>
      <c r="D7135" s="141">
        <f t="shared" ref="D7135:D7215" si="554">DATE(A7135,B7135,C7135)</f>
        <v>44783</v>
      </c>
      <c r="E7135" s="275">
        <f t="shared" ref="E7135:E7215" si="555">DATE(A7135,B7135,C7135)</f>
        <v>44783</v>
      </c>
      <c r="F7135" s="479" t="s">
        <v>1315</v>
      </c>
      <c r="G7135" s="220" t="s">
        <v>74</v>
      </c>
      <c r="H7135" s="142" t="str" cm="1">
        <f t="array" ref="H7135">IFERROR(INDEX(INVESTOR_LIST[INVESTOR NAME],MATCH(I7135,INVESTOR_LIST[INVESTOR CODE],0),)," ")</f>
        <v>MD. ALAMGIR HOSSAIN</v>
      </c>
      <c r="I7135" s="142" t="s">
        <v>518</v>
      </c>
      <c r="J7135" s="168" t="s">
        <v>13</v>
      </c>
      <c r="K7135" s="226">
        <v>1000000</v>
      </c>
      <c r="L7135" s="226"/>
    </row>
    <row r="7136" spans="1:12" ht="45" x14ac:dyDescent="0.2">
      <c r="A7136" s="133">
        <v>2022</v>
      </c>
      <c r="B7136" s="133">
        <v>8</v>
      </c>
      <c r="C7136" s="133">
        <v>10</v>
      </c>
      <c r="D7136" s="141">
        <f t="shared" si="554"/>
        <v>44783</v>
      </c>
      <c r="E7136" s="275">
        <f t="shared" si="555"/>
        <v>44783</v>
      </c>
      <c r="F7136" s="481"/>
      <c r="G7136" s="174" t="s">
        <v>74</v>
      </c>
      <c r="H7136" s="148" t="str" cm="1">
        <f t="array" ref="H7136">IFERROR(INDEX(INVESTOR_LIST[INVESTOR NAME],MATCH(I7136,INVESTOR_LIST[INVESTOR CODE],0),)," ")</f>
        <v>MD. ALAMGIR HOSSAIN</v>
      </c>
      <c r="I7136" s="148" t="s">
        <v>518</v>
      </c>
      <c r="J7136" s="133" t="s">
        <v>53</v>
      </c>
      <c r="K7136" s="218">
        <v>201000</v>
      </c>
      <c r="L7136" s="218"/>
    </row>
    <row r="7137" spans="1:13" ht="45" x14ac:dyDescent="0.2">
      <c r="A7137" s="163">
        <v>2022</v>
      </c>
      <c r="B7137" s="163">
        <v>8</v>
      </c>
      <c r="C7137" s="163">
        <v>10</v>
      </c>
      <c r="D7137" s="280">
        <f t="shared" si="554"/>
        <v>44783</v>
      </c>
      <c r="E7137" s="281">
        <f t="shared" si="555"/>
        <v>44783</v>
      </c>
      <c r="F7137" s="480"/>
      <c r="G7137" s="221" t="s">
        <v>74</v>
      </c>
      <c r="H7137" s="145" t="str" cm="1">
        <f t="array" ref="H7137">IFERROR(INDEX(INVESTOR_LIST[INVESTOR NAME],MATCH(I7137,INVESTOR_LIST[INVESTOR CODE],0),)," ")</f>
        <v>MD. ALAMGIR HOSSAIN</v>
      </c>
      <c r="I7137" s="145" t="s">
        <v>518</v>
      </c>
      <c r="J7137" s="163" t="s">
        <v>52</v>
      </c>
      <c r="K7137" s="219"/>
      <c r="L7137" s="219">
        <v>1201000</v>
      </c>
    </row>
    <row r="7138" spans="1:13" x14ac:dyDescent="0.2">
      <c r="A7138" s="133">
        <v>2022</v>
      </c>
      <c r="B7138" s="133">
        <v>8</v>
      </c>
      <c r="C7138" s="168">
        <v>10</v>
      </c>
      <c r="D7138" s="141">
        <f t="shared" si="554"/>
        <v>44783</v>
      </c>
      <c r="E7138" s="275">
        <f t="shared" si="555"/>
        <v>44783</v>
      </c>
      <c r="F7138" s="479" t="s">
        <v>1467</v>
      </c>
      <c r="G7138" s="174" t="s">
        <v>74</v>
      </c>
      <c r="H7138" s="148" t="str" cm="1">
        <f t="array" ref="H7138">IFERROR(INDEX(INVESTOR_LIST[INVESTOR NAME],MATCH(I7138,INVESTOR_LIST[INVESTOR CODE],0),)," ")</f>
        <v xml:space="preserve"> </v>
      </c>
      <c r="I7138" s="148" t="s">
        <v>348</v>
      </c>
      <c r="J7138" s="133" t="s">
        <v>61</v>
      </c>
      <c r="K7138" s="172">
        <v>100</v>
      </c>
    </row>
    <row r="7139" spans="1:13" x14ac:dyDescent="0.2">
      <c r="A7139" s="163">
        <v>2022</v>
      </c>
      <c r="B7139" s="163">
        <v>8</v>
      </c>
      <c r="C7139" s="163">
        <v>10</v>
      </c>
      <c r="D7139" s="141">
        <f t="shared" si="554"/>
        <v>44783</v>
      </c>
      <c r="E7139" s="275">
        <f t="shared" si="555"/>
        <v>44783</v>
      </c>
      <c r="F7139" s="480"/>
      <c r="G7139" s="221" t="s">
        <v>74</v>
      </c>
      <c r="H7139" s="145" t="str" cm="1">
        <f t="array" ref="H7139">IFERROR(INDEX(INVESTOR_LIST[INVESTOR NAME],MATCH(I7139,INVESTOR_LIST[INVESTOR CODE],0),)," ")</f>
        <v xml:space="preserve"> </v>
      </c>
      <c r="I7139" s="145" t="s">
        <v>348</v>
      </c>
      <c r="J7139" s="163" t="s">
        <v>52</v>
      </c>
      <c r="K7139" s="219"/>
      <c r="L7139" s="219">
        <v>100</v>
      </c>
    </row>
    <row r="7140" spans="1:13" x14ac:dyDescent="0.2">
      <c r="A7140" s="168">
        <v>2022</v>
      </c>
      <c r="B7140" s="133">
        <v>8</v>
      </c>
      <c r="C7140" s="168">
        <v>10</v>
      </c>
      <c r="D7140" s="141">
        <f t="shared" ref="D7140:D7146" si="556">DATE(A7140,B7140,C7140)</f>
        <v>44783</v>
      </c>
      <c r="E7140" s="275">
        <f t="shared" ref="E7140:E7146" si="557">DATE(A7140,B7140,C7140)</f>
        <v>44783</v>
      </c>
      <c r="F7140" s="481" t="s">
        <v>982</v>
      </c>
      <c r="G7140" s="174" t="s">
        <v>74</v>
      </c>
      <c r="H7140" s="174" t="str" cm="1">
        <f t="array" ref="H7140">IFERROR(INDEX(INVESTOR_LIST[INVESTOR NAME],MATCH(I7140,INVESTOR_LIST[INVESTOR CODE],0),)," ")</f>
        <v xml:space="preserve"> </v>
      </c>
      <c r="I7140" s="148" t="s">
        <v>348</v>
      </c>
      <c r="J7140" s="149" t="s">
        <v>163</v>
      </c>
      <c r="K7140" s="218">
        <v>9000</v>
      </c>
      <c r="L7140" s="218"/>
    </row>
    <row r="7141" spans="1:13" x14ac:dyDescent="0.2">
      <c r="A7141" s="163">
        <v>2022</v>
      </c>
      <c r="B7141" s="163">
        <v>8</v>
      </c>
      <c r="C7141" s="163">
        <v>10</v>
      </c>
      <c r="D7141" s="141">
        <f t="shared" si="556"/>
        <v>44783</v>
      </c>
      <c r="E7141" s="275">
        <f t="shared" si="557"/>
        <v>44783</v>
      </c>
      <c r="F7141" s="480"/>
      <c r="G7141" s="221" t="s">
        <v>74</v>
      </c>
      <c r="H7141" s="221" t="str" cm="1">
        <f t="array" ref="H7141">IFERROR(INDEX(INVESTOR_LIST[INVESTOR NAME],MATCH(I7141,INVESTOR_LIST[INVESTOR CODE],0),)," ")</f>
        <v xml:space="preserve"> </v>
      </c>
      <c r="I7141" s="145" t="s">
        <v>348</v>
      </c>
      <c r="J7141" s="146" t="s">
        <v>52</v>
      </c>
      <c r="K7141" s="219"/>
      <c r="L7141" s="219">
        <v>9000</v>
      </c>
    </row>
    <row r="7142" spans="1:13" x14ac:dyDescent="0.2">
      <c r="A7142" s="133">
        <v>2022</v>
      </c>
      <c r="B7142" s="133">
        <v>8</v>
      </c>
      <c r="C7142" s="133">
        <v>10</v>
      </c>
      <c r="D7142" s="141">
        <f t="shared" si="556"/>
        <v>44783</v>
      </c>
      <c r="E7142" s="275">
        <f t="shared" si="557"/>
        <v>44783</v>
      </c>
      <c r="F7142" s="481" t="s">
        <v>1473</v>
      </c>
      <c r="G7142" s="174" t="s">
        <v>94</v>
      </c>
      <c r="H7142" s="174" t="str" cm="1">
        <f t="array" ref="H7142">IFERROR(INDEX(INVESTOR_LIST[INVESTOR NAME],MATCH(I7142,INVESTOR_LIST[INVESTOR CODE],0),)," ")</f>
        <v xml:space="preserve"> </v>
      </c>
      <c r="J7142" s="149" t="s">
        <v>79</v>
      </c>
      <c r="K7142" s="218">
        <v>1800580</v>
      </c>
      <c r="L7142" s="218"/>
      <c r="M7142" s="160"/>
    </row>
    <row r="7143" spans="1:13" x14ac:dyDescent="0.2">
      <c r="A7143" s="133">
        <v>2022</v>
      </c>
      <c r="B7143" s="133">
        <v>8</v>
      </c>
      <c r="C7143" s="133">
        <v>10</v>
      </c>
      <c r="D7143" s="141">
        <f t="shared" si="556"/>
        <v>44783</v>
      </c>
      <c r="E7143" s="275">
        <f t="shared" si="557"/>
        <v>44783</v>
      </c>
      <c r="F7143" s="481"/>
      <c r="G7143" s="174" t="s">
        <v>94</v>
      </c>
      <c r="H7143" s="174"/>
      <c r="J7143" s="149" t="s">
        <v>80</v>
      </c>
      <c r="K7143" s="218">
        <v>16323.740000000002</v>
      </c>
      <c r="L7143" s="218"/>
    </row>
    <row r="7144" spans="1:13" x14ac:dyDescent="0.2">
      <c r="A7144" s="133">
        <v>2022</v>
      </c>
      <c r="B7144" s="133">
        <v>8</v>
      </c>
      <c r="C7144" s="133">
        <v>10</v>
      </c>
      <c r="D7144" s="141">
        <f t="shared" si="556"/>
        <v>44783</v>
      </c>
      <c r="E7144" s="275">
        <f t="shared" si="557"/>
        <v>44783</v>
      </c>
      <c r="F7144" s="481"/>
      <c r="G7144" s="174" t="s">
        <v>94</v>
      </c>
      <c r="H7144" s="174"/>
      <c r="J7144" s="149" t="s">
        <v>190</v>
      </c>
      <c r="K7144" s="218">
        <v>5451262.96</v>
      </c>
      <c r="L7144" s="218"/>
    </row>
    <row r="7145" spans="1:13" x14ac:dyDescent="0.2">
      <c r="A7145" s="133">
        <v>2022</v>
      </c>
      <c r="B7145" s="133">
        <v>8</v>
      </c>
      <c r="C7145" s="133">
        <v>10</v>
      </c>
      <c r="D7145" s="141">
        <f t="shared" si="556"/>
        <v>44783</v>
      </c>
      <c r="E7145" s="275">
        <f t="shared" si="557"/>
        <v>44783</v>
      </c>
      <c r="F7145" s="481"/>
      <c r="G7145" s="174" t="s">
        <v>94</v>
      </c>
      <c r="H7145" s="174" t="str" cm="1">
        <f t="array" ref="H7145">IFERROR(INDEX(INVESTOR_LIST[INVESTOR NAME],MATCH(I7145,INVESTOR_LIST[INVESTOR CODE],0),)," ")</f>
        <v xml:space="preserve"> </v>
      </c>
      <c r="J7145" s="149" t="s">
        <v>191</v>
      </c>
      <c r="K7145" s="218"/>
      <c r="L7145" s="218">
        <v>1056151.3799999999</v>
      </c>
    </row>
    <row r="7146" spans="1:13" x14ac:dyDescent="0.2">
      <c r="A7146" s="163">
        <v>2022</v>
      </c>
      <c r="B7146" s="163">
        <v>8</v>
      </c>
      <c r="C7146" s="163">
        <v>10</v>
      </c>
      <c r="D7146" s="280">
        <f t="shared" si="556"/>
        <v>44783</v>
      </c>
      <c r="E7146" s="281">
        <f t="shared" si="557"/>
        <v>44783</v>
      </c>
      <c r="F7146" s="480"/>
      <c r="G7146" s="221" t="s">
        <v>94</v>
      </c>
      <c r="H7146" s="145" t="str" cm="1">
        <f t="array" ref="H7146">IFERROR(INDEX(INVESTOR_LIST[INVESTOR NAME],MATCH(I7146,INVESTOR_LIST[INVESTOR CODE],0),)," ")</f>
        <v xml:space="preserve"> </v>
      </c>
      <c r="I7146" s="145"/>
      <c r="J7146" s="163" t="s">
        <v>79</v>
      </c>
      <c r="K7146" s="219"/>
      <c r="L7146" s="219">
        <v>6212015.3200000003</v>
      </c>
    </row>
    <row r="7147" spans="1:13" ht="45" x14ac:dyDescent="0.2">
      <c r="A7147" s="168">
        <v>2022</v>
      </c>
      <c r="B7147" s="168">
        <v>8</v>
      </c>
      <c r="C7147" s="133">
        <v>11</v>
      </c>
      <c r="D7147" s="141">
        <f t="shared" ref="D7147:D7149" si="558">DATE(A7147,B7147,C7147)</f>
        <v>44784</v>
      </c>
      <c r="E7147" s="275">
        <f t="shared" ref="E7147:E7149" si="559">DATE(A7147,B7147,C7147)</f>
        <v>44784</v>
      </c>
      <c r="F7147" s="479" t="s">
        <v>1310</v>
      </c>
      <c r="G7147" s="220" t="s">
        <v>74</v>
      </c>
      <c r="H7147" s="142" t="str" cm="1">
        <f t="array" ref="H7147">IFERROR(INDEX(INVESTOR_LIST[INVESTOR NAME],MATCH(I7147,INVESTOR_LIST[INVESTOR CODE],0),)," ")</f>
        <v>MD. MEHEDI HASSAN MILON</v>
      </c>
      <c r="I7147" s="142" t="s">
        <v>725</v>
      </c>
      <c r="J7147" s="168" t="s">
        <v>13</v>
      </c>
      <c r="K7147" s="226">
        <v>34070</v>
      </c>
      <c r="L7147" s="226"/>
    </row>
    <row r="7148" spans="1:13" ht="45" x14ac:dyDescent="0.2">
      <c r="A7148" s="133">
        <v>2022</v>
      </c>
      <c r="B7148" s="133">
        <v>8</v>
      </c>
      <c r="C7148" s="133">
        <v>11</v>
      </c>
      <c r="D7148" s="141">
        <f t="shared" si="558"/>
        <v>44784</v>
      </c>
      <c r="E7148" s="275">
        <f t="shared" si="559"/>
        <v>44784</v>
      </c>
      <c r="F7148" s="481"/>
      <c r="G7148" s="174" t="s">
        <v>74</v>
      </c>
      <c r="H7148" s="148" t="str" cm="1">
        <f t="array" ref="H7148">IFERROR(INDEX(INVESTOR_LIST[INVESTOR NAME],MATCH(I7148,INVESTOR_LIST[INVESTOR CODE],0),)," ")</f>
        <v>MD. MEHEDI HASSAN MILON</v>
      </c>
      <c r="I7148" s="148" t="s">
        <v>725</v>
      </c>
      <c r="J7148" s="133" t="s">
        <v>53</v>
      </c>
      <c r="K7148" s="218">
        <v>6848.07</v>
      </c>
      <c r="L7148" s="218"/>
    </row>
    <row r="7149" spans="1:13" ht="45" x14ac:dyDescent="0.2">
      <c r="A7149" s="163">
        <v>2022</v>
      </c>
      <c r="B7149" s="163">
        <v>8</v>
      </c>
      <c r="C7149" s="163">
        <v>11</v>
      </c>
      <c r="D7149" s="280">
        <f t="shared" si="558"/>
        <v>44784</v>
      </c>
      <c r="E7149" s="281">
        <f t="shared" si="559"/>
        <v>44784</v>
      </c>
      <c r="F7149" s="480"/>
      <c r="G7149" s="221" t="s">
        <v>74</v>
      </c>
      <c r="H7149" s="145" t="str" cm="1">
        <f t="array" ref="H7149">IFERROR(INDEX(INVESTOR_LIST[INVESTOR NAME],MATCH(I7149,INVESTOR_LIST[INVESTOR CODE],0),)," ")</f>
        <v>MD. MEHEDI HASSAN MILON</v>
      </c>
      <c r="I7149" s="145" t="s">
        <v>725</v>
      </c>
      <c r="J7149" s="163" t="s">
        <v>52</v>
      </c>
      <c r="K7149" s="219"/>
      <c r="L7149" s="219">
        <v>40918.07</v>
      </c>
    </row>
    <row r="7150" spans="1:13" ht="33.75" x14ac:dyDescent="0.2">
      <c r="A7150" s="168">
        <v>2022</v>
      </c>
      <c r="B7150" s="168">
        <v>8</v>
      </c>
      <c r="C7150" s="133">
        <v>11</v>
      </c>
      <c r="D7150" s="141">
        <f t="shared" si="554"/>
        <v>44784</v>
      </c>
      <c r="E7150" s="275">
        <f t="shared" si="555"/>
        <v>44784</v>
      </c>
      <c r="F7150" s="479" t="s">
        <v>1315</v>
      </c>
      <c r="G7150" s="220" t="s">
        <v>74</v>
      </c>
      <c r="H7150" s="142" t="str" cm="1">
        <f t="array" ref="H7150">IFERROR(INDEX(INVESTOR_LIST[INVESTOR NAME],MATCH(I7150,INVESTOR_LIST[INVESTOR CODE],0),)," ")</f>
        <v>AHMED BIN MONSUR</v>
      </c>
      <c r="I7150" s="142" t="s">
        <v>992</v>
      </c>
      <c r="J7150" s="168" t="s">
        <v>13</v>
      </c>
      <c r="K7150" s="226">
        <v>846000</v>
      </c>
      <c r="L7150" s="226"/>
    </row>
    <row r="7151" spans="1:13" ht="33.75" x14ac:dyDescent="0.2">
      <c r="A7151" s="133">
        <v>2022</v>
      </c>
      <c r="B7151" s="133">
        <v>8</v>
      </c>
      <c r="C7151" s="133">
        <v>11</v>
      </c>
      <c r="D7151" s="141">
        <f t="shared" si="554"/>
        <v>44784</v>
      </c>
      <c r="E7151" s="275">
        <f t="shared" si="555"/>
        <v>44784</v>
      </c>
      <c r="F7151" s="481"/>
      <c r="G7151" s="174" t="s">
        <v>74</v>
      </c>
      <c r="H7151" s="148" t="str" cm="1">
        <f t="array" ref="H7151">IFERROR(INDEX(INVESTOR_LIST[INVESTOR NAME],MATCH(I7151,INVESTOR_LIST[INVESTOR CODE],0),)," ")</f>
        <v>AHMED BIN MONSUR</v>
      </c>
      <c r="I7151" s="148" t="s">
        <v>992</v>
      </c>
      <c r="J7151" s="133" t="s">
        <v>53</v>
      </c>
      <c r="K7151" s="218">
        <v>170046</v>
      </c>
      <c r="L7151" s="218"/>
    </row>
    <row r="7152" spans="1:13" ht="33.75" x14ac:dyDescent="0.2">
      <c r="A7152" s="163">
        <v>2022</v>
      </c>
      <c r="B7152" s="163">
        <v>8</v>
      </c>
      <c r="C7152" s="163">
        <v>11</v>
      </c>
      <c r="D7152" s="280">
        <f t="shared" si="554"/>
        <v>44784</v>
      </c>
      <c r="E7152" s="281">
        <f t="shared" si="555"/>
        <v>44784</v>
      </c>
      <c r="F7152" s="480"/>
      <c r="G7152" s="221" t="s">
        <v>74</v>
      </c>
      <c r="H7152" s="145" t="str" cm="1">
        <f t="array" ref="H7152">IFERROR(INDEX(INVESTOR_LIST[INVESTOR NAME],MATCH(I7152,INVESTOR_LIST[INVESTOR CODE],0),)," ")</f>
        <v>AHMED BIN MONSUR</v>
      </c>
      <c r="I7152" s="145" t="s">
        <v>992</v>
      </c>
      <c r="J7152" s="163" t="s">
        <v>52</v>
      </c>
      <c r="K7152" s="219"/>
      <c r="L7152" s="219">
        <v>1016046</v>
      </c>
    </row>
    <row r="7153" spans="1:14" ht="33.75" x14ac:dyDescent="0.2">
      <c r="A7153" s="168">
        <v>2022</v>
      </c>
      <c r="B7153" s="168">
        <v>8</v>
      </c>
      <c r="C7153" s="133">
        <v>11</v>
      </c>
      <c r="D7153" s="141">
        <f t="shared" ref="D7153:D7155" si="560">DATE(A7153,B7153,C7153)</f>
        <v>44784</v>
      </c>
      <c r="E7153" s="275">
        <f t="shared" ref="E7153:E7155" si="561">DATE(A7153,B7153,C7153)</f>
        <v>44784</v>
      </c>
      <c r="F7153" s="479" t="s">
        <v>1315</v>
      </c>
      <c r="G7153" s="220" t="s">
        <v>74</v>
      </c>
      <c r="H7153" s="142" t="str" cm="1">
        <f t="array" ref="H7153">IFERROR(INDEX(INVESTOR_LIST[INVESTOR NAME],MATCH(I7153,INVESTOR_LIST[INVESTOR CODE],0),)," ")</f>
        <v>RAHNUMA SULTANA</v>
      </c>
      <c r="I7153" s="142" t="s">
        <v>446</v>
      </c>
      <c r="J7153" s="168" t="s">
        <v>13</v>
      </c>
      <c r="K7153" s="226">
        <v>260450</v>
      </c>
      <c r="L7153" s="226"/>
    </row>
    <row r="7154" spans="1:14" ht="33.75" x14ac:dyDescent="0.2">
      <c r="A7154" s="133">
        <v>2022</v>
      </c>
      <c r="B7154" s="133">
        <v>8</v>
      </c>
      <c r="C7154" s="133">
        <v>11</v>
      </c>
      <c r="D7154" s="141">
        <f t="shared" si="560"/>
        <v>44784</v>
      </c>
      <c r="E7154" s="275">
        <f t="shared" si="561"/>
        <v>44784</v>
      </c>
      <c r="F7154" s="481"/>
      <c r="G7154" s="174" t="s">
        <v>74</v>
      </c>
      <c r="H7154" s="148" t="str" cm="1">
        <f t="array" ref="H7154">IFERROR(INDEX(INVESTOR_LIST[INVESTOR NAME],MATCH(I7154,INVESTOR_LIST[INVESTOR CODE],0),)," ")</f>
        <v>RAHNUMA SULTANA</v>
      </c>
      <c r="I7154" s="148" t="s">
        <v>446</v>
      </c>
      <c r="J7154" s="133" t="s">
        <v>53</v>
      </c>
      <c r="K7154" s="218">
        <v>52350.45</v>
      </c>
      <c r="L7154" s="218"/>
    </row>
    <row r="7155" spans="1:14" ht="33.75" x14ac:dyDescent="0.2">
      <c r="A7155" s="163">
        <v>2022</v>
      </c>
      <c r="B7155" s="163">
        <v>8</v>
      </c>
      <c r="C7155" s="163">
        <v>11</v>
      </c>
      <c r="D7155" s="280">
        <f t="shared" si="560"/>
        <v>44784</v>
      </c>
      <c r="E7155" s="281">
        <f t="shared" si="561"/>
        <v>44784</v>
      </c>
      <c r="F7155" s="480"/>
      <c r="G7155" s="221" t="s">
        <v>74</v>
      </c>
      <c r="H7155" s="145" t="str" cm="1">
        <f t="array" ref="H7155">IFERROR(INDEX(INVESTOR_LIST[INVESTOR NAME],MATCH(I7155,INVESTOR_LIST[INVESTOR CODE],0),)," ")</f>
        <v>RAHNUMA SULTANA</v>
      </c>
      <c r="I7155" s="145" t="s">
        <v>446</v>
      </c>
      <c r="J7155" s="163" t="s">
        <v>52</v>
      </c>
      <c r="K7155" s="219"/>
      <c r="L7155" s="219">
        <v>312800.45</v>
      </c>
    </row>
    <row r="7156" spans="1:14" ht="33.75" x14ac:dyDescent="0.2">
      <c r="A7156" s="168">
        <v>2022</v>
      </c>
      <c r="B7156" s="168">
        <v>8</v>
      </c>
      <c r="C7156" s="133">
        <v>11</v>
      </c>
      <c r="D7156" s="141">
        <f t="shared" si="554"/>
        <v>44784</v>
      </c>
      <c r="E7156" s="275">
        <f t="shared" si="555"/>
        <v>44784</v>
      </c>
      <c r="F7156" s="479" t="s">
        <v>1310</v>
      </c>
      <c r="G7156" s="220" t="s">
        <v>74</v>
      </c>
      <c r="H7156" s="142" t="str" cm="1">
        <f t="array" ref="H7156">IFERROR(INDEX(INVESTOR_LIST[INVESTOR NAME],MATCH(I7156,INVESTOR_LIST[INVESTOR CODE],0),)," ")</f>
        <v>RAHNUMA SULTANA</v>
      </c>
      <c r="I7156" s="142" t="s">
        <v>446</v>
      </c>
      <c r="J7156" s="168" t="s">
        <v>13</v>
      </c>
      <c r="K7156" s="226">
        <v>130150</v>
      </c>
      <c r="L7156" s="226"/>
    </row>
    <row r="7157" spans="1:14" ht="33.75" x14ac:dyDescent="0.2">
      <c r="A7157" s="133">
        <v>2022</v>
      </c>
      <c r="B7157" s="133">
        <v>8</v>
      </c>
      <c r="C7157" s="133">
        <v>11</v>
      </c>
      <c r="D7157" s="141">
        <f t="shared" si="554"/>
        <v>44784</v>
      </c>
      <c r="E7157" s="275">
        <f t="shared" si="555"/>
        <v>44784</v>
      </c>
      <c r="F7157" s="481"/>
      <c r="G7157" s="174" t="s">
        <v>74</v>
      </c>
      <c r="H7157" s="148" t="str" cm="1">
        <f t="array" ref="H7157">IFERROR(INDEX(INVESTOR_LIST[INVESTOR NAME],MATCH(I7157,INVESTOR_LIST[INVESTOR CODE],0),)," ")</f>
        <v>RAHNUMA SULTANA</v>
      </c>
      <c r="I7157" s="148" t="s">
        <v>446</v>
      </c>
      <c r="J7157" s="133" t="s">
        <v>53</v>
      </c>
      <c r="K7157" s="218">
        <v>26160.15</v>
      </c>
      <c r="L7157" s="218"/>
    </row>
    <row r="7158" spans="1:14" ht="33.75" x14ac:dyDescent="0.2">
      <c r="A7158" s="163">
        <v>2022</v>
      </c>
      <c r="B7158" s="163">
        <v>8</v>
      </c>
      <c r="C7158" s="163">
        <v>11</v>
      </c>
      <c r="D7158" s="280">
        <f t="shared" si="554"/>
        <v>44784</v>
      </c>
      <c r="E7158" s="281">
        <f t="shared" si="555"/>
        <v>44784</v>
      </c>
      <c r="F7158" s="480"/>
      <c r="G7158" s="221" t="s">
        <v>74</v>
      </c>
      <c r="H7158" s="145" t="str" cm="1">
        <f t="array" ref="H7158">IFERROR(INDEX(INVESTOR_LIST[INVESTOR NAME],MATCH(I7158,INVESTOR_LIST[INVESTOR CODE],0),)," ")</f>
        <v>RAHNUMA SULTANA</v>
      </c>
      <c r="I7158" s="145" t="s">
        <v>446</v>
      </c>
      <c r="J7158" s="163" t="s">
        <v>52</v>
      </c>
      <c r="K7158" s="219"/>
      <c r="L7158" s="219">
        <v>156310.15</v>
      </c>
    </row>
    <row r="7159" spans="1:14" x14ac:dyDescent="0.2">
      <c r="A7159" s="133">
        <v>2022</v>
      </c>
      <c r="B7159" s="133">
        <v>8</v>
      </c>
      <c r="C7159" s="168">
        <v>11</v>
      </c>
      <c r="D7159" s="141">
        <f t="shared" si="554"/>
        <v>44784</v>
      </c>
      <c r="E7159" s="275">
        <f t="shared" si="555"/>
        <v>44784</v>
      </c>
      <c r="F7159" s="479" t="s">
        <v>1489</v>
      </c>
      <c r="G7159" s="174" t="s">
        <v>74</v>
      </c>
      <c r="H7159" s="148" t="str" cm="1">
        <f t="array" ref="H7159">IFERROR(INDEX(INVESTOR_LIST[INVESTOR NAME],MATCH(I7159,INVESTOR_LIST[INVESTOR CODE],0),)," ")</f>
        <v xml:space="preserve"> </v>
      </c>
      <c r="I7159" s="148" t="s">
        <v>348</v>
      </c>
      <c r="J7159" s="133" t="s">
        <v>133</v>
      </c>
      <c r="K7159" s="172">
        <v>43750</v>
      </c>
    </row>
    <row r="7160" spans="1:14" x14ac:dyDescent="0.2">
      <c r="A7160" s="163">
        <v>2022</v>
      </c>
      <c r="B7160" s="163">
        <v>8</v>
      </c>
      <c r="C7160" s="163">
        <v>11</v>
      </c>
      <c r="D7160" s="141">
        <f t="shared" si="554"/>
        <v>44784</v>
      </c>
      <c r="E7160" s="275">
        <f t="shared" si="555"/>
        <v>44784</v>
      </c>
      <c r="F7160" s="480"/>
      <c r="G7160" s="221" t="s">
        <v>74</v>
      </c>
      <c r="H7160" s="145" t="str" cm="1">
        <f t="array" ref="H7160">IFERROR(INDEX(INVESTOR_LIST[INVESTOR NAME],MATCH(I7160,INVESTOR_LIST[INVESTOR CODE],0),)," ")</f>
        <v xml:space="preserve"> </v>
      </c>
      <c r="I7160" s="145" t="s">
        <v>348</v>
      </c>
      <c r="J7160" s="163" t="s">
        <v>152</v>
      </c>
      <c r="K7160" s="219"/>
      <c r="L7160" s="219">
        <v>43750</v>
      </c>
    </row>
    <row r="7161" spans="1:14" x14ac:dyDescent="0.2">
      <c r="A7161" s="168">
        <v>2022</v>
      </c>
      <c r="B7161" s="168">
        <v>8</v>
      </c>
      <c r="C7161" s="133">
        <v>11</v>
      </c>
      <c r="D7161" s="141">
        <f t="shared" si="554"/>
        <v>44784</v>
      </c>
      <c r="E7161" s="275">
        <f t="shared" si="555"/>
        <v>44784</v>
      </c>
      <c r="F7161" s="479" t="s">
        <v>1494</v>
      </c>
      <c r="G7161" s="220" t="s">
        <v>74</v>
      </c>
      <c r="H7161" s="142" t="str" cm="1">
        <f t="array" ref="H7161">IFERROR(INDEX(INVESTOR_LIST[INVESTOR NAME],MATCH(I7161,INVESTOR_LIST[INVESTOR CODE],0),)," ")</f>
        <v xml:space="preserve"> </v>
      </c>
      <c r="I7161" s="142"/>
      <c r="J7161" s="168" t="s">
        <v>96</v>
      </c>
      <c r="K7161" s="226">
        <v>2543750</v>
      </c>
      <c r="L7161" s="226"/>
      <c r="M7161" s="264"/>
      <c r="N7161" s="264"/>
    </row>
    <row r="7162" spans="1:14" x14ac:dyDescent="0.2">
      <c r="A7162" s="168">
        <v>2022</v>
      </c>
      <c r="B7162" s="168">
        <v>8</v>
      </c>
      <c r="C7162" s="133">
        <v>11</v>
      </c>
      <c r="D7162" s="141">
        <f t="shared" ref="D7162" si="562">DATE(A7162,B7162,C7162)</f>
        <v>44784</v>
      </c>
      <c r="E7162" s="275">
        <f t="shared" ref="E7162" si="563">DATE(A7162,B7162,C7162)</f>
        <v>44784</v>
      </c>
      <c r="F7162" s="481"/>
      <c r="J7162" s="133" t="s">
        <v>133</v>
      </c>
      <c r="K7162" s="218"/>
      <c r="L7162" s="172">
        <v>43750</v>
      </c>
      <c r="M7162" s="264"/>
      <c r="N7162" s="264"/>
    </row>
    <row r="7163" spans="1:14" x14ac:dyDescent="0.2">
      <c r="A7163" s="163">
        <v>2022</v>
      </c>
      <c r="B7163" s="163">
        <v>8</v>
      </c>
      <c r="C7163" s="163">
        <v>11</v>
      </c>
      <c r="D7163" s="141">
        <f t="shared" si="554"/>
        <v>44784</v>
      </c>
      <c r="E7163" s="275">
        <f t="shared" si="555"/>
        <v>44784</v>
      </c>
      <c r="F7163" s="480"/>
      <c r="G7163" s="221" t="s">
        <v>74</v>
      </c>
      <c r="H7163" s="145" t="str" cm="1">
        <f t="array" ref="H7163">IFERROR(INDEX(INVESTOR_LIST[INVESTOR NAME],MATCH(I7163,INVESTOR_LIST[INVESTOR CODE],0),)," ")</f>
        <v xml:space="preserve"> </v>
      </c>
      <c r="I7163" s="145"/>
      <c r="J7163" s="163" t="s">
        <v>96</v>
      </c>
      <c r="K7163" s="219"/>
      <c r="L7163" s="219">
        <v>2500000</v>
      </c>
    </row>
    <row r="7164" spans="1:14" x14ac:dyDescent="0.2">
      <c r="A7164" s="238">
        <v>2022</v>
      </c>
      <c r="B7164" s="238">
        <v>8</v>
      </c>
      <c r="C7164" s="238">
        <v>11</v>
      </c>
      <c r="D7164" s="270">
        <f t="shared" si="554"/>
        <v>44784</v>
      </c>
      <c r="E7164" s="279">
        <f t="shared" si="555"/>
        <v>44784</v>
      </c>
      <c r="F7164" s="477" t="s">
        <v>347</v>
      </c>
      <c r="G7164" s="239" t="s">
        <v>94</v>
      </c>
      <c r="H7164" s="239" t="str" cm="1">
        <f t="array" ref="H7164">IFERROR(INDEX(INVESTOR_LIST[INVESTOR NAME],MATCH(I7164,INVESTOR_LIST[INVESTOR CODE],0),)," ")</f>
        <v xml:space="preserve"> </v>
      </c>
      <c r="I7164" s="262" t="s">
        <v>348</v>
      </c>
      <c r="J7164" s="240" t="s">
        <v>82</v>
      </c>
      <c r="K7164" s="241">
        <v>2058852.6699999869</v>
      </c>
      <c r="L7164" s="241"/>
    </row>
    <row r="7165" spans="1:14" x14ac:dyDescent="0.2">
      <c r="A7165" s="242">
        <v>2022</v>
      </c>
      <c r="B7165" s="242">
        <v>8</v>
      </c>
      <c r="C7165" s="242">
        <v>11</v>
      </c>
      <c r="D7165" s="270">
        <f t="shared" si="554"/>
        <v>44784</v>
      </c>
      <c r="E7165" s="279">
        <f t="shared" si="555"/>
        <v>44784</v>
      </c>
      <c r="F7165" s="478"/>
      <c r="G7165" s="243" t="s">
        <v>94</v>
      </c>
      <c r="H7165" s="243" t="str" cm="1">
        <f t="array" ref="H7165">IFERROR(INDEX(INVESTOR_LIST[INVESTOR NAME],MATCH(I7165,INVESTOR_LIST[INVESTOR CODE],0),)," ")</f>
        <v xml:space="preserve"> </v>
      </c>
      <c r="I7165" s="263" t="s">
        <v>348</v>
      </c>
      <c r="J7165" s="244" t="s">
        <v>108</v>
      </c>
      <c r="K7165" s="245"/>
      <c r="L7165" s="245">
        <v>2058852.6699999869</v>
      </c>
    </row>
    <row r="7166" spans="1:14" ht="22.5" x14ac:dyDescent="0.2">
      <c r="A7166" s="246">
        <v>2022</v>
      </c>
      <c r="B7166" s="238">
        <v>8</v>
      </c>
      <c r="C7166" s="238">
        <v>11</v>
      </c>
      <c r="D7166" s="270">
        <f t="shared" si="554"/>
        <v>44784</v>
      </c>
      <c r="E7166" s="279">
        <f t="shared" si="555"/>
        <v>44784</v>
      </c>
      <c r="F7166" s="482" t="s">
        <v>148</v>
      </c>
      <c r="G7166" s="247" t="s">
        <v>94</v>
      </c>
      <c r="H7166" s="247" t="str" cm="1">
        <f t="array" ref="H7166">IFERROR(INDEX(INVESTOR_LIST[INVESTOR NAME],MATCH(I7166,INVESTOR_LIST[INVESTOR CODE],0),)," ")</f>
        <v xml:space="preserve"> </v>
      </c>
      <c r="I7166" s="248" t="s">
        <v>348</v>
      </c>
      <c r="J7166" s="249" t="s">
        <v>95</v>
      </c>
      <c r="K7166" s="250">
        <v>2747.2527472527472</v>
      </c>
      <c r="L7166" s="241"/>
    </row>
    <row r="7167" spans="1:14" x14ac:dyDescent="0.2">
      <c r="A7167" s="242">
        <v>2022</v>
      </c>
      <c r="B7167" s="242">
        <v>8</v>
      </c>
      <c r="C7167" s="242">
        <v>11</v>
      </c>
      <c r="D7167" s="270">
        <f t="shared" si="554"/>
        <v>44784</v>
      </c>
      <c r="E7167" s="279">
        <f t="shared" si="555"/>
        <v>44784</v>
      </c>
      <c r="F7167" s="478"/>
      <c r="G7167" s="243" t="s">
        <v>94</v>
      </c>
      <c r="H7167" s="243" t="str" cm="1">
        <f t="array" ref="H7167">IFERROR(INDEX(INVESTOR_LIST[INVESTOR NAME],MATCH(I7167,INVESTOR_LIST[INVESTOR CODE],0),)," ")</f>
        <v xml:space="preserve"> </v>
      </c>
      <c r="I7167" s="263" t="s">
        <v>348</v>
      </c>
      <c r="J7167" s="244" t="s">
        <v>63</v>
      </c>
      <c r="K7167" s="245"/>
      <c r="L7167" s="245">
        <v>2747.2527472527472</v>
      </c>
    </row>
    <row r="7168" spans="1:14" x14ac:dyDescent="0.2">
      <c r="A7168" s="246">
        <v>2022</v>
      </c>
      <c r="B7168" s="238">
        <v>8</v>
      </c>
      <c r="C7168" s="238">
        <v>11</v>
      </c>
      <c r="D7168" s="270">
        <f t="shared" si="554"/>
        <v>44784</v>
      </c>
      <c r="E7168" s="279">
        <f t="shared" si="555"/>
        <v>44784</v>
      </c>
      <c r="F7168" s="482" t="s">
        <v>137</v>
      </c>
      <c r="G7168" s="247" t="s">
        <v>94</v>
      </c>
      <c r="H7168" s="247" t="str" cm="1">
        <f t="array" ref="H7168">IFERROR(INDEX(INVESTOR_LIST[INVESTOR NAME],MATCH(I7168,INVESTOR_LIST[INVESTOR CODE],0),)," ")</f>
        <v xml:space="preserve"> </v>
      </c>
      <c r="I7168" s="248" t="s">
        <v>348</v>
      </c>
      <c r="J7168" s="249" t="s">
        <v>97</v>
      </c>
      <c r="K7168" s="250">
        <v>79075.486995176281</v>
      </c>
      <c r="L7168" s="252"/>
    </row>
    <row r="7169" spans="1:14" x14ac:dyDescent="0.2">
      <c r="A7169" s="242">
        <v>2022</v>
      </c>
      <c r="B7169" s="242">
        <v>8</v>
      </c>
      <c r="C7169" s="242">
        <v>11</v>
      </c>
      <c r="D7169" s="270">
        <f t="shared" si="554"/>
        <v>44784</v>
      </c>
      <c r="E7169" s="279">
        <f t="shared" si="555"/>
        <v>44784</v>
      </c>
      <c r="F7169" s="478"/>
      <c r="G7169" s="243" t="s">
        <v>94</v>
      </c>
      <c r="H7169" s="243" t="str" cm="1">
        <f t="array" ref="H7169">IFERROR(INDEX(INVESTOR_LIST[INVESTOR NAME],MATCH(I7169,INVESTOR_LIST[INVESTOR CODE],0),)," ")</f>
        <v xml:space="preserve"> </v>
      </c>
      <c r="I7169" s="263" t="s">
        <v>348</v>
      </c>
      <c r="J7169" s="244" t="s">
        <v>47</v>
      </c>
      <c r="K7169" s="245"/>
      <c r="L7169" s="245">
        <v>79075.486995176281</v>
      </c>
    </row>
    <row r="7170" spans="1:14" x14ac:dyDescent="0.2">
      <c r="A7170" s="246">
        <v>2022</v>
      </c>
      <c r="B7170" s="238">
        <v>8</v>
      </c>
      <c r="C7170" s="238">
        <v>11</v>
      </c>
      <c r="D7170" s="270">
        <f t="shared" si="554"/>
        <v>44784</v>
      </c>
      <c r="E7170" s="279">
        <f t="shared" si="555"/>
        <v>44784</v>
      </c>
      <c r="F7170" s="482" t="s">
        <v>138</v>
      </c>
      <c r="G7170" s="247" t="s">
        <v>94</v>
      </c>
      <c r="H7170" s="247" t="str" cm="1">
        <f t="array" ref="H7170">IFERROR(INDEX(INVESTOR_LIST[INVESTOR NAME],MATCH(I7170,INVESTOR_LIST[INVESTOR CODE],0),)," ")</f>
        <v xml:space="preserve"> </v>
      </c>
      <c r="I7170" s="248" t="s">
        <v>348</v>
      </c>
      <c r="J7170" s="249" t="s">
        <v>100</v>
      </c>
      <c r="K7170" s="250">
        <v>3713.3897343741987</v>
      </c>
      <c r="L7170" s="252"/>
    </row>
    <row r="7171" spans="1:14" x14ac:dyDescent="0.2">
      <c r="A7171" s="242">
        <v>2022</v>
      </c>
      <c r="B7171" s="242">
        <v>8</v>
      </c>
      <c r="C7171" s="242">
        <v>11</v>
      </c>
      <c r="D7171" s="321">
        <f t="shared" si="554"/>
        <v>44784</v>
      </c>
      <c r="E7171" s="322">
        <f t="shared" si="555"/>
        <v>44784</v>
      </c>
      <c r="F7171" s="478"/>
      <c r="G7171" s="243" t="s">
        <v>94</v>
      </c>
      <c r="H7171" s="243" t="str" cm="1">
        <f t="array" ref="H7171">IFERROR(INDEX(INVESTOR_LIST[INVESTOR NAME],MATCH(I7171,INVESTOR_LIST[INVESTOR CODE],0),)," ")</f>
        <v xml:space="preserve"> </v>
      </c>
      <c r="I7171" s="263" t="s">
        <v>348</v>
      </c>
      <c r="J7171" s="244" t="s">
        <v>48</v>
      </c>
      <c r="K7171" s="245"/>
      <c r="L7171" s="245">
        <v>3713.3897343741987</v>
      </c>
    </row>
    <row r="7172" spans="1:14" x14ac:dyDescent="0.2">
      <c r="A7172" s="133">
        <v>2022</v>
      </c>
      <c r="B7172" s="133">
        <v>8</v>
      </c>
      <c r="C7172" s="168">
        <v>12</v>
      </c>
      <c r="D7172" s="141">
        <f t="shared" ref="D7172:D7176" si="564">DATE(A7172,B7172,C7172)</f>
        <v>44785</v>
      </c>
      <c r="E7172" s="275">
        <f t="shared" ref="E7172:E7176" si="565">DATE(A7172,B7172,C7172)</f>
        <v>44785</v>
      </c>
      <c r="F7172" s="479" t="s">
        <v>1492</v>
      </c>
      <c r="G7172" s="174" t="s">
        <v>74</v>
      </c>
      <c r="H7172" s="148" t="str" cm="1">
        <f t="array" ref="H7172">IFERROR(INDEX(INVESTOR_LIST[INVESTOR NAME],MATCH(I7172,INVESTOR_LIST[INVESTOR CODE],0),)," ")</f>
        <v xml:space="preserve"> </v>
      </c>
      <c r="I7172" s="148" t="s">
        <v>348</v>
      </c>
      <c r="J7172" s="133" t="s">
        <v>133</v>
      </c>
      <c r="K7172" s="172">
        <v>51375</v>
      </c>
    </row>
    <row r="7173" spans="1:14" x14ac:dyDescent="0.2">
      <c r="A7173" s="163">
        <v>2022</v>
      </c>
      <c r="B7173" s="163">
        <v>8</v>
      </c>
      <c r="C7173" s="163">
        <v>12</v>
      </c>
      <c r="D7173" s="141">
        <f t="shared" si="564"/>
        <v>44785</v>
      </c>
      <c r="E7173" s="275">
        <f t="shared" si="565"/>
        <v>44785</v>
      </c>
      <c r="F7173" s="480"/>
      <c r="G7173" s="221" t="s">
        <v>74</v>
      </c>
      <c r="H7173" s="145" t="str" cm="1">
        <f t="array" ref="H7173">IFERROR(INDEX(INVESTOR_LIST[INVESTOR NAME],MATCH(I7173,INVESTOR_LIST[INVESTOR CODE],0),)," ")</f>
        <v xml:space="preserve"> </v>
      </c>
      <c r="I7173" s="145" t="s">
        <v>348</v>
      </c>
      <c r="J7173" s="163" t="s">
        <v>152</v>
      </c>
      <c r="K7173" s="219"/>
      <c r="L7173" s="219">
        <v>51375</v>
      </c>
    </row>
    <row r="7174" spans="1:14" x14ac:dyDescent="0.2">
      <c r="A7174" s="168">
        <v>2022</v>
      </c>
      <c r="B7174" s="168">
        <v>8</v>
      </c>
      <c r="C7174" s="133">
        <v>14</v>
      </c>
      <c r="D7174" s="141">
        <f t="shared" si="564"/>
        <v>44787</v>
      </c>
      <c r="E7174" s="275">
        <f t="shared" si="565"/>
        <v>44787</v>
      </c>
      <c r="F7174" s="479" t="s">
        <v>1493</v>
      </c>
      <c r="G7174" s="220" t="s">
        <v>74</v>
      </c>
      <c r="H7174" s="142" t="str" cm="1">
        <f t="array" ref="H7174">IFERROR(INDEX(INVESTOR_LIST[INVESTOR NAME],MATCH(I7174,INVESTOR_LIST[INVESTOR CODE],0),)," ")</f>
        <v xml:space="preserve"> </v>
      </c>
      <c r="I7174" s="142"/>
      <c r="J7174" s="168" t="s">
        <v>96</v>
      </c>
      <c r="K7174" s="226">
        <v>3051375</v>
      </c>
      <c r="L7174" s="226"/>
      <c r="M7174" s="264"/>
      <c r="N7174" s="264"/>
    </row>
    <row r="7175" spans="1:14" x14ac:dyDescent="0.2">
      <c r="A7175" s="133">
        <v>2022</v>
      </c>
      <c r="B7175" s="133">
        <v>8</v>
      </c>
      <c r="C7175" s="133">
        <v>14</v>
      </c>
      <c r="D7175" s="141">
        <f t="shared" si="564"/>
        <v>44787</v>
      </c>
      <c r="E7175" s="275">
        <f t="shared" si="565"/>
        <v>44787</v>
      </c>
      <c r="F7175" s="481"/>
      <c r="G7175" s="174" t="s">
        <v>74</v>
      </c>
      <c r="H7175" s="148" t="str" cm="1">
        <f t="array" ref="H7175">IFERROR(INDEX(INVESTOR_LIST[INVESTOR NAME],MATCH(I7175,INVESTOR_LIST[INVESTOR CODE],0),)," ")</f>
        <v xml:space="preserve"> </v>
      </c>
      <c r="J7175" s="133" t="s">
        <v>133</v>
      </c>
      <c r="K7175" s="218"/>
      <c r="L7175" s="172">
        <v>51375</v>
      </c>
    </row>
    <row r="7176" spans="1:14" x14ac:dyDescent="0.2">
      <c r="A7176" s="163">
        <v>2022</v>
      </c>
      <c r="B7176" s="163">
        <v>8</v>
      </c>
      <c r="C7176" s="163">
        <v>14</v>
      </c>
      <c r="D7176" s="141">
        <f t="shared" si="564"/>
        <v>44787</v>
      </c>
      <c r="E7176" s="275">
        <f t="shared" si="565"/>
        <v>44787</v>
      </c>
      <c r="F7176" s="480"/>
      <c r="G7176" s="221" t="s">
        <v>74</v>
      </c>
      <c r="H7176" s="145" t="str" cm="1">
        <f t="array" ref="H7176">IFERROR(INDEX(INVESTOR_LIST[INVESTOR NAME],MATCH(I7176,INVESTOR_LIST[INVESTOR CODE],0),)," ")</f>
        <v xml:space="preserve"> </v>
      </c>
      <c r="I7176" s="145"/>
      <c r="J7176" s="163" t="s">
        <v>96</v>
      </c>
      <c r="K7176" s="219"/>
      <c r="L7176" s="219">
        <v>3000000</v>
      </c>
    </row>
    <row r="7177" spans="1:14" x14ac:dyDescent="0.2">
      <c r="A7177" s="168">
        <v>2022</v>
      </c>
      <c r="B7177" s="168">
        <v>8</v>
      </c>
      <c r="C7177" s="168">
        <v>14</v>
      </c>
      <c r="D7177" s="141">
        <f>DATE(A7177,B7177,C7177)</f>
        <v>44787</v>
      </c>
      <c r="E7177" s="275">
        <f>DATE(A7177,B7177,C7177)</f>
        <v>44787</v>
      </c>
      <c r="F7177" s="479" t="s">
        <v>1444</v>
      </c>
      <c r="G7177" s="220" t="s">
        <v>74</v>
      </c>
      <c r="H7177" s="220" t="str" cm="1">
        <f t="array" ref="H7177">IFERROR(INDEX(INVESTOR_LIST[INVESTOR NAME],MATCH(I7177,INVESTOR_LIST[INVESTOR CODE],0),)," ")</f>
        <v xml:space="preserve"> </v>
      </c>
      <c r="I7177" s="142"/>
      <c r="J7177" s="143" t="s">
        <v>52</v>
      </c>
      <c r="K7177" s="226">
        <v>5451262.96</v>
      </c>
      <c r="L7177" s="226"/>
    </row>
    <row r="7178" spans="1:14" x14ac:dyDescent="0.2">
      <c r="A7178" s="163">
        <v>2022</v>
      </c>
      <c r="B7178" s="163">
        <v>8</v>
      </c>
      <c r="C7178" s="163">
        <v>14</v>
      </c>
      <c r="D7178" s="141">
        <f>DATE(A7178,B7178,C7178)</f>
        <v>44787</v>
      </c>
      <c r="E7178" s="275">
        <f>DATE(A7178,B7178,C7178)</f>
        <v>44787</v>
      </c>
      <c r="F7178" s="480"/>
      <c r="G7178" s="221" t="s">
        <v>74</v>
      </c>
      <c r="H7178" s="221" t="str" cm="1">
        <f t="array" ref="H7178">IFERROR(INDEX(INVESTOR_LIST[INVESTOR NAME],MATCH(I7178,INVESTOR_LIST[INVESTOR CODE],0),)," ")</f>
        <v xml:space="preserve"> </v>
      </c>
      <c r="I7178" s="145" t="s">
        <v>348</v>
      </c>
      <c r="J7178" s="146" t="s">
        <v>190</v>
      </c>
      <c r="K7178" s="219"/>
      <c r="L7178" s="219">
        <v>5451262.96</v>
      </c>
    </row>
    <row r="7179" spans="1:14" ht="22.5" x14ac:dyDescent="0.2">
      <c r="A7179" s="168">
        <v>2022</v>
      </c>
      <c r="B7179" s="168">
        <v>8</v>
      </c>
      <c r="C7179" s="133">
        <v>14</v>
      </c>
      <c r="D7179" s="141">
        <f t="shared" ref="D7179:D7181" si="566">DATE(A7179,B7179,C7179)</f>
        <v>44787</v>
      </c>
      <c r="E7179" s="275">
        <f t="shared" ref="E7179:E7181" si="567">DATE(A7179,B7179,C7179)</f>
        <v>44787</v>
      </c>
      <c r="F7179" s="479" t="s">
        <v>1315</v>
      </c>
      <c r="G7179" s="220" t="s">
        <v>74</v>
      </c>
      <c r="H7179" s="142" t="str" cm="1">
        <f t="array" ref="H7179">IFERROR(INDEX(INVESTOR_LIST[INVESTOR NAME],MATCH(I7179,INVESTOR_LIST[INVESTOR CODE],0),)," ")</f>
        <v>SRIJON GHOSH</v>
      </c>
      <c r="I7179" s="142" t="s">
        <v>1418</v>
      </c>
      <c r="J7179" s="168" t="s">
        <v>13</v>
      </c>
      <c r="K7179" s="226">
        <v>25260</v>
      </c>
      <c r="L7179" s="226"/>
    </row>
    <row r="7180" spans="1:14" ht="22.5" x14ac:dyDescent="0.2">
      <c r="A7180" s="133">
        <v>2022</v>
      </c>
      <c r="B7180" s="133">
        <v>8</v>
      </c>
      <c r="C7180" s="133">
        <v>14</v>
      </c>
      <c r="D7180" s="141">
        <f t="shared" si="566"/>
        <v>44787</v>
      </c>
      <c r="E7180" s="275">
        <f t="shared" si="567"/>
        <v>44787</v>
      </c>
      <c r="F7180" s="481"/>
      <c r="G7180" s="174" t="s">
        <v>74</v>
      </c>
      <c r="H7180" s="148" t="str" cm="1">
        <f t="array" ref="H7180">IFERROR(INDEX(INVESTOR_LIST[INVESTOR NAME],MATCH(I7180,INVESTOR_LIST[INVESTOR CODE],0),)," ")</f>
        <v>SRIJON GHOSH</v>
      </c>
      <c r="I7180" s="148" t="s">
        <v>1418</v>
      </c>
      <c r="J7180" s="133" t="s">
        <v>53</v>
      </c>
      <c r="K7180" s="218">
        <v>5077.26</v>
      </c>
      <c r="L7180" s="218"/>
    </row>
    <row r="7181" spans="1:14" ht="22.5" x14ac:dyDescent="0.2">
      <c r="A7181" s="163">
        <v>2022</v>
      </c>
      <c r="B7181" s="163">
        <v>8</v>
      </c>
      <c r="C7181" s="163">
        <v>14</v>
      </c>
      <c r="D7181" s="280">
        <f t="shared" si="566"/>
        <v>44787</v>
      </c>
      <c r="E7181" s="281">
        <f t="shared" si="567"/>
        <v>44787</v>
      </c>
      <c r="F7181" s="480"/>
      <c r="G7181" s="221" t="s">
        <v>74</v>
      </c>
      <c r="H7181" s="145" t="str" cm="1">
        <f t="array" ref="H7181">IFERROR(INDEX(INVESTOR_LIST[INVESTOR NAME],MATCH(I7181,INVESTOR_LIST[INVESTOR CODE],0),)," ")</f>
        <v>SRIJON GHOSH</v>
      </c>
      <c r="I7181" s="145" t="s">
        <v>1418</v>
      </c>
      <c r="J7181" s="163" t="s">
        <v>52</v>
      </c>
      <c r="K7181" s="219"/>
      <c r="L7181" s="219">
        <v>30337.26</v>
      </c>
    </row>
    <row r="7182" spans="1:14" ht="33.75" x14ac:dyDescent="0.2">
      <c r="A7182" s="168">
        <v>2022</v>
      </c>
      <c r="B7182" s="168">
        <v>8</v>
      </c>
      <c r="C7182" s="133">
        <v>14</v>
      </c>
      <c r="D7182" s="141">
        <f t="shared" ref="D7182:D7184" si="568">DATE(A7182,B7182,C7182)</f>
        <v>44787</v>
      </c>
      <c r="E7182" s="275">
        <f t="shared" ref="E7182:E7184" si="569">DATE(A7182,B7182,C7182)</f>
        <v>44787</v>
      </c>
      <c r="F7182" s="479" t="s">
        <v>1315</v>
      </c>
      <c r="G7182" s="220" t="s">
        <v>74</v>
      </c>
      <c r="H7182" s="142" t="str" cm="1">
        <f t="array" ref="H7182">IFERROR(INDEX(INVESTOR_LIST[INVESTOR NAME],MATCH(I7182,INVESTOR_LIST[INVESTOR CODE],0),)," ")</f>
        <v>MD. IMRAN HOSSAIN</v>
      </c>
      <c r="I7182" s="142" t="s">
        <v>1047</v>
      </c>
      <c r="J7182" s="168" t="s">
        <v>13</v>
      </c>
      <c r="K7182" s="226">
        <v>423370</v>
      </c>
      <c r="L7182" s="226"/>
    </row>
    <row r="7183" spans="1:14" ht="33.75" x14ac:dyDescent="0.2">
      <c r="A7183" s="133">
        <v>2022</v>
      </c>
      <c r="B7183" s="133">
        <v>8</v>
      </c>
      <c r="C7183" s="133">
        <v>14</v>
      </c>
      <c r="D7183" s="141">
        <f t="shared" si="568"/>
        <v>44787</v>
      </c>
      <c r="E7183" s="275">
        <f t="shared" si="569"/>
        <v>44787</v>
      </c>
      <c r="F7183" s="481"/>
      <c r="G7183" s="174" t="s">
        <v>74</v>
      </c>
      <c r="H7183" s="148" t="str" cm="1">
        <f t="array" ref="H7183">IFERROR(INDEX(INVESTOR_LIST[INVESTOR NAME],MATCH(I7183,INVESTOR_LIST[INVESTOR CODE],0),)," ")</f>
        <v>MD. IMRAN HOSSAIN</v>
      </c>
      <c r="I7183" s="148" t="s">
        <v>1047</v>
      </c>
      <c r="J7183" s="133" t="s">
        <v>53</v>
      </c>
      <c r="K7183" s="218">
        <v>85097.37</v>
      </c>
      <c r="L7183" s="218"/>
    </row>
    <row r="7184" spans="1:14" ht="33.75" x14ac:dyDescent="0.2">
      <c r="A7184" s="163">
        <v>2022</v>
      </c>
      <c r="B7184" s="163">
        <v>8</v>
      </c>
      <c r="C7184" s="163">
        <v>14</v>
      </c>
      <c r="D7184" s="280">
        <f t="shared" si="568"/>
        <v>44787</v>
      </c>
      <c r="E7184" s="281">
        <f t="shared" si="569"/>
        <v>44787</v>
      </c>
      <c r="F7184" s="480"/>
      <c r="G7184" s="221" t="s">
        <v>74</v>
      </c>
      <c r="H7184" s="145" t="str" cm="1">
        <f t="array" ref="H7184">IFERROR(INDEX(INVESTOR_LIST[INVESTOR NAME],MATCH(I7184,INVESTOR_LIST[INVESTOR CODE],0),)," ")</f>
        <v>MD. IMRAN HOSSAIN</v>
      </c>
      <c r="I7184" s="145" t="s">
        <v>1047</v>
      </c>
      <c r="J7184" s="163" t="s">
        <v>52</v>
      </c>
      <c r="K7184" s="219"/>
      <c r="L7184" s="219">
        <v>508467.37</v>
      </c>
    </row>
    <row r="7185" spans="1:12" ht="33.75" x14ac:dyDescent="0.2">
      <c r="A7185" s="168">
        <v>2022</v>
      </c>
      <c r="B7185" s="168">
        <v>8</v>
      </c>
      <c r="C7185" s="133">
        <v>14</v>
      </c>
      <c r="D7185" s="141">
        <f t="shared" ref="D7185:D7187" si="570">DATE(A7185,B7185,C7185)</f>
        <v>44787</v>
      </c>
      <c r="E7185" s="275">
        <f t="shared" ref="E7185:E7187" si="571">DATE(A7185,B7185,C7185)</f>
        <v>44787</v>
      </c>
      <c r="F7185" s="479" t="s">
        <v>1315</v>
      </c>
      <c r="G7185" s="220" t="s">
        <v>74</v>
      </c>
      <c r="H7185" s="142" t="str" cm="1">
        <f t="array" ref="H7185">IFERROR(INDEX(INVESTOR_LIST[INVESTOR NAME],MATCH(I7185,INVESTOR_LIST[INVESTOR CODE],0),)," ")</f>
        <v>NAUSHEEN AHMED</v>
      </c>
      <c r="I7185" s="142" t="s">
        <v>787</v>
      </c>
      <c r="J7185" s="168" t="s">
        <v>13</v>
      </c>
      <c r="K7185" s="226">
        <v>381000</v>
      </c>
      <c r="L7185" s="226"/>
    </row>
    <row r="7186" spans="1:12" ht="33.75" x14ac:dyDescent="0.2">
      <c r="A7186" s="133">
        <v>2022</v>
      </c>
      <c r="B7186" s="133">
        <v>8</v>
      </c>
      <c r="C7186" s="133">
        <v>14</v>
      </c>
      <c r="D7186" s="141">
        <f t="shared" si="570"/>
        <v>44787</v>
      </c>
      <c r="E7186" s="275">
        <f t="shared" si="571"/>
        <v>44787</v>
      </c>
      <c r="F7186" s="481"/>
      <c r="G7186" s="174" t="s">
        <v>74</v>
      </c>
      <c r="H7186" s="148" t="str" cm="1">
        <f t="array" ref="H7186">IFERROR(INDEX(INVESTOR_LIST[INVESTOR NAME],MATCH(I7186,INVESTOR_LIST[INVESTOR CODE],0),)," ")</f>
        <v>NAUSHEEN AHMED</v>
      </c>
      <c r="I7186" s="148" t="s">
        <v>787</v>
      </c>
      <c r="J7186" s="133" t="s">
        <v>53</v>
      </c>
      <c r="K7186" s="218">
        <v>76581</v>
      </c>
      <c r="L7186" s="218"/>
    </row>
    <row r="7187" spans="1:12" ht="33.75" x14ac:dyDescent="0.2">
      <c r="A7187" s="163">
        <v>2022</v>
      </c>
      <c r="B7187" s="163">
        <v>8</v>
      </c>
      <c r="C7187" s="163">
        <v>14</v>
      </c>
      <c r="D7187" s="280">
        <f t="shared" si="570"/>
        <v>44787</v>
      </c>
      <c r="E7187" s="281">
        <f t="shared" si="571"/>
        <v>44787</v>
      </c>
      <c r="F7187" s="480"/>
      <c r="G7187" s="221" t="s">
        <v>74</v>
      </c>
      <c r="H7187" s="145" t="str" cm="1">
        <f t="array" ref="H7187">IFERROR(INDEX(INVESTOR_LIST[INVESTOR NAME],MATCH(I7187,INVESTOR_LIST[INVESTOR CODE],0),)," ")</f>
        <v>NAUSHEEN AHMED</v>
      </c>
      <c r="I7187" s="145" t="s">
        <v>787</v>
      </c>
      <c r="J7187" s="163" t="s">
        <v>52</v>
      </c>
      <c r="K7187" s="219"/>
      <c r="L7187" s="219">
        <v>457581</v>
      </c>
    </row>
    <row r="7188" spans="1:12" ht="45" x14ac:dyDescent="0.2">
      <c r="A7188" s="168">
        <v>2022</v>
      </c>
      <c r="B7188" s="168">
        <v>8</v>
      </c>
      <c r="C7188" s="133">
        <v>14</v>
      </c>
      <c r="D7188" s="141">
        <f t="shared" ref="D7188:D7190" si="572">DATE(A7188,B7188,C7188)</f>
        <v>44787</v>
      </c>
      <c r="E7188" s="275">
        <f t="shared" ref="E7188:E7190" si="573">DATE(A7188,B7188,C7188)</f>
        <v>44787</v>
      </c>
      <c r="F7188" s="479" t="s">
        <v>1315</v>
      </c>
      <c r="G7188" s="220" t="s">
        <v>74</v>
      </c>
      <c r="H7188" s="142" t="str" cm="1">
        <f t="array" ref="H7188">IFERROR(INDEX(INVESTOR_LIST[INVESTOR NAME],MATCH(I7188,INVESTOR_LIST[INVESTOR CODE],0),)," ")</f>
        <v>MD. WALID - AL - ZUBAYER</v>
      </c>
      <c r="I7188" s="142" t="s">
        <v>764</v>
      </c>
      <c r="J7188" s="168" t="s">
        <v>13</v>
      </c>
      <c r="K7188" s="226">
        <v>366240</v>
      </c>
      <c r="L7188" s="226"/>
    </row>
    <row r="7189" spans="1:12" ht="45" x14ac:dyDescent="0.2">
      <c r="A7189" s="133">
        <v>2022</v>
      </c>
      <c r="B7189" s="133">
        <v>8</v>
      </c>
      <c r="C7189" s="133">
        <v>14</v>
      </c>
      <c r="D7189" s="141">
        <f t="shared" si="572"/>
        <v>44787</v>
      </c>
      <c r="E7189" s="275">
        <f t="shared" si="573"/>
        <v>44787</v>
      </c>
      <c r="F7189" s="481"/>
      <c r="G7189" s="174" t="s">
        <v>74</v>
      </c>
      <c r="H7189" s="148" t="str" cm="1">
        <f t="array" ref="H7189">IFERROR(INDEX(INVESTOR_LIST[INVESTOR NAME],MATCH(I7189,INVESTOR_LIST[INVESTOR CODE],0),)," ")</f>
        <v>MD. WALID - AL - ZUBAYER</v>
      </c>
      <c r="I7189" s="148" t="s">
        <v>764</v>
      </c>
      <c r="J7189" s="133" t="s">
        <v>53</v>
      </c>
      <c r="K7189" s="218">
        <v>73614.240000000005</v>
      </c>
      <c r="L7189" s="218"/>
    </row>
    <row r="7190" spans="1:12" ht="45" x14ac:dyDescent="0.2">
      <c r="A7190" s="163">
        <v>2022</v>
      </c>
      <c r="B7190" s="163">
        <v>8</v>
      </c>
      <c r="C7190" s="163">
        <v>14</v>
      </c>
      <c r="D7190" s="280">
        <f t="shared" si="572"/>
        <v>44787</v>
      </c>
      <c r="E7190" s="281">
        <f t="shared" si="573"/>
        <v>44787</v>
      </c>
      <c r="F7190" s="480"/>
      <c r="G7190" s="221" t="s">
        <v>74</v>
      </c>
      <c r="H7190" s="145" t="str" cm="1">
        <f t="array" ref="H7190">IFERROR(INDEX(INVESTOR_LIST[INVESTOR NAME],MATCH(I7190,INVESTOR_LIST[INVESTOR CODE],0),)," ")</f>
        <v>MD. WALID - AL - ZUBAYER</v>
      </c>
      <c r="I7190" s="145" t="s">
        <v>764</v>
      </c>
      <c r="J7190" s="163" t="s">
        <v>52</v>
      </c>
      <c r="K7190" s="219"/>
      <c r="L7190" s="219">
        <v>439854.24</v>
      </c>
    </row>
    <row r="7191" spans="1:12" ht="45" x14ac:dyDescent="0.2">
      <c r="A7191" s="168">
        <v>2022</v>
      </c>
      <c r="B7191" s="168">
        <v>8</v>
      </c>
      <c r="C7191" s="133">
        <v>14</v>
      </c>
      <c r="D7191" s="141">
        <f t="shared" ref="D7191:D7193" si="574">DATE(A7191,B7191,C7191)</f>
        <v>44787</v>
      </c>
      <c r="E7191" s="275">
        <f t="shared" ref="E7191:E7193" si="575">DATE(A7191,B7191,C7191)</f>
        <v>44787</v>
      </c>
      <c r="F7191" s="479" t="s">
        <v>1315</v>
      </c>
      <c r="G7191" s="220" t="s">
        <v>74</v>
      </c>
      <c r="H7191" s="142" t="str" cm="1">
        <f t="array" ref="H7191">IFERROR(INDEX(INVESTOR_LIST[INVESTOR NAME],MATCH(I7191,INVESTOR_LIST[INVESTOR CODE],0),)," ")</f>
        <v>MD. WALID - AL - ZUBAYER</v>
      </c>
      <c r="I7191" s="142" t="s">
        <v>764</v>
      </c>
      <c r="J7191" s="168" t="s">
        <v>13</v>
      </c>
      <c r="K7191" s="226">
        <v>381000</v>
      </c>
      <c r="L7191" s="226"/>
    </row>
    <row r="7192" spans="1:12" ht="45" x14ac:dyDescent="0.2">
      <c r="A7192" s="133">
        <v>2022</v>
      </c>
      <c r="B7192" s="133">
        <v>8</v>
      </c>
      <c r="C7192" s="133">
        <v>14</v>
      </c>
      <c r="D7192" s="141">
        <f t="shared" si="574"/>
        <v>44787</v>
      </c>
      <c r="E7192" s="275">
        <f t="shared" si="575"/>
        <v>44787</v>
      </c>
      <c r="F7192" s="481"/>
      <c r="G7192" s="174" t="s">
        <v>74</v>
      </c>
      <c r="H7192" s="148" t="str" cm="1">
        <f t="array" ref="H7192">IFERROR(INDEX(INVESTOR_LIST[INVESTOR NAME],MATCH(I7192,INVESTOR_LIST[INVESTOR CODE],0),)," ")</f>
        <v>MD. WALID - AL - ZUBAYER</v>
      </c>
      <c r="I7192" s="148" t="s">
        <v>764</v>
      </c>
      <c r="J7192" s="133" t="s">
        <v>53</v>
      </c>
      <c r="K7192" s="218">
        <v>76581</v>
      </c>
      <c r="L7192" s="218"/>
    </row>
    <row r="7193" spans="1:12" ht="45" x14ac:dyDescent="0.2">
      <c r="A7193" s="163">
        <v>2022</v>
      </c>
      <c r="B7193" s="163">
        <v>8</v>
      </c>
      <c r="C7193" s="163">
        <v>14</v>
      </c>
      <c r="D7193" s="280">
        <f t="shared" si="574"/>
        <v>44787</v>
      </c>
      <c r="E7193" s="281">
        <f t="shared" si="575"/>
        <v>44787</v>
      </c>
      <c r="F7193" s="480"/>
      <c r="G7193" s="221" t="s">
        <v>74</v>
      </c>
      <c r="H7193" s="145" t="str" cm="1">
        <f t="array" ref="H7193">IFERROR(INDEX(INVESTOR_LIST[INVESTOR NAME],MATCH(I7193,INVESTOR_LIST[INVESTOR CODE],0),)," ")</f>
        <v>MD. WALID - AL - ZUBAYER</v>
      </c>
      <c r="I7193" s="145" t="s">
        <v>764</v>
      </c>
      <c r="J7193" s="163" t="s">
        <v>52</v>
      </c>
      <c r="K7193" s="219"/>
      <c r="L7193" s="219">
        <v>457581</v>
      </c>
    </row>
    <row r="7194" spans="1:12" ht="22.5" x14ac:dyDescent="0.2">
      <c r="A7194" s="168">
        <v>2022</v>
      </c>
      <c r="B7194" s="168">
        <v>8</v>
      </c>
      <c r="C7194" s="133">
        <v>14</v>
      </c>
      <c r="D7194" s="141">
        <f t="shared" ref="D7194:D7213" si="576">DATE(A7194,B7194,C7194)</f>
        <v>44787</v>
      </c>
      <c r="E7194" s="275">
        <f t="shared" ref="E7194:E7213" si="577">DATE(A7194,B7194,C7194)</f>
        <v>44787</v>
      </c>
      <c r="F7194" s="479" t="s">
        <v>1315</v>
      </c>
      <c r="G7194" s="220" t="s">
        <v>74</v>
      </c>
      <c r="H7194" s="142" t="str" cm="1">
        <f t="array" ref="H7194">IFERROR(INDEX(INVESTOR_LIST[INVESTOR NAME],MATCH(I7194,INVESTOR_LIST[INVESTOR CODE],0),)," ")</f>
        <v>SHUVA SAHA</v>
      </c>
      <c r="I7194" s="142" t="s">
        <v>421</v>
      </c>
      <c r="J7194" s="168" t="s">
        <v>13</v>
      </c>
      <c r="K7194" s="226">
        <v>374690</v>
      </c>
      <c r="L7194" s="226"/>
    </row>
    <row r="7195" spans="1:12" ht="22.5" x14ac:dyDescent="0.2">
      <c r="A7195" s="133">
        <v>2022</v>
      </c>
      <c r="B7195" s="133">
        <v>8</v>
      </c>
      <c r="C7195" s="133">
        <v>14</v>
      </c>
      <c r="D7195" s="141">
        <f t="shared" si="576"/>
        <v>44787</v>
      </c>
      <c r="E7195" s="275">
        <f t="shared" si="577"/>
        <v>44787</v>
      </c>
      <c r="F7195" s="481"/>
      <c r="G7195" s="174" t="s">
        <v>74</v>
      </c>
      <c r="H7195" s="148" t="str" cm="1">
        <f t="array" ref="H7195">IFERROR(INDEX(INVESTOR_LIST[INVESTOR NAME],MATCH(I7195,INVESTOR_LIST[INVESTOR CODE],0),)," ")</f>
        <v>SHUVA SAHA</v>
      </c>
      <c r="I7195" s="148" t="s">
        <v>421</v>
      </c>
      <c r="J7195" s="133" t="s">
        <v>53</v>
      </c>
      <c r="K7195" s="218">
        <v>75310</v>
      </c>
      <c r="L7195" s="218"/>
    </row>
    <row r="7196" spans="1:12" ht="22.5" x14ac:dyDescent="0.2">
      <c r="A7196" s="163">
        <v>2022</v>
      </c>
      <c r="B7196" s="163">
        <v>8</v>
      </c>
      <c r="C7196" s="163">
        <v>14</v>
      </c>
      <c r="D7196" s="280">
        <f t="shared" si="576"/>
        <v>44787</v>
      </c>
      <c r="E7196" s="281">
        <f t="shared" si="577"/>
        <v>44787</v>
      </c>
      <c r="F7196" s="480"/>
      <c r="G7196" s="221" t="s">
        <v>74</v>
      </c>
      <c r="H7196" s="145" t="str" cm="1">
        <f t="array" ref="H7196">IFERROR(INDEX(INVESTOR_LIST[INVESTOR NAME],MATCH(I7196,INVESTOR_LIST[INVESTOR CODE],0),)," ")</f>
        <v>SHUVA SAHA</v>
      </c>
      <c r="I7196" s="145" t="s">
        <v>421</v>
      </c>
      <c r="J7196" s="163" t="s">
        <v>52</v>
      </c>
      <c r="K7196" s="219"/>
      <c r="L7196" s="219">
        <v>450000</v>
      </c>
    </row>
    <row r="7197" spans="1:12" x14ac:dyDescent="0.2">
      <c r="A7197" s="133">
        <v>2022</v>
      </c>
      <c r="B7197" s="133">
        <v>8</v>
      </c>
      <c r="C7197" s="168">
        <v>14</v>
      </c>
      <c r="D7197" s="141">
        <f t="shared" si="576"/>
        <v>44787</v>
      </c>
      <c r="E7197" s="275">
        <f t="shared" si="577"/>
        <v>44787</v>
      </c>
      <c r="F7197" s="479" t="s">
        <v>1475</v>
      </c>
      <c r="G7197" s="174" t="s">
        <v>74</v>
      </c>
      <c r="H7197" s="148" t="str" cm="1">
        <f t="array" ref="H7197">IFERROR(INDEX(INVESTOR_LIST[INVESTOR NAME],MATCH(I7197,INVESTOR_LIST[INVESTOR CODE],0),)," ")</f>
        <v xml:space="preserve"> </v>
      </c>
      <c r="I7197" s="148" t="s">
        <v>348</v>
      </c>
      <c r="J7197" s="133" t="s">
        <v>61</v>
      </c>
      <c r="K7197" s="172">
        <v>58</v>
      </c>
    </row>
    <row r="7198" spans="1:12" x14ac:dyDescent="0.2">
      <c r="A7198" s="163">
        <v>2022</v>
      </c>
      <c r="B7198" s="163">
        <v>8</v>
      </c>
      <c r="C7198" s="163">
        <v>14</v>
      </c>
      <c r="D7198" s="141">
        <f t="shared" si="576"/>
        <v>44787</v>
      </c>
      <c r="E7198" s="275">
        <f t="shared" si="577"/>
        <v>44787</v>
      </c>
      <c r="F7198" s="480"/>
      <c r="G7198" s="221" t="s">
        <v>74</v>
      </c>
      <c r="H7198" s="145" t="str" cm="1">
        <f t="array" ref="H7198">IFERROR(INDEX(INVESTOR_LIST[INVESTOR NAME],MATCH(I7198,INVESTOR_LIST[INVESTOR CODE],0),)," ")</f>
        <v xml:space="preserve"> </v>
      </c>
      <c r="I7198" s="145" t="s">
        <v>348</v>
      </c>
      <c r="J7198" s="163" t="s">
        <v>52</v>
      </c>
      <c r="K7198" s="219"/>
      <c r="L7198" s="219">
        <v>58</v>
      </c>
    </row>
    <row r="7199" spans="1:12" x14ac:dyDescent="0.2">
      <c r="A7199" s="168">
        <v>2022</v>
      </c>
      <c r="B7199" s="168">
        <v>8</v>
      </c>
      <c r="C7199" s="133">
        <v>15</v>
      </c>
      <c r="D7199" s="141">
        <f t="shared" ref="D7199:D7201" si="578">DATE(A7199,B7199,C7199)</f>
        <v>44788</v>
      </c>
      <c r="E7199" s="275">
        <f t="shared" ref="E7199:E7201" si="579">DATE(A7199,B7199,C7199)</f>
        <v>44788</v>
      </c>
      <c r="F7199" s="479" t="s">
        <v>1319</v>
      </c>
      <c r="G7199" s="220" t="s">
        <v>74</v>
      </c>
      <c r="H7199" s="142" t="str" cm="1">
        <f t="array" ref="H7199">IFERROR(INDEX(INVESTOR_LIST[INVESTOR NAME],MATCH(I7199,INVESTOR_LIST[INVESTOR CODE],0),)," ")</f>
        <v xml:space="preserve"> </v>
      </c>
      <c r="I7199" s="142"/>
      <c r="J7199" s="168" t="s">
        <v>52</v>
      </c>
      <c r="K7199" s="226">
        <v>143000</v>
      </c>
      <c r="L7199" s="226"/>
    </row>
    <row r="7200" spans="1:12" x14ac:dyDescent="0.2">
      <c r="A7200" s="133">
        <v>2022</v>
      </c>
      <c r="B7200" s="133">
        <v>8</v>
      </c>
      <c r="C7200" s="133">
        <v>15</v>
      </c>
      <c r="D7200" s="141">
        <f t="shared" si="578"/>
        <v>44788</v>
      </c>
      <c r="E7200" s="275">
        <f t="shared" si="579"/>
        <v>44788</v>
      </c>
      <c r="F7200" s="481"/>
      <c r="G7200" s="174" t="s">
        <v>74</v>
      </c>
      <c r="H7200" s="148" t="str" cm="1">
        <f t="array" ref="H7200">IFERROR(INDEX(INVESTOR_LIST[INVESTOR NAME],MATCH(I7200,INVESTOR_LIST[INVESTOR CODE],0),)," ")</f>
        <v xml:space="preserve"> </v>
      </c>
      <c r="J7200" s="133" t="s">
        <v>13</v>
      </c>
      <c r="K7200" s="218"/>
      <c r="L7200" s="218">
        <v>119640</v>
      </c>
    </row>
    <row r="7201" spans="1:17" x14ac:dyDescent="0.2">
      <c r="A7201" s="163">
        <v>2022</v>
      </c>
      <c r="B7201" s="163">
        <v>8</v>
      </c>
      <c r="C7201" s="163">
        <v>15</v>
      </c>
      <c r="D7201" s="141">
        <f t="shared" si="578"/>
        <v>44788</v>
      </c>
      <c r="E7201" s="275">
        <f t="shared" si="579"/>
        <v>44788</v>
      </c>
      <c r="F7201" s="480"/>
      <c r="G7201" s="221" t="s">
        <v>74</v>
      </c>
      <c r="H7201" s="145" t="str" cm="1">
        <f t="array" ref="H7201">IFERROR(INDEX(INVESTOR_LIST[INVESTOR NAME],MATCH(I7201,INVESTOR_LIST[INVESTOR CODE],0),)," ")</f>
        <v xml:space="preserve"> </v>
      </c>
      <c r="I7201" s="145"/>
      <c r="J7201" s="163" t="s">
        <v>53</v>
      </c>
      <c r="K7201" s="219"/>
      <c r="L7201" s="219">
        <v>23360</v>
      </c>
    </row>
    <row r="7202" spans="1:17" ht="22.5" x14ac:dyDescent="0.2">
      <c r="A7202" s="168">
        <v>2022</v>
      </c>
      <c r="B7202" s="168">
        <v>8</v>
      </c>
      <c r="C7202" s="133">
        <v>16</v>
      </c>
      <c r="D7202" s="141">
        <f t="shared" si="576"/>
        <v>44789</v>
      </c>
      <c r="E7202" s="275">
        <f t="shared" si="577"/>
        <v>44789</v>
      </c>
      <c r="F7202" s="479" t="s">
        <v>1370</v>
      </c>
      <c r="G7202" s="220" t="s">
        <v>74</v>
      </c>
      <c r="H7202" s="142" t="str" cm="1">
        <f t="array" ref="H7202">IFERROR(INDEX(INVESTOR_LIST[INVESTOR NAME],MATCH(I7202,INVESTOR_LIST[INVESTOR CODE],0),)," ")</f>
        <v>ADNAN RASHID</v>
      </c>
      <c r="I7202" s="142" t="s">
        <v>466</v>
      </c>
      <c r="J7202" s="168" t="s">
        <v>13</v>
      </c>
      <c r="K7202" s="226">
        <v>418410</v>
      </c>
      <c r="L7202" s="226"/>
    </row>
    <row r="7203" spans="1:17" ht="22.5" x14ac:dyDescent="0.2">
      <c r="A7203" s="133">
        <v>2022</v>
      </c>
      <c r="B7203" s="133">
        <v>8</v>
      </c>
      <c r="C7203" s="133">
        <v>16</v>
      </c>
      <c r="D7203" s="141">
        <f t="shared" si="576"/>
        <v>44789</v>
      </c>
      <c r="E7203" s="275">
        <f t="shared" si="577"/>
        <v>44789</v>
      </c>
      <c r="F7203" s="481"/>
      <c r="G7203" s="174" t="s">
        <v>74</v>
      </c>
      <c r="H7203" s="148" t="str" cm="1">
        <f t="array" ref="H7203">IFERROR(INDEX(INVESTOR_LIST[INVESTOR NAME],MATCH(I7203,INVESTOR_LIST[INVESTOR CODE],0),)," ")</f>
        <v>ADNAN RASHID</v>
      </c>
      <c r="I7203" s="148" t="s">
        <v>466</v>
      </c>
      <c r="J7203" s="133" t="s">
        <v>53</v>
      </c>
      <c r="K7203" s="218">
        <v>81590</v>
      </c>
      <c r="L7203" s="218"/>
    </row>
    <row r="7204" spans="1:17" ht="22.5" x14ac:dyDescent="0.2">
      <c r="A7204" s="163">
        <v>2022</v>
      </c>
      <c r="B7204" s="163">
        <v>8</v>
      </c>
      <c r="C7204" s="163">
        <v>16</v>
      </c>
      <c r="D7204" s="280">
        <f t="shared" si="576"/>
        <v>44789</v>
      </c>
      <c r="E7204" s="281">
        <f t="shared" si="577"/>
        <v>44789</v>
      </c>
      <c r="F7204" s="480"/>
      <c r="G7204" s="221" t="s">
        <v>74</v>
      </c>
      <c r="H7204" s="145" t="str" cm="1">
        <f t="array" ref="H7204">IFERROR(INDEX(INVESTOR_LIST[INVESTOR NAME],MATCH(I7204,INVESTOR_LIST[INVESTOR CODE],0),)," ")</f>
        <v>ADNAN RASHID</v>
      </c>
      <c r="I7204" s="145" t="s">
        <v>466</v>
      </c>
      <c r="J7204" s="163" t="s">
        <v>52</v>
      </c>
      <c r="K7204" s="219"/>
      <c r="L7204" s="219">
        <v>500000</v>
      </c>
    </row>
    <row r="7205" spans="1:17" ht="33.75" x14ac:dyDescent="0.2">
      <c r="A7205" s="168">
        <v>2022</v>
      </c>
      <c r="B7205" s="168">
        <v>8</v>
      </c>
      <c r="C7205" s="133">
        <v>16</v>
      </c>
      <c r="D7205" s="141">
        <f t="shared" si="576"/>
        <v>44789</v>
      </c>
      <c r="E7205" s="275">
        <f t="shared" si="577"/>
        <v>44789</v>
      </c>
      <c r="F7205" s="479" t="s">
        <v>1370</v>
      </c>
      <c r="G7205" s="220" t="s">
        <v>74</v>
      </c>
      <c r="H7205" s="142" t="str" cm="1">
        <f t="array" ref="H7205">IFERROR(INDEX(INVESTOR_LIST[INVESTOR NAME],MATCH(I7205,INVESTOR_LIST[INVESTOR CODE],0),)," ")</f>
        <v>MUNTASIR HASAN</v>
      </c>
      <c r="I7205" s="142" t="s">
        <v>652</v>
      </c>
      <c r="J7205" s="168" t="s">
        <v>13</v>
      </c>
      <c r="K7205" s="226">
        <v>48960</v>
      </c>
      <c r="L7205" s="226"/>
    </row>
    <row r="7206" spans="1:17" ht="33.75" x14ac:dyDescent="0.2">
      <c r="A7206" s="133">
        <v>2022</v>
      </c>
      <c r="B7206" s="133">
        <v>8</v>
      </c>
      <c r="C7206" s="133">
        <v>16</v>
      </c>
      <c r="D7206" s="141">
        <f t="shared" si="576"/>
        <v>44789</v>
      </c>
      <c r="E7206" s="275">
        <f t="shared" si="577"/>
        <v>44789</v>
      </c>
      <c r="F7206" s="481"/>
      <c r="G7206" s="174" t="s">
        <v>74</v>
      </c>
      <c r="H7206" s="148" t="str" cm="1">
        <f t="array" ref="H7206">IFERROR(INDEX(INVESTOR_LIST[INVESTOR NAME],MATCH(I7206,INVESTOR_LIST[INVESTOR CODE],0),)," ")</f>
        <v>MUNTASIR HASAN</v>
      </c>
      <c r="I7206" s="148" t="s">
        <v>652</v>
      </c>
      <c r="J7206" s="133" t="s">
        <v>53</v>
      </c>
      <c r="K7206" s="218">
        <v>9547.1999999999989</v>
      </c>
      <c r="L7206" s="218"/>
    </row>
    <row r="7207" spans="1:17" ht="33.75" x14ac:dyDescent="0.2">
      <c r="A7207" s="163">
        <v>2022</v>
      </c>
      <c r="B7207" s="163">
        <v>8</v>
      </c>
      <c r="C7207" s="163">
        <v>16</v>
      </c>
      <c r="D7207" s="280">
        <f t="shared" si="576"/>
        <v>44789</v>
      </c>
      <c r="E7207" s="281">
        <f t="shared" si="577"/>
        <v>44789</v>
      </c>
      <c r="F7207" s="480"/>
      <c r="G7207" s="221" t="s">
        <v>74</v>
      </c>
      <c r="H7207" s="145" t="str" cm="1">
        <f t="array" ref="H7207">IFERROR(INDEX(INVESTOR_LIST[INVESTOR NAME],MATCH(I7207,INVESTOR_LIST[INVESTOR CODE],0),)," ")</f>
        <v>MUNTASIR HASAN</v>
      </c>
      <c r="I7207" s="145" t="s">
        <v>652</v>
      </c>
      <c r="J7207" s="163" t="s">
        <v>52</v>
      </c>
      <c r="K7207" s="219"/>
      <c r="L7207" s="219">
        <v>58507.199999999997</v>
      </c>
    </row>
    <row r="7208" spans="1:17" ht="45" x14ac:dyDescent="0.2">
      <c r="A7208" s="168">
        <v>2022</v>
      </c>
      <c r="B7208" s="168">
        <v>8</v>
      </c>
      <c r="C7208" s="133">
        <v>16</v>
      </c>
      <c r="D7208" s="141">
        <f t="shared" ref="D7208:D7210" si="580">DATE(A7208,B7208,C7208)</f>
        <v>44789</v>
      </c>
      <c r="E7208" s="275">
        <f t="shared" ref="E7208:E7210" si="581">DATE(A7208,B7208,C7208)</f>
        <v>44789</v>
      </c>
      <c r="F7208" s="479" t="s">
        <v>1310</v>
      </c>
      <c r="G7208" s="220" t="s">
        <v>74</v>
      </c>
      <c r="H7208" s="142" t="str" cm="1">
        <f t="array" ref="H7208">IFERROR(INDEX(INVESTOR_LIST[INVESTOR NAME],MATCH(I7208,INVESTOR_LIST[INVESTOR CODE],0),)," ")</f>
        <v>MOHAMMAD JASIM UDDIN</v>
      </c>
      <c r="I7208" s="142" t="s">
        <v>621</v>
      </c>
      <c r="J7208" s="168" t="s">
        <v>13</v>
      </c>
      <c r="K7208" s="226">
        <v>34500</v>
      </c>
      <c r="L7208" s="226"/>
    </row>
    <row r="7209" spans="1:17" ht="45" x14ac:dyDescent="0.2">
      <c r="A7209" s="133">
        <v>2022</v>
      </c>
      <c r="B7209" s="133">
        <v>8</v>
      </c>
      <c r="C7209" s="133">
        <v>16</v>
      </c>
      <c r="D7209" s="141">
        <f t="shared" si="580"/>
        <v>44789</v>
      </c>
      <c r="E7209" s="275">
        <f t="shared" si="581"/>
        <v>44789</v>
      </c>
      <c r="F7209" s="481"/>
      <c r="G7209" s="174" t="s">
        <v>74</v>
      </c>
      <c r="H7209" s="148" t="str" cm="1">
        <f t="array" ref="H7209">IFERROR(INDEX(INVESTOR_LIST[INVESTOR NAME],MATCH(I7209,INVESTOR_LIST[INVESTOR CODE],0),)," ")</f>
        <v>MOHAMMAD JASIM UDDIN</v>
      </c>
      <c r="I7209" s="148" t="s">
        <v>621</v>
      </c>
      <c r="J7209" s="133" t="s">
        <v>53</v>
      </c>
      <c r="K7209" s="218">
        <v>6727.5</v>
      </c>
      <c r="L7209" s="218"/>
    </row>
    <row r="7210" spans="1:17" ht="45" x14ac:dyDescent="0.2">
      <c r="A7210" s="163">
        <v>2022</v>
      </c>
      <c r="B7210" s="163">
        <v>8</v>
      </c>
      <c r="C7210" s="163">
        <v>16</v>
      </c>
      <c r="D7210" s="280">
        <f t="shared" si="580"/>
        <v>44789</v>
      </c>
      <c r="E7210" s="281">
        <f t="shared" si="581"/>
        <v>44789</v>
      </c>
      <c r="F7210" s="480"/>
      <c r="G7210" s="221" t="s">
        <v>74</v>
      </c>
      <c r="H7210" s="145" t="str" cm="1">
        <f t="array" ref="H7210">IFERROR(INDEX(INVESTOR_LIST[INVESTOR NAME],MATCH(I7210,INVESTOR_LIST[INVESTOR CODE],0),)," ")</f>
        <v>MOHAMMAD JASIM UDDIN</v>
      </c>
      <c r="I7210" s="145" t="s">
        <v>621</v>
      </c>
      <c r="J7210" s="163" t="s">
        <v>52</v>
      </c>
      <c r="K7210" s="219"/>
      <c r="L7210" s="219">
        <v>41227.5</v>
      </c>
    </row>
    <row r="7211" spans="1:17" ht="22.5" x14ac:dyDescent="0.2">
      <c r="A7211" s="168">
        <v>2022</v>
      </c>
      <c r="B7211" s="168">
        <v>8</v>
      </c>
      <c r="C7211" s="133">
        <v>16</v>
      </c>
      <c r="D7211" s="141">
        <f t="shared" si="576"/>
        <v>44789</v>
      </c>
      <c r="E7211" s="275">
        <f t="shared" si="577"/>
        <v>44789</v>
      </c>
      <c r="F7211" s="479" t="s">
        <v>964</v>
      </c>
      <c r="G7211" s="220" t="s">
        <v>74</v>
      </c>
      <c r="H7211" s="142" t="str" cm="1">
        <f t="array" ref="H7211">IFERROR(INDEX(INVESTOR_LIST[INVESTOR NAME],MATCH(I7211,INVESTOR_LIST[INVESTOR CODE],0),)," ")</f>
        <v>SYED AHMAD</v>
      </c>
      <c r="I7211" s="142" t="s">
        <v>1449</v>
      </c>
      <c r="J7211" s="168" t="s">
        <v>52</v>
      </c>
      <c r="K7211" s="226">
        <v>11950</v>
      </c>
      <c r="L7211" s="226"/>
    </row>
    <row r="7212" spans="1:17" ht="22.5" x14ac:dyDescent="0.2">
      <c r="A7212" s="133">
        <v>2022</v>
      </c>
      <c r="B7212" s="133">
        <v>8</v>
      </c>
      <c r="C7212" s="133">
        <v>16</v>
      </c>
      <c r="D7212" s="141">
        <f t="shared" si="576"/>
        <v>44789</v>
      </c>
      <c r="E7212" s="275">
        <f t="shared" si="577"/>
        <v>44789</v>
      </c>
      <c r="F7212" s="481"/>
      <c r="G7212" s="174" t="s">
        <v>74</v>
      </c>
      <c r="H7212" s="148" t="str" cm="1">
        <f t="array" ref="H7212">IFERROR(INDEX(INVESTOR_LIST[INVESTOR NAME],MATCH(I7212,INVESTOR_LIST[INVESTOR CODE],0),)," ")</f>
        <v>SYED AHMAD</v>
      </c>
      <c r="I7212" s="148" t="s">
        <v>1449</v>
      </c>
      <c r="J7212" s="133" t="s">
        <v>13</v>
      </c>
      <c r="K7212" s="218"/>
      <c r="L7212" s="218">
        <v>10000</v>
      </c>
    </row>
    <row r="7213" spans="1:17" ht="22.5" x14ac:dyDescent="0.2">
      <c r="A7213" s="163">
        <v>2022</v>
      </c>
      <c r="B7213" s="163">
        <v>8</v>
      </c>
      <c r="C7213" s="163">
        <v>16</v>
      </c>
      <c r="D7213" s="141">
        <f t="shared" si="576"/>
        <v>44789</v>
      </c>
      <c r="E7213" s="275">
        <f t="shared" si="577"/>
        <v>44789</v>
      </c>
      <c r="F7213" s="480"/>
      <c r="G7213" s="221" t="s">
        <v>74</v>
      </c>
      <c r="H7213" s="145" t="str" cm="1">
        <f t="array" ref="H7213">IFERROR(INDEX(INVESTOR_LIST[INVESTOR NAME],MATCH(I7213,INVESTOR_LIST[INVESTOR CODE],0),)," ")</f>
        <v>SYED AHMAD</v>
      </c>
      <c r="I7213" s="145" t="s">
        <v>1449</v>
      </c>
      <c r="J7213" s="163" t="s">
        <v>53</v>
      </c>
      <c r="K7213" s="219"/>
      <c r="L7213" s="219">
        <v>1950</v>
      </c>
    </row>
    <row r="7214" spans="1:17" x14ac:dyDescent="0.2">
      <c r="A7214" s="133">
        <v>2022</v>
      </c>
      <c r="B7214" s="133">
        <v>8</v>
      </c>
      <c r="C7214" s="133">
        <v>16</v>
      </c>
      <c r="D7214" s="141">
        <f t="shared" si="554"/>
        <v>44789</v>
      </c>
      <c r="E7214" s="275">
        <f t="shared" si="555"/>
        <v>44789</v>
      </c>
      <c r="F7214" s="481" t="s">
        <v>1474</v>
      </c>
      <c r="G7214" s="174" t="s">
        <v>94</v>
      </c>
      <c r="H7214" s="174" t="str" cm="1">
        <f t="array" ref="H7214">IFERROR(INDEX(INVESTOR_LIST[INVESTOR NAME],MATCH(I7214,INVESTOR_LIST[INVESTOR CODE],0),)," ")</f>
        <v xml:space="preserve"> </v>
      </c>
      <c r="I7214" s="148" t="s">
        <v>348</v>
      </c>
      <c r="J7214" s="149" t="s">
        <v>52</v>
      </c>
      <c r="K7214" s="218">
        <v>107400</v>
      </c>
      <c r="L7214" s="218"/>
    </row>
    <row r="7215" spans="1:17" x14ac:dyDescent="0.2">
      <c r="A7215" s="163">
        <v>2022</v>
      </c>
      <c r="B7215" s="163">
        <v>8</v>
      </c>
      <c r="C7215" s="163">
        <v>16</v>
      </c>
      <c r="D7215" s="141">
        <f t="shared" si="554"/>
        <v>44789</v>
      </c>
      <c r="E7215" s="275">
        <f t="shared" si="555"/>
        <v>44789</v>
      </c>
      <c r="F7215" s="480"/>
      <c r="G7215" s="221" t="s">
        <v>94</v>
      </c>
      <c r="H7215" s="221" t="str" cm="1">
        <f t="array" ref="H7215">IFERROR(INDEX(INVESTOR_LIST[INVESTOR NAME],MATCH(I7215,INVESTOR_LIST[INVESTOR CODE],0),)," ")</f>
        <v xml:space="preserve"> </v>
      </c>
      <c r="I7215" s="145" t="s">
        <v>348</v>
      </c>
      <c r="J7215" s="146" t="s">
        <v>166</v>
      </c>
      <c r="K7215" s="219"/>
      <c r="L7215" s="219">
        <v>107400</v>
      </c>
    </row>
    <row r="7216" spans="1:17" x14ac:dyDescent="0.2">
      <c r="A7216" s="168">
        <v>2022</v>
      </c>
      <c r="B7216" s="168">
        <v>8</v>
      </c>
      <c r="C7216" s="133">
        <v>16</v>
      </c>
      <c r="D7216" s="141">
        <f t="shared" ref="D7216:D7236" si="582">DATE(A7216,B7216,C7216)</f>
        <v>44789</v>
      </c>
      <c r="E7216" s="275">
        <f t="shared" ref="E7216:E7236" si="583">DATE(A7216,B7216,C7216)</f>
        <v>44789</v>
      </c>
      <c r="F7216" s="479" t="s">
        <v>1478</v>
      </c>
      <c r="G7216" s="220" t="s">
        <v>94</v>
      </c>
      <c r="H7216" s="220" t="str" cm="1">
        <f t="array" ref="H7216">IFERROR(INDEX(INVESTOR_LIST[INVESTOR NAME],MATCH(I7216,INVESTOR_LIST[INVESTOR CODE],0),)," ")</f>
        <v xml:space="preserve"> </v>
      </c>
      <c r="I7216" s="142" t="s">
        <v>348</v>
      </c>
      <c r="J7216" s="143" t="s">
        <v>79</v>
      </c>
      <c r="K7216" s="226">
        <v>609000</v>
      </c>
      <c r="L7216" s="226"/>
      <c r="M7216" s="147" t="e">
        <v>#REF!</v>
      </c>
      <c r="Q7216" s="133" t="s">
        <v>348</v>
      </c>
    </row>
    <row r="7217" spans="1:17" x14ac:dyDescent="0.2">
      <c r="A7217" s="133">
        <v>2022</v>
      </c>
      <c r="B7217" s="133">
        <v>8</v>
      </c>
      <c r="C7217" s="133">
        <v>16</v>
      </c>
      <c r="D7217" s="141">
        <f t="shared" si="582"/>
        <v>44789</v>
      </c>
      <c r="E7217" s="275">
        <f t="shared" si="583"/>
        <v>44789</v>
      </c>
      <c r="F7217" s="481"/>
      <c r="G7217" s="174" t="s">
        <v>94</v>
      </c>
      <c r="H7217" s="174" t="str" cm="1">
        <f t="array" ref="H7217">IFERROR(INDEX(INVESTOR_LIST[INVESTOR NAME],MATCH(I7217,INVESTOR_LIST[INVESTOR CODE],0),)," ")</f>
        <v xml:space="preserve"> </v>
      </c>
      <c r="I7217" s="148" t="s">
        <v>348</v>
      </c>
      <c r="J7217" s="149" t="s">
        <v>80</v>
      </c>
      <c r="K7217" s="218">
        <v>1096.2</v>
      </c>
      <c r="L7217" s="218"/>
      <c r="M7217" s="147" t="e">
        <v>#REF!</v>
      </c>
      <c r="Q7217" s="133" t="s">
        <v>348</v>
      </c>
    </row>
    <row r="7218" spans="1:17" x14ac:dyDescent="0.2">
      <c r="A7218" s="163">
        <v>2022</v>
      </c>
      <c r="B7218" s="163">
        <v>8</v>
      </c>
      <c r="C7218" s="163">
        <v>16</v>
      </c>
      <c r="D7218" s="280">
        <f t="shared" si="582"/>
        <v>44789</v>
      </c>
      <c r="E7218" s="281">
        <f t="shared" si="583"/>
        <v>44789</v>
      </c>
      <c r="F7218" s="480"/>
      <c r="G7218" s="221" t="s">
        <v>94</v>
      </c>
      <c r="H7218" s="221" t="str" cm="1">
        <f t="array" ref="H7218">IFERROR(INDEX(INVESTOR_LIST[INVESTOR NAME],MATCH(I7218,INVESTOR_LIST[INVESTOR CODE],0),)," ")</f>
        <v xml:space="preserve"> </v>
      </c>
      <c r="I7218" s="145" t="s">
        <v>348</v>
      </c>
      <c r="J7218" s="146" t="s">
        <v>147</v>
      </c>
      <c r="K7218" s="219"/>
      <c r="L7218" s="219">
        <v>610096.19999999995</v>
      </c>
      <c r="M7218" s="147" t="e">
        <v>#REF!</v>
      </c>
      <c r="Q7218" s="133" t="s">
        <v>348</v>
      </c>
    </row>
    <row r="7219" spans="1:17" x14ac:dyDescent="0.2">
      <c r="A7219" s="133">
        <v>2022</v>
      </c>
      <c r="B7219" s="133">
        <v>8</v>
      </c>
      <c r="C7219" s="133">
        <v>17</v>
      </c>
      <c r="D7219" s="141">
        <f t="shared" si="582"/>
        <v>44790</v>
      </c>
      <c r="E7219" s="275">
        <f t="shared" si="583"/>
        <v>44790</v>
      </c>
      <c r="F7219" s="481" t="s">
        <v>1473</v>
      </c>
      <c r="G7219" s="174" t="s">
        <v>94</v>
      </c>
      <c r="H7219" s="174" t="str" cm="1">
        <f t="array" ref="H7219">IFERROR(INDEX(INVESTOR_LIST[INVESTOR NAME],MATCH(I7219,INVESTOR_LIST[INVESTOR CODE],0),)," ")</f>
        <v xml:space="preserve"> </v>
      </c>
      <c r="J7219" s="149" t="s">
        <v>79</v>
      </c>
      <c r="K7219" s="218">
        <v>3609248.5</v>
      </c>
      <c r="L7219" s="218"/>
      <c r="M7219" s="160"/>
    </row>
    <row r="7220" spans="1:17" x14ac:dyDescent="0.2">
      <c r="A7220" s="133">
        <v>2022</v>
      </c>
      <c r="B7220" s="133">
        <v>8</v>
      </c>
      <c r="C7220" s="133">
        <v>17</v>
      </c>
      <c r="D7220" s="141">
        <f t="shared" si="582"/>
        <v>44790</v>
      </c>
      <c r="E7220" s="275">
        <f t="shared" si="583"/>
        <v>44790</v>
      </c>
      <c r="F7220" s="481"/>
      <c r="G7220" s="174" t="s">
        <v>94</v>
      </c>
      <c r="H7220" s="174"/>
      <c r="J7220" s="149" t="s">
        <v>80</v>
      </c>
      <c r="K7220" s="218">
        <v>8842.93</v>
      </c>
      <c r="L7220" s="218"/>
    </row>
    <row r="7221" spans="1:17" x14ac:dyDescent="0.2">
      <c r="A7221" s="133">
        <v>2022</v>
      </c>
      <c r="B7221" s="133">
        <v>8</v>
      </c>
      <c r="C7221" s="133">
        <v>17</v>
      </c>
      <c r="D7221" s="141">
        <f t="shared" si="582"/>
        <v>44790</v>
      </c>
      <c r="E7221" s="275">
        <f t="shared" si="583"/>
        <v>44790</v>
      </c>
      <c r="F7221" s="481"/>
      <c r="G7221" s="174" t="s">
        <v>94</v>
      </c>
      <c r="H7221" s="174"/>
      <c r="J7221" s="149" t="s">
        <v>147</v>
      </c>
      <c r="K7221" s="218"/>
      <c r="L7221" s="218">
        <v>2314603.23</v>
      </c>
    </row>
    <row r="7222" spans="1:17" x14ac:dyDescent="0.2">
      <c r="A7222" s="133">
        <v>2022</v>
      </c>
      <c r="B7222" s="133">
        <v>8</v>
      </c>
      <c r="C7222" s="133">
        <v>17</v>
      </c>
      <c r="D7222" s="141">
        <f t="shared" si="582"/>
        <v>44790</v>
      </c>
      <c r="E7222" s="275">
        <f t="shared" si="583"/>
        <v>44790</v>
      </c>
      <c r="F7222" s="481"/>
      <c r="G7222" s="174" t="s">
        <v>94</v>
      </c>
      <c r="H7222" s="174" t="str" cm="1">
        <f t="array" ref="H7222">IFERROR(INDEX(INVESTOR_LIST[INVESTOR NAME],MATCH(I7222,INVESTOR_LIST[INVESTOR CODE],0),)," ")</f>
        <v xml:space="preserve"> </v>
      </c>
      <c r="J7222" s="149" t="s">
        <v>191</v>
      </c>
      <c r="K7222" s="218"/>
      <c r="L7222" s="218">
        <v>128984.9</v>
      </c>
    </row>
    <row r="7223" spans="1:17" x14ac:dyDescent="0.2">
      <c r="A7223" s="163">
        <v>2022</v>
      </c>
      <c r="B7223" s="163">
        <v>8</v>
      </c>
      <c r="C7223" s="163">
        <v>17</v>
      </c>
      <c r="D7223" s="280">
        <f t="shared" si="582"/>
        <v>44790</v>
      </c>
      <c r="E7223" s="281">
        <f t="shared" si="583"/>
        <v>44790</v>
      </c>
      <c r="F7223" s="480"/>
      <c r="G7223" s="221" t="s">
        <v>94</v>
      </c>
      <c r="H7223" s="145" t="str" cm="1">
        <f t="array" ref="H7223">IFERROR(INDEX(INVESTOR_LIST[INVESTOR NAME],MATCH(I7223,INVESTOR_LIST[INVESTOR CODE],0),)," ")</f>
        <v xml:space="preserve"> </v>
      </c>
      <c r="I7223" s="145"/>
      <c r="J7223" s="163" t="s">
        <v>79</v>
      </c>
      <c r="K7223" s="219"/>
      <c r="L7223" s="219">
        <v>1174503.3</v>
      </c>
    </row>
    <row r="7224" spans="1:17" x14ac:dyDescent="0.2">
      <c r="A7224" s="133">
        <v>2022</v>
      </c>
      <c r="B7224" s="133">
        <v>8</v>
      </c>
      <c r="C7224" s="133">
        <v>17</v>
      </c>
      <c r="D7224" s="141">
        <f t="shared" si="582"/>
        <v>44790</v>
      </c>
      <c r="E7224" s="275">
        <f t="shared" si="583"/>
        <v>44790</v>
      </c>
      <c r="F7224" s="481" t="s">
        <v>1479</v>
      </c>
      <c r="G7224" s="174" t="s">
        <v>74</v>
      </c>
      <c r="H7224" s="174" t="str" cm="1">
        <f t="array" ref="H7224">IFERROR(INDEX(INVESTOR_LIST[INVESTOR NAME],MATCH(I7224,INVESTOR_LIST[INVESTOR CODE],0),)," ")</f>
        <v xml:space="preserve"> </v>
      </c>
      <c r="I7224" s="148" t="s">
        <v>348</v>
      </c>
      <c r="J7224" s="149" t="s">
        <v>163</v>
      </c>
      <c r="K7224" s="218">
        <v>1575</v>
      </c>
      <c r="L7224" s="218"/>
    </row>
    <row r="7225" spans="1:17" x14ac:dyDescent="0.2">
      <c r="A7225" s="163">
        <v>2022</v>
      </c>
      <c r="B7225" s="163">
        <v>8</v>
      </c>
      <c r="C7225" s="163">
        <v>17</v>
      </c>
      <c r="D7225" s="141">
        <f t="shared" si="582"/>
        <v>44790</v>
      </c>
      <c r="E7225" s="275">
        <f t="shared" si="583"/>
        <v>44790</v>
      </c>
      <c r="F7225" s="480"/>
      <c r="G7225" s="221" t="s">
        <v>74</v>
      </c>
      <c r="H7225" s="221" t="str" cm="1">
        <f t="array" ref="H7225">IFERROR(INDEX(INVESTOR_LIST[INVESTOR NAME],MATCH(I7225,INVESTOR_LIST[INVESTOR CODE],0),)," ")</f>
        <v xml:space="preserve"> </v>
      </c>
      <c r="I7225" s="145" t="s">
        <v>348</v>
      </c>
      <c r="J7225" s="146" t="s">
        <v>52</v>
      </c>
      <c r="K7225" s="219"/>
      <c r="L7225" s="219">
        <v>1575</v>
      </c>
    </row>
    <row r="7226" spans="1:17" x14ac:dyDescent="0.2">
      <c r="A7226" s="238">
        <v>2022</v>
      </c>
      <c r="B7226" s="238">
        <v>8</v>
      </c>
      <c r="C7226" s="238">
        <v>17</v>
      </c>
      <c r="D7226" s="270">
        <f t="shared" si="582"/>
        <v>44790</v>
      </c>
      <c r="E7226" s="279">
        <f t="shared" si="583"/>
        <v>44790</v>
      </c>
      <c r="F7226" s="477" t="s">
        <v>347</v>
      </c>
      <c r="G7226" s="239" t="s">
        <v>94</v>
      </c>
      <c r="H7226" s="239" t="str" cm="1">
        <f t="array" ref="H7226">IFERROR(INDEX(INVESTOR_LIST[INVESTOR NAME],MATCH(I7226,INVESTOR_LIST[INVESTOR CODE],0),)," ")</f>
        <v xml:space="preserve"> </v>
      </c>
      <c r="I7226" s="262" t="s">
        <v>348</v>
      </c>
      <c r="J7226" s="240" t="s">
        <v>108</v>
      </c>
      <c r="K7226" s="241">
        <v>542874.19999998808</v>
      </c>
      <c r="L7226" s="241"/>
    </row>
    <row r="7227" spans="1:17" x14ac:dyDescent="0.2">
      <c r="A7227" s="242">
        <v>2022</v>
      </c>
      <c r="B7227" s="242">
        <v>8</v>
      </c>
      <c r="C7227" s="242">
        <v>17</v>
      </c>
      <c r="D7227" s="270">
        <f t="shared" si="582"/>
        <v>44790</v>
      </c>
      <c r="E7227" s="279">
        <f t="shared" si="583"/>
        <v>44790</v>
      </c>
      <c r="F7227" s="478"/>
      <c r="G7227" s="243" t="s">
        <v>94</v>
      </c>
      <c r="H7227" s="243" t="str" cm="1">
        <f t="array" ref="H7227">IFERROR(INDEX(INVESTOR_LIST[INVESTOR NAME],MATCH(I7227,INVESTOR_LIST[INVESTOR CODE],0),)," ")</f>
        <v xml:space="preserve"> </v>
      </c>
      <c r="I7227" s="263" t="s">
        <v>348</v>
      </c>
      <c r="J7227" s="244" t="s">
        <v>82</v>
      </c>
      <c r="K7227" s="245"/>
      <c r="L7227" s="245">
        <v>542874.19999998808</v>
      </c>
    </row>
    <row r="7228" spans="1:17" ht="22.5" x14ac:dyDescent="0.2">
      <c r="A7228" s="246">
        <v>2022</v>
      </c>
      <c r="B7228" s="238">
        <v>8</v>
      </c>
      <c r="C7228" s="238">
        <v>17</v>
      </c>
      <c r="D7228" s="270">
        <f t="shared" si="582"/>
        <v>44790</v>
      </c>
      <c r="E7228" s="279">
        <f t="shared" si="583"/>
        <v>44790</v>
      </c>
      <c r="F7228" s="482" t="s">
        <v>148</v>
      </c>
      <c r="G7228" s="247" t="s">
        <v>94</v>
      </c>
      <c r="H7228" s="247" t="str" cm="1">
        <f t="array" ref="H7228">IFERROR(INDEX(INVESTOR_LIST[INVESTOR NAME],MATCH(I7228,INVESTOR_LIST[INVESTOR CODE],0),)," ")</f>
        <v xml:space="preserve"> </v>
      </c>
      <c r="I7228" s="248" t="s">
        <v>348</v>
      </c>
      <c r="J7228" s="249" t="s">
        <v>95</v>
      </c>
      <c r="K7228" s="250">
        <v>2747.2527472527472</v>
      </c>
      <c r="L7228" s="241"/>
    </row>
    <row r="7229" spans="1:17" x14ac:dyDescent="0.2">
      <c r="A7229" s="242">
        <v>2022</v>
      </c>
      <c r="B7229" s="242">
        <v>8</v>
      </c>
      <c r="C7229" s="242">
        <v>17</v>
      </c>
      <c r="D7229" s="270">
        <f t="shared" si="582"/>
        <v>44790</v>
      </c>
      <c r="E7229" s="279">
        <f t="shared" si="583"/>
        <v>44790</v>
      </c>
      <c r="F7229" s="478"/>
      <c r="G7229" s="243" t="s">
        <v>94</v>
      </c>
      <c r="H7229" s="243" t="str" cm="1">
        <f t="array" ref="H7229">IFERROR(INDEX(INVESTOR_LIST[INVESTOR NAME],MATCH(I7229,INVESTOR_LIST[INVESTOR CODE],0),)," ")</f>
        <v xml:space="preserve"> </v>
      </c>
      <c r="I7229" s="263" t="s">
        <v>348</v>
      </c>
      <c r="J7229" s="244" t="s">
        <v>63</v>
      </c>
      <c r="K7229" s="245"/>
      <c r="L7229" s="245">
        <v>2747.2527472527472</v>
      </c>
    </row>
    <row r="7230" spans="1:17" x14ac:dyDescent="0.2">
      <c r="A7230" s="246">
        <v>2022</v>
      </c>
      <c r="B7230" s="238">
        <v>8</v>
      </c>
      <c r="C7230" s="238">
        <v>17</v>
      </c>
      <c r="D7230" s="270">
        <f t="shared" si="582"/>
        <v>44790</v>
      </c>
      <c r="E7230" s="279">
        <f t="shared" si="583"/>
        <v>44790</v>
      </c>
      <c r="F7230" s="482" t="s">
        <v>137</v>
      </c>
      <c r="G7230" s="247" t="s">
        <v>94</v>
      </c>
      <c r="H7230" s="247" t="str" cm="1">
        <f t="array" ref="H7230">IFERROR(INDEX(INVESTOR_LIST[INVESTOR NAME],MATCH(I7230,INVESTOR_LIST[INVESTOR CODE],0),)," ")</f>
        <v xml:space="preserve"> </v>
      </c>
      <c r="I7230" s="248" t="s">
        <v>348</v>
      </c>
      <c r="J7230" s="249" t="s">
        <v>97</v>
      </c>
      <c r="K7230" s="250">
        <v>78265.917868454431</v>
      </c>
      <c r="L7230" s="252"/>
    </row>
    <row r="7231" spans="1:17" x14ac:dyDescent="0.2">
      <c r="A7231" s="242">
        <v>2022</v>
      </c>
      <c r="B7231" s="242">
        <v>8</v>
      </c>
      <c r="C7231" s="242">
        <v>17</v>
      </c>
      <c r="D7231" s="270">
        <f t="shared" si="582"/>
        <v>44790</v>
      </c>
      <c r="E7231" s="279">
        <f t="shared" si="583"/>
        <v>44790</v>
      </c>
      <c r="F7231" s="478"/>
      <c r="G7231" s="243" t="s">
        <v>94</v>
      </c>
      <c r="H7231" s="243" t="str" cm="1">
        <f t="array" ref="H7231">IFERROR(INDEX(INVESTOR_LIST[INVESTOR NAME],MATCH(I7231,INVESTOR_LIST[INVESTOR CODE],0),)," ")</f>
        <v xml:space="preserve"> </v>
      </c>
      <c r="I7231" s="263" t="s">
        <v>348</v>
      </c>
      <c r="J7231" s="244" t="s">
        <v>47</v>
      </c>
      <c r="K7231" s="245"/>
      <c r="L7231" s="245">
        <v>78265.917868454431</v>
      </c>
    </row>
    <row r="7232" spans="1:17" x14ac:dyDescent="0.2">
      <c r="A7232" s="246">
        <v>2022</v>
      </c>
      <c r="B7232" s="238">
        <v>8</v>
      </c>
      <c r="C7232" s="238">
        <v>17</v>
      </c>
      <c r="D7232" s="270">
        <f t="shared" si="582"/>
        <v>44790</v>
      </c>
      <c r="E7232" s="279">
        <f t="shared" si="583"/>
        <v>44790</v>
      </c>
      <c r="F7232" s="482" t="s">
        <v>138</v>
      </c>
      <c r="G7232" s="247" t="s">
        <v>94</v>
      </c>
      <c r="H7232" s="247" t="str" cm="1">
        <f t="array" ref="H7232">IFERROR(INDEX(INVESTOR_LIST[INVESTOR NAME],MATCH(I7232,INVESTOR_LIST[INVESTOR CODE],0),)," ")</f>
        <v xml:space="preserve"> </v>
      </c>
      <c r="I7232" s="248" t="s">
        <v>348</v>
      </c>
      <c r="J7232" s="249" t="s">
        <v>100</v>
      </c>
      <c r="K7232" s="250">
        <v>3672.9112780381065</v>
      </c>
      <c r="L7232" s="252"/>
    </row>
    <row r="7233" spans="1:15" x14ac:dyDescent="0.2">
      <c r="A7233" s="242">
        <v>2022</v>
      </c>
      <c r="B7233" s="242">
        <v>8</v>
      </c>
      <c r="C7233" s="242">
        <v>17</v>
      </c>
      <c r="D7233" s="321">
        <f t="shared" si="582"/>
        <v>44790</v>
      </c>
      <c r="E7233" s="322">
        <f t="shared" si="583"/>
        <v>44790</v>
      </c>
      <c r="F7233" s="478"/>
      <c r="G7233" s="243" t="s">
        <v>94</v>
      </c>
      <c r="H7233" s="243" t="str" cm="1">
        <f t="array" ref="H7233">IFERROR(INDEX(INVESTOR_LIST[INVESTOR NAME],MATCH(I7233,INVESTOR_LIST[INVESTOR CODE],0),)," ")</f>
        <v xml:space="preserve"> </v>
      </c>
      <c r="I7233" s="263" t="s">
        <v>348</v>
      </c>
      <c r="J7233" s="244" t="s">
        <v>48</v>
      </c>
      <c r="K7233" s="245"/>
      <c r="L7233" s="245">
        <v>3672.9112780381065</v>
      </c>
    </row>
    <row r="7234" spans="1:15" x14ac:dyDescent="0.2">
      <c r="A7234" s="133">
        <v>2022</v>
      </c>
      <c r="B7234" s="133">
        <v>8</v>
      </c>
      <c r="C7234" s="133">
        <v>21</v>
      </c>
      <c r="D7234" s="141">
        <f t="shared" si="582"/>
        <v>44794</v>
      </c>
      <c r="E7234" s="275">
        <f t="shared" si="583"/>
        <v>44794</v>
      </c>
      <c r="F7234" s="479" t="s">
        <v>1480</v>
      </c>
      <c r="G7234" s="174" t="s">
        <v>74</v>
      </c>
      <c r="H7234" s="174" t="str" cm="1">
        <f t="array" ref="H7234">IFERROR(INDEX(INVESTOR_LIST[INVESTOR NAME],MATCH(I7234,INVESTOR_LIST[INVESTOR CODE],0),)," ")</f>
        <v xml:space="preserve"> </v>
      </c>
      <c r="I7234" s="148" t="s">
        <v>348</v>
      </c>
      <c r="J7234" s="149" t="s">
        <v>52</v>
      </c>
      <c r="K7234" s="218">
        <v>3551360</v>
      </c>
      <c r="L7234" s="218"/>
      <c r="O7234" s="133" t="s">
        <v>348</v>
      </c>
    </row>
    <row r="7235" spans="1:15" x14ac:dyDescent="0.2">
      <c r="A7235" s="133">
        <v>2022</v>
      </c>
      <c r="B7235" s="133">
        <v>8</v>
      </c>
      <c r="C7235" s="133">
        <v>21</v>
      </c>
      <c r="D7235" s="141">
        <f t="shared" si="582"/>
        <v>44794</v>
      </c>
      <c r="E7235" s="275">
        <f t="shared" si="583"/>
        <v>44794</v>
      </c>
      <c r="F7235" s="481"/>
      <c r="G7235" s="174" t="s">
        <v>74</v>
      </c>
      <c r="H7235" s="174" t="str" cm="1">
        <f t="array" ref="H7235">IFERROR(INDEX(INVESTOR_LIST[INVESTOR NAME],MATCH(I7235,INVESTOR_LIST[INVESTOR CODE],0),)," ")</f>
        <v xml:space="preserve"> </v>
      </c>
      <c r="I7235" s="148" t="s">
        <v>348</v>
      </c>
      <c r="J7235" s="149" t="s">
        <v>79</v>
      </c>
      <c r="K7235" s="218"/>
      <c r="L7235" s="218">
        <v>2834571.97</v>
      </c>
      <c r="O7235" s="133" t="s">
        <v>348</v>
      </c>
    </row>
    <row r="7236" spans="1:15" x14ac:dyDescent="0.2">
      <c r="A7236" s="163">
        <v>2022</v>
      </c>
      <c r="B7236" s="163">
        <v>8</v>
      </c>
      <c r="C7236" s="163">
        <v>21</v>
      </c>
      <c r="D7236" s="141">
        <f t="shared" si="582"/>
        <v>44794</v>
      </c>
      <c r="E7236" s="275">
        <f t="shared" si="583"/>
        <v>44794</v>
      </c>
      <c r="F7236" s="480"/>
      <c r="G7236" s="221" t="s">
        <v>74</v>
      </c>
      <c r="H7236" s="221" t="str" cm="1">
        <f t="array" ref="H7236">IFERROR(INDEX(INVESTOR_LIST[INVESTOR NAME],MATCH(I7236,INVESTOR_LIST[INVESTOR CODE],0),)," ")</f>
        <v xml:space="preserve"> </v>
      </c>
      <c r="I7236" s="145" t="s">
        <v>348</v>
      </c>
      <c r="J7236" s="146" t="s">
        <v>191</v>
      </c>
      <c r="K7236" s="219"/>
      <c r="L7236" s="219">
        <v>716788.03</v>
      </c>
      <c r="O7236" s="133" t="s">
        <v>348</v>
      </c>
    </row>
    <row r="7237" spans="1:15" x14ac:dyDescent="0.2">
      <c r="A7237" s="168">
        <v>2022</v>
      </c>
      <c r="B7237" s="168">
        <v>8</v>
      </c>
      <c r="C7237" s="168">
        <v>21</v>
      </c>
      <c r="D7237" s="141">
        <f>DATE(A7237,B7237,C7237)</f>
        <v>44794</v>
      </c>
      <c r="E7237" s="275">
        <f>DATE(A7237,B7237,C7237)</f>
        <v>44794</v>
      </c>
      <c r="F7237" s="479" t="s">
        <v>1447</v>
      </c>
      <c r="G7237" s="220" t="s">
        <v>74</v>
      </c>
      <c r="H7237" s="220" t="str" cm="1">
        <f t="array" ref="H7237">IFERROR(INDEX(INVESTOR_LIST[INVESTOR NAME],MATCH(I7237,INVESTOR_LIST[INVESTOR CODE],0),)," ")</f>
        <v xml:space="preserve"> </v>
      </c>
      <c r="I7237" s="142"/>
      <c r="J7237" s="143" t="s">
        <v>147</v>
      </c>
      <c r="K7237" s="226">
        <v>610096.19999999995</v>
      </c>
      <c r="L7237" s="226"/>
    </row>
    <row r="7238" spans="1:15" x14ac:dyDescent="0.2">
      <c r="A7238" s="163">
        <v>2022</v>
      </c>
      <c r="B7238" s="163">
        <v>8</v>
      </c>
      <c r="C7238" s="163">
        <v>21</v>
      </c>
      <c r="D7238" s="141">
        <f>DATE(A7238,B7238,C7238)</f>
        <v>44794</v>
      </c>
      <c r="E7238" s="275">
        <f>DATE(A7238,B7238,C7238)</f>
        <v>44794</v>
      </c>
      <c r="F7238" s="480"/>
      <c r="G7238" s="221" t="s">
        <v>74</v>
      </c>
      <c r="H7238" s="221" t="str" cm="1">
        <f t="array" ref="H7238">IFERROR(INDEX(INVESTOR_LIST[INVESTOR NAME],MATCH(I7238,INVESTOR_LIST[INVESTOR CODE],0),)," ")</f>
        <v xml:space="preserve"> </v>
      </c>
      <c r="I7238" s="145" t="s">
        <v>348</v>
      </c>
      <c r="J7238" s="146" t="s">
        <v>52</v>
      </c>
      <c r="K7238" s="219"/>
      <c r="L7238" s="219">
        <v>610096.19999999995</v>
      </c>
    </row>
    <row r="7239" spans="1:15" x14ac:dyDescent="0.2">
      <c r="A7239" s="168">
        <v>2022</v>
      </c>
      <c r="B7239" s="168">
        <v>8</v>
      </c>
      <c r="C7239" s="168">
        <v>21</v>
      </c>
      <c r="D7239" s="141">
        <f>DATE(A7239,B7239,C7239)</f>
        <v>44794</v>
      </c>
      <c r="E7239" s="275">
        <f>DATE(A7239,B7239,C7239)</f>
        <v>44794</v>
      </c>
      <c r="F7239" s="479" t="s">
        <v>1447</v>
      </c>
      <c r="G7239" s="220" t="s">
        <v>74</v>
      </c>
      <c r="H7239" s="220" t="str" cm="1">
        <f t="array" ref="H7239">IFERROR(INDEX(INVESTOR_LIST[INVESTOR NAME],MATCH(I7239,INVESTOR_LIST[INVESTOR CODE],0),)," ")</f>
        <v xml:space="preserve"> </v>
      </c>
      <c r="I7239" s="142"/>
      <c r="J7239" s="143" t="s">
        <v>147</v>
      </c>
      <c r="K7239" s="226">
        <v>2314603.23</v>
      </c>
      <c r="L7239" s="226"/>
    </row>
    <row r="7240" spans="1:15" x14ac:dyDescent="0.2">
      <c r="A7240" s="163">
        <v>2022</v>
      </c>
      <c r="B7240" s="163">
        <v>8</v>
      </c>
      <c r="C7240" s="163">
        <v>21</v>
      </c>
      <c r="D7240" s="141">
        <f>DATE(A7240,B7240,C7240)</f>
        <v>44794</v>
      </c>
      <c r="E7240" s="275">
        <f>DATE(A7240,B7240,C7240)</f>
        <v>44794</v>
      </c>
      <c r="F7240" s="480"/>
      <c r="G7240" s="221" t="s">
        <v>74</v>
      </c>
      <c r="H7240" s="221" t="str" cm="1">
        <f t="array" ref="H7240">IFERROR(INDEX(INVESTOR_LIST[INVESTOR NAME],MATCH(I7240,INVESTOR_LIST[INVESTOR CODE],0),)," ")</f>
        <v xml:space="preserve"> </v>
      </c>
      <c r="I7240" s="145" t="s">
        <v>348</v>
      </c>
      <c r="J7240" s="146" t="s">
        <v>52</v>
      </c>
      <c r="K7240" s="219"/>
      <c r="L7240" s="219">
        <v>2314603.23</v>
      </c>
    </row>
    <row r="7241" spans="1:15" x14ac:dyDescent="0.2">
      <c r="A7241" s="133">
        <v>2022</v>
      </c>
      <c r="B7241" s="168">
        <v>8</v>
      </c>
      <c r="C7241" s="168">
        <v>21</v>
      </c>
      <c r="D7241" s="141">
        <f t="shared" ref="D7241:D7242" si="584">DATE(A7241,B7241,C7241)</f>
        <v>44794</v>
      </c>
      <c r="E7241" s="275">
        <f t="shared" ref="E7241:E7242" si="585">DATE(A7241,B7241,C7241)</f>
        <v>44794</v>
      </c>
      <c r="F7241" s="481" t="s">
        <v>1497</v>
      </c>
      <c r="G7241" s="174" t="s">
        <v>94</v>
      </c>
      <c r="H7241" s="174" t="str" cm="1">
        <f t="array" ref="H7241">IFERROR(INDEX(INVESTOR_LIST[INVESTOR NAME],MATCH(I7241,INVESTOR_LIST[INVESTOR CODE],0),)," ")</f>
        <v xml:space="preserve"> </v>
      </c>
      <c r="I7241" s="148" t="s">
        <v>348</v>
      </c>
      <c r="J7241" s="149" t="s">
        <v>168</v>
      </c>
      <c r="K7241" s="218">
        <v>240000</v>
      </c>
      <c r="L7241" s="218"/>
      <c r="N7241" s="176"/>
    </row>
    <row r="7242" spans="1:15" x14ac:dyDescent="0.2">
      <c r="A7242" s="163">
        <v>2022</v>
      </c>
      <c r="B7242" s="163">
        <v>8</v>
      </c>
      <c r="C7242" s="163">
        <v>21</v>
      </c>
      <c r="D7242" s="141">
        <f t="shared" si="584"/>
        <v>44794</v>
      </c>
      <c r="E7242" s="275">
        <f t="shared" si="585"/>
        <v>44794</v>
      </c>
      <c r="F7242" s="480"/>
      <c r="G7242" s="221" t="s">
        <v>94</v>
      </c>
      <c r="H7242" s="221" t="str" cm="1">
        <f t="array" ref="H7242">IFERROR(INDEX(INVESTOR_LIST[INVESTOR NAME],MATCH(I7242,INVESTOR_LIST[INVESTOR CODE],0),)," ")</f>
        <v xml:space="preserve"> </v>
      </c>
      <c r="I7242" s="145" t="s">
        <v>348</v>
      </c>
      <c r="J7242" s="146" t="s">
        <v>166</v>
      </c>
      <c r="K7242" s="219"/>
      <c r="L7242" s="219">
        <v>240000</v>
      </c>
    </row>
    <row r="7243" spans="1:15" x14ac:dyDescent="0.2">
      <c r="A7243" s="133">
        <v>2022</v>
      </c>
      <c r="B7243" s="133">
        <v>8</v>
      </c>
      <c r="C7243" s="168">
        <v>23</v>
      </c>
      <c r="D7243" s="141">
        <f t="shared" ref="D7243:D7250" si="586">DATE(A7243,B7243,C7243)</f>
        <v>44796</v>
      </c>
      <c r="E7243" s="275">
        <f t="shared" ref="E7243:E7250" si="587">DATE(A7243,B7243,C7243)</f>
        <v>44796</v>
      </c>
      <c r="F7243" s="479" t="s">
        <v>1481</v>
      </c>
      <c r="G7243" s="174" t="s">
        <v>74</v>
      </c>
      <c r="H7243" s="148" t="str" cm="1">
        <f t="array" ref="H7243">IFERROR(INDEX(INVESTOR_LIST[INVESTOR NAME],MATCH(I7243,INVESTOR_LIST[INVESTOR CODE],0),)," ")</f>
        <v xml:space="preserve"> </v>
      </c>
      <c r="I7243" s="148" t="s">
        <v>348</v>
      </c>
      <c r="J7243" s="133" t="s">
        <v>61</v>
      </c>
      <c r="K7243" s="172">
        <v>115</v>
      </c>
    </row>
    <row r="7244" spans="1:15" x14ac:dyDescent="0.2">
      <c r="A7244" s="163">
        <v>2022</v>
      </c>
      <c r="B7244" s="163">
        <v>8</v>
      </c>
      <c r="C7244" s="163">
        <v>23</v>
      </c>
      <c r="D7244" s="141">
        <f t="shared" si="586"/>
        <v>44796</v>
      </c>
      <c r="E7244" s="275">
        <f t="shared" si="587"/>
        <v>44796</v>
      </c>
      <c r="F7244" s="480"/>
      <c r="G7244" s="221" t="s">
        <v>74</v>
      </c>
      <c r="H7244" s="145" t="str" cm="1">
        <f t="array" ref="H7244">IFERROR(INDEX(INVESTOR_LIST[INVESTOR NAME],MATCH(I7244,INVESTOR_LIST[INVESTOR CODE],0),)," ")</f>
        <v xml:space="preserve"> </v>
      </c>
      <c r="I7244" s="145" t="s">
        <v>348</v>
      </c>
      <c r="J7244" s="163" t="s">
        <v>52</v>
      </c>
      <c r="K7244" s="219"/>
      <c r="L7244" s="219">
        <v>115</v>
      </c>
    </row>
    <row r="7245" spans="1:15" x14ac:dyDescent="0.2">
      <c r="A7245" s="168">
        <v>2022</v>
      </c>
      <c r="B7245" s="168">
        <v>8</v>
      </c>
      <c r="C7245" s="133">
        <v>23</v>
      </c>
      <c r="D7245" s="141">
        <f t="shared" si="586"/>
        <v>44796</v>
      </c>
      <c r="E7245" s="275">
        <f t="shared" si="587"/>
        <v>44796</v>
      </c>
      <c r="F7245" s="479" t="s">
        <v>1482</v>
      </c>
      <c r="G7245" s="220" t="s">
        <v>74</v>
      </c>
      <c r="H7245" s="220" t="str" cm="1">
        <f t="array" ref="H7245">IFERROR(INDEX(INVESTOR_LIST[INVESTOR NAME],MATCH(I7245,INVESTOR_LIST[INVESTOR CODE],0),)," ")</f>
        <v xml:space="preserve"> </v>
      </c>
      <c r="I7245" s="142" t="s">
        <v>348</v>
      </c>
      <c r="J7245" s="143" t="s">
        <v>184</v>
      </c>
      <c r="K7245" s="226">
        <v>750000</v>
      </c>
      <c r="L7245" s="226"/>
    </row>
    <row r="7246" spans="1:15" x14ac:dyDescent="0.2">
      <c r="A7246" s="133">
        <v>2022</v>
      </c>
      <c r="B7246" s="133">
        <v>8</v>
      </c>
      <c r="C7246" s="133">
        <v>23</v>
      </c>
      <c r="D7246" s="141">
        <f t="shared" si="586"/>
        <v>44796</v>
      </c>
      <c r="E7246" s="275">
        <f t="shared" si="587"/>
        <v>44796</v>
      </c>
      <c r="F7246" s="481"/>
      <c r="G7246" s="174" t="s">
        <v>74</v>
      </c>
      <c r="H7246" s="174" t="str" cm="1">
        <f t="array" ref="H7246">IFERROR(INDEX(INVESTOR_LIST[INVESTOR NAME],MATCH(I7246,INVESTOR_LIST[INVESTOR CODE],0),)," ")</f>
        <v xml:space="preserve"> </v>
      </c>
      <c r="I7246" s="148" t="s">
        <v>348</v>
      </c>
      <c r="J7246" s="149" t="s">
        <v>61</v>
      </c>
      <c r="K7246" s="218">
        <v>115</v>
      </c>
      <c r="L7246" s="218"/>
    </row>
    <row r="7247" spans="1:15" x14ac:dyDescent="0.2">
      <c r="A7247" s="133">
        <v>2022</v>
      </c>
      <c r="B7247" s="133">
        <v>8</v>
      </c>
      <c r="C7247" s="133">
        <v>23</v>
      </c>
      <c r="D7247" s="141">
        <f t="shared" si="586"/>
        <v>44796</v>
      </c>
      <c r="E7247" s="275">
        <f t="shared" si="587"/>
        <v>44796</v>
      </c>
      <c r="F7247" s="481"/>
      <c r="G7247" s="174" t="s">
        <v>74</v>
      </c>
      <c r="H7247" s="174"/>
      <c r="J7247" s="149" t="s">
        <v>185</v>
      </c>
      <c r="K7247" s="218">
        <v>3000</v>
      </c>
      <c r="L7247" s="218"/>
    </row>
    <row r="7248" spans="1:15" x14ac:dyDescent="0.2">
      <c r="A7248" s="163">
        <v>2022</v>
      </c>
      <c r="B7248" s="163">
        <v>8</v>
      </c>
      <c r="C7248" s="163">
        <v>23</v>
      </c>
      <c r="D7248" s="141">
        <f t="shared" si="586"/>
        <v>44796</v>
      </c>
      <c r="E7248" s="275">
        <f t="shared" si="587"/>
        <v>44796</v>
      </c>
      <c r="F7248" s="480"/>
      <c r="G7248" s="221" t="s">
        <v>74</v>
      </c>
      <c r="H7248" s="221" t="str" cm="1">
        <f t="array" ref="H7248">IFERROR(INDEX(INVESTOR_LIST[INVESTOR NAME],MATCH(I7248,INVESTOR_LIST[INVESTOR CODE],0),)," ")</f>
        <v xml:space="preserve"> </v>
      </c>
      <c r="I7248" s="145" t="s">
        <v>348</v>
      </c>
      <c r="J7248" s="146" t="s">
        <v>52</v>
      </c>
      <c r="K7248" s="219"/>
      <c r="L7248" s="219">
        <v>753115</v>
      </c>
    </row>
    <row r="7249" spans="1:15" x14ac:dyDescent="0.2">
      <c r="A7249" s="133">
        <v>2022</v>
      </c>
      <c r="B7249" s="168">
        <v>8</v>
      </c>
      <c r="C7249" s="168">
        <v>23</v>
      </c>
      <c r="D7249" s="141">
        <f t="shared" si="586"/>
        <v>44796</v>
      </c>
      <c r="E7249" s="275">
        <f t="shared" si="587"/>
        <v>44796</v>
      </c>
      <c r="F7249" s="479" t="s">
        <v>1483</v>
      </c>
      <c r="G7249" s="220" t="s">
        <v>74</v>
      </c>
      <c r="H7249" s="220" t="str" cm="1">
        <f t="array" ref="H7249">IFERROR(INDEX(INVESTOR_LIST[INVESTOR NAME],MATCH(I7249,INVESTOR_LIST[INVESTOR CODE],0),)," ")</f>
        <v xml:space="preserve"> </v>
      </c>
      <c r="I7249" s="142" t="s">
        <v>348</v>
      </c>
      <c r="J7249" s="143" t="s">
        <v>104</v>
      </c>
      <c r="K7249" s="226">
        <v>1867.56</v>
      </c>
      <c r="L7249" s="226"/>
    </row>
    <row r="7250" spans="1:15" x14ac:dyDescent="0.2">
      <c r="A7250" s="163">
        <v>2022</v>
      </c>
      <c r="B7250" s="163">
        <v>8</v>
      </c>
      <c r="C7250" s="163">
        <v>23</v>
      </c>
      <c r="D7250" s="141">
        <f t="shared" si="586"/>
        <v>44796</v>
      </c>
      <c r="E7250" s="275">
        <f t="shared" si="587"/>
        <v>44796</v>
      </c>
      <c r="F7250" s="480"/>
      <c r="G7250" s="221" t="s">
        <v>74</v>
      </c>
      <c r="H7250" s="221" t="str" cm="1">
        <f t="array" ref="H7250">IFERROR(INDEX(INVESTOR_LIST[INVESTOR NAME],MATCH(I7250,INVESTOR_LIST[INVESTOR CODE],0),)," ")</f>
        <v xml:space="preserve"> </v>
      </c>
      <c r="I7250" s="145" t="s">
        <v>348</v>
      </c>
      <c r="J7250" s="146" t="s">
        <v>52</v>
      </c>
      <c r="K7250" s="219"/>
      <c r="L7250" s="219">
        <v>1867.56</v>
      </c>
    </row>
    <row r="7251" spans="1:15" x14ac:dyDescent="0.2">
      <c r="A7251" s="168">
        <v>2022</v>
      </c>
      <c r="B7251" s="168">
        <v>8</v>
      </c>
      <c r="C7251" s="168">
        <v>24</v>
      </c>
      <c r="D7251" s="141">
        <f>DATE(A7251,B7251,C7251)</f>
        <v>44797</v>
      </c>
      <c r="E7251" s="275">
        <f>DATE(A7251,B7251,C7251)</f>
        <v>44797</v>
      </c>
      <c r="F7251" s="479" t="s">
        <v>1380</v>
      </c>
      <c r="G7251" s="220" t="s">
        <v>74</v>
      </c>
      <c r="H7251" s="220" t="str" cm="1">
        <f t="array" ref="H7251">IFERROR(INDEX(INVESTOR_LIST[INVESTOR NAME],MATCH(I7251,INVESTOR_LIST[INVESTOR CODE],0),)," ")</f>
        <v xml:space="preserve"> </v>
      </c>
      <c r="I7251" s="142" t="s">
        <v>348</v>
      </c>
      <c r="J7251" s="143" t="s">
        <v>96</v>
      </c>
      <c r="K7251" s="226">
        <v>2500000</v>
      </c>
      <c r="L7251" s="226"/>
    </row>
    <row r="7252" spans="1:15" x14ac:dyDescent="0.2">
      <c r="A7252" s="163">
        <v>2022</v>
      </c>
      <c r="B7252" s="163">
        <v>8</v>
      </c>
      <c r="C7252" s="163">
        <v>24</v>
      </c>
      <c r="D7252" s="141">
        <f>DATE(A7252,B7252,C7252)</f>
        <v>44797</v>
      </c>
      <c r="E7252" s="275">
        <f>DATE(A7252,B7252,C7252)</f>
        <v>44797</v>
      </c>
      <c r="F7252" s="480"/>
      <c r="G7252" s="221" t="s">
        <v>74</v>
      </c>
      <c r="H7252" s="221" t="str" cm="1">
        <f t="array" ref="H7252">IFERROR(INDEX(INVESTOR_LIST[INVESTOR NAME],MATCH(I7252,INVESTOR_LIST[INVESTOR CODE],0),)," ")</f>
        <v xml:space="preserve"> </v>
      </c>
      <c r="I7252" s="145" t="s">
        <v>348</v>
      </c>
      <c r="J7252" s="146" t="s">
        <v>52</v>
      </c>
      <c r="K7252" s="219"/>
      <c r="L7252" s="219">
        <v>2500000</v>
      </c>
    </row>
    <row r="7253" spans="1:15" x14ac:dyDescent="0.2">
      <c r="A7253" s="168">
        <v>2022</v>
      </c>
      <c r="B7253" s="168">
        <v>8</v>
      </c>
      <c r="C7253" s="168">
        <v>24</v>
      </c>
      <c r="D7253" s="141">
        <f>DATE(A7253,B7253,C7253)</f>
        <v>44797</v>
      </c>
      <c r="E7253" s="275">
        <f>DATE(A7253,B7253,C7253)</f>
        <v>44797</v>
      </c>
      <c r="F7253" s="479" t="s">
        <v>1380</v>
      </c>
      <c r="G7253" s="220" t="s">
        <v>74</v>
      </c>
      <c r="H7253" s="220" t="str" cm="1">
        <f t="array" ref="H7253">IFERROR(INDEX(INVESTOR_LIST[INVESTOR NAME],MATCH(I7253,INVESTOR_LIST[INVESTOR CODE],0),)," ")</f>
        <v xml:space="preserve"> </v>
      </c>
      <c r="I7253" s="142" t="s">
        <v>348</v>
      </c>
      <c r="J7253" s="143" t="s">
        <v>96</v>
      </c>
      <c r="K7253" s="226">
        <v>2500000</v>
      </c>
      <c r="L7253" s="226"/>
    </row>
    <row r="7254" spans="1:15" x14ac:dyDescent="0.2">
      <c r="A7254" s="163">
        <v>2022</v>
      </c>
      <c r="B7254" s="163">
        <v>8</v>
      </c>
      <c r="C7254" s="163">
        <v>24</v>
      </c>
      <c r="D7254" s="141">
        <f>DATE(A7254,B7254,C7254)</f>
        <v>44797</v>
      </c>
      <c r="E7254" s="275">
        <f>DATE(A7254,B7254,C7254)</f>
        <v>44797</v>
      </c>
      <c r="F7254" s="480"/>
      <c r="G7254" s="221" t="s">
        <v>74</v>
      </c>
      <c r="H7254" s="221" t="str" cm="1">
        <f t="array" ref="H7254">IFERROR(INDEX(INVESTOR_LIST[INVESTOR NAME],MATCH(I7254,INVESTOR_LIST[INVESTOR CODE],0),)," ")</f>
        <v xml:space="preserve"> </v>
      </c>
      <c r="I7254" s="145" t="s">
        <v>348</v>
      </c>
      <c r="J7254" s="146" t="s">
        <v>52</v>
      </c>
      <c r="K7254" s="219"/>
      <c r="L7254" s="219">
        <v>2500000</v>
      </c>
    </row>
    <row r="7255" spans="1:15" x14ac:dyDescent="0.2">
      <c r="A7255" s="133">
        <v>2022</v>
      </c>
      <c r="B7255" s="133">
        <v>8</v>
      </c>
      <c r="C7255" s="168">
        <v>25</v>
      </c>
      <c r="D7255" s="141">
        <f t="shared" ref="D7255:D7256" si="588">DATE(A7255,B7255,C7255)</f>
        <v>44798</v>
      </c>
      <c r="E7255" s="275">
        <f t="shared" ref="E7255:E7256" si="589">DATE(A7255,B7255,C7255)</f>
        <v>44798</v>
      </c>
      <c r="F7255" s="479" t="s">
        <v>1498</v>
      </c>
      <c r="G7255" s="174" t="s">
        <v>74</v>
      </c>
      <c r="H7255" s="148" t="str" cm="1">
        <f t="array" ref="H7255">IFERROR(INDEX(INVESTOR_LIST[INVESTOR NAME],MATCH(I7255,INVESTOR_LIST[INVESTOR CODE],0),)," ")</f>
        <v xml:space="preserve"> </v>
      </c>
      <c r="I7255" s="148" t="s">
        <v>348</v>
      </c>
      <c r="J7255" s="133" t="s">
        <v>52</v>
      </c>
      <c r="K7255" s="172">
        <v>100000</v>
      </c>
      <c r="N7255" s="133">
        <f>N7241*0.95</f>
        <v>0</v>
      </c>
      <c r="O7255" s="133">
        <f>N7255-189000</f>
        <v>-189000</v>
      </c>
    </row>
    <row r="7256" spans="1:15" x14ac:dyDescent="0.2">
      <c r="A7256" s="163">
        <v>2022</v>
      </c>
      <c r="B7256" s="163">
        <v>8</v>
      </c>
      <c r="C7256" s="163">
        <v>25</v>
      </c>
      <c r="D7256" s="141">
        <f t="shared" si="588"/>
        <v>44798</v>
      </c>
      <c r="E7256" s="275">
        <f t="shared" si="589"/>
        <v>44798</v>
      </c>
      <c r="F7256" s="480"/>
      <c r="G7256" s="221" t="s">
        <v>74</v>
      </c>
      <c r="H7256" s="145" t="str" cm="1">
        <f t="array" ref="H7256">IFERROR(INDEX(INVESTOR_LIST[INVESTOR NAME],MATCH(I7256,INVESTOR_LIST[INVESTOR CODE],0),)," ")</f>
        <v xml:space="preserve"> </v>
      </c>
      <c r="I7256" s="145" t="s">
        <v>348</v>
      </c>
      <c r="J7256" s="163" t="s">
        <v>166</v>
      </c>
      <c r="K7256" s="219"/>
      <c r="L7256" s="219">
        <v>100000</v>
      </c>
    </row>
    <row r="7257" spans="1:15" x14ac:dyDescent="0.2">
      <c r="A7257" s="238">
        <v>2022</v>
      </c>
      <c r="B7257" s="238">
        <v>8</v>
      </c>
      <c r="C7257" s="238">
        <v>25</v>
      </c>
      <c r="D7257" s="270">
        <f t="shared" ref="D7257:D7267" si="590">DATE(A7257,B7257,C7257)</f>
        <v>44798</v>
      </c>
      <c r="E7257" s="279">
        <f t="shared" ref="E7257:E7267" si="591">DATE(A7257,B7257,C7257)</f>
        <v>44798</v>
      </c>
      <c r="F7257" s="477" t="s">
        <v>347</v>
      </c>
      <c r="G7257" s="239" t="s">
        <v>94</v>
      </c>
      <c r="H7257" s="239" t="str" cm="1">
        <f t="array" ref="H7257">IFERROR(INDEX(INVESTOR_LIST[INVESTOR NAME],MATCH(I7257,INVESTOR_LIST[INVESTOR CODE],0),)," ")</f>
        <v xml:space="preserve"> </v>
      </c>
      <c r="I7257" s="262" t="s">
        <v>348</v>
      </c>
      <c r="J7257" s="240" t="s">
        <v>82</v>
      </c>
      <c r="K7257" s="241">
        <v>795499.28000003099</v>
      </c>
      <c r="L7257" s="241"/>
    </row>
    <row r="7258" spans="1:15" x14ac:dyDescent="0.2">
      <c r="A7258" s="242">
        <v>2022</v>
      </c>
      <c r="B7258" s="242">
        <v>8</v>
      </c>
      <c r="C7258" s="242">
        <v>25</v>
      </c>
      <c r="D7258" s="270">
        <f t="shared" si="590"/>
        <v>44798</v>
      </c>
      <c r="E7258" s="279">
        <f t="shared" si="591"/>
        <v>44798</v>
      </c>
      <c r="F7258" s="478"/>
      <c r="G7258" s="243" t="s">
        <v>94</v>
      </c>
      <c r="H7258" s="243" t="str" cm="1">
        <f t="array" ref="H7258">IFERROR(INDEX(INVESTOR_LIST[INVESTOR NAME],MATCH(I7258,INVESTOR_LIST[INVESTOR CODE],0),)," ")</f>
        <v xml:space="preserve"> </v>
      </c>
      <c r="I7258" s="263" t="s">
        <v>348</v>
      </c>
      <c r="J7258" s="244" t="s">
        <v>108</v>
      </c>
      <c r="K7258" s="245"/>
      <c r="L7258" s="245">
        <v>795499.28000003099</v>
      </c>
    </row>
    <row r="7259" spans="1:15" ht="22.5" x14ac:dyDescent="0.2">
      <c r="A7259" s="246">
        <v>2022</v>
      </c>
      <c r="B7259" s="238">
        <v>8</v>
      </c>
      <c r="C7259" s="238">
        <v>25</v>
      </c>
      <c r="D7259" s="270">
        <f t="shared" si="590"/>
        <v>44798</v>
      </c>
      <c r="E7259" s="279">
        <f t="shared" si="591"/>
        <v>44798</v>
      </c>
      <c r="F7259" s="482" t="s">
        <v>148</v>
      </c>
      <c r="G7259" s="247" t="s">
        <v>94</v>
      </c>
      <c r="H7259" s="247" t="str" cm="1">
        <f t="array" ref="H7259">IFERROR(INDEX(INVESTOR_LIST[INVESTOR NAME],MATCH(I7259,INVESTOR_LIST[INVESTOR CODE],0),)," ")</f>
        <v xml:space="preserve"> </v>
      </c>
      <c r="I7259" s="248" t="s">
        <v>348</v>
      </c>
      <c r="J7259" s="249" t="s">
        <v>95</v>
      </c>
      <c r="K7259" s="250">
        <v>2747.2527472527472</v>
      </c>
      <c r="L7259" s="241"/>
    </row>
    <row r="7260" spans="1:15" x14ac:dyDescent="0.2">
      <c r="A7260" s="242">
        <v>2022</v>
      </c>
      <c r="B7260" s="242">
        <v>8</v>
      </c>
      <c r="C7260" s="242">
        <v>25</v>
      </c>
      <c r="D7260" s="270">
        <f t="shared" si="590"/>
        <v>44798</v>
      </c>
      <c r="E7260" s="279">
        <f t="shared" si="591"/>
        <v>44798</v>
      </c>
      <c r="F7260" s="478"/>
      <c r="G7260" s="243" t="s">
        <v>94</v>
      </c>
      <c r="H7260" s="243" t="str" cm="1">
        <f t="array" ref="H7260">IFERROR(INDEX(INVESTOR_LIST[INVESTOR NAME],MATCH(I7260,INVESTOR_LIST[INVESTOR CODE],0),)," ")</f>
        <v xml:space="preserve"> </v>
      </c>
      <c r="I7260" s="263" t="s">
        <v>348</v>
      </c>
      <c r="J7260" s="244" t="s">
        <v>63</v>
      </c>
      <c r="K7260" s="245"/>
      <c r="L7260" s="245">
        <v>2747.2527472527472</v>
      </c>
    </row>
    <row r="7261" spans="1:15" x14ac:dyDescent="0.2">
      <c r="A7261" s="246">
        <v>2022</v>
      </c>
      <c r="B7261" s="238">
        <v>8</v>
      </c>
      <c r="C7261" s="238">
        <v>25</v>
      </c>
      <c r="D7261" s="270">
        <f t="shared" si="590"/>
        <v>44798</v>
      </c>
      <c r="E7261" s="279">
        <f t="shared" si="591"/>
        <v>44798</v>
      </c>
      <c r="F7261" s="482" t="s">
        <v>137</v>
      </c>
      <c r="G7261" s="247" t="s">
        <v>94</v>
      </c>
      <c r="H7261" s="247" t="str" cm="1">
        <f t="array" ref="H7261">IFERROR(INDEX(INVESTOR_LIST[INVESTOR NAME],MATCH(I7261,INVESTOR_LIST[INVESTOR CODE],0),)," ")</f>
        <v xml:space="preserve"> </v>
      </c>
      <c r="I7261" s="248" t="s">
        <v>348</v>
      </c>
      <c r="J7261" s="249" t="s">
        <v>97</v>
      </c>
      <c r="K7261" s="250">
        <v>78198.77560234144</v>
      </c>
      <c r="L7261" s="252"/>
    </row>
    <row r="7262" spans="1:15" x14ac:dyDescent="0.2">
      <c r="A7262" s="242">
        <v>2022</v>
      </c>
      <c r="B7262" s="242">
        <v>8</v>
      </c>
      <c r="C7262" s="242">
        <v>25</v>
      </c>
      <c r="D7262" s="270">
        <f t="shared" si="590"/>
        <v>44798</v>
      </c>
      <c r="E7262" s="279">
        <f t="shared" si="591"/>
        <v>44798</v>
      </c>
      <c r="F7262" s="478"/>
      <c r="G7262" s="243" t="s">
        <v>94</v>
      </c>
      <c r="H7262" s="243" t="str" cm="1">
        <f t="array" ref="H7262">IFERROR(INDEX(INVESTOR_LIST[INVESTOR NAME],MATCH(I7262,INVESTOR_LIST[INVESTOR CODE],0),)," ")</f>
        <v xml:space="preserve"> </v>
      </c>
      <c r="I7262" s="263" t="s">
        <v>348</v>
      </c>
      <c r="J7262" s="244" t="s">
        <v>47</v>
      </c>
      <c r="K7262" s="245"/>
      <c r="L7262" s="245">
        <v>78198.77560234144</v>
      </c>
    </row>
    <row r="7263" spans="1:15" x14ac:dyDescent="0.2">
      <c r="A7263" s="246">
        <v>2022</v>
      </c>
      <c r="B7263" s="238">
        <v>8</v>
      </c>
      <c r="C7263" s="238">
        <v>25</v>
      </c>
      <c r="D7263" s="270">
        <f t="shared" si="590"/>
        <v>44798</v>
      </c>
      <c r="E7263" s="279">
        <f t="shared" si="591"/>
        <v>44798</v>
      </c>
      <c r="F7263" s="482" t="s">
        <v>138</v>
      </c>
      <c r="G7263" s="247" t="s">
        <v>94</v>
      </c>
      <c r="H7263" s="247" t="str" cm="1">
        <f t="array" ref="H7263">IFERROR(INDEX(INVESTOR_LIST[INVESTOR NAME],MATCH(I7263,INVESTOR_LIST[INVESTOR CODE],0),)," ")</f>
        <v xml:space="preserve"> </v>
      </c>
      <c r="I7263" s="248" t="s">
        <v>348</v>
      </c>
      <c r="J7263" s="249" t="s">
        <v>100</v>
      </c>
      <c r="K7263" s="250">
        <v>3669.5541647324567</v>
      </c>
      <c r="L7263" s="252"/>
    </row>
    <row r="7264" spans="1:15" x14ac:dyDescent="0.2">
      <c r="A7264" s="242">
        <v>2022</v>
      </c>
      <c r="B7264" s="242">
        <v>8</v>
      </c>
      <c r="C7264" s="242">
        <v>25</v>
      </c>
      <c r="D7264" s="321">
        <f t="shared" si="590"/>
        <v>44798</v>
      </c>
      <c r="E7264" s="322">
        <f t="shared" si="591"/>
        <v>44798</v>
      </c>
      <c r="F7264" s="478"/>
      <c r="G7264" s="243" t="s">
        <v>94</v>
      </c>
      <c r="H7264" s="243" t="str" cm="1">
        <f t="array" ref="H7264">IFERROR(INDEX(INVESTOR_LIST[INVESTOR NAME],MATCH(I7264,INVESTOR_LIST[INVESTOR CODE],0),)," ")</f>
        <v xml:space="preserve"> </v>
      </c>
      <c r="I7264" s="263" t="s">
        <v>348</v>
      </c>
      <c r="J7264" s="244" t="s">
        <v>48</v>
      </c>
      <c r="K7264" s="245"/>
      <c r="L7264" s="245">
        <v>3669.5541647324567</v>
      </c>
    </row>
    <row r="7265" spans="1:12" x14ac:dyDescent="0.2">
      <c r="A7265" s="168">
        <v>2022</v>
      </c>
      <c r="B7265" s="168">
        <v>8</v>
      </c>
      <c r="C7265" s="133">
        <v>26</v>
      </c>
      <c r="D7265" s="141">
        <f t="shared" si="590"/>
        <v>44799</v>
      </c>
      <c r="E7265" s="275">
        <f t="shared" si="591"/>
        <v>44799</v>
      </c>
      <c r="F7265" s="479" t="s">
        <v>1319</v>
      </c>
      <c r="G7265" s="220" t="s">
        <v>74</v>
      </c>
      <c r="H7265" s="142" t="str" cm="1">
        <f t="array" ref="H7265">IFERROR(INDEX(INVESTOR_LIST[INVESTOR NAME],MATCH(I7265,INVESTOR_LIST[INVESTOR CODE],0),)," ")</f>
        <v xml:space="preserve"> </v>
      </c>
      <c r="I7265" s="142"/>
      <c r="J7265" s="168" t="s">
        <v>52</v>
      </c>
      <c r="K7265" s="226">
        <v>493000</v>
      </c>
      <c r="L7265" s="226"/>
    </row>
    <row r="7266" spans="1:12" x14ac:dyDescent="0.2">
      <c r="A7266" s="133">
        <v>2022</v>
      </c>
      <c r="B7266" s="133">
        <v>8</v>
      </c>
      <c r="C7266" s="133">
        <v>26</v>
      </c>
      <c r="D7266" s="141">
        <f t="shared" si="590"/>
        <v>44799</v>
      </c>
      <c r="E7266" s="275">
        <f t="shared" si="591"/>
        <v>44799</v>
      </c>
      <c r="F7266" s="481"/>
      <c r="G7266" s="174" t="s">
        <v>74</v>
      </c>
      <c r="H7266" s="148" t="str" cm="1">
        <f t="array" ref="H7266">IFERROR(INDEX(INVESTOR_LIST[INVESTOR NAME],MATCH(I7266,INVESTOR_LIST[INVESTOR CODE],0),)," ")</f>
        <v xml:space="preserve"> </v>
      </c>
      <c r="J7266" s="133" t="s">
        <v>13</v>
      </c>
      <c r="K7266" s="133"/>
      <c r="L7266" s="218">
        <v>411140</v>
      </c>
    </row>
    <row r="7267" spans="1:12" x14ac:dyDescent="0.2">
      <c r="A7267" s="163">
        <v>2022</v>
      </c>
      <c r="B7267" s="163">
        <v>8</v>
      </c>
      <c r="C7267" s="163">
        <v>26</v>
      </c>
      <c r="D7267" s="280">
        <f t="shared" si="590"/>
        <v>44799</v>
      </c>
      <c r="E7267" s="281">
        <f t="shared" si="591"/>
        <v>44799</v>
      </c>
      <c r="F7267" s="480"/>
      <c r="G7267" s="221" t="s">
        <v>74</v>
      </c>
      <c r="H7267" s="145" t="str" cm="1">
        <f t="array" ref="H7267">IFERROR(INDEX(INVESTOR_LIST[INVESTOR NAME],MATCH(I7267,INVESTOR_LIST[INVESTOR CODE],0),)," ")</f>
        <v xml:space="preserve"> </v>
      </c>
      <c r="I7267" s="145"/>
      <c r="J7267" s="163" t="s">
        <v>53</v>
      </c>
      <c r="K7267" s="219"/>
      <c r="L7267" s="219">
        <v>81860</v>
      </c>
    </row>
    <row r="7268" spans="1:12" ht="45" x14ac:dyDescent="0.2">
      <c r="A7268" s="168">
        <v>2022</v>
      </c>
      <c r="B7268" s="168">
        <v>8</v>
      </c>
      <c r="C7268" s="133">
        <v>29</v>
      </c>
      <c r="D7268" s="141">
        <f t="shared" ref="D7268:D7270" si="592">DATE(A7268,B7268,C7268)</f>
        <v>44802</v>
      </c>
      <c r="E7268" s="275">
        <f t="shared" ref="E7268:E7270" si="593">DATE(A7268,B7268,C7268)</f>
        <v>44802</v>
      </c>
      <c r="F7268" s="479" t="s">
        <v>1310</v>
      </c>
      <c r="G7268" s="220" t="s">
        <v>74</v>
      </c>
      <c r="H7268" s="142" t="str" cm="1">
        <f t="array" ref="H7268">IFERROR(INDEX(INVESTOR_LIST[INVESTOR NAME],MATCH(I7268,INVESTOR_LIST[INVESTOR CODE],0),)," ")</f>
        <v>MD. MEHEDI HASSAN MILON</v>
      </c>
      <c r="I7268" s="142" t="s">
        <v>725</v>
      </c>
      <c r="J7268" s="168" t="s">
        <v>13</v>
      </c>
      <c r="K7268" s="226">
        <v>2500</v>
      </c>
      <c r="L7268" s="226"/>
    </row>
    <row r="7269" spans="1:12" ht="45" x14ac:dyDescent="0.2">
      <c r="A7269" s="133">
        <v>2022</v>
      </c>
      <c r="B7269" s="133">
        <v>8</v>
      </c>
      <c r="C7269" s="133">
        <v>29</v>
      </c>
      <c r="D7269" s="141">
        <f t="shared" si="592"/>
        <v>44802</v>
      </c>
      <c r="E7269" s="275">
        <f t="shared" si="593"/>
        <v>44802</v>
      </c>
      <c r="F7269" s="481"/>
      <c r="G7269" s="174" t="s">
        <v>74</v>
      </c>
      <c r="H7269" s="148" t="str" cm="1">
        <f t="array" ref="H7269">IFERROR(INDEX(INVESTOR_LIST[INVESTOR NAME],MATCH(I7269,INVESTOR_LIST[INVESTOR CODE],0),)," ")</f>
        <v>MD. MEHEDI HASSAN MILON</v>
      </c>
      <c r="I7269" s="148" t="s">
        <v>725</v>
      </c>
      <c r="J7269" s="133" t="s">
        <v>53</v>
      </c>
      <c r="K7269" s="218">
        <v>500</v>
      </c>
      <c r="L7269" s="218"/>
    </row>
    <row r="7270" spans="1:12" ht="45" x14ac:dyDescent="0.2">
      <c r="A7270" s="163">
        <v>2022</v>
      </c>
      <c r="B7270" s="163">
        <v>8</v>
      </c>
      <c r="C7270" s="163">
        <v>29</v>
      </c>
      <c r="D7270" s="280">
        <f t="shared" si="592"/>
        <v>44802</v>
      </c>
      <c r="E7270" s="281">
        <f t="shared" si="593"/>
        <v>44802</v>
      </c>
      <c r="F7270" s="480"/>
      <c r="G7270" s="221" t="s">
        <v>74</v>
      </c>
      <c r="H7270" s="145" t="str" cm="1">
        <f t="array" ref="H7270">IFERROR(INDEX(INVESTOR_LIST[INVESTOR NAME],MATCH(I7270,INVESTOR_LIST[INVESTOR CODE],0),)," ")</f>
        <v>MD. MEHEDI HASSAN MILON</v>
      </c>
      <c r="I7270" s="145" t="s">
        <v>725</v>
      </c>
      <c r="J7270" s="163" t="s">
        <v>52</v>
      </c>
      <c r="K7270" s="219"/>
      <c r="L7270" s="219">
        <v>3000</v>
      </c>
    </row>
    <row r="7271" spans="1:12" ht="22.5" x14ac:dyDescent="0.2">
      <c r="A7271" s="168">
        <v>2022</v>
      </c>
      <c r="B7271" s="168">
        <v>8</v>
      </c>
      <c r="C7271" s="133">
        <v>29</v>
      </c>
      <c r="D7271" s="141">
        <f t="shared" ref="D7271:D7273" si="594">DATE(A7271,B7271,C7271)</f>
        <v>44802</v>
      </c>
      <c r="E7271" s="275">
        <f t="shared" ref="E7271:E7273" si="595">DATE(A7271,B7271,C7271)</f>
        <v>44802</v>
      </c>
      <c r="F7271" s="479" t="s">
        <v>1315</v>
      </c>
      <c r="G7271" s="220" t="s">
        <v>74</v>
      </c>
      <c r="H7271" s="142" t="str" cm="1">
        <f t="array" ref="H7271">IFERROR(INDEX(INVESTOR_LIST[INVESTOR NAME],MATCH(I7271,INVESTOR_LIST[INVESTOR CODE],0),)," ")</f>
        <v>IMTIAJ ARA</v>
      </c>
      <c r="I7271" s="142" t="s">
        <v>789</v>
      </c>
      <c r="J7271" s="168" t="s">
        <v>13</v>
      </c>
      <c r="K7271" s="226">
        <v>254020</v>
      </c>
      <c r="L7271" s="226"/>
    </row>
    <row r="7272" spans="1:12" ht="22.5" x14ac:dyDescent="0.2">
      <c r="A7272" s="133">
        <v>2022</v>
      </c>
      <c r="B7272" s="133">
        <v>8</v>
      </c>
      <c r="C7272" s="133">
        <v>29</v>
      </c>
      <c r="D7272" s="141">
        <f t="shared" si="594"/>
        <v>44802</v>
      </c>
      <c r="E7272" s="275">
        <f t="shared" si="595"/>
        <v>44802</v>
      </c>
      <c r="F7272" s="481"/>
      <c r="G7272" s="174" t="s">
        <v>74</v>
      </c>
      <c r="H7272" s="148" t="str" cm="1">
        <f t="array" ref="H7272">IFERROR(INDEX(INVESTOR_LIST[INVESTOR NAME],MATCH(I7272,INVESTOR_LIST[INVESTOR CODE],0),)," ")</f>
        <v>IMTIAJ ARA</v>
      </c>
      <c r="I7272" s="148" t="s">
        <v>789</v>
      </c>
      <c r="J7272" s="133" t="s">
        <v>53</v>
      </c>
      <c r="K7272" s="218">
        <v>50549.98</v>
      </c>
      <c r="L7272" s="218"/>
    </row>
    <row r="7273" spans="1:12" ht="22.5" x14ac:dyDescent="0.2">
      <c r="A7273" s="163">
        <v>2022</v>
      </c>
      <c r="B7273" s="163">
        <v>8</v>
      </c>
      <c r="C7273" s="163">
        <v>29</v>
      </c>
      <c r="D7273" s="280">
        <f t="shared" si="594"/>
        <v>44802</v>
      </c>
      <c r="E7273" s="281">
        <f t="shared" si="595"/>
        <v>44802</v>
      </c>
      <c r="F7273" s="480"/>
      <c r="G7273" s="221" t="s">
        <v>74</v>
      </c>
      <c r="H7273" s="145" t="str" cm="1">
        <f t="array" ref="H7273">IFERROR(INDEX(INVESTOR_LIST[INVESTOR NAME],MATCH(I7273,INVESTOR_LIST[INVESTOR CODE],0),)," ")</f>
        <v>IMTIAJ ARA</v>
      </c>
      <c r="I7273" s="145" t="s">
        <v>789</v>
      </c>
      <c r="J7273" s="163" t="s">
        <v>52</v>
      </c>
      <c r="K7273" s="219"/>
      <c r="L7273" s="219">
        <v>304569.98</v>
      </c>
    </row>
    <row r="7274" spans="1:12" ht="33.75" x14ac:dyDescent="0.2">
      <c r="A7274" s="168">
        <v>2022</v>
      </c>
      <c r="B7274" s="168">
        <v>8</v>
      </c>
      <c r="C7274" s="133">
        <v>29</v>
      </c>
      <c r="D7274" s="141">
        <f t="shared" ref="D7274:D7276" si="596">DATE(A7274,B7274,C7274)</f>
        <v>44802</v>
      </c>
      <c r="E7274" s="275">
        <f t="shared" ref="E7274:E7276" si="597">DATE(A7274,B7274,C7274)</f>
        <v>44802</v>
      </c>
      <c r="F7274" s="479" t="s">
        <v>964</v>
      </c>
      <c r="G7274" s="220" t="s">
        <v>74</v>
      </c>
      <c r="H7274" s="142" t="str" cm="1">
        <f t="array" ref="H7274">IFERROR(INDEX(INVESTOR_LIST[INVESTOR NAME],MATCH(I7274,INVESTOR_LIST[INVESTOR CODE],0),)," ")</f>
        <v>SAIKAT DAS SHANTO</v>
      </c>
      <c r="I7274" s="142" t="s">
        <v>1484</v>
      </c>
      <c r="J7274" s="168" t="s">
        <v>52</v>
      </c>
      <c r="K7274" s="226">
        <v>5000</v>
      </c>
      <c r="L7274" s="226"/>
    </row>
    <row r="7275" spans="1:12" ht="33.75" x14ac:dyDescent="0.2">
      <c r="A7275" s="133">
        <v>2022</v>
      </c>
      <c r="B7275" s="133">
        <v>8</v>
      </c>
      <c r="C7275" s="133">
        <v>29</v>
      </c>
      <c r="D7275" s="141">
        <f t="shared" si="596"/>
        <v>44802</v>
      </c>
      <c r="E7275" s="275">
        <f t="shared" si="597"/>
        <v>44802</v>
      </c>
      <c r="F7275" s="481"/>
      <c r="G7275" s="174" t="s">
        <v>74</v>
      </c>
      <c r="H7275" s="148" t="str" cm="1">
        <f t="array" ref="H7275">IFERROR(INDEX(INVESTOR_LIST[INVESTOR NAME],MATCH(I7275,INVESTOR_LIST[INVESTOR CODE],0),)," ")</f>
        <v>SAIKAT DAS SHANTO</v>
      </c>
      <c r="I7275" s="148" t="s">
        <v>1484</v>
      </c>
      <c r="J7275" s="133" t="s">
        <v>13</v>
      </c>
      <c r="K7275" s="218"/>
      <c r="L7275" s="218">
        <v>4170</v>
      </c>
    </row>
    <row r="7276" spans="1:12" ht="33.75" x14ac:dyDescent="0.2">
      <c r="A7276" s="163">
        <v>2022</v>
      </c>
      <c r="B7276" s="163">
        <v>8</v>
      </c>
      <c r="C7276" s="163">
        <v>29</v>
      </c>
      <c r="D7276" s="280">
        <f t="shared" si="596"/>
        <v>44802</v>
      </c>
      <c r="E7276" s="281">
        <f t="shared" si="597"/>
        <v>44802</v>
      </c>
      <c r="F7276" s="480"/>
      <c r="G7276" s="221" t="s">
        <v>74</v>
      </c>
      <c r="H7276" s="145" t="str" cm="1">
        <f t="array" ref="H7276">IFERROR(INDEX(INVESTOR_LIST[INVESTOR NAME],MATCH(I7276,INVESTOR_LIST[INVESTOR CODE],0),)," ")</f>
        <v>SAIKAT DAS SHANTO</v>
      </c>
      <c r="I7276" s="145" t="s">
        <v>1484</v>
      </c>
      <c r="J7276" s="163" t="s">
        <v>53</v>
      </c>
      <c r="K7276" s="219"/>
      <c r="L7276" s="219">
        <v>830</v>
      </c>
    </row>
    <row r="7277" spans="1:12" ht="56.25" x14ac:dyDescent="0.2">
      <c r="A7277" s="168">
        <v>2022</v>
      </c>
      <c r="B7277" s="168">
        <v>8</v>
      </c>
      <c r="C7277" s="133">
        <v>30</v>
      </c>
      <c r="D7277" s="141">
        <f t="shared" ref="D7277:D7307" si="598">DATE(A7277,B7277,C7277)</f>
        <v>44803</v>
      </c>
      <c r="E7277" s="275">
        <f t="shared" ref="E7277:E7307" si="599">DATE(A7277,B7277,C7277)</f>
        <v>44803</v>
      </c>
      <c r="F7277" s="479" t="s">
        <v>1315</v>
      </c>
      <c r="G7277" s="220" t="s">
        <v>74</v>
      </c>
      <c r="H7277" s="142" t="str" cm="1">
        <f t="array" ref="H7277">IFERROR(INDEX(INVESTOR_LIST[INVESTOR NAME],MATCH(I7277,INVESTOR_LIST[INVESTOR CODE],0),)," ")</f>
        <v>CAPITEC POPULAR LIFE UNIT FUND</v>
      </c>
      <c r="I7277" s="142" t="s">
        <v>418</v>
      </c>
      <c r="J7277" s="168" t="s">
        <v>13</v>
      </c>
      <c r="K7277" s="226">
        <v>2500000</v>
      </c>
      <c r="L7277" s="226"/>
    </row>
    <row r="7278" spans="1:12" ht="56.25" x14ac:dyDescent="0.2">
      <c r="A7278" s="133">
        <v>2022</v>
      </c>
      <c r="B7278" s="133">
        <v>8</v>
      </c>
      <c r="C7278" s="133">
        <v>30</v>
      </c>
      <c r="D7278" s="141">
        <f t="shared" si="598"/>
        <v>44803</v>
      </c>
      <c r="E7278" s="275">
        <f t="shared" si="599"/>
        <v>44803</v>
      </c>
      <c r="F7278" s="481"/>
      <c r="G7278" s="174" t="s">
        <v>74</v>
      </c>
      <c r="H7278" s="148" t="str" cm="1">
        <f t="array" ref="H7278">IFERROR(INDEX(INVESTOR_LIST[INVESTOR NAME],MATCH(I7278,INVESTOR_LIST[INVESTOR CODE],0),)," ")</f>
        <v>CAPITEC POPULAR LIFE UNIT FUND</v>
      </c>
      <c r="I7278" s="148" t="s">
        <v>418</v>
      </c>
      <c r="J7278" s="133" t="s">
        <v>53</v>
      </c>
      <c r="K7278" s="218">
        <v>497500</v>
      </c>
      <c r="L7278" s="218"/>
    </row>
    <row r="7279" spans="1:12" ht="56.25" x14ac:dyDescent="0.2">
      <c r="A7279" s="163">
        <v>2022</v>
      </c>
      <c r="B7279" s="163">
        <v>8</v>
      </c>
      <c r="C7279" s="163">
        <v>30</v>
      </c>
      <c r="D7279" s="280">
        <f t="shared" si="598"/>
        <v>44803</v>
      </c>
      <c r="E7279" s="281">
        <f t="shared" si="599"/>
        <v>44803</v>
      </c>
      <c r="F7279" s="480"/>
      <c r="G7279" s="221" t="s">
        <v>74</v>
      </c>
      <c r="H7279" s="145" t="str" cm="1">
        <f t="array" ref="H7279">IFERROR(INDEX(INVESTOR_LIST[INVESTOR NAME],MATCH(I7279,INVESTOR_LIST[INVESTOR CODE],0),)," ")</f>
        <v>CAPITEC POPULAR LIFE UNIT FUND</v>
      </c>
      <c r="I7279" s="145" t="s">
        <v>418</v>
      </c>
      <c r="J7279" s="163" t="s">
        <v>52</v>
      </c>
      <c r="K7279" s="219"/>
      <c r="L7279" s="219">
        <v>2997500</v>
      </c>
    </row>
    <row r="7280" spans="1:12" x14ac:dyDescent="0.2">
      <c r="A7280" s="324">
        <v>2022</v>
      </c>
      <c r="B7280" s="324">
        <v>9</v>
      </c>
      <c r="C7280" s="325">
        <v>1</v>
      </c>
      <c r="D7280" s="326">
        <f t="shared" ref="D7280:D7281" si="600">DATE(A7280,B7280,C7280)</f>
        <v>44805</v>
      </c>
      <c r="E7280" s="327">
        <f t="shared" ref="E7280:E7281" si="601">DATE(A7280,B7280,C7280)</f>
        <v>44805</v>
      </c>
      <c r="F7280" s="473" t="s">
        <v>1524</v>
      </c>
      <c r="G7280" s="328" t="s">
        <v>94</v>
      </c>
      <c r="H7280" s="329" t="str" cm="1">
        <f t="array" ref="H7280">IFERROR(INDEX(INVESTOR_LIST[INVESTOR NAME],MATCH(I7280,INVESTOR_LIST[INVESTOR CODE],0),)," ")</f>
        <v xml:space="preserve"> </v>
      </c>
      <c r="I7280" s="329" t="s">
        <v>348</v>
      </c>
      <c r="J7280" s="324" t="s">
        <v>133</v>
      </c>
      <c r="K7280" s="330">
        <v>10272.84</v>
      </c>
      <c r="L7280" s="330"/>
    </row>
    <row r="7281" spans="1:12" x14ac:dyDescent="0.2">
      <c r="A7281" s="331">
        <v>2022</v>
      </c>
      <c r="B7281" s="331">
        <v>9</v>
      </c>
      <c r="C7281" s="331">
        <v>1</v>
      </c>
      <c r="D7281" s="326">
        <f t="shared" si="600"/>
        <v>44805</v>
      </c>
      <c r="E7281" s="327">
        <f t="shared" si="601"/>
        <v>44805</v>
      </c>
      <c r="F7281" s="474"/>
      <c r="G7281" s="332" t="s">
        <v>94</v>
      </c>
      <c r="H7281" s="333" t="str" cm="1">
        <f t="array" ref="H7281">IFERROR(INDEX(INVESTOR_LIST[INVESTOR NAME],MATCH(I7281,INVESTOR_LIST[INVESTOR CODE],0),)," ")</f>
        <v xml:space="preserve"> </v>
      </c>
      <c r="I7281" s="333" t="s">
        <v>348</v>
      </c>
      <c r="J7281" s="331" t="s">
        <v>152</v>
      </c>
      <c r="K7281" s="334"/>
      <c r="L7281" s="334">
        <v>10272.84</v>
      </c>
    </row>
    <row r="7282" spans="1:12" x14ac:dyDescent="0.2">
      <c r="A7282" s="324">
        <v>2022</v>
      </c>
      <c r="B7282" s="324">
        <v>9</v>
      </c>
      <c r="C7282" s="325">
        <v>1</v>
      </c>
      <c r="D7282" s="326">
        <f t="shared" ref="D7282:D7283" si="602">DATE(A7282,B7282,C7282)</f>
        <v>44805</v>
      </c>
      <c r="E7282" s="327">
        <f t="shared" ref="E7282:E7283" si="603">DATE(A7282,B7282,C7282)</f>
        <v>44805</v>
      </c>
      <c r="F7282" s="473" t="s">
        <v>1491</v>
      </c>
      <c r="G7282" s="328" t="s">
        <v>94</v>
      </c>
      <c r="H7282" s="329" t="str" cm="1">
        <f t="array" ref="H7282">IFERROR(INDEX(INVESTOR_LIST[INVESTOR NAME],MATCH(I7282,INVESTOR_LIST[INVESTOR CODE],0),)," ")</f>
        <v xml:space="preserve"> </v>
      </c>
      <c r="I7282" s="329" t="s">
        <v>348</v>
      </c>
      <c r="J7282" s="324" t="s">
        <v>133</v>
      </c>
      <c r="K7282" s="330">
        <v>19053.630576923078</v>
      </c>
      <c r="L7282" s="330"/>
    </row>
    <row r="7283" spans="1:12" x14ac:dyDescent="0.2">
      <c r="A7283" s="331">
        <v>2022</v>
      </c>
      <c r="B7283" s="331">
        <v>9</v>
      </c>
      <c r="C7283" s="331">
        <v>1</v>
      </c>
      <c r="D7283" s="326">
        <f t="shared" si="602"/>
        <v>44805</v>
      </c>
      <c r="E7283" s="327">
        <f t="shared" si="603"/>
        <v>44805</v>
      </c>
      <c r="F7283" s="474"/>
      <c r="G7283" s="332" t="s">
        <v>94</v>
      </c>
      <c r="H7283" s="333" t="str" cm="1">
        <f t="array" ref="H7283">IFERROR(INDEX(INVESTOR_LIST[INVESTOR NAME],MATCH(I7283,INVESTOR_LIST[INVESTOR CODE],0),)," ")</f>
        <v xml:space="preserve"> </v>
      </c>
      <c r="I7283" s="333" t="s">
        <v>348</v>
      </c>
      <c r="J7283" s="331" t="s">
        <v>152</v>
      </c>
      <c r="K7283" s="334"/>
      <c r="L7283" s="334">
        <v>19053.630576923078</v>
      </c>
    </row>
    <row r="7284" spans="1:12" x14ac:dyDescent="0.2">
      <c r="A7284" s="133">
        <v>2022</v>
      </c>
      <c r="B7284" s="133">
        <v>9</v>
      </c>
      <c r="C7284" s="168">
        <v>1</v>
      </c>
      <c r="D7284" s="141">
        <f>DATE(A7284,B7284,C7284)</f>
        <v>44805</v>
      </c>
      <c r="E7284" s="275">
        <f>DATE(A7284,B7284,C7284)</f>
        <v>44805</v>
      </c>
      <c r="F7284" s="479" t="s">
        <v>1490</v>
      </c>
      <c r="G7284" s="174" t="s">
        <v>74</v>
      </c>
      <c r="H7284" s="148" t="str" cm="1">
        <f t="array" ref="H7284">IFERROR(INDEX(INVESTOR_LIST[INVESTOR NAME],MATCH(I7284,INVESTOR_LIST[INVESTOR CODE],0),)," ")</f>
        <v xml:space="preserve"> </v>
      </c>
      <c r="I7284" s="148" t="s">
        <v>348</v>
      </c>
      <c r="J7284" s="133" t="s">
        <v>133</v>
      </c>
      <c r="K7284" s="172">
        <v>174054.22</v>
      </c>
    </row>
    <row r="7285" spans="1:12" x14ac:dyDescent="0.2">
      <c r="A7285" s="163">
        <v>2022</v>
      </c>
      <c r="B7285" s="163">
        <v>9</v>
      </c>
      <c r="C7285" s="163">
        <v>1</v>
      </c>
      <c r="D7285" s="141">
        <f>DATE(A7285,B7285,C7285)</f>
        <v>44805</v>
      </c>
      <c r="E7285" s="275">
        <f>DATE(A7285,B7285,C7285)</f>
        <v>44805</v>
      </c>
      <c r="F7285" s="480"/>
      <c r="G7285" s="221" t="s">
        <v>74</v>
      </c>
      <c r="H7285" s="145" t="str" cm="1">
        <f t="array" ref="H7285">IFERROR(INDEX(INVESTOR_LIST[INVESTOR NAME],MATCH(I7285,INVESTOR_LIST[INVESTOR CODE],0),)," ")</f>
        <v xml:space="preserve"> </v>
      </c>
      <c r="I7285" s="145" t="s">
        <v>348</v>
      </c>
      <c r="J7285" s="163" t="s">
        <v>152</v>
      </c>
      <c r="K7285" s="219"/>
      <c r="L7285" s="219">
        <v>174054.22</v>
      </c>
    </row>
    <row r="7286" spans="1:12" ht="33.75" x14ac:dyDescent="0.2">
      <c r="A7286" s="168">
        <v>2022</v>
      </c>
      <c r="B7286" s="168">
        <v>9</v>
      </c>
      <c r="C7286" s="133">
        <v>1</v>
      </c>
      <c r="D7286" s="141">
        <f t="shared" si="598"/>
        <v>44805</v>
      </c>
      <c r="E7286" s="275">
        <f t="shared" si="599"/>
        <v>44805</v>
      </c>
      <c r="F7286" s="479" t="s">
        <v>964</v>
      </c>
      <c r="G7286" s="220" t="s">
        <v>74</v>
      </c>
      <c r="H7286" s="142" t="str" cm="1">
        <f t="array" ref="H7286">IFERROR(INDEX(INVESTOR_LIST[INVESTOR NAME],MATCH(I7286,INVESTOR_LIST[INVESTOR CODE],0),)," ")</f>
        <v>MIR ARIFUL ISLAM</v>
      </c>
      <c r="I7286" s="142" t="s">
        <v>1353</v>
      </c>
      <c r="J7286" s="168" t="s">
        <v>52</v>
      </c>
      <c r="K7286" s="226">
        <v>491590</v>
      </c>
      <c r="L7286" s="226"/>
    </row>
    <row r="7287" spans="1:12" ht="33.75" x14ac:dyDescent="0.2">
      <c r="A7287" s="133">
        <v>2022</v>
      </c>
      <c r="B7287" s="133">
        <v>9</v>
      </c>
      <c r="C7287" s="133">
        <v>1</v>
      </c>
      <c r="D7287" s="141">
        <f t="shared" si="598"/>
        <v>44805</v>
      </c>
      <c r="E7287" s="275">
        <f t="shared" si="599"/>
        <v>44805</v>
      </c>
      <c r="F7287" s="481"/>
      <c r="G7287" s="174" t="s">
        <v>74</v>
      </c>
      <c r="H7287" s="148" t="str" cm="1">
        <f t="array" ref="H7287">IFERROR(INDEX(INVESTOR_LIST[INVESTOR NAME],MATCH(I7287,INVESTOR_LIST[INVESTOR CODE],0),)," ")</f>
        <v>MIR ARIFUL ISLAM</v>
      </c>
      <c r="I7287" s="148" t="s">
        <v>1353</v>
      </c>
      <c r="J7287" s="133" t="s">
        <v>13</v>
      </c>
      <c r="K7287" s="218"/>
      <c r="L7287" s="218">
        <v>410000</v>
      </c>
    </row>
    <row r="7288" spans="1:12" ht="33.75" x14ac:dyDescent="0.2">
      <c r="A7288" s="163">
        <v>2022</v>
      </c>
      <c r="B7288" s="163">
        <v>9</v>
      </c>
      <c r="C7288" s="163">
        <v>1</v>
      </c>
      <c r="D7288" s="280">
        <f t="shared" si="598"/>
        <v>44805</v>
      </c>
      <c r="E7288" s="281">
        <f t="shared" si="599"/>
        <v>44805</v>
      </c>
      <c r="F7288" s="480"/>
      <c r="G7288" s="221" t="s">
        <v>74</v>
      </c>
      <c r="H7288" s="145" t="str" cm="1">
        <f t="array" ref="H7288">IFERROR(INDEX(INVESTOR_LIST[INVESTOR NAME],MATCH(I7288,INVESTOR_LIST[INVESTOR CODE],0),)," ")</f>
        <v>MIR ARIFUL ISLAM</v>
      </c>
      <c r="I7288" s="145" t="s">
        <v>1353</v>
      </c>
      <c r="J7288" s="163" t="s">
        <v>53</v>
      </c>
      <c r="K7288" s="219"/>
      <c r="L7288" s="219">
        <v>81590</v>
      </c>
    </row>
    <row r="7289" spans="1:12" x14ac:dyDescent="0.2">
      <c r="A7289" s="133">
        <v>2022</v>
      </c>
      <c r="B7289" s="133">
        <v>9</v>
      </c>
      <c r="C7289" s="168">
        <v>1</v>
      </c>
      <c r="D7289" s="141">
        <f t="shared" si="598"/>
        <v>44805</v>
      </c>
      <c r="E7289" s="275">
        <f t="shared" si="599"/>
        <v>44805</v>
      </c>
      <c r="F7289" s="479" t="s">
        <v>1488</v>
      </c>
      <c r="G7289" s="174" t="s">
        <v>74</v>
      </c>
      <c r="H7289" s="148" t="str" cm="1">
        <f t="array" ref="H7289">IFERROR(INDEX(INVESTOR_LIST[INVESTOR NAME],MATCH(I7289,INVESTOR_LIST[INVESTOR CODE],0),)," ")</f>
        <v xml:space="preserve"> </v>
      </c>
      <c r="I7289" s="148" t="s">
        <v>348</v>
      </c>
      <c r="J7289" s="133" t="s">
        <v>61</v>
      </c>
      <c r="K7289" s="172">
        <v>10</v>
      </c>
    </row>
    <row r="7290" spans="1:12" x14ac:dyDescent="0.2">
      <c r="A7290" s="163">
        <v>2022</v>
      </c>
      <c r="B7290" s="163">
        <v>9</v>
      </c>
      <c r="C7290" s="163">
        <v>1</v>
      </c>
      <c r="D7290" s="141">
        <f t="shared" si="598"/>
        <v>44805</v>
      </c>
      <c r="E7290" s="275">
        <f t="shared" si="599"/>
        <v>44805</v>
      </c>
      <c r="F7290" s="480"/>
      <c r="G7290" s="221" t="s">
        <v>74</v>
      </c>
      <c r="H7290" s="145" t="str" cm="1">
        <f t="array" ref="H7290">IFERROR(INDEX(INVESTOR_LIST[INVESTOR NAME],MATCH(I7290,INVESTOR_LIST[INVESTOR CODE],0),)," ")</f>
        <v xml:space="preserve"> </v>
      </c>
      <c r="I7290" s="145" t="s">
        <v>348</v>
      </c>
      <c r="J7290" s="163" t="s">
        <v>52</v>
      </c>
      <c r="K7290" s="219"/>
      <c r="L7290" s="219">
        <v>10</v>
      </c>
    </row>
    <row r="7291" spans="1:12" x14ac:dyDescent="0.2">
      <c r="A7291" s="238">
        <v>2022</v>
      </c>
      <c r="B7291" s="238">
        <v>9</v>
      </c>
      <c r="C7291" s="238">
        <v>1</v>
      </c>
      <c r="D7291" s="270">
        <f t="shared" si="598"/>
        <v>44805</v>
      </c>
      <c r="E7291" s="279">
        <f t="shared" si="599"/>
        <v>44805</v>
      </c>
      <c r="F7291" s="477" t="s">
        <v>347</v>
      </c>
      <c r="G7291" s="239" t="s">
        <v>94</v>
      </c>
      <c r="H7291" s="239" t="str" cm="1">
        <f t="array" ref="H7291">IFERROR(INDEX(INVESTOR_LIST[INVESTOR NAME],MATCH(I7291,INVESTOR_LIST[INVESTOR CODE],0),)," ")</f>
        <v xml:space="preserve"> </v>
      </c>
      <c r="I7291" s="262" t="s">
        <v>348</v>
      </c>
      <c r="J7291" s="240" t="s">
        <v>108</v>
      </c>
      <c r="K7291" s="241">
        <v>484373.02000001073</v>
      </c>
      <c r="L7291" s="241"/>
    </row>
    <row r="7292" spans="1:12" x14ac:dyDescent="0.2">
      <c r="A7292" s="242">
        <v>2022</v>
      </c>
      <c r="B7292" s="242">
        <v>9</v>
      </c>
      <c r="C7292" s="242">
        <v>1</v>
      </c>
      <c r="D7292" s="270">
        <f t="shared" si="598"/>
        <v>44805</v>
      </c>
      <c r="E7292" s="279">
        <f t="shared" si="599"/>
        <v>44805</v>
      </c>
      <c r="F7292" s="478"/>
      <c r="G7292" s="243" t="s">
        <v>94</v>
      </c>
      <c r="H7292" s="243" t="str" cm="1">
        <f t="array" ref="H7292">IFERROR(INDEX(INVESTOR_LIST[INVESTOR NAME],MATCH(I7292,INVESTOR_LIST[INVESTOR CODE],0),)," ")</f>
        <v xml:space="preserve"> </v>
      </c>
      <c r="I7292" s="263" t="s">
        <v>348</v>
      </c>
      <c r="J7292" s="244" t="s">
        <v>82</v>
      </c>
      <c r="K7292" s="245"/>
      <c r="L7292" s="245">
        <v>484373.02000001073</v>
      </c>
    </row>
    <row r="7293" spans="1:12" ht="22.5" x14ac:dyDescent="0.2">
      <c r="A7293" s="246">
        <v>2022</v>
      </c>
      <c r="B7293" s="238">
        <v>9</v>
      </c>
      <c r="C7293" s="238">
        <v>1</v>
      </c>
      <c r="D7293" s="270">
        <f t="shared" si="598"/>
        <v>44805</v>
      </c>
      <c r="E7293" s="279">
        <f t="shared" si="599"/>
        <v>44805</v>
      </c>
      <c r="F7293" s="482" t="s">
        <v>148</v>
      </c>
      <c r="G7293" s="247" t="s">
        <v>94</v>
      </c>
      <c r="H7293" s="247" t="str" cm="1">
        <f t="array" ref="H7293">IFERROR(INDEX(INVESTOR_LIST[INVESTOR NAME],MATCH(I7293,INVESTOR_LIST[INVESTOR CODE],0),)," ")</f>
        <v xml:space="preserve"> </v>
      </c>
      <c r="I7293" s="248" t="s">
        <v>348</v>
      </c>
      <c r="J7293" s="249" t="s">
        <v>95</v>
      </c>
      <c r="K7293" s="250">
        <v>2747.2527472527472</v>
      </c>
      <c r="L7293" s="241"/>
    </row>
    <row r="7294" spans="1:12" x14ac:dyDescent="0.2">
      <c r="A7294" s="242">
        <v>2022</v>
      </c>
      <c r="B7294" s="242">
        <v>9</v>
      </c>
      <c r="C7294" s="242">
        <v>1</v>
      </c>
      <c r="D7294" s="270">
        <f t="shared" si="598"/>
        <v>44805</v>
      </c>
      <c r="E7294" s="279">
        <f t="shared" si="599"/>
        <v>44805</v>
      </c>
      <c r="F7294" s="478"/>
      <c r="G7294" s="243" t="s">
        <v>94</v>
      </c>
      <c r="H7294" s="243" t="str" cm="1">
        <f t="array" ref="H7294">IFERROR(INDEX(INVESTOR_LIST[INVESTOR NAME],MATCH(I7294,INVESTOR_LIST[INVESTOR CODE],0),)," ")</f>
        <v xml:space="preserve"> </v>
      </c>
      <c r="I7294" s="263" t="s">
        <v>348</v>
      </c>
      <c r="J7294" s="244" t="s">
        <v>63</v>
      </c>
      <c r="K7294" s="245"/>
      <c r="L7294" s="245">
        <v>2747.2527472527472</v>
      </c>
    </row>
    <row r="7295" spans="1:12" x14ac:dyDescent="0.2">
      <c r="A7295" s="246">
        <v>2022</v>
      </c>
      <c r="B7295" s="238">
        <v>9</v>
      </c>
      <c r="C7295" s="238">
        <v>1</v>
      </c>
      <c r="D7295" s="270">
        <f t="shared" si="598"/>
        <v>44805</v>
      </c>
      <c r="E7295" s="279">
        <f t="shared" si="599"/>
        <v>44805</v>
      </c>
      <c r="F7295" s="482" t="s">
        <v>137</v>
      </c>
      <c r="G7295" s="247" t="s">
        <v>94</v>
      </c>
      <c r="H7295" s="247" t="str" cm="1">
        <f t="array" ref="H7295">IFERROR(INDEX(INVESTOR_LIST[INVESTOR NAME],MATCH(I7295,INVESTOR_LIST[INVESTOR CODE],0),)," ")</f>
        <v xml:space="preserve"> </v>
      </c>
      <c r="I7295" s="248" t="s">
        <v>348</v>
      </c>
      <c r="J7295" s="249" t="s">
        <v>97</v>
      </c>
      <c r="K7295" s="250">
        <v>77573.634885989784</v>
      </c>
      <c r="L7295" s="252"/>
    </row>
    <row r="7296" spans="1:12" x14ac:dyDescent="0.2">
      <c r="A7296" s="242">
        <v>2022</v>
      </c>
      <c r="B7296" s="242">
        <v>9</v>
      </c>
      <c r="C7296" s="242">
        <v>1</v>
      </c>
      <c r="D7296" s="270">
        <f t="shared" si="598"/>
        <v>44805</v>
      </c>
      <c r="E7296" s="279">
        <f t="shared" si="599"/>
        <v>44805</v>
      </c>
      <c r="F7296" s="478"/>
      <c r="G7296" s="243" t="s">
        <v>94</v>
      </c>
      <c r="H7296" s="243" t="str" cm="1">
        <f t="array" ref="H7296">IFERROR(INDEX(INVESTOR_LIST[INVESTOR NAME],MATCH(I7296,INVESTOR_LIST[INVESTOR CODE],0),)," ")</f>
        <v xml:space="preserve"> </v>
      </c>
      <c r="I7296" s="263" t="s">
        <v>348</v>
      </c>
      <c r="J7296" s="244" t="s">
        <v>47</v>
      </c>
      <c r="K7296" s="245"/>
      <c r="L7296" s="245">
        <v>77573.634885989784</v>
      </c>
    </row>
    <row r="7297" spans="1:14" x14ac:dyDescent="0.2">
      <c r="A7297" s="246">
        <v>2022</v>
      </c>
      <c r="B7297" s="238">
        <v>9</v>
      </c>
      <c r="C7297" s="238">
        <v>1</v>
      </c>
      <c r="D7297" s="270">
        <f t="shared" si="598"/>
        <v>44805</v>
      </c>
      <c r="E7297" s="279">
        <f t="shared" si="599"/>
        <v>44805</v>
      </c>
      <c r="F7297" s="482" t="s">
        <v>138</v>
      </c>
      <c r="G7297" s="247" t="s">
        <v>94</v>
      </c>
      <c r="H7297" s="247" t="str" cm="1">
        <f t="array" ref="H7297">IFERROR(INDEX(INVESTOR_LIST[INVESTOR NAME],MATCH(I7297,INVESTOR_LIST[INVESTOR CODE],0),)," ")</f>
        <v xml:space="preserve"> </v>
      </c>
      <c r="I7297" s="248" t="s">
        <v>348</v>
      </c>
      <c r="J7297" s="249" t="s">
        <v>100</v>
      </c>
      <c r="K7297" s="250">
        <v>3638.2971289148741</v>
      </c>
      <c r="L7297" s="252"/>
    </row>
    <row r="7298" spans="1:14" x14ac:dyDescent="0.2">
      <c r="A7298" s="246">
        <v>2022</v>
      </c>
      <c r="B7298" s="246">
        <v>9</v>
      </c>
      <c r="C7298" s="246">
        <v>1</v>
      </c>
      <c r="D7298" s="321">
        <f t="shared" si="598"/>
        <v>44805</v>
      </c>
      <c r="E7298" s="322">
        <f t="shared" si="599"/>
        <v>44805</v>
      </c>
      <c r="F7298" s="478"/>
      <c r="G7298" s="243" t="s">
        <v>94</v>
      </c>
      <c r="H7298" s="243" t="str" cm="1">
        <f t="array" ref="H7298">IFERROR(INDEX(INVESTOR_LIST[INVESTOR NAME],MATCH(I7298,INVESTOR_LIST[INVESTOR CODE],0),)," ")</f>
        <v xml:space="preserve"> </v>
      </c>
      <c r="I7298" s="263" t="s">
        <v>348</v>
      </c>
      <c r="J7298" s="244" t="s">
        <v>48</v>
      </c>
      <c r="K7298" s="245"/>
      <c r="L7298" s="245">
        <v>3638.2971289148741</v>
      </c>
    </row>
    <row r="7299" spans="1:14" x14ac:dyDescent="0.2">
      <c r="A7299" s="168">
        <v>2022</v>
      </c>
      <c r="B7299" s="168">
        <v>9</v>
      </c>
      <c r="C7299" s="168">
        <v>3</v>
      </c>
      <c r="D7299" s="141">
        <f t="shared" si="598"/>
        <v>44807</v>
      </c>
      <c r="E7299" s="275">
        <f t="shared" si="599"/>
        <v>44807</v>
      </c>
      <c r="F7299" s="479" t="s">
        <v>1495</v>
      </c>
      <c r="G7299" s="220" t="s">
        <v>74</v>
      </c>
      <c r="H7299" s="142" t="str" cm="1">
        <f t="array" ref="H7299">IFERROR(INDEX(INVESTOR_LIST[INVESTOR NAME],MATCH(I7299,INVESTOR_LIST[INVESTOR CODE],0),)," ")</f>
        <v xml:space="preserve"> </v>
      </c>
      <c r="I7299" s="142"/>
      <c r="J7299" s="168" t="s">
        <v>96</v>
      </c>
      <c r="K7299" s="226">
        <v>10163750</v>
      </c>
      <c r="L7299" s="226"/>
      <c r="M7299" s="264"/>
      <c r="N7299" s="264"/>
    </row>
    <row r="7300" spans="1:14" x14ac:dyDescent="0.2">
      <c r="A7300" s="163">
        <v>2022</v>
      </c>
      <c r="B7300" s="163">
        <v>9</v>
      </c>
      <c r="C7300" s="163">
        <v>3</v>
      </c>
      <c r="D7300" s="141">
        <f t="shared" si="598"/>
        <v>44807</v>
      </c>
      <c r="E7300" s="275">
        <f t="shared" si="599"/>
        <v>44807</v>
      </c>
      <c r="F7300" s="480"/>
      <c r="G7300" s="221" t="s">
        <v>74</v>
      </c>
      <c r="H7300" s="145" t="str" cm="1">
        <f t="array" ref="H7300">IFERROR(INDEX(INVESTOR_LIST[INVESTOR NAME],MATCH(I7300,INVESTOR_LIST[INVESTOR CODE],0),)," ")</f>
        <v xml:space="preserve"> </v>
      </c>
      <c r="I7300" s="145"/>
      <c r="J7300" s="163" t="s">
        <v>96</v>
      </c>
      <c r="K7300" s="219"/>
      <c r="L7300" s="219">
        <v>10163750</v>
      </c>
    </row>
    <row r="7301" spans="1:14" x14ac:dyDescent="0.2">
      <c r="A7301" s="168">
        <v>2022</v>
      </c>
      <c r="B7301" s="168">
        <v>9</v>
      </c>
      <c r="C7301" s="133">
        <v>5</v>
      </c>
      <c r="D7301" s="141">
        <f t="shared" si="598"/>
        <v>44809</v>
      </c>
      <c r="E7301" s="275">
        <f t="shared" si="599"/>
        <v>44809</v>
      </c>
      <c r="F7301" s="479" t="s">
        <v>1319</v>
      </c>
      <c r="G7301" s="220" t="s">
        <v>74</v>
      </c>
      <c r="H7301" s="142" t="str" cm="1">
        <f t="array" ref="H7301">IFERROR(INDEX(INVESTOR_LIST[INVESTOR NAME],MATCH(I7301,INVESTOR_LIST[INVESTOR CODE],0),)," ")</f>
        <v xml:space="preserve"> </v>
      </c>
      <c r="I7301" s="142"/>
      <c r="J7301" s="168" t="s">
        <v>52</v>
      </c>
      <c r="K7301" s="226">
        <v>383000</v>
      </c>
      <c r="L7301" s="226"/>
    </row>
    <row r="7302" spans="1:14" x14ac:dyDescent="0.2">
      <c r="A7302" s="133">
        <v>2022</v>
      </c>
      <c r="B7302" s="133">
        <v>9</v>
      </c>
      <c r="C7302" s="133">
        <v>5</v>
      </c>
      <c r="D7302" s="141">
        <f t="shared" si="598"/>
        <v>44809</v>
      </c>
      <c r="E7302" s="275">
        <f t="shared" si="599"/>
        <v>44809</v>
      </c>
      <c r="F7302" s="481"/>
      <c r="G7302" s="174" t="s">
        <v>74</v>
      </c>
      <c r="H7302" s="148" t="str" cm="1">
        <f t="array" ref="H7302">IFERROR(INDEX(INVESTOR_LIST[INVESTOR NAME],MATCH(I7302,INVESTOR_LIST[INVESTOR CODE],0),)," ")</f>
        <v xml:space="preserve"> </v>
      </c>
      <c r="J7302" s="133" t="s">
        <v>13</v>
      </c>
      <c r="K7302" s="133"/>
      <c r="L7302" s="218">
        <v>318630</v>
      </c>
    </row>
    <row r="7303" spans="1:14" x14ac:dyDescent="0.2">
      <c r="A7303" s="163">
        <v>2022</v>
      </c>
      <c r="B7303" s="163">
        <v>9</v>
      </c>
      <c r="C7303" s="163">
        <v>5</v>
      </c>
      <c r="D7303" s="280">
        <f t="shared" si="598"/>
        <v>44809</v>
      </c>
      <c r="E7303" s="281">
        <f t="shared" si="599"/>
        <v>44809</v>
      </c>
      <c r="F7303" s="480"/>
      <c r="G7303" s="221" t="s">
        <v>74</v>
      </c>
      <c r="H7303" s="145" t="str" cm="1">
        <f t="array" ref="H7303">IFERROR(INDEX(INVESTOR_LIST[INVESTOR NAME],MATCH(I7303,INVESTOR_LIST[INVESTOR CODE],0),)," ")</f>
        <v xml:space="preserve"> </v>
      </c>
      <c r="I7303" s="145"/>
      <c r="J7303" s="163" t="s">
        <v>53</v>
      </c>
      <c r="K7303" s="219"/>
      <c r="L7303" s="219">
        <v>64370</v>
      </c>
    </row>
    <row r="7304" spans="1:14" x14ac:dyDescent="0.2">
      <c r="A7304" s="133">
        <v>2022</v>
      </c>
      <c r="B7304" s="133">
        <v>9</v>
      </c>
      <c r="C7304" s="168">
        <v>6</v>
      </c>
      <c r="D7304" s="141">
        <f t="shared" si="598"/>
        <v>44810</v>
      </c>
      <c r="E7304" s="275">
        <f t="shared" si="599"/>
        <v>44810</v>
      </c>
      <c r="F7304" s="479" t="s">
        <v>1496</v>
      </c>
      <c r="G7304" s="174" t="s">
        <v>74</v>
      </c>
      <c r="H7304" s="148" t="str" cm="1">
        <f t="array" ref="H7304">IFERROR(INDEX(INVESTOR_LIST[INVESTOR NAME],MATCH(I7304,INVESTOR_LIST[INVESTOR CODE],0),)," ")</f>
        <v xml:space="preserve"> </v>
      </c>
      <c r="I7304" s="148" t="s">
        <v>348</v>
      </c>
      <c r="J7304" s="133" t="s">
        <v>52</v>
      </c>
      <c r="K7304" s="172">
        <v>174054.22</v>
      </c>
    </row>
    <row r="7305" spans="1:14" x14ac:dyDescent="0.2">
      <c r="A7305" s="163">
        <v>2022</v>
      </c>
      <c r="B7305" s="163">
        <v>9</v>
      </c>
      <c r="C7305" s="163">
        <v>6</v>
      </c>
      <c r="D7305" s="141">
        <f t="shared" si="598"/>
        <v>44810</v>
      </c>
      <c r="E7305" s="275">
        <f t="shared" si="599"/>
        <v>44810</v>
      </c>
      <c r="F7305" s="480"/>
      <c r="G7305" s="221" t="s">
        <v>74</v>
      </c>
      <c r="H7305" s="145" t="str" cm="1">
        <f t="array" ref="H7305">IFERROR(INDEX(INVESTOR_LIST[INVESTOR NAME],MATCH(I7305,INVESTOR_LIST[INVESTOR CODE],0),)," ")</f>
        <v xml:space="preserve"> </v>
      </c>
      <c r="I7305" s="145" t="s">
        <v>348</v>
      </c>
      <c r="J7305" s="163" t="s">
        <v>133</v>
      </c>
      <c r="K7305" s="219"/>
      <c r="L7305" s="219">
        <v>174054.22</v>
      </c>
    </row>
    <row r="7306" spans="1:14" x14ac:dyDescent="0.2">
      <c r="A7306" s="168">
        <v>2022</v>
      </c>
      <c r="B7306" s="168">
        <v>9</v>
      </c>
      <c r="C7306" s="168">
        <v>6</v>
      </c>
      <c r="D7306" s="141">
        <f t="shared" si="598"/>
        <v>44810</v>
      </c>
      <c r="E7306" s="275">
        <f t="shared" si="599"/>
        <v>44810</v>
      </c>
      <c r="F7306" s="479" t="s">
        <v>907</v>
      </c>
      <c r="G7306" s="220" t="s">
        <v>74</v>
      </c>
      <c r="H7306" s="220" t="str" cm="1">
        <f t="array" ref="H7306">IFERROR(INDEX(INVESTOR_LIST[INVESTOR NAME],MATCH(I7306,INVESTOR_LIST[INVESTOR CODE],0),)," ")</f>
        <v xml:space="preserve"> </v>
      </c>
      <c r="I7306" s="142" t="s">
        <v>348</v>
      </c>
      <c r="J7306" s="143" t="s">
        <v>104</v>
      </c>
      <c r="K7306" s="226">
        <v>26000</v>
      </c>
      <c r="L7306" s="226"/>
    </row>
    <row r="7307" spans="1:14" x14ac:dyDescent="0.2">
      <c r="A7307" s="163">
        <v>2022</v>
      </c>
      <c r="B7307" s="163">
        <v>9</v>
      </c>
      <c r="C7307" s="163">
        <v>6</v>
      </c>
      <c r="D7307" s="141">
        <f t="shared" si="598"/>
        <v>44810</v>
      </c>
      <c r="E7307" s="275">
        <f t="shared" si="599"/>
        <v>44810</v>
      </c>
      <c r="F7307" s="480"/>
      <c r="G7307" s="221" t="s">
        <v>74</v>
      </c>
      <c r="H7307" s="221" t="str" cm="1">
        <f t="array" ref="H7307">IFERROR(INDEX(INVESTOR_LIST[INVESTOR NAME],MATCH(I7307,INVESTOR_LIST[INVESTOR CODE],0),)," ")</f>
        <v xml:space="preserve"> </v>
      </c>
      <c r="I7307" s="145" t="s">
        <v>348</v>
      </c>
      <c r="J7307" s="146" t="s">
        <v>52</v>
      </c>
      <c r="K7307" s="219"/>
      <c r="L7307" s="219">
        <v>26000</v>
      </c>
    </row>
    <row r="7308" spans="1:14" ht="33.75" x14ac:dyDescent="0.2">
      <c r="A7308" s="168">
        <v>2022</v>
      </c>
      <c r="B7308" s="168">
        <v>9</v>
      </c>
      <c r="C7308" s="133">
        <v>7</v>
      </c>
      <c r="D7308" s="141">
        <f t="shared" ref="D7308:D7310" si="604">DATE(A7308,B7308,C7308)</f>
        <v>44811</v>
      </c>
      <c r="E7308" s="275">
        <f t="shared" ref="E7308:E7310" si="605">DATE(A7308,B7308,C7308)</f>
        <v>44811</v>
      </c>
      <c r="F7308" s="479" t="s">
        <v>964</v>
      </c>
      <c r="G7308" s="220" t="s">
        <v>74</v>
      </c>
      <c r="H7308" s="142" t="str" cm="1">
        <f t="array" ref="H7308">IFERROR(INDEX(INVESTOR_LIST[INVESTOR NAME],MATCH(I7308,INVESTOR_LIST[INVESTOR CODE],0),)," ")</f>
        <v>MAYA RANI SAHA</v>
      </c>
      <c r="I7308" s="142" t="s">
        <v>456</v>
      </c>
      <c r="J7308" s="168" t="s">
        <v>52</v>
      </c>
      <c r="K7308" s="226">
        <v>100000</v>
      </c>
      <c r="L7308" s="226"/>
    </row>
    <row r="7309" spans="1:14" ht="33.75" x14ac:dyDescent="0.2">
      <c r="A7309" s="133">
        <v>2022</v>
      </c>
      <c r="B7309" s="133">
        <v>9</v>
      </c>
      <c r="C7309" s="133">
        <v>7</v>
      </c>
      <c r="D7309" s="141">
        <f t="shared" si="604"/>
        <v>44811</v>
      </c>
      <c r="E7309" s="275">
        <f t="shared" si="605"/>
        <v>44811</v>
      </c>
      <c r="F7309" s="481"/>
      <c r="G7309" s="174" t="s">
        <v>74</v>
      </c>
      <c r="H7309" s="148" t="str" cm="1">
        <f t="array" ref="H7309">IFERROR(INDEX(INVESTOR_LIST[INVESTOR NAME],MATCH(I7309,INVESTOR_LIST[INVESTOR CODE],0),)," ")</f>
        <v>MAYA RANI SAHA</v>
      </c>
      <c r="I7309" s="148" t="s">
        <v>456</v>
      </c>
      <c r="J7309" s="133" t="s">
        <v>13</v>
      </c>
      <c r="K7309" s="218"/>
      <c r="L7309" s="218">
        <v>83190</v>
      </c>
    </row>
    <row r="7310" spans="1:14" ht="33.75" x14ac:dyDescent="0.2">
      <c r="A7310" s="163">
        <v>2022</v>
      </c>
      <c r="B7310" s="163">
        <v>9</v>
      </c>
      <c r="C7310" s="163">
        <v>7</v>
      </c>
      <c r="D7310" s="280">
        <f t="shared" si="604"/>
        <v>44811</v>
      </c>
      <c r="E7310" s="281">
        <f t="shared" si="605"/>
        <v>44811</v>
      </c>
      <c r="F7310" s="480"/>
      <c r="G7310" s="221" t="s">
        <v>74</v>
      </c>
      <c r="H7310" s="145" t="str" cm="1">
        <f t="array" ref="H7310">IFERROR(INDEX(INVESTOR_LIST[INVESTOR NAME],MATCH(I7310,INVESTOR_LIST[INVESTOR CODE],0),)," ")</f>
        <v>MAYA RANI SAHA</v>
      </c>
      <c r="I7310" s="145" t="s">
        <v>456</v>
      </c>
      <c r="J7310" s="163" t="s">
        <v>53</v>
      </c>
      <c r="K7310" s="219"/>
      <c r="L7310" s="219">
        <v>16810</v>
      </c>
    </row>
    <row r="7311" spans="1:14" ht="22.5" x14ac:dyDescent="0.2">
      <c r="A7311" s="168">
        <v>2022</v>
      </c>
      <c r="B7311" s="168">
        <v>9</v>
      </c>
      <c r="C7311" s="133">
        <v>8</v>
      </c>
      <c r="D7311" s="141">
        <f t="shared" ref="D7311:D7317" si="606">DATE(A7311,B7311,C7311)</f>
        <v>44812</v>
      </c>
      <c r="E7311" s="275">
        <f t="shared" ref="E7311:E7317" si="607">DATE(A7311,B7311,C7311)</f>
        <v>44812</v>
      </c>
      <c r="F7311" s="479" t="s">
        <v>964</v>
      </c>
      <c r="G7311" s="220" t="s">
        <v>74</v>
      </c>
      <c r="H7311" s="142" t="str" cm="1">
        <f t="array" ref="H7311">IFERROR(INDEX(INVESTOR_LIST[INVESTOR NAME],MATCH(I7311,INVESTOR_LIST[INVESTOR CODE],0),)," ")</f>
        <v>SRIJON GHOSH</v>
      </c>
      <c r="I7311" s="142" t="s">
        <v>1418</v>
      </c>
      <c r="J7311" s="168" t="s">
        <v>52</v>
      </c>
      <c r="K7311" s="226">
        <v>8000</v>
      </c>
      <c r="L7311" s="226"/>
    </row>
    <row r="7312" spans="1:14" ht="22.5" x14ac:dyDescent="0.2">
      <c r="A7312" s="133">
        <v>2022</v>
      </c>
      <c r="B7312" s="133">
        <v>9</v>
      </c>
      <c r="C7312" s="133">
        <v>8</v>
      </c>
      <c r="D7312" s="141">
        <f t="shared" si="606"/>
        <v>44812</v>
      </c>
      <c r="E7312" s="275">
        <f t="shared" si="607"/>
        <v>44812</v>
      </c>
      <c r="F7312" s="481"/>
      <c r="G7312" s="174" t="s">
        <v>74</v>
      </c>
      <c r="H7312" s="148" t="str" cm="1">
        <f t="array" ref="H7312">IFERROR(INDEX(INVESTOR_LIST[INVESTOR NAME],MATCH(I7312,INVESTOR_LIST[INVESTOR CODE],0),)," ")</f>
        <v>SRIJON GHOSH</v>
      </c>
      <c r="I7312" s="148" t="s">
        <v>1418</v>
      </c>
      <c r="J7312" s="133" t="s">
        <v>13</v>
      </c>
      <c r="K7312" s="218"/>
      <c r="L7312" s="218">
        <v>6660</v>
      </c>
    </row>
    <row r="7313" spans="1:12" ht="22.5" x14ac:dyDescent="0.2">
      <c r="A7313" s="163">
        <v>2022</v>
      </c>
      <c r="B7313" s="163">
        <v>9</v>
      </c>
      <c r="C7313" s="163">
        <v>8</v>
      </c>
      <c r="D7313" s="280">
        <f t="shared" si="606"/>
        <v>44812</v>
      </c>
      <c r="E7313" s="281">
        <f t="shared" si="607"/>
        <v>44812</v>
      </c>
      <c r="F7313" s="480"/>
      <c r="G7313" s="221" t="s">
        <v>74</v>
      </c>
      <c r="H7313" s="145" t="str" cm="1">
        <f t="array" ref="H7313">IFERROR(INDEX(INVESTOR_LIST[INVESTOR NAME],MATCH(I7313,INVESTOR_LIST[INVESTOR CODE],0),)," ")</f>
        <v>SRIJON GHOSH</v>
      </c>
      <c r="I7313" s="145" t="s">
        <v>1418</v>
      </c>
      <c r="J7313" s="163" t="s">
        <v>53</v>
      </c>
      <c r="K7313" s="219"/>
      <c r="L7313" s="219">
        <v>1340</v>
      </c>
    </row>
    <row r="7314" spans="1:12" x14ac:dyDescent="0.2">
      <c r="A7314" s="324">
        <v>2022</v>
      </c>
      <c r="B7314" s="324">
        <v>9</v>
      </c>
      <c r="C7314" s="325">
        <v>8</v>
      </c>
      <c r="D7314" s="326">
        <f t="shared" si="606"/>
        <v>44812</v>
      </c>
      <c r="E7314" s="327">
        <f t="shared" si="607"/>
        <v>44812</v>
      </c>
      <c r="F7314" s="473" t="s">
        <v>1489</v>
      </c>
      <c r="G7314" s="328" t="s">
        <v>94</v>
      </c>
      <c r="H7314" s="329" t="str" cm="1">
        <f t="array" ref="H7314">IFERROR(INDEX(INVESTOR_LIST[INVESTOR NAME],MATCH(I7314,INVESTOR_LIST[INVESTOR CODE],0),)," ")</f>
        <v xml:space="preserve"> </v>
      </c>
      <c r="I7314" s="329" t="s">
        <v>348</v>
      </c>
      <c r="J7314" s="324" t="s">
        <v>133</v>
      </c>
      <c r="K7314" s="330">
        <v>3424.28</v>
      </c>
      <c r="L7314" s="330"/>
    </row>
    <row r="7315" spans="1:12" x14ac:dyDescent="0.2">
      <c r="A7315" s="331">
        <v>2022</v>
      </c>
      <c r="B7315" s="331">
        <v>9</v>
      </c>
      <c r="C7315" s="331">
        <v>8</v>
      </c>
      <c r="D7315" s="326">
        <f t="shared" si="606"/>
        <v>44812</v>
      </c>
      <c r="E7315" s="327">
        <f t="shared" si="607"/>
        <v>44812</v>
      </c>
      <c r="F7315" s="474"/>
      <c r="G7315" s="332" t="s">
        <v>94</v>
      </c>
      <c r="H7315" s="333" t="str" cm="1">
        <f t="array" ref="H7315">IFERROR(INDEX(INVESTOR_LIST[INVESTOR NAME],MATCH(I7315,INVESTOR_LIST[INVESTOR CODE],0),)," ")</f>
        <v xml:space="preserve"> </v>
      </c>
      <c r="I7315" s="333" t="s">
        <v>348</v>
      </c>
      <c r="J7315" s="331" t="s">
        <v>152</v>
      </c>
      <c r="K7315" s="334"/>
      <c r="L7315" s="334">
        <v>3424.28</v>
      </c>
    </row>
    <row r="7316" spans="1:12" x14ac:dyDescent="0.2">
      <c r="A7316" s="324">
        <v>2022</v>
      </c>
      <c r="B7316" s="324">
        <v>9</v>
      </c>
      <c r="C7316" s="325">
        <v>8</v>
      </c>
      <c r="D7316" s="326">
        <f t="shared" si="606"/>
        <v>44812</v>
      </c>
      <c r="E7316" s="327">
        <f t="shared" si="607"/>
        <v>44812</v>
      </c>
      <c r="F7316" s="473" t="s">
        <v>1491</v>
      </c>
      <c r="G7316" s="328" t="s">
        <v>94</v>
      </c>
      <c r="H7316" s="329" t="str" cm="1">
        <f t="array" ref="H7316">IFERROR(INDEX(INVESTOR_LIST[INVESTOR NAME],MATCH(I7316,INVESTOR_LIST[INVESTOR CODE],0),)," ")</f>
        <v xml:space="preserve"> </v>
      </c>
      <c r="I7316" s="329" t="s">
        <v>348</v>
      </c>
      <c r="J7316" s="324" t="s">
        <v>133</v>
      </c>
      <c r="K7316" s="330">
        <v>10838.39</v>
      </c>
      <c r="L7316" s="330"/>
    </row>
    <row r="7317" spans="1:12" x14ac:dyDescent="0.2">
      <c r="A7317" s="331">
        <v>2022</v>
      </c>
      <c r="B7317" s="331">
        <v>9</v>
      </c>
      <c r="C7317" s="331">
        <v>8</v>
      </c>
      <c r="D7317" s="326">
        <f t="shared" si="606"/>
        <v>44812</v>
      </c>
      <c r="E7317" s="327">
        <f t="shared" si="607"/>
        <v>44812</v>
      </c>
      <c r="F7317" s="474"/>
      <c r="G7317" s="332" t="s">
        <v>94</v>
      </c>
      <c r="H7317" s="333" t="str" cm="1">
        <f t="array" ref="H7317">IFERROR(INDEX(INVESTOR_LIST[INVESTOR NAME],MATCH(I7317,INVESTOR_LIST[INVESTOR CODE],0),)," ")</f>
        <v xml:space="preserve"> </v>
      </c>
      <c r="I7317" s="333" t="s">
        <v>348</v>
      </c>
      <c r="J7317" s="331" t="s">
        <v>152</v>
      </c>
      <c r="K7317" s="334"/>
      <c r="L7317" s="334">
        <v>10838.39</v>
      </c>
    </row>
    <row r="7318" spans="1:12" x14ac:dyDescent="0.2">
      <c r="A7318" s="324">
        <v>2022</v>
      </c>
      <c r="B7318" s="324">
        <v>9</v>
      </c>
      <c r="C7318" s="325">
        <v>8</v>
      </c>
      <c r="D7318" s="326">
        <f>DATE(A7318,B7318,C7318)</f>
        <v>44812</v>
      </c>
      <c r="E7318" s="327">
        <f>DATE(A7318,B7318,C7318)</f>
        <v>44812</v>
      </c>
      <c r="F7318" s="473" t="s">
        <v>1490</v>
      </c>
      <c r="G7318" s="328" t="s">
        <v>94</v>
      </c>
      <c r="H7318" s="329" t="str" cm="1">
        <f t="array" ref="H7318">IFERROR(INDEX(INVESTOR_LIST[INVESTOR NAME],MATCH(I7318,INVESTOR_LIST[INVESTOR CODE],0),)," ")</f>
        <v xml:space="preserve"> </v>
      </c>
      <c r="I7318" s="329" t="s">
        <v>348</v>
      </c>
      <c r="J7318" s="324" t="s">
        <v>133</v>
      </c>
      <c r="K7318" s="330">
        <v>13681.97</v>
      </c>
      <c r="L7318" s="330"/>
    </row>
    <row r="7319" spans="1:12" x14ac:dyDescent="0.2">
      <c r="A7319" s="331">
        <v>2022</v>
      </c>
      <c r="B7319" s="331">
        <v>9</v>
      </c>
      <c r="C7319" s="331">
        <v>8</v>
      </c>
      <c r="D7319" s="326">
        <f>DATE(A7319,B7319,C7319)</f>
        <v>44812</v>
      </c>
      <c r="E7319" s="327">
        <f>DATE(A7319,B7319,C7319)</f>
        <v>44812</v>
      </c>
      <c r="F7319" s="474"/>
      <c r="G7319" s="332" t="s">
        <v>94</v>
      </c>
      <c r="H7319" s="333" t="str" cm="1">
        <f t="array" ref="H7319">IFERROR(INDEX(INVESTOR_LIST[INVESTOR NAME],MATCH(I7319,INVESTOR_LIST[INVESTOR CODE],0),)," ")</f>
        <v xml:space="preserve"> </v>
      </c>
      <c r="I7319" s="333" t="s">
        <v>348</v>
      </c>
      <c r="J7319" s="331" t="s">
        <v>152</v>
      </c>
      <c r="K7319" s="334"/>
      <c r="L7319" s="334">
        <v>13681.97</v>
      </c>
    </row>
    <row r="7320" spans="1:12" x14ac:dyDescent="0.2">
      <c r="A7320" s="238">
        <v>2022</v>
      </c>
      <c r="B7320" s="238">
        <v>9</v>
      </c>
      <c r="C7320" s="238">
        <v>8</v>
      </c>
      <c r="D7320" s="270">
        <f t="shared" ref="D7320:D7330" si="608">DATE(A7320,B7320,C7320)</f>
        <v>44812</v>
      </c>
      <c r="E7320" s="279">
        <f t="shared" ref="E7320:E7330" si="609">DATE(A7320,B7320,C7320)</f>
        <v>44812</v>
      </c>
      <c r="F7320" s="477" t="s">
        <v>347</v>
      </c>
      <c r="G7320" s="239" t="s">
        <v>94</v>
      </c>
      <c r="H7320" s="239" t="str" cm="1">
        <f t="array" ref="H7320">IFERROR(INDEX(INVESTOR_LIST[INVESTOR NAME],MATCH(I7320,INVESTOR_LIST[INVESTOR CODE],0),)," ")</f>
        <v xml:space="preserve"> </v>
      </c>
      <c r="I7320" s="262" t="s">
        <v>348</v>
      </c>
      <c r="J7320" s="240" t="s">
        <v>108</v>
      </c>
      <c r="K7320" s="241">
        <v>1165761.1999999881</v>
      </c>
      <c r="L7320" s="241"/>
    </row>
    <row r="7321" spans="1:12" x14ac:dyDescent="0.2">
      <c r="A7321" s="242">
        <v>2022</v>
      </c>
      <c r="B7321" s="242">
        <v>9</v>
      </c>
      <c r="C7321" s="242">
        <v>8</v>
      </c>
      <c r="D7321" s="270">
        <f t="shared" si="608"/>
        <v>44812</v>
      </c>
      <c r="E7321" s="279">
        <f t="shared" si="609"/>
        <v>44812</v>
      </c>
      <c r="F7321" s="478"/>
      <c r="G7321" s="243" t="s">
        <v>94</v>
      </c>
      <c r="H7321" s="243" t="str" cm="1">
        <f t="array" ref="H7321">IFERROR(INDEX(INVESTOR_LIST[INVESTOR NAME],MATCH(I7321,INVESTOR_LIST[INVESTOR CODE],0),)," ")</f>
        <v xml:space="preserve"> </v>
      </c>
      <c r="I7321" s="263" t="s">
        <v>348</v>
      </c>
      <c r="J7321" s="244" t="s">
        <v>82</v>
      </c>
      <c r="K7321" s="245"/>
      <c r="L7321" s="245">
        <v>1165761.1999999881</v>
      </c>
    </row>
    <row r="7322" spans="1:12" ht="22.5" x14ac:dyDescent="0.2">
      <c r="A7322" s="246">
        <v>2022</v>
      </c>
      <c r="B7322" s="238">
        <v>9</v>
      </c>
      <c r="C7322" s="238">
        <v>8</v>
      </c>
      <c r="D7322" s="270">
        <f t="shared" si="608"/>
        <v>44812</v>
      </c>
      <c r="E7322" s="279">
        <f t="shared" si="609"/>
        <v>44812</v>
      </c>
      <c r="F7322" s="482" t="s">
        <v>148</v>
      </c>
      <c r="G7322" s="247" t="s">
        <v>94</v>
      </c>
      <c r="H7322" s="247" t="str" cm="1">
        <f t="array" ref="H7322">IFERROR(INDEX(INVESTOR_LIST[INVESTOR NAME],MATCH(I7322,INVESTOR_LIST[INVESTOR CODE],0),)," ")</f>
        <v xml:space="preserve"> </v>
      </c>
      <c r="I7322" s="248" t="s">
        <v>348</v>
      </c>
      <c r="J7322" s="249" t="s">
        <v>95</v>
      </c>
      <c r="K7322" s="250">
        <v>2747.2527472527472</v>
      </c>
      <c r="L7322" s="241"/>
    </row>
    <row r="7323" spans="1:12" x14ac:dyDescent="0.2">
      <c r="A7323" s="242">
        <v>2022</v>
      </c>
      <c r="B7323" s="242">
        <v>9</v>
      </c>
      <c r="C7323" s="242">
        <v>8</v>
      </c>
      <c r="D7323" s="270">
        <f t="shared" si="608"/>
        <v>44812</v>
      </c>
      <c r="E7323" s="279">
        <f t="shared" si="609"/>
        <v>44812</v>
      </c>
      <c r="F7323" s="478"/>
      <c r="G7323" s="243" t="s">
        <v>94</v>
      </c>
      <c r="H7323" s="243" t="str" cm="1">
        <f t="array" ref="H7323">IFERROR(INDEX(INVESTOR_LIST[INVESTOR NAME],MATCH(I7323,INVESTOR_LIST[INVESTOR CODE],0),)," ")</f>
        <v xml:space="preserve"> </v>
      </c>
      <c r="I7323" s="263" t="s">
        <v>348</v>
      </c>
      <c r="J7323" s="244" t="s">
        <v>63</v>
      </c>
      <c r="K7323" s="245"/>
      <c r="L7323" s="245">
        <v>2747.2527472527472</v>
      </c>
    </row>
    <row r="7324" spans="1:12" x14ac:dyDescent="0.2">
      <c r="A7324" s="246">
        <v>2022</v>
      </c>
      <c r="B7324" s="238">
        <v>9</v>
      </c>
      <c r="C7324" s="238">
        <v>8</v>
      </c>
      <c r="D7324" s="270">
        <f t="shared" si="608"/>
        <v>44812</v>
      </c>
      <c r="E7324" s="279">
        <f t="shared" si="609"/>
        <v>44812</v>
      </c>
      <c r="F7324" s="482" t="s">
        <v>137</v>
      </c>
      <c r="G7324" s="247" t="s">
        <v>94</v>
      </c>
      <c r="H7324" s="247" t="str" cm="1">
        <f t="array" ref="H7324">IFERROR(INDEX(INVESTOR_LIST[INVESTOR NAME],MATCH(I7324,INVESTOR_LIST[INVESTOR CODE],0),)," ")</f>
        <v xml:space="preserve"> </v>
      </c>
      <c r="I7324" s="248" t="s">
        <v>348</v>
      </c>
      <c r="J7324" s="249" t="s">
        <v>97</v>
      </c>
      <c r="K7324" s="250">
        <v>78305.223670937034</v>
      </c>
      <c r="L7324" s="252"/>
    </row>
    <row r="7325" spans="1:12" x14ac:dyDescent="0.2">
      <c r="A7325" s="242">
        <v>2022</v>
      </c>
      <c r="B7325" s="242">
        <v>9</v>
      </c>
      <c r="C7325" s="242">
        <v>8</v>
      </c>
      <c r="D7325" s="270">
        <f t="shared" si="608"/>
        <v>44812</v>
      </c>
      <c r="E7325" s="279">
        <f t="shared" si="609"/>
        <v>44812</v>
      </c>
      <c r="F7325" s="478"/>
      <c r="G7325" s="243" t="s">
        <v>94</v>
      </c>
      <c r="H7325" s="243" t="str" cm="1">
        <f t="array" ref="H7325">IFERROR(INDEX(INVESTOR_LIST[INVESTOR NAME],MATCH(I7325,INVESTOR_LIST[INVESTOR CODE],0),)," ")</f>
        <v xml:space="preserve"> </v>
      </c>
      <c r="I7325" s="263" t="s">
        <v>348</v>
      </c>
      <c r="J7325" s="244" t="s">
        <v>47</v>
      </c>
      <c r="K7325" s="245"/>
      <c r="L7325" s="245">
        <v>78305.223670937034</v>
      </c>
    </row>
    <row r="7326" spans="1:12" x14ac:dyDescent="0.2">
      <c r="A7326" s="246">
        <v>2022</v>
      </c>
      <c r="B7326" s="238">
        <v>9</v>
      </c>
      <c r="C7326" s="238">
        <v>8</v>
      </c>
      <c r="D7326" s="270">
        <f t="shared" si="608"/>
        <v>44812</v>
      </c>
      <c r="E7326" s="279">
        <f t="shared" si="609"/>
        <v>44812</v>
      </c>
      <c r="F7326" s="482" t="s">
        <v>138</v>
      </c>
      <c r="G7326" s="247" t="s">
        <v>94</v>
      </c>
      <c r="H7326" s="247" t="str" cm="1">
        <f t="array" ref="H7326">IFERROR(INDEX(INVESTOR_LIST[INVESTOR NAME],MATCH(I7326,INVESTOR_LIST[INVESTOR CODE],0),)," ")</f>
        <v xml:space="preserve"> </v>
      </c>
      <c r="I7326" s="248" t="s">
        <v>348</v>
      </c>
      <c r="J7326" s="249" t="s">
        <v>100</v>
      </c>
      <c r="K7326" s="250">
        <v>3674.8765681622363</v>
      </c>
      <c r="L7326" s="252"/>
    </row>
    <row r="7327" spans="1:12" x14ac:dyDescent="0.2">
      <c r="A7327" s="242">
        <v>2022</v>
      </c>
      <c r="B7327" s="242">
        <v>9</v>
      </c>
      <c r="C7327" s="242">
        <v>8</v>
      </c>
      <c r="D7327" s="321">
        <f t="shared" si="608"/>
        <v>44812</v>
      </c>
      <c r="E7327" s="322">
        <f t="shared" si="609"/>
        <v>44812</v>
      </c>
      <c r="F7327" s="478"/>
      <c r="G7327" s="243" t="s">
        <v>94</v>
      </c>
      <c r="H7327" s="243" t="str" cm="1">
        <f t="array" ref="H7327">IFERROR(INDEX(INVESTOR_LIST[INVESTOR NAME],MATCH(I7327,INVESTOR_LIST[INVESTOR CODE],0),)," ")</f>
        <v xml:space="preserve"> </v>
      </c>
      <c r="I7327" s="263" t="s">
        <v>348</v>
      </c>
      <c r="J7327" s="244" t="s">
        <v>48</v>
      </c>
      <c r="K7327" s="245"/>
      <c r="L7327" s="245">
        <v>3674.8765681622363</v>
      </c>
    </row>
    <row r="7328" spans="1:12" ht="33.75" x14ac:dyDescent="0.2">
      <c r="A7328" s="168">
        <v>2022</v>
      </c>
      <c r="B7328" s="168">
        <v>9</v>
      </c>
      <c r="C7328" s="133">
        <v>12</v>
      </c>
      <c r="D7328" s="141">
        <f t="shared" si="608"/>
        <v>44816</v>
      </c>
      <c r="E7328" s="275">
        <f t="shared" si="609"/>
        <v>44816</v>
      </c>
      <c r="F7328" s="479" t="s">
        <v>1315</v>
      </c>
      <c r="G7328" s="220" t="s">
        <v>74</v>
      </c>
      <c r="H7328" s="142" t="str" cm="1">
        <f t="array" ref="H7328">IFERROR(INDEX(INVESTOR_LIST[INVESTOR NAME],MATCH(I7328,INVESTOR_LIST[INVESTOR CODE],0),)," ")</f>
        <v>SUHAIEB CHOWDHURY</v>
      </c>
      <c r="I7328" s="142" t="s">
        <v>472</v>
      </c>
      <c r="J7328" s="168" t="s">
        <v>13</v>
      </c>
      <c r="K7328" s="226">
        <v>367690</v>
      </c>
      <c r="L7328" s="226"/>
    </row>
    <row r="7329" spans="1:13" ht="33.75" x14ac:dyDescent="0.2">
      <c r="A7329" s="133">
        <v>2022</v>
      </c>
      <c r="B7329" s="133">
        <v>9</v>
      </c>
      <c r="C7329" s="133">
        <v>12</v>
      </c>
      <c r="D7329" s="141">
        <f t="shared" si="608"/>
        <v>44816</v>
      </c>
      <c r="E7329" s="275">
        <f t="shared" si="609"/>
        <v>44816</v>
      </c>
      <c r="F7329" s="481"/>
      <c r="G7329" s="174" t="s">
        <v>74</v>
      </c>
      <c r="H7329" s="148" t="str" cm="1">
        <f t="array" ref="H7329">IFERROR(INDEX(INVESTOR_LIST[INVESTOR NAME],MATCH(I7329,INVESTOR_LIST[INVESTOR CODE],0),)," ")</f>
        <v>SUHAIEB CHOWDHURY</v>
      </c>
      <c r="I7329" s="148" t="s">
        <v>472</v>
      </c>
      <c r="J7329" s="133" t="s">
        <v>53</v>
      </c>
      <c r="K7329" s="218">
        <v>77582.59</v>
      </c>
      <c r="L7329" s="218"/>
    </row>
    <row r="7330" spans="1:13" ht="33.75" x14ac:dyDescent="0.2">
      <c r="A7330" s="163">
        <v>2022</v>
      </c>
      <c r="B7330" s="163">
        <v>9</v>
      </c>
      <c r="C7330" s="163">
        <v>12</v>
      </c>
      <c r="D7330" s="280">
        <f t="shared" si="608"/>
        <v>44816</v>
      </c>
      <c r="E7330" s="281">
        <f t="shared" si="609"/>
        <v>44816</v>
      </c>
      <c r="F7330" s="480"/>
      <c r="G7330" s="221" t="s">
        <v>74</v>
      </c>
      <c r="H7330" s="145" t="str" cm="1">
        <f t="array" ref="H7330">IFERROR(INDEX(INVESTOR_LIST[INVESTOR NAME],MATCH(I7330,INVESTOR_LIST[INVESTOR CODE],0),)," ")</f>
        <v>SUHAIEB CHOWDHURY</v>
      </c>
      <c r="I7330" s="145" t="s">
        <v>472</v>
      </c>
      <c r="J7330" s="163" t="s">
        <v>52</v>
      </c>
      <c r="K7330" s="219"/>
      <c r="L7330" s="219">
        <v>445272.59</v>
      </c>
    </row>
    <row r="7331" spans="1:13" ht="33.75" x14ac:dyDescent="0.2">
      <c r="A7331" s="168">
        <v>2022</v>
      </c>
      <c r="B7331" s="168">
        <v>9</v>
      </c>
      <c r="C7331" s="133">
        <v>14</v>
      </c>
      <c r="D7331" s="141">
        <f t="shared" ref="D7331:D7333" si="610">DATE(A7331,B7331,C7331)</f>
        <v>44818</v>
      </c>
      <c r="E7331" s="275">
        <f t="shared" ref="E7331:E7333" si="611">DATE(A7331,B7331,C7331)</f>
        <v>44818</v>
      </c>
      <c r="F7331" s="479" t="s">
        <v>1370</v>
      </c>
      <c r="G7331" s="220" t="s">
        <v>74</v>
      </c>
      <c r="H7331" s="142" t="str" cm="1">
        <f t="array" ref="H7331">IFERROR(INDEX(INVESTOR_LIST[INVESTOR NAME],MATCH(I7331,INVESTOR_LIST[INVESTOR CODE],0),)," ")</f>
        <v>MD. KAMRUZZAMAN</v>
      </c>
      <c r="I7331" s="142" t="s">
        <v>450</v>
      </c>
      <c r="J7331" s="168" t="s">
        <v>13</v>
      </c>
      <c r="K7331" s="226">
        <v>291130</v>
      </c>
      <c r="L7331" s="226"/>
    </row>
    <row r="7332" spans="1:13" ht="33.75" x14ac:dyDescent="0.2">
      <c r="A7332" s="133">
        <v>2022</v>
      </c>
      <c r="B7332" s="133">
        <v>9</v>
      </c>
      <c r="C7332" s="133">
        <v>14</v>
      </c>
      <c r="D7332" s="141">
        <f t="shared" si="610"/>
        <v>44818</v>
      </c>
      <c r="E7332" s="275">
        <f t="shared" si="611"/>
        <v>44818</v>
      </c>
      <c r="F7332" s="481"/>
      <c r="G7332" s="174" t="s">
        <v>74</v>
      </c>
      <c r="H7332" s="148" t="str" cm="1">
        <f t="array" ref="H7332">IFERROR(INDEX(INVESTOR_LIST[INVESTOR NAME],MATCH(I7332,INVESTOR_LIST[INVESTOR CODE],0),)," ")</f>
        <v>MD. KAMRUZZAMAN</v>
      </c>
      <c r="I7332" s="148" t="s">
        <v>450</v>
      </c>
      <c r="J7332" s="133" t="s">
        <v>53</v>
      </c>
      <c r="K7332" s="218">
        <v>61428.43</v>
      </c>
      <c r="L7332" s="218"/>
    </row>
    <row r="7333" spans="1:13" ht="33.75" x14ac:dyDescent="0.2">
      <c r="A7333" s="163">
        <v>2022</v>
      </c>
      <c r="B7333" s="163">
        <v>9</v>
      </c>
      <c r="C7333" s="163">
        <v>14</v>
      </c>
      <c r="D7333" s="280">
        <f t="shared" si="610"/>
        <v>44818</v>
      </c>
      <c r="E7333" s="281">
        <f t="shared" si="611"/>
        <v>44818</v>
      </c>
      <c r="F7333" s="480"/>
      <c r="G7333" s="221" t="s">
        <v>74</v>
      </c>
      <c r="H7333" s="145" t="str" cm="1">
        <f t="array" ref="H7333">IFERROR(INDEX(INVESTOR_LIST[INVESTOR NAME],MATCH(I7333,INVESTOR_LIST[INVESTOR CODE],0),)," ")</f>
        <v>MD. KAMRUZZAMAN</v>
      </c>
      <c r="I7333" s="145" t="s">
        <v>450</v>
      </c>
      <c r="J7333" s="163" t="s">
        <v>52</v>
      </c>
      <c r="K7333" s="219"/>
      <c r="L7333" s="219">
        <v>352558.43</v>
      </c>
    </row>
    <row r="7334" spans="1:13" ht="22.5" x14ac:dyDescent="0.2">
      <c r="A7334" s="168">
        <v>2022</v>
      </c>
      <c r="B7334" s="168">
        <v>9</v>
      </c>
      <c r="C7334" s="133">
        <v>14</v>
      </c>
      <c r="D7334" s="141">
        <f t="shared" ref="D7334:D7350" si="612">DATE(A7334,B7334,C7334)</f>
        <v>44818</v>
      </c>
      <c r="E7334" s="275">
        <f t="shared" ref="E7334:E7350" si="613">DATE(A7334,B7334,C7334)</f>
        <v>44818</v>
      </c>
      <c r="F7334" s="479" t="s">
        <v>1315</v>
      </c>
      <c r="G7334" s="220" t="s">
        <v>74</v>
      </c>
      <c r="H7334" s="142" t="str" cm="1">
        <f t="array" ref="H7334">IFERROR(INDEX(INVESTOR_LIST[INVESTOR NAME],MATCH(I7334,INVESTOR_LIST[INVESTOR CODE],0),)," ")</f>
        <v>AL MAMUN</v>
      </c>
      <c r="I7334" s="142" t="s">
        <v>499</v>
      </c>
      <c r="J7334" s="168" t="s">
        <v>13</v>
      </c>
      <c r="K7334" s="226">
        <v>86100</v>
      </c>
      <c r="L7334" s="226"/>
    </row>
    <row r="7335" spans="1:13" ht="22.5" x14ac:dyDescent="0.2">
      <c r="A7335" s="133">
        <v>2022</v>
      </c>
      <c r="B7335" s="133">
        <v>9</v>
      </c>
      <c r="C7335" s="133">
        <v>14</v>
      </c>
      <c r="D7335" s="141">
        <f t="shared" si="612"/>
        <v>44818</v>
      </c>
      <c r="E7335" s="275">
        <f t="shared" si="613"/>
        <v>44818</v>
      </c>
      <c r="F7335" s="481"/>
      <c r="G7335" s="174" t="s">
        <v>74</v>
      </c>
      <c r="H7335" s="148" t="str" cm="1">
        <f t="array" ref="H7335">IFERROR(INDEX(INVESTOR_LIST[INVESTOR NAME],MATCH(I7335,INVESTOR_LIST[INVESTOR CODE],0),)," ")</f>
        <v>AL MAMUN</v>
      </c>
      <c r="I7335" s="148" t="s">
        <v>499</v>
      </c>
      <c r="J7335" s="133" t="s">
        <v>53</v>
      </c>
      <c r="K7335" s="218">
        <v>18167.099999999999</v>
      </c>
      <c r="L7335" s="218"/>
    </row>
    <row r="7336" spans="1:13" ht="22.5" x14ac:dyDescent="0.2">
      <c r="A7336" s="163">
        <v>2022</v>
      </c>
      <c r="B7336" s="163">
        <v>9</v>
      </c>
      <c r="C7336" s="163">
        <v>14</v>
      </c>
      <c r="D7336" s="280">
        <f t="shared" si="612"/>
        <v>44818</v>
      </c>
      <c r="E7336" s="281">
        <f t="shared" si="613"/>
        <v>44818</v>
      </c>
      <c r="F7336" s="480"/>
      <c r="G7336" s="221" t="s">
        <v>74</v>
      </c>
      <c r="H7336" s="145" t="str" cm="1">
        <f t="array" ref="H7336">IFERROR(INDEX(INVESTOR_LIST[INVESTOR NAME],MATCH(I7336,INVESTOR_LIST[INVESTOR CODE],0),)," ")</f>
        <v>AL MAMUN</v>
      </c>
      <c r="I7336" s="145" t="s">
        <v>499</v>
      </c>
      <c r="J7336" s="163" t="s">
        <v>52</v>
      </c>
      <c r="K7336" s="219"/>
      <c r="L7336" s="219">
        <v>104267.1</v>
      </c>
    </row>
    <row r="7337" spans="1:13" ht="22.5" x14ac:dyDescent="0.2">
      <c r="A7337" s="168">
        <v>2022</v>
      </c>
      <c r="B7337" s="168">
        <v>9</v>
      </c>
      <c r="C7337" s="133">
        <v>15</v>
      </c>
      <c r="D7337" s="141">
        <f t="shared" si="612"/>
        <v>44819</v>
      </c>
      <c r="E7337" s="275">
        <f t="shared" si="613"/>
        <v>44819</v>
      </c>
      <c r="F7337" s="479" t="s">
        <v>1370</v>
      </c>
      <c r="G7337" s="220" t="s">
        <v>74</v>
      </c>
      <c r="H7337" s="142" t="str" cm="1">
        <f t="array" ref="H7337">IFERROR(INDEX(INVESTOR_LIST[INVESTOR NAME],MATCH(I7337,INVESTOR_LIST[INVESTOR CODE],0),)," ")</f>
        <v>ANISUL HAQUE</v>
      </c>
      <c r="I7337" s="142" t="s">
        <v>489</v>
      </c>
      <c r="J7337" s="168" t="s">
        <v>13</v>
      </c>
      <c r="K7337" s="226">
        <v>233670</v>
      </c>
      <c r="L7337" s="226"/>
    </row>
    <row r="7338" spans="1:13" ht="22.5" x14ac:dyDescent="0.2">
      <c r="A7338" s="133">
        <v>2022</v>
      </c>
      <c r="B7338" s="133">
        <v>9</v>
      </c>
      <c r="C7338" s="133">
        <v>15</v>
      </c>
      <c r="D7338" s="141">
        <f t="shared" si="612"/>
        <v>44819</v>
      </c>
      <c r="E7338" s="275">
        <f t="shared" si="613"/>
        <v>44819</v>
      </c>
      <c r="F7338" s="481"/>
      <c r="G7338" s="174" t="s">
        <v>74</v>
      </c>
      <c r="H7338" s="148" t="str" cm="1">
        <f t="array" ref="H7338">IFERROR(INDEX(INVESTOR_LIST[INVESTOR NAME],MATCH(I7338,INVESTOR_LIST[INVESTOR CODE],0),)," ")</f>
        <v>ANISUL HAQUE</v>
      </c>
      <c r="I7338" s="148" t="s">
        <v>489</v>
      </c>
      <c r="J7338" s="133" t="s">
        <v>53</v>
      </c>
      <c r="K7338" s="218">
        <v>47201.34</v>
      </c>
      <c r="L7338" s="218"/>
    </row>
    <row r="7339" spans="1:13" ht="22.5" x14ac:dyDescent="0.2">
      <c r="A7339" s="163">
        <v>2022</v>
      </c>
      <c r="B7339" s="163">
        <v>9</v>
      </c>
      <c r="C7339" s="163">
        <v>15</v>
      </c>
      <c r="D7339" s="280">
        <f t="shared" si="612"/>
        <v>44819</v>
      </c>
      <c r="E7339" s="281">
        <f t="shared" si="613"/>
        <v>44819</v>
      </c>
      <c r="F7339" s="480"/>
      <c r="G7339" s="221" t="s">
        <v>74</v>
      </c>
      <c r="H7339" s="145" t="str" cm="1">
        <f t="array" ref="H7339">IFERROR(INDEX(INVESTOR_LIST[INVESTOR NAME],MATCH(I7339,INVESTOR_LIST[INVESTOR CODE],0),)," ")</f>
        <v>ANISUL HAQUE</v>
      </c>
      <c r="I7339" s="145" t="s">
        <v>489</v>
      </c>
      <c r="J7339" s="163" t="s">
        <v>52</v>
      </c>
      <c r="K7339" s="219"/>
      <c r="L7339" s="219">
        <v>280871.34000000003</v>
      </c>
    </row>
    <row r="7340" spans="1:13" x14ac:dyDescent="0.2">
      <c r="A7340" s="168">
        <v>2022</v>
      </c>
      <c r="B7340" s="168">
        <v>9</v>
      </c>
      <c r="C7340" s="133">
        <v>15</v>
      </c>
      <c r="D7340" s="141">
        <f t="shared" si="612"/>
        <v>44819</v>
      </c>
      <c r="E7340" s="275">
        <f t="shared" si="613"/>
        <v>44819</v>
      </c>
      <c r="F7340" s="479" t="s">
        <v>1513</v>
      </c>
      <c r="G7340" s="220" t="s">
        <v>74</v>
      </c>
      <c r="H7340" s="220" t="str" cm="1">
        <f t="array" ref="H7340">IFERROR(INDEX(INVESTOR_LIST[INVESTOR NAME],MATCH(I7340,INVESTOR_LIST[INVESTOR CODE],0),)," ")</f>
        <v xml:space="preserve"> </v>
      </c>
      <c r="I7340" s="142" t="s">
        <v>348</v>
      </c>
      <c r="J7340" s="143" t="s">
        <v>79</v>
      </c>
      <c r="K7340" s="226">
        <v>467550</v>
      </c>
      <c r="L7340" s="226"/>
    </row>
    <row r="7341" spans="1:13" x14ac:dyDescent="0.2">
      <c r="A7341" s="133">
        <v>2022</v>
      </c>
      <c r="B7341" s="133">
        <v>9</v>
      </c>
      <c r="C7341" s="133">
        <v>15</v>
      </c>
      <c r="D7341" s="141">
        <f t="shared" si="612"/>
        <v>44819</v>
      </c>
      <c r="E7341" s="275">
        <f t="shared" si="613"/>
        <v>44819</v>
      </c>
      <c r="F7341" s="481"/>
      <c r="G7341" s="174" t="s">
        <v>74</v>
      </c>
      <c r="H7341" s="174" t="str" cm="1">
        <f t="array" ref="H7341">IFERROR(INDEX(INVESTOR_LIST[INVESTOR NAME],MATCH(I7341,INVESTOR_LIST[INVESTOR CODE],0),)," ")</f>
        <v xml:space="preserve"> </v>
      </c>
      <c r="I7341" s="148" t="s">
        <v>348</v>
      </c>
      <c r="J7341" s="149" t="s">
        <v>52</v>
      </c>
      <c r="K7341" s="218">
        <v>282450</v>
      </c>
      <c r="L7341" s="218"/>
    </row>
    <row r="7342" spans="1:13" x14ac:dyDescent="0.2">
      <c r="A7342" s="163">
        <v>2022</v>
      </c>
      <c r="B7342" s="163">
        <v>9</v>
      </c>
      <c r="C7342" s="163">
        <v>15</v>
      </c>
      <c r="D7342" s="141">
        <f t="shared" si="612"/>
        <v>44819</v>
      </c>
      <c r="E7342" s="275">
        <f t="shared" si="613"/>
        <v>44819</v>
      </c>
      <c r="F7342" s="480"/>
      <c r="G7342" s="221" t="s">
        <v>74</v>
      </c>
      <c r="H7342" s="221" t="str" cm="1">
        <f t="array" ref="H7342">IFERROR(INDEX(INVESTOR_LIST[INVESTOR NAME],MATCH(I7342,INVESTOR_LIST[INVESTOR CODE],0),)," ")</f>
        <v xml:space="preserve"> </v>
      </c>
      <c r="I7342" s="145" t="s">
        <v>348</v>
      </c>
      <c r="J7342" s="146" t="s">
        <v>184</v>
      </c>
      <c r="K7342" s="219"/>
      <c r="L7342" s="219">
        <v>750000</v>
      </c>
    </row>
    <row r="7343" spans="1:13" x14ac:dyDescent="0.2">
      <c r="A7343" s="133">
        <v>2022</v>
      </c>
      <c r="B7343" s="133">
        <v>9</v>
      </c>
      <c r="C7343" s="133">
        <v>15</v>
      </c>
      <c r="D7343" s="141">
        <f t="shared" si="612"/>
        <v>44819</v>
      </c>
      <c r="E7343" s="275">
        <f t="shared" si="613"/>
        <v>44819</v>
      </c>
      <c r="F7343" s="481" t="s">
        <v>1499</v>
      </c>
      <c r="G7343" s="174" t="s">
        <v>94</v>
      </c>
      <c r="H7343" s="174" t="str" cm="1">
        <f t="array" ref="H7343">IFERROR(INDEX(INVESTOR_LIST[INVESTOR NAME],MATCH(I7343,INVESTOR_LIST[INVESTOR CODE],0),)," ")</f>
        <v xml:space="preserve"> </v>
      </c>
      <c r="J7343" s="149" t="s">
        <v>190</v>
      </c>
      <c r="K7343" s="218">
        <v>3524322.38</v>
      </c>
      <c r="L7343" s="218"/>
      <c r="M7343" s="160"/>
    </row>
    <row r="7344" spans="1:13" x14ac:dyDescent="0.2">
      <c r="A7344" s="133">
        <v>2022</v>
      </c>
      <c r="B7344" s="133">
        <v>9</v>
      </c>
      <c r="C7344" s="133">
        <v>15</v>
      </c>
      <c r="D7344" s="141">
        <f t="shared" si="612"/>
        <v>44819</v>
      </c>
      <c r="E7344" s="275">
        <f t="shared" si="613"/>
        <v>44819</v>
      </c>
      <c r="F7344" s="481"/>
      <c r="G7344" s="174" t="s">
        <v>94</v>
      </c>
      <c r="H7344" s="174"/>
      <c r="J7344" s="149" t="s">
        <v>80</v>
      </c>
      <c r="K7344" s="218">
        <v>6355.22</v>
      </c>
      <c r="L7344" s="218"/>
    </row>
    <row r="7345" spans="1:15" x14ac:dyDescent="0.2">
      <c r="A7345" s="133">
        <v>2022</v>
      </c>
      <c r="B7345" s="133">
        <v>9</v>
      </c>
      <c r="C7345" s="133">
        <v>15</v>
      </c>
      <c r="D7345" s="141">
        <f t="shared" si="612"/>
        <v>44819</v>
      </c>
      <c r="E7345" s="275">
        <f t="shared" si="613"/>
        <v>44819</v>
      </c>
      <c r="F7345" s="481"/>
      <c r="G7345" s="174" t="s">
        <v>94</v>
      </c>
      <c r="H7345" s="174" t="str" cm="1">
        <f t="array" ref="H7345">IFERROR(INDEX(INVESTOR_LIST[INVESTOR NAME],MATCH(I7345,INVESTOR_LIST[INVESTOR CODE],0),)," ")</f>
        <v xml:space="preserve"> </v>
      </c>
      <c r="J7345" s="149" t="s">
        <v>191</v>
      </c>
      <c r="K7345" s="218"/>
      <c r="L7345" s="218">
        <v>322494.57</v>
      </c>
    </row>
    <row r="7346" spans="1:15" x14ac:dyDescent="0.2">
      <c r="A7346" s="163">
        <v>2022</v>
      </c>
      <c r="B7346" s="163">
        <v>9</v>
      </c>
      <c r="C7346" s="163">
        <v>15</v>
      </c>
      <c r="D7346" s="280">
        <f t="shared" si="612"/>
        <v>44819</v>
      </c>
      <c r="E7346" s="281">
        <f t="shared" si="613"/>
        <v>44819</v>
      </c>
      <c r="F7346" s="480"/>
      <c r="G7346" s="221" t="s">
        <v>94</v>
      </c>
      <c r="H7346" s="145" t="str" cm="1">
        <f t="array" ref="H7346">IFERROR(INDEX(INVESTOR_LIST[INVESTOR NAME],MATCH(I7346,INVESTOR_LIST[INVESTOR CODE],0),)," ")</f>
        <v xml:space="preserve"> </v>
      </c>
      <c r="I7346" s="145"/>
      <c r="J7346" s="163" t="s">
        <v>79</v>
      </c>
      <c r="K7346" s="219"/>
      <c r="L7346" s="219">
        <v>3208183.03</v>
      </c>
    </row>
    <row r="7347" spans="1:15" x14ac:dyDescent="0.2">
      <c r="A7347" s="168">
        <v>2022</v>
      </c>
      <c r="B7347" s="133">
        <v>9</v>
      </c>
      <c r="C7347" s="168">
        <v>15</v>
      </c>
      <c r="D7347" s="141">
        <f t="shared" si="612"/>
        <v>44819</v>
      </c>
      <c r="E7347" s="275">
        <f t="shared" si="613"/>
        <v>44819</v>
      </c>
      <c r="F7347" s="481" t="s">
        <v>982</v>
      </c>
      <c r="G7347" s="174" t="s">
        <v>74</v>
      </c>
      <c r="H7347" s="174" t="str" cm="1">
        <f t="array" ref="H7347">IFERROR(INDEX(INVESTOR_LIST[INVESTOR NAME],MATCH(I7347,INVESTOR_LIST[INVESTOR CODE],0),)," ")</f>
        <v xml:space="preserve"> </v>
      </c>
      <c r="I7347" s="148" t="s">
        <v>348</v>
      </c>
      <c r="J7347" s="149" t="s">
        <v>163</v>
      </c>
      <c r="K7347" s="218">
        <v>9000</v>
      </c>
      <c r="L7347" s="218"/>
    </row>
    <row r="7348" spans="1:15" x14ac:dyDescent="0.2">
      <c r="A7348" s="163">
        <v>2022</v>
      </c>
      <c r="B7348" s="163">
        <v>9</v>
      </c>
      <c r="C7348" s="163">
        <v>15</v>
      </c>
      <c r="D7348" s="141">
        <f t="shared" si="612"/>
        <v>44819</v>
      </c>
      <c r="E7348" s="275">
        <f t="shared" si="613"/>
        <v>44819</v>
      </c>
      <c r="F7348" s="480"/>
      <c r="G7348" s="221" t="s">
        <v>74</v>
      </c>
      <c r="H7348" s="221" t="str" cm="1">
        <f t="array" ref="H7348">IFERROR(INDEX(INVESTOR_LIST[INVESTOR NAME],MATCH(I7348,INVESTOR_LIST[INVESTOR CODE],0),)," ")</f>
        <v xml:space="preserve"> </v>
      </c>
      <c r="I7348" s="145" t="s">
        <v>348</v>
      </c>
      <c r="J7348" s="146" t="s">
        <v>52</v>
      </c>
      <c r="K7348" s="219"/>
      <c r="L7348" s="219">
        <v>9000</v>
      </c>
    </row>
    <row r="7349" spans="1:15" x14ac:dyDescent="0.2">
      <c r="A7349" s="133">
        <v>2022</v>
      </c>
      <c r="B7349" s="133">
        <v>9</v>
      </c>
      <c r="C7349" s="168">
        <v>15</v>
      </c>
      <c r="D7349" s="141">
        <f t="shared" si="612"/>
        <v>44819</v>
      </c>
      <c r="E7349" s="275">
        <f t="shared" si="613"/>
        <v>44819</v>
      </c>
      <c r="F7349" s="479" t="s">
        <v>1509</v>
      </c>
      <c r="G7349" s="174" t="s">
        <v>74</v>
      </c>
      <c r="H7349" s="148" t="str" cm="1">
        <f t="array" ref="H7349">IFERROR(INDEX(INVESTOR_LIST[INVESTOR NAME],MATCH(I7349,INVESTOR_LIST[INVESTOR CODE],0),)," ")</f>
        <v xml:space="preserve"> </v>
      </c>
      <c r="I7349" s="148" t="s">
        <v>348</v>
      </c>
      <c r="J7349" s="133" t="s">
        <v>52</v>
      </c>
      <c r="K7349" s="172">
        <v>32000</v>
      </c>
      <c r="N7349" s="133">
        <f>N7335*0.95</f>
        <v>0</v>
      </c>
      <c r="O7349" s="133">
        <f>N7349-189000</f>
        <v>-189000</v>
      </c>
    </row>
    <row r="7350" spans="1:15" x14ac:dyDescent="0.2">
      <c r="A7350" s="163">
        <v>2022</v>
      </c>
      <c r="B7350" s="163">
        <v>9</v>
      </c>
      <c r="C7350" s="163">
        <v>15</v>
      </c>
      <c r="D7350" s="141">
        <f t="shared" si="612"/>
        <v>44819</v>
      </c>
      <c r="E7350" s="275">
        <f t="shared" si="613"/>
        <v>44819</v>
      </c>
      <c r="F7350" s="480"/>
      <c r="G7350" s="221" t="s">
        <v>74</v>
      </c>
      <c r="H7350" s="145" t="str" cm="1">
        <f t="array" ref="H7350">IFERROR(INDEX(INVESTOR_LIST[INVESTOR NAME],MATCH(I7350,INVESTOR_LIST[INVESTOR CODE],0),)," ")</f>
        <v xml:space="preserve"> </v>
      </c>
      <c r="I7350" s="145" t="s">
        <v>348</v>
      </c>
      <c r="J7350" s="163" t="s">
        <v>166</v>
      </c>
      <c r="K7350" s="219"/>
      <c r="L7350" s="219">
        <v>32000</v>
      </c>
    </row>
    <row r="7351" spans="1:15" x14ac:dyDescent="0.2">
      <c r="A7351" s="324">
        <v>2022</v>
      </c>
      <c r="B7351" s="324">
        <v>9</v>
      </c>
      <c r="C7351" s="325">
        <v>15</v>
      </c>
      <c r="D7351" s="326">
        <f t="shared" ref="D7351:D7354" si="614">DATE(A7351,B7351,C7351)</f>
        <v>44819</v>
      </c>
      <c r="E7351" s="327">
        <f t="shared" ref="E7351:E7354" si="615">DATE(A7351,B7351,C7351)</f>
        <v>44819</v>
      </c>
      <c r="F7351" s="473" t="s">
        <v>1489</v>
      </c>
      <c r="G7351" s="328" t="s">
        <v>94</v>
      </c>
      <c r="H7351" s="329" t="str" cm="1">
        <f t="array" ref="H7351">IFERROR(INDEX(INVESTOR_LIST[INVESTOR NAME],MATCH(I7351,INVESTOR_LIST[INVESTOR CODE],0),)," ")</f>
        <v xml:space="preserve"> </v>
      </c>
      <c r="I7351" s="329" t="s">
        <v>348</v>
      </c>
      <c r="J7351" s="324" t="s">
        <v>133</v>
      </c>
      <c r="K7351" s="330">
        <v>3424.28</v>
      </c>
      <c r="L7351" s="330"/>
    </row>
    <row r="7352" spans="1:15" x14ac:dyDescent="0.2">
      <c r="A7352" s="331">
        <v>2022</v>
      </c>
      <c r="B7352" s="331">
        <v>9</v>
      </c>
      <c r="C7352" s="331">
        <v>15</v>
      </c>
      <c r="D7352" s="326">
        <f t="shared" si="614"/>
        <v>44819</v>
      </c>
      <c r="E7352" s="327">
        <f t="shared" si="615"/>
        <v>44819</v>
      </c>
      <c r="F7352" s="474"/>
      <c r="G7352" s="332" t="s">
        <v>94</v>
      </c>
      <c r="H7352" s="333" t="str" cm="1">
        <f t="array" ref="H7352">IFERROR(INDEX(INVESTOR_LIST[INVESTOR NAME],MATCH(I7352,INVESTOR_LIST[INVESTOR CODE],0),)," ")</f>
        <v xml:space="preserve"> </v>
      </c>
      <c r="I7352" s="333" t="s">
        <v>348</v>
      </c>
      <c r="J7352" s="331" t="s">
        <v>152</v>
      </c>
      <c r="K7352" s="334"/>
      <c r="L7352" s="334">
        <v>3424.28</v>
      </c>
    </row>
    <row r="7353" spans="1:15" x14ac:dyDescent="0.2">
      <c r="A7353" s="324">
        <v>2022</v>
      </c>
      <c r="B7353" s="324">
        <v>9</v>
      </c>
      <c r="C7353" s="325">
        <v>15</v>
      </c>
      <c r="D7353" s="326">
        <f t="shared" si="614"/>
        <v>44819</v>
      </c>
      <c r="E7353" s="327">
        <f t="shared" si="615"/>
        <v>44819</v>
      </c>
      <c r="F7353" s="473" t="s">
        <v>1491</v>
      </c>
      <c r="G7353" s="328" t="s">
        <v>94</v>
      </c>
      <c r="H7353" s="329" t="str" cm="1">
        <f t="array" ref="H7353">IFERROR(INDEX(INVESTOR_LIST[INVESTOR NAME],MATCH(I7353,INVESTOR_LIST[INVESTOR CODE],0),)," ")</f>
        <v xml:space="preserve"> </v>
      </c>
      <c r="I7353" s="329" t="s">
        <v>348</v>
      </c>
      <c r="J7353" s="324" t="s">
        <v>133</v>
      </c>
      <c r="K7353" s="330">
        <v>10838.39</v>
      </c>
      <c r="L7353" s="330"/>
    </row>
    <row r="7354" spans="1:15" x14ac:dyDescent="0.2">
      <c r="A7354" s="331">
        <v>2022</v>
      </c>
      <c r="B7354" s="331">
        <v>9</v>
      </c>
      <c r="C7354" s="331">
        <v>15</v>
      </c>
      <c r="D7354" s="326">
        <f t="shared" si="614"/>
        <v>44819</v>
      </c>
      <c r="E7354" s="327">
        <f t="shared" si="615"/>
        <v>44819</v>
      </c>
      <c r="F7354" s="474"/>
      <c r="G7354" s="332" t="s">
        <v>94</v>
      </c>
      <c r="H7354" s="333" t="str" cm="1">
        <f t="array" ref="H7354">IFERROR(INDEX(INVESTOR_LIST[INVESTOR NAME],MATCH(I7354,INVESTOR_LIST[INVESTOR CODE],0),)," ")</f>
        <v xml:space="preserve"> </v>
      </c>
      <c r="I7354" s="333" t="s">
        <v>348</v>
      </c>
      <c r="J7354" s="331" t="s">
        <v>152</v>
      </c>
      <c r="K7354" s="334"/>
      <c r="L7354" s="334">
        <v>10838.39</v>
      </c>
    </row>
    <row r="7355" spans="1:15" x14ac:dyDescent="0.2">
      <c r="A7355" s="324">
        <v>2022</v>
      </c>
      <c r="B7355" s="324">
        <v>9</v>
      </c>
      <c r="C7355" s="325">
        <v>15</v>
      </c>
      <c r="D7355" s="326">
        <f>DATE(A7355,B7355,C7355)</f>
        <v>44819</v>
      </c>
      <c r="E7355" s="327">
        <f>DATE(A7355,B7355,C7355)</f>
        <v>44819</v>
      </c>
      <c r="F7355" s="473" t="s">
        <v>1490</v>
      </c>
      <c r="G7355" s="328" t="s">
        <v>94</v>
      </c>
      <c r="H7355" s="329" t="str" cm="1">
        <f t="array" ref="H7355">IFERROR(INDEX(INVESTOR_LIST[INVESTOR NAME],MATCH(I7355,INVESTOR_LIST[INVESTOR CODE],0),)," ")</f>
        <v xml:space="preserve"> </v>
      </c>
      <c r="I7355" s="329" t="s">
        <v>348</v>
      </c>
      <c r="J7355" s="324" t="s">
        <v>133</v>
      </c>
      <c r="K7355" s="330">
        <v>13681.97</v>
      </c>
      <c r="L7355" s="330"/>
    </row>
    <row r="7356" spans="1:15" x14ac:dyDescent="0.2">
      <c r="A7356" s="331">
        <v>2022</v>
      </c>
      <c r="B7356" s="331">
        <v>9</v>
      </c>
      <c r="C7356" s="331">
        <v>15</v>
      </c>
      <c r="D7356" s="326">
        <f>DATE(A7356,B7356,C7356)</f>
        <v>44819</v>
      </c>
      <c r="E7356" s="327">
        <f>DATE(A7356,B7356,C7356)</f>
        <v>44819</v>
      </c>
      <c r="F7356" s="474"/>
      <c r="G7356" s="332" t="s">
        <v>94</v>
      </c>
      <c r="H7356" s="333" t="str" cm="1">
        <f t="array" ref="H7356">IFERROR(INDEX(INVESTOR_LIST[INVESTOR NAME],MATCH(I7356,INVESTOR_LIST[INVESTOR CODE],0),)," ")</f>
        <v xml:space="preserve"> </v>
      </c>
      <c r="I7356" s="333" t="s">
        <v>348</v>
      </c>
      <c r="J7356" s="331" t="s">
        <v>152</v>
      </c>
      <c r="K7356" s="334"/>
      <c r="L7356" s="334">
        <v>13681.97</v>
      </c>
    </row>
    <row r="7357" spans="1:15" x14ac:dyDescent="0.2">
      <c r="A7357" s="238">
        <v>2022</v>
      </c>
      <c r="B7357" s="238">
        <v>9</v>
      </c>
      <c r="C7357" s="238">
        <v>15</v>
      </c>
      <c r="D7357" s="270">
        <f t="shared" ref="D7357:D7374" si="616">DATE(A7357,B7357,C7357)</f>
        <v>44819</v>
      </c>
      <c r="E7357" s="279">
        <f t="shared" ref="E7357:E7374" si="617">DATE(A7357,B7357,C7357)</f>
        <v>44819</v>
      </c>
      <c r="F7357" s="477" t="s">
        <v>347</v>
      </c>
      <c r="G7357" s="239" t="s">
        <v>94</v>
      </c>
      <c r="H7357" s="239" t="str" cm="1">
        <f t="array" ref="H7357">IFERROR(INDEX(INVESTOR_LIST[INVESTOR NAME],MATCH(I7357,INVESTOR_LIST[INVESTOR CODE],0),)," ")</f>
        <v xml:space="preserve"> </v>
      </c>
      <c r="I7357" s="262" t="s">
        <v>348</v>
      </c>
      <c r="J7357" s="240" t="s">
        <v>82</v>
      </c>
      <c r="K7357" s="241">
        <v>1150036.1399999559</v>
      </c>
      <c r="L7357" s="241"/>
    </row>
    <row r="7358" spans="1:15" x14ac:dyDescent="0.2">
      <c r="A7358" s="242">
        <v>2022</v>
      </c>
      <c r="B7358" s="242">
        <v>9</v>
      </c>
      <c r="C7358" s="242">
        <v>15</v>
      </c>
      <c r="D7358" s="270">
        <f t="shared" si="616"/>
        <v>44819</v>
      </c>
      <c r="E7358" s="279">
        <f t="shared" si="617"/>
        <v>44819</v>
      </c>
      <c r="F7358" s="478"/>
      <c r="G7358" s="243" t="s">
        <v>94</v>
      </c>
      <c r="H7358" s="243" t="str" cm="1">
        <f t="array" ref="H7358">IFERROR(INDEX(INVESTOR_LIST[INVESTOR NAME],MATCH(I7358,INVESTOR_LIST[INVESTOR CODE],0),)," ")</f>
        <v xml:space="preserve"> </v>
      </c>
      <c r="I7358" s="263" t="s">
        <v>348</v>
      </c>
      <c r="J7358" s="244" t="s">
        <v>108</v>
      </c>
      <c r="K7358" s="245"/>
      <c r="L7358" s="245">
        <v>1150036.1399999559</v>
      </c>
    </row>
    <row r="7359" spans="1:15" ht="22.5" x14ac:dyDescent="0.2">
      <c r="A7359" s="246">
        <v>2022</v>
      </c>
      <c r="B7359" s="238">
        <v>9</v>
      </c>
      <c r="C7359" s="238">
        <v>15</v>
      </c>
      <c r="D7359" s="270">
        <f t="shared" si="616"/>
        <v>44819</v>
      </c>
      <c r="E7359" s="279">
        <f t="shared" si="617"/>
        <v>44819</v>
      </c>
      <c r="F7359" s="482" t="s">
        <v>148</v>
      </c>
      <c r="G7359" s="247" t="s">
        <v>94</v>
      </c>
      <c r="H7359" s="247" t="str" cm="1">
        <f t="array" ref="H7359">IFERROR(INDEX(INVESTOR_LIST[INVESTOR NAME],MATCH(I7359,INVESTOR_LIST[INVESTOR CODE],0),)," ")</f>
        <v xml:space="preserve"> </v>
      </c>
      <c r="I7359" s="248" t="s">
        <v>348</v>
      </c>
      <c r="J7359" s="249" t="s">
        <v>95</v>
      </c>
      <c r="K7359" s="250">
        <v>2747.2527472527472</v>
      </c>
      <c r="L7359" s="241"/>
    </row>
    <row r="7360" spans="1:15" x14ac:dyDescent="0.2">
      <c r="A7360" s="242">
        <v>2022</v>
      </c>
      <c r="B7360" s="242">
        <v>9</v>
      </c>
      <c r="C7360" s="242">
        <v>15</v>
      </c>
      <c r="D7360" s="270">
        <f t="shared" si="616"/>
        <v>44819</v>
      </c>
      <c r="E7360" s="279">
        <f t="shared" si="617"/>
        <v>44819</v>
      </c>
      <c r="F7360" s="478"/>
      <c r="G7360" s="243" t="s">
        <v>94</v>
      </c>
      <c r="H7360" s="243" t="str" cm="1">
        <f t="array" ref="H7360">IFERROR(INDEX(INVESTOR_LIST[INVESTOR NAME],MATCH(I7360,INVESTOR_LIST[INVESTOR CODE],0),)," ")</f>
        <v xml:space="preserve"> </v>
      </c>
      <c r="I7360" s="263" t="s">
        <v>348</v>
      </c>
      <c r="J7360" s="244" t="s">
        <v>63</v>
      </c>
      <c r="K7360" s="245"/>
      <c r="L7360" s="245">
        <v>2747.2527472527472</v>
      </c>
    </row>
    <row r="7361" spans="1:17" x14ac:dyDescent="0.2">
      <c r="A7361" s="246">
        <v>2022</v>
      </c>
      <c r="B7361" s="238">
        <v>9</v>
      </c>
      <c r="C7361" s="238">
        <v>15</v>
      </c>
      <c r="D7361" s="270">
        <f t="shared" si="616"/>
        <v>44819</v>
      </c>
      <c r="E7361" s="279">
        <f t="shared" si="617"/>
        <v>44819</v>
      </c>
      <c r="F7361" s="482" t="s">
        <v>137</v>
      </c>
      <c r="G7361" s="247" t="s">
        <v>94</v>
      </c>
      <c r="H7361" s="247" t="str" cm="1">
        <f t="array" ref="H7361">IFERROR(INDEX(INVESTOR_LIST[INVESTOR NAME],MATCH(I7361,INVESTOR_LIST[INVESTOR CODE],0),)," ")</f>
        <v xml:space="preserve"> </v>
      </c>
      <c r="I7361" s="248" t="s">
        <v>348</v>
      </c>
      <c r="J7361" s="249" t="s">
        <v>97</v>
      </c>
      <c r="K7361" s="250">
        <v>77511.777889019213</v>
      </c>
      <c r="L7361" s="252"/>
    </row>
    <row r="7362" spans="1:17" x14ac:dyDescent="0.2">
      <c r="A7362" s="242">
        <v>2022</v>
      </c>
      <c r="B7362" s="242">
        <v>9</v>
      </c>
      <c r="C7362" s="242">
        <v>15</v>
      </c>
      <c r="D7362" s="270">
        <f t="shared" si="616"/>
        <v>44819</v>
      </c>
      <c r="E7362" s="279">
        <f t="shared" si="617"/>
        <v>44819</v>
      </c>
      <c r="F7362" s="478"/>
      <c r="G7362" s="243" t="s">
        <v>94</v>
      </c>
      <c r="H7362" s="243" t="str" cm="1">
        <f t="array" ref="H7362">IFERROR(INDEX(INVESTOR_LIST[INVESTOR NAME],MATCH(I7362,INVESTOR_LIST[INVESTOR CODE],0),)," ")</f>
        <v xml:space="preserve"> </v>
      </c>
      <c r="I7362" s="263" t="s">
        <v>348</v>
      </c>
      <c r="J7362" s="244" t="s">
        <v>47</v>
      </c>
      <c r="K7362" s="245"/>
      <c r="L7362" s="245">
        <v>77511.777889019213</v>
      </c>
    </row>
    <row r="7363" spans="1:17" x14ac:dyDescent="0.2">
      <c r="A7363" s="246">
        <v>2022</v>
      </c>
      <c r="B7363" s="238">
        <v>9</v>
      </c>
      <c r="C7363" s="238">
        <v>15</v>
      </c>
      <c r="D7363" s="270">
        <f t="shared" si="616"/>
        <v>44819</v>
      </c>
      <c r="E7363" s="279">
        <f t="shared" si="617"/>
        <v>44819</v>
      </c>
      <c r="F7363" s="482" t="s">
        <v>138</v>
      </c>
      <c r="G7363" s="247" t="s">
        <v>94</v>
      </c>
      <c r="H7363" s="247" t="str" cm="1">
        <f t="array" ref="H7363">IFERROR(INDEX(INVESTOR_LIST[INVESTOR NAME],MATCH(I7363,INVESTOR_LIST[INVESTOR CODE],0),)," ")</f>
        <v xml:space="preserve"> </v>
      </c>
      <c r="I7363" s="248" t="s">
        <v>348</v>
      </c>
      <c r="J7363" s="249" t="s">
        <v>100</v>
      </c>
      <c r="K7363" s="250">
        <v>3635.2042790663454</v>
      </c>
      <c r="L7363" s="252"/>
    </row>
    <row r="7364" spans="1:17" x14ac:dyDescent="0.2">
      <c r="A7364" s="242">
        <v>2022</v>
      </c>
      <c r="B7364" s="242">
        <v>9</v>
      </c>
      <c r="C7364" s="242">
        <v>15</v>
      </c>
      <c r="D7364" s="321">
        <f t="shared" si="616"/>
        <v>44819</v>
      </c>
      <c r="E7364" s="322">
        <f t="shared" si="617"/>
        <v>44819</v>
      </c>
      <c r="F7364" s="478"/>
      <c r="G7364" s="243" t="s">
        <v>94</v>
      </c>
      <c r="H7364" s="243" t="str" cm="1">
        <f t="array" ref="H7364">IFERROR(INDEX(INVESTOR_LIST[INVESTOR NAME],MATCH(I7364,INVESTOR_LIST[INVESTOR CODE],0),)," ")</f>
        <v xml:space="preserve"> </v>
      </c>
      <c r="I7364" s="263" t="s">
        <v>348</v>
      </c>
      <c r="J7364" s="244" t="s">
        <v>48</v>
      </c>
      <c r="K7364" s="245"/>
      <c r="L7364" s="245">
        <v>3635.2042790663454</v>
      </c>
    </row>
    <row r="7365" spans="1:17" x14ac:dyDescent="0.2">
      <c r="A7365" s="168">
        <v>2022</v>
      </c>
      <c r="B7365" s="168">
        <v>9</v>
      </c>
      <c r="C7365" s="133">
        <v>15</v>
      </c>
      <c r="D7365" s="141">
        <f t="shared" ref="D7365:D7367" si="618">DATE(A7365,B7365,C7365)</f>
        <v>44819</v>
      </c>
      <c r="E7365" s="275">
        <f t="shared" ref="E7365:E7367" si="619">DATE(A7365,B7365,C7365)</f>
        <v>44819</v>
      </c>
      <c r="F7365" s="479" t="s">
        <v>1319</v>
      </c>
      <c r="G7365" s="220" t="s">
        <v>74</v>
      </c>
      <c r="H7365" s="142" t="str" cm="1">
        <f t="array" ref="H7365">IFERROR(INDEX(INVESTOR_LIST[INVESTOR NAME],MATCH(I7365,INVESTOR_LIST[INVESTOR CODE],0),)," ")</f>
        <v xml:space="preserve"> </v>
      </c>
      <c r="I7365" s="142"/>
      <c r="J7365" s="168" t="s">
        <v>52</v>
      </c>
      <c r="K7365" s="226">
        <v>143000</v>
      </c>
      <c r="L7365" s="226"/>
    </row>
    <row r="7366" spans="1:17" x14ac:dyDescent="0.2">
      <c r="A7366" s="133">
        <v>2022</v>
      </c>
      <c r="B7366" s="133">
        <v>9</v>
      </c>
      <c r="C7366" s="133">
        <v>15</v>
      </c>
      <c r="D7366" s="141">
        <f t="shared" si="618"/>
        <v>44819</v>
      </c>
      <c r="E7366" s="275">
        <f t="shared" si="619"/>
        <v>44819</v>
      </c>
      <c r="F7366" s="481"/>
      <c r="G7366" s="174" t="s">
        <v>74</v>
      </c>
      <c r="H7366" s="148" t="str" cm="1">
        <f t="array" ref="H7366">IFERROR(INDEX(INVESTOR_LIST[INVESTOR NAME],MATCH(I7366,INVESTOR_LIST[INVESTOR CODE],0),)," ")</f>
        <v xml:space="preserve"> </v>
      </c>
      <c r="J7366" s="133" t="s">
        <v>13</v>
      </c>
      <c r="K7366" s="218"/>
      <c r="L7366" s="218">
        <v>118600</v>
      </c>
    </row>
    <row r="7367" spans="1:17" x14ac:dyDescent="0.2">
      <c r="A7367" s="163">
        <v>2022</v>
      </c>
      <c r="B7367" s="163">
        <v>9</v>
      </c>
      <c r="C7367" s="163">
        <v>15</v>
      </c>
      <c r="D7367" s="280">
        <f t="shared" si="618"/>
        <v>44819</v>
      </c>
      <c r="E7367" s="281">
        <f t="shared" si="619"/>
        <v>44819</v>
      </c>
      <c r="F7367" s="480"/>
      <c r="G7367" s="221" t="s">
        <v>74</v>
      </c>
      <c r="H7367" s="145" t="str" cm="1">
        <f t="array" ref="H7367">IFERROR(INDEX(INVESTOR_LIST[INVESTOR NAME],MATCH(I7367,INVESTOR_LIST[INVESTOR CODE],0),)," ")</f>
        <v xml:space="preserve"> </v>
      </c>
      <c r="I7367" s="145"/>
      <c r="J7367" s="163" t="s">
        <v>53</v>
      </c>
      <c r="K7367" s="219"/>
      <c r="L7367" s="219">
        <v>24400</v>
      </c>
    </row>
    <row r="7368" spans="1:17" x14ac:dyDescent="0.2">
      <c r="A7368" s="133">
        <v>2022</v>
      </c>
      <c r="B7368" s="133">
        <v>9</v>
      </c>
      <c r="C7368" s="133">
        <v>19</v>
      </c>
      <c r="D7368" s="141">
        <f t="shared" si="616"/>
        <v>44823</v>
      </c>
      <c r="E7368" s="275">
        <f t="shared" si="617"/>
        <v>44823</v>
      </c>
      <c r="F7368" s="481" t="s">
        <v>1501</v>
      </c>
      <c r="G7368" s="174" t="s">
        <v>74</v>
      </c>
      <c r="H7368" s="174" t="str" cm="1">
        <f t="array" ref="H7368">IFERROR(INDEX(INVESTOR_LIST[INVESTOR NAME],MATCH(I7368,INVESTOR_LIST[INVESTOR CODE],0),)," ")</f>
        <v xml:space="preserve"> </v>
      </c>
      <c r="I7368" s="148" t="s">
        <v>348</v>
      </c>
      <c r="J7368" s="149" t="s">
        <v>163</v>
      </c>
      <c r="K7368" s="218">
        <v>1575</v>
      </c>
      <c r="L7368" s="218"/>
      <c r="M7368" s="147"/>
      <c r="Q7368" s="133" t="s">
        <v>348</v>
      </c>
    </row>
    <row r="7369" spans="1:17" x14ac:dyDescent="0.2">
      <c r="A7369" s="163">
        <v>2022</v>
      </c>
      <c r="B7369" s="163">
        <v>9</v>
      </c>
      <c r="C7369" s="163">
        <v>19</v>
      </c>
      <c r="D7369" s="141">
        <f t="shared" si="616"/>
        <v>44823</v>
      </c>
      <c r="E7369" s="275">
        <f t="shared" si="617"/>
        <v>44823</v>
      </c>
      <c r="F7369" s="480"/>
      <c r="G7369" s="221" t="s">
        <v>74</v>
      </c>
      <c r="H7369" s="221" t="str" cm="1">
        <f t="array" ref="H7369">IFERROR(INDEX(INVESTOR_LIST[INVESTOR NAME],MATCH(I7369,INVESTOR_LIST[INVESTOR CODE],0),)," ")</f>
        <v xml:space="preserve"> </v>
      </c>
      <c r="I7369" s="145" t="s">
        <v>348</v>
      </c>
      <c r="J7369" s="146" t="s">
        <v>52</v>
      </c>
      <c r="K7369" s="219"/>
      <c r="L7369" s="219">
        <v>1575</v>
      </c>
      <c r="M7369" s="147"/>
      <c r="Q7369" s="133" t="s">
        <v>348</v>
      </c>
    </row>
    <row r="7370" spans="1:17" ht="33.75" x14ac:dyDescent="0.2">
      <c r="A7370" s="168">
        <v>2022</v>
      </c>
      <c r="B7370" s="168">
        <v>9</v>
      </c>
      <c r="C7370" s="133">
        <v>20</v>
      </c>
      <c r="D7370" s="141">
        <f t="shared" si="616"/>
        <v>44824</v>
      </c>
      <c r="E7370" s="275">
        <f t="shared" si="617"/>
        <v>44824</v>
      </c>
      <c r="F7370" s="479" t="s">
        <v>964</v>
      </c>
      <c r="G7370" s="220" t="s">
        <v>74</v>
      </c>
      <c r="H7370" s="142" t="str" cm="1">
        <f t="array" ref="H7370">IFERROR(INDEX(INVESTOR_LIST[INVESTOR NAME],MATCH(I7370,INVESTOR_LIST[INVESTOR CODE],0),)," ")</f>
        <v>MAYA RANI SAHA</v>
      </c>
      <c r="I7370" s="142" t="s">
        <v>456</v>
      </c>
      <c r="J7370" s="168" t="s">
        <v>52</v>
      </c>
      <c r="K7370" s="226">
        <v>100000</v>
      </c>
      <c r="L7370" s="226"/>
    </row>
    <row r="7371" spans="1:17" ht="33.75" x14ac:dyDescent="0.2">
      <c r="A7371" s="133">
        <v>2022</v>
      </c>
      <c r="B7371" s="133">
        <v>9</v>
      </c>
      <c r="C7371" s="133">
        <v>20</v>
      </c>
      <c r="D7371" s="141">
        <f t="shared" si="616"/>
        <v>44824</v>
      </c>
      <c r="E7371" s="275">
        <f t="shared" si="617"/>
        <v>44824</v>
      </c>
      <c r="F7371" s="481"/>
      <c r="G7371" s="174" t="s">
        <v>74</v>
      </c>
      <c r="H7371" s="148" t="str" cm="1">
        <f t="array" ref="H7371">IFERROR(INDEX(INVESTOR_LIST[INVESTOR NAME],MATCH(I7371,INVESTOR_LIST[INVESTOR CODE],0),)," ")</f>
        <v>MAYA RANI SAHA</v>
      </c>
      <c r="I7371" s="148" t="s">
        <v>456</v>
      </c>
      <c r="J7371" s="133" t="s">
        <v>13</v>
      </c>
      <c r="K7371" s="218"/>
      <c r="L7371" s="218">
        <v>82920</v>
      </c>
    </row>
    <row r="7372" spans="1:17" ht="33.75" x14ac:dyDescent="0.2">
      <c r="A7372" s="163">
        <v>2022</v>
      </c>
      <c r="B7372" s="163">
        <v>9</v>
      </c>
      <c r="C7372" s="163">
        <v>20</v>
      </c>
      <c r="D7372" s="280">
        <f t="shared" si="616"/>
        <v>44824</v>
      </c>
      <c r="E7372" s="281">
        <f t="shared" si="617"/>
        <v>44824</v>
      </c>
      <c r="F7372" s="480"/>
      <c r="G7372" s="221" t="s">
        <v>74</v>
      </c>
      <c r="H7372" s="145" t="str" cm="1">
        <f t="array" ref="H7372">IFERROR(INDEX(INVESTOR_LIST[INVESTOR NAME],MATCH(I7372,INVESTOR_LIST[INVESTOR CODE],0),)," ")</f>
        <v>MAYA RANI SAHA</v>
      </c>
      <c r="I7372" s="145" t="s">
        <v>456</v>
      </c>
      <c r="J7372" s="163" t="s">
        <v>53</v>
      </c>
      <c r="K7372" s="219"/>
      <c r="L7372" s="219">
        <v>17080</v>
      </c>
    </row>
    <row r="7373" spans="1:17" x14ac:dyDescent="0.2">
      <c r="A7373" s="133">
        <v>2022</v>
      </c>
      <c r="B7373" s="133">
        <v>9</v>
      </c>
      <c r="C7373" s="168">
        <v>20</v>
      </c>
      <c r="D7373" s="141">
        <f t="shared" si="616"/>
        <v>44824</v>
      </c>
      <c r="E7373" s="275">
        <f t="shared" si="617"/>
        <v>44824</v>
      </c>
      <c r="F7373" s="479" t="s">
        <v>1505</v>
      </c>
      <c r="G7373" s="174" t="s">
        <v>74</v>
      </c>
      <c r="H7373" s="148" t="str" cm="1">
        <f t="array" ref="H7373">IFERROR(INDEX(INVESTOR_LIST[INVESTOR NAME],MATCH(I7373,INVESTOR_LIST[INVESTOR CODE],0),)," ")</f>
        <v xml:space="preserve"> </v>
      </c>
      <c r="I7373" s="148" t="s">
        <v>348</v>
      </c>
      <c r="J7373" s="133" t="s">
        <v>61</v>
      </c>
      <c r="K7373" s="172">
        <v>10</v>
      </c>
    </row>
    <row r="7374" spans="1:17" x14ac:dyDescent="0.2">
      <c r="A7374" s="163">
        <v>2022</v>
      </c>
      <c r="B7374" s="163">
        <v>9</v>
      </c>
      <c r="C7374" s="163">
        <v>20</v>
      </c>
      <c r="D7374" s="141">
        <f t="shared" si="616"/>
        <v>44824</v>
      </c>
      <c r="E7374" s="275">
        <f t="shared" si="617"/>
        <v>44824</v>
      </c>
      <c r="F7374" s="480"/>
      <c r="G7374" s="221" t="s">
        <v>74</v>
      </c>
      <c r="H7374" s="145" t="str" cm="1">
        <f t="array" ref="H7374">IFERROR(INDEX(INVESTOR_LIST[INVESTOR NAME],MATCH(I7374,INVESTOR_LIST[INVESTOR CODE],0),)," ")</f>
        <v xml:space="preserve"> </v>
      </c>
      <c r="I7374" s="145" t="s">
        <v>348</v>
      </c>
      <c r="J7374" s="163" t="s">
        <v>52</v>
      </c>
      <c r="K7374" s="219"/>
      <c r="L7374" s="219">
        <v>10</v>
      </c>
    </row>
    <row r="7375" spans="1:17" x14ac:dyDescent="0.2">
      <c r="A7375" s="168">
        <v>2022</v>
      </c>
      <c r="B7375" s="168">
        <v>9</v>
      </c>
      <c r="C7375" s="168">
        <v>20</v>
      </c>
      <c r="D7375" s="141">
        <f>DATE(A7375,B7375,C7375)</f>
        <v>44824</v>
      </c>
      <c r="E7375" s="275">
        <f>DATE(A7375,B7375,C7375)</f>
        <v>44824</v>
      </c>
      <c r="F7375" s="479" t="s">
        <v>1500</v>
      </c>
      <c r="G7375" s="220" t="s">
        <v>74</v>
      </c>
      <c r="H7375" s="220" t="str" cm="1">
        <f t="array" ref="H7375">IFERROR(INDEX(INVESTOR_LIST[INVESTOR NAME],MATCH(I7375,INVESTOR_LIST[INVESTOR CODE],0),)," ")</f>
        <v xml:space="preserve"> </v>
      </c>
      <c r="I7375" s="142"/>
      <c r="J7375" s="143" t="s">
        <v>52</v>
      </c>
      <c r="K7375" s="226">
        <v>3524322.38</v>
      </c>
      <c r="L7375" s="226"/>
    </row>
    <row r="7376" spans="1:17" x14ac:dyDescent="0.2">
      <c r="A7376" s="163">
        <v>2022</v>
      </c>
      <c r="B7376" s="163">
        <v>9</v>
      </c>
      <c r="C7376" s="163">
        <v>20</v>
      </c>
      <c r="D7376" s="141">
        <f>DATE(A7376,B7376,C7376)</f>
        <v>44824</v>
      </c>
      <c r="E7376" s="275">
        <f>DATE(A7376,B7376,C7376)</f>
        <v>44824</v>
      </c>
      <c r="F7376" s="480"/>
      <c r="G7376" s="221" t="s">
        <v>74</v>
      </c>
      <c r="H7376" s="221" t="str" cm="1">
        <f t="array" ref="H7376">IFERROR(INDEX(INVESTOR_LIST[INVESTOR NAME],MATCH(I7376,INVESTOR_LIST[INVESTOR CODE],0),)," ")</f>
        <v xml:space="preserve"> </v>
      </c>
      <c r="I7376" s="145" t="s">
        <v>348</v>
      </c>
      <c r="J7376" s="146" t="s">
        <v>190</v>
      </c>
      <c r="K7376" s="219"/>
      <c r="L7376" s="219">
        <v>3524322.38</v>
      </c>
    </row>
    <row r="7377" spans="1:14" x14ac:dyDescent="0.2">
      <c r="A7377" s="168">
        <v>2022</v>
      </c>
      <c r="B7377" s="168">
        <v>9</v>
      </c>
      <c r="C7377" s="168">
        <v>20</v>
      </c>
      <c r="D7377" s="141">
        <f t="shared" ref="D7377:D7378" si="620">DATE(A7377,B7377,C7377)</f>
        <v>44824</v>
      </c>
      <c r="E7377" s="275">
        <f t="shared" ref="E7377:E7378" si="621">DATE(A7377,B7377,C7377)</f>
        <v>44824</v>
      </c>
      <c r="F7377" s="479" t="s">
        <v>1502</v>
      </c>
      <c r="G7377" s="220" t="s">
        <v>74</v>
      </c>
      <c r="H7377" s="220" t="str" cm="1">
        <f t="array" ref="H7377">IFERROR(INDEX(INVESTOR_LIST[INVESTOR NAME],MATCH(I7377,INVESTOR_LIST[INVESTOR CODE],0),)," ")</f>
        <v xml:space="preserve"> </v>
      </c>
      <c r="I7377" s="142" t="s">
        <v>348</v>
      </c>
      <c r="J7377" s="143" t="s">
        <v>322</v>
      </c>
      <c r="K7377" s="226">
        <v>85843.87</v>
      </c>
      <c r="L7377" s="226"/>
    </row>
    <row r="7378" spans="1:14" x14ac:dyDescent="0.2">
      <c r="A7378" s="163">
        <v>2022</v>
      </c>
      <c r="B7378" s="163">
        <v>9</v>
      </c>
      <c r="C7378" s="163">
        <v>20</v>
      </c>
      <c r="D7378" s="141">
        <f t="shared" si="620"/>
        <v>44824</v>
      </c>
      <c r="E7378" s="275">
        <f t="shared" si="621"/>
        <v>44824</v>
      </c>
      <c r="F7378" s="480"/>
      <c r="G7378" s="221" t="s">
        <v>74</v>
      </c>
      <c r="H7378" s="221" t="str" cm="1">
        <f t="array" ref="H7378">IFERROR(INDEX(INVESTOR_LIST[INVESTOR NAME],MATCH(I7378,INVESTOR_LIST[INVESTOR CODE],0),)," ")</f>
        <v xml:space="preserve"> </v>
      </c>
      <c r="I7378" s="145" t="s">
        <v>348</v>
      </c>
      <c r="J7378" s="146" t="s">
        <v>52</v>
      </c>
      <c r="K7378" s="219"/>
      <c r="L7378" s="219">
        <v>85843.87</v>
      </c>
    </row>
    <row r="7379" spans="1:14" x14ac:dyDescent="0.2">
      <c r="A7379" s="168">
        <v>2022</v>
      </c>
      <c r="B7379" s="168">
        <v>9</v>
      </c>
      <c r="C7379" s="168">
        <v>20</v>
      </c>
      <c r="D7379" s="141">
        <f t="shared" ref="D7379:D7387" si="622">DATE(A7379,B7379,C7379)</f>
        <v>44824</v>
      </c>
      <c r="E7379" s="275">
        <f t="shared" ref="E7379:E7387" si="623">DATE(A7379,B7379,C7379)</f>
        <v>44824</v>
      </c>
      <c r="F7379" s="479" t="s">
        <v>1502</v>
      </c>
      <c r="G7379" s="220" t="s">
        <v>74</v>
      </c>
      <c r="H7379" s="220" t="str" cm="1">
        <f t="array" ref="H7379">IFERROR(INDEX(INVESTOR_LIST[INVESTOR NAME],MATCH(I7379,INVESTOR_LIST[INVESTOR CODE],0),)," ")</f>
        <v xml:space="preserve"> </v>
      </c>
      <c r="I7379" s="142" t="s">
        <v>348</v>
      </c>
      <c r="J7379" s="143" t="s">
        <v>322</v>
      </c>
      <c r="K7379" s="226">
        <v>3421.25</v>
      </c>
      <c r="L7379" s="226"/>
    </row>
    <row r="7380" spans="1:14" x14ac:dyDescent="0.2">
      <c r="A7380" s="163">
        <v>2022</v>
      </c>
      <c r="B7380" s="163">
        <v>9</v>
      </c>
      <c r="C7380" s="163">
        <v>20</v>
      </c>
      <c r="D7380" s="141">
        <f t="shared" si="622"/>
        <v>44824</v>
      </c>
      <c r="E7380" s="275">
        <f t="shared" si="623"/>
        <v>44824</v>
      </c>
      <c r="F7380" s="480"/>
      <c r="G7380" s="221" t="s">
        <v>74</v>
      </c>
      <c r="H7380" s="221" t="str" cm="1">
        <f t="array" ref="H7380">IFERROR(INDEX(INVESTOR_LIST[INVESTOR NAME],MATCH(I7380,INVESTOR_LIST[INVESTOR CODE],0),)," ")</f>
        <v xml:space="preserve"> </v>
      </c>
      <c r="I7380" s="145" t="s">
        <v>348</v>
      </c>
      <c r="J7380" s="146" t="s">
        <v>52</v>
      </c>
      <c r="K7380" s="219"/>
      <c r="L7380" s="219">
        <v>3421.25</v>
      </c>
    </row>
    <row r="7381" spans="1:14" x14ac:dyDescent="0.2">
      <c r="A7381" s="168">
        <v>2022</v>
      </c>
      <c r="B7381" s="168">
        <v>9</v>
      </c>
      <c r="C7381" s="168">
        <v>20</v>
      </c>
      <c r="D7381" s="141">
        <f t="shared" si="622"/>
        <v>44824</v>
      </c>
      <c r="E7381" s="275">
        <f t="shared" si="623"/>
        <v>44824</v>
      </c>
      <c r="F7381" s="479" t="s">
        <v>1503</v>
      </c>
      <c r="G7381" s="220" t="s">
        <v>74</v>
      </c>
      <c r="H7381" s="220" t="str" cm="1">
        <f t="array" ref="H7381">IFERROR(INDEX(INVESTOR_LIST[INVESTOR NAME],MATCH(I7381,INVESTOR_LIST[INVESTOR CODE],0),)," ")</f>
        <v xml:space="preserve"> </v>
      </c>
      <c r="I7381" s="142" t="s">
        <v>348</v>
      </c>
      <c r="J7381" s="143" t="s">
        <v>104</v>
      </c>
      <c r="K7381" s="226">
        <v>2459.2600000000002</v>
      </c>
      <c r="L7381" s="226"/>
    </row>
    <row r="7382" spans="1:14" x14ac:dyDescent="0.2">
      <c r="A7382" s="163">
        <v>2022</v>
      </c>
      <c r="B7382" s="163">
        <v>9</v>
      </c>
      <c r="C7382" s="163">
        <v>20</v>
      </c>
      <c r="D7382" s="141">
        <f t="shared" si="622"/>
        <v>44824</v>
      </c>
      <c r="E7382" s="275">
        <f t="shared" si="623"/>
        <v>44824</v>
      </c>
      <c r="F7382" s="480"/>
      <c r="G7382" s="221" t="s">
        <v>74</v>
      </c>
      <c r="H7382" s="221" t="str" cm="1">
        <f t="array" ref="H7382">IFERROR(INDEX(INVESTOR_LIST[INVESTOR NAME],MATCH(I7382,INVESTOR_LIST[INVESTOR CODE],0),)," ")</f>
        <v xml:space="preserve"> </v>
      </c>
      <c r="I7382" s="145" t="s">
        <v>348</v>
      </c>
      <c r="J7382" s="146" t="s">
        <v>52</v>
      </c>
      <c r="K7382" s="219"/>
      <c r="L7382" s="219">
        <v>2459.2600000000002</v>
      </c>
    </row>
    <row r="7383" spans="1:14" x14ac:dyDescent="0.2">
      <c r="A7383" s="133">
        <v>2022</v>
      </c>
      <c r="B7383" s="168">
        <v>9</v>
      </c>
      <c r="C7383" s="168">
        <v>20</v>
      </c>
      <c r="D7383" s="141">
        <f t="shared" si="622"/>
        <v>44824</v>
      </c>
      <c r="E7383" s="275">
        <f t="shared" si="623"/>
        <v>44824</v>
      </c>
      <c r="F7383" s="479" t="s">
        <v>1504</v>
      </c>
      <c r="G7383" s="174" t="s">
        <v>74</v>
      </c>
      <c r="H7383" s="148" t="str" cm="1">
        <f t="array" ref="H7383">IFERROR(INDEX(INVESTOR_LIST[INVESTOR NAME],MATCH(I7383,INVESTOR_LIST[INVESTOR CODE],0),)," ")</f>
        <v xml:space="preserve"> </v>
      </c>
      <c r="I7383" s="148" t="s">
        <v>348</v>
      </c>
      <c r="J7383" s="133" t="s">
        <v>52</v>
      </c>
      <c r="K7383" s="172">
        <v>189000</v>
      </c>
    </row>
    <row r="7384" spans="1:14" x14ac:dyDescent="0.2">
      <c r="A7384" s="163">
        <v>2022</v>
      </c>
      <c r="B7384" s="163">
        <v>9</v>
      </c>
      <c r="C7384" s="163">
        <v>20</v>
      </c>
      <c r="D7384" s="141">
        <f t="shared" si="622"/>
        <v>44824</v>
      </c>
      <c r="E7384" s="275">
        <f t="shared" si="623"/>
        <v>44824</v>
      </c>
      <c r="F7384" s="480"/>
      <c r="G7384" s="221" t="s">
        <v>74</v>
      </c>
      <c r="H7384" s="145" t="str" cm="1">
        <f t="array" ref="H7384">IFERROR(INDEX(INVESTOR_LIST[INVESTOR NAME],MATCH(I7384,INVESTOR_LIST[INVESTOR CODE],0),)," ")</f>
        <v xml:space="preserve"> </v>
      </c>
      <c r="I7384" s="145" t="s">
        <v>348</v>
      </c>
      <c r="J7384" s="163" t="s">
        <v>168</v>
      </c>
      <c r="K7384" s="219"/>
      <c r="L7384" s="219">
        <v>189000</v>
      </c>
      <c r="N7384" s="160">
        <f>K7241-L7384</f>
        <v>51000</v>
      </c>
    </row>
    <row r="7385" spans="1:14" x14ac:dyDescent="0.2">
      <c r="A7385" s="168">
        <v>2022</v>
      </c>
      <c r="B7385" s="168">
        <v>9</v>
      </c>
      <c r="C7385" s="168">
        <v>20</v>
      </c>
      <c r="D7385" s="141">
        <f t="shared" si="622"/>
        <v>44824</v>
      </c>
      <c r="E7385" s="275">
        <f t="shared" si="623"/>
        <v>44824</v>
      </c>
      <c r="F7385" s="479" t="s">
        <v>1506</v>
      </c>
      <c r="G7385" s="220" t="s">
        <v>94</v>
      </c>
      <c r="H7385" s="220" t="str" cm="1">
        <f t="array" ref="H7385">IFERROR(INDEX(INVESTOR_LIST[INVESTOR NAME],MATCH(I7385,INVESTOR_LIST[INVESTOR CODE],0),)," ")</f>
        <v xml:space="preserve"> </v>
      </c>
      <c r="I7385" s="142"/>
      <c r="J7385" s="143" t="s">
        <v>79</v>
      </c>
      <c r="K7385" s="226">
        <v>3091175</v>
      </c>
      <c r="L7385" s="226"/>
      <c r="M7385" s="160"/>
    </row>
    <row r="7386" spans="1:14" x14ac:dyDescent="0.2">
      <c r="A7386" s="133">
        <v>2022</v>
      </c>
      <c r="B7386" s="133">
        <v>9</v>
      </c>
      <c r="C7386" s="133">
        <v>20</v>
      </c>
      <c r="D7386" s="141">
        <f t="shared" si="622"/>
        <v>44824</v>
      </c>
      <c r="E7386" s="275">
        <f t="shared" si="623"/>
        <v>44824</v>
      </c>
      <c r="F7386" s="481"/>
      <c r="G7386" s="174" t="s">
        <v>94</v>
      </c>
      <c r="H7386" s="174"/>
      <c r="J7386" s="149" t="s">
        <v>80</v>
      </c>
      <c r="K7386" s="218">
        <v>5564.74</v>
      </c>
      <c r="L7386" s="218"/>
    </row>
    <row r="7387" spans="1:14" x14ac:dyDescent="0.2">
      <c r="A7387" s="163">
        <v>2022</v>
      </c>
      <c r="B7387" s="163">
        <v>9</v>
      </c>
      <c r="C7387" s="163">
        <v>20</v>
      </c>
      <c r="D7387" s="280">
        <f t="shared" si="622"/>
        <v>44824</v>
      </c>
      <c r="E7387" s="281">
        <f t="shared" si="623"/>
        <v>44824</v>
      </c>
      <c r="F7387" s="480"/>
      <c r="G7387" s="221" t="s">
        <v>94</v>
      </c>
      <c r="H7387" s="221"/>
      <c r="I7387" s="145"/>
      <c r="J7387" s="146" t="s">
        <v>147</v>
      </c>
      <c r="K7387" s="219"/>
      <c r="L7387" s="219">
        <v>3096739.74</v>
      </c>
    </row>
    <row r="7388" spans="1:14" x14ac:dyDescent="0.2">
      <c r="A7388" s="168">
        <v>2022</v>
      </c>
      <c r="B7388" s="168">
        <v>9</v>
      </c>
      <c r="C7388" s="168">
        <v>21</v>
      </c>
      <c r="D7388" s="141">
        <f>DATE(A7388,B7388,C7388)</f>
        <v>44825</v>
      </c>
      <c r="E7388" s="275">
        <f>DATE(A7388,B7388,C7388)</f>
        <v>44825</v>
      </c>
      <c r="F7388" s="479" t="s">
        <v>1507</v>
      </c>
      <c r="G7388" s="220" t="s">
        <v>74</v>
      </c>
      <c r="H7388" s="220" t="str" cm="1">
        <f t="array" ref="H7388">IFERROR(INDEX(INVESTOR_LIST[INVESTOR NAME],MATCH(I7388,INVESTOR_LIST[INVESTOR CODE],0),)," ")</f>
        <v xml:space="preserve"> </v>
      </c>
      <c r="I7388" s="142"/>
      <c r="J7388" s="143" t="s">
        <v>147</v>
      </c>
      <c r="K7388" s="226">
        <v>3096739.74</v>
      </c>
      <c r="L7388" s="226"/>
    </row>
    <row r="7389" spans="1:14" x14ac:dyDescent="0.2">
      <c r="A7389" s="163">
        <v>2022</v>
      </c>
      <c r="B7389" s="163">
        <v>9</v>
      </c>
      <c r="C7389" s="163">
        <v>21</v>
      </c>
      <c r="D7389" s="141">
        <f>DATE(A7389,B7389,C7389)</f>
        <v>44825</v>
      </c>
      <c r="E7389" s="275">
        <f>DATE(A7389,B7389,C7389)</f>
        <v>44825</v>
      </c>
      <c r="F7389" s="480"/>
      <c r="G7389" s="221" t="s">
        <v>74</v>
      </c>
      <c r="H7389" s="221" t="str" cm="1">
        <f t="array" ref="H7389">IFERROR(INDEX(INVESTOR_LIST[INVESTOR NAME],MATCH(I7389,INVESTOR_LIST[INVESTOR CODE],0),)," ")</f>
        <v xml:space="preserve"> </v>
      </c>
      <c r="I7389" s="145" t="s">
        <v>348</v>
      </c>
      <c r="J7389" s="146" t="s">
        <v>52</v>
      </c>
      <c r="K7389" s="219"/>
      <c r="L7389" s="219">
        <v>3096739.74</v>
      </c>
    </row>
    <row r="7390" spans="1:14" ht="22.5" x14ac:dyDescent="0.2">
      <c r="A7390" s="168">
        <v>2022</v>
      </c>
      <c r="B7390" s="168">
        <v>9</v>
      </c>
      <c r="C7390" s="133">
        <v>21</v>
      </c>
      <c r="D7390" s="141">
        <f t="shared" ref="D7390:D7392" si="624">DATE(A7390,B7390,C7390)</f>
        <v>44825</v>
      </c>
      <c r="E7390" s="275">
        <f t="shared" ref="E7390:E7392" si="625">DATE(A7390,B7390,C7390)</f>
        <v>44825</v>
      </c>
      <c r="F7390" s="479" t="s">
        <v>964</v>
      </c>
      <c r="G7390" s="220" t="s">
        <v>74</v>
      </c>
      <c r="H7390" s="142" t="str" cm="1">
        <f t="array" ref="H7390">IFERROR(INDEX(INVESTOR_LIST[INVESTOR NAME],MATCH(I7390,INVESTOR_LIST[INVESTOR CODE],0),)," ")</f>
        <v>SYED AHMAD</v>
      </c>
      <c r="I7390" s="142" t="s">
        <v>1449</v>
      </c>
      <c r="J7390" s="168" t="s">
        <v>52</v>
      </c>
      <c r="K7390" s="226">
        <v>12060</v>
      </c>
      <c r="L7390" s="226"/>
    </row>
    <row r="7391" spans="1:14" ht="22.5" x14ac:dyDescent="0.2">
      <c r="A7391" s="133">
        <v>2022</v>
      </c>
      <c r="B7391" s="133">
        <v>9</v>
      </c>
      <c r="C7391" s="133">
        <v>21</v>
      </c>
      <c r="D7391" s="141">
        <f t="shared" si="624"/>
        <v>44825</v>
      </c>
      <c r="E7391" s="275">
        <f t="shared" si="625"/>
        <v>44825</v>
      </c>
      <c r="F7391" s="481"/>
      <c r="G7391" s="174" t="s">
        <v>74</v>
      </c>
      <c r="H7391" s="148" t="str" cm="1">
        <f t="array" ref="H7391">IFERROR(INDEX(INVESTOR_LIST[INVESTOR NAME],MATCH(I7391,INVESTOR_LIST[INVESTOR CODE],0),)," ")</f>
        <v>SYED AHMAD</v>
      </c>
      <c r="I7391" s="148" t="s">
        <v>1449</v>
      </c>
      <c r="J7391" s="133" t="s">
        <v>13</v>
      </c>
      <c r="K7391" s="218"/>
      <c r="L7391" s="218">
        <v>10000</v>
      </c>
    </row>
    <row r="7392" spans="1:14" ht="22.5" x14ac:dyDescent="0.2">
      <c r="A7392" s="163">
        <v>2022</v>
      </c>
      <c r="B7392" s="163">
        <v>9</v>
      </c>
      <c r="C7392" s="163">
        <v>21</v>
      </c>
      <c r="D7392" s="280">
        <f t="shared" si="624"/>
        <v>44825</v>
      </c>
      <c r="E7392" s="281">
        <f t="shared" si="625"/>
        <v>44825</v>
      </c>
      <c r="F7392" s="480"/>
      <c r="G7392" s="221" t="s">
        <v>74</v>
      </c>
      <c r="H7392" s="145" t="str" cm="1">
        <f t="array" ref="H7392">IFERROR(INDEX(INVESTOR_LIST[INVESTOR NAME],MATCH(I7392,INVESTOR_LIST[INVESTOR CODE],0),)," ")</f>
        <v>SYED AHMAD</v>
      </c>
      <c r="I7392" s="145" t="s">
        <v>1449</v>
      </c>
      <c r="J7392" s="163" t="s">
        <v>53</v>
      </c>
      <c r="K7392" s="219"/>
      <c r="L7392" s="219">
        <v>2060</v>
      </c>
    </row>
    <row r="7393" spans="1:12" x14ac:dyDescent="0.2">
      <c r="A7393" s="324">
        <v>2022</v>
      </c>
      <c r="B7393" s="324">
        <v>9</v>
      </c>
      <c r="C7393" s="325">
        <v>22</v>
      </c>
      <c r="D7393" s="326">
        <f t="shared" ref="D7393:D7396" si="626">DATE(A7393,B7393,C7393)</f>
        <v>44826</v>
      </c>
      <c r="E7393" s="327">
        <f t="shared" ref="E7393:E7396" si="627">DATE(A7393,B7393,C7393)</f>
        <v>44826</v>
      </c>
      <c r="F7393" s="473" t="s">
        <v>1489</v>
      </c>
      <c r="G7393" s="328" t="s">
        <v>94</v>
      </c>
      <c r="H7393" s="329" t="str" cm="1">
        <f t="array" ref="H7393">IFERROR(INDEX(INVESTOR_LIST[INVESTOR NAME],MATCH(I7393,INVESTOR_LIST[INVESTOR CODE],0),)," ")</f>
        <v xml:space="preserve"> </v>
      </c>
      <c r="I7393" s="329" t="s">
        <v>348</v>
      </c>
      <c r="J7393" s="324" t="s">
        <v>133</v>
      </c>
      <c r="K7393" s="330">
        <v>3424.28</v>
      </c>
      <c r="L7393" s="330"/>
    </row>
    <row r="7394" spans="1:12" x14ac:dyDescent="0.2">
      <c r="A7394" s="331">
        <v>2022</v>
      </c>
      <c r="B7394" s="331">
        <v>9</v>
      </c>
      <c r="C7394" s="331">
        <v>22</v>
      </c>
      <c r="D7394" s="326">
        <f t="shared" si="626"/>
        <v>44826</v>
      </c>
      <c r="E7394" s="327">
        <f t="shared" si="627"/>
        <v>44826</v>
      </c>
      <c r="F7394" s="474"/>
      <c r="G7394" s="332" t="s">
        <v>94</v>
      </c>
      <c r="H7394" s="333" t="str" cm="1">
        <f t="array" ref="H7394">IFERROR(INDEX(INVESTOR_LIST[INVESTOR NAME],MATCH(I7394,INVESTOR_LIST[INVESTOR CODE],0),)," ")</f>
        <v xml:space="preserve"> </v>
      </c>
      <c r="I7394" s="333" t="s">
        <v>348</v>
      </c>
      <c r="J7394" s="331" t="s">
        <v>152</v>
      </c>
      <c r="K7394" s="334"/>
      <c r="L7394" s="334">
        <v>3424.28</v>
      </c>
    </row>
    <row r="7395" spans="1:12" x14ac:dyDescent="0.2">
      <c r="A7395" s="324">
        <v>2022</v>
      </c>
      <c r="B7395" s="324">
        <v>9</v>
      </c>
      <c r="C7395" s="325">
        <v>22</v>
      </c>
      <c r="D7395" s="326">
        <f t="shared" si="626"/>
        <v>44826</v>
      </c>
      <c r="E7395" s="327">
        <f t="shared" si="627"/>
        <v>44826</v>
      </c>
      <c r="F7395" s="473" t="s">
        <v>1491</v>
      </c>
      <c r="G7395" s="328" t="s">
        <v>94</v>
      </c>
      <c r="H7395" s="329" t="str" cm="1">
        <f t="array" ref="H7395">IFERROR(INDEX(INVESTOR_LIST[INVESTOR NAME],MATCH(I7395,INVESTOR_LIST[INVESTOR CODE],0),)," ")</f>
        <v xml:space="preserve"> </v>
      </c>
      <c r="I7395" s="329" t="s">
        <v>348</v>
      </c>
      <c r="J7395" s="324" t="s">
        <v>133</v>
      </c>
      <c r="K7395" s="330">
        <v>10838.39</v>
      </c>
      <c r="L7395" s="330"/>
    </row>
    <row r="7396" spans="1:12" x14ac:dyDescent="0.2">
      <c r="A7396" s="331">
        <v>2022</v>
      </c>
      <c r="B7396" s="331">
        <v>9</v>
      </c>
      <c r="C7396" s="331">
        <v>22</v>
      </c>
      <c r="D7396" s="326">
        <f t="shared" si="626"/>
        <v>44826</v>
      </c>
      <c r="E7396" s="327">
        <f t="shared" si="627"/>
        <v>44826</v>
      </c>
      <c r="F7396" s="474"/>
      <c r="G7396" s="332" t="s">
        <v>94</v>
      </c>
      <c r="H7396" s="333" t="str" cm="1">
        <f t="array" ref="H7396">IFERROR(INDEX(INVESTOR_LIST[INVESTOR NAME],MATCH(I7396,INVESTOR_LIST[INVESTOR CODE],0),)," ")</f>
        <v xml:space="preserve"> </v>
      </c>
      <c r="I7396" s="333" t="s">
        <v>348</v>
      </c>
      <c r="J7396" s="331" t="s">
        <v>152</v>
      </c>
      <c r="K7396" s="334"/>
      <c r="L7396" s="334">
        <v>10838.39</v>
      </c>
    </row>
    <row r="7397" spans="1:12" x14ac:dyDescent="0.2">
      <c r="A7397" s="324">
        <v>2022</v>
      </c>
      <c r="B7397" s="324">
        <v>9</v>
      </c>
      <c r="C7397" s="325">
        <v>22</v>
      </c>
      <c r="D7397" s="326">
        <f>DATE(A7397,B7397,C7397)</f>
        <v>44826</v>
      </c>
      <c r="E7397" s="327">
        <f>DATE(A7397,B7397,C7397)</f>
        <v>44826</v>
      </c>
      <c r="F7397" s="473" t="s">
        <v>1490</v>
      </c>
      <c r="G7397" s="328" t="s">
        <v>94</v>
      </c>
      <c r="H7397" s="329" t="str" cm="1">
        <f t="array" ref="H7397">IFERROR(INDEX(INVESTOR_LIST[INVESTOR NAME],MATCH(I7397,INVESTOR_LIST[INVESTOR CODE],0),)," ")</f>
        <v xml:space="preserve"> </v>
      </c>
      <c r="I7397" s="329" t="s">
        <v>348</v>
      </c>
      <c r="J7397" s="324" t="s">
        <v>133</v>
      </c>
      <c r="K7397" s="330">
        <v>13681.97</v>
      </c>
      <c r="L7397" s="330"/>
    </row>
    <row r="7398" spans="1:12" x14ac:dyDescent="0.2">
      <c r="A7398" s="331">
        <v>2022</v>
      </c>
      <c r="B7398" s="331">
        <v>9</v>
      </c>
      <c r="C7398" s="331">
        <v>22</v>
      </c>
      <c r="D7398" s="326">
        <f>DATE(A7398,B7398,C7398)</f>
        <v>44826</v>
      </c>
      <c r="E7398" s="327">
        <f>DATE(A7398,B7398,C7398)</f>
        <v>44826</v>
      </c>
      <c r="F7398" s="474"/>
      <c r="G7398" s="332" t="s">
        <v>94</v>
      </c>
      <c r="H7398" s="333" t="str" cm="1">
        <f t="array" ref="H7398">IFERROR(INDEX(INVESTOR_LIST[INVESTOR NAME],MATCH(I7398,INVESTOR_LIST[INVESTOR CODE],0),)," ")</f>
        <v xml:space="preserve"> </v>
      </c>
      <c r="I7398" s="333" t="s">
        <v>348</v>
      </c>
      <c r="J7398" s="331" t="s">
        <v>152</v>
      </c>
      <c r="K7398" s="334"/>
      <c r="L7398" s="334">
        <v>13681.97</v>
      </c>
    </row>
    <row r="7399" spans="1:12" x14ac:dyDescent="0.2">
      <c r="A7399" s="238">
        <v>2022</v>
      </c>
      <c r="B7399" s="238">
        <v>9</v>
      </c>
      <c r="C7399" s="238">
        <v>22</v>
      </c>
      <c r="D7399" s="270">
        <f t="shared" ref="D7399:D7412" si="628">DATE(A7399,B7399,C7399)</f>
        <v>44826</v>
      </c>
      <c r="E7399" s="279">
        <f t="shared" ref="E7399:E7412" si="629">DATE(A7399,B7399,C7399)</f>
        <v>44826</v>
      </c>
      <c r="F7399" s="477" t="s">
        <v>347</v>
      </c>
      <c r="G7399" s="239" t="s">
        <v>94</v>
      </c>
      <c r="H7399" s="239" t="str" cm="1">
        <f t="array" ref="H7399">IFERROR(INDEX(INVESTOR_LIST[INVESTOR NAME],MATCH(I7399,INVESTOR_LIST[INVESTOR CODE],0),)," ")</f>
        <v xml:space="preserve"> </v>
      </c>
      <c r="I7399" s="262" t="s">
        <v>348</v>
      </c>
      <c r="J7399" s="240" t="s">
        <v>82</v>
      </c>
      <c r="K7399" s="241">
        <v>564101.6400000155</v>
      </c>
      <c r="L7399" s="241"/>
    </row>
    <row r="7400" spans="1:12" x14ac:dyDescent="0.2">
      <c r="A7400" s="242">
        <v>2022</v>
      </c>
      <c r="B7400" s="242">
        <v>9</v>
      </c>
      <c r="C7400" s="242">
        <v>22</v>
      </c>
      <c r="D7400" s="270">
        <f t="shared" si="628"/>
        <v>44826</v>
      </c>
      <c r="E7400" s="279">
        <f t="shared" si="629"/>
        <v>44826</v>
      </c>
      <c r="F7400" s="478"/>
      <c r="G7400" s="243" t="s">
        <v>94</v>
      </c>
      <c r="H7400" s="243" t="str" cm="1">
        <f t="array" ref="H7400">IFERROR(INDEX(INVESTOR_LIST[INVESTOR NAME],MATCH(I7400,INVESTOR_LIST[INVESTOR CODE],0),)," ")</f>
        <v xml:space="preserve"> </v>
      </c>
      <c r="I7400" s="263" t="s">
        <v>348</v>
      </c>
      <c r="J7400" s="244" t="s">
        <v>108</v>
      </c>
      <c r="K7400" s="245"/>
      <c r="L7400" s="245">
        <v>564101.6400000155</v>
      </c>
    </row>
    <row r="7401" spans="1:12" ht="22.5" x14ac:dyDescent="0.2">
      <c r="A7401" s="246">
        <v>2022</v>
      </c>
      <c r="B7401" s="238">
        <v>9</v>
      </c>
      <c r="C7401" s="238">
        <v>22</v>
      </c>
      <c r="D7401" s="270">
        <f t="shared" si="628"/>
        <v>44826</v>
      </c>
      <c r="E7401" s="279">
        <f t="shared" si="629"/>
        <v>44826</v>
      </c>
      <c r="F7401" s="482" t="s">
        <v>148</v>
      </c>
      <c r="G7401" s="247" t="s">
        <v>94</v>
      </c>
      <c r="H7401" s="247" t="str" cm="1">
        <f t="array" ref="H7401">IFERROR(INDEX(INVESTOR_LIST[INVESTOR NAME],MATCH(I7401,INVESTOR_LIST[INVESTOR CODE],0),)," ")</f>
        <v xml:space="preserve"> </v>
      </c>
      <c r="I7401" s="248" t="s">
        <v>348</v>
      </c>
      <c r="J7401" s="249" t="s">
        <v>95</v>
      </c>
      <c r="K7401" s="250">
        <v>2747.2527472527472</v>
      </c>
      <c r="L7401" s="241"/>
    </row>
    <row r="7402" spans="1:12" x14ac:dyDescent="0.2">
      <c r="A7402" s="242">
        <v>2022</v>
      </c>
      <c r="B7402" s="242">
        <v>9</v>
      </c>
      <c r="C7402" s="242">
        <v>22</v>
      </c>
      <c r="D7402" s="270">
        <f t="shared" si="628"/>
        <v>44826</v>
      </c>
      <c r="E7402" s="279">
        <f t="shared" si="629"/>
        <v>44826</v>
      </c>
      <c r="F7402" s="478"/>
      <c r="G7402" s="243" t="s">
        <v>94</v>
      </c>
      <c r="H7402" s="243" t="str" cm="1">
        <f t="array" ref="H7402">IFERROR(INDEX(INVESTOR_LIST[INVESTOR NAME],MATCH(I7402,INVESTOR_LIST[INVESTOR CODE],0),)," ")</f>
        <v xml:space="preserve"> </v>
      </c>
      <c r="I7402" s="263" t="s">
        <v>348</v>
      </c>
      <c r="J7402" s="244" t="s">
        <v>63</v>
      </c>
      <c r="K7402" s="245"/>
      <c r="L7402" s="245">
        <v>2747.2527472527472</v>
      </c>
    </row>
    <row r="7403" spans="1:12" x14ac:dyDescent="0.2">
      <c r="A7403" s="246">
        <v>2022</v>
      </c>
      <c r="B7403" s="238">
        <v>9</v>
      </c>
      <c r="C7403" s="238">
        <v>22</v>
      </c>
      <c r="D7403" s="270">
        <f t="shared" si="628"/>
        <v>44826</v>
      </c>
      <c r="E7403" s="279">
        <f t="shared" si="629"/>
        <v>44826</v>
      </c>
      <c r="F7403" s="482" t="s">
        <v>137</v>
      </c>
      <c r="G7403" s="247" t="s">
        <v>94</v>
      </c>
      <c r="H7403" s="247" t="str" cm="1">
        <f t="array" ref="H7403">IFERROR(INDEX(INVESTOR_LIST[INVESTOR NAME],MATCH(I7403,INVESTOR_LIST[INVESTOR CODE],0),)," ")</f>
        <v xml:space="preserve"> </v>
      </c>
      <c r="I7403" s="248" t="s">
        <v>348</v>
      </c>
      <c r="J7403" s="249" t="s">
        <v>97</v>
      </c>
      <c r="K7403" s="250">
        <v>77406.956348667154</v>
      </c>
      <c r="L7403" s="252"/>
    </row>
    <row r="7404" spans="1:12" x14ac:dyDescent="0.2">
      <c r="A7404" s="242">
        <v>2022</v>
      </c>
      <c r="B7404" s="242">
        <v>9</v>
      </c>
      <c r="C7404" s="242">
        <v>22</v>
      </c>
      <c r="D7404" s="270">
        <f t="shared" si="628"/>
        <v>44826</v>
      </c>
      <c r="E7404" s="279">
        <f t="shared" si="629"/>
        <v>44826</v>
      </c>
      <c r="F7404" s="478"/>
      <c r="G7404" s="243" t="s">
        <v>94</v>
      </c>
      <c r="H7404" s="243" t="str" cm="1">
        <f t="array" ref="H7404">IFERROR(INDEX(INVESTOR_LIST[INVESTOR NAME],MATCH(I7404,INVESTOR_LIST[INVESTOR CODE],0),)," ")</f>
        <v xml:space="preserve"> </v>
      </c>
      <c r="I7404" s="263" t="s">
        <v>348</v>
      </c>
      <c r="J7404" s="244" t="s">
        <v>47</v>
      </c>
      <c r="K7404" s="245"/>
      <c r="L7404" s="245">
        <v>77406.956348667154</v>
      </c>
    </row>
    <row r="7405" spans="1:12" x14ac:dyDescent="0.2">
      <c r="A7405" s="246">
        <v>2022</v>
      </c>
      <c r="B7405" s="238">
        <v>9</v>
      </c>
      <c r="C7405" s="238">
        <v>22</v>
      </c>
      <c r="D7405" s="270">
        <f t="shared" si="628"/>
        <v>44826</v>
      </c>
      <c r="E7405" s="279">
        <f t="shared" si="629"/>
        <v>44826</v>
      </c>
      <c r="F7405" s="482" t="s">
        <v>138</v>
      </c>
      <c r="G7405" s="247" t="s">
        <v>94</v>
      </c>
      <c r="H7405" s="247" t="str" cm="1">
        <f t="array" ref="H7405">IFERROR(INDEX(INVESTOR_LIST[INVESTOR NAME],MATCH(I7405,INVESTOR_LIST[INVESTOR CODE],0),)," ")</f>
        <v xml:space="preserve"> </v>
      </c>
      <c r="I7405" s="248" t="s">
        <v>348</v>
      </c>
      <c r="J7405" s="249" t="s">
        <v>100</v>
      </c>
      <c r="K7405" s="250">
        <v>3629.9632020487425</v>
      </c>
      <c r="L7405" s="252"/>
    </row>
    <row r="7406" spans="1:12" x14ac:dyDescent="0.2">
      <c r="A7406" s="242">
        <v>2022</v>
      </c>
      <c r="B7406" s="242">
        <v>9</v>
      </c>
      <c r="C7406" s="242">
        <v>22</v>
      </c>
      <c r="D7406" s="321">
        <f t="shared" si="628"/>
        <v>44826</v>
      </c>
      <c r="E7406" s="322">
        <f t="shared" si="629"/>
        <v>44826</v>
      </c>
      <c r="F7406" s="478"/>
      <c r="G7406" s="243" t="s">
        <v>94</v>
      </c>
      <c r="H7406" s="243" t="str" cm="1">
        <f t="array" ref="H7406">IFERROR(INDEX(INVESTOR_LIST[INVESTOR NAME],MATCH(I7406,INVESTOR_LIST[INVESTOR CODE],0),)," ")</f>
        <v xml:space="preserve"> </v>
      </c>
      <c r="I7406" s="263" t="s">
        <v>348</v>
      </c>
      <c r="J7406" s="244" t="s">
        <v>48</v>
      </c>
      <c r="K7406" s="245"/>
      <c r="L7406" s="245">
        <v>3629.9632020487425</v>
      </c>
    </row>
    <row r="7407" spans="1:12" x14ac:dyDescent="0.2">
      <c r="A7407" s="168">
        <v>2022</v>
      </c>
      <c r="B7407" s="168">
        <v>9</v>
      </c>
      <c r="C7407" s="133">
        <v>26</v>
      </c>
      <c r="D7407" s="141">
        <f t="shared" si="628"/>
        <v>44830</v>
      </c>
      <c r="E7407" s="275">
        <f t="shared" si="629"/>
        <v>44830</v>
      </c>
      <c r="F7407" s="479" t="s">
        <v>1319</v>
      </c>
      <c r="G7407" s="220" t="s">
        <v>74</v>
      </c>
      <c r="H7407" s="142" t="str" cm="1">
        <f t="array" ref="H7407">IFERROR(INDEX(INVESTOR_LIST[INVESTOR NAME],MATCH(I7407,INVESTOR_LIST[INVESTOR CODE],0),)," ")</f>
        <v xml:space="preserve"> </v>
      </c>
      <c r="I7407" s="142"/>
      <c r="J7407" s="168" t="s">
        <v>52</v>
      </c>
      <c r="K7407" s="226">
        <v>480000</v>
      </c>
      <c r="L7407" s="226"/>
    </row>
    <row r="7408" spans="1:12" x14ac:dyDescent="0.2">
      <c r="A7408" s="133">
        <v>2022</v>
      </c>
      <c r="B7408" s="133">
        <v>9</v>
      </c>
      <c r="C7408" s="133">
        <v>26</v>
      </c>
      <c r="D7408" s="141">
        <f t="shared" si="628"/>
        <v>44830</v>
      </c>
      <c r="E7408" s="275">
        <f t="shared" si="629"/>
        <v>44830</v>
      </c>
      <c r="F7408" s="481"/>
      <c r="G7408" s="174" t="s">
        <v>74</v>
      </c>
      <c r="H7408" s="148" t="str" cm="1">
        <f t="array" ref="H7408">IFERROR(INDEX(INVESTOR_LIST[INVESTOR NAME],MATCH(I7408,INVESTOR_LIST[INVESTOR CODE],0),)," ")</f>
        <v xml:space="preserve"> </v>
      </c>
      <c r="J7408" s="133" t="s">
        <v>13</v>
      </c>
      <c r="K7408" s="218"/>
      <c r="L7408" s="218">
        <v>399340</v>
      </c>
    </row>
    <row r="7409" spans="1:12" x14ac:dyDescent="0.2">
      <c r="A7409" s="163">
        <v>2022</v>
      </c>
      <c r="B7409" s="163">
        <v>9</v>
      </c>
      <c r="C7409" s="163">
        <v>26</v>
      </c>
      <c r="D7409" s="280">
        <f t="shared" si="628"/>
        <v>44830</v>
      </c>
      <c r="E7409" s="281">
        <f t="shared" si="629"/>
        <v>44830</v>
      </c>
      <c r="F7409" s="480"/>
      <c r="G7409" s="221" t="s">
        <v>74</v>
      </c>
      <c r="H7409" s="145" t="str" cm="1">
        <f t="array" ref="H7409">IFERROR(INDEX(INVESTOR_LIST[INVESTOR NAME],MATCH(I7409,INVESTOR_LIST[INVESTOR CODE],0),)," ")</f>
        <v xml:space="preserve"> </v>
      </c>
      <c r="I7409" s="145"/>
      <c r="J7409" s="163" t="s">
        <v>53</v>
      </c>
      <c r="K7409" s="219"/>
      <c r="L7409" s="219">
        <v>80660</v>
      </c>
    </row>
    <row r="7410" spans="1:12" ht="22.5" x14ac:dyDescent="0.2">
      <c r="A7410" s="168">
        <v>2022</v>
      </c>
      <c r="B7410" s="168">
        <v>9</v>
      </c>
      <c r="C7410" s="133">
        <v>27</v>
      </c>
      <c r="D7410" s="141">
        <f t="shared" si="628"/>
        <v>44831</v>
      </c>
      <c r="E7410" s="275">
        <f t="shared" si="629"/>
        <v>44831</v>
      </c>
      <c r="F7410" s="479" t="s">
        <v>964</v>
      </c>
      <c r="G7410" s="220" t="s">
        <v>74</v>
      </c>
      <c r="H7410" s="142" t="str" cm="1">
        <f t="array" ref="H7410">IFERROR(INDEX(INVESTOR_LIST[INVESTOR NAME],MATCH(I7410,INVESTOR_LIST[INVESTOR CODE],0),)," ")</f>
        <v>SYED AHMAD</v>
      </c>
      <c r="I7410" s="142" t="s">
        <v>1449</v>
      </c>
      <c r="J7410" s="168" t="s">
        <v>52</v>
      </c>
      <c r="K7410" s="226">
        <v>12020</v>
      </c>
      <c r="L7410" s="226"/>
    </row>
    <row r="7411" spans="1:12" ht="22.5" x14ac:dyDescent="0.2">
      <c r="A7411" s="133">
        <v>2022</v>
      </c>
      <c r="B7411" s="133">
        <v>9</v>
      </c>
      <c r="C7411" s="133">
        <v>27</v>
      </c>
      <c r="D7411" s="141">
        <f t="shared" si="628"/>
        <v>44831</v>
      </c>
      <c r="E7411" s="275">
        <f t="shared" si="629"/>
        <v>44831</v>
      </c>
      <c r="F7411" s="481"/>
      <c r="G7411" s="174" t="s">
        <v>74</v>
      </c>
      <c r="H7411" s="148" t="str" cm="1">
        <f t="array" ref="H7411">IFERROR(INDEX(INVESTOR_LIST[INVESTOR NAME],MATCH(I7411,INVESTOR_LIST[INVESTOR CODE],0),)," ")</f>
        <v>SYED AHMAD</v>
      </c>
      <c r="I7411" s="148" t="s">
        <v>1449</v>
      </c>
      <c r="J7411" s="133" t="s">
        <v>13</v>
      </c>
      <c r="K7411" s="218"/>
      <c r="L7411" s="218">
        <v>10000</v>
      </c>
    </row>
    <row r="7412" spans="1:12" ht="22.5" x14ac:dyDescent="0.2">
      <c r="A7412" s="163">
        <v>2022</v>
      </c>
      <c r="B7412" s="163">
        <v>9</v>
      </c>
      <c r="C7412" s="163">
        <v>27</v>
      </c>
      <c r="D7412" s="280">
        <f t="shared" si="628"/>
        <v>44831</v>
      </c>
      <c r="E7412" s="281">
        <f t="shared" si="629"/>
        <v>44831</v>
      </c>
      <c r="F7412" s="480"/>
      <c r="G7412" s="221" t="s">
        <v>74</v>
      </c>
      <c r="H7412" s="145" t="str" cm="1">
        <f t="array" ref="H7412">IFERROR(INDEX(INVESTOR_LIST[INVESTOR NAME],MATCH(I7412,INVESTOR_LIST[INVESTOR CODE],0),)," ")</f>
        <v>SYED AHMAD</v>
      </c>
      <c r="I7412" s="145" t="s">
        <v>1449</v>
      </c>
      <c r="J7412" s="163" t="s">
        <v>53</v>
      </c>
      <c r="K7412" s="219"/>
      <c r="L7412" s="219">
        <v>2020</v>
      </c>
    </row>
    <row r="7413" spans="1:12" ht="22.5" x14ac:dyDescent="0.2">
      <c r="A7413" s="168">
        <v>2022</v>
      </c>
      <c r="B7413" s="168">
        <v>9</v>
      </c>
      <c r="C7413" s="133">
        <v>27</v>
      </c>
      <c r="D7413" s="141">
        <f t="shared" ref="D7413:D7422" si="630">DATE(A7413,B7413,C7413)</f>
        <v>44831</v>
      </c>
      <c r="E7413" s="275">
        <f t="shared" ref="E7413:E7422" si="631">DATE(A7413,B7413,C7413)</f>
        <v>44831</v>
      </c>
      <c r="F7413" s="479" t="s">
        <v>964</v>
      </c>
      <c r="G7413" s="220" t="s">
        <v>74</v>
      </c>
      <c r="H7413" s="142" t="str" cm="1">
        <f t="array" ref="H7413">IFERROR(INDEX(INVESTOR_LIST[INVESTOR NAME],MATCH(I7413,INVESTOR_LIST[INVESTOR CODE],0),)," ")</f>
        <v>ISHRAT NUR</v>
      </c>
      <c r="I7413" s="142" t="s">
        <v>1458</v>
      </c>
      <c r="J7413" s="168" t="s">
        <v>52</v>
      </c>
      <c r="K7413" s="226">
        <v>12020</v>
      </c>
      <c r="L7413" s="226"/>
    </row>
    <row r="7414" spans="1:12" ht="22.5" x14ac:dyDescent="0.2">
      <c r="A7414" s="133">
        <v>2022</v>
      </c>
      <c r="B7414" s="133">
        <v>9</v>
      </c>
      <c r="C7414" s="133">
        <v>27</v>
      </c>
      <c r="D7414" s="141">
        <f t="shared" si="630"/>
        <v>44831</v>
      </c>
      <c r="E7414" s="275">
        <f t="shared" si="631"/>
        <v>44831</v>
      </c>
      <c r="F7414" s="481"/>
      <c r="G7414" s="174" t="s">
        <v>74</v>
      </c>
      <c r="H7414" s="148" t="str" cm="1">
        <f t="array" ref="H7414">IFERROR(INDEX(INVESTOR_LIST[INVESTOR NAME],MATCH(I7414,INVESTOR_LIST[INVESTOR CODE],0),)," ")</f>
        <v>ISHRAT NUR</v>
      </c>
      <c r="I7414" s="148" t="s">
        <v>1458</v>
      </c>
      <c r="J7414" s="133" t="s">
        <v>13</v>
      </c>
      <c r="K7414" s="218"/>
      <c r="L7414" s="218">
        <v>10000</v>
      </c>
    </row>
    <row r="7415" spans="1:12" ht="22.5" x14ac:dyDescent="0.2">
      <c r="A7415" s="163">
        <v>2022</v>
      </c>
      <c r="B7415" s="163">
        <v>9</v>
      </c>
      <c r="C7415" s="163">
        <v>27</v>
      </c>
      <c r="D7415" s="280">
        <f t="shared" si="630"/>
        <v>44831</v>
      </c>
      <c r="E7415" s="281">
        <f t="shared" si="631"/>
        <v>44831</v>
      </c>
      <c r="F7415" s="480"/>
      <c r="G7415" s="221" t="s">
        <v>74</v>
      </c>
      <c r="H7415" s="145" t="str" cm="1">
        <f t="array" ref="H7415">IFERROR(INDEX(INVESTOR_LIST[INVESTOR NAME],MATCH(I7415,INVESTOR_LIST[INVESTOR CODE],0),)," ")</f>
        <v>ISHRAT NUR</v>
      </c>
      <c r="I7415" s="145" t="s">
        <v>1458</v>
      </c>
      <c r="J7415" s="163" t="s">
        <v>53</v>
      </c>
      <c r="K7415" s="219"/>
      <c r="L7415" s="219">
        <v>2020</v>
      </c>
    </row>
    <row r="7416" spans="1:12" ht="10.15" customHeight="1" x14ac:dyDescent="0.2">
      <c r="A7416" s="168">
        <v>2022</v>
      </c>
      <c r="B7416" s="168">
        <v>9</v>
      </c>
      <c r="C7416" s="133">
        <v>27</v>
      </c>
      <c r="D7416" s="141">
        <f t="shared" si="630"/>
        <v>44831</v>
      </c>
      <c r="E7416" s="275">
        <f t="shared" si="631"/>
        <v>44831</v>
      </c>
      <c r="F7416" s="479" t="s">
        <v>1315</v>
      </c>
      <c r="G7416" s="220" t="s">
        <v>74</v>
      </c>
      <c r="H7416" s="142" t="str" cm="1">
        <f t="array" ref="H7416">IFERROR(INDEX(INVESTOR_LIST[INVESTOR NAME],MATCH(I7416,INVESTOR_LIST[INVESTOR CODE],0),)," ")</f>
        <v>ABACI INVESTMENTS LTD. EC PROVIDENT FUND</v>
      </c>
      <c r="I7416" s="142" t="s">
        <v>728</v>
      </c>
      <c r="J7416" s="168" t="s">
        <v>13</v>
      </c>
      <c r="K7416" s="226">
        <v>896960</v>
      </c>
      <c r="L7416" s="226"/>
    </row>
    <row r="7417" spans="1:12" ht="11.45" customHeight="1" x14ac:dyDescent="0.2">
      <c r="A7417" s="133">
        <v>2022</v>
      </c>
      <c r="B7417" s="133">
        <v>9</v>
      </c>
      <c r="C7417" s="133">
        <v>27</v>
      </c>
      <c r="D7417" s="141">
        <f t="shared" si="630"/>
        <v>44831</v>
      </c>
      <c r="E7417" s="275">
        <f t="shared" si="631"/>
        <v>44831</v>
      </c>
      <c r="F7417" s="481"/>
      <c r="G7417" s="174" t="s">
        <v>74</v>
      </c>
      <c r="H7417" s="148" t="str" cm="1">
        <f t="array" ref="H7417">IFERROR(INDEX(INVESTOR_LIST[INVESTOR NAME],MATCH(I7417,INVESTOR_LIST[INVESTOR CODE],0),)," ")</f>
        <v>ABACI INVESTMENTS LTD. EC PROVIDENT FUND</v>
      </c>
      <c r="I7417" s="148" t="s">
        <v>728</v>
      </c>
      <c r="J7417" s="133" t="s">
        <v>53</v>
      </c>
      <c r="K7417" s="218">
        <v>181185.92000000001</v>
      </c>
      <c r="L7417" s="218"/>
    </row>
    <row r="7418" spans="1:12" ht="10.15" customHeight="1" x14ac:dyDescent="0.2">
      <c r="A7418" s="163">
        <v>2022</v>
      </c>
      <c r="B7418" s="163">
        <v>9</v>
      </c>
      <c r="C7418" s="163">
        <v>27</v>
      </c>
      <c r="D7418" s="280">
        <f t="shared" si="630"/>
        <v>44831</v>
      </c>
      <c r="E7418" s="281">
        <f t="shared" si="631"/>
        <v>44831</v>
      </c>
      <c r="F7418" s="480"/>
      <c r="G7418" s="221" t="s">
        <v>74</v>
      </c>
      <c r="H7418" s="145" t="str" cm="1">
        <f t="array" ref="H7418">IFERROR(INDEX(INVESTOR_LIST[INVESTOR NAME],MATCH(I7418,INVESTOR_LIST[INVESTOR CODE],0),)," ")</f>
        <v>ABACI INVESTMENTS LTD. EC PROVIDENT FUND</v>
      </c>
      <c r="I7418" s="145" t="s">
        <v>728</v>
      </c>
      <c r="J7418" s="163" t="s">
        <v>52</v>
      </c>
      <c r="K7418" s="219"/>
      <c r="L7418" s="219">
        <v>1078145.92</v>
      </c>
    </row>
    <row r="7419" spans="1:12" x14ac:dyDescent="0.2">
      <c r="A7419" s="168">
        <v>2022</v>
      </c>
      <c r="B7419" s="168">
        <v>9</v>
      </c>
      <c r="C7419" s="133">
        <v>27</v>
      </c>
      <c r="D7419" s="141">
        <f t="shared" si="630"/>
        <v>44831</v>
      </c>
      <c r="E7419" s="275">
        <f t="shared" si="631"/>
        <v>44831</v>
      </c>
      <c r="F7419" s="479" t="s">
        <v>1508</v>
      </c>
      <c r="G7419" s="220" t="s">
        <v>74</v>
      </c>
      <c r="H7419" s="220" t="str" cm="1">
        <f t="array" ref="H7419">IFERROR(INDEX(INVESTOR_LIST[INVESTOR NAME],MATCH(I7419,INVESTOR_LIST[INVESTOR CODE],0),)," ")</f>
        <v xml:space="preserve"> </v>
      </c>
      <c r="I7419" s="142" t="s">
        <v>348</v>
      </c>
      <c r="J7419" s="143" t="s">
        <v>184</v>
      </c>
      <c r="K7419" s="226">
        <v>637500</v>
      </c>
      <c r="L7419" s="226"/>
    </row>
    <row r="7420" spans="1:12" x14ac:dyDescent="0.2">
      <c r="A7420" s="133">
        <v>2022</v>
      </c>
      <c r="B7420" s="133">
        <v>9</v>
      </c>
      <c r="C7420" s="133">
        <v>27</v>
      </c>
      <c r="D7420" s="141">
        <f t="shared" si="630"/>
        <v>44831</v>
      </c>
      <c r="E7420" s="275">
        <f t="shared" si="631"/>
        <v>44831</v>
      </c>
      <c r="F7420" s="481"/>
      <c r="G7420" s="174" t="s">
        <v>74</v>
      </c>
      <c r="H7420" s="174" t="str" cm="1">
        <f t="array" ref="H7420">IFERROR(INDEX(INVESTOR_LIST[INVESTOR NAME],MATCH(I7420,INVESTOR_LIST[INVESTOR CODE],0),)," ")</f>
        <v xml:space="preserve"> </v>
      </c>
      <c r="I7420" s="148" t="s">
        <v>348</v>
      </c>
      <c r="J7420" s="149" t="s">
        <v>61</v>
      </c>
      <c r="K7420" s="218">
        <v>115</v>
      </c>
      <c r="L7420" s="218"/>
    </row>
    <row r="7421" spans="1:12" x14ac:dyDescent="0.2">
      <c r="A7421" s="133">
        <v>2022</v>
      </c>
      <c r="B7421" s="133">
        <v>9</v>
      </c>
      <c r="C7421" s="133">
        <v>27</v>
      </c>
      <c r="D7421" s="141">
        <f t="shared" si="630"/>
        <v>44831</v>
      </c>
      <c r="E7421" s="275">
        <f t="shared" si="631"/>
        <v>44831</v>
      </c>
      <c r="F7421" s="481"/>
      <c r="G7421" s="174" t="s">
        <v>74</v>
      </c>
      <c r="H7421" s="174"/>
      <c r="J7421" s="149" t="s">
        <v>185</v>
      </c>
      <c r="K7421" s="218">
        <v>3000</v>
      </c>
      <c r="L7421" s="218"/>
    </row>
    <row r="7422" spans="1:12" x14ac:dyDescent="0.2">
      <c r="A7422" s="163">
        <v>2022</v>
      </c>
      <c r="B7422" s="163">
        <v>9</v>
      </c>
      <c r="C7422" s="163">
        <v>27</v>
      </c>
      <c r="D7422" s="141">
        <f t="shared" si="630"/>
        <v>44831</v>
      </c>
      <c r="E7422" s="275">
        <f t="shared" si="631"/>
        <v>44831</v>
      </c>
      <c r="F7422" s="480"/>
      <c r="G7422" s="221" t="s">
        <v>74</v>
      </c>
      <c r="H7422" s="221" t="str" cm="1">
        <f t="array" ref="H7422">IFERROR(INDEX(INVESTOR_LIST[INVESTOR NAME],MATCH(I7422,INVESTOR_LIST[INVESTOR CODE],0),)," ")</f>
        <v xml:space="preserve"> </v>
      </c>
      <c r="I7422" s="145" t="s">
        <v>348</v>
      </c>
      <c r="J7422" s="146" t="s">
        <v>52</v>
      </c>
      <c r="K7422" s="219"/>
      <c r="L7422" s="219">
        <v>640615</v>
      </c>
    </row>
    <row r="7423" spans="1:12" ht="22.5" x14ac:dyDescent="0.2">
      <c r="A7423" s="168">
        <v>2022</v>
      </c>
      <c r="B7423" s="168">
        <v>9</v>
      </c>
      <c r="C7423" s="133">
        <v>29</v>
      </c>
      <c r="D7423" s="141">
        <f t="shared" ref="D7423:D7431" si="632">DATE(A7423,B7423,C7423)</f>
        <v>44833</v>
      </c>
      <c r="E7423" s="275">
        <f t="shared" ref="E7423:E7431" si="633">DATE(A7423,B7423,C7423)</f>
        <v>44833</v>
      </c>
      <c r="F7423" s="479" t="s">
        <v>1315</v>
      </c>
      <c r="G7423" s="220" t="s">
        <v>74</v>
      </c>
      <c r="H7423" s="142" t="str" cm="1">
        <f t="array" ref="H7423">IFERROR(INDEX(INVESTOR_LIST[INVESTOR NAME],MATCH(I7423,INVESTOR_LIST[INVESTOR CODE],0),)," ")</f>
        <v>SRIJON GHOSH</v>
      </c>
      <c r="I7423" s="142" t="s">
        <v>1418</v>
      </c>
      <c r="J7423" s="168" t="s">
        <v>13</v>
      </c>
      <c r="K7423" s="226">
        <v>6660</v>
      </c>
      <c r="L7423" s="226"/>
    </row>
    <row r="7424" spans="1:12" ht="22.5" x14ac:dyDescent="0.2">
      <c r="A7424" s="133">
        <v>2022</v>
      </c>
      <c r="B7424" s="133">
        <v>9</v>
      </c>
      <c r="C7424" s="133">
        <v>29</v>
      </c>
      <c r="D7424" s="141">
        <f t="shared" si="632"/>
        <v>44833</v>
      </c>
      <c r="E7424" s="275">
        <f t="shared" si="633"/>
        <v>44833</v>
      </c>
      <c r="F7424" s="481"/>
      <c r="G7424" s="174" t="s">
        <v>74</v>
      </c>
      <c r="H7424" s="148" t="str" cm="1">
        <f t="array" ref="H7424">IFERROR(INDEX(INVESTOR_LIST[INVESTOR NAME],MATCH(I7424,INVESTOR_LIST[INVESTOR CODE],0),)," ")</f>
        <v>SRIJON GHOSH</v>
      </c>
      <c r="I7424" s="148" t="s">
        <v>1418</v>
      </c>
      <c r="J7424" s="133" t="s">
        <v>53</v>
      </c>
      <c r="K7424" s="218">
        <v>1345.32</v>
      </c>
      <c r="L7424" s="218"/>
    </row>
    <row r="7425" spans="1:12" ht="22.5" x14ac:dyDescent="0.2">
      <c r="A7425" s="163">
        <v>2022</v>
      </c>
      <c r="B7425" s="163">
        <v>9</v>
      </c>
      <c r="C7425" s="163">
        <v>29</v>
      </c>
      <c r="D7425" s="280">
        <f t="shared" si="632"/>
        <v>44833</v>
      </c>
      <c r="E7425" s="281">
        <f t="shared" si="633"/>
        <v>44833</v>
      </c>
      <c r="F7425" s="480"/>
      <c r="G7425" s="221" t="s">
        <v>74</v>
      </c>
      <c r="H7425" s="145" t="str" cm="1">
        <f t="array" ref="H7425">IFERROR(INDEX(INVESTOR_LIST[INVESTOR NAME],MATCH(I7425,INVESTOR_LIST[INVESTOR CODE],0),)," ")</f>
        <v>SRIJON GHOSH</v>
      </c>
      <c r="I7425" s="145" t="s">
        <v>1418</v>
      </c>
      <c r="J7425" s="163" t="s">
        <v>52</v>
      </c>
      <c r="K7425" s="219"/>
      <c r="L7425" s="219">
        <v>8005.32</v>
      </c>
    </row>
    <row r="7426" spans="1:12" x14ac:dyDescent="0.2">
      <c r="A7426" s="133">
        <v>2022</v>
      </c>
      <c r="B7426" s="168">
        <v>9</v>
      </c>
      <c r="C7426" s="168">
        <v>29</v>
      </c>
      <c r="D7426" s="141">
        <f t="shared" si="632"/>
        <v>44833</v>
      </c>
      <c r="E7426" s="275">
        <f t="shared" si="633"/>
        <v>44833</v>
      </c>
      <c r="F7426" s="481" t="s">
        <v>1510</v>
      </c>
      <c r="G7426" s="174" t="s">
        <v>94</v>
      </c>
      <c r="H7426" s="174" t="str" cm="1">
        <f t="array" ref="H7426">IFERROR(INDEX(INVESTOR_LIST[INVESTOR NAME],MATCH(I7426,INVESTOR_LIST[INVESTOR CODE],0),)," ")</f>
        <v xml:space="preserve"> </v>
      </c>
      <c r="I7426" s="148" t="s">
        <v>348</v>
      </c>
      <c r="J7426" s="149" t="s">
        <v>168</v>
      </c>
      <c r="K7426" s="218">
        <v>144000</v>
      </c>
      <c r="L7426" s="218"/>
    </row>
    <row r="7427" spans="1:12" x14ac:dyDescent="0.2">
      <c r="A7427" s="163">
        <v>2022</v>
      </c>
      <c r="B7427" s="163">
        <v>9</v>
      </c>
      <c r="C7427" s="163">
        <v>29</v>
      </c>
      <c r="D7427" s="141">
        <f t="shared" si="632"/>
        <v>44833</v>
      </c>
      <c r="E7427" s="275">
        <f t="shared" si="633"/>
        <v>44833</v>
      </c>
      <c r="F7427" s="480"/>
      <c r="G7427" s="221" t="s">
        <v>94</v>
      </c>
      <c r="H7427" s="221" t="str" cm="1">
        <f t="array" ref="H7427">IFERROR(INDEX(INVESTOR_LIST[INVESTOR NAME],MATCH(I7427,INVESTOR_LIST[INVESTOR CODE],0),)," ")</f>
        <v xml:space="preserve"> </v>
      </c>
      <c r="I7427" s="145" t="s">
        <v>348</v>
      </c>
      <c r="J7427" s="146" t="s">
        <v>166</v>
      </c>
      <c r="K7427" s="219"/>
      <c r="L7427" s="219">
        <v>144000</v>
      </c>
    </row>
    <row r="7428" spans="1:12" x14ac:dyDescent="0.2">
      <c r="A7428" s="324">
        <v>2022</v>
      </c>
      <c r="B7428" s="324">
        <v>9</v>
      </c>
      <c r="C7428" s="325">
        <v>29</v>
      </c>
      <c r="D7428" s="326">
        <f t="shared" si="632"/>
        <v>44833</v>
      </c>
      <c r="E7428" s="327">
        <f t="shared" si="633"/>
        <v>44833</v>
      </c>
      <c r="F7428" s="473" t="s">
        <v>1489</v>
      </c>
      <c r="G7428" s="328" t="s">
        <v>94</v>
      </c>
      <c r="H7428" s="329" t="str" cm="1">
        <f t="array" ref="H7428">IFERROR(INDEX(INVESTOR_LIST[INVESTOR NAME],MATCH(I7428,INVESTOR_LIST[INVESTOR CODE],0),)," ")</f>
        <v xml:space="preserve"> </v>
      </c>
      <c r="I7428" s="329" t="s">
        <v>348</v>
      </c>
      <c r="J7428" s="324" t="s">
        <v>133</v>
      </c>
      <c r="K7428" s="330">
        <v>3424.28</v>
      </c>
      <c r="L7428" s="330"/>
    </row>
    <row r="7429" spans="1:12" x14ac:dyDescent="0.2">
      <c r="A7429" s="331">
        <v>2022</v>
      </c>
      <c r="B7429" s="331">
        <v>9</v>
      </c>
      <c r="C7429" s="331">
        <v>29</v>
      </c>
      <c r="D7429" s="326">
        <f t="shared" si="632"/>
        <v>44833</v>
      </c>
      <c r="E7429" s="327">
        <f t="shared" si="633"/>
        <v>44833</v>
      </c>
      <c r="F7429" s="474"/>
      <c r="G7429" s="332" t="s">
        <v>94</v>
      </c>
      <c r="H7429" s="333" t="str" cm="1">
        <f t="array" ref="H7429">IFERROR(INDEX(INVESTOR_LIST[INVESTOR NAME],MATCH(I7429,INVESTOR_LIST[INVESTOR CODE],0),)," ")</f>
        <v xml:space="preserve"> </v>
      </c>
      <c r="I7429" s="333" t="s">
        <v>348</v>
      </c>
      <c r="J7429" s="331" t="s">
        <v>152</v>
      </c>
      <c r="K7429" s="334"/>
      <c r="L7429" s="334">
        <v>3424.28</v>
      </c>
    </row>
    <row r="7430" spans="1:12" x14ac:dyDescent="0.2">
      <c r="A7430" s="324">
        <v>2022</v>
      </c>
      <c r="B7430" s="324">
        <v>9</v>
      </c>
      <c r="C7430" s="325">
        <v>29</v>
      </c>
      <c r="D7430" s="326">
        <f t="shared" si="632"/>
        <v>44833</v>
      </c>
      <c r="E7430" s="327">
        <f t="shared" si="633"/>
        <v>44833</v>
      </c>
      <c r="F7430" s="473" t="s">
        <v>1491</v>
      </c>
      <c r="G7430" s="328" t="s">
        <v>94</v>
      </c>
      <c r="H7430" s="329" t="str" cm="1">
        <f t="array" ref="H7430">IFERROR(INDEX(INVESTOR_LIST[INVESTOR NAME],MATCH(I7430,INVESTOR_LIST[INVESTOR CODE],0),)," ")</f>
        <v xml:space="preserve"> </v>
      </c>
      <c r="I7430" s="329" t="s">
        <v>348</v>
      </c>
      <c r="J7430" s="324" t="s">
        <v>133</v>
      </c>
      <c r="K7430" s="330">
        <v>10838.39</v>
      </c>
      <c r="L7430" s="330"/>
    </row>
    <row r="7431" spans="1:12" x14ac:dyDescent="0.2">
      <c r="A7431" s="331">
        <v>2022</v>
      </c>
      <c r="B7431" s="331">
        <v>9</v>
      </c>
      <c r="C7431" s="331">
        <v>29</v>
      </c>
      <c r="D7431" s="326">
        <f t="shared" si="632"/>
        <v>44833</v>
      </c>
      <c r="E7431" s="327">
        <f t="shared" si="633"/>
        <v>44833</v>
      </c>
      <c r="F7431" s="474"/>
      <c r="G7431" s="332" t="s">
        <v>94</v>
      </c>
      <c r="H7431" s="333" t="str" cm="1">
        <f t="array" ref="H7431">IFERROR(INDEX(INVESTOR_LIST[INVESTOR NAME],MATCH(I7431,INVESTOR_LIST[INVESTOR CODE],0),)," ")</f>
        <v xml:space="preserve"> </v>
      </c>
      <c r="I7431" s="333" t="s">
        <v>348</v>
      </c>
      <c r="J7431" s="331" t="s">
        <v>152</v>
      </c>
      <c r="K7431" s="334"/>
      <c r="L7431" s="334">
        <v>10838.39</v>
      </c>
    </row>
    <row r="7432" spans="1:12" x14ac:dyDescent="0.2">
      <c r="A7432" s="324">
        <v>2022</v>
      </c>
      <c r="B7432" s="324">
        <v>9</v>
      </c>
      <c r="C7432" s="325">
        <v>29</v>
      </c>
      <c r="D7432" s="326">
        <f>DATE(A7432,B7432,C7432)</f>
        <v>44833</v>
      </c>
      <c r="E7432" s="327">
        <f>DATE(A7432,B7432,C7432)</f>
        <v>44833</v>
      </c>
      <c r="F7432" s="473" t="s">
        <v>1490</v>
      </c>
      <c r="G7432" s="328" t="s">
        <v>94</v>
      </c>
      <c r="H7432" s="329" t="str" cm="1">
        <f t="array" ref="H7432">IFERROR(INDEX(INVESTOR_LIST[INVESTOR NAME],MATCH(I7432,INVESTOR_LIST[INVESTOR CODE],0),)," ")</f>
        <v xml:space="preserve"> </v>
      </c>
      <c r="I7432" s="329" t="s">
        <v>348</v>
      </c>
      <c r="J7432" s="324" t="s">
        <v>133</v>
      </c>
      <c r="K7432" s="330">
        <v>13681.97</v>
      </c>
      <c r="L7432" s="330"/>
    </row>
    <row r="7433" spans="1:12" x14ac:dyDescent="0.2">
      <c r="A7433" s="331">
        <v>2022</v>
      </c>
      <c r="B7433" s="331">
        <v>9</v>
      </c>
      <c r="C7433" s="331">
        <v>29</v>
      </c>
      <c r="D7433" s="326">
        <f>DATE(A7433,B7433,C7433)</f>
        <v>44833</v>
      </c>
      <c r="E7433" s="327">
        <f>DATE(A7433,B7433,C7433)</f>
        <v>44833</v>
      </c>
      <c r="F7433" s="474"/>
      <c r="G7433" s="332" t="s">
        <v>94</v>
      </c>
      <c r="H7433" s="333" t="str" cm="1">
        <f t="array" ref="H7433">IFERROR(INDEX(INVESTOR_LIST[INVESTOR NAME],MATCH(I7433,INVESTOR_LIST[INVESTOR CODE],0),)," ")</f>
        <v xml:space="preserve"> </v>
      </c>
      <c r="I7433" s="333" t="s">
        <v>348</v>
      </c>
      <c r="J7433" s="331" t="s">
        <v>152</v>
      </c>
      <c r="K7433" s="334"/>
      <c r="L7433" s="334">
        <v>13681.97</v>
      </c>
    </row>
    <row r="7434" spans="1:12" x14ac:dyDescent="0.2">
      <c r="A7434" s="238">
        <v>2022</v>
      </c>
      <c r="B7434" s="238">
        <v>9</v>
      </c>
      <c r="C7434" s="238">
        <v>29</v>
      </c>
      <c r="D7434" s="270">
        <f t="shared" ref="D7434:D7454" si="634">DATE(A7434,B7434,C7434)</f>
        <v>44833</v>
      </c>
      <c r="E7434" s="279">
        <f t="shared" ref="E7434:E7454" si="635">DATE(A7434,B7434,C7434)</f>
        <v>44833</v>
      </c>
      <c r="F7434" s="477" t="s">
        <v>347</v>
      </c>
      <c r="G7434" s="239" t="s">
        <v>94</v>
      </c>
      <c r="H7434" s="239" t="str" cm="1">
        <f t="array" ref="H7434">IFERROR(INDEX(INVESTOR_LIST[INVESTOR NAME],MATCH(I7434,INVESTOR_LIST[INVESTOR CODE],0),)," ")</f>
        <v xml:space="preserve"> </v>
      </c>
      <c r="I7434" s="262" t="s">
        <v>348</v>
      </c>
      <c r="J7434" s="240" t="s">
        <v>82</v>
      </c>
      <c r="K7434" s="241">
        <v>753244.4999999702</v>
      </c>
      <c r="L7434" s="241"/>
    </row>
    <row r="7435" spans="1:12" x14ac:dyDescent="0.2">
      <c r="A7435" s="242">
        <v>2022</v>
      </c>
      <c r="B7435" s="242">
        <v>9</v>
      </c>
      <c r="C7435" s="242">
        <v>29</v>
      </c>
      <c r="D7435" s="270">
        <f t="shared" si="634"/>
        <v>44833</v>
      </c>
      <c r="E7435" s="279">
        <f t="shared" si="635"/>
        <v>44833</v>
      </c>
      <c r="F7435" s="478"/>
      <c r="G7435" s="243" t="s">
        <v>94</v>
      </c>
      <c r="H7435" s="243" t="str" cm="1">
        <f t="array" ref="H7435">IFERROR(INDEX(INVESTOR_LIST[INVESTOR NAME],MATCH(I7435,INVESTOR_LIST[INVESTOR CODE],0),)," ")</f>
        <v xml:space="preserve"> </v>
      </c>
      <c r="I7435" s="263" t="s">
        <v>348</v>
      </c>
      <c r="J7435" s="244" t="s">
        <v>108</v>
      </c>
      <c r="K7435" s="245"/>
      <c r="L7435" s="245">
        <v>753244.4999999702</v>
      </c>
    </row>
    <row r="7436" spans="1:12" ht="22.5" x14ac:dyDescent="0.2">
      <c r="A7436" s="246">
        <v>2022</v>
      </c>
      <c r="B7436" s="238">
        <v>9</v>
      </c>
      <c r="C7436" s="238">
        <v>29</v>
      </c>
      <c r="D7436" s="270">
        <f t="shared" si="634"/>
        <v>44833</v>
      </c>
      <c r="E7436" s="279">
        <f t="shared" si="635"/>
        <v>44833</v>
      </c>
      <c r="F7436" s="482" t="s">
        <v>148</v>
      </c>
      <c r="G7436" s="247" t="s">
        <v>94</v>
      </c>
      <c r="H7436" s="247" t="str" cm="1">
        <f t="array" ref="H7436">IFERROR(INDEX(INVESTOR_LIST[INVESTOR NAME],MATCH(I7436,INVESTOR_LIST[INVESTOR CODE],0),)," ")</f>
        <v xml:space="preserve"> </v>
      </c>
      <c r="I7436" s="248" t="s">
        <v>348</v>
      </c>
      <c r="J7436" s="249" t="s">
        <v>95</v>
      </c>
      <c r="K7436" s="250">
        <v>2747.2527472527472</v>
      </c>
      <c r="L7436" s="241"/>
    </row>
    <row r="7437" spans="1:12" x14ac:dyDescent="0.2">
      <c r="A7437" s="242">
        <v>2022</v>
      </c>
      <c r="B7437" s="242">
        <v>9</v>
      </c>
      <c r="C7437" s="242">
        <v>29</v>
      </c>
      <c r="D7437" s="270">
        <f t="shared" si="634"/>
        <v>44833</v>
      </c>
      <c r="E7437" s="279">
        <f t="shared" si="635"/>
        <v>44833</v>
      </c>
      <c r="F7437" s="478"/>
      <c r="G7437" s="243" t="s">
        <v>94</v>
      </c>
      <c r="H7437" s="243" t="str" cm="1">
        <f t="array" ref="H7437">IFERROR(INDEX(INVESTOR_LIST[INVESTOR NAME],MATCH(I7437,INVESTOR_LIST[INVESTOR CODE],0),)," ")</f>
        <v xml:space="preserve"> </v>
      </c>
      <c r="I7437" s="263" t="s">
        <v>348</v>
      </c>
      <c r="J7437" s="244" t="s">
        <v>63</v>
      </c>
      <c r="K7437" s="245"/>
      <c r="L7437" s="245">
        <v>2747.2527472527472</v>
      </c>
    </row>
    <row r="7438" spans="1:12" x14ac:dyDescent="0.2">
      <c r="A7438" s="246">
        <v>2022</v>
      </c>
      <c r="B7438" s="238">
        <v>9</v>
      </c>
      <c r="C7438" s="238">
        <v>29</v>
      </c>
      <c r="D7438" s="270">
        <f t="shared" si="634"/>
        <v>44833</v>
      </c>
      <c r="E7438" s="279">
        <f t="shared" si="635"/>
        <v>44833</v>
      </c>
      <c r="F7438" s="482" t="s">
        <v>137</v>
      </c>
      <c r="G7438" s="247" t="s">
        <v>94</v>
      </c>
      <c r="H7438" s="247" t="str" cm="1">
        <f t="array" ref="H7438">IFERROR(INDEX(INVESTOR_LIST[INVESTOR NAME],MATCH(I7438,INVESTOR_LIST[INVESTOR CODE],0),)," ")</f>
        <v xml:space="preserve"> </v>
      </c>
      <c r="I7438" s="248" t="s">
        <v>348</v>
      </c>
      <c r="J7438" s="249" t="s">
        <v>97</v>
      </c>
      <c r="K7438" s="250">
        <v>76695.809597542946</v>
      </c>
      <c r="L7438" s="252"/>
    </row>
    <row r="7439" spans="1:12" x14ac:dyDescent="0.2">
      <c r="A7439" s="242">
        <v>2022</v>
      </c>
      <c r="B7439" s="242">
        <v>9</v>
      </c>
      <c r="C7439" s="242">
        <v>29</v>
      </c>
      <c r="D7439" s="270">
        <f t="shared" si="634"/>
        <v>44833</v>
      </c>
      <c r="E7439" s="279">
        <f t="shared" si="635"/>
        <v>44833</v>
      </c>
      <c r="F7439" s="478"/>
      <c r="G7439" s="243" t="s">
        <v>94</v>
      </c>
      <c r="H7439" s="243" t="str" cm="1">
        <f t="array" ref="H7439">IFERROR(INDEX(INVESTOR_LIST[INVESTOR NAME],MATCH(I7439,INVESTOR_LIST[INVESTOR CODE],0),)," ")</f>
        <v xml:space="preserve"> </v>
      </c>
      <c r="I7439" s="263" t="s">
        <v>348</v>
      </c>
      <c r="J7439" s="244" t="s">
        <v>47</v>
      </c>
      <c r="K7439" s="245"/>
      <c r="L7439" s="245">
        <v>76695.809597542946</v>
      </c>
    </row>
    <row r="7440" spans="1:12" x14ac:dyDescent="0.2">
      <c r="A7440" s="246">
        <v>2022</v>
      </c>
      <c r="B7440" s="238">
        <v>9</v>
      </c>
      <c r="C7440" s="238">
        <v>29</v>
      </c>
      <c r="D7440" s="270">
        <f t="shared" si="634"/>
        <v>44833</v>
      </c>
      <c r="E7440" s="279">
        <f t="shared" si="635"/>
        <v>44833</v>
      </c>
      <c r="F7440" s="482" t="s">
        <v>138</v>
      </c>
      <c r="G7440" s="247" t="s">
        <v>94</v>
      </c>
      <c r="H7440" s="247" t="str" cm="1">
        <f t="array" ref="H7440">IFERROR(INDEX(INVESTOR_LIST[INVESTOR NAME],MATCH(I7440,INVESTOR_LIST[INVESTOR CODE],0),)," ")</f>
        <v xml:space="preserve"> </v>
      </c>
      <c r="I7440" s="248" t="s">
        <v>348</v>
      </c>
      <c r="J7440" s="249" t="s">
        <v>100</v>
      </c>
      <c r="K7440" s="250">
        <v>3594.4058644925317</v>
      </c>
      <c r="L7440" s="252"/>
    </row>
    <row r="7441" spans="1:13" x14ac:dyDescent="0.2">
      <c r="A7441" s="242">
        <v>2022</v>
      </c>
      <c r="B7441" s="242">
        <v>9</v>
      </c>
      <c r="C7441" s="242">
        <v>29</v>
      </c>
      <c r="D7441" s="321">
        <f t="shared" si="634"/>
        <v>44833</v>
      </c>
      <c r="E7441" s="322">
        <f t="shared" si="635"/>
        <v>44833</v>
      </c>
      <c r="F7441" s="478"/>
      <c r="G7441" s="243" t="s">
        <v>94</v>
      </c>
      <c r="H7441" s="243" t="str" cm="1">
        <f t="array" ref="H7441">IFERROR(INDEX(INVESTOR_LIST[INVESTOR NAME],MATCH(I7441,INVESTOR_LIST[INVESTOR CODE],0),)," ")</f>
        <v xml:space="preserve"> </v>
      </c>
      <c r="I7441" s="263" t="s">
        <v>348</v>
      </c>
      <c r="J7441" s="244" t="s">
        <v>48</v>
      </c>
      <c r="K7441" s="245"/>
      <c r="L7441" s="245">
        <v>3594.4058644925317</v>
      </c>
    </row>
    <row r="7442" spans="1:13" x14ac:dyDescent="0.2">
      <c r="A7442" s="133">
        <v>2022</v>
      </c>
      <c r="B7442" s="168">
        <v>10</v>
      </c>
      <c r="C7442" s="168">
        <v>4</v>
      </c>
      <c r="D7442" s="141">
        <f>DATE(A7442,B7442,C7442)</f>
        <v>44838</v>
      </c>
      <c r="E7442" s="275">
        <f>DATE(A7442,B7442,C7442)</f>
        <v>44838</v>
      </c>
      <c r="F7442" s="479" t="s">
        <v>1511</v>
      </c>
      <c r="G7442" s="174" t="s">
        <v>74</v>
      </c>
      <c r="H7442" s="148" t="str" cm="1">
        <f t="array" ref="H7442">IFERROR(INDEX(INVESTOR_LIST[INVESTOR NAME],MATCH(I7442,INVESTOR_LIST[INVESTOR CODE],0),)," ")</f>
        <v xml:space="preserve"> </v>
      </c>
      <c r="I7442" s="148" t="s">
        <v>348</v>
      </c>
      <c r="J7442" s="133" t="s">
        <v>47</v>
      </c>
      <c r="K7442" s="172">
        <v>2044391</v>
      </c>
    </row>
    <row r="7443" spans="1:13" x14ac:dyDescent="0.2">
      <c r="A7443" s="163">
        <v>2022</v>
      </c>
      <c r="B7443" s="163">
        <v>10</v>
      </c>
      <c r="C7443" s="163">
        <v>4</v>
      </c>
      <c r="D7443" s="141">
        <f>DATE(A7443,B7443,C7443)</f>
        <v>44838</v>
      </c>
      <c r="E7443" s="275">
        <f>DATE(A7443,B7443,C7443)</f>
        <v>44838</v>
      </c>
      <c r="F7443" s="480"/>
      <c r="G7443" s="221" t="s">
        <v>74</v>
      </c>
      <c r="H7443" s="145" t="str" cm="1">
        <f t="array" ref="H7443">IFERROR(INDEX(INVESTOR_LIST[INVESTOR NAME],MATCH(I7443,INVESTOR_LIST[INVESTOR CODE],0),)," ")</f>
        <v xml:space="preserve"> </v>
      </c>
      <c r="I7443" s="145" t="s">
        <v>348</v>
      </c>
      <c r="J7443" s="163" t="s">
        <v>52</v>
      </c>
      <c r="K7443" s="219"/>
      <c r="L7443" s="219">
        <v>2044391</v>
      </c>
    </row>
    <row r="7444" spans="1:13" x14ac:dyDescent="0.2">
      <c r="A7444" s="168">
        <v>2022</v>
      </c>
      <c r="B7444" s="168">
        <v>10</v>
      </c>
      <c r="C7444" s="133">
        <v>5</v>
      </c>
      <c r="D7444" s="141">
        <f t="shared" si="634"/>
        <v>44839</v>
      </c>
      <c r="E7444" s="275">
        <f t="shared" si="635"/>
        <v>44839</v>
      </c>
      <c r="F7444" s="479" t="s">
        <v>1319</v>
      </c>
      <c r="G7444" s="220" t="s">
        <v>74</v>
      </c>
      <c r="H7444" s="142" t="str" cm="1">
        <f t="array" ref="H7444">IFERROR(INDEX(INVESTOR_LIST[INVESTOR NAME],MATCH(I7444,INVESTOR_LIST[INVESTOR CODE],0),)," ")</f>
        <v xml:space="preserve"> </v>
      </c>
      <c r="I7444" s="142"/>
      <c r="J7444" s="168" t="s">
        <v>52</v>
      </c>
      <c r="K7444" s="226">
        <v>17000</v>
      </c>
      <c r="L7444" s="226"/>
    </row>
    <row r="7445" spans="1:13" x14ac:dyDescent="0.2">
      <c r="A7445" s="133">
        <v>2022</v>
      </c>
      <c r="B7445" s="133">
        <v>10</v>
      </c>
      <c r="C7445" s="133">
        <v>5</v>
      </c>
      <c r="D7445" s="141">
        <f t="shared" si="634"/>
        <v>44839</v>
      </c>
      <c r="E7445" s="275">
        <f t="shared" si="635"/>
        <v>44839</v>
      </c>
      <c r="F7445" s="481"/>
      <c r="G7445" s="174" t="s">
        <v>74</v>
      </c>
      <c r="H7445" s="148" t="str" cm="1">
        <f t="array" ref="H7445">IFERROR(INDEX(INVESTOR_LIST[INVESTOR NAME],MATCH(I7445,INVESTOR_LIST[INVESTOR CODE],0),)," ")</f>
        <v xml:space="preserve"> </v>
      </c>
      <c r="J7445" s="133" t="s">
        <v>13</v>
      </c>
      <c r="K7445" s="218"/>
      <c r="L7445" s="218">
        <v>14240</v>
      </c>
    </row>
    <row r="7446" spans="1:13" x14ac:dyDescent="0.2">
      <c r="A7446" s="163">
        <v>2022</v>
      </c>
      <c r="B7446" s="163">
        <v>10</v>
      </c>
      <c r="C7446" s="163">
        <v>5</v>
      </c>
      <c r="D7446" s="280">
        <f t="shared" si="634"/>
        <v>44839</v>
      </c>
      <c r="E7446" s="281">
        <f t="shared" si="635"/>
        <v>44839</v>
      </c>
      <c r="F7446" s="480"/>
      <c r="G7446" s="221" t="s">
        <v>74</v>
      </c>
      <c r="H7446" s="145" t="str" cm="1">
        <f t="array" ref="H7446">IFERROR(INDEX(INVESTOR_LIST[INVESTOR NAME],MATCH(I7446,INVESTOR_LIST[INVESTOR CODE],0),)," ")</f>
        <v xml:space="preserve"> </v>
      </c>
      <c r="I7446" s="145"/>
      <c r="J7446" s="163" t="s">
        <v>53</v>
      </c>
      <c r="K7446" s="219"/>
      <c r="L7446" s="219">
        <v>2760</v>
      </c>
    </row>
    <row r="7447" spans="1:13" x14ac:dyDescent="0.2">
      <c r="A7447" s="168">
        <v>2022</v>
      </c>
      <c r="B7447" s="168">
        <v>10</v>
      </c>
      <c r="C7447" s="133">
        <v>6</v>
      </c>
      <c r="D7447" s="141">
        <f t="shared" si="634"/>
        <v>44840</v>
      </c>
      <c r="E7447" s="275">
        <f t="shared" si="635"/>
        <v>44840</v>
      </c>
      <c r="F7447" s="479" t="s">
        <v>1512</v>
      </c>
      <c r="G7447" s="220" t="s">
        <v>74</v>
      </c>
      <c r="H7447" s="220" t="str" cm="1">
        <f t="array" ref="H7447">IFERROR(INDEX(INVESTOR_LIST[INVESTOR NAME],MATCH(I7447,INVESTOR_LIST[INVESTOR CODE],0),)," ")</f>
        <v xml:space="preserve"> </v>
      </c>
      <c r="I7447" s="142" t="s">
        <v>348</v>
      </c>
      <c r="J7447" s="143" t="s">
        <v>184</v>
      </c>
      <c r="K7447" s="226">
        <v>4750000</v>
      </c>
      <c r="L7447" s="226"/>
    </row>
    <row r="7448" spans="1:13" x14ac:dyDescent="0.2">
      <c r="A7448" s="133">
        <v>2022</v>
      </c>
      <c r="B7448" s="133">
        <v>10</v>
      </c>
      <c r="C7448" s="133">
        <v>6</v>
      </c>
      <c r="D7448" s="141">
        <f t="shared" si="634"/>
        <v>44840</v>
      </c>
      <c r="E7448" s="275">
        <f t="shared" si="635"/>
        <v>44840</v>
      </c>
      <c r="F7448" s="481"/>
      <c r="G7448" s="174" t="s">
        <v>74</v>
      </c>
      <c r="H7448" s="174" t="str" cm="1">
        <f t="array" ref="H7448">IFERROR(INDEX(INVESTOR_LIST[INVESTOR NAME],MATCH(I7448,INVESTOR_LIST[INVESTOR CODE],0),)," ")</f>
        <v xml:space="preserve"> </v>
      </c>
      <c r="I7448" s="148" t="s">
        <v>348</v>
      </c>
      <c r="J7448" s="149" t="s">
        <v>61</v>
      </c>
      <c r="K7448" s="218">
        <v>115</v>
      </c>
      <c r="L7448" s="218"/>
    </row>
    <row r="7449" spans="1:13" x14ac:dyDescent="0.2">
      <c r="A7449" s="133">
        <v>2022</v>
      </c>
      <c r="B7449" s="133">
        <v>10</v>
      </c>
      <c r="C7449" s="133">
        <v>6</v>
      </c>
      <c r="D7449" s="141">
        <f t="shared" si="634"/>
        <v>44840</v>
      </c>
      <c r="E7449" s="275">
        <f t="shared" si="635"/>
        <v>44840</v>
      </c>
      <c r="F7449" s="481"/>
      <c r="G7449" s="174" t="s">
        <v>74</v>
      </c>
      <c r="H7449" s="174"/>
      <c r="J7449" s="149" t="s">
        <v>185</v>
      </c>
      <c r="K7449" s="218">
        <v>5000</v>
      </c>
      <c r="L7449" s="218"/>
    </row>
    <row r="7450" spans="1:13" x14ac:dyDescent="0.2">
      <c r="A7450" s="163">
        <v>2022</v>
      </c>
      <c r="B7450" s="163">
        <v>10</v>
      </c>
      <c r="C7450" s="163">
        <v>6</v>
      </c>
      <c r="D7450" s="141">
        <f t="shared" si="634"/>
        <v>44840</v>
      </c>
      <c r="E7450" s="275">
        <f t="shared" si="635"/>
        <v>44840</v>
      </c>
      <c r="F7450" s="480"/>
      <c r="G7450" s="221" t="s">
        <v>74</v>
      </c>
      <c r="H7450" s="221" t="str" cm="1">
        <f t="array" ref="H7450">IFERROR(INDEX(INVESTOR_LIST[INVESTOR NAME],MATCH(I7450,INVESTOR_LIST[INVESTOR CODE],0),)," ")</f>
        <v xml:space="preserve"> </v>
      </c>
      <c r="I7450" s="145" t="s">
        <v>348</v>
      </c>
      <c r="J7450" s="146" t="s">
        <v>52</v>
      </c>
      <c r="K7450" s="219"/>
      <c r="L7450" s="219">
        <v>4755115</v>
      </c>
    </row>
    <row r="7451" spans="1:13" x14ac:dyDescent="0.2">
      <c r="A7451" s="324">
        <v>2022</v>
      </c>
      <c r="B7451" s="324">
        <v>10</v>
      </c>
      <c r="C7451" s="325">
        <v>6</v>
      </c>
      <c r="D7451" s="326">
        <f t="shared" si="634"/>
        <v>44840</v>
      </c>
      <c r="E7451" s="327">
        <f t="shared" si="635"/>
        <v>44840</v>
      </c>
      <c r="F7451" s="473" t="s">
        <v>1489</v>
      </c>
      <c r="G7451" s="328" t="s">
        <v>94</v>
      </c>
      <c r="H7451" s="329" t="str" cm="1">
        <f t="array" ref="H7451">IFERROR(INDEX(INVESTOR_LIST[INVESTOR NAME],MATCH(I7451,INVESTOR_LIST[INVESTOR CODE],0),)," ")</f>
        <v xml:space="preserve"> </v>
      </c>
      <c r="I7451" s="329" t="s">
        <v>348</v>
      </c>
      <c r="J7451" s="324" t="s">
        <v>133</v>
      </c>
      <c r="K7451" s="330">
        <v>3424.28</v>
      </c>
      <c r="L7451" s="330"/>
    </row>
    <row r="7452" spans="1:13" x14ac:dyDescent="0.2">
      <c r="A7452" s="331">
        <v>2022</v>
      </c>
      <c r="B7452" s="331">
        <v>10</v>
      </c>
      <c r="C7452" s="331">
        <v>6</v>
      </c>
      <c r="D7452" s="326">
        <f t="shared" si="634"/>
        <v>44840</v>
      </c>
      <c r="E7452" s="327">
        <f t="shared" si="635"/>
        <v>44840</v>
      </c>
      <c r="F7452" s="474"/>
      <c r="G7452" s="332" t="s">
        <v>94</v>
      </c>
      <c r="H7452" s="333" t="str" cm="1">
        <f t="array" ref="H7452">IFERROR(INDEX(INVESTOR_LIST[INVESTOR NAME],MATCH(I7452,INVESTOR_LIST[INVESTOR CODE],0),)," ")</f>
        <v xml:space="preserve"> </v>
      </c>
      <c r="I7452" s="333" t="s">
        <v>348</v>
      </c>
      <c r="J7452" s="331" t="s">
        <v>152</v>
      </c>
      <c r="K7452" s="334"/>
      <c r="L7452" s="334">
        <v>3424.28</v>
      </c>
    </row>
    <row r="7453" spans="1:13" x14ac:dyDescent="0.2">
      <c r="A7453" s="324">
        <v>2022</v>
      </c>
      <c r="B7453" s="324">
        <v>10</v>
      </c>
      <c r="C7453" s="325">
        <v>6</v>
      </c>
      <c r="D7453" s="326">
        <f t="shared" si="634"/>
        <v>44840</v>
      </c>
      <c r="E7453" s="327">
        <f t="shared" si="635"/>
        <v>44840</v>
      </c>
      <c r="F7453" s="473" t="s">
        <v>1491</v>
      </c>
      <c r="G7453" s="328" t="s">
        <v>94</v>
      </c>
      <c r="H7453" s="329" t="str" cm="1">
        <f t="array" ref="H7453">IFERROR(INDEX(INVESTOR_LIST[INVESTOR NAME],MATCH(I7453,INVESTOR_LIST[INVESTOR CODE],0),)," ")</f>
        <v xml:space="preserve"> </v>
      </c>
      <c r="I7453" s="329" t="s">
        <v>348</v>
      </c>
      <c r="J7453" s="324" t="s">
        <v>133</v>
      </c>
      <c r="K7453" s="330">
        <v>10838.39</v>
      </c>
      <c r="L7453" s="330"/>
    </row>
    <row r="7454" spans="1:13" x14ac:dyDescent="0.2">
      <c r="A7454" s="331">
        <v>2022</v>
      </c>
      <c r="B7454" s="331">
        <v>10</v>
      </c>
      <c r="C7454" s="331">
        <v>6</v>
      </c>
      <c r="D7454" s="326">
        <f t="shared" si="634"/>
        <v>44840</v>
      </c>
      <c r="E7454" s="327">
        <f t="shared" si="635"/>
        <v>44840</v>
      </c>
      <c r="F7454" s="474"/>
      <c r="G7454" s="332" t="s">
        <v>94</v>
      </c>
      <c r="H7454" s="333" t="str" cm="1">
        <f t="array" ref="H7454">IFERROR(INDEX(INVESTOR_LIST[INVESTOR NAME],MATCH(I7454,INVESTOR_LIST[INVESTOR CODE],0),)," ")</f>
        <v xml:space="preserve"> </v>
      </c>
      <c r="I7454" s="333" t="s">
        <v>348</v>
      </c>
      <c r="J7454" s="331" t="s">
        <v>152</v>
      </c>
      <c r="K7454" s="334"/>
      <c r="L7454" s="334">
        <v>10838.39</v>
      </c>
    </row>
    <row r="7455" spans="1:13" x14ac:dyDescent="0.2">
      <c r="A7455" s="324">
        <v>2022</v>
      </c>
      <c r="B7455" s="324">
        <v>10</v>
      </c>
      <c r="C7455" s="325">
        <v>6</v>
      </c>
      <c r="D7455" s="326">
        <f>DATE(A7455,B7455,C7455)</f>
        <v>44840</v>
      </c>
      <c r="E7455" s="327">
        <f>DATE(A7455,B7455,C7455)</f>
        <v>44840</v>
      </c>
      <c r="F7455" s="473" t="s">
        <v>1490</v>
      </c>
      <c r="G7455" s="328" t="s">
        <v>94</v>
      </c>
      <c r="H7455" s="329" t="str" cm="1">
        <f t="array" ref="H7455">IFERROR(INDEX(INVESTOR_LIST[INVESTOR NAME],MATCH(I7455,INVESTOR_LIST[INVESTOR CODE],0),)," ")</f>
        <v xml:space="preserve"> </v>
      </c>
      <c r="I7455" s="329" t="s">
        <v>348</v>
      </c>
      <c r="J7455" s="324" t="s">
        <v>133</v>
      </c>
      <c r="K7455" s="330">
        <v>13681.97</v>
      </c>
      <c r="L7455" s="330"/>
      <c r="M7455" s="264"/>
    </row>
    <row r="7456" spans="1:13" x14ac:dyDescent="0.2">
      <c r="A7456" s="331">
        <v>2022</v>
      </c>
      <c r="B7456" s="331">
        <v>10</v>
      </c>
      <c r="C7456" s="331">
        <v>6</v>
      </c>
      <c r="D7456" s="326">
        <f>DATE(A7456,B7456,C7456)</f>
        <v>44840</v>
      </c>
      <c r="E7456" s="327">
        <f>DATE(A7456,B7456,C7456)</f>
        <v>44840</v>
      </c>
      <c r="F7456" s="474"/>
      <c r="G7456" s="332" t="s">
        <v>94</v>
      </c>
      <c r="H7456" s="333" t="str" cm="1">
        <f t="array" ref="H7456">IFERROR(INDEX(INVESTOR_LIST[INVESTOR NAME],MATCH(I7456,INVESTOR_LIST[INVESTOR CODE],0),)," ")</f>
        <v xml:space="preserve"> </v>
      </c>
      <c r="I7456" s="333" t="s">
        <v>348</v>
      </c>
      <c r="J7456" s="331" t="s">
        <v>152</v>
      </c>
      <c r="K7456" s="334"/>
      <c r="L7456" s="334">
        <v>13681.97</v>
      </c>
    </row>
    <row r="7457" spans="1:12" x14ac:dyDescent="0.2">
      <c r="A7457" s="238">
        <v>2022</v>
      </c>
      <c r="B7457" s="238">
        <v>10</v>
      </c>
      <c r="C7457" s="238">
        <v>6</v>
      </c>
      <c r="D7457" s="270">
        <f t="shared" ref="D7457:D7470" si="636">DATE(A7457,B7457,C7457)</f>
        <v>44840</v>
      </c>
      <c r="E7457" s="279">
        <f t="shared" ref="E7457:E7470" si="637">DATE(A7457,B7457,C7457)</f>
        <v>44840</v>
      </c>
      <c r="F7457" s="477" t="s">
        <v>347</v>
      </c>
      <c r="G7457" s="239" t="s">
        <v>94</v>
      </c>
      <c r="H7457" s="239" t="str" cm="1">
        <f t="array" ref="H7457">IFERROR(INDEX(INVESTOR_LIST[INVESTOR NAME],MATCH(I7457,INVESTOR_LIST[INVESTOR CODE],0),)," ")</f>
        <v xml:space="preserve"> </v>
      </c>
      <c r="I7457" s="262" t="s">
        <v>348</v>
      </c>
      <c r="J7457" s="240" t="s">
        <v>82</v>
      </c>
      <c r="K7457" s="241">
        <v>527179.1400000453</v>
      </c>
      <c r="L7457" s="241"/>
    </row>
    <row r="7458" spans="1:12" x14ac:dyDescent="0.2">
      <c r="A7458" s="242">
        <v>2022</v>
      </c>
      <c r="B7458" s="242">
        <v>10</v>
      </c>
      <c r="C7458" s="242">
        <v>6</v>
      </c>
      <c r="D7458" s="270">
        <f t="shared" si="636"/>
        <v>44840</v>
      </c>
      <c r="E7458" s="279">
        <f t="shared" si="637"/>
        <v>44840</v>
      </c>
      <c r="F7458" s="478"/>
      <c r="G7458" s="243" t="s">
        <v>94</v>
      </c>
      <c r="H7458" s="243" t="str" cm="1">
        <f t="array" ref="H7458">IFERROR(INDEX(INVESTOR_LIST[INVESTOR NAME],MATCH(I7458,INVESTOR_LIST[INVESTOR CODE],0),)," ")</f>
        <v xml:space="preserve"> </v>
      </c>
      <c r="I7458" s="263" t="s">
        <v>348</v>
      </c>
      <c r="J7458" s="244" t="s">
        <v>108</v>
      </c>
      <c r="K7458" s="245"/>
      <c r="L7458" s="245">
        <v>527179.1400000453</v>
      </c>
    </row>
    <row r="7459" spans="1:12" ht="22.5" x14ac:dyDescent="0.2">
      <c r="A7459" s="246">
        <v>2022</v>
      </c>
      <c r="B7459" s="238">
        <v>10</v>
      </c>
      <c r="C7459" s="238">
        <v>6</v>
      </c>
      <c r="D7459" s="270">
        <f t="shared" si="636"/>
        <v>44840</v>
      </c>
      <c r="E7459" s="279">
        <f t="shared" si="637"/>
        <v>44840</v>
      </c>
      <c r="F7459" s="482" t="s">
        <v>148</v>
      </c>
      <c r="G7459" s="247" t="s">
        <v>94</v>
      </c>
      <c r="H7459" s="247" t="str" cm="1">
        <f t="array" ref="H7459">IFERROR(INDEX(INVESTOR_LIST[INVESTOR NAME],MATCH(I7459,INVESTOR_LIST[INVESTOR CODE],0),)," ")</f>
        <v xml:space="preserve"> </v>
      </c>
      <c r="I7459" s="248" t="s">
        <v>348</v>
      </c>
      <c r="J7459" s="249" t="s">
        <v>95</v>
      </c>
      <c r="K7459" s="250">
        <v>2747.2527472527472</v>
      </c>
      <c r="L7459" s="241"/>
    </row>
    <row r="7460" spans="1:12" x14ac:dyDescent="0.2">
      <c r="A7460" s="242">
        <v>2022</v>
      </c>
      <c r="B7460" s="242">
        <v>10</v>
      </c>
      <c r="C7460" s="242">
        <v>6</v>
      </c>
      <c r="D7460" s="270">
        <f t="shared" si="636"/>
        <v>44840</v>
      </c>
      <c r="E7460" s="279">
        <f t="shared" si="637"/>
        <v>44840</v>
      </c>
      <c r="F7460" s="478"/>
      <c r="G7460" s="243" t="s">
        <v>94</v>
      </c>
      <c r="H7460" s="243" t="str" cm="1">
        <f t="array" ref="H7460">IFERROR(INDEX(INVESTOR_LIST[INVESTOR NAME],MATCH(I7460,INVESTOR_LIST[INVESTOR CODE],0),)," ")</f>
        <v xml:space="preserve"> </v>
      </c>
      <c r="I7460" s="263" t="s">
        <v>348</v>
      </c>
      <c r="J7460" s="244" t="s">
        <v>63</v>
      </c>
      <c r="K7460" s="245"/>
      <c r="L7460" s="245">
        <v>2747.2527472527472</v>
      </c>
    </row>
    <row r="7461" spans="1:12" x14ac:dyDescent="0.2">
      <c r="A7461" s="246">
        <v>2022</v>
      </c>
      <c r="B7461" s="238">
        <v>10</v>
      </c>
      <c r="C7461" s="238">
        <v>6</v>
      </c>
      <c r="D7461" s="270">
        <f t="shared" si="636"/>
        <v>44840</v>
      </c>
      <c r="E7461" s="279">
        <f t="shared" si="637"/>
        <v>44840</v>
      </c>
      <c r="F7461" s="482" t="s">
        <v>137</v>
      </c>
      <c r="G7461" s="247" t="s">
        <v>94</v>
      </c>
      <c r="H7461" s="247" t="str" cm="1">
        <f t="array" ref="H7461">IFERROR(INDEX(INVESTOR_LIST[INVESTOR NAME],MATCH(I7461,INVESTOR_LIST[INVESTOR CODE],0),)," ")</f>
        <v xml:space="preserve"> </v>
      </c>
      <c r="I7461" s="248" t="s">
        <v>348</v>
      </c>
      <c r="J7461" s="249" t="s">
        <v>97</v>
      </c>
      <c r="K7461" s="250">
        <v>76661.941048472043</v>
      </c>
      <c r="L7461" s="252"/>
    </row>
    <row r="7462" spans="1:12" x14ac:dyDescent="0.2">
      <c r="A7462" s="242">
        <v>2022</v>
      </c>
      <c r="B7462" s="242">
        <v>10</v>
      </c>
      <c r="C7462" s="242">
        <v>6</v>
      </c>
      <c r="D7462" s="270">
        <f t="shared" si="636"/>
        <v>44840</v>
      </c>
      <c r="E7462" s="279">
        <f t="shared" si="637"/>
        <v>44840</v>
      </c>
      <c r="F7462" s="478"/>
      <c r="G7462" s="243" t="s">
        <v>94</v>
      </c>
      <c r="H7462" s="243" t="str" cm="1">
        <f t="array" ref="H7462">IFERROR(INDEX(INVESTOR_LIST[INVESTOR NAME],MATCH(I7462,INVESTOR_LIST[INVESTOR CODE],0),)," ")</f>
        <v xml:space="preserve"> </v>
      </c>
      <c r="I7462" s="263" t="s">
        <v>348</v>
      </c>
      <c r="J7462" s="244" t="s">
        <v>47</v>
      </c>
      <c r="K7462" s="245"/>
      <c r="L7462" s="245">
        <v>76661.941048472043</v>
      </c>
    </row>
    <row r="7463" spans="1:12" x14ac:dyDescent="0.2">
      <c r="A7463" s="246">
        <v>2022</v>
      </c>
      <c r="B7463" s="238">
        <v>10</v>
      </c>
      <c r="C7463" s="238">
        <v>6</v>
      </c>
      <c r="D7463" s="270">
        <f t="shared" si="636"/>
        <v>44840</v>
      </c>
      <c r="E7463" s="279">
        <f t="shared" si="637"/>
        <v>44840</v>
      </c>
      <c r="F7463" s="482" t="s">
        <v>138</v>
      </c>
      <c r="G7463" s="247" t="s">
        <v>94</v>
      </c>
      <c r="H7463" s="247" t="str" cm="1">
        <f t="array" ref="H7463">IFERROR(INDEX(INVESTOR_LIST[INVESTOR NAME],MATCH(I7463,INVESTOR_LIST[INVESTOR CODE],0),)," ")</f>
        <v xml:space="preserve"> </v>
      </c>
      <c r="I7463" s="248" t="s">
        <v>348</v>
      </c>
      <c r="J7463" s="249" t="s">
        <v>100</v>
      </c>
      <c r="K7463" s="250">
        <v>3592.7124370389865</v>
      </c>
      <c r="L7463" s="252"/>
    </row>
    <row r="7464" spans="1:12" x14ac:dyDescent="0.2">
      <c r="A7464" s="242">
        <v>2022</v>
      </c>
      <c r="B7464" s="242">
        <v>10</v>
      </c>
      <c r="C7464" s="242">
        <v>6</v>
      </c>
      <c r="D7464" s="321">
        <f t="shared" si="636"/>
        <v>44840</v>
      </c>
      <c r="E7464" s="322">
        <f t="shared" si="637"/>
        <v>44840</v>
      </c>
      <c r="F7464" s="478"/>
      <c r="G7464" s="243" t="s">
        <v>94</v>
      </c>
      <c r="H7464" s="243" t="str" cm="1">
        <f t="array" ref="H7464">IFERROR(INDEX(INVESTOR_LIST[INVESTOR NAME],MATCH(I7464,INVESTOR_LIST[INVESTOR CODE],0),)," ")</f>
        <v xml:space="preserve"> </v>
      </c>
      <c r="I7464" s="263" t="s">
        <v>348</v>
      </c>
      <c r="J7464" s="244" t="s">
        <v>48</v>
      </c>
      <c r="K7464" s="245"/>
      <c r="L7464" s="245">
        <v>3592.7124370389865</v>
      </c>
    </row>
    <row r="7465" spans="1:12" x14ac:dyDescent="0.2">
      <c r="A7465" s="168">
        <v>2022</v>
      </c>
      <c r="B7465" s="168">
        <v>10</v>
      </c>
      <c r="C7465" s="133">
        <v>10</v>
      </c>
      <c r="D7465" s="141">
        <f t="shared" si="636"/>
        <v>44844</v>
      </c>
      <c r="E7465" s="275">
        <f t="shared" si="637"/>
        <v>44844</v>
      </c>
      <c r="F7465" s="479" t="s">
        <v>1319</v>
      </c>
      <c r="G7465" s="220" t="s">
        <v>74</v>
      </c>
      <c r="H7465" s="142" t="str" cm="1">
        <f t="array" ref="H7465">IFERROR(INDEX(INVESTOR_LIST[INVESTOR NAME],MATCH(I7465,INVESTOR_LIST[INVESTOR CODE],0),)," ")</f>
        <v xml:space="preserve"> </v>
      </c>
      <c r="I7465" s="142"/>
      <c r="J7465" s="168" t="s">
        <v>52</v>
      </c>
      <c r="K7465" s="226">
        <v>368000</v>
      </c>
      <c r="L7465" s="226"/>
    </row>
    <row r="7466" spans="1:12" x14ac:dyDescent="0.2">
      <c r="A7466" s="133">
        <v>2022</v>
      </c>
      <c r="B7466" s="133">
        <v>10</v>
      </c>
      <c r="C7466" s="133">
        <v>10</v>
      </c>
      <c r="D7466" s="141">
        <f t="shared" si="636"/>
        <v>44844</v>
      </c>
      <c r="E7466" s="275">
        <f t="shared" si="637"/>
        <v>44844</v>
      </c>
      <c r="F7466" s="481"/>
      <c r="G7466" s="174" t="s">
        <v>74</v>
      </c>
      <c r="H7466" s="148" t="str" cm="1">
        <f t="array" ref="H7466">IFERROR(INDEX(INVESTOR_LIST[INVESTOR NAME],MATCH(I7466,INVESTOR_LIST[INVESTOR CODE],0),)," ")</f>
        <v xml:space="preserve"> </v>
      </c>
      <c r="J7466" s="133" t="s">
        <v>13</v>
      </c>
      <c r="K7466" s="218"/>
      <c r="L7466" s="218">
        <v>308340</v>
      </c>
    </row>
    <row r="7467" spans="1:12" x14ac:dyDescent="0.2">
      <c r="A7467" s="163">
        <v>2022</v>
      </c>
      <c r="B7467" s="163">
        <v>10</v>
      </c>
      <c r="C7467" s="163">
        <v>10</v>
      </c>
      <c r="D7467" s="280">
        <f t="shared" si="636"/>
        <v>44844</v>
      </c>
      <c r="E7467" s="281">
        <f t="shared" si="637"/>
        <v>44844</v>
      </c>
      <c r="F7467" s="480"/>
      <c r="G7467" s="221" t="s">
        <v>74</v>
      </c>
      <c r="H7467" s="145" t="str" cm="1">
        <f t="array" ref="H7467">IFERROR(INDEX(INVESTOR_LIST[INVESTOR NAME],MATCH(I7467,INVESTOR_LIST[INVESTOR CODE],0),)," ")</f>
        <v xml:space="preserve"> </v>
      </c>
      <c r="I7467" s="145"/>
      <c r="J7467" s="163" t="s">
        <v>53</v>
      </c>
      <c r="K7467" s="219"/>
      <c r="L7467" s="219">
        <v>59660</v>
      </c>
    </row>
    <row r="7468" spans="1:12" ht="33.75" x14ac:dyDescent="0.2">
      <c r="A7468" s="168">
        <v>2022</v>
      </c>
      <c r="B7468" s="168">
        <v>10</v>
      </c>
      <c r="C7468" s="133">
        <v>10</v>
      </c>
      <c r="D7468" s="141">
        <f t="shared" si="636"/>
        <v>44844</v>
      </c>
      <c r="E7468" s="275">
        <f t="shared" si="637"/>
        <v>44844</v>
      </c>
      <c r="F7468" s="479" t="s">
        <v>1315</v>
      </c>
      <c r="G7468" s="220" t="s">
        <v>74</v>
      </c>
      <c r="H7468" s="142" t="str" cm="1">
        <f t="array" ref="H7468">IFERROR(INDEX(INVESTOR_LIST[INVESTOR NAME],MATCH(I7468,INVESTOR_LIST[INVESTOR CODE],0),)," ")</f>
        <v>A.T.M. MORSHED KAMAL</v>
      </c>
      <c r="I7468" s="142" t="s">
        <v>872</v>
      </c>
      <c r="J7468" s="168" t="s">
        <v>13</v>
      </c>
      <c r="K7468" s="226">
        <v>245900</v>
      </c>
      <c r="L7468" s="226"/>
    </row>
    <row r="7469" spans="1:12" ht="33.75" x14ac:dyDescent="0.2">
      <c r="A7469" s="133">
        <v>2022</v>
      </c>
      <c r="B7469" s="133">
        <v>10</v>
      </c>
      <c r="C7469" s="133">
        <v>10</v>
      </c>
      <c r="D7469" s="141">
        <f t="shared" si="636"/>
        <v>44844</v>
      </c>
      <c r="E7469" s="275">
        <f t="shared" si="637"/>
        <v>44844</v>
      </c>
      <c r="F7469" s="481"/>
      <c r="G7469" s="174" t="s">
        <v>74</v>
      </c>
      <c r="H7469" s="148" t="str" cm="1">
        <f t="array" ref="H7469">IFERROR(INDEX(INVESTOR_LIST[INVESTOR NAME],MATCH(I7469,INVESTOR_LIST[INVESTOR CODE],0),)," ")</f>
        <v>A.T.M. MORSHED KAMAL</v>
      </c>
      <c r="I7469" s="148" t="s">
        <v>872</v>
      </c>
      <c r="J7469" s="133" t="s">
        <v>53</v>
      </c>
      <c r="K7469" s="218">
        <v>47704.6</v>
      </c>
      <c r="L7469" s="218"/>
    </row>
    <row r="7470" spans="1:12" ht="33.75" x14ac:dyDescent="0.2">
      <c r="A7470" s="163">
        <v>2022</v>
      </c>
      <c r="B7470" s="163">
        <v>10</v>
      </c>
      <c r="C7470" s="163">
        <v>10</v>
      </c>
      <c r="D7470" s="280">
        <f t="shared" si="636"/>
        <v>44844</v>
      </c>
      <c r="E7470" s="281">
        <f t="shared" si="637"/>
        <v>44844</v>
      </c>
      <c r="F7470" s="480"/>
      <c r="G7470" s="221" t="s">
        <v>74</v>
      </c>
      <c r="H7470" s="145" t="str" cm="1">
        <f t="array" ref="H7470">IFERROR(INDEX(INVESTOR_LIST[INVESTOR NAME],MATCH(I7470,INVESTOR_LIST[INVESTOR CODE],0),)," ")</f>
        <v>A.T.M. MORSHED KAMAL</v>
      </c>
      <c r="I7470" s="145" t="s">
        <v>872</v>
      </c>
      <c r="J7470" s="163" t="s">
        <v>52</v>
      </c>
      <c r="K7470" s="219"/>
      <c r="L7470" s="219">
        <v>293604.59999999998</v>
      </c>
    </row>
    <row r="7471" spans="1:12" ht="22.5" x14ac:dyDescent="0.2">
      <c r="A7471" s="168">
        <v>2022</v>
      </c>
      <c r="B7471" s="168">
        <v>10</v>
      </c>
      <c r="C7471" s="133">
        <v>10</v>
      </c>
      <c r="D7471" s="141">
        <f t="shared" ref="D7471:D7482" si="638">DATE(A7471,B7471,C7471)</f>
        <v>44844</v>
      </c>
      <c r="E7471" s="275">
        <f t="shared" ref="E7471:E7482" si="639">DATE(A7471,B7471,C7471)</f>
        <v>44844</v>
      </c>
      <c r="F7471" s="479" t="s">
        <v>1310</v>
      </c>
      <c r="G7471" s="220" t="s">
        <v>74</v>
      </c>
      <c r="H7471" s="142" t="str" cm="1">
        <f t="array" ref="H7471">IFERROR(INDEX(INVESTOR_LIST[INVESTOR NAME],MATCH(I7471,INVESTOR_LIST[INVESTOR CODE],0),)," ")</f>
        <v>FAHMIDA KHAN</v>
      </c>
      <c r="I7471" s="142" t="s">
        <v>617</v>
      </c>
      <c r="J7471" s="168" t="s">
        <v>13</v>
      </c>
      <c r="K7471" s="226">
        <v>33490</v>
      </c>
      <c r="L7471" s="226"/>
    </row>
    <row r="7472" spans="1:12" ht="22.5" x14ac:dyDescent="0.2">
      <c r="A7472" s="133">
        <v>2022</v>
      </c>
      <c r="B7472" s="133">
        <v>10</v>
      </c>
      <c r="C7472" s="133">
        <v>10</v>
      </c>
      <c r="D7472" s="141">
        <f t="shared" si="638"/>
        <v>44844</v>
      </c>
      <c r="E7472" s="275">
        <f t="shared" si="639"/>
        <v>44844</v>
      </c>
      <c r="F7472" s="481"/>
      <c r="G7472" s="174" t="s">
        <v>74</v>
      </c>
      <c r="H7472" s="148" t="str" cm="1">
        <f t="array" ref="H7472">IFERROR(INDEX(INVESTOR_LIST[INVESTOR NAME],MATCH(I7472,INVESTOR_LIST[INVESTOR CODE],0),)," ")</f>
        <v>FAHMIDA KHAN</v>
      </c>
      <c r="I7472" s="148" t="s">
        <v>617</v>
      </c>
      <c r="J7472" s="133" t="s">
        <v>53</v>
      </c>
      <c r="K7472" s="218">
        <v>6501.77</v>
      </c>
      <c r="L7472" s="218"/>
    </row>
    <row r="7473" spans="1:13" ht="22.5" x14ac:dyDescent="0.2">
      <c r="A7473" s="163">
        <v>2022</v>
      </c>
      <c r="B7473" s="163">
        <v>10</v>
      </c>
      <c r="C7473" s="163">
        <v>10</v>
      </c>
      <c r="D7473" s="280">
        <f t="shared" si="638"/>
        <v>44844</v>
      </c>
      <c r="E7473" s="281">
        <f t="shared" si="639"/>
        <v>44844</v>
      </c>
      <c r="F7473" s="480"/>
      <c r="G7473" s="221" t="s">
        <v>74</v>
      </c>
      <c r="H7473" s="145" t="str" cm="1">
        <f t="array" ref="H7473">IFERROR(INDEX(INVESTOR_LIST[INVESTOR NAME],MATCH(I7473,INVESTOR_LIST[INVESTOR CODE],0),)," ")</f>
        <v>FAHMIDA KHAN</v>
      </c>
      <c r="I7473" s="145" t="s">
        <v>617</v>
      </c>
      <c r="J7473" s="163" t="s">
        <v>52</v>
      </c>
      <c r="K7473" s="219"/>
      <c r="L7473" s="219">
        <v>39991.769999999997</v>
      </c>
    </row>
    <row r="7474" spans="1:13" x14ac:dyDescent="0.2">
      <c r="A7474" s="168">
        <v>2022</v>
      </c>
      <c r="B7474" s="168">
        <v>10</v>
      </c>
      <c r="C7474" s="133">
        <v>13</v>
      </c>
      <c r="D7474" s="141">
        <f t="shared" si="638"/>
        <v>44847</v>
      </c>
      <c r="E7474" s="275">
        <f t="shared" si="639"/>
        <v>44847</v>
      </c>
      <c r="F7474" s="479" t="s">
        <v>1514</v>
      </c>
      <c r="G7474" s="220" t="s">
        <v>74</v>
      </c>
      <c r="H7474" s="220" t="str" cm="1">
        <f t="array" ref="H7474">IFERROR(INDEX(INVESTOR_LIST[INVESTOR NAME],MATCH(I7474,INVESTOR_LIST[INVESTOR CODE],0),)," ")</f>
        <v xml:space="preserve"> </v>
      </c>
      <c r="I7474" s="142" t="s">
        <v>348</v>
      </c>
      <c r="J7474" s="143" t="s">
        <v>79</v>
      </c>
      <c r="K7474" s="226">
        <v>70060</v>
      </c>
      <c r="L7474" s="226"/>
    </row>
    <row r="7475" spans="1:13" x14ac:dyDescent="0.2">
      <c r="A7475" s="133">
        <v>2022</v>
      </c>
      <c r="B7475" s="133">
        <v>10</v>
      </c>
      <c r="C7475" s="133">
        <v>13</v>
      </c>
      <c r="D7475" s="141">
        <f t="shared" si="638"/>
        <v>44847</v>
      </c>
      <c r="E7475" s="275">
        <f t="shared" si="639"/>
        <v>44847</v>
      </c>
      <c r="F7475" s="481"/>
      <c r="G7475" s="174" t="s">
        <v>74</v>
      </c>
      <c r="H7475" s="174" t="str" cm="1">
        <f t="array" ref="H7475">IFERROR(INDEX(INVESTOR_LIST[INVESTOR NAME],MATCH(I7475,INVESTOR_LIST[INVESTOR CODE],0),)," ")</f>
        <v xml:space="preserve"> </v>
      </c>
      <c r="I7475" s="148" t="s">
        <v>348</v>
      </c>
      <c r="J7475" s="149" t="s">
        <v>52</v>
      </c>
      <c r="K7475" s="218">
        <v>567440</v>
      </c>
      <c r="L7475" s="218"/>
    </row>
    <row r="7476" spans="1:13" x14ac:dyDescent="0.2">
      <c r="A7476" s="163">
        <v>2022</v>
      </c>
      <c r="B7476" s="163">
        <v>10</v>
      </c>
      <c r="C7476" s="163">
        <v>13</v>
      </c>
      <c r="D7476" s="141">
        <f t="shared" si="638"/>
        <v>44847</v>
      </c>
      <c r="E7476" s="275">
        <f t="shared" si="639"/>
        <v>44847</v>
      </c>
      <c r="F7476" s="480"/>
      <c r="G7476" s="221" t="s">
        <v>74</v>
      </c>
      <c r="H7476" s="221" t="str" cm="1">
        <f t="array" ref="H7476">IFERROR(INDEX(INVESTOR_LIST[INVESTOR NAME],MATCH(I7476,INVESTOR_LIST[INVESTOR CODE],0),)," ")</f>
        <v xml:space="preserve"> </v>
      </c>
      <c r="I7476" s="145" t="s">
        <v>348</v>
      </c>
      <c r="J7476" s="146" t="s">
        <v>184</v>
      </c>
      <c r="K7476" s="219"/>
      <c r="L7476" s="219">
        <v>637500</v>
      </c>
    </row>
    <row r="7477" spans="1:13" x14ac:dyDescent="0.2">
      <c r="A7477" s="168">
        <v>2022</v>
      </c>
      <c r="B7477" s="133">
        <v>10</v>
      </c>
      <c r="C7477" s="168">
        <v>13</v>
      </c>
      <c r="D7477" s="141">
        <f t="shared" si="638"/>
        <v>44847</v>
      </c>
      <c r="E7477" s="275">
        <f t="shared" si="639"/>
        <v>44847</v>
      </c>
      <c r="F7477" s="481" t="s">
        <v>982</v>
      </c>
      <c r="G7477" s="174" t="s">
        <v>74</v>
      </c>
      <c r="H7477" s="174" t="str" cm="1">
        <f t="array" ref="H7477">IFERROR(INDEX(INVESTOR_LIST[INVESTOR NAME],MATCH(I7477,INVESTOR_LIST[INVESTOR CODE],0),)," ")</f>
        <v xml:space="preserve"> </v>
      </c>
      <c r="I7477" s="148" t="s">
        <v>348</v>
      </c>
      <c r="J7477" s="149" t="s">
        <v>163</v>
      </c>
      <c r="K7477" s="218">
        <v>9000</v>
      </c>
      <c r="L7477" s="218"/>
    </row>
    <row r="7478" spans="1:13" x14ac:dyDescent="0.2">
      <c r="A7478" s="163">
        <v>2022</v>
      </c>
      <c r="B7478" s="163">
        <v>10</v>
      </c>
      <c r="C7478" s="163">
        <v>13</v>
      </c>
      <c r="D7478" s="141">
        <f t="shared" si="638"/>
        <v>44847</v>
      </c>
      <c r="E7478" s="275">
        <f t="shared" si="639"/>
        <v>44847</v>
      </c>
      <c r="F7478" s="480"/>
      <c r="G7478" s="221" t="s">
        <v>74</v>
      </c>
      <c r="H7478" s="221" t="str" cm="1">
        <f t="array" ref="H7478">IFERROR(INDEX(INVESTOR_LIST[INVESTOR NAME],MATCH(I7478,INVESTOR_LIST[INVESTOR CODE],0),)," ")</f>
        <v xml:space="preserve"> </v>
      </c>
      <c r="I7478" s="145" t="s">
        <v>348</v>
      </c>
      <c r="J7478" s="146" t="s">
        <v>52</v>
      </c>
      <c r="K7478" s="219"/>
      <c r="L7478" s="219">
        <v>9000</v>
      </c>
    </row>
    <row r="7479" spans="1:13" x14ac:dyDescent="0.2">
      <c r="A7479" s="324">
        <v>2022</v>
      </c>
      <c r="B7479" s="324">
        <v>10</v>
      </c>
      <c r="C7479" s="325">
        <v>13</v>
      </c>
      <c r="D7479" s="326">
        <f t="shared" si="638"/>
        <v>44847</v>
      </c>
      <c r="E7479" s="327">
        <f t="shared" si="639"/>
        <v>44847</v>
      </c>
      <c r="F7479" s="473" t="s">
        <v>1489</v>
      </c>
      <c r="G7479" s="328" t="s">
        <v>94</v>
      </c>
      <c r="H7479" s="329" t="str" cm="1">
        <f t="array" ref="H7479">IFERROR(INDEX(INVESTOR_LIST[INVESTOR NAME],MATCH(I7479,INVESTOR_LIST[INVESTOR CODE],0),)," ")</f>
        <v xml:space="preserve"> </v>
      </c>
      <c r="I7479" s="329" t="s">
        <v>348</v>
      </c>
      <c r="J7479" s="324" t="s">
        <v>133</v>
      </c>
      <c r="K7479" s="330">
        <v>3424.28</v>
      </c>
      <c r="L7479" s="330"/>
    </row>
    <row r="7480" spans="1:13" x14ac:dyDescent="0.2">
      <c r="A7480" s="331">
        <v>2022</v>
      </c>
      <c r="B7480" s="331">
        <v>10</v>
      </c>
      <c r="C7480" s="331">
        <v>13</v>
      </c>
      <c r="D7480" s="326">
        <f t="shared" si="638"/>
        <v>44847</v>
      </c>
      <c r="E7480" s="327">
        <f t="shared" si="639"/>
        <v>44847</v>
      </c>
      <c r="F7480" s="474"/>
      <c r="G7480" s="332" t="s">
        <v>94</v>
      </c>
      <c r="H7480" s="333" t="str" cm="1">
        <f t="array" ref="H7480">IFERROR(INDEX(INVESTOR_LIST[INVESTOR NAME],MATCH(I7480,INVESTOR_LIST[INVESTOR CODE],0),)," ")</f>
        <v xml:space="preserve"> </v>
      </c>
      <c r="I7480" s="333" t="s">
        <v>348</v>
      </c>
      <c r="J7480" s="331" t="s">
        <v>152</v>
      </c>
      <c r="K7480" s="334"/>
      <c r="L7480" s="334">
        <v>3424.28</v>
      </c>
    </row>
    <row r="7481" spans="1:13" x14ac:dyDescent="0.2">
      <c r="A7481" s="324">
        <v>2022</v>
      </c>
      <c r="B7481" s="324">
        <v>10</v>
      </c>
      <c r="C7481" s="325">
        <v>13</v>
      </c>
      <c r="D7481" s="326">
        <f t="shared" si="638"/>
        <v>44847</v>
      </c>
      <c r="E7481" s="327">
        <f t="shared" si="639"/>
        <v>44847</v>
      </c>
      <c r="F7481" s="473" t="s">
        <v>1491</v>
      </c>
      <c r="G7481" s="328" t="s">
        <v>94</v>
      </c>
      <c r="H7481" s="329" t="str" cm="1">
        <f t="array" ref="H7481">IFERROR(INDEX(INVESTOR_LIST[INVESTOR NAME],MATCH(I7481,INVESTOR_LIST[INVESTOR CODE],0),)," ")</f>
        <v xml:space="preserve"> </v>
      </c>
      <c r="I7481" s="329" t="s">
        <v>348</v>
      </c>
      <c r="J7481" s="324" t="s">
        <v>133</v>
      </c>
      <c r="K7481" s="330">
        <v>10838.39</v>
      </c>
      <c r="L7481" s="330"/>
    </row>
    <row r="7482" spans="1:13" x14ac:dyDescent="0.2">
      <c r="A7482" s="331">
        <v>2022</v>
      </c>
      <c r="B7482" s="331">
        <v>10</v>
      </c>
      <c r="C7482" s="331">
        <v>13</v>
      </c>
      <c r="D7482" s="326">
        <f t="shared" si="638"/>
        <v>44847</v>
      </c>
      <c r="E7482" s="327">
        <f t="shared" si="639"/>
        <v>44847</v>
      </c>
      <c r="F7482" s="474"/>
      <c r="G7482" s="332" t="s">
        <v>94</v>
      </c>
      <c r="H7482" s="333" t="str" cm="1">
        <f t="array" ref="H7482">IFERROR(INDEX(INVESTOR_LIST[INVESTOR NAME],MATCH(I7482,INVESTOR_LIST[INVESTOR CODE],0),)," ")</f>
        <v xml:space="preserve"> </v>
      </c>
      <c r="I7482" s="333" t="s">
        <v>348</v>
      </c>
      <c r="J7482" s="331" t="s">
        <v>152</v>
      </c>
      <c r="K7482" s="334"/>
      <c r="L7482" s="334">
        <v>10838.39</v>
      </c>
    </row>
    <row r="7483" spans="1:13" x14ac:dyDescent="0.2">
      <c r="A7483" s="324">
        <v>2022</v>
      </c>
      <c r="B7483" s="324">
        <v>10</v>
      </c>
      <c r="C7483" s="325">
        <v>13</v>
      </c>
      <c r="D7483" s="326">
        <f>DATE(A7483,B7483,C7483)</f>
        <v>44847</v>
      </c>
      <c r="E7483" s="327">
        <f>DATE(A7483,B7483,C7483)</f>
        <v>44847</v>
      </c>
      <c r="F7483" s="473" t="s">
        <v>1490</v>
      </c>
      <c r="G7483" s="328" t="s">
        <v>94</v>
      </c>
      <c r="H7483" s="329" t="str" cm="1">
        <f t="array" ref="H7483">IFERROR(INDEX(INVESTOR_LIST[INVESTOR NAME],MATCH(I7483,INVESTOR_LIST[INVESTOR CODE],0),)," ")</f>
        <v xml:space="preserve"> </v>
      </c>
      <c r="I7483" s="329" t="s">
        <v>348</v>
      </c>
      <c r="J7483" s="324" t="s">
        <v>133</v>
      </c>
      <c r="K7483" s="330">
        <v>13681.97</v>
      </c>
      <c r="L7483" s="330"/>
      <c r="M7483" s="264"/>
    </row>
    <row r="7484" spans="1:13" x14ac:dyDescent="0.2">
      <c r="A7484" s="331">
        <v>2022</v>
      </c>
      <c r="B7484" s="331">
        <v>10</v>
      </c>
      <c r="C7484" s="331">
        <v>13</v>
      </c>
      <c r="D7484" s="326">
        <f>DATE(A7484,B7484,C7484)</f>
        <v>44847</v>
      </c>
      <c r="E7484" s="327">
        <f>DATE(A7484,B7484,C7484)</f>
        <v>44847</v>
      </c>
      <c r="F7484" s="474"/>
      <c r="G7484" s="332" t="s">
        <v>94</v>
      </c>
      <c r="H7484" s="333" t="str" cm="1">
        <f t="array" ref="H7484">IFERROR(INDEX(INVESTOR_LIST[INVESTOR NAME],MATCH(I7484,INVESTOR_LIST[INVESTOR CODE],0),)," ")</f>
        <v xml:space="preserve"> </v>
      </c>
      <c r="I7484" s="333" t="s">
        <v>348</v>
      </c>
      <c r="J7484" s="331" t="s">
        <v>152</v>
      </c>
      <c r="K7484" s="334"/>
      <c r="L7484" s="334">
        <v>13681.97</v>
      </c>
    </row>
    <row r="7485" spans="1:13" x14ac:dyDescent="0.2">
      <c r="A7485" s="238">
        <v>2022</v>
      </c>
      <c r="B7485" s="238">
        <v>10</v>
      </c>
      <c r="C7485" s="238">
        <v>13</v>
      </c>
      <c r="D7485" s="270">
        <f t="shared" ref="D7485:D7506" si="640">DATE(A7485,B7485,C7485)</f>
        <v>44847</v>
      </c>
      <c r="E7485" s="279">
        <f t="shared" ref="E7485:E7506" si="641">DATE(A7485,B7485,C7485)</f>
        <v>44847</v>
      </c>
      <c r="F7485" s="477" t="s">
        <v>347</v>
      </c>
      <c r="G7485" s="239" t="s">
        <v>94</v>
      </c>
      <c r="H7485" s="239" t="str" cm="1">
        <f t="array" ref="H7485">IFERROR(INDEX(INVESTOR_LIST[INVESTOR NAME],MATCH(I7485,INVESTOR_LIST[INVESTOR CODE],0),)," ")</f>
        <v xml:space="preserve"> </v>
      </c>
      <c r="I7485" s="262" t="s">
        <v>348</v>
      </c>
      <c r="J7485" s="240" t="s">
        <v>82</v>
      </c>
      <c r="K7485" s="241">
        <v>173500</v>
      </c>
      <c r="L7485" s="241"/>
    </row>
    <row r="7486" spans="1:13" x14ac:dyDescent="0.2">
      <c r="A7486" s="242">
        <v>2022</v>
      </c>
      <c r="B7486" s="242">
        <v>10</v>
      </c>
      <c r="C7486" s="242">
        <v>13</v>
      </c>
      <c r="D7486" s="270">
        <f t="shared" si="640"/>
        <v>44847</v>
      </c>
      <c r="E7486" s="279">
        <f t="shared" si="641"/>
        <v>44847</v>
      </c>
      <c r="F7486" s="478"/>
      <c r="G7486" s="243" t="s">
        <v>94</v>
      </c>
      <c r="H7486" s="243" t="str" cm="1">
        <f t="array" ref="H7486">IFERROR(INDEX(INVESTOR_LIST[INVESTOR NAME],MATCH(I7486,INVESTOR_LIST[INVESTOR CODE],0),)," ")</f>
        <v xml:space="preserve"> </v>
      </c>
      <c r="I7486" s="263" t="s">
        <v>348</v>
      </c>
      <c r="J7486" s="244" t="s">
        <v>108</v>
      </c>
      <c r="K7486" s="245"/>
      <c r="L7486" s="245">
        <v>173500</v>
      </c>
    </row>
    <row r="7487" spans="1:13" ht="22.5" x14ac:dyDescent="0.2">
      <c r="A7487" s="246">
        <v>2022</v>
      </c>
      <c r="B7487" s="238">
        <v>10</v>
      </c>
      <c r="C7487" s="238">
        <v>13</v>
      </c>
      <c r="D7487" s="270">
        <f t="shared" si="640"/>
        <v>44847</v>
      </c>
      <c r="E7487" s="279">
        <f t="shared" si="641"/>
        <v>44847</v>
      </c>
      <c r="F7487" s="482" t="s">
        <v>148</v>
      </c>
      <c r="G7487" s="247" t="s">
        <v>94</v>
      </c>
      <c r="H7487" s="247" t="str" cm="1">
        <f t="array" ref="H7487">IFERROR(INDEX(INVESTOR_LIST[INVESTOR NAME],MATCH(I7487,INVESTOR_LIST[INVESTOR CODE],0),)," ")</f>
        <v xml:space="preserve"> </v>
      </c>
      <c r="I7487" s="248" t="s">
        <v>348</v>
      </c>
      <c r="J7487" s="249" t="s">
        <v>95</v>
      </c>
      <c r="K7487" s="250">
        <v>2747.2527472527472</v>
      </c>
      <c r="L7487" s="241"/>
    </row>
    <row r="7488" spans="1:13" x14ac:dyDescent="0.2">
      <c r="A7488" s="242">
        <v>2022</v>
      </c>
      <c r="B7488" s="242">
        <v>10</v>
      </c>
      <c r="C7488" s="242">
        <v>13</v>
      </c>
      <c r="D7488" s="270">
        <f t="shared" si="640"/>
        <v>44847</v>
      </c>
      <c r="E7488" s="279">
        <f t="shared" si="641"/>
        <v>44847</v>
      </c>
      <c r="F7488" s="478"/>
      <c r="G7488" s="243" t="s">
        <v>94</v>
      </c>
      <c r="H7488" s="243" t="str" cm="1">
        <f t="array" ref="H7488">IFERROR(INDEX(INVESTOR_LIST[INVESTOR NAME],MATCH(I7488,INVESTOR_LIST[INVESTOR CODE],0),)," ")</f>
        <v xml:space="preserve"> </v>
      </c>
      <c r="I7488" s="263" t="s">
        <v>348</v>
      </c>
      <c r="J7488" s="244" t="s">
        <v>63</v>
      </c>
      <c r="K7488" s="245"/>
      <c r="L7488" s="245">
        <v>2747.2527472527472</v>
      </c>
    </row>
    <row r="7489" spans="1:17" x14ac:dyDescent="0.2">
      <c r="A7489" s="246">
        <v>2022</v>
      </c>
      <c r="B7489" s="238">
        <v>10</v>
      </c>
      <c r="C7489" s="238">
        <v>13</v>
      </c>
      <c r="D7489" s="270">
        <f t="shared" si="640"/>
        <v>44847</v>
      </c>
      <c r="E7489" s="279">
        <f t="shared" si="641"/>
        <v>44847</v>
      </c>
      <c r="F7489" s="482" t="s">
        <v>137</v>
      </c>
      <c r="G7489" s="247" t="s">
        <v>94</v>
      </c>
      <c r="H7489" s="247" t="str" cm="1">
        <f t="array" ref="H7489">IFERROR(INDEX(INVESTOR_LIST[INVESTOR NAME],MATCH(I7489,INVESTOR_LIST[INVESTOR CODE],0),)," ")</f>
        <v xml:space="preserve"> </v>
      </c>
      <c r="I7489" s="248" t="s">
        <v>348</v>
      </c>
      <c r="J7489" s="249" t="s">
        <v>97</v>
      </c>
      <c r="K7489" s="250">
        <v>76584.700461459433</v>
      </c>
      <c r="L7489" s="252"/>
    </row>
    <row r="7490" spans="1:17" x14ac:dyDescent="0.2">
      <c r="A7490" s="242">
        <v>2022</v>
      </c>
      <c r="B7490" s="242">
        <v>10</v>
      </c>
      <c r="C7490" s="242">
        <v>13</v>
      </c>
      <c r="D7490" s="270">
        <f t="shared" si="640"/>
        <v>44847</v>
      </c>
      <c r="E7490" s="279">
        <f t="shared" si="641"/>
        <v>44847</v>
      </c>
      <c r="F7490" s="478"/>
      <c r="G7490" s="243" t="s">
        <v>94</v>
      </c>
      <c r="H7490" s="243" t="str" cm="1">
        <f t="array" ref="H7490">IFERROR(INDEX(INVESTOR_LIST[INVESTOR NAME],MATCH(I7490,INVESTOR_LIST[INVESTOR CODE],0),)," ")</f>
        <v xml:space="preserve"> </v>
      </c>
      <c r="I7490" s="263" t="s">
        <v>348</v>
      </c>
      <c r="J7490" s="244" t="s">
        <v>47</v>
      </c>
      <c r="K7490" s="245"/>
      <c r="L7490" s="245">
        <v>76584.700461459433</v>
      </c>
    </row>
    <row r="7491" spans="1:17" x14ac:dyDescent="0.2">
      <c r="A7491" s="246">
        <v>2022</v>
      </c>
      <c r="B7491" s="238">
        <v>10</v>
      </c>
      <c r="C7491" s="238">
        <v>13</v>
      </c>
      <c r="D7491" s="270">
        <f t="shared" si="640"/>
        <v>44847</v>
      </c>
      <c r="E7491" s="279">
        <f t="shared" si="641"/>
        <v>44847</v>
      </c>
      <c r="F7491" s="482" t="s">
        <v>138</v>
      </c>
      <c r="G7491" s="247" t="s">
        <v>94</v>
      </c>
      <c r="H7491" s="247" t="str" cm="1">
        <f t="array" ref="H7491">IFERROR(INDEX(INVESTOR_LIST[INVESTOR NAME],MATCH(I7491,INVESTOR_LIST[INVESTOR CODE],0),)," ")</f>
        <v xml:space="preserve"> </v>
      </c>
      <c r="I7491" s="248" t="s">
        <v>348</v>
      </c>
      <c r="J7491" s="249" t="s">
        <v>100</v>
      </c>
      <c r="K7491" s="250">
        <v>3588.8504076883564</v>
      </c>
      <c r="L7491" s="252"/>
    </row>
    <row r="7492" spans="1:17" x14ac:dyDescent="0.2">
      <c r="A7492" s="242">
        <v>2022</v>
      </c>
      <c r="B7492" s="242">
        <v>10</v>
      </c>
      <c r="C7492" s="242">
        <v>13</v>
      </c>
      <c r="D7492" s="321">
        <f t="shared" si="640"/>
        <v>44847</v>
      </c>
      <c r="E7492" s="322">
        <f t="shared" si="641"/>
        <v>44847</v>
      </c>
      <c r="F7492" s="478"/>
      <c r="G7492" s="243" t="s">
        <v>94</v>
      </c>
      <c r="H7492" s="243" t="str" cm="1">
        <f t="array" ref="H7492">IFERROR(INDEX(INVESTOR_LIST[INVESTOR NAME],MATCH(I7492,INVESTOR_LIST[INVESTOR CODE],0),)," ")</f>
        <v xml:space="preserve"> </v>
      </c>
      <c r="I7492" s="263" t="s">
        <v>348</v>
      </c>
      <c r="J7492" s="244" t="s">
        <v>48</v>
      </c>
      <c r="K7492" s="245"/>
      <c r="L7492" s="245">
        <v>3588.8504076883564</v>
      </c>
    </row>
    <row r="7493" spans="1:17" ht="45" x14ac:dyDescent="0.2">
      <c r="A7493" s="168">
        <v>2022</v>
      </c>
      <c r="B7493" s="168">
        <v>10</v>
      </c>
      <c r="C7493" s="133">
        <v>16</v>
      </c>
      <c r="D7493" s="141">
        <f t="shared" si="640"/>
        <v>44850</v>
      </c>
      <c r="E7493" s="275">
        <f t="shared" si="641"/>
        <v>44850</v>
      </c>
      <c r="F7493" s="479" t="s">
        <v>1315</v>
      </c>
      <c r="G7493" s="220" t="s">
        <v>74</v>
      </c>
      <c r="H7493" s="142" t="str" cm="1">
        <f t="array" ref="H7493">IFERROR(INDEX(INVESTOR_LIST[INVESTOR NAME],MATCH(I7493,INVESTOR_LIST[INVESTOR CODE],0),)," ")</f>
        <v>MD. RIFAT MUNJUR SUNNY</v>
      </c>
      <c r="I7493" s="142" t="s">
        <v>1462</v>
      </c>
      <c r="J7493" s="168" t="s">
        <v>13</v>
      </c>
      <c r="K7493" s="226">
        <v>84670</v>
      </c>
      <c r="L7493" s="226"/>
    </row>
    <row r="7494" spans="1:17" ht="45" x14ac:dyDescent="0.2">
      <c r="A7494" s="133">
        <v>2022</v>
      </c>
      <c r="B7494" s="133">
        <v>10</v>
      </c>
      <c r="C7494" s="133">
        <v>16</v>
      </c>
      <c r="D7494" s="141">
        <f t="shared" si="640"/>
        <v>44850</v>
      </c>
      <c r="E7494" s="275">
        <f t="shared" si="641"/>
        <v>44850</v>
      </c>
      <c r="F7494" s="481"/>
      <c r="G7494" s="174" t="s">
        <v>74</v>
      </c>
      <c r="H7494" s="148" t="str" cm="1">
        <f t="array" ref="H7494">IFERROR(INDEX(INVESTOR_LIST[INVESTOR NAME],MATCH(I7494,INVESTOR_LIST[INVESTOR CODE],0),)," ")</f>
        <v>MD. RIFAT MUNJUR SUNNY</v>
      </c>
      <c r="I7494" s="148" t="s">
        <v>1462</v>
      </c>
      <c r="J7494" s="133" t="s">
        <v>53</v>
      </c>
      <c r="K7494" s="218">
        <v>16256.64</v>
      </c>
      <c r="L7494" s="218"/>
    </row>
    <row r="7495" spans="1:17" ht="45" x14ac:dyDescent="0.2">
      <c r="A7495" s="163">
        <v>2022</v>
      </c>
      <c r="B7495" s="163">
        <v>10</v>
      </c>
      <c r="C7495" s="163">
        <v>16</v>
      </c>
      <c r="D7495" s="280">
        <f t="shared" si="640"/>
        <v>44850</v>
      </c>
      <c r="E7495" s="281">
        <f t="shared" si="641"/>
        <v>44850</v>
      </c>
      <c r="F7495" s="480"/>
      <c r="G7495" s="221" t="s">
        <v>74</v>
      </c>
      <c r="H7495" s="145" t="str" cm="1">
        <f t="array" ref="H7495">IFERROR(INDEX(INVESTOR_LIST[INVESTOR NAME],MATCH(I7495,INVESTOR_LIST[INVESTOR CODE],0),)," ")</f>
        <v>MD. RIFAT MUNJUR SUNNY</v>
      </c>
      <c r="I7495" s="145" t="s">
        <v>1462</v>
      </c>
      <c r="J7495" s="163" t="s">
        <v>52</v>
      </c>
      <c r="K7495" s="219"/>
      <c r="L7495" s="219">
        <v>100926.64</v>
      </c>
    </row>
    <row r="7496" spans="1:17" x14ac:dyDescent="0.2">
      <c r="A7496" s="133">
        <v>2022</v>
      </c>
      <c r="B7496" s="133">
        <v>10</v>
      </c>
      <c r="C7496" s="133">
        <v>16</v>
      </c>
      <c r="D7496" s="141">
        <f t="shared" si="640"/>
        <v>44850</v>
      </c>
      <c r="E7496" s="275">
        <f t="shared" si="641"/>
        <v>44850</v>
      </c>
      <c r="F7496" s="481" t="s">
        <v>1515</v>
      </c>
      <c r="G7496" s="174" t="s">
        <v>74</v>
      </c>
      <c r="H7496" s="174" t="str" cm="1">
        <f t="array" ref="H7496">IFERROR(INDEX(INVESTOR_LIST[INVESTOR NAME],MATCH(I7496,INVESTOR_LIST[INVESTOR CODE],0),)," ")</f>
        <v xml:space="preserve"> </v>
      </c>
      <c r="I7496" s="148" t="s">
        <v>348</v>
      </c>
      <c r="J7496" s="149" t="s">
        <v>163</v>
      </c>
      <c r="K7496" s="218">
        <v>1575</v>
      </c>
      <c r="L7496" s="218"/>
      <c r="M7496" s="147"/>
      <c r="Q7496" s="133" t="s">
        <v>348</v>
      </c>
    </row>
    <row r="7497" spans="1:17" x14ac:dyDescent="0.2">
      <c r="A7497" s="163">
        <v>2022</v>
      </c>
      <c r="B7497" s="133">
        <v>10</v>
      </c>
      <c r="C7497" s="133">
        <v>16</v>
      </c>
      <c r="D7497" s="141">
        <f t="shared" si="640"/>
        <v>44850</v>
      </c>
      <c r="E7497" s="275">
        <f t="shared" si="641"/>
        <v>44850</v>
      </c>
      <c r="F7497" s="480"/>
      <c r="G7497" s="221" t="s">
        <v>74</v>
      </c>
      <c r="H7497" s="221" t="str" cm="1">
        <f t="array" ref="H7497">IFERROR(INDEX(INVESTOR_LIST[INVESTOR NAME],MATCH(I7497,INVESTOR_LIST[INVESTOR CODE],0),)," ")</f>
        <v xml:space="preserve"> </v>
      </c>
      <c r="I7497" s="145"/>
      <c r="J7497" s="146" t="s">
        <v>52</v>
      </c>
      <c r="K7497" s="219"/>
      <c r="L7497" s="219">
        <v>1575</v>
      </c>
      <c r="M7497" s="147"/>
      <c r="Q7497" s="133" t="s">
        <v>348</v>
      </c>
    </row>
    <row r="7498" spans="1:17" x14ac:dyDescent="0.2">
      <c r="A7498" s="168">
        <v>2022</v>
      </c>
      <c r="B7498" s="168">
        <v>10</v>
      </c>
      <c r="C7498" s="168">
        <v>17</v>
      </c>
      <c r="D7498" s="141">
        <f t="shared" si="640"/>
        <v>44851</v>
      </c>
      <c r="E7498" s="275">
        <f t="shared" si="641"/>
        <v>44851</v>
      </c>
      <c r="F7498" s="479" t="s">
        <v>1319</v>
      </c>
      <c r="G7498" s="220" t="s">
        <v>74</v>
      </c>
      <c r="H7498" s="142" t="str" cm="1">
        <f t="array" ref="H7498">IFERROR(INDEX(INVESTOR_LIST[INVESTOR NAME],MATCH(I7498,INVESTOR_LIST[INVESTOR CODE],0),)," ")</f>
        <v xml:space="preserve"> </v>
      </c>
      <c r="I7498" s="142"/>
      <c r="J7498" s="168" t="s">
        <v>52</v>
      </c>
      <c r="K7498" s="226">
        <v>146000</v>
      </c>
      <c r="L7498" s="226"/>
    </row>
    <row r="7499" spans="1:17" x14ac:dyDescent="0.2">
      <c r="A7499" s="133">
        <v>2022</v>
      </c>
      <c r="B7499" s="133">
        <v>10</v>
      </c>
      <c r="C7499" s="133">
        <v>17</v>
      </c>
      <c r="D7499" s="141">
        <f t="shared" si="640"/>
        <v>44851</v>
      </c>
      <c r="E7499" s="275">
        <f t="shared" si="641"/>
        <v>44851</v>
      </c>
      <c r="F7499" s="481"/>
      <c r="G7499" s="174" t="s">
        <v>74</v>
      </c>
      <c r="H7499" s="148" t="str" cm="1">
        <f t="array" ref="H7499">IFERROR(INDEX(INVESTOR_LIST[INVESTOR NAME],MATCH(I7499,INVESTOR_LIST[INVESTOR CODE],0),)," ")</f>
        <v xml:space="preserve"> </v>
      </c>
      <c r="J7499" s="133" t="s">
        <v>13</v>
      </c>
      <c r="K7499" s="218"/>
      <c r="L7499" s="218">
        <v>122470</v>
      </c>
    </row>
    <row r="7500" spans="1:17" x14ac:dyDescent="0.2">
      <c r="A7500" s="163">
        <v>2022</v>
      </c>
      <c r="B7500" s="163">
        <v>10</v>
      </c>
      <c r="C7500" s="163">
        <v>17</v>
      </c>
      <c r="D7500" s="280">
        <f t="shared" si="640"/>
        <v>44851</v>
      </c>
      <c r="E7500" s="281">
        <f t="shared" si="641"/>
        <v>44851</v>
      </c>
      <c r="F7500" s="480"/>
      <c r="G7500" s="221" t="s">
        <v>74</v>
      </c>
      <c r="H7500" s="145" t="str" cm="1">
        <f t="array" ref="H7500">IFERROR(INDEX(INVESTOR_LIST[INVESTOR NAME],MATCH(I7500,INVESTOR_LIST[INVESTOR CODE],0),)," ")</f>
        <v xml:space="preserve"> </v>
      </c>
      <c r="I7500" s="145"/>
      <c r="J7500" s="163" t="s">
        <v>53</v>
      </c>
      <c r="K7500" s="219"/>
      <c r="L7500" s="219">
        <v>23530</v>
      </c>
    </row>
    <row r="7501" spans="1:17" x14ac:dyDescent="0.2">
      <c r="A7501" s="168">
        <v>2022</v>
      </c>
      <c r="B7501" s="168">
        <v>10</v>
      </c>
      <c r="C7501" s="168">
        <v>19</v>
      </c>
      <c r="D7501" s="141">
        <f t="shared" si="640"/>
        <v>44853</v>
      </c>
      <c r="E7501" s="275">
        <f t="shared" si="641"/>
        <v>44853</v>
      </c>
      <c r="F7501" s="479" t="s">
        <v>1517</v>
      </c>
      <c r="G7501" s="220" t="s">
        <v>74</v>
      </c>
      <c r="H7501" s="220" t="str" cm="1">
        <f t="array" ref="H7501">IFERROR(INDEX(INVESTOR_LIST[INVESTOR NAME],MATCH(I7501,INVESTOR_LIST[INVESTOR CODE],0),)," ")</f>
        <v xml:space="preserve"> </v>
      </c>
      <c r="I7501" s="142" t="s">
        <v>348</v>
      </c>
      <c r="J7501" s="143" t="s">
        <v>104</v>
      </c>
      <c r="K7501" s="226">
        <v>825.26</v>
      </c>
      <c r="L7501" s="226"/>
    </row>
    <row r="7502" spans="1:17" x14ac:dyDescent="0.2">
      <c r="A7502" s="163">
        <v>2022</v>
      </c>
      <c r="B7502" s="163">
        <v>10</v>
      </c>
      <c r="C7502" s="163">
        <v>19</v>
      </c>
      <c r="D7502" s="141">
        <f t="shared" si="640"/>
        <v>44853</v>
      </c>
      <c r="E7502" s="275">
        <f t="shared" si="641"/>
        <v>44853</v>
      </c>
      <c r="F7502" s="480"/>
      <c r="G7502" s="221" t="s">
        <v>74</v>
      </c>
      <c r="H7502" s="221" t="str" cm="1">
        <f t="array" ref="H7502">IFERROR(INDEX(INVESTOR_LIST[INVESTOR NAME],MATCH(I7502,INVESTOR_LIST[INVESTOR CODE],0),)," ")</f>
        <v xml:space="preserve"> </v>
      </c>
      <c r="I7502" s="145" t="s">
        <v>348</v>
      </c>
      <c r="J7502" s="146" t="s">
        <v>52</v>
      </c>
      <c r="K7502" s="219"/>
      <c r="L7502" s="219">
        <v>825.26</v>
      </c>
    </row>
    <row r="7503" spans="1:17" x14ac:dyDescent="0.2">
      <c r="A7503" s="168">
        <v>2022</v>
      </c>
      <c r="B7503" s="133">
        <v>10</v>
      </c>
      <c r="C7503" s="133">
        <v>19</v>
      </c>
      <c r="D7503" s="141">
        <f t="shared" si="640"/>
        <v>44853</v>
      </c>
      <c r="E7503" s="275">
        <f t="shared" si="641"/>
        <v>44853</v>
      </c>
      <c r="F7503" s="479" t="s">
        <v>1518</v>
      </c>
      <c r="G7503" s="220" t="s">
        <v>74</v>
      </c>
      <c r="H7503" s="220" t="str" cm="1">
        <f t="array" ref="H7503">IFERROR(INDEX(INVESTOR_LIST[INVESTOR NAME],MATCH(I7503,INVESTOR_LIST[INVESTOR CODE],0),)," ")</f>
        <v xml:space="preserve"> </v>
      </c>
      <c r="I7503" s="142" t="s">
        <v>348</v>
      </c>
      <c r="J7503" s="143" t="s">
        <v>184</v>
      </c>
      <c r="K7503" s="226">
        <v>5000000</v>
      </c>
      <c r="L7503" s="226"/>
    </row>
    <row r="7504" spans="1:17" x14ac:dyDescent="0.2">
      <c r="A7504" s="133">
        <v>2022</v>
      </c>
      <c r="B7504" s="133">
        <v>10</v>
      </c>
      <c r="C7504" s="133">
        <v>19</v>
      </c>
      <c r="D7504" s="141">
        <f t="shared" si="640"/>
        <v>44853</v>
      </c>
      <c r="E7504" s="275">
        <f t="shared" si="641"/>
        <v>44853</v>
      </c>
      <c r="F7504" s="481"/>
      <c r="G7504" s="174" t="s">
        <v>74</v>
      </c>
      <c r="H7504" s="174" t="str" cm="1">
        <f t="array" ref="H7504">IFERROR(INDEX(INVESTOR_LIST[INVESTOR NAME],MATCH(I7504,INVESTOR_LIST[INVESTOR CODE],0),)," ")</f>
        <v xml:space="preserve"> </v>
      </c>
      <c r="I7504" s="148" t="s">
        <v>348</v>
      </c>
      <c r="J7504" s="149" t="s">
        <v>185</v>
      </c>
      <c r="K7504" s="218">
        <v>3000</v>
      </c>
      <c r="L7504" s="218"/>
    </row>
    <row r="7505" spans="1:12" x14ac:dyDescent="0.2">
      <c r="A7505" s="133">
        <v>2022</v>
      </c>
      <c r="B7505" s="133">
        <v>10</v>
      </c>
      <c r="C7505" s="133">
        <v>19</v>
      </c>
      <c r="D7505" s="141">
        <f t="shared" si="640"/>
        <v>44853</v>
      </c>
      <c r="E7505" s="275">
        <f t="shared" si="641"/>
        <v>44853</v>
      </c>
      <c r="F7505" s="481"/>
      <c r="G7505" s="174" t="s">
        <v>74</v>
      </c>
      <c r="H7505" s="174"/>
      <c r="J7505" s="149" t="s">
        <v>61</v>
      </c>
      <c r="K7505" s="218">
        <v>115</v>
      </c>
      <c r="L7505" s="218"/>
    </row>
    <row r="7506" spans="1:12" x14ac:dyDescent="0.2">
      <c r="A7506" s="163">
        <v>2022</v>
      </c>
      <c r="B7506" s="163">
        <v>10</v>
      </c>
      <c r="C7506" s="163">
        <v>19</v>
      </c>
      <c r="D7506" s="141">
        <f t="shared" si="640"/>
        <v>44853</v>
      </c>
      <c r="E7506" s="275">
        <f t="shared" si="641"/>
        <v>44853</v>
      </c>
      <c r="F7506" s="480"/>
      <c r="G7506" s="221" t="s">
        <v>74</v>
      </c>
      <c r="H7506" s="221" t="str" cm="1">
        <f t="array" ref="H7506">IFERROR(INDEX(INVESTOR_LIST[INVESTOR NAME],MATCH(I7506,INVESTOR_LIST[INVESTOR CODE],0),)," ")</f>
        <v xml:space="preserve"> </v>
      </c>
      <c r="I7506" s="145" t="s">
        <v>348</v>
      </c>
      <c r="J7506" s="146" t="s">
        <v>52</v>
      </c>
      <c r="K7506" s="219"/>
      <c r="L7506" s="219">
        <v>5003115</v>
      </c>
    </row>
    <row r="7507" spans="1:12" ht="45" x14ac:dyDescent="0.2">
      <c r="A7507" s="168">
        <v>2022</v>
      </c>
      <c r="B7507" s="168">
        <v>10</v>
      </c>
      <c r="C7507" s="133">
        <v>19</v>
      </c>
      <c r="D7507" s="141">
        <f t="shared" ref="D7507:D7509" si="642">DATE(A7507,B7507,C7507)</f>
        <v>44853</v>
      </c>
      <c r="E7507" s="275">
        <f t="shared" ref="E7507:E7509" si="643">DATE(A7507,B7507,C7507)</f>
        <v>44853</v>
      </c>
      <c r="F7507" s="479" t="s">
        <v>1315</v>
      </c>
      <c r="G7507" s="220" t="s">
        <v>74</v>
      </c>
      <c r="H7507" s="142" t="str" cm="1">
        <f t="array" ref="H7507">IFERROR(INDEX(INVESTOR_LIST[INVESTOR NAME],MATCH(I7507,INVESTOR_LIST[INVESTOR CODE],0),)," ")</f>
        <v>MD. MOSTAFIJUR RAHMAN</v>
      </c>
      <c r="I7507" s="142" t="s">
        <v>1434</v>
      </c>
      <c r="J7507" s="168" t="s">
        <v>13</v>
      </c>
      <c r="K7507" s="226">
        <v>124900</v>
      </c>
      <c r="L7507" s="226"/>
    </row>
    <row r="7508" spans="1:12" ht="45" x14ac:dyDescent="0.2">
      <c r="A7508" s="133">
        <v>2022</v>
      </c>
      <c r="B7508" s="133">
        <v>10</v>
      </c>
      <c r="C7508" s="133">
        <v>19</v>
      </c>
      <c r="D7508" s="141">
        <f t="shared" si="642"/>
        <v>44853</v>
      </c>
      <c r="E7508" s="275">
        <f t="shared" si="643"/>
        <v>44853</v>
      </c>
      <c r="F7508" s="481"/>
      <c r="G7508" s="174" t="s">
        <v>74</v>
      </c>
      <c r="H7508" s="148" t="str" cm="1">
        <f t="array" ref="H7508">IFERROR(INDEX(INVESTOR_LIST[INVESTOR NAME],MATCH(I7508,INVESTOR_LIST[INVESTOR CODE],0),)," ")</f>
        <v>MD. MOSTAFIJUR RAHMAN</v>
      </c>
      <c r="I7508" s="148" t="s">
        <v>1434</v>
      </c>
      <c r="J7508" s="133" t="s">
        <v>53</v>
      </c>
      <c r="K7508" s="218">
        <v>23980.799999999999</v>
      </c>
      <c r="L7508" s="218"/>
    </row>
    <row r="7509" spans="1:12" ht="45" x14ac:dyDescent="0.2">
      <c r="A7509" s="163">
        <v>2022</v>
      </c>
      <c r="B7509" s="163">
        <v>10</v>
      </c>
      <c r="C7509" s="163">
        <v>19</v>
      </c>
      <c r="D7509" s="280">
        <f t="shared" si="642"/>
        <v>44853</v>
      </c>
      <c r="E7509" s="281">
        <f t="shared" si="643"/>
        <v>44853</v>
      </c>
      <c r="F7509" s="480"/>
      <c r="G7509" s="221" t="s">
        <v>74</v>
      </c>
      <c r="H7509" s="145" t="str" cm="1">
        <f t="array" ref="H7509">IFERROR(INDEX(INVESTOR_LIST[INVESTOR NAME],MATCH(I7509,INVESTOR_LIST[INVESTOR CODE],0),)," ")</f>
        <v>MD. MOSTAFIJUR RAHMAN</v>
      </c>
      <c r="I7509" s="145" t="s">
        <v>1434</v>
      </c>
      <c r="J7509" s="163" t="s">
        <v>52</v>
      </c>
      <c r="K7509" s="219"/>
      <c r="L7509" s="219">
        <v>148880.79999999999</v>
      </c>
    </row>
    <row r="7510" spans="1:12" ht="45" x14ac:dyDescent="0.2">
      <c r="A7510" s="168">
        <v>2022</v>
      </c>
      <c r="B7510" s="168">
        <v>10</v>
      </c>
      <c r="C7510" s="133">
        <v>19</v>
      </c>
      <c r="D7510" s="141">
        <f t="shared" ref="D7510:D7512" si="644">DATE(A7510,B7510,C7510)</f>
        <v>44853</v>
      </c>
      <c r="E7510" s="275">
        <f t="shared" ref="E7510:E7512" si="645">DATE(A7510,B7510,C7510)</f>
        <v>44853</v>
      </c>
      <c r="F7510" s="479" t="s">
        <v>1315</v>
      </c>
      <c r="G7510" s="220" t="s">
        <v>74</v>
      </c>
      <c r="H7510" s="142" t="str" cm="1">
        <f t="array" ref="H7510">IFERROR(INDEX(INVESTOR_LIST[INVESTOR NAME],MATCH(I7510,INVESTOR_LIST[INVESTOR CODE],0),)," ")</f>
        <v>SUMAIYA CHOWDHURY RUPTY</v>
      </c>
      <c r="I7510" s="142" t="s">
        <v>853</v>
      </c>
      <c r="J7510" s="168" t="s">
        <v>13</v>
      </c>
      <c r="K7510" s="226">
        <v>255520</v>
      </c>
      <c r="L7510" s="226"/>
    </row>
    <row r="7511" spans="1:12" ht="45" x14ac:dyDescent="0.2">
      <c r="A7511" s="133">
        <v>2022</v>
      </c>
      <c r="B7511" s="133">
        <v>10</v>
      </c>
      <c r="C7511" s="133">
        <v>19</v>
      </c>
      <c r="D7511" s="141">
        <f t="shared" si="644"/>
        <v>44853</v>
      </c>
      <c r="E7511" s="275">
        <f t="shared" si="645"/>
        <v>44853</v>
      </c>
      <c r="F7511" s="481"/>
      <c r="G7511" s="174" t="s">
        <v>74</v>
      </c>
      <c r="H7511" s="148" t="str" cm="1">
        <f t="array" ref="H7511">IFERROR(INDEX(INVESTOR_LIST[INVESTOR NAME],MATCH(I7511,INVESTOR_LIST[INVESTOR CODE],0),)," ")</f>
        <v>SUMAIYA CHOWDHURY RUPTY</v>
      </c>
      <c r="I7511" s="148" t="s">
        <v>853</v>
      </c>
      <c r="J7511" s="133" t="s">
        <v>53</v>
      </c>
      <c r="K7511" s="218">
        <v>49063.519999999997</v>
      </c>
      <c r="L7511" s="218"/>
    </row>
    <row r="7512" spans="1:12" ht="45" x14ac:dyDescent="0.2">
      <c r="A7512" s="163">
        <v>2022</v>
      </c>
      <c r="B7512" s="163">
        <v>10</v>
      </c>
      <c r="C7512" s="163">
        <v>19</v>
      </c>
      <c r="D7512" s="280">
        <f t="shared" si="644"/>
        <v>44853</v>
      </c>
      <c r="E7512" s="281">
        <f t="shared" si="645"/>
        <v>44853</v>
      </c>
      <c r="F7512" s="480"/>
      <c r="G7512" s="221" t="s">
        <v>74</v>
      </c>
      <c r="H7512" s="145" t="str" cm="1">
        <f t="array" ref="H7512">IFERROR(INDEX(INVESTOR_LIST[INVESTOR NAME],MATCH(I7512,INVESTOR_LIST[INVESTOR CODE],0),)," ")</f>
        <v>SUMAIYA CHOWDHURY RUPTY</v>
      </c>
      <c r="I7512" s="145" t="s">
        <v>853</v>
      </c>
      <c r="J7512" s="163" t="s">
        <v>52</v>
      </c>
      <c r="K7512" s="219"/>
      <c r="L7512" s="219">
        <v>304583.52</v>
      </c>
    </row>
    <row r="7513" spans="1:12" ht="45" x14ac:dyDescent="0.2">
      <c r="A7513" s="168">
        <v>2022</v>
      </c>
      <c r="B7513" s="168">
        <v>10</v>
      </c>
      <c r="C7513" s="133">
        <v>19</v>
      </c>
      <c r="D7513" s="141">
        <f t="shared" ref="D7513:D7515" si="646">DATE(A7513,B7513,C7513)</f>
        <v>44853</v>
      </c>
      <c r="E7513" s="275">
        <f t="shared" ref="E7513:E7515" si="647">DATE(A7513,B7513,C7513)</f>
        <v>44853</v>
      </c>
      <c r="F7513" s="479" t="s">
        <v>1315</v>
      </c>
      <c r="G7513" s="220" t="s">
        <v>74</v>
      </c>
      <c r="H7513" s="142" t="str" cm="1">
        <f t="array" ref="H7513">IFERROR(INDEX(INVESTOR_LIST[INVESTOR NAME],MATCH(I7513,INVESTOR_LIST[INVESTOR CODE],0),)," ")</f>
        <v>MD. SAIFULLAH AL AZAD</v>
      </c>
      <c r="I7513" s="142" t="s">
        <v>988</v>
      </c>
      <c r="J7513" s="168" t="s">
        <v>13</v>
      </c>
      <c r="K7513" s="226">
        <v>163940</v>
      </c>
      <c r="L7513" s="226"/>
    </row>
    <row r="7514" spans="1:12" ht="45" x14ac:dyDescent="0.2">
      <c r="A7514" s="133">
        <v>2022</v>
      </c>
      <c r="B7514" s="133">
        <v>10</v>
      </c>
      <c r="C7514" s="133">
        <v>19</v>
      </c>
      <c r="D7514" s="141">
        <f t="shared" si="646"/>
        <v>44853</v>
      </c>
      <c r="E7514" s="275">
        <f t="shared" si="647"/>
        <v>44853</v>
      </c>
      <c r="F7514" s="481"/>
      <c r="G7514" s="174" t="s">
        <v>74</v>
      </c>
      <c r="H7514" s="148" t="str" cm="1">
        <f t="array" ref="H7514">IFERROR(INDEX(INVESTOR_LIST[INVESTOR NAME],MATCH(I7514,INVESTOR_LIST[INVESTOR CODE],0),)," ")</f>
        <v>MD. SAIFULLAH AL AZAD</v>
      </c>
      <c r="I7514" s="148" t="s">
        <v>988</v>
      </c>
      <c r="J7514" s="133" t="s">
        <v>53</v>
      </c>
      <c r="K7514" s="218">
        <v>31476.48</v>
      </c>
      <c r="L7514" s="218"/>
    </row>
    <row r="7515" spans="1:12" ht="45" x14ac:dyDescent="0.2">
      <c r="A7515" s="163">
        <v>2022</v>
      </c>
      <c r="B7515" s="163">
        <v>10</v>
      </c>
      <c r="C7515" s="163">
        <v>19</v>
      </c>
      <c r="D7515" s="280">
        <f t="shared" si="646"/>
        <v>44853</v>
      </c>
      <c r="E7515" s="281">
        <f t="shared" si="647"/>
        <v>44853</v>
      </c>
      <c r="F7515" s="480"/>
      <c r="G7515" s="221" t="s">
        <v>74</v>
      </c>
      <c r="H7515" s="145" t="str" cm="1">
        <f t="array" ref="H7515">IFERROR(INDEX(INVESTOR_LIST[INVESTOR NAME],MATCH(I7515,INVESTOR_LIST[INVESTOR CODE],0),)," ")</f>
        <v>MD. SAIFULLAH AL AZAD</v>
      </c>
      <c r="I7515" s="145" t="s">
        <v>988</v>
      </c>
      <c r="J7515" s="163" t="s">
        <v>52</v>
      </c>
      <c r="K7515" s="219"/>
      <c r="L7515" s="219">
        <v>195416.48</v>
      </c>
    </row>
    <row r="7516" spans="1:12" ht="45" x14ac:dyDescent="0.2">
      <c r="A7516" s="168">
        <v>2022</v>
      </c>
      <c r="B7516" s="168">
        <v>10</v>
      </c>
      <c r="C7516" s="133">
        <v>20</v>
      </c>
      <c r="D7516" s="141">
        <f t="shared" ref="D7516:D7524" si="648">DATE(A7516,B7516,C7516)</f>
        <v>44854</v>
      </c>
      <c r="E7516" s="275">
        <f t="shared" ref="E7516:E7524" si="649">DATE(A7516,B7516,C7516)</f>
        <v>44854</v>
      </c>
      <c r="F7516" s="479" t="s">
        <v>1315</v>
      </c>
      <c r="G7516" s="220" t="s">
        <v>74</v>
      </c>
      <c r="H7516" s="142" t="str" cm="1">
        <f t="array" ref="H7516">IFERROR(INDEX(INVESTOR_LIST[INVESTOR NAME],MATCH(I7516,INVESTOR_LIST[INVESTOR CODE],0),)," ")</f>
        <v>MD. NIAZ MURSHED</v>
      </c>
      <c r="I7516" s="142" t="s">
        <v>646</v>
      </c>
      <c r="J7516" s="168" t="s">
        <v>13</v>
      </c>
      <c r="K7516" s="226">
        <v>125840</v>
      </c>
      <c r="L7516" s="226"/>
    </row>
    <row r="7517" spans="1:12" ht="45" x14ac:dyDescent="0.2">
      <c r="A7517" s="133">
        <v>2022</v>
      </c>
      <c r="B7517" s="133">
        <v>10</v>
      </c>
      <c r="C7517" s="133">
        <v>20</v>
      </c>
      <c r="D7517" s="141">
        <f t="shared" si="648"/>
        <v>44854</v>
      </c>
      <c r="E7517" s="275">
        <f t="shared" si="649"/>
        <v>44854</v>
      </c>
      <c r="F7517" s="481"/>
      <c r="G7517" s="174" t="s">
        <v>74</v>
      </c>
      <c r="H7517" s="148" t="str" cm="1">
        <f t="array" ref="H7517">IFERROR(INDEX(INVESTOR_LIST[INVESTOR NAME],MATCH(I7517,INVESTOR_LIST[INVESTOR CODE],0),)," ")</f>
        <v>MD. NIAZ MURSHED</v>
      </c>
      <c r="I7517" s="148" t="s">
        <v>646</v>
      </c>
      <c r="J7517" s="133" t="s">
        <v>53</v>
      </c>
      <c r="K7517" s="218">
        <v>24160</v>
      </c>
      <c r="L7517" s="218"/>
    </row>
    <row r="7518" spans="1:12" ht="45" x14ac:dyDescent="0.2">
      <c r="A7518" s="163">
        <v>2022</v>
      </c>
      <c r="B7518" s="163">
        <v>10</v>
      </c>
      <c r="C7518" s="163">
        <v>20</v>
      </c>
      <c r="D7518" s="280">
        <f t="shared" si="648"/>
        <v>44854</v>
      </c>
      <c r="E7518" s="281">
        <f t="shared" si="649"/>
        <v>44854</v>
      </c>
      <c r="F7518" s="480"/>
      <c r="G7518" s="221" t="s">
        <v>74</v>
      </c>
      <c r="H7518" s="145" t="str" cm="1">
        <f t="array" ref="H7518">IFERROR(INDEX(INVESTOR_LIST[INVESTOR NAME],MATCH(I7518,INVESTOR_LIST[INVESTOR CODE],0),)," ")</f>
        <v>MD. NIAZ MURSHED</v>
      </c>
      <c r="I7518" s="145" t="s">
        <v>646</v>
      </c>
      <c r="J7518" s="163" t="s">
        <v>52</v>
      </c>
      <c r="K7518" s="219"/>
      <c r="L7518" s="219">
        <v>150000</v>
      </c>
    </row>
    <row r="7519" spans="1:12" x14ac:dyDescent="0.2">
      <c r="A7519" s="133">
        <v>2022</v>
      </c>
      <c r="B7519" s="133">
        <v>10</v>
      </c>
      <c r="C7519" s="168">
        <v>20</v>
      </c>
      <c r="D7519" s="141">
        <f t="shared" si="648"/>
        <v>44854</v>
      </c>
      <c r="E7519" s="275">
        <f t="shared" si="649"/>
        <v>44854</v>
      </c>
      <c r="F7519" s="479" t="s">
        <v>1516</v>
      </c>
      <c r="G7519" s="174" t="s">
        <v>74</v>
      </c>
      <c r="H7519" s="148" t="str" cm="1">
        <f t="array" ref="H7519">IFERROR(INDEX(INVESTOR_LIST[INVESTOR NAME],MATCH(I7519,INVESTOR_LIST[INVESTOR CODE],0),)," ")</f>
        <v xml:space="preserve"> </v>
      </c>
      <c r="I7519" s="148" t="s">
        <v>348</v>
      </c>
      <c r="J7519" s="133" t="s">
        <v>61</v>
      </c>
      <c r="K7519" s="172">
        <v>58</v>
      </c>
    </row>
    <row r="7520" spans="1:12" x14ac:dyDescent="0.2">
      <c r="A7520" s="163">
        <v>2022</v>
      </c>
      <c r="B7520" s="163">
        <v>10</v>
      </c>
      <c r="C7520" s="163">
        <v>20</v>
      </c>
      <c r="D7520" s="141">
        <f t="shared" si="648"/>
        <v>44854</v>
      </c>
      <c r="E7520" s="275">
        <f t="shared" si="649"/>
        <v>44854</v>
      </c>
      <c r="F7520" s="480"/>
      <c r="G7520" s="221" t="s">
        <v>74</v>
      </c>
      <c r="H7520" s="145" t="str" cm="1">
        <f t="array" ref="H7520">IFERROR(INDEX(INVESTOR_LIST[INVESTOR NAME],MATCH(I7520,INVESTOR_LIST[INVESTOR CODE],0),)," ")</f>
        <v xml:space="preserve"> </v>
      </c>
      <c r="I7520" s="145" t="s">
        <v>348</v>
      </c>
      <c r="J7520" s="163" t="s">
        <v>52</v>
      </c>
      <c r="K7520" s="219"/>
      <c r="L7520" s="219">
        <v>58</v>
      </c>
    </row>
    <row r="7521" spans="1:12" x14ac:dyDescent="0.2">
      <c r="A7521" s="324">
        <v>2022</v>
      </c>
      <c r="B7521" s="324">
        <v>10</v>
      </c>
      <c r="C7521" s="325">
        <v>20</v>
      </c>
      <c r="D7521" s="326">
        <f t="shared" si="648"/>
        <v>44854</v>
      </c>
      <c r="E7521" s="327">
        <f t="shared" si="649"/>
        <v>44854</v>
      </c>
      <c r="F7521" s="473" t="s">
        <v>1489</v>
      </c>
      <c r="G7521" s="328" t="s">
        <v>94</v>
      </c>
      <c r="H7521" s="329" t="str" cm="1">
        <f t="array" ref="H7521">IFERROR(INDEX(INVESTOR_LIST[INVESTOR NAME],MATCH(I7521,INVESTOR_LIST[INVESTOR CODE],0),)," ")</f>
        <v xml:space="preserve"> </v>
      </c>
      <c r="I7521" s="329" t="s">
        <v>348</v>
      </c>
      <c r="J7521" s="324" t="s">
        <v>133</v>
      </c>
      <c r="K7521" s="330">
        <v>3424.28</v>
      </c>
      <c r="L7521" s="330"/>
    </row>
    <row r="7522" spans="1:12" x14ac:dyDescent="0.2">
      <c r="A7522" s="331">
        <v>2022</v>
      </c>
      <c r="B7522" s="331">
        <v>10</v>
      </c>
      <c r="C7522" s="331">
        <v>20</v>
      </c>
      <c r="D7522" s="326">
        <f t="shared" si="648"/>
        <v>44854</v>
      </c>
      <c r="E7522" s="327">
        <f t="shared" si="649"/>
        <v>44854</v>
      </c>
      <c r="F7522" s="474"/>
      <c r="G7522" s="332" t="s">
        <v>94</v>
      </c>
      <c r="H7522" s="333" t="str" cm="1">
        <f t="array" ref="H7522">IFERROR(INDEX(INVESTOR_LIST[INVESTOR NAME],MATCH(I7522,INVESTOR_LIST[INVESTOR CODE],0),)," ")</f>
        <v xml:space="preserve"> </v>
      </c>
      <c r="I7522" s="333" t="s">
        <v>348</v>
      </c>
      <c r="J7522" s="331" t="s">
        <v>152</v>
      </c>
      <c r="K7522" s="334"/>
      <c r="L7522" s="334">
        <v>3424.28</v>
      </c>
    </row>
    <row r="7523" spans="1:12" x14ac:dyDescent="0.2">
      <c r="A7523" s="324">
        <v>2022</v>
      </c>
      <c r="B7523" s="324">
        <v>10</v>
      </c>
      <c r="C7523" s="325">
        <v>20</v>
      </c>
      <c r="D7523" s="326">
        <f t="shared" si="648"/>
        <v>44854</v>
      </c>
      <c r="E7523" s="327">
        <f t="shared" si="649"/>
        <v>44854</v>
      </c>
      <c r="F7523" s="473" t="s">
        <v>1491</v>
      </c>
      <c r="G7523" s="328" t="s">
        <v>94</v>
      </c>
      <c r="H7523" s="329" t="str" cm="1">
        <f t="array" ref="H7523">IFERROR(INDEX(INVESTOR_LIST[INVESTOR NAME],MATCH(I7523,INVESTOR_LIST[INVESTOR CODE],0),)," ")</f>
        <v xml:space="preserve"> </v>
      </c>
      <c r="I7523" s="329" t="s">
        <v>348</v>
      </c>
      <c r="J7523" s="324" t="s">
        <v>133</v>
      </c>
      <c r="K7523" s="330">
        <v>10838.39</v>
      </c>
      <c r="L7523" s="330"/>
    </row>
    <row r="7524" spans="1:12" x14ac:dyDescent="0.2">
      <c r="A7524" s="331">
        <v>2022</v>
      </c>
      <c r="B7524" s="331">
        <v>10</v>
      </c>
      <c r="C7524" s="331">
        <v>20</v>
      </c>
      <c r="D7524" s="326">
        <f t="shared" si="648"/>
        <v>44854</v>
      </c>
      <c r="E7524" s="327">
        <f t="shared" si="649"/>
        <v>44854</v>
      </c>
      <c r="F7524" s="474"/>
      <c r="G7524" s="332" t="s">
        <v>94</v>
      </c>
      <c r="H7524" s="333" t="str" cm="1">
        <f t="array" ref="H7524">IFERROR(INDEX(INVESTOR_LIST[INVESTOR NAME],MATCH(I7524,INVESTOR_LIST[INVESTOR CODE],0),)," ")</f>
        <v xml:space="preserve"> </v>
      </c>
      <c r="I7524" s="333" t="s">
        <v>348</v>
      </c>
      <c r="J7524" s="331" t="s">
        <v>152</v>
      </c>
      <c r="K7524" s="334"/>
      <c r="L7524" s="334">
        <v>10838.39</v>
      </c>
    </row>
    <row r="7525" spans="1:12" x14ac:dyDescent="0.2">
      <c r="A7525" s="324">
        <v>2022</v>
      </c>
      <c r="B7525" s="324">
        <v>10</v>
      </c>
      <c r="C7525" s="325">
        <v>20</v>
      </c>
      <c r="D7525" s="326">
        <f>DATE(A7525,B7525,C7525)</f>
        <v>44854</v>
      </c>
      <c r="E7525" s="327">
        <f>DATE(A7525,B7525,C7525)</f>
        <v>44854</v>
      </c>
      <c r="F7525" s="473" t="s">
        <v>1490</v>
      </c>
      <c r="G7525" s="328" t="s">
        <v>94</v>
      </c>
      <c r="H7525" s="329" t="str" cm="1">
        <f t="array" ref="H7525">IFERROR(INDEX(INVESTOR_LIST[INVESTOR NAME],MATCH(I7525,INVESTOR_LIST[INVESTOR CODE],0),)," ")</f>
        <v xml:space="preserve"> </v>
      </c>
      <c r="I7525" s="329" t="s">
        <v>348</v>
      </c>
      <c r="J7525" s="324" t="s">
        <v>133</v>
      </c>
      <c r="K7525" s="330">
        <v>13681.97</v>
      </c>
      <c r="L7525" s="330"/>
    </row>
    <row r="7526" spans="1:12" x14ac:dyDescent="0.2">
      <c r="A7526" s="331">
        <v>2022</v>
      </c>
      <c r="B7526" s="331">
        <v>10</v>
      </c>
      <c r="C7526" s="331">
        <v>20</v>
      </c>
      <c r="D7526" s="326">
        <f>DATE(A7526,B7526,C7526)</f>
        <v>44854</v>
      </c>
      <c r="E7526" s="327">
        <f>DATE(A7526,B7526,C7526)</f>
        <v>44854</v>
      </c>
      <c r="F7526" s="474"/>
      <c r="G7526" s="332" t="s">
        <v>94</v>
      </c>
      <c r="H7526" s="333" t="str" cm="1">
        <f t="array" ref="H7526">IFERROR(INDEX(INVESTOR_LIST[INVESTOR NAME],MATCH(I7526,INVESTOR_LIST[INVESTOR CODE],0),)," ")</f>
        <v xml:space="preserve"> </v>
      </c>
      <c r="I7526" s="333" t="s">
        <v>348</v>
      </c>
      <c r="J7526" s="331" t="s">
        <v>152</v>
      </c>
      <c r="K7526" s="334"/>
      <c r="L7526" s="334">
        <v>13681.97</v>
      </c>
    </row>
    <row r="7527" spans="1:12" x14ac:dyDescent="0.2">
      <c r="A7527" s="238">
        <v>2022</v>
      </c>
      <c r="B7527" s="238">
        <v>10</v>
      </c>
      <c r="C7527" s="238">
        <v>20</v>
      </c>
      <c r="D7527" s="270">
        <f t="shared" ref="D7527:D7546" si="650">DATE(A7527,B7527,C7527)</f>
        <v>44854</v>
      </c>
      <c r="E7527" s="279">
        <f t="shared" ref="E7527:E7546" si="651">DATE(A7527,B7527,C7527)</f>
        <v>44854</v>
      </c>
      <c r="F7527" s="477" t="s">
        <v>347</v>
      </c>
      <c r="G7527" s="239" t="s">
        <v>94</v>
      </c>
      <c r="H7527" s="239" t="str" cm="1">
        <f t="array" ref="H7527">IFERROR(INDEX(INVESTOR_LIST[INVESTOR NAME],MATCH(I7527,INVESTOR_LIST[INVESTOR CODE],0),)," ")</f>
        <v xml:space="preserve"> </v>
      </c>
      <c r="I7527" s="262" t="s">
        <v>348</v>
      </c>
      <c r="J7527" s="240" t="s">
        <v>82</v>
      </c>
      <c r="K7527" s="241">
        <v>621581.25</v>
      </c>
      <c r="L7527" s="241"/>
    </row>
    <row r="7528" spans="1:12" x14ac:dyDescent="0.2">
      <c r="A7528" s="242">
        <v>2022</v>
      </c>
      <c r="B7528" s="242">
        <v>10</v>
      </c>
      <c r="C7528" s="242">
        <v>20</v>
      </c>
      <c r="D7528" s="270">
        <f t="shared" si="650"/>
        <v>44854</v>
      </c>
      <c r="E7528" s="279">
        <f t="shared" si="651"/>
        <v>44854</v>
      </c>
      <c r="F7528" s="478"/>
      <c r="G7528" s="243" t="s">
        <v>94</v>
      </c>
      <c r="H7528" s="243" t="str" cm="1">
        <f t="array" ref="H7528">IFERROR(INDEX(INVESTOR_LIST[INVESTOR NAME],MATCH(I7528,INVESTOR_LIST[INVESTOR CODE],0),)," ")</f>
        <v xml:space="preserve"> </v>
      </c>
      <c r="I7528" s="263" t="s">
        <v>348</v>
      </c>
      <c r="J7528" s="244" t="s">
        <v>108</v>
      </c>
      <c r="K7528" s="245"/>
      <c r="L7528" s="245">
        <v>621581.25</v>
      </c>
    </row>
    <row r="7529" spans="1:12" ht="22.5" x14ac:dyDescent="0.2">
      <c r="A7529" s="246">
        <v>2022</v>
      </c>
      <c r="B7529" s="238">
        <v>10</v>
      </c>
      <c r="C7529" s="238">
        <v>20</v>
      </c>
      <c r="D7529" s="270">
        <f t="shared" si="650"/>
        <v>44854</v>
      </c>
      <c r="E7529" s="279">
        <f t="shared" si="651"/>
        <v>44854</v>
      </c>
      <c r="F7529" s="482" t="s">
        <v>148</v>
      </c>
      <c r="G7529" s="247" t="s">
        <v>94</v>
      </c>
      <c r="H7529" s="247" t="str" cm="1">
        <f t="array" ref="H7529">IFERROR(INDEX(INVESTOR_LIST[INVESTOR NAME],MATCH(I7529,INVESTOR_LIST[INVESTOR CODE],0),)," ")</f>
        <v xml:space="preserve"> </v>
      </c>
      <c r="I7529" s="248" t="s">
        <v>348</v>
      </c>
      <c r="J7529" s="249" t="s">
        <v>95</v>
      </c>
      <c r="K7529" s="250">
        <v>2747.2527472527472</v>
      </c>
      <c r="L7529" s="241"/>
    </row>
    <row r="7530" spans="1:12" x14ac:dyDescent="0.2">
      <c r="A7530" s="242">
        <v>2022</v>
      </c>
      <c r="B7530" s="242">
        <v>10</v>
      </c>
      <c r="C7530" s="242">
        <v>20</v>
      </c>
      <c r="D7530" s="270">
        <f t="shared" si="650"/>
        <v>44854</v>
      </c>
      <c r="E7530" s="279">
        <f t="shared" si="651"/>
        <v>44854</v>
      </c>
      <c r="F7530" s="478"/>
      <c r="G7530" s="243" t="s">
        <v>94</v>
      </c>
      <c r="H7530" s="243" t="str" cm="1">
        <f t="array" ref="H7530">IFERROR(INDEX(INVESTOR_LIST[INVESTOR NAME],MATCH(I7530,INVESTOR_LIST[INVESTOR CODE],0),)," ")</f>
        <v xml:space="preserve"> </v>
      </c>
      <c r="I7530" s="263" t="s">
        <v>348</v>
      </c>
      <c r="J7530" s="244" t="s">
        <v>63</v>
      </c>
      <c r="K7530" s="245"/>
      <c r="L7530" s="245">
        <v>2747.2527472527472</v>
      </c>
    </row>
    <row r="7531" spans="1:12" x14ac:dyDescent="0.2">
      <c r="A7531" s="246">
        <v>2022</v>
      </c>
      <c r="B7531" s="238">
        <v>10</v>
      </c>
      <c r="C7531" s="238">
        <v>20</v>
      </c>
      <c r="D7531" s="270">
        <f t="shared" si="650"/>
        <v>44854</v>
      </c>
      <c r="E7531" s="279">
        <f t="shared" si="651"/>
        <v>44854</v>
      </c>
      <c r="F7531" s="482" t="s">
        <v>137</v>
      </c>
      <c r="G7531" s="247" t="s">
        <v>94</v>
      </c>
      <c r="H7531" s="247" t="str" cm="1">
        <f t="array" ref="H7531">IFERROR(INDEX(INVESTOR_LIST[INVESTOR NAME],MATCH(I7531,INVESTOR_LIST[INVESTOR CODE],0),)," ")</f>
        <v xml:space="preserve"> </v>
      </c>
      <c r="I7531" s="248" t="s">
        <v>348</v>
      </c>
      <c r="J7531" s="249" t="s">
        <v>97</v>
      </c>
      <c r="K7531" s="250">
        <v>76033.312236991595</v>
      </c>
      <c r="L7531" s="252"/>
    </row>
    <row r="7532" spans="1:12" x14ac:dyDescent="0.2">
      <c r="A7532" s="242">
        <v>2022</v>
      </c>
      <c r="B7532" s="242">
        <v>10</v>
      </c>
      <c r="C7532" s="242">
        <v>20</v>
      </c>
      <c r="D7532" s="270">
        <f t="shared" si="650"/>
        <v>44854</v>
      </c>
      <c r="E7532" s="279">
        <f t="shared" si="651"/>
        <v>44854</v>
      </c>
      <c r="F7532" s="478"/>
      <c r="G7532" s="243" t="s">
        <v>94</v>
      </c>
      <c r="H7532" s="243" t="str" cm="1">
        <f t="array" ref="H7532">IFERROR(INDEX(INVESTOR_LIST[INVESTOR NAME],MATCH(I7532,INVESTOR_LIST[INVESTOR CODE],0),)," ")</f>
        <v xml:space="preserve"> </v>
      </c>
      <c r="I7532" s="263" t="s">
        <v>348</v>
      </c>
      <c r="J7532" s="244" t="s">
        <v>47</v>
      </c>
      <c r="K7532" s="245"/>
      <c r="L7532" s="245">
        <v>76033.312236991595</v>
      </c>
    </row>
    <row r="7533" spans="1:12" x14ac:dyDescent="0.2">
      <c r="A7533" s="246">
        <v>2022</v>
      </c>
      <c r="B7533" s="238">
        <v>10</v>
      </c>
      <c r="C7533" s="238">
        <v>20</v>
      </c>
      <c r="D7533" s="270">
        <f t="shared" si="650"/>
        <v>44854</v>
      </c>
      <c r="E7533" s="279">
        <f t="shared" si="651"/>
        <v>44854</v>
      </c>
      <c r="F7533" s="482" t="s">
        <v>138</v>
      </c>
      <c r="G7533" s="247" t="s">
        <v>94</v>
      </c>
      <c r="H7533" s="247" t="str" cm="1">
        <f t="array" ref="H7533">IFERROR(INDEX(INVESTOR_LIST[INVESTOR NAME],MATCH(I7533,INVESTOR_LIST[INVESTOR CODE],0),)," ")</f>
        <v xml:space="preserve"> </v>
      </c>
      <c r="I7533" s="248" t="s">
        <v>348</v>
      </c>
      <c r="J7533" s="249" t="s">
        <v>100</v>
      </c>
      <c r="K7533" s="250">
        <v>3561.2809964649641</v>
      </c>
      <c r="L7533" s="252"/>
    </row>
    <row r="7534" spans="1:12" x14ac:dyDescent="0.2">
      <c r="A7534" s="242">
        <v>2022</v>
      </c>
      <c r="B7534" s="242">
        <v>10</v>
      </c>
      <c r="C7534" s="242">
        <v>20</v>
      </c>
      <c r="D7534" s="321">
        <f t="shared" si="650"/>
        <v>44854</v>
      </c>
      <c r="E7534" s="322">
        <f t="shared" si="651"/>
        <v>44854</v>
      </c>
      <c r="F7534" s="478"/>
      <c r="G7534" s="243" t="s">
        <v>94</v>
      </c>
      <c r="H7534" s="243" t="str" cm="1">
        <f t="array" ref="H7534">IFERROR(INDEX(INVESTOR_LIST[INVESTOR NAME],MATCH(I7534,INVESTOR_LIST[INVESTOR CODE],0),)," ")</f>
        <v xml:space="preserve"> </v>
      </c>
      <c r="I7534" s="263" t="s">
        <v>348</v>
      </c>
      <c r="J7534" s="244" t="s">
        <v>48</v>
      </c>
      <c r="K7534" s="245"/>
      <c r="L7534" s="245">
        <v>3561.2809964649641</v>
      </c>
    </row>
    <row r="7535" spans="1:12" ht="33.75" x14ac:dyDescent="0.2">
      <c r="A7535" s="168">
        <v>2022</v>
      </c>
      <c r="B7535" s="168">
        <v>10</v>
      </c>
      <c r="C7535" s="133">
        <v>23</v>
      </c>
      <c r="D7535" s="141">
        <f t="shared" si="650"/>
        <v>44857</v>
      </c>
      <c r="E7535" s="275">
        <f t="shared" si="651"/>
        <v>44857</v>
      </c>
      <c r="F7535" s="479" t="s">
        <v>1315</v>
      </c>
      <c r="G7535" s="220" t="s">
        <v>74</v>
      </c>
      <c r="H7535" s="142" t="str" cm="1">
        <f t="array" ref="H7535">IFERROR(INDEX(INVESTOR_LIST[INVESTOR NAME],MATCH(I7535,INVESTOR_LIST[INVESTOR CODE],0),)," ")</f>
        <v>IFTAKHAR AHMED</v>
      </c>
      <c r="I7535" s="142" t="s">
        <v>613</v>
      </c>
      <c r="J7535" s="168" t="s">
        <v>13</v>
      </c>
      <c r="K7535" s="226">
        <v>33050</v>
      </c>
      <c r="L7535" s="226"/>
    </row>
    <row r="7536" spans="1:12" ht="33.75" x14ac:dyDescent="0.2">
      <c r="A7536" s="133">
        <v>2022</v>
      </c>
      <c r="B7536" s="133">
        <v>10</v>
      </c>
      <c r="C7536" s="133">
        <v>23</v>
      </c>
      <c r="D7536" s="141">
        <f t="shared" si="650"/>
        <v>44857</v>
      </c>
      <c r="E7536" s="275">
        <f t="shared" si="651"/>
        <v>44857</v>
      </c>
      <c r="F7536" s="481"/>
      <c r="G7536" s="174" t="s">
        <v>74</v>
      </c>
      <c r="H7536" s="148" t="str" cm="1">
        <f t="array" ref="H7536">IFERROR(INDEX(INVESTOR_LIST[INVESTOR NAME],MATCH(I7536,INVESTOR_LIST[INVESTOR CODE],0),)," ")</f>
        <v>IFTAKHAR AHMED</v>
      </c>
      <c r="I7536" s="148" t="s">
        <v>613</v>
      </c>
      <c r="J7536" s="133" t="s">
        <v>53</v>
      </c>
      <c r="K7536" s="218">
        <v>6213.4</v>
      </c>
      <c r="L7536" s="218"/>
    </row>
    <row r="7537" spans="1:13" ht="33.75" x14ac:dyDescent="0.2">
      <c r="A7537" s="163">
        <v>2022</v>
      </c>
      <c r="B7537" s="163">
        <v>10</v>
      </c>
      <c r="C7537" s="163">
        <v>23</v>
      </c>
      <c r="D7537" s="280">
        <f t="shared" si="650"/>
        <v>44857</v>
      </c>
      <c r="E7537" s="281">
        <f t="shared" si="651"/>
        <v>44857</v>
      </c>
      <c r="F7537" s="480"/>
      <c r="G7537" s="221" t="s">
        <v>74</v>
      </c>
      <c r="H7537" s="145" t="str" cm="1">
        <f t="array" ref="H7537">IFERROR(INDEX(INVESTOR_LIST[INVESTOR NAME],MATCH(I7537,INVESTOR_LIST[INVESTOR CODE],0),)," ")</f>
        <v>IFTAKHAR AHMED</v>
      </c>
      <c r="I7537" s="145" t="s">
        <v>613</v>
      </c>
      <c r="J7537" s="163" t="s">
        <v>52</v>
      </c>
      <c r="K7537" s="219"/>
      <c r="L7537" s="219">
        <v>39263.4</v>
      </c>
    </row>
    <row r="7538" spans="1:13" x14ac:dyDescent="0.2">
      <c r="A7538" s="133">
        <v>2022</v>
      </c>
      <c r="B7538" s="133">
        <v>10</v>
      </c>
      <c r="C7538" s="133">
        <v>23</v>
      </c>
      <c r="D7538" s="141">
        <f t="shared" si="650"/>
        <v>44857</v>
      </c>
      <c r="E7538" s="275">
        <f t="shared" si="651"/>
        <v>44857</v>
      </c>
      <c r="F7538" s="481" t="s">
        <v>1499</v>
      </c>
      <c r="G7538" s="174" t="s">
        <v>94</v>
      </c>
      <c r="H7538" s="174" t="str" cm="1">
        <f t="array" ref="H7538">IFERROR(INDEX(INVESTOR_LIST[INVESTOR NAME],MATCH(I7538,INVESTOR_LIST[INVESTOR CODE],0),)," ")</f>
        <v xml:space="preserve"> </v>
      </c>
      <c r="J7538" s="149" t="s">
        <v>190</v>
      </c>
      <c r="K7538" s="218">
        <v>6288660</v>
      </c>
      <c r="L7538" s="218"/>
      <c r="M7538" s="160"/>
    </row>
    <row r="7539" spans="1:13" x14ac:dyDescent="0.2">
      <c r="A7539" s="133">
        <v>2022</v>
      </c>
      <c r="B7539" s="133">
        <v>10</v>
      </c>
      <c r="C7539" s="133">
        <v>23</v>
      </c>
      <c r="D7539" s="141">
        <f t="shared" si="650"/>
        <v>44857</v>
      </c>
      <c r="E7539" s="275">
        <f t="shared" si="651"/>
        <v>44857</v>
      </c>
      <c r="F7539" s="481"/>
      <c r="G7539" s="174" t="s">
        <v>94</v>
      </c>
      <c r="H7539" s="174"/>
      <c r="J7539" s="149" t="s">
        <v>80</v>
      </c>
      <c r="K7539" s="218">
        <v>11340</v>
      </c>
      <c r="L7539" s="218"/>
    </row>
    <row r="7540" spans="1:13" x14ac:dyDescent="0.2">
      <c r="A7540" s="133">
        <v>2022</v>
      </c>
      <c r="B7540" s="133">
        <v>10</v>
      </c>
      <c r="C7540" s="133">
        <v>23</v>
      </c>
      <c r="D7540" s="141">
        <f t="shared" si="650"/>
        <v>44857</v>
      </c>
      <c r="E7540" s="275">
        <f t="shared" si="651"/>
        <v>44857</v>
      </c>
      <c r="F7540" s="481"/>
      <c r="G7540" s="174" t="s">
        <v>94</v>
      </c>
      <c r="H7540" s="174" t="str" cm="1">
        <f t="array" ref="H7540">IFERROR(INDEX(INVESTOR_LIST[INVESTOR NAME],MATCH(I7540,INVESTOR_LIST[INVESTOR CODE],0),)," ")</f>
        <v xml:space="preserve"> </v>
      </c>
      <c r="J7540" s="149" t="s">
        <v>191</v>
      </c>
      <c r="K7540" s="218">
        <v>496628.99</v>
      </c>
      <c r="L7540" s="218"/>
    </row>
    <row r="7541" spans="1:13" x14ac:dyDescent="0.2">
      <c r="A7541" s="163">
        <v>2022</v>
      </c>
      <c r="B7541" s="163">
        <v>10</v>
      </c>
      <c r="C7541" s="163">
        <v>23</v>
      </c>
      <c r="D7541" s="280">
        <f t="shared" si="650"/>
        <v>44857</v>
      </c>
      <c r="E7541" s="281">
        <f t="shared" si="651"/>
        <v>44857</v>
      </c>
      <c r="F7541" s="480"/>
      <c r="G7541" s="221" t="s">
        <v>94</v>
      </c>
      <c r="H7541" s="145" t="str" cm="1">
        <f t="array" ref="H7541">IFERROR(INDEX(INVESTOR_LIST[INVESTOR NAME],MATCH(I7541,INVESTOR_LIST[INVESTOR CODE],0),)," ")</f>
        <v xml:space="preserve"> </v>
      </c>
      <c r="I7541" s="145"/>
      <c r="J7541" s="163" t="s">
        <v>79</v>
      </c>
      <c r="K7541" s="219"/>
      <c r="L7541" s="219">
        <v>6796628.9900000002</v>
      </c>
    </row>
    <row r="7542" spans="1:13" ht="33.75" x14ac:dyDescent="0.2">
      <c r="A7542" s="168">
        <v>2022</v>
      </c>
      <c r="B7542" s="168">
        <v>10</v>
      </c>
      <c r="C7542" s="168">
        <v>25</v>
      </c>
      <c r="D7542" s="141">
        <f t="shared" si="650"/>
        <v>44859</v>
      </c>
      <c r="E7542" s="275">
        <f t="shared" si="651"/>
        <v>44859</v>
      </c>
      <c r="F7542" s="479" t="s">
        <v>964</v>
      </c>
      <c r="G7542" s="220" t="s">
        <v>74</v>
      </c>
      <c r="H7542" s="142" t="str" cm="1">
        <f t="array" ref="H7542">IFERROR(INDEX(INVESTOR_LIST[INVESTOR NAME],MATCH(I7542,INVESTOR_LIST[INVESTOR CODE],0),)," ")</f>
        <v>AMIT KANTI SARKER</v>
      </c>
      <c r="I7542" s="142" t="s">
        <v>494</v>
      </c>
      <c r="J7542" s="168" t="s">
        <v>52</v>
      </c>
      <c r="K7542" s="226">
        <v>400000</v>
      </c>
      <c r="L7542" s="226"/>
    </row>
    <row r="7543" spans="1:13" ht="33.75" x14ac:dyDescent="0.2">
      <c r="A7543" s="133">
        <v>2022</v>
      </c>
      <c r="B7543" s="133">
        <v>10</v>
      </c>
      <c r="C7543" s="133">
        <v>25</v>
      </c>
      <c r="D7543" s="141">
        <f t="shared" si="650"/>
        <v>44859</v>
      </c>
      <c r="E7543" s="275">
        <f t="shared" si="651"/>
        <v>44859</v>
      </c>
      <c r="F7543" s="481"/>
      <c r="G7543" s="174" t="s">
        <v>74</v>
      </c>
      <c r="H7543" s="148" t="str" cm="1">
        <f t="array" ref="H7543">IFERROR(INDEX(INVESTOR_LIST[INVESTOR NAME],MATCH(I7543,INVESTOR_LIST[INVESTOR CODE],0),)," ")</f>
        <v>AMIT KANTI SARKER</v>
      </c>
      <c r="I7543" s="148" t="s">
        <v>494</v>
      </c>
      <c r="J7543" s="133" t="s">
        <v>13</v>
      </c>
      <c r="K7543" s="218"/>
      <c r="L7543" s="218">
        <v>336700</v>
      </c>
    </row>
    <row r="7544" spans="1:13" ht="33.75" x14ac:dyDescent="0.2">
      <c r="A7544" s="163">
        <v>2022</v>
      </c>
      <c r="B7544" s="163">
        <v>10</v>
      </c>
      <c r="C7544" s="163">
        <v>25</v>
      </c>
      <c r="D7544" s="280">
        <f t="shared" si="650"/>
        <v>44859</v>
      </c>
      <c r="E7544" s="281">
        <f t="shared" si="651"/>
        <v>44859</v>
      </c>
      <c r="F7544" s="480"/>
      <c r="G7544" s="221" t="s">
        <v>74</v>
      </c>
      <c r="H7544" s="145" t="str" cm="1">
        <f t="array" ref="H7544">IFERROR(INDEX(INVESTOR_LIST[INVESTOR NAME],MATCH(I7544,INVESTOR_LIST[INVESTOR CODE],0),)," ")</f>
        <v>AMIT KANTI SARKER</v>
      </c>
      <c r="I7544" s="145" t="s">
        <v>494</v>
      </c>
      <c r="J7544" s="163" t="s">
        <v>53</v>
      </c>
      <c r="K7544" s="219"/>
      <c r="L7544" s="219">
        <v>63300</v>
      </c>
    </row>
    <row r="7545" spans="1:13" x14ac:dyDescent="0.2">
      <c r="A7545" s="168">
        <v>2022</v>
      </c>
      <c r="B7545" s="168">
        <v>10</v>
      </c>
      <c r="C7545" s="168">
        <v>25</v>
      </c>
      <c r="D7545" s="141">
        <f t="shared" si="650"/>
        <v>44859</v>
      </c>
      <c r="E7545" s="275">
        <f t="shared" si="651"/>
        <v>44859</v>
      </c>
      <c r="F7545" s="479" t="s">
        <v>1519</v>
      </c>
      <c r="G7545" s="220" t="s">
        <v>74</v>
      </c>
      <c r="H7545" s="142" t="str" cm="1">
        <f t="array" ref="H7545">IFERROR(INDEX(INVESTOR_LIST[INVESTOR NAME],MATCH(I7545,INVESTOR_LIST[INVESTOR CODE],0),)," ")</f>
        <v xml:space="preserve"> </v>
      </c>
      <c r="I7545" s="142"/>
      <c r="J7545" s="168" t="s">
        <v>48</v>
      </c>
      <c r="K7545" s="226">
        <v>97529.12</v>
      </c>
      <c r="L7545" s="226"/>
    </row>
    <row r="7546" spans="1:13" x14ac:dyDescent="0.2">
      <c r="A7546" s="163">
        <v>2022</v>
      </c>
      <c r="B7546" s="163">
        <v>10</v>
      </c>
      <c r="C7546" s="163">
        <v>25</v>
      </c>
      <c r="D7546" s="141">
        <f t="shared" si="650"/>
        <v>44859</v>
      </c>
      <c r="E7546" s="275">
        <f t="shared" si="651"/>
        <v>44859</v>
      </c>
      <c r="F7546" s="480"/>
      <c r="G7546" s="221" t="s">
        <v>74</v>
      </c>
      <c r="H7546" s="145" t="str" cm="1">
        <f t="array" ref="H7546">IFERROR(INDEX(INVESTOR_LIST[INVESTOR NAME],MATCH(I7546,INVESTOR_LIST[INVESTOR CODE],0),)," ")</f>
        <v xml:space="preserve"> </v>
      </c>
      <c r="I7546" s="145"/>
      <c r="J7546" s="163" t="s">
        <v>52</v>
      </c>
      <c r="K7546" s="219"/>
      <c r="L7546" s="219">
        <v>97529.12</v>
      </c>
    </row>
    <row r="7547" spans="1:13" x14ac:dyDescent="0.2">
      <c r="A7547" s="133">
        <v>2022</v>
      </c>
      <c r="B7547" s="133">
        <v>10</v>
      </c>
      <c r="C7547" s="133">
        <v>25</v>
      </c>
      <c r="D7547" s="141">
        <f t="shared" ref="D7547:D7553" si="652">DATE(A7547,B7547,C7547)</f>
        <v>44859</v>
      </c>
      <c r="E7547" s="275">
        <f t="shared" ref="E7547:E7553" si="653">DATE(A7547,B7547,C7547)</f>
        <v>44859</v>
      </c>
      <c r="F7547" s="481" t="s">
        <v>1499</v>
      </c>
      <c r="G7547" s="174" t="s">
        <v>94</v>
      </c>
      <c r="H7547" s="174" t="str" cm="1">
        <f t="array" ref="H7547">IFERROR(INDEX(INVESTOR_LIST[INVESTOR NAME],MATCH(I7547,INVESTOR_LIST[INVESTOR CODE],0),)," ")</f>
        <v xml:space="preserve"> </v>
      </c>
      <c r="J7547" s="149" t="s">
        <v>190</v>
      </c>
      <c r="K7547" s="218">
        <v>18211.96</v>
      </c>
      <c r="L7547" s="218"/>
      <c r="M7547" s="160"/>
    </row>
    <row r="7548" spans="1:13" x14ac:dyDescent="0.2">
      <c r="A7548" s="133">
        <v>2022</v>
      </c>
      <c r="B7548" s="133">
        <v>10</v>
      </c>
      <c r="C7548" s="133">
        <v>25</v>
      </c>
      <c r="D7548" s="141">
        <f t="shared" si="652"/>
        <v>44859</v>
      </c>
      <c r="E7548" s="275">
        <f t="shared" si="653"/>
        <v>44859</v>
      </c>
      <c r="F7548" s="481"/>
      <c r="G7548" s="174" t="s">
        <v>94</v>
      </c>
      <c r="H7548" s="174"/>
      <c r="J7548" s="149" t="s">
        <v>80</v>
      </c>
      <c r="K7548" s="218">
        <v>32.840000000000003</v>
      </c>
      <c r="L7548" s="218"/>
    </row>
    <row r="7549" spans="1:13" x14ac:dyDescent="0.2">
      <c r="A7549" s="133">
        <v>2022</v>
      </c>
      <c r="B7549" s="133">
        <v>10</v>
      </c>
      <c r="C7549" s="133">
        <v>25</v>
      </c>
      <c r="D7549" s="141">
        <f t="shared" si="652"/>
        <v>44859</v>
      </c>
      <c r="E7549" s="275">
        <f t="shared" si="653"/>
        <v>44859</v>
      </c>
      <c r="F7549" s="481"/>
      <c r="G7549" s="174" t="s">
        <v>94</v>
      </c>
      <c r="H7549" s="174" t="str" cm="1">
        <f t="array" ref="H7549">IFERROR(INDEX(INVESTOR_LIST[INVESTOR NAME],MATCH(I7549,INVESTOR_LIST[INVESTOR CODE],0),)," ")</f>
        <v xml:space="preserve"> </v>
      </c>
      <c r="J7549" s="149" t="s">
        <v>191</v>
      </c>
      <c r="K7549" s="218"/>
      <c r="L7549" s="218">
        <v>1801.75</v>
      </c>
    </row>
    <row r="7550" spans="1:13" x14ac:dyDescent="0.2">
      <c r="A7550" s="163">
        <v>2022</v>
      </c>
      <c r="B7550" s="163">
        <v>10</v>
      </c>
      <c r="C7550" s="163">
        <v>25</v>
      </c>
      <c r="D7550" s="280">
        <f t="shared" si="652"/>
        <v>44859</v>
      </c>
      <c r="E7550" s="281">
        <f t="shared" si="653"/>
        <v>44859</v>
      </c>
      <c r="F7550" s="480"/>
      <c r="G7550" s="221" t="s">
        <v>94</v>
      </c>
      <c r="H7550" s="145" t="str" cm="1">
        <f t="array" ref="H7550">IFERROR(INDEX(INVESTOR_LIST[INVESTOR NAME],MATCH(I7550,INVESTOR_LIST[INVESTOR CODE],0),)," ")</f>
        <v xml:space="preserve"> </v>
      </c>
      <c r="I7550" s="145"/>
      <c r="J7550" s="163" t="s">
        <v>79</v>
      </c>
      <c r="K7550" s="219"/>
      <c r="L7550" s="219">
        <v>16443.05</v>
      </c>
    </row>
    <row r="7551" spans="1:13" ht="22.5" x14ac:dyDescent="0.2">
      <c r="A7551" s="168">
        <v>2022</v>
      </c>
      <c r="B7551" s="168">
        <v>10</v>
      </c>
      <c r="C7551" s="168">
        <v>25</v>
      </c>
      <c r="D7551" s="141">
        <f t="shared" si="652"/>
        <v>44859</v>
      </c>
      <c r="E7551" s="275">
        <f t="shared" si="653"/>
        <v>44859</v>
      </c>
      <c r="F7551" s="479" t="s">
        <v>964</v>
      </c>
      <c r="G7551" s="220" t="s">
        <v>74</v>
      </c>
      <c r="H7551" s="142" t="str" cm="1">
        <f t="array" ref="H7551">IFERROR(INDEX(INVESTOR_LIST[INVESTOR NAME],MATCH(I7551,INVESTOR_LIST[INVESTOR CODE],0),)," ")</f>
        <v>SHUVA SAHA</v>
      </c>
      <c r="I7551" s="142" t="s">
        <v>421</v>
      </c>
      <c r="J7551" s="168" t="s">
        <v>52</v>
      </c>
      <c r="K7551" s="226">
        <v>800000</v>
      </c>
      <c r="L7551" s="226"/>
    </row>
    <row r="7552" spans="1:13" ht="22.5" x14ac:dyDescent="0.2">
      <c r="A7552" s="133">
        <v>2022</v>
      </c>
      <c r="B7552" s="133">
        <v>10</v>
      </c>
      <c r="C7552" s="133">
        <v>25</v>
      </c>
      <c r="D7552" s="141">
        <f t="shared" si="652"/>
        <v>44859</v>
      </c>
      <c r="E7552" s="275">
        <f t="shared" si="653"/>
        <v>44859</v>
      </c>
      <c r="F7552" s="481"/>
      <c r="G7552" s="174" t="s">
        <v>74</v>
      </c>
      <c r="H7552" s="148" t="str" cm="1">
        <f t="array" ref="H7552">IFERROR(INDEX(INVESTOR_LIST[INVESTOR NAME],MATCH(I7552,INVESTOR_LIST[INVESTOR CODE],0),)," ")</f>
        <v>SHUVA SAHA</v>
      </c>
      <c r="I7552" s="148" t="s">
        <v>421</v>
      </c>
      <c r="J7552" s="133" t="s">
        <v>13</v>
      </c>
      <c r="K7552" s="218"/>
      <c r="L7552" s="218">
        <v>673400</v>
      </c>
    </row>
    <row r="7553" spans="1:12" ht="22.5" x14ac:dyDescent="0.2">
      <c r="A7553" s="163">
        <v>2022</v>
      </c>
      <c r="B7553" s="163">
        <v>10</v>
      </c>
      <c r="C7553" s="163">
        <v>25</v>
      </c>
      <c r="D7553" s="280">
        <f t="shared" si="652"/>
        <v>44859</v>
      </c>
      <c r="E7553" s="281">
        <f t="shared" si="653"/>
        <v>44859</v>
      </c>
      <c r="F7553" s="480"/>
      <c r="G7553" s="221" t="s">
        <v>74</v>
      </c>
      <c r="H7553" s="145" t="str" cm="1">
        <f t="array" ref="H7553">IFERROR(INDEX(INVESTOR_LIST[INVESTOR NAME],MATCH(I7553,INVESTOR_LIST[INVESTOR CODE],0),)," ")</f>
        <v>SHUVA SAHA</v>
      </c>
      <c r="I7553" s="145" t="s">
        <v>421</v>
      </c>
      <c r="J7553" s="163" t="s">
        <v>53</v>
      </c>
      <c r="K7553" s="219"/>
      <c r="L7553" s="219">
        <v>126600</v>
      </c>
    </row>
    <row r="7554" spans="1:12" ht="45" x14ac:dyDescent="0.2">
      <c r="A7554" s="168">
        <v>2022</v>
      </c>
      <c r="B7554" s="168">
        <v>10</v>
      </c>
      <c r="C7554" s="168">
        <v>25</v>
      </c>
      <c r="D7554" s="141">
        <f t="shared" ref="D7554:D7556" si="654">DATE(A7554,B7554,C7554)</f>
        <v>44859</v>
      </c>
      <c r="E7554" s="275">
        <f t="shared" ref="E7554:E7556" si="655">DATE(A7554,B7554,C7554)</f>
        <v>44859</v>
      </c>
      <c r="F7554" s="479" t="s">
        <v>964</v>
      </c>
      <c r="G7554" s="220" t="s">
        <v>74</v>
      </c>
      <c r="H7554" s="142" t="str" cm="1">
        <f t="array" ref="H7554">IFERROR(INDEX(INVESTOR_LIST[INVESTOR NAME],MATCH(I7554,INVESTOR_LIST[INVESTOR CODE],0),)," ")</f>
        <v>KHAN MUHAMMAD FAISOL</v>
      </c>
      <c r="I7554" s="142" t="s">
        <v>1521</v>
      </c>
      <c r="J7554" s="168" t="s">
        <v>52</v>
      </c>
      <c r="K7554" s="226">
        <v>3801600</v>
      </c>
      <c r="L7554" s="226"/>
    </row>
    <row r="7555" spans="1:12" ht="45" x14ac:dyDescent="0.2">
      <c r="A7555" s="133">
        <v>2022</v>
      </c>
      <c r="B7555" s="133">
        <v>10</v>
      </c>
      <c r="C7555" s="133">
        <v>25</v>
      </c>
      <c r="D7555" s="141">
        <f t="shared" si="654"/>
        <v>44859</v>
      </c>
      <c r="E7555" s="275">
        <f t="shared" si="655"/>
        <v>44859</v>
      </c>
      <c r="F7555" s="481"/>
      <c r="G7555" s="174" t="s">
        <v>74</v>
      </c>
      <c r="H7555" s="148" t="str" cm="1">
        <f t="array" ref="H7555">IFERROR(INDEX(INVESTOR_LIST[INVESTOR NAME],MATCH(I7555,INVESTOR_LIST[INVESTOR CODE],0),)," ")</f>
        <v>KHAN MUHAMMAD FAISOL</v>
      </c>
      <c r="I7555" s="148" t="s">
        <v>1521</v>
      </c>
      <c r="J7555" s="133" t="s">
        <v>13</v>
      </c>
      <c r="K7555" s="218"/>
      <c r="L7555" s="218">
        <v>3200000</v>
      </c>
    </row>
    <row r="7556" spans="1:12" ht="45" x14ac:dyDescent="0.2">
      <c r="A7556" s="163">
        <v>2022</v>
      </c>
      <c r="B7556" s="163">
        <v>10</v>
      </c>
      <c r="C7556" s="163">
        <v>25</v>
      </c>
      <c r="D7556" s="280">
        <f t="shared" si="654"/>
        <v>44859</v>
      </c>
      <c r="E7556" s="281">
        <f t="shared" si="655"/>
        <v>44859</v>
      </c>
      <c r="F7556" s="480"/>
      <c r="G7556" s="221" t="s">
        <v>74</v>
      </c>
      <c r="H7556" s="145" t="str" cm="1">
        <f t="array" ref="H7556">IFERROR(INDEX(INVESTOR_LIST[INVESTOR NAME],MATCH(I7556,INVESTOR_LIST[INVESTOR CODE],0),)," ")</f>
        <v>KHAN MUHAMMAD FAISOL</v>
      </c>
      <c r="I7556" s="145" t="s">
        <v>1521</v>
      </c>
      <c r="J7556" s="163" t="s">
        <v>53</v>
      </c>
      <c r="K7556" s="219"/>
      <c r="L7556" s="219">
        <v>601600</v>
      </c>
    </row>
    <row r="7557" spans="1:12" x14ac:dyDescent="0.2">
      <c r="A7557" s="168">
        <v>2022</v>
      </c>
      <c r="B7557" s="168">
        <v>10</v>
      </c>
      <c r="C7557" s="168">
        <v>25</v>
      </c>
      <c r="D7557" s="141">
        <f>DATE(A7557,B7557,C7557)</f>
        <v>44859</v>
      </c>
      <c r="E7557" s="275">
        <f>DATE(A7557,B7557,C7557)</f>
        <v>44859</v>
      </c>
      <c r="F7557" s="479" t="s">
        <v>1500</v>
      </c>
      <c r="G7557" s="220" t="s">
        <v>74</v>
      </c>
      <c r="H7557" s="220" t="str" cm="1">
        <f t="array" ref="H7557">IFERROR(INDEX(INVESTOR_LIST[INVESTOR NAME],MATCH(I7557,INVESTOR_LIST[INVESTOR CODE],0),)," ")</f>
        <v xml:space="preserve"> </v>
      </c>
      <c r="I7557" s="142"/>
      <c r="J7557" s="143" t="s">
        <v>52</v>
      </c>
      <c r="K7557" s="226">
        <v>6288660</v>
      </c>
      <c r="L7557" s="226"/>
    </row>
    <row r="7558" spans="1:12" x14ac:dyDescent="0.2">
      <c r="A7558" s="163">
        <v>2022</v>
      </c>
      <c r="B7558" s="163">
        <v>10</v>
      </c>
      <c r="C7558" s="163">
        <v>25</v>
      </c>
      <c r="D7558" s="141">
        <f>DATE(A7558,B7558,C7558)</f>
        <v>44859</v>
      </c>
      <c r="E7558" s="275">
        <f>DATE(A7558,B7558,C7558)</f>
        <v>44859</v>
      </c>
      <c r="F7558" s="480"/>
      <c r="G7558" s="221" t="s">
        <v>74</v>
      </c>
      <c r="H7558" s="221" t="str" cm="1">
        <f t="array" ref="H7558">IFERROR(INDEX(INVESTOR_LIST[INVESTOR NAME],MATCH(I7558,INVESTOR_LIST[INVESTOR CODE],0),)," ")</f>
        <v xml:space="preserve"> </v>
      </c>
      <c r="I7558" s="145" t="s">
        <v>348</v>
      </c>
      <c r="J7558" s="146" t="s">
        <v>190</v>
      </c>
      <c r="K7558" s="219"/>
      <c r="L7558" s="219">
        <v>6288660</v>
      </c>
    </row>
    <row r="7559" spans="1:12" ht="22.5" x14ac:dyDescent="0.2">
      <c r="A7559" s="168">
        <v>2022</v>
      </c>
      <c r="B7559" s="168">
        <v>10</v>
      </c>
      <c r="C7559" s="168">
        <v>26</v>
      </c>
      <c r="D7559" s="141">
        <f t="shared" ref="D7559:D7564" si="656">DATE(A7559,B7559,C7559)</f>
        <v>44860</v>
      </c>
      <c r="E7559" s="275">
        <f t="shared" ref="E7559:E7564" si="657">DATE(A7559,B7559,C7559)</f>
        <v>44860</v>
      </c>
      <c r="F7559" s="479" t="s">
        <v>964</v>
      </c>
      <c r="G7559" s="220" t="s">
        <v>74</v>
      </c>
      <c r="H7559" s="142" t="str" cm="1">
        <f t="array" ref="H7559">IFERROR(INDEX(INVESTOR_LIST[INVESTOR NAME],MATCH(I7559,INVESTOR_LIST[INVESTOR CODE],0),)," ")</f>
        <v>SHUVA SAHA</v>
      </c>
      <c r="I7559" s="142" t="s">
        <v>421</v>
      </c>
      <c r="J7559" s="168" t="s">
        <v>52</v>
      </c>
      <c r="K7559" s="226">
        <v>100000</v>
      </c>
      <c r="L7559" s="226"/>
    </row>
    <row r="7560" spans="1:12" ht="22.5" x14ac:dyDescent="0.2">
      <c r="A7560" s="133">
        <v>2022</v>
      </c>
      <c r="B7560" s="133">
        <v>10</v>
      </c>
      <c r="C7560" s="133">
        <v>26</v>
      </c>
      <c r="D7560" s="141">
        <f t="shared" si="656"/>
        <v>44860</v>
      </c>
      <c r="E7560" s="275">
        <f t="shared" si="657"/>
        <v>44860</v>
      </c>
      <c r="F7560" s="481"/>
      <c r="G7560" s="174" t="s">
        <v>74</v>
      </c>
      <c r="H7560" s="148" t="str" cm="1">
        <f t="array" ref="H7560">IFERROR(INDEX(INVESTOR_LIST[INVESTOR NAME],MATCH(I7560,INVESTOR_LIST[INVESTOR CODE],0),)," ")</f>
        <v>SHUVA SAHA</v>
      </c>
      <c r="I7560" s="148" t="s">
        <v>421</v>
      </c>
      <c r="J7560" s="133" t="s">
        <v>13</v>
      </c>
      <c r="K7560" s="218"/>
      <c r="L7560" s="218">
        <v>84180</v>
      </c>
    </row>
    <row r="7561" spans="1:12" ht="22.5" x14ac:dyDescent="0.2">
      <c r="A7561" s="163">
        <v>2022</v>
      </c>
      <c r="B7561" s="163">
        <v>10</v>
      </c>
      <c r="C7561" s="163">
        <v>26</v>
      </c>
      <c r="D7561" s="280">
        <f t="shared" si="656"/>
        <v>44860</v>
      </c>
      <c r="E7561" s="281">
        <f t="shared" si="657"/>
        <v>44860</v>
      </c>
      <c r="F7561" s="480"/>
      <c r="G7561" s="221" t="s">
        <v>74</v>
      </c>
      <c r="H7561" s="145" t="str" cm="1">
        <f t="array" ref="H7561">IFERROR(INDEX(INVESTOR_LIST[INVESTOR NAME],MATCH(I7561,INVESTOR_LIST[INVESTOR CODE],0),)," ")</f>
        <v>SHUVA SAHA</v>
      </c>
      <c r="I7561" s="145" t="s">
        <v>421</v>
      </c>
      <c r="J7561" s="163" t="s">
        <v>53</v>
      </c>
      <c r="K7561" s="219"/>
      <c r="L7561" s="219">
        <v>15820</v>
      </c>
    </row>
    <row r="7562" spans="1:12" ht="33.75" x14ac:dyDescent="0.2">
      <c r="A7562" s="168">
        <v>2022</v>
      </c>
      <c r="B7562" s="168">
        <v>10</v>
      </c>
      <c r="C7562" s="133">
        <v>26</v>
      </c>
      <c r="D7562" s="141">
        <f t="shared" si="656"/>
        <v>44860</v>
      </c>
      <c r="E7562" s="275">
        <f t="shared" si="657"/>
        <v>44860</v>
      </c>
      <c r="F7562" s="479" t="s">
        <v>1315</v>
      </c>
      <c r="G7562" s="220" t="s">
        <v>74</v>
      </c>
      <c r="H7562" s="142" t="str" cm="1">
        <f t="array" ref="H7562">IFERROR(INDEX(INVESTOR_LIST[INVESTOR NAME],MATCH(I7562,INVESTOR_LIST[INVESTOR CODE],0),)," ")</f>
        <v>RAJIB CHOWDHURY</v>
      </c>
      <c r="I7562" s="142" t="s">
        <v>619</v>
      </c>
      <c r="J7562" s="168" t="s">
        <v>13</v>
      </c>
      <c r="K7562" s="226">
        <v>168350</v>
      </c>
      <c r="L7562" s="226"/>
    </row>
    <row r="7563" spans="1:12" ht="33.75" x14ac:dyDescent="0.2">
      <c r="A7563" s="133">
        <v>2022</v>
      </c>
      <c r="B7563" s="133">
        <v>10</v>
      </c>
      <c r="C7563" s="133">
        <v>26</v>
      </c>
      <c r="D7563" s="141">
        <f t="shared" si="656"/>
        <v>44860</v>
      </c>
      <c r="E7563" s="275">
        <f t="shared" si="657"/>
        <v>44860</v>
      </c>
      <c r="F7563" s="481"/>
      <c r="G7563" s="174" t="s">
        <v>74</v>
      </c>
      <c r="H7563" s="148" t="str" cm="1">
        <f t="array" ref="H7563">IFERROR(INDEX(INVESTOR_LIST[INVESTOR NAME],MATCH(I7563,INVESTOR_LIST[INVESTOR CODE],0),)," ")</f>
        <v>RAJIB CHOWDHURY</v>
      </c>
      <c r="I7563" s="148" t="s">
        <v>619</v>
      </c>
      <c r="J7563" s="133" t="s">
        <v>53</v>
      </c>
      <c r="K7563" s="218">
        <v>31650</v>
      </c>
      <c r="L7563" s="218"/>
    </row>
    <row r="7564" spans="1:12" ht="33.75" x14ac:dyDescent="0.2">
      <c r="A7564" s="163">
        <v>2022</v>
      </c>
      <c r="B7564" s="163">
        <v>10</v>
      </c>
      <c r="C7564" s="163">
        <v>26</v>
      </c>
      <c r="D7564" s="280">
        <f t="shared" si="656"/>
        <v>44860</v>
      </c>
      <c r="E7564" s="281">
        <f t="shared" si="657"/>
        <v>44860</v>
      </c>
      <c r="F7564" s="480"/>
      <c r="G7564" s="221" t="s">
        <v>74</v>
      </c>
      <c r="H7564" s="145" t="str" cm="1">
        <f t="array" ref="H7564">IFERROR(INDEX(INVESTOR_LIST[INVESTOR NAME],MATCH(I7564,INVESTOR_LIST[INVESTOR CODE],0),)," ")</f>
        <v>RAJIB CHOWDHURY</v>
      </c>
      <c r="I7564" s="145" t="s">
        <v>619</v>
      </c>
      <c r="J7564" s="163" t="s">
        <v>52</v>
      </c>
      <c r="K7564" s="219"/>
      <c r="L7564" s="219">
        <v>200000</v>
      </c>
    </row>
    <row r="7565" spans="1:12" ht="33.75" x14ac:dyDescent="0.2">
      <c r="A7565" s="168">
        <v>2022</v>
      </c>
      <c r="B7565" s="168">
        <v>10</v>
      </c>
      <c r="C7565" s="168">
        <v>27</v>
      </c>
      <c r="D7565" s="141">
        <f t="shared" ref="D7565:D7577" si="658">DATE(A7565,B7565,C7565)</f>
        <v>44861</v>
      </c>
      <c r="E7565" s="275">
        <f t="shared" ref="E7565:E7577" si="659">DATE(A7565,B7565,C7565)</f>
        <v>44861</v>
      </c>
      <c r="F7565" s="479" t="s">
        <v>964</v>
      </c>
      <c r="G7565" s="220" t="s">
        <v>74</v>
      </c>
      <c r="H7565" s="142" t="str" cm="1">
        <f t="array" ref="H7565">IFERROR(INDEX(INVESTOR_LIST[INVESTOR NAME],MATCH(I7565,INVESTOR_LIST[INVESTOR CODE],0),)," ")</f>
        <v>NUSRAT JAHAN TISHA</v>
      </c>
      <c r="I7565" s="142" t="s">
        <v>1486</v>
      </c>
      <c r="J7565" s="168" t="s">
        <v>52</v>
      </c>
      <c r="K7565" s="226">
        <v>35000</v>
      </c>
      <c r="L7565" s="226"/>
    </row>
    <row r="7566" spans="1:12" ht="33.75" x14ac:dyDescent="0.2">
      <c r="A7566" s="133">
        <v>2022</v>
      </c>
      <c r="B7566" s="133">
        <v>10</v>
      </c>
      <c r="C7566" s="133">
        <v>27</v>
      </c>
      <c r="D7566" s="141">
        <f t="shared" si="658"/>
        <v>44861</v>
      </c>
      <c r="E7566" s="275">
        <f t="shared" si="659"/>
        <v>44861</v>
      </c>
      <c r="F7566" s="481"/>
      <c r="G7566" s="174" t="s">
        <v>74</v>
      </c>
      <c r="H7566" s="148" t="str" cm="1">
        <f t="array" ref="H7566">IFERROR(INDEX(INVESTOR_LIST[INVESTOR NAME],MATCH(I7566,INVESTOR_LIST[INVESTOR CODE],0),)," ")</f>
        <v>NUSRAT JAHAN TISHA</v>
      </c>
      <c r="I7566" s="148" t="s">
        <v>1486</v>
      </c>
      <c r="J7566" s="133" t="s">
        <v>13</v>
      </c>
      <c r="K7566" s="218"/>
      <c r="L7566" s="218">
        <v>29460</v>
      </c>
    </row>
    <row r="7567" spans="1:12" ht="33.75" x14ac:dyDescent="0.2">
      <c r="A7567" s="163">
        <v>2022</v>
      </c>
      <c r="B7567" s="163">
        <v>10</v>
      </c>
      <c r="C7567" s="163">
        <v>27</v>
      </c>
      <c r="D7567" s="280">
        <f t="shared" si="658"/>
        <v>44861</v>
      </c>
      <c r="E7567" s="281">
        <f t="shared" si="659"/>
        <v>44861</v>
      </c>
      <c r="F7567" s="480"/>
      <c r="G7567" s="221" t="s">
        <v>74</v>
      </c>
      <c r="H7567" s="145" t="str" cm="1">
        <f t="array" ref="H7567">IFERROR(INDEX(INVESTOR_LIST[INVESTOR NAME],MATCH(I7567,INVESTOR_LIST[INVESTOR CODE],0),)," ")</f>
        <v>NUSRAT JAHAN TISHA</v>
      </c>
      <c r="I7567" s="145" t="s">
        <v>1486</v>
      </c>
      <c r="J7567" s="163" t="s">
        <v>53</v>
      </c>
      <c r="K7567" s="219"/>
      <c r="L7567" s="219">
        <v>5540</v>
      </c>
    </row>
    <row r="7568" spans="1:12" ht="33.75" x14ac:dyDescent="0.2">
      <c r="A7568" s="168">
        <v>2022</v>
      </c>
      <c r="B7568" s="168">
        <v>10</v>
      </c>
      <c r="C7568" s="168">
        <v>27</v>
      </c>
      <c r="D7568" s="141">
        <f t="shared" ref="D7568:D7570" si="660">DATE(A7568,B7568,C7568)</f>
        <v>44861</v>
      </c>
      <c r="E7568" s="275">
        <f t="shared" ref="E7568:E7570" si="661">DATE(A7568,B7568,C7568)</f>
        <v>44861</v>
      </c>
      <c r="F7568" s="479" t="s">
        <v>964</v>
      </c>
      <c r="G7568" s="220" t="s">
        <v>74</v>
      </c>
      <c r="H7568" s="142" t="str" cm="1">
        <f t="array" ref="H7568">IFERROR(INDEX(INVESTOR_LIST[INVESTOR NAME],MATCH(I7568,INVESTOR_LIST[INVESTOR CODE],0),)," ")</f>
        <v>ASHIT BARAN SAHA</v>
      </c>
      <c r="I7568" s="142" t="s">
        <v>442</v>
      </c>
      <c r="J7568" s="168" t="s">
        <v>52</v>
      </c>
      <c r="K7568" s="226">
        <v>2000000</v>
      </c>
      <c r="L7568" s="226"/>
    </row>
    <row r="7569" spans="1:12" ht="33.75" x14ac:dyDescent="0.2">
      <c r="A7569" s="133">
        <v>2022</v>
      </c>
      <c r="B7569" s="133">
        <v>10</v>
      </c>
      <c r="C7569" s="133">
        <v>27</v>
      </c>
      <c r="D7569" s="141">
        <f t="shared" si="660"/>
        <v>44861</v>
      </c>
      <c r="E7569" s="275">
        <f t="shared" si="661"/>
        <v>44861</v>
      </c>
      <c r="F7569" s="481"/>
      <c r="G7569" s="174" t="s">
        <v>74</v>
      </c>
      <c r="H7569" s="148" t="str" cm="1">
        <f t="array" ref="H7569">IFERROR(INDEX(INVESTOR_LIST[INVESTOR NAME],MATCH(I7569,INVESTOR_LIST[INVESTOR CODE],0),)," ")</f>
        <v>ASHIT BARAN SAHA</v>
      </c>
      <c r="I7569" s="148" t="s">
        <v>442</v>
      </c>
      <c r="J7569" s="133" t="s">
        <v>13</v>
      </c>
      <c r="K7569" s="218"/>
      <c r="L7569" s="218">
        <v>1683500</v>
      </c>
    </row>
    <row r="7570" spans="1:12" ht="33.75" x14ac:dyDescent="0.2">
      <c r="A7570" s="163">
        <v>2022</v>
      </c>
      <c r="B7570" s="163">
        <v>10</v>
      </c>
      <c r="C7570" s="163">
        <v>27</v>
      </c>
      <c r="D7570" s="280">
        <f t="shared" si="660"/>
        <v>44861</v>
      </c>
      <c r="E7570" s="281">
        <f t="shared" si="661"/>
        <v>44861</v>
      </c>
      <c r="F7570" s="480"/>
      <c r="G7570" s="221" t="s">
        <v>74</v>
      </c>
      <c r="H7570" s="145" t="str" cm="1">
        <f t="array" ref="H7570">IFERROR(INDEX(INVESTOR_LIST[INVESTOR NAME],MATCH(I7570,INVESTOR_LIST[INVESTOR CODE],0),)," ")</f>
        <v>ASHIT BARAN SAHA</v>
      </c>
      <c r="I7570" s="145" t="s">
        <v>442</v>
      </c>
      <c r="J7570" s="163" t="s">
        <v>53</v>
      </c>
      <c r="K7570" s="219"/>
      <c r="L7570" s="219">
        <v>316500</v>
      </c>
    </row>
    <row r="7571" spans="1:12" x14ac:dyDescent="0.2">
      <c r="A7571" s="168">
        <v>2022</v>
      </c>
      <c r="B7571" s="168">
        <v>10</v>
      </c>
      <c r="C7571" s="168">
        <v>27</v>
      </c>
      <c r="D7571" s="141">
        <f t="shared" si="658"/>
        <v>44861</v>
      </c>
      <c r="E7571" s="275">
        <f t="shared" si="659"/>
        <v>44861</v>
      </c>
      <c r="F7571" s="479" t="s">
        <v>1319</v>
      </c>
      <c r="G7571" s="220" t="s">
        <v>74</v>
      </c>
      <c r="H7571" s="142" t="str" cm="1">
        <f t="array" ref="H7571">IFERROR(INDEX(INVESTOR_LIST[INVESTOR NAME],MATCH(I7571,INVESTOR_LIST[INVESTOR CODE],0),)," ")</f>
        <v xml:space="preserve"> </v>
      </c>
      <c r="I7571" s="142"/>
      <c r="J7571" s="168" t="s">
        <v>52</v>
      </c>
      <c r="K7571" s="226">
        <v>470000</v>
      </c>
      <c r="L7571" s="226"/>
    </row>
    <row r="7572" spans="1:12" x14ac:dyDescent="0.2">
      <c r="A7572" s="133">
        <v>2022</v>
      </c>
      <c r="B7572" s="133">
        <v>10</v>
      </c>
      <c r="C7572" s="133">
        <v>27</v>
      </c>
      <c r="D7572" s="141">
        <f t="shared" si="658"/>
        <v>44861</v>
      </c>
      <c r="E7572" s="275">
        <f t="shared" si="659"/>
        <v>44861</v>
      </c>
      <c r="F7572" s="481"/>
      <c r="G7572" s="174" t="s">
        <v>74</v>
      </c>
      <c r="H7572" s="148" t="str" cm="1">
        <f t="array" ref="H7572">IFERROR(INDEX(INVESTOR_LIST[INVESTOR NAME],MATCH(I7572,INVESTOR_LIST[INVESTOR CODE],0),)," ")</f>
        <v xml:space="preserve"> </v>
      </c>
      <c r="J7572" s="133" t="s">
        <v>13</v>
      </c>
      <c r="K7572" s="218"/>
      <c r="L7572" s="218">
        <v>395660</v>
      </c>
    </row>
    <row r="7573" spans="1:12" x14ac:dyDescent="0.2">
      <c r="A7573" s="163">
        <v>2022</v>
      </c>
      <c r="B7573" s="163">
        <v>10</v>
      </c>
      <c r="C7573" s="163">
        <v>27</v>
      </c>
      <c r="D7573" s="280">
        <f t="shared" si="658"/>
        <v>44861</v>
      </c>
      <c r="E7573" s="281">
        <f t="shared" si="659"/>
        <v>44861</v>
      </c>
      <c r="F7573" s="480"/>
      <c r="G7573" s="221" t="s">
        <v>74</v>
      </c>
      <c r="H7573" s="145" t="str" cm="1">
        <f t="array" ref="H7573">IFERROR(INDEX(INVESTOR_LIST[INVESTOR NAME],MATCH(I7573,INVESTOR_LIST[INVESTOR CODE],0),)," ")</f>
        <v xml:space="preserve"> </v>
      </c>
      <c r="I7573" s="145"/>
      <c r="J7573" s="163" t="s">
        <v>53</v>
      </c>
      <c r="K7573" s="219"/>
      <c r="L7573" s="219">
        <v>74340</v>
      </c>
    </row>
    <row r="7574" spans="1:12" x14ac:dyDescent="0.2">
      <c r="A7574" s="324">
        <v>2022</v>
      </c>
      <c r="B7574" s="324">
        <v>10</v>
      </c>
      <c r="C7574" s="325">
        <v>27</v>
      </c>
      <c r="D7574" s="326">
        <f t="shared" si="658"/>
        <v>44861</v>
      </c>
      <c r="E7574" s="327">
        <f t="shared" si="659"/>
        <v>44861</v>
      </c>
      <c r="F7574" s="473" t="s">
        <v>1489</v>
      </c>
      <c r="G7574" s="328" t="s">
        <v>94</v>
      </c>
      <c r="H7574" s="329" t="str" cm="1">
        <f t="array" ref="H7574">IFERROR(INDEX(INVESTOR_LIST[INVESTOR NAME],MATCH(I7574,INVESTOR_LIST[INVESTOR CODE],0),)," ")</f>
        <v xml:space="preserve"> </v>
      </c>
      <c r="I7574" s="329" t="s">
        <v>348</v>
      </c>
      <c r="J7574" s="324" t="s">
        <v>133</v>
      </c>
      <c r="K7574" s="330">
        <v>3424.28</v>
      </c>
      <c r="L7574" s="330"/>
    </row>
    <row r="7575" spans="1:12" x14ac:dyDescent="0.2">
      <c r="A7575" s="331">
        <v>2022</v>
      </c>
      <c r="B7575" s="331">
        <v>10</v>
      </c>
      <c r="C7575" s="331">
        <v>27</v>
      </c>
      <c r="D7575" s="326">
        <f t="shared" si="658"/>
        <v>44861</v>
      </c>
      <c r="E7575" s="327">
        <f t="shared" si="659"/>
        <v>44861</v>
      </c>
      <c r="F7575" s="474"/>
      <c r="G7575" s="332" t="s">
        <v>94</v>
      </c>
      <c r="H7575" s="333" t="str" cm="1">
        <f t="array" ref="H7575">IFERROR(INDEX(INVESTOR_LIST[INVESTOR NAME],MATCH(I7575,INVESTOR_LIST[INVESTOR CODE],0),)," ")</f>
        <v xml:space="preserve"> </v>
      </c>
      <c r="I7575" s="333" t="s">
        <v>348</v>
      </c>
      <c r="J7575" s="331" t="s">
        <v>152</v>
      </c>
      <c r="K7575" s="334"/>
      <c r="L7575" s="334">
        <v>3424.28</v>
      </c>
    </row>
    <row r="7576" spans="1:12" x14ac:dyDescent="0.2">
      <c r="A7576" s="324">
        <v>2022</v>
      </c>
      <c r="B7576" s="324">
        <v>10</v>
      </c>
      <c r="C7576" s="325">
        <v>27</v>
      </c>
      <c r="D7576" s="326">
        <f t="shared" si="658"/>
        <v>44861</v>
      </c>
      <c r="E7576" s="327">
        <f t="shared" si="659"/>
        <v>44861</v>
      </c>
      <c r="F7576" s="473" t="s">
        <v>1491</v>
      </c>
      <c r="G7576" s="328" t="s">
        <v>94</v>
      </c>
      <c r="H7576" s="329" t="str" cm="1">
        <f t="array" ref="H7576">IFERROR(INDEX(INVESTOR_LIST[INVESTOR NAME],MATCH(I7576,INVESTOR_LIST[INVESTOR CODE],0),)," ")</f>
        <v xml:space="preserve"> </v>
      </c>
      <c r="I7576" s="329" t="s">
        <v>348</v>
      </c>
      <c r="J7576" s="324" t="s">
        <v>133</v>
      </c>
      <c r="K7576" s="330">
        <v>10838.39</v>
      </c>
      <c r="L7576" s="330"/>
    </row>
    <row r="7577" spans="1:12" x14ac:dyDescent="0.2">
      <c r="A7577" s="331">
        <v>2022</v>
      </c>
      <c r="B7577" s="331">
        <v>10</v>
      </c>
      <c r="C7577" s="331">
        <v>27</v>
      </c>
      <c r="D7577" s="326">
        <f t="shared" si="658"/>
        <v>44861</v>
      </c>
      <c r="E7577" s="327">
        <f t="shared" si="659"/>
        <v>44861</v>
      </c>
      <c r="F7577" s="474"/>
      <c r="G7577" s="332" t="s">
        <v>94</v>
      </c>
      <c r="H7577" s="333" t="str" cm="1">
        <f t="array" ref="H7577">IFERROR(INDEX(INVESTOR_LIST[INVESTOR NAME],MATCH(I7577,INVESTOR_LIST[INVESTOR CODE],0),)," ")</f>
        <v xml:space="preserve"> </v>
      </c>
      <c r="I7577" s="333" t="s">
        <v>348</v>
      </c>
      <c r="J7577" s="331" t="s">
        <v>152</v>
      </c>
      <c r="K7577" s="334"/>
      <c r="L7577" s="334">
        <v>10838.39</v>
      </c>
    </row>
    <row r="7578" spans="1:12" x14ac:dyDescent="0.2">
      <c r="A7578" s="324">
        <v>2022</v>
      </c>
      <c r="B7578" s="324">
        <v>10</v>
      </c>
      <c r="C7578" s="325">
        <v>27</v>
      </c>
      <c r="D7578" s="326">
        <f>DATE(A7578,B7578,C7578)</f>
        <v>44861</v>
      </c>
      <c r="E7578" s="327">
        <f>DATE(A7578,B7578,C7578)</f>
        <v>44861</v>
      </c>
      <c r="F7578" s="473" t="s">
        <v>1490</v>
      </c>
      <c r="G7578" s="328" t="s">
        <v>94</v>
      </c>
      <c r="H7578" s="329" t="str" cm="1">
        <f t="array" ref="H7578">IFERROR(INDEX(INVESTOR_LIST[INVESTOR NAME],MATCH(I7578,INVESTOR_LIST[INVESTOR CODE],0),)," ")</f>
        <v xml:space="preserve"> </v>
      </c>
      <c r="I7578" s="329" t="s">
        <v>348</v>
      </c>
      <c r="J7578" s="324" t="s">
        <v>133</v>
      </c>
      <c r="K7578" s="330">
        <v>13681.97</v>
      </c>
      <c r="L7578" s="330"/>
    </row>
    <row r="7579" spans="1:12" x14ac:dyDescent="0.2">
      <c r="A7579" s="331">
        <v>2022</v>
      </c>
      <c r="B7579" s="331">
        <v>10</v>
      </c>
      <c r="C7579" s="331">
        <v>27</v>
      </c>
      <c r="D7579" s="326">
        <f>DATE(A7579,B7579,C7579)</f>
        <v>44861</v>
      </c>
      <c r="E7579" s="327">
        <f>DATE(A7579,B7579,C7579)</f>
        <v>44861</v>
      </c>
      <c r="F7579" s="474"/>
      <c r="G7579" s="332" t="s">
        <v>94</v>
      </c>
      <c r="H7579" s="333" t="str" cm="1">
        <f t="array" ref="H7579">IFERROR(INDEX(INVESTOR_LIST[INVESTOR NAME],MATCH(I7579,INVESTOR_LIST[INVESTOR CODE],0),)," ")</f>
        <v xml:space="preserve"> </v>
      </c>
      <c r="I7579" s="333" t="s">
        <v>348</v>
      </c>
      <c r="J7579" s="331" t="s">
        <v>152</v>
      </c>
      <c r="K7579" s="334"/>
      <c r="L7579" s="334">
        <v>13681.97</v>
      </c>
    </row>
    <row r="7580" spans="1:12" x14ac:dyDescent="0.2">
      <c r="A7580" s="238">
        <v>2022</v>
      </c>
      <c r="B7580" s="238">
        <v>10</v>
      </c>
      <c r="C7580" s="238">
        <v>27</v>
      </c>
      <c r="D7580" s="270">
        <f t="shared" ref="D7580:D7587" si="662">DATE(A7580,B7580,C7580)</f>
        <v>44861</v>
      </c>
      <c r="E7580" s="279">
        <f t="shared" ref="E7580:E7587" si="663">DATE(A7580,B7580,C7580)</f>
        <v>44861</v>
      </c>
      <c r="F7580" s="477" t="s">
        <v>347</v>
      </c>
      <c r="G7580" s="239" t="s">
        <v>94</v>
      </c>
      <c r="H7580" s="239" t="str" cm="1">
        <f t="array" ref="H7580">IFERROR(INDEX(INVESTOR_LIST[INVESTOR NAME],MATCH(I7580,INVESTOR_LIST[INVESTOR CODE],0),)," ")</f>
        <v xml:space="preserve"> </v>
      </c>
      <c r="I7580" s="262" t="s">
        <v>348</v>
      </c>
      <c r="J7580" s="240" t="s">
        <v>108</v>
      </c>
      <c r="K7580" s="241">
        <v>2120199.5299999714</v>
      </c>
      <c r="L7580" s="241"/>
    </row>
    <row r="7581" spans="1:12" x14ac:dyDescent="0.2">
      <c r="A7581" s="242">
        <v>2022</v>
      </c>
      <c r="B7581" s="242">
        <v>10</v>
      </c>
      <c r="C7581" s="242">
        <v>27</v>
      </c>
      <c r="D7581" s="270">
        <f t="shared" si="662"/>
        <v>44861</v>
      </c>
      <c r="E7581" s="279">
        <f t="shared" si="663"/>
        <v>44861</v>
      </c>
      <c r="F7581" s="478"/>
      <c r="G7581" s="243" t="s">
        <v>94</v>
      </c>
      <c r="H7581" s="243" t="str" cm="1">
        <f t="array" ref="H7581">IFERROR(INDEX(INVESTOR_LIST[INVESTOR NAME],MATCH(I7581,INVESTOR_LIST[INVESTOR CODE],0),)," ")</f>
        <v xml:space="preserve"> </v>
      </c>
      <c r="I7581" s="263" t="s">
        <v>348</v>
      </c>
      <c r="J7581" s="244" t="s">
        <v>82</v>
      </c>
      <c r="K7581" s="245"/>
      <c r="L7581" s="245">
        <v>2120199.5299999714</v>
      </c>
    </row>
    <row r="7582" spans="1:12" ht="22.5" x14ac:dyDescent="0.2">
      <c r="A7582" s="246">
        <v>2022</v>
      </c>
      <c r="B7582" s="238">
        <v>10</v>
      </c>
      <c r="C7582" s="238">
        <v>27</v>
      </c>
      <c r="D7582" s="270">
        <f t="shared" si="662"/>
        <v>44861</v>
      </c>
      <c r="E7582" s="279">
        <f t="shared" si="663"/>
        <v>44861</v>
      </c>
      <c r="F7582" s="482" t="s">
        <v>148</v>
      </c>
      <c r="G7582" s="247" t="s">
        <v>94</v>
      </c>
      <c r="H7582" s="247" t="str" cm="1">
        <f t="array" ref="H7582">IFERROR(INDEX(INVESTOR_LIST[INVESTOR NAME],MATCH(I7582,INVESTOR_LIST[INVESTOR CODE],0),)," ")</f>
        <v xml:space="preserve"> </v>
      </c>
      <c r="I7582" s="248" t="s">
        <v>348</v>
      </c>
      <c r="J7582" s="249" t="s">
        <v>95</v>
      </c>
      <c r="K7582" s="250">
        <v>2747.2527472527472</v>
      </c>
      <c r="L7582" s="241"/>
    </row>
    <row r="7583" spans="1:12" x14ac:dyDescent="0.2">
      <c r="A7583" s="242">
        <v>2022</v>
      </c>
      <c r="B7583" s="242">
        <v>10</v>
      </c>
      <c r="C7583" s="242">
        <v>27</v>
      </c>
      <c r="D7583" s="270">
        <f t="shared" si="662"/>
        <v>44861</v>
      </c>
      <c r="E7583" s="279">
        <f t="shared" si="663"/>
        <v>44861</v>
      </c>
      <c r="F7583" s="478"/>
      <c r="G7583" s="243" t="s">
        <v>94</v>
      </c>
      <c r="H7583" s="243" t="str" cm="1">
        <f t="array" ref="H7583">IFERROR(INDEX(INVESTOR_LIST[INVESTOR NAME],MATCH(I7583,INVESTOR_LIST[INVESTOR CODE],0),)," ")</f>
        <v xml:space="preserve"> </v>
      </c>
      <c r="I7583" s="263" t="s">
        <v>348</v>
      </c>
      <c r="J7583" s="244" t="s">
        <v>63</v>
      </c>
      <c r="K7583" s="245"/>
      <c r="L7583" s="245">
        <v>2747.2527472527472</v>
      </c>
    </row>
    <row r="7584" spans="1:12" x14ac:dyDescent="0.2">
      <c r="A7584" s="246">
        <v>2022</v>
      </c>
      <c r="B7584" s="238">
        <v>10</v>
      </c>
      <c r="C7584" s="238">
        <v>27</v>
      </c>
      <c r="D7584" s="270">
        <f t="shared" si="662"/>
        <v>44861</v>
      </c>
      <c r="E7584" s="279">
        <f t="shared" si="663"/>
        <v>44861</v>
      </c>
      <c r="F7584" s="482" t="s">
        <v>137</v>
      </c>
      <c r="G7584" s="247" t="s">
        <v>94</v>
      </c>
      <c r="H7584" s="247" t="str" cm="1">
        <f t="array" ref="H7584">IFERROR(INDEX(INVESTOR_LIST[INVESTOR NAME],MATCH(I7584,INVESTOR_LIST[INVESTOR CODE],0),)," ")</f>
        <v xml:space="preserve"> </v>
      </c>
      <c r="I7584" s="248" t="s">
        <v>348</v>
      </c>
      <c r="J7584" s="249" t="s">
        <v>97</v>
      </c>
      <c r="K7584" s="250">
        <v>78698.415150075933</v>
      </c>
      <c r="L7584" s="252"/>
    </row>
    <row r="7585" spans="1:13" x14ac:dyDescent="0.2">
      <c r="A7585" s="242">
        <v>2022</v>
      </c>
      <c r="B7585" s="242">
        <v>10</v>
      </c>
      <c r="C7585" s="242">
        <v>27</v>
      </c>
      <c r="D7585" s="270">
        <f t="shared" si="662"/>
        <v>44861</v>
      </c>
      <c r="E7585" s="279">
        <f t="shared" si="663"/>
        <v>44861</v>
      </c>
      <c r="F7585" s="478"/>
      <c r="G7585" s="243" t="s">
        <v>94</v>
      </c>
      <c r="H7585" s="243" t="str" cm="1">
        <f t="array" ref="H7585">IFERROR(INDEX(INVESTOR_LIST[INVESTOR NAME],MATCH(I7585,INVESTOR_LIST[INVESTOR CODE],0),)," ")</f>
        <v xml:space="preserve"> </v>
      </c>
      <c r="I7585" s="263" t="s">
        <v>348</v>
      </c>
      <c r="J7585" s="244" t="s">
        <v>47</v>
      </c>
      <c r="K7585" s="245"/>
      <c r="L7585" s="245">
        <v>78698.415150075933</v>
      </c>
    </row>
    <row r="7586" spans="1:13" x14ac:dyDescent="0.2">
      <c r="A7586" s="246">
        <v>2022</v>
      </c>
      <c r="B7586" s="238">
        <v>10</v>
      </c>
      <c r="C7586" s="238">
        <v>27</v>
      </c>
      <c r="D7586" s="270">
        <f t="shared" si="662"/>
        <v>44861</v>
      </c>
      <c r="E7586" s="279">
        <f t="shared" si="663"/>
        <v>44861</v>
      </c>
      <c r="F7586" s="482" t="s">
        <v>138</v>
      </c>
      <c r="G7586" s="247" t="s">
        <v>94</v>
      </c>
      <c r="H7586" s="247" t="str" cm="1">
        <f t="array" ref="H7586">IFERROR(INDEX(INVESTOR_LIST[INVESTOR NAME],MATCH(I7586,INVESTOR_LIST[INVESTOR CODE],0),)," ")</f>
        <v xml:space="preserve"> </v>
      </c>
      <c r="I7586" s="248" t="s">
        <v>348</v>
      </c>
      <c r="J7586" s="249" t="s">
        <v>100</v>
      </c>
      <c r="K7586" s="250">
        <v>3694.5361421191815</v>
      </c>
      <c r="L7586" s="252"/>
    </row>
    <row r="7587" spans="1:13" x14ac:dyDescent="0.2">
      <c r="A7587" s="242">
        <v>2022</v>
      </c>
      <c r="B7587" s="242">
        <v>10</v>
      </c>
      <c r="C7587" s="242">
        <v>27</v>
      </c>
      <c r="D7587" s="321">
        <f t="shared" si="662"/>
        <v>44861</v>
      </c>
      <c r="E7587" s="322">
        <f t="shared" si="663"/>
        <v>44861</v>
      </c>
      <c r="F7587" s="478"/>
      <c r="G7587" s="243" t="s">
        <v>94</v>
      </c>
      <c r="H7587" s="243" t="str" cm="1">
        <f t="array" ref="H7587">IFERROR(INDEX(INVESTOR_LIST[INVESTOR NAME],MATCH(I7587,INVESTOR_LIST[INVESTOR CODE],0),)," ")</f>
        <v xml:space="preserve"> </v>
      </c>
      <c r="I7587" s="263" t="s">
        <v>348</v>
      </c>
      <c r="J7587" s="244" t="s">
        <v>48</v>
      </c>
      <c r="K7587" s="245"/>
      <c r="L7587" s="245">
        <v>3694.5361421191815</v>
      </c>
    </row>
    <row r="7588" spans="1:13" x14ac:dyDescent="0.2">
      <c r="A7588" s="168">
        <v>2022</v>
      </c>
      <c r="B7588" s="168">
        <v>10</v>
      </c>
      <c r="C7588" s="168">
        <v>30</v>
      </c>
      <c r="D7588" s="141">
        <f>DATE(A7588,B7588,C7588)</f>
        <v>44864</v>
      </c>
      <c r="E7588" s="275">
        <f>DATE(A7588,B7588,C7588)</f>
        <v>44864</v>
      </c>
      <c r="F7588" s="479" t="s">
        <v>1500</v>
      </c>
      <c r="G7588" s="220" t="s">
        <v>74</v>
      </c>
      <c r="H7588" s="220" t="str" cm="1">
        <f t="array" ref="H7588">IFERROR(INDEX(INVESTOR_LIST[INVESTOR NAME],MATCH(I7588,INVESTOR_LIST[INVESTOR CODE],0),)," ")</f>
        <v xml:space="preserve"> </v>
      </c>
      <c r="I7588" s="142"/>
      <c r="J7588" s="143" t="s">
        <v>52</v>
      </c>
      <c r="K7588" s="226">
        <v>18212</v>
      </c>
      <c r="L7588" s="226"/>
    </row>
    <row r="7589" spans="1:13" x14ac:dyDescent="0.2">
      <c r="A7589" s="163">
        <v>2022</v>
      </c>
      <c r="B7589" s="163">
        <v>10</v>
      </c>
      <c r="C7589" s="163">
        <v>30</v>
      </c>
      <c r="D7589" s="141">
        <f>DATE(A7589,B7589,C7589)</f>
        <v>44864</v>
      </c>
      <c r="E7589" s="275">
        <f>DATE(A7589,B7589,C7589)</f>
        <v>44864</v>
      </c>
      <c r="F7589" s="480"/>
      <c r="G7589" s="221" t="s">
        <v>74</v>
      </c>
      <c r="H7589" s="221" t="str" cm="1">
        <f t="array" ref="H7589">IFERROR(INDEX(INVESTOR_LIST[INVESTOR NAME],MATCH(I7589,INVESTOR_LIST[INVESTOR CODE],0),)," ")</f>
        <v xml:space="preserve"> </v>
      </c>
      <c r="I7589" s="145" t="s">
        <v>348</v>
      </c>
      <c r="J7589" s="146" t="s">
        <v>190</v>
      </c>
      <c r="K7589" s="219"/>
      <c r="L7589" s="219">
        <v>18212</v>
      </c>
    </row>
    <row r="7590" spans="1:13" x14ac:dyDescent="0.2">
      <c r="A7590" s="133">
        <v>2022</v>
      </c>
      <c r="B7590" s="133">
        <v>10</v>
      </c>
      <c r="C7590" s="133">
        <v>30</v>
      </c>
      <c r="D7590" s="141">
        <f t="shared" ref="D7590:D7596" si="664">DATE(A7590,B7590,C7590)</f>
        <v>44864</v>
      </c>
      <c r="E7590" s="275">
        <f t="shared" ref="E7590:E7596" si="665">DATE(A7590,B7590,C7590)</f>
        <v>44864</v>
      </c>
      <c r="F7590" s="481" t="s">
        <v>1499</v>
      </c>
      <c r="G7590" s="174" t="s">
        <v>94</v>
      </c>
      <c r="H7590" s="174" t="str" cm="1">
        <f t="array" ref="H7590">IFERROR(INDEX(INVESTOR_LIST[INVESTOR NAME],MATCH(I7590,INVESTOR_LIST[INVESTOR CODE],0),)," ")</f>
        <v xml:space="preserve"> </v>
      </c>
      <c r="J7590" s="149" t="s">
        <v>190</v>
      </c>
      <c r="K7590" s="218">
        <v>7314293.2300000004</v>
      </c>
      <c r="L7590" s="218"/>
      <c r="M7590" s="160"/>
    </row>
    <row r="7591" spans="1:13" x14ac:dyDescent="0.2">
      <c r="A7591" s="133">
        <v>2022</v>
      </c>
      <c r="B7591" s="133">
        <v>10</v>
      </c>
      <c r="C7591" s="133">
        <v>30</v>
      </c>
      <c r="D7591" s="141">
        <f t="shared" si="664"/>
        <v>44864</v>
      </c>
      <c r="E7591" s="275">
        <f t="shared" si="665"/>
        <v>44864</v>
      </c>
      <c r="F7591" s="481"/>
      <c r="G7591" s="174" t="s">
        <v>94</v>
      </c>
      <c r="H7591" s="174"/>
      <c r="J7591" s="149" t="s">
        <v>80</v>
      </c>
      <c r="K7591" s="218">
        <v>13189.47</v>
      </c>
      <c r="L7591" s="218"/>
    </row>
    <row r="7592" spans="1:13" x14ac:dyDescent="0.2">
      <c r="A7592" s="133">
        <v>2022</v>
      </c>
      <c r="B7592" s="133">
        <v>10</v>
      </c>
      <c r="C7592" s="133">
        <v>30</v>
      </c>
      <c r="D7592" s="141">
        <f t="shared" si="664"/>
        <v>44864</v>
      </c>
      <c r="E7592" s="275">
        <f t="shared" si="665"/>
        <v>44864</v>
      </c>
      <c r="F7592" s="481"/>
      <c r="G7592" s="174" t="s">
        <v>94</v>
      </c>
      <c r="H7592" s="174" t="str" cm="1">
        <f t="array" ref="H7592">IFERROR(INDEX(INVESTOR_LIST[INVESTOR NAME],MATCH(I7592,INVESTOR_LIST[INVESTOR CODE],0),)," ")</f>
        <v xml:space="preserve"> </v>
      </c>
      <c r="J7592" s="149" t="s">
        <v>191</v>
      </c>
      <c r="K7592" s="218"/>
      <c r="L7592" s="218">
        <v>4141682.7</v>
      </c>
    </row>
    <row r="7593" spans="1:13" x14ac:dyDescent="0.2">
      <c r="A7593" s="163">
        <v>2022</v>
      </c>
      <c r="B7593" s="163">
        <v>10</v>
      </c>
      <c r="C7593" s="163">
        <v>30</v>
      </c>
      <c r="D7593" s="280">
        <f t="shared" si="664"/>
        <v>44864</v>
      </c>
      <c r="E7593" s="281">
        <f t="shared" si="665"/>
        <v>44864</v>
      </c>
      <c r="F7593" s="480"/>
      <c r="G7593" s="221" t="s">
        <v>94</v>
      </c>
      <c r="H7593" s="145" t="str" cm="1">
        <f t="array" ref="H7593">IFERROR(INDEX(INVESTOR_LIST[INVESTOR NAME],MATCH(I7593,INVESTOR_LIST[INVESTOR CODE],0),)," ")</f>
        <v xml:space="preserve"> </v>
      </c>
      <c r="I7593" s="145"/>
      <c r="J7593" s="163" t="s">
        <v>79</v>
      </c>
      <c r="K7593" s="219"/>
      <c r="L7593" s="219">
        <v>3185800</v>
      </c>
    </row>
    <row r="7594" spans="1:13" ht="33.75" x14ac:dyDescent="0.2">
      <c r="A7594" s="168">
        <v>2022</v>
      </c>
      <c r="B7594" s="168">
        <v>11</v>
      </c>
      <c r="C7594" s="133">
        <v>1</v>
      </c>
      <c r="D7594" s="141">
        <f t="shared" si="664"/>
        <v>44866</v>
      </c>
      <c r="E7594" s="275">
        <f t="shared" si="665"/>
        <v>44866</v>
      </c>
      <c r="F7594" s="479" t="s">
        <v>1310</v>
      </c>
      <c r="G7594" s="220" t="s">
        <v>74</v>
      </c>
      <c r="H7594" s="142" t="str" cm="1">
        <f t="array" ref="H7594">IFERROR(INDEX(INVESTOR_LIST[INVESTOR NAME],MATCH(I7594,INVESTOR_LIST[INVESTOR CODE],0),)," ")</f>
        <v>MD MAHDI HASAN</v>
      </c>
      <c r="I7594" s="142" t="s">
        <v>630</v>
      </c>
      <c r="J7594" s="168" t="s">
        <v>13</v>
      </c>
      <c r="K7594" s="226">
        <v>116290</v>
      </c>
      <c r="L7594" s="226"/>
    </row>
    <row r="7595" spans="1:13" ht="33.75" x14ac:dyDescent="0.2">
      <c r="A7595" s="133">
        <v>2022</v>
      </c>
      <c r="B7595" s="133">
        <v>11</v>
      </c>
      <c r="C7595" s="133">
        <v>1</v>
      </c>
      <c r="D7595" s="141">
        <f t="shared" si="664"/>
        <v>44866</v>
      </c>
      <c r="E7595" s="275">
        <f t="shared" si="665"/>
        <v>44866</v>
      </c>
      <c r="F7595" s="481"/>
      <c r="G7595" s="174" t="s">
        <v>74</v>
      </c>
      <c r="H7595" s="148" t="str" cm="1">
        <f t="array" ref="H7595">IFERROR(INDEX(INVESTOR_LIST[INVESTOR NAME],MATCH(I7595,INVESTOR_LIST[INVESTOR CODE],0),)," ")</f>
        <v>MD MAHDI HASAN</v>
      </c>
      <c r="I7595" s="148" t="s">
        <v>630</v>
      </c>
      <c r="J7595" s="133" t="s">
        <v>53</v>
      </c>
      <c r="K7595" s="218">
        <v>22909.13</v>
      </c>
      <c r="L7595" s="218"/>
    </row>
    <row r="7596" spans="1:13" ht="33.75" x14ac:dyDescent="0.2">
      <c r="A7596" s="163">
        <v>2022</v>
      </c>
      <c r="B7596" s="163">
        <v>11</v>
      </c>
      <c r="C7596" s="163">
        <v>1</v>
      </c>
      <c r="D7596" s="280">
        <f t="shared" si="664"/>
        <v>44866</v>
      </c>
      <c r="E7596" s="281">
        <f t="shared" si="665"/>
        <v>44866</v>
      </c>
      <c r="F7596" s="480"/>
      <c r="G7596" s="221" t="s">
        <v>74</v>
      </c>
      <c r="H7596" s="145" t="str" cm="1">
        <f t="array" ref="H7596">IFERROR(INDEX(INVESTOR_LIST[INVESTOR NAME],MATCH(I7596,INVESTOR_LIST[INVESTOR CODE],0),)," ")</f>
        <v>MD MAHDI HASAN</v>
      </c>
      <c r="I7596" s="145" t="s">
        <v>630</v>
      </c>
      <c r="J7596" s="163" t="s">
        <v>52</v>
      </c>
      <c r="K7596" s="219"/>
      <c r="L7596" s="219">
        <v>139199.13</v>
      </c>
    </row>
    <row r="7597" spans="1:13" x14ac:dyDescent="0.2">
      <c r="A7597" s="168">
        <v>2022</v>
      </c>
      <c r="B7597" s="168">
        <v>11</v>
      </c>
      <c r="C7597" s="168">
        <v>2</v>
      </c>
      <c r="D7597" s="141">
        <f>DATE(A7597,B7597,C7597)</f>
        <v>44867</v>
      </c>
      <c r="E7597" s="275">
        <f>DATE(A7597,B7597,C7597)</f>
        <v>44867</v>
      </c>
      <c r="F7597" s="479" t="s">
        <v>1500</v>
      </c>
      <c r="G7597" s="220" t="s">
        <v>74</v>
      </c>
      <c r="H7597" s="220" t="str" cm="1">
        <f t="array" ref="H7597">IFERROR(INDEX(INVESTOR_LIST[INVESTOR NAME],MATCH(I7597,INVESTOR_LIST[INVESTOR CODE],0),)," ")</f>
        <v xml:space="preserve"> </v>
      </c>
      <c r="I7597" s="142"/>
      <c r="J7597" s="143" t="s">
        <v>52</v>
      </c>
      <c r="K7597" s="226">
        <v>7314293.2300000004</v>
      </c>
      <c r="L7597" s="226"/>
    </row>
    <row r="7598" spans="1:13" x14ac:dyDescent="0.2">
      <c r="A7598" s="163">
        <v>2022</v>
      </c>
      <c r="B7598" s="163">
        <v>11</v>
      </c>
      <c r="C7598" s="163">
        <v>2</v>
      </c>
      <c r="D7598" s="141">
        <f>DATE(A7598,B7598,C7598)</f>
        <v>44867</v>
      </c>
      <c r="E7598" s="275">
        <f>DATE(A7598,B7598,C7598)</f>
        <v>44867</v>
      </c>
      <c r="F7598" s="480"/>
      <c r="G7598" s="221" t="s">
        <v>74</v>
      </c>
      <c r="H7598" s="221" t="str" cm="1">
        <f t="array" ref="H7598">IFERROR(INDEX(INVESTOR_LIST[INVESTOR NAME],MATCH(I7598,INVESTOR_LIST[INVESTOR CODE],0),)," ")</f>
        <v xml:space="preserve"> </v>
      </c>
      <c r="I7598" s="145" t="s">
        <v>348</v>
      </c>
      <c r="J7598" s="146" t="s">
        <v>190</v>
      </c>
      <c r="K7598" s="219"/>
      <c r="L7598" s="219">
        <v>7314293.2300000004</v>
      </c>
    </row>
    <row r="7599" spans="1:13" x14ac:dyDescent="0.2">
      <c r="A7599" s="133">
        <v>2022</v>
      </c>
      <c r="B7599" s="133">
        <v>11</v>
      </c>
      <c r="C7599" s="133">
        <v>2</v>
      </c>
      <c r="D7599" s="141">
        <f t="shared" ref="D7599:D7602" si="666">DATE(A7599,B7599,C7599)</f>
        <v>44867</v>
      </c>
      <c r="E7599" s="275">
        <f t="shared" ref="E7599:E7602" si="667">DATE(A7599,B7599,C7599)</f>
        <v>44867</v>
      </c>
      <c r="F7599" s="481" t="s">
        <v>1499</v>
      </c>
      <c r="G7599" s="174" t="s">
        <v>94</v>
      </c>
      <c r="H7599" s="174" t="str" cm="1">
        <f t="array" ref="H7599">IFERROR(INDEX(INVESTOR_LIST[INVESTOR NAME],MATCH(I7599,INVESTOR_LIST[INVESTOR CODE],0),)," ")</f>
        <v xml:space="preserve"> </v>
      </c>
      <c r="J7599" s="149" t="s">
        <v>190</v>
      </c>
      <c r="K7599" s="218">
        <v>383511.23</v>
      </c>
      <c r="L7599" s="218"/>
      <c r="M7599" s="160"/>
    </row>
    <row r="7600" spans="1:13" x14ac:dyDescent="0.2">
      <c r="A7600" s="133">
        <v>2022</v>
      </c>
      <c r="B7600" s="133">
        <v>11</v>
      </c>
      <c r="C7600" s="133">
        <v>2</v>
      </c>
      <c r="D7600" s="141">
        <f t="shared" si="666"/>
        <v>44867</v>
      </c>
      <c r="E7600" s="275">
        <f t="shared" si="667"/>
        <v>44867</v>
      </c>
      <c r="F7600" s="481"/>
      <c r="G7600" s="174" t="s">
        <v>94</v>
      </c>
      <c r="H7600" s="174"/>
      <c r="J7600" s="149" t="s">
        <v>80</v>
      </c>
      <c r="K7600" s="218">
        <v>691.57</v>
      </c>
      <c r="L7600" s="218"/>
    </row>
    <row r="7601" spans="1:13" x14ac:dyDescent="0.2">
      <c r="A7601" s="133">
        <v>2022</v>
      </c>
      <c r="B7601" s="133">
        <v>11</v>
      </c>
      <c r="C7601" s="133">
        <v>2</v>
      </c>
      <c r="D7601" s="141">
        <f t="shared" si="666"/>
        <v>44867</v>
      </c>
      <c r="E7601" s="275">
        <f t="shared" si="667"/>
        <v>44867</v>
      </c>
      <c r="F7601" s="481"/>
      <c r="G7601" s="174" t="s">
        <v>94</v>
      </c>
      <c r="H7601" s="174" t="str" cm="1">
        <f t="array" ref="H7601">IFERROR(INDEX(INVESTOR_LIST[INVESTOR NAME],MATCH(I7601,INVESTOR_LIST[INVESTOR CODE],0),)," ")</f>
        <v xml:space="preserve"> </v>
      </c>
      <c r="J7601" s="149" t="s">
        <v>191</v>
      </c>
      <c r="K7601" s="218">
        <v>16270.19</v>
      </c>
      <c r="L7601" s="218"/>
    </row>
    <row r="7602" spans="1:13" x14ac:dyDescent="0.2">
      <c r="A7602" s="163">
        <v>2022</v>
      </c>
      <c r="B7602" s="163">
        <v>11</v>
      </c>
      <c r="C7602" s="163">
        <v>2</v>
      </c>
      <c r="D7602" s="280">
        <f t="shared" si="666"/>
        <v>44867</v>
      </c>
      <c r="E7602" s="281">
        <f t="shared" si="667"/>
        <v>44867</v>
      </c>
      <c r="F7602" s="480"/>
      <c r="G7602" s="221" t="s">
        <v>94</v>
      </c>
      <c r="H7602" s="145" t="str" cm="1">
        <f t="array" ref="H7602">IFERROR(INDEX(INVESTOR_LIST[INVESTOR NAME],MATCH(I7602,INVESTOR_LIST[INVESTOR CODE],0),)," ")</f>
        <v xml:space="preserve"> </v>
      </c>
      <c r="I7602" s="145"/>
      <c r="J7602" s="163" t="s">
        <v>79</v>
      </c>
      <c r="K7602" s="219"/>
      <c r="L7602" s="219">
        <v>400472.99</v>
      </c>
    </row>
    <row r="7603" spans="1:13" x14ac:dyDescent="0.2">
      <c r="A7603" s="133">
        <v>2022</v>
      </c>
      <c r="B7603" s="133">
        <v>11</v>
      </c>
      <c r="C7603" s="133">
        <v>3</v>
      </c>
      <c r="D7603" s="141">
        <f t="shared" ref="D7603:D7606" si="668">DATE(A7603,B7603,C7603)</f>
        <v>44868</v>
      </c>
      <c r="E7603" s="275">
        <f t="shared" ref="E7603:E7606" si="669">DATE(A7603,B7603,C7603)</f>
        <v>44868</v>
      </c>
      <c r="F7603" s="481" t="s">
        <v>1499</v>
      </c>
      <c r="G7603" s="174" t="s">
        <v>94</v>
      </c>
      <c r="H7603" s="174" t="str" cm="1">
        <f t="array" ref="H7603">IFERROR(INDEX(INVESTOR_LIST[INVESTOR NAME],MATCH(I7603,INVESTOR_LIST[INVESTOR CODE],0),)," ")</f>
        <v xml:space="preserve"> </v>
      </c>
      <c r="J7603" s="149" t="s">
        <v>190</v>
      </c>
      <c r="K7603" s="218">
        <v>1115308.52</v>
      </c>
      <c r="L7603" s="218"/>
      <c r="M7603" s="160"/>
    </row>
    <row r="7604" spans="1:13" x14ac:dyDescent="0.2">
      <c r="A7604" s="133">
        <v>2022</v>
      </c>
      <c r="B7604" s="133">
        <v>11</v>
      </c>
      <c r="C7604" s="133">
        <v>3</v>
      </c>
      <c r="D7604" s="141">
        <f t="shared" si="668"/>
        <v>44868</v>
      </c>
      <c r="E7604" s="275">
        <f t="shared" si="669"/>
        <v>44868</v>
      </c>
      <c r="F7604" s="481"/>
      <c r="G7604" s="174" t="s">
        <v>94</v>
      </c>
      <c r="H7604" s="174"/>
      <c r="J7604" s="149" t="s">
        <v>80</v>
      </c>
      <c r="K7604" s="218">
        <v>2011.18</v>
      </c>
      <c r="L7604" s="218"/>
    </row>
    <row r="7605" spans="1:13" x14ac:dyDescent="0.2">
      <c r="A7605" s="133">
        <v>2022</v>
      </c>
      <c r="B7605" s="133">
        <v>11</v>
      </c>
      <c r="C7605" s="133">
        <v>3</v>
      </c>
      <c r="D7605" s="141">
        <f t="shared" si="668"/>
        <v>44868</v>
      </c>
      <c r="E7605" s="275">
        <f t="shared" si="669"/>
        <v>44868</v>
      </c>
      <c r="F7605" s="481"/>
      <c r="G7605" s="174" t="s">
        <v>94</v>
      </c>
      <c r="H7605" s="174" t="str" cm="1">
        <f t="array" ref="H7605">IFERROR(INDEX(INVESTOR_LIST[INVESTOR NAME],MATCH(I7605,INVESTOR_LIST[INVESTOR CODE],0),)," ")</f>
        <v xml:space="preserve"> </v>
      </c>
      <c r="J7605" s="149" t="s">
        <v>191</v>
      </c>
      <c r="K7605" s="218">
        <v>47316.18</v>
      </c>
      <c r="L7605" s="218"/>
    </row>
    <row r="7606" spans="1:13" x14ac:dyDescent="0.2">
      <c r="A7606" s="163">
        <v>2022</v>
      </c>
      <c r="B7606" s="163">
        <v>11</v>
      </c>
      <c r="C7606" s="163">
        <v>3</v>
      </c>
      <c r="D7606" s="280">
        <f t="shared" si="668"/>
        <v>44868</v>
      </c>
      <c r="E7606" s="281">
        <f t="shared" si="669"/>
        <v>44868</v>
      </c>
      <c r="F7606" s="480"/>
      <c r="G7606" s="221" t="s">
        <v>94</v>
      </c>
      <c r="H7606" s="145" t="str" cm="1">
        <f t="array" ref="H7606">IFERROR(INDEX(INVESTOR_LIST[INVESTOR NAME],MATCH(I7606,INVESTOR_LIST[INVESTOR CODE],0),)," ")</f>
        <v xml:space="preserve"> </v>
      </c>
      <c r="I7606" s="145"/>
      <c r="J7606" s="163" t="s">
        <v>79</v>
      </c>
      <c r="K7606" s="219"/>
      <c r="L7606" s="219">
        <v>1164635.8799999999</v>
      </c>
    </row>
    <row r="7607" spans="1:13" x14ac:dyDescent="0.2">
      <c r="A7607" s="324">
        <v>2022</v>
      </c>
      <c r="B7607" s="324">
        <v>11</v>
      </c>
      <c r="C7607" s="325">
        <v>3</v>
      </c>
      <c r="D7607" s="326">
        <f t="shared" ref="D7607:D7610" si="670">DATE(A7607,B7607,C7607)</f>
        <v>44868</v>
      </c>
      <c r="E7607" s="327">
        <f t="shared" ref="E7607:E7610" si="671">DATE(A7607,B7607,C7607)</f>
        <v>44868</v>
      </c>
      <c r="F7607" s="473" t="s">
        <v>1489</v>
      </c>
      <c r="G7607" s="328" t="s">
        <v>94</v>
      </c>
      <c r="H7607" s="329" t="str" cm="1">
        <f t="array" ref="H7607">IFERROR(INDEX(INVESTOR_LIST[INVESTOR NAME],MATCH(I7607,INVESTOR_LIST[INVESTOR CODE],0),)," ")</f>
        <v xml:space="preserve"> </v>
      </c>
      <c r="I7607" s="329" t="s">
        <v>348</v>
      </c>
      <c r="J7607" s="324" t="s">
        <v>133</v>
      </c>
      <c r="K7607" s="330">
        <v>3424.28</v>
      </c>
      <c r="L7607" s="330"/>
    </row>
    <row r="7608" spans="1:13" x14ac:dyDescent="0.2">
      <c r="A7608" s="331">
        <v>2022</v>
      </c>
      <c r="B7608" s="331">
        <v>11</v>
      </c>
      <c r="C7608" s="331">
        <v>3</v>
      </c>
      <c r="D7608" s="326">
        <f t="shared" si="670"/>
        <v>44868</v>
      </c>
      <c r="E7608" s="327">
        <f t="shared" si="671"/>
        <v>44868</v>
      </c>
      <c r="F7608" s="474"/>
      <c r="G7608" s="332" t="s">
        <v>94</v>
      </c>
      <c r="H7608" s="333" t="str" cm="1">
        <f t="array" ref="H7608">IFERROR(INDEX(INVESTOR_LIST[INVESTOR NAME],MATCH(I7608,INVESTOR_LIST[INVESTOR CODE],0),)," ")</f>
        <v xml:space="preserve"> </v>
      </c>
      <c r="I7608" s="333" t="s">
        <v>348</v>
      </c>
      <c r="J7608" s="331" t="s">
        <v>152</v>
      </c>
      <c r="K7608" s="334"/>
      <c r="L7608" s="334">
        <v>3424.28</v>
      </c>
    </row>
    <row r="7609" spans="1:13" x14ac:dyDescent="0.2">
      <c r="A7609" s="324">
        <v>2022</v>
      </c>
      <c r="B7609" s="324">
        <v>11</v>
      </c>
      <c r="C7609" s="325">
        <v>3</v>
      </c>
      <c r="D7609" s="326">
        <f t="shared" si="670"/>
        <v>44868</v>
      </c>
      <c r="E7609" s="327">
        <f t="shared" si="671"/>
        <v>44868</v>
      </c>
      <c r="F7609" s="473" t="s">
        <v>1491</v>
      </c>
      <c r="G7609" s="328" t="s">
        <v>94</v>
      </c>
      <c r="H7609" s="329" t="str" cm="1">
        <f t="array" ref="H7609">IFERROR(INDEX(INVESTOR_LIST[INVESTOR NAME],MATCH(I7609,INVESTOR_LIST[INVESTOR CODE],0),)," ")</f>
        <v xml:space="preserve"> </v>
      </c>
      <c r="I7609" s="329" t="s">
        <v>348</v>
      </c>
      <c r="J7609" s="324" t="s">
        <v>133</v>
      </c>
      <c r="K7609" s="330">
        <v>10838.39</v>
      </c>
      <c r="L7609" s="330"/>
    </row>
    <row r="7610" spans="1:13" x14ac:dyDescent="0.2">
      <c r="A7610" s="331">
        <v>2022</v>
      </c>
      <c r="B7610" s="331">
        <v>11</v>
      </c>
      <c r="C7610" s="331">
        <v>3</v>
      </c>
      <c r="D7610" s="326">
        <f t="shared" si="670"/>
        <v>44868</v>
      </c>
      <c r="E7610" s="327">
        <f t="shared" si="671"/>
        <v>44868</v>
      </c>
      <c r="F7610" s="474"/>
      <c r="G7610" s="332" t="s">
        <v>94</v>
      </c>
      <c r="H7610" s="333" t="str" cm="1">
        <f t="array" ref="H7610">IFERROR(INDEX(INVESTOR_LIST[INVESTOR NAME],MATCH(I7610,INVESTOR_LIST[INVESTOR CODE],0),)," ")</f>
        <v xml:space="preserve"> </v>
      </c>
      <c r="I7610" s="333" t="s">
        <v>348</v>
      </c>
      <c r="J7610" s="331" t="s">
        <v>152</v>
      </c>
      <c r="K7610" s="334"/>
      <c r="L7610" s="334">
        <v>10838.39</v>
      </c>
    </row>
    <row r="7611" spans="1:13" x14ac:dyDescent="0.2">
      <c r="A7611" s="324">
        <v>2022</v>
      </c>
      <c r="B7611" s="324">
        <v>11</v>
      </c>
      <c r="C7611" s="325">
        <v>3</v>
      </c>
      <c r="D7611" s="326">
        <f>DATE(A7611,B7611,C7611)</f>
        <v>44868</v>
      </c>
      <c r="E7611" s="327">
        <f>DATE(A7611,B7611,C7611)</f>
        <v>44868</v>
      </c>
      <c r="F7611" s="473" t="s">
        <v>1490</v>
      </c>
      <c r="G7611" s="328" t="s">
        <v>94</v>
      </c>
      <c r="H7611" s="329" t="str" cm="1">
        <f t="array" ref="H7611">IFERROR(INDEX(INVESTOR_LIST[INVESTOR NAME],MATCH(I7611,INVESTOR_LIST[INVESTOR CODE],0),)," ")</f>
        <v xml:space="preserve"> </v>
      </c>
      <c r="I7611" s="329" t="s">
        <v>348</v>
      </c>
      <c r="J7611" s="324" t="s">
        <v>133</v>
      </c>
      <c r="K7611" s="330">
        <v>13681.97</v>
      </c>
      <c r="L7611" s="330"/>
    </row>
    <row r="7612" spans="1:13" x14ac:dyDescent="0.2">
      <c r="A7612" s="331">
        <v>2022</v>
      </c>
      <c r="B7612" s="331">
        <v>11</v>
      </c>
      <c r="C7612" s="331">
        <v>3</v>
      </c>
      <c r="D7612" s="326">
        <f>DATE(A7612,B7612,C7612)</f>
        <v>44868</v>
      </c>
      <c r="E7612" s="327">
        <f>DATE(A7612,B7612,C7612)</f>
        <v>44868</v>
      </c>
      <c r="F7612" s="474"/>
      <c r="G7612" s="332" t="s">
        <v>94</v>
      </c>
      <c r="H7612" s="333" t="str" cm="1">
        <f t="array" ref="H7612">IFERROR(INDEX(INVESTOR_LIST[INVESTOR NAME],MATCH(I7612,INVESTOR_LIST[INVESTOR CODE],0),)," ")</f>
        <v xml:space="preserve"> </v>
      </c>
      <c r="I7612" s="333" t="s">
        <v>348</v>
      </c>
      <c r="J7612" s="331" t="s">
        <v>152</v>
      </c>
      <c r="K7612" s="334"/>
      <c r="L7612" s="334">
        <v>13681.97</v>
      </c>
    </row>
    <row r="7613" spans="1:13" x14ac:dyDescent="0.2">
      <c r="A7613" s="238">
        <v>2022</v>
      </c>
      <c r="B7613" s="238">
        <v>11</v>
      </c>
      <c r="C7613" s="238">
        <v>3</v>
      </c>
      <c r="D7613" s="270">
        <f t="shared" ref="D7613:D7623" si="672">DATE(A7613,B7613,C7613)</f>
        <v>44868</v>
      </c>
      <c r="E7613" s="279">
        <f t="shared" ref="E7613:E7623" si="673">DATE(A7613,B7613,C7613)</f>
        <v>44868</v>
      </c>
      <c r="F7613" s="477" t="s">
        <v>347</v>
      </c>
      <c r="G7613" s="239" t="s">
        <v>94</v>
      </c>
      <c r="H7613" s="239" t="str" cm="1">
        <f t="array" ref="H7613">IFERROR(INDEX(INVESTOR_LIST[INVESTOR NAME],MATCH(I7613,INVESTOR_LIST[INVESTOR CODE],0),)," ")</f>
        <v xml:space="preserve"> </v>
      </c>
      <c r="I7613" s="262" t="s">
        <v>348</v>
      </c>
      <c r="J7613" s="240" t="s">
        <v>82</v>
      </c>
      <c r="K7613" s="241">
        <v>1460803.9299999774</v>
      </c>
      <c r="L7613" s="241"/>
    </row>
    <row r="7614" spans="1:13" x14ac:dyDescent="0.2">
      <c r="A7614" s="242">
        <v>2022</v>
      </c>
      <c r="B7614" s="242">
        <v>11</v>
      </c>
      <c r="C7614" s="242">
        <v>3</v>
      </c>
      <c r="D7614" s="270">
        <f t="shared" si="672"/>
        <v>44868</v>
      </c>
      <c r="E7614" s="279">
        <f t="shared" si="673"/>
        <v>44868</v>
      </c>
      <c r="F7614" s="478"/>
      <c r="G7614" s="243" t="s">
        <v>94</v>
      </c>
      <c r="H7614" s="243" t="str" cm="1">
        <f t="array" ref="H7614">IFERROR(INDEX(INVESTOR_LIST[INVESTOR NAME],MATCH(I7614,INVESTOR_LIST[INVESTOR CODE],0),)," ")</f>
        <v xml:space="preserve"> </v>
      </c>
      <c r="I7614" s="263" t="s">
        <v>348</v>
      </c>
      <c r="J7614" s="244" t="s">
        <v>108</v>
      </c>
      <c r="K7614" s="245"/>
      <c r="L7614" s="245">
        <v>1460803.9299999774</v>
      </c>
    </row>
    <row r="7615" spans="1:13" ht="22.5" x14ac:dyDescent="0.2">
      <c r="A7615" s="246">
        <v>2022</v>
      </c>
      <c r="B7615" s="238">
        <v>11</v>
      </c>
      <c r="C7615" s="238">
        <v>3</v>
      </c>
      <c r="D7615" s="270">
        <f t="shared" si="672"/>
        <v>44868</v>
      </c>
      <c r="E7615" s="279">
        <f t="shared" si="673"/>
        <v>44868</v>
      </c>
      <c r="F7615" s="482" t="s">
        <v>148</v>
      </c>
      <c r="G7615" s="247" t="s">
        <v>94</v>
      </c>
      <c r="H7615" s="247" t="str" cm="1">
        <f t="array" ref="H7615">IFERROR(INDEX(INVESTOR_LIST[INVESTOR NAME],MATCH(I7615,INVESTOR_LIST[INVESTOR CODE],0),)," ")</f>
        <v xml:space="preserve"> </v>
      </c>
      <c r="I7615" s="248" t="s">
        <v>348</v>
      </c>
      <c r="J7615" s="249" t="s">
        <v>95</v>
      </c>
      <c r="K7615" s="250">
        <v>2747.2527472527472</v>
      </c>
      <c r="L7615" s="241"/>
    </row>
    <row r="7616" spans="1:13" x14ac:dyDescent="0.2">
      <c r="A7616" s="242">
        <v>2022</v>
      </c>
      <c r="B7616" s="242">
        <v>11</v>
      </c>
      <c r="C7616" s="242">
        <v>3</v>
      </c>
      <c r="D7616" s="270">
        <f t="shared" si="672"/>
        <v>44868</v>
      </c>
      <c r="E7616" s="279">
        <f t="shared" si="673"/>
        <v>44868</v>
      </c>
      <c r="F7616" s="478"/>
      <c r="G7616" s="243" t="s">
        <v>94</v>
      </c>
      <c r="H7616" s="243" t="str" cm="1">
        <f t="array" ref="H7616">IFERROR(INDEX(INVESTOR_LIST[INVESTOR NAME],MATCH(I7616,INVESTOR_LIST[INVESTOR CODE],0),)," ")</f>
        <v xml:space="preserve"> </v>
      </c>
      <c r="I7616" s="263" t="s">
        <v>348</v>
      </c>
      <c r="J7616" s="244" t="s">
        <v>63</v>
      </c>
      <c r="K7616" s="245"/>
      <c r="L7616" s="245">
        <v>2747.2527472527472</v>
      </c>
    </row>
    <row r="7617" spans="1:13" x14ac:dyDescent="0.2">
      <c r="A7617" s="246">
        <v>2022</v>
      </c>
      <c r="B7617" s="238">
        <v>11</v>
      </c>
      <c r="C7617" s="238">
        <v>3</v>
      </c>
      <c r="D7617" s="270">
        <f t="shared" si="672"/>
        <v>44868</v>
      </c>
      <c r="E7617" s="279">
        <f t="shared" si="673"/>
        <v>44868</v>
      </c>
      <c r="F7617" s="482" t="s">
        <v>137</v>
      </c>
      <c r="G7617" s="247" t="s">
        <v>94</v>
      </c>
      <c r="H7617" s="247" t="str" cm="1">
        <f t="array" ref="H7617">IFERROR(INDEX(INVESTOR_LIST[INVESTOR NAME],MATCH(I7617,INVESTOR_LIST[INVESTOR CODE],0),)," ")</f>
        <v xml:space="preserve"> </v>
      </c>
      <c r="I7617" s="248" t="s">
        <v>348</v>
      </c>
      <c r="J7617" s="249" t="s">
        <v>97</v>
      </c>
      <c r="K7617" s="250">
        <v>80393.543694676147</v>
      </c>
      <c r="L7617" s="252"/>
    </row>
    <row r="7618" spans="1:13" x14ac:dyDescent="0.2">
      <c r="A7618" s="242">
        <v>2022</v>
      </c>
      <c r="B7618" s="242">
        <v>11</v>
      </c>
      <c r="C7618" s="242">
        <v>3</v>
      </c>
      <c r="D7618" s="270">
        <f t="shared" si="672"/>
        <v>44868</v>
      </c>
      <c r="E7618" s="279">
        <f t="shared" si="673"/>
        <v>44868</v>
      </c>
      <c r="F7618" s="478"/>
      <c r="G7618" s="243" t="s">
        <v>94</v>
      </c>
      <c r="H7618" s="243" t="str" cm="1">
        <f t="array" ref="H7618">IFERROR(INDEX(INVESTOR_LIST[INVESTOR NAME],MATCH(I7618,INVESTOR_LIST[INVESTOR CODE],0),)," ")</f>
        <v xml:space="preserve"> </v>
      </c>
      <c r="I7618" s="263" t="s">
        <v>348</v>
      </c>
      <c r="J7618" s="244" t="s">
        <v>47</v>
      </c>
      <c r="K7618" s="245"/>
      <c r="L7618" s="245">
        <v>80393.543694676147</v>
      </c>
    </row>
    <row r="7619" spans="1:13" x14ac:dyDescent="0.2">
      <c r="A7619" s="246">
        <v>2022</v>
      </c>
      <c r="B7619" s="238">
        <v>11</v>
      </c>
      <c r="C7619" s="238">
        <v>3</v>
      </c>
      <c r="D7619" s="270">
        <f t="shared" si="672"/>
        <v>44868</v>
      </c>
      <c r="E7619" s="279">
        <f t="shared" si="673"/>
        <v>44868</v>
      </c>
      <c r="F7619" s="482" t="s">
        <v>138</v>
      </c>
      <c r="G7619" s="247" t="s">
        <v>94</v>
      </c>
      <c r="H7619" s="247" t="str" cm="1">
        <f t="array" ref="H7619">IFERROR(INDEX(INVESTOR_LIST[INVESTOR NAME],MATCH(I7619,INVESTOR_LIST[INVESTOR CODE],0),)," ")</f>
        <v xml:space="preserve"> </v>
      </c>
      <c r="I7619" s="248" t="s">
        <v>348</v>
      </c>
      <c r="J7619" s="249" t="s">
        <v>100</v>
      </c>
      <c r="K7619" s="250">
        <v>3779.292569349192</v>
      </c>
      <c r="L7619" s="252"/>
    </row>
    <row r="7620" spans="1:13" x14ac:dyDescent="0.2">
      <c r="A7620" s="242">
        <v>2022</v>
      </c>
      <c r="B7620" s="242">
        <v>11</v>
      </c>
      <c r="C7620" s="242">
        <v>3</v>
      </c>
      <c r="D7620" s="321">
        <f t="shared" si="672"/>
        <v>44868</v>
      </c>
      <c r="E7620" s="322">
        <f t="shared" si="673"/>
        <v>44868</v>
      </c>
      <c r="F7620" s="478"/>
      <c r="G7620" s="243" t="s">
        <v>94</v>
      </c>
      <c r="H7620" s="243" t="str" cm="1">
        <f t="array" ref="H7620">IFERROR(INDEX(INVESTOR_LIST[INVESTOR NAME],MATCH(I7620,INVESTOR_LIST[INVESTOR CODE],0),)," ")</f>
        <v xml:space="preserve"> </v>
      </c>
      <c r="I7620" s="263" t="s">
        <v>348</v>
      </c>
      <c r="J7620" s="244" t="s">
        <v>48</v>
      </c>
      <c r="K7620" s="245"/>
      <c r="L7620" s="245">
        <v>3779.292569349192</v>
      </c>
    </row>
    <row r="7621" spans="1:13" ht="45" x14ac:dyDescent="0.2">
      <c r="A7621" s="168">
        <v>2022</v>
      </c>
      <c r="B7621" s="168">
        <v>11</v>
      </c>
      <c r="C7621" s="133">
        <v>6</v>
      </c>
      <c r="D7621" s="141">
        <f t="shared" si="672"/>
        <v>44871</v>
      </c>
      <c r="E7621" s="275">
        <f t="shared" si="673"/>
        <v>44871</v>
      </c>
      <c r="F7621" s="479" t="s">
        <v>1310</v>
      </c>
      <c r="G7621" s="220" t="s">
        <v>74</v>
      </c>
      <c r="H7621" s="142" t="str" cm="1">
        <f t="array" ref="H7621">IFERROR(INDEX(INVESTOR_LIST[INVESTOR NAME],MATCH(I7621,INVESTOR_LIST[INVESTOR CODE],0),)," ")</f>
        <v>MOHAMMAD SAMIR UDDIN</v>
      </c>
      <c r="I7621" s="142" t="s">
        <v>672</v>
      </c>
      <c r="J7621" s="168" t="s">
        <v>13</v>
      </c>
      <c r="K7621" s="226">
        <v>72780</v>
      </c>
      <c r="L7621" s="226"/>
    </row>
    <row r="7622" spans="1:13" ht="45" x14ac:dyDescent="0.2">
      <c r="A7622" s="133">
        <v>2022</v>
      </c>
      <c r="B7622" s="133">
        <v>11</v>
      </c>
      <c r="C7622" s="133">
        <v>6</v>
      </c>
      <c r="D7622" s="141">
        <f t="shared" si="672"/>
        <v>44871</v>
      </c>
      <c r="E7622" s="275">
        <f t="shared" si="673"/>
        <v>44871</v>
      </c>
      <c r="F7622" s="481"/>
      <c r="G7622" s="174" t="s">
        <v>74</v>
      </c>
      <c r="H7622" s="148" t="str" cm="1">
        <f t="array" ref="H7622">IFERROR(INDEX(INVESTOR_LIST[INVESTOR NAME],MATCH(I7622,INVESTOR_LIST[INVESTOR CODE],0),)," ")</f>
        <v>MOHAMMAD SAMIR UDDIN</v>
      </c>
      <c r="I7622" s="148" t="s">
        <v>672</v>
      </c>
      <c r="J7622" s="133" t="s">
        <v>53</v>
      </c>
      <c r="K7622" s="218">
        <v>15502.14</v>
      </c>
      <c r="L7622" s="218"/>
    </row>
    <row r="7623" spans="1:13" ht="45" x14ac:dyDescent="0.2">
      <c r="A7623" s="163">
        <v>2022</v>
      </c>
      <c r="B7623" s="163">
        <v>11</v>
      </c>
      <c r="C7623" s="163">
        <v>6</v>
      </c>
      <c r="D7623" s="280">
        <f t="shared" si="672"/>
        <v>44871</v>
      </c>
      <c r="E7623" s="281">
        <f t="shared" si="673"/>
        <v>44871</v>
      </c>
      <c r="F7623" s="480"/>
      <c r="G7623" s="221" t="s">
        <v>74</v>
      </c>
      <c r="H7623" s="145" t="str" cm="1">
        <f t="array" ref="H7623">IFERROR(INDEX(INVESTOR_LIST[INVESTOR NAME],MATCH(I7623,INVESTOR_LIST[INVESTOR CODE],0),)," ")</f>
        <v>MOHAMMAD SAMIR UDDIN</v>
      </c>
      <c r="I7623" s="145" t="s">
        <v>672</v>
      </c>
      <c r="J7623" s="163" t="s">
        <v>52</v>
      </c>
      <c r="K7623" s="219"/>
      <c r="L7623" s="219">
        <v>88282.14</v>
      </c>
    </row>
    <row r="7624" spans="1:13" ht="22.5" x14ac:dyDescent="0.2">
      <c r="A7624" s="168">
        <v>2022</v>
      </c>
      <c r="B7624" s="168">
        <v>11</v>
      </c>
      <c r="C7624" s="133">
        <v>6</v>
      </c>
      <c r="D7624" s="141">
        <f t="shared" ref="D7624:D7633" si="674">DATE(A7624,B7624,C7624)</f>
        <v>44871</v>
      </c>
      <c r="E7624" s="275">
        <f t="shared" ref="E7624:E7633" si="675">DATE(A7624,B7624,C7624)</f>
        <v>44871</v>
      </c>
      <c r="F7624" s="479" t="s">
        <v>1315</v>
      </c>
      <c r="G7624" s="220" t="s">
        <v>74</v>
      </c>
      <c r="H7624" s="142" t="str" cm="1">
        <f t="array" ref="H7624">IFERROR(INDEX(INVESTOR_LIST[INVESTOR NAME],MATCH(I7624,INVESTOR_LIST[INVESTOR CODE],0),)," ")</f>
        <v>SUJAN BARUA</v>
      </c>
      <c r="I7624" s="142" t="s">
        <v>434</v>
      </c>
      <c r="J7624" s="168" t="s">
        <v>13</v>
      </c>
      <c r="K7624" s="226">
        <v>100000</v>
      </c>
      <c r="L7624" s="226"/>
    </row>
    <row r="7625" spans="1:13" ht="22.5" x14ac:dyDescent="0.2">
      <c r="A7625" s="133">
        <v>2022</v>
      </c>
      <c r="B7625" s="133">
        <v>11</v>
      </c>
      <c r="C7625" s="133">
        <v>6</v>
      </c>
      <c r="D7625" s="141">
        <f t="shared" si="674"/>
        <v>44871</v>
      </c>
      <c r="E7625" s="275">
        <f t="shared" si="675"/>
        <v>44871</v>
      </c>
      <c r="F7625" s="481"/>
      <c r="G7625" s="174" t="s">
        <v>74</v>
      </c>
      <c r="H7625" s="148" t="str" cm="1">
        <f t="array" ref="H7625">IFERROR(INDEX(INVESTOR_LIST[INVESTOR NAME],MATCH(I7625,INVESTOR_LIST[INVESTOR CODE],0),)," ")</f>
        <v>SUJAN BARUA</v>
      </c>
      <c r="I7625" s="148" t="s">
        <v>434</v>
      </c>
      <c r="J7625" s="133" t="s">
        <v>53</v>
      </c>
      <c r="K7625" s="218">
        <v>21300</v>
      </c>
      <c r="L7625" s="218"/>
    </row>
    <row r="7626" spans="1:13" ht="22.5" x14ac:dyDescent="0.2">
      <c r="A7626" s="163">
        <v>2022</v>
      </c>
      <c r="B7626" s="163">
        <v>11</v>
      </c>
      <c r="C7626" s="163">
        <v>6</v>
      </c>
      <c r="D7626" s="280">
        <f t="shared" si="674"/>
        <v>44871</v>
      </c>
      <c r="E7626" s="281">
        <f t="shared" si="675"/>
        <v>44871</v>
      </c>
      <c r="F7626" s="480"/>
      <c r="G7626" s="221" t="s">
        <v>74</v>
      </c>
      <c r="H7626" s="145" t="str" cm="1">
        <f t="array" ref="H7626">IFERROR(INDEX(INVESTOR_LIST[INVESTOR NAME],MATCH(I7626,INVESTOR_LIST[INVESTOR CODE],0),)," ")</f>
        <v>SUJAN BARUA</v>
      </c>
      <c r="I7626" s="145" t="s">
        <v>434</v>
      </c>
      <c r="J7626" s="163" t="s">
        <v>52</v>
      </c>
      <c r="K7626" s="219"/>
      <c r="L7626" s="219">
        <v>121300</v>
      </c>
    </row>
    <row r="7627" spans="1:13" x14ac:dyDescent="0.2">
      <c r="A7627" s="133">
        <v>2022</v>
      </c>
      <c r="B7627" s="133">
        <v>11</v>
      </c>
      <c r="C7627" s="133">
        <v>6</v>
      </c>
      <c r="D7627" s="141">
        <f t="shared" si="674"/>
        <v>44871</v>
      </c>
      <c r="E7627" s="275">
        <f t="shared" si="675"/>
        <v>44871</v>
      </c>
      <c r="F7627" s="481" t="s">
        <v>1499</v>
      </c>
      <c r="G7627" s="174" t="s">
        <v>94</v>
      </c>
      <c r="H7627" s="174" t="str" cm="1">
        <f t="array" ref="H7627">IFERROR(INDEX(INVESTOR_LIST[INVESTOR NAME],MATCH(I7627,INVESTOR_LIST[INVESTOR CODE],0),)," ")</f>
        <v xml:space="preserve"> </v>
      </c>
      <c r="J7627" s="149" t="s">
        <v>190</v>
      </c>
      <c r="K7627" s="218">
        <v>2000370.34</v>
      </c>
      <c r="L7627" s="218"/>
      <c r="M7627" s="160"/>
    </row>
    <row r="7628" spans="1:13" x14ac:dyDescent="0.2">
      <c r="A7628" s="133">
        <v>2022</v>
      </c>
      <c r="B7628" s="133">
        <v>11</v>
      </c>
      <c r="C7628" s="133">
        <v>6</v>
      </c>
      <c r="D7628" s="141">
        <f t="shared" si="674"/>
        <v>44871</v>
      </c>
      <c r="E7628" s="275">
        <f t="shared" si="675"/>
        <v>44871</v>
      </c>
      <c r="F7628" s="481"/>
      <c r="G7628" s="174" t="s">
        <v>94</v>
      </c>
      <c r="H7628" s="174"/>
      <c r="J7628" s="149" t="s">
        <v>80</v>
      </c>
      <c r="K7628" s="218">
        <v>3607.16</v>
      </c>
      <c r="L7628" s="218"/>
    </row>
    <row r="7629" spans="1:13" x14ac:dyDescent="0.2">
      <c r="A7629" s="133">
        <v>2022</v>
      </c>
      <c r="B7629" s="133">
        <v>11</v>
      </c>
      <c r="C7629" s="133">
        <v>6</v>
      </c>
      <c r="D7629" s="141">
        <f t="shared" si="674"/>
        <v>44871</v>
      </c>
      <c r="E7629" s="275">
        <f t="shared" si="675"/>
        <v>44871</v>
      </c>
      <c r="F7629" s="481"/>
      <c r="G7629" s="174" t="s">
        <v>94</v>
      </c>
      <c r="H7629" s="174" t="str" cm="1">
        <f t="array" ref="H7629">IFERROR(INDEX(INVESTOR_LIST[INVESTOR NAME],MATCH(I7629,INVESTOR_LIST[INVESTOR CODE],0),)," ")</f>
        <v xml:space="preserve"> </v>
      </c>
      <c r="J7629" s="149" t="s">
        <v>191</v>
      </c>
      <c r="K7629" s="218">
        <v>84864.31</v>
      </c>
      <c r="L7629" s="218"/>
    </row>
    <row r="7630" spans="1:13" x14ac:dyDescent="0.2">
      <c r="A7630" s="163">
        <v>2022</v>
      </c>
      <c r="B7630" s="163">
        <v>11</v>
      </c>
      <c r="C7630" s="163">
        <v>6</v>
      </c>
      <c r="D7630" s="280">
        <f t="shared" si="674"/>
        <v>44871</v>
      </c>
      <c r="E7630" s="281">
        <f t="shared" si="675"/>
        <v>44871</v>
      </c>
      <c r="F7630" s="480"/>
      <c r="G7630" s="221" t="s">
        <v>94</v>
      </c>
      <c r="H7630" s="145" t="str" cm="1">
        <f t="array" ref="H7630">IFERROR(INDEX(INVESTOR_LIST[INVESTOR NAME],MATCH(I7630,INVESTOR_LIST[INVESTOR CODE],0),)," ")</f>
        <v xml:space="preserve"> </v>
      </c>
      <c r="I7630" s="145"/>
      <c r="J7630" s="163" t="s">
        <v>79</v>
      </c>
      <c r="K7630" s="219"/>
      <c r="L7630" s="219">
        <v>2088841.81</v>
      </c>
    </row>
    <row r="7631" spans="1:13" x14ac:dyDescent="0.2">
      <c r="A7631" s="168">
        <v>2022</v>
      </c>
      <c r="B7631" s="168">
        <v>11</v>
      </c>
      <c r="C7631" s="168">
        <v>7</v>
      </c>
      <c r="D7631" s="141">
        <f t="shared" si="674"/>
        <v>44872</v>
      </c>
      <c r="E7631" s="275">
        <f t="shared" si="675"/>
        <v>44872</v>
      </c>
      <c r="F7631" s="479" t="s">
        <v>1319</v>
      </c>
      <c r="G7631" s="220" t="s">
        <v>74</v>
      </c>
      <c r="H7631" s="142" t="str" cm="1">
        <f t="array" ref="H7631">IFERROR(INDEX(INVESTOR_LIST[INVESTOR NAME],MATCH(I7631,INVESTOR_LIST[INVESTOR CODE],0),)," ")</f>
        <v xml:space="preserve"> </v>
      </c>
      <c r="I7631" s="142"/>
      <c r="J7631" s="168" t="s">
        <v>52</v>
      </c>
      <c r="K7631" s="226">
        <v>363000</v>
      </c>
      <c r="L7631" s="226"/>
    </row>
    <row r="7632" spans="1:13" x14ac:dyDescent="0.2">
      <c r="A7632" s="133">
        <v>2022</v>
      </c>
      <c r="B7632" s="133">
        <v>11</v>
      </c>
      <c r="C7632" s="133">
        <v>7</v>
      </c>
      <c r="D7632" s="141">
        <f t="shared" si="674"/>
        <v>44872</v>
      </c>
      <c r="E7632" s="275">
        <f t="shared" si="675"/>
        <v>44872</v>
      </c>
      <c r="F7632" s="481"/>
      <c r="G7632" s="174" t="s">
        <v>74</v>
      </c>
      <c r="H7632" s="148" t="str" cm="1">
        <f t="array" ref="H7632">IFERROR(INDEX(INVESTOR_LIST[INVESTOR NAME],MATCH(I7632,INVESTOR_LIST[INVESTOR CODE],0),)," ")</f>
        <v xml:space="preserve"> </v>
      </c>
      <c r="J7632" s="133" t="s">
        <v>13</v>
      </c>
      <c r="K7632" s="218"/>
      <c r="L7632" s="218">
        <v>299170</v>
      </c>
    </row>
    <row r="7633" spans="1:12" x14ac:dyDescent="0.2">
      <c r="A7633" s="163">
        <v>2022</v>
      </c>
      <c r="B7633" s="163">
        <v>11</v>
      </c>
      <c r="C7633" s="163">
        <v>7</v>
      </c>
      <c r="D7633" s="280">
        <f t="shared" si="674"/>
        <v>44872</v>
      </c>
      <c r="E7633" s="281">
        <f t="shared" si="675"/>
        <v>44872</v>
      </c>
      <c r="F7633" s="480"/>
      <c r="G7633" s="221" t="s">
        <v>74</v>
      </c>
      <c r="H7633" s="145" t="str" cm="1">
        <f t="array" ref="H7633">IFERROR(INDEX(INVESTOR_LIST[INVESTOR NAME],MATCH(I7633,INVESTOR_LIST[INVESTOR CODE],0),)," ")</f>
        <v xml:space="preserve"> </v>
      </c>
      <c r="I7633" s="145"/>
      <c r="J7633" s="163" t="s">
        <v>53</v>
      </c>
      <c r="K7633" s="219"/>
      <c r="L7633" s="219">
        <v>63830</v>
      </c>
    </row>
    <row r="7634" spans="1:12" ht="33.75" x14ac:dyDescent="0.2">
      <c r="A7634" s="168">
        <v>2022</v>
      </c>
      <c r="B7634" s="168">
        <v>11</v>
      </c>
      <c r="C7634" s="133">
        <v>7</v>
      </c>
      <c r="D7634" s="141">
        <f t="shared" ref="D7634:D7639" si="676">DATE(A7634,B7634,C7634)</f>
        <v>44872</v>
      </c>
      <c r="E7634" s="275">
        <f t="shared" ref="E7634:E7639" si="677">DATE(A7634,B7634,C7634)</f>
        <v>44872</v>
      </c>
      <c r="F7634" s="479" t="s">
        <v>1315</v>
      </c>
      <c r="G7634" s="220" t="s">
        <v>74</v>
      </c>
      <c r="H7634" s="142" t="str" cm="1">
        <f t="array" ref="H7634">IFERROR(INDEX(INVESTOR_LIST[INVESTOR NAME],MATCH(I7634,INVESTOR_LIST[INVESTOR CODE],0),)," ")</f>
        <v>SAJJAD CHOWDHURY</v>
      </c>
      <c r="I7634" s="142" t="s">
        <v>533</v>
      </c>
      <c r="J7634" s="168" t="s">
        <v>13</v>
      </c>
      <c r="K7634" s="226">
        <v>90870</v>
      </c>
      <c r="L7634" s="226"/>
    </row>
    <row r="7635" spans="1:12" ht="33.75" x14ac:dyDescent="0.2">
      <c r="A7635" s="133">
        <v>2022</v>
      </c>
      <c r="B7635" s="133">
        <v>11</v>
      </c>
      <c r="C7635" s="133">
        <v>7</v>
      </c>
      <c r="D7635" s="141">
        <f t="shared" si="676"/>
        <v>44872</v>
      </c>
      <c r="E7635" s="275">
        <f t="shared" si="677"/>
        <v>44872</v>
      </c>
      <c r="F7635" s="481"/>
      <c r="G7635" s="174" t="s">
        <v>74</v>
      </c>
      <c r="H7635" s="148" t="str" cm="1">
        <f t="array" ref="H7635">IFERROR(INDEX(INVESTOR_LIST[INVESTOR NAME],MATCH(I7635,INVESTOR_LIST[INVESTOR CODE],0),)," ")</f>
        <v>SAJJAD CHOWDHURY</v>
      </c>
      <c r="I7635" s="148" t="s">
        <v>533</v>
      </c>
      <c r="J7635" s="133" t="s">
        <v>53</v>
      </c>
      <c r="K7635" s="218">
        <v>19355.310000000001</v>
      </c>
      <c r="L7635" s="218"/>
    </row>
    <row r="7636" spans="1:12" ht="33.75" x14ac:dyDescent="0.2">
      <c r="A7636" s="163">
        <v>2022</v>
      </c>
      <c r="B7636" s="163">
        <v>11</v>
      </c>
      <c r="C7636" s="163">
        <v>7</v>
      </c>
      <c r="D7636" s="280">
        <f t="shared" si="676"/>
        <v>44872</v>
      </c>
      <c r="E7636" s="281">
        <f t="shared" si="677"/>
        <v>44872</v>
      </c>
      <c r="F7636" s="480"/>
      <c r="G7636" s="221" t="s">
        <v>74</v>
      </c>
      <c r="H7636" s="145" t="str" cm="1">
        <f t="array" ref="H7636">IFERROR(INDEX(INVESTOR_LIST[INVESTOR NAME],MATCH(I7636,INVESTOR_LIST[INVESTOR CODE],0),)," ")</f>
        <v>SAJJAD CHOWDHURY</v>
      </c>
      <c r="I7636" s="145" t="s">
        <v>533</v>
      </c>
      <c r="J7636" s="163" t="s">
        <v>52</v>
      </c>
      <c r="K7636" s="219"/>
      <c r="L7636" s="219">
        <v>110225.31</v>
      </c>
    </row>
    <row r="7637" spans="1:12" ht="33.75" x14ac:dyDescent="0.2">
      <c r="A7637" s="168">
        <v>2022</v>
      </c>
      <c r="B7637" s="168">
        <v>11</v>
      </c>
      <c r="C7637" s="133">
        <v>7</v>
      </c>
      <c r="D7637" s="141">
        <f t="shared" si="676"/>
        <v>44872</v>
      </c>
      <c r="E7637" s="275">
        <f t="shared" si="677"/>
        <v>44872</v>
      </c>
      <c r="F7637" s="479" t="s">
        <v>1315</v>
      </c>
      <c r="G7637" s="220" t="s">
        <v>74</v>
      </c>
      <c r="H7637" s="142" t="str" cm="1">
        <f t="array" ref="H7637">IFERROR(INDEX(INVESTOR_LIST[INVESTOR NAME],MATCH(I7637,INVESTOR_LIST[INVESTOR CODE],0),)," ")</f>
        <v>MD. RAKEBUL ISLAM</v>
      </c>
      <c r="I7637" s="142" t="s">
        <v>1369</v>
      </c>
      <c r="J7637" s="168" t="s">
        <v>13</v>
      </c>
      <c r="K7637" s="226">
        <v>4500</v>
      </c>
      <c r="L7637" s="226"/>
    </row>
    <row r="7638" spans="1:12" ht="33.75" x14ac:dyDescent="0.2">
      <c r="A7638" s="133">
        <v>2022</v>
      </c>
      <c r="B7638" s="133">
        <v>11</v>
      </c>
      <c r="C7638" s="133">
        <v>7</v>
      </c>
      <c r="D7638" s="141">
        <f t="shared" si="676"/>
        <v>44872</v>
      </c>
      <c r="E7638" s="275">
        <f t="shared" si="677"/>
        <v>44872</v>
      </c>
      <c r="F7638" s="481"/>
      <c r="G7638" s="174" t="s">
        <v>74</v>
      </c>
      <c r="H7638" s="148" t="str" cm="1">
        <f t="array" ref="H7638">IFERROR(INDEX(INVESTOR_LIST[INVESTOR NAME],MATCH(I7638,INVESTOR_LIST[INVESTOR CODE],0),)," ")</f>
        <v>MD. RAKEBUL ISLAM</v>
      </c>
      <c r="I7638" s="148" t="s">
        <v>1369</v>
      </c>
      <c r="J7638" s="133" t="s">
        <v>53</v>
      </c>
      <c r="K7638" s="218">
        <v>958.5</v>
      </c>
      <c r="L7638" s="218"/>
    </row>
    <row r="7639" spans="1:12" ht="33.75" x14ac:dyDescent="0.2">
      <c r="A7639" s="163">
        <v>2022</v>
      </c>
      <c r="B7639" s="163">
        <v>11</v>
      </c>
      <c r="C7639" s="163">
        <v>7</v>
      </c>
      <c r="D7639" s="280">
        <f t="shared" si="676"/>
        <v>44872</v>
      </c>
      <c r="E7639" s="281">
        <f t="shared" si="677"/>
        <v>44872</v>
      </c>
      <c r="F7639" s="480"/>
      <c r="G7639" s="221" t="s">
        <v>74</v>
      </c>
      <c r="H7639" s="145" t="str" cm="1">
        <f t="array" ref="H7639">IFERROR(INDEX(INVESTOR_LIST[INVESTOR NAME],MATCH(I7639,INVESTOR_LIST[INVESTOR CODE],0),)," ")</f>
        <v>MD. RAKEBUL ISLAM</v>
      </c>
      <c r="I7639" s="145" t="s">
        <v>1369</v>
      </c>
      <c r="J7639" s="163" t="s">
        <v>52</v>
      </c>
      <c r="K7639" s="219"/>
      <c r="L7639" s="219">
        <v>5458.5</v>
      </c>
    </row>
    <row r="7640" spans="1:12" x14ac:dyDescent="0.2">
      <c r="A7640" s="168">
        <v>2022</v>
      </c>
      <c r="B7640" s="168">
        <v>11</v>
      </c>
      <c r="C7640" s="168">
        <v>7</v>
      </c>
      <c r="D7640" s="141">
        <f>DATE(A7640,B7640,C7640)</f>
        <v>44872</v>
      </c>
      <c r="E7640" s="275">
        <f>DATE(A7640,B7640,C7640)</f>
        <v>44872</v>
      </c>
      <c r="F7640" s="479" t="s">
        <v>1500</v>
      </c>
      <c r="G7640" s="220" t="s">
        <v>74</v>
      </c>
      <c r="H7640" s="220" t="str" cm="1">
        <f t="array" ref="H7640">IFERROR(INDEX(INVESTOR_LIST[INVESTOR NAME],MATCH(I7640,INVESTOR_LIST[INVESTOR CODE],0),)," ")</f>
        <v xml:space="preserve"> </v>
      </c>
      <c r="I7640" s="142"/>
      <c r="J7640" s="143" t="s">
        <v>52</v>
      </c>
      <c r="K7640" s="226">
        <v>383511.23</v>
      </c>
      <c r="L7640" s="226"/>
    </row>
    <row r="7641" spans="1:12" x14ac:dyDescent="0.2">
      <c r="A7641" s="163">
        <v>2022</v>
      </c>
      <c r="B7641" s="163">
        <v>11</v>
      </c>
      <c r="C7641" s="163">
        <v>7</v>
      </c>
      <c r="D7641" s="141">
        <f>DATE(A7641,B7641,C7641)</f>
        <v>44872</v>
      </c>
      <c r="E7641" s="275">
        <f>DATE(A7641,B7641,C7641)</f>
        <v>44872</v>
      </c>
      <c r="F7641" s="480"/>
      <c r="G7641" s="221" t="s">
        <v>74</v>
      </c>
      <c r="H7641" s="221" t="str" cm="1">
        <f t="array" ref="H7641">IFERROR(INDEX(INVESTOR_LIST[INVESTOR NAME],MATCH(I7641,INVESTOR_LIST[INVESTOR CODE],0),)," ")</f>
        <v xml:space="preserve"> </v>
      </c>
      <c r="I7641" s="145" t="s">
        <v>348</v>
      </c>
      <c r="J7641" s="146" t="s">
        <v>190</v>
      </c>
      <c r="K7641" s="219"/>
      <c r="L7641" s="219">
        <v>383511.23</v>
      </c>
    </row>
    <row r="7642" spans="1:12" x14ac:dyDescent="0.2">
      <c r="A7642" s="133">
        <v>2022</v>
      </c>
      <c r="B7642" s="168">
        <v>11</v>
      </c>
      <c r="C7642" s="168">
        <v>7</v>
      </c>
      <c r="D7642" s="141">
        <f t="shared" ref="D7642:D7643" si="678">DATE(A7642,B7642,C7642)</f>
        <v>44872</v>
      </c>
      <c r="E7642" s="275">
        <f t="shared" ref="E7642:E7643" si="679">DATE(A7642,B7642,C7642)</f>
        <v>44872</v>
      </c>
      <c r="F7642" s="481" t="s">
        <v>1523</v>
      </c>
      <c r="G7642" s="174" t="s">
        <v>94</v>
      </c>
      <c r="H7642" s="174" t="str" cm="1">
        <f t="array" ref="H7642">IFERROR(INDEX(INVESTOR_LIST[INVESTOR NAME],MATCH(I7642,INVESTOR_LIST[INVESTOR CODE],0),)," ")</f>
        <v xml:space="preserve"> </v>
      </c>
      <c r="I7642" s="148" t="s">
        <v>348</v>
      </c>
      <c r="J7642" s="149" t="s">
        <v>168</v>
      </c>
      <c r="K7642" s="218">
        <v>136850</v>
      </c>
      <c r="L7642" s="218"/>
    </row>
    <row r="7643" spans="1:12" x14ac:dyDescent="0.2">
      <c r="A7643" s="163">
        <v>2022</v>
      </c>
      <c r="B7643" s="163">
        <v>11</v>
      </c>
      <c r="C7643" s="163">
        <v>7</v>
      </c>
      <c r="D7643" s="141">
        <f t="shared" si="678"/>
        <v>44872</v>
      </c>
      <c r="E7643" s="275">
        <f t="shared" si="679"/>
        <v>44872</v>
      </c>
      <c r="F7643" s="480"/>
      <c r="G7643" s="221" t="s">
        <v>94</v>
      </c>
      <c r="H7643" s="221" t="str" cm="1">
        <f t="array" ref="H7643">IFERROR(INDEX(INVESTOR_LIST[INVESTOR NAME],MATCH(I7643,INVESTOR_LIST[INVESTOR CODE],0),)," ")</f>
        <v xml:space="preserve"> </v>
      </c>
      <c r="I7643" s="145" t="s">
        <v>348</v>
      </c>
      <c r="J7643" s="146" t="s">
        <v>166</v>
      </c>
      <c r="K7643" s="219"/>
      <c r="L7643" s="219">
        <v>136850</v>
      </c>
    </row>
    <row r="7644" spans="1:12" x14ac:dyDescent="0.2">
      <c r="A7644" s="168">
        <v>2022</v>
      </c>
      <c r="B7644" s="168">
        <v>11</v>
      </c>
      <c r="C7644" s="168">
        <v>8</v>
      </c>
      <c r="D7644" s="141">
        <f>DATE(A7644,B7644,C7644)</f>
        <v>44873</v>
      </c>
      <c r="E7644" s="275">
        <f>DATE(A7644,B7644,C7644)</f>
        <v>44873</v>
      </c>
      <c r="F7644" s="479" t="s">
        <v>1500</v>
      </c>
      <c r="G7644" s="220" t="s">
        <v>74</v>
      </c>
      <c r="H7644" s="220" t="str" cm="1">
        <f t="array" ref="H7644">IFERROR(INDEX(INVESTOR_LIST[INVESTOR NAME],MATCH(I7644,INVESTOR_LIST[INVESTOR CODE],0),)," ")</f>
        <v xml:space="preserve"> </v>
      </c>
      <c r="I7644" s="142"/>
      <c r="J7644" s="143" t="s">
        <v>52</v>
      </c>
      <c r="K7644" s="226">
        <v>1115308.52</v>
      </c>
      <c r="L7644" s="226"/>
    </row>
    <row r="7645" spans="1:12" x14ac:dyDescent="0.2">
      <c r="A7645" s="163">
        <v>2022</v>
      </c>
      <c r="B7645" s="163">
        <v>11</v>
      </c>
      <c r="C7645" s="163">
        <v>8</v>
      </c>
      <c r="D7645" s="141">
        <f>DATE(A7645,B7645,C7645)</f>
        <v>44873</v>
      </c>
      <c r="E7645" s="275">
        <f>DATE(A7645,B7645,C7645)</f>
        <v>44873</v>
      </c>
      <c r="F7645" s="480"/>
      <c r="G7645" s="221" t="s">
        <v>74</v>
      </c>
      <c r="H7645" s="221" t="str" cm="1">
        <f t="array" ref="H7645">IFERROR(INDEX(INVESTOR_LIST[INVESTOR NAME],MATCH(I7645,INVESTOR_LIST[INVESTOR CODE],0),)," ")</f>
        <v xml:space="preserve"> </v>
      </c>
      <c r="I7645" s="145" t="s">
        <v>348</v>
      </c>
      <c r="J7645" s="146" t="s">
        <v>190</v>
      </c>
      <c r="K7645" s="219"/>
      <c r="L7645" s="219">
        <v>1115308.52</v>
      </c>
    </row>
    <row r="7646" spans="1:12" ht="45" x14ac:dyDescent="0.2">
      <c r="A7646" s="168">
        <v>2022</v>
      </c>
      <c r="B7646" s="168">
        <v>11</v>
      </c>
      <c r="C7646" s="133">
        <v>8</v>
      </c>
      <c r="D7646" s="141">
        <f t="shared" ref="D7646:D7651" si="680">DATE(A7646,B7646,C7646)</f>
        <v>44873</v>
      </c>
      <c r="E7646" s="275">
        <f t="shared" ref="E7646:E7651" si="681">DATE(A7646,B7646,C7646)</f>
        <v>44873</v>
      </c>
      <c r="F7646" s="479" t="s">
        <v>1315</v>
      </c>
      <c r="G7646" s="220" t="s">
        <v>74</v>
      </c>
      <c r="H7646" s="142" t="str" cm="1">
        <f t="array" ref="H7646">IFERROR(INDEX(INVESTOR_LIST[INVESTOR NAME],MATCH(I7646,INVESTOR_LIST[INVESTOR CODE],0),)," ")</f>
        <v>KHAN MUHAMMAD FAISOL</v>
      </c>
      <c r="I7646" s="142" t="s">
        <v>1521</v>
      </c>
      <c r="J7646" s="168" t="s">
        <v>13</v>
      </c>
      <c r="K7646" s="226">
        <v>3200000</v>
      </c>
      <c r="L7646" s="226"/>
    </row>
    <row r="7647" spans="1:12" ht="45" x14ac:dyDescent="0.2">
      <c r="A7647" s="133">
        <v>2022</v>
      </c>
      <c r="B7647" s="133">
        <v>11</v>
      </c>
      <c r="C7647" s="133">
        <v>8</v>
      </c>
      <c r="D7647" s="141">
        <f t="shared" si="680"/>
        <v>44873</v>
      </c>
      <c r="E7647" s="275">
        <f t="shared" si="681"/>
        <v>44873</v>
      </c>
      <c r="F7647" s="481"/>
      <c r="G7647" s="174" t="s">
        <v>74</v>
      </c>
      <c r="H7647" s="148" t="str" cm="1">
        <f t="array" ref="H7647">IFERROR(INDEX(INVESTOR_LIST[INVESTOR NAME],MATCH(I7647,INVESTOR_LIST[INVESTOR CODE],0),)," ")</f>
        <v>KHAN MUHAMMAD FAISOL</v>
      </c>
      <c r="I7647" s="148" t="s">
        <v>1521</v>
      </c>
      <c r="J7647" s="133" t="s">
        <v>53</v>
      </c>
      <c r="K7647" s="218">
        <v>681600</v>
      </c>
      <c r="L7647" s="218"/>
    </row>
    <row r="7648" spans="1:12" ht="45" x14ac:dyDescent="0.2">
      <c r="A7648" s="163">
        <v>2022</v>
      </c>
      <c r="B7648" s="163">
        <v>11</v>
      </c>
      <c r="C7648" s="163">
        <v>8</v>
      </c>
      <c r="D7648" s="280">
        <f t="shared" si="680"/>
        <v>44873</v>
      </c>
      <c r="E7648" s="281">
        <f t="shared" si="681"/>
        <v>44873</v>
      </c>
      <c r="F7648" s="480"/>
      <c r="G7648" s="221" t="s">
        <v>74</v>
      </c>
      <c r="H7648" s="145" t="str" cm="1">
        <f t="array" ref="H7648">IFERROR(INDEX(INVESTOR_LIST[INVESTOR NAME],MATCH(I7648,INVESTOR_LIST[INVESTOR CODE],0),)," ")</f>
        <v>KHAN MUHAMMAD FAISOL</v>
      </c>
      <c r="I7648" s="145" t="s">
        <v>1521</v>
      </c>
      <c r="J7648" s="163" t="s">
        <v>52</v>
      </c>
      <c r="K7648" s="219"/>
      <c r="L7648" s="219">
        <v>3881600</v>
      </c>
    </row>
    <row r="7649" spans="1:12" x14ac:dyDescent="0.2">
      <c r="A7649" s="168">
        <v>2022</v>
      </c>
      <c r="B7649" s="168">
        <v>11</v>
      </c>
      <c r="C7649" s="133">
        <v>9</v>
      </c>
      <c r="D7649" s="141">
        <f t="shared" si="680"/>
        <v>44874</v>
      </c>
      <c r="E7649" s="275">
        <f t="shared" si="681"/>
        <v>44874</v>
      </c>
      <c r="F7649" s="479" t="s">
        <v>1522</v>
      </c>
      <c r="G7649" s="220" t="s">
        <v>74</v>
      </c>
      <c r="H7649" s="220" t="str" cm="1">
        <f t="array" ref="H7649">IFERROR(INDEX(INVESTOR_LIST[INVESTOR NAME],MATCH(I7649,INVESTOR_LIST[INVESTOR CODE],0),)," ")</f>
        <v xml:space="preserve"> </v>
      </c>
      <c r="I7649" s="142" t="s">
        <v>348</v>
      </c>
      <c r="J7649" s="143" t="s">
        <v>79</v>
      </c>
      <c r="K7649" s="226">
        <v>4715510</v>
      </c>
      <c r="L7649" s="226"/>
    </row>
    <row r="7650" spans="1:12" x14ac:dyDescent="0.2">
      <c r="A7650" s="133">
        <v>2022</v>
      </c>
      <c r="B7650" s="133">
        <v>11</v>
      </c>
      <c r="C7650" s="133">
        <v>9</v>
      </c>
      <c r="D7650" s="141">
        <f t="shared" si="680"/>
        <v>44874</v>
      </c>
      <c r="E7650" s="275">
        <f t="shared" si="681"/>
        <v>44874</v>
      </c>
      <c r="F7650" s="481"/>
      <c r="G7650" s="174" t="s">
        <v>74</v>
      </c>
      <c r="H7650" s="174" t="str" cm="1">
        <f t="array" ref="H7650">IFERROR(INDEX(INVESTOR_LIST[INVESTOR NAME],MATCH(I7650,INVESTOR_LIST[INVESTOR CODE],0),)," ")</f>
        <v xml:space="preserve"> </v>
      </c>
      <c r="I7650" s="148" t="s">
        <v>348</v>
      </c>
      <c r="J7650" s="149" t="s">
        <v>52</v>
      </c>
      <c r="K7650" s="218">
        <v>284490</v>
      </c>
      <c r="L7650" s="218"/>
    </row>
    <row r="7651" spans="1:12" x14ac:dyDescent="0.2">
      <c r="A7651" s="163">
        <v>2022</v>
      </c>
      <c r="B7651" s="163">
        <v>11</v>
      </c>
      <c r="C7651" s="163">
        <v>9</v>
      </c>
      <c r="D7651" s="141">
        <f t="shared" si="680"/>
        <v>44874</v>
      </c>
      <c r="E7651" s="275">
        <f t="shared" si="681"/>
        <v>44874</v>
      </c>
      <c r="F7651" s="480"/>
      <c r="G7651" s="221" t="s">
        <v>74</v>
      </c>
      <c r="H7651" s="221" t="str" cm="1">
        <f t="array" ref="H7651">IFERROR(INDEX(INVESTOR_LIST[INVESTOR NAME],MATCH(I7651,INVESTOR_LIST[INVESTOR CODE],0),)," ")</f>
        <v xml:space="preserve"> </v>
      </c>
      <c r="I7651" s="145" t="s">
        <v>348</v>
      </c>
      <c r="J7651" s="146" t="s">
        <v>184</v>
      </c>
      <c r="K7651" s="219"/>
      <c r="L7651" s="219">
        <v>5000000</v>
      </c>
    </row>
    <row r="7652" spans="1:12" x14ac:dyDescent="0.2">
      <c r="A7652" s="168">
        <v>2022</v>
      </c>
      <c r="B7652" s="168">
        <v>11</v>
      </c>
      <c r="C7652" s="168">
        <v>9</v>
      </c>
      <c r="D7652" s="141">
        <f>DATE(A7652,B7652,C7652)</f>
        <v>44874</v>
      </c>
      <c r="E7652" s="275">
        <f>DATE(A7652,B7652,C7652)</f>
        <v>44874</v>
      </c>
      <c r="F7652" s="479" t="s">
        <v>1500</v>
      </c>
      <c r="G7652" s="220" t="s">
        <v>74</v>
      </c>
      <c r="H7652" s="220" t="str" cm="1">
        <f t="array" ref="H7652">IFERROR(INDEX(INVESTOR_LIST[INVESTOR NAME],MATCH(I7652,INVESTOR_LIST[INVESTOR CODE],0),)," ")</f>
        <v xml:space="preserve"> </v>
      </c>
      <c r="I7652" s="142"/>
      <c r="J7652" s="143" t="s">
        <v>52</v>
      </c>
      <c r="K7652" s="226">
        <v>2000370.34</v>
      </c>
      <c r="L7652" s="226"/>
    </row>
    <row r="7653" spans="1:12" x14ac:dyDescent="0.2">
      <c r="A7653" s="163">
        <v>2022</v>
      </c>
      <c r="B7653" s="163">
        <v>11</v>
      </c>
      <c r="C7653" s="163">
        <v>9</v>
      </c>
      <c r="D7653" s="141">
        <f>DATE(A7653,B7653,C7653)</f>
        <v>44874</v>
      </c>
      <c r="E7653" s="275">
        <f>DATE(A7653,B7653,C7653)</f>
        <v>44874</v>
      </c>
      <c r="F7653" s="480"/>
      <c r="G7653" s="221" t="s">
        <v>74</v>
      </c>
      <c r="H7653" s="221" t="str" cm="1">
        <f t="array" ref="H7653">IFERROR(INDEX(INVESTOR_LIST[INVESTOR NAME],MATCH(I7653,INVESTOR_LIST[INVESTOR CODE],0),)," ")</f>
        <v xml:space="preserve"> </v>
      </c>
      <c r="I7653" s="145" t="s">
        <v>348</v>
      </c>
      <c r="J7653" s="146" t="s">
        <v>190</v>
      </c>
      <c r="K7653" s="219"/>
      <c r="L7653" s="219">
        <v>2000370.34</v>
      </c>
    </row>
    <row r="7654" spans="1:12" ht="33.75" x14ac:dyDescent="0.2">
      <c r="A7654" s="168">
        <v>2022</v>
      </c>
      <c r="B7654" s="168">
        <v>11</v>
      </c>
      <c r="C7654" s="133">
        <v>10</v>
      </c>
      <c r="D7654" s="141">
        <f t="shared" ref="D7654:D7662" si="682">DATE(A7654,B7654,C7654)</f>
        <v>44875</v>
      </c>
      <c r="E7654" s="275">
        <f t="shared" ref="E7654:E7662" si="683">DATE(A7654,B7654,C7654)</f>
        <v>44875</v>
      </c>
      <c r="F7654" s="479" t="s">
        <v>1315</v>
      </c>
      <c r="G7654" s="220" t="s">
        <v>74</v>
      </c>
      <c r="H7654" s="142" t="str" cm="1">
        <f t="array" ref="H7654">IFERROR(INDEX(INVESTOR_LIST[INVESTOR NAME],MATCH(I7654,INVESTOR_LIST[INVESTOR CODE],0),)," ")</f>
        <v>MIR ARIFUL ISLAM</v>
      </c>
      <c r="I7654" s="142" t="s">
        <v>1353</v>
      </c>
      <c r="J7654" s="168" t="s">
        <v>13</v>
      </c>
      <c r="K7654" s="226">
        <v>1360000</v>
      </c>
      <c r="L7654" s="226"/>
    </row>
    <row r="7655" spans="1:12" ht="33.75" x14ac:dyDescent="0.2">
      <c r="A7655" s="133">
        <v>2022</v>
      </c>
      <c r="B7655" s="133">
        <v>11</v>
      </c>
      <c r="C7655" s="133">
        <v>10</v>
      </c>
      <c r="D7655" s="141">
        <f t="shared" si="682"/>
        <v>44875</v>
      </c>
      <c r="E7655" s="275">
        <f t="shared" si="683"/>
        <v>44875</v>
      </c>
      <c r="F7655" s="481"/>
      <c r="G7655" s="174" t="s">
        <v>74</v>
      </c>
      <c r="H7655" s="148" t="str" cm="1">
        <f t="array" ref="H7655">IFERROR(INDEX(INVESTOR_LIST[INVESTOR NAME],MATCH(I7655,INVESTOR_LIST[INVESTOR CODE],0),)," ")</f>
        <v>MIR ARIFUL ISLAM</v>
      </c>
      <c r="I7655" s="148" t="s">
        <v>1353</v>
      </c>
      <c r="J7655" s="133" t="s">
        <v>53</v>
      </c>
      <c r="K7655" s="218">
        <v>289680</v>
      </c>
      <c r="L7655" s="218"/>
    </row>
    <row r="7656" spans="1:12" ht="33.75" x14ac:dyDescent="0.2">
      <c r="A7656" s="163">
        <v>2022</v>
      </c>
      <c r="B7656" s="163">
        <v>11</v>
      </c>
      <c r="C7656" s="163">
        <v>10</v>
      </c>
      <c r="D7656" s="280">
        <f t="shared" si="682"/>
        <v>44875</v>
      </c>
      <c r="E7656" s="281">
        <f t="shared" si="683"/>
        <v>44875</v>
      </c>
      <c r="F7656" s="480"/>
      <c r="G7656" s="221" t="s">
        <v>74</v>
      </c>
      <c r="H7656" s="145" t="str" cm="1">
        <f t="array" ref="H7656">IFERROR(INDEX(INVESTOR_LIST[INVESTOR NAME],MATCH(I7656,INVESTOR_LIST[INVESTOR CODE],0),)," ")</f>
        <v>MIR ARIFUL ISLAM</v>
      </c>
      <c r="I7656" s="145" t="s">
        <v>1353</v>
      </c>
      <c r="J7656" s="163" t="s">
        <v>52</v>
      </c>
      <c r="K7656" s="219"/>
      <c r="L7656" s="219">
        <v>1649680</v>
      </c>
    </row>
    <row r="7657" spans="1:12" x14ac:dyDescent="0.2">
      <c r="A7657" s="133">
        <v>2022</v>
      </c>
      <c r="B7657" s="168">
        <v>11</v>
      </c>
      <c r="C7657" s="168">
        <v>10</v>
      </c>
      <c r="D7657" s="141">
        <f t="shared" si="682"/>
        <v>44875</v>
      </c>
      <c r="E7657" s="275">
        <f t="shared" si="683"/>
        <v>44875</v>
      </c>
      <c r="F7657" s="481" t="s">
        <v>1527</v>
      </c>
      <c r="G7657" s="174" t="s">
        <v>94</v>
      </c>
      <c r="H7657" s="174" t="str" cm="1">
        <f t="array" ref="H7657">IFERROR(INDEX(INVESTOR_LIST[INVESTOR NAME],MATCH(I7657,INVESTOR_LIST[INVESTOR CODE],0),)," ")</f>
        <v xml:space="preserve"> </v>
      </c>
      <c r="I7657" s="148" t="s">
        <v>348</v>
      </c>
      <c r="J7657" s="149" t="s">
        <v>168</v>
      </c>
      <c r="K7657" s="218">
        <v>145443.20000000001</v>
      </c>
      <c r="L7657" s="218"/>
    </row>
    <row r="7658" spans="1:12" x14ac:dyDescent="0.2">
      <c r="A7658" s="163">
        <v>2022</v>
      </c>
      <c r="B7658" s="163">
        <v>11</v>
      </c>
      <c r="C7658" s="163">
        <v>10</v>
      </c>
      <c r="D7658" s="141">
        <f t="shared" si="682"/>
        <v>44875</v>
      </c>
      <c r="E7658" s="275">
        <f t="shared" si="683"/>
        <v>44875</v>
      </c>
      <c r="F7658" s="480"/>
      <c r="G7658" s="221" t="s">
        <v>94</v>
      </c>
      <c r="H7658" s="221" t="str" cm="1">
        <f t="array" ref="H7658">IFERROR(INDEX(INVESTOR_LIST[INVESTOR NAME],MATCH(I7658,INVESTOR_LIST[INVESTOR CODE],0),)," ")</f>
        <v xml:space="preserve"> </v>
      </c>
      <c r="I7658" s="145" t="s">
        <v>348</v>
      </c>
      <c r="J7658" s="146" t="s">
        <v>166</v>
      </c>
      <c r="K7658" s="219"/>
      <c r="L7658" s="219">
        <v>145443.20000000001</v>
      </c>
    </row>
    <row r="7659" spans="1:12" x14ac:dyDescent="0.2">
      <c r="A7659" s="324">
        <v>2022</v>
      </c>
      <c r="B7659" s="324">
        <v>11</v>
      </c>
      <c r="C7659" s="325">
        <v>10</v>
      </c>
      <c r="D7659" s="326">
        <f t="shared" si="682"/>
        <v>44875</v>
      </c>
      <c r="E7659" s="327">
        <f t="shared" si="683"/>
        <v>44875</v>
      </c>
      <c r="F7659" s="473" t="s">
        <v>1489</v>
      </c>
      <c r="G7659" s="328" t="s">
        <v>94</v>
      </c>
      <c r="H7659" s="329" t="str" cm="1">
        <f t="array" ref="H7659">IFERROR(INDEX(INVESTOR_LIST[INVESTOR NAME],MATCH(I7659,INVESTOR_LIST[INVESTOR CODE],0),)," ")</f>
        <v xml:space="preserve"> </v>
      </c>
      <c r="I7659" s="329" t="s">
        <v>348</v>
      </c>
      <c r="J7659" s="324" t="s">
        <v>133</v>
      </c>
      <c r="K7659" s="330">
        <v>3424.27</v>
      </c>
      <c r="L7659" s="330"/>
    </row>
    <row r="7660" spans="1:12" x14ac:dyDescent="0.2">
      <c r="A7660" s="331">
        <v>2022</v>
      </c>
      <c r="B7660" s="331">
        <v>11</v>
      </c>
      <c r="C7660" s="331">
        <v>10</v>
      </c>
      <c r="D7660" s="326">
        <f t="shared" si="682"/>
        <v>44875</v>
      </c>
      <c r="E7660" s="327">
        <f t="shared" si="683"/>
        <v>44875</v>
      </c>
      <c r="F7660" s="474"/>
      <c r="G7660" s="332" t="s">
        <v>94</v>
      </c>
      <c r="H7660" s="333" t="str" cm="1">
        <f t="array" ref="H7660">IFERROR(INDEX(INVESTOR_LIST[INVESTOR NAME],MATCH(I7660,INVESTOR_LIST[INVESTOR CODE],0),)," ")</f>
        <v xml:space="preserve"> </v>
      </c>
      <c r="I7660" s="333" t="s">
        <v>348</v>
      </c>
      <c r="J7660" s="331" t="s">
        <v>152</v>
      </c>
      <c r="K7660" s="334"/>
      <c r="L7660" s="334">
        <v>3424.27</v>
      </c>
    </row>
    <row r="7661" spans="1:12" x14ac:dyDescent="0.2">
      <c r="A7661" s="324">
        <v>2022</v>
      </c>
      <c r="B7661" s="324">
        <v>11</v>
      </c>
      <c r="C7661" s="325">
        <v>10</v>
      </c>
      <c r="D7661" s="326">
        <f t="shared" si="682"/>
        <v>44875</v>
      </c>
      <c r="E7661" s="327">
        <f t="shared" si="683"/>
        <v>44875</v>
      </c>
      <c r="F7661" s="473" t="s">
        <v>1491</v>
      </c>
      <c r="G7661" s="328" t="s">
        <v>94</v>
      </c>
      <c r="H7661" s="329" t="str" cm="1">
        <f t="array" ref="H7661">IFERROR(INDEX(INVESTOR_LIST[INVESTOR NAME],MATCH(I7661,INVESTOR_LIST[INVESTOR CODE],0),)," ")</f>
        <v xml:space="preserve"> </v>
      </c>
      <c r="I7661" s="329" t="s">
        <v>348</v>
      </c>
      <c r="J7661" s="324" t="s">
        <v>133</v>
      </c>
      <c r="K7661" s="330">
        <v>10838.39</v>
      </c>
      <c r="L7661" s="330"/>
    </row>
    <row r="7662" spans="1:12" x14ac:dyDescent="0.2">
      <c r="A7662" s="331">
        <v>2022</v>
      </c>
      <c r="B7662" s="331">
        <v>11</v>
      </c>
      <c r="C7662" s="331">
        <v>10</v>
      </c>
      <c r="D7662" s="326">
        <f t="shared" si="682"/>
        <v>44875</v>
      </c>
      <c r="E7662" s="327">
        <f t="shared" si="683"/>
        <v>44875</v>
      </c>
      <c r="F7662" s="474"/>
      <c r="G7662" s="332" t="s">
        <v>94</v>
      </c>
      <c r="H7662" s="333" t="str" cm="1">
        <f t="array" ref="H7662">IFERROR(INDEX(INVESTOR_LIST[INVESTOR NAME],MATCH(I7662,INVESTOR_LIST[INVESTOR CODE],0),)," ")</f>
        <v xml:space="preserve"> </v>
      </c>
      <c r="I7662" s="333" t="s">
        <v>348</v>
      </c>
      <c r="J7662" s="331" t="s">
        <v>152</v>
      </c>
      <c r="K7662" s="334"/>
      <c r="L7662" s="334">
        <v>10838.39</v>
      </c>
    </row>
    <row r="7663" spans="1:12" x14ac:dyDescent="0.2">
      <c r="A7663" s="324">
        <v>2022</v>
      </c>
      <c r="B7663" s="324">
        <v>11</v>
      </c>
      <c r="C7663" s="325">
        <v>10</v>
      </c>
      <c r="D7663" s="326">
        <f>DATE(A7663,B7663,C7663)</f>
        <v>44875</v>
      </c>
      <c r="E7663" s="327">
        <f>DATE(A7663,B7663,C7663)</f>
        <v>44875</v>
      </c>
      <c r="F7663" s="473" t="s">
        <v>1490</v>
      </c>
      <c r="G7663" s="328" t="s">
        <v>94</v>
      </c>
      <c r="H7663" s="329" t="str" cm="1">
        <f t="array" ref="H7663">IFERROR(INDEX(INVESTOR_LIST[INVESTOR NAME],MATCH(I7663,INVESTOR_LIST[INVESTOR CODE],0),)," ")</f>
        <v xml:space="preserve"> </v>
      </c>
      <c r="I7663" s="329" t="s">
        <v>348</v>
      </c>
      <c r="J7663" s="324" t="s">
        <v>133</v>
      </c>
      <c r="K7663" s="330">
        <v>13681.97</v>
      </c>
      <c r="L7663" s="330"/>
    </row>
    <row r="7664" spans="1:12" x14ac:dyDescent="0.2">
      <c r="A7664" s="331">
        <v>2022</v>
      </c>
      <c r="B7664" s="331">
        <v>11</v>
      </c>
      <c r="C7664" s="331">
        <v>10</v>
      </c>
      <c r="D7664" s="326">
        <f>DATE(A7664,B7664,C7664)</f>
        <v>44875</v>
      </c>
      <c r="E7664" s="327">
        <f>DATE(A7664,B7664,C7664)</f>
        <v>44875</v>
      </c>
      <c r="F7664" s="474"/>
      <c r="G7664" s="332" t="s">
        <v>94</v>
      </c>
      <c r="H7664" s="333" t="str" cm="1">
        <f t="array" ref="H7664">IFERROR(INDEX(INVESTOR_LIST[INVESTOR NAME],MATCH(I7664,INVESTOR_LIST[INVESTOR CODE],0),)," ")</f>
        <v xml:space="preserve"> </v>
      </c>
      <c r="I7664" s="333" t="s">
        <v>348</v>
      </c>
      <c r="J7664" s="331" t="s">
        <v>152</v>
      </c>
      <c r="K7664" s="334"/>
      <c r="L7664" s="334">
        <v>13681.97</v>
      </c>
    </row>
    <row r="7665" spans="1:12" x14ac:dyDescent="0.2">
      <c r="A7665" s="238">
        <v>2022</v>
      </c>
      <c r="B7665" s="238">
        <v>11</v>
      </c>
      <c r="C7665" s="238">
        <v>10</v>
      </c>
      <c r="D7665" s="270">
        <f t="shared" ref="D7665:D7683" si="684">DATE(A7665,B7665,C7665)</f>
        <v>44875</v>
      </c>
      <c r="E7665" s="279">
        <f t="shared" ref="E7665:E7683" si="685">DATE(A7665,B7665,C7665)</f>
        <v>44875</v>
      </c>
      <c r="F7665" s="477" t="s">
        <v>347</v>
      </c>
      <c r="G7665" s="239" t="s">
        <v>94</v>
      </c>
      <c r="H7665" s="239" t="str" cm="1">
        <f t="array" ref="H7665">IFERROR(INDEX(INVESTOR_LIST[INVESTOR NAME],MATCH(I7665,INVESTOR_LIST[INVESTOR CODE],0),)," ")</f>
        <v xml:space="preserve"> </v>
      </c>
      <c r="I7665" s="262" t="s">
        <v>348</v>
      </c>
      <c r="J7665" s="240" t="s">
        <v>82</v>
      </c>
      <c r="K7665" s="241">
        <v>42253.090000003576</v>
      </c>
      <c r="L7665" s="241"/>
    </row>
    <row r="7666" spans="1:12" x14ac:dyDescent="0.2">
      <c r="A7666" s="242">
        <v>2022</v>
      </c>
      <c r="B7666" s="242">
        <v>11</v>
      </c>
      <c r="C7666" s="242">
        <v>10</v>
      </c>
      <c r="D7666" s="270">
        <f t="shared" si="684"/>
        <v>44875</v>
      </c>
      <c r="E7666" s="279">
        <f t="shared" si="685"/>
        <v>44875</v>
      </c>
      <c r="F7666" s="478"/>
      <c r="G7666" s="243" t="s">
        <v>94</v>
      </c>
      <c r="H7666" s="243" t="str" cm="1">
        <f t="array" ref="H7666">IFERROR(INDEX(INVESTOR_LIST[INVESTOR NAME],MATCH(I7666,INVESTOR_LIST[INVESTOR CODE],0),)," ")</f>
        <v xml:space="preserve"> </v>
      </c>
      <c r="I7666" s="263" t="s">
        <v>348</v>
      </c>
      <c r="J7666" s="244" t="s">
        <v>108</v>
      </c>
      <c r="K7666" s="245"/>
      <c r="L7666" s="245">
        <v>42253.090000003576</v>
      </c>
    </row>
    <row r="7667" spans="1:12" ht="22.5" x14ac:dyDescent="0.2">
      <c r="A7667" s="246">
        <v>2022</v>
      </c>
      <c r="B7667" s="238">
        <v>11</v>
      </c>
      <c r="C7667" s="238">
        <v>10</v>
      </c>
      <c r="D7667" s="270">
        <f t="shared" si="684"/>
        <v>44875</v>
      </c>
      <c r="E7667" s="279">
        <f t="shared" si="685"/>
        <v>44875</v>
      </c>
      <c r="F7667" s="482" t="s">
        <v>148</v>
      </c>
      <c r="G7667" s="247" t="s">
        <v>94</v>
      </c>
      <c r="H7667" s="247" t="str" cm="1">
        <f t="array" ref="H7667">IFERROR(INDEX(INVESTOR_LIST[INVESTOR NAME],MATCH(I7667,INVESTOR_LIST[INVESTOR CODE],0),)," ")</f>
        <v xml:space="preserve"> </v>
      </c>
      <c r="I7667" s="248" t="s">
        <v>348</v>
      </c>
      <c r="J7667" s="249" t="s">
        <v>95</v>
      </c>
      <c r="K7667" s="250">
        <v>2747.2527472527472</v>
      </c>
      <c r="L7667" s="241"/>
    </row>
    <row r="7668" spans="1:12" x14ac:dyDescent="0.2">
      <c r="A7668" s="242">
        <v>2022</v>
      </c>
      <c r="B7668" s="242">
        <v>11</v>
      </c>
      <c r="C7668" s="242">
        <v>10</v>
      </c>
      <c r="D7668" s="270">
        <f t="shared" si="684"/>
        <v>44875</v>
      </c>
      <c r="E7668" s="279">
        <f t="shared" si="685"/>
        <v>44875</v>
      </c>
      <c r="F7668" s="478"/>
      <c r="G7668" s="243" t="s">
        <v>94</v>
      </c>
      <c r="H7668" s="243" t="str" cm="1">
        <f t="array" ref="H7668">IFERROR(INDEX(INVESTOR_LIST[INVESTOR NAME],MATCH(I7668,INVESTOR_LIST[INVESTOR CODE],0),)," ")</f>
        <v xml:space="preserve"> </v>
      </c>
      <c r="I7668" s="263" t="s">
        <v>348</v>
      </c>
      <c r="J7668" s="244" t="s">
        <v>63</v>
      </c>
      <c r="K7668" s="245"/>
      <c r="L7668" s="245">
        <v>2747.2527472527472</v>
      </c>
    </row>
    <row r="7669" spans="1:12" x14ac:dyDescent="0.2">
      <c r="A7669" s="246">
        <v>2022</v>
      </c>
      <c r="B7669" s="238">
        <v>11</v>
      </c>
      <c r="C7669" s="238">
        <v>10</v>
      </c>
      <c r="D7669" s="270">
        <f t="shared" si="684"/>
        <v>44875</v>
      </c>
      <c r="E7669" s="279">
        <f t="shared" si="685"/>
        <v>44875</v>
      </c>
      <c r="F7669" s="482" t="s">
        <v>137</v>
      </c>
      <c r="G7669" s="247" t="s">
        <v>94</v>
      </c>
      <c r="H7669" s="247" t="str" cm="1">
        <f t="array" ref="H7669">IFERROR(INDEX(INVESTOR_LIST[INVESTOR NAME],MATCH(I7669,INVESTOR_LIST[INVESTOR CODE],0),)," ")</f>
        <v xml:space="preserve"> </v>
      </c>
      <c r="I7669" s="248" t="s">
        <v>348</v>
      </c>
      <c r="J7669" s="249" t="s">
        <v>97</v>
      </c>
      <c r="K7669" s="250">
        <v>78261.960145056437</v>
      </c>
      <c r="L7669" s="252"/>
    </row>
    <row r="7670" spans="1:12" x14ac:dyDescent="0.2">
      <c r="A7670" s="242">
        <v>2022</v>
      </c>
      <c r="B7670" s="242">
        <v>11</v>
      </c>
      <c r="C7670" s="242">
        <v>10</v>
      </c>
      <c r="D7670" s="270">
        <f t="shared" si="684"/>
        <v>44875</v>
      </c>
      <c r="E7670" s="279">
        <f t="shared" si="685"/>
        <v>44875</v>
      </c>
      <c r="F7670" s="478"/>
      <c r="G7670" s="243" t="s">
        <v>94</v>
      </c>
      <c r="H7670" s="243" t="str" cm="1">
        <f t="array" ref="H7670">IFERROR(INDEX(INVESTOR_LIST[INVESTOR NAME],MATCH(I7670,INVESTOR_LIST[INVESTOR CODE],0),)," ")</f>
        <v xml:space="preserve"> </v>
      </c>
      <c r="I7670" s="263" t="s">
        <v>348</v>
      </c>
      <c r="J7670" s="244" t="s">
        <v>47</v>
      </c>
      <c r="K7670" s="245"/>
      <c r="L7670" s="245">
        <v>78261.960145056437</v>
      </c>
    </row>
    <row r="7671" spans="1:12" x14ac:dyDescent="0.2">
      <c r="A7671" s="246">
        <v>2022</v>
      </c>
      <c r="B7671" s="238">
        <v>11</v>
      </c>
      <c r="C7671" s="238">
        <v>10</v>
      </c>
      <c r="D7671" s="270">
        <f t="shared" si="684"/>
        <v>44875</v>
      </c>
      <c r="E7671" s="279">
        <f t="shared" si="685"/>
        <v>44875</v>
      </c>
      <c r="F7671" s="482" t="s">
        <v>138</v>
      </c>
      <c r="G7671" s="247" t="s">
        <v>94</v>
      </c>
      <c r="H7671" s="247" t="str" cm="1">
        <f t="array" ref="H7671">IFERROR(INDEX(INVESTOR_LIST[INVESTOR NAME],MATCH(I7671,INVESTOR_LIST[INVESTOR CODE],0),)," ")</f>
        <v xml:space="preserve"> </v>
      </c>
      <c r="I7671" s="248" t="s">
        <v>348</v>
      </c>
      <c r="J7671" s="249" t="s">
        <v>100</v>
      </c>
      <c r="K7671" s="250">
        <v>3672.7133918682061</v>
      </c>
      <c r="L7671" s="252"/>
    </row>
    <row r="7672" spans="1:12" x14ac:dyDescent="0.2">
      <c r="A7672" s="242">
        <v>2022</v>
      </c>
      <c r="B7672" s="242">
        <v>11</v>
      </c>
      <c r="C7672" s="242">
        <v>10</v>
      </c>
      <c r="D7672" s="321">
        <f t="shared" si="684"/>
        <v>44875</v>
      </c>
      <c r="E7672" s="322">
        <f t="shared" si="685"/>
        <v>44875</v>
      </c>
      <c r="F7672" s="478"/>
      <c r="G7672" s="243" t="s">
        <v>94</v>
      </c>
      <c r="H7672" s="243" t="str" cm="1">
        <f t="array" ref="H7672">IFERROR(INDEX(INVESTOR_LIST[INVESTOR NAME],MATCH(I7672,INVESTOR_LIST[INVESTOR CODE],0),)," ")</f>
        <v xml:space="preserve"> </v>
      </c>
      <c r="I7672" s="263" t="s">
        <v>348</v>
      </c>
      <c r="J7672" s="244" t="s">
        <v>48</v>
      </c>
      <c r="K7672" s="245"/>
      <c r="L7672" s="245">
        <v>3672.7133918682061</v>
      </c>
    </row>
    <row r="7673" spans="1:12" x14ac:dyDescent="0.2">
      <c r="A7673" s="168">
        <v>2022</v>
      </c>
      <c r="B7673" s="168">
        <v>11</v>
      </c>
      <c r="C7673" s="168">
        <v>13</v>
      </c>
      <c r="D7673" s="141">
        <f>DATE(A7673,B7673,C7673)</f>
        <v>44878</v>
      </c>
      <c r="E7673" s="275">
        <f>DATE(A7673,B7673,C7673)</f>
        <v>44878</v>
      </c>
      <c r="F7673" s="479" t="s">
        <v>1525</v>
      </c>
      <c r="G7673" s="220" t="s">
        <v>74</v>
      </c>
      <c r="H7673" s="220" t="str" cm="1">
        <f t="array" ref="H7673">IFERROR(INDEX(INVESTOR_LIST[INVESTOR NAME],MATCH(I7673,INVESTOR_LIST[INVESTOR CODE],0),)," ")</f>
        <v xml:space="preserve"> </v>
      </c>
      <c r="I7673" s="142" t="s">
        <v>348</v>
      </c>
      <c r="J7673" s="143" t="s">
        <v>104</v>
      </c>
      <c r="K7673" s="226">
        <v>1854.87</v>
      </c>
      <c r="L7673" s="226"/>
    </row>
    <row r="7674" spans="1:12" x14ac:dyDescent="0.2">
      <c r="A7674" s="163">
        <v>2022</v>
      </c>
      <c r="B7674" s="163">
        <v>11</v>
      </c>
      <c r="C7674" s="163">
        <v>13</v>
      </c>
      <c r="D7674" s="141">
        <f>DATE(A7674,B7674,C7674)</f>
        <v>44878</v>
      </c>
      <c r="E7674" s="275">
        <f>DATE(A7674,B7674,C7674)</f>
        <v>44878</v>
      </c>
      <c r="F7674" s="480"/>
      <c r="G7674" s="221" t="s">
        <v>74</v>
      </c>
      <c r="H7674" s="221" t="str" cm="1">
        <f t="array" ref="H7674">IFERROR(INDEX(INVESTOR_LIST[INVESTOR NAME],MATCH(I7674,INVESTOR_LIST[INVESTOR CODE],0),)," ")</f>
        <v xml:space="preserve"> </v>
      </c>
      <c r="I7674" s="145" t="s">
        <v>348</v>
      </c>
      <c r="J7674" s="146" t="s">
        <v>52</v>
      </c>
      <c r="K7674" s="219"/>
      <c r="L7674" s="219">
        <v>1854.87</v>
      </c>
    </row>
    <row r="7675" spans="1:12" ht="45" x14ac:dyDescent="0.2">
      <c r="A7675" s="168">
        <v>2022</v>
      </c>
      <c r="B7675" s="168">
        <v>11</v>
      </c>
      <c r="C7675" s="133">
        <v>14</v>
      </c>
      <c r="D7675" s="141">
        <f t="shared" si="684"/>
        <v>44879</v>
      </c>
      <c r="E7675" s="275">
        <f t="shared" si="685"/>
        <v>44879</v>
      </c>
      <c r="F7675" s="479" t="s">
        <v>1310</v>
      </c>
      <c r="G7675" s="220" t="s">
        <v>74</v>
      </c>
      <c r="H7675" s="142" t="str" cm="1">
        <f t="array" ref="H7675">IFERROR(INDEX(INVESTOR_LIST[INVESTOR NAME],MATCH(I7675,INVESTOR_LIST[INVESTOR CODE],0),)," ")</f>
        <v>ASHUTOSH TALUKDER</v>
      </c>
      <c r="I7675" s="142" t="s">
        <v>483</v>
      </c>
      <c r="J7675" s="168" t="s">
        <v>13</v>
      </c>
      <c r="K7675" s="226">
        <v>164880</v>
      </c>
      <c r="L7675" s="226"/>
    </row>
    <row r="7676" spans="1:12" ht="45" x14ac:dyDescent="0.2">
      <c r="A7676" s="133">
        <v>2022</v>
      </c>
      <c r="B7676" s="133">
        <v>11</v>
      </c>
      <c r="C7676" s="133">
        <v>14</v>
      </c>
      <c r="D7676" s="141">
        <f t="shared" si="684"/>
        <v>44879</v>
      </c>
      <c r="E7676" s="275">
        <f t="shared" si="685"/>
        <v>44879</v>
      </c>
      <c r="F7676" s="481"/>
      <c r="G7676" s="174" t="s">
        <v>74</v>
      </c>
      <c r="H7676" s="148" t="str" cm="1">
        <f t="array" ref="H7676">IFERROR(INDEX(INVESTOR_LIST[INVESTOR NAME],MATCH(I7676,INVESTOR_LIST[INVESTOR CODE],0),)," ")</f>
        <v>ASHUTOSH TALUKDER</v>
      </c>
      <c r="I7676" s="148" t="s">
        <v>483</v>
      </c>
      <c r="J7676" s="133" t="s">
        <v>53</v>
      </c>
      <c r="K7676" s="218">
        <v>35120</v>
      </c>
      <c r="L7676" s="218"/>
    </row>
    <row r="7677" spans="1:12" ht="45" x14ac:dyDescent="0.2">
      <c r="A7677" s="163">
        <v>2022</v>
      </c>
      <c r="B7677" s="163">
        <v>11</v>
      </c>
      <c r="C7677" s="163">
        <v>14</v>
      </c>
      <c r="D7677" s="280">
        <f t="shared" si="684"/>
        <v>44879</v>
      </c>
      <c r="E7677" s="281">
        <f t="shared" si="685"/>
        <v>44879</v>
      </c>
      <c r="F7677" s="480"/>
      <c r="G7677" s="221" t="s">
        <v>74</v>
      </c>
      <c r="H7677" s="145" t="str" cm="1">
        <f t="array" ref="H7677">IFERROR(INDEX(INVESTOR_LIST[INVESTOR NAME],MATCH(I7677,INVESTOR_LIST[INVESTOR CODE],0),)," ")</f>
        <v>ASHUTOSH TALUKDER</v>
      </c>
      <c r="I7677" s="145" t="s">
        <v>483</v>
      </c>
      <c r="J7677" s="163" t="s">
        <v>52</v>
      </c>
      <c r="K7677" s="219"/>
      <c r="L7677" s="219">
        <v>200000</v>
      </c>
    </row>
    <row r="7678" spans="1:12" x14ac:dyDescent="0.2">
      <c r="A7678" s="133">
        <v>2022</v>
      </c>
      <c r="B7678" s="133">
        <v>11</v>
      </c>
      <c r="C7678" s="133">
        <v>14</v>
      </c>
      <c r="D7678" s="141">
        <f t="shared" si="684"/>
        <v>44879</v>
      </c>
      <c r="E7678" s="275">
        <f t="shared" si="685"/>
        <v>44879</v>
      </c>
      <c r="F7678" s="481" t="s">
        <v>1526</v>
      </c>
      <c r="G7678" s="174" t="s">
        <v>74</v>
      </c>
      <c r="H7678" s="174" t="str" cm="1">
        <f t="array" ref="H7678">IFERROR(INDEX(INVESTOR_LIST[INVESTOR NAME],MATCH(I7678,INVESTOR_LIST[INVESTOR CODE],0),)," ")</f>
        <v xml:space="preserve"> </v>
      </c>
      <c r="I7678" s="148" t="s">
        <v>348</v>
      </c>
      <c r="J7678" s="149" t="s">
        <v>52</v>
      </c>
      <c r="K7678" s="218">
        <v>3101774.06</v>
      </c>
      <c r="L7678" s="218"/>
    </row>
    <row r="7679" spans="1:12" x14ac:dyDescent="0.2">
      <c r="A7679" s="133">
        <v>2022</v>
      </c>
      <c r="B7679" s="133">
        <v>11</v>
      </c>
      <c r="C7679" s="133">
        <v>14</v>
      </c>
      <c r="D7679" s="141">
        <f t="shared" ref="D7679" si="686">DATE(A7679,B7679,C7679)</f>
        <v>44879</v>
      </c>
      <c r="E7679" s="275">
        <f t="shared" ref="E7679" si="687">DATE(A7679,B7679,C7679)</f>
        <v>44879</v>
      </c>
      <c r="F7679" s="481"/>
      <c r="G7679" s="174" t="s">
        <v>74</v>
      </c>
      <c r="H7679" s="174"/>
      <c r="J7679" s="149" t="s">
        <v>61</v>
      </c>
      <c r="K7679" s="218">
        <v>3000</v>
      </c>
      <c r="L7679" s="218"/>
    </row>
    <row r="7680" spans="1:12" x14ac:dyDescent="0.2">
      <c r="A7680" s="133">
        <v>2022</v>
      </c>
      <c r="B7680" s="133">
        <v>11</v>
      </c>
      <c r="C7680" s="133">
        <v>14</v>
      </c>
      <c r="D7680" s="141">
        <f t="shared" ref="D7680" si="688">DATE(A7680,B7680,C7680)</f>
        <v>44879</v>
      </c>
      <c r="E7680" s="275">
        <f t="shared" ref="E7680" si="689">DATE(A7680,B7680,C7680)</f>
        <v>44879</v>
      </c>
      <c r="F7680" s="481"/>
      <c r="G7680" s="174" t="s">
        <v>74</v>
      </c>
      <c r="H7680" s="174"/>
      <c r="J7680" s="149" t="s">
        <v>133</v>
      </c>
      <c r="K7680" s="218"/>
      <c r="L7680" s="218">
        <v>53399.06</v>
      </c>
    </row>
    <row r="7681" spans="1:17" x14ac:dyDescent="0.2">
      <c r="A7681" s="163">
        <v>2022</v>
      </c>
      <c r="B7681" s="163">
        <v>11</v>
      </c>
      <c r="C7681" s="163">
        <v>14</v>
      </c>
      <c r="D7681" s="141">
        <f t="shared" si="684"/>
        <v>44879</v>
      </c>
      <c r="E7681" s="275">
        <f t="shared" si="685"/>
        <v>44879</v>
      </c>
      <c r="F7681" s="480"/>
      <c r="G7681" s="221" t="s">
        <v>74</v>
      </c>
      <c r="H7681" s="221" t="str" cm="1">
        <f t="array" ref="H7681">IFERROR(INDEX(INVESTOR_LIST[INVESTOR NAME],MATCH(I7681,INVESTOR_LIST[INVESTOR CODE],0),)," ")</f>
        <v xml:space="preserve"> </v>
      </c>
      <c r="I7681" s="145"/>
      <c r="J7681" s="146" t="s">
        <v>96</v>
      </c>
      <c r="K7681" s="219"/>
      <c r="L7681" s="219">
        <v>3051375</v>
      </c>
    </row>
    <row r="7682" spans="1:17" x14ac:dyDescent="0.2">
      <c r="A7682" s="133">
        <v>2022</v>
      </c>
      <c r="B7682" s="133">
        <v>11</v>
      </c>
      <c r="C7682" s="133">
        <v>15</v>
      </c>
      <c r="D7682" s="141">
        <f t="shared" si="684"/>
        <v>44880</v>
      </c>
      <c r="E7682" s="275">
        <f t="shared" si="685"/>
        <v>44880</v>
      </c>
      <c r="F7682" s="481" t="s">
        <v>1528</v>
      </c>
      <c r="G7682" s="174" t="s">
        <v>74</v>
      </c>
      <c r="H7682" s="174" t="str" cm="1">
        <f t="array" ref="H7682">IFERROR(INDEX(INVESTOR_LIST[INVESTOR NAME],MATCH(I7682,INVESTOR_LIST[INVESTOR CODE],0),)," ")</f>
        <v xml:space="preserve"> </v>
      </c>
      <c r="I7682" s="148" t="s">
        <v>348</v>
      </c>
      <c r="J7682" s="149" t="s">
        <v>163</v>
      </c>
      <c r="K7682" s="218">
        <v>1575</v>
      </c>
      <c r="L7682" s="218"/>
      <c r="M7682" s="147"/>
      <c r="Q7682" s="133" t="s">
        <v>348</v>
      </c>
    </row>
    <row r="7683" spans="1:17" x14ac:dyDescent="0.2">
      <c r="A7683" s="163">
        <v>2022</v>
      </c>
      <c r="B7683" s="163">
        <v>11</v>
      </c>
      <c r="C7683" s="163">
        <v>15</v>
      </c>
      <c r="D7683" s="141">
        <f t="shared" si="684"/>
        <v>44880</v>
      </c>
      <c r="E7683" s="275">
        <f t="shared" si="685"/>
        <v>44880</v>
      </c>
      <c r="F7683" s="480"/>
      <c r="G7683" s="221" t="s">
        <v>74</v>
      </c>
      <c r="H7683" s="221" t="str" cm="1">
        <f t="array" ref="H7683">IFERROR(INDEX(INVESTOR_LIST[INVESTOR NAME],MATCH(I7683,INVESTOR_LIST[INVESTOR CODE],0),)," ")</f>
        <v xml:space="preserve"> </v>
      </c>
      <c r="I7683" s="145"/>
      <c r="J7683" s="146" t="s">
        <v>52</v>
      </c>
      <c r="K7683" s="219"/>
      <c r="L7683" s="219">
        <v>1575</v>
      </c>
      <c r="M7683" s="147"/>
      <c r="Q7683" s="133" t="s">
        <v>348</v>
      </c>
    </row>
    <row r="7684" spans="1:17" x14ac:dyDescent="0.2">
      <c r="A7684" s="133">
        <v>2022</v>
      </c>
      <c r="B7684" s="133">
        <v>11</v>
      </c>
      <c r="C7684" s="133">
        <v>15</v>
      </c>
      <c r="D7684" s="141">
        <f t="shared" ref="D7684:D7690" si="690">DATE(A7684,B7684,C7684)</f>
        <v>44880</v>
      </c>
      <c r="E7684" s="275">
        <f t="shared" ref="E7684:E7690" si="691">DATE(A7684,B7684,C7684)</f>
        <v>44880</v>
      </c>
      <c r="F7684" s="481" t="s">
        <v>1547</v>
      </c>
      <c r="G7684" s="174" t="s">
        <v>74</v>
      </c>
      <c r="H7684" s="174" t="str" cm="1">
        <f t="array" ref="H7684">IFERROR(INDEX(INVESTOR_LIST[INVESTOR NAME],MATCH(I7684,INVESTOR_LIST[INVESTOR CODE],0),)," ")</f>
        <v xml:space="preserve"> </v>
      </c>
      <c r="I7684" s="148" t="s">
        <v>348</v>
      </c>
      <c r="J7684" s="149" t="s">
        <v>96</v>
      </c>
      <c r="K7684" s="218">
        <v>2500000</v>
      </c>
      <c r="L7684" s="218"/>
    </row>
    <row r="7685" spans="1:17" x14ac:dyDescent="0.2">
      <c r="A7685" s="133">
        <v>2022</v>
      </c>
      <c r="B7685" s="133">
        <v>11</v>
      </c>
      <c r="C7685" s="133">
        <v>15</v>
      </c>
      <c r="D7685" s="141">
        <f t="shared" ref="D7685" si="692">DATE(A7685,B7685,C7685)</f>
        <v>44880</v>
      </c>
      <c r="E7685" s="275">
        <f t="shared" ref="E7685" si="693">DATE(A7685,B7685,C7685)</f>
        <v>44880</v>
      </c>
      <c r="F7685" s="481"/>
      <c r="G7685" s="174" t="s">
        <v>74</v>
      </c>
      <c r="H7685" s="174"/>
      <c r="J7685" s="149" t="s">
        <v>52</v>
      </c>
      <c r="K7685" s="218">
        <v>88265.63</v>
      </c>
      <c r="L7685" s="218"/>
    </row>
    <row r="7686" spans="1:17" x14ac:dyDescent="0.2">
      <c r="A7686" s="133">
        <v>2022</v>
      </c>
      <c r="B7686" s="133">
        <v>11</v>
      </c>
      <c r="C7686" s="133">
        <v>15</v>
      </c>
      <c r="D7686" s="141">
        <f t="shared" si="690"/>
        <v>44880</v>
      </c>
      <c r="E7686" s="275">
        <f t="shared" si="691"/>
        <v>44880</v>
      </c>
      <c r="F7686" s="481"/>
      <c r="G7686" s="174" t="s">
        <v>74</v>
      </c>
      <c r="H7686" s="174"/>
      <c r="J7686" s="149" t="s">
        <v>133</v>
      </c>
      <c r="K7686" s="218"/>
      <c r="L7686" s="218">
        <v>44515.63</v>
      </c>
    </row>
    <row r="7687" spans="1:17" x14ac:dyDescent="0.2">
      <c r="A7687" s="163">
        <v>2022</v>
      </c>
      <c r="B7687" s="163">
        <v>11</v>
      </c>
      <c r="C7687" s="163">
        <v>15</v>
      </c>
      <c r="D7687" s="141">
        <f t="shared" si="690"/>
        <v>44880</v>
      </c>
      <c r="E7687" s="275">
        <f t="shared" si="691"/>
        <v>44880</v>
      </c>
      <c r="F7687" s="480"/>
      <c r="G7687" s="221" t="s">
        <v>74</v>
      </c>
      <c r="H7687" s="221" t="str" cm="1">
        <f t="array" ref="H7687">IFERROR(INDEX(INVESTOR_LIST[INVESTOR NAME],MATCH(I7687,INVESTOR_LIST[INVESTOR CODE],0),)," ")</f>
        <v xml:space="preserve"> </v>
      </c>
      <c r="I7687" s="145"/>
      <c r="J7687" s="146" t="s">
        <v>96</v>
      </c>
      <c r="K7687" s="219"/>
      <c r="L7687" s="219">
        <v>2543750</v>
      </c>
    </row>
    <row r="7688" spans="1:17" ht="45" x14ac:dyDescent="0.2">
      <c r="A7688" s="168">
        <v>2022</v>
      </c>
      <c r="B7688" s="168">
        <v>11</v>
      </c>
      <c r="C7688" s="133">
        <v>16</v>
      </c>
      <c r="D7688" s="141">
        <f t="shared" si="690"/>
        <v>44881</v>
      </c>
      <c r="E7688" s="275">
        <f t="shared" si="691"/>
        <v>44881</v>
      </c>
      <c r="F7688" s="479" t="s">
        <v>1315</v>
      </c>
      <c r="G7688" s="220" t="s">
        <v>74</v>
      </c>
      <c r="H7688" s="142" t="str" cm="1">
        <f t="array" ref="H7688">IFERROR(INDEX(INVESTOR_LIST[INVESTOR NAME],MATCH(I7688,INVESTOR_LIST[INVESTOR CODE],0),)," ")</f>
        <v>NAYEEMA TASNEEM</v>
      </c>
      <c r="I7688" s="142" t="s">
        <v>1118</v>
      </c>
      <c r="J7688" s="168" t="s">
        <v>13</v>
      </c>
      <c r="K7688" s="226">
        <v>453420</v>
      </c>
      <c r="L7688" s="226"/>
    </row>
    <row r="7689" spans="1:17" ht="45" x14ac:dyDescent="0.2">
      <c r="A7689" s="133">
        <v>2022</v>
      </c>
      <c r="B7689" s="133">
        <v>11</v>
      </c>
      <c r="C7689" s="133">
        <v>16</v>
      </c>
      <c r="D7689" s="141">
        <f t="shared" si="690"/>
        <v>44881</v>
      </c>
      <c r="E7689" s="275">
        <f t="shared" si="691"/>
        <v>44881</v>
      </c>
      <c r="F7689" s="481"/>
      <c r="G7689" s="174" t="s">
        <v>74</v>
      </c>
      <c r="H7689" s="148" t="str" cm="1">
        <f t="array" ref="H7689">IFERROR(INDEX(INVESTOR_LIST[INVESTOR NAME],MATCH(I7689,INVESTOR_LIST[INVESTOR CODE],0),)," ")</f>
        <v>NAYEEMA TASNEEM</v>
      </c>
      <c r="I7689" s="148" t="s">
        <v>1118</v>
      </c>
      <c r="J7689" s="133" t="s">
        <v>53</v>
      </c>
      <c r="K7689" s="218">
        <v>96580</v>
      </c>
      <c r="L7689" s="218"/>
    </row>
    <row r="7690" spans="1:17" ht="45" x14ac:dyDescent="0.2">
      <c r="A7690" s="163">
        <v>2022</v>
      </c>
      <c r="B7690" s="163">
        <v>11</v>
      </c>
      <c r="C7690" s="163">
        <v>16</v>
      </c>
      <c r="D7690" s="280">
        <f t="shared" si="690"/>
        <v>44881</v>
      </c>
      <c r="E7690" s="281">
        <f t="shared" si="691"/>
        <v>44881</v>
      </c>
      <c r="F7690" s="480"/>
      <c r="G7690" s="221" t="s">
        <v>74</v>
      </c>
      <c r="H7690" s="145" t="str" cm="1">
        <f t="array" ref="H7690">IFERROR(INDEX(INVESTOR_LIST[INVESTOR NAME],MATCH(I7690,INVESTOR_LIST[INVESTOR CODE],0),)," ")</f>
        <v>NAYEEMA TASNEEM</v>
      </c>
      <c r="I7690" s="145" t="s">
        <v>1118</v>
      </c>
      <c r="J7690" s="163" t="s">
        <v>52</v>
      </c>
      <c r="K7690" s="219"/>
      <c r="L7690" s="219">
        <v>550000</v>
      </c>
    </row>
    <row r="7691" spans="1:17" ht="22.5" x14ac:dyDescent="0.2">
      <c r="A7691" s="168">
        <v>2022</v>
      </c>
      <c r="B7691" s="168">
        <v>11</v>
      </c>
      <c r="C7691" s="133">
        <v>16</v>
      </c>
      <c r="D7691" s="141">
        <f t="shared" ref="D7691:D7698" si="694">DATE(A7691,B7691,C7691)</f>
        <v>44881</v>
      </c>
      <c r="E7691" s="275">
        <f t="shared" ref="E7691:E7698" si="695">DATE(A7691,B7691,C7691)</f>
        <v>44881</v>
      </c>
      <c r="F7691" s="479" t="s">
        <v>1315</v>
      </c>
      <c r="G7691" s="220" t="s">
        <v>74</v>
      </c>
      <c r="H7691" s="142" t="str" cm="1">
        <f t="array" ref="H7691">IFERROR(INDEX(INVESTOR_LIST[INVESTOR NAME],MATCH(I7691,INVESTOR_LIST[INVESTOR CODE],0),)," ")</f>
        <v>SHUVA SAHA</v>
      </c>
      <c r="I7691" s="142" t="s">
        <v>421</v>
      </c>
      <c r="J7691" s="168" t="s">
        <v>13</v>
      </c>
      <c r="K7691" s="226">
        <v>989280</v>
      </c>
      <c r="L7691" s="226"/>
    </row>
    <row r="7692" spans="1:17" ht="22.5" x14ac:dyDescent="0.2">
      <c r="A7692" s="133">
        <v>2022</v>
      </c>
      <c r="B7692" s="133">
        <v>11</v>
      </c>
      <c r="C7692" s="133">
        <v>16</v>
      </c>
      <c r="D7692" s="141">
        <f t="shared" si="694"/>
        <v>44881</v>
      </c>
      <c r="E7692" s="275">
        <f t="shared" si="695"/>
        <v>44881</v>
      </c>
      <c r="F7692" s="481"/>
      <c r="G7692" s="174" t="s">
        <v>74</v>
      </c>
      <c r="H7692" s="148" t="str" cm="1">
        <f t="array" ref="H7692">IFERROR(INDEX(INVESTOR_LIST[INVESTOR NAME],MATCH(I7692,INVESTOR_LIST[INVESTOR CODE],0),)," ")</f>
        <v>SHUVA SAHA</v>
      </c>
      <c r="I7692" s="148" t="s">
        <v>421</v>
      </c>
      <c r="J7692" s="133" t="s">
        <v>53</v>
      </c>
      <c r="K7692" s="218">
        <v>210720</v>
      </c>
      <c r="L7692" s="218"/>
    </row>
    <row r="7693" spans="1:17" ht="22.5" x14ac:dyDescent="0.2">
      <c r="A7693" s="163">
        <v>2022</v>
      </c>
      <c r="B7693" s="163">
        <v>11</v>
      </c>
      <c r="C7693" s="163">
        <v>16</v>
      </c>
      <c r="D7693" s="280">
        <f t="shared" si="694"/>
        <v>44881</v>
      </c>
      <c r="E7693" s="281">
        <f t="shared" si="695"/>
        <v>44881</v>
      </c>
      <c r="F7693" s="480"/>
      <c r="G7693" s="221" t="s">
        <v>74</v>
      </c>
      <c r="H7693" s="145" t="str" cm="1">
        <f t="array" ref="H7693">IFERROR(INDEX(INVESTOR_LIST[INVESTOR NAME],MATCH(I7693,INVESTOR_LIST[INVESTOR CODE],0),)," ")</f>
        <v>SHUVA SAHA</v>
      </c>
      <c r="I7693" s="145" t="s">
        <v>421</v>
      </c>
      <c r="J7693" s="163" t="s">
        <v>52</v>
      </c>
      <c r="K7693" s="219"/>
      <c r="L7693" s="219">
        <v>1200000</v>
      </c>
    </row>
    <row r="7694" spans="1:17" x14ac:dyDescent="0.2">
      <c r="A7694" s="133">
        <v>2022</v>
      </c>
      <c r="B7694" s="133">
        <v>11</v>
      </c>
      <c r="C7694" s="168">
        <v>16</v>
      </c>
      <c r="D7694" s="141">
        <f t="shared" si="694"/>
        <v>44881</v>
      </c>
      <c r="E7694" s="275">
        <f t="shared" si="695"/>
        <v>44881</v>
      </c>
      <c r="F7694" s="479" t="s">
        <v>1516</v>
      </c>
      <c r="G7694" s="174" t="s">
        <v>74</v>
      </c>
      <c r="H7694" s="148" t="str" cm="1">
        <f t="array" ref="H7694">IFERROR(INDEX(INVESTOR_LIST[INVESTOR NAME],MATCH(I7694,INVESTOR_LIST[INVESTOR CODE],0),)," ")</f>
        <v xml:space="preserve"> </v>
      </c>
      <c r="I7694" s="148" t="s">
        <v>348</v>
      </c>
      <c r="J7694" s="133" t="s">
        <v>61</v>
      </c>
      <c r="K7694" s="172">
        <v>100</v>
      </c>
    </row>
    <row r="7695" spans="1:17" x14ac:dyDescent="0.2">
      <c r="A7695" s="163">
        <v>2022</v>
      </c>
      <c r="B7695" s="163">
        <v>11</v>
      </c>
      <c r="C7695" s="163">
        <v>16</v>
      </c>
      <c r="D7695" s="141">
        <f t="shared" si="694"/>
        <v>44881</v>
      </c>
      <c r="E7695" s="275">
        <f t="shared" si="695"/>
        <v>44881</v>
      </c>
      <c r="F7695" s="480"/>
      <c r="G7695" s="221" t="s">
        <v>74</v>
      </c>
      <c r="H7695" s="145" t="str" cm="1">
        <f t="array" ref="H7695">IFERROR(INDEX(INVESTOR_LIST[INVESTOR NAME],MATCH(I7695,INVESTOR_LIST[INVESTOR CODE],0),)," ")</f>
        <v xml:space="preserve"> </v>
      </c>
      <c r="I7695" s="145" t="s">
        <v>348</v>
      </c>
      <c r="J7695" s="163" t="s">
        <v>52</v>
      </c>
      <c r="K7695" s="219"/>
      <c r="L7695" s="219">
        <v>100</v>
      </c>
    </row>
    <row r="7696" spans="1:17" x14ac:dyDescent="0.2">
      <c r="A7696" s="168">
        <v>2022</v>
      </c>
      <c r="B7696" s="168">
        <v>11</v>
      </c>
      <c r="C7696" s="168">
        <v>16</v>
      </c>
      <c r="D7696" s="141">
        <f t="shared" si="694"/>
        <v>44881</v>
      </c>
      <c r="E7696" s="275">
        <f t="shared" si="695"/>
        <v>44881</v>
      </c>
      <c r="F7696" s="479" t="s">
        <v>1319</v>
      </c>
      <c r="G7696" s="220" t="s">
        <v>74</v>
      </c>
      <c r="H7696" s="142" t="str" cm="1">
        <f t="array" ref="H7696">IFERROR(INDEX(INVESTOR_LIST[INVESTOR NAME],MATCH(I7696,INVESTOR_LIST[INVESTOR CODE],0),)," ")</f>
        <v xml:space="preserve"> </v>
      </c>
      <c r="I7696" s="142"/>
      <c r="J7696" s="168" t="s">
        <v>52</v>
      </c>
      <c r="K7696" s="226">
        <v>141000</v>
      </c>
      <c r="L7696" s="226"/>
    </row>
    <row r="7697" spans="1:13" x14ac:dyDescent="0.2">
      <c r="A7697" s="133">
        <v>2022</v>
      </c>
      <c r="B7697" s="133">
        <v>11</v>
      </c>
      <c r="C7697" s="133">
        <v>16</v>
      </c>
      <c r="D7697" s="141">
        <f t="shared" si="694"/>
        <v>44881</v>
      </c>
      <c r="E7697" s="275">
        <f t="shared" si="695"/>
        <v>44881</v>
      </c>
      <c r="F7697" s="481"/>
      <c r="G7697" s="174" t="s">
        <v>74</v>
      </c>
      <c r="H7697" s="148" t="str" cm="1">
        <f t="array" ref="H7697">IFERROR(INDEX(INVESTOR_LIST[INVESTOR NAME],MATCH(I7697,INVESTOR_LIST[INVESTOR CODE],0),)," ")</f>
        <v xml:space="preserve"> </v>
      </c>
      <c r="J7697" s="133" t="s">
        <v>13</v>
      </c>
      <c r="K7697" s="218"/>
      <c r="L7697" s="218">
        <v>116230</v>
      </c>
    </row>
    <row r="7698" spans="1:13" x14ac:dyDescent="0.2">
      <c r="A7698" s="163">
        <v>2022</v>
      </c>
      <c r="B7698" s="163">
        <v>11</v>
      </c>
      <c r="C7698" s="163">
        <v>16</v>
      </c>
      <c r="D7698" s="280">
        <f t="shared" si="694"/>
        <v>44881</v>
      </c>
      <c r="E7698" s="281">
        <f t="shared" si="695"/>
        <v>44881</v>
      </c>
      <c r="F7698" s="480"/>
      <c r="G7698" s="221" t="s">
        <v>74</v>
      </c>
      <c r="H7698" s="145" t="str" cm="1">
        <f t="array" ref="H7698">IFERROR(INDEX(INVESTOR_LIST[INVESTOR NAME],MATCH(I7698,INVESTOR_LIST[INVESTOR CODE],0),)," ")</f>
        <v xml:space="preserve"> </v>
      </c>
      <c r="I7698" s="145"/>
      <c r="J7698" s="163" t="s">
        <v>53</v>
      </c>
      <c r="K7698" s="219"/>
      <c r="L7698" s="219">
        <v>24770</v>
      </c>
    </row>
    <row r="7699" spans="1:13" x14ac:dyDescent="0.2">
      <c r="A7699" s="168">
        <v>2022</v>
      </c>
      <c r="B7699" s="168">
        <v>11</v>
      </c>
      <c r="C7699" s="168">
        <v>17</v>
      </c>
      <c r="D7699" s="141">
        <f>DATE(A7699,B7699,C7699)</f>
        <v>44882</v>
      </c>
      <c r="E7699" s="275">
        <f>DATE(A7699,B7699,C7699)</f>
        <v>44882</v>
      </c>
      <c r="F7699" s="479" t="s">
        <v>1575</v>
      </c>
      <c r="G7699" s="220" t="s">
        <v>74</v>
      </c>
      <c r="H7699" s="220" t="str" cm="1">
        <f t="array" ref="H7699">IFERROR(INDEX(INVESTOR_LIST[INVESTOR NAME],MATCH(I7699,INVESTOR_LIST[INVESTOR CODE],0),)," ")</f>
        <v xml:space="preserve"> </v>
      </c>
      <c r="I7699" s="142" t="s">
        <v>348</v>
      </c>
      <c r="J7699" s="143" t="s">
        <v>96</v>
      </c>
      <c r="K7699" s="226">
        <v>1000000</v>
      </c>
      <c r="L7699" s="226"/>
    </row>
    <row r="7700" spans="1:13" x14ac:dyDescent="0.2">
      <c r="A7700" s="163">
        <v>2022</v>
      </c>
      <c r="B7700" s="163">
        <v>11</v>
      </c>
      <c r="C7700" s="163">
        <v>17</v>
      </c>
      <c r="D7700" s="141">
        <f>DATE(A7700,B7700,C7700)</f>
        <v>44882</v>
      </c>
      <c r="E7700" s="275">
        <f>DATE(A7700,B7700,C7700)</f>
        <v>44882</v>
      </c>
      <c r="F7700" s="480"/>
      <c r="G7700" s="221" t="s">
        <v>74</v>
      </c>
      <c r="H7700" s="221" t="str" cm="1">
        <f t="array" ref="H7700">IFERROR(INDEX(INVESTOR_LIST[INVESTOR NAME],MATCH(I7700,INVESTOR_LIST[INVESTOR CODE],0),)," ")</f>
        <v xml:space="preserve"> </v>
      </c>
      <c r="I7700" s="145" t="s">
        <v>348</v>
      </c>
      <c r="J7700" s="146" t="s">
        <v>52</v>
      </c>
      <c r="K7700" s="219"/>
      <c r="L7700" s="219">
        <v>1000000</v>
      </c>
    </row>
    <row r="7701" spans="1:13" ht="22.5" x14ac:dyDescent="0.2">
      <c r="A7701" s="168">
        <v>2022</v>
      </c>
      <c r="B7701" s="168">
        <v>11</v>
      </c>
      <c r="C7701" s="133">
        <v>17</v>
      </c>
      <c r="D7701" s="141">
        <f t="shared" ref="D7701:D7705" si="696">DATE(A7701,B7701,C7701)</f>
        <v>44882</v>
      </c>
      <c r="E7701" s="275">
        <f t="shared" ref="E7701:E7705" si="697">DATE(A7701,B7701,C7701)</f>
        <v>44882</v>
      </c>
      <c r="F7701" s="479" t="s">
        <v>1315</v>
      </c>
      <c r="G7701" s="220" t="s">
        <v>74</v>
      </c>
      <c r="H7701" s="142" t="str" cm="1">
        <f t="array" ref="H7701">IFERROR(INDEX(INVESTOR_LIST[INVESTOR NAME],MATCH(I7701,INVESTOR_LIST[INVESTOR CODE],0),)," ")</f>
        <v>NANDINI SAHA</v>
      </c>
      <c r="I7701" s="142" t="s">
        <v>463</v>
      </c>
      <c r="J7701" s="168" t="s">
        <v>13</v>
      </c>
      <c r="K7701" s="226">
        <v>824400</v>
      </c>
      <c r="L7701" s="226"/>
    </row>
    <row r="7702" spans="1:13" ht="22.5" x14ac:dyDescent="0.2">
      <c r="A7702" s="133">
        <v>2022</v>
      </c>
      <c r="B7702" s="133">
        <v>11</v>
      </c>
      <c r="C7702" s="133">
        <v>17</v>
      </c>
      <c r="D7702" s="141">
        <f t="shared" si="696"/>
        <v>44882</v>
      </c>
      <c r="E7702" s="275">
        <f t="shared" si="697"/>
        <v>44882</v>
      </c>
      <c r="F7702" s="481"/>
      <c r="G7702" s="174" t="s">
        <v>74</v>
      </c>
      <c r="H7702" s="148" t="str" cm="1">
        <f t="array" ref="H7702">IFERROR(INDEX(INVESTOR_LIST[INVESTOR NAME],MATCH(I7702,INVESTOR_LIST[INVESTOR CODE],0),)," ")</f>
        <v>NANDINI SAHA</v>
      </c>
      <c r="I7702" s="148" t="s">
        <v>463</v>
      </c>
      <c r="J7702" s="133" t="s">
        <v>53</v>
      </c>
      <c r="K7702" s="218">
        <v>175600</v>
      </c>
      <c r="L7702" s="218"/>
    </row>
    <row r="7703" spans="1:13" ht="22.5" x14ac:dyDescent="0.2">
      <c r="A7703" s="163">
        <v>2022</v>
      </c>
      <c r="B7703" s="163">
        <v>11</v>
      </c>
      <c r="C7703" s="163">
        <v>17</v>
      </c>
      <c r="D7703" s="280">
        <f t="shared" si="696"/>
        <v>44882</v>
      </c>
      <c r="E7703" s="281">
        <f t="shared" si="697"/>
        <v>44882</v>
      </c>
      <c r="F7703" s="480"/>
      <c r="G7703" s="221" t="s">
        <v>74</v>
      </c>
      <c r="H7703" s="145" t="str" cm="1">
        <f t="array" ref="H7703">IFERROR(INDEX(INVESTOR_LIST[INVESTOR NAME],MATCH(I7703,INVESTOR_LIST[INVESTOR CODE],0),)," ")</f>
        <v>NANDINI SAHA</v>
      </c>
      <c r="I7703" s="145" t="s">
        <v>463</v>
      </c>
      <c r="J7703" s="163" t="s">
        <v>52</v>
      </c>
      <c r="K7703" s="219"/>
      <c r="L7703" s="219">
        <v>1000000</v>
      </c>
    </row>
    <row r="7704" spans="1:13" x14ac:dyDescent="0.2">
      <c r="A7704" s="133">
        <v>2022</v>
      </c>
      <c r="B7704" s="133">
        <v>11</v>
      </c>
      <c r="C7704" s="168">
        <v>17</v>
      </c>
      <c r="D7704" s="141">
        <f t="shared" si="696"/>
        <v>44882</v>
      </c>
      <c r="E7704" s="275">
        <f t="shared" si="697"/>
        <v>44882</v>
      </c>
      <c r="F7704" s="479" t="s">
        <v>1516</v>
      </c>
      <c r="G7704" s="174" t="s">
        <v>74</v>
      </c>
      <c r="H7704" s="148" t="str" cm="1">
        <f t="array" ref="H7704">IFERROR(INDEX(INVESTOR_LIST[INVESTOR NAME],MATCH(I7704,INVESTOR_LIST[INVESTOR CODE],0),)," ")</f>
        <v xml:space="preserve"> </v>
      </c>
      <c r="I7704" s="148" t="s">
        <v>348</v>
      </c>
      <c r="J7704" s="133" t="s">
        <v>61</v>
      </c>
      <c r="K7704" s="172">
        <v>100</v>
      </c>
    </row>
    <row r="7705" spans="1:13" x14ac:dyDescent="0.2">
      <c r="A7705" s="163">
        <v>2022</v>
      </c>
      <c r="B7705" s="163">
        <v>11</v>
      </c>
      <c r="C7705" s="163">
        <v>17</v>
      </c>
      <c r="D7705" s="141">
        <f t="shared" si="696"/>
        <v>44882</v>
      </c>
      <c r="E7705" s="275">
        <f t="shared" si="697"/>
        <v>44882</v>
      </c>
      <c r="F7705" s="480"/>
      <c r="G7705" s="221" t="s">
        <v>74</v>
      </c>
      <c r="H7705" s="145" t="str" cm="1">
        <f t="array" ref="H7705">IFERROR(INDEX(INVESTOR_LIST[INVESTOR NAME],MATCH(I7705,INVESTOR_LIST[INVESTOR CODE],0),)," ")</f>
        <v xml:space="preserve"> </v>
      </c>
      <c r="I7705" s="145" t="s">
        <v>348</v>
      </c>
      <c r="J7705" s="163" t="s">
        <v>52</v>
      </c>
      <c r="K7705" s="219"/>
      <c r="L7705" s="219">
        <v>100</v>
      </c>
    </row>
    <row r="7706" spans="1:13" ht="33.75" x14ac:dyDescent="0.2">
      <c r="A7706" s="168">
        <v>2022</v>
      </c>
      <c r="B7706" s="168">
        <v>11</v>
      </c>
      <c r="C7706" s="133">
        <v>17</v>
      </c>
      <c r="D7706" s="141">
        <f t="shared" ref="D7706:D7713" si="698">DATE(A7706,B7706,C7706)</f>
        <v>44882</v>
      </c>
      <c r="E7706" s="275">
        <f t="shared" ref="E7706:E7713" si="699">DATE(A7706,B7706,C7706)</f>
        <v>44882</v>
      </c>
      <c r="F7706" s="479" t="s">
        <v>1315</v>
      </c>
      <c r="G7706" s="220" t="s">
        <v>74</v>
      </c>
      <c r="H7706" s="142" t="str" cm="1">
        <f t="array" ref="H7706">IFERROR(INDEX(INVESTOR_LIST[INVESTOR NAME],MATCH(I7706,INVESTOR_LIST[INVESTOR CODE],0),)," ")</f>
        <v>ASHIT BARAN SAHA</v>
      </c>
      <c r="I7706" s="142" t="s">
        <v>442</v>
      </c>
      <c r="J7706" s="168" t="s">
        <v>13</v>
      </c>
      <c r="K7706" s="226">
        <v>1683500</v>
      </c>
      <c r="L7706" s="226"/>
    </row>
    <row r="7707" spans="1:13" ht="33.75" x14ac:dyDescent="0.2">
      <c r="A7707" s="133">
        <v>2022</v>
      </c>
      <c r="B7707" s="133">
        <v>11</v>
      </c>
      <c r="C7707" s="133">
        <v>17</v>
      </c>
      <c r="D7707" s="141">
        <f t="shared" si="698"/>
        <v>44882</v>
      </c>
      <c r="E7707" s="275">
        <f t="shared" si="699"/>
        <v>44882</v>
      </c>
      <c r="F7707" s="481"/>
      <c r="G7707" s="174" t="s">
        <v>74</v>
      </c>
      <c r="H7707" s="148" t="str" cm="1">
        <f t="array" ref="H7707">IFERROR(INDEX(INVESTOR_LIST[INVESTOR NAME],MATCH(I7707,INVESTOR_LIST[INVESTOR CODE],0),)," ")</f>
        <v>ASHIT BARAN SAHA</v>
      </c>
      <c r="I7707" s="148" t="s">
        <v>442</v>
      </c>
      <c r="J7707" s="133" t="s">
        <v>53</v>
      </c>
      <c r="K7707" s="218">
        <v>358585.5</v>
      </c>
      <c r="L7707" s="218"/>
    </row>
    <row r="7708" spans="1:13" ht="33.75" x14ac:dyDescent="0.2">
      <c r="A7708" s="163">
        <v>2022</v>
      </c>
      <c r="B7708" s="163">
        <v>11</v>
      </c>
      <c r="C7708" s="163">
        <v>17</v>
      </c>
      <c r="D7708" s="280">
        <f t="shared" si="698"/>
        <v>44882</v>
      </c>
      <c r="E7708" s="281">
        <f t="shared" si="699"/>
        <v>44882</v>
      </c>
      <c r="F7708" s="480"/>
      <c r="G7708" s="221" t="s">
        <v>74</v>
      </c>
      <c r="H7708" s="145" t="str" cm="1">
        <f t="array" ref="H7708">IFERROR(INDEX(INVESTOR_LIST[INVESTOR NAME],MATCH(I7708,INVESTOR_LIST[INVESTOR CODE],0),)," ")</f>
        <v>ASHIT BARAN SAHA</v>
      </c>
      <c r="I7708" s="145" t="s">
        <v>442</v>
      </c>
      <c r="J7708" s="163" t="s">
        <v>52</v>
      </c>
      <c r="K7708" s="219"/>
      <c r="L7708" s="219">
        <v>2042085.5</v>
      </c>
    </row>
    <row r="7709" spans="1:13" x14ac:dyDescent="0.2">
      <c r="A7709" s="133">
        <v>2022</v>
      </c>
      <c r="B7709" s="133">
        <v>11</v>
      </c>
      <c r="C7709" s="168">
        <v>17</v>
      </c>
      <c r="D7709" s="141">
        <f t="shared" si="698"/>
        <v>44882</v>
      </c>
      <c r="E7709" s="275">
        <f t="shared" si="699"/>
        <v>44882</v>
      </c>
      <c r="F7709" s="479" t="s">
        <v>1516</v>
      </c>
      <c r="G7709" s="174" t="s">
        <v>74</v>
      </c>
      <c r="H7709" s="148" t="str" cm="1">
        <f t="array" ref="H7709">IFERROR(INDEX(INVESTOR_LIST[INVESTOR NAME],MATCH(I7709,INVESTOR_LIST[INVESTOR CODE],0),)," ")</f>
        <v xml:space="preserve"> </v>
      </c>
      <c r="I7709" s="148" t="s">
        <v>348</v>
      </c>
      <c r="J7709" s="133" t="s">
        <v>61</v>
      </c>
      <c r="K7709" s="172">
        <v>100</v>
      </c>
    </row>
    <row r="7710" spans="1:13" x14ac:dyDescent="0.2">
      <c r="A7710" s="163">
        <v>2022</v>
      </c>
      <c r="B7710" s="163">
        <v>11</v>
      </c>
      <c r="C7710" s="163">
        <v>17</v>
      </c>
      <c r="D7710" s="141">
        <f t="shared" si="698"/>
        <v>44882</v>
      </c>
      <c r="E7710" s="275">
        <f t="shared" si="699"/>
        <v>44882</v>
      </c>
      <c r="F7710" s="480"/>
      <c r="G7710" s="221" t="s">
        <v>74</v>
      </c>
      <c r="H7710" s="145" t="str" cm="1">
        <f t="array" ref="H7710">IFERROR(INDEX(INVESTOR_LIST[INVESTOR NAME],MATCH(I7710,INVESTOR_LIST[INVESTOR CODE],0),)," ")</f>
        <v xml:space="preserve"> </v>
      </c>
      <c r="I7710" s="145" t="s">
        <v>348</v>
      </c>
      <c r="J7710" s="163" t="s">
        <v>52</v>
      </c>
      <c r="K7710" s="219"/>
      <c r="L7710" s="219">
        <v>100</v>
      </c>
    </row>
    <row r="7711" spans="1:13" x14ac:dyDescent="0.2">
      <c r="A7711" s="168">
        <v>2022</v>
      </c>
      <c r="B7711" s="168">
        <v>11</v>
      </c>
      <c r="C7711" s="168">
        <v>17</v>
      </c>
      <c r="D7711" s="141">
        <f t="shared" si="698"/>
        <v>44882</v>
      </c>
      <c r="E7711" s="275">
        <f t="shared" si="699"/>
        <v>44882</v>
      </c>
      <c r="F7711" s="479" t="s">
        <v>1529</v>
      </c>
      <c r="G7711" s="220" t="s">
        <v>94</v>
      </c>
      <c r="H7711" s="220" t="str" cm="1">
        <f t="array" ref="H7711">IFERROR(INDEX(INVESTOR_LIST[INVESTOR NAME],MATCH(I7711,INVESTOR_LIST[INVESTOR CODE],0),)," ")</f>
        <v xml:space="preserve"> </v>
      </c>
      <c r="I7711" s="142"/>
      <c r="J7711" s="143" t="s">
        <v>79</v>
      </c>
      <c r="K7711" s="226">
        <v>1088100</v>
      </c>
      <c r="L7711" s="226"/>
      <c r="M7711" s="160"/>
    </row>
    <row r="7712" spans="1:13" x14ac:dyDescent="0.2">
      <c r="A7712" s="133">
        <v>2022</v>
      </c>
      <c r="B7712" s="133">
        <v>11</v>
      </c>
      <c r="C7712" s="133">
        <v>17</v>
      </c>
      <c r="D7712" s="141">
        <f t="shared" si="698"/>
        <v>44882</v>
      </c>
      <c r="E7712" s="275">
        <f t="shared" si="699"/>
        <v>44882</v>
      </c>
      <c r="F7712" s="481"/>
      <c r="G7712" s="174" t="s">
        <v>94</v>
      </c>
      <c r="H7712" s="174"/>
      <c r="J7712" s="149" t="s">
        <v>80</v>
      </c>
      <c r="K7712" s="218">
        <v>1958.58</v>
      </c>
      <c r="L7712" s="218"/>
    </row>
    <row r="7713" spans="1:13" x14ac:dyDescent="0.2">
      <c r="A7713" s="163">
        <v>2022</v>
      </c>
      <c r="B7713" s="163">
        <v>11</v>
      </c>
      <c r="C7713" s="163">
        <v>17</v>
      </c>
      <c r="D7713" s="280">
        <f t="shared" si="698"/>
        <v>44882</v>
      </c>
      <c r="E7713" s="281">
        <f t="shared" si="699"/>
        <v>44882</v>
      </c>
      <c r="F7713" s="480"/>
      <c r="G7713" s="221" t="s">
        <v>94</v>
      </c>
      <c r="H7713" s="221"/>
      <c r="I7713" s="145"/>
      <c r="J7713" s="146" t="s">
        <v>147</v>
      </c>
      <c r="K7713" s="219"/>
      <c r="L7713" s="219">
        <v>1090058.58</v>
      </c>
    </row>
    <row r="7714" spans="1:13" x14ac:dyDescent="0.2">
      <c r="A7714" s="168">
        <v>2022</v>
      </c>
      <c r="B7714" s="168">
        <v>11</v>
      </c>
      <c r="C7714" s="168">
        <v>17</v>
      </c>
      <c r="D7714" s="141">
        <f>DATE(A7714,B7714,C7714)</f>
        <v>44882</v>
      </c>
      <c r="E7714" s="275">
        <f>DATE(A7714,B7714,C7714)</f>
        <v>44882</v>
      </c>
      <c r="F7714" s="479" t="s">
        <v>1530</v>
      </c>
      <c r="G7714" s="220" t="s">
        <v>74</v>
      </c>
      <c r="H7714" s="220" t="str" cm="1">
        <f t="array" ref="H7714">IFERROR(INDEX(INVESTOR_LIST[INVESTOR NAME],MATCH(I7714,INVESTOR_LIST[INVESTOR CODE],0),)," ")</f>
        <v xml:space="preserve"> </v>
      </c>
      <c r="I7714" s="142"/>
      <c r="J7714" s="143" t="s">
        <v>147</v>
      </c>
      <c r="K7714" s="226">
        <v>1090058.58</v>
      </c>
      <c r="L7714" s="226"/>
    </row>
    <row r="7715" spans="1:13" x14ac:dyDescent="0.2">
      <c r="A7715" s="163">
        <v>2022</v>
      </c>
      <c r="B7715" s="163">
        <v>11</v>
      </c>
      <c r="C7715" s="163">
        <v>17</v>
      </c>
      <c r="D7715" s="141">
        <f>DATE(A7715,B7715,C7715)</f>
        <v>44882</v>
      </c>
      <c r="E7715" s="275">
        <f>DATE(A7715,B7715,C7715)</f>
        <v>44882</v>
      </c>
      <c r="F7715" s="480"/>
      <c r="G7715" s="221" t="s">
        <v>74</v>
      </c>
      <c r="H7715" s="221" t="str" cm="1">
        <f t="array" ref="H7715">IFERROR(INDEX(INVESTOR_LIST[INVESTOR NAME],MATCH(I7715,INVESTOR_LIST[INVESTOR CODE],0),)," ")</f>
        <v xml:space="preserve"> </v>
      </c>
      <c r="I7715" s="145" t="s">
        <v>348</v>
      </c>
      <c r="J7715" s="146" t="s">
        <v>52</v>
      </c>
      <c r="K7715" s="219"/>
      <c r="L7715" s="219">
        <v>1090058.58</v>
      </c>
    </row>
    <row r="7716" spans="1:13" x14ac:dyDescent="0.2">
      <c r="A7716" s="324">
        <v>2022</v>
      </c>
      <c r="B7716" s="324">
        <v>11</v>
      </c>
      <c r="C7716" s="325">
        <v>17</v>
      </c>
      <c r="D7716" s="326">
        <f t="shared" ref="D7716:D7717" si="700">DATE(A7716,B7716,C7716)</f>
        <v>44882</v>
      </c>
      <c r="E7716" s="327">
        <f t="shared" ref="E7716:E7717" si="701">DATE(A7716,B7716,C7716)</f>
        <v>44882</v>
      </c>
      <c r="F7716" s="473" t="s">
        <v>1491</v>
      </c>
      <c r="G7716" s="328" t="s">
        <v>94</v>
      </c>
      <c r="H7716" s="329" t="str" cm="1">
        <f t="array" ref="H7716">IFERROR(INDEX(INVESTOR_LIST[INVESTOR NAME],MATCH(I7716,INVESTOR_LIST[INVESTOR CODE],0),)," ")</f>
        <v xml:space="preserve"> </v>
      </c>
      <c r="I7716" s="329" t="s">
        <v>348</v>
      </c>
      <c r="J7716" s="324" t="s">
        <v>133</v>
      </c>
      <c r="K7716" s="330">
        <v>6730.77</v>
      </c>
      <c r="L7716" s="330"/>
    </row>
    <row r="7717" spans="1:13" x14ac:dyDescent="0.2">
      <c r="A7717" s="331">
        <v>2022</v>
      </c>
      <c r="B7717" s="331">
        <v>11</v>
      </c>
      <c r="C7717" s="331">
        <v>17</v>
      </c>
      <c r="D7717" s="326">
        <f t="shared" si="700"/>
        <v>44882</v>
      </c>
      <c r="E7717" s="327">
        <f t="shared" si="701"/>
        <v>44882</v>
      </c>
      <c r="F7717" s="474"/>
      <c r="G7717" s="332" t="s">
        <v>94</v>
      </c>
      <c r="H7717" s="333" t="str" cm="1">
        <f t="array" ref="H7717">IFERROR(INDEX(INVESTOR_LIST[INVESTOR NAME],MATCH(I7717,INVESTOR_LIST[INVESTOR CODE],0),)," ")</f>
        <v xml:space="preserve"> </v>
      </c>
      <c r="I7717" s="333" t="s">
        <v>348</v>
      </c>
      <c r="J7717" s="331" t="s">
        <v>152</v>
      </c>
      <c r="K7717" s="334"/>
      <c r="L7717" s="334">
        <v>6730.77</v>
      </c>
    </row>
    <row r="7718" spans="1:13" x14ac:dyDescent="0.2">
      <c r="A7718" s="324">
        <v>2022</v>
      </c>
      <c r="B7718" s="324">
        <v>11</v>
      </c>
      <c r="C7718" s="325">
        <v>17</v>
      </c>
      <c r="D7718" s="326">
        <f>DATE(A7718,B7718,C7718)</f>
        <v>44882</v>
      </c>
      <c r="E7718" s="327">
        <f>DATE(A7718,B7718,C7718)</f>
        <v>44882</v>
      </c>
      <c r="F7718" s="473" t="s">
        <v>1490</v>
      </c>
      <c r="G7718" s="328" t="s">
        <v>94</v>
      </c>
      <c r="H7718" s="329" t="str" cm="1">
        <f t="array" ref="H7718">IFERROR(INDEX(INVESTOR_LIST[INVESTOR NAME],MATCH(I7718,INVESTOR_LIST[INVESTOR CODE],0),)," ")</f>
        <v xml:space="preserve"> </v>
      </c>
      <c r="I7718" s="329" t="s">
        <v>348</v>
      </c>
      <c r="J7718" s="324" t="s">
        <v>133</v>
      </c>
      <c r="K7718" s="330">
        <v>13681.97</v>
      </c>
      <c r="L7718" s="330"/>
    </row>
    <row r="7719" spans="1:13" x14ac:dyDescent="0.2">
      <c r="A7719" s="331">
        <v>2022</v>
      </c>
      <c r="B7719" s="331">
        <v>11</v>
      </c>
      <c r="C7719" s="331">
        <v>17</v>
      </c>
      <c r="D7719" s="326">
        <f>DATE(A7719,B7719,C7719)</f>
        <v>44882</v>
      </c>
      <c r="E7719" s="327">
        <f>DATE(A7719,B7719,C7719)</f>
        <v>44882</v>
      </c>
      <c r="F7719" s="474"/>
      <c r="G7719" s="332" t="s">
        <v>94</v>
      </c>
      <c r="H7719" s="333" t="str" cm="1">
        <f t="array" ref="H7719">IFERROR(INDEX(INVESTOR_LIST[INVESTOR NAME],MATCH(I7719,INVESTOR_LIST[INVESTOR CODE],0),)," ")</f>
        <v xml:space="preserve"> </v>
      </c>
      <c r="I7719" s="333" t="s">
        <v>348</v>
      </c>
      <c r="J7719" s="331" t="s">
        <v>152</v>
      </c>
      <c r="K7719" s="334"/>
      <c r="L7719" s="334">
        <v>13681.97</v>
      </c>
    </row>
    <row r="7720" spans="1:13" x14ac:dyDescent="0.2">
      <c r="A7720" s="238">
        <v>2022</v>
      </c>
      <c r="B7720" s="238">
        <v>11</v>
      </c>
      <c r="C7720" s="238">
        <v>17</v>
      </c>
      <c r="D7720" s="270">
        <f t="shared" ref="D7720:D7730" si="702">DATE(A7720,B7720,C7720)</f>
        <v>44882</v>
      </c>
      <c r="E7720" s="279">
        <f t="shared" ref="E7720:E7730" si="703">DATE(A7720,B7720,C7720)</f>
        <v>44882</v>
      </c>
      <c r="F7720" s="477" t="s">
        <v>347</v>
      </c>
      <c r="G7720" s="239" t="s">
        <v>94</v>
      </c>
      <c r="H7720" s="239" t="str" cm="1">
        <f t="array" ref="H7720">IFERROR(INDEX(INVESTOR_LIST[INVESTOR NAME],MATCH(I7720,INVESTOR_LIST[INVESTOR CODE],0),)," ")</f>
        <v xml:space="preserve"> </v>
      </c>
      <c r="I7720" s="262" t="s">
        <v>348</v>
      </c>
      <c r="J7720" s="240" t="s">
        <v>82</v>
      </c>
      <c r="K7720" s="241">
        <v>236272.38999998569</v>
      </c>
      <c r="L7720" s="241"/>
    </row>
    <row r="7721" spans="1:13" x14ac:dyDescent="0.2">
      <c r="A7721" s="242">
        <v>2022</v>
      </c>
      <c r="B7721" s="242">
        <v>11</v>
      </c>
      <c r="C7721" s="242">
        <v>17</v>
      </c>
      <c r="D7721" s="270">
        <f t="shared" si="702"/>
        <v>44882</v>
      </c>
      <c r="E7721" s="279">
        <f t="shared" si="703"/>
        <v>44882</v>
      </c>
      <c r="F7721" s="478"/>
      <c r="G7721" s="243" t="s">
        <v>94</v>
      </c>
      <c r="H7721" s="243" t="str" cm="1">
        <f t="array" ref="H7721">IFERROR(INDEX(INVESTOR_LIST[INVESTOR NAME],MATCH(I7721,INVESTOR_LIST[INVESTOR CODE],0),)," ")</f>
        <v xml:space="preserve"> </v>
      </c>
      <c r="I7721" s="263" t="s">
        <v>348</v>
      </c>
      <c r="J7721" s="244" t="s">
        <v>108</v>
      </c>
      <c r="K7721" s="245"/>
      <c r="L7721" s="245">
        <v>236272.38999998569</v>
      </c>
    </row>
    <row r="7722" spans="1:13" ht="22.5" x14ac:dyDescent="0.2">
      <c r="A7722" s="246">
        <v>2022</v>
      </c>
      <c r="B7722" s="238">
        <v>11</v>
      </c>
      <c r="C7722" s="238">
        <v>17</v>
      </c>
      <c r="D7722" s="270">
        <f t="shared" si="702"/>
        <v>44882</v>
      </c>
      <c r="E7722" s="279">
        <f t="shared" si="703"/>
        <v>44882</v>
      </c>
      <c r="F7722" s="482" t="s">
        <v>148</v>
      </c>
      <c r="G7722" s="247" t="s">
        <v>94</v>
      </c>
      <c r="H7722" s="247" t="str" cm="1">
        <f t="array" ref="H7722">IFERROR(INDEX(INVESTOR_LIST[INVESTOR NAME],MATCH(I7722,INVESTOR_LIST[INVESTOR CODE],0),)," ")</f>
        <v xml:space="preserve"> </v>
      </c>
      <c r="I7722" s="248" t="s">
        <v>348</v>
      </c>
      <c r="J7722" s="249" t="s">
        <v>95</v>
      </c>
      <c r="K7722" s="250">
        <v>2747.2527472527472</v>
      </c>
      <c r="L7722" s="241"/>
    </row>
    <row r="7723" spans="1:13" x14ac:dyDescent="0.2">
      <c r="A7723" s="242">
        <v>2022</v>
      </c>
      <c r="B7723" s="242">
        <v>11</v>
      </c>
      <c r="C7723" s="242">
        <v>17</v>
      </c>
      <c r="D7723" s="270">
        <f t="shared" si="702"/>
        <v>44882</v>
      </c>
      <c r="E7723" s="279">
        <f t="shared" si="703"/>
        <v>44882</v>
      </c>
      <c r="F7723" s="478"/>
      <c r="G7723" s="243" t="s">
        <v>94</v>
      </c>
      <c r="H7723" s="243" t="str" cm="1">
        <f t="array" ref="H7723">IFERROR(INDEX(INVESTOR_LIST[INVESTOR NAME],MATCH(I7723,INVESTOR_LIST[INVESTOR CODE],0),)," ")</f>
        <v xml:space="preserve"> </v>
      </c>
      <c r="I7723" s="263" t="s">
        <v>348</v>
      </c>
      <c r="J7723" s="244" t="s">
        <v>63</v>
      </c>
      <c r="K7723" s="245"/>
      <c r="L7723" s="245">
        <v>2747.2527472527472</v>
      </c>
    </row>
    <row r="7724" spans="1:13" x14ac:dyDescent="0.2">
      <c r="A7724" s="246">
        <v>2022</v>
      </c>
      <c r="B7724" s="238">
        <v>11</v>
      </c>
      <c r="C7724" s="238">
        <v>17</v>
      </c>
      <c r="D7724" s="270">
        <f t="shared" si="702"/>
        <v>44882</v>
      </c>
      <c r="E7724" s="279">
        <f t="shared" si="703"/>
        <v>44882</v>
      </c>
      <c r="F7724" s="482" t="s">
        <v>137</v>
      </c>
      <c r="G7724" s="247" t="s">
        <v>94</v>
      </c>
      <c r="H7724" s="247" t="str" cm="1">
        <f t="array" ref="H7724">IFERROR(INDEX(INVESTOR_LIST[INVESTOR NAME],MATCH(I7724,INVESTOR_LIST[INVESTOR CODE],0),)," ")</f>
        <v xml:space="preserve"> </v>
      </c>
      <c r="I7724" s="248" t="s">
        <v>348</v>
      </c>
      <c r="J7724" s="249" t="s">
        <v>97</v>
      </c>
      <c r="K7724" s="250">
        <v>76324.373319100254</v>
      </c>
      <c r="L7724" s="252"/>
    </row>
    <row r="7725" spans="1:13" x14ac:dyDescent="0.2">
      <c r="A7725" s="242">
        <v>2022</v>
      </c>
      <c r="B7725" s="242">
        <v>11</v>
      </c>
      <c r="C7725" s="242">
        <v>17</v>
      </c>
      <c r="D7725" s="270">
        <f t="shared" si="702"/>
        <v>44882</v>
      </c>
      <c r="E7725" s="279">
        <f t="shared" si="703"/>
        <v>44882</v>
      </c>
      <c r="F7725" s="478"/>
      <c r="G7725" s="243" t="s">
        <v>94</v>
      </c>
      <c r="H7725" s="243" t="str" cm="1">
        <f t="array" ref="H7725">IFERROR(INDEX(INVESTOR_LIST[INVESTOR NAME],MATCH(I7725,INVESTOR_LIST[INVESTOR CODE],0),)," ")</f>
        <v xml:space="preserve"> </v>
      </c>
      <c r="I7725" s="263" t="s">
        <v>348</v>
      </c>
      <c r="J7725" s="244" t="s">
        <v>47</v>
      </c>
      <c r="K7725" s="245"/>
      <c r="L7725" s="245">
        <v>76324.373319100254</v>
      </c>
    </row>
    <row r="7726" spans="1:13" x14ac:dyDescent="0.2">
      <c r="A7726" s="246">
        <v>2022</v>
      </c>
      <c r="B7726" s="238">
        <v>11</v>
      </c>
      <c r="C7726" s="238">
        <v>17</v>
      </c>
      <c r="D7726" s="270">
        <f t="shared" si="702"/>
        <v>44882</v>
      </c>
      <c r="E7726" s="279">
        <f t="shared" si="703"/>
        <v>44882</v>
      </c>
      <c r="F7726" s="482" t="s">
        <v>138</v>
      </c>
      <c r="G7726" s="247" t="s">
        <v>94</v>
      </c>
      <c r="H7726" s="247" t="str" cm="1">
        <f t="array" ref="H7726">IFERROR(INDEX(INVESTOR_LIST[INVESTOR NAME],MATCH(I7726,INVESTOR_LIST[INVESTOR CODE],0),)," ")</f>
        <v xml:space="preserve"> </v>
      </c>
      <c r="I7726" s="248" t="s">
        <v>348</v>
      </c>
      <c r="J7726" s="249" t="s">
        <v>100</v>
      </c>
      <c r="K7726" s="250">
        <v>3575.8340505703968</v>
      </c>
      <c r="L7726" s="252"/>
    </row>
    <row r="7727" spans="1:13" x14ac:dyDescent="0.2">
      <c r="A7727" s="242">
        <v>2022</v>
      </c>
      <c r="B7727" s="242">
        <v>11</v>
      </c>
      <c r="C7727" s="242">
        <v>17</v>
      </c>
      <c r="D7727" s="321">
        <f t="shared" si="702"/>
        <v>44882</v>
      </c>
      <c r="E7727" s="322">
        <f t="shared" si="703"/>
        <v>44882</v>
      </c>
      <c r="F7727" s="478"/>
      <c r="G7727" s="243" t="s">
        <v>94</v>
      </c>
      <c r="H7727" s="243" t="str" cm="1">
        <f t="array" ref="H7727">IFERROR(INDEX(INVESTOR_LIST[INVESTOR NAME],MATCH(I7727,INVESTOR_LIST[INVESTOR CODE],0),)," ")</f>
        <v xml:space="preserve"> </v>
      </c>
      <c r="I7727" s="263" t="s">
        <v>348</v>
      </c>
      <c r="J7727" s="244" t="s">
        <v>48</v>
      </c>
      <c r="K7727" s="245"/>
      <c r="L7727" s="245">
        <v>3575.8340505703968</v>
      </c>
    </row>
    <row r="7728" spans="1:13" x14ac:dyDescent="0.2">
      <c r="A7728" s="168">
        <v>2022</v>
      </c>
      <c r="B7728" s="168">
        <v>11</v>
      </c>
      <c r="C7728" s="168">
        <v>20</v>
      </c>
      <c r="D7728" s="141">
        <f t="shared" si="702"/>
        <v>44885</v>
      </c>
      <c r="E7728" s="275">
        <f t="shared" si="703"/>
        <v>44885</v>
      </c>
      <c r="F7728" s="479" t="s">
        <v>1529</v>
      </c>
      <c r="G7728" s="220" t="s">
        <v>94</v>
      </c>
      <c r="H7728" s="220" t="str" cm="1">
        <f t="array" ref="H7728">IFERROR(INDEX(INVESTOR_LIST[INVESTOR NAME],MATCH(I7728,INVESTOR_LIST[INVESTOR CODE],0),)," ")</f>
        <v xml:space="preserve"> </v>
      </c>
      <c r="I7728" s="142"/>
      <c r="J7728" s="143" t="s">
        <v>79</v>
      </c>
      <c r="K7728" s="226">
        <v>1006395</v>
      </c>
      <c r="L7728" s="226"/>
      <c r="M7728" s="160"/>
    </row>
    <row r="7729" spans="1:13" x14ac:dyDescent="0.2">
      <c r="A7729" s="133">
        <v>2022</v>
      </c>
      <c r="B7729" s="133">
        <v>11</v>
      </c>
      <c r="C7729" s="133">
        <v>20</v>
      </c>
      <c r="D7729" s="141">
        <f t="shared" si="702"/>
        <v>44885</v>
      </c>
      <c r="E7729" s="275">
        <f t="shared" si="703"/>
        <v>44885</v>
      </c>
      <c r="F7729" s="481"/>
      <c r="G7729" s="174" t="s">
        <v>94</v>
      </c>
      <c r="H7729" s="174"/>
      <c r="J7729" s="149" t="s">
        <v>80</v>
      </c>
      <c r="K7729" s="218">
        <v>1811.51</v>
      </c>
      <c r="L7729" s="218"/>
    </row>
    <row r="7730" spans="1:13" x14ac:dyDescent="0.2">
      <c r="A7730" s="163">
        <v>2022</v>
      </c>
      <c r="B7730" s="163">
        <v>11</v>
      </c>
      <c r="C7730" s="163">
        <v>20</v>
      </c>
      <c r="D7730" s="280">
        <f t="shared" si="702"/>
        <v>44885</v>
      </c>
      <c r="E7730" s="281">
        <f t="shared" si="703"/>
        <v>44885</v>
      </c>
      <c r="F7730" s="480"/>
      <c r="G7730" s="221" t="s">
        <v>94</v>
      </c>
      <c r="H7730" s="221"/>
      <c r="I7730" s="145"/>
      <c r="J7730" s="146" t="s">
        <v>147</v>
      </c>
      <c r="K7730" s="219"/>
      <c r="L7730" s="219">
        <v>1008206.51</v>
      </c>
    </row>
    <row r="7731" spans="1:13" x14ac:dyDescent="0.2">
      <c r="A7731" s="168">
        <v>2022</v>
      </c>
      <c r="B7731" s="168">
        <v>11</v>
      </c>
      <c r="C7731" s="168">
        <v>20</v>
      </c>
      <c r="D7731" s="141">
        <f>DATE(A7731,B7731,C7731)</f>
        <v>44885</v>
      </c>
      <c r="E7731" s="275">
        <f>DATE(A7731,B7731,C7731)</f>
        <v>44885</v>
      </c>
      <c r="F7731" s="479" t="s">
        <v>1530</v>
      </c>
      <c r="G7731" s="220" t="s">
        <v>74</v>
      </c>
      <c r="H7731" s="220" t="str" cm="1">
        <f t="array" ref="H7731">IFERROR(INDEX(INVESTOR_LIST[INVESTOR NAME],MATCH(I7731,INVESTOR_LIST[INVESTOR CODE],0),)," ")</f>
        <v xml:space="preserve"> </v>
      </c>
      <c r="I7731" s="142"/>
      <c r="J7731" s="143" t="s">
        <v>147</v>
      </c>
      <c r="K7731" s="226">
        <v>1008206.51</v>
      </c>
      <c r="L7731" s="226"/>
    </row>
    <row r="7732" spans="1:13" x14ac:dyDescent="0.2">
      <c r="A7732" s="163">
        <v>2022</v>
      </c>
      <c r="B7732" s="163">
        <v>11</v>
      </c>
      <c r="C7732" s="163">
        <v>20</v>
      </c>
      <c r="D7732" s="141">
        <f>DATE(A7732,B7732,C7732)</f>
        <v>44885</v>
      </c>
      <c r="E7732" s="275">
        <f>DATE(A7732,B7732,C7732)</f>
        <v>44885</v>
      </c>
      <c r="F7732" s="480"/>
      <c r="G7732" s="221" t="s">
        <v>74</v>
      </c>
      <c r="H7732" s="221" t="str" cm="1">
        <f t="array" ref="H7732">IFERROR(INDEX(INVESTOR_LIST[INVESTOR NAME],MATCH(I7732,INVESTOR_LIST[INVESTOR CODE],0),)," ")</f>
        <v xml:space="preserve"> </v>
      </c>
      <c r="I7732" s="145" t="s">
        <v>348</v>
      </c>
      <c r="J7732" s="146" t="s">
        <v>52</v>
      </c>
      <c r="K7732" s="219"/>
      <c r="L7732" s="219">
        <v>1008206.51</v>
      </c>
    </row>
    <row r="7733" spans="1:13" x14ac:dyDescent="0.2">
      <c r="A7733" s="168">
        <v>2022</v>
      </c>
      <c r="B7733" s="168">
        <v>11</v>
      </c>
      <c r="C7733" s="168">
        <v>20</v>
      </c>
      <c r="D7733" s="141">
        <f>DATE(A7733,B7733,C7733)</f>
        <v>44885</v>
      </c>
      <c r="E7733" s="275">
        <f>DATE(A7733,B7733,C7733)</f>
        <v>44885</v>
      </c>
      <c r="F7733" s="479" t="s">
        <v>1532</v>
      </c>
      <c r="G7733" s="220" t="s">
        <v>74</v>
      </c>
      <c r="H7733" s="220" t="str" cm="1">
        <f t="array" ref="H7733">IFERROR(INDEX(INVESTOR_LIST[INVESTOR NAME],MATCH(I7733,INVESTOR_LIST[INVESTOR CODE],0),)," ")</f>
        <v xml:space="preserve"> </v>
      </c>
      <c r="I7733" s="142"/>
      <c r="J7733" s="143" t="s">
        <v>52</v>
      </c>
      <c r="K7733" s="226">
        <v>17500</v>
      </c>
      <c r="L7733" s="226"/>
    </row>
    <row r="7734" spans="1:13" x14ac:dyDescent="0.2">
      <c r="A7734" s="163">
        <v>2022</v>
      </c>
      <c r="B7734" s="163">
        <v>11</v>
      </c>
      <c r="C7734" s="163">
        <v>20</v>
      </c>
      <c r="D7734" s="141">
        <f>DATE(A7734,B7734,C7734)</f>
        <v>44885</v>
      </c>
      <c r="E7734" s="275">
        <f>DATE(A7734,B7734,C7734)</f>
        <v>44885</v>
      </c>
      <c r="F7734" s="480"/>
      <c r="G7734" s="221" t="s">
        <v>74</v>
      </c>
      <c r="H7734" s="221" t="str" cm="1">
        <f t="array" ref="H7734">IFERROR(INDEX(INVESTOR_LIST[INVESTOR NAME],MATCH(I7734,INVESTOR_LIST[INVESTOR CODE],0),)," ")</f>
        <v xml:space="preserve"> </v>
      </c>
      <c r="I7734" s="145" t="s">
        <v>348</v>
      </c>
      <c r="J7734" s="146" t="s">
        <v>152</v>
      </c>
      <c r="K7734" s="219"/>
      <c r="L7734" s="219">
        <v>17500</v>
      </c>
    </row>
    <row r="7735" spans="1:13" ht="45" x14ac:dyDescent="0.2">
      <c r="A7735" s="168">
        <v>2022</v>
      </c>
      <c r="B7735" s="168">
        <v>11</v>
      </c>
      <c r="C7735" s="168">
        <v>21</v>
      </c>
      <c r="D7735" s="141">
        <f t="shared" ref="D7735:D7743" si="704">DATE(A7735,B7735,C7735)</f>
        <v>44886</v>
      </c>
      <c r="E7735" s="275">
        <f t="shared" ref="E7735:E7743" si="705">DATE(A7735,B7735,C7735)</f>
        <v>44886</v>
      </c>
      <c r="F7735" s="479" t="s">
        <v>964</v>
      </c>
      <c r="G7735" s="220" t="s">
        <v>74</v>
      </c>
      <c r="H7735" s="142" t="str" cm="1">
        <f t="array" ref="H7735">IFERROR(INDEX(INVESTOR_LIST[INVESTOR NAME],MATCH(I7735,INVESTOR_LIST[INVESTOR CODE],0),)," ")</f>
        <v>MOHAMMED ALI XAHANGIR</v>
      </c>
      <c r="I7735" s="142" t="s">
        <v>616</v>
      </c>
      <c r="J7735" s="168" t="s">
        <v>52</v>
      </c>
      <c r="K7735" s="226">
        <v>325000</v>
      </c>
      <c r="L7735" s="226"/>
    </row>
    <row r="7736" spans="1:13" ht="45" x14ac:dyDescent="0.2">
      <c r="A7736" s="133">
        <v>2022</v>
      </c>
      <c r="B7736" s="133">
        <v>11</v>
      </c>
      <c r="C7736" s="133">
        <v>21</v>
      </c>
      <c r="D7736" s="141">
        <f t="shared" si="704"/>
        <v>44886</v>
      </c>
      <c r="E7736" s="275">
        <f t="shared" si="705"/>
        <v>44886</v>
      </c>
      <c r="F7736" s="481"/>
      <c r="G7736" s="174" t="s">
        <v>74</v>
      </c>
      <c r="H7736" s="148" t="str" cm="1">
        <f t="array" ref="H7736">IFERROR(INDEX(INVESTOR_LIST[INVESTOR NAME],MATCH(I7736,INVESTOR_LIST[INVESTOR CODE],0),)," ")</f>
        <v>MOHAMMED ALI XAHANGIR</v>
      </c>
      <c r="I7736" s="148" t="s">
        <v>616</v>
      </c>
      <c r="J7736" s="133" t="s">
        <v>13</v>
      </c>
      <c r="K7736" s="218"/>
      <c r="L7736" s="218">
        <v>268150</v>
      </c>
    </row>
    <row r="7737" spans="1:13" ht="45" x14ac:dyDescent="0.2">
      <c r="A7737" s="163">
        <v>2022</v>
      </c>
      <c r="B7737" s="163">
        <v>11</v>
      </c>
      <c r="C7737" s="163">
        <v>21</v>
      </c>
      <c r="D7737" s="280">
        <f t="shared" si="704"/>
        <v>44886</v>
      </c>
      <c r="E7737" s="281">
        <f t="shared" si="705"/>
        <v>44886</v>
      </c>
      <c r="F7737" s="480"/>
      <c r="G7737" s="221" t="s">
        <v>74</v>
      </c>
      <c r="H7737" s="145" t="str" cm="1">
        <f t="array" ref="H7737">IFERROR(INDEX(INVESTOR_LIST[INVESTOR NAME],MATCH(I7737,INVESTOR_LIST[INVESTOR CODE],0),)," ")</f>
        <v>MOHAMMED ALI XAHANGIR</v>
      </c>
      <c r="I7737" s="145" t="s">
        <v>616</v>
      </c>
      <c r="J7737" s="163" t="s">
        <v>53</v>
      </c>
      <c r="K7737" s="219"/>
      <c r="L7737" s="219">
        <v>56850</v>
      </c>
    </row>
    <row r="7738" spans="1:13" x14ac:dyDescent="0.2">
      <c r="A7738" s="133">
        <v>2022</v>
      </c>
      <c r="B7738" s="133">
        <v>11</v>
      </c>
      <c r="C7738" s="133">
        <v>21</v>
      </c>
      <c r="D7738" s="141">
        <f t="shared" si="704"/>
        <v>44886</v>
      </c>
      <c r="E7738" s="275">
        <f t="shared" si="705"/>
        <v>44886</v>
      </c>
      <c r="F7738" s="481" t="s">
        <v>1533</v>
      </c>
      <c r="G7738" s="174" t="s">
        <v>94</v>
      </c>
      <c r="H7738" s="174" t="str" cm="1">
        <f t="array" ref="H7738">IFERROR(INDEX(INVESTOR_LIST[INVESTOR NAME],MATCH(I7738,INVESTOR_LIST[INVESTOR CODE],0),)," ")</f>
        <v xml:space="preserve"> </v>
      </c>
      <c r="J7738" s="149" t="s">
        <v>190</v>
      </c>
      <c r="K7738" s="218">
        <v>1166396.69</v>
      </c>
      <c r="L7738" s="218"/>
      <c r="M7738" s="160"/>
    </row>
    <row r="7739" spans="1:13" x14ac:dyDescent="0.2">
      <c r="A7739" s="133">
        <v>2022</v>
      </c>
      <c r="B7739" s="133">
        <v>11</v>
      </c>
      <c r="C7739" s="133">
        <v>21</v>
      </c>
      <c r="D7739" s="141">
        <f t="shared" si="704"/>
        <v>44886</v>
      </c>
      <c r="E7739" s="275">
        <f t="shared" si="705"/>
        <v>44886</v>
      </c>
      <c r="F7739" s="481"/>
      <c r="G7739" s="174" t="s">
        <v>94</v>
      </c>
      <c r="H7739" s="174"/>
      <c r="J7739" s="149" t="s">
        <v>80</v>
      </c>
      <c r="K7739" s="218">
        <v>2103.31</v>
      </c>
      <c r="L7739" s="218"/>
    </row>
    <row r="7740" spans="1:13" x14ac:dyDescent="0.2">
      <c r="A7740" s="133">
        <v>2022</v>
      </c>
      <c r="B7740" s="133">
        <v>11</v>
      </c>
      <c r="C7740" s="133">
        <v>21</v>
      </c>
      <c r="D7740" s="141">
        <f t="shared" si="704"/>
        <v>44886</v>
      </c>
      <c r="E7740" s="275">
        <f t="shared" si="705"/>
        <v>44886</v>
      </c>
      <c r="F7740" s="481"/>
      <c r="G7740" s="174" t="s">
        <v>94</v>
      </c>
      <c r="H7740" s="174" t="str" cm="1">
        <f t="array" ref="H7740">IFERROR(INDEX(INVESTOR_LIST[INVESTOR NAME],MATCH(I7740,INVESTOR_LIST[INVESTOR CODE],0),)," ")</f>
        <v xml:space="preserve"> </v>
      </c>
      <c r="J7740" s="149" t="s">
        <v>191</v>
      </c>
      <c r="K7740" s="218">
        <v>49483.56</v>
      </c>
      <c r="L7740" s="218"/>
    </row>
    <row r="7741" spans="1:13" x14ac:dyDescent="0.2">
      <c r="A7741" s="163">
        <v>2022</v>
      </c>
      <c r="B7741" s="163">
        <v>11</v>
      </c>
      <c r="C7741" s="163">
        <v>21</v>
      </c>
      <c r="D7741" s="280">
        <f t="shared" si="704"/>
        <v>44886</v>
      </c>
      <c r="E7741" s="281">
        <f t="shared" si="705"/>
        <v>44886</v>
      </c>
      <c r="F7741" s="480"/>
      <c r="G7741" s="221" t="s">
        <v>94</v>
      </c>
      <c r="H7741" s="145" t="str" cm="1">
        <f t="array" ref="H7741">IFERROR(INDEX(INVESTOR_LIST[INVESTOR NAME],MATCH(I7741,INVESTOR_LIST[INVESTOR CODE],0),)," ")</f>
        <v xml:space="preserve"> </v>
      </c>
      <c r="I7741" s="145"/>
      <c r="J7741" s="163" t="s">
        <v>79</v>
      </c>
      <c r="K7741" s="219"/>
      <c r="L7741" s="219">
        <v>1217983.56</v>
      </c>
    </row>
    <row r="7742" spans="1:13" x14ac:dyDescent="0.2">
      <c r="A7742" s="133">
        <v>2022</v>
      </c>
      <c r="B7742" s="168">
        <v>11</v>
      </c>
      <c r="C7742" s="168">
        <v>21</v>
      </c>
      <c r="D7742" s="141">
        <f t="shared" si="704"/>
        <v>44886</v>
      </c>
      <c r="E7742" s="275">
        <f t="shared" si="705"/>
        <v>44886</v>
      </c>
      <c r="F7742" s="481" t="s">
        <v>1534</v>
      </c>
      <c r="G7742" s="174" t="s">
        <v>94</v>
      </c>
      <c r="H7742" s="174" t="str" cm="1">
        <f t="array" ref="H7742">IFERROR(INDEX(INVESTOR_LIST[INVESTOR NAME],MATCH(I7742,INVESTOR_LIST[INVESTOR CODE],0),)," ")</f>
        <v xml:space="preserve"> </v>
      </c>
      <c r="I7742" s="148" t="s">
        <v>348</v>
      </c>
      <c r="J7742" s="149" t="s">
        <v>168</v>
      </c>
      <c r="K7742" s="218">
        <v>307938</v>
      </c>
      <c r="L7742" s="218"/>
    </row>
    <row r="7743" spans="1:13" x14ac:dyDescent="0.2">
      <c r="A7743" s="163">
        <v>2022</v>
      </c>
      <c r="B7743" s="163">
        <v>11</v>
      </c>
      <c r="C7743" s="163">
        <v>21</v>
      </c>
      <c r="D7743" s="141">
        <f t="shared" si="704"/>
        <v>44886</v>
      </c>
      <c r="E7743" s="275">
        <f t="shared" si="705"/>
        <v>44886</v>
      </c>
      <c r="F7743" s="480"/>
      <c r="G7743" s="221" t="s">
        <v>94</v>
      </c>
      <c r="H7743" s="221" t="str" cm="1">
        <f t="array" ref="H7743">IFERROR(INDEX(INVESTOR_LIST[INVESTOR NAME],MATCH(I7743,INVESTOR_LIST[INVESTOR CODE],0),)," ")</f>
        <v xml:space="preserve"> </v>
      </c>
      <c r="I7743" s="145" t="s">
        <v>348</v>
      </c>
      <c r="J7743" s="146" t="s">
        <v>166</v>
      </c>
      <c r="K7743" s="219"/>
      <c r="L7743" s="219">
        <v>307938</v>
      </c>
    </row>
    <row r="7744" spans="1:13" x14ac:dyDescent="0.2">
      <c r="A7744" s="133">
        <v>2022</v>
      </c>
      <c r="B7744" s="168">
        <v>11</v>
      </c>
      <c r="C7744" s="168">
        <v>22</v>
      </c>
      <c r="D7744" s="141">
        <f t="shared" ref="D7744:D7754" si="706">DATE(A7744,B7744,C7744)</f>
        <v>44887</v>
      </c>
      <c r="E7744" s="275">
        <f t="shared" ref="E7744:E7754" si="707">DATE(A7744,B7744,C7744)</f>
        <v>44887</v>
      </c>
      <c r="F7744" s="481" t="s">
        <v>1535</v>
      </c>
      <c r="G7744" s="174" t="s">
        <v>94</v>
      </c>
      <c r="H7744" s="174" t="str" cm="1">
        <f t="array" ref="H7744">IFERROR(INDEX(INVESTOR_LIST[INVESTOR NAME],MATCH(I7744,INVESTOR_LIST[INVESTOR CODE],0),)," ")</f>
        <v xml:space="preserve"> </v>
      </c>
      <c r="I7744" s="148" t="s">
        <v>348</v>
      </c>
      <c r="J7744" s="149" t="s">
        <v>168</v>
      </c>
      <c r="K7744" s="218">
        <v>68000</v>
      </c>
      <c r="L7744" s="218"/>
    </row>
    <row r="7745" spans="1:13" x14ac:dyDescent="0.2">
      <c r="A7745" s="163">
        <v>2022</v>
      </c>
      <c r="B7745" s="163">
        <v>11</v>
      </c>
      <c r="C7745" s="163">
        <v>22</v>
      </c>
      <c r="D7745" s="141">
        <f t="shared" si="706"/>
        <v>44887</v>
      </c>
      <c r="E7745" s="275">
        <f t="shared" si="707"/>
        <v>44887</v>
      </c>
      <c r="F7745" s="480"/>
      <c r="G7745" s="221" t="s">
        <v>94</v>
      </c>
      <c r="H7745" s="221" t="str" cm="1">
        <f t="array" ref="H7745">IFERROR(INDEX(INVESTOR_LIST[INVESTOR NAME],MATCH(I7745,INVESTOR_LIST[INVESTOR CODE],0),)," ")</f>
        <v xml:space="preserve"> </v>
      </c>
      <c r="I7745" s="145" t="s">
        <v>348</v>
      </c>
      <c r="J7745" s="146" t="s">
        <v>166</v>
      </c>
      <c r="K7745" s="219"/>
      <c r="L7745" s="219">
        <v>68000</v>
      </c>
    </row>
    <row r="7746" spans="1:13" x14ac:dyDescent="0.2">
      <c r="A7746" s="168">
        <v>2022</v>
      </c>
      <c r="B7746" s="133">
        <v>11</v>
      </c>
      <c r="C7746" s="133">
        <v>22</v>
      </c>
      <c r="D7746" s="141">
        <f t="shared" si="706"/>
        <v>44887</v>
      </c>
      <c r="E7746" s="275">
        <f t="shared" si="707"/>
        <v>44887</v>
      </c>
      <c r="F7746" s="479" t="s">
        <v>1536</v>
      </c>
      <c r="G7746" s="220" t="s">
        <v>74</v>
      </c>
      <c r="H7746" s="220" t="str" cm="1">
        <f t="array" ref="H7746">IFERROR(INDEX(INVESTOR_LIST[INVESTOR NAME],MATCH(I7746,INVESTOR_LIST[INVESTOR CODE],0),)," ")</f>
        <v xml:space="preserve"> </v>
      </c>
      <c r="I7746" s="142" t="s">
        <v>348</v>
      </c>
      <c r="J7746" s="143" t="s">
        <v>184</v>
      </c>
      <c r="K7746" s="226">
        <v>861090</v>
      </c>
      <c r="L7746" s="226"/>
    </row>
    <row r="7747" spans="1:13" x14ac:dyDescent="0.2">
      <c r="A7747" s="133">
        <v>2022</v>
      </c>
      <c r="B7747" s="133">
        <v>11</v>
      </c>
      <c r="C7747" s="133">
        <v>22</v>
      </c>
      <c r="D7747" s="141">
        <f t="shared" si="706"/>
        <v>44887</v>
      </c>
      <c r="E7747" s="275">
        <f t="shared" si="707"/>
        <v>44887</v>
      </c>
      <c r="F7747" s="481"/>
      <c r="G7747" s="174" t="s">
        <v>74</v>
      </c>
      <c r="H7747" s="174" t="str" cm="1">
        <f t="array" ref="H7747">IFERROR(INDEX(INVESTOR_LIST[INVESTOR NAME],MATCH(I7747,INVESTOR_LIST[INVESTOR CODE],0),)," ")</f>
        <v xml:space="preserve"> </v>
      </c>
      <c r="I7747" s="148" t="s">
        <v>348</v>
      </c>
      <c r="J7747" s="149" t="s">
        <v>185</v>
      </c>
      <c r="K7747" s="218">
        <v>3000</v>
      </c>
      <c r="L7747" s="218"/>
    </row>
    <row r="7748" spans="1:13" x14ac:dyDescent="0.2">
      <c r="A7748" s="133">
        <v>2022</v>
      </c>
      <c r="B7748" s="133">
        <v>11</v>
      </c>
      <c r="C7748" s="133">
        <v>22</v>
      </c>
      <c r="D7748" s="141">
        <f t="shared" si="706"/>
        <v>44887</v>
      </c>
      <c r="E7748" s="275">
        <f t="shared" si="707"/>
        <v>44887</v>
      </c>
      <c r="F7748" s="481"/>
      <c r="G7748" s="174" t="s">
        <v>74</v>
      </c>
      <c r="H7748" s="174"/>
      <c r="J7748" s="149" t="s">
        <v>61</v>
      </c>
      <c r="K7748" s="218">
        <v>115</v>
      </c>
      <c r="L7748" s="218"/>
    </row>
    <row r="7749" spans="1:13" x14ac:dyDescent="0.2">
      <c r="A7749" s="163">
        <v>2022</v>
      </c>
      <c r="B7749" s="163">
        <v>11</v>
      </c>
      <c r="C7749" s="163">
        <v>22</v>
      </c>
      <c r="D7749" s="141">
        <f t="shared" si="706"/>
        <v>44887</v>
      </c>
      <c r="E7749" s="275">
        <f t="shared" si="707"/>
        <v>44887</v>
      </c>
      <c r="F7749" s="480"/>
      <c r="G7749" s="221" t="s">
        <v>74</v>
      </c>
      <c r="H7749" s="221" t="str" cm="1">
        <f t="array" ref="H7749">IFERROR(INDEX(INVESTOR_LIST[INVESTOR NAME],MATCH(I7749,INVESTOR_LIST[INVESTOR CODE],0),)," ")</f>
        <v xml:space="preserve"> </v>
      </c>
      <c r="I7749" s="145" t="s">
        <v>348</v>
      </c>
      <c r="J7749" s="146" t="s">
        <v>52</v>
      </c>
      <c r="K7749" s="219"/>
      <c r="L7749" s="219">
        <v>864205</v>
      </c>
    </row>
    <row r="7750" spans="1:13" ht="33.75" x14ac:dyDescent="0.2">
      <c r="A7750" s="168">
        <v>2022</v>
      </c>
      <c r="B7750" s="168">
        <v>11</v>
      </c>
      <c r="C7750" s="133">
        <v>23</v>
      </c>
      <c r="D7750" s="141">
        <f t="shared" si="706"/>
        <v>44888</v>
      </c>
      <c r="E7750" s="275">
        <f t="shared" si="707"/>
        <v>44888</v>
      </c>
      <c r="F7750" s="479" t="s">
        <v>1315</v>
      </c>
      <c r="G7750" s="220" t="s">
        <v>74</v>
      </c>
      <c r="H7750" s="142" t="str" cm="1">
        <f t="array" ref="H7750">IFERROR(INDEX(INVESTOR_LIST[INVESTOR NAME],MATCH(I7750,INVESTOR_LIST[INVESTOR CODE],0),)," ")</f>
        <v>SAJAN KUMAR BASAK</v>
      </c>
      <c r="I7750" s="142" t="s">
        <v>801</v>
      </c>
      <c r="J7750" s="168" t="s">
        <v>13</v>
      </c>
      <c r="K7750" s="226">
        <v>84460</v>
      </c>
      <c r="L7750" s="226"/>
    </row>
    <row r="7751" spans="1:13" ht="33.75" x14ac:dyDescent="0.2">
      <c r="A7751" s="133">
        <v>2022</v>
      </c>
      <c r="B7751" s="133">
        <v>11</v>
      </c>
      <c r="C7751" s="133">
        <v>23</v>
      </c>
      <c r="D7751" s="141">
        <f t="shared" si="706"/>
        <v>44888</v>
      </c>
      <c r="E7751" s="275">
        <f t="shared" si="707"/>
        <v>44888</v>
      </c>
      <c r="F7751" s="481"/>
      <c r="G7751" s="174" t="s">
        <v>74</v>
      </c>
      <c r="H7751" s="148" t="str" cm="1">
        <f t="array" ref="H7751">IFERROR(INDEX(INVESTOR_LIST[INVESTOR NAME],MATCH(I7751,INVESTOR_LIST[INVESTOR CODE],0),)," ")</f>
        <v>SAJAN KUMAR BASAK</v>
      </c>
      <c r="I7751" s="148" t="s">
        <v>801</v>
      </c>
      <c r="J7751" s="133" t="s">
        <v>53</v>
      </c>
      <c r="K7751" s="218">
        <v>17905.52</v>
      </c>
      <c r="L7751" s="218"/>
    </row>
    <row r="7752" spans="1:13" ht="33.75" x14ac:dyDescent="0.2">
      <c r="A7752" s="163">
        <v>2022</v>
      </c>
      <c r="B7752" s="163">
        <v>11</v>
      </c>
      <c r="C7752" s="163">
        <v>23</v>
      </c>
      <c r="D7752" s="280">
        <f t="shared" si="706"/>
        <v>44888</v>
      </c>
      <c r="E7752" s="281">
        <f t="shared" si="707"/>
        <v>44888</v>
      </c>
      <c r="F7752" s="480"/>
      <c r="G7752" s="221" t="s">
        <v>74</v>
      </c>
      <c r="H7752" s="145" t="str" cm="1">
        <f t="array" ref="H7752">IFERROR(INDEX(INVESTOR_LIST[INVESTOR NAME],MATCH(I7752,INVESTOR_LIST[INVESTOR CODE],0),)," ")</f>
        <v>SAJAN KUMAR BASAK</v>
      </c>
      <c r="I7752" s="145" t="s">
        <v>801</v>
      </c>
      <c r="J7752" s="163" t="s">
        <v>52</v>
      </c>
      <c r="K7752" s="219"/>
      <c r="L7752" s="219">
        <v>102365.52</v>
      </c>
    </row>
    <row r="7753" spans="1:13" x14ac:dyDescent="0.2">
      <c r="A7753" s="133">
        <v>2022</v>
      </c>
      <c r="B7753" s="168">
        <v>11</v>
      </c>
      <c r="C7753" s="168">
        <v>23</v>
      </c>
      <c r="D7753" s="141">
        <f t="shared" si="706"/>
        <v>44888</v>
      </c>
      <c r="E7753" s="275">
        <f t="shared" si="707"/>
        <v>44888</v>
      </c>
      <c r="F7753" s="479" t="s">
        <v>1537</v>
      </c>
      <c r="G7753" s="174" t="s">
        <v>74</v>
      </c>
      <c r="H7753" s="148" t="str" cm="1">
        <f t="array" ref="H7753">IFERROR(INDEX(INVESTOR_LIST[INVESTOR NAME],MATCH(I7753,INVESTOR_LIST[INVESTOR CODE],0),)," ")</f>
        <v xml:space="preserve"> </v>
      </c>
      <c r="I7753" s="148" t="s">
        <v>348</v>
      </c>
      <c r="J7753" s="133" t="s">
        <v>52</v>
      </c>
      <c r="K7753" s="172">
        <v>144000</v>
      </c>
    </row>
    <row r="7754" spans="1:13" x14ac:dyDescent="0.2">
      <c r="A7754" s="163">
        <v>2022</v>
      </c>
      <c r="B7754" s="163">
        <v>11</v>
      </c>
      <c r="C7754" s="163">
        <v>23</v>
      </c>
      <c r="D7754" s="141">
        <f t="shared" si="706"/>
        <v>44888</v>
      </c>
      <c r="E7754" s="275">
        <f t="shared" si="707"/>
        <v>44888</v>
      </c>
      <c r="F7754" s="480"/>
      <c r="G7754" s="221" t="s">
        <v>74</v>
      </c>
      <c r="H7754" s="145" t="str" cm="1">
        <f t="array" ref="H7754">IFERROR(INDEX(INVESTOR_LIST[INVESTOR NAME],MATCH(I7754,INVESTOR_LIST[INVESTOR CODE],0),)," ")</f>
        <v xml:space="preserve"> </v>
      </c>
      <c r="I7754" s="145" t="s">
        <v>348</v>
      </c>
      <c r="J7754" s="163" t="s">
        <v>168</v>
      </c>
      <c r="K7754" s="219"/>
      <c r="L7754" s="219">
        <v>144000</v>
      </c>
    </row>
    <row r="7755" spans="1:13" x14ac:dyDescent="0.2">
      <c r="A7755" s="168">
        <v>2022</v>
      </c>
      <c r="B7755" s="168">
        <v>11</v>
      </c>
      <c r="C7755" s="168">
        <v>23</v>
      </c>
      <c r="D7755" s="141">
        <f>DATE(A7755,B7755,C7755)</f>
        <v>44888</v>
      </c>
      <c r="E7755" s="275">
        <f>DATE(A7755,B7755,C7755)</f>
        <v>44888</v>
      </c>
      <c r="F7755" s="479" t="s">
        <v>1538</v>
      </c>
      <c r="G7755" s="220" t="s">
        <v>74</v>
      </c>
      <c r="H7755" s="220" t="str" cm="1">
        <f t="array" ref="H7755">IFERROR(INDEX(INVESTOR_LIST[INVESTOR NAME],MATCH(I7755,INVESTOR_LIST[INVESTOR CODE],0),)," ")</f>
        <v xml:space="preserve"> </v>
      </c>
      <c r="I7755" s="142"/>
      <c r="J7755" s="143" t="s">
        <v>52</v>
      </c>
      <c r="K7755" s="226">
        <v>26250</v>
      </c>
      <c r="L7755" s="226"/>
    </row>
    <row r="7756" spans="1:13" x14ac:dyDescent="0.2">
      <c r="A7756" s="163">
        <v>2022</v>
      </c>
      <c r="B7756" s="163">
        <v>11</v>
      </c>
      <c r="C7756" s="163">
        <v>23</v>
      </c>
      <c r="D7756" s="141">
        <f>DATE(A7756,B7756,C7756)</f>
        <v>44888</v>
      </c>
      <c r="E7756" s="275">
        <f>DATE(A7756,B7756,C7756)</f>
        <v>44888</v>
      </c>
      <c r="F7756" s="480"/>
      <c r="G7756" s="221" t="s">
        <v>74</v>
      </c>
      <c r="H7756" s="221" t="str" cm="1">
        <f t="array" ref="H7756">IFERROR(INDEX(INVESTOR_LIST[INVESTOR NAME],MATCH(I7756,INVESTOR_LIST[INVESTOR CODE],0),)," ")</f>
        <v xml:space="preserve"> </v>
      </c>
      <c r="I7756" s="145" t="s">
        <v>348</v>
      </c>
      <c r="J7756" s="146" t="s">
        <v>152</v>
      </c>
      <c r="K7756" s="219"/>
      <c r="L7756" s="219">
        <v>26250</v>
      </c>
    </row>
    <row r="7757" spans="1:13" x14ac:dyDescent="0.2">
      <c r="A7757" s="133">
        <v>2022</v>
      </c>
      <c r="B7757" s="133">
        <v>11</v>
      </c>
      <c r="C7757" s="133">
        <v>23</v>
      </c>
      <c r="D7757" s="141">
        <f t="shared" ref="D7757:D7765" si="708">DATE(A7757,B7757,C7757)</f>
        <v>44888</v>
      </c>
      <c r="E7757" s="275">
        <f t="shared" ref="E7757:E7765" si="709">DATE(A7757,B7757,C7757)</f>
        <v>44888</v>
      </c>
      <c r="F7757" s="481" t="s">
        <v>1499</v>
      </c>
      <c r="G7757" s="174" t="s">
        <v>94</v>
      </c>
      <c r="H7757" s="174" t="str" cm="1">
        <f t="array" ref="H7757">IFERROR(INDEX(INVESTOR_LIST[INVESTOR NAME],MATCH(I7757,INVESTOR_LIST[INVESTOR CODE],0),)," ")</f>
        <v xml:space="preserve"> </v>
      </c>
      <c r="J7757" s="149" t="s">
        <v>190</v>
      </c>
      <c r="K7757" s="218">
        <v>1227786</v>
      </c>
      <c r="L7757" s="218"/>
      <c r="M7757" s="160"/>
    </row>
    <row r="7758" spans="1:13" x14ac:dyDescent="0.2">
      <c r="A7758" s="133">
        <v>2022</v>
      </c>
      <c r="B7758" s="133">
        <v>11</v>
      </c>
      <c r="C7758" s="133">
        <v>23</v>
      </c>
      <c r="D7758" s="141">
        <f t="shared" si="708"/>
        <v>44888</v>
      </c>
      <c r="E7758" s="275">
        <f t="shared" si="709"/>
        <v>44888</v>
      </c>
      <c r="F7758" s="481"/>
      <c r="G7758" s="174" t="s">
        <v>94</v>
      </c>
      <c r="H7758" s="174"/>
      <c r="J7758" s="149" t="s">
        <v>80</v>
      </c>
      <c r="K7758" s="218">
        <v>2214</v>
      </c>
      <c r="L7758" s="218"/>
    </row>
    <row r="7759" spans="1:13" x14ac:dyDescent="0.2">
      <c r="A7759" s="133">
        <v>2022</v>
      </c>
      <c r="B7759" s="133">
        <v>11</v>
      </c>
      <c r="C7759" s="133">
        <v>23</v>
      </c>
      <c r="D7759" s="141">
        <f t="shared" si="708"/>
        <v>44888</v>
      </c>
      <c r="E7759" s="275">
        <f t="shared" si="709"/>
        <v>44888</v>
      </c>
      <c r="F7759" s="481"/>
      <c r="G7759" s="174" t="s">
        <v>94</v>
      </c>
      <c r="H7759" s="174" t="str" cm="1">
        <f t="array" ref="H7759">IFERROR(INDEX(INVESTOR_LIST[INVESTOR NAME],MATCH(I7759,INVESTOR_LIST[INVESTOR CODE],0),)," ")</f>
        <v xml:space="preserve"> </v>
      </c>
      <c r="J7759" s="149" t="s">
        <v>191</v>
      </c>
      <c r="K7759" s="218"/>
      <c r="L7759" s="218">
        <v>44154.3</v>
      </c>
    </row>
    <row r="7760" spans="1:13" x14ac:dyDescent="0.2">
      <c r="A7760" s="163">
        <v>2022</v>
      </c>
      <c r="B7760" s="163">
        <v>11</v>
      </c>
      <c r="C7760" s="163">
        <v>23</v>
      </c>
      <c r="D7760" s="280">
        <f t="shared" si="708"/>
        <v>44888</v>
      </c>
      <c r="E7760" s="281">
        <f t="shared" si="709"/>
        <v>44888</v>
      </c>
      <c r="F7760" s="480"/>
      <c r="G7760" s="221" t="s">
        <v>94</v>
      </c>
      <c r="H7760" s="145" t="str" cm="1">
        <f t="array" ref="H7760">IFERROR(INDEX(INVESTOR_LIST[INVESTOR NAME],MATCH(I7760,INVESTOR_LIST[INVESTOR CODE],0),)," ")</f>
        <v xml:space="preserve"> </v>
      </c>
      <c r="I7760" s="145"/>
      <c r="J7760" s="163" t="s">
        <v>79</v>
      </c>
      <c r="K7760" s="219"/>
      <c r="L7760" s="219">
        <v>1185845.7</v>
      </c>
    </row>
    <row r="7761" spans="1:13" ht="45" x14ac:dyDescent="0.2">
      <c r="A7761" s="168">
        <v>2022</v>
      </c>
      <c r="B7761" s="168">
        <v>11</v>
      </c>
      <c r="C7761" s="168">
        <v>24</v>
      </c>
      <c r="D7761" s="141">
        <f t="shared" si="708"/>
        <v>44889</v>
      </c>
      <c r="E7761" s="275">
        <f t="shared" si="709"/>
        <v>44889</v>
      </c>
      <c r="F7761" s="479" t="s">
        <v>964</v>
      </c>
      <c r="G7761" s="220" t="s">
        <v>74</v>
      </c>
      <c r="H7761" s="142" t="str" cm="1">
        <f t="array" ref="H7761">IFERROR(INDEX(INVESTOR_LIST[INVESTOR NAME],MATCH(I7761,INVESTOR_LIST[INVESTOR CODE],0),)," ")</f>
        <v>TANVIR AHMED SIDDIQUI</v>
      </c>
      <c r="I7761" s="142" t="s">
        <v>400</v>
      </c>
      <c r="J7761" s="168" t="s">
        <v>52</v>
      </c>
      <c r="K7761" s="226">
        <v>50000</v>
      </c>
      <c r="L7761" s="226"/>
    </row>
    <row r="7762" spans="1:13" ht="45" x14ac:dyDescent="0.2">
      <c r="A7762" s="133">
        <v>2022</v>
      </c>
      <c r="B7762" s="133">
        <v>11</v>
      </c>
      <c r="C7762" s="133">
        <v>24</v>
      </c>
      <c r="D7762" s="141">
        <f t="shared" si="708"/>
        <v>44889</v>
      </c>
      <c r="E7762" s="275">
        <f t="shared" si="709"/>
        <v>44889</v>
      </c>
      <c r="F7762" s="481"/>
      <c r="G7762" s="174" t="s">
        <v>74</v>
      </c>
      <c r="H7762" s="148" t="str" cm="1">
        <f t="array" ref="H7762">IFERROR(INDEX(INVESTOR_LIST[INVESTOR NAME],MATCH(I7762,INVESTOR_LIST[INVESTOR CODE],0),)," ")</f>
        <v>TANVIR AHMED SIDDIQUI</v>
      </c>
      <c r="I7762" s="148" t="s">
        <v>400</v>
      </c>
      <c r="J7762" s="133" t="s">
        <v>13</v>
      </c>
      <c r="K7762" s="218"/>
      <c r="L7762" s="218">
        <v>41250</v>
      </c>
    </row>
    <row r="7763" spans="1:13" ht="45" x14ac:dyDescent="0.2">
      <c r="A7763" s="163">
        <v>2022</v>
      </c>
      <c r="B7763" s="163">
        <v>11</v>
      </c>
      <c r="C7763" s="163">
        <v>24</v>
      </c>
      <c r="D7763" s="280">
        <f t="shared" si="708"/>
        <v>44889</v>
      </c>
      <c r="E7763" s="281">
        <f t="shared" si="709"/>
        <v>44889</v>
      </c>
      <c r="F7763" s="480"/>
      <c r="G7763" s="221" t="s">
        <v>74</v>
      </c>
      <c r="H7763" s="145" t="str" cm="1">
        <f t="array" ref="H7763">IFERROR(INDEX(INVESTOR_LIST[INVESTOR NAME],MATCH(I7763,INVESTOR_LIST[INVESTOR CODE],0),)," ")</f>
        <v>TANVIR AHMED SIDDIQUI</v>
      </c>
      <c r="I7763" s="145" t="s">
        <v>400</v>
      </c>
      <c r="J7763" s="163" t="s">
        <v>53</v>
      </c>
      <c r="K7763" s="219"/>
      <c r="L7763" s="219">
        <v>8750</v>
      </c>
    </row>
    <row r="7764" spans="1:13" x14ac:dyDescent="0.2">
      <c r="A7764" s="133">
        <v>2022</v>
      </c>
      <c r="B7764" s="133">
        <v>11</v>
      </c>
      <c r="C7764" s="168">
        <v>24</v>
      </c>
      <c r="D7764" s="141">
        <f t="shared" si="708"/>
        <v>44889</v>
      </c>
      <c r="E7764" s="275">
        <f t="shared" si="709"/>
        <v>44889</v>
      </c>
      <c r="F7764" s="479" t="s">
        <v>1539</v>
      </c>
      <c r="G7764" s="174" t="s">
        <v>74</v>
      </c>
      <c r="H7764" s="148" t="str" cm="1">
        <f t="array" ref="H7764">IFERROR(INDEX(INVESTOR_LIST[INVESTOR NAME],MATCH(I7764,INVESTOR_LIST[INVESTOR CODE],0),)," ")</f>
        <v xml:space="preserve"> </v>
      </c>
      <c r="I7764" s="148" t="s">
        <v>348</v>
      </c>
      <c r="J7764" s="133" t="s">
        <v>61</v>
      </c>
      <c r="K7764" s="172">
        <v>10</v>
      </c>
    </row>
    <row r="7765" spans="1:13" x14ac:dyDescent="0.2">
      <c r="A7765" s="163">
        <v>2022</v>
      </c>
      <c r="B7765" s="163">
        <v>11</v>
      </c>
      <c r="C7765" s="163">
        <v>24</v>
      </c>
      <c r="D7765" s="141">
        <f t="shared" si="708"/>
        <v>44889</v>
      </c>
      <c r="E7765" s="275">
        <f t="shared" si="709"/>
        <v>44889</v>
      </c>
      <c r="F7765" s="480"/>
      <c r="G7765" s="221" t="s">
        <v>74</v>
      </c>
      <c r="H7765" s="145" t="str" cm="1">
        <f t="array" ref="H7765">IFERROR(INDEX(INVESTOR_LIST[INVESTOR NAME],MATCH(I7765,INVESTOR_LIST[INVESTOR CODE],0),)," ")</f>
        <v xml:space="preserve"> </v>
      </c>
      <c r="I7765" s="145" t="s">
        <v>348</v>
      </c>
      <c r="J7765" s="163" t="s">
        <v>52</v>
      </c>
      <c r="K7765" s="219"/>
      <c r="L7765" s="219">
        <v>10</v>
      </c>
    </row>
    <row r="7766" spans="1:13" x14ac:dyDescent="0.2">
      <c r="A7766" s="133">
        <v>2022</v>
      </c>
      <c r="B7766" s="133">
        <v>11</v>
      </c>
      <c r="C7766" s="133">
        <v>24</v>
      </c>
      <c r="D7766" s="141">
        <f t="shared" ref="D7766:D7771" si="710">DATE(A7766,B7766,C7766)</f>
        <v>44889</v>
      </c>
      <c r="E7766" s="275">
        <f t="shared" ref="E7766:E7771" si="711">DATE(A7766,B7766,C7766)</f>
        <v>44889</v>
      </c>
      <c r="F7766" s="481" t="s">
        <v>1499</v>
      </c>
      <c r="G7766" s="174" t="s">
        <v>94</v>
      </c>
      <c r="H7766" s="174" t="str" cm="1">
        <f t="array" ref="H7766">IFERROR(INDEX(INVESTOR_LIST[INVESTOR NAME],MATCH(I7766,INVESTOR_LIST[INVESTOR CODE],0),)," ")</f>
        <v xml:space="preserve"> </v>
      </c>
      <c r="J7766" s="149" t="s">
        <v>190</v>
      </c>
      <c r="K7766" s="218">
        <v>458066.99</v>
      </c>
      <c r="L7766" s="218"/>
      <c r="M7766" s="160"/>
    </row>
    <row r="7767" spans="1:13" x14ac:dyDescent="0.2">
      <c r="A7767" s="133">
        <v>2022</v>
      </c>
      <c r="B7767" s="133">
        <v>11</v>
      </c>
      <c r="C7767" s="133">
        <v>24</v>
      </c>
      <c r="D7767" s="141">
        <f t="shared" si="710"/>
        <v>44889</v>
      </c>
      <c r="E7767" s="275">
        <f t="shared" si="711"/>
        <v>44889</v>
      </c>
      <c r="F7767" s="481"/>
      <c r="G7767" s="174" t="s">
        <v>94</v>
      </c>
      <c r="H7767" s="174"/>
      <c r="J7767" s="149" t="s">
        <v>80</v>
      </c>
      <c r="K7767" s="218">
        <v>826.01</v>
      </c>
      <c r="L7767" s="218"/>
    </row>
    <row r="7768" spans="1:13" x14ac:dyDescent="0.2">
      <c r="A7768" s="133">
        <v>2022</v>
      </c>
      <c r="B7768" s="133">
        <v>11</v>
      </c>
      <c r="C7768" s="133">
        <v>24</v>
      </c>
      <c r="D7768" s="141">
        <f t="shared" si="710"/>
        <v>44889</v>
      </c>
      <c r="E7768" s="275">
        <f t="shared" si="711"/>
        <v>44889</v>
      </c>
      <c r="F7768" s="481"/>
      <c r="G7768" s="174" t="s">
        <v>94</v>
      </c>
      <c r="H7768" s="174" t="str" cm="1">
        <f t="array" ref="H7768">IFERROR(INDEX(INVESTOR_LIST[INVESTOR NAME],MATCH(I7768,INVESTOR_LIST[INVESTOR CODE],0),)," ")</f>
        <v xml:space="preserve"> </v>
      </c>
      <c r="J7768" s="149" t="s">
        <v>191</v>
      </c>
      <c r="K7768" s="218"/>
      <c r="L7768" s="218">
        <v>388833</v>
      </c>
    </row>
    <row r="7769" spans="1:13" x14ac:dyDescent="0.2">
      <c r="A7769" s="163">
        <v>2022</v>
      </c>
      <c r="B7769" s="163">
        <v>11</v>
      </c>
      <c r="C7769" s="163">
        <v>24</v>
      </c>
      <c r="D7769" s="280">
        <f t="shared" si="710"/>
        <v>44889</v>
      </c>
      <c r="E7769" s="281">
        <f t="shared" si="711"/>
        <v>44889</v>
      </c>
      <c r="F7769" s="480"/>
      <c r="G7769" s="221" t="s">
        <v>94</v>
      </c>
      <c r="H7769" s="145" t="str" cm="1">
        <f t="array" ref="H7769">IFERROR(INDEX(INVESTOR_LIST[INVESTOR NAME],MATCH(I7769,INVESTOR_LIST[INVESTOR CODE],0),)," ")</f>
        <v xml:space="preserve"> </v>
      </c>
      <c r="I7769" s="145"/>
      <c r="J7769" s="163" t="s">
        <v>79</v>
      </c>
      <c r="K7769" s="219"/>
      <c r="L7769" s="219">
        <v>70060</v>
      </c>
    </row>
    <row r="7770" spans="1:13" x14ac:dyDescent="0.2">
      <c r="A7770" s="324">
        <v>2022</v>
      </c>
      <c r="B7770" s="324">
        <v>11</v>
      </c>
      <c r="C7770" s="325">
        <v>24</v>
      </c>
      <c r="D7770" s="326">
        <f t="shared" si="710"/>
        <v>44889</v>
      </c>
      <c r="E7770" s="327">
        <f t="shared" si="711"/>
        <v>44889</v>
      </c>
      <c r="F7770" s="473" t="s">
        <v>1491</v>
      </c>
      <c r="G7770" s="328" t="s">
        <v>94</v>
      </c>
      <c r="H7770" s="329" t="str" cm="1">
        <f t="array" ref="H7770">IFERROR(INDEX(INVESTOR_LIST[INVESTOR NAME],MATCH(I7770,INVESTOR_LIST[INVESTOR CODE],0),)," ")</f>
        <v xml:space="preserve"> </v>
      </c>
      <c r="I7770" s="329" t="s">
        <v>348</v>
      </c>
      <c r="J7770" s="324" t="s">
        <v>133</v>
      </c>
      <c r="K7770" s="330">
        <v>6730.77</v>
      </c>
      <c r="L7770" s="330"/>
    </row>
    <row r="7771" spans="1:13" x14ac:dyDescent="0.2">
      <c r="A7771" s="331">
        <v>2022</v>
      </c>
      <c r="B7771" s="331">
        <v>11</v>
      </c>
      <c r="C7771" s="331">
        <v>24</v>
      </c>
      <c r="D7771" s="326">
        <f t="shared" si="710"/>
        <v>44889</v>
      </c>
      <c r="E7771" s="327">
        <f t="shared" si="711"/>
        <v>44889</v>
      </c>
      <c r="F7771" s="474"/>
      <c r="G7771" s="332" t="s">
        <v>94</v>
      </c>
      <c r="H7771" s="333" t="str" cm="1">
        <f t="array" ref="H7771">IFERROR(INDEX(INVESTOR_LIST[INVESTOR NAME],MATCH(I7771,INVESTOR_LIST[INVESTOR CODE],0),)," ")</f>
        <v xml:space="preserve"> </v>
      </c>
      <c r="I7771" s="333" t="s">
        <v>348</v>
      </c>
      <c r="J7771" s="331" t="s">
        <v>152</v>
      </c>
      <c r="K7771" s="334"/>
      <c r="L7771" s="334">
        <v>6730.77</v>
      </c>
    </row>
    <row r="7772" spans="1:13" x14ac:dyDescent="0.2">
      <c r="A7772" s="324">
        <v>2022</v>
      </c>
      <c r="B7772" s="324">
        <v>11</v>
      </c>
      <c r="C7772" s="325">
        <v>24</v>
      </c>
      <c r="D7772" s="326">
        <f>DATE(A7772,B7772,C7772)</f>
        <v>44889</v>
      </c>
      <c r="E7772" s="327">
        <f>DATE(A7772,B7772,C7772)</f>
        <v>44889</v>
      </c>
      <c r="F7772" s="473" t="s">
        <v>1490</v>
      </c>
      <c r="G7772" s="328" t="s">
        <v>94</v>
      </c>
      <c r="H7772" s="329" t="str" cm="1">
        <f t="array" ref="H7772">IFERROR(INDEX(INVESTOR_LIST[INVESTOR NAME],MATCH(I7772,INVESTOR_LIST[INVESTOR CODE],0),)," ")</f>
        <v xml:space="preserve"> </v>
      </c>
      <c r="I7772" s="329" t="s">
        <v>348</v>
      </c>
      <c r="J7772" s="324" t="s">
        <v>133</v>
      </c>
      <c r="K7772" s="330">
        <v>13681.97</v>
      </c>
      <c r="L7772" s="330"/>
    </row>
    <row r="7773" spans="1:13" x14ac:dyDescent="0.2">
      <c r="A7773" s="331">
        <v>2022</v>
      </c>
      <c r="B7773" s="331">
        <v>11</v>
      </c>
      <c r="C7773" s="331">
        <v>24</v>
      </c>
      <c r="D7773" s="326">
        <f>DATE(A7773,B7773,C7773)</f>
        <v>44889</v>
      </c>
      <c r="E7773" s="327">
        <f>DATE(A7773,B7773,C7773)</f>
        <v>44889</v>
      </c>
      <c r="F7773" s="474"/>
      <c r="G7773" s="332" t="s">
        <v>94</v>
      </c>
      <c r="H7773" s="333" t="str" cm="1">
        <f t="array" ref="H7773">IFERROR(INDEX(INVESTOR_LIST[INVESTOR NAME],MATCH(I7773,INVESTOR_LIST[INVESTOR CODE],0),)," ")</f>
        <v xml:space="preserve"> </v>
      </c>
      <c r="I7773" s="333" t="s">
        <v>348</v>
      </c>
      <c r="J7773" s="331" t="s">
        <v>152</v>
      </c>
      <c r="K7773" s="334"/>
      <c r="L7773" s="334">
        <v>13681.97</v>
      </c>
    </row>
    <row r="7774" spans="1:13" x14ac:dyDescent="0.2">
      <c r="A7774" s="324">
        <v>2022</v>
      </c>
      <c r="B7774" s="324">
        <v>11</v>
      </c>
      <c r="C7774" s="325">
        <v>24</v>
      </c>
      <c r="D7774" s="326">
        <f>DATE(A7774,B7774,C7774)</f>
        <v>44889</v>
      </c>
      <c r="E7774" s="327">
        <f>DATE(A7774,B7774,C7774)</f>
        <v>44889</v>
      </c>
      <c r="F7774" s="473" t="s">
        <v>1531</v>
      </c>
      <c r="G7774" s="328" t="s">
        <v>94</v>
      </c>
      <c r="H7774" s="329" t="str" cm="1">
        <f t="array" ref="H7774">IFERROR(INDEX(INVESTOR_LIST[INVESTOR NAME],MATCH(I7774,INVESTOR_LIST[INVESTOR CODE],0),)," ")</f>
        <v xml:space="preserve"> </v>
      </c>
      <c r="I7774" s="329" t="s">
        <v>348</v>
      </c>
      <c r="J7774" s="324" t="s">
        <v>133</v>
      </c>
      <c r="K7774" s="330">
        <v>1346.1538461538462</v>
      </c>
      <c r="L7774" s="330"/>
    </row>
    <row r="7775" spans="1:13" x14ac:dyDescent="0.2">
      <c r="A7775" s="331">
        <v>2022</v>
      </c>
      <c r="B7775" s="331">
        <v>11</v>
      </c>
      <c r="C7775" s="331">
        <v>24</v>
      </c>
      <c r="D7775" s="326">
        <f>DATE(A7775,B7775,C7775)</f>
        <v>44889</v>
      </c>
      <c r="E7775" s="327">
        <f>DATE(A7775,B7775,C7775)</f>
        <v>44889</v>
      </c>
      <c r="F7775" s="474"/>
      <c r="G7775" s="332" t="s">
        <v>94</v>
      </c>
      <c r="H7775" s="333" t="str" cm="1">
        <f t="array" ref="H7775">IFERROR(INDEX(INVESTOR_LIST[INVESTOR NAME],MATCH(I7775,INVESTOR_LIST[INVESTOR CODE],0),)," ")</f>
        <v xml:space="preserve"> </v>
      </c>
      <c r="I7775" s="333" t="s">
        <v>348</v>
      </c>
      <c r="J7775" s="331" t="s">
        <v>152</v>
      </c>
      <c r="K7775" s="334"/>
      <c r="L7775" s="334">
        <v>1346.1538461538462</v>
      </c>
    </row>
    <row r="7776" spans="1:13" x14ac:dyDescent="0.2">
      <c r="A7776" s="238">
        <v>2022</v>
      </c>
      <c r="B7776" s="238">
        <v>11</v>
      </c>
      <c r="C7776" s="238">
        <v>24</v>
      </c>
      <c r="D7776" s="270">
        <f t="shared" ref="D7776:D7789" si="712">DATE(A7776,B7776,C7776)</f>
        <v>44889</v>
      </c>
      <c r="E7776" s="279">
        <f t="shared" ref="E7776:E7789" si="713">DATE(A7776,B7776,C7776)</f>
        <v>44889</v>
      </c>
      <c r="F7776" s="477" t="s">
        <v>347</v>
      </c>
      <c r="G7776" s="239" t="s">
        <v>94</v>
      </c>
      <c r="H7776" s="239" t="str" cm="1">
        <f t="array" ref="H7776">IFERROR(INDEX(INVESTOR_LIST[INVESTOR NAME],MATCH(I7776,INVESTOR_LIST[INVESTOR CODE],0),)," ")</f>
        <v xml:space="preserve"> </v>
      </c>
      <c r="I7776" s="262" t="s">
        <v>348</v>
      </c>
      <c r="J7776" s="240" t="s">
        <v>82</v>
      </c>
      <c r="K7776" s="241">
        <v>153527.54000002146</v>
      </c>
      <c r="L7776" s="241"/>
    </row>
    <row r="7777" spans="1:12" x14ac:dyDescent="0.2">
      <c r="A7777" s="242">
        <v>2022</v>
      </c>
      <c r="B7777" s="242">
        <v>11</v>
      </c>
      <c r="C7777" s="242">
        <v>24</v>
      </c>
      <c r="D7777" s="270">
        <f t="shared" si="712"/>
        <v>44889</v>
      </c>
      <c r="E7777" s="279">
        <f t="shared" si="713"/>
        <v>44889</v>
      </c>
      <c r="F7777" s="478"/>
      <c r="G7777" s="243" t="s">
        <v>94</v>
      </c>
      <c r="H7777" s="243" t="str" cm="1">
        <f t="array" ref="H7777">IFERROR(INDEX(INVESTOR_LIST[INVESTOR NAME],MATCH(I7777,INVESTOR_LIST[INVESTOR CODE],0),)," ")</f>
        <v xml:space="preserve"> </v>
      </c>
      <c r="I7777" s="263" t="s">
        <v>348</v>
      </c>
      <c r="J7777" s="244" t="s">
        <v>108</v>
      </c>
      <c r="K7777" s="245"/>
      <c r="L7777" s="245">
        <v>153527.54000002146</v>
      </c>
    </row>
    <row r="7778" spans="1:12" ht="22.5" x14ac:dyDescent="0.2">
      <c r="A7778" s="246">
        <v>2022</v>
      </c>
      <c r="B7778" s="238">
        <v>11</v>
      </c>
      <c r="C7778" s="238">
        <v>24</v>
      </c>
      <c r="D7778" s="270">
        <f t="shared" si="712"/>
        <v>44889</v>
      </c>
      <c r="E7778" s="279">
        <f t="shared" si="713"/>
        <v>44889</v>
      </c>
      <c r="F7778" s="482" t="s">
        <v>148</v>
      </c>
      <c r="G7778" s="247" t="s">
        <v>94</v>
      </c>
      <c r="H7778" s="247" t="str" cm="1">
        <f t="array" ref="H7778">IFERROR(INDEX(INVESTOR_LIST[INVESTOR NAME],MATCH(I7778,INVESTOR_LIST[INVESTOR CODE],0),)," ")</f>
        <v xml:space="preserve"> </v>
      </c>
      <c r="I7778" s="248" t="s">
        <v>348</v>
      </c>
      <c r="J7778" s="249" t="s">
        <v>95</v>
      </c>
      <c r="K7778" s="250">
        <v>2747.2527472527472</v>
      </c>
      <c r="L7778" s="241"/>
    </row>
    <row r="7779" spans="1:12" x14ac:dyDescent="0.2">
      <c r="A7779" s="242">
        <v>2022</v>
      </c>
      <c r="B7779" s="242">
        <v>11</v>
      </c>
      <c r="C7779" s="242">
        <v>24</v>
      </c>
      <c r="D7779" s="270">
        <f t="shared" si="712"/>
        <v>44889</v>
      </c>
      <c r="E7779" s="279">
        <f t="shared" si="713"/>
        <v>44889</v>
      </c>
      <c r="F7779" s="478"/>
      <c r="G7779" s="243" t="s">
        <v>94</v>
      </c>
      <c r="H7779" s="243" t="str" cm="1">
        <f t="array" ref="H7779">IFERROR(INDEX(INVESTOR_LIST[INVESTOR NAME],MATCH(I7779,INVESTOR_LIST[INVESTOR CODE],0),)," ")</f>
        <v xml:space="preserve"> </v>
      </c>
      <c r="I7779" s="263" t="s">
        <v>348</v>
      </c>
      <c r="J7779" s="244" t="s">
        <v>63</v>
      </c>
      <c r="K7779" s="245"/>
      <c r="L7779" s="245">
        <v>2747.2527472527472</v>
      </c>
    </row>
    <row r="7780" spans="1:12" x14ac:dyDescent="0.2">
      <c r="A7780" s="246">
        <v>2022</v>
      </c>
      <c r="B7780" s="238">
        <v>11</v>
      </c>
      <c r="C7780" s="238">
        <v>24</v>
      </c>
      <c r="D7780" s="270">
        <f t="shared" si="712"/>
        <v>44889</v>
      </c>
      <c r="E7780" s="279">
        <f t="shared" si="713"/>
        <v>44889</v>
      </c>
      <c r="F7780" s="482" t="s">
        <v>137</v>
      </c>
      <c r="G7780" s="247" t="s">
        <v>94</v>
      </c>
      <c r="H7780" s="247" t="str" cm="1">
        <f t="array" ref="H7780">IFERROR(INDEX(INVESTOR_LIST[INVESTOR NAME],MATCH(I7780,INVESTOR_LIST[INVESTOR CODE],0),)," ")</f>
        <v xml:space="preserve"> </v>
      </c>
      <c r="I7780" s="248" t="s">
        <v>348</v>
      </c>
      <c r="J7780" s="249" t="s">
        <v>97</v>
      </c>
      <c r="K7780" s="250">
        <v>76753.225624380721</v>
      </c>
      <c r="L7780" s="252"/>
    </row>
    <row r="7781" spans="1:12" x14ac:dyDescent="0.2">
      <c r="A7781" s="242">
        <v>2022</v>
      </c>
      <c r="B7781" s="242">
        <v>11</v>
      </c>
      <c r="C7781" s="242">
        <v>24</v>
      </c>
      <c r="D7781" s="270">
        <f t="shared" si="712"/>
        <v>44889</v>
      </c>
      <c r="E7781" s="279">
        <f t="shared" si="713"/>
        <v>44889</v>
      </c>
      <c r="F7781" s="478"/>
      <c r="G7781" s="243" t="s">
        <v>94</v>
      </c>
      <c r="H7781" s="243" t="str" cm="1">
        <f t="array" ref="H7781">IFERROR(INDEX(INVESTOR_LIST[INVESTOR NAME],MATCH(I7781,INVESTOR_LIST[INVESTOR CODE],0),)," ")</f>
        <v xml:space="preserve"> </v>
      </c>
      <c r="I7781" s="263" t="s">
        <v>348</v>
      </c>
      <c r="J7781" s="244" t="s">
        <v>47</v>
      </c>
      <c r="K7781" s="245"/>
      <c r="L7781" s="245">
        <v>76753.225624380721</v>
      </c>
    </row>
    <row r="7782" spans="1:12" x14ac:dyDescent="0.2">
      <c r="A7782" s="246">
        <v>2022</v>
      </c>
      <c r="B7782" s="238">
        <v>11</v>
      </c>
      <c r="C7782" s="238">
        <v>24</v>
      </c>
      <c r="D7782" s="270">
        <f t="shared" si="712"/>
        <v>44889</v>
      </c>
      <c r="E7782" s="279">
        <f t="shared" si="713"/>
        <v>44889</v>
      </c>
      <c r="F7782" s="482" t="s">
        <v>138</v>
      </c>
      <c r="G7782" s="247" t="s">
        <v>94</v>
      </c>
      <c r="H7782" s="247" t="str" cm="1">
        <f t="array" ref="H7782">IFERROR(INDEX(INVESTOR_LIST[INVESTOR NAME],MATCH(I7782,INVESTOR_LIST[INVESTOR CODE],0),)," ")</f>
        <v xml:space="preserve"> </v>
      </c>
      <c r="I7782" s="248" t="s">
        <v>348</v>
      </c>
      <c r="J7782" s="249" t="s">
        <v>100</v>
      </c>
      <c r="K7782" s="250">
        <v>3597.2766658344208</v>
      </c>
      <c r="L7782" s="252"/>
    </row>
    <row r="7783" spans="1:12" x14ac:dyDescent="0.2">
      <c r="A7783" s="242">
        <v>2022</v>
      </c>
      <c r="B7783" s="242">
        <v>11</v>
      </c>
      <c r="C7783" s="242">
        <v>24</v>
      </c>
      <c r="D7783" s="321">
        <f t="shared" si="712"/>
        <v>44889</v>
      </c>
      <c r="E7783" s="322">
        <f t="shared" si="713"/>
        <v>44889</v>
      </c>
      <c r="F7783" s="478"/>
      <c r="G7783" s="243" t="s">
        <v>94</v>
      </c>
      <c r="H7783" s="243" t="str" cm="1">
        <f t="array" ref="H7783">IFERROR(INDEX(INVESTOR_LIST[INVESTOR NAME],MATCH(I7783,INVESTOR_LIST[INVESTOR CODE],0),)," ")</f>
        <v xml:space="preserve"> </v>
      </c>
      <c r="I7783" s="263" t="s">
        <v>348</v>
      </c>
      <c r="J7783" s="244" t="s">
        <v>48</v>
      </c>
      <c r="K7783" s="245"/>
      <c r="L7783" s="245">
        <v>3597.2766658344208</v>
      </c>
    </row>
    <row r="7784" spans="1:12" ht="45" x14ac:dyDescent="0.2">
      <c r="A7784" s="168">
        <v>2022</v>
      </c>
      <c r="B7784" s="168">
        <v>11</v>
      </c>
      <c r="C7784" s="133">
        <v>27</v>
      </c>
      <c r="D7784" s="141">
        <f>DATE(A7784,B7784,C7784)</f>
        <v>44892</v>
      </c>
      <c r="E7784" s="275">
        <f>DATE(A7784,B7784,C7784)</f>
        <v>44892</v>
      </c>
      <c r="F7784" s="479" t="s">
        <v>1315</v>
      </c>
      <c r="G7784" s="220" t="s">
        <v>74</v>
      </c>
      <c r="H7784" s="142" t="str" cm="1">
        <f t="array" ref="H7784">IFERROR(INDEX(INVESTOR_LIST[INVESTOR NAME],MATCH(I7784,INVESTOR_LIST[INVESTOR CODE],0),)," ")</f>
        <v>MOHAMMAD GULAM KIBRIAH</v>
      </c>
      <c r="I7784" s="142" t="s">
        <v>1336</v>
      </c>
      <c r="J7784" s="168" t="s">
        <v>13</v>
      </c>
      <c r="K7784" s="226">
        <v>41910</v>
      </c>
      <c r="L7784" s="226"/>
    </row>
    <row r="7785" spans="1:12" ht="45" x14ac:dyDescent="0.2">
      <c r="A7785" s="133">
        <v>2022</v>
      </c>
      <c r="B7785" s="133">
        <v>11</v>
      </c>
      <c r="C7785" s="133">
        <v>27</v>
      </c>
      <c r="D7785" s="141">
        <f>DATE(A7785,B7785,C7785)</f>
        <v>44892</v>
      </c>
      <c r="E7785" s="275">
        <f>DATE(A7785,B7785,C7785)</f>
        <v>44892</v>
      </c>
      <c r="F7785" s="481"/>
      <c r="G7785" s="174" t="s">
        <v>74</v>
      </c>
      <c r="H7785" s="148" t="str" cm="1">
        <f t="array" ref="H7785">IFERROR(INDEX(INVESTOR_LIST[INVESTOR NAME],MATCH(I7785,INVESTOR_LIST[INVESTOR CODE],0),)," ")</f>
        <v>MOHAMMAD GULAM KIBRIAH</v>
      </c>
      <c r="I7785" s="148" t="s">
        <v>1336</v>
      </c>
      <c r="J7785" s="133" t="s">
        <v>53</v>
      </c>
      <c r="K7785" s="218">
        <v>8884.92</v>
      </c>
      <c r="L7785" s="218"/>
    </row>
    <row r="7786" spans="1:12" ht="45" x14ac:dyDescent="0.2">
      <c r="A7786" s="163">
        <v>2022</v>
      </c>
      <c r="B7786" s="163">
        <v>11</v>
      </c>
      <c r="C7786" s="163">
        <v>27</v>
      </c>
      <c r="D7786" s="280">
        <f>DATE(A7786,B7786,C7786)</f>
        <v>44892</v>
      </c>
      <c r="E7786" s="281">
        <f>DATE(A7786,B7786,C7786)</f>
        <v>44892</v>
      </c>
      <c r="F7786" s="480"/>
      <c r="G7786" s="221" t="s">
        <v>74</v>
      </c>
      <c r="H7786" s="145" t="str" cm="1">
        <f t="array" ref="H7786">IFERROR(INDEX(INVESTOR_LIST[INVESTOR NAME],MATCH(I7786,INVESTOR_LIST[INVESTOR CODE],0),)," ")</f>
        <v>MOHAMMAD GULAM KIBRIAH</v>
      </c>
      <c r="I7786" s="145" t="s">
        <v>1336</v>
      </c>
      <c r="J7786" s="163" t="s">
        <v>52</v>
      </c>
      <c r="K7786" s="219"/>
      <c r="L7786" s="219">
        <v>50794.92</v>
      </c>
    </row>
    <row r="7787" spans="1:12" ht="22.5" x14ac:dyDescent="0.2">
      <c r="A7787" s="168">
        <v>2022</v>
      </c>
      <c r="B7787" s="168">
        <v>11</v>
      </c>
      <c r="C7787" s="168">
        <v>27</v>
      </c>
      <c r="D7787" s="141">
        <f t="shared" si="712"/>
        <v>44892</v>
      </c>
      <c r="E7787" s="275">
        <f t="shared" si="713"/>
        <v>44892</v>
      </c>
      <c r="F7787" s="479" t="s">
        <v>964</v>
      </c>
      <c r="G7787" s="220" t="s">
        <v>74</v>
      </c>
      <c r="H7787" s="142" t="str" cm="1">
        <f t="array" ref="H7787">IFERROR(INDEX(INVESTOR_LIST[INVESTOR NAME],MATCH(I7787,INVESTOR_LIST[INVESTOR CODE],0),)," ")</f>
        <v>JNANDIP PAUL</v>
      </c>
      <c r="I7787" s="142" t="s">
        <v>459</v>
      </c>
      <c r="J7787" s="168" t="s">
        <v>52</v>
      </c>
      <c r="K7787" s="226">
        <v>150000</v>
      </c>
      <c r="L7787" s="226"/>
    </row>
    <row r="7788" spans="1:12" ht="22.5" x14ac:dyDescent="0.2">
      <c r="A7788" s="133">
        <v>2022</v>
      </c>
      <c r="B7788" s="133">
        <v>11</v>
      </c>
      <c r="C7788" s="133">
        <v>27</v>
      </c>
      <c r="D7788" s="141">
        <f t="shared" si="712"/>
        <v>44892</v>
      </c>
      <c r="E7788" s="275">
        <f t="shared" si="713"/>
        <v>44892</v>
      </c>
      <c r="F7788" s="481"/>
      <c r="G7788" s="174" t="s">
        <v>74</v>
      </c>
      <c r="H7788" s="148" t="str" cm="1">
        <f t="array" ref="H7788">IFERROR(INDEX(INVESTOR_LIST[INVESTOR NAME],MATCH(I7788,INVESTOR_LIST[INVESTOR CODE],0),)," ")</f>
        <v>JNANDIP PAUL</v>
      </c>
      <c r="I7788" s="148" t="s">
        <v>459</v>
      </c>
      <c r="J7788" s="133" t="s">
        <v>13</v>
      </c>
      <c r="K7788" s="218"/>
      <c r="L7788" s="218">
        <v>123460</v>
      </c>
    </row>
    <row r="7789" spans="1:12" ht="22.5" x14ac:dyDescent="0.2">
      <c r="A7789" s="163">
        <v>2022</v>
      </c>
      <c r="B7789" s="163">
        <v>11</v>
      </c>
      <c r="C7789" s="163">
        <v>27</v>
      </c>
      <c r="D7789" s="280">
        <f t="shared" si="712"/>
        <v>44892</v>
      </c>
      <c r="E7789" s="281">
        <f t="shared" si="713"/>
        <v>44892</v>
      </c>
      <c r="F7789" s="480"/>
      <c r="G7789" s="221" t="s">
        <v>74</v>
      </c>
      <c r="H7789" s="145" t="str" cm="1">
        <f t="array" ref="H7789">IFERROR(INDEX(INVESTOR_LIST[INVESTOR NAME],MATCH(I7789,INVESTOR_LIST[INVESTOR CODE],0),)," ")</f>
        <v>JNANDIP PAUL</v>
      </c>
      <c r="I7789" s="145" t="s">
        <v>459</v>
      </c>
      <c r="J7789" s="163" t="s">
        <v>53</v>
      </c>
      <c r="K7789" s="219"/>
      <c r="L7789" s="219">
        <v>26540</v>
      </c>
    </row>
    <row r="7790" spans="1:12" x14ac:dyDescent="0.2">
      <c r="A7790" s="168">
        <v>2022</v>
      </c>
      <c r="B7790" s="168">
        <v>11</v>
      </c>
      <c r="C7790" s="168">
        <v>28</v>
      </c>
      <c r="D7790" s="141">
        <f t="shared" ref="D7790:D7792" si="714">DATE(A7790,B7790,C7790)</f>
        <v>44893</v>
      </c>
      <c r="E7790" s="275">
        <f t="shared" ref="E7790:E7792" si="715">DATE(A7790,B7790,C7790)</f>
        <v>44893</v>
      </c>
      <c r="F7790" s="479" t="s">
        <v>1319</v>
      </c>
      <c r="G7790" s="220" t="s">
        <v>74</v>
      </c>
      <c r="H7790" s="142" t="str" cm="1">
        <f t="array" ref="H7790">IFERROR(INDEX(INVESTOR_LIST[INVESTOR NAME],MATCH(I7790,INVESTOR_LIST[INVESTOR CODE],0),)," ")</f>
        <v xml:space="preserve"> </v>
      </c>
      <c r="I7790" s="142"/>
      <c r="J7790" s="168" t="s">
        <v>52</v>
      </c>
      <c r="K7790" s="226">
        <v>431000</v>
      </c>
      <c r="L7790" s="226"/>
    </row>
    <row r="7791" spans="1:12" x14ac:dyDescent="0.2">
      <c r="A7791" s="133">
        <v>2022</v>
      </c>
      <c r="B7791" s="133">
        <v>11</v>
      </c>
      <c r="C7791" s="133">
        <v>28</v>
      </c>
      <c r="D7791" s="141">
        <f t="shared" si="714"/>
        <v>44893</v>
      </c>
      <c r="E7791" s="275">
        <f t="shared" si="715"/>
        <v>44893</v>
      </c>
      <c r="F7791" s="481"/>
      <c r="G7791" s="174" t="s">
        <v>74</v>
      </c>
      <c r="H7791" s="148" t="str" cm="1">
        <f t="array" ref="H7791">IFERROR(INDEX(INVESTOR_LIST[INVESTOR NAME],MATCH(I7791,INVESTOR_LIST[INVESTOR CODE],0),)," ")</f>
        <v xml:space="preserve"> </v>
      </c>
      <c r="J7791" s="133" t="s">
        <v>13</v>
      </c>
      <c r="K7791" s="218"/>
      <c r="L7791" s="218">
        <v>354830</v>
      </c>
    </row>
    <row r="7792" spans="1:12" x14ac:dyDescent="0.2">
      <c r="A7792" s="163">
        <v>2022</v>
      </c>
      <c r="B7792" s="163">
        <v>11</v>
      </c>
      <c r="C7792" s="163">
        <v>28</v>
      </c>
      <c r="D7792" s="280">
        <f t="shared" si="714"/>
        <v>44893</v>
      </c>
      <c r="E7792" s="281">
        <f t="shared" si="715"/>
        <v>44893</v>
      </c>
      <c r="F7792" s="480"/>
      <c r="G7792" s="221" t="s">
        <v>74</v>
      </c>
      <c r="H7792" s="145" t="str" cm="1">
        <f t="array" ref="H7792">IFERROR(INDEX(INVESTOR_LIST[INVESTOR NAME],MATCH(I7792,INVESTOR_LIST[INVESTOR CODE],0),)," ")</f>
        <v xml:space="preserve"> </v>
      </c>
      <c r="I7792" s="145"/>
      <c r="J7792" s="163" t="s">
        <v>53</v>
      </c>
      <c r="K7792" s="219"/>
      <c r="L7792" s="219">
        <v>76170</v>
      </c>
    </row>
    <row r="7793" spans="1:12" x14ac:dyDescent="0.2">
      <c r="A7793" s="168">
        <v>2022</v>
      </c>
      <c r="B7793" s="168">
        <v>11</v>
      </c>
      <c r="C7793" s="168">
        <v>28</v>
      </c>
      <c r="D7793" s="141">
        <f>DATE(A7793,B7793,C7793)</f>
        <v>44893</v>
      </c>
      <c r="E7793" s="275">
        <f>DATE(A7793,B7793,C7793)</f>
        <v>44893</v>
      </c>
      <c r="F7793" s="479" t="s">
        <v>1500</v>
      </c>
      <c r="G7793" s="220" t="s">
        <v>74</v>
      </c>
      <c r="H7793" s="220" t="str" cm="1">
        <f t="array" ref="H7793">IFERROR(INDEX(INVESTOR_LIST[INVESTOR NAME],MATCH(I7793,INVESTOR_LIST[INVESTOR CODE],0),)," ")</f>
        <v xml:space="preserve"> </v>
      </c>
      <c r="I7793" s="142"/>
      <c r="J7793" s="143" t="s">
        <v>52</v>
      </c>
      <c r="K7793" s="226">
        <v>1227786</v>
      </c>
      <c r="L7793" s="226"/>
    </row>
    <row r="7794" spans="1:12" x14ac:dyDescent="0.2">
      <c r="A7794" s="163">
        <v>2022</v>
      </c>
      <c r="B7794" s="163">
        <v>11</v>
      </c>
      <c r="C7794" s="163">
        <v>28</v>
      </c>
      <c r="D7794" s="141">
        <f>DATE(A7794,B7794,C7794)</f>
        <v>44893</v>
      </c>
      <c r="E7794" s="275">
        <f>DATE(A7794,B7794,C7794)</f>
        <v>44893</v>
      </c>
      <c r="F7794" s="480"/>
      <c r="G7794" s="221" t="s">
        <v>74</v>
      </c>
      <c r="H7794" s="221" t="str" cm="1">
        <f t="array" ref="H7794">IFERROR(INDEX(INVESTOR_LIST[INVESTOR NAME],MATCH(I7794,INVESTOR_LIST[INVESTOR CODE],0),)," ")</f>
        <v xml:space="preserve"> </v>
      </c>
      <c r="I7794" s="145"/>
      <c r="J7794" s="146" t="s">
        <v>190</v>
      </c>
      <c r="K7794" s="219"/>
      <c r="L7794" s="219">
        <v>1227786</v>
      </c>
    </row>
    <row r="7795" spans="1:12" x14ac:dyDescent="0.2">
      <c r="A7795" s="133">
        <v>2022</v>
      </c>
      <c r="B7795" s="168">
        <v>11</v>
      </c>
      <c r="C7795" s="168">
        <v>28</v>
      </c>
      <c r="D7795" s="141">
        <f t="shared" ref="D7795:D7796" si="716">DATE(A7795,B7795,C7795)</f>
        <v>44893</v>
      </c>
      <c r="E7795" s="275">
        <f t="shared" ref="E7795:E7796" si="717">DATE(A7795,B7795,C7795)</f>
        <v>44893</v>
      </c>
      <c r="F7795" s="481" t="s">
        <v>1548</v>
      </c>
      <c r="G7795" s="174" t="s">
        <v>94</v>
      </c>
      <c r="H7795" s="174" t="str" cm="1">
        <f t="array" ref="H7795">IFERROR(INDEX(INVESTOR_LIST[INVESTOR NAME],MATCH(I7795,INVESTOR_LIST[INVESTOR CODE],0),)," ")</f>
        <v xml:space="preserve"> </v>
      </c>
      <c r="I7795" s="148" t="s">
        <v>348</v>
      </c>
      <c r="J7795" s="149" t="s">
        <v>168</v>
      </c>
      <c r="K7795" s="218">
        <v>720000</v>
      </c>
      <c r="L7795" s="218"/>
    </row>
    <row r="7796" spans="1:12" x14ac:dyDescent="0.2">
      <c r="A7796" s="163">
        <v>2022</v>
      </c>
      <c r="B7796" s="163">
        <v>11</v>
      </c>
      <c r="C7796" s="163">
        <v>28</v>
      </c>
      <c r="D7796" s="141">
        <f t="shared" si="716"/>
        <v>44893</v>
      </c>
      <c r="E7796" s="275">
        <f t="shared" si="717"/>
        <v>44893</v>
      </c>
      <c r="F7796" s="480"/>
      <c r="G7796" s="221" t="s">
        <v>94</v>
      </c>
      <c r="H7796" s="221" t="str" cm="1">
        <f t="array" ref="H7796">IFERROR(INDEX(INVESTOR_LIST[INVESTOR NAME],MATCH(I7796,INVESTOR_LIST[INVESTOR CODE],0),)," ")</f>
        <v xml:space="preserve"> </v>
      </c>
      <c r="I7796" s="145" t="s">
        <v>348</v>
      </c>
      <c r="J7796" s="146" t="s">
        <v>166</v>
      </c>
      <c r="K7796" s="219"/>
      <c r="L7796" s="219">
        <v>720000</v>
      </c>
    </row>
    <row r="7797" spans="1:12" ht="45" x14ac:dyDescent="0.2">
      <c r="A7797" s="168">
        <v>2022</v>
      </c>
      <c r="B7797" s="168">
        <v>11</v>
      </c>
      <c r="C7797" s="133">
        <v>29</v>
      </c>
      <c r="D7797" s="141">
        <f>DATE(A7797,B7797,C7797)</f>
        <v>44894</v>
      </c>
      <c r="E7797" s="275">
        <f>DATE(A7797,B7797,C7797)</f>
        <v>44894</v>
      </c>
      <c r="F7797" s="479" t="s">
        <v>1310</v>
      </c>
      <c r="G7797" s="220" t="s">
        <v>74</v>
      </c>
      <c r="H7797" s="142" t="str" cm="1">
        <f t="array" ref="H7797">IFERROR(INDEX(INVESTOR_LIST[INVESTOR NAME],MATCH(I7797,INVESTOR_LIST[INVESTOR CODE],0),)," ")</f>
        <v>YASIR MD FAZLE AMIN</v>
      </c>
      <c r="I7797" s="142" t="s">
        <v>612</v>
      </c>
      <c r="J7797" s="168" t="s">
        <v>13</v>
      </c>
      <c r="K7797" s="226">
        <v>61250</v>
      </c>
      <c r="L7797" s="226"/>
    </row>
    <row r="7798" spans="1:12" ht="45" x14ac:dyDescent="0.2">
      <c r="A7798" s="133">
        <v>2022</v>
      </c>
      <c r="B7798" s="133">
        <v>11</v>
      </c>
      <c r="C7798" s="133">
        <v>29</v>
      </c>
      <c r="D7798" s="141">
        <f>DATE(A7798,B7798,C7798)</f>
        <v>44894</v>
      </c>
      <c r="E7798" s="275">
        <f>DATE(A7798,B7798,C7798)</f>
        <v>44894</v>
      </c>
      <c r="F7798" s="481"/>
      <c r="G7798" s="174" t="s">
        <v>74</v>
      </c>
      <c r="H7798" s="148" t="str" cm="1">
        <f t="array" ref="H7798">IFERROR(INDEX(INVESTOR_LIST[INVESTOR NAME],MATCH(I7798,INVESTOR_LIST[INVESTOR CODE],0),)," ")</f>
        <v>YASIR MD FAZLE AMIN</v>
      </c>
      <c r="I7798" s="148" t="s">
        <v>612</v>
      </c>
      <c r="J7798" s="133" t="s">
        <v>53</v>
      </c>
      <c r="K7798" s="218">
        <v>13168.75</v>
      </c>
      <c r="L7798" s="218"/>
    </row>
    <row r="7799" spans="1:12" ht="45" x14ac:dyDescent="0.2">
      <c r="A7799" s="163">
        <v>2022</v>
      </c>
      <c r="B7799" s="163">
        <v>11</v>
      </c>
      <c r="C7799" s="163">
        <v>29</v>
      </c>
      <c r="D7799" s="280">
        <f>DATE(A7799,B7799,C7799)</f>
        <v>44894</v>
      </c>
      <c r="E7799" s="281">
        <f>DATE(A7799,B7799,C7799)</f>
        <v>44894</v>
      </c>
      <c r="F7799" s="480"/>
      <c r="G7799" s="221" t="s">
        <v>74</v>
      </c>
      <c r="H7799" s="145" t="str" cm="1">
        <f t="array" ref="H7799">IFERROR(INDEX(INVESTOR_LIST[INVESTOR NAME],MATCH(I7799,INVESTOR_LIST[INVESTOR CODE],0),)," ")</f>
        <v>YASIR MD FAZLE AMIN</v>
      </c>
      <c r="I7799" s="145" t="s">
        <v>612</v>
      </c>
      <c r="J7799" s="163" t="s">
        <v>52</v>
      </c>
      <c r="K7799" s="219"/>
      <c r="L7799" s="219">
        <v>74418.75</v>
      </c>
    </row>
    <row r="7800" spans="1:12" x14ac:dyDescent="0.2">
      <c r="A7800" s="168">
        <v>2022</v>
      </c>
      <c r="B7800" s="133">
        <v>11</v>
      </c>
      <c r="C7800" s="168">
        <v>29</v>
      </c>
      <c r="D7800" s="141">
        <f t="shared" ref="D7800:D7801" si="718">DATE(A7800,B7800,C7800)</f>
        <v>44894</v>
      </c>
      <c r="E7800" s="275">
        <f t="shared" ref="E7800:E7801" si="719">DATE(A7800,B7800,C7800)</f>
        <v>44894</v>
      </c>
      <c r="F7800" s="481" t="s">
        <v>982</v>
      </c>
      <c r="G7800" s="174" t="s">
        <v>74</v>
      </c>
      <c r="H7800" s="174" t="str" cm="1">
        <f t="array" ref="H7800">IFERROR(INDEX(INVESTOR_LIST[INVESTOR NAME],MATCH(I7800,INVESTOR_LIST[INVESTOR CODE],0),)," ")</f>
        <v xml:space="preserve"> </v>
      </c>
      <c r="I7800" s="148" t="s">
        <v>348</v>
      </c>
      <c r="J7800" s="149" t="s">
        <v>163</v>
      </c>
      <c r="K7800" s="218">
        <v>11250</v>
      </c>
      <c r="L7800" s="218"/>
    </row>
    <row r="7801" spans="1:12" x14ac:dyDescent="0.2">
      <c r="A7801" s="163">
        <v>2022</v>
      </c>
      <c r="B7801" s="163">
        <v>11</v>
      </c>
      <c r="C7801" s="163">
        <v>29</v>
      </c>
      <c r="D7801" s="141">
        <f t="shared" si="718"/>
        <v>44894</v>
      </c>
      <c r="E7801" s="275">
        <f t="shared" si="719"/>
        <v>44894</v>
      </c>
      <c r="F7801" s="480"/>
      <c r="G7801" s="221" t="s">
        <v>74</v>
      </c>
      <c r="H7801" s="221" t="str" cm="1">
        <f t="array" ref="H7801">IFERROR(INDEX(INVESTOR_LIST[INVESTOR NAME],MATCH(I7801,INVESTOR_LIST[INVESTOR CODE],0),)," ")</f>
        <v xml:space="preserve"> </v>
      </c>
      <c r="I7801" s="145" t="s">
        <v>348</v>
      </c>
      <c r="J7801" s="146" t="s">
        <v>52</v>
      </c>
      <c r="K7801" s="219"/>
      <c r="L7801" s="219">
        <v>11250</v>
      </c>
    </row>
    <row r="7802" spans="1:12" x14ac:dyDescent="0.2">
      <c r="A7802" s="168">
        <v>2022</v>
      </c>
      <c r="B7802" s="168">
        <v>11</v>
      </c>
      <c r="C7802" s="168">
        <v>29</v>
      </c>
      <c r="D7802" s="141">
        <f>DATE(A7802,B7802,C7802)</f>
        <v>44894</v>
      </c>
      <c r="E7802" s="275">
        <f>DATE(A7802,B7802,C7802)</f>
        <v>44894</v>
      </c>
      <c r="F7802" s="479" t="s">
        <v>1500</v>
      </c>
      <c r="G7802" s="220" t="s">
        <v>74</v>
      </c>
      <c r="H7802" s="220" t="str" cm="1">
        <f t="array" ref="H7802">IFERROR(INDEX(INVESTOR_LIST[INVESTOR NAME],MATCH(I7802,INVESTOR_LIST[INVESTOR CODE],0),)," ")</f>
        <v xml:space="preserve"> </v>
      </c>
      <c r="I7802" s="142"/>
      <c r="J7802" s="143" t="s">
        <v>52</v>
      </c>
      <c r="K7802" s="226">
        <v>458066.99</v>
      </c>
      <c r="L7802" s="226"/>
    </row>
    <row r="7803" spans="1:12" x14ac:dyDescent="0.2">
      <c r="A7803" s="163">
        <v>2022</v>
      </c>
      <c r="B7803" s="163">
        <v>11</v>
      </c>
      <c r="C7803" s="163">
        <v>29</v>
      </c>
      <c r="D7803" s="141">
        <f>DATE(A7803,B7803,C7803)</f>
        <v>44894</v>
      </c>
      <c r="E7803" s="275">
        <f>DATE(A7803,B7803,C7803)</f>
        <v>44894</v>
      </c>
      <c r="F7803" s="480"/>
      <c r="G7803" s="221" t="s">
        <v>74</v>
      </c>
      <c r="H7803" s="221" t="str" cm="1">
        <f t="array" ref="H7803">IFERROR(INDEX(INVESTOR_LIST[INVESTOR NAME],MATCH(I7803,INVESTOR_LIST[INVESTOR CODE],0),)," ")</f>
        <v xml:space="preserve"> </v>
      </c>
      <c r="I7803" s="145"/>
      <c r="J7803" s="146" t="s">
        <v>190</v>
      </c>
      <c r="K7803" s="219"/>
      <c r="L7803" s="219">
        <v>458066.99</v>
      </c>
    </row>
    <row r="7804" spans="1:12" x14ac:dyDescent="0.2">
      <c r="A7804" s="133">
        <v>2022</v>
      </c>
      <c r="B7804" s="133">
        <v>11</v>
      </c>
      <c r="C7804" s="133">
        <v>29</v>
      </c>
      <c r="D7804" s="141">
        <f t="shared" ref="D7804:D7808" si="720">DATE(A7804,B7804,C7804)</f>
        <v>44894</v>
      </c>
      <c r="E7804" s="275">
        <f t="shared" ref="E7804:E7808" si="721">DATE(A7804,B7804,C7804)</f>
        <v>44894</v>
      </c>
      <c r="F7804" s="481" t="s">
        <v>1542</v>
      </c>
      <c r="G7804" s="174" t="s">
        <v>74</v>
      </c>
      <c r="H7804" s="174" t="str" cm="1">
        <f t="array" ref="H7804">IFERROR(INDEX(INVESTOR_LIST[INVESTOR NAME],MATCH(I7804,INVESTOR_LIST[INVESTOR CODE],0),)," ")</f>
        <v xml:space="preserve"> </v>
      </c>
      <c r="I7804" s="148" t="s">
        <v>348</v>
      </c>
      <c r="J7804" s="149" t="s">
        <v>52</v>
      </c>
      <c r="K7804" s="218">
        <v>2497000</v>
      </c>
      <c r="L7804" s="218"/>
    </row>
    <row r="7805" spans="1:12" x14ac:dyDescent="0.2">
      <c r="A7805" s="133">
        <v>2022</v>
      </c>
      <c r="B7805" s="133">
        <v>11</v>
      </c>
      <c r="C7805" s="133">
        <v>29</v>
      </c>
      <c r="D7805" s="141">
        <f t="shared" si="720"/>
        <v>44894</v>
      </c>
      <c r="E7805" s="275">
        <f t="shared" si="721"/>
        <v>44894</v>
      </c>
      <c r="F7805" s="481"/>
      <c r="G7805" s="174" t="s">
        <v>74</v>
      </c>
      <c r="H7805" s="174"/>
      <c r="J7805" s="149" t="s">
        <v>61</v>
      </c>
      <c r="K7805" s="218">
        <v>3000</v>
      </c>
      <c r="L7805" s="218"/>
    </row>
    <row r="7806" spans="1:12" x14ac:dyDescent="0.2">
      <c r="A7806" s="163">
        <v>2022</v>
      </c>
      <c r="B7806" s="163">
        <v>11</v>
      </c>
      <c r="C7806" s="163">
        <v>29</v>
      </c>
      <c r="D7806" s="141">
        <f t="shared" si="720"/>
        <v>44894</v>
      </c>
      <c r="E7806" s="275">
        <f t="shared" si="721"/>
        <v>44894</v>
      </c>
      <c r="F7806" s="480"/>
      <c r="G7806" s="221" t="s">
        <v>74</v>
      </c>
      <c r="H7806" s="221" t="str" cm="1">
        <f t="array" ref="H7806">IFERROR(INDEX(INVESTOR_LIST[INVESTOR NAME],MATCH(I7806,INVESTOR_LIST[INVESTOR CODE],0),)," ")</f>
        <v xml:space="preserve"> </v>
      </c>
      <c r="I7806" s="145"/>
      <c r="J7806" s="146" t="s">
        <v>96</v>
      </c>
      <c r="K7806" s="219"/>
      <c r="L7806" s="219">
        <v>2500000</v>
      </c>
    </row>
    <row r="7807" spans="1:12" x14ac:dyDescent="0.2">
      <c r="A7807" s="133">
        <v>2022</v>
      </c>
      <c r="B7807" s="133">
        <v>11</v>
      </c>
      <c r="C7807" s="133">
        <v>29</v>
      </c>
      <c r="D7807" s="141">
        <f t="shared" si="720"/>
        <v>44894</v>
      </c>
      <c r="E7807" s="275">
        <f t="shared" si="721"/>
        <v>44894</v>
      </c>
      <c r="F7807" s="481" t="s">
        <v>1543</v>
      </c>
      <c r="G7807" s="174" t="s">
        <v>74</v>
      </c>
      <c r="H7807" s="174" t="str" cm="1">
        <f t="array" ref="H7807">IFERROR(INDEX(INVESTOR_LIST[INVESTOR NAME],MATCH(I7807,INVESTOR_LIST[INVESTOR CODE],0),)," ")</f>
        <v xml:space="preserve"> </v>
      </c>
      <c r="I7807" s="148" t="s">
        <v>348</v>
      </c>
      <c r="J7807" s="149" t="s">
        <v>96</v>
      </c>
      <c r="K7807" s="218">
        <v>2500000</v>
      </c>
      <c r="L7807" s="218"/>
    </row>
    <row r="7808" spans="1:12" x14ac:dyDescent="0.2">
      <c r="A7808" s="163">
        <v>2022</v>
      </c>
      <c r="B7808" s="163">
        <v>11</v>
      </c>
      <c r="C7808" s="163">
        <v>29</v>
      </c>
      <c r="D7808" s="141">
        <f t="shared" si="720"/>
        <v>44894</v>
      </c>
      <c r="E7808" s="275">
        <f t="shared" si="721"/>
        <v>44894</v>
      </c>
      <c r="F7808" s="480"/>
      <c r="G7808" s="221" t="s">
        <v>74</v>
      </c>
      <c r="H7808" s="221" t="str" cm="1">
        <f t="array" ref="H7808">IFERROR(INDEX(INVESTOR_LIST[INVESTOR NAME],MATCH(I7808,INVESTOR_LIST[INVESTOR CODE],0),)," ")</f>
        <v xml:space="preserve"> </v>
      </c>
      <c r="I7808" s="145"/>
      <c r="J7808" s="146" t="s">
        <v>96</v>
      </c>
      <c r="K7808" s="219"/>
      <c r="L7808" s="219">
        <v>2500000</v>
      </c>
    </row>
    <row r="7809" spans="1:12" x14ac:dyDescent="0.2">
      <c r="A7809" s="168">
        <v>2022</v>
      </c>
      <c r="B7809" s="168">
        <v>11</v>
      </c>
      <c r="C7809" s="168">
        <v>30</v>
      </c>
      <c r="D7809" s="141">
        <f>DATE(A7809,B7809,C7809)</f>
        <v>44895</v>
      </c>
      <c r="E7809" s="275">
        <f>DATE(A7809,B7809,C7809)</f>
        <v>44895</v>
      </c>
      <c r="F7809" s="479" t="s">
        <v>1544</v>
      </c>
      <c r="G7809" s="220" t="s">
        <v>74</v>
      </c>
      <c r="H7809" s="220" t="str" cm="1">
        <f t="array" ref="H7809">IFERROR(INDEX(INVESTOR_LIST[INVESTOR NAME],MATCH(I7809,INVESTOR_LIST[INVESTOR CODE],0),)," ")</f>
        <v xml:space="preserve"> </v>
      </c>
      <c r="I7809" s="142"/>
      <c r="J7809" s="143" t="s">
        <v>52</v>
      </c>
      <c r="K7809" s="226">
        <v>1166396.69</v>
      </c>
      <c r="L7809" s="226"/>
    </row>
    <row r="7810" spans="1:12" x14ac:dyDescent="0.2">
      <c r="A7810" s="163">
        <v>2022</v>
      </c>
      <c r="B7810" s="163">
        <v>11</v>
      </c>
      <c r="C7810" s="163">
        <v>30</v>
      </c>
      <c r="D7810" s="141">
        <f>DATE(A7810,B7810,C7810)</f>
        <v>44895</v>
      </c>
      <c r="E7810" s="275">
        <f>DATE(A7810,B7810,C7810)</f>
        <v>44895</v>
      </c>
      <c r="F7810" s="480"/>
      <c r="G7810" s="221" t="s">
        <v>74</v>
      </c>
      <c r="H7810" s="221" t="str" cm="1">
        <f t="array" ref="H7810">IFERROR(INDEX(INVESTOR_LIST[INVESTOR NAME],MATCH(I7810,INVESTOR_LIST[INVESTOR CODE],0),)," ")</f>
        <v xml:space="preserve"> </v>
      </c>
      <c r="I7810" s="145"/>
      <c r="J7810" s="146" t="s">
        <v>190</v>
      </c>
      <c r="K7810" s="219"/>
      <c r="L7810" s="219">
        <v>1166396.69</v>
      </c>
    </row>
    <row r="7811" spans="1:12" x14ac:dyDescent="0.2">
      <c r="A7811" s="133">
        <v>2022</v>
      </c>
      <c r="B7811" s="133">
        <v>11</v>
      </c>
      <c r="C7811" s="133">
        <v>30</v>
      </c>
      <c r="D7811" s="141">
        <f t="shared" ref="D7811:D7812" si="722">DATE(A7811,B7811,C7811)</f>
        <v>44895</v>
      </c>
      <c r="E7811" s="275">
        <f t="shared" ref="E7811:E7812" si="723">DATE(A7811,B7811,C7811)</f>
        <v>44895</v>
      </c>
      <c r="F7811" s="481" t="s">
        <v>1546</v>
      </c>
      <c r="G7811" s="174" t="s">
        <v>74</v>
      </c>
      <c r="H7811" s="174" t="str" cm="1">
        <f t="array" ref="H7811">IFERROR(INDEX(INVESTOR_LIST[INVESTOR NAME],MATCH(I7811,INVESTOR_LIST[INVESTOR CODE],0),)," ")</f>
        <v xml:space="preserve"> </v>
      </c>
      <c r="I7811" s="148" t="s">
        <v>348</v>
      </c>
      <c r="J7811" s="149" t="s">
        <v>52</v>
      </c>
      <c r="K7811" s="218">
        <v>43750</v>
      </c>
      <c r="L7811" s="218"/>
    </row>
    <row r="7812" spans="1:12" x14ac:dyDescent="0.2">
      <c r="A7812" s="163">
        <v>2022</v>
      </c>
      <c r="B7812" s="163">
        <v>11</v>
      </c>
      <c r="C7812" s="163">
        <v>30</v>
      </c>
      <c r="D7812" s="141">
        <f t="shared" si="722"/>
        <v>44895</v>
      </c>
      <c r="E7812" s="275">
        <f t="shared" si="723"/>
        <v>44895</v>
      </c>
      <c r="F7812" s="480"/>
      <c r="G7812" s="221" t="s">
        <v>74</v>
      </c>
      <c r="H7812" s="221" t="str" cm="1">
        <f t="array" ref="H7812">IFERROR(INDEX(INVESTOR_LIST[INVESTOR NAME],MATCH(I7812,INVESTOR_LIST[INVESTOR CODE],0),)," ")</f>
        <v xml:space="preserve"> </v>
      </c>
      <c r="I7812" s="145"/>
      <c r="J7812" s="146" t="s">
        <v>133</v>
      </c>
      <c r="K7812" s="219"/>
      <c r="L7812" s="219">
        <v>43750</v>
      </c>
    </row>
    <row r="7813" spans="1:12" x14ac:dyDescent="0.2">
      <c r="A7813" s="133">
        <v>2022</v>
      </c>
      <c r="B7813" s="133">
        <v>11</v>
      </c>
      <c r="C7813" s="133">
        <v>30</v>
      </c>
      <c r="D7813" s="141">
        <f t="shared" ref="D7813:D7817" si="724">DATE(A7813,B7813,C7813)</f>
        <v>44895</v>
      </c>
      <c r="E7813" s="275">
        <f t="shared" ref="E7813:E7817" si="725">DATE(A7813,B7813,C7813)</f>
        <v>44895</v>
      </c>
      <c r="F7813" s="481" t="s">
        <v>1545</v>
      </c>
      <c r="G7813" s="174" t="s">
        <v>74</v>
      </c>
      <c r="H7813" s="174" t="str" cm="1">
        <f t="array" ref="H7813">IFERROR(INDEX(INVESTOR_LIST[INVESTOR NAME],MATCH(I7813,INVESTOR_LIST[INVESTOR CODE],0),)," ")</f>
        <v xml:space="preserve"> </v>
      </c>
      <c r="J7813" s="149" t="s">
        <v>52</v>
      </c>
      <c r="K7813" s="218">
        <v>43750</v>
      </c>
      <c r="L7813" s="218"/>
    </row>
    <row r="7814" spans="1:12" x14ac:dyDescent="0.2">
      <c r="A7814" s="163">
        <v>2022</v>
      </c>
      <c r="B7814" s="163">
        <v>11</v>
      </c>
      <c r="C7814" s="163">
        <v>30</v>
      </c>
      <c r="D7814" s="141">
        <f t="shared" si="724"/>
        <v>44895</v>
      </c>
      <c r="E7814" s="275">
        <f t="shared" si="725"/>
        <v>44895</v>
      </c>
      <c r="F7814" s="480"/>
      <c r="G7814" s="221" t="s">
        <v>74</v>
      </c>
      <c r="H7814" s="221" t="str" cm="1">
        <f t="array" ref="H7814">IFERROR(INDEX(INVESTOR_LIST[INVESTOR NAME],MATCH(I7814,INVESTOR_LIST[INVESTOR CODE],0),)," ")</f>
        <v xml:space="preserve"> </v>
      </c>
      <c r="I7814" s="145"/>
      <c r="J7814" s="146" t="s">
        <v>133</v>
      </c>
      <c r="K7814" s="219"/>
      <c r="L7814" s="219">
        <v>43750</v>
      </c>
    </row>
    <row r="7815" spans="1:12" ht="33.75" x14ac:dyDescent="0.2">
      <c r="A7815" s="168">
        <v>2022</v>
      </c>
      <c r="B7815" s="168">
        <v>12</v>
      </c>
      <c r="C7815" s="168">
        <v>1</v>
      </c>
      <c r="D7815" s="141">
        <f t="shared" si="724"/>
        <v>44896</v>
      </c>
      <c r="E7815" s="275">
        <f t="shared" si="725"/>
        <v>44896</v>
      </c>
      <c r="F7815" s="479" t="s">
        <v>964</v>
      </c>
      <c r="G7815" s="220" t="s">
        <v>74</v>
      </c>
      <c r="H7815" s="142" t="str" cm="1">
        <f t="array" ref="H7815">IFERROR(INDEX(INVESTOR_LIST[INVESTOR NAME],MATCH(I7815,INVESTOR_LIST[INVESTOR CODE],0),)," ")</f>
        <v>NUSRAT JAHAN TISHA</v>
      </c>
      <c r="I7815" s="142" t="s">
        <v>1486</v>
      </c>
      <c r="J7815" s="168" t="s">
        <v>52</v>
      </c>
      <c r="K7815" s="226">
        <v>20000</v>
      </c>
      <c r="L7815" s="226"/>
    </row>
    <row r="7816" spans="1:12" ht="33.75" x14ac:dyDescent="0.2">
      <c r="A7816" s="133">
        <v>2022</v>
      </c>
      <c r="B7816" s="133">
        <v>12</v>
      </c>
      <c r="C7816" s="133">
        <v>1</v>
      </c>
      <c r="D7816" s="141">
        <f t="shared" si="724"/>
        <v>44896</v>
      </c>
      <c r="E7816" s="275">
        <f t="shared" si="725"/>
        <v>44896</v>
      </c>
      <c r="F7816" s="481"/>
      <c r="G7816" s="174" t="s">
        <v>74</v>
      </c>
      <c r="H7816" s="148" t="str" cm="1">
        <f t="array" ref="H7816">IFERROR(INDEX(INVESTOR_LIST[INVESTOR NAME],MATCH(I7816,INVESTOR_LIST[INVESTOR CODE],0),)," ")</f>
        <v>NUSRAT JAHAN TISHA</v>
      </c>
      <c r="I7816" s="148" t="s">
        <v>1486</v>
      </c>
      <c r="J7816" s="133" t="s">
        <v>13</v>
      </c>
      <c r="K7816" s="218"/>
      <c r="L7816" s="218">
        <v>16460</v>
      </c>
    </row>
    <row r="7817" spans="1:12" ht="33.75" x14ac:dyDescent="0.2">
      <c r="A7817" s="163">
        <v>2022</v>
      </c>
      <c r="B7817" s="163">
        <v>12</v>
      </c>
      <c r="C7817" s="163">
        <v>1</v>
      </c>
      <c r="D7817" s="280">
        <f t="shared" si="724"/>
        <v>44896</v>
      </c>
      <c r="E7817" s="281">
        <f t="shared" si="725"/>
        <v>44896</v>
      </c>
      <c r="F7817" s="480"/>
      <c r="G7817" s="221" t="s">
        <v>74</v>
      </c>
      <c r="H7817" s="145" t="str" cm="1">
        <f t="array" ref="H7817">IFERROR(INDEX(INVESTOR_LIST[INVESTOR NAME],MATCH(I7817,INVESTOR_LIST[INVESTOR CODE],0),)," ")</f>
        <v>NUSRAT JAHAN TISHA</v>
      </c>
      <c r="I7817" s="145" t="s">
        <v>1486</v>
      </c>
      <c r="J7817" s="163" t="s">
        <v>53</v>
      </c>
      <c r="K7817" s="219"/>
      <c r="L7817" s="219">
        <v>3540</v>
      </c>
    </row>
    <row r="7818" spans="1:12" x14ac:dyDescent="0.2">
      <c r="A7818" s="324">
        <v>2022</v>
      </c>
      <c r="B7818" s="324">
        <v>12</v>
      </c>
      <c r="C7818" s="325">
        <v>1</v>
      </c>
      <c r="D7818" s="326">
        <f>DATE(A7818,B7818,C7818)</f>
        <v>44896</v>
      </c>
      <c r="E7818" s="327">
        <f>DATE(A7818,B7818,C7818)</f>
        <v>44896</v>
      </c>
      <c r="F7818" s="473" t="s">
        <v>1490</v>
      </c>
      <c r="G7818" s="328" t="s">
        <v>94</v>
      </c>
      <c r="H7818" s="329" t="str" cm="1">
        <f t="array" ref="H7818">IFERROR(INDEX(INVESTOR_LIST[INVESTOR NAME],MATCH(I7818,INVESTOR_LIST[INVESTOR CODE],0),)," ")</f>
        <v xml:space="preserve"> </v>
      </c>
      <c r="I7818" s="329" t="s">
        <v>348</v>
      </c>
      <c r="J7818" s="324" t="s">
        <v>133</v>
      </c>
      <c r="K7818" s="330">
        <v>13681.97</v>
      </c>
      <c r="L7818" s="330"/>
    </row>
    <row r="7819" spans="1:12" x14ac:dyDescent="0.2">
      <c r="A7819" s="331">
        <v>2022</v>
      </c>
      <c r="B7819" s="331">
        <v>12</v>
      </c>
      <c r="C7819" s="331">
        <v>1</v>
      </c>
      <c r="D7819" s="326">
        <f>DATE(A7819,B7819,C7819)</f>
        <v>44896</v>
      </c>
      <c r="E7819" s="327">
        <f>DATE(A7819,B7819,C7819)</f>
        <v>44896</v>
      </c>
      <c r="F7819" s="474"/>
      <c r="G7819" s="332" t="s">
        <v>94</v>
      </c>
      <c r="H7819" s="333" t="str" cm="1">
        <f t="array" ref="H7819">IFERROR(INDEX(INVESTOR_LIST[INVESTOR NAME],MATCH(I7819,INVESTOR_LIST[INVESTOR CODE],0),)," ")</f>
        <v xml:space="preserve"> </v>
      </c>
      <c r="I7819" s="333" t="s">
        <v>348</v>
      </c>
      <c r="J7819" s="331" t="s">
        <v>152</v>
      </c>
      <c r="K7819" s="334"/>
      <c r="L7819" s="334">
        <v>13681.97</v>
      </c>
    </row>
    <row r="7820" spans="1:12" x14ac:dyDescent="0.2">
      <c r="A7820" s="324">
        <v>2022</v>
      </c>
      <c r="B7820" s="324">
        <v>12</v>
      </c>
      <c r="C7820" s="325">
        <v>1</v>
      </c>
      <c r="D7820" s="326">
        <f t="shared" ref="D7820:D7821" si="726">DATE(A7820,B7820,C7820)</f>
        <v>44896</v>
      </c>
      <c r="E7820" s="327">
        <f t="shared" ref="E7820:E7821" si="727">DATE(A7820,B7820,C7820)</f>
        <v>44896</v>
      </c>
      <c r="F7820" s="473" t="s">
        <v>1491</v>
      </c>
      <c r="G7820" s="328" t="s">
        <v>94</v>
      </c>
      <c r="H7820" s="329" t="str" cm="1">
        <f t="array" ref="H7820">IFERROR(INDEX(INVESTOR_LIST[INVESTOR NAME],MATCH(I7820,INVESTOR_LIST[INVESTOR CODE],0),)," ")</f>
        <v xml:space="preserve"> </v>
      </c>
      <c r="I7820" s="329" t="s">
        <v>348</v>
      </c>
      <c r="J7820" s="324" t="s">
        <v>133</v>
      </c>
      <c r="K7820" s="330">
        <v>3605.7692307692309</v>
      </c>
      <c r="L7820" s="330"/>
    </row>
    <row r="7821" spans="1:12" x14ac:dyDescent="0.2">
      <c r="A7821" s="331">
        <v>2022</v>
      </c>
      <c r="B7821" s="331">
        <v>12</v>
      </c>
      <c r="C7821" s="331">
        <v>1</v>
      </c>
      <c r="D7821" s="326">
        <f t="shared" si="726"/>
        <v>44896</v>
      </c>
      <c r="E7821" s="327">
        <f t="shared" si="727"/>
        <v>44896</v>
      </c>
      <c r="F7821" s="474"/>
      <c r="G7821" s="332" t="s">
        <v>94</v>
      </c>
      <c r="H7821" s="333" t="str" cm="1">
        <f t="array" ref="H7821">IFERROR(INDEX(INVESTOR_LIST[INVESTOR NAME],MATCH(I7821,INVESTOR_LIST[INVESTOR CODE],0),)," ")</f>
        <v xml:space="preserve"> </v>
      </c>
      <c r="I7821" s="333" t="s">
        <v>348</v>
      </c>
      <c r="J7821" s="331" t="s">
        <v>152</v>
      </c>
      <c r="K7821" s="334"/>
      <c r="L7821" s="334">
        <v>3605.7692307692309</v>
      </c>
    </row>
    <row r="7822" spans="1:12" x14ac:dyDescent="0.2">
      <c r="A7822" s="324">
        <v>2022</v>
      </c>
      <c r="B7822" s="324">
        <v>12</v>
      </c>
      <c r="C7822" s="325">
        <v>1</v>
      </c>
      <c r="D7822" s="326">
        <f>DATE(A7822,B7822,C7822)</f>
        <v>44896</v>
      </c>
      <c r="E7822" s="327">
        <f>DATE(A7822,B7822,C7822)</f>
        <v>44896</v>
      </c>
      <c r="F7822" s="473" t="s">
        <v>1531</v>
      </c>
      <c r="G7822" s="328" t="s">
        <v>94</v>
      </c>
      <c r="H7822" s="329" t="str" cm="1">
        <f t="array" ref="H7822">IFERROR(INDEX(INVESTOR_LIST[INVESTOR NAME],MATCH(I7822,INVESTOR_LIST[INVESTOR CODE],0),)," ")</f>
        <v xml:space="preserve"> </v>
      </c>
      <c r="I7822" s="329" t="s">
        <v>348</v>
      </c>
      <c r="J7822" s="324" t="s">
        <v>133</v>
      </c>
      <c r="K7822" s="330">
        <v>1346.1538461538462</v>
      </c>
      <c r="L7822" s="330"/>
    </row>
    <row r="7823" spans="1:12" x14ac:dyDescent="0.2">
      <c r="A7823" s="331">
        <v>2022</v>
      </c>
      <c r="B7823" s="331">
        <v>12</v>
      </c>
      <c r="C7823" s="331">
        <v>1</v>
      </c>
      <c r="D7823" s="326">
        <f>DATE(A7823,B7823,C7823)</f>
        <v>44896</v>
      </c>
      <c r="E7823" s="327">
        <f>DATE(A7823,B7823,C7823)</f>
        <v>44896</v>
      </c>
      <c r="F7823" s="474"/>
      <c r="G7823" s="332" t="s">
        <v>94</v>
      </c>
      <c r="H7823" s="333" t="str" cm="1">
        <f t="array" ref="H7823">IFERROR(INDEX(INVESTOR_LIST[INVESTOR NAME],MATCH(I7823,INVESTOR_LIST[INVESTOR CODE],0),)," ")</f>
        <v xml:space="preserve"> </v>
      </c>
      <c r="I7823" s="333" t="s">
        <v>348</v>
      </c>
      <c r="J7823" s="331" t="s">
        <v>152</v>
      </c>
      <c r="K7823" s="334"/>
      <c r="L7823" s="334">
        <v>1346.1538461538462</v>
      </c>
    </row>
    <row r="7824" spans="1:12" x14ac:dyDescent="0.2">
      <c r="A7824" s="238">
        <v>2022</v>
      </c>
      <c r="B7824" s="238">
        <v>12</v>
      </c>
      <c r="C7824" s="238">
        <v>1</v>
      </c>
      <c r="D7824" s="270">
        <f t="shared" ref="D7824:D7831" si="728">DATE(A7824,B7824,C7824)</f>
        <v>44896</v>
      </c>
      <c r="E7824" s="279">
        <f t="shared" ref="E7824:E7831" si="729">DATE(A7824,B7824,C7824)</f>
        <v>44896</v>
      </c>
      <c r="F7824" s="477" t="s">
        <v>347</v>
      </c>
      <c r="G7824" s="239" t="s">
        <v>94</v>
      </c>
      <c r="H7824" s="239" t="str" cm="1">
        <f t="array" ref="H7824">IFERROR(INDEX(INVESTOR_LIST[INVESTOR NAME],MATCH(I7824,INVESTOR_LIST[INVESTOR CODE],0),)," ")</f>
        <v xml:space="preserve"> </v>
      </c>
      <c r="I7824" s="262" t="s">
        <v>348</v>
      </c>
      <c r="J7824" s="240" t="s">
        <v>82</v>
      </c>
      <c r="K7824" s="241">
        <v>37763.620000004768</v>
      </c>
      <c r="L7824" s="241"/>
    </row>
    <row r="7825" spans="1:12" x14ac:dyDescent="0.2">
      <c r="A7825" s="242">
        <v>2022</v>
      </c>
      <c r="B7825" s="242">
        <v>12</v>
      </c>
      <c r="C7825" s="242">
        <v>1</v>
      </c>
      <c r="D7825" s="270">
        <f t="shared" si="728"/>
        <v>44896</v>
      </c>
      <c r="E7825" s="279">
        <f t="shared" si="729"/>
        <v>44896</v>
      </c>
      <c r="F7825" s="478"/>
      <c r="G7825" s="243" t="s">
        <v>94</v>
      </c>
      <c r="H7825" s="243" t="str" cm="1">
        <f t="array" ref="H7825">IFERROR(INDEX(INVESTOR_LIST[INVESTOR NAME],MATCH(I7825,INVESTOR_LIST[INVESTOR CODE],0),)," ")</f>
        <v xml:space="preserve"> </v>
      </c>
      <c r="I7825" s="263" t="s">
        <v>348</v>
      </c>
      <c r="J7825" s="244" t="s">
        <v>108</v>
      </c>
      <c r="K7825" s="245"/>
      <c r="L7825" s="245">
        <v>37763.620000004768</v>
      </c>
    </row>
    <row r="7826" spans="1:12" ht="22.5" x14ac:dyDescent="0.2">
      <c r="A7826" s="246">
        <v>2022</v>
      </c>
      <c r="B7826" s="238">
        <v>12</v>
      </c>
      <c r="C7826" s="238">
        <v>1</v>
      </c>
      <c r="D7826" s="270">
        <f t="shared" si="728"/>
        <v>44896</v>
      </c>
      <c r="E7826" s="279">
        <f t="shared" si="729"/>
        <v>44896</v>
      </c>
      <c r="F7826" s="482" t="s">
        <v>148</v>
      </c>
      <c r="G7826" s="247" t="s">
        <v>94</v>
      </c>
      <c r="H7826" s="247" t="str" cm="1">
        <f t="array" ref="H7826">IFERROR(INDEX(INVESTOR_LIST[INVESTOR NAME],MATCH(I7826,INVESTOR_LIST[INVESTOR CODE],0),)," ")</f>
        <v xml:space="preserve"> </v>
      </c>
      <c r="I7826" s="248" t="s">
        <v>348</v>
      </c>
      <c r="J7826" s="249" t="s">
        <v>95</v>
      </c>
      <c r="K7826" s="250">
        <v>2747.2527472527472</v>
      </c>
      <c r="L7826" s="241"/>
    </row>
    <row r="7827" spans="1:12" x14ac:dyDescent="0.2">
      <c r="A7827" s="242">
        <v>2022</v>
      </c>
      <c r="B7827" s="242">
        <v>12</v>
      </c>
      <c r="C7827" s="242">
        <v>1</v>
      </c>
      <c r="D7827" s="270">
        <f t="shared" si="728"/>
        <v>44896</v>
      </c>
      <c r="E7827" s="279">
        <f t="shared" si="729"/>
        <v>44896</v>
      </c>
      <c r="F7827" s="478"/>
      <c r="G7827" s="243" t="s">
        <v>94</v>
      </c>
      <c r="H7827" s="243" t="str" cm="1">
        <f t="array" ref="H7827">IFERROR(INDEX(INVESTOR_LIST[INVESTOR NAME],MATCH(I7827,INVESTOR_LIST[INVESTOR CODE],0),)," ")</f>
        <v xml:space="preserve"> </v>
      </c>
      <c r="I7827" s="263" t="s">
        <v>348</v>
      </c>
      <c r="J7827" s="244" t="s">
        <v>63</v>
      </c>
      <c r="K7827" s="245"/>
      <c r="L7827" s="245">
        <v>2747.2527472527472</v>
      </c>
    </row>
    <row r="7828" spans="1:12" x14ac:dyDescent="0.2">
      <c r="A7828" s="246">
        <v>2022</v>
      </c>
      <c r="B7828" s="238">
        <v>12</v>
      </c>
      <c r="C7828" s="238">
        <v>1</v>
      </c>
      <c r="D7828" s="270">
        <f t="shared" si="728"/>
        <v>44896</v>
      </c>
      <c r="E7828" s="279">
        <f t="shared" si="729"/>
        <v>44896</v>
      </c>
      <c r="F7828" s="482" t="s">
        <v>137</v>
      </c>
      <c r="G7828" s="247" t="s">
        <v>94</v>
      </c>
      <c r="H7828" s="247" t="str" cm="1">
        <f t="array" ref="H7828">IFERROR(INDEX(INVESTOR_LIST[INVESTOR NAME],MATCH(I7828,INVESTOR_LIST[INVESTOR CODE],0),)," ")</f>
        <v xml:space="preserve"> </v>
      </c>
      <c r="I7828" s="248" t="s">
        <v>348</v>
      </c>
      <c r="J7828" s="249" t="s">
        <v>97</v>
      </c>
      <c r="K7828" s="250">
        <v>77037.034614159187</v>
      </c>
      <c r="L7828" s="252"/>
    </row>
    <row r="7829" spans="1:12" x14ac:dyDescent="0.2">
      <c r="A7829" s="242">
        <v>2022</v>
      </c>
      <c r="B7829" s="242">
        <v>12</v>
      </c>
      <c r="C7829" s="242">
        <v>1</v>
      </c>
      <c r="D7829" s="270">
        <f t="shared" si="728"/>
        <v>44896</v>
      </c>
      <c r="E7829" s="279">
        <f t="shared" si="729"/>
        <v>44896</v>
      </c>
      <c r="F7829" s="478"/>
      <c r="G7829" s="243" t="s">
        <v>94</v>
      </c>
      <c r="H7829" s="243" t="str" cm="1">
        <f t="array" ref="H7829">IFERROR(INDEX(INVESTOR_LIST[INVESTOR NAME],MATCH(I7829,INVESTOR_LIST[INVESTOR CODE],0),)," ")</f>
        <v xml:space="preserve"> </v>
      </c>
      <c r="I7829" s="263" t="s">
        <v>348</v>
      </c>
      <c r="J7829" s="244" t="s">
        <v>47</v>
      </c>
      <c r="K7829" s="245"/>
      <c r="L7829" s="245">
        <v>77037.034614159187</v>
      </c>
    </row>
    <row r="7830" spans="1:12" x14ac:dyDescent="0.2">
      <c r="A7830" s="246">
        <v>2022</v>
      </c>
      <c r="B7830" s="238">
        <v>12</v>
      </c>
      <c r="C7830" s="238">
        <v>1</v>
      </c>
      <c r="D7830" s="270">
        <f t="shared" si="728"/>
        <v>44896</v>
      </c>
      <c r="E7830" s="279">
        <f t="shared" si="729"/>
        <v>44896</v>
      </c>
      <c r="F7830" s="482" t="s">
        <v>138</v>
      </c>
      <c r="G7830" s="247" t="s">
        <v>94</v>
      </c>
      <c r="H7830" s="247" t="str" cm="1">
        <f t="array" ref="H7830">IFERROR(INDEX(INVESTOR_LIST[INVESTOR NAME],MATCH(I7830,INVESTOR_LIST[INVESTOR CODE],0),)," ")</f>
        <v xml:space="preserve"> </v>
      </c>
      <c r="I7830" s="248" t="s">
        <v>348</v>
      </c>
      <c r="J7830" s="249" t="s">
        <v>100</v>
      </c>
      <c r="K7830" s="250">
        <v>3611.4671153233439</v>
      </c>
      <c r="L7830" s="252"/>
    </row>
    <row r="7831" spans="1:12" x14ac:dyDescent="0.2">
      <c r="A7831" s="242">
        <v>2022</v>
      </c>
      <c r="B7831" s="242">
        <v>12</v>
      </c>
      <c r="C7831" s="242">
        <v>1</v>
      </c>
      <c r="D7831" s="321">
        <f t="shared" si="728"/>
        <v>44896</v>
      </c>
      <c r="E7831" s="322">
        <f t="shared" si="729"/>
        <v>44896</v>
      </c>
      <c r="F7831" s="478"/>
      <c r="G7831" s="243" t="s">
        <v>94</v>
      </c>
      <c r="H7831" s="243" t="str" cm="1">
        <f t="array" ref="H7831">IFERROR(INDEX(INVESTOR_LIST[INVESTOR NAME],MATCH(I7831,INVESTOR_LIST[INVESTOR CODE],0),)," ")</f>
        <v xml:space="preserve"> </v>
      </c>
      <c r="I7831" s="263" t="s">
        <v>348</v>
      </c>
      <c r="J7831" s="244" t="s">
        <v>48</v>
      </c>
      <c r="K7831" s="245"/>
      <c r="L7831" s="245">
        <v>3611.4671153233439</v>
      </c>
    </row>
    <row r="7832" spans="1:12" ht="45" x14ac:dyDescent="0.2">
      <c r="A7832" s="168">
        <v>2022</v>
      </c>
      <c r="B7832" s="168">
        <v>12</v>
      </c>
      <c r="C7832" s="133">
        <v>4</v>
      </c>
      <c r="D7832" s="141">
        <f t="shared" ref="D7832:D7853" si="730">DATE(A7832,B7832,C7832)</f>
        <v>44899</v>
      </c>
      <c r="E7832" s="275">
        <f t="shared" ref="E7832:E7853" si="731">DATE(A7832,B7832,C7832)</f>
        <v>44899</v>
      </c>
      <c r="F7832" s="479" t="s">
        <v>1315</v>
      </c>
      <c r="G7832" s="220" t="s">
        <v>74</v>
      </c>
      <c r="H7832" s="142" t="str" cm="1">
        <f t="array" ref="H7832">IFERROR(INDEX(INVESTOR_LIST[INVESTOR NAME],MATCH(I7832,INVESTOR_LIST[INVESTOR CODE],0),)," ")</f>
        <v>MD. NIAZ MURSHED</v>
      </c>
      <c r="I7832" s="142" t="s">
        <v>646</v>
      </c>
      <c r="J7832" s="168" t="s">
        <v>13</v>
      </c>
      <c r="K7832" s="226">
        <v>164340</v>
      </c>
      <c r="L7832" s="226"/>
    </row>
    <row r="7833" spans="1:12" ht="45" x14ac:dyDescent="0.2">
      <c r="A7833" s="133">
        <v>2022</v>
      </c>
      <c r="B7833" s="133">
        <v>12</v>
      </c>
      <c r="C7833" s="133">
        <v>4</v>
      </c>
      <c r="D7833" s="141">
        <f t="shared" si="730"/>
        <v>44899</v>
      </c>
      <c r="E7833" s="275">
        <f t="shared" si="731"/>
        <v>44899</v>
      </c>
      <c r="F7833" s="481"/>
      <c r="G7833" s="174" t="s">
        <v>74</v>
      </c>
      <c r="H7833" s="148" t="str" cm="1">
        <f t="array" ref="H7833">IFERROR(INDEX(INVESTOR_LIST[INVESTOR NAME],MATCH(I7833,INVESTOR_LIST[INVESTOR CODE],0),)," ")</f>
        <v>MD. NIAZ MURSHED</v>
      </c>
      <c r="I7833" s="148" t="s">
        <v>646</v>
      </c>
      <c r="J7833" s="133" t="s">
        <v>53</v>
      </c>
      <c r="K7833" s="218">
        <v>35660</v>
      </c>
      <c r="L7833" s="218"/>
    </row>
    <row r="7834" spans="1:12" ht="45" x14ac:dyDescent="0.2">
      <c r="A7834" s="163">
        <v>2022</v>
      </c>
      <c r="B7834" s="163">
        <v>12</v>
      </c>
      <c r="C7834" s="163">
        <v>4</v>
      </c>
      <c r="D7834" s="280">
        <f t="shared" si="730"/>
        <v>44899</v>
      </c>
      <c r="E7834" s="281">
        <f t="shared" si="731"/>
        <v>44899</v>
      </c>
      <c r="F7834" s="480"/>
      <c r="G7834" s="221" t="s">
        <v>74</v>
      </c>
      <c r="H7834" s="145" t="str" cm="1">
        <f t="array" ref="H7834">IFERROR(INDEX(INVESTOR_LIST[INVESTOR NAME],MATCH(I7834,INVESTOR_LIST[INVESTOR CODE],0),)," ")</f>
        <v>MD. NIAZ MURSHED</v>
      </c>
      <c r="I7834" s="145" t="s">
        <v>646</v>
      </c>
      <c r="J7834" s="163" t="s">
        <v>52</v>
      </c>
      <c r="K7834" s="219"/>
      <c r="L7834" s="219">
        <v>200000</v>
      </c>
    </row>
    <row r="7835" spans="1:12" ht="22.5" x14ac:dyDescent="0.2">
      <c r="A7835" s="168">
        <v>2022</v>
      </c>
      <c r="B7835" s="168">
        <v>12</v>
      </c>
      <c r="C7835" s="133">
        <v>5</v>
      </c>
      <c r="D7835" s="141">
        <f t="shared" si="730"/>
        <v>44900</v>
      </c>
      <c r="E7835" s="275">
        <f t="shared" si="731"/>
        <v>44900</v>
      </c>
      <c r="F7835" s="479" t="s">
        <v>1310</v>
      </c>
      <c r="G7835" s="220" t="s">
        <v>74</v>
      </c>
      <c r="H7835" s="142" t="str" cm="1">
        <f t="array" ref="H7835">IFERROR(INDEX(INVESTOR_LIST[INVESTOR NAME],MATCH(I7835,INVESTOR_LIST[INVESTOR CODE],0),)," ")</f>
        <v>ASMA UL HUSNA</v>
      </c>
      <c r="I7835" s="142" t="s">
        <v>620</v>
      </c>
      <c r="J7835" s="168" t="s">
        <v>13</v>
      </c>
      <c r="K7835" s="226">
        <v>33210</v>
      </c>
      <c r="L7835" s="226"/>
    </row>
    <row r="7836" spans="1:12" ht="22.5" x14ac:dyDescent="0.2">
      <c r="A7836" s="133">
        <v>2022</v>
      </c>
      <c r="B7836" s="133">
        <v>12</v>
      </c>
      <c r="C7836" s="133">
        <v>5</v>
      </c>
      <c r="D7836" s="141">
        <f t="shared" si="730"/>
        <v>44900</v>
      </c>
      <c r="E7836" s="275">
        <f t="shared" si="731"/>
        <v>44900</v>
      </c>
      <c r="F7836" s="481"/>
      <c r="G7836" s="174" t="s">
        <v>74</v>
      </c>
      <c r="H7836" s="148" t="str" cm="1">
        <f t="array" ref="H7836">IFERROR(INDEX(INVESTOR_LIST[INVESTOR NAME],MATCH(I7836,INVESTOR_LIST[INVESTOR CODE],0),)," ")</f>
        <v>ASMA UL HUSNA</v>
      </c>
      <c r="I7836" s="148" t="s">
        <v>620</v>
      </c>
      <c r="J7836" s="133" t="s">
        <v>53</v>
      </c>
      <c r="K7836" s="218">
        <v>7206.57</v>
      </c>
      <c r="L7836" s="218"/>
    </row>
    <row r="7837" spans="1:12" ht="22.5" x14ac:dyDescent="0.2">
      <c r="A7837" s="163">
        <v>2022</v>
      </c>
      <c r="B7837" s="163">
        <v>12</v>
      </c>
      <c r="C7837" s="163">
        <v>5</v>
      </c>
      <c r="D7837" s="280">
        <f t="shared" si="730"/>
        <v>44900</v>
      </c>
      <c r="E7837" s="281">
        <f t="shared" si="731"/>
        <v>44900</v>
      </c>
      <c r="F7837" s="480"/>
      <c r="G7837" s="221" t="s">
        <v>74</v>
      </c>
      <c r="H7837" s="145" t="str" cm="1">
        <f t="array" ref="H7837">IFERROR(INDEX(INVESTOR_LIST[INVESTOR NAME],MATCH(I7837,INVESTOR_LIST[INVESTOR CODE],0),)," ")</f>
        <v>ASMA UL HUSNA</v>
      </c>
      <c r="I7837" s="145" t="s">
        <v>620</v>
      </c>
      <c r="J7837" s="163" t="s">
        <v>52</v>
      </c>
      <c r="K7837" s="219"/>
      <c r="L7837" s="219">
        <v>40416.57</v>
      </c>
    </row>
    <row r="7838" spans="1:12" x14ac:dyDescent="0.2">
      <c r="A7838" s="168">
        <v>2022</v>
      </c>
      <c r="B7838" s="168">
        <v>12</v>
      </c>
      <c r="C7838" s="133">
        <v>6</v>
      </c>
      <c r="D7838" s="141">
        <f t="shared" si="730"/>
        <v>44901</v>
      </c>
      <c r="E7838" s="275">
        <f t="shared" si="731"/>
        <v>44901</v>
      </c>
      <c r="F7838" s="479" t="s">
        <v>1549</v>
      </c>
      <c r="G7838" s="220" t="s">
        <v>74</v>
      </c>
      <c r="H7838" s="220" t="str" cm="1">
        <f t="array" ref="H7838">IFERROR(INDEX(INVESTOR_LIST[INVESTOR NAME],MATCH(I7838,INVESTOR_LIST[INVESTOR CODE],0),)," ")</f>
        <v xml:space="preserve"> </v>
      </c>
      <c r="I7838" s="142" t="s">
        <v>348</v>
      </c>
      <c r="J7838" s="143" t="s">
        <v>79</v>
      </c>
      <c r="K7838" s="226">
        <v>76230</v>
      </c>
      <c r="L7838" s="226"/>
    </row>
    <row r="7839" spans="1:12" x14ac:dyDescent="0.2">
      <c r="A7839" s="133">
        <v>2022</v>
      </c>
      <c r="B7839" s="133">
        <v>12</v>
      </c>
      <c r="C7839" s="133">
        <v>6</v>
      </c>
      <c r="D7839" s="141">
        <f t="shared" si="730"/>
        <v>44901</v>
      </c>
      <c r="E7839" s="275">
        <f t="shared" si="731"/>
        <v>44901</v>
      </c>
      <c r="F7839" s="481"/>
      <c r="G7839" s="174" t="s">
        <v>74</v>
      </c>
      <c r="H7839" s="174" t="str" cm="1">
        <f t="array" ref="H7839">IFERROR(INDEX(INVESTOR_LIST[INVESTOR NAME],MATCH(I7839,INVESTOR_LIST[INVESTOR CODE],0),)," ")</f>
        <v xml:space="preserve"> </v>
      </c>
      <c r="I7839" s="148" t="s">
        <v>348</v>
      </c>
      <c r="J7839" s="149" t="s">
        <v>52</v>
      </c>
      <c r="K7839" s="218">
        <v>784860</v>
      </c>
      <c r="L7839" s="218"/>
    </row>
    <row r="7840" spans="1:12" x14ac:dyDescent="0.2">
      <c r="A7840" s="163">
        <v>2022</v>
      </c>
      <c r="B7840" s="163">
        <v>12</v>
      </c>
      <c r="C7840" s="163">
        <v>6</v>
      </c>
      <c r="D7840" s="141">
        <f>DATE(A7840,B7840,C7840)</f>
        <v>44901</v>
      </c>
      <c r="E7840" s="275">
        <f>DATE(A7840,B7840,C7840)</f>
        <v>44901</v>
      </c>
      <c r="F7840" s="480"/>
      <c r="G7840" s="221" t="s">
        <v>74</v>
      </c>
      <c r="H7840" s="221" t="str" cm="1">
        <f t="array" ref="H7840">IFERROR(INDEX(INVESTOR_LIST[INVESTOR NAME],MATCH(I7840,INVESTOR_LIST[INVESTOR CODE],0),)," ")</f>
        <v xml:space="preserve"> </v>
      </c>
      <c r="I7840" s="145" t="s">
        <v>348</v>
      </c>
      <c r="J7840" s="146" t="s">
        <v>184</v>
      </c>
      <c r="K7840" s="219"/>
      <c r="L7840" s="219">
        <v>861090</v>
      </c>
    </row>
    <row r="7841" spans="1:13" x14ac:dyDescent="0.2">
      <c r="A7841" s="133">
        <v>2022</v>
      </c>
      <c r="B7841" s="133">
        <v>12</v>
      </c>
      <c r="C7841" s="133">
        <v>6</v>
      </c>
      <c r="D7841" s="141">
        <f>DATE(A7841,B7841,C7841)</f>
        <v>44901</v>
      </c>
      <c r="E7841" s="275">
        <f>DATE(A7841,B7841,C7841)</f>
        <v>44901</v>
      </c>
      <c r="F7841" s="481" t="s">
        <v>1550</v>
      </c>
      <c r="G7841" s="174" t="s">
        <v>74</v>
      </c>
      <c r="H7841" s="174" t="str" cm="1">
        <f t="array" ref="H7841">IFERROR(INDEX(INVESTOR_LIST[INVESTOR NAME],MATCH(I7841,INVESTOR_LIST[INVESTOR CODE],0),)," ")</f>
        <v xml:space="preserve"> </v>
      </c>
      <c r="I7841" s="148" t="s">
        <v>348</v>
      </c>
      <c r="J7841" s="149" t="s">
        <v>96</v>
      </c>
      <c r="K7841" s="218">
        <v>10163750</v>
      </c>
      <c r="L7841" s="218"/>
    </row>
    <row r="7842" spans="1:13" x14ac:dyDescent="0.2">
      <c r="A7842" s="163">
        <v>2022</v>
      </c>
      <c r="B7842" s="163">
        <v>12</v>
      </c>
      <c r="C7842" s="163">
        <v>6</v>
      </c>
      <c r="D7842" s="141">
        <f t="shared" si="730"/>
        <v>44901</v>
      </c>
      <c r="E7842" s="275">
        <f t="shared" si="731"/>
        <v>44901</v>
      </c>
      <c r="F7842" s="480"/>
      <c r="G7842" s="221" t="s">
        <v>74</v>
      </c>
      <c r="H7842" s="221" t="str" cm="1">
        <f t="array" ref="H7842">IFERROR(INDEX(INVESTOR_LIST[INVESTOR NAME],MATCH(I7842,INVESTOR_LIST[INVESTOR CODE],0),)," ")</f>
        <v xml:space="preserve"> </v>
      </c>
      <c r="I7842" s="145"/>
      <c r="J7842" s="146" t="s">
        <v>96</v>
      </c>
      <c r="K7842" s="219"/>
      <c r="L7842" s="219">
        <v>10163750</v>
      </c>
    </row>
    <row r="7843" spans="1:13" x14ac:dyDescent="0.2">
      <c r="A7843" s="133">
        <v>2022</v>
      </c>
      <c r="B7843" s="133">
        <v>12</v>
      </c>
      <c r="C7843" s="133">
        <v>6</v>
      </c>
      <c r="D7843" s="141">
        <f t="shared" si="730"/>
        <v>44901</v>
      </c>
      <c r="E7843" s="275">
        <f t="shared" si="731"/>
        <v>44901</v>
      </c>
      <c r="F7843" s="481" t="s">
        <v>1551</v>
      </c>
      <c r="G7843" s="174" t="s">
        <v>74</v>
      </c>
      <c r="H7843" s="174" t="str" cm="1">
        <f t="array" ref="H7843">IFERROR(INDEX(INVESTOR_LIST[INVESTOR NAME],MATCH(I7843,INVESTOR_LIST[INVESTOR CODE],0),)," ")</f>
        <v xml:space="preserve"> </v>
      </c>
      <c r="I7843" s="148" t="s">
        <v>348</v>
      </c>
      <c r="J7843" s="149" t="s">
        <v>52</v>
      </c>
      <c r="K7843" s="218">
        <v>88932.81</v>
      </c>
      <c r="L7843" s="218"/>
    </row>
    <row r="7844" spans="1:13" x14ac:dyDescent="0.2">
      <c r="A7844" s="163">
        <v>2022</v>
      </c>
      <c r="B7844" s="163">
        <v>12</v>
      </c>
      <c r="C7844" s="163">
        <v>6</v>
      </c>
      <c r="D7844" s="141">
        <f t="shared" si="730"/>
        <v>44901</v>
      </c>
      <c r="E7844" s="275">
        <f t="shared" si="731"/>
        <v>44901</v>
      </c>
      <c r="F7844" s="480"/>
      <c r="G7844" s="221" t="s">
        <v>74</v>
      </c>
      <c r="H7844" s="221" t="str" cm="1">
        <f t="array" ref="H7844">IFERROR(INDEX(INVESTOR_LIST[INVESTOR NAME],MATCH(I7844,INVESTOR_LIST[INVESTOR CODE],0),)," ")</f>
        <v xml:space="preserve"> </v>
      </c>
      <c r="I7844" s="145"/>
      <c r="J7844" s="146" t="s">
        <v>133</v>
      </c>
      <c r="K7844" s="219"/>
      <c r="L7844" s="219">
        <v>88932.81</v>
      </c>
    </row>
    <row r="7845" spans="1:13" ht="10.15" customHeight="1" x14ac:dyDescent="0.2">
      <c r="A7845" s="133">
        <v>2022</v>
      </c>
      <c r="B7845" s="133">
        <v>12</v>
      </c>
      <c r="C7845" s="133">
        <v>6</v>
      </c>
      <c r="D7845" s="141">
        <f t="shared" si="730"/>
        <v>44901</v>
      </c>
      <c r="E7845" s="275">
        <f t="shared" si="731"/>
        <v>44901</v>
      </c>
      <c r="F7845" s="481" t="s">
        <v>1552</v>
      </c>
      <c r="G7845" s="174" t="s">
        <v>74</v>
      </c>
      <c r="H7845" s="174" t="str" cm="1">
        <f t="array" ref="H7845">IFERROR(INDEX(INVESTOR_LIST[INVESTOR NAME],MATCH(I7845,INVESTOR_LIST[INVESTOR CODE],0),)," ")</f>
        <v xml:space="preserve"> </v>
      </c>
      <c r="J7845" s="149" t="s">
        <v>52</v>
      </c>
      <c r="K7845" s="218">
        <v>88932.81</v>
      </c>
      <c r="L7845" s="218"/>
    </row>
    <row r="7846" spans="1:13" x14ac:dyDescent="0.2">
      <c r="A7846" s="163">
        <v>2022</v>
      </c>
      <c r="B7846" s="163">
        <v>12</v>
      </c>
      <c r="C7846" s="163">
        <v>6</v>
      </c>
      <c r="D7846" s="141">
        <f t="shared" si="730"/>
        <v>44901</v>
      </c>
      <c r="E7846" s="275">
        <f t="shared" si="731"/>
        <v>44901</v>
      </c>
      <c r="F7846" s="480"/>
      <c r="G7846" s="221" t="s">
        <v>74</v>
      </c>
      <c r="H7846" s="221" t="str" cm="1">
        <f t="array" ref="H7846">IFERROR(INDEX(INVESTOR_LIST[INVESTOR NAME],MATCH(I7846,INVESTOR_LIST[INVESTOR CODE],0),)," ")</f>
        <v xml:space="preserve"> </v>
      </c>
      <c r="I7846" s="145"/>
      <c r="J7846" s="146" t="s">
        <v>133</v>
      </c>
      <c r="K7846" s="219"/>
      <c r="L7846" s="219">
        <v>88932.81</v>
      </c>
    </row>
    <row r="7847" spans="1:13" x14ac:dyDescent="0.2">
      <c r="A7847" s="168">
        <v>2022</v>
      </c>
      <c r="B7847" s="168">
        <v>12</v>
      </c>
      <c r="C7847" s="168">
        <v>6</v>
      </c>
      <c r="D7847" s="141">
        <f t="shared" si="730"/>
        <v>44901</v>
      </c>
      <c r="E7847" s="275">
        <f t="shared" si="731"/>
        <v>44901</v>
      </c>
      <c r="F7847" s="479" t="s">
        <v>1319</v>
      </c>
      <c r="G7847" s="220" t="s">
        <v>74</v>
      </c>
      <c r="H7847" s="142" t="str" cm="1">
        <f t="array" ref="H7847">IFERROR(INDEX(INVESTOR_LIST[INVESTOR NAME],MATCH(I7847,INVESTOR_LIST[INVESTOR CODE],0),)," ")</f>
        <v xml:space="preserve"> </v>
      </c>
      <c r="I7847" s="142"/>
      <c r="J7847" s="168" t="s">
        <v>52</v>
      </c>
      <c r="K7847" s="226">
        <v>340000</v>
      </c>
      <c r="L7847" s="226"/>
    </row>
    <row r="7848" spans="1:13" x14ac:dyDescent="0.2">
      <c r="A7848" s="133">
        <v>2022</v>
      </c>
      <c r="B7848" s="133">
        <v>12</v>
      </c>
      <c r="C7848" s="133">
        <v>6</v>
      </c>
      <c r="D7848" s="141">
        <f t="shared" si="730"/>
        <v>44901</v>
      </c>
      <c r="E7848" s="275">
        <f t="shared" si="731"/>
        <v>44901</v>
      </c>
      <c r="F7848" s="481"/>
      <c r="G7848" s="174" t="s">
        <v>74</v>
      </c>
      <c r="H7848" s="148" t="str" cm="1">
        <f t="array" ref="H7848">IFERROR(INDEX(INVESTOR_LIST[INVESTOR NAME],MATCH(I7848,INVESTOR_LIST[INVESTOR CODE],0),)," ")</f>
        <v xml:space="preserve"> </v>
      </c>
      <c r="J7848" s="133" t="s">
        <v>13</v>
      </c>
      <c r="K7848" s="218"/>
      <c r="L7848" s="218">
        <v>279380</v>
      </c>
    </row>
    <row r="7849" spans="1:13" x14ac:dyDescent="0.2">
      <c r="A7849" s="163">
        <v>2022</v>
      </c>
      <c r="B7849" s="163">
        <v>12</v>
      </c>
      <c r="C7849" s="163">
        <v>6</v>
      </c>
      <c r="D7849" s="280">
        <f t="shared" si="730"/>
        <v>44901</v>
      </c>
      <c r="E7849" s="281">
        <f t="shared" si="731"/>
        <v>44901</v>
      </c>
      <c r="F7849" s="480"/>
      <c r="G7849" s="221" t="s">
        <v>74</v>
      </c>
      <c r="H7849" s="145" t="str" cm="1">
        <f t="array" ref="H7849">IFERROR(INDEX(INVESTOR_LIST[INVESTOR NAME],MATCH(I7849,INVESTOR_LIST[INVESTOR CODE],0),)," ")</f>
        <v xml:space="preserve"> </v>
      </c>
      <c r="I7849" s="145"/>
      <c r="J7849" s="163" t="s">
        <v>53</v>
      </c>
      <c r="K7849" s="219"/>
      <c r="L7849" s="219">
        <v>60620</v>
      </c>
    </row>
    <row r="7850" spans="1:13" x14ac:dyDescent="0.2">
      <c r="A7850" s="133">
        <v>2022</v>
      </c>
      <c r="B7850" s="133">
        <v>12</v>
      </c>
      <c r="C7850" s="133">
        <v>6</v>
      </c>
      <c r="D7850" s="141">
        <f t="shared" si="730"/>
        <v>44901</v>
      </c>
      <c r="E7850" s="275">
        <f t="shared" si="731"/>
        <v>44901</v>
      </c>
      <c r="F7850" s="481" t="s">
        <v>1499</v>
      </c>
      <c r="G7850" s="174" t="s">
        <v>94</v>
      </c>
      <c r="H7850" s="174" t="str" cm="1">
        <f t="array" ref="H7850">IFERROR(INDEX(INVESTOR_LIST[INVESTOR NAME],MATCH(I7850,INVESTOR_LIST[INVESTOR CODE],0),)," ")</f>
        <v xml:space="preserve"> </v>
      </c>
      <c r="J7850" s="149" t="s">
        <v>190</v>
      </c>
      <c r="K7850" s="218">
        <v>848470</v>
      </c>
      <c r="L7850" s="218"/>
      <c r="M7850" s="160"/>
    </row>
    <row r="7851" spans="1:13" x14ac:dyDescent="0.2">
      <c r="A7851" s="133">
        <v>2022</v>
      </c>
      <c r="B7851" s="133">
        <v>12</v>
      </c>
      <c r="C7851" s="133">
        <v>6</v>
      </c>
      <c r="D7851" s="141">
        <f t="shared" si="730"/>
        <v>44901</v>
      </c>
      <c r="E7851" s="275">
        <f t="shared" si="731"/>
        <v>44901</v>
      </c>
      <c r="F7851" s="481"/>
      <c r="G7851" s="174" t="s">
        <v>94</v>
      </c>
      <c r="H7851" s="174"/>
      <c r="J7851" s="149" t="s">
        <v>80</v>
      </c>
      <c r="K7851" s="218">
        <v>1530</v>
      </c>
      <c r="L7851" s="218"/>
    </row>
    <row r="7852" spans="1:13" x14ac:dyDescent="0.2">
      <c r="A7852" s="133">
        <v>2022</v>
      </c>
      <c r="B7852" s="133">
        <v>12</v>
      </c>
      <c r="C7852" s="133">
        <v>6</v>
      </c>
      <c r="D7852" s="141">
        <f t="shared" si="730"/>
        <v>44901</v>
      </c>
      <c r="E7852" s="275">
        <f t="shared" si="731"/>
        <v>44901</v>
      </c>
      <c r="F7852" s="481"/>
      <c r="G7852" s="174" t="s">
        <v>94</v>
      </c>
      <c r="H7852" s="174" t="str" cm="1">
        <f t="array" ref="H7852">IFERROR(INDEX(INVESTOR_LIST[INVESTOR NAME],MATCH(I7852,INVESTOR_LIST[INVESTOR CODE],0),)," ")</f>
        <v xml:space="preserve"> </v>
      </c>
      <c r="J7852" s="149" t="s">
        <v>191</v>
      </c>
      <c r="K7852" s="218">
        <v>150000</v>
      </c>
      <c r="L7852" s="218"/>
    </row>
    <row r="7853" spans="1:13" x14ac:dyDescent="0.2">
      <c r="A7853" s="163">
        <v>2022</v>
      </c>
      <c r="B7853" s="163">
        <v>12</v>
      </c>
      <c r="C7853" s="163">
        <v>6</v>
      </c>
      <c r="D7853" s="280">
        <f t="shared" si="730"/>
        <v>44901</v>
      </c>
      <c r="E7853" s="281">
        <f t="shared" si="731"/>
        <v>44901</v>
      </c>
      <c r="F7853" s="480"/>
      <c r="G7853" s="221" t="s">
        <v>94</v>
      </c>
      <c r="H7853" s="145" t="str" cm="1">
        <f t="array" ref="H7853">IFERROR(INDEX(INVESTOR_LIST[INVESTOR NAME],MATCH(I7853,INVESTOR_LIST[INVESTOR CODE],0),)," ")</f>
        <v xml:space="preserve"> </v>
      </c>
      <c r="I7853" s="145"/>
      <c r="J7853" s="163" t="s">
        <v>79</v>
      </c>
      <c r="K7853" s="219"/>
      <c r="L7853" s="219">
        <v>1000000</v>
      </c>
    </row>
    <row r="7854" spans="1:13" x14ac:dyDescent="0.2">
      <c r="A7854" s="324">
        <v>2022</v>
      </c>
      <c r="B7854" s="324">
        <v>12</v>
      </c>
      <c r="C7854" s="325">
        <v>8</v>
      </c>
      <c r="D7854" s="326">
        <f>DATE(A7854,B7854,C7854)</f>
        <v>44903</v>
      </c>
      <c r="E7854" s="327">
        <f>DATE(A7854,B7854,C7854)</f>
        <v>44903</v>
      </c>
      <c r="F7854" s="473" t="s">
        <v>1490</v>
      </c>
      <c r="G7854" s="328" t="s">
        <v>94</v>
      </c>
      <c r="H7854" s="329" t="str" cm="1">
        <f t="array" ref="H7854">IFERROR(INDEX(INVESTOR_LIST[INVESTOR NAME],MATCH(I7854,INVESTOR_LIST[INVESTOR CODE],0),)," ")</f>
        <v xml:space="preserve"> </v>
      </c>
      <c r="I7854" s="329" t="s">
        <v>348</v>
      </c>
      <c r="J7854" s="324" t="s">
        <v>133</v>
      </c>
      <c r="K7854" s="330">
        <v>14659.25</v>
      </c>
      <c r="L7854" s="330"/>
    </row>
    <row r="7855" spans="1:13" x14ac:dyDescent="0.2">
      <c r="A7855" s="331">
        <v>2022</v>
      </c>
      <c r="B7855" s="331">
        <v>12</v>
      </c>
      <c r="C7855" s="331">
        <v>8</v>
      </c>
      <c r="D7855" s="326">
        <f>DATE(A7855,B7855,C7855)</f>
        <v>44903</v>
      </c>
      <c r="E7855" s="327">
        <f>DATE(A7855,B7855,C7855)</f>
        <v>44903</v>
      </c>
      <c r="F7855" s="474"/>
      <c r="G7855" s="332" t="s">
        <v>94</v>
      </c>
      <c r="H7855" s="333" t="str" cm="1">
        <f t="array" ref="H7855">IFERROR(INDEX(INVESTOR_LIST[INVESTOR NAME],MATCH(I7855,INVESTOR_LIST[INVESTOR CODE],0),)," ")</f>
        <v xml:space="preserve"> </v>
      </c>
      <c r="I7855" s="333" t="s">
        <v>348</v>
      </c>
      <c r="J7855" s="331" t="s">
        <v>152</v>
      </c>
      <c r="K7855" s="334"/>
      <c r="L7855" s="334">
        <v>14659.25</v>
      </c>
    </row>
    <row r="7856" spans="1:13" x14ac:dyDescent="0.2">
      <c r="A7856" s="324">
        <v>2022</v>
      </c>
      <c r="B7856" s="324">
        <v>12</v>
      </c>
      <c r="C7856" s="325">
        <v>8</v>
      </c>
      <c r="D7856" s="326">
        <f t="shared" ref="D7856:D7857" si="732">DATE(A7856,B7856,C7856)</f>
        <v>44903</v>
      </c>
      <c r="E7856" s="327">
        <f t="shared" ref="E7856:E7857" si="733">DATE(A7856,B7856,C7856)</f>
        <v>44903</v>
      </c>
      <c r="F7856" s="473" t="s">
        <v>1491</v>
      </c>
      <c r="G7856" s="328" t="s">
        <v>94</v>
      </c>
      <c r="H7856" s="329" t="str" cm="1">
        <f t="array" ref="H7856">IFERROR(INDEX(INVESTOR_LIST[INVESTOR NAME],MATCH(I7856,INVESTOR_LIST[INVESTOR CODE],0),)," ")</f>
        <v xml:space="preserve"> </v>
      </c>
      <c r="I7856" s="329" t="s">
        <v>348</v>
      </c>
      <c r="J7856" s="324" t="s">
        <v>133</v>
      </c>
      <c r="K7856" s="330">
        <v>3605.7692307692309</v>
      </c>
      <c r="L7856" s="330"/>
    </row>
    <row r="7857" spans="1:12" x14ac:dyDescent="0.2">
      <c r="A7857" s="331">
        <v>2022</v>
      </c>
      <c r="B7857" s="331">
        <v>12</v>
      </c>
      <c r="C7857" s="331">
        <v>8</v>
      </c>
      <c r="D7857" s="326">
        <f t="shared" si="732"/>
        <v>44903</v>
      </c>
      <c r="E7857" s="327">
        <f t="shared" si="733"/>
        <v>44903</v>
      </c>
      <c r="F7857" s="474"/>
      <c r="G7857" s="332" t="s">
        <v>94</v>
      </c>
      <c r="H7857" s="333" t="str" cm="1">
        <f t="array" ref="H7857">IFERROR(INDEX(INVESTOR_LIST[INVESTOR NAME],MATCH(I7857,INVESTOR_LIST[INVESTOR CODE],0),)," ")</f>
        <v xml:space="preserve"> </v>
      </c>
      <c r="I7857" s="333" t="s">
        <v>348</v>
      </c>
      <c r="J7857" s="331" t="s">
        <v>152</v>
      </c>
      <c r="K7857" s="334"/>
      <c r="L7857" s="334">
        <v>3605.7692307692309</v>
      </c>
    </row>
    <row r="7858" spans="1:12" x14ac:dyDescent="0.2">
      <c r="A7858" s="324">
        <v>2022</v>
      </c>
      <c r="B7858" s="324">
        <v>12</v>
      </c>
      <c r="C7858" s="325">
        <v>8</v>
      </c>
      <c r="D7858" s="326">
        <f>DATE(A7858,B7858,C7858)</f>
        <v>44903</v>
      </c>
      <c r="E7858" s="327">
        <f>DATE(A7858,B7858,C7858)</f>
        <v>44903</v>
      </c>
      <c r="F7858" s="473" t="s">
        <v>1531</v>
      </c>
      <c r="G7858" s="328" t="s">
        <v>94</v>
      </c>
      <c r="H7858" s="329" t="str" cm="1">
        <f t="array" ref="H7858">IFERROR(INDEX(INVESTOR_LIST[INVESTOR NAME],MATCH(I7858,INVESTOR_LIST[INVESTOR CODE],0),)," ")</f>
        <v xml:space="preserve"> </v>
      </c>
      <c r="I7858" s="329" t="s">
        <v>348</v>
      </c>
      <c r="J7858" s="324" t="s">
        <v>133</v>
      </c>
      <c r="K7858" s="330">
        <v>1346.1538461538462</v>
      </c>
      <c r="L7858" s="330"/>
    </row>
    <row r="7859" spans="1:12" x14ac:dyDescent="0.2">
      <c r="A7859" s="331">
        <v>2022</v>
      </c>
      <c r="B7859" s="331">
        <v>12</v>
      </c>
      <c r="C7859" s="331">
        <v>8</v>
      </c>
      <c r="D7859" s="326">
        <f>DATE(A7859,B7859,C7859)</f>
        <v>44903</v>
      </c>
      <c r="E7859" s="327">
        <f>DATE(A7859,B7859,C7859)</f>
        <v>44903</v>
      </c>
      <c r="F7859" s="474"/>
      <c r="G7859" s="332" t="s">
        <v>94</v>
      </c>
      <c r="H7859" s="333" t="str" cm="1">
        <f t="array" ref="H7859">IFERROR(INDEX(INVESTOR_LIST[INVESTOR NAME],MATCH(I7859,INVESTOR_LIST[INVESTOR CODE],0),)," ")</f>
        <v xml:space="preserve"> </v>
      </c>
      <c r="I7859" s="333" t="s">
        <v>348</v>
      </c>
      <c r="J7859" s="331" t="s">
        <v>152</v>
      </c>
      <c r="K7859" s="334"/>
      <c r="L7859" s="334">
        <v>1346.1538461538462</v>
      </c>
    </row>
    <row r="7860" spans="1:12" x14ac:dyDescent="0.2">
      <c r="A7860" s="238">
        <v>2022</v>
      </c>
      <c r="B7860" s="238">
        <v>12</v>
      </c>
      <c r="C7860" s="238">
        <v>8</v>
      </c>
      <c r="D7860" s="270">
        <f t="shared" ref="D7860:D7870" si="734">DATE(A7860,B7860,C7860)</f>
        <v>44903</v>
      </c>
      <c r="E7860" s="279">
        <f t="shared" ref="E7860:E7870" si="735">DATE(A7860,B7860,C7860)</f>
        <v>44903</v>
      </c>
      <c r="F7860" s="477" t="s">
        <v>347</v>
      </c>
      <c r="G7860" s="239" t="s">
        <v>94</v>
      </c>
      <c r="H7860" s="239" t="str" cm="1">
        <f t="array" ref="H7860">IFERROR(INDEX(INVESTOR_LIST[INVESTOR NAME],MATCH(I7860,INVESTOR_LIST[INVESTOR CODE],0),)," ")</f>
        <v xml:space="preserve"> </v>
      </c>
      <c r="I7860" s="262" t="s">
        <v>348</v>
      </c>
      <c r="J7860" s="240" t="s">
        <v>108</v>
      </c>
      <c r="K7860" s="241">
        <v>175519.00999999046</v>
      </c>
      <c r="L7860" s="241"/>
    </row>
    <row r="7861" spans="1:12" x14ac:dyDescent="0.2">
      <c r="A7861" s="242">
        <v>2022</v>
      </c>
      <c r="B7861" s="242">
        <v>12</v>
      </c>
      <c r="C7861" s="242">
        <v>8</v>
      </c>
      <c r="D7861" s="270">
        <f t="shared" si="734"/>
        <v>44903</v>
      </c>
      <c r="E7861" s="279">
        <f t="shared" si="735"/>
        <v>44903</v>
      </c>
      <c r="F7861" s="478"/>
      <c r="G7861" s="243" t="s">
        <v>94</v>
      </c>
      <c r="H7861" s="243" t="str" cm="1">
        <f t="array" ref="H7861">IFERROR(INDEX(INVESTOR_LIST[INVESTOR NAME],MATCH(I7861,INVESTOR_LIST[INVESTOR CODE],0),)," ")</f>
        <v xml:space="preserve"> </v>
      </c>
      <c r="I7861" s="263" t="s">
        <v>348</v>
      </c>
      <c r="J7861" s="244" t="s">
        <v>82</v>
      </c>
      <c r="K7861" s="245"/>
      <c r="L7861" s="245">
        <v>175519.00999999046</v>
      </c>
    </row>
    <row r="7862" spans="1:12" ht="22.5" x14ac:dyDescent="0.2">
      <c r="A7862" s="246">
        <v>2022</v>
      </c>
      <c r="B7862" s="238">
        <v>12</v>
      </c>
      <c r="C7862" s="238">
        <v>8</v>
      </c>
      <c r="D7862" s="270">
        <f t="shared" si="734"/>
        <v>44903</v>
      </c>
      <c r="E7862" s="279">
        <f t="shared" si="735"/>
        <v>44903</v>
      </c>
      <c r="F7862" s="482" t="s">
        <v>148</v>
      </c>
      <c r="G7862" s="247" t="s">
        <v>94</v>
      </c>
      <c r="H7862" s="247" t="str" cm="1">
        <f t="array" ref="H7862">IFERROR(INDEX(INVESTOR_LIST[INVESTOR NAME],MATCH(I7862,INVESTOR_LIST[INVESTOR CODE],0),)," ")</f>
        <v xml:space="preserve"> </v>
      </c>
      <c r="I7862" s="248" t="s">
        <v>348</v>
      </c>
      <c r="J7862" s="249" t="s">
        <v>95</v>
      </c>
      <c r="K7862" s="250">
        <v>2747.2527472527472</v>
      </c>
      <c r="L7862" s="241"/>
    </row>
    <row r="7863" spans="1:12" x14ac:dyDescent="0.2">
      <c r="A7863" s="242">
        <v>2022</v>
      </c>
      <c r="B7863" s="242">
        <v>12</v>
      </c>
      <c r="C7863" s="242">
        <v>8</v>
      </c>
      <c r="D7863" s="270">
        <f t="shared" si="734"/>
        <v>44903</v>
      </c>
      <c r="E7863" s="279">
        <f t="shared" si="735"/>
        <v>44903</v>
      </c>
      <c r="F7863" s="478"/>
      <c r="G7863" s="243" t="s">
        <v>94</v>
      </c>
      <c r="H7863" s="243" t="str" cm="1">
        <f t="array" ref="H7863">IFERROR(INDEX(INVESTOR_LIST[INVESTOR NAME],MATCH(I7863,INVESTOR_LIST[INVESTOR CODE],0),)," ")</f>
        <v xml:space="preserve"> </v>
      </c>
      <c r="I7863" s="263" t="s">
        <v>348</v>
      </c>
      <c r="J7863" s="244" t="s">
        <v>63</v>
      </c>
      <c r="K7863" s="245"/>
      <c r="L7863" s="245">
        <v>2747.2527472527472</v>
      </c>
    </row>
    <row r="7864" spans="1:12" x14ac:dyDescent="0.2">
      <c r="A7864" s="246">
        <v>2022</v>
      </c>
      <c r="B7864" s="238">
        <v>12</v>
      </c>
      <c r="C7864" s="238">
        <v>8</v>
      </c>
      <c r="D7864" s="270">
        <f t="shared" si="734"/>
        <v>44903</v>
      </c>
      <c r="E7864" s="279">
        <f t="shared" si="735"/>
        <v>44903</v>
      </c>
      <c r="F7864" s="482" t="s">
        <v>137</v>
      </c>
      <c r="G7864" s="247" t="s">
        <v>94</v>
      </c>
      <c r="H7864" s="247" t="str" cm="1">
        <f t="array" ref="H7864">IFERROR(INDEX(INVESTOR_LIST[INVESTOR NAME],MATCH(I7864,INVESTOR_LIST[INVESTOR CODE],0),)," ")</f>
        <v xml:space="preserve"> </v>
      </c>
      <c r="I7864" s="248" t="s">
        <v>348</v>
      </c>
      <c r="J7864" s="249" t="s">
        <v>97</v>
      </c>
      <c r="K7864" s="250">
        <v>77067.112044981754</v>
      </c>
      <c r="L7864" s="252"/>
    </row>
    <row r="7865" spans="1:12" x14ac:dyDescent="0.2">
      <c r="A7865" s="242">
        <v>2022</v>
      </c>
      <c r="B7865" s="242">
        <v>12</v>
      </c>
      <c r="C7865" s="242">
        <v>8</v>
      </c>
      <c r="D7865" s="270">
        <f t="shared" si="734"/>
        <v>44903</v>
      </c>
      <c r="E7865" s="279">
        <f t="shared" si="735"/>
        <v>44903</v>
      </c>
      <c r="F7865" s="478"/>
      <c r="G7865" s="243" t="s">
        <v>94</v>
      </c>
      <c r="H7865" s="243" t="str" cm="1">
        <f t="array" ref="H7865">IFERROR(INDEX(INVESTOR_LIST[INVESTOR NAME],MATCH(I7865,INVESTOR_LIST[INVESTOR CODE],0),)," ")</f>
        <v xml:space="preserve"> </v>
      </c>
      <c r="I7865" s="263" t="s">
        <v>348</v>
      </c>
      <c r="J7865" s="244" t="s">
        <v>47</v>
      </c>
      <c r="K7865" s="245"/>
      <c r="L7865" s="245">
        <v>77067.112044981754</v>
      </c>
    </row>
    <row r="7866" spans="1:12" x14ac:dyDescent="0.2">
      <c r="A7866" s="246">
        <v>2022</v>
      </c>
      <c r="B7866" s="238">
        <v>12</v>
      </c>
      <c r="C7866" s="238">
        <v>8</v>
      </c>
      <c r="D7866" s="270">
        <f t="shared" si="734"/>
        <v>44903</v>
      </c>
      <c r="E7866" s="279">
        <f t="shared" si="735"/>
        <v>44903</v>
      </c>
      <c r="F7866" s="482" t="s">
        <v>138</v>
      </c>
      <c r="G7866" s="247" t="s">
        <v>94</v>
      </c>
      <c r="H7866" s="247" t="str" cm="1">
        <f t="array" ref="H7866">IFERROR(INDEX(INVESTOR_LIST[INVESTOR NAME],MATCH(I7866,INVESTOR_LIST[INVESTOR CODE],0),)," ")</f>
        <v xml:space="preserve"> </v>
      </c>
      <c r="I7866" s="248" t="s">
        <v>348</v>
      </c>
      <c r="J7866" s="249" t="s">
        <v>100</v>
      </c>
      <c r="K7866" s="250">
        <v>3612.9709868644723</v>
      </c>
      <c r="L7866" s="252"/>
    </row>
    <row r="7867" spans="1:12" x14ac:dyDescent="0.2">
      <c r="A7867" s="242">
        <v>2022</v>
      </c>
      <c r="B7867" s="242">
        <v>12</v>
      </c>
      <c r="C7867" s="242">
        <v>8</v>
      </c>
      <c r="D7867" s="321">
        <f t="shared" si="734"/>
        <v>44903</v>
      </c>
      <c r="E7867" s="322">
        <f t="shared" si="735"/>
        <v>44903</v>
      </c>
      <c r="F7867" s="478"/>
      <c r="G7867" s="243" t="s">
        <v>94</v>
      </c>
      <c r="H7867" s="243" t="str" cm="1">
        <f t="array" ref="H7867">IFERROR(INDEX(INVESTOR_LIST[INVESTOR NAME],MATCH(I7867,INVESTOR_LIST[INVESTOR CODE],0),)," ")</f>
        <v xml:space="preserve"> </v>
      </c>
      <c r="I7867" s="263" t="s">
        <v>348</v>
      </c>
      <c r="J7867" s="244" t="s">
        <v>48</v>
      </c>
      <c r="K7867" s="245"/>
      <c r="L7867" s="245">
        <v>3612.9709868644723</v>
      </c>
    </row>
    <row r="7868" spans="1:12" ht="33.75" x14ac:dyDescent="0.2">
      <c r="A7868" s="168">
        <v>2022</v>
      </c>
      <c r="B7868" s="168">
        <v>12</v>
      </c>
      <c r="C7868" s="133">
        <v>11</v>
      </c>
      <c r="D7868" s="141">
        <f t="shared" si="734"/>
        <v>44906</v>
      </c>
      <c r="E7868" s="275">
        <f t="shared" si="735"/>
        <v>44906</v>
      </c>
      <c r="F7868" s="479" t="s">
        <v>1315</v>
      </c>
      <c r="G7868" s="220" t="s">
        <v>74</v>
      </c>
      <c r="H7868" s="142" t="str" cm="1">
        <f t="array" ref="H7868">IFERROR(INDEX(INVESTOR_LIST[INVESTOR NAME],MATCH(I7868,INVESTOR_LIST[INVESTOR CODE],0),)," ")</f>
        <v>LITON KUMAR BANIK</v>
      </c>
      <c r="I7868" s="142" t="s">
        <v>626</v>
      </c>
      <c r="J7868" s="168" t="s">
        <v>13</v>
      </c>
      <c r="K7868" s="226">
        <v>49710</v>
      </c>
      <c r="L7868" s="226"/>
    </row>
    <row r="7869" spans="1:12" ht="33.75" x14ac:dyDescent="0.2">
      <c r="A7869" s="133">
        <v>2022</v>
      </c>
      <c r="B7869" s="133">
        <v>12</v>
      </c>
      <c r="C7869" s="133">
        <v>11</v>
      </c>
      <c r="D7869" s="141">
        <f t="shared" si="734"/>
        <v>44906</v>
      </c>
      <c r="E7869" s="275">
        <f t="shared" si="735"/>
        <v>44906</v>
      </c>
      <c r="F7869" s="481"/>
      <c r="G7869" s="174" t="s">
        <v>74</v>
      </c>
      <c r="H7869" s="148" t="str" cm="1">
        <f t="array" ref="H7869">IFERROR(INDEX(INVESTOR_LIST[INVESTOR NAME],MATCH(I7869,INVESTOR_LIST[INVESTOR CODE],0),)," ")</f>
        <v>LITON KUMAR BANIK</v>
      </c>
      <c r="I7869" s="148" t="s">
        <v>626</v>
      </c>
      <c r="J7869" s="133" t="s">
        <v>53</v>
      </c>
      <c r="K7869" s="218">
        <v>10787.07</v>
      </c>
      <c r="L7869" s="218"/>
    </row>
    <row r="7870" spans="1:12" ht="33.75" x14ac:dyDescent="0.2">
      <c r="A7870" s="163">
        <v>2022</v>
      </c>
      <c r="B7870" s="163">
        <v>12</v>
      </c>
      <c r="C7870" s="163">
        <v>11</v>
      </c>
      <c r="D7870" s="280">
        <f t="shared" si="734"/>
        <v>44906</v>
      </c>
      <c r="E7870" s="281">
        <f t="shared" si="735"/>
        <v>44906</v>
      </c>
      <c r="F7870" s="480"/>
      <c r="G7870" s="221" t="s">
        <v>74</v>
      </c>
      <c r="H7870" s="145" t="str" cm="1">
        <f t="array" ref="H7870">IFERROR(INDEX(INVESTOR_LIST[INVESTOR NAME],MATCH(I7870,INVESTOR_LIST[INVESTOR CODE],0),)," ")</f>
        <v>LITON KUMAR BANIK</v>
      </c>
      <c r="I7870" s="145" t="s">
        <v>626</v>
      </c>
      <c r="J7870" s="163" t="s">
        <v>52</v>
      </c>
      <c r="K7870" s="219"/>
      <c r="L7870" s="219">
        <v>60497.07</v>
      </c>
    </row>
    <row r="7871" spans="1:12" x14ac:dyDescent="0.2">
      <c r="A7871" s="168">
        <v>2022</v>
      </c>
      <c r="B7871" s="168">
        <v>12</v>
      </c>
      <c r="C7871" s="168">
        <v>11</v>
      </c>
      <c r="D7871" s="141">
        <f>DATE(A7871,B7871,C7871)</f>
        <v>44906</v>
      </c>
      <c r="E7871" s="275">
        <f>DATE(A7871,B7871,C7871)</f>
        <v>44906</v>
      </c>
      <c r="F7871" s="479" t="s">
        <v>1500</v>
      </c>
      <c r="G7871" s="220" t="s">
        <v>74</v>
      </c>
      <c r="H7871" s="220" t="str" cm="1">
        <f t="array" ref="H7871">IFERROR(INDEX(INVESTOR_LIST[INVESTOR NAME],MATCH(I7871,INVESTOR_LIST[INVESTOR CODE],0),)," ")</f>
        <v xml:space="preserve"> </v>
      </c>
      <c r="I7871" s="142"/>
      <c r="J7871" s="143" t="s">
        <v>52</v>
      </c>
      <c r="K7871" s="226">
        <v>848470</v>
      </c>
      <c r="L7871" s="226"/>
    </row>
    <row r="7872" spans="1:12" x14ac:dyDescent="0.2">
      <c r="A7872" s="163">
        <v>2022</v>
      </c>
      <c r="B7872" s="163">
        <v>12</v>
      </c>
      <c r="C7872" s="163">
        <v>11</v>
      </c>
      <c r="D7872" s="141">
        <f>DATE(A7872,B7872,C7872)</f>
        <v>44906</v>
      </c>
      <c r="E7872" s="275">
        <f>DATE(A7872,B7872,C7872)</f>
        <v>44906</v>
      </c>
      <c r="F7872" s="480"/>
      <c r="G7872" s="221" t="s">
        <v>74</v>
      </c>
      <c r="H7872" s="221" t="str" cm="1">
        <f t="array" ref="H7872">IFERROR(INDEX(INVESTOR_LIST[INVESTOR NAME],MATCH(I7872,INVESTOR_LIST[INVESTOR CODE],0),)," ")</f>
        <v xml:space="preserve"> </v>
      </c>
      <c r="I7872" s="145"/>
      <c r="J7872" s="146" t="s">
        <v>190</v>
      </c>
      <c r="K7872" s="219"/>
      <c r="L7872" s="219">
        <v>848470</v>
      </c>
    </row>
    <row r="7873" spans="1:13" ht="33.75" x14ac:dyDescent="0.2">
      <c r="A7873" s="168">
        <v>2022</v>
      </c>
      <c r="B7873" s="168">
        <v>12</v>
      </c>
      <c r="C7873" s="133">
        <v>13</v>
      </c>
      <c r="D7873" s="141">
        <f t="shared" ref="D7873:D7875" si="736">DATE(A7873,B7873,C7873)</f>
        <v>44908</v>
      </c>
      <c r="E7873" s="275">
        <f t="shared" ref="E7873:E7875" si="737">DATE(A7873,B7873,C7873)</f>
        <v>44908</v>
      </c>
      <c r="F7873" s="479" t="s">
        <v>1315</v>
      </c>
      <c r="G7873" s="220" t="s">
        <v>74</v>
      </c>
      <c r="H7873" s="142" t="str" cm="1">
        <f t="array" ref="H7873">IFERROR(INDEX(INVESTOR_LIST[INVESTOR NAME],MATCH(I7873,INVESTOR_LIST[INVESTOR CODE],0),)," ")</f>
        <v>MUQIT-AL RAHMAN</v>
      </c>
      <c r="I7873" s="142" t="s">
        <v>473</v>
      </c>
      <c r="J7873" s="168" t="s">
        <v>13</v>
      </c>
      <c r="K7873" s="226">
        <v>836000</v>
      </c>
      <c r="L7873" s="226"/>
    </row>
    <row r="7874" spans="1:13" ht="33.75" x14ac:dyDescent="0.2">
      <c r="A7874" s="133">
        <v>2022</v>
      </c>
      <c r="B7874" s="133">
        <v>12</v>
      </c>
      <c r="C7874" s="133">
        <v>13</v>
      </c>
      <c r="D7874" s="141">
        <f t="shared" si="736"/>
        <v>44908</v>
      </c>
      <c r="E7874" s="275">
        <f t="shared" si="737"/>
        <v>44908</v>
      </c>
      <c r="F7874" s="481"/>
      <c r="G7874" s="174" t="s">
        <v>74</v>
      </c>
      <c r="H7874" s="148" t="str" cm="1">
        <f t="array" ref="H7874">IFERROR(INDEX(INVESTOR_LIST[INVESTOR NAME],MATCH(I7874,INVESTOR_LIST[INVESTOR CODE],0),)," ")</f>
        <v>MUQIT-AL RAHMAN</v>
      </c>
      <c r="I7874" s="148" t="s">
        <v>473</v>
      </c>
      <c r="J7874" s="133" t="s">
        <v>53</v>
      </c>
      <c r="K7874" s="218">
        <v>181412</v>
      </c>
      <c r="L7874" s="218"/>
    </row>
    <row r="7875" spans="1:13" ht="33.75" x14ac:dyDescent="0.2">
      <c r="A7875" s="163">
        <v>2022</v>
      </c>
      <c r="B7875" s="163">
        <v>12</v>
      </c>
      <c r="C7875" s="163">
        <v>13</v>
      </c>
      <c r="D7875" s="280">
        <f t="shared" si="736"/>
        <v>44908</v>
      </c>
      <c r="E7875" s="281">
        <f t="shared" si="737"/>
        <v>44908</v>
      </c>
      <c r="F7875" s="480"/>
      <c r="G7875" s="221" t="s">
        <v>74</v>
      </c>
      <c r="H7875" s="145" t="str" cm="1">
        <f t="array" ref="H7875">IFERROR(INDEX(INVESTOR_LIST[INVESTOR NAME],MATCH(I7875,INVESTOR_LIST[INVESTOR CODE],0),)," ")</f>
        <v>MUQIT-AL RAHMAN</v>
      </c>
      <c r="I7875" s="145" t="s">
        <v>473</v>
      </c>
      <c r="J7875" s="163" t="s">
        <v>52</v>
      </c>
      <c r="K7875" s="219"/>
      <c r="L7875" s="219">
        <v>1017412</v>
      </c>
    </row>
    <row r="7876" spans="1:13" ht="33.75" x14ac:dyDescent="0.2">
      <c r="A7876" s="168">
        <v>2022</v>
      </c>
      <c r="B7876" s="168">
        <v>12</v>
      </c>
      <c r="C7876" s="133">
        <v>13</v>
      </c>
      <c r="D7876" s="141">
        <f t="shared" ref="D7876:D7878" si="738">DATE(A7876,B7876,C7876)</f>
        <v>44908</v>
      </c>
      <c r="E7876" s="275">
        <f t="shared" ref="E7876:E7878" si="739">DATE(A7876,B7876,C7876)</f>
        <v>44908</v>
      </c>
      <c r="F7876" s="479" t="s">
        <v>1310</v>
      </c>
      <c r="G7876" s="220" t="s">
        <v>74</v>
      </c>
      <c r="H7876" s="142" t="str" cm="1">
        <f t="array" ref="H7876">IFERROR(INDEX(INVESTOR_LIST[INVESTOR NAME],MATCH(I7876,INVESTOR_LIST[INVESTOR CODE],0),)," ")</f>
        <v>MUQIT-AL RAHMAN</v>
      </c>
      <c r="I7876" s="142" t="s">
        <v>473</v>
      </c>
      <c r="J7876" s="168" t="s">
        <v>13</v>
      </c>
      <c r="K7876" s="226">
        <v>1023610</v>
      </c>
      <c r="L7876" s="226"/>
    </row>
    <row r="7877" spans="1:13" ht="33.75" x14ac:dyDescent="0.2">
      <c r="A7877" s="133">
        <v>2022</v>
      </c>
      <c r="B7877" s="133">
        <v>12</v>
      </c>
      <c r="C7877" s="133">
        <v>13</v>
      </c>
      <c r="D7877" s="141">
        <f t="shared" si="738"/>
        <v>44908</v>
      </c>
      <c r="E7877" s="275">
        <f t="shared" si="739"/>
        <v>44908</v>
      </c>
      <c r="F7877" s="481"/>
      <c r="G7877" s="174" t="s">
        <v>74</v>
      </c>
      <c r="H7877" s="148" t="str" cm="1">
        <f t="array" ref="H7877">IFERROR(INDEX(INVESTOR_LIST[INVESTOR NAME],MATCH(I7877,INVESTOR_LIST[INVESTOR CODE],0),)," ")</f>
        <v>MUQIT-AL RAHMAN</v>
      </c>
      <c r="I7877" s="148" t="s">
        <v>473</v>
      </c>
      <c r="J7877" s="133" t="s">
        <v>53</v>
      </c>
      <c r="K7877" s="218">
        <v>222123.37</v>
      </c>
      <c r="L7877" s="218"/>
    </row>
    <row r="7878" spans="1:13" ht="33.75" x14ac:dyDescent="0.2">
      <c r="A7878" s="163">
        <v>2022</v>
      </c>
      <c r="B7878" s="163">
        <v>12</v>
      </c>
      <c r="C7878" s="163">
        <v>13</v>
      </c>
      <c r="D7878" s="280">
        <f t="shared" si="738"/>
        <v>44908</v>
      </c>
      <c r="E7878" s="281">
        <f t="shared" si="739"/>
        <v>44908</v>
      </c>
      <c r="F7878" s="480"/>
      <c r="G7878" s="221" t="s">
        <v>74</v>
      </c>
      <c r="H7878" s="145" t="str" cm="1">
        <f t="array" ref="H7878">IFERROR(INDEX(INVESTOR_LIST[INVESTOR NAME],MATCH(I7878,INVESTOR_LIST[INVESTOR CODE],0),)," ")</f>
        <v>MUQIT-AL RAHMAN</v>
      </c>
      <c r="I7878" s="145" t="s">
        <v>473</v>
      </c>
      <c r="J7878" s="163" t="s">
        <v>52</v>
      </c>
      <c r="K7878" s="219"/>
      <c r="L7878" s="219">
        <v>1245733.3700000001</v>
      </c>
    </row>
    <row r="7879" spans="1:13" ht="22.5" x14ac:dyDescent="0.2">
      <c r="A7879" s="168">
        <v>2022</v>
      </c>
      <c r="B7879" s="168">
        <v>12</v>
      </c>
      <c r="C7879" s="133">
        <v>13</v>
      </c>
      <c r="D7879" s="141">
        <f t="shared" ref="D7879:D7887" si="740">DATE(A7879,B7879,C7879)</f>
        <v>44908</v>
      </c>
      <c r="E7879" s="275">
        <f t="shared" ref="E7879:E7887" si="741">DATE(A7879,B7879,C7879)</f>
        <v>44908</v>
      </c>
      <c r="F7879" s="479" t="s">
        <v>1315</v>
      </c>
      <c r="G7879" s="220" t="s">
        <v>74</v>
      </c>
      <c r="H7879" s="142" t="str" cm="1">
        <f t="array" ref="H7879">IFERROR(INDEX(INVESTOR_LIST[INVESTOR NAME],MATCH(I7879,INVESTOR_LIST[INVESTOR CODE],0),)," ")</f>
        <v>SAILA SATTER</v>
      </c>
      <c r="I7879" s="142" t="s">
        <v>500</v>
      </c>
      <c r="J7879" s="168" t="s">
        <v>13</v>
      </c>
      <c r="K7879" s="226">
        <v>170980</v>
      </c>
      <c r="L7879" s="226"/>
    </row>
    <row r="7880" spans="1:13" ht="22.5" x14ac:dyDescent="0.2">
      <c r="A7880" s="133">
        <v>2022</v>
      </c>
      <c r="B7880" s="133">
        <v>12</v>
      </c>
      <c r="C7880" s="133">
        <v>13</v>
      </c>
      <c r="D7880" s="141">
        <f t="shared" si="740"/>
        <v>44908</v>
      </c>
      <c r="E7880" s="275">
        <f t="shared" si="741"/>
        <v>44908</v>
      </c>
      <c r="F7880" s="481"/>
      <c r="G7880" s="174" t="s">
        <v>74</v>
      </c>
      <c r="H7880" s="148" t="str" cm="1">
        <f t="array" ref="H7880">IFERROR(INDEX(INVESTOR_LIST[INVESTOR NAME],MATCH(I7880,INVESTOR_LIST[INVESTOR CODE],0),)," ")</f>
        <v>SAILA SATTER</v>
      </c>
      <c r="I7880" s="148" t="s">
        <v>500</v>
      </c>
      <c r="J7880" s="133" t="s">
        <v>53</v>
      </c>
      <c r="K7880" s="218">
        <v>37444.620000000003</v>
      </c>
      <c r="L7880" s="218"/>
    </row>
    <row r="7881" spans="1:13" ht="22.5" x14ac:dyDescent="0.2">
      <c r="A7881" s="163">
        <v>2022</v>
      </c>
      <c r="B7881" s="163">
        <v>12</v>
      </c>
      <c r="C7881" s="163">
        <v>13</v>
      </c>
      <c r="D7881" s="280">
        <f t="shared" si="740"/>
        <v>44908</v>
      </c>
      <c r="E7881" s="281">
        <f t="shared" si="741"/>
        <v>44908</v>
      </c>
      <c r="F7881" s="480"/>
      <c r="G7881" s="221" t="s">
        <v>74</v>
      </c>
      <c r="H7881" s="145" t="str" cm="1">
        <f t="array" ref="H7881">IFERROR(INDEX(INVESTOR_LIST[INVESTOR NAME],MATCH(I7881,INVESTOR_LIST[INVESTOR CODE],0),)," ")</f>
        <v>SAILA SATTER</v>
      </c>
      <c r="I7881" s="145" t="s">
        <v>500</v>
      </c>
      <c r="J7881" s="163" t="s">
        <v>52</v>
      </c>
      <c r="K7881" s="219"/>
      <c r="L7881" s="219">
        <v>208424.62</v>
      </c>
    </row>
    <row r="7882" spans="1:13" x14ac:dyDescent="0.2">
      <c r="A7882" s="133">
        <v>2022</v>
      </c>
      <c r="B7882" s="133">
        <v>12</v>
      </c>
      <c r="C7882" s="133">
        <v>13</v>
      </c>
      <c r="D7882" s="141">
        <f t="shared" si="740"/>
        <v>44908</v>
      </c>
      <c r="E7882" s="275">
        <f t="shared" si="741"/>
        <v>44908</v>
      </c>
      <c r="F7882" s="481" t="s">
        <v>1499</v>
      </c>
      <c r="G7882" s="174" t="s">
        <v>94</v>
      </c>
      <c r="H7882" s="174" t="str" cm="1">
        <f t="array" ref="H7882">IFERROR(INDEX(INVESTOR_LIST[INVESTOR NAME],MATCH(I7882,INVESTOR_LIST[INVESTOR CODE],0),)," ")</f>
        <v xml:space="preserve"> </v>
      </c>
      <c r="J7882" s="149" t="s">
        <v>190</v>
      </c>
      <c r="K7882" s="218">
        <v>525552.30000000005</v>
      </c>
      <c r="L7882" s="218"/>
      <c r="M7882" s="160"/>
    </row>
    <row r="7883" spans="1:13" x14ac:dyDescent="0.2">
      <c r="A7883" s="133">
        <v>2022</v>
      </c>
      <c r="B7883" s="133">
        <v>12</v>
      </c>
      <c r="C7883" s="133">
        <v>13</v>
      </c>
      <c r="D7883" s="141">
        <f t="shared" si="740"/>
        <v>44908</v>
      </c>
      <c r="E7883" s="275">
        <f t="shared" si="741"/>
        <v>44908</v>
      </c>
      <c r="F7883" s="481"/>
      <c r="G7883" s="174" t="s">
        <v>94</v>
      </c>
      <c r="H7883" s="174"/>
      <c r="J7883" s="149" t="s">
        <v>80</v>
      </c>
      <c r="K7883" s="218">
        <v>947.7</v>
      </c>
      <c r="L7883" s="218"/>
    </row>
    <row r="7884" spans="1:13" x14ac:dyDescent="0.2">
      <c r="A7884" s="133">
        <v>2022</v>
      </c>
      <c r="B7884" s="133">
        <v>12</v>
      </c>
      <c r="C7884" s="133">
        <v>13</v>
      </c>
      <c r="D7884" s="141">
        <f t="shared" si="740"/>
        <v>44908</v>
      </c>
      <c r="E7884" s="275">
        <f t="shared" si="741"/>
        <v>44908</v>
      </c>
      <c r="F7884" s="481"/>
      <c r="G7884" s="174" t="s">
        <v>94</v>
      </c>
      <c r="H7884" s="174" t="str" cm="1">
        <f t="array" ref="H7884">IFERROR(INDEX(INVESTOR_LIST[INVESTOR NAME],MATCH(I7884,INVESTOR_LIST[INVESTOR CODE],0),)," ")</f>
        <v xml:space="preserve"> </v>
      </c>
      <c r="J7884" s="149" t="s">
        <v>191</v>
      </c>
      <c r="K7884" s="218">
        <v>123500</v>
      </c>
      <c r="L7884" s="218"/>
    </row>
    <row r="7885" spans="1:13" x14ac:dyDescent="0.2">
      <c r="A7885" s="163">
        <v>2022</v>
      </c>
      <c r="B7885" s="163">
        <v>12</v>
      </c>
      <c r="C7885" s="163">
        <v>13</v>
      </c>
      <c r="D7885" s="280">
        <f t="shared" si="740"/>
        <v>44908</v>
      </c>
      <c r="E7885" s="281">
        <f t="shared" si="741"/>
        <v>44908</v>
      </c>
      <c r="F7885" s="480"/>
      <c r="G7885" s="221" t="s">
        <v>94</v>
      </c>
      <c r="H7885" s="145" t="str" cm="1">
        <f t="array" ref="H7885">IFERROR(INDEX(INVESTOR_LIST[INVESTOR NAME],MATCH(I7885,INVESTOR_LIST[INVESTOR CODE],0),)," ")</f>
        <v xml:space="preserve"> </v>
      </c>
      <c r="I7885" s="145"/>
      <c r="J7885" s="163" t="s">
        <v>79</v>
      </c>
      <c r="K7885" s="219"/>
      <c r="L7885" s="219">
        <v>650000</v>
      </c>
    </row>
    <row r="7886" spans="1:13" x14ac:dyDescent="0.2">
      <c r="A7886" s="133">
        <v>2022</v>
      </c>
      <c r="B7886" s="168">
        <v>12</v>
      </c>
      <c r="C7886" s="168">
        <v>14</v>
      </c>
      <c r="D7886" s="141">
        <f t="shared" si="740"/>
        <v>44909</v>
      </c>
      <c r="E7886" s="275">
        <f t="shared" si="741"/>
        <v>44909</v>
      </c>
      <c r="F7886" s="481" t="s">
        <v>1555</v>
      </c>
      <c r="G7886" s="174" t="s">
        <v>94</v>
      </c>
      <c r="H7886" s="174" t="str" cm="1">
        <f t="array" ref="H7886">IFERROR(INDEX(INVESTOR_LIST[INVESTOR NAME],MATCH(I7886,INVESTOR_LIST[INVESTOR CODE],0),)," ")</f>
        <v xml:space="preserve"> </v>
      </c>
      <c r="I7886" s="148" t="s">
        <v>348</v>
      </c>
      <c r="J7886" s="149" t="s">
        <v>52</v>
      </c>
      <c r="K7886" s="218">
        <v>307938</v>
      </c>
      <c r="L7886" s="218"/>
    </row>
    <row r="7887" spans="1:13" x14ac:dyDescent="0.2">
      <c r="A7887" s="163">
        <v>2022</v>
      </c>
      <c r="B7887" s="163">
        <v>12</v>
      </c>
      <c r="C7887" s="163">
        <v>14</v>
      </c>
      <c r="D7887" s="141">
        <f t="shared" si="740"/>
        <v>44909</v>
      </c>
      <c r="E7887" s="275">
        <f t="shared" si="741"/>
        <v>44909</v>
      </c>
      <c r="F7887" s="480"/>
      <c r="G7887" s="221" t="s">
        <v>94</v>
      </c>
      <c r="H7887" s="221" t="str" cm="1">
        <f t="array" ref="H7887">IFERROR(INDEX(INVESTOR_LIST[INVESTOR NAME],MATCH(I7887,INVESTOR_LIST[INVESTOR CODE],0),)," ")</f>
        <v xml:space="preserve"> </v>
      </c>
      <c r="I7887" s="145" t="s">
        <v>348</v>
      </c>
      <c r="J7887" s="146" t="s">
        <v>168</v>
      </c>
      <c r="K7887" s="219"/>
      <c r="L7887" s="219">
        <v>307938</v>
      </c>
    </row>
    <row r="7888" spans="1:13" x14ac:dyDescent="0.2">
      <c r="A7888" s="133">
        <v>2022</v>
      </c>
      <c r="B7888" s="133">
        <v>12</v>
      </c>
      <c r="C7888" s="133">
        <v>15</v>
      </c>
      <c r="D7888" s="141">
        <f t="shared" ref="D7888:D7892" si="742">DATE(A7888,B7888,C7888)</f>
        <v>44910</v>
      </c>
      <c r="E7888" s="275">
        <f t="shared" ref="E7888:E7892" si="743">DATE(A7888,B7888,C7888)</f>
        <v>44910</v>
      </c>
      <c r="F7888" s="481" t="s">
        <v>1554</v>
      </c>
      <c r="G7888" s="174" t="s">
        <v>94</v>
      </c>
      <c r="H7888" s="174" t="str" cm="1">
        <f t="array" ref="H7888">IFERROR(INDEX(INVESTOR_LIST[INVESTOR NAME],MATCH(I7888,INVESTOR_LIST[INVESTOR CODE],0),)," ")</f>
        <v xml:space="preserve"> </v>
      </c>
      <c r="J7888" s="149" t="s">
        <v>79</v>
      </c>
      <c r="K7888" s="218">
        <v>2025230</v>
      </c>
      <c r="L7888" s="218"/>
      <c r="M7888" s="160"/>
    </row>
    <row r="7889" spans="1:12" x14ac:dyDescent="0.2">
      <c r="A7889" s="133">
        <v>2022</v>
      </c>
      <c r="B7889" s="133">
        <v>12</v>
      </c>
      <c r="C7889" s="133">
        <v>15</v>
      </c>
      <c r="D7889" s="141">
        <f t="shared" si="742"/>
        <v>44910</v>
      </c>
      <c r="E7889" s="275">
        <f t="shared" si="743"/>
        <v>44910</v>
      </c>
      <c r="F7889" s="481"/>
      <c r="G7889" s="174" t="s">
        <v>94</v>
      </c>
      <c r="H7889" s="174"/>
      <c r="J7889" s="149" t="s">
        <v>80</v>
      </c>
      <c r="K7889" s="218">
        <v>4593.0600000000004</v>
      </c>
      <c r="L7889" s="218"/>
    </row>
    <row r="7890" spans="1:12" x14ac:dyDescent="0.2">
      <c r="A7890" s="133">
        <v>2022</v>
      </c>
      <c r="B7890" s="133">
        <v>12</v>
      </c>
      <c r="C7890" s="133">
        <v>15</v>
      </c>
      <c r="D7890" s="141">
        <f t="shared" si="742"/>
        <v>44910</v>
      </c>
      <c r="E7890" s="275">
        <f t="shared" si="743"/>
        <v>44910</v>
      </c>
      <c r="F7890" s="481"/>
      <c r="G7890" s="174" t="s">
        <v>94</v>
      </c>
      <c r="H7890" s="174"/>
      <c r="J7890" s="149" t="s">
        <v>147</v>
      </c>
      <c r="K7890" s="218"/>
      <c r="L7890" s="218">
        <v>1503323.06</v>
      </c>
    </row>
    <row r="7891" spans="1:12" x14ac:dyDescent="0.2">
      <c r="A7891" s="133">
        <v>2022</v>
      </c>
      <c r="B7891" s="133">
        <v>12</v>
      </c>
      <c r="C7891" s="133">
        <v>15</v>
      </c>
      <c r="D7891" s="141">
        <f t="shared" si="742"/>
        <v>44910</v>
      </c>
      <c r="E7891" s="275">
        <f t="shared" si="743"/>
        <v>44910</v>
      </c>
      <c r="F7891" s="481"/>
      <c r="G7891" s="174" t="s">
        <v>94</v>
      </c>
      <c r="H7891" s="174" t="str" cm="1">
        <f t="array" ref="H7891">IFERROR(INDEX(INVESTOR_LIST[INVESTOR NAME],MATCH(I7891,INVESTOR_LIST[INVESTOR CODE],0),)," ")</f>
        <v xml:space="preserve"> </v>
      </c>
      <c r="J7891" s="149" t="s">
        <v>191</v>
      </c>
      <c r="K7891" s="218">
        <v>123500</v>
      </c>
      <c r="L7891" s="218"/>
    </row>
    <row r="7892" spans="1:12" x14ac:dyDescent="0.2">
      <c r="A7892" s="163">
        <v>2022</v>
      </c>
      <c r="B7892" s="163">
        <v>12</v>
      </c>
      <c r="C7892" s="163">
        <v>15</v>
      </c>
      <c r="D7892" s="280">
        <f t="shared" si="742"/>
        <v>44910</v>
      </c>
      <c r="E7892" s="281">
        <f t="shared" si="743"/>
        <v>44910</v>
      </c>
      <c r="F7892" s="480"/>
      <c r="G7892" s="221" t="s">
        <v>94</v>
      </c>
      <c r="H7892" s="145" t="str" cm="1">
        <f t="array" ref="H7892">IFERROR(INDEX(INVESTOR_LIST[INVESTOR NAME],MATCH(I7892,INVESTOR_LIST[INVESTOR CODE],0),)," ")</f>
        <v xml:space="preserve"> </v>
      </c>
      <c r="I7892" s="145"/>
      <c r="J7892" s="163" t="s">
        <v>79</v>
      </c>
      <c r="K7892" s="219"/>
      <c r="L7892" s="219">
        <v>650000</v>
      </c>
    </row>
    <row r="7893" spans="1:12" x14ac:dyDescent="0.2">
      <c r="A7893" s="168">
        <v>2022</v>
      </c>
      <c r="B7893" s="168">
        <v>12</v>
      </c>
      <c r="C7893" s="168">
        <v>15</v>
      </c>
      <c r="D7893" s="141">
        <f t="shared" ref="D7893:D7900" si="744">DATE(A7893,B7893,C7893)</f>
        <v>44910</v>
      </c>
      <c r="E7893" s="275">
        <f t="shared" ref="E7893:E7900" si="745">DATE(A7893,B7893,C7893)</f>
        <v>44910</v>
      </c>
      <c r="F7893" s="479" t="s">
        <v>1507</v>
      </c>
      <c r="G7893" s="220" t="s">
        <v>74</v>
      </c>
      <c r="H7893" s="220" t="str" cm="1">
        <f t="array" ref="H7893">IFERROR(INDEX(INVESTOR_LIST[INVESTOR NAME],MATCH(I7893,INVESTOR_LIST[INVESTOR CODE],0),)," ")</f>
        <v xml:space="preserve"> </v>
      </c>
      <c r="I7893" s="142"/>
      <c r="J7893" s="143" t="s">
        <v>147</v>
      </c>
      <c r="K7893" s="226">
        <v>1503323.06</v>
      </c>
      <c r="L7893" s="226"/>
    </row>
    <row r="7894" spans="1:12" x14ac:dyDescent="0.2">
      <c r="A7894" s="163">
        <v>2022</v>
      </c>
      <c r="B7894" s="163">
        <v>12</v>
      </c>
      <c r="C7894" s="163">
        <v>15</v>
      </c>
      <c r="D7894" s="141">
        <f t="shared" si="744"/>
        <v>44910</v>
      </c>
      <c r="E7894" s="275">
        <f t="shared" si="745"/>
        <v>44910</v>
      </c>
      <c r="F7894" s="480"/>
      <c r="G7894" s="221" t="s">
        <v>74</v>
      </c>
      <c r="H7894" s="221" t="str" cm="1">
        <f t="array" ref="H7894">IFERROR(INDEX(INVESTOR_LIST[INVESTOR NAME],MATCH(I7894,INVESTOR_LIST[INVESTOR CODE],0),)," ")</f>
        <v xml:space="preserve"> </v>
      </c>
      <c r="I7894" s="145" t="s">
        <v>348</v>
      </c>
      <c r="J7894" s="146" t="s">
        <v>52</v>
      </c>
      <c r="K7894" s="219"/>
      <c r="L7894" s="219">
        <v>1503323.06</v>
      </c>
    </row>
    <row r="7895" spans="1:12" x14ac:dyDescent="0.2">
      <c r="A7895" s="168">
        <v>2022</v>
      </c>
      <c r="B7895" s="168">
        <v>12</v>
      </c>
      <c r="C7895" s="168">
        <v>15</v>
      </c>
      <c r="D7895" s="141">
        <f t="shared" si="744"/>
        <v>44910</v>
      </c>
      <c r="E7895" s="275">
        <f t="shared" si="745"/>
        <v>44910</v>
      </c>
      <c r="F7895" s="479" t="s">
        <v>1553</v>
      </c>
      <c r="G7895" s="220" t="s">
        <v>74</v>
      </c>
      <c r="H7895" s="220" t="str" cm="1">
        <f t="array" ref="H7895">IFERROR(INDEX(INVESTOR_LIST[INVESTOR NAME],MATCH(I7895,INVESTOR_LIST[INVESTOR CODE],0),)," ")</f>
        <v xml:space="preserve"> </v>
      </c>
      <c r="I7895" s="142" t="s">
        <v>348</v>
      </c>
      <c r="J7895" s="143" t="s">
        <v>104</v>
      </c>
      <c r="K7895" s="226">
        <v>1066.25</v>
      </c>
      <c r="L7895" s="226"/>
    </row>
    <row r="7896" spans="1:12" x14ac:dyDescent="0.2">
      <c r="A7896" s="163">
        <v>2022</v>
      </c>
      <c r="B7896" s="163">
        <v>12</v>
      </c>
      <c r="C7896" s="163">
        <v>15</v>
      </c>
      <c r="D7896" s="141">
        <f t="shared" si="744"/>
        <v>44910</v>
      </c>
      <c r="E7896" s="275">
        <f t="shared" si="745"/>
        <v>44910</v>
      </c>
      <c r="F7896" s="480"/>
      <c r="G7896" s="221" t="s">
        <v>74</v>
      </c>
      <c r="H7896" s="221" t="str" cm="1">
        <f t="array" ref="H7896">IFERROR(INDEX(INVESTOR_LIST[INVESTOR NAME],MATCH(I7896,INVESTOR_LIST[INVESTOR CODE],0),)," ")</f>
        <v xml:space="preserve"> </v>
      </c>
      <c r="I7896" s="145" t="s">
        <v>348</v>
      </c>
      <c r="J7896" s="146" t="s">
        <v>52</v>
      </c>
      <c r="K7896" s="219"/>
      <c r="L7896" s="219">
        <v>1066.25</v>
      </c>
    </row>
    <row r="7897" spans="1:12" x14ac:dyDescent="0.2">
      <c r="A7897" s="168">
        <v>2022</v>
      </c>
      <c r="B7897" s="168">
        <v>12</v>
      </c>
      <c r="C7897" s="168">
        <v>15</v>
      </c>
      <c r="D7897" s="141">
        <f>DATE(A7897,B7897,C7897)</f>
        <v>44910</v>
      </c>
      <c r="E7897" s="275">
        <f>DATE(A7897,B7897,C7897)</f>
        <v>44910</v>
      </c>
      <c r="F7897" s="479" t="s">
        <v>1500</v>
      </c>
      <c r="G7897" s="220" t="s">
        <v>74</v>
      </c>
      <c r="H7897" s="220" t="str" cm="1">
        <f t="array" ref="H7897">IFERROR(INDEX(INVESTOR_LIST[INVESTOR NAME],MATCH(I7897,INVESTOR_LIST[INVESTOR CODE],0),)," ")</f>
        <v xml:space="preserve"> </v>
      </c>
      <c r="I7897" s="142"/>
      <c r="J7897" s="143" t="s">
        <v>52</v>
      </c>
      <c r="K7897" s="226">
        <v>525552.30000000005</v>
      </c>
      <c r="L7897" s="226"/>
    </row>
    <row r="7898" spans="1:12" x14ac:dyDescent="0.2">
      <c r="A7898" s="163">
        <v>2022</v>
      </c>
      <c r="B7898" s="163">
        <v>12</v>
      </c>
      <c r="C7898" s="163">
        <v>15</v>
      </c>
      <c r="D7898" s="141">
        <f>DATE(A7898,B7898,C7898)</f>
        <v>44910</v>
      </c>
      <c r="E7898" s="275">
        <f>DATE(A7898,B7898,C7898)</f>
        <v>44910</v>
      </c>
      <c r="F7898" s="480"/>
      <c r="G7898" s="221" t="s">
        <v>74</v>
      </c>
      <c r="H7898" s="221" t="str" cm="1">
        <f t="array" ref="H7898">IFERROR(INDEX(INVESTOR_LIST[INVESTOR NAME],MATCH(I7898,INVESTOR_LIST[INVESTOR CODE],0),)," ")</f>
        <v xml:space="preserve"> </v>
      </c>
      <c r="I7898" s="145"/>
      <c r="J7898" s="146" t="s">
        <v>190</v>
      </c>
      <c r="K7898" s="219"/>
      <c r="L7898" s="219">
        <v>525552.30000000005</v>
      </c>
    </row>
    <row r="7899" spans="1:12" x14ac:dyDescent="0.2">
      <c r="A7899" s="324">
        <v>2022</v>
      </c>
      <c r="B7899" s="324">
        <v>12</v>
      </c>
      <c r="C7899" s="325">
        <v>15</v>
      </c>
      <c r="D7899" s="326">
        <f t="shared" si="744"/>
        <v>44910</v>
      </c>
      <c r="E7899" s="327">
        <f t="shared" si="745"/>
        <v>44910</v>
      </c>
      <c r="F7899" s="473" t="s">
        <v>1490</v>
      </c>
      <c r="G7899" s="328" t="s">
        <v>94</v>
      </c>
      <c r="H7899" s="329" t="str" cm="1">
        <f t="array" ref="H7899">IFERROR(INDEX(INVESTOR_LIST[INVESTOR NAME],MATCH(I7899,INVESTOR_LIST[INVESTOR CODE],0),)," ")</f>
        <v xml:space="preserve"> </v>
      </c>
      <c r="I7899" s="329" t="s">
        <v>348</v>
      </c>
      <c r="J7899" s="324" t="s">
        <v>133</v>
      </c>
      <c r="K7899" s="330">
        <v>14659.25</v>
      </c>
      <c r="L7899" s="330"/>
    </row>
    <row r="7900" spans="1:12" x14ac:dyDescent="0.2">
      <c r="A7900" s="331">
        <v>2022</v>
      </c>
      <c r="B7900" s="331">
        <v>12</v>
      </c>
      <c r="C7900" s="331">
        <v>15</v>
      </c>
      <c r="D7900" s="326">
        <f t="shared" si="744"/>
        <v>44910</v>
      </c>
      <c r="E7900" s="327">
        <f t="shared" si="745"/>
        <v>44910</v>
      </c>
      <c r="F7900" s="474"/>
      <c r="G7900" s="332" t="s">
        <v>94</v>
      </c>
      <c r="H7900" s="333" t="str" cm="1">
        <f t="array" ref="H7900">IFERROR(INDEX(INVESTOR_LIST[INVESTOR NAME],MATCH(I7900,INVESTOR_LIST[INVESTOR CODE],0),)," ")</f>
        <v xml:space="preserve"> </v>
      </c>
      <c r="I7900" s="333" t="s">
        <v>348</v>
      </c>
      <c r="J7900" s="331" t="s">
        <v>152</v>
      </c>
      <c r="K7900" s="334"/>
      <c r="L7900" s="334">
        <v>14659.25</v>
      </c>
    </row>
    <row r="7901" spans="1:12" x14ac:dyDescent="0.2">
      <c r="A7901" s="324">
        <v>2022</v>
      </c>
      <c r="B7901" s="324">
        <v>12</v>
      </c>
      <c r="C7901" s="325">
        <v>15</v>
      </c>
      <c r="D7901" s="326">
        <f t="shared" ref="D7901:D7902" si="746">DATE(A7901,B7901,C7901)</f>
        <v>44910</v>
      </c>
      <c r="E7901" s="327">
        <f t="shared" ref="E7901:E7902" si="747">DATE(A7901,B7901,C7901)</f>
        <v>44910</v>
      </c>
      <c r="F7901" s="473" t="s">
        <v>1491</v>
      </c>
      <c r="G7901" s="328" t="s">
        <v>94</v>
      </c>
      <c r="H7901" s="329" t="str" cm="1">
        <f t="array" ref="H7901">IFERROR(INDEX(INVESTOR_LIST[INVESTOR NAME],MATCH(I7901,INVESTOR_LIST[INVESTOR CODE],0),)," ")</f>
        <v xml:space="preserve"> </v>
      </c>
      <c r="I7901" s="329" t="s">
        <v>348</v>
      </c>
      <c r="J7901" s="324" t="s">
        <v>133</v>
      </c>
      <c r="K7901" s="330">
        <v>3605.7692307692309</v>
      </c>
      <c r="L7901" s="330"/>
    </row>
    <row r="7902" spans="1:12" x14ac:dyDescent="0.2">
      <c r="A7902" s="331">
        <v>2022</v>
      </c>
      <c r="B7902" s="331">
        <v>12</v>
      </c>
      <c r="C7902" s="331">
        <v>15</v>
      </c>
      <c r="D7902" s="326">
        <f t="shared" si="746"/>
        <v>44910</v>
      </c>
      <c r="E7902" s="327">
        <f t="shared" si="747"/>
        <v>44910</v>
      </c>
      <c r="F7902" s="474"/>
      <c r="G7902" s="332" t="s">
        <v>94</v>
      </c>
      <c r="H7902" s="333" t="str" cm="1">
        <f t="array" ref="H7902">IFERROR(INDEX(INVESTOR_LIST[INVESTOR NAME],MATCH(I7902,INVESTOR_LIST[INVESTOR CODE],0),)," ")</f>
        <v xml:space="preserve"> </v>
      </c>
      <c r="I7902" s="333" t="s">
        <v>348</v>
      </c>
      <c r="J7902" s="331" t="s">
        <v>152</v>
      </c>
      <c r="K7902" s="334"/>
      <c r="L7902" s="334">
        <v>3605.7692307692309</v>
      </c>
    </row>
    <row r="7903" spans="1:12" x14ac:dyDescent="0.2">
      <c r="A7903" s="324">
        <v>2022</v>
      </c>
      <c r="B7903" s="324">
        <v>12</v>
      </c>
      <c r="C7903" s="325">
        <v>15</v>
      </c>
      <c r="D7903" s="326">
        <f>DATE(A7903,B7903,C7903)</f>
        <v>44910</v>
      </c>
      <c r="E7903" s="327">
        <f>DATE(A7903,B7903,C7903)</f>
        <v>44910</v>
      </c>
      <c r="F7903" s="473" t="s">
        <v>1531</v>
      </c>
      <c r="G7903" s="328" t="s">
        <v>94</v>
      </c>
      <c r="H7903" s="329" t="str" cm="1">
        <f t="array" ref="H7903">IFERROR(INDEX(INVESTOR_LIST[INVESTOR NAME],MATCH(I7903,INVESTOR_LIST[INVESTOR CODE],0),)," ")</f>
        <v xml:space="preserve"> </v>
      </c>
      <c r="I7903" s="329" t="s">
        <v>348</v>
      </c>
      <c r="J7903" s="324" t="s">
        <v>133</v>
      </c>
      <c r="K7903" s="330">
        <v>1346.1538461538462</v>
      </c>
      <c r="L7903" s="330"/>
    </row>
    <row r="7904" spans="1:12" x14ac:dyDescent="0.2">
      <c r="A7904" s="331">
        <v>2022</v>
      </c>
      <c r="B7904" s="331">
        <v>12</v>
      </c>
      <c r="C7904" s="331">
        <v>15</v>
      </c>
      <c r="D7904" s="326">
        <f>DATE(A7904,B7904,C7904)</f>
        <v>44910</v>
      </c>
      <c r="E7904" s="327">
        <f>DATE(A7904,B7904,C7904)</f>
        <v>44910</v>
      </c>
      <c r="F7904" s="474"/>
      <c r="G7904" s="332" t="s">
        <v>94</v>
      </c>
      <c r="H7904" s="333" t="str" cm="1">
        <f t="array" ref="H7904">IFERROR(INDEX(INVESTOR_LIST[INVESTOR NAME],MATCH(I7904,INVESTOR_LIST[INVESTOR CODE],0),)," ")</f>
        <v xml:space="preserve"> </v>
      </c>
      <c r="I7904" s="333" t="s">
        <v>348</v>
      </c>
      <c r="J7904" s="331" t="s">
        <v>152</v>
      </c>
      <c r="K7904" s="334"/>
      <c r="L7904" s="334">
        <v>1346.1538461538462</v>
      </c>
    </row>
    <row r="7905" spans="1:17" x14ac:dyDescent="0.2">
      <c r="A7905" s="238">
        <v>2022</v>
      </c>
      <c r="B7905" s="238">
        <v>12</v>
      </c>
      <c r="C7905" s="238">
        <v>15</v>
      </c>
      <c r="D7905" s="270">
        <f t="shared" ref="D7905:D7925" si="748">DATE(A7905,B7905,C7905)</f>
        <v>44910</v>
      </c>
      <c r="E7905" s="279">
        <f t="shared" ref="E7905:E7925" si="749">DATE(A7905,B7905,C7905)</f>
        <v>44910</v>
      </c>
      <c r="F7905" s="477" t="s">
        <v>347</v>
      </c>
      <c r="G7905" s="239" t="s">
        <v>94</v>
      </c>
      <c r="H7905" s="239" t="str" cm="1">
        <f t="array" ref="H7905">IFERROR(INDEX(INVESTOR_LIST[INVESTOR NAME],MATCH(I7905,INVESTOR_LIST[INVESTOR CODE],0),)," ")</f>
        <v xml:space="preserve"> </v>
      </c>
      <c r="I7905" s="262" t="s">
        <v>348</v>
      </c>
      <c r="J7905" s="240" t="s">
        <v>108</v>
      </c>
      <c r="K7905" s="241">
        <v>305965</v>
      </c>
      <c r="L7905" s="241"/>
    </row>
    <row r="7906" spans="1:17" x14ac:dyDescent="0.2">
      <c r="A7906" s="242">
        <v>2022</v>
      </c>
      <c r="B7906" s="242">
        <v>12</v>
      </c>
      <c r="C7906" s="242">
        <v>15</v>
      </c>
      <c r="D7906" s="270">
        <f t="shared" si="748"/>
        <v>44910</v>
      </c>
      <c r="E7906" s="279">
        <f t="shared" si="749"/>
        <v>44910</v>
      </c>
      <c r="F7906" s="478"/>
      <c r="G7906" s="243" t="s">
        <v>94</v>
      </c>
      <c r="H7906" s="243" t="str" cm="1">
        <f t="array" ref="H7906">IFERROR(INDEX(INVESTOR_LIST[INVESTOR NAME],MATCH(I7906,INVESTOR_LIST[INVESTOR CODE],0),)," ")</f>
        <v xml:space="preserve"> </v>
      </c>
      <c r="I7906" s="263" t="s">
        <v>348</v>
      </c>
      <c r="J7906" s="244" t="s">
        <v>82</v>
      </c>
      <c r="K7906" s="245"/>
      <c r="L7906" s="245">
        <v>305965</v>
      </c>
    </row>
    <row r="7907" spans="1:17" ht="22.5" x14ac:dyDescent="0.2">
      <c r="A7907" s="246">
        <v>2022</v>
      </c>
      <c r="B7907" s="238">
        <v>12</v>
      </c>
      <c r="C7907" s="238">
        <v>15</v>
      </c>
      <c r="D7907" s="270">
        <f t="shared" si="748"/>
        <v>44910</v>
      </c>
      <c r="E7907" s="279">
        <f t="shared" si="749"/>
        <v>44910</v>
      </c>
      <c r="F7907" s="482" t="s">
        <v>148</v>
      </c>
      <c r="G7907" s="247" t="s">
        <v>94</v>
      </c>
      <c r="H7907" s="247" t="str" cm="1">
        <f t="array" ref="H7907">IFERROR(INDEX(INVESTOR_LIST[INVESTOR NAME],MATCH(I7907,INVESTOR_LIST[INVESTOR CODE],0),)," ")</f>
        <v xml:space="preserve"> </v>
      </c>
      <c r="I7907" s="248" t="s">
        <v>348</v>
      </c>
      <c r="J7907" s="249" t="s">
        <v>95</v>
      </c>
      <c r="K7907" s="250">
        <v>2747.2527472527472</v>
      </c>
      <c r="L7907" s="241"/>
    </row>
    <row r="7908" spans="1:17" x14ac:dyDescent="0.2">
      <c r="A7908" s="242">
        <v>2022</v>
      </c>
      <c r="B7908" s="242">
        <v>12</v>
      </c>
      <c r="C7908" s="242">
        <v>15</v>
      </c>
      <c r="D7908" s="270">
        <f t="shared" si="748"/>
        <v>44910</v>
      </c>
      <c r="E7908" s="279">
        <f t="shared" si="749"/>
        <v>44910</v>
      </c>
      <c r="F7908" s="478"/>
      <c r="G7908" s="243" t="s">
        <v>94</v>
      </c>
      <c r="H7908" s="243" t="str" cm="1">
        <f t="array" ref="H7908">IFERROR(INDEX(INVESTOR_LIST[INVESTOR NAME],MATCH(I7908,INVESTOR_LIST[INVESTOR CODE],0),)," ")</f>
        <v xml:space="preserve"> </v>
      </c>
      <c r="I7908" s="263" t="s">
        <v>348</v>
      </c>
      <c r="J7908" s="244" t="s">
        <v>63</v>
      </c>
      <c r="K7908" s="245"/>
      <c r="L7908" s="245">
        <v>2747.2527472527472</v>
      </c>
    </row>
    <row r="7909" spans="1:17" x14ac:dyDescent="0.2">
      <c r="A7909" s="246">
        <v>2022</v>
      </c>
      <c r="B7909" s="238">
        <v>12</v>
      </c>
      <c r="C7909" s="238">
        <v>15</v>
      </c>
      <c r="D7909" s="270">
        <f t="shared" si="748"/>
        <v>44910</v>
      </c>
      <c r="E7909" s="279">
        <f t="shared" si="749"/>
        <v>44910</v>
      </c>
      <c r="F7909" s="482" t="s">
        <v>137</v>
      </c>
      <c r="G7909" s="247" t="s">
        <v>94</v>
      </c>
      <c r="H7909" s="247" t="str" cm="1">
        <f t="array" ref="H7909">IFERROR(INDEX(INVESTOR_LIST[INVESTOR NAME],MATCH(I7909,INVESTOR_LIST[INVESTOR CODE],0),)," ")</f>
        <v xml:space="preserve"> </v>
      </c>
      <c r="I7909" s="248" t="s">
        <v>348</v>
      </c>
      <c r="J7909" s="249" t="s">
        <v>97</v>
      </c>
      <c r="K7909" s="250">
        <v>76095.70757678269</v>
      </c>
      <c r="L7909" s="252"/>
    </row>
    <row r="7910" spans="1:17" x14ac:dyDescent="0.2">
      <c r="A7910" s="242">
        <v>2022</v>
      </c>
      <c r="B7910" s="242">
        <v>12</v>
      </c>
      <c r="C7910" s="242">
        <v>15</v>
      </c>
      <c r="D7910" s="270">
        <f t="shared" si="748"/>
        <v>44910</v>
      </c>
      <c r="E7910" s="279">
        <f t="shared" si="749"/>
        <v>44910</v>
      </c>
      <c r="F7910" s="478"/>
      <c r="G7910" s="243" t="s">
        <v>94</v>
      </c>
      <c r="H7910" s="243" t="str" cm="1">
        <f t="array" ref="H7910">IFERROR(INDEX(INVESTOR_LIST[INVESTOR NAME],MATCH(I7910,INVESTOR_LIST[INVESTOR CODE],0),)," ")</f>
        <v xml:space="preserve"> </v>
      </c>
      <c r="I7910" s="263" t="s">
        <v>348</v>
      </c>
      <c r="J7910" s="244" t="s">
        <v>47</v>
      </c>
      <c r="K7910" s="245"/>
      <c r="L7910" s="245">
        <v>76095.70757678269</v>
      </c>
    </row>
    <row r="7911" spans="1:17" x14ac:dyDescent="0.2">
      <c r="A7911" s="246">
        <v>2022</v>
      </c>
      <c r="B7911" s="238">
        <v>12</v>
      </c>
      <c r="C7911" s="238">
        <v>15</v>
      </c>
      <c r="D7911" s="270">
        <f t="shared" si="748"/>
        <v>44910</v>
      </c>
      <c r="E7911" s="279">
        <f t="shared" si="749"/>
        <v>44910</v>
      </c>
      <c r="F7911" s="482" t="s">
        <v>138</v>
      </c>
      <c r="G7911" s="247" t="s">
        <v>94</v>
      </c>
      <c r="H7911" s="247" t="str" cm="1">
        <f t="array" ref="H7911">IFERROR(INDEX(INVESTOR_LIST[INVESTOR NAME],MATCH(I7911,INVESTOR_LIST[INVESTOR CODE],0),)," ")</f>
        <v xml:space="preserve"> </v>
      </c>
      <c r="I7911" s="248" t="s">
        <v>348</v>
      </c>
      <c r="J7911" s="249" t="s">
        <v>100</v>
      </c>
      <c r="K7911" s="250">
        <v>3564.4007634545192</v>
      </c>
      <c r="L7911" s="252"/>
    </row>
    <row r="7912" spans="1:17" x14ac:dyDescent="0.2">
      <c r="A7912" s="242">
        <v>2022</v>
      </c>
      <c r="B7912" s="242">
        <v>12</v>
      </c>
      <c r="C7912" s="242">
        <v>15</v>
      </c>
      <c r="D7912" s="321">
        <f t="shared" si="748"/>
        <v>44910</v>
      </c>
      <c r="E7912" s="322">
        <f t="shared" si="749"/>
        <v>44910</v>
      </c>
      <c r="F7912" s="478"/>
      <c r="G7912" s="243" t="s">
        <v>94</v>
      </c>
      <c r="H7912" s="243" t="str" cm="1">
        <f t="array" ref="H7912">IFERROR(INDEX(INVESTOR_LIST[INVESTOR NAME],MATCH(I7912,INVESTOR_LIST[INVESTOR CODE],0),)," ")</f>
        <v xml:space="preserve"> </v>
      </c>
      <c r="I7912" s="263" t="s">
        <v>348</v>
      </c>
      <c r="J7912" s="244" t="s">
        <v>48</v>
      </c>
      <c r="K7912" s="245"/>
      <c r="L7912" s="245">
        <v>3564.4007634545192</v>
      </c>
    </row>
    <row r="7913" spans="1:17" ht="33.75" x14ac:dyDescent="0.2">
      <c r="A7913" s="168">
        <v>2022</v>
      </c>
      <c r="B7913" s="168">
        <v>12</v>
      </c>
      <c r="C7913" s="133">
        <v>18</v>
      </c>
      <c r="D7913" s="141">
        <f t="shared" si="748"/>
        <v>44913</v>
      </c>
      <c r="E7913" s="275">
        <f t="shared" si="749"/>
        <v>44913</v>
      </c>
      <c r="F7913" s="479" t="s">
        <v>1315</v>
      </c>
      <c r="G7913" s="220" t="s">
        <v>74</v>
      </c>
      <c r="H7913" s="142" t="str" cm="1">
        <f t="array" ref="H7913">IFERROR(INDEX(INVESTOR_LIST[INVESTOR NAME],MATCH(I7913,INVESTOR_LIST[INVESTOR CODE],0),)," ")</f>
        <v>NUSRAT JAHAN TISHA</v>
      </c>
      <c r="I7913" s="142" t="s">
        <v>1486</v>
      </c>
      <c r="J7913" s="168" t="s">
        <v>13</v>
      </c>
      <c r="K7913" s="226">
        <v>28710</v>
      </c>
      <c r="L7913" s="226"/>
    </row>
    <row r="7914" spans="1:17" ht="33.75" x14ac:dyDescent="0.2">
      <c r="A7914" s="133">
        <v>2022</v>
      </c>
      <c r="B7914" s="133">
        <v>12</v>
      </c>
      <c r="C7914" s="133">
        <v>18</v>
      </c>
      <c r="D7914" s="141">
        <f t="shared" si="748"/>
        <v>44913</v>
      </c>
      <c r="E7914" s="275">
        <f t="shared" si="749"/>
        <v>44913</v>
      </c>
      <c r="F7914" s="481"/>
      <c r="G7914" s="174" t="s">
        <v>74</v>
      </c>
      <c r="H7914" s="148" t="str" cm="1">
        <f t="array" ref="H7914">IFERROR(INDEX(INVESTOR_LIST[INVESTOR NAME],MATCH(I7914,INVESTOR_LIST[INVESTOR CODE],0),)," ")</f>
        <v>NUSRAT JAHAN TISHA</v>
      </c>
      <c r="I7914" s="148" t="s">
        <v>1486</v>
      </c>
      <c r="J7914" s="133" t="s">
        <v>53</v>
      </c>
      <c r="K7914" s="218">
        <v>6290</v>
      </c>
      <c r="L7914" s="218"/>
    </row>
    <row r="7915" spans="1:17" ht="33.75" x14ac:dyDescent="0.2">
      <c r="A7915" s="163">
        <v>2022</v>
      </c>
      <c r="B7915" s="163">
        <v>12</v>
      </c>
      <c r="C7915" s="163">
        <v>18</v>
      </c>
      <c r="D7915" s="280">
        <f t="shared" si="748"/>
        <v>44913</v>
      </c>
      <c r="E7915" s="281">
        <f t="shared" si="749"/>
        <v>44913</v>
      </c>
      <c r="F7915" s="480"/>
      <c r="G7915" s="221" t="s">
        <v>74</v>
      </c>
      <c r="H7915" s="145" t="str" cm="1">
        <f t="array" ref="H7915">IFERROR(INDEX(INVESTOR_LIST[INVESTOR NAME],MATCH(I7915,INVESTOR_LIST[INVESTOR CODE],0),)," ")</f>
        <v>NUSRAT JAHAN TISHA</v>
      </c>
      <c r="I7915" s="145" t="s">
        <v>1486</v>
      </c>
      <c r="J7915" s="163" t="s">
        <v>52</v>
      </c>
      <c r="K7915" s="219"/>
      <c r="L7915" s="219">
        <v>35000</v>
      </c>
    </row>
    <row r="7916" spans="1:17" x14ac:dyDescent="0.2">
      <c r="A7916" s="168">
        <v>2022</v>
      </c>
      <c r="B7916" s="168">
        <v>12</v>
      </c>
      <c r="C7916" s="168">
        <v>18</v>
      </c>
      <c r="D7916" s="141">
        <f t="shared" si="748"/>
        <v>44913</v>
      </c>
      <c r="E7916" s="275">
        <f t="shared" si="749"/>
        <v>44913</v>
      </c>
      <c r="F7916" s="479" t="s">
        <v>1319</v>
      </c>
      <c r="G7916" s="220" t="s">
        <v>74</v>
      </c>
      <c r="H7916" s="142" t="str" cm="1">
        <f t="array" ref="H7916">IFERROR(INDEX(INVESTOR_LIST[INVESTOR NAME],MATCH(I7916,INVESTOR_LIST[INVESTOR CODE],0),)," ")</f>
        <v xml:space="preserve"> </v>
      </c>
      <c r="I7916" s="142"/>
      <c r="J7916" s="168" t="s">
        <v>52</v>
      </c>
      <c r="K7916" s="226">
        <v>43000</v>
      </c>
      <c r="L7916" s="226"/>
    </row>
    <row r="7917" spans="1:17" x14ac:dyDescent="0.2">
      <c r="A7917" s="133">
        <v>2022</v>
      </c>
      <c r="B7917" s="133">
        <v>12</v>
      </c>
      <c r="C7917" s="133">
        <v>18</v>
      </c>
      <c r="D7917" s="141">
        <f t="shared" si="748"/>
        <v>44913</v>
      </c>
      <c r="E7917" s="275">
        <f t="shared" si="749"/>
        <v>44913</v>
      </c>
      <c r="F7917" s="481"/>
      <c r="G7917" s="174" t="s">
        <v>74</v>
      </c>
      <c r="H7917" s="148" t="str" cm="1">
        <f t="array" ref="H7917">IFERROR(INDEX(INVESTOR_LIST[INVESTOR NAME],MATCH(I7917,INVESTOR_LIST[INVESTOR CODE],0),)," ")</f>
        <v xml:space="preserve"> </v>
      </c>
      <c r="J7917" s="133" t="s">
        <v>13</v>
      </c>
      <c r="K7917" s="218"/>
      <c r="L7917" s="218">
        <v>35260</v>
      </c>
    </row>
    <row r="7918" spans="1:17" x14ac:dyDescent="0.2">
      <c r="A7918" s="163">
        <v>2022</v>
      </c>
      <c r="B7918" s="163">
        <v>12</v>
      </c>
      <c r="C7918" s="163">
        <v>18</v>
      </c>
      <c r="D7918" s="280">
        <f t="shared" si="748"/>
        <v>44913</v>
      </c>
      <c r="E7918" s="281">
        <f t="shared" si="749"/>
        <v>44913</v>
      </c>
      <c r="F7918" s="480"/>
      <c r="G7918" s="221" t="s">
        <v>74</v>
      </c>
      <c r="H7918" s="145" t="str" cm="1">
        <f t="array" ref="H7918">IFERROR(INDEX(INVESTOR_LIST[INVESTOR NAME],MATCH(I7918,INVESTOR_LIST[INVESTOR CODE],0),)," ")</f>
        <v xml:space="preserve"> </v>
      </c>
      <c r="I7918" s="145"/>
      <c r="J7918" s="163" t="s">
        <v>53</v>
      </c>
      <c r="K7918" s="219"/>
      <c r="L7918" s="219">
        <v>7740</v>
      </c>
    </row>
    <row r="7919" spans="1:17" x14ac:dyDescent="0.2">
      <c r="A7919" s="133">
        <v>2022</v>
      </c>
      <c r="B7919" s="133">
        <v>12</v>
      </c>
      <c r="C7919" s="133">
        <v>19</v>
      </c>
      <c r="D7919" s="141">
        <f t="shared" si="748"/>
        <v>44914</v>
      </c>
      <c r="E7919" s="275">
        <f t="shared" si="749"/>
        <v>44914</v>
      </c>
      <c r="F7919" s="481" t="s">
        <v>1556</v>
      </c>
      <c r="G7919" s="174" t="s">
        <v>74</v>
      </c>
      <c r="H7919" s="174" t="str" cm="1">
        <f t="array" ref="H7919">IFERROR(INDEX(INVESTOR_LIST[INVESTOR NAME],MATCH(I7919,INVESTOR_LIST[INVESTOR CODE],0),)," ")</f>
        <v xml:space="preserve"> </v>
      </c>
      <c r="I7919" s="148" t="s">
        <v>348</v>
      </c>
      <c r="J7919" s="149" t="s">
        <v>163</v>
      </c>
      <c r="K7919" s="218">
        <v>1575</v>
      </c>
      <c r="L7919" s="218"/>
      <c r="M7919" s="147"/>
      <c r="Q7919" s="133" t="s">
        <v>348</v>
      </c>
    </row>
    <row r="7920" spans="1:17" x14ac:dyDescent="0.2">
      <c r="A7920" s="163">
        <v>2022</v>
      </c>
      <c r="B7920" s="163">
        <v>12</v>
      </c>
      <c r="C7920" s="163">
        <v>19</v>
      </c>
      <c r="D7920" s="141">
        <f t="shared" si="748"/>
        <v>44914</v>
      </c>
      <c r="E7920" s="275">
        <f t="shared" si="749"/>
        <v>44914</v>
      </c>
      <c r="F7920" s="480"/>
      <c r="G7920" s="221" t="s">
        <v>74</v>
      </c>
      <c r="H7920" s="221" t="str" cm="1">
        <f t="array" ref="H7920">IFERROR(INDEX(INVESTOR_LIST[INVESTOR NAME],MATCH(I7920,INVESTOR_LIST[INVESTOR CODE],0),)," ")</f>
        <v xml:space="preserve"> </v>
      </c>
      <c r="I7920" s="145"/>
      <c r="J7920" s="146" t="s">
        <v>52</v>
      </c>
      <c r="K7920" s="219"/>
      <c r="L7920" s="219">
        <v>1575</v>
      </c>
      <c r="M7920" s="147"/>
      <c r="Q7920" s="133" t="s">
        <v>348</v>
      </c>
    </row>
    <row r="7921" spans="1:13" x14ac:dyDescent="0.2">
      <c r="A7921" s="133">
        <v>2022</v>
      </c>
      <c r="B7921" s="133">
        <v>12</v>
      </c>
      <c r="C7921" s="133">
        <v>20</v>
      </c>
      <c r="D7921" s="141">
        <f t="shared" si="748"/>
        <v>44915</v>
      </c>
      <c r="E7921" s="275">
        <f t="shared" si="749"/>
        <v>44915</v>
      </c>
      <c r="F7921" s="481" t="s">
        <v>1554</v>
      </c>
      <c r="G7921" s="174" t="s">
        <v>94</v>
      </c>
      <c r="H7921" s="174" t="str" cm="1">
        <f t="array" ref="H7921">IFERROR(INDEX(INVESTOR_LIST[INVESTOR NAME],MATCH(I7921,INVESTOR_LIST[INVESTOR CODE],0),)," ")</f>
        <v xml:space="preserve"> </v>
      </c>
      <c r="J7921" s="149" t="s">
        <v>79</v>
      </c>
      <c r="K7921" s="218">
        <v>694000</v>
      </c>
      <c r="L7921" s="218"/>
      <c r="M7921" s="160"/>
    </row>
    <row r="7922" spans="1:13" x14ac:dyDescent="0.2">
      <c r="A7922" s="133">
        <v>2022</v>
      </c>
      <c r="B7922" s="133">
        <v>12</v>
      </c>
      <c r="C7922" s="133">
        <v>20</v>
      </c>
      <c r="D7922" s="141">
        <f t="shared" si="748"/>
        <v>44915</v>
      </c>
      <c r="E7922" s="275">
        <f t="shared" si="749"/>
        <v>44915</v>
      </c>
      <c r="F7922" s="481"/>
      <c r="G7922" s="174" t="s">
        <v>94</v>
      </c>
      <c r="H7922" s="174"/>
      <c r="J7922" s="149" t="s">
        <v>80</v>
      </c>
      <c r="K7922" s="218">
        <v>2707.2</v>
      </c>
      <c r="L7922" s="218"/>
    </row>
    <row r="7923" spans="1:13" x14ac:dyDescent="0.2">
      <c r="A7923" s="133">
        <v>2022</v>
      </c>
      <c r="B7923" s="133">
        <v>12</v>
      </c>
      <c r="C7923" s="133">
        <v>20</v>
      </c>
      <c r="D7923" s="141">
        <f t="shared" si="748"/>
        <v>44915</v>
      </c>
      <c r="E7923" s="275">
        <f t="shared" si="749"/>
        <v>44915</v>
      </c>
      <c r="F7923" s="481"/>
      <c r="G7923" s="174" t="s">
        <v>94</v>
      </c>
      <c r="H7923" s="174"/>
      <c r="J7923" s="149" t="s">
        <v>190</v>
      </c>
      <c r="K7923" s="218">
        <v>113292.8</v>
      </c>
      <c r="L7923" s="218"/>
    </row>
    <row r="7924" spans="1:13" x14ac:dyDescent="0.2">
      <c r="A7924" s="133">
        <v>2022</v>
      </c>
      <c r="B7924" s="133">
        <v>12</v>
      </c>
      <c r="C7924" s="133">
        <v>20</v>
      </c>
      <c r="D7924" s="141">
        <f t="shared" si="748"/>
        <v>44915</v>
      </c>
      <c r="E7924" s="275">
        <f t="shared" si="749"/>
        <v>44915</v>
      </c>
      <c r="F7924" s="481"/>
      <c r="G7924" s="174" t="s">
        <v>94</v>
      </c>
      <c r="H7924" s="174" t="str" cm="1">
        <f t="array" ref="H7924">IFERROR(INDEX(INVESTOR_LIST[INVESTOR NAME],MATCH(I7924,INVESTOR_LIST[INVESTOR CODE],0),)," ")</f>
        <v xml:space="preserve"> </v>
      </c>
      <c r="J7924" s="149" t="s">
        <v>191</v>
      </c>
      <c r="K7924" s="218">
        <v>190000</v>
      </c>
      <c r="L7924" s="218"/>
    </row>
    <row r="7925" spans="1:13" x14ac:dyDescent="0.2">
      <c r="A7925" s="163">
        <v>2022</v>
      </c>
      <c r="B7925" s="163">
        <v>12</v>
      </c>
      <c r="C7925" s="163">
        <v>20</v>
      </c>
      <c r="D7925" s="280">
        <f t="shared" si="748"/>
        <v>44915</v>
      </c>
      <c r="E7925" s="281">
        <f t="shared" si="749"/>
        <v>44915</v>
      </c>
      <c r="F7925" s="480"/>
      <c r="G7925" s="221" t="s">
        <v>94</v>
      </c>
      <c r="H7925" s="145" t="str" cm="1">
        <f t="array" ref="H7925">IFERROR(INDEX(INVESTOR_LIST[INVESTOR NAME],MATCH(I7925,INVESTOR_LIST[INVESTOR CODE],0),)," ")</f>
        <v xml:space="preserve"> </v>
      </c>
      <c r="I7925" s="145"/>
      <c r="J7925" s="163" t="s">
        <v>79</v>
      </c>
      <c r="K7925" s="219"/>
      <c r="L7925" s="219">
        <v>1000000</v>
      </c>
    </row>
    <row r="7926" spans="1:13" x14ac:dyDescent="0.2">
      <c r="A7926" s="168">
        <v>2022</v>
      </c>
      <c r="B7926" s="168">
        <v>12</v>
      </c>
      <c r="C7926" s="168">
        <v>22</v>
      </c>
      <c r="D7926" s="141">
        <f>DATE(A7926,B7926,C7926)</f>
        <v>44917</v>
      </c>
      <c r="E7926" s="275">
        <f>DATE(A7926,B7926,C7926)</f>
        <v>44917</v>
      </c>
      <c r="F7926" s="479" t="s">
        <v>1500</v>
      </c>
      <c r="G7926" s="220" t="s">
        <v>74</v>
      </c>
      <c r="H7926" s="220" t="str" cm="1">
        <f t="array" ref="H7926">IFERROR(INDEX(INVESTOR_LIST[INVESTOR NAME],MATCH(I7926,INVESTOR_LIST[INVESTOR CODE],0),)," ")</f>
        <v xml:space="preserve"> </v>
      </c>
      <c r="I7926" s="142"/>
      <c r="J7926" s="143" t="s">
        <v>52</v>
      </c>
      <c r="K7926" s="226">
        <v>113292.8</v>
      </c>
      <c r="L7926" s="226"/>
    </row>
    <row r="7927" spans="1:13" x14ac:dyDescent="0.2">
      <c r="A7927" s="163">
        <v>2022</v>
      </c>
      <c r="B7927" s="163">
        <v>12</v>
      </c>
      <c r="C7927" s="163">
        <v>22</v>
      </c>
      <c r="D7927" s="141">
        <f>DATE(A7927,B7927,C7927)</f>
        <v>44917</v>
      </c>
      <c r="E7927" s="275">
        <f>DATE(A7927,B7927,C7927)</f>
        <v>44917</v>
      </c>
      <c r="F7927" s="480"/>
      <c r="G7927" s="221" t="s">
        <v>74</v>
      </c>
      <c r="H7927" s="221" t="str" cm="1">
        <f t="array" ref="H7927">IFERROR(INDEX(INVESTOR_LIST[INVESTOR NAME],MATCH(I7927,INVESTOR_LIST[INVESTOR CODE],0),)," ")</f>
        <v xml:space="preserve"> </v>
      </c>
      <c r="I7927" s="145"/>
      <c r="J7927" s="146" t="s">
        <v>190</v>
      </c>
      <c r="K7927" s="219"/>
      <c r="L7927" s="219">
        <v>113292.8</v>
      </c>
    </row>
    <row r="7928" spans="1:13" x14ac:dyDescent="0.2">
      <c r="A7928" s="324">
        <v>2022</v>
      </c>
      <c r="B7928" s="324">
        <v>12</v>
      </c>
      <c r="C7928" s="325">
        <v>22</v>
      </c>
      <c r="D7928" s="326">
        <f t="shared" ref="D7928:D7931" si="750">DATE(A7928,B7928,C7928)</f>
        <v>44917</v>
      </c>
      <c r="E7928" s="327">
        <f t="shared" ref="E7928:E7931" si="751">DATE(A7928,B7928,C7928)</f>
        <v>44917</v>
      </c>
      <c r="F7928" s="473" t="s">
        <v>1490</v>
      </c>
      <c r="G7928" s="328" t="s">
        <v>94</v>
      </c>
      <c r="H7928" s="329" t="str" cm="1">
        <f t="array" ref="H7928">IFERROR(INDEX(INVESTOR_LIST[INVESTOR NAME],MATCH(I7928,INVESTOR_LIST[INVESTOR CODE],0),)," ")</f>
        <v xml:space="preserve"> </v>
      </c>
      <c r="I7928" s="329" t="s">
        <v>348</v>
      </c>
      <c r="J7928" s="324" t="s">
        <v>133</v>
      </c>
      <c r="K7928" s="330">
        <v>14659.25</v>
      </c>
      <c r="L7928" s="330"/>
    </row>
    <row r="7929" spans="1:13" x14ac:dyDescent="0.2">
      <c r="A7929" s="331">
        <v>2022</v>
      </c>
      <c r="B7929" s="331">
        <v>12</v>
      </c>
      <c r="C7929" s="331">
        <v>22</v>
      </c>
      <c r="D7929" s="326">
        <f t="shared" si="750"/>
        <v>44917</v>
      </c>
      <c r="E7929" s="327">
        <f t="shared" si="751"/>
        <v>44917</v>
      </c>
      <c r="F7929" s="474"/>
      <c r="G7929" s="332" t="s">
        <v>94</v>
      </c>
      <c r="H7929" s="333" t="str" cm="1">
        <f t="array" ref="H7929">IFERROR(INDEX(INVESTOR_LIST[INVESTOR NAME],MATCH(I7929,INVESTOR_LIST[INVESTOR CODE],0),)," ")</f>
        <v xml:space="preserve"> </v>
      </c>
      <c r="I7929" s="333" t="s">
        <v>348</v>
      </c>
      <c r="J7929" s="331" t="s">
        <v>152</v>
      </c>
      <c r="K7929" s="334"/>
      <c r="L7929" s="334">
        <v>14659.25</v>
      </c>
    </row>
    <row r="7930" spans="1:13" x14ac:dyDescent="0.2">
      <c r="A7930" s="324">
        <v>2022</v>
      </c>
      <c r="B7930" s="324">
        <v>12</v>
      </c>
      <c r="C7930" s="325">
        <v>22</v>
      </c>
      <c r="D7930" s="326">
        <f t="shared" si="750"/>
        <v>44917</v>
      </c>
      <c r="E7930" s="327">
        <f t="shared" si="751"/>
        <v>44917</v>
      </c>
      <c r="F7930" s="473" t="s">
        <v>1491</v>
      </c>
      <c r="G7930" s="328" t="s">
        <v>94</v>
      </c>
      <c r="H7930" s="329" t="str" cm="1">
        <f t="array" ref="H7930">IFERROR(INDEX(INVESTOR_LIST[INVESTOR NAME],MATCH(I7930,INVESTOR_LIST[INVESTOR CODE],0),)," ")</f>
        <v xml:space="preserve"> </v>
      </c>
      <c r="I7930" s="329" t="s">
        <v>348</v>
      </c>
      <c r="J7930" s="324" t="s">
        <v>133</v>
      </c>
      <c r="K7930" s="330">
        <v>3605.7692307692309</v>
      </c>
      <c r="L7930" s="330"/>
    </row>
    <row r="7931" spans="1:13" x14ac:dyDescent="0.2">
      <c r="A7931" s="331">
        <v>2022</v>
      </c>
      <c r="B7931" s="331">
        <v>12</v>
      </c>
      <c r="C7931" s="331">
        <v>22</v>
      </c>
      <c r="D7931" s="326">
        <f t="shared" si="750"/>
        <v>44917</v>
      </c>
      <c r="E7931" s="327">
        <f t="shared" si="751"/>
        <v>44917</v>
      </c>
      <c r="F7931" s="474"/>
      <c r="G7931" s="332" t="s">
        <v>94</v>
      </c>
      <c r="H7931" s="333" t="str" cm="1">
        <f t="array" ref="H7931">IFERROR(INDEX(INVESTOR_LIST[INVESTOR NAME],MATCH(I7931,INVESTOR_LIST[INVESTOR CODE],0),)," ")</f>
        <v xml:space="preserve"> </v>
      </c>
      <c r="I7931" s="333" t="s">
        <v>348</v>
      </c>
      <c r="J7931" s="331" t="s">
        <v>152</v>
      </c>
      <c r="K7931" s="334"/>
      <c r="L7931" s="334">
        <v>3605.7692307692309</v>
      </c>
    </row>
    <row r="7932" spans="1:13" x14ac:dyDescent="0.2">
      <c r="A7932" s="324">
        <v>2022</v>
      </c>
      <c r="B7932" s="324">
        <v>12</v>
      </c>
      <c r="C7932" s="325">
        <v>22</v>
      </c>
      <c r="D7932" s="326">
        <f>DATE(A7932,B7932,C7932)</f>
        <v>44917</v>
      </c>
      <c r="E7932" s="327">
        <f>DATE(A7932,B7932,C7932)</f>
        <v>44917</v>
      </c>
      <c r="F7932" s="473" t="s">
        <v>1531</v>
      </c>
      <c r="G7932" s="328" t="s">
        <v>94</v>
      </c>
      <c r="H7932" s="329" t="str" cm="1">
        <f t="array" ref="H7932">IFERROR(INDEX(INVESTOR_LIST[INVESTOR NAME],MATCH(I7932,INVESTOR_LIST[INVESTOR CODE],0),)," ")</f>
        <v xml:space="preserve"> </v>
      </c>
      <c r="I7932" s="329" t="s">
        <v>348</v>
      </c>
      <c r="J7932" s="324" t="s">
        <v>133</v>
      </c>
      <c r="K7932" s="330">
        <v>1346.1538461538462</v>
      </c>
      <c r="L7932" s="330"/>
    </row>
    <row r="7933" spans="1:13" x14ac:dyDescent="0.2">
      <c r="A7933" s="331">
        <v>2022</v>
      </c>
      <c r="B7933" s="331">
        <v>12</v>
      </c>
      <c r="C7933" s="331">
        <v>22</v>
      </c>
      <c r="D7933" s="326">
        <f>DATE(A7933,B7933,C7933)</f>
        <v>44917</v>
      </c>
      <c r="E7933" s="327">
        <f>DATE(A7933,B7933,C7933)</f>
        <v>44917</v>
      </c>
      <c r="F7933" s="474"/>
      <c r="G7933" s="332" t="s">
        <v>94</v>
      </c>
      <c r="H7933" s="333" t="str" cm="1">
        <f t="array" ref="H7933">IFERROR(INDEX(INVESTOR_LIST[INVESTOR NAME],MATCH(I7933,INVESTOR_LIST[INVESTOR CODE],0),)," ")</f>
        <v xml:space="preserve"> </v>
      </c>
      <c r="I7933" s="333" t="s">
        <v>348</v>
      </c>
      <c r="J7933" s="331" t="s">
        <v>152</v>
      </c>
      <c r="K7933" s="334"/>
      <c r="L7933" s="334">
        <v>1346.1538461538462</v>
      </c>
    </row>
    <row r="7934" spans="1:13" x14ac:dyDescent="0.2">
      <c r="A7934" s="238">
        <v>2022</v>
      </c>
      <c r="B7934" s="238">
        <v>12</v>
      </c>
      <c r="C7934" s="238">
        <v>22</v>
      </c>
      <c r="D7934" s="270">
        <f t="shared" ref="D7934:D7983" si="752">DATE(A7934,B7934,C7934)</f>
        <v>44917</v>
      </c>
      <c r="E7934" s="279">
        <f t="shared" ref="E7934:E7983" si="753">DATE(A7934,B7934,C7934)</f>
        <v>44917</v>
      </c>
      <c r="F7934" s="477" t="s">
        <v>347</v>
      </c>
      <c r="G7934" s="239" t="s">
        <v>94</v>
      </c>
      <c r="H7934" s="239" t="str" cm="1">
        <f t="array" ref="H7934">IFERROR(INDEX(INVESTOR_LIST[INVESTOR NAME],MATCH(I7934,INVESTOR_LIST[INVESTOR CODE],0),)," ")</f>
        <v xml:space="preserve"> </v>
      </c>
      <c r="I7934" s="262" t="s">
        <v>348</v>
      </c>
      <c r="J7934" s="240" t="s">
        <v>108</v>
      </c>
      <c r="K7934" s="241">
        <v>230012.80000001192</v>
      </c>
      <c r="L7934" s="241"/>
    </row>
    <row r="7935" spans="1:13" x14ac:dyDescent="0.2">
      <c r="A7935" s="242">
        <v>2022</v>
      </c>
      <c r="B7935" s="242">
        <v>12</v>
      </c>
      <c r="C7935" s="242">
        <v>22</v>
      </c>
      <c r="D7935" s="270">
        <f t="shared" si="752"/>
        <v>44917</v>
      </c>
      <c r="E7935" s="279">
        <f t="shared" si="753"/>
        <v>44917</v>
      </c>
      <c r="F7935" s="478"/>
      <c r="G7935" s="243" t="s">
        <v>94</v>
      </c>
      <c r="H7935" s="243" t="str" cm="1">
        <f t="array" ref="H7935">IFERROR(INDEX(INVESTOR_LIST[INVESTOR NAME],MATCH(I7935,INVESTOR_LIST[INVESTOR CODE],0),)," ")</f>
        <v xml:space="preserve"> </v>
      </c>
      <c r="I7935" s="263" t="s">
        <v>348</v>
      </c>
      <c r="J7935" s="244" t="s">
        <v>82</v>
      </c>
      <c r="K7935" s="245"/>
      <c r="L7935" s="245">
        <v>230012.80000001192</v>
      </c>
    </row>
    <row r="7936" spans="1:13" ht="22.5" x14ac:dyDescent="0.2">
      <c r="A7936" s="246">
        <v>2022</v>
      </c>
      <c r="B7936" s="238">
        <v>12</v>
      </c>
      <c r="C7936" s="238">
        <v>22</v>
      </c>
      <c r="D7936" s="270">
        <f t="shared" si="752"/>
        <v>44917</v>
      </c>
      <c r="E7936" s="279">
        <f t="shared" si="753"/>
        <v>44917</v>
      </c>
      <c r="F7936" s="482" t="s">
        <v>148</v>
      </c>
      <c r="G7936" s="247" t="s">
        <v>94</v>
      </c>
      <c r="H7936" s="247" t="str" cm="1">
        <f t="array" ref="H7936">IFERROR(INDEX(INVESTOR_LIST[INVESTOR NAME],MATCH(I7936,INVESTOR_LIST[INVESTOR CODE],0),)," ")</f>
        <v xml:space="preserve"> </v>
      </c>
      <c r="I7936" s="248" t="s">
        <v>348</v>
      </c>
      <c r="J7936" s="249" t="s">
        <v>95</v>
      </c>
      <c r="K7936" s="250">
        <v>2747.2527472527472</v>
      </c>
      <c r="L7936" s="241"/>
    </row>
    <row r="7937" spans="1:13" x14ac:dyDescent="0.2">
      <c r="A7937" s="242">
        <v>2022</v>
      </c>
      <c r="B7937" s="242">
        <v>12</v>
      </c>
      <c r="C7937" s="242">
        <v>22</v>
      </c>
      <c r="D7937" s="270">
        <f t="shared" si="752"/>
        <v>44917</v>
      </c>
      <c r="E7937" s="279">
        <f t="shared" si="753"/>
        <v>44917</v>
      </c>
      <c r="F7937" s="478"/>
      <c r="G7937" s="243" t="s">
        <v>94</v>
      </c>
      <c r="H7937" s="243" t="str" cm="1">
        <f t="array" ref="H7937">IFERROR(INDEX(INVESTOR_LIST[INVESTOR NAME],MATCH(I7937,INVESTOR_LIST[INVESTOR CODE],0),)," ")</f>
        <v xml:space="preserve"> </v>
      </c>
      <c r="I7937" s="263" t="s">
        <v>348</v>
      </c>
      <c r="J7937" s="244" t="s">
        <v>63</v>
      </c>
      <c r="K7937" s="245"/>
      <c r="L7937" s="245">
        <v>2747.2527472527472</v>
      </c>
    </row>
    <row r="7938" spans="1:13" x14ac:dyDescent="0.2">
      <c r="A7938" s="246">
        <v>2022</v>
      </c>
      <c r="B7938" s="238">
        <v>12</v>
      </c>
      <c r="C7938" s="238">
        <v>22</v>
      </c>
      <c r="D7938" s="270">
        <f t="shared" si="752"/>
        <v>44917</v>
      </c>
      <c r="E7938" s="279">
        <f t="shared" si="753"/>
        <v>44917</v>
      </c>
      <c r="F7938" s="482" t="s">
        <v>137</v>
      </c>
      <c r="G7938" s="247" t="s">
        <v>94</v>
      </c>
      <c r="H7938" s="247" t="str" cm="1">
        <f t="array" ref="H7938">IFERROR(INDEX(INVESTOR_LIST[INVESTOR NAME],MATCH(I7938,INVESTOR_LIST[INVESTOR CODE],0),)," ")</f>
        <v xml:space="preserve"> </v>
      </c>
      <c r="I7938" s="248" t="s">
        <v>348</v>
      </c>
      <c r="J7938" s="249" t="s">
        <v>97</v>
      </c>
      <c r="K7938" s="250">
        <v>76088.652025181</v>
      </c>
      <c r="L7938" s="252"/>
    </row>
    <row r="7939" spans="1:13" x14ac:dyDescent="0.2">
      <c r="A7939" s="242">
        <v>2022</v>
      </c>
      <c r="B7939" s="242">
        <v>12</v>
      </c>
      <c r="C7939" s="242">
        <v>22</v>
      </c>
      <c r="D7939" s="270">
        <f t="shared" si="752"/>
        <v>44917</v>
      </c>
      <c r="E7939" s="279">
        <f t="shared" si="753"/>
        <v>44917</v>
      </c>
      <c r="F7939" s="478"/>
      <c r="G7939" s="243" t="s">
        <v>94</v>
      </c>
      <c r="H7939" s="243" t="str" cm="1">
        <f t="array" ref="H7939">IFERROR(INDEX(INVESTOR_LIST[INVESTOR NAME],MATCH(I7939,INVESTOR_LIST[INVESTOR CODE],0),)," ")</f>
        <v xml:space="preserve"> </v>
      </c>
      <c r="I7939" s="263" t="s">
        <v>348</v>
      </c>
      <c r="J7939" s="244" t="s">
        <v>47</v>
      </c>
      <c r="K7939" s="245"/>
      <c r="L7939" s="245">
        <v>76088.652025181</v>
      </c>
    </row>
    <row r="7940" spans="1:13" x14ac:dyDescent="0.2">
      <c r="A7940" s="246">
        <v>2022</v>
      </c>
      <c r="B7940" s="238">
        <v>12</v>
      </c>
      <c r="C7940" s="238">
        <v>22</v>
      </c>
      <c r="D7940" s="270">
        <f t="shared" si="752"/>
        <v>44917</v>
      </c>
      <c r="E7940" s="279">
        <f t="shared" si="753"/>
        <v>44917</v>
      </c>
      <c r="F7940" s="482" t="s">
        <v>138</v>
      </c>
      <c r="G7940" s="247" t="s">
        <v>94</v>
      </c>
      <c r="H7940" s="247" t="str" cm="1">
        <f t="array" ref="H7940">IFERROR(INDEX(INVESTOR_LIST[INVESTOR NAME],MATCH(I7940,INVESTOR_LIST[INVESTOR CODE],0),)," ")</f>
        <v xml:space="preserve"> </v>
      </c>
      <c r="I7940" s="248" t="s">
        <v>348</v>
      </c>
      <c r="J7940" s="249" t="s">
        <v>100</v>
      </c>
      <c r="K7940" s="250">
        <v>3564.0479858744343</v>
      </c>
      <c r="L7940" s="252"/>
    </row>
    <row r="7941" spans="1:13" x14ac:dyDescent="0.2">
      <c r="A7941" s="242">
        <v>2022</v>
      </c>
      <c r="B7941" s="242">
        <v>12</v>
      </c>
      <c r="C7941" s="242">
        <v>22</v>
      </c>
      <c r="D7941" s="321">
        <f t="shared" si="752"/>
        <v>44917</v>
      </c>
      <c r="E7941" s="322">
        <f t="shared" si="753"/>
        <v>44917</v>
      </c>
      <c r="F7941" s="478"/>
      <c r="G7941" s="243" t="s">
        <v>94</v>
      </c>
      <c r="H7941" s="243" t="str" cm="1">
        <f t="array" ref="H7941">IFERROR(INDEX(INVESTOR_LIST[INVESTOR NAME],MATCH(I7941,INVESTOR_LIST[INVESTOR CODE],0),)," ")</f>
        <v xml:space="preserve"> </v>
      </c>
      <c r="I7941" s="263" t="s">
        <v>348</v>
      </c>
      <c r="J7941" s="244" t="s">
        <v>48</v>
      </c>
      <c r="K7941" s="245"/>
      <c r="L7941" s="245">
        <v>3564.0479858744343</v>
      </c>
    </row>
    <row r="7942" spans="1:13" x14ac:dyDescent="0.2">
      <c r="A7942" s="168">
        <v>2022</v>
      </c>
      <c r="B7942" s="133">
        <v>12</v>
      </c>
      <c r="C7942" s="168">
        <v>26</v>
      </c>
      <c r="D7942" s="141">
        <f t="shared" si="752"/>
        <v>44921</v>
      </c>
      <c r="E7942" s="275">
        <f t="shared" si="753"/>
        <v>44921</v>
      </c>
      <c r="F7942" s="481" t="s">
        <v>982</v>
      </c>
      <c r="G7942" s="174" t="s">
        <v>74</v>
      </c>
      <c r="H7942" s="174" t="str" cm="1">
        <f t="array" ref="H7942">IFERROR(INDEX(INVESTOR_LIST[INVESTOR NAME],MATCH(I7942,INVESTOR_LIST[INVESTOR CODE],0),)," ")</f>
        <v xml:space="preserve"> </v>
      </c>
      <c r="I7942" s="148" t="s">
        <v>348</v>
      </c>
      <c r="J7942" s="149" t="s">
        <v>163</v>
      </c>
      <c r="K7942" s="218">
        <v>9000</v>
      </c>
      <c r="L7942" s="218"/>
    </row>
    <row r="7943" spans="1:13" x14ac:dyDescent="0.2">
      <c r="A7943" s="163">
        <v>2022</v>
      </c>
      <c r="B7943" s="163">
        <v>12</v>
      </c>
      <c r="C7943" s="163">
        <v>26</v>
      </c>
      <c r="D7943" s="141">
        <f t="shared" si="752"/>
        <v>44921</v>
      </c>
      <c r="E7943" s="275">
        <f t="shared" si="753"/>
        <v>44921</v>
      </c>
      <c r="F7943" s="480"/>
      <c r="G7943" s="221" t="s">
        <v>74</v>
      </c>
      <c r="H7943" s="221" t="str" cm="1">
        <f t="array" ref="H7943">IFERROR(INDEX(INVESTOR_LIST[INVESTOR NAME],MATCH(I7943,INVESTOR_LIST[INVESTOR CODE],0),)," ")</f>
        <v xml:space="preserve"> </v>
      </c>
      <c r="I7943" s="145" t="s">
        <v>348</v>
      </c>
      <c r="J7943" s="146" t="s">
        <v>52</v>
      </c>
      <c r="K7943" s="219"/>
      <c r="L7943" s="219">
        <v>9000</v>
      </c>
    </row>
    <row r="7944" spans="1:13" x14ac:dyDescent="0.2">
      <c r="A7944" s="168">
        <v>2022</v>
      </c>
      <c r="B7944" s="168">
        <v>12</v>
      </c>
      <c r="C7944" s="168">
        <v>27</v>
      </c>
      <c r="D7944" s="141">
        <f t="shared" si="752"/>
        <v>44922</v>
      </c>
      <c r="E7944" s="275">
        <f t="shared" si="753"/>
        <v>44922</v>
      </c>
      <c r="F7944" s="479" t="s">
        <v>1319</v>
      </c>
      <c r="G7944" s="220" t="s">
        <v>74</v>
      </c>
      <c r="H7944" s="142" t="str" cm="1">
        <f t="array" ref="H7944">IFERROR(INDEX(INVESTOR_LIST[INVESTOR NAME],MATCH(I7944,INVESTOR_LIST[INVESTOR CODE],0),)," ")</f>
        <v xml:space="preserve"> </v>
      </c>
      <c r="I7944" s="142"/>
      <c r="J7944" s="168" t="s">
        <v>52</v>
      </c>
      <c r="K7944" s="226">
        <v>466000</v>
      </c>
      <c r="L7944" s="226"/>
    </row>
    <row r="7945" spans="1:13" x14ac:dyDescent="0.2">
      <c r="A7945" s="133">
        <v>2022</v>
      </c>
      <c r="B7945" s="133">
        <v>12</v>
      </c>
      <c r="C7945" s="133">
        <v>27</v>
      </c>
      <c r="D7945" s="141">
        <f t="shared" si="752"/>
        <v>44922</v>
      </c>
      <c r="E7945" s="275">
        <f t="shared" si="753"/>
        <v>44922</v>
      </c>
      <c r="F7945" s="481"/>
      <c r="G7945" s="174" t="s">
        <v>74</v>
      </c>
      <c r="H7945" s="148" t="str" cm="1">
        <f t="array" ref="H7945">IFERROR(INDEX(INVESTOR_LIST[INVESTOR NAME],MATCH(I7945,INVESTOR_LIST[INVESTOR CODE],0),)," ")</f>
        <v xml:space="preserve"> </v>
      </c>
      <c r="J7945" s="133" t="s">
        <v>13</v>
      </c>
      <c r="K7945" s="218"/>
      <c r="L7945" s="218">
        <v>382670</v>
      </c>
    </row>
    <row r="7946" spans="1:13" x14ac:dyDescent="0.2">
      <c r="A7946" s="163">
        <v>2022</v>
      </c>
      <c r="B7946" s="163">
        <v>12</v>
      </c>
      <c r="C7946" s="163">
        <v>27</v>
      </c>
      <c r="D7946" s="280">
        <f t="shared" si="752"/>
        <v>44922</v>
      </c>
      <c r="E7946" s="281">
        <f t="shared" si="753"/>
        <v>44922</v>
      </c>
      <c r="F7946" s="480"/>
      <c r="G7946" s="221" t="s">
        <v>74</v>
      </c>
      <c r="H7946" s="145" t="str" cm="1">
        <f t="array" ref="H7946">IFERROR(INDEX(INVESTOR_LIST[INVESTOR NAME],MATCH(I7946,INVESTOR_LIST[INVESTOR CODE],0),)," ")</f>
        <v xml:space="preserve"> </v>
      </c>
      <c r="I7946" s="145"/>
      <c r="J7946" s="163" t="s">
        <v>53</v>
      </c>
      <c r="K7946" s="219"/>
      <c r="L7946" s="219">
        <v>83330</v>
      </c>
    </row>
    <row r="7947" spans="1:13" ht="33.75" x14ac:dyDescent="0.2">
      <c r="A7947" s="168">
        <v>2022</v>
      </c>
      <c r="B7947" s="168">
        <v>12</v>
      </c>
      <c r="C7947" s="133">
        <v>28</v>
      </c>
      <c r="D7947" s="141">
        <f t="shared" si="752"/>
        <v>44923</v>
      </c>
      <c r="E7947" s="275">
        <f t="shared" si="753"/>
        <v>44923</v>
      </c>
      <c r="F7947" s="479" t="s">
        <v>1310</v>
      </c>
      <c r="G7947" s="220" t="s">
        <v>74</v>
      </c>
      <c r="H7947" s="142" t="str" cm="1">
        <f t="array" ref="H7947">IFERROR(INDEX(INVESTOR_LIST[INVESTOR NAME],MATCH(I7947,INVESTOR_LIST[INVESTOR CODE],0),)," ")</f>
        <v>ZAFOR UDDIN AHMED</v>
      </c>
      <c r="I7947" s="142" t="s">
        <v>727</v>
      </c>
      <c r="J7947" s="168" t="s">
        <v>13</v>
      </c>
      <c r="K7947" s="226">
        <v>73440</v>
      </c>
      <c r="L7947" s="226"/>
    </row>
    <row r="7948" spans="1:13" ht="33.75" x14ac:dyDescent="0.2">
      <c r="A7948" s="133">
        <v>2022</v>
      </c>
      <c r="B7948" s="133">
        <v>12</v>
      </c>
      <c r="C7948" s="133">
        <v>28</v>
      </c>
      <c r="D7948" s="141">
        <f t="shared" si="752"/>
        <v>44923</v>
      </c>
      <c r="E7948" s="275">
        <f t="shared" si="753"/>
        <v>44923</v>
      </c>
      <c r="F7948" s="481"/>
      <c r="G7948" s="174" t="s">
        <v>74</v>
      </c>
      <c r="H7948" s="148" t="str" cm="1">
        <f t="array" ref="H7948">IFERROR(INDEX(INVESTOR_LIST[INVESTOR NAME],MATCH(I7948,INVESTOR_LIST[INVESTOR CODE],0),)," ")</f>
        <v>ZAFOR UDDIN AHMED</v>
      </c>
      <c r="I7948" s="148" t="s">
        <v>727</v>
      </c>
      <c r="J7948" s="133" t="s">
        <v>53</v>
      </c>
      <c r="K7948" s="218">
        <v>16009.92</v>
      </c>
      <c r="L7948" s="218"/>
    </row>
    <row r="7949" spans="1:13" ht="33.75" x14ac:dyDescent="0.2">
      <c r="A7949" s="163">
        <v>2022</v>
      </c>
      <c r="B7949" s="163">
        <v>12</v>
      </c>
      <c r="C7949" s="163">
        <v>28</v>
      </c>
      <c r="D7949" s="280">
        <f t="shared" si="752"/>
        <v>44923</v>
      </c>
      <c r="E7949" s="281">
        <f t="shared" si="753"/>
        <v>44923</v>
      </c>
      <c r="F7949" s="480"/>
      <c r="G7949" s="221" t="s">
        <v>74</v>
      </c>
      <c r="H7949" s="145" t="str" cm="1">
        <f t="array" ref="H7949">IFERROR(INDEX(INVESTOR_LIST[INVESTOR NAME],MATCH(I7949,INVESTOR_LIST[INVESTOR CODE],0),)," ")</f>
        <v>ZAFOR UDDIN AHMED</v>
      </c>
      <c r="I7949" s="145" t="s">
        <v>727</v>
      </c>
      <c r="J7949" s="163" t="s">
        <v>52</v>
      </c>
      <c r="K7949" s="219"/>
      <c r="L7949" s="219">
        <v>89449.919999999998</v>
      </c>
    </row>
    <row r="7950" spans="1:13" x14ac:dyDescent="0.2">
      <c r="A7950" s="133">
        <v>2022</v>
      </c>
      <c r="B7950" s="168">
        <v>12</v>
      </c>
      <c r="C7950" s="168">
        <v>29</v>
      </c>
      <c r="D7950" s="141">
        <f t="shared" si="752"/>
        <v>44924</v>
      </c>
      <c r="E7950" s="275">
        <f t="shared" si="753"/>
        <v>44924</v>
      </c>
      <c r="F7950" s="481" t="s">
        <v>1557</v>
      </c>
      <c r="G7950" s="174" t="s">
        <v>74</v>
      </c>
      <c r="H7950" s="174" t="str" cm="1">
        <f t="array" ref="H7950">IFERROR(INDEX(INVESTOR_LIST[INVESTOR NAME],MATCH(I7950,INVESTOR_LIST[INVESTOR CODE],0),)," ")</f>
        <v xml:space="preserve"> </v>
      </c>
      <c r="I7950" s="148" t="s">
        <v>348</v>
      </c>
      <c r="J7950" s="149" t="s">
        <v>52</v>
      </c>
      <c r="K7950" s="218">
        <v>136850</v>
      </c>
      <c r="L7950" s="218"/>
    </row>
    <row r="7951" spans="1:13" x14ac:dyDescent="0.2">
      <c r="A7951" s="163">
        <v>2022</v>
      </c>
      <c r="B7951" s="163">
        <v>12</v>
      </c>
      <c r="C7951" s="163">
        <v>29</v>
      </c>
      <c r="D7951" s="141">
        <f t="shared" si="752"/>
        <v>44924</v>
      </c>
      <c r="E7951" s="275">
        <f t="shared" si="753"/>
        <v>44924</v>
      </c>
      <c r="F7951" s="480"/>
      <c r="G7951" s="221" t="s">
        <v>74</v>
      </c>
      <c r="H7951" s="221" t="str" cm="1">
        <f t="array" ref="H7951">IFERROR(INDEX(INVESTOR_LIST[INVESTOR NAME],MATCH(I7951,INVESTOR_LIST[INVESTOR CODE],0),)," ")</f>
        <v xml:space="preserve"> </v>
      </c>
      <c r="I7951" s="145" t="s">
        <v>348</v>
      </c>
      <c r="J7951" s="146" t="s">
        <v>168</v>
      </c>
      <c r="K7951" s="219"/>
      <c r="L7951" s="219">
        <v>136850</v>
      </c>
    </row>
    <row r="7952" spans="1:13" x14ac:dyDescent="0.2">
      <c r="A7952" s="133">
        <v>2022</v>
      </c>
      <c r="B7952" s="133">
        <v>12</v>
      </c>
      <c r="C7952" s="133">
        <v>29</v>
      </c>
      <c r="D7952" s="141">
        <f t="shared" si="752"/>
        <v>44924</v>
      </c>
      <c r="E7952" s="275">
        <f t="shared" si="753"/>
        <v>44924</v>
      </c>
      <c r="F7952" s="481" t="s">
        <v>1499</v>
      </c>
      <c r="G7952" s="174" t="s">
        <v>94</v>
      </c>
      <c r="H7952" s="174" t="str" cm="1">
        <f t="array" ref="H7952">IFERROR(INDEX(INVESTOR_LIST[INVESTOR NAME],MATCH(I7952,INVESTOR_LIST[INVESTOR CODE],0),)," ")</f>
        <v xml:space="preserve"> </v>
      </c>
      <c r="J7952" s="149" t="s">
        <v>190</v>
      </c>
      <c r="K7952" s="218">
        <v>5698723.7999999998</v>
      </c>
      <c r="L7952" s="218"/>
      <c r="M7952" s="160"/>
    </row>
    <row r="7953" spans="1:12" x14ac:dyDescent="0.2">
      <c r="A7953" s="133">
        <v>2022</v>
      </c>
      <c r="B7953" s="133">
        <v>12</v>
      </c>
      <c r="C7953" s="133">
        <v>29</v>
      </c>
      <c r="D7953" s="141">
        <f t="shared" si="752"/>
        <v>44924</v>
      </c>
      <c r="E7953" s="275">
        <f t="shared" si="753"/>
        <v>44924</v>
      </c>
      <c r="F7953" s="481"/>
      <c r="G7953" s="174" t="s">
        <v>94</v>
      </c>
      <c r="H7953" s="174"/>
      <c r="J7953" s="149" t="s">
        <v>80</v>
      </c>
      <c r="K7953" s="218">
        <v>10276.200000000001</v>
      </c>
      <c r="L7953" s="218"/>
    </row>
    <row r="7954" spans="1:12" x14ac:dyDescent="0.2">
      <c r="A7954" s="133">
        <v>2022</v>
      </c>
      <c r="B7954" s="133">
        <v>12</v>
      </c>
      <c r="C7954" s="133">
        <v>29</v>
      </c>
      <c r="D7954" s="141">
        <f t="shared" si="752"/>
        <v>44924</v>
      </c>
      <c r="E7954" s="275">
        <f t="shared" si="753"/>
        <v>44924</v>
      </c>
      <c r="F7954" s="481"/>
      <c r="G7954" s="174" t="s">
        <v>94</v>
      </c>
      <c r="H7954" s="174" t="str" cm="1">
        <f t="array" ref="H7954">IFERROR(INDEX(INVESTOR_LIST[INVESTOR NAME],MATCH(I7954,INVESTOR_LIST[INVESTOR CODE],0),)," ")</f>
        <v xml:space="preserve"> </v>
      </c>
      <c r="J7954" s="149" t="s">
        <v>191</v>
      </c>
      <c r="K7954" s="218"/>
      <c r="L7954" s="218">
        <v>220658.91</v>
      </c>
    </row>
    <row r="7955" spans="1:12" x14ac:dyDescent="0.2">
      <c r="A7955" s="163">
        <v>2022</v>
      </c>
      <c r="B7955" s="163">
        <v>12</v>
      </c>
      <c r="C7955" s="163">
        <v>29</v>
      </c>
      <c r="D7955" s="280">
        <f t="shared" si="752"/>
        <v>44924</v>
      </c>
      <c r="E7955" s="281">
        <f t="shared" si="753"/>
        <v>44924</v>
      </c>
      <c r="F7955" s="480"/>
      <c r="G7955" s="221" t="s">
        <v>94</v>
      </c>
      <c r="H7955" s="145" t="str" cm="1">
        <f t="array" ref="H7955">IFERROR(INDEX(INVESTOR_LIST[INVESTOR NAME],MATCH(I7955,INVESTOR_LIST[INVESTOR CODE],0),)," ")</f>
        <v xml:space="preserve"> </v>
      </c>
      <c r="I7955" s="145"/>
      <c r="J7955" s="163" t="s">
        <v>79</v>
      </c>
      <c r="K7955" s="219"/>
      <c r="L7955" s="219">
        <v>5488341.0899999999</v>
      </c>
    </row>
    <row r="7956" spans="1:12" x14ac:dyDescent="0.2">
      <c r="A7956" s="133">
        <v>2022</v>
      </c>
      <c r="B7956" s="133">
        <v>12</v>
      </c>
      <c r="C7956" s="168">
        <v>29</v>
      </c>
      <c r="D7956" s="141">
        <f t="shared" si="752"/>
        <v>44924</v>
      </c>
      <c r="E7956" s="275">
        <f t="shared" si="753"/>
        <v>44924</v>
      </c>
      <c r="F7956" s="479" t="s">
        <v>1432</v>
      </c>
      <c r="G7956" s="174" t="s">
        <v>74</v>
      </c>
      <c r="H7956" s="148" t="str" cm="1">
        <f t="array" ref="H7956">IFERROR(INDEX(INVESTOR_LIST[INVESTOR NAME],MATCH(I7956,INVESTOR_LIST[INVESTOR CODE],0),)," ")</f>
        <v xml:space="preserve"> </v>
      </c>
      <c r="I7956" s="148" t="s">
        <v>348</v>
      </c>
      <c r="J7956" s="133" t="s">
        <v>52</v>
      </c>
      <c r="K7956" s="172">
        <v>22691</v>
      </c>
    </row>
    <row r="7957" spans="1:12" x14ac:dyDescent="0.2">
      <c r="A7957" s="163">
        <v>2022</v>
      </c>
      <c r="B7957" s="163">
        <v>12</v>
      </c>
      <c r="C7957" s="163">
        <v>29</v>
      </c>
      <c r="D7957" s="141">
        <f t="shared" si="752"/>
        <v>44924</v>
      </c>
      <c r="E7957" s="275">
        <f t="shared" si="753"/>
        <v>44924</v>
      </c>
      <c r="F7957" s="480"/>
      <c r="G7957" s="221" t="s">
        <v>74</v>
      </c>
      <c r="H7957" s="145" t="str" cm="1">
        <f t="array" ref="H7957">IFERROR(INDEX(INVESTOR_LIST[INVESTOR NAME],MATCH(I7957,INVESTOR_LIST[INVESTOR CODE],0),)," ")</f>
        <v xml:space="preserve"> </v>
      </c>
      <c r="I7957" s="145" t="s">
        <v>348</v>
      </c>
      <c r="J7957" s="163" t="s">
        <v>60</v>
      </c>
      <c r="K7957" s="219"/>
      <c r="L7957" s="219">
        <v>22691</v>
      </c>
    </row>
    <row r="7958" spans="1:12" x14ac:dyDescent="0.2">
      <c r="A7958" s="133">
        <v>2022</v>
      </c>
      <c r="B7958" s="133">
        <v>12</v>
      </c>
      <c r="C7958" s="168">
        <v>29</v>
      </c>
      <c r="D7958" s="141">
        <f t="shared" si="752"/>
        <v>44924</v>
      </c>
      <c r="E7958" s="275">
        <f t="shared" si="753"/>
        <v>44924</v>
      </c>
      <c r="F7958" s="479" t="s">
        <v>77</v>
      </c>
      <c r="G7958" s="174" t="s">
        <v>74</v>
      </c>
      <c r="H7958" s="148" t="str" cm="1">
        <f t="array" ref="H7958">IFERROR(INDEX(INVESTOR_LIST[INVESTOR NAME],MATCH(I7958,INVESTOR_LIST[INVESTOR CODE],0),)," ")</f>
        <v xml:space="preserve"> </v>
      </c>
      <c r="I7958" s="148" t="s">
        <v>348</v>
      </c>
      <c r="J7958" s="133" t="s">
        <v>61</v>
      </c>
      <c r="K7958" s="172">
        <v>575</v>
      </c>
    </row>
    <row r="7959" spans="1:12" x14ac:dyDescent="0.2">
      <c r="A7959" s="163">
        <v>2022</v>
      </c>
      <c r="B7959" s="163">
        <v>12</v>
      </c>
      <c r="C7959" s="163">
        <v>29</v>
      </c>
      <c r="D7959" s="141">
        <f t="shared" si="752"/>
        <v>44924</v>
      </c>
      <c r="E7959" s="275">
        <f t="shared" si="753"/>
        <v>44924</v>
      </c>
      <c r="F7959" s="480"/>
      <c r="G7959" s="221" t="s">
        <v>74</v>
      </c>
      <c r="H7959" s="145" t="str" cm="1">
        <f t="array" ref="H7959">IFERROR(INDEX(INVESTOR_LIST[INVESTOR NAME],MATCH(I7959,INVESTOR_LIST[INVESTOR CODE],0),)," ")</f>
        <v xml:space="preserve"> </v>
      </c>
      <c r="I7959" s="145" t="s">
        <v>348</v>
      </c>
      <c r="J7959" s="163" t="s">
        <v>52</v>
      </c>
      <c r="K7959" s="219"/>
      <c r="L7959" s="219">
        <v>575</v>
      </c>
    </row>
    <row r="7960" spans="1:12" x14ac:dyDescent="0.2">
      <c r="A7960" s="133">
        <v>2022</v>
      </c>
      <c r="B7960" s="133">
        <v>12</v>
      </c>
      <c r="C7960" s="168">
        <v>29</v>
      </c>
      <c r="D7960" s="141">
        <f t="shared" si="752"/>
        <v>44924</v>
      </c>
      <c r="E7960" s="275">
        <f t="shared" si="753"/>
        <v>44924</v>
      </c>
      <c r="F7960" s="479" t="s">
        <v>1558</v>
      </c>
      <c r="G7960" s="174" t="s">
        <v>74</v>
      </c>
      <c r="H7960" s="148" t="str" cm="1">
        <f t="array" ref="H7960">IFERROR(INDEX(INVESTOR_LIST[INVESTOR NAME],MATCH(I7960,INVESTOR_LIST[INVESTOR CODE],0),)," ")</f>
        <v xml:space="preserve"> </v>
      </c>
      <c r="I7960" s="148" t="s">
        <v>348</v>
      </c>
      <c r="J7960" s="133" t="s">
        <v>61</v>
      </c>
      <c r="K7960" s="172">
        <v>15000</v>
      </c>
    </row>
    <row r="7961" spans="1:12" x14ac:dyDescent="0.2">
      <c r="A7961" s="163">
        <v>2022</v>
      </c>
      <c r="B7961" s="163">
        <v>12</v>
      </c>
      <c r="C7961" s="163">
        <v>29</v>
      </c>
      <c r="D7961" s="141">
        <f t="shared" si="752"/>
        <v>44924</v>
      </c>
      <c r="E7961" s="275">
        <f t="shared" si="753"/>
        <v>44924</v>
      </c>
      <c r="F7961" s="480"/>
      <c r="G7961" s="221" t="s">
        <v>74</v>
      </c>
      <c r="H7961" s="145" t="str" cm="1">
        <f t="array" ref="H7961">IFERROR(INDEX(INVESTOR_LIST[INVESTOR NAME],MATCH(I7961,INVESTOR_LIST[INVESTOR CODE],0),)," ")</f>
        <v xml:space="preserve"> </v>
      </c>
      <c r="I7961" s="145" t="s">
        <v>348</v>
      </c>
      <c r="J7961" s="163" t="s">
        <v>52</v>
      </c>
      <c r="K7961" s="219"/>
      <c r="L7961" s="219">
        <v>15000</v>
      </c>
    </row>
    <row r="7962" spans="1:12" x14ac:dyDescent="0.2">
      <c r="A7962" s="133">
        <v>2022</v>
      </c>
      <c r="B7962" s="133">
        <v>12</v>
      </c>
      <c r="C7962" s="168">
        <v>29</v>
      </c>
      <c r="D7962" s="141">
        <f t="shared" ref="D7962:D7967" si="754">DATE(A7962,B7962,C7962)</f>
        <v>44924</v>
      </c>
      <c r="E7962" s="275">
        <f t="shared" ref="E7962:E7967" si="755">DATE(A7962,B7962,C7962)</f>
        <v>44924</v>
      </c>
      <c r="F7962" s="479" t="s">
        <v>1432</v>
      </c>
      <c r="G7962" s="174" t="s">
        <v>74</v>
      </c>
      <c r="H7962" s="148" t="str" cm="1">
        <f t="array" ref="H7962">IFERROR(INDEX(INVESTOR_LIST[INVESTOR NAME],MATCH(I7962,INVESTOR_LIST[INVESTOR CODE],0),)," ")</f>
        <v xml:space="preserve"> </v>
      </c>
      <c r="I7962" s="148" t="s">
        <v>348</v>
      </c>
      <c r="J7962" s="133" t="s">
        <v>52</v>
      </c>
      <c r="K7962" s="172">
        <v>421669</v>
      </c>
    </row>
    <row r="7963" spans="1:12" x14ac:dyDescent="0.2">
      <c r="A7963" s="163">
        <v>2022</v>
      </c>
      <c r="B7963" s="163">
        <v>12</v>
      </c>
      <c r="C7963" s="163">
        <v>29</v>
      </c>
      <c r="D7963" s="141">
        <f t="shared" si="754"/>
        <v>44924</v>
      </c>
      <c r="E7963" s="275">
        <f t="shared" si="755"/>
        <v>44924</v>
      </c>
      <c r="F7963" s="480"/>
      <c r="G7963" s="221" t="s">
        <v>74</v>
      </c>
      <c r="H7963" s="145" t="str" cm="1">
        <f t="array" ref="H7963">IFERROR(INDEX(INVESTOR_LIST[INVESTOR NAME],MATCH(I7963,INVESTOR_LIST[INVESTOR CODE],0),)," ")</f>
        <v xml:space="preserve"> </v>
      </c>
      <c r="I7963" s="145" t="s">
        <v>348</v>
      </c>
      <c r="J7963" s="163" t="s">
        <v>60</v>
      </c>
      <c r="K7963" s="219"/>
      <c r="L7963" s="219">
        <v>421669</v>
      </c>
    </row>
    <row r="7964" spans="1:12" x14ac:dyDescent="0.2">
      <c r="A7964" s="133">
        <v>2022</v>
      </c>
      <c r="B7964" s="133">
        <v>12</v>
      </c>
      <c r="C7964" s="168">
        <v>29</v>
      </c>
      <c r="D7964" s="141">
        <f t="shared" si="754"/>
        <v>44924</v>
      </c>
      <c r="E7964" s="275">
        <f t="shared" si="755"/>
        <v>44924</v>
      </c>
      <c r="F7964" s="479" t="s">
        <v>77</v>
      </c>
      <c r="G7964" s="174" t="s">
        <v>74</v>
      </c>
      <c r="H7964" s="148" t="str" cm="1">
        <f t="array" ref="H7964">IFERROR(INDEX(INVESTOR_LIST[INVESTOR NAME],MATCH(I7964,INVESTOR_LIST[INVESTOR CODE],0),)," ")</f>
        <v xml:space="preserve"> </v>
      </c>
      <c r="I7964" s="148" t="s">
        <v>348</v>
      </c>
      <c r="J7964" s="133" t="s">
        <v>61</v>
      </c>
      <c r="K7964" s="172">
        <v>345</v>
      </c>
    </row>
    <row r="7965" spans="1:12" x14ac:dyDescent="0.2">
      <c r="A7965" s="163">
        <v>2022</v>
      </c>
      <c r="B7965" s="163">
        <v>12</v>
      </c>
      <c r="C7965" s="163">
        <v>29</v>
      </c>
      <c r="D7965" s="141">
        <f t="shared" si="754"/>
        <v>44924</v>
      </c>
      <c r="E7965" s="275">
        <f t="shared" si="755"/>
        <v>44924</v>
      </c>
      <c r="F7965" s="480"/>
      <c r="G7965" s="221" t="s">
        <v>74</v>
      </c>
      <c r="H7965" s="145" t="str" cm="1">
        <f t="array" ref="H7965">IFERROR(INDEX(INVESTOR_LIST[INVESTOR NAME],MATCH(I7965,INVESTOR_LIST[INVESTOR CODE],0),)," ")</f>
        <v xml:space="preserve"> </v>
      </c>
      <c r="I7965" s="145" t="s">
        <v>348</v>
      </c>
      <c r="J7965" s="163" t="s">
        <v>52</v>
      </c>
      <c r="K7965" s="219"/>
      <c r="L7965" s="219">
        <v>345</v>
      </c>
    </row>
    <row r="7966" spans="1:12" x14ac:dyDescent="0.2">
      <c r="A7966" s="133">
        <v>2022</v>
      </c>
      <c r="B7966" s="133">
        <v>12</v>
      </c>
      <c r="C7966" s="168">
        <v>29</v>
      </c>
      <c r="D7966" s="141">
        <f t="shared" si="754"/>
        <v>44924</v>
      </c>
      <c r="E7966" s="275">
        <f t="shared" si="755"/>
        <v>44924</v>
      </c>
      <c r="F7966" s="479" t="s">
        <v>77</v>
      </c>
      <c r="G7966" s="174" t="s">
        <v>74</v>
      </c>
      <c r="H7966" s="148" t="str" cm="1">
        <f t="array" ref="H7966">IFERROR(INDEX(INVESTOR_LIST[INVESTOR NAME],MATCH(I7966,INVESTOR_LIST[INVESTOR CODE],0),)," ")</f>
        <v xml:space="preserve"> </v>
      </c>
      <c r="I7966" s="148" t="s">
        <v>348</v>
      </c>
      <c r="J7966" s="133" t="s">
        <v>61</v>
      </c>
      <c r="K7966" s="172">
        <v>15000</v>
      </c>
    </row>
    <row r="7967" spans="1:12" x14ac:dyDescent="0.2">
      <c r="A7967" s="163">
        <v>2022</v>
      </c>
      <c r="B7967" s="163">
        <v>12</v>
      </c>
      <c r="C7967" s="163">
        <v>29</v>
      </c>
      <c r="D7967" s="141">
        <f t="shared" si="754"/>
        <v>44924</v>
      </c>
      <c r="E7967" s="275">
        <f t="shared" si="755"/>
        <v>44924</v>
      </c>
      <c r="F7967" s="480"/>
      <c r="G7967" s="221" t="s">
        <v>74</v>
      </c>
      <c r="H7967" s="145" t="str" cm="1">
        <f t="array" ref="H7967">IFERROR(INDEX(INVESTOR_LIST[INVESTOR NAME],MATCH(I7967,INVESTOR_LIST[INVESTOR CODE],0),)," ")</f>
        <v xml:space="preserve"> </v>
      </c>
      <c r="I7967" s="145" t="s">
        <v>348</v>
      </c>
      <c r="J7967" s="163" t="s">
        <v>52</v>
      </c>
      <c r="K7967" s="219"/>
      <c r="L7967" s="219">
        <v>15000</v>
      </c>
    </row>
    <row r="7968" spans="1:12" x14ac:dyDescent="0.2">
      <c r="A7968" s="133">
        <v>2022</v>
      </c>
      <c r="B7968" s="133">
        <v>12</v>
      </c>
      <c r="C7968" s="168">
        <v>29</v>
      </c>
      <c r="D7968" s="141">
        <f t="shared" ref="D7968:D7973" si="756">DATE(A7968,B7968,C7968)</f>
        <v>44924</v>
      </c>
      <c r="E7968" s="275">
        <f t="shared" ref="E7968:E7973" si="757">DATE(A7968,B7968,C7968)</f>
        <v>44924</v>
      </c>
      <c r="F7968" s="479" t="s">
        <v>77</v>
      </c>
      <c r="G7968" s="174" t="s">
        <v>74</v>
      </c>
      <c r="H7968" s="148" t="str" cm="1">
        <f t="array" ref="H7968">IFERROR(INDEX(INVESTOR_LIST[INVESTOR NAME],MATCH(I7968,INVESTOR_LIST[INVESTOR CODE],0),)," ")</f>
        <v xml:space="preserve"> </v>
      </c>
      <c r="I7968" s="148" t="s">
        <v>348</v>
      </c>
      <c r="J7968" s="133" t="s">
        <v>61</v>
      </c>
      <c r="K7968" s="172">
        <v>345</v>
      </c>
    </row>
    <row r="7969" spans="1:12" x14ac:dyDescent="0.2">
      <c r="A7969" s="163">
        <v>2022</v>
      </c>
      <c r="B7969" s="163">
        <v>12</v>
      </c>
      <c r="C7969" s="163">
        <v>29</v>
      </c>
      <c r="D7969" s="141">
        <f t="shared" si="756"/>
        <v>44924</v>
      </c>
      <c r="E7969" s="275">
        <f t="shared" si="757"/>
        <v>44924</v>
      </c>
      <c r="F7969" s="480"/>
      <c r="G7969" s="221" t="s">
        <v>74</v>
      </c>
      <c r="H7969" s="145" t="str" cm="1">
        <f t="array" ref="H7969">IFERROR(INDEX(INVESTOR_LIST[INVESTOR NAME],MATCH(I7969,INVESTOR_LIST[INVESTOR CODE],0),)," ")</f>
        <v xml:space="preserve"> </v>
      </c>
      <c r="I7969" s="145" t="s">
        <v>348</v>
      </c>
      <c r="J7969" s="163" t="s">
        <v>52</v>
      </c>
      <c r="K7969" s="219"/>
      <c r="L7969" s="219">
        <v>345</v>
      </c>
    </row>
    <row r="7970" spans="1:12" x14ac:dyDescent="0.2">
      <c r="A7970" s="133">
        <v>2022</v>
      </c>
      <c r="B7970" s="133">
        <v>12</v>
      </c>
      <c r="C7970" s="168">
        <v>31</v>
      </c>
      <c r="D7970" s="141">
        <f t="shared" si="756"/>
        <v>44926</v>
      </c>
      <c r="E7970" s="275">
        <f t="shared" si="757"/>
        <v>44926</v>
      </c>
      <c r="F7970" s="479" t="s">
        <v>1432</v>
      </c>
      <c r="G7970" s="174" t="s">
        <v>74</v>
      </c>
      <c r="H7970" s="148" t="str" cm="1">
        <f t="array" ref="H7970">IFERROR(INDEX(INVESTOR_LIST[INVESTOR NAME],MATCH(I7970,INVESTOR_LIST[INVESTOR CODE],0),)," ")</f>
        <v xml:space="preserve"> </v>
      </c>
      <c r="I7970" s="148" t="s">
        <v>348</v>
      </c>
      <c r="J7970" s="133" t="s">
        <v>52</v>
      </c>
      <c r="K7970" s="172">
        <v>14158.41</v>
      </c>
    </row>
    <row r="7971" spans="1:12" x14ac:dyDescent="0.2">
      <c r="A7971" s="163">
        <v>2022</v>
      </c>
      <c r="B7971" s="163">
        <v>12</v>
      </c>
      <c r="C7971" s="163">
        <v>31</v>
      </c>
      <c r="D7971" s="141">
        <f t="shared" si="756"/>
        <v>44926</v>
      </c>
      <c r="E7971" s="275">
        <f t="shared" si="757"/>
        <v>44926</v>
      </c>
      <c r="F7971" s="480"/>
      <c r="G7971" s="221" t="s">
        <v>74</v>
      </c>
      <c r="H7971" s="145" t="str" cm="1">
        <f t="array" ref="H7971">IFERROR(INDEX(INVESTOR_LIST[INVESTOR NAME],MATCH(I7971,INVESTOR_LIST[INVESTOR CODE],0),)," ")</f>
        <v xml:space="preserve"> </v>
      </c>
      <c r="I7971" s="145" t="s">
        <v>348</v>
      </c>
      <c r="J7971" s="163" t="s">
        <v>60</v>
      </c>
      <c r="K7971" s="219"/>
      <c r="L7971" s="219">
        <v>14158.41</v>
      </c>
    </row>
    <row r="7972" spans="1:12" x14ac:dyDescent="0.2">
      <c r="A7972" s="133">
        <v>2022</v>
      </c>
      <c r="B7972" s="133">
        <v>12</v>
      </c>
      <c r="C7972" s="168">
        <v>31</v>
      </c>
      <c r="D7972" s="141">
        <f t="shared" si="756"/>
        <v>44926</v>
      </c>
      <c r="E7972" s="275">
        <f t="shared" si="757"/>
        <v>44926</v>
      </c>
      <c r="F7972" s="479" t="s">
        <v>77</v>
      </c>
      <c r="G7972" s="174" t="s">
        <v>74</v>
      </c>
      <c r="H7972" s="148" t="str" cm="1">
        <f t="array" ref="H7972">IFERROR(INDEX(INVESTOR_LIST[INVESTOR NAME],MATCH(I7972,INVESTOR_LIST[INVESTOR CODE],0),)," ")</f>
        <v xml:space="preserve"> </v>
      </c>
      <c r="I7972" s="148" t="s">
        <v>348</v>
      </c>
      <c r="J7972" s="133" t="s">
        <v>61</v>
      </c>
      <c r="K7972" s="172">
        <v>2123.77</v>
      </c>
    </row>
    <row r="7973" spans="1:12" x14ac:dyDescent="0.2">
      <c r="A7973" s="163">
        <v>2022</v>
      </c>
      <c r="B7973" s="163">
        <v>12</v>
      </c>
      <c r="C7973" s="163">
        <v>31</v>
      </c>
      <c r="D7973" s="141">
        <f t="shared" si="756"/>
        <v>44926</v>
      </c>
      <c r="E7973" s="275">
        <f t="shared" si="757"/>
        <v>44926</v>
      </c>
      <c r="F7973" s="480"/>
      <c r="G7973" s="221" t="s">
        <v>74</v>
      </c>
      <c r="H7973" s="145" t="str" cm="1">
        <f t="array" ref="H7973">IFERROR(INDEX(INVESTOR_LIST[INVESTOR NAME],MATCH(I7973,INVESTOR_LIST[INVESTOR CODE],0),)," ")</f>
        <v xml:space="preserve"> </v>
      </c>
      <c r="I7973" s="145" t="s">
        <v>348</v>
      </c>
      <c r="J7973" s="163" t="s">
        <v>52</v>
      </c>
      <c r="K7973" s="219"/>
      <c r="L7973" s="219">
        <v>2123.77</v>
      </c>
    </row>
    <row r="7974" spans="1:12" x14ac:dyDescent="0.2">
      <c r="A7974" s="133">
        <v>2022</v>
      </c>
      <c r="B7974" s="133">
        <v>12</v>
      </c>
      <c r="C7974" s="168">
        <v>31</v>
      </c>
      <c r="D7974" s="141">
        <f t="shared" ref="D7974:D7979" si="758">DATE(A7974,B7974,C7974)</f>
        <v>44926</v>
      </c>
      <c r="E7974" s="275">
        <f t="shared" ref="E7974:E7979" si="759">DATE(A7974,B7974,C7974)</f>
        <v>44926</v>
      </c>
      <c r="F7974" s="479" t="s">
        <v>1432</v>
      </c>
      <c r="G7974" s="174" t="s">
        <v>74</v>
      </c>
      <c r="H7974" s="148" t="str" cm="1">
        <f t="array" ref="H7974">IFERROR(INDEX(INVESTOR_LIST[INVESTOR NAME],MATCH(I7974,INVESTOR_LIST[INVESTOR CODE],0),)," ")</f>
        <v xml:space="preserve"> </v>
      </c>
      <c r="I7974" s="148" t="s">
        <v>348</v>
      </c>
      <c r="J7974" s="133" t="s">
        <v>52</v>
      </c>
      <c r="K7974" s="172">
        <v>14055.44</v>
      </c>
    </row>
    <row r="7975" spans="1:12" x14ac:dyDescent="0.2">
      <c r="A7975" s="163">
        <v>2022</v>
      </c>
      <c r="B7975" s="163">
        <v>12</v>
      </c>
      <c r="C7975" s="163">
        <v>31</v>
      </c>
      <c r="D7975" s="141">
        <f t="shared" si="758"/>
        <v>44926</v>
      </c>
      <c r="E7975" s="275">
        <f t="shared" si="759"/>
        <v>44926</v>
      </c>
      <c r="F7975" s="480"/>
      <c r="G7975" s="221" t="s">
        <v>74</v>
      </c>
      <c r="H7975" s="145" t="str" cm="1">
        <f t="array" ref="H7975">IFERROR(INDEX(INVESTOR_LIST[INVESTOR NAME],MATCH(I7975,INVESTOR_LIST[INVESTOR CODE],0),)," ")</f>
        <v xml:space="preserve"> </v>
      </c>
      <c r="I7975" s="145" t="s">
        <v>348</v>
      </c>
      <c r="J7975" s="163" t="s">
        <v>60</v>
      </c>
      <c r="K7975" s="219"/>
      <c r="L7975" s="219">
        <v>14055.44</v>
      </c>
    </row>
    <row r="7976" spans="1:12" x14ac:dyDescent="0.2">
      <c r="A7976" s="133">
        <v>2022</v>
      </c>
      <c r="B7976" s="133">
        <v>12</v>
      </c>
      <c r="C7976" s="168">
        <v>31</v>
      </c>
      <c r="D7976" s="141">
        <f t="shared" si="758"/>
        <v>44926</v>
      </c>
      <c r="E7976" s="275">
        <f t="shared" si="759"/>
        <v>44926</v>
      </c>
      <c r="F7976" s="479" t="s">
        <v>77</v>
      </c>
      <c r="G7976" s="174" t="s">
        <v>74</v>
      </c>
      <c r="H7976" s="148" t="str" cm="1">
        <f t="array" ref="H7976">IFERROR(INDEX(INVESTOR_LIST[INVESTOR NAME],MATCH(I7976,INVESTOR_LIST[INVESTOR CODE],0),)," ")</f>
        <v xml:space="preserve"> </v>
      </c>
      <c r="I7976" s="148" t="s">
        <v>348</v>
      </c>
      <c r="J7976" s="133" t="s">
        <v>61</v>
      </c>
      <c r="K7976" s="172">
        <v>2108.3200000000002</v>
      </c>
    </row>
    <row r="7977" spans="1:12" x14ac:dyDescent="0.2">
      <c r="A7977" s="163">
        <v>2022</v>
      </c>
      <c r="B7977" s="163">
        <v>12</v>
      </c>
      <c r="C7977" s="163">
        <v>31</v>
      </c>
      <c r="D7977" s="141">
        <f t="shared" si="758"/>
        <v>44926</v>
      </c>
      <c r="E7977" s="275">
        <f t="shared" si="759"/>
        <v>44926</v>
      </c>
      <c r="F7977" s="480"/>
      <c r="G7977" s="221" t="s">
        <v>74</v>
      </c>
      <c r="H7977" s="145" t="str" cm="1">
        <f t="array" ref="H7977">IFERROR(INDEX(INVESTOR_LIST[INVESTOR NAME],MATCH(I7977,INVESTOR_LIST[INVESTOR CODE],0),)," ")</f>
        <v xml:space="preserve"> </v>
      </c>
      <c r="I7977" s="145" t="s">
        <v>348</v>
      </c>
      <c r="J7977" s="163" t="s">
        <v>52</v>
      </c>
      <c r="K7977" s="219"/>
      <c r="L7977" s="219">
        <v>2108.3200000000002</v>
      </c>
    </row>
    <row r="7978" spans="1:12" x14ac:dyDescent="0.2">
      <c r="A7978" s="133">
        <v>2022</v>
      </c>
      <c r="B7978" s="133">
        <v>12</v>
      </c>
      <c r="C7978" s="168">
        <v>31</v>
      </c>
      <c r="D7978" s="141">
        <f t="shared" si="758"/>
        <v>44926</v>
      </c>
      <c r="E7978" s="275">
        <f t="shared" si="759"/>
        <v>44926</v>
      </c>
      <c r="F7978" s="479" t="s">
        <v>973</v>
      </c>
      <c r="G7978" s="174" t="s">
        <v>94</v>
      </c>
      <c r="H7978" s="148" t="str" cm="1">
        <f t="array" ref="H7978">IFERROR(INDEX(INVESTOR_LIST[INVESTOR NAME],MATCH(I7978,INVESTOR_LIST[INVESTOR CODE],0),)," ")</f>
        <v xml:space="preserve"> </v>
      </c>
      <c r="I7978" s="148" t="s">
        <v>348</v>
      </c>
      <c r="J7978" s="133" t="s">
        <v>103</v>
      </c>
      <c r="K7978" s="172">
        <v>30000</v>
      </c>
    </row>
    <row r="7979" spans="1:12" x14ac:dyDescent="0.2">
      <c r="A7979" s="163">
        <v>2022</v>
      </c>
      <c r="B7979" s="163">
        <v>12</v>
      </c>
      <c r="C7979" s="163">
        <v>31</v>
      </c>
      <c r="D7979" s="141">
        <f t="shared" si="758"/>
        <v>44926</v>
      </c>
      <c r="E7979" s="275">
        <f t="shared" si="759"/>
        <v>44926</v>
      </c>
      <c r="F7979" s="480"/>
      <c r="G7979" s="221" t="s">
        <v>94</v>
      </c>
      <c r="H7979" s="145" t="str" cm="1">
        <f t="array" ref="H7979">IFERROR(INDEX(INVESTOR_LIST[INVESTOR NAME],MATCH(I7979,INVESTOR_LIST[INVESTOR CODE],0),)," ")</f>
        <v xml:space="preserve"> </v>
      </c>
      <c r="I7979" s="145" t="s">
        <v>348</v>
      </c>
      <c r="J7979" s="133" t="s">
        <v>50</v>
      </c>
      <c r="K7979" s="219"/>
      <c r="L7979" s="219">
        <v>30000</v>
      </c>
    </row>
    <row r="7980" spans="1:12" x14ac:dyDescent="0.2">
      <c r="A7980" s="324">
        <v>2022</v>
      </c>
      <c r="B7980" s="324">
        <v>12</v>
      </c>
      <c r="C7980" s="325">
        <v>31</v>
      </c>
      <c r="D7980" s="326">
        <f t="shared" si="752"/>
        <v>44926</v>
      </c>
      <c r="E7980" s="327">
        <f t="shared" si="753"/>
        <v>44926</v>
      </c>
      <c r="F7980" s="473" t="s">
        <v>1490</v>
      </c>
      <c r="G7980" s="328" t="s">
        <v>94</v>
      </c>
      <c r="H7980" s="329" t="str" cm="1">
        <f t="array" ref="H7980">IFERROR(INDEX(INVESTOR_LIST[INVESTOR NAME],MATCH(I7980,INVESTOR_LIST[INVESTOR CODE],0),)," ")</f>
        <v xml:space="preserve"> </v>
      </c>
      <c r="I7980" s="329" t="s">
        <v>348</v>
      </c>
      <c r="J7980" s="325" t="s">
        <v>133</v>
      </c>
      <c r="K7980" s="330">
        <v>14659.25</v>
      </c>
      <c r="L7980" s="330"/>
    </row>
    <row r="7981" spans="1:12" x14ac:dyDescent="0.2">
      <c r="A7981" s="331">
        <v>2022</v>
      </c>
      <c r="B7981" s="331">
        <v>12</v>
      </c>
      <c r="C7981" s="331">
        <v>31</v>
      </c>
      <c r="D7981" s="326">
        <f t="shared" si="752"/>
        <v>44926</v>
      </c>
      <c r="E7981" s="327">
        <f t="shared" si="753"/>
        <v>44926</v>
      </c>
      <c r="F7981" s="474"/>
      <c r="G7981" s="332" t="s">
        <v>94</v>
      </c>
      <c r="H7981" s="333" t="str" cm="1">
        <f t="array" ref="H7981">IFERROR(INDEX(INVESTOR_LIST[INVESTOR NAME],MATCH(I7981,INVESTOR_LIST[INVESTOR CODE],0),)," ")</f>
        <v xml:space="preserve"> </v>
      </c>
      <c r="I7981" s="333" t="s">
        <v>348</v>
      </c>
      <c r="J7981" s="331" t="s">
        <v>152</v>
      </c>
      <c r="K7981" s="334"/>
      <c r="L7981" s="334">
        <v>14659.25</v>
      </c>
    </row>
    <row r="7982" spans="1:12" x14ac:dyDescent="0.2">
      <c r="A7982" s="324">
        <v>2022</v>
      </c>
      <c r="B7982" s="324">
        <v>12</v>
      </c>
      <c r="C7982" s="325">
        <v>31</v>
      </c>
      <c r="D7982" s="326">
        <f t="shared" si="752"/>
        <v>44926</v>
      </c>
      <c r="E7982" s="327">
        <f t="shared" si="753"/>
        <v>44926</v>
      </c>
      <c r="F7982" s="473" t="s">
        <v>1491</v>
      </c>
      <c r="G7982" s="328" t="s">
        <v>94</v>
      </c>
      <c r="H7982" s="329" t="str" cm="1">
        <f t="array" ref="H7982">IFERROR(INDEX(INVESTOR_LIST[INVESTOR NAME],MATCH(I7982,INVESTOR_LIST[INVESTOR CODE],0),)," ")</f>
        <v xml:space="preserve"> </v>
      </c>
      <c r="I7982" s="329" t="s">
        <v>348</v>
      </c>
      <c r="J7982" s="324" t="s">
        <v>133</v>
      </c>
      <c r="K7982" s="330">
        <v>3605.7692307692309</v>
      </c>
      <c r="L7982" s="330"/>
    </row>
    <row r="7983" spans="1:12" x14ac:dyDescent="0.2">
      <c r="A7983" s="331">
        <v>2022</v>
      </c>
      <c r="B7983" s="331">
        <v>12</v>
      </c>
      <c r="C7983" s="331">
        <v>31</v>
      </c>
      <c r="D7983" s="326">
        <f t="shared" si="752"/>
        <v>44926</v>
      </c>
      <c r="E7983" s="327">
        <f t="shared" si="753"/>
        <v>44926</v>
      </c>
      <c r="F7983" s="474"/>
      <c r="G7983" s="332" t="s">
        <v>94</v>
      </c>
      <c r="H7983" s="333" t="str" cm="1">
        <f t="array" ref="H7983">IFERROR(INDEX(INVESTOR_LIST[INVESTOR NAME],MATCH(I7983,INVESTOR_LIST[INVESTOR CODE],0),)," ")</f>
        <v xml:space="preserve"> </v>
      </c>
      <c r="I7983" s="333" t="s">
        <v>348</v>
      </c>
      <c r="J7983" s="331" t="s">
        <v>152</v>
      </c>
      <c r="K7983" s="334"/>
      <c r="L7983" s="334">
        <v>3605.7692307692309</v>
      </c>
    </row>
    <row r="7984" spans="1:12" x14ac:dyDescent="0.2">
      <c r="A7984" s="324">
        <v>2022</v>
      </c>
      <c r="B7984" s="324">
        <v>12</v>
      </c>
      <c r="C7984" s="325">
        <v>31</v>
      </c>
      <c r="D7984" s="326">
        <f>DATE(A7984,B7984,C7984)</f>
        <v>44926</v>
      </c>
      <c r="E7984" s="327">
        <f>DATE(A7984,B7984,C7984)</f>
        <v>44926</v>
      </c>
      <c r="F7984" s="473" t="s">
        <v>1531</v>
      </c>
      <c r="G7984" s="328" t="s">
        <v>94</v>
      </c>
      <c r="H7984" s="329" t="str" cm="1">
        <f t="array" ref="H7984">IFERROR(INDEX(INVESTOR_LIST[INVESTOR NAME],MATCH(I7984,INVESTOR_LIST[INVESTOR CODE],0),)," ")</f>
        <v xml:space="preserve"> </v>
      </c>
      <c r="I7984" s="329" t="s">
        <v>348</v>
      </c>
      <c r="J7984" s="324" t="s">
        <v>133</v>
      </c>
      <c r="K7984" s="330">
        <v>1346.1538461538462</v>
      </c>
      <c r="L7984" s="330"/>
    </row>
    <row r="7985" spans="1:12" x14ac:dyDescent="0.2">
      <c r="A7985" s="331">
        <v>2022</v>
      </c>
      <c r="B7985" s="331">
        <v>12</v>
      </c>
      <c r="C7985" s="331">
        <v>31</v>
      </c>
      <c r="D7985" s="326">
        <f>DATE(A7985,B7985,C7985)</f>
        <v>44926</v>
      </c>
      <c r="E7985" s="327">
        <f>DATE(A7985,B7985,C7985)</f>
        <v>44926</v>
      </c>
      <c r="F7985" s="474"/>
      <c r="G7985" s="332" t="s">
        <v>94</v>
      </c>
      <c r="H7985" s="333" t="str" cm="1">
        <f t="array" ref="H7985">IFERROR(INDEX(INVESTOR_LIST[INVESTOR NAME],MATCH(I7985,INVESTOR_LIST[INVESTOR CODE],0),)," ")</f>
        <v xml:space="preserve"> </v>
      </c>
      <c r="I7985" s="333" t="s">
        <v>348</v>
      </c>
      <c r="J7985" s="331" t="s">
        <v>152</v>
      </c>
      <c r="K7985" s="334"/>
      <c r="L7985" s="334">
        <v>1346.1538461538462</v>
      </c>
    </row>
    <row r="7986" spans="1:12" x14ac:dyDescent="0.2">
      <c r="A7986" s="238">
        <v>2022</v>
      </c>
      <c r="B7986" s="238">
        <v>12</v>
      </c>
      <c r="C7986" s="238">
        <v>31</v>
      </c>
      <c r="D7986" s="270">
        <f t="shared" ref="D7986:D7993" si="760">DATE(A7986,B7986,C7986)</f>
        <v>44926</v>
      </c>
      <c r="E7986" s="279">
        <f t="shared" ref="E7986:E7993" si="761">DATE(A7986,B7986,C7986)</f>
        <v>44926</v>
      </c>
      <c r="F7986" s="477" t="s">
        <v>347</v>
      </c>
      <c r="G7986" s="239" t="s">
        <v>94</v>
      </c>
      <c r="H7986" s="239" t="str" cm="1">
        <f t="array" ref="H7986">IFERROR(INDEX(INVESTOR_LIST[INVESTOR NAME],MATCH(I7986,INVESTOR_LIST[INVESTOR CODE],0),)," ")</f>
        <v xml:space="preserve"> </v>
      </c>
      <c r="I7986" s="262" t="s">
        <v>348</v>
      </c>
      <c r="J7986" s="240" t="s">
        <v>82</v>
      </c>
      <c r="K7986" s="241">
        <v>501952.26999999583</v>
      </c>
      <c r="L7986" s="241"/>
    </row>
    <row r="7987" spans="1:12" x14ac:dyDescent="0.2">
      <c r="A7987" s="242">
        <v>2022</v>
      </c>
      <c r="B7987" s="242">
        <v>12</v>
      </c>
      <c r="C7987" s="242">
        <v>31</v>
      </c>
      <c r="D7987" s="270">
        <f t="shared" si="760"/>
        <v>44926</v>
      </c>
      <c r="E7987" s="279">
        <f t="shared" si="761"/>
        <v>44926</v>
      </c>
      <c r="F7987" s="478"/>
      <c r="G7987" s="243" t="s">
        <v>94</v>
      </c>
      <c r="H7987" s="243" t="str" cm="1">
        <f t="array" ref="H7987">IFERROR(INDEX(INVESTOR_LIST[INVESTOR NAME],MATCH(I7987,INVESTOR_LIST[INVESTOR CODE],0),)," ")</f>
        <v xml:space="preserve"> </v>
      </c>
      <c r="I7987" s="263" t="s">
        <v>348</v>
      </c>
      <c r="J7987" s="244" t="s">
        <v>108</v>
      </c>
      <c r="K7987" s="245"/>
      <c r="L7987" s="245">
        <v>501952.26999999583</v>
      </c>
    </row>
    <row r="7988" spans="1:12" ht="22.5" x14ac:dyDescent="0.2">
      <c r="A7988" s="246">
        <v>2022</v>
      </c>
      <c r="B7988" s="238">
        <v>12</v>
      </c>
      <c r="C7988" s="238">
        <v>31</v>
      </c>
      <c r="D7988" s="270">
        <f t="shared" si="760"/>
        <v>44926</v>
      </c>
      <c r="E7988" s="279">
        <f t="shared" si="761"/>
        <v>44926</v>
      </c>
      <c r="F7988" s="482" t="s">
        <v>148</v>
      </c>
      <c r="G7988" s="247" t="s">
        <v>94</v>
      </c>
      <c r="H7988" s="247" t="str" cm="1">
        <f t="array" ref="H7988">IFERROR(INDEX(INVESTOR_LIST[INVESTOR NAME],MATCH(I7988,INVESTOR_LIST[INVESTOR CODE],0),)," ")</f>
        <v xml:space="preserve"> </v>
      </c>
      <c r="I7988" s="248" t="s">
        <v>348</v>
      </c>
      <c r="J7988" s="249" t="s">
        <v>95</v>
      </c>
      <c r="K7988" s="250">
        <v>2747.2527472527472</v>
      </c>
      <c r="L7988" s="241"/>
    </row>
    <row r="7989" spans="1:12" x14ac:dyDescent="0.2">
      <c r="A7989" s="242">
        <v>2022</v>
      </c>
      <c r="B7989" s="242">
        <v>12</v>
      </c>
      <c r="C7989" s="242">
        <v>31</v>
      </c>
      <c r="D7989" s="270">
        <f t="shared" si="760"/>
        <v>44926</v>
      </c>
      <c r="E7989" s="279">
        <f t="shared" si="761"/>
        <v>44926</v>
      </c>
      <c r="F7989" s="478"/>
      <c r="G7989" s="243" t="s">
        <v>94</v>
      </c>
      <c r="H7989" s="243" t="str" cm="1">
        <f t="array" ref="H7989">IFERROR(INDEX(INVESTOR_LIST[INVESTOR NAME],MATCH(I7989,INVESTOR_LIST[INVESTOR CODE],0),)," ")</f>
        <v xml:space="preserve"> </v>
      </c>
      <c r="I7989" s="263" t="s">
        <v>348</v>
      </c>
      <c r="J7989" s="244" t="s">
        <v>63</v>
      </c>
      <c r="K7989" s="245"/>
      <c r="L7989" s="245">
        <v>2747.2527472527472</v>
      </c>
    </row>
    <row r="7990" spans="1:12" x14ac:dyDescent="0.2">
      <c r="A7990" s="246">
        <v>2022</v>
      </c>
      <c r="B7990" s="238">
        <v>12</v>
      </c>
      <c r="C7990" s="238">
        <v>31</v>
      </c>
      <c r="D7990" s="270">
        <f t="shared" si="760"/>
        <v>44926</v>
      </c>
      <c r="E7990" s="279">
        <f t="shared" si="761"/>
        <v>44926</v>
      </c>
      <c r="F7990" s="482" t="s">
        <v>137</v>
      </c>
      <c r="G7990" s="247" t="s">
        <v>94</v>
      </c>
      <c r="H7990" s="247" t="str" cm="1">
        <f t="array" ref="H7990">IFERROR(INDEX(INVESTOR_LIST[INVESTOR NAME],MATCH(I7990,INVESTOR_LIST[INVESTOR CODE],0),)," ")</f>
        <v xml:space="preserve"> </v>
      </c>
      <c r="I7990" s="248" t="s">
        <v>348</v>
      </c>
      <c r="J7990" s="249" t="s">
        <v>97</v>
      </c>
      <c r="K7990" s="250">
        <v>76264.928371457368</v>
      </c>
      <c r="L7990" s="252"/>
    </row>
    <row r="7991" spans="1:12" x14ac:dyDescent="0.2">
      <c r="A7991" s="242">
        <v>2022</v>
      </c>
      <c r="B7991" s="242">
        <v>12</v>
      </c>
      <c r="C7991" s="242">
        <v>31</v>
      </c>
      <c r="D7991" s="270">
        <f t="shared" si="760"/>
        <v>44926</v>
      </c>
      <c r="E7991" s="279">
        <f t="shared" si="761"/>
        <v>44926</v>
      </c>
      <c r="F7991" s="478"/>
      <c r="G7991" s="243" t="s">
        <v>94</v>
      </c>
      <c r="H7991" s="243" t="str" cm="1">
        <f t="array" ref="H7991">IFERROR(INDEX(INVESTOR_LIST[INVESTOR NAME],MATCH(I7991,INVESTOR_LIST[INVESTOR CODE],0),)," ")</f>
        <v xml:space="preserve"> </v>
      </c>
      <c r="I7991" s="263" t="s">
        <v>348</v>
      </c>
      <c r="J7991" s="244" t="s">
        <v>47</v>
      </c>
      <c r="K7991" s="245"/>
      <c r="L7991" s="245">
        <v>76264.928371457368</v>
      </c>
    </row>
    <row r="7992" spans="1:12" x14ac:dyDescent="0.2">
      <c r="A7992" s="246">
        <v>2022</v>
      </c>
      <c r="B7992" s="238">
        <v>12</v>
      </c>
      <c r="C7992" s="238">
        <v>31</v>
      </c>
      <c r="D7992" s="270">
        <f t="shared" si="760"/>
        <v>44926</v>
      </c>
      <c r="E7992" s="279">
        <f t="shared" si="761"/>
        <v>44926</v>
      </c>
      <c r="F7992" s="482" t="s">
        <v>138</v>
      </c>
      <c r="G7992" s="247" t="s">
        <v>94</v>
      </c>
      <c r="H7992" s="247" t="str" cm="1">
        <f t="array" ref="H7992">IFERROR(INDEX(INVESTOR_LIST[INVESTOR NAME],MATCH(I7992,INVESTOR_LIST[INVESTOR CODE],0),)," ")</f>
        <v xml:space="preserve"> </v>
      </c>
      <c r="I7992" s="248" t="s">
        <v>348</v>
      </c>
      <c r="J7992" s="249" t="s">
        <v>100</v>
      </c>
      <c r="K7992" s="250">
        <v>3572.8618031882534</v>
      </c>
      <c r="L7992" s="252"/>
    </row>
    <row r="7993" spans="1:12" x14ac:dyDescent="0.2">
      <c r="A7993" s="242">
        <v>2022</v>
      </c>
      <c r="B7993" s="242">
        <v>12</v>
      </c>
      <c r="C7993" s="242">
        <v>31</v>
      </c>
      <c r="D7993" s="321">
        <f t="shared" si="760"/>
        <v>44926</v>
      </c>
      <c r="E7993" s="322">
        <f t="shared" si="761"/>
        <v>44926</v>
      </c>
      <c r="F7993" s="478"/>
      <c r="G7993" s="243" t="s">
        <v>94</v>
      </c>
      <c r="H7993" s="243" t="str" cm="1">
        <f t="array" ref="H7993">IFERROR(INDEX(INVESTOR_LIST[INVESTOR NAME],MATCH(I7993,INVESTOR_LIST[INVESTOR CODE],0),)," ")</f>
        <v xml:space="preserve"> </v>
      </c>
      <c r="I7993" s="263" t="s">
        <v>348</v>
      </c>
      <c r="J7993" s="244" t="s">
        <v>48</v>
      </c>
      <c r="K7993" s="245"/>
      <c r="L7993" s="245">
        <v>3572.8618031882534</v>
      </c>
    </row>
    <row r="7994" spans="1:12" x14ac:dyDescent="0.2">
      <c r="A7994" s="133">
        <v>2023</v>
      </c>
      <c r="B7994" s="133">
        <v>1</v>
      </c>
      <c r="C7994" s="168">
        <v>1</v>
      </c>
      <c r="D7994" s="141">
        <f>DATE(A7994,B7994,C7994)</f>
        <v>44927</v>
      </c>
      <c r="E7994" s="275">
        <f>DATE(A7994,B7994,C7994)</f>
        <v>44927</v>
      </c>
      <c r="F7994" s="479" t="s">
        <v>77</v>
      </c>
      <c r="G7994" s="174" t="s">
        <v>74</v>
      </c>
      <c r="H7994" s="148" t="str" cm="1">
        <f t="array" ref="H7994">IFERROR(INDEX(INVESTOR_LIST[INVESTOR NAME],MATCH(I7994,INVESTOR_LIST[INVESTOR CODE],0),)," ")</f>
        <v xml:space="preserve"> </v>
      </c>
      <c r="I7994" s="148" t="s">
        <v>348</v>
      </c>
      <c r="J7994" s="133" t="s">
        <v>61</v>
      </c>
      <c r="K7994" s="172">
        <v>3000</v>
      </c>
    </row>
    <row r="7995" spans="1:12" x14ac:dyDescent="0.2">
      <c r="A7995" s="163">
        <v>2023</v>
      </c>
      <c r="B7995" s="163">
        <v>1</v>
      </c>
      <c r="C7995" s="163">
        <v>1</v>
      </c>
      <c r="D7995" s="141">
        <f>DATE(A7995,B7995,C7995)</f>
        <v>44927</v>
      </c>
      <c r="E7995" s="275">
        <f>DATE(A7995,B7995,C7995)</f>
        <v>44927</v>
      </c>
      <c r="F7995" s="480"/>
      <c r="G7995" s="221" t="s">
        <v>74</v>
      </c>
      <c r="H7995" s="145" t="str" cm="1">
        <f t="array" ref="H7995">IFERROR(INDEX(INVESTOR_LIST[INVESTOR NAME],MATCH(I7995,INVESTOR_LIST[INVESTOR CODE],0),)," ")</f>
        <v xml:space="preserve"> </v>
      </c>
      <c r="I7995" s="145" t="s">
        <v>348</v>
      </c>
      <c r="J7995" s="163" t="s">
        <v>52</v>
      </c>
      <c r="K7995" s="219"/>
      <c r="L7995" s="219">
        <v>3000</v>
      </c>
    </row>
    <row r="7996" spans="1:12" x14ac:dyDescent="0.2">
      <c r="A7996" s="133">
        <v>2023</v>
      </c>
      <c r="B7996" s="133">
        <v>1</v>
      </c>
      <c r="C7996" s="168">
        <v>1</v>
      </c>
      <c r="D7996" s="141">
        <f t="shared" ref="D7996:D7997" si="762">DATE(A7996,B7996,C7996)</f>
        <v>44927</v>
      </c>
      <c r="E7996" s="275">
        <f t="shared" ref="E7996:E7997" si="763">DATE(A7996,B7996,C7996)</f>
        <v>44927</v>
      </c>
      <c r="F7996" s="479" t="s">
        <v>77</v>
      </c>
      <c r="G7996" s="174" t="s">
        <v>74</v>
      </c>
      <c r="H7996" s="148" t="str" cm="1">
        <f t="array" ref="H7996">IFERROR(INDEX(INVESTOR_LIST[INVESTOR NAME],MATCH(I7996,INVESTOR_LIST[INVESTOR CODE],0),)," ")</f>
        <v xml:space="preserve"> </v>
      </c>
      <c r="I7996" s="148" t="s">
        <v>348</v>
      </c>
      <c r="J7996" s="133" t="s">
        <v>61</v>
      </c>
      <c r="K7996" s="172">
        <v>300</v>
      </c>
    </row>
    <row r="7997" spans="1:12" x14ac:dyDescent="0.2">
      <c r="A7997" s="163">
        <v>2023</v>
      </c>
      <c r="B7997" s="163">
        <v>1</v>
      </c>
      <c r="C7997" s="163">
        <v>1</v>
      </c>
      <c r="D7997" s="141">
        <f t="shared" si="762"/>
        <v>44927</v>
      </c>
      <c r="E7997" s="275">
        <f t="shared" si="763"/>
        <v>44927</v>
      </c>
      <c r="F7997" s="480"/>
      <c r="G7997" s="221" t="s">
        <v>74</v>
      </c>
      <c r="H7997" s="145" t="str" cm="1">
        <f t="array" ref="H7997">IFERROR(INDEX(INVESTOR_LIST[INVESTOR NAME],MATCH(I7997,INVESTOR_LIST[INVESTOR CODE],0),)," ")</f>
        <v xml:space="preserve"> </v>
      </c>
      <c r="I7997" s="145" t="s">
        <v>348</v>
      </c>
      <c r="J7997" s="163" t="s">
        <v>52</v>
      </c>
      <c r="K7997" s="219"/>
      <c r="L7997" s="219">
        <v>300</v>
      </c>
    </row>
    <row r="7998" spans="1:12" x14ac:dyDescent="0.2">
      <c r="A7998" s="133">
        <v>2023</v>
      </c>
      <c r="B7998" s="133">
        <v>1</v>
      </c>
      <c r="C7998" s="168">
        <v>1</v>
      </c>
      <c r="D7998" s="141">
        <f>DATE(A7998,B7998,C7998)</f>
        <v>44927</v>
      </c>
      <c r="E7998" s="275">
        <f>DATE(A7998,B7998,C7998)</f>
        <v>44927</v>
      </c>
      <c r="F7998" s="479" t="s">
        <v>77</v>
      </c>
      <c r="G7998" s="174" t="s">
        <v>74</v>
      </c>
      <c r="H7998" s="148" t="str" cm="1">
        <f t="array" ref="H7998">IFERROR(INDEX(INVESTOR_LIST[INVESTOR NAME],MATCH(I7998,INVESTOR_LIST[INVESTOR CODE],0),)," ")</f>
        <v xml:space="preserve"> </v>
      </c>
      <c r="I7998" s="148" t="s">
        <v>348</v>
      </c>
      <c r="J7998" s="133" t="s">
        <v>61</v>
      </c>
      <c r="K7998" s="172">
        <v>45</v>
      </c>
    </row>
    <row r="7999" spans="1:12" x14ac:dyDescent="0.2">
      <c r="A7999" s="163">
        <v>2023</v>
      </c>
      <c r="B7999" s="163">
        <v>1</v>
      </c>
      <c r="C7999" s="163">
        <v>1</v>
      </c>
      <c r="D7999" s="141">
        <f>DATE(A7999,B7999,C7999)</f>
        <v>44927</v>
      </c>
      <c r="E7999" s="275">
        <f>DATE(A7999,B7999,C7999)</f>
        <v>44927</v>
      </c>
      <c r="F7999" s="480"/>
      <c r="G7999" s="221" t="s">
        <v>74</v>
      </c>
      <c r="H7999" s="145" t="str" cm="1">
        <f t="array" ref="H7999">IFERROR(INDEX(INVESTOR_LIST[INVESTOR NAME],MATCH(I7999,INVESTOR_LIST[INVESTOR CODE],0),)," ")</f>
        <v xml:space="preserve"> </v>
      </c>
      <c r="I7999" s="145" t="s">
        <v>348</v>
      </c>
      <c r="J7999" s="163" t="s">
        <v>52</v>
      </c>
      <c r="K7999" s="219"/>
      <c r="L7999" s="219">
        <v>45</v>
      </c>
    </row>
    <row r="8000" spans="1:12" x14ac:dyDescent="0.2">
      <c r="A8000" s="133">
        <v>2023</v>
      </c>
      <c r="B8000" s="133">
        <v>1</v>
      </c>
      <c r="C8000" s="168">
        <v>1</v>
      </c>
      <c r="D8000" s="141">
        <f>DATE(A8000,B8000,C8000)</f>
        <v>44927</v>
      </c>
      <c r="E8000" s="275">
        <f>DATE(A8000,B8000,C8000)</f>
        <v>44927</v>
      </c>
      <c r="F8000" s="479" t="s">
        <v>77</v>
      </c>
      <c r="G8000" s="174" t="s">
        <v>74</v>
      </c>
      <c r="H8000" s="148" t="str" cm="1">
        <f t="array" ref="H8000">IFERROR(INDEX(INVESTOR_LIST[INVESTOR NAME],MATCH(I8000,INVESTOR_LIST[INVESTOR CODE],0),)," ")</f>
        <v xml:space="preserve"> </v>
      </c>
      <c r="I8000" s="148" t="s">
        <v>348</v>
      </c>
      <c r="J8000" s="133" t="s">
        <v>61</v>
      </c>
      <c r="K8000" s="172">
        <v>3000</v>
      </c>
    </row>
    <row r="8001" spans="1:13" x14ac:dyDescent="0.2">
      <c r="A8001" s="163">
        <v>2023</v>
      </c>
      <c r="B8001" s="163">
        <v>1</v>
      </c>
      <c r="C8001" s="163">
        <v>1</v>
      </c>
      <c r="D8001" s="141">
        <f>DATE(A8001,B8001,C8001)</f>
        <v>44927</v>
      </c>
      <c r="E8001" s="275">
        <f>DATE(A8001,B8001,C8001)</f>
        <v>44927</v>
      </c>
      <c r="F8001" s="480"/>
      <c r="G8001" s="221" t="s">
        <v>74</v>
      </c>
      <c r="H8001" s="145" t="str" cm="1">
        <f t="array" ref="H8001">IFERROR(INDEX(INVESTOR_LIST[INVESTOR NAME],MATCH(I8001,INVESTOR_LIST[INVESTOR CODE],0),)," ")</f>
        <v xml:space="preserve"> </v>
      </c>
      <c r="I8001" s="145" t="s">
        <v>348</v>
      </c>
      <c r="J8001" s="163" t="s">
        <v>52</v>
      </c>
      <c r="K8001" s="219"/>
      <c r="L8001" s="219">
        <v>3000</v>
      </c>
    </row>
    <row r="8002" spans="1:13" x14ac:dyDescent="0.2">
      <c r="A8002" s="133">
        <v>2023</v>
      </c>
      <c r="B8002" s="133">
        <v>1</v>
      </c>
      <c r="C8002" s="168">
        <v>1</v>
      </c>
      <c r="D8002" s="141">
        <f t="shared" ref="D8002:D8003" si="764">DATE(A8002,B8002,C8002)</f>
        <v>44927</v>
      </c>
      <c r="E8002" s="275">
        <f t="shared" ref="E8002:E8003" si="765">DATE(A8002,B8002,C8002)</f>
        <v>44927</v>
      </c>
      <c r="F8002" s="479" t="s">
        <v>77</v>
      </c>
      <c r="G8002" s="174" t="s">
        <v>74</v>
      </c>
      <c r="H8002" s="148" t="str" cm="1">
        <f t="array" ref="H8002">IFERROR(INDEX(INVESTOR_LIST[INVESTOR NAME],MATCH(I8002,INVESTOR_LIST[INVESTOR CODE],0),)," ")</f>
        <v xml:space="preserve"> </v>
      </c>
      <c r="I8002" s="148" t="s">
        <v>348</v>
      </c>
      <c r="J8002" s="133" t="s">
        <v>61</v>
      </c>
      <c r="K8002" s="172">
        <v>300</v>
      </c>
    </row>
    <row r="8003" spans="1:13" x14ac:dyDescent="0.2">
      <c r="A8003" s="163">
        <v>2023</v>
      </c>
      <c r="B8003" s="163">
        <v>1</v>
      </c>
      <c r="C8003" s="163">
        <v>1</v>
      </c>
      <c r="D8003" s="141">
        <f t="shared" si="764"/>
        <v>44927</v>
      </c>
      <c r="E8003" s="275">
        <f t="shared" si="765"/>
        <v>44927</v>
      </c>
      <c r="F8003" s="480"/>
      <c r="G8003" s="221" t="s">
        <v>74</v>
      </c>
      <c r="H8003" s="145" t="str" cm="1">
        <f t="array" ref="H8003">IFERROR(INDEX(INVESTOR_LIST[INVESTOR NAME],MATCH(I8003,INVESTOR_LIST[INVESTOR CODE],0),)," ")</f>
        <v xml:space="preserve"> </v>
      </c>
      <c r="I8003" s="145" t="s">
        <v>348</v>
      </c>
      <c r="J8003" s="163" t="s">
        <v>52</v>
      </c>
      <c r="K8003" s="219"/>
      <c r="L8003" s="219">
        <v>300</v>
      </c>
    </row>
    <row r="8004" spans="1:13" x14ac:dyDescent="0.2">
      <c r="A8004" s="133">
        <v>2023</v>
      </c>
      <c r="B8004" s="133">
        <v>1</v>
      </c>
      <c r="C8004" s="168">
        <v>1</v>
      </c>
      <c r="D8004" s="141">
        <f>DATE(A8004,B8004,C8004)</f>
        <v>44927</v>
      </c>
      <c r="E8004" s="275">
        <f>DATE(A8004,B8004,C8004)</f>
        <v>44927</v>
      </c>
      <c r="F8004" s="479" t="s">
        <v>77</v>
      </c>
      <c r="G8004" s="174" t="s">
        <v>74</v>
      </c>
      <c r="H8004" s="148" t="str" cm="1">
        <f t="array" ref="H8004">IFERROR(INDEX(INVESTOR_LIST[INVESTOR NAME],MATCH(I8004,INVESTOR_LIST[INVESTOR CODE],0),)," ")</f>
        <v xml:space="preserve"> </v>
      </c>
      <c r="J8004" s="133" t="s">
        <v>61</v>
      </c>
      <c r="K8004" s="172">
        <v>45</v>
      </c>
    </row>
    <row r="8005" spans="1:13" x14ac:dyDescent="0.2">
      <c r="A8005" s="163">
        <v>2023</v>
      </c>
      <c r="B8005" s="163">
        <v>1</v>
      </c>
      <c r="C8005" s="163">
        <v>1</v>
      </c>
      <c r="D8005" s="141">
        <f>DATE(A8005,B8005,C8005)</f>
        <v>44927</v>
      </c>
      <c r="E8005" s="275">
        <f>DATE(A8005,B8005,C8005)</f>
        <v>44927</v>
      </c>
      <c r="F8005" s="480"/>
      <c r="G8005" s="221" t="s">
        <v>74</v>
      </c>
      <c r="H8005" s="145" t="str" cm="1">
        <f t="array" ref="H8005">IFERROR(INDEX(INVESTOR_LIST[INVESTOR NAME],MATCH(I8005,INVESTOR_LIST[INVESTOR CODE],0),)," ")</f>
        <v xml:space="preserve"> </v>
      </c>
      <c r="I8005" s="145"/>
      <c r="J8005" s="163" t="s">
        <v>52</v>
      </c>
      <c r="K8005" s="219"/>
      <c r="L8005" s="219">
        <v>45</v>
      </c>
    </row>
    <row r="8006" spans="1:13" x14ac:dyDescent="0.2">
      <c r="A8006" s="168">
        <v>2023</v>
      </c>
      <c r="B8006" s="168">
        <v>1</v>
      </c>
      <c r="C8006" s="168">
        <v>3</v>
      </c>
      <c r="D8006" s="141">
        <f>DATE(A8006,B8006,C8006)</f>
        <v>44929</v>
      </c>
      <c r="E8006" s="275">
        <f>DATE(A8006,B8006,C8006)</f>
        <v>44929</v>
      </c>
      <c r="F8006" s="479" t="s">
        <v>1500</v>
      </c>
      <c r="G8006" s="220" t="s">
        <v>74</v>
      </c>
      <c r="H8006" s="220" t="str" cm="1">
        <f t="array" ref="H8006">IFERROR(INDEX(INVESTOR_LIST[INVESTOR NAME],MATCH(I8006,INVESTOR_LIST[INVESTOR CODE],0),)," ")</f>
        <v xml:space="preserve"> </v>
      </c>
      <c r="I8006" s="142"/>
      <c r="J8006" s="143" t="s">
        <v>52</v>
      </c>
      <c r="K8006" s="226">
        <v>5698723.7999999998</v>
      </c>
      <c r="L8006" s="226"/>
    </row>
    <row r="8007" spans="1:13" x14ac:dyDescent="0.2">
      <c r="A8007" s="163">
        <v>2023</v>
      </c>
      <c r="B8007" s="163">
        <v>1</v>
      </c>
      <c r="C8007" s="163">
        <v>3</v>
      </c>
      <c r="D8007" s="141">
        <f>DATE(A8007,B8007,C8007)</f>
        <v>44929</v>
      </c>
      <c r="E8007" s="275">
        <f>DATE(A8007,B8007,C8007)</f>
        <v>44929</v>
      </c>
      <c r="F8007" s="480"/>
      <c r="G8007" s="221" t="s">
        <v>74</v>
      </c>
      <c r="H8007" s="221" t="str" cm="1">
        <f t="array" ref="H8007">IFERROR(INDEX(INVESTOR_LIST[INVESTOR NAME],MATCH(I8007,INVESTOR_LIST[INVESTOR CODE],0),)," ")</f>
        <v xml:space="preserve"> </v>
      </c>
      <c r="I8007" s="145"/>
      <c r="J8007" s="146" t="s">
        <v>190</v>
      </c>
      <c r="K8007" s="219"/>
      <c r="L8007" s="219">
        <v>5698723.7999999998</v>
      </c>
    </row>
    <row r="8008" spans="1:13" x14ac:dyDescent="0.2">
      <c r="A8008" s="168">
        <v>2023</v>
      </c>
      <c r="B8008" s="168">
        <v>1</v>
      </c>
      <c r="C8008" s="168">
        <v>3</v>
      </c>
      <c r="D8008" s="141">
        <f t="shared" ref="D8008:D8010" si="766">DATE(A8008,B8008,C8008)</f>
        <v>44929</v>
      </c>
      <c r="E8008" s="275">
        <f t="shared" ref="E8008:E8010" si="767">DATE(A8008,B8008,C8008)</f>
        <v>44929</v>
      </c>
      <c r="F8008" s="479" t="s">
        <v>1506</v>
      </c>
      <c r="G8008" s="220" t="s">
        <v>94</v>
      </c>
      <c r="H8008" s="220" t="str" cm="1">
        <f t="array" ref="H8008">IFERROR(INDEX(INVESTOR_LIST[INVESTOR NAME],MATCH(I8008,INVESTOR_LIST[INVESTOR CODE],0),)," ")</f>
        <v xml:space="preserve"> </v>
      </c>
      <c r="I8008" s="142"/>
      <c r="J8008" s="143" t="s">
        <v>79</v>
      </c>
      <c r="K8008" s="226">
        <v>794400</v>
      </c>
      <c r="L8008" s="226"/>
      <c r="M8008" s="160"/>
    </row>
    <row r="8009" spans="1:13" x14ac:dyDescent="0.2">
      <c r="A8009" s="133">
        <v>2023</v>
      </c>
      <c r="B8009" s="133">
        <v>1</v>
      </c>
      <c r="C8009" s="133">
        <v>3</v>
      </c>
      <c r="D8009" s="141">
        <f t="shared" si="766"/>
        <v>44929</v>
      </c>
      <c r="E8009" s="275">
        <f t="shared" si="767"/>
        <v>44929</v>
      </c>
      <c r="F8009" s="481"/>
      <c r="G8009" s="174" t="s">
        <v>94</v>
      </c>
      <c r="H8009" s="174"/>
      <c r="J8009" s="149" t="s">
        <v>80</v>
      </c>
      <c r="K8009" s="218">
        <v>1429.87</v>
      </c>
      <c r="L8009" s="218"/>
    </row>
    <row r="8010" spans="1:13" x14ac:dyDescent="0.2">
      <c r="A8010" s="163">
        <v>2023</v>
      </c>
      <c r="B8010" s="163">
        <v>1</v>
      </c>
      <c r="C8010" s="163">
        <v>3</v>
      </c>
      <c r="D8010" s="280">
        <f t="shared" si="766"/>
        <v>44929</v>
      </c>
      <c r="E8010" s="281">
        <f t="shared" si="767"/>
        <v>44929</v>
      </c>
      <c r="F8010" s="480"/>
      <c r="G8010" s="221" t="s">
        <v>94</v>
      </c>
      <c r="H8010" s="221"/>
      <c r="I8010" s="145"/>
      <c r="J8010" s="146" t="s">
        <v>147</v>
      </c>
      <c r="K8010" s="219"/>
      <c r="L8010" s="219">
        <v>795829.87</v>
      </c>
    </row>
    <row r="8011" spans="1:13" x14ac:dyDescent="0.2">
      <c r="A8011" s="133">
        <v>2023</v>
      </c>
      <c r="B8011" s="133">
        <v>1</v>
      </c>
      <c r="C8011" s="168">
        <v>3</v>
      </c>
      <c r="D8011" s="141">
        <f t="shared" ref="D8011:D8021" si="768">DATE(A8011,B8011,C8011)</f>
        <v>44929</v>
      </c>
      <c r="E8011" s="275">
        <f t="shared" ref="E8011:E8021" si="769">DATE(A8011,B8011,C8011)</f>
        <v>44929</v>
      </c>
      <c r="F8011" s="479" t="s">
        <v>1507</v>
      </c>
      <c r="G8011" s="220" t="s">
        <v>74</v>
      </c>
      <c r="H8011" s="220" t="str" cm="1">
        <f t="array" ref="H8011">IFERROR(INDEX(INVESTOR_LIST[INVESTOR NAME],MATCH(I8011,INVESTOR_LIST[INVESTOR CODE],0),)," ")</f>
        <v xml:space="preserve"> </v>
      </c>
      <c r="I8011" s="142"/>
      <c r="J8011" s="143" t="s">
        <v>147</v>
      </c>
      <c r="K8011" s="226">
        <v>795829.87</v>
      </c>
      <c r="L8011" s="226"/>
    </row>
    <row r="8012" spans="1:13" x14ac:dyDescent="0.2">
      <c r="A8012" s="163">
        <v>2023</v>
      </c>
      <c r="B8012" s="163">
        <v>1</v>
      </c>
      <c r="C8012" s="163">
        <v>3</v>
      </c>
      <c r="D8012" s="141">
        <f t="shared" si="768"/>
        <v>44929</v>
      </c>
      <c r="E8012" s="275">
        <f t="shared" si="769"/>
        <v>44929</v>
      </c>
      <c r="F8012" s="480"/>
      <c r="G8012" s="221" t="s">
        <v>74</v>
      </c>
      <c r="H8012" s="221" t="str" cm="1">
        <f t="array" ref="H8012">IFERROR(INDEX(INVESTOR_LIST[INVESTOR NAME],MATCH(I8012,INVESTOR_LIST[INVESTOR CODE],0),)," ")</f>
        <v xml:space="preserve"> </v>
      </c>
      <c r="I8012" s="145" t="s">
        <v>348</v>
      </c>
      <c r="J8012" s="146" t="s">
        <v>52</v>
      </c>
      <c r="K8012" s="219"/>
      <c r="L8012" s="219">
        <v>795829.87</v>
      </c>
    </row>
    <row r="8013" spans="1:13" x14ac:dyDescent="0.2">
      <c r="A8013" s="168">
        <v>2023</v>
      </c>
      <c r="B8013" s="168">
        <v>1</v>
      </c>
      <c r="C8013" s="168">
        <v>5</v>
      </c>
      <c r="D8013" s="141">
        <f t="shared" si="768"/>
        <v>44931</v>
      </c>
      <c r="E8013" s="275">
        <f t="shared" si="769"/>
        <v>44931</v>
      </c>
      <c r="F8013" s="479" t="s">
        <v>1506</v>
      </c>
      <c r="G8013" s="220" t="s">
        <v>94</v>
      </c>
      <c r="H8013" s="220" t="str" cm="1">
        <f t="array" ref="H8013">IFERROR(INDEX(INVESTOR_LIST[INVESTOR NAME],MATCH(I8013,INVESTOR_LIST[INVESTOR CODE],0),)," ")</f>
        <v xml:space="preserve"> </v>
      </c>
      <c r="I8013" s="142"/>
      <c r="J8013" s="143" t="s">
        <v>79</v>
      </c>
      <c r="K8013" s="226">
        <v>786000</v>
      </c>
      <c r="L8013" s="226"/>
      <c r="M8013" s="160"/>
    </row>
    <row r="8014" spans="1:13" x14ac:dyDescent="0.2">
      <c r="A8014" s="133">
        <v>2023</v>
      </c>
      <c r="B8014" s="133">
        <v>1</v>
      </c>
      <c r="C8014" s="133">
        <v>5</v>
      </c>
      <c r="D8014" s="141">
        <f t="shared" si="768"/>
        <v>44931</v>
      </c>
      <c r="E8014" s="275">
        <f t="shared" si="769"/>
        <v>44931</v>
      </c>
      <c r="F8014" s="481"/>
      <c r="G8014" s="174" t="s">
        <v>94</v>
      </c>
      <c r="H8014" s="174"/>
      <c r="J8014" s="149" t="s">
        <v>80</v>
      </c>
      <c r="K8014" s="218">
        <v>1414.75</v>
      </c>
      <c r="L8014" s="218"/>
    </row>
    <row r="8015" spans="1:13" x14ac:dyDescent="0.2">
      <c r="A8015" s="163">
        <v>2023</v>
      </c>
      <c r="B8015" s="163">
        <v>1</v>
      </c>
      <c r="C8015" s="163">
        <v>5</v>
      </c>
      <c r="D8015" s="280">
        <f t="shared" si="768"/>
        <v>44931</v>
      </c>
      <c r="E8015" s="281">
        <f t="shared" si="769"/>
        <v>44931</v>
      </c>
      <c r="F8015" s="480"/>
      <c r="G8015" s="221" t="s">
        <v>94</v>
      </c>
      <c r="H8015" s="221"/>
      <c r="I8015" s="145"/>
      <c r="J8015" s="146" t="s">
        <v>147</v>
      </c>
      <c r="K8015" s="219"/>
      <c r="L8015" s="219">
        <v>787414.75</v>
      </c>
    </row>
    <row r="8016" spans="1:13" x14ac:dyDescent="0.2">
      <c r="A8016" s="168">
        <v>2023</v>
      </c>
      <c r="B8016" s="168">
        <v>1</v>
      </c>
      <c r="C8016" s="168">
        <v>5</v>
      </c>
      <c r="D8016" s="141">
        <f t="shared" ref="D8016:D8018" si="770">DATE(A8016,B8016,C8016)</f>
        <v>44931</v>
      </c>
      <c r="E8016" s="275">
        <f t="shared" ref="E8016:E8018" si="771">DATE(A8016,B8016,C8016)</f>
        <v>44931</v>
      </c>
      <c r="F8016" s="479" t="s">
        <v>1529</v>
      </c>
      <c r="G8016" s="220" t="s">
        <v>94</v>
      </c>
      <c r="H8016" s="220" t="str" cm="1">
        <f t="array" ref="H8016">IFERROR(INDEX(INVESTOR_LIST[INVESTOR NAME],MATCH(I8016,INVESTOR_LIST[INVESTOR CODE],0),)," ")</f>
        <v xml:space="preserve"> </v>
      </c>
      <c r="I8016" s="142"/>
      <c r="J8016" s="143" t="s">
        <v>79</v>
      </c>
      <c r="K8016" s="226">
        <v>4185600</v>
      </c>
      <c r="L8016" s="226"/>
      <c r="M8016" s="160"/>
    </row>
    <row r="8017" spans="1:12" x14ac:dyDescent="0.2">
      <c r="A8017" s="133">
        <v>2023</v>
      </c>
      <c r="B8017" s="133">
        <v>1</v>
      </c>
      <c r="C8017" s="133">
        <v>5</v>
      </c>
      <c r="D8017" s="141">
        <f t="shared" si="770"/>
        <v>44931</v>
      </c>
      <c r="E8017" s="275">
        <f t="shared" si="771"/>
        <v>44931</v>
      </c>
      <c r="F8017" s="481"/>
      <c r="G8017" s="174" t="s">
        <v>94</v>
      </c>
      <c r="H8017" s="174"/>
      <c r="J8017" s="149" t="s">
        <v>80</v>
      </c>
      <c r="K8017" s="218">
        <v>7534.08</v>
      </c>
      <c r="L8017" s="218"/>
    </row>
    <row r="8018" spans="1:12" x14ac:dyDescent="0.2">
      <c r="A8018" s="163">
        <v>2023</v>
      </c>
      <c r="B8018" s="163">
        <v>1</v>
      </c>
      <c r="C8018" s="163">
        <v>5</v>
      </c>
      <c r="D8018" s="280">
        <f t="shared" si="770"/>
        <v>44931</v>
      </c>
      <c r="E8018" s="281">
        <f t="shared" si="771"/>
        <v>44931</v>
      </c>
      <c r="F8018" s="480"/>
      <c r="G8018" s="221" t="s">
        <v>94</v>
      </c>
      <c r="H8018" s="221"/>
      <c r="I8018" s="145"/>
      <c r="J8018" s="146" t="s">
        <v>147</v>
      </c>
      <c r="K8018" s="219"/>
      <c r="L8018" s="219">
        <v>4193134.08</v>
      </c>
    </row>
    <row r="8019" spans="1:12" x14ac:dyDescent="0.2">
      <c r="A8019" s="168">
        <v>2023</v>
      </c>
      <c r="B8019" s="168">
        <v>1</v>
      </c>
      <c r="C8019" s="168">
        <v>5</v>
      </c>
      <c r="D8019" s="141">
        <f t="shared" si="768"/>
        <v>44931</v>
      </c>
      <c r="E8019" s="275">
        <f t="shared" si="769"/>
        <v>44931</v>
      </c>
      <c r="F8019" s="479" t="s">
        <v>1319</v>
      </c>
      <c r="G8019" s="220" t="s">
        <v>74</v>
      </c>
      <c r="H8019" s="142" t="str" cm="1">
        <f t="array" ref="H8019">IFERROR(INDEX(INVESTOR_LIST[INVESTOR NAME],MATCH(I8019,INVESTOR_LIST[INVESTOR CODE],0),)," ")</f>
        <v xml:space="preserve"> </v>
      </c>
      <c r="I8019" s="142"/>
      <c r="J8019" s="168" t="s">
        <v>52</v>
      </c>
      <c r="K8019" s="226">
        <v>17000</v>
      </c>
      <c r="L8019" s="226"/>
    </row>
    <row r="8020" spans="1:12" x14ac:dyDescent="0.2">
      <c r="A8020" s="133">
        <v>2023</v>
      </c>
      <c r="B8020" s="133">
        <v>1</v>
      </c>
      <c r="C8020" s="133">
        <v>5</v>
      </c>
      <c r="D8020" s="141">
        <f t="shared" si="768"/>
        <v>44931</v>
      </c>
      <c r="E8020" s="275">
        <f t="shared" si="769"/>
        <v>44931</v>
      </c>
      <c r="F8020" s="481"/>
      <c r="G8020" s="174" t="s">
        <v>74</v>
      </c>
      <c r="H8020" s="148" t="str" cm="1">
        <f t="array" ref="H8020">IFERROR(INDEX(INVESTOR_LIST[INVESTOR NAME],MATCH(I8020,INVESTOR_LIST[INVESTOR CODE],0),)," ")</f>
        <v xml:space="preserve"> </v>
      </c>
      <c r="J8020" s="133" t="s">
        <v>13</v>
      </c>
      <c r="K8020" s="218"/>
      <c r="L8020" s="218">
        <v>13940</v>
      </c>
    </row>
    <row r="8021" spans="1:12" x14ac:dyDescent="0.2">
      <c r="A8021" s="163">
        <v>2023</v>
      </c>
      <c r="B8021" s="163">
        <v>1</v>
      </c>
      <c r="C8021" s="163">
        <v>5</v>
      </c>
      <c r="D8021" s="280">
        <f t="shared" si="768"/>
        <v>44931</v>
      </c>
      <c r="E8021" s="281">
        <f t="shared" si="769"/>
        <v>44931</v>
      </c>
      <c r="F8021" s="480"/>
      <c r="G8021" s="221" t="s">
        <v>74</v>
      </c>
      <c r="H8021" s="145" t="str" cm="1">
        <f t="array" ref="H8021">IFERROR(INDEX(INVESTOR_LIST[INVESTOR NAME],MATCH(I8021,INVESTOR_LIST[INVESTOR CODE],0),)," ")</f>
        <v xml:space="preserve"> </v>
      </c>
      <c r="I8021" s="145"/>
      <c r="J8021" s="163" t="s">
        <v>53</v>
      </c>
      <c r="K8021" s="219"/>
      <c r="L8021" s="219">
        <v>3060</v>
      </c>
    </row>
    <row r="8022" spans="1:12" ht="33.75" x14ac:dyDescent="0.2">
      <c r="A8022" s="168">
        <v>2023</v>
      </c>
      <c r="B8022" s="168">
        <v>1</v>
      </c>
      <c r="C8022" s="133">
        <v>5</v>
      </c>
      <c r="D8022" s="141">
        <f t="shared" ref="D8022:D8024" si="772">DATE(A8022,B8022,C8022)</f>
        <v>44931</v>
      </c>
      <c r="E8022" s="275">
        <f t="shared" ref="E8022:E8024" si="773">DATE(A8022,B8022,C8022)</f>
        <v>44931</v>
      </c>
      <c r="F8022" s="479" t="s">
        <v>1315</v>
      </c>
      <c r="G8022" s="220" t="s">
        <v>74</v>
      </c>
      <c r="H8022" s="142" t="str" cm="1">
        <f t="array" ref="H8022">IFERROR(INDEX(INVESTOR_LIST[INVESTOR NAME],MATCH(I8022,INVESTOR_LIST[INVESTOR CODE],0),)," ")</f>
        <v>RAIS UDDIN AHMAD</v>
      </c>
      <c r="I8022" s="142" t="s">
        <v>849</v>
      </c>
      <c r="J8022" s="168" t="s">
        <v>13</v>
      </c>
      <c r="K8022" s="226">
        <v>366300</v>
      </c>
      <c r="L8022" s="226"/>
    </row>
    <row r="8023" spans="1:12" ht="33.75" x14ac:dyDescent="0.2">
      <c r="A8023" s="133">
        <v>2023</v>
      </c>
      <c r="B8023" s="133">
        <v>1</v>
      </c>
      <c r="C8023" s="133">
        <v>5</v>
      </c>
      <c r="D8023" s="141">
        <f t="shared" si="772"/>
        <v>44931</v>
      </c>
      <c r="E8023" s="275">
        <f t="shared" si="773"/>
        <v>44931</v>
      </c>
      <c r="F8023" s="481"/>
      <c r="G8023" s="174" t="s">
        <v>74</v>
      </c>
      <c r="H8023" s="148" t="str" cm="1">
        <f t="array" ref="H8023">IFERROR(INDEX(INVESTOR_LIST[INVESTOR NAME],MATCH(I8023,INVESTOR_LIST[INVESTOR CODE],0),)," ")</f>
        <v>RAIS UDDIN AHMAD</v>
      </c>
      <c r="I8023" s="148" t="s">
        <v>849</v>
      </c>
      <c r="J8023" s="133" t="s">
        <v>53</v>
      </c>
      <c r="K8023" s="218">
        <v>80219.7</v>
      </c>
      <c r="L8023" s="218"/>
    </row>
    <row r="8024" spans="1:12" ht="33.75" x14ac:dyDescent="0.2">
      <c r="A8024" s="163">
        <v>2023</v>
      </c>
      <c r="B8024" s="163">
        <v>1</v>
      </c>
      <c r="C8024" s="163">
        <v>5</v>
      </c>
      <c r="D8024" s="280">
        <f t="shared" si="772"/>
        <v>44931</v>
      </c>
      <c r="E8024" s="281">
        <f t="shared" si="773"/>
        <v>44931</v>
      </c>
      <c r="F8024" s="480"/>
      <c r="G8024" s="221" t="s">
        <v>74</v>
      </c>
      <c r="H8024" s="145" t="str" cm="1">
        <f t="array" ref="H8024">IFERROR(INDEX(INVESTOR_LIST[INVESTOR NAME],MATCH(I8024,INVESTOR_LIST[INVESTOR CODE],0),)," ")</f>
        <v>RAIS UDDIN AHMAD</v>
      </c>
      <c r="I8024" s="145" t="s">
        <v>849</v>
      </c>
      <c r="J8024" s="163" t="s">
        <v>52</v>
      </c>
      <c r="K8024" s="219"/>
      <c r="L8024" s="219">
        <v>446519.7</v>
      </c>
    </row>
    <row r="8025" spans="1:12" ht="45" x14ac:dyDescent="0.2">
      <c r="A8025" s="168">
        <v>2023</v>
      </c>
      <c r="B8025" s="168">
        <v>1</v>
      </c>
      <c r="C8025" s="133">
        <v>5</v>
      </c>
      <c r="D8025" s="141">
        <f t="shared" ref="D8025:D8027" si="774">DATE(A8025,B8025,C8025)</f>
        <v>44931</v>
      </c>
      <c r="E8025" s="275">
        <f t="shared" ref="E8025:E8027" si="775">DATE(A8025,B8025,C8025)</f>
        <v>44931</v>
      </c>
      <c r="F8025" s="479" t="s">
        <v>1315</v>
      </c>
      <c r="G8025" s="220" t="s">
        <v>74</v>
      </c>
      <c r="H8025" s="142" t="str" cm="1">
        <f t="array" ref="H8025">IFERROR(INDEX(INVESTOR_LIST[INVESTOR NAME],MATCH(I8025,INVESTOR_LIST[INVESTOR CODE],0),)," ")</f>
        <v>MOHAMMED ALI XAHANGIR</v>
      </c>
      <c r="I8025" s="142" t="s">
        <v>616</v>
      </c>
      <c r="J8025" s="168" t="s">
        <v>13</v>
      </c>
      <c r="K8025" s="226">
        <v>268150</v>
      </c>
      <c r="L8025" s="226"/>
    </row>
    <row r="8026" spans="1:12" ht="45" x14ac:dyDescent="0.2">
      <c r="A8026" s="133">
        <v>2023</v>
      </c>
      <c r="B8026" s="133">
        <v>1</v>
      </c>
      <c r="C8026" s="133">
        <v>5</v>
      </c>
      <c r="D8026" s="141">
        <f t="shared" si="774"/>
        <v>44931</v>
      </c>
      <c r="E8026" s="275">
        <f t="shared" si="775"/>
        <v>44931</v>
      </c>
      <c r="F8026" s="481"/>
      <c r="G8026" s="174" t="s">
        <v>74</v>
      </c>
      <c r="H8026" s="148" t="str" cm="1">
        <f t="array" ref="H8026">IFERROR(INDEX(INVESTOR_LIST[INVESTOR NAME],MATCH(I8026,INVESTOR_LIST[INVESTOR CODE],0),)," ")</f>
        <v>MOHAMMED ALI XAHANGIR</v>
      </c>
      <c r="I8026" s="148" t="s">
        <v>616</v>
      </c>
      <c r="J8026" s="133" t="s">
        <v>53</v>
      </c>
      <c r="K8026" s="218">
        <v>58724.85</v>
      </c>
      <c r="L8026" s="218"/>
    </row>
    <row r="8027" spans="1:12" ht="45" x14ac:dyDescent="0.2">
      <c r="A8027" s="163">
        <v>2023</v>
      </c>
      <c r="B8027" s="163">
        <v>1</v>
      </c>
      <c r="C8027" s="163">
        <v>5</v>
      </c>
      <c r="D8027" s="280">
        <f t="shared" si="774"/>
        <v>44931</v>
      </c>
      <c r="E8027" s="281">
        <f t="shared" si="775"/>
        <v>44931</v>
      </c>
      <c r="F8027" s="480"/>
      <c r="G8027" s="221" t="s">
        <v>74</v>
      </c>
      <c r="H8027" s="145" t="str" cm="1">
        <f t="array" ref="H8027">IFERROR(INDEX(INVESTOR_LIST[INVESTOR NAME],MATCH(I8027,INVESTOR_LIST[INVESTOR CODE],0),)," ")</f>
        <v>MOHAMMED ALI XAHANGIR</v>
      </c>
      <c r="I8027" s="145" t="s">
        <v>616</v>
      </c>
      <c r="J8027" s="163" t="s">
        <v>52</v>
      </c>
      <c r="K8027" s="219"/>
      <c r="L8027" s="219">
        <v>326874.84999999998</v>
      </c>
    </row>
    <row r="8028" spans="1:12" x14ac:dyDescent="0.2">
      <c r="A8028" s="133">
        <v>2023</v>
      </c>
      <c r="B8028" s="133">
        <v>1</v>
      </c>
      <c r="C8028" s="168">
        <v>5</v>
      </c>
      <c r="D8028" s="141">
        <f>DATE(A8028,B8028,C8028)</f>
        <v>44931</v>
      </c>
      <c r="E8028" s="275">
        <f>DATE(A8028,B8028,C8028)</f>
        <v>44931</v>
      </c>
      <c r="F8028" s="479" t="s">
        <v>1567</v>
      </c>
      <c r="G8028" s="174" t="s">
        <v>74</v>
      </c>
      <c r="H8028" s="148" t="str" cm="1">
        <f t="array" ref="H8028">IFERROR(INDEX(INVESTOR_LIST[INVESTOR NAME],MATCH(I8028,INVESTOR_LIST[INVESTOR CODE],0),)," ")</f>
        <v xml:space="preserve"> </v>
      </c>
      <c r="J8028" s="133" t="s">
        <v>61</v>
      </c>
      <c r="K8028" s="172">
        <v>58</v>
      </c>
    </row>
    <row r="8029" spans="1:12" x14ac:dyDescent="0.2">
      <c r="A8029" s="163">
        <v>2023</v>
      </c>
      <c r="B8029" s="163">
        <v>1</v>
      </c>
      <c r="C8029" s="163">
        <v>5</v>
      </c>
      <c r="D8029" s="141">
        <f>DATE(A8029,B8029,C8029)</f>
        <v>44931</v>
      </c>
      <c r="E8029" s="275">
        <f>DATE(A8029,B8029,C8029)</f>
        <v>44931</v>
      </c>
      <c r="F8029" s="480"/>
      <c r="G8029" s="221" t="s">
        <v>74</v>
      </c>
      <c r="H8029" s="145" t="str" cm="1">
        <f t="array" ref="H8029">IFERROR(INDEX(INVESTOR_LIST[INVESTOR NAME],MATCH(I8029,INVESTOR_LIST[INVESTOR CODE],0),)," ")</f>
        <v xml:space="preserve"> </v>
      </c>
      <c r="I8029" s="145"/>
      <c r="J8029" s="163" t="s">
        <v>52</v>
      </c>
      <c r="K8029" s="219"/>
      <c r="L8029" s="219">
        <v>58</v>
      </c>
    </row>
    <row r="8030" spans="1:12" x14ac:dyDescent="0.2">
      <c r="A8030" s="133">
        <v>2023</v>
      </c>
      <c r="B8030" s="133">
        <v>1</v>
      </c>
      <c r="C8030" s="168">
        <v>8</v>
      </c>
      <c r="D8030" s="141">
        <f t="shared" ref="D8030:D8031" si="776">DATE(A8030,B8030,C8030)</f>
        <v>44934</v>
      </c>
      <c r="E8030" s="275">
        <f t="shared" ref="E8030:E8031" si="777">DATE(A8030,B8030,C8030)</f>
        <v>44934</v>
      </c>
      <c r="F8030" s="479" t="s">
        <v>1507</v>
      </c>
      <c r="G8030" s="220" t="s">
        <v>74</v>
      </c>
      <c r="H8030" s="220" t="str" cm="1">
        <f t="array" ref="H8030">IFERROR(INDEX(INVESTOR_LIST[INVESTOR NAME],MATCH(I8030,INVESTOR_LIST[INVESTOR CODE],0),)," ")</f>
        <v xml:space="preserve"> </v>
      </c>
      <c r="I8030" s="142"/>
      <c r="J8030" s="143" t="s">
        <v>147</v>
      </c>
      <c r="K8030" s="226">
        <v>787414.75</v>
      </c>
      <c r="L8030" s="226"/>
    </row>
    <row r="8031" spans="1:12" x14ac:dyDescent="0.2">
      <c r="A8031" s="163">
        <v>2023</v>
      </c>
      <c r="B8031" s="163">
        <v>1</v>
      </c>
      <c r="C8031" s="163">
        <v>8</v>
      </c>
      <c r="D8031" s="141">
        <f t="shared" si="776"/>
        <v>44934</v>
      </c>
      <c r="E8031" s="275">
        <f t="shared" si="777"/>
        <v>44934</v>
      </c>
      <c r="F8031" s="480"/>
      <c r="G8031" s="221" t="s">
        <v>74</v>
      </c>
      <c r="H8031" s="221" t="str" cm="1">
        <f t="array" ref="H8031">IFERROR(INDEX(INVESTOR_LIST[INVESTOR NAME],MATCH(I8031,INVESTOR_LIST[INVESTOR CODE],0),)," ")</f>
        <v xml:space="preserve"> </v>
      </c>
      <c r="I8031" s="145" t="s">
        <v>348</v>
      </c>
      <c r="J8031" s="146" t="s">
        <v>52</v>
      </c>
      <c r="K8031" s="219"/>
      <c r="L8031" s="219">
        <v>787414.75</v>
      </c>
    </row>
    <row r="8032" spans="1:12" x14ac:dyDescent="0.2">
      <c r="A8032" s="133">
        <v>2023</v>
      </c>
      <c r="B8032" s="133">
        <v>1</v>
      </c>
      <c r="C8032" s="168">
        <v>8</v>
      </c>
      <c r="D8032" s="141">
        <f t="shared" ref="D8032:D8033" si="778">DATE(A8032,B8032,C8032)</f>
        <v>44934</v>
      </c>
      <c r="E8032" s="275">
        <f t="shared" ref="E8032:E8033" si="779">DATE(A8032,B8032,C8032)</f>
        <v>44934</v>
      </c>
      <c r="F8032" s="479" t="s">
        <v>1530</v>
      </c>
      <c r="G8032" s="220" t="s">
        <v>74</v>
      </c>
      <c r="H8032" s="220" t="str" cm="1">
        <f t="array" ref="H8032">IFERROR(INDEX(INVESTOR_LIST[INVESTOR NAME],MATCH(I8032,INVESTOR_LIST[INVESTOR CODE],0),)," ")</f>
        <v xml:space="preserve"> </v>
      </c>
      <c r="I8032" s="142"/>
      <c r="J8032" s="143" t="s">
        <v>147</v>
      </c>
      <c r="K8032" s="226">
        <v>4193134.08</v>
      </c>
      <c r="L8032" s="226"/>
    </row>
    <row r="8033" spans="1:13" x14ac:dyDescent="0.2">
      <c r="A8033" s="163">
        <v>2023</v>
      </c>
      <c r="B8033" s="163">
        <v>1</v>
      </c>
      <c r="C8033" s="163">
        <v>8</v>
      </c>
      <c r="D8033" s="141">
        <f t="shared" si="778"/>
        <v>44934</v>
      </c>
      <c r="E8033" s="275">
        <f t="shared" si="779"/>
        <v>44934</v>
      </c>
      <c r="F8033" s="480"/>
      <c r="G8033" s="221" t="s">
        <v>74</v>
      </c>
      <c r="H8033" s="221" t="str" cm="1">
        <f t="array" ref="H8033">IFERROR(INDEX(INVESTOR_LIST[INVESTOR NAME],MATCH(I8033,INVESTOR_LIST[INVESTOR CODE],0),)," ")</f>
        <v xml:space="preserve"> </v>
      </c>
      <c r="I8033" s="145" t="s">
        <v>348</v>
      </c>
      <c r="J8033" s="146" t="s">
        <v>52</v>
      </c>
      <c r="K8033" s="219"/>
      <c r="L8033" s="219">
        <v>4193134.08</v>
      </c>
    </row>
    <row r="8034" spans="1:13" x14ac:dyDescent="0.2">
      <c r="A8034" s="168">
        <v>2023</v>
      </c>
      <c r="B8034" s="168">
        <v>1</v>
      </c>
      <c r="C8034" s="168">
        <v>8</v>
      </c>
      <c r="D8034" s="141">
        <f t="shared" ref="D8034:D8040" si="780">DATE(A8034,B8034,C8034)</f>
        <v>44934</v>
      </c>
      <c r="E8034" s="275">
        <f t="shared" ref="E8034:E8040" si="781">DATE(A8034,B8034,C8034)</f>
        <v>44934</v>
      </c>
      <c r="F8034" s="479" t="s">
        <v>1319</v>
      </c>
      <c r="G8034" s="220" t="s">
        <v>74</v>
      </c>
      <c r="H8034" s="142" t="str" cm="1">
        <f t="array" ref="H8034">IFERROR(INDEX(INVESTOR_LIST[INVESTOR NAME],MATCH(I8034,INVESTOR_LIST[INVESTOR CODE],0),)," ")</f>
        <v xml:space="preserve"> </v>
      </c>
      <c r="I8034" s="142"/>
      <c r="J8034" s="168" t="s">
        <v>52</v>
      </c>
      <c r="K8034" s="226">
        <v>304000</v>
      </c>
      <c r="L8034" s="226"/>
    </row>
    <row r="8035" spans="1:13" x14ac:dyDescent="0.2">
      <c r="A8035" s="133">
        <v>2023</v>
      </c>
      <c r="B8035" s="133">
        <v>1</v>
      </c>
      <c r="C8035" s="133">
        <v>8</v>
      </c>
      <c r="D8035" s="141">
        <f t="shared" si="780"/>
        <v>44934</v>
      </c>
      <c r="E8035" s="275">
        <f t="shared" si="781"/>
        <v>44934</v>
      </c>
      <c r="F8035" s="481"/>
      <c r="G8035" s="174" t="s">
        <v>74</v>
      </c>
      <c r="H8035" s="148" t="str" cm="1">
        <f t="array" ref="H8035">IFERROR(INDEX(INVESTOR_LIST[INVESTOR NAME],MATCH(I8035,INVESTOR_LIST[INVESTOR CODE],0),)," ")</f>
        <v xml:space="preserve"> </v>
      </c>
      <c r="J8035" s="133" t="s">
        <v>13</v>
      </c>
      <c r="K8035" s="218"/>
      <c r="L8035" s="218">
        <v>249340</v>
      </c>
    </row>
    <row r="8036" spans="1:13" x14ac:dyDescent="0.2">
      <c r="A8036" s="163">
        <v>2023</v>
      </c>
      <c r="B8036" s="163">
        <v>1</v>
      </c>
      <c r="C8036" s="163">
        <v>8</v>
      </c>
      <c r="D8036" s="280">
        <f t="shared" si="780"/>
        <v>44934</v>
      </c>
      <c r="E8036" s="281">
        <f t="shared" si="781"/>
        <v>44934</v>
      </c>
      <c r="F8036" s="480"/>
      <c r="G8036" s="221" t="s">
        <v>74</v>
      </c>
      <c r="H8036" s="145" t="str" cm="1">
        <f t="array" ref="H8036">IFERROR(INDEX(INVESTOR_LIST[INVESTOR NAME],MATCH(I8036,INVESTOR_LIST[INVESTOR CODE],0),)," ")</f>
        <v xml:space="preserve"> </v>
      </c>
      <c r="I8036" s="145"/>
      <c r="J8036" s="163" t="s">
        <v>53</v>
      </c>
      <c r="K8036" s="219"/>
      <c r="L8036" s="219">
        <v>54660</v>
      </c>
    </row>
    <row r="8037" spans="1:13" x14ac:dyDescent="0.2">
      <c r="A8037" s="133">
        <v>2023</v>
      </c>
      <c r="B8037" s="133">
        <v>1</v>
      </c>
      <c r="C8037" s="133">
        <v>8</v>
      </c>
      <c r="D8037" s="141">
        <f t="shared" si="780"/>
        <v>44934</v>
      </c>
      <c r="E8037" s="275">
        <f t="shared" si="781"/>
        <v>44934</v>
      </c>
      <c r="F8037" s="481" t="s">
        <v>1499</v>
      </c>
      <c r="G8037" s="174" t="s">
        <v>94</v>
      </c>
      <c r="H8037" s="174" t="str" cm="1">
        <f t="array" ref="H8037">IFERROR(INDEX(INVESTOR_LIST[INVESTOR NAME],MATCH(I8037,INVESTOR_LIST[INVESTOR CODE],0),)," ")</f>
        <v xml:space="preserve"> </v>
      </c>
      <c r="J8037" s="149" t="s">
        <v>190</v>
      </c>
      <c r="K8037" s="218">
        <v>375137.43</v>
      </c>
      <c r="L8037" s="218"/>
      <c r="M8037" s="160"/>
    </row>
    <row r="8038" spans="1:13" x14ac:dyDescent="0.2">
      <c r="A8038" s="133">
        <v>2023</v>
      </c>
      <c r="B8038" s="133">
        <v>1</v>
      </c>
      <c r="C8038" s="133">
        <v>8</v>
      </c>
      <c r="D8038" s="141">
        <f t="shared" si="780"/>
        <v>44934</v>
      </c>
      <c r="E8038" s="275">
        <f t="shared" si="781"/>
        <v>44934</v>
      </c>
      <c r="F8038" s="481"/>
      <c r="G8038" s="174" t="s">
        <v>94</v>
      </c>
      <c r="H8038" s="174"/>
      <c r="J8038" s="149" t="s">
        <v>80</v>
      </c>
      <c r="K8038" s="218">
        <v>676.47</v>
      </c>
      <c r="L8038" s="218"/>
    </row>
    <row r="8039" spans="1:13" x14ac:dyDescent="0.2">
      <c r="A8039" s="133">
        <v>2023</v>
      </c>
      <c r="B8039" s="133">
        <v>1</v>
      </c>
      <c r="C8039" s="133">
        <v>8</v>
      </c>
      <c r="D8039" s="141">
        <f t="shared" si="780"/>
        <v>44934</v>
      </c>
      <c r="E8039" s="275">
        <f t="shared" si="781"/>
        <v>44934</v>
      </c>
      <c r="F8039" s="481"/>
      <c r="G8039" s="174" t="s">
        <v>94</v>
      </c>
      <c r="H8039" s="174" t="str" cm="1">
        <f t="array" ref="H8039">IFERROR(INDEX(INVESTOR_LIST[INVESTOR NAME],MATCH(I8039,INVESTOR_LIST[INVESTOR CODE],0),)," ")</f>
        <v xml:space="preserve"> </v>
      </c>
      <c r="J8039" s="149" t="s">
        <v>191</v>
      </c>
      <c r="K8039" s="218"/>
      <c r="L8039" s="218">
        <v>299583.90000000002</v>
      </c>
    </row>
    <row r="8040" spans="1:13" x14ac:dyDescent="0.2">
      <c r="A8040" s="163">
        <v>2023</v>
      </c>
      <c r="B8040" s="163">
        <v>1</v>
      </c>
      <c r="C8040" s="163">
        <v>8</v>
      </c>
      <c r="D8040" s="280">
        <f t="shared" si="780"/>
        <v>44934</v>
      </c>
      <c r="E8040" s="281">
        <f t="shared" si="781"/>
        <v>44934</v>
      </c>
      <c r="F8040" s="480"/>
      <c r="G8040" s="221" t="s">
        <v>94</v>
      </c>
      <c r="H8040" s="145" t="str" cm="1">
        <f t="array" ref="H8040">IFERROR(INDEX(INVESTOR_LIST[INVESTOR NAME],MATCH(I8040,INVESTOR_LIST[INVESTOR CODE],0),)," ")</f>
        <v xml:space="preserve"> </v>
      </c>
      <c r="I8040" s="145"/>
      <c r="J8040" s="163" t="s">
        <v>79</v>
      </c>
      <c r="K8040" s="219"/>
      <c r="L8040" s="219">
        <v>76230</v>
      </c>
    </row>
    <row r="8041" spans="1:13" ht="22.5" x14ac:dyDescent="0.2">
      <c r="A8041" s="168">
        <v>2023</v>
      </c>
      <c r="B8041" s="168">
        <v>1</v>
      </c>
      <c r="C8041" s="133">
        <v>9</v>
      </c>
      <c r="D8041" s="141">
        <f t="shared" ref="D8041:D8055" si="782">DATE(A8041,B8041,C8041)</f>
        <v>44935</v>
      </c>
      <c r="E8041" s="275">
        <f t="shared" ref="E8041:E8055" si="783">DATE(A8041,B8041,C8041)</f>
        <v>44935</v>
      </c>
      <c r="F8041" s="479" t="s">
        <v>1310</v>
      </c>
      <c r="G8041" s="220" t="s">
        <v>74</v>
      </c>
      <c r="H8041" s="142" t="str" cm="1">
        <f t="array" ref="H8041">IFERROR(INDEX(INVESTOR_LIST[INVESTOR NAME],MATCH(I8041,INVESTOR_LIST[INVESTOR CODE],0),)," ")</f>
        <v>TAMRIN AL DEEN</v>
      </c>
      <c r="I8041" s="142" t="s">
        <v>1422</v>
      </c>
      <c r="J8041" s="168" t="s">
        <v>13</v>
      </c>
      <c r="K8041" s="226">
        <v>16410</v>
      </c>
      <c r="L8041" s="226"/>
    </row>
    <row r="8042" spans="1:13" ht="22.5" x14ac:dyDescent="0.2">
      <c r="A8042" s="133">
        <v>2023</v>
      </c>
      <c r="B8042" s="133">
        <v>1</v>
      </c>
      <c r="C8042" s="133">
        <v>9</v>
      </c>
      <c r="D8042" s="141">
        <f t="shared" si="782"/>
        <v>44935</v>
      </c>
      <c r="E8042" s="275">
        <f t="shared" si="783"/>
        <v>44935</v>
      </c>
      <c r="F8042" s="481"/>
      <c r="G8042" s="174" t="s">
        <v>74</v>
      </c>
      <c r="H8042" s="148" t="str" cm="1">
        <f t="array" ref="H8042">IFERROR(INDEX(INVESTOR_LIST[INVESTOR NAME],MATCH(I8042,INVESTOR_LIST[INVESTOR CODE],0),)," ")</f>
        <v>TAMRIN AL DEEN</v>
      </c>
      <c r="I8042" s="148" t="s">
        <v>1422</v>
      </c>
      <c r="J8042" s="133" t="s">
        <v>53</v>
      </c>
      <c r="K8042" s="218">
        <v>3590</v>
      </c>
      <c r="L8042" s="218"/>
    </row>
    <row r="8043" spans="1:13" ht="22.5" x14ac:dyDescent="0.2">
      <c r="A8043" s="163">
        <v>2023</v>
      </c>
      <c r="B8043" s="163">
        <v>1</v>
      </c>
      <c r="C8043" s="163">
        <v>9</v>
      </c>
      <c r="D8043" s="280">
        <f t="shared" si="782"/>
        <v>44935</v>
      </c>
      <c r="E8043" s="281">
        <f t="shared" si="783"/>
        <v>44935</v>
      </c>
      <c r="F8043" s="480"/>
      <c r="G8043" s="221" t="s">
        <v>74</v>
      </c>
      <c r="H8043" s="145" t="str" cm="1">
        <f t="array" ref="H8043">IFERROR(INDEX(INVESTOR_LIST[INVESTOR NAME],MATCH(I8043,INVESTOR_LIST[INVESTOR CODE],0),)," ")</f>
        <v>TAMRIN AL DEEN</v>
      </c>
      <c r="I8043" s="145" t="s">
        <v>1422</v>
      </c>
      <c r="J8043" s="163" t="s">
        <v>52</v>
      </c>
      <c r="K8043" s="219"/>
      <c r="L8043" s="219">
        <v>20000</v>
      </c>
    </row>
    <row r="8044" spans="1:13" x14ac:dyDescent="0.2">
      <c r="A8044" s="168">
        <v>2023</v>
      </c>
      <c r="B8044" s="168">
        <v>1</v>
      </c>
      <c r="C8044" s="168">
        <v>11</v>
      </c>
      <c r="D8044" s="141">
        <f>DATE(A8044,B8044,C8044)</f>
        <v>44937</v>
      </c>
      <c r="E8044" s="275">
        <f>DATE(A8044,B8044,C8044)</f>
        <v>44937</v>
      </c>
      <c r="F8044" s="479" t="s">
        <v>1500</v>
      </c>
      <c r="G8044" s="220" t="s">
        <v>74</v>
      </c>
      <c r="H8044" s="220" t="str" cm="1">
        <f t="array" ref="H8044">IFERROR(INDEX(INVESTOR_LIST[INVESTOR NAME],MATCH(I8044,INVESTOR_LIST[INVESTOR CODE],0),)," ")</f>
        <v xml:space="preserve"> </v>
      </c>
      <c r="I8044" s="142"/>
      <c r="J8044" s="143" t="s">
        <v>52</v>
      </c>
      <c r="K8044" s="226">
        <v>375137.43</v>
      </c>
      <c r="L8044" s="226"/>
    </row>
    <row r="8045" spans="1:13" x14ac:dyDescent="0.2">
      <c r="A8045" s="163">
        <v>2023</v>
      </c>
      <c r="B8045" s="163">
        <v>1</v>
      </c>
      <c r="C8045" s="163">
        <v>11</v>
      </c>
      <c r="D8045" s="141">
        <f>DATE(A8045,B8045,C8045)</f>
        <v>44937</v>
      </c>
      <c r="E8045" s="275">
        <f>DATE(A8045,B8045,C8045)</f>
        <v>44937</v>
      </c>
      <c r="F8045" s="480"/>
      <c r="G8045" s="221" t="s">
        <v>74</v>
      </c>
      <c r="H8045" s="221" t="str" cm="1">
        <f t="array" ref="H8045">IFERROR(INDEX(INVESTOR_LIST[INVESTOR NAME],MATCH(I8045,INVESTOR_LIST[INVESTOR CODE],0),)," ")</f>
        <v xml:space="preserve"> </v>
      </c>
      <c r="I8045" s="145"/>
      <c r="J8045" s="146" t="s">
        <v>190</v>
      </c>
      <c r="K8045" s="219"/>
      <c r="L8045" s="219">
        <v>375137.43</v>
      </c>
    </row>
    <row r="8046" spans="1:13" x14ac:dyDescent="0.2">
      <c r="A8046" s="168">
        <v>2023</v>
      </c>
      <c r="B8046" s="168">
        <v>1</v>
      </c>
      <c r="C8046" s="168">
        <v>11</v>
      </c>
      <c r="D8046" s="141">
        <f t="shared" ref="D8046:D8048" si="784">DATE(A8046,B8046,C8046)</f>
        <v>44937</v>
      </c>
      <c r="E8046" s="275">
        <f t="shared" ref="E8046:E8048" si="785">DATE(A8046,B8046,C8046)</f>
        <v>44937</v>
      </c>
      <c r="F8046" s="481" t="s">
        <v>1568</v>
      </c>
      <c r="G8046" s="174" t="s">
        <v>74</v>
      </c>
      <c r="H8046" s="174" t="str" cm="1">
        <f t="array" ref="H8046">IFERROR(INDEX(INVESTOR_LIST[INVESTOR NAME],MATCH(I8046,INVESTOR_LIST[INVESTOR CODE],0),)," ")</f>
        <v xml:space="preserve"> </v>
      </c>
      <c r="I8046" s="148" t="s">
        <v>348</v>
      </c>
      <c r="J8046" s="149" t="s">
        <v>52</v>
      </c>
      <c r="K8046" s="218">
        <v>154556.07999999999</v>
      </c>
      <c r="L8046" s="218"/>
    </row>
    <row r="8047" spans="1:13" x14ac:dyDescent="0.2">
      <c r="A8047" s="133">
        <v>2023</v>
      </c>
      <c r="B8047" s="133">
        <v>1</v>
      </c>
      <c r="C8047" s="133">
        <v>11</v>
      </c>
      <c r="D8047" s="141">
        <f t="shared" ref="D8047" si="786">DATE(A8047,B8047,C8047)</f>
        <v>44937</v>
      </c>
      <c r="E8047" s="275">
        <f t="shared" ref="E8047" si="787">DATE(A8047,B8047,C8047)</f>
        <v>44937</v>
      </c>
      <c r="F8047" s="481"/>
      <c r="G8047" s="174" t="s">
        <v>74</v>
      </c>
      <c r="H8047" s="174"/>
      <c r="J8047" s="149" t="s">
        <v>166</v>
      </c>
      <c r="K8047" s="218"/>
      <c r="L8047" s="218">
        <v>9112.8799999999992</v>
      </c>
    </row>
    <row r="8048" spans="1:13" x14ac:dyDescent="0.2">
      <c r="A8048" s="163">
        <v>2023</v>
      </c>
      <c r="B8048" s="163">
        <v>1</v>
      </c>
      <c r="C8048" s="163">
        <v>11</v>
      </c>
      <c r="D8048" s="141">
        <f t="shared" si="784"/>
        <v>44937</v>
      </c>
      <c r="E8048" s="275">
        <f t="shared" si="785"/>
        <v>44937</v>
      </c>
      <c r="F8048" s="480"/>
      <c r="G8048" s="221" t="s">
        <v>74</v>
      </c>
      <c r="H8048" s="221" t="str" cm="1">
        <f t="array" ref="H8048">IFERROR(INDEX(INVESTOR_LIST[INVESTOR NAME],MATCH(I8048,INVESTOR_LIST[INVESTOR CODE],0),)," ")</f>
        <v xml:space="preserve"> </v>
      </c>
      <c r="I8048" s="145" t="s">
        <v>348</v>
      </c>
      <c r="J8048" s="146" t="s">
        <v>168</v>
      </c>
      <c r="K8048" s="219"/>
      <c r="L8048" s="219">
        <v>145443.20000000001</v>
      </c>
    </row>
    <row r="8049" spans="1:13" x14ac:dyDescent="0.2">
      <c r="A8049" s="168">
        <v>2023</v>
      </c>
      <c r="B8049" s="168">
        <v>1</v>
      </c>
      <c r="C8049" s="168">
        <v>11</v>
      </c>
      <c r="D8049" s="141">
        <f t="shared" ref="D8049:D8052" si="788">DATE(A8049,B8049,C8049)</f>
        <v>44937</v>
      </c>
      <c r="E8049" s="275">
        <f t="shared" ref="E8049:E8052" si="789">DATE(A8049,B8049,C8049)</f>
        <v>44937</v>
      </c>
      <c r="F8049" s="481" t="s">
        <v>1569</v>
      </c>
      <c r="G8049" s="174" t="s">
        <v>74</v>
      </c>
      <c r="H8049" s="174" t="str" cm="1">
        <f t="array" ref="H8049">IFERROR(INDEX(INVESTOR_LIST[INVESTOR NAME],MATCH(I8049,INVESTOR_LIST[INVESTOR CODE],0),)," ")</f>
        <v xml:space="preserve"> </v>
      </c>
      <c r="I8049" s="148" t="s">
        <v>348</v>
      </c>
      <c r="J8049" s="149" t="s">
        <v>52</v>
      </c>
      <c r="K8049" s="218">
        <v>720000</v>
      </c>
      <c r="L8049" s="218"/>
    </row>
    <row r="8050" spans="1:13" x14ac:dyDescent="0.2">
      <c r="A8050" s="163">
        <v>2023</v>
      </c>
      <c r="B8050" s="163">
        <v>1</v>
      </c>
      <c r="C8050" s="163">
        <v>11</v>
      </c>
      <c r="D8050" s="141">
        <f t="shared" si="788"/>
        <v>44937</v>
      </c>
      <c r="E8050" s="275">
        <f t="shared" si="789"/>
        <v>44937</v>
      </c>
      <c r="F8050" s="480"/>
      <c r="G8050" s="221" t="s">
        <v>74</v>
      </c>
      <c r="H8050" s="221" t="str" cm="1">
        <f t="array" ref="H8050">IFERROR(INDEX(INVESTOR_LIST[INVESTOR NAME],MATCH(I8050,INVESTOR_LIST[INVESTOR CODE],0),)," ")</f>
        <v xml:space="preserve"> </v>
      </c>
      <c r="I8050" s="145" t="s">
        <v>348</v>
      </c>
      <c r="J8050" s="146" t="s">
        <v>168</v>
      </c>
      <c r="K8050" s="219"/>
      <c r="L8050" s="219">
        <v>720000</v>
      </c>
    </row>
    <row r="8051" spans="1:13" x14ac:dyDescent="0.2">
      <c r="A8051" s="168">
        <v>2023</v>
      </c>
      <c r="B8051" s="168">
        <v>1</v>
      </c>
      <c r="C8051" s="168">
        <v>12</v>
      </c>
      <c r="D8051" s="141">
        <f t="shared" si="788"/>
        <v>44938</v>
      </c>
      <c r="E8051" s="275">
        <f t="shared" si="789"/>
        <v>44938</v>
      </c>
      <c r="F8051" s="479" t="s">
        <v>1570</v>
      </c>
      <c r="G8051" s="220" t="s">
        <v>74</v>
      </c>
      <c r="H8051" s="220" t="str" cm="1">
        <f t="array" ref="H8051">IFERROR(INDEX(INVESTOR_LIST[INVESTOR NAME],MATCH(I8051,INVESTOR_LIST[INVESTOR CODE],0),)," ")</f>
        <v xml:space="preserve"> </v>
      </c>
      <c r="I8051" s="142" t="s">
        <v>348</v>
      </c>
      <c r="J8051" s="143" t="s">
        <v>104</v>
      </c>
      <c r="K8051" s="226">
        <v>1504.29</v>
      </c>
      <c r="L8051" s="226"/>
    </row>
    <row r="8052" spans="1:13" x14ac:dyDescent="0.2">
      <c r="A8052" s="163">
        <v>2023</v>
      </c>
      <c r="B8052" s="163">
        <v>1</v>
      </c>
      <c r="C8052" s="163">
        <v>12</v>
      </c>
      <c r="D8052" s="141">
        <f t="shared" si="788"/>
        <v>44938</v>
      </c>
      <c r="E8052" s="275">
        <f t="shared" si="789"/>
        <v>44938</v>
      </c>
      <c r="F8052" s="480"/>
      <c r="G8052" s="221" t="s">
        <v>74</v>
      </c>
      <c r="H8052" s="221" t="str" cm="1">
        <f t="array" ref="H8052">IFERROR(INDEX(INVESTOR_LIST[INVESTOR NAME],MATCH(I8052,INVESTOR_LIST[INVESTOR CODE],0),)," ")</f>
        <v xml:space="preserve"> </v>
      </c>
      <c r="I8052" s="145" t="s">
        <v>348</v>
      </c>
      <c r="J8052" s="146" t="s">
        <v>52</v>
      </c>
      <c r="K8052" s="219"/>
      <c r="L8052" s="219">
        <v>1504.29</v>
      </c>
    </row>
    <row r="8053" spans="1:13" x14ac:dyDescent="0.2">
      <c r="A8053" s="168">
        <v>2023</v>
      </c>
      <c r="B8053" s="168">
        <v>1</v>
      </c>
      <c r="C8053" s="168">
        <v>16</v>
      </c>
      <c r="D8053" s="141">
        <f t="shared" si="782"/>
        <v>44942</v>
      </c>
      <c r="E8053" s="275">
        <f t="shared" si="783"/>
        <v>44942</v>
      </c>
      <c r="F8053" s="479" t="s">
        <v>1319</v>
      </c>
      <c r="G8053" s="220" t="s">
        <v>74</v>
      </c>
      <c r="H8053" s="142" t="str" cm="1">
        <f t="array" ref="H8053">IFERROR(INDEX(INVESTOR_LIST[INVESTOR NAME],MATCH(I8053,INVESTOR_LIST[INVESTOR CODE],0),)," ")</f>
        <v xml:space="preserve"> </v>
      </c>
      <c r="I8053" s="142"/>
      <c r="J8053" s="168" t="s">
        <v>52</v>
      </c>
      <c r="K8053" s="226">
        <v>36000</v>
      </c>
      <c r="L8053" s="226"/>
    </row>
    <row r="8054" spans="1:13" x14ac:dyDescent="0.2">
      <c r="A8054" s="133">
        <v>2023</v>
      </c>
      <c r="B8054" s="133">
        <v>1</v>
      </c>
      <c r="C8054" s="133">
        <v>16</v>
      </c>
      <c r="D8054" s="141">
        <f t="shared" si="782"/>
        <v>44942</v>
      </c>
      <c r="E8054" s="275">
        <f t="shared" si="783"/>
        <v>44942</v>
      </c>
      <c r="F8054" s="481"/>
      <c r="G8054" s="174" t="s">
        <v>74</v>
      </c>
      <c r="H8054" s="148" t="str" cm="1">
        <f t="array" ref="H8054">IFERROR(INDEX(INVESTOR_LIST[INVESTOR NAME],MATCH(I8054,INVESTOR_LIST[INVESTOR CODE],0),)," ")</f>
        <v xml:space="preserve"> </v>
      </c>
      <c r="J8054" s="133" t="s">
        <v>13</v>
      </c>
      <c r="K8054" s="218"/>
      <c r="L8054" s="218">
        <v>29520</v>
      </c>
    </row>
    <row r="8055" spans="1:13" x14ac:dyDescent="0.2">
      <c r="A8055" s="163">
        <v>2023</v>
      </c>
      <c r="B8055" s="163">
        <v>1</v>
      </c>
      <c r="C8055" s="163">
        <v>16</v>
      </c>
      <c r="D8055" s="280">
        <f t="shared" si="782"/>
        <v>44942</v>
      </c>
      <c r="E8055" s="281">
        <f t="shared" si="783"/>
        <v>44942</v>
      </c>
      <c r="F8055" s="480"/>
      <c r="G8055" s="221" t="s">
        <v>74</v>
      </c>
      <c r="H8055" s="145" t="str" cm="1">
        <f t="array" ref="H8055">IFERROR(INDEX(INVESTOR_LIST[INVESTOR NAME],MATCH(I8055,INVESTOR_LIST[INVESTOR CODE],0),)," ")</f>
        <v xml:space="preserve"> </v>
      </c>
      <c r="I8055" s="145"/>
      <c r="J8055" s="163" t="s">
        <v>53</v>
      </c>
      <c r="K8055" s="219"/>
      <c r="L8055" s="219">
        <v>6480</v>
      </c>
    </row>
    <row r="8056" spans="1:13" ht="45" x14ac:dyDescent="0.2">
      <c r="A8056" s="168">
        <v>2023</v>
      </c>
      <c r="B8056" s="168">
        <v>1</v>
      </c>
      <c r="C8056" s="133">
        <v>16</v>
      </c>
      <c r="D8056" s="141">
        <f t="shared" ref="D8056:D8062" si="790">DATE(A8056,B8056,C8056)</f>
        <v>44942</v>
      </c>
      <c r="E8056" s="275">
        <f t="shared" ref="E8056:E8062" si="791">DATE(A8056,B8056,C8056)</f>
        <v>44942</v>
      </c>
      <c r="F8056" s="479" t="s">
        <v>1315</v>
      </c>
      <c r="G8056" s="220" t="s">
        <v>74</v>
      </c>
      <c r="H8056" s="142" t="str" cm="1">
        <f t="array" ref="H8056">IFERROR(INDEX(INVESTOR_LIST[INVESTOR NAME],MATCH(I8056,INVESTOR_LIST[INVESTOR CODE],0),)," ")</f>
        <v>KAMRUL HASAN MAHMUD</v>
      </c>
      <c r="I8056" s="142" t="s">
        <v>517</v>
      </c>
      <c r="J8056" s="168" t="s">
        <v>13</v>
      </c>
      <c r="K8056" s="226">
        <v>4100</v>
      </c>
      <c r="L8056" s="226"/>
    </row>
    <row r="8057" spans="1:13" ht="45" x14ac:dyDescent="0.2">
      <c r="A8057" s="133">
        <v>2023</v>
      </c>
      <c r="B8057" s="133">
        <v>1</v>
      </c>
      <c r="C8057" s="133">
        <v>16</v>
      </c>
      <c r="D8057" s="141">
        <f t="shared" si="790"/>
        <v>44942</v>
      </c>
      <c r="E8057" s="275">
        <f t="shared" si="791"/>
        <v>44942</v>
      </c>
      <c r="F8057" s="481"/>
      <c r="G8057" s="174" t="s">
        <v>74</v>
      </c>
      <c r="H8057" s="148" t="str" cm="1">
        <f t="array" ref="H8057">IFERROR(INDEX(INVESTOR_LIST[INVESTOR NAME],MATCH(I8057,INVESTOR_LIST[INVESTOR CODE],0),)," ")</f>
        <v>KAMRUL HASAN MAHMUD</v>
      </c>
      <c r="I8057" s="148" t="s">
        <v>517</v>
      </c>
      <c r="J8057" s="133" t="s">
        <v>53</v>
      </c>
      <c r="K8057" s="218">
        <v>900</v>
      </c>
      <c r="L8057" s="218"/>
    </row>
    <row r="8058" spans="1:13" ht="45" x14ac:dyDescent="0.2">
      <c r="A8058" s="163">
        <v>2023</v>
      </c>
      <c r="B8058" s="163">
        <v>1</v>
      </c>
      <c r="C8058" s="163">
        <v>16</v>
      </c>
      <c r="D8058" s="280">
        <f t="shared" si="790"/>
        <v>44942</v>
      </c>
      <c r="E8058" s="281">
        <f t="shared" si="791"/>
        <v>44942</v>
      </c>
      <c r="F8058" s="480"/>
      <c r="G8058" s="221" t="s">
        <v>74</v>
      </c>
      <c r="H8058" s="145" t="str" cm="1">
        <f t="array" ref="H8058">IFERROR(INDEX(INVESTOR_LIST[INVESTOR NAME],MATCH(I8058,INVESTOR_LIST[INVESTOR CODE],0),)," ")</f>
        <v>KAMRUL HASAN MAHMUD</v>
      </c>
      <c r="I8058" s="145" t="s">
        <v>517</v>
      </c>
      <c r="J8058" s="163" t="s">
        <v>52</v>
      </c>
      <c r="K8058" s="219"/>
      <c r="L8058" s="219">
        <v>5000</v>
      </c>
    </row>
    <row r="8059" spans="1:13" x14ac:dyDescent="0.2">
      <c r="A8059" s="133">
        <v>2023</v>
      </c>
      <c r="B8059" s="133">
        <v>1</v>
      </c>
      <c r="C8059" s="133">
        <v>18</v>
      </c>
      <c r="D8059" s="141">
        <f t="shared" si="790"/>
        <v>44944</v>
      </c>
      <c r="E8059" s="275">
        <f t="shared" si="791"/>
        <v>44944</v>
      </c>
      <c r="F8059" s="481" t="s">
        <v>1499</v>
      </c>
      <c r="G8059" s="174" t="s">
        <v>94</v>
      </c>
      <c r="H8059" s="174" t="str" cm="1">
        <f t="array" ref="H8059">IFERROR(INDEX(INVESTOR_LIST[INVESTOR NAME],MATCH(I8059,INVESTOR_LIST[INVESTOR CODE],0),)," ")</f>
        <v xml:space="preserve"> </v>
      </c>
      <c r="J8059" s="149" t="s">
        <v>190</v>
      </c>
      <c r="K8059" s="218">
        <v>848470</v>
      </c>
      <c r="L8059" s="218"/>
      <c r="M8059" s="160"/>
    </row>
    <row r="8060" spans="1:13" x14ac:dyDescent="0.2">
      <c r="A8060" s="133">
        <v>2023</v>
      </c>
      <c r="B8060" s="133">
        <v>1</v>
      </c>
      <c r="C8060" s="133">
        <v>18</v>
      </c>
      <c r="D8060" s="141">
        <f t="shared" si="790"/>
        <v>44944</v>
      </c>
      <c r="E8060" s="275">
        <f t="shared" si="791"/>
        <v>44944</v>
      </c>
      <c r="F8060" s="481"/>
      <c r="G8060" s="174" t="s">
        <v>94</v>
      </c>
      <c r="H8060" s="174"/>
      <c r="J8060" s="149" t="s">
        <v>80</v>
      </c>
      <c r="K8060" s="218">
        <v>1530</v>
      </c>
      <c r="L8060" s="218"/>
    </row>
    <row r="8061" spans="1:13" x14ac:dyDescent="0.2">
      <c r="A8061" s="133">
        <v>2023</v>
      </c>
      <c r="B8061" s="133">
        <v>1</v>
      </c>
      <c r="C8061" s="133">
        <v>18</v>
      </c>
      <c r="D8061" s="141">
        <f t="shared" si="790"/>
        <v>44944</v>
      </c>
      <c r="E8061" s="275">
        <f t="shared" si="791"/>
        <v>44944</v>
      </c>
      <c r="F8061" s="481"/>
      <c r="G8061" s="174" t="s">
        <v>94</v>
      </c>
      <c r="H8061" s="174" t="str" cm="1">
        <f t="array" ref="H8061">IFERROR(INDEX(INVESTOR_LIST[INVESTOR NAME],MATCH(I8061,INVESTOR_LIST[INVESTOR CODE],0),)," ")</f>
        <v xml:space="preserve"> </v>
      </c>
      <c r="J8061" s="149" t="s">
        <v>191</v>
      </c>
      <c r="K8061" s="218">
        <v>150000</v>
      </c>
      <c r="L8061" s="218"/>
    </row>
    <row r="8062" spans="1:13" x14ac:dyDescent="0.2">
      <c r="A8062" s="163">
        <v>2023</v>
      </c>
      <c r="B8062" s="163">
        <v>1</v>
      </c>
      <c r="C8062" s="163">
        <v>18</v>
      </c>
      <c r="D8062" s="280">
        <f t="shared" si="790"/>
        <v>44944</v>
      </c>
      <c r="E8062" s="281">
        <f t="shared" si="791"/>
        <v>44944</v>
      </c>
      <c r="F8062" s="480"/>
      <c r="G8062" s="221" t="s">
        <v>94</v>
      </c>
      <c r="H8062" s="145" t="str" cm="1">
        <f t="array" ref="H8062">IFERROR(INDEX(INVESTOR_LIST[INVESTOR NAME],MATCH(I8062,INVESTOR_LIST[INVESTOR CODE],0),)," ")</f>
        <v xml:space="preserve"> </v>
      </c>
      <c r="I8062" s="145"/>
      <c r="J8062" s="163" t="s">
        <v>79</v>
      </c>
      <c r="K8062" s="219"/>
      <c r="L8062" s="219">
        <v>1000000</v>
      </c>
    </row>
    <row r="8063" spans="1:13" x14ac:dyDescent="0.2">
      <c r="A8063" s="168">
        <v>2023</v>
      </c>
      <c r="B8063" s="168">
        <v>1</v>
      </c>
      <c r="C8063" s="168">
        <v>18</v>
      </c>
      <c r="D8063" s="141">
        <f t="shared" ref="D8063:D8069" si="792">DATE(A8063,B8063,C8063)</f>
        <v>44944</v>
      </c>
      <c r="E8063" s="275">
        <f t="shared" ref="E8063:E8069" si="793">DATE(A8063,B8063,C8063)</f>
        <v>44944</v>
      </c>
      <c r="F8063" s="481" t="s">
        <v>1571</v>
      </c>
      <c r="G8063" s="174" t="s">
        <v>74</v>
      </c>
      <c r="H8063" s="174" t="str" cm="1">
        <f t="array" ref="H8063">IFERROR(INDEX(INVESTOR_LIST[INVESTOR NAME],MATCH(I8063,INVESTOR_LIST[INVESTOR CODE],0),)," ")</f>
        <v xml:space="preserve"> </v>
      </c>
      <c r="I8063" s="148" t="s">
        <v>348</v>
      </c>
      <c r="J8063" s="149" t="s">
        <v>52</v>
      </c>
      <c r="K8063" s="218">
        <v>72250</v>
      </c>
      <c r="L8063" s="218"/>
    </row>
    <row r="8064" spans="1:13" x14ac:dyDescent="0.2">
      <c r="A8064" s="133">
        <v>2023</v>
      </c>
      <c r="B8064" s="133">
        <v>1</v>
      </c>
      <c r="C8064" s="133">
        <v>18</v>
      </c>
      <c r="D8064" s="141">
        <f t="shared" si="792"/>
        <v>44944</v>
      </c>
      <c r="E8064" s="275">
        <f t="shared" si="793"/>
        <v>44944</v>
      </c>
      <c r="F8064" s="481"/>
      <c r="G8064" s="174" t="s">
        <v>74</v>
      </c>
      <c r="H8064" s="174"/>
      <c r="J8064" s="149" t="s">
        <v>166</v>
      </c>
      <c r="K8064" s="218"/>
      <c r="L8064" s="218">
        <v>4250</v>
      </c>
    </row>
    <row r="8065" spans="1:17" x14ac:dyDescent="0.2">
      <c r="A8065" s="163">
        <v>2023</v>
      </c>
      <c r="B8065" s="163">
        <v>1</v>
      </c>
      <c r="C8065" s="163">
        <v>18</v>
      </c>
      <c r="D8065" s="141">
        <f t="shared" si="792"/>
        <v>44944</v>
      </c>
      <c r="E8065" s="275">
        <f t="shared" si="793"/>
        <v>44944</v>
      </c>
      <c r="F8065" s="480"/>
      <c r="G8065" s="221" t="s">
        <v>74</v>
      </c>
      <c r="H8065" s="221" t="str" cm="1">
        <f t="array" ref="H8065">IFERROR(INDEX(INVESTOR_LIST[INVESTOR NAME],MATCH(I8065,INVESTOR_LIST[INVESTOR CODE],0),)," ")</f>
        <v xml:space="preserve"> </v>
      </c>
      <c r="I8065" s="145" t="s">
        <v>348</v>
      </c>
      <c r="J8065" s="146" t="s">
        <v>168</v>
      </c>
      <c r="K8065" s="219"/>
      <c r="L8065" s="219">
        <v>68000</v>
      </c>
    </row>
    <row r="8066" spans="1:17" x14ac:dyDescent="0.2">
      <c r="A8066" s="133">
        <v>2023</v>
      </c>
      <c r="B8066" s="133">
        <v>1</v>
      </c>
      <c r="C8066" s="133">
        <v>18</v>
      </c>
      <c r="D8066" s="141">
        <f t="shared" si="792"/>
        <v>44944</v>
      </c>
      <c r="E8066" s="275">
        <f t="shared" si="793"/>
        <v>44944</v>
      </c>
      <c r="F8066" s="481" t="s">
        <v>1572</v>
      </c>
      <c r="G8066" s="174" t="s">
        <v>74</v>
      </c>
      <c r="H8066" s="174" t="str" cm="1">
        <f t="array" ref="H8066">IFERROR(INDEX(INVESTOR_LIST[INVESTOR NAME],MATCH(I8066,INVESTOR_LIST[INVESTOR CODE],0),)," ")</f>
        <v xml:space="preserve"> </v>
      </c>
      <c r="I8066" s="148" t="s">
        <v>348</v>
      </c>
      <c r="J8066" s="149" t="s">
        <v>163</v>
      </c>
      <c r="K8066" s="218">
        <v>1575</v>
      </c>
      <c r="L8066" s="218"/>
      <c r="M8066" s="147"/>
      <c r="Q8066" s="133" t="s">
        <v>348</v>
      </c>
    </row>
    <row r="8067" spans="1:17" x14ac:dyDescent="0.2">
      <c r="A8067" s="163">
        <v>2023</v>
      </c>
      <c r="B8067" s="163">
        <v>1</v>
      </c>
      <c r="C8067" s="163">
        <v>18</v>
      </c>
      <c r="D8067" s="141">
        <f t="shared" si="792"/>
        <v>44944</v>
      </c>
      <c r="E8067" s="275">
        <f t="shared" si="793"/>
        <v>44944</v>
      </c>
      <c r="F8067" s="480"/>
      <c r="G8067" s="221" t="s">
        <v>74</v>
      </c>
      <c r="H8067" s="221" t="str" cm="1">
        <f t="array" ref="H8067">IFERROR(INDEX(INVESTOR_LIST[INVESTOR NAME],MATCH(I8067,INVESTOR_LIST[INVESTOR CODE],0),)," ")</f>
        <v xml:space="preserve"> </v>
      </c>
      <c r="I8067" s="145"/>
      <c r="J8067" s="146" t="s">
        <v>52</v>
      </c>
      <c r="K8067" s="219"/>
      <c r="L8067" s="219">
        <v>1575</v>
      </c>
      <c r="M8067" s="147"/>
      <c r="Q8067" s="133" t="s">
        <v>348</v>
      </c>
    </row>
    <row r="8068" spans="1:17" x14ac:dyDescent="0.2">
      <c r="A8068" s="133">
        <v>2023</v>
      </c>
      <c r="B8068" s="133">
        <v>1</v>
      </c>
      <c r="C8068" s="133">
        <v>19</v>
      </c>
      <c r="D8068" s="141">
        <f t="shared" si="792"/>
        <v>44945</v>
      </c>
      <c r="E8068" s="275">
        <f t="shared" si="793"/>
        <v>44945</v>
      </c>
      <c r="F8068" s="481" t="s">
        <v>982</v>
      </c>
      <c r="G8068" s="174" t="s">
        <v>74</v>
      </c>
      <c r="H8068" s="174" t="str" cm="1">
        <f t="array" ref="H8068">IFERROR(INDEX(INVESTOR_LIST[INVESTOR NAME],MATCH(I8068,INVESTOR_LIST[INVESTOR CODE],0),)," ")</f>
        <v xml:space="preserve"> </v>
      </c>
      <c r="I8068" s="148" t="s">
        <v>348</v>
      </c>
      <c r="J8068" s="149" t="s">
        <v>163</v>
      </c>
      <c r="K8068" s="218">
        <v>9000</v>
      </c>
      <c r="L8068" s="218"/>
    </row>
    <row r="8069" spans="1:17" x14ac:dyDescent="0.2">
      <c r="A8069" s="163">
        <v>2023</v>
      </c>
      <c r="B8069" s="163">
        <v>1</v>
      </c>
      <c r="C8069" s="163">
        <v>19</v>
      </c>
      <c r="D8069" s="141">
        <f t="shared" si="792"/>
        <v>44945</v>
      </c>
      <c r="E8069" s="275">
        <f t="shared" si="793"/>
        <v>44945</v>
      </c>
      <c r="F8069" s="480"/>
      <c r="G8069" s="221" t="s">
        <v>74</v>
      </c>
      <c r="H8069" s="221" t="str" cm="1">
        <f t="array" ref="H8069">IFERROR(INDEX(INVESTOR_LIST[INVESTOR NAME],MATCH(I8069,INVESTOR_LIST[INVESTOR CODE],0),)," ")</f>
        <v xml:space="preserve"> </v>
      </c>
      <c r="I8069" s="145" t="s">
        <v>348</v>
      </c>
      <c r="J8069" s="146" t="s">
        <v>52</v>
      </c>
      <c r="K8069" s="219"/>
      <c r="L8069" s="219">
        <v>9000</v>
      </c>
    </row>
    <row r="8070" spans="1:17" ht="56.25" x14ac:dyDescent="0.2">
      <c r="A8070" s="168">
        <v>2023</v>
      </c>
      <c r="B8070" s="168">
        <v>1</v>
      </c>
      <c r="C8070" s="133">
        <v>22</v>
      </c>
      <c r="D8070" s="141">
        <f t="shared" ref="D8070:D8072" si="794">DATE(A8070,B8070,C8070)</f>
        <v>44948</v>
      </c>
      <c r="E8070" s="275">
        <f t="shared" ref="E8070:E8072" si="795">DATE(A8070,B8070,C8070)</f>
        <v>44948</v>
      </c>
      <c r="F8070" s="479" t="s">
        <v>1315</v>
      </c>
      <c r="G8070" s="220" t="s">
        <v>74</v>
      </c>
      <c r="H8070" s="142" t="str" cm="1">
        <f t="array" ref="H8070">IFERROR(INDEX(INVESTOR_LIST[INVESTOR NAME],MATCH(I8070,INVESTOR_LIST[INVESTOR CODE],0),)," ")</f>
        <v>MUNTASIR MAHMUD RAHMAN</v>
      </c>
      <c r="I8070" s="142" t="s">
        <v>994</v>
      </c>
      <c r="J8070" s="168" t="s">
        <v>13</v>
      </c>
      <c r="K8070" s="226">
        <v>123840</v>
      </c>
      <c r="L8070" s="226"/>
    </row>
    <row r="8071" spans="1:17" ht="56.25" x14ac:dyDescent="0.2">
      <c r="A8071" s="133">
        <v>2023</v>
      </c>
      <c r="B8071" s="133">
        <v>1</v>
      </c>
      <c r="C8071" s="133">
        <v>22</v>
      </c>
      <c r="D8071" s="141">
        <f t="shared" si="794"/>
        <v>44948</v>
      </c>
      <c r="E8071" s="275">
        <f t="shared" si="795"/>
        <v>44948</v>
      </c>
      <c r="F8071" s="481"/>
      <c r="G8071" s="174" t="s">
        <v>74</v>
      </c>
      <c r="H8071" s="148" t="str" cm="1">
        <f t="array" ref="H8071">IFERROR(INDEX(INVESTOR_LIST[INVESTOR NAME],MATCH(I8071,INVESTOR_LIST[INVESTOR CODE],0),)," ")</f>
        <v>MUNTASIR MAHMUD RAHMAN</v>
      </c>
      <c r="I8071" s="148" t="s">
        <v>994</v>
      </c>
      <c r="J8071" s="133" t="s">
        <v>53</v>
      </c>
      <c r="K8071" s="218">
        <v>27120.959999999999</v>
      </c>
      <c r="L8071" s="218"/>
    </row>
    <row r="8072" spans="1:17" ht="56.25" x14ac:dyDescent="0.2">
      <c r="A8072" s="163">
        <v>2023</v>
      </c>
      <c r="B8072" s="163">
        <v>1</v>
      </c>
      <c r="C8072" s="163">
        <v>22</v>
      </c>
      <c r="D8072" s="280">
        <f t="shared" si="794"/>
        <v>44948</v>
      </c>
      <c r="E8072" s="281">
        <f t="shared" si="795"/>
        <v>44948</v>
      </c>
      <c r="F8072" s="480"/>
      <c r="G8072" s="221" t="s">
        <v>74</v>
      </c>
      <c r="H8072" s="145" t="str" cm="1">
        <f t="array" ref="H8072">IFERROR(INDEX(INVESTOR_LIST[INVESTOR NAME],MATCH(I8072,INVESTOR_LIST[INVESTOR CODE],0),)," ")</f>
        <v>MUNTASIR MAHMUD RAHMAN</v>
      </c>
      <c r="I8072" s="145" t="s">
        <v>994</v>
      </c>
      <c r="J8072" s="163" t="s">
        <v>52</v>
      </c>
      <c r="K8072" s="219"/>
      <c r="L8072" s="219">
        <v>150960.95999999999</v>
      </c>
    </row>
    <row r="8073" spans="1:17" x14ac:dyDescent="0.2">
      <c r="A8073" s="133">
        <v>2023</v>
      </c>
      <c r="B8073" s="133">
        <v>1</v>
      </c>
      <c r="C8073" s="168">
        <v>22</v>
      </c>
      <c r="D8073" s="141">
        <f>DATE(A8073,B8073,C8073)</f>
        <v>44948</v>
      </c>
      <c r="E8073" s="275">
        <f>DATE(A8073,B8073,C8073)</f>
        <v>44948</v>
      </c>
      <c r="F8073" s="479" t="s">
        <v>1567</v>
      </c>
      <c r="G8073" s="174" t="s">
        <v>74</v>
      </c>
      <c r="H8073" s="148" t="str" cm="1">
        <f t="array" ref="H8073">IFERROR(INDEX(INVESTOR_LIST[INVESTOR NAME],MATCH(I8073,INVESTOR_LIST[INVESTOR CODE],0),)," ")</f>
        <v xml:space="preserve"> </v>
      </c>
      <c r="J8073" s="133" t="s">
        <v>61</v>
      </c>
      <c r="K8073" s="172">
        <v>58</v>
      </c>
    </row>
    <row r="8074" spans="1:17" x14ac:dyDescent="0.2">
      <c r="A8074" s="163">
        <v>2023</v>
      </c>
      <c r="B8074" s="163">
        <v>1</v>
      </c>
      <c r="C8074" s="163">
        <v>22</v>
      </c>
      <c r="D8074" s="141">
        <f>DATE(A8074,B8074,C8074)</f>
        <v>44948</v>
      </c>
      <c r="E8074" s="275">
        <f>DATE(A8074,B8074,C8074)</f>
        <v>44948</v>
      </c>
      <c r="F8074" s="480"/>
      <c r="G8074" s="221" t="s">
        <v>74</v>
      </c>
      <c r="H8074" s="145" t="str" cm="1">
        <f t="array" ref="H8074">IFERROR(INDEX(INVESTOR_LIST[INVESTOR NAME],MATCH(I8074,INVESTOR_LIST[INVESTOR CODE],0),)," ")</f>
        <v xml:space="preserve"> </v>
      </c>
      <c r="I8074" s="145"/>
      <c r="J8074" s="163" t="s">
        <v>52</v>
      </c>
      <c r="K8074" s="219"/>
      <c r="L8074" s="219">
        <v>58</v>
      </c>
    </row>
    <row r="8075" spans="1:17" x14ac:dyDescent="0.2">
      <c r="A8075" s="168">
        <v>2023</v>
      </c>
      <c r="B8075" s="168">
        <v>1</v>
      </c>
      <c r="C8075" s="168">
        <v>22</v>
      </c>
      <c r="D8075" s="141">
        <f>DATE(A8075,B8075,C8075)</f>
        <v>44948</v>
      </c>
      <c r="E8075" s="275">
        <f>DATE(A8075,B8075,C8075)</f>
        <v>44948</v>
      </c>
      <c r="F8075" s="479" t="s">
        <v>1500</v>
      </c>
      <c r="G8075" s="220" t="s">
        <v>74</v>
      </c>
      <c r="H8075" s="220" t="str" cm="1">
        <f t="array" ref="H8075">IFERROR(INDEX(INVESTOR_LIST[INVESTOR NAME],MATCH(I8075,INVESTOR_LIST[INVESTOR CODE],0),)," ")</f>
        <v xml:space="preserve"> </v>
      </c>
      <c r="I8075" s="142"/>
      <c r="J8075" s="143" t="s">
        <v>52</v>
      </c>
      <c r="K8075" s="226">
        <v>848470</v>
      </c>
      <c r="L8075" s="226"/>
    </row>
    <row r="8076" spans="1:17" x14ac:dyDescent="0.2">
      <c r="A8076" s="163">
        <v>2023</v>
      </c>
      <c r="B8076" s="163">
        <v>1</v>
      </c>
      <c r="C8076" s="163">
        <v>22</v>
      </c>
      <c r="D8076" s="141">
        <f>DATE(A8076,B8076,C8076)</f>
        <v>44948</v>
      </c>
      <c r="E8076" s="275">
        <f>DATE(A8076,B8076,C8076)</f>
        <v>44948</v>
      </c>
      <c r="F8076" s="480"/>
      <c r="G8076" s="221" t="s">
        <v>74</v>
      </c>
      <c r="H8076" s="221" t="str" cm="1">
        <f t="array" ref="H8076">IFERROR(INDEX(INVESTOR_LIST[INVESTOR NAME],MATCH(I8076,INVESTOR_LIST[INVESTOR CODE],0),)," ")</f>
        <v xml:space="preserve"> </v>
      </c>
      <c r="I8076" s="145"/>
      <c r="J8076" s="146" t="s">
        <v>190</v>
      </c>
      <c r="K8076" s="219"/>
      <c r="L8076" s="219">
        <v>848470</v>
      </c>
    </row>
    <row r="8077" spans="1:17" x14ac:dyDescent="0.2">
      <c r="A8077" s="168">
        <v>2023</v>
      </c>
      <c r="B8077" s="168">
        <v>1</v>
      </c>
      <c r="C8077" s="168">
        <v>22</v>
      </c>
      <c r="D8077" s="141">
        <f t="shared" ref="D8077:D8088" si="796">DATE(A8077,B8077,C8077)</f>
        <v>44948</v>
      </c>
      <c r="E8077" s="275">
        <f t="shared" ref="E8077:E8088" si="797">DATE(A8077,B8077,C8077)</f>
        <v>44948</v>
      </c>
      <c r="F8077" s="479" t="s">
        <v>821</v>
      </c>
      <c r="G8077" s="220" t="s">
        <v>74</v>
      </c>
      <c r="H8077" s="220" t="str" cm="1">
        <f t="array" ref="H8077">IFERROR(INDEX(INVESTOR_LIST[INVESTOR NAME],MATCH(I8077,INVESTOR_LIST[INVESTOR CODE],0),)," ")</f>
        <v xml:space="preserve"> </v>
      </c>
      <c r="I8077" s="142" t="s">
        <v>348</v>
      </c>
      <c r="J8077" s="143" t="s">
        <v>52</v>
      </c>
      <c r="K8077" s="226">
        <v>59062.5</v>
      </c>
      <c r="L8077" s="226"/>
    </row>
    <row r="8078" spans="1:17" x14ac:dyDescent="0.2">
      <c r="A8078" s="163">
        <v>2023</v>
      </c>
      <c r="B8078" s="163">
        <v>1</v>
      </c>
      <c r="C8078" s="163">
        <v>22</v>
      </c>
      <c r="D8078" s="141">
        <f t="shared" si="796"/>
        <v>44948</v>
      </c>
      <c r="E8078" s="275">
        <f t="shared" si="797"/>
        <v>44948</v>
      </c>
      <c r="F8078" s="480"/>
      <c r="G8078" s="221" t="s">
        <v>74</v>
      </c>
      <c r="H8078" s="221" t="str" cm="1">
        <f t="array" ref="H8078">IFERROR(INDEX(INVESTOR_LIST[INVESTOR NAME],MATCH(I8078,INVESTOR_LIST[INVESTOR CODE],0),)," ")</f>
        <v xml:space="preserve"> </v>
      </c>
      <c r="I8078" s="145" t="s">
        <v>348</v>
      </c>
      <c r="J8078" s="146" t="s">
        <v>60</v>
      </c>
      <c r="K8078" s="219"/>
      <c r="L8078" s="219">
        <v>59062.5</v>
      </c>
    </row>
    <row r="8079" spans="1:17" x14ac:dyDescent="0.2">
      <c r="A8079" s="168">
        <v>2023</v>
      </c>
      <c r="B8079" s="168">
        <v>1</v>
      </c>
      <c r="C8079" s="168">
        <v>23</v>
      </c>
      <c r="D8079" s="141">
        <f t="shared" si="796"/>
        <v>44949</v>
      </c>
      <c r="E8079" s="275">
        <f t="shared" si="797"/>
        <v>44949</v>
      </c>
      <c r="F8079" s="479" t="s">
        <v>1319</v>
      </c>
      <c r="G8079" s="220" t="s">
        <v>74</v>
      </c>
      <c r="H8079" s="142" t="str" cm="1">
        <f t="array" ref="H8079">IFERROR(INDEX(INVESTOR_LIST[INVESTOR NAME],MATCH(I8079,INVESTOR_LIST[INVESTOR CODE],0),)," ")</f>
        <v xml:space="preserve"> </v>
      </c>
      <c r="I8079" s="142"/>
      <c r="J8079" s="168" t="s">
        <v>52</v>
      </c>
      <c r="K8079" s="226">
        <v>2000</v>
      </c>
      <c r="L8079" s="226"/>
    </row>
    <row r="8080" spans="1:17" x14ac:dyDescent="0.2">
      <c r="A8080" s="133">
        <v>2023</v>
      </c>
      <c r="B8080" s="133">
        <v>1</v>
      </c>
      <c r="C8080" s="133">
        <v>23</v>
      </c>
      <c r="D8080" s="141">
        <f t="shared" si="796"/>
        <v>44949</v>
      </c>
      <c r="E8080" s="275">
        <f t="shared" si="797"/>
        <v>44949</v>
      </c>
      <c r="F8080" s="481"/>
      <c r="G8080" s="174" t="s">
        <v>74</v>
      </c>
      <c r="H8080" s="148" t="str" cm="1">
        <f t="array" ref="H8080">IFERROR(INDEX(INVESTOR_LIST[INVESTOR NAME],MATCH(I8080,INVESTOR_LIST[INVESTOR CODE],0),)," ")</f>
        <v xml:space="preserve"> </v>
      </c>
      <c r="J8080" s="133" t="s">
        <v>13</v>
      </c>
      <c r="K8080" s="218"/>
      <c r="L8080" s="218">
        <v>1640</v>
      </c>
    </row>
    <row r="8081" spans="1:14" x14ac:dyDescent="0.2">
      <c r="A8081" s="163">
        <v>2023</v>
      </c>
      <c r="B8081" s="163">
        <v>1</v>
      </c>
      <c r="C8081" s="163">
        <v>23</v>
      </c>
      <c r="D8081" s="280">
        <f t="shared" si="796"/>
        <v>44949</v>
      </c>
      <c r="E8081" s="281">
        <f t="shared" si="797"/>
        <v>44949</v>
      </c>
      <c r="F8081" s="480"/>
      <c r="G8081" s="221" t="s">
        <v>74</v>
      </c>
      <c r="H8081" s="145" t="str" cm="1">
        <f t="array" ref="H8081">IFERROR(INDEX(INVESTOR_LIST[INVESTOR NAME],MATCH(I8081,INVESTOR_LIST[INVESTOR CODE],0),)," ")</f>
        <v xml:space="preserve"> </v>
      </c>
      <c r="I8081" s="145"/>
      <c r="J8081" s="163" t="s">
        <v>53</v>
      </c>
      <c r="K8081" s="219"/>
      <c r="L8081" s="219">
        <v>360</v>
      </c>
    </row>
    <row r="8082" spans="1:14" ht="45" x14ac:dyDescent="0.2">
      <c r="A8082" s="168">
        <v>2023</v>
      </c>
      <c r="B8082" s="168">
        <v>1</v>
      </c>
      <c r="C8082" s="133">
        <v>25</v>
      </c>
      <c r="D8082" s="141">
        <f t="shared" si="796"/>
        <v>44951</v>
      </c>
      <c r="E8082" s="275">
        <f t="shared" si="797"/>
        <v>44951</v>
      </c>
      <c r="F8082" s="479" t="s">
        <v>1310</v>
      </c>
      <c r="G8082" s="220" t="s">
        <v>74</v>
      </c>
      <c r="H8082" s="142" t="str" cm="1">
        <f t="array" ref="H8082">IFERROR(INDEX(INVESTOR_LIST[INVESTOR NAME],MATCH(I8082,INVESTOR_LIST[INVESTOR CODE],0),)," ")</f>
        <v>MD ABDULLAH-AL- MAMUN</v>
      </c>
      <c r="I8082" s="142" t="s">
        <v>724</v>
      </c>
      <c r="J8082" s="168" t="s">
        <v>13</v>
      </c>
      <c r="K8082" s="226">
        <v>155080</v>
      </c>
      <c r="L8082" s="226"/>
    </row>
    <row r="8083" spans="1:14" ht="45" x14ac:dyDescent="0.2">
      <c r="A8083" s="133">
        <v>2023</v>
      </c>
      <c r="B8083" s="133">
        <v>1</v>
      </c>
      <c r="C8083" s="133">
        <v>25</v>
      </c>
      <c r="D8083" s="141">
        <f t="shared" si="796"/>
        <v>44951</v>
      </c>
      <c r="E8083" s="275">
        <f t="shared" si="797"/>
        <v>44951</v>
      </c>
      <c r="F8083" s="481"/>
      <c r="G8083" s="174" t="s">
        <v>74</v>
      </c>
      <c r="H8083" s="148" t="str" cm="1">
        <f t="array" ref="H8083">IFERROR(INDEX(INVESTOR_LIST[INVESTOR NAME],MATCH(I8083,INVESTOR_LIST[INVESTOR CODE],0),)," ")</f>
        <v>MD ABDULLAH-AL- MAMUN</v>
      </c>
      <c r="I8083" s="148" t="s">
        <v>724</v>
      </c>
      <c r="J8083" s="133" t="s">
        <v>53</v>
      </c>
      <c r="K8083" s="218">
        <v>33962.519999999997</v>
      </c>
      <c r="L8083" s="218"/>
    </row>
    <row r="8084" spans="1:14" ht="45" x14ac:dyDescent="0.2">
      <c r="A8084" s="163">
        <v>2023</v>
      </c>
      <c r="B8084" s="163">
        <v>1</v>
      </c>
      <c r="C8084" s="163">
        <v>25</v>
      </c>
      <c r="D8084" s="280">
        <f t="shared" si="796"/>
        <v>44951</v>
      </c>
      <c r="E8084" s="281">
        <f t="shared" si="797"/>
        <v>44951</v>
      </c>
      <c r="F8084" s="480"/>
      <c r="G8084" s="221" t="s">
        <v>74</v>
      </c>
      <c r="H8084" s="145" t="str" cm="1">
        <f t="array" ref="H8084">IFERROR(INDEX(INVESTOR_LIST[INVESTOR NAME],MATCH(I8084,INVESTOR_LIST[INVESTOR CODE],0),)," ")</f>
        <v>MD ABDULLAH-AL- MAMUN</v>
      </c>
      <c r="I8084" s="145" t="s">
        <v>724</v>
      </c>
      <c r="J8084" s="163" t="s">
        <v>52</v>
      </c>
      <c r="K8084" s="219"/>
      <c r="L8084" s="219">
        <v>189042.52</v>
      </c>
    </row>
    <row r="8085" spans="1:14" x14ac:dyDescent="0.2">
      <c r="A8085" s="133">
        <v>2023</v>
      </c>
      <c r="B8085" s="133">
        <v>1</v>
      </c>
      <c r="C8085" s="133">
        <v>25</v>
      </c>
      <c r="D8085" s="141">
        <f t="shared" si="796"/>
        <v>44951</v>
      </c>
      <c r="E8085" s="275">
        <f t="shared" si="797"/>
        <v>44951</v>
      </c>
      <c r="F8085" s="481" t="s">
        <v>1499</v>
      </c>
      <c r="G8085" s="174" t="s">
        <v>94</v>
      </c>
      <c r="H8085" s="174" t="str" cm="1">
        <f t="array" ref="H8085">IFERROR(INDEX(INVESTOR_LIST[INVESTOR NAME],MATCH(I8085,INVESTOR_LIST[INVESTOR CODE],0),)," ")</f>
        <v xml:space="preserve"> </v>
      </c>
      <c r="J8085" s="149" t="s">
        <v>190</v>
      </c>
      <c r="K8085" s="218">
        <v>1269710.3999999999</v>
      </c>
      <c r="L8085" s="218"/>
      <c r="M8085" s="160"/>
    </row>
    <row r="8086" spans="1:14" x14ac:dyDescent="0.2">
      <c r="A8086" s="133">
        <v>2023</v>
      </c>
      <c r="B8086" s="133">
        <v>1</v>
      </c>
      <c r="C8086" s="133">
        <v>25</v>
      </c>
      <c r="D8086" s="141">
        <f t="shared" si="796"/>
        <v>44951</v>
      </c>
      <c r="E8086" s="275">
        <f t="shared" si="797"/>
        <v>44951</v>
      </c>
      <c r="F8086" s="481"/>
      <c r="G8086" s="174" t="s">
        <v>94</v>
      </c>
      <c r="H8086" s="174"/>
      <c r="J8086" s="149" t="s">
        <v>80</v>
      </c>
      <c r="K8086" s="218">
        <v>2289.6</v>
      </c>
      <c r="L8086" s="218"/>
    </row>
    <row r="8087" spans="1:14" x14ac:dyDescent="0.2">
      <c r="A8087" s="133">
        <v>2023</v>
      </c>
      <c r="B8087" s="133">
        <v>1</v>
      </c>
      <c r="C8087" s="133">
        <v>25</v>
      </c>
      <c r="D8087" s="141">
        <f t="shared" si="796"/>
        <v>44951</v>
      </c>
      <c r="E8087" s="275">
        <f t="shared" si="797"/>
        <v>44951</v>
      </c>
      <c r="F8087" s="481"/>
      <c r="G8087" s="174" t="s">
        <v>94</v>
      </c>
      <c r="H8087" s="174" t="str" cm="1">
        <f t="array" ref="H8087">IFERROR(INDEX(INVESTOR_LIST[INVESTOR NAME],MATCH(I8087,INVESTOR_LIST[INVESTOR CODE],0),)," ")</f>
        <v xml:space="preserve"> </v>
      </c>
      <c r="J8087" s="149" t="s">
        <v>191</v>
      </c>
      <c r="K8087" s="218">
        <v>38842.53</v>
      </c>
      <c r="L8087" s="218"/>
    </row>
    <row r="8088" spans="1:14" x14ac:dyDescent="0.2">
      <c r="A8088" s="163">
        <v>2023</v>
      </c>
      <c r="B8088" s="163">
        <v>1</v>
      </c>
      <c r="C8088" s="163">
        <v>25</v>
      </c>
      <c r="D8088" s="280">
        <f t="shared" si="796"/>
        <v>44951</v>
      </c>
      <c r="E8088" s="281">
        <f t="shared" si="797"/>
        <v>44951</v>
      </c>
      <c r="F8088" s="480"/>
      <c r="G8088" s="221" t="s">
        <v>94</v>
      </c>
      <c r="H8088" s="145" t="str" cm="1">
        <f t="array" ref="H8088">IFERROR(INDEX(INVESTOR_LIST[INVESTOR NAME],MATCH(I8088,INVESTOR_LIST[INVESTOR CODE],0),)," ")</f>
        <v xml:space="preserve"> </v>
      </c>
      <c r="I8088" s="145"/>
      <c r="J8088" s="163" t="s">
        <v>79</v>
      </c>
      <c r="K8088" s="219"/>
      <c r="L8088" s="219">
        <v>1310842.53</v>
      </c>
    </row>
    <row r="8089" spans="1:14" x14ac:dyDescent="0.2">
      <c r="A8089" s="133">
        <v>2023</v>
      </c>
      <c r="B8089" s="133">
        <v>1</v>
      </c>
      <c r="C8089" s="168">
        <v>25</v>
      </c>
      <c r="D8089" s="141">
        <f>DATE(A8089,B8089,C8089)</f>
        <v>44951</v>
      </c>
      <c r="E8089" s="275">
        <f>DATE(A8089,B8089,C8089)</f>
        <v>44951</v>
      </c>
      <c r="F8089" s="479" t="s">
        <v>1573</v>
      </c>
      <c r="G8089" s="174" t="s">
        <v>74</v>
      </c>
      <c r="H8089" s="148" t="str" cm="1">
        <f t="array" ref="H8089">IFERROR(INDEX(INVESTOR_LIST[INVESTOR NAME],MATCH(I8089,INVESTOR_LIST[INVESTOR CODE],0),)," ")</f>
        <v xml:space="preserve"> </v>
      </c>
      <c r="J8089" s="133" t="s">
        <v>61</v>
      </c>
      <c r="K8089" s="172">
        <v>805</v>
      </c>
    </row>
    <row r="8090" spans="1:14" x14ac:dyDescent="0.2">
      <c r="A8090" s="163">
        <v>2023</v>
      </c>
      <c r="B8090" s="163">
        <v>1</v>
      </c>
      <c r="C8090" s="163">
        <v>25</v>
      </c>
      <c r="D8090" s="141">
        <f>DATE(A8090,B8090,C8090)</f>
        <v>44951</v>
      </c>
      <c r="E8090" s="275">
        <f>DATE(A8090,B8090,C8090)</f>
        <v>44951</v>
      </c>
      <c r="F8090" s="480"/>
      <c r="G8090" s="221" t="s">
        <v>74</v>
      </c>
      <c r="H8090" s="145" t="str" cm="1">
        <f t="array" ref="H8090">IFERROR(INDEX(INVESTOR_LIST[INVESTOR NAME],MATCH(I8090,INVESTOR_LIST[INVESTOR CODE],0),)," ")</f>
        <v xml:space="preserve"> </v>
      </c>
      <c r="I8090" s="145"/>
      <c r="J8090" s="163" t="s">
        <v>52</v>
      </c>
      <c r="K8090" s="219"/>
      <c r="L8090" s="219">
        <v>805</v>
      </c>
    </row>
    <row r="8091" spans="1:14" x14ac:dyDescent="0.2">
      <c r="A8091" s="133">
        <v>2023</v>
      </c>
      <c r="B8091" s="133">
        <v>1</v>
      </c>
      <c r="C8091" s="168">
        <v>25</v>
      </c>
      <c r="D8091" s="141">
        <f>DATE(A8091,B8091,C8091)</f>
        <v>44951</v>
      </c>
      <c r="E8091" s="275">
        <f>DATE(A8091,B8091,C8091)</f>
        <v>44951</v>
      </c>
      <c r="F8091" s="479" t="s">
        <v>1574</v>
      </c>
      <c r="G8091" s="174" t="s">
        <v>74</v>
      </c>
      <c r="H8091" s="148" t="str" cm="1">
        <f t="array" ref="H8091">IFERROR(INDEX(INVESTOR_LIST[INVESTOR NAME],MATCH(I8091,INVESTOR_LIST[INVESTOR CODE],0),)," ")</f>
        <v xml:space="preserve"> </v>
      </c>
      <c r="J8091" s="133" t="s">
        <v>61</v>
      </c>
      <c r="K8091" s="172">
        <v>230</v>
      </c>
    </row>
    <row r="8092" spans="1:14" x14ac:dyDescent="0.2">
      <c r="A8092" s="163">
        <v>2023</v>
      </c>
      <c r="B8092" s="163">
        <v>1</v>
      </c>
      <c r="C8092" s="163">
        <v>25</v>
      </c>
      <c r="D8092" s="141">
        <f>DATE(A8092,B8092,C8092)</f>
        <v>44951</v>
      </c>
      <c r="E8092" s="275">
        <f>DATE(A8092,B8092,C8092)</f>
        <v>44951</v>
      </c>
      <c r="F8092" s="480"/>
      <c r="G8092" s="221" t="s">
        <v>74</v>
      </c>
      <c r="H8092" s="145" t="str" cm="1">
        <f t="array" ref="H8092">IFERROR(INDEX(INVESTOR_LIST[INVESTOR NAME],MATCH(I8092,INVESTOR_LIST[INVESTOR CODE],0),)," ")</f>
        <v xml:space="preserve"> </v>
      </c>
      <c r="I8092" s="145"/>
      <c r="J8092" s="163" t="s">
        <v>52</v>
      </c>
      <c r="K8092" s="219"/>
      <c r="L8092" s="219">
        <v>230</v>
      </c>
    </row>
    <row r="8093" spans="1:14" x14ac:dyDescent="0.2">
      <c r="A8093" s="324">
        <v>2023</v>
      </c>
      <c r="B8093" s="324">
        <v>1</v>
      </c>
      <c r="C8093" s="325">
        <v>26</v>
      </c>
      <c r="D8093" s="326">
        <f t="shared" ref="D8093:D8096" si="798">DATE(A8093,B8093,C8093)</f>
        <v>44952</v>
      </c>
      <c r="E8093" s="327">
        <f t="shared" ref="E8093:E8096" si="799">DATE(A8093,B8093,C8093)</f>
        <v>44952</v>
      </c>
      <c r="F8093" s="473" t="s">
        <v>1490</v>
      </c>
      <c r="G8093" s="328" t="s">
        <v>94</v>
      </c>
      <c r="H8093" s="329" t="str" cm="1">
        <f t="array" ref="H8093">IFERROR(INDEX(INVESTOR_LIST[INVESTOR NAME],MATCH(I8093,INVESTOR_LIST[INVESTOR CODE],0),)," ")</f>
        <v xml:space="preserve"> </v>
      </c>
      <c r="I8093" s="329" t="s">
        <v>348</v>
      </c>
      <c r="J8093" s="325" t="s">
        <v>133</v>
      </c>
      <c r="K8093" s="330">
        <v>58637</v>
      </c>
      <c r="L8093" s="330"/>
      <c r="M8093" s="160"/>
    </row>
    <row r="8094" spans="1:14" x14ac:dyDescent="0.2">
      <c r="A8094" s="331">
        <v>2023</v>
      </c>
      <c r="B8094" s="331">
        <v>1</v>
      </c>
      <c r="C8094" s="331">
        <v>26</v>
      </c>
      <c r="D8094" s="326">
        <f t="shared" si="798"/>
        <v>44952</v>
      </c>
      <c r="E8094" s="327">
        <f t="shared" si="799"/>
        <v>44952</v>
      </c>
      <c r="F8094" s="474"/>
      <c r="G8094" s="332" t="s">
        <v>94</v>
      </c>
      <c r="H8094" s="333" t="str" cm="1">
        <f t="array" ref="H8094">IFERROR(INDEX(INVESTOR_LIST[INVESTOR NAME],MATCH(I8094,INVESTOR_LIST[INVESTOR CODE],0),)," ")</f>
        <v xml:space="preserve"> </v>
      </c>
      <c r="I8094" s="333" t="s">
        <v>348</v>
      </c>
      <c r="J8094" s="331" t="s">
        <v>152</v>
      </c>
      <c r="K8094" s="334"/>
      <c r="L8094" s="334">
        <v>58637</v>
      </c>
      <c r="M8094" s="160"/>
      <c r="N8094" s="160"/>
    </row>
    <row r="8095" spans="1:14" x14ac:dyDescent="0.2">
      <c r="A8095" s="324">
        <v>2023</v>
      </c>
      <c r="B8095" s="324">
        <v>1</v>
      </c>
      <c r="C8095" s="325">
        <v>26</v>
      </c>
      <c r="D8095" s="326">
        <f t="shared" si="798"/>
        <v>44952</v>
      </c>
      <c r="E8095" s="327">
        <f t="shared" si="799"/>
        <v>44952</v>
      </c>
      <c r="F8095" s="473" t="s">
        <v>1491</v>
      </c>
      <c r="G8095" s="328" t="s">
        <v>94</v>
      </c>
      <c r="H8095" s="329" t="str" cm="1">
        <f t="array" ref="H8095">IFERROR(INDEX(INVESTOR_LIST[INVESTOR NAME],MATCH(I8095,INVESTOR_LIST[INVESTOR CODE],0),)," ")</f>
        <v xml:space="preserve"> </v>
      </c>
      <c r="I8095" s="329" t="s">
        <v>348</v>
      </c>
      <c r="J8095" s="324" t="s">
        <v>133</v>
      </c>
      <c r="K8095" s="330">
        <v>14423.08</v>
      </c>
      <c r="L8095" s="330"/>
      <c r="M8095" s="160"/>
      <c r="N8095" s="160"/>
    </row>
    <row r="8096" spans="1:14" x14ac:dyDescent="0.2">
      <c r="A8096" s="331">
        <v>2023</v>
      </c>
      <c r="B8096" s="331">
        <v>1</v>
      </c>
      <c r="C8096" s="331">
        <v>26</v>
      </c>
      <c r="D8096" s="326">
        <f t="shared" si="798"/>
        <v>44952</v>
      </c>
      <c r="E8096" s="327">
        <f t="shared" si="799"/>
        <v>44952</v>
      </c>
      <c r="F8096" s="474"/>
      <c r="G8096" s="332" t="s">
        <v>94</v>
      </c>
      <c r="H8096" s="333" t="str" cm="1">
        <f t="array" ref="H8096">IFERROR(INDEX(INVESTOR_LIST[INVESTOR NAME],MATCH(I8096,INVESTOR_LIST[INVESTOR CODE],0),)," ")</f>
        <v xml:space="preserve"> </v>
      </c>
      <c r="I8096" s="333" t="s">
        <v>348</v>
      </c>
      <c r="J8096" s="331" t="s">
        <v>152</v>
      </c>
      <c r="K8096" s="334"/>
      <c r="L8096" s="334">
        <v>14423.08</v>
      </c>
      <c r="M8096" s="160"/>
      <c r="N8096" s="160"/>
    </row>
    <row r="8097" spans="1:14" x14ac:dyDescent="0.2">
      <c r="A8097" s="324">
        <v>2023</v>
      </c>
      <c r="B8097" s="324">
        <v>1</v>
      </c>
      <c r="C8097" s="325">
        <v>26</v>
      </c>
      <c r="D8097" s="326">
        <f>DATE(A8097,B8097,C8097)</f>
        <v>44952</v>
      </c>
      <c r="E8097" s="327">
        <f>DATE(A8097,B8097,C8097)</f>
        <v>44952</v>
      </c>
      <c r="F8097" s="473" t="s">
        <v>1531</v>
      </c>
      <c r="G8097" s="328" t="s">
        <v>94</v>
      </c>
      <c r="H8097" s="329" t="str" cm="1">
        <f t="array" ref="H8097">IFERROR(INDEX(INVESTOR_LIST[INVESTOR NAME],MATCH(I8097,INVESTOR_LIST[INVESTOR CODE],0),)," ")</f>
        <v xml:space="preserve"> </v>
      </c>
      <c r="I8097" s="329" t="s">
        <v>348</v>
      </c>
      <c r="J8097" s="324" t="s">
        <v>133</v>
      </c>
      <c r="K8097" s="330">
        <v>5384.6153846153848</v>
      </c>
      <c r="L8097" s="330"/>
      <c r="M8097" s="160"/>
      <c r="N8097" s="160"/>
    </row>
    <row r="8098" spans="1:14" x14ac:dyDescent="0.2">
      <c r="A8098" s="331">
        <v>2023</v>
      </c>
      <c r="B8098" s="331">
        <v>1</v>
      </c>
      <c r="C8098" s="331">
        <v>26</v>
      </c>
      <c r="D8098" s="326">
        <f>DATE(A8098,B8098,C8098)</f>
        <v>44952</v>
      </c>
      <c r="E8098" s="327">
        <f>DATE(A8098,B8098,C8098)</f>
        <v>44952</v>
      </c>
      <c r="F8098" s="474"/>
      <c r="G8098" s="332" t="s">
        <v>94</v>
      </c>
      <c r="H8098" s="333" t="str" cm="1">
        <f t="array" ref="H8098">IFERROR(INDEX(INVESTOR_LIST[INVESTOR NAME],MATCH(I8098,INVESTOR_LIST[INVESTOR CODE],0),)," ")</f>
        <v xml:space="preserve"> </v>
      </c>
      <c r="I8098" s="333" t="s">
        <v>348</v>
      </c>
      <c r="J8098" s="331" t="s">
        <v>152</v>
      </c>
      <c r="K8098" s="334"/>
      <c r="L8098" s="334">
        <v>5384.6153846153848</v>
      </c>
      <c r="M8098" s="160"/>
      <c r="N8098" s="160"/>
    </row>
    <row r="8099" spans="1:14" x14ac:dyDescent="0.2">
      <c r="A8099" s="238">
        <v>2023</v>
      </c>
      <c r="B8099" s="238">
        <v>1</v>
      </c>
      <c r="C8099" s="238">
        <v>26</v>
      </c>
      <c r="D8099" s="270">
        <f t="shared" ref="D8099:D8121" si="800">DATE(A8099,B8099,C8099)</f>
        <v>44952</v>
      </c>
      <c r="E8099" s="279">
        <f t="shared" ref="E8099:E8121" si="801">DATE(A8099,B8099,C8099)</f>
        <v>44952</v>
      </c>
      <c r="F8099" s="477" t="s">
        <v>347</v>
      </c>
      <c r="G8099" s="239" t="s">
        <v>94</v>
      </c>
      <c r="H8099" s="239" t="str" cm="1">
        <f t="array" ref="H8099">IFERROR(INDEX(INVESTOR_LIST[INVESTOR NAME],MATCH(I8099,INVESTOR_LIST[INVESTOR CODE],0),)," ")</f>
        <v xml:space="preserve"> </v>
      </c>
      <c r="I8099" s="262" t="s">
        <v>348</v>
      </c>
      <c r="J8099" s="240" t="s">
        <v>108</v>
      </c>
      <c r="K8099" s="241">
        <v>550641.22999988496</v>
      </c>
      <c r="L8099" s="241"/>
    </row>
    <row r="8100" spans="1:14" x14ac:dyDescent="0.2">
      <c r="A8100" s="242">
        <v>2023</v>
      </c>
      <c r="B8100" s="242">
        <v>1</v>
      </c>
      <c r="C8100" s="242">
        <v>26</v>
      </c>
      <c r="D8100" s="270">
        <f t="shared" si="800"/>
        <v>44952</v>
      </c>
      <c r="E8100" s="279">
        <f t="shared" si="801"/>
        <v>44952</v>
      </c>
      <c r="F8100" s="478"/>
      <c r="G8100" s="243" t="s">
        <v>94</v>
      </c>
      <c r="H8100" s="243" t="str" cm="1">
        <f t="array" ref="H8100">IFERROR(INDEX(INVESTOR_LIST[INVESTOR NAME],MATCH(I8100,INVESTOR_LIST[INVESTOR CODE],0),)," ")</f>
        <v xml:space="preserve"> </v>
      </c>
      <c r="I8100" s="263" t="s">
        <v>348</v>
      </c>
      <c r="J8100" s="244" t="s">
        <v>82</v>
      </c>
      <c r="K8100" s="245"/>
      <c r="L8100" s="245">
        <v>550641.22999988496</v>
      </c>
    </row>
    <row r="8101" spans="1:14" ht="22.5" x14ac:dyDescent="0.2">
      <c r="A8101" s="246">
        <v>2023</v>
      </c>
      <c r="B8101" s="238">
        <v>1</v>
      </c>
      <c r="C8101" s="238">
        <v>26</v>
      </c>
      <c r="D8101" s="270">
        <f t="shared" si="800"/>
        <v>44952</v>
      </c>
      <c r="E8101" s="279">
        <f t="shared" si="801"/>
        <v>44952</v>
      </c>
      <c r="F8101" s="482" t="s">
        <v>148</v>
      </c>
      <c r="G8101" s="247" t="s">
        <v>94</v>
      </c>
      <c r="H8101" s="247" t="str" cm="1">
        <f t="array" ref="H8101">IFERROR(INDEX(INVESTOR_LIST[INVESTOR NAME],MATCH(I8101,INVESTOR_LIST[INVESTOR CODE],0),)," ")</f>
        <v xml:space="preserve"> </v>
      </c>
      <c r="I8101" s="248" t="s">
        <v>348</v>
      </c>
      <c r="J8101" s="249" t="s">
        <v>95</v>
      </c>
      <c r="K8101" s="250">
        <v>10989.010989010989</v>
      </c>
      <c r="L8101" s="241"/>
    </row>
    <row r="8102" spans="1:14" x14ac:dyDescent="0.2">
      <c r="A8102" s="242">
        <v>2023</v>
      </c>
      <c r="B8102" s="242">
        <v>1</v>
      </c>
      <c r="C8102" s="242">
        <v>26</v>
      </c>
      <c r="D8102" s="270">
        <f t="shared" si="800"/>
        <v>44952</v>
      </c>
      <c r="E8102" s="279">
        <f t="shared" si="801"/>
        <v>44952</v>
      </c>
      <c r="F8102" s="478"/>
      <c r="G8102" s="243" t="s">
        <v>94</v>
      </c>
      <c r="H8102" s="243" t="str" cm="1">
        <f t="array" ref="H8102">IFERROR(INDEX(INVESTOR_LIST[INVESTOR NAME],MATCH(I8102,INVESTOR_LIST[INVESTOR CODE],0),)," ")</f>
        <v xml:space="preserve"> </v>
      </c>
      <c r="I8102" s="263" t="s">
        <v>348</v>
      </c>
      <c r="J8102" s="244" t="s">
        <v>63</v>
      </c>
      <c r="K8102" s="245"/>
      <c r="L8102" s="245">
        <v>10989.010989010989</v>
      </c>
    </row>
    <row r="8103" spans="1:14" x14ac:dyDescent="0.2">
      <c r="A8103" s="246">
        <v>2023</v>
      </c>
      <c r="B8103" s="238">
        <v>1</v>
      </c>
      <c r="C8103" s="238">
        <v>26</v>
      </c>
      <c r="D8103" s="270">
        <f t="shared" si="800"/>
        <v>44952</v>
      </c>
      <c r="E8103" s="279">
        <f t="shared" si="801"/>
        <v>44952</v>
      </c>
      <c r="F8103" s="482" t="s">
        <v>137</v>
      </c>
      <c r="G8103" s="247" t="s">
        <v>94</v>
      </c>
      <c r="H8103" s="247" t="str" cm="1">
        <f t="array" ref="H8103">IFERROR(INDEX(INVESTOR_LIST[INVESTOR NAME],MATCH(I8103,INVESTOR_LIST[INVESTOR CODE],0),)," ")</f>
        <v xml:space="preserve"> </v>
      </c>
      <c r="I8103" s="248" t="s">
        <v>348</v>
      </c>
      <c r="J8103" s="249" t="s">
        <v>97</v>
      </c>
      <c r="K8103" s="250">
        <v>304883.52114515647</v>
      </c>
      <c r="L8103" s="252"/>
    </row>
    <row r="8104" spans="1:14" x14ac:dyDescent="0.2">
      <c r="A8104" s="242">
        <v>2023</v>
      </c>
      <c r="B8104" s="242">
        <v>1</v>
      </c>
      <c r="C8104" s="242">
        <v>26</v>
      </c>
      <c r="D8104" s="270">
        <f t="shared" si="800"/>
        <v>44952</v>
      </c>
      <c r="E8104" s="279">
        <f t="shared" si="801"/>
        <v>44952</v>
      </c>
      <c r="F8104" s="478"/>
      <c r="G8104" s="243" t="s">
        <v>94</v>
      </c>
      <c r="H8104" s="243" t="str" cm="1">
        <f t="array" ref="H8104">IFERROR(INDEX(INVESTOR_LIST[INVESTOR NAME],MATCH(I8104,INVESTOR_LIST[INVESTOR CODE],0),)," ")</f>
        <v xml:space="preserve"> </v>
      </c>
      <c r="I8104" s="263" t="s">
        <v>348</v>
      </c>
      <c r="J8104" s="244" t="s">
        <v>47</v>
      </c>
      <c r="K8104" s="245"/>
      <c r="L8104" s="245">
        <v>304883.52114515647</v>
      </c>
    </row>
    <row r="8105" spans="1:14" x14ac:dyDescent="0.2">
      <c r="A8105" s="246">
        <v>2023</v>
      </c>
      <c r="B8105" s="238">
        <v>1</v>
      </c>
      <c r="C8105" s="238">
        <v>26</v>
      </c>
      <c r="D8105" s="270">
        <f t="shared" si="800"/>
        <v>44952</v>
      </c>
      <c r="E8105" s="279">
        <f t="shared" si="801"/>
        <v>44952</v>
      </c>
      <c r="F8105" s="482" t="s">
        <v>138</v>
      </c>
      <c r="G8105" s="247" t="s">
        <v>94</v>
      </c>
      <c r="H8105" s="247" t="str" cm="1">
        <f t="array" ref="H8105">IFERROR(INDEX(INVESTOR_LIST[INVESTOR NAME],MATCH(I8105,INVESTOR_LIST[INVESTOR CODE],0),)," ")</f>
        <v xml:space="preserve"> </v>
      </c>
      <c r="I8105" s="248" t="s">
        <v>348</v>
      </c>
      <c r="J8105" s="249" t="s">
        <v>100</v>
      </c>
      <c r="K8105" s="250">
        <v>14282.637595719363</v>
      </c>
      <c r="L8105" s="252"/>
    </row>
    <row r="8106" spans="1:14" ht="10.9" customHeight="1" x14ac:dyDescent="0.2">
      <c r="A8106" s="242">
        <v>2023</v>
      </c>
      <c r="B8106" s="242">
        <v>1</v>
      </c>
      <c r="C8106" s="242">
        <v>26</v>
      </c>
      <c r="D8106" s="321">
        <f t="shared" si="800"/>
        <v>44952</v>
      </c>
      <c r="E8106" s="322">
        <f t="shared" si="801"/>
        <v>44952</v>
      </c>
      <c r="F8106" s="478"/>
      <c r="G8106" s="243" t="s">
        <v>94</v>
      </c>
      <c r="H8106" s="243" t="str" cm="1">
        <f t="array" ref="H8106">IFERROR(INDEX(INVESTOR_LIST[INVESTOR NAME],MATCH(I8106,INVESTOR_LIST[INVESTOR CODE],0),)," ")</f>
        <v xml:space="preserve"> </v>
      </c>
      <c r="I8106" s="263" t="s">
        <v>348</v>
      </c>
      <c r="J8106" s="244" t="s">
        <v>48</v>
      </c>
      <c r="K8106" s="245"/>
      <c r="L8106" s="245">
        <v>14282.637595719363</v>
      </c>
    </row>
    <row r="8107" spans="1:14" x14ac:dyDescent="0.2">
      <c r="A8107" s="168">
        <v>2023</v>
      </c>
      <c r="B8107" s="168">
        <v>1</v>
      </c>
      <c r="C8107" s="168">
        <v>29</v>
      </c>
      <c r="D8107" s="141">
        <f t="shared" ref="D8107:D8112" si="802">DATE(A8107,B8107,C8107)</f>
        <v>44955</v>
      </c>
      <c r="E8107" s="275">
        <f t="shared" ref="E8107:E8112" si="803">DATE(A8107,B8107,C8107)</f>
        <v>44955</v>
      </c>
      <c r="F8107" s="479" t="s">
        <v>1319</v>
      </c>
      <c r="G8107" s="220" t="s">
        <v>74</v>
      </c>
      <c r="H8107" s="142" t="str" cm="1">
        <f t="array" ref="H8107">IFERROR(INDEX(INVESTOR_LIST[INVESTOR NAME],MATCH(I8107,INVESTOR_LIST[INVESTOR CODE],0),)," ")</f>
        <v xml:space="preserve"> </v>
      </c>
      <c r="I8107" s="142"/>
      <c r="J8107" s="168" t="s">
        <v>52</v>
      </c>
      <c r="K8107" s="226">
        <v>455000</v>
      </c>
      <c r="L8107" s="226"/>
    </row>
    <row r="8108" spans="1:14" x14ac:dyDescent="0.2">
      <c r="A8108" s="133">
        <v>2023</v>
      </c>
      <c r="B8108" s="133">
        <v>1</v>
      </c>
      <c r="C8108" s="133">
        <v>29</v>
      </c>
      <c r="D8108" s="141">
        <f t="shared" si="802"/>
        <v>44955</v>
      </c>
      <c r="E8108" s="275">
        <f t="shared" si="803"/>
        <v>44955</v>
      </c>
      <c r="F8108" s="481"/>
      <c r="G8108" s="174" t="s">
        <v>74</v>
      </c>
      <c r="H8108" s="148" t="str" cm="1">
        <f t="array" ref="H8108">IFERROR(INDEX(INVESTOR_LIST[INVESTOR NAME],MATCH(I8108,INVESTOR_LIST[INVESTOR CODE],0),)," ")</f>
        <v xml:space="preserve"> </v>
      </c>
      <c r="J8108" s="133" t="s">
        <v>13</v>
      </c>
      <c r="K8108" s="218"/>
      <c r="L8108" s="218">
        <v>372320</v>
      </c>
    </row>
    <row r="8109" spans="1:14" x14ac:dyDescent="0.2">
      <c r="A8109" s="163">
        <v>2023</v>
      </c>
      <c r="B8109" s="163">
        <v>1</v>
      </c>
      <c r="C8109" s="163">
        <v>29</v>
      </c>
      <c r="D8109" s="280">
        <f t="shared" si="802"/>
        <v>44955</v>
      </c>
      <c r="E8109" s="281">
        <f t="shared" si="803"/>
        <v>44955</v>
      </c>
      <c r="F8109" s="480"/>
      <c r="G8109" s="221" t="s">
        <v>74</v>
      </c>
      <c r="H8109" s="145" t="str" cm="1">
        <f t="array" ref="H8109">IFERROR(INDEX(INVESTOR_LIST[INVESTOR NAME],MATCH(I8109,INVESTOR_LIST[INVESTOR CODE],0),)," ")</f>
        <v xml:space="preserve"> </v>
      </c>
      <c r="I8109" s="145"/>
      <c r="J8109" s="163" t="s">
        <v>53</v>
      </c>
      <c r="K8109" s="219"/>
      <c r="L8109" s="219">
        <v>82680</v>
      </c>
    </row>
    <row r="8110" spans="1:14" ht="45" x14ac:dyDescent="0.2">
      <c r="A8110" s="168">
        <v>2023</v>
      </c>
      <c r="B8110" s="168">
        <v>1</v>
      </c>
      <c r="C8110" s="133">
        <v>29</v>
      </c>
      <c r="D8110" s="141">
        <f t="shared" si="802"/>
        <v>44955</v>
      </c>
      <c r="E8110" s="275">
        <f t="shared" si="803"/>
        <v>44955</v>
      </c>
      <c r="F8110" s="479" t="s">
        <v>1310</v>
      </c>
      <c r="G8110" s="220" t="s">
        <v>74</v>
      </c>
      <c r="H8110" s="142" t="str" cm="1">
        <f t="array" ref="H8110">IFERROR(INDEX(INVESTOR_LIST[INVESTOR NAME],MATCH(I8110,INVESTOR_LIST[INVESTOR CODE],0),)," ")</f>
        <v>MD ABDULLAH-AL- MAMUN</v>
      </c>
      <c r="I8110" s="142" t="s">
        <v>724</v>
      </c>
      <c r="J8110" s="168" t="s">
        <v>13</v>
      </c>
      <c r="K8110" s="226">
        <v>8180</v>
      </c>
      <c r="L8110" s="226"/>
    </row>
    <row r="8111" spans="1:14" ht="45" x14ac:dyDescent="0.2">
      <c r="A8111" s="133">
        <v>2023</v>
      </c>
      <c r="B8111" s="133">
        <v>1</v>
      </c>
      <c r="C8111" s="133">
        <v>29</v>
      </c>
      <c r="D8111" s="141">
        <f t="shared" si="802"/>
        <v>44955</v>
      </c>
      <c r="E8111" s="275">
        <f t="shared" si="803"/>
        <v>44955</v>
      </c>
      <c r="F8111" s="481"/>
      <c r="G8111" s="174" t="s">
        <v>74</v>
      </c>
      <c r="H8111" s="148" t="str" cm="1">
        <f t="array" ref="H8111">IFERROR(INDEX(INVESTOR_LIST[INVESTOR NAME],MATCH(I8111,INVESTOR_LIST[INVESTOR CODE],0),)," ")</f>
        <v>MD ABDULLAH-AL- MAMUN</v>
      </c>
      <c r="I8111" s="148" t="s">
        <v>724</v>
      </c>
      <c r="J8111" s="133" t="s">
        <v>53</v>
      </c>
      <c r="K8111" s="218">
        <v>1820</v>
      </c>
      <c r="L8111" s="218"/>
    </row>
    <row r="8112" spans="1:14" ht="45" x14ac:dyDescent="0.2">
      <c r="A8112" s="163">
        <v>2023</v>
      </c>
      <c r="B8112" s="163">
        <v>1</v>
      </c>
      <c r="C8112" s="163">
        <v>29</v>
      </c>
      <c r="D8112" s="280">
        <f t="shared" si="802"/>
        <v>44955</v>
      </c>
      <c r="E8112" s="281">
        <f t="shared" si="803"/>
        <v>44955</v>
      </c>
      <c r="F8112" s="480"/>
      <c r="G8112" s="221" t="s">
        <v>74</v>
      </c>
      <c r="H8112" s="145" t="str" cm="1">
        <f t="array" ref="H8112">IFERROR(INDEX(INVESTOR_LIST[INVESTOR NAME],MATCH(I8112,INVESTOR_LIST[INVESTOR CODE],0),)," ")</f>
        <v>MD ABDULLAH-AL- MAMUN</v>
      </c>
      <c r="I8112" s="145" t="s">
        <v>724</v>
      </c>
      <c r="J8112" s="163" t="s">
        <v>52</v>
      </c>
      <c r="K8112" s="219"/>
      <c r="L8112" s="219">
        <v>10000</v>
      </c>
    </row>
    <row r="8113" spans="1:13" x14ac:dyDescent="0.2">
      <c r="A8113" s="168">
        <v>2023</v>
      </c>
      <c r="B8113" s="168">
        <v>1</v>
      </c>
      <c r="C8113" s="168">
        <v>29</v>
      </c>
      <c r="D8113" s="141">
        <f>DATE(A8113,B8113,C8113)</f>
        <v>44955</v>
      </c>
      <c r="E8113" s="275">
        <f>DATE(A8113,B8113,C8113)</f>
        <v>44955</v>
      </c>
      <c r="F8113" s="479" t="s">
        <v>1500</v>
      </c>
      <c r="G8113" s="220" t="s">
        <v>74</v>
      </c>
      <c r="H8113" s="220" t="str" cm="1">
        <f t="array" ref="H8113">IFERROR(INDEX(INVESTOR_LIST[INVESTOR NAME],MATCH(I8113,INVESTOR_LIST[INVESTOR CODE],0),)," ")</f>
        <v xml:space="preserve"> </v>
      </c>
      <c r="I8113" s="142"/>
      <c r="J8113" s="143" t="s">
        <v>52</v>
      </c>
      <c r="K8113" s="226">
        <v>1269710.3999999999</v>
      </c>
      <c r="L8113" s="226"/>
    </row>
    <row r="8114" spans="1:13" x14ac:dyDescent="0.2">
      <c r="A8114" s="163">
        <v>2023</v>
      </c>
      <c r="B8114" s="163">
        <v>1</v>
      </c>
      <c r="C8114" s="163">
        <v>29</v>
      </c>
      <c r="D8114" s="141">
        <f>DATE(A8114,B8114,C8114)</f>
        <v>44955</v>
      </c>
      <c r="E8114" s="275">
        <f>DATE(A8114,B8114,C8114)</f>
        <v>44955</v>
      </c>
      <c r="F8114" s="480"/>
      <c r="G8114" s="221" t="s">
        <v>74</v>
      </c>
      <c r="H8114" s="221" t="str" cm="1">
        <f t="array" ref="H8114">IFERROR(INDEX(INVESTOR_LIST[INVESTOR NAME],MATCH(I8114,INVESTOR_LIST[INVESTOR CODE],0),)," ")</f>
        <v xml:space="preserve"> </v>
      </c>
      <c r="I8114" s="145"/>
      <c r="J8114" s="146" t="s">
        <v>190</v>
      </c>
      <c r="K8114" s="219"/>
      <c r="L8114" s="219">
        <v>1269710.3999999999</v>
      </c>
    </row>
    <row r="8115" spans="1:13" x14ac:dyDescent="0.2">
      <c r="A8115" s="133">
        <v>2023</v>
      </c>
      <c r="B8115" s="133">
        <v>1</v>
      </c>
      <c r="C8115" s="133">
        <v>29</v>
      </c>
      <c r="D8115" s="141">
        <f t="shared" si="800"/>
        <v>44955</v>
      </c>
      <c r="E8115" s="275">
        <f t="shared" si="801"/>
        <v>44955</v>
      </c>
      <c r="F8115" s="481" t="s">
        <v>1499</v>
      </c>
      <c r="G8115" s="174" t="s">
        <v>94</v>
      </c>
      <c r="H8115" s="174" t="str" cm="1">
        <f t="array" ref="H8115">IFERROR(INDEX(INVESTOR_LIST[INVESTOR NAME],MATCH(I8115,INVESTOR_LIST[INVESTOR CODE],0),)," ")</f>
        <v xml:space="preserve"> </v>
      </c>
      <c r="J8115" s="149" t="s">
        <v>190</v>
      </c>
      <c r="K8115" s="218">
        <v>5403688.6200000001</v>
      </c>
      <c r="L8115" s="218"/>
      <c r="M8115" s="160"/>
    </row>
    <row r="8116" spans="1:13" x14ac:dyDescent="0.2">
      <c r="A8116" s="133">
        <v>2023</v>
      </c>
      <c r="B8116" s="133">
        <v>1</v>
      </c>
      <c r="C8116" s="133">
        <v>29</v>
      </c>
      <c r="D8116" s="141">
        <f t="shared" si="800"/>
        <v>44955</v>
      </c>
      <c r="E8116" s="275">
        <f t="shared" si="801"/>
        <v>44955</v>
      </c>
      <c r="F8116" s="481"/>
      <c r="G8116" s="174" t="s">
        <v>94</v>
      </c>
      <c r="H8116" s="174"/>
      <c r="J8116" s="149" t="s">
        <v>80</v>
      </c>
      <c r="K8116" s="218">
        <v>9744.18</v>
      </c>
      <c r="L8116" s="218"/>
    </row>
    <row r="8117" spans="1:13" x14ac:dyDescent="0.2">
      <c r="A8117" s="133">
        <v>2023</v>
      </c>
      <c r="B8117" s="133">
        <v>1</v>
      </c>
      <c r="C8117" s="133">
        <v>29</v>
      </c>
      <c r="D8117" s="141">
        <f t="shared" si="800"/>
        <v>44955</v>
      </c>
      <c r="E8117" s="275">
        <f t="shared" si="801"/>
        <v>44955</v>
      </c>
      <c r="F8117" s="481"/>
      <c r="G8117" s="174" t="s">
        <v>94</v>
      </c>
      <c r="H8117" s="174" t="str" cm="1">
        <f t="array" ref="H8117">IFERROR(INDEX(INVESTOR_LIST[INVESTOR NAME],MATCH(I8117,INVESTOR_LIST[INVESTOR CODE],0),)," ")</f>
        <v xml:space="preserve"> </v>
      </c>
      <c r="J8117" s="149" t="s">
        <v>191</v>
      </c>
      <c r="K8117" s="218">
        <v>284831.31</v>
      </c>
      <c r="L8117" s="218"/>
    </row>
    <row r="8118" spans="1:13" x14ac:dyDescent="0.2">
      <c r="A8118" s="163">
        <v>2023</v>
      </c>
      <c r="B8118" s="163">
        <v>1</v>
      </c>
      <c r="C8118" s="163">
        <v>29</v>
      </c>
      <c r="D8118" s="280">
        <f t="shared" si="800"/>
        <v>44955</v>
      </c>
      <c r="E8118" s="281">
        <f t="shared" si="801"/>
        <v>44955</v>
      </c>
      <c r="F8118" s="480"/>
      <c r="G8118" s="221" t="s">
        <v>94</v>
      </c>
      <c r="H8118" s="145" t="str" cm="1">
        <f t="array" ref="H8118">IFERROR(INDEX(INVESTOR_LIST[INVESTOR NAME],MATCH(I8118,INVESTOR_LIST[INVESTOR CODE],0),)," ")</f>
        <v xml:space="preserve"> </v>
      </c>
      <c r="I8118" s="145"/>
      <c r="J8118" s="163" t="s">
        <v>79</v>
      </c>
      <c r="K8118" s="219"/>
      <c r="L8118" s="219">
        <v>5698264.1100000003</v>
      </c>
    </row>
    <row r="8119" spans="1:13" ht="33.75" x14ac:dyDescent="0.2">
      <c r="A8119" s="168">
        <v>2023</v>
      </c>
      <c r="B8119" s="168">
        <v>1</v>
      </c>
      <c r="C8119" s="133">
        <v>30</v>
      </c>
      <c r="D8119" s="141">
        <f t="shared" si="800"/>
        <v>44956</v>
      </c>
      <c r="E8119" s="275">
        <f t="shared" si="801"/>
        <v>44956</v>
      </c>
      <c r="F8119" s="479" t="s">
        <v>1315</v>
      </c>
      <c r="G8119" s="220" t="s">
        <v>74</v>
      </c>
      <c r="H8119" s="142" t="str" cm="1">
        <f t="array" ref="H8119">IFERROR(INDEX(INVESTOR_LIST[INVESTOR NAME],MATCH(I8119,INVESTOR_LIST[INVESTOR CODE],0),)," ")</f>
        <v>ARZUN KUMAR SARKAR</v>
      </c>
      <c r="I8119" s="142" t="s">
        <v>479</v>
      </c>
      <c r="J8119" s="168" t="s">
        <v>13</v>
      </c>
      <c r="K8119" s="226">
        <v>329410</v>
      </c>
      <c r="L8119" s="226"/>
    </row>
    <row r="8120" spans="1:13" ht="33.75" x14ac:dyDescent="0.2">
      <c r="A8120" s="133">
        <v>2023</v>
      </c>
      <c r="B8120" s="133">
        <v>1</v>
      </c>
      <c r="C8120" s="133">
        <v>30</v>
      </c>
      <c r="D8120" s="141">
        <f t="shared" si="800"/>
        <v>44956</v>
      </c>
      <c r="E8120" s="275">
        <f t="shared" si="801"/>
        <v>44956</v>
      </c>
      <c r="F8120" s="481"/>
      <c r="G8120" s="174" t="s">
        <v>74</v>
      </c>
      <c r="H8120" s="148" t="str" cm="1">
        <f t="array" ref="H8120">IFERROR(INDEX(INVESTOR_LIST[INVESTOR NAME],MATCH(I8120,INVESTOR_LIST[INVESTOR CODE],0),)," ")</f>
        <v>ARZUN KUMAR SARKAR</v>
      </c>
      <c r="I8120" s="148" t="s">
        <v>479</v>
      </c>
      <c r="J8120" s="133" t="s">
        <v>53</v>
      </c>
      <c r="K8120" s="218">
        <v>73129.02</v>
      </c>
      <c r="L8120" s="218"/>
    </row>
    <row r="8121" spans="1:13" ht="33.75" x14ac:dyDescent="0.2">
      <c r="A8121" s="163">
        <v>2023</v>
      </c>
      <c r="B8121" s="163">
        <v>1</v>
      </c>
      <c r="C8121" s="163">
        <v>30</v>
      </c>
      <c r="D8121" s="280">
        <f t="shared" si="800"/>
        <v>44956</v>
      </c>
      <c r="E8121" s="281">
        <f t="shared" si="801"/>
        <v>44956</v>
      </c>
      <c r="F8121" s="480"/>
      <c r="G8121" s="221" t="s">
        <v>74</v>
      </c>
      <c r="H8121" s="145" t="str" cm="1">
        <f t="array" ref="H8121">IFERROR(INDEX(INVESTOR_LIST[INVESTOR NAME],MATCH(I8121,INVESTOR_LIST[INVESTOR CODE],0),)," ")</f>
        <v>ARZUN KUMAR SARKAR</v>
      </c>
      <c r="I8121" s="145" t="s">
        <v>479</v>
      </c>
      <c r="J8121" s="163" t="s">
        <v>52</v>
      </c>
      <c r="K8121" s="219"/>
      <c r="L8121" s="219">
        <v>402539.02</v>
      </c>
    </row>
    <row r="8122" spans="1:13" ht="33.75" x14ac:dyDescent="0.2">
      <c r="A8122" s="168">
        <v>2023</v>
      </c>
      <c r="B8122" s="168">
        <v>1</v>
      </c>
      <c r="C8122" s="133">
        <v>30</v>
      </c>
      <c r="D8122" s="141">
        <f t="shared" ref="D8122:D8124" si="804">DATE(A8122,B8122,C8122)</f>
        <v>44956</v>
      </c>
      <c r="E8122" s="275">
        <f t="shared" ref="E8122:E8124" si="805">DATE(A8122,B8122,C8122)</f>
        <v>44956</v>
      </c>
      <c r="F8122" s="479" t="s">
        <v>1310</v>
      </c>
      <c r="G8122" s="220" t="s">
        <v>74</v>
      </c>
      <c r="H8122" s="142" t="str" cm="1">
        <f t="array" ref="H8122">IFERROR(INDEX(INVESTOR_LIST[INVESTOR NAME],MATCH(I8122,INVESTOR_LIST[INVESTOR CODE],0),)," ")</f>
        <v>ARZUN KUMAR SARKAR</v>
      </c>
      <c r="I8122" s="142" t="s">
        <v>479</v>
      </c>
      <c r="J8122" s="168" t="s">
        <v>13</v>
      </c>
      <c r="K8122" s="226">
        <v>10450</v>
      </c>
      <c r="L8122" s="226"/>
    </row>
    <row r="8123" spans="1:13" ht="33.75" x14ac:dyDescent="0.2">
      <c r="A8123" s="133">
        <v>2023</v>
      </c>
      <c r="B8123" s="133">
        <v>1</v>
      </c>
      <c r="C8123" s="133">
        <v>30</v>
      </c>
      <c r="D8123" s="141">
        <f t="shared" si="804"/>
        <v>44956</v>
      </c>
      <c r="E8123" s="275">
        <f t="shared" si="805"/>
        <v>44956</v>
      </c>
      <c r="F8123" s="481"/>
      <c r="G8123" s="174" t="s">
        <v>74</v>
      </c>
      <c r="H8123" s="148" t="str" cm="1">
        <f t="array" ref="H8123">IFERROR(INDEX(INVESTOR_LIST[INVESTOR NAME],MATCH(I8123,INVESTOR_LIST[INVESTOR CODE],0),)," ")</f>
        <v>ARZUN KUMAR SARKAR</v>
      </c>
      <c r="I8123" s="148" t="s">
        <v>479</v>
      </c>
      <c r="J8123" s="133" t="s">
        <v>53</v>
      </c>
      <c r="K8123" s="218">
        <v>2319.9</v>
      </c>
      <c r="L8123" s="218"/>
    </row>
    <row r="8124" spans="1:13" ht="33.75" x14ac:dyDescent="0.2">
      <c r="A8124" s="163">
        <v>2023</v>
      </c>
      <c r="B8124" s="163">
        <v>1</v>
      </c>
      <c r="C8124" s="163">
        <v>30</v>
      </c>
      <c r="D8124" s="280">
        <f t="shared" si="804"/>
        <v>44956</v>
      </c>
      <c r="E8124" s="281">
        <f t="shared" si="805"/>
        <v>44956</v>
      </c>
      <c r="F8124" s="480"/>
      <c r="G8124" s="221" t="s">
        <v>74</v>
      </c>
      <c r="H8124" s="145" t="str" cm="1">
        <f t="array" ref="H8124">IFERROR(INDEX(INVESTOR_LIST[INVESTOR NAME],MATCH(I8124,INVESTOR_LIST[INVESTOR CODE],0),)," ")</f>
        <v>ARZUN KUMAR SARKAR</v>
      </c>
      <c r="I8124" s="145" t="s">
        <v>479</v>
      </c>
      <c r="J8124" s="163" t="s">
        <v>52</v>
      </c>
      <c r="K8124" s="219"/>
      <c r="L8124" s="219">
        <v>12769.9</v>
      </c>
    </row>
    <row r="8125" spans="1:13" ht="45" x14ac:dyDescent="0.2">
      <c r="A8125" s="168">
        <v>2023</v>
      </c>
      <c r="B8125" s="168">
        <v>1</v>
      </c>
      <c r="C8125" s="133">
        <v>30</v>
      </c>
      <c r="D8125" s="141">
        <f t="shared" ref="D8125:D8141" si="806">DATE(A8125,B8125,C8125)</f>
        <v>44956</v>
      </c>
      <c r="E8125" s="275">
        <f t="shared" ref="E8125:E8141" si="807">DATE(A8125,B8125,C8125)</f>
        <v>44956</v>
      </c>
      <c r="F8125" s="479" t="s">
        <v>1315</v>
      </c>
      <c r="G8125" s="220" t="s">
        <v>74</v>
      </c>
      <c r="H8125" s="142" t="str" cm="1">
        <f t="array" ref="H8125">IFERROR(INDEX(INVESTOR_LIST[INVESTOR NAME],MATCH(I8125,INVESTOR_LIST[INVESTOR CODE],0),)," ")</f>
        <v>SAMMIR BIN DELOWER</v>
      </c>
      <c r="I8125" s="142" t="s">
        <v>899</v>
      </c>
      <c r="J8125" s="168" t="s">
        <v>13</v>
      </c>
      <c r="K8125" s="226">
        <v>166670</v>
      </c>
      <c r="L8125" s="226"/>
    </row>
    <row r="8126" spans="1:13" ht="45" x14ac:dyDescent="0.2">
      <c r="A8126" s="133">
        <v>2023</v>
      </c>
      <c r="B8126" s="133">
        <v>1</v>
      </c>
      <c r="C8126" s="133">
        <v>30</v>
      </c>
      <c r="D8126" s="141">
        <f t="shared" si="806"/>
        <v>44956</v>
      </c>
      <c r="E8126" s="275">
        <f t="shared" si="807"/>
        <v>44956</v>
      </c>
      <c r="F8126" s="481"/>
      <c r="G8126" s="174" t="s">
        <v>74</v>
      </c>
      <c r="H8126" s="148" t="str" cm="1">
        <f t="array" ref="H8126">IFERROR(INDEX(INVESTOR_LIST[INVESTOR NAME],MATCH(I8126,INVESTOR_LIST[INVESTOR CODE],0),)," ")</f>
        <v>SAMMIR BIN DELOWER</v>
      </c>
      <c r="I8126" s="148" t="s">
        <v>899</v>
      </c>
      <c r="J8126" s="133" t="s">
        <v>53</v>
      </c>
      <c r="K8126" s="218">
        <v>37000.739999999903</v>
      </c>
      <c r="L8126" s="218"/>
    </row>
    <row r="8127" spans="1:13" ht="45" x14ac:dyDescent="0.2">
      <c r="A8127" s="163">
        <v>2023</v>
      </c>
      <c r="B8127" s="163">
        <v>1</v>
      </c>
      <c r="C8127" s="163">
        <v>30</v>
      </c>
      <c r="D8127" s="280">
        <f t="shared" si="806"/>
        <v>44956</v>
      </c>
      <c r="E8127" s="281">
        <f t="shared" si="807"/>
        <v>44956</v>
      </c>
      <c r="F8127" s="480"/>
      <c r="G8127" s="221" t="s">
        <v>74</v>
      </c>
      <c r="H8127" s="145" t="str" cm="1">
        <f t="array" ref="H8127">IFERROR(INDEX(INVESTOR_LIST[INVESTOR NAME],MATCH(I8127,INVESTOR_LIST[INVESTOR CODE],0),)," ")</f>
        <v>SAMMIR BIN DELOWER</v>
      </c>
      <c r="I8127" s="145" t="s">
        <v>899</v>
      </c>
      <c r="J8127" s="163" t="s">
        <v>52</v>
      </c>
      <c r="K8127" s="219"/>
      <c r="L8127" s="219">
        <v>203670.74</v>
      </c>
    </row>
    <row r="8128" spans="1:13" x14ac:dyDescent="0.2">
      <c r="A8128" s="133">
        <v>2023</v>
      </c>
      <c r="B8128" s="133">
        <v>1</v>
      </c>
      <c r="C8128" s="133">
        <v>30</v>
      </c>
      <c r="D8128" s="141">
        <f t="shared" si="806"/>
        <v>44956</v>
      </c>
      <c r="E8128" s="275">
        <f t="shared" si="807"/>
        <v>44956</v>
      </c>
      <c r="F8128" s="481" t="s">
        <v>1499</v>
      </c>
      <c r="G8128" s="174" t="s">
        <v>94</v>
      </c>
      <c r="H8128" s="174" t="str" cm="1">
        <f t="array" ref="H8128">IFERROR(INDEX(INVESTOR_LIST[INVESTOR NAME],MATCH(I8128,INVESTOR_LIST[INVESTOR CODE],0),)," ")</f>
        <v xml:space="preserve"> </v>
      </c>
      <c r="J8128" s="149" t="s">
        <v>190</v>
      </c>
      <c r="K8128" s="218">
        <v>1634754.44</v>
      </c>
      <c r="L8128" s="218"/>
      <c r="M8128" s="160"/>
    </row>
    <row r="8129" spans="1:13" x14ac:dyDescent="0.2">
      <c r="A8129" s="133">
        <v>2023</v>
      </c>
      <c r="B8129" s="133">
        <v>1</v>
      </c>
      <c r="C8129" s="133">
        <v>30</v>
      </c>
      <c r="D8129" s="141">
        <f t="shared" si="806"/>
        <v>44956</v>
      </c>
      <c r="E8129" s="275">
        <f t="shared" si="807"/>
        <v>44956</v>
      </c>
      <c r="F8129" s="481"/>
      <c r="G8129" s="174" t="s">
        <v>94</v>
      </c>
      <c r="H8129" s="174"/>
      <c r="J8129" s="149" t="s">
        <v>80</v>
      </c>
      <c r="K8129" s="218">
        <v>2947.86</v>
      </c>
      <c r="L8129" s="218"/>
    </row>
    <row r="8130" spans="1:13" x14ac:dyDescent="0.2">
      <c r="A8130" s="133">
        <v>2023</v>
      </c>
      <c r="B8130" s="133">
        <v>1</v>
      </c>
      <c r="C8130" s="133">
        <v>30</v>
      </c>
      <c r="D8130" s="141">
        <f t="shared" si="806"/>
        <v>44956</v>
      </c>
      <c r="E8130" s="275">
        <f t="shared" si="807"/>
        <v>44956</v>
      </c>
      <c r="F8130" s="481"/>
      <c r="G8130" s="174" t="s">
        <v>94</v>
      </c>
      <c r="H8130" s="174" t="str" cm="1">
        <f t="array" ref="H8130">IFERROR(INDEX(INVESTOR_LIST[INVESTOR NAME],MATCH(I8130,INVESTOR_LIST[INVESTOR CODE],0),)," ")</f>
        <v xml:space="preserve"> </v>
      </c>
      <c r="J8130" s="149" t="s">
        <v>191</v>
      </c>
      <c r="K8130" s="218">
        <v>86124.3</v>
      </c>
      <c r="L8130" s="218"/>
    </row>
    <row r="8131" spans="1:13" x14ac:dyDescent="0.2">
      <c r="A8131" s="163">
        <v>2023</v>
      </c>
      <c r="B8131" s="163">
        <v>1</v>
      </c>
      <c r="C8131" s="163">
        <v>30</v>
      </c>
      <c r="D8131" s="280">
        <f t="shared" si="806"/>
        <v>44956</v>
      </c>
      <c r="E8131" s="281">
        <f t="shared" si="807"/>
        <v>44956</v>
      </c>
      <c r="F8131" s="480"/>
      <c r="G8131" s="221" t="s">
        <v>94</v>
      </c>
      <c r="H8131" s="145" t="str" cm="1">
        <f t="array" ref="H8131">IFERROR(INDEX(INVESTOR_LIST[INVESTOR NAME],MATCH(I8131,INVESTOR_LIST[INVESTOR CODE],0),)," ")</f>
        <v xml:space="preserve"> </v>
      </c>
      <c r="I8131" s="145"/>
      <c r="J8131" s="163" t="s">
        <v>79</v>
      </c>
      <c r="K8131" s="219"/>
      <c r="L8131" s="219">
        <v>1723826.6</v>
      </c>
    </row>
    <row r="8132" spans="1:13" x14ac:dyDescent="0.2">
      <c r="A8132" s="168">
        <v>2023</v>
      </c>
      <c r="B8132" s="168">
        <v>1</v>
      </c>
      <c r="C8132" s="168">
        <v>31</v>
      </c>
      <c r="D8132" s="141">
        <f>DATE(A8132,B8132,C8132)</f>
        <v>44957</v>
      </c>
      <c r="E8132" s="275">
        <f>DATE(A8132,B8132,C8132)</f>
        <v>44957</v>
      </c>
      <c r="F8132" s="479" t="s">
        <v>1500</v>
      </c>
      <c r="G8132" s="220" t="s">
        <v>74</v>
      </c>
      <c r="H8132" s="220" t="str" cm="1">
        <f t="array" ref="H8132">IFERROR(INDEX(INVESTOR_LIST[INVESTOR NAME],MATCH(I8132,INVESTOR_LIST[INVESTOR CODE],0),)," ")</f>
        <v xml:space="preserve"> </v>
      </c>
      <c r="I8132" s="142"/>
      <c r="J8132" s="143" t="s">
        <v>52</v>
      </c>
      <c r="K8132" s="226">
        <v>5403688.6200000001</v>
      </c>
      <c r="L8132" s="226"/>
    </row>
    <row r="8133" spans="1:13" x14ac:dyDescent="0.2">
      <c r="A8133" s="163">
        <v>2023</v>
      </c>
      <c r="B8133" s="163">
        <v>1</v>
      </c>
      <c r="C8133" s="163">
        <v>31</v>
      </c>
      <c r="D8133" s="141">
        <f>DATE(A8133,B8133,C8133)</f>
        <v>44957</v>
      </c>
      <c r="E8133" s="275">
        <f>DATE(A8133,B8133,C8133)</f>
        <v>44957</v>
      </c>
      <c r="F8133" s="480"/>
      <c r="G8133" s="221" t="s">
        <v>74</v>
      </c>
      <c r="H8133" s="221" t="str" cm="1">
        <f t="array" ref="H8133">IFERROR(INDEX(INVESTOR_LIST[INVESTOR NAME],MATCH(I8133,INVESTOR_LIST[INVESTOR CODE],0),)," ")</f>
        <v xml:space="preserve"> </v>
      </c>
      <c r="I8133" s="145"/>
      <c r="J8133" s="146" t="s">
        <v>190</v>
      </c>
      <c r="K8133" s="219"/>
      <c r="L8133" s="219">
        <v>5403688.6200000001</v>
      </c>
    </row>
    <row r="8134" spans="1:13" x14ac:dyDescent="0.2">
      <c r="A8134" s="133">
        <v>2023</v>
      </c>
      <c r="B8134" s="133">
        <v>1</v>
      </c>
      <c r="C8134" s="133">
        <v>31</v>
      </c>
      <c r="D8134" s="141">
        <f t="shared" ref="D8134:D8138" si="808">DATE(A8134,B8134,C8134)</f>
        <v>44957</v>
      </c>
      <c r="E8134" s="275">
        <f t="shared" ref="E8134:E8138" si="809">DATE(A8134,B8134,C8134)</f>
        <v>44957</v>
      </c>
      <c r="F8134" s="481" t="s">
        <v>1554</v>
      </c>
      <c r="G8134" s="174" t="s">
        <v>94</v>
      </c>
      <c r="H8134" s="174" t="str" cm="1">
        <f t="array" ref="H8134">IFERROR(INDEX(INVESTOR_LIST[INVESTOR NAME],MATCH(I8134,INVESTOR_LIST[INVESTOR CODE],0),)," ")</f>
        <v xml:space="preserve"> </v>
      </c>
      <c r="J8134" s="149" t="s">
        <v>79</v>
      </c>
      <c r="K8134" s="218">
        <v>274100</v>
      </c>
      <c r="L8134" s="218"/>
      <c r="M8134" s="160"/>
    </row>
    <row r="8135" spans="1:13" x14ac:dyDescent="0.2">
      <c r="A8135" s="133">
        <v>2023</v>
      </c>
      <c r="B8135" s="133">
        <v>1</v>
      </c>
      <c r="C8135" s="133">
        <v>31</v>
      </c>
      <c r="D8135" s="141">
        <f t="shared" si="808"/>
        <v>44957</v>
      </c>
      <c r="E8135" s="275">
        <f t="shared" si="809"/>
        <v>44957</v>
      </c>
      <c r="F8135" s="481"/>
      <c r="G8135" s="174" t="s">
        <v>94</v>
      </c>
      <c r="H8135" s="174"/>
      <c r="J8135" s="149" t="s">
        <v>80</v>
      </c>
      <c r="K8135" s="218">
        <v>1336.8400000000001</v>
      </c>
      <c r="L8135" s="218"/>
    </row>
    <row r="8136" spans="1:13" x14ac:dyDescent="0.2">
      <c r="A8136" s="133">
        <v>2023</v>
      </c>
      <c r="B8136" s="133">
        <v>1</v>
      </c>
      <c r="C8136" s="133">
        <v>31</v>
      </c>
      <c r="D8136" s="141">
        <f t="shared" si="808"/>
        <v>44957</v>
      </c>
      <c r="E8136" s="275">
        <f t="shared" si="809"/>
        <v>44957</v>
      </c>
      <c r="F8136" s="481"/>
      <c r="G8136" s="174" t="s">
        <v>94</v>
      </c>
      <c r="H8136" s="174"/>
      <c r="J8136" s="149" t="s">
        <v>190</v>
      </c>
      <c r="K8136" s="218">
        <v>193154.16</v>
      </c>
      <c r="L8136" s="218"/>
    </row>
    <row r="8137" spans="1:13" x14ac:dyDescent="0.2">
      <c r="A8137" s="133">
        <v>2023</v>
      </c>
      <c r="B8137" s="133">
        <v>1</v>
      </c>
      <c r="C8137" s="133">
        <v>31</v>
      </c>
      <c r="D8137" s="141">
        <f t="shared" si="808"/>
        <v>44957</v>
      </c>
      <c r="E8137" s="275">
        <f t="shared" si="809"/>
        <v>44957</v>
      </c>
      <c r="F8137" s="481"/>
      <c r="G8137" s="174" t="s">
        <v>94</v>
      </c>
      <c r="H8137" s="174" t="str" cm="1">
        <f t="array" ref="H8137">IFERROR(INDEX(INVESTOR_LIST[INVESTOR NAME],MATCH(I8137,INVESTOR_LIST[INVESTOR CODE],0),)," ")</f>
        <v xml:space="preserve"> </v>
      </c>
      <c r="J8137" s="149" t="s">
        <v>191</v>
      </c>
      <c r="K8137" s="218">
        <v>24749.89</v>
      </c>
      <c r="L8137" s="218"/>
    </row>
    <row r="8138" spans="1:13" x14ac:dyDescent="0.2">
      <c r="A8138" s="163">
        <v>2023</v>
      </c>
      <c r="B8138" s="163">
        <v>1</v>
      </c>
      <c r="C8138" s="163">
        <v>31</v>
      </c>
      <c r="D8138" s="280">
        <f t="shared" si="808"/>
        <v>44957</v>
      </c>
      <c r="E8138" s="281">
        <f t="shared" si="809"/>
        <v>44957</v>
      </c>
      <c r="F8138" s="480"/>
      <c r="G8138" s="221" t="s">
        <v>94</v>
      </c>
      <c r="H8138" s="145" t="str" cm="1">
        <f t="array" ref="H8138">IFERROR(INDEX(INVESTOR_LIST[INVESTOR NAME],MATCH(I8138,INVESTOR_LIST[INVESTOR CODE],0),)," ")</f>
        <v xml:space="preserve"> </v>
      </c>
      <c r="I8138" s="145"/>
      <c r="J8138" s="163" t="s">
        <v>79</v>
      </c>
      <c r="K8138" s="219"/>
      <c r="L8138" s="219">
        <v>493340.89</v>
      </c>
    </row>
    <row r="8139" spans="1:13" ht="45" x14ac:dyDescent="0.2">
      <c r="A8139" s="168">
        <v>2023</v>
      </c>
      <c r="B8139" s="168">
        <v>2</v>
      </c>
      <c r="C8139" s="133">
        <v>1</v>
      </c>
      <c r="D8139" s="141">
        <f t="shared" si="806"/>
        <v>44958</v>
      </c>
      <c r="E8139" s="275">
        <f t="shared" si="807"/>
        <v>44958</v>
      </c>
      <c r="F8139" s="479" t="s">
        <v>1315</v>
      </c>
      <c r="G8139" s="220" t="s">
        <v>74</v>
      </c>
      <c r="H8139" s="142" t="str" cm="1">
        <f t="array" ref="H8139">IFERROR(INDEX(INVESTOR_LIST[INVESTOR NAME],MATCH(I8139,INVESTOR_LIST[INVESTOR CODE],0),)," ")</f>
        <v>MD. NIAZ MURSHED</v>
      </c>
      <c r="I8139" s="142" t="s">
        <v>646</v>
      </c>
      <c r="J8139" s="168" t="s">
        <v>13</v>
      </c>
      <c r="K8139" s="226">
        <v>81830</v>
      </c>
      <c r="L8139" s="226"/>
    </row>
    <row r="8140" spans="1:13" ht="45" x14ac:dyDescent="0.2">
      <c r="A8140" s="133">
        <v>2023</v>
      </c>
      <c r="B8140" s="133">
        <v>2</v>
      </c>
      <c r="C8140" s="133">
        <v>1</v>
      </c>
      <c r="D8140" s="141">
        <f t="shared" si="806"/>
        <v>44958</v>
      </c>
      <c r="E8140" s="275">
        <f t="shared" si="807"/>
        <v>44958</v>
      </c>
      <c r="F8140" s="481"/>
      <c r="G8140" s="174" t="s">
        <v>74</v>
      </c>
      <c r="H8140" s="148" t="str" cm="1">
        <f t="array" ref="H8140">IFERROR(INDEX(INVESTOR_LIST[INVESTOR NAME],MATCH(I8140,INVESTOR_LIST[INVESTOR CODE],0),)," ")</f>
        <v>MD. NIAZ MURSHED</v>
      </c>
      <c r="I8140" s="148" t="s">
        <v>646</v>
      </c>
      <c r="J8140" s="133" t="s">
        <v>53</v>
      </c>
      <c r="K8140" s="218">
        <v>18170</v>
      </c>
      <c r="L8140" s="218"/>
    </row>
    <row r="8141" spans="1:13" ht="45" x14ac:dyDescent="0.2">
      <c r="A8141" s="163">
        <v>2023</v>
      </c>
      <c r="B8141" s="163">
        <v>2</v>
      </c>
      <c r="C8141" s="163">
        <v>1</v>
      </c>
      <c r="D8141" s="280">
        <f t="shared" si="806"/>
        <v>44958</v>
      </c>
      <c r="E8141" s="281">
        <f t="shared" si="807"/>
        <v>44958</v>
      </c>
      <c r="F8141" s="480"/>
      <c r="G8141" s="221" t="s">
        <v>74</v>
      </c>
      <c r="H8141" s="145" t="str" cm="1">
        <f t="array" ref="H8141">IFERROR(INDEX(INVESTOR_LIST[INVESTOR NAME],MATCH(I8141,INVESTOR_LIST[INVESTOR CODE],0),)," ")</f>
        <v>MD. NIAZ MURSHED</v>
      </c>
      <c r="I8141" s="145" t="s">
        <v>646</v>
      </c>
      <c r="J8141" s="163" t="s">
        <v>52</v>
      </c>
      <c r="K8141" s="219"/>
      <c r="L8141" s="219">
        <v>100000</v>
      </c>
    </row>
    <row r="8142" spans="1:13" ht="33.75" x14ac:dyDescent="0.2">
      <c r="A8142" s="168">
        <v>2023</v>
      </c>
      <c r="B8142" s="168">
        <v>2</v>
      </c>
      <c r="C8142" s="133">
        <v>1</v>
      </c>
      <c r="D8142" s="141">
        <f t="shared" ref="D8142:D8144" si="810">DATE(A8142,B8142,C8142)</f>
        <v>44958</v>
      </c>
      <c r="E8142" s="275">
        <f t="shared" ref="E8142:E8144" si="811">DATE(A8142,B8142,C8142)</f>
        <v>44958</v>
      </c>
      <c r="F8142" s="479" t="s">
        <v>1315</v>
      </c>
      <c r="G8142" s="220" t="s">
        <v>74</v>
      </c>
      <c r="H8142" s="142" t="str" cm="1">
        <f t="array" ref="H8142">IFERROR(INDEX(INVESTOR_LIST[INVESTOR NAME],MATCH(I8142,INVESTOR_LIST[INVESTOR CODE],0),)," ")</f>
        <v>AMIT KANTI SARKER</v>
      </c>
      <c r="I8142" s="142" t="s">
        <v>494</v>
      </c>
      <c r="J8142" s="168" t="s">
        <v>13</v>
      </c>
      <c r="K8142" s="226">
        <v>336720</v>
      </c>
      <c r="L8142" s="226"/>
    </row>
    <row r="8143" spans="1:13" ht="33.75" x14ac:dyDescent="0.2">
      <c r="A8143" s="133">
        <v>2023</v>
      </c>
      <c r="B8143" s="133">
        <v>2</v>
      </c>
      <c r="C8143" s="133">
        <v>1</v>
      </c>
      <c r="D8143" s="141">
        <f t="shared" si="810"/>
        <v>44958</v>
      </c>
      <c r="E8143" s="275">
        <f t="shared" si="811"/>
        <v>44958</v>
      </c>
      <c r="F8143" s="481"/>
      <c r="G8143" s="174" t="s">
        <v>74</v>
      </c>
      <c r="H8143" s="148" t="str" cm="1">
        <f t="array" ref="H8143">IFERROR(INDEX(INVESTOR_LIST[INVESTOR NAME],MATCH(I8143,INVESTOR_LIST[INVESTOR CODE],0),)," ")</f>
        <v>AMIT KANTI SARKER</v>
      </c>
      <c r="I8143" s="148" t="s">
        <v>494</v>
      </c>
      <c r="J8143" s="133" t="s">
        <v>53</v>
      </c>
      <c r="K8143" s="218">
        <v>74754.399999999994</v>
      </c>
      <c r="L8143" s="218"/>
    </row>
    <row r="8144" spans="1:13" ht="33.75" x14ac:dyDescent="0.2">
      <c r="A8144" s="163">
        <v>2023</v>
      </c>
      <c r="B8144" s="163">
        <v>2</v>
      </c>
      <c r="C8144" s="163">
        <v>1</v>
      </c>
      <c r="D8144" s="280">
        <f t="shared" si="810"/>
        <v>44958</v>
      </c>
      <c r="E8144" s="281">
        <f t="shared" si="811"/>
        <v>44958</v>
      </c>
      <c r="F8144" s="480"/>
      <c r="G8144" s="221" t="s">
        <v>74</v>
      </c>
      <c r="H8144" s="145" t="str" cm="1">
        <f t="array" ref="H8144">IFERROR(INDEX(INVESTOR_LIST[INVESTOR NAME],MATCH(I8144,INVESTOR_LIST[INVESTOR CODE],0),)," ")</f>
        <v>AMIT KANTI SARKER</v>
      </c>
      <c r="I8144" s="145" t="s">
        <v>494</v>
      </c>
      <c r="J8144" s="163" t="s">
        <v>52</v>
      </c>
      <c r="K8144" s="219"/>
      <c r="L8144" s="219">
        <v>411474.4</v>
      </c>
    </row>
    <row r="8145" spans="1:13" x14ac:dyDescent="0.2">
      <c r="A8145" s="133">
        <v>2023</v>
      </c>
      <c r="B8145" s="133">
        <v>2</v>
      </c>
      <c r="C8145" s="168">
        <v>1</v>
      </c>
      <c r="D8145" s="141">
        <f t="shared" ref="D8145:D8150" si="812">DATE(A8145,B8145,C8145)</f>
        <v>44958</v>
      </c>
      <c r="E8145" s="275">
        <f t="shared" ref="E8145:E8150" si="813">DATE(A8145,B8145,C8145)</f>
        <v>44958</v>
      </c>
      <c r="F8145" s="479" t="s">
        <v>1567</v>
      </c>
      <c r="G8145" s="174" t="s">
        <v>74</v>
      </c>
      <c r="H8145" s="148" t="str" cm="1">
        <f t="array" ref="H8145">IFERROR(INDEX(INVESTOR_LIST[INVESTOR NAME],MATCH(I8145,INVESTOR_LIST[INVESTOR CODE],0),)," ")</f>
        <v xml:space="preserve"> </v>
      </c>
      <c r="J8145" s="133" t="s">
        <v>61</v>
      </c>
      <c r="K8145" s="172">
        <v>116</v>
      </c>
    </row>
    <row r="8146" spans="1:13" x14ac:dyDescent="0.2">
      <c r="A8146" s="163">
        <v>2023</v>
      </c>
      <c r="B8146" s="163">
        <v>2</v>
      </c>
      <c r="C8146" s="163">
        <v>1</v>
      </c>
      <c r="D8146" s="141">
        <f t="shared" si="812"/>
        <v>44958</v>
      </c>
      <c r="E8146" s="275">
        <f t="shared" si="813"/>
        <v>44958</v>
      </c>
      <c r="F8146" s="480"/>
      <c r="G8146" s="221" t="s">
        <v>74</v>
      </c>
      <c r="H8146" s="145" t="str" cm="1">
        <f t="array" ref="H8146">IFERROR(INDEX(INVESTOR_LIST[INVESTOR NAME],MATCH(I8146,INVESTOR_LIST[INVESTOR CODE],0),)," ")</f>
        <v xml:space="preserve"> </v>
      </c>
      <c r="I8146" s="145"/>
      <c r="J8146" s="163" t="s">
        <v>52</v>
      </c>
      <c r="K8146" s="219"/>
      <c r="L8146" s="219">
        <v>116</v>
      </c>
    </row>
    <row r="8147" spans="1:13" x14ac:dyDescent="0.2">
      <c r="A8147" s="133">
        <v>2023</v>
      </c>
      <c r="B8147" s="133">
        <v>2</v>
      </c>
      <c r="C8147" s="168">
        <v>1</v>
      </c>
      <c r="D8147" s="141">
        <f t="shared" si="812"/>
        <v>44958</v>
      </c>
      <c r="E8147" s="275">
        <f t="shared" si="813"/>
        <v>44958</v>
      </c>
      <c r="F8147" s="479" t="s">
        <v>1577</v>
      </c>
      <c r="G8147" s="220" t="s">
        <v>74</v>
      </c>
      <c r="H8147" s="220" t="str" cm="1">
        <f t="array" ref="H8147">IFERROR(INDEX(INVESTOR_LIST[INVESTOR NAME],MATCH(I8147,INVESTOR_LIST[INVESTOR CODE],0),)," ")</f>
        <v xml:space="preserve"> </v>
      </c>
      <c r="I8147" s="142" t="s">
        <v>348</v>
      </c>
      <c r="J8147" s="143" t="s">
        <v>96</v>
      </c>
      <c r="K8147" s="226">
        <v>2000000</v>
      </c>
      <c r="L8147" s="226"/>
    </row>
    <row r="8148" spans="1:13" x14ac:dyDescent="0.2">
      <c r="A8148" s="163">
        <v>2023</v>
      </c>
      <c r="B8148" s="163">
        <v>2</v>
      </c>
      <c r="C8148" s="163">
        <v>1</v>
      </c>
      <c r="D8148" s="141">
        <f t="shared" si="812"/>
        <v>44958</v>
      </c>
      <c r="E8148" s="275">
        <f t="shared" si="813"/>
        <v>44958</v>
      </c>
      <c r="F8148" s="480"/>
      <c r="G8148" s="221" t="s">
        <v>74</v>
      </c>
      <c r="H8148" s="221" t="str" cm="1">
        <f t="array" ref="H8148">IFERROR(INDEX(INVESTOR_LIST[INVESTOR NAME],MATCH(I8148,INVESTOR_LIST[INVESTOR CODE],0),)," ")</f>
        <v xml:space="preserve"> </v>
      </c>
      <c r="I8148" s="145" t="s">
        <v>348</v>
      </c>
      <c r="J8148" s="146" t="s">
        <v>52</v>
      </c>
      <c r="K8148" s="219"/>
      <c r="L8148" s="219">
        <v>2000000</v>
      </c>
    </row>
    <row r="8149" spans="1:13" x14ac:dyDescent="0.2">
      <c r="A8149" s="133">
        <v>2023</v>
      </c>
      <c r="B8149" s="133">
        <v>2</v>
      </c>
      <c r="C8149" s="168">
        <v>1</v>
      </c>
      <c r="D8149" s="141">
        <f t="shared" si="812"/>
        <v>44958</v>
      </c>
      <c r="E8149" s="275">
        <f t="shared" si="813"/>
        <v>44958</v>
      </c>
      <c r="F8149" s="479" t="s">
        <v>1578</v>
      </c>
      <c r="G8149" s="220" t="s">
        <v>74</v>
      </c>
      <c r="H8149" s="220" t="str" cm="1">
        <f t="array" ref="H8149">IFERROR(INDEX(INVESTOR_LIST[INVESTOR NAME],MATCH(I8149,INVESTOR_LIST[INVESTOR CODE],0),)," ")</f>
        <v xml:space="preserve"> </v>
      </c>
      <c r="I8149" s="142" t="s">
        <v>348</v>
      </c>
      <c r="J8149" s="143" t="s">
        <v>96</v>
      </c>
      <c r="K8149" s="226">
        <v>2000000</v>
      </c>
      <c r="L8149" s="226"/>
    </row>
    <row r="8150" spans="1:13" x14ac:dyDescent="0.2">
      <c r="A8150" s="163">
        <v>2023</v>
      </c>
      <c r="B8150" s="163">
        <v>2</v>
      </c>
      <c r="C8150" s="163">
        <v>1</v>
      </c>
      <c r="D8150" s="141">
        <f t="shared" si="812"/>
        <v>44958</v>
      </c>
      <c r="E8150" s="275">
        <f t="shared" si="813"/>
        <v>44958</v>
      </c>
      <c r="F8150" s="480"/>
      <c r="G8150" s="221" t="s">
        <v>74</v>
      </c>
      <c r="H8150" s="221" t="str" cm="1">
        <f t="array" ref="H8150">IFERROR(INDEX(INVESTOR_LIST[INVESTOR NAME],MATCH(I8150,INVESTOR_LIST[INVESTOR CODE],0),)," ")</f>
        <v xml:space="preserve"> </v>
      </c>
      <c r="I8150" s="145" t="s">
        <v>348</v>
      </c>
      <c r="J8150" s="146" t="s">
        <v>52</v>
      </c>
      <c r="K8150" s="219"/>
      <c r="L8150" s="219">
        <v>2000000</v>
      </c>
    </row>
    <row r="8151" spans="1:13" x14ac:dyDescent="0.2">
      <c r="A8151" s="133">
        <v>2023</v>
      </c>
      <c r="B8151" s="133">
        <v>2</v>
      </c>
      <c r="C8151" s="133">
        <v>1</v>
      </c>
      <c r="D8151" s="141">
        <f t="shared" ref="D8151:D8154" si="814">DATE(A8151,B8151,C8151)</f>
        <v>44958</v>
      </c>
      <c r="E8151" s="275">
        <f t="shared" ref="E8151:E8154" si="815">DATE(A8151,B8151,C8151)</f>
        <v>44958</v>
      </c>
      <c r="F8151" s="481" t="s">
        <v>1499</v>
      </c>
      <c r="G8151" s="174" t="s">
        <v>94</v>
      </c>
      <c r="H8151" s="174" t="str" cm="1">
        <f t="array" ref="H8151">IFERROR(INDEX(INVESTOR_LIST[INVESTOR NAME],MATCH(I8151,INVESTOR_LIST[INVESTOR CODE],0),)," ")</f>
        <v xml:space="preserve"> </v>
      </c>
      <c r="J8151" s="149" t="s">
        <v>190</v>
      </c>
      <c r="K8151" s="218">
        <v>151338.5</v>
      </c>
      <c r="L8151" s="218"/>
      <c r="M8151" s="160"/>
    </row>
    <row r="8152" spans="1:13" x14ac:dyDescent="0.2">
      <c r="A8152" s="133">
        <v>2023</v>
      </c>
      <c r="B8152" s="133">
        <v>2</v>
      </c>
      <c r="C8152" s="133">
        <v>1</v>
      </c>
      <c r="D8152" s="141">
        <f t="shared" si="814"/>
        <v>44958</v>
      </c>
      <c r="E8152" s="275">
        <f t="shared" si="815"/>
        <v>44958</v>
      </c>
      <c r="F8152" s="481"/>
      <c r="G8152" s="174" t="s">
        <v>94</v>
      </c>
      <c r="H8152" s="174"/>
      <c r="J8152" s="149" t="s">
        <v>80</v>
      </c>
      <c r="K8152" s="218">
        <v>272.89999999999998</v>
      </c>
      <c r="L8152" s="218"/>
    </row>
    <row r="8153" spans="1:13" x14ac:dyDescent="0.2">
      <c r="A8153" s="133">
        <v>2023</v>
      </c>
      <c r="B8153" s="133">
        <v>2</v>
      </c>
      <c r="C8153" s="133">
        <v>1</v>
      </c>
      <c r="D8153" s="141">
        <f t="shared" si="814"/>
        <v>44958</v>
      </c>
      <c r="E8153" s="275">
        <f t="shared" si="815"/>
        <v>44958</v>
      </c>
      <c r="F8153" s="481"/>
      <c r="G8153" s="174" t="s">
        <v>94</v>
      </c>
      <c r="H8153" s="174" t="str" cm="1">
        <f t="array" ref="H8153">IFERROR(INDEX(INVESTOR_LIST[INVESTOR NAME],MATCH(I8153,INVESTOR_LIST[INVESTOR CODE],0),)," ")</f>
        <v xml:space="preserve"> </v>
      </c>
      <c r="J8153" s="149" t="s">
        <v>191</v>
      </c>
      <c r="K8153" s="218">
        <v>8007.76</v>
      </c>
      <c r="L8153" s="218"/>
    </row>
    <row r="8154" spans="1:13" x14ac:dyDescent="0.2">
      <c r="A8154" s="163">
        <v>2023</v>
      </c>
      <c r="B8154" s="163">
        <v>2</v>
      </c>
      <c r="C8154" s="163">
        <v>1</v>
      </c>
      <c r="D8154" s="280">
        <f t="shared" si="814"/>
        <v>44958</v>
      </c>
      <c r="E8154" s="281">
        <f t="shared" si="815"/>
        <v>44958</v>
      </c>
      <c r="F8154" s="480"/>
      <c r="G8154" s="221" t="s">
        <v>94</v>
      </c>
      <c r="H8154" s="145" t="str" cm="1">
        <f t="array" ref="H8154">IFERROR(INDEX(INVESTOR_LIST[INVESTOR NAME],MATCH(I8154,INVESTOR_LIST[INVESTOR CODE],0),)," ")</f>
        <v xml:space="preserve"> </v>
      </c>
      <c r="I8154" s="145"/>
      <c r="J8154" s="163" t="s">
        <v>79</v>
      </c>
      <c r="K8154" s="219"/>
      <c r="L8154" s="219">
        <v>159619.16</v>
      </c>
    </row>
    <row r="8155" spans="1:13" x14ac:dyDescent="0.2">
      <c r="A8155" s="168">
        <v>2023</v>
      </c>
      <c r="B8155" s="168">
        <v>2</v>
      </c>
      <c r="C8155" s="168">
        <v>2</v>
      </c>
      <c r="D8155" s="141">
        <f>DATE(A8155,B8155,C8155)</f>
        <v>44959</v>
      </c>
      <c r="E8155" s="275">
        <f>DATE(A8155,B8155,C8155)</f>
        <v>44959</v>
      </c>
      <c r="F8155" s="479" t="s">
        <v>1500</v>
      </c>
      <c r="G8155" s="220" t="s">
        <v>74</v>
      </c>
      <c r="H8155" s="220" t="str" cm="1">
        <f t="array" ref="H8155">IFERROR(INDEX(INVESTOR_LIST[INVESTOR NAME],MATCH(I8155,INVESTOR_LIST[INVESTOR CODE],0),)," ")</f>
        <v xml:space="preserve"> </v>
      </c>
      <c r="I8155" s="142"/>
      <c r="J8155" s="143" t="s">
        <v>52</v>
      </c>
      <c r="K8155" s="226">
        <v>1634754.44</v>
      </c>
      <c r="L8155" s="226"/>
    </row>
    <row r="8156" spans="1:13" x14ac:dyDescent="0.2">
      <c r="A8156" s="163">
        <v>2023</v>
      </c>
      <c r="B8156" s="163">
        <v>2</v>
      </c>
      <c r="C8156" s="163">
        <v>2</v>
      </c>
      <c r="D8156" s="141">
        <f>DATE(A8156,B8156,C8156)</f>
        <v>44959</v>
      </c>
      <c r="E8156" s="275">
        <f>DATE(A8156,B8156,C8156)</f>
        <v>44959</v>
      </c>
      <c r="F8156" s="480"/>
      <c r="G8156" s="221" t="s">
        <v>74</v>
      </c>
      <c r="H8156" s="221" t="str" cm="1">
        <f t="array" ref="H8156">IFERROR(INDEX(INVESTOR_LIST[INVESTOR NAME],MATCH(I8156,INVESTOR_LIST[INVESTOR CODE],0),)," ")</f>
        <v xml:space="preserve"> </v>
      </c>
      <c r="I8156" s="145"/>
      <c r="J8156" s="146" t="s">
        <v>190</v>
      </c>
      <c r="K8156" s="219"/>
      <c r="L8156" s="219">
        <v>1634754.44</v>
      </c>
    </row>
    <row r="8157" spans="1:13" x14ac:dyDescent="0.2">
      <c r="A8157" s="133">
        <v>2023</v>
      </c>
      <c r="B8157" s="133">
        <v>2</v>
      </c>
      <c r="C8157" s="168">
        <v>2</v>
      </c>
      <c r="D8157" s="141">
        <f t="shared" ref="D8157:D8158" si="816">DATE(A8157,B8157,C8157)</f>
        <v>44959</v>
      </c>
      <c r="E8157" s="275">
        <f t="shared" ref="E8157:E8158" si="817">DATE(A8157,B8157,C8157)</f>
        <v>44959</v>
      </c>
      <c r="F8157" s="493" t="s">
        <v>1576</v>
      </c>
      <c r="G8157" s="220" t="s">
        <v>74</v>
      </c>
      <c r="H8157" s="220" t="str" cm="1">
        <f t="array" ref="H8157">IFERROR(INDEX(INVESTOR_LIST[INVESTOR NAME],MATCH(I8157,INVESTOR_LIST[INVESTOR CODE],0),)," ")</f>
        <v xml:space="preserve"> </v>
      </c>
      <c r="I8157" s="142" t="s">
        <v>348</v>
      </c>
      <c r="J8157" s="143" t="s">
        <v>96</v>
      </c>
      <c r="K8157" s="226">
        <v>2000000</v>
      </c>
      <c r="L8157" s="226"/>
    </row>
    <row r="8158" spans="1:13" x14ac:dyDescent="0.2">
      <c r="A8158" s="163">
        <v>2023</v>
      </c>
      <c r="B8158" s="163">
        <v>2</v>
      </c>
      <c r="C8158" s="163">
        <v>2</v>
      </c>
      <c r="D8158" s="141">
        <f t="shared" si="816"/>
        <v>44959</v>
      </c>
      <c r="E8158" s="275">
        <f t="shared" si="817"/>
        <v>44959</v>
      </c>
      <c r="F8158" s="511"/>
      <c r="G8158" s="221" t="s">
        <v>74</v>
      </c>
      <c r="H8158" s="221" t="str" cm="1">
        <f t="array" ref="H8158">IFERROR(INDEX(INVESTOR_LIST[INVESTOR NAME],MATCH(I8158,INVESTOR_LIST[INVESTOR CODE],0),)," ")</f>
        <v xml:space="preserve"> </v>
      </c>
      <c r="I8158" s="145" t="s">
        <v>348</v>
      </c>
      <c r="J8158" s="146" t="s">
        <v>52</v>
      </c>
      <c r="K8158" s="219"/>
      <c r="L8158" s="219">
        <v>2000000</v>
      </c>
    </row>
    <row r="8159" spans="1:13" x14ac:dyDescent="0.2">
      <c r="A8159" s="133">
        <v>2023</v>
      </c>
      <c r="B8159" s="133">
        <v>2</v>
      </c>
      <c r="C8159" s="168">
        <v>2</v>
      </c>
      <c r="D8159" s="141">
        <f t="shared" ref="D8159:D8168" si="818">DATE(A8159,B8159,C8159)</f>
        <v>44959</v>
      </c>
      <c r="E8159" s="275">
        <f t="shared" ref="E8159:E8168" si="819">DATE(A8159,B8159,C8159)</f>
        <v>44959</v>
      </c>
      <c r="F8159" s="493" t="s">
        <v>1576</v>
      </c>
      <c r="G8159" s="220" t="s">
        <v>74</v>
      </c>
      <c r="H8159" s="220" t="str" cm="1">
        <f t="array" ref="H8159">IFERROR(INDEX(INVESTOR_LIST[INVESTOR NAME],MATCH(I8159,INVESTOR_LIST[INVESTOR CODE],0),)," ")</f>
        <v xml:space="preserve"> </v>
      </c>
      <c r="I8159" s="142" t="s">
        <v>348</v>
      </c>
      <c r="J8159" s="143" t="s">
        <v>96</v>
      </c>
      <c r="K8159" s="226">
        <v>2000000</v>
      </c>
      <c r="L8159" s="226"/>
    </row>
    <row r="8160" spans="1:13" x14ac:dyDescent="0.2">
      <c r="A8160" s="163">
        <v>2023</v>
      </c>
      <c r="B8160" s="163">
        <v>2</v>
      </c>
      <c r="C8160" s="163">
        <v>2</v>
      </c>
      <c r="D8160" s="141">
        <f t="shared" si="818"/>
        <v>44959</v>
      </c>
      <c r="E8160" s="275">
        <f t="shared" si="819"/>
        <v>44959</v>
      </c>
      <c r="F8160" s="511"/>
      <c r="G8160" s="221" t="s">
        <v>74</v>
      </c>
      <c r="H8160" s="221" t="str" cm="1">
        <f t="array" ref="H8160">IFERROR(INDEX(INVESTOR_LIST[INVESTOR NAME],MATCH(I8160,INVESTOR_LIST[INVESTOR CODE],0),)," ")</f>
        <v xml:space="preserve"> </v>
      </c>
      <c r="I8160" s="145" t="s">
        <v>348</v>
      </c>
      <c r="J8160" s="146" t="s">
        <v>52</v>
      </c>
      <c r="K8160" s="219"/>
      <c r="L8160" s="219">
        <v>2000000</v>
      </c>
    </row>
    <row r="8161" spans="1:13" x14ac:dyDescent="0.2">
      <c r="A8161" s="133">
        <v>2023</v>
      </c>
      <c r="B8161" s="133">
        <v>2</v>
      </c>
      <c r="C8161" s="168">
        <v>2</v>
      </c>
      <c r="D8161" s="141">
        <f t="shared" si="818"/>
        <v>44959</v>
      </c>
      <c r="E8161" s="275">
        <f t="shared" si="819"/>
        <v>44959</v>
      </c>
      <c r="F8161" s="493" t="s">
        <v>1576</v>
      </c>
      <c r="G8161" s="220" t="s">
        <v>74</v>
      </c>
      <c r="H8161" s="220" t="str" cm="1">
        <f t="array" ref="H8161">IFERROR(INDEX(INVESTOR_LIST[INVESTOR NAME],MATCH(I8161,INVESTOR_LIST[INVESTOR CODE],0),)," ")</f>
        <v xml:space="preserve"> </v>
      </c>
      <c r="I8161" s="142" t="s">
        <v>348</v>
      </c>
      <c r="J8161" s="143" t="s">
        <v>96</v>
      </c>
      <c r="K8161" s="226">
        <v>2000000</v>
      </c>
      <c r="L8161" s="226"/>
    </row>
    <row r="8162" spans="1:13" x14ac:dyDescent="0.2">
      <c r="A8162" s="163">
        <v>2023</v>
      </c>
      <c r="B8162" s="163">
        <v>2</v>
      </c>
      <c r="C8162" s="163">
        <v>2</v>
      </c>
      <c r="D8162" s="141">
        <f t="shared" si="818"/>
        <v>44959</v>
      </c>
      <c r="E8162" s="275">
        <f t="shared" si="819"/>
        <v>44959</v>
      </c>
      <c r="F8162" s="511"/>
      <c r="G8162" s="221" t="s">
        <v>74</v>
      </c>
      <c r="H8162" s="221" t="str" cm="1">
        <f t="array" ref="H8162">IFERROR(INDEX(INVESTOR_LIST[INVESTOR NAME],MATCH(I8162,INVESTOR_LIST[INVESTOR CODE],0),)," ")</f>
        <v xml:space="preserve"> </v>
      </c>
      <c r="I8162" s="145" t="s">
        <v>348</v>
      </c>
      <c r="J8162" s="146" t="s">
        <v>52</v>
      </c>
      <c r="K8162" s="219"/>
      <c r="L8162" s="219">
        <v>2000000</v>
      </c>
    </row>
    <row r="8163" spans="1:13" ht="33.75" x14ac:dyDescent="0.2">
      <c r="A8163" s="168">
        <v>2023</v>
      </c>
      <c r="B8163" s="168">
        <v>2</v>
      </c>
      <c r="C8163" s="133">
        <v>2</v>
      </c>
      <c r="D8163" s="141">
        <f t="shared" si="818"/>
        <v>44959</v>
      </c>
      <c r="E8163" s="275">
        <f t="shared" si="819"/>
        <v>44959</v>
      </c>
      <c r="F8163" s="479" t="s">
        <v>1315</v>
      </c>
      <c r="G8163" s="220" t="s">
        <v>74</v>
      </c>
      <c r="H8163" s="142" t="str" cm="1">
        <f t="array" ref="H8163">IFERROR(INDEX(INVESTOR_LIST[INVESTOR NAME],MATCH(I8163,INVESTOR_LIST[INVESTOR CODE],0),)," ")</f>
        <v>FARHAN SHAHRIAR DIPTO</v>
      </c>
      <c r="I8163" s="142" t="s">
        <v>822</v>
      </c>
      <c r="J8163" s="168" t="s">
        <v>13</v>
      </c>
      <c r="K8163" s="226">
        <v>44960</v>
      </c>
      <c r="L8163" s="226"/>
    </row>
    <row r="8164" spans="1:13" ht="33.75" x14ac:dyDescent="0.2">
      <c r="A8164" s="133">
        <v>2023</v>
      </c>
      <c r="B8164" s="133">
        <v>2</v>
      </c>
      <c r="C8164" s="133">
        <v>2</v>
      </c>
      <c r="D8164" s="141">
        <f t="shared" si="818"/>
        <v>44959</v>
      </c>
      <c r="E8164" s="275">
        <f t="shared" si="819"/>
        <v>44959</v>
      </c>
      <c r="F8164" s="481"/>
      <c r="G8164" s="174" t="s">
        <v>74</v>
      </c>
      <c r="H8164" s="148" t="str" cm="1">
        <f t="array" ref="H8164">IFERROR(INDEX(INVESTOR_LIST[INVESTOR NAME],MATCH(I8164,INVESTOR_LIST[INVESTOR CODE],0),)," ")</f>
        <v>FARHAN SHAHRIAR DIPTO</v>
      </c>
      <c r="I8164" s="148" t="s">
        <v>822</v>
      </c>
      <c r="J8164" s="133" t="s">
        <v>53</v>
      </c>
      <c r="K8164" s="218">
        <v>9981.1200000000008</v>
      </c>
      <c r="L8164" s="218"/>
    </row>
    <row r="8165" spans="1:13" ht="33.75" x14ac:dyDescent="0.2">
      <c r="A8165" s="163">
        <v>2023</v>
      </c>
      <c r="B8165" s="163">
        <v>2</v>
      </c>
      <c r="C8165" s="163">
        <v>2</v>
      </c>
      <c r="D8165" s="280">
        <f t="shared" si="818"/>
        <v>44959</v>
      </c>
      <c r="E8165" s="281">
        <f t="shared" si="819"/>
        <v>44959</v>
      </c>
      <c r="F8165" s="480"/>
      <c r="G8165" s="221" t="s">
        <v>74</v>
      </c>
      <c r="H8165" s="145" t="str" cm="1">
        <f t="array" ref="H8165">IFERROR(INDEX(INVESTOR_LIST[INVESTOR NAME],MATCH(I8165,INVESTOR_LIST[INVESTOR CODE],0),)," ")</f>
        <v>FARHAN SHAHRIAR DIPTO</v>
      </c>
      <c r="I8165" s="145" t="s">
        <v>822</v>
      </c>
      <c r="J8165" s="163" t="s">
        <v>52</v>
      </c>
      <c r="K8165" s="219"/>
      <c r="L8165" s="219">
        <v>54941.120000000003</v>
      </c>
    </row>
    <row r="8166" spans="1:13" ht="45" x14ac:dyDescent="0.2">
      <c r="A8166" s="168">
        <v>2023</v>
      </c>
      <c r="B8166" s="168">
        <v>2</v>
      </c>
      <c r="C8166" s="133">
        <v>2</v>
      </c>
      <c r="D8166" s="141">
        <f t="shared" si="818"/>
        <v>44959</v>
      </c>
      <c r="E8166" s="275">
        <f t="shared" si="819"/>
        <v>44959</v>
      </c>
      <c r="F8166" s="479" t="s">
        <v>1310</v>
      </c>
      <c r="G8166" s="220" t="s">
        <v>74</v>
      </c>
      <c r="H8166" s="142" t="str" cm="1">
        <f t="array" ref="H8166">IFERROR(INDEX(INVESTOR_LIST[INVESTOR NAME],MATCH(I8166,INVESTOR_LIST[INVESTOR CODE],0),)," ")</f>
        <v>MOHAMMAD SAIFUDDOWLA</v>
      </c>
      <c r="I8166" s="142" t="s">
        <v>609</v>
      </c>
      <c r="J8166" s="168" t="s">
        <v>13</v>
      </c>
      <c r="K8166" s="226">
        <v>165420</v>
      </c>
      <c r="L8166" s="226"/>
    </row>
    <row r="8167" spans="1:13" ht="45" x14ac:dyDescent="0.2">
      <c r="A8167" s="133">
        <v>2023</v>
      </c>
      <c r="B8167" s="133">
        <v>2</v>
      </c>
      <c r="C8167" s="133">
        <v>2</v>
      </c>
      <c r="D8167" s="141">
        <f t="shared" si="818"/>
        <v>44959</v>
      </c>
      <c r="E8167" s="275">
        <f t="shared" si="819"/>
        <v>44959</v>
      </c>
      <c r="F8167" s="481"/>
      <c r="G8167" s="174" t="s">
        <v>74</v>
      </c>
      <c r="H8167" s="148" t="str" cm="1">
        <f t="array" ref="H8167">IFERROR(INDEX(INVESTOR_LIST[INVESTOR NAME],MATCH(I8167,INVESTOR_LIST[INVESTOR CODE],0),)," ")</f>
        <v>MOHAMMAD SAIFUDDOWLA</v>
      </c>
      <c r="I8167" s="148" t="s">
        <v>609</v>
      </c>
      <c r="J8167" s="133" t="s">
        <v>53</v>
      </c>
      <c r="K8167" s="218">
        <v>36723.24</v>
      </c>
      <c r="L8167" s="218"/>
    </row>
    <row r="8168" spans="1:13" ht="45" x14ac:dyDescent="0.2">
      <c r="A8168" s="163">
        <v>2023</v>
      </c>
      <c r="B8168" s="163">
        <v>2</v>
      </c>
      <c r="C8168" s="163">
        <v>2</v>
      </c>
      <c r="D8168" s="280">
        <f t="shared" si="818"/>
        <v>44959</v>
      </c>
      <c r="E8168" s="281">
        <f t="shared" si="819"/>
        <v>44959</v>
      </c>
      <c r="F8168" s="480"/>
      <c r="G8168" s="221" t="s">
        <v>74</v>
      </c>
      <c r="H8168" s="145" t="str" cm="1">
        <f t="array" ref="H8168">IFERROR(INDEX(INVESTOR_LIST[INVESTOR NAME],MATCH(I8168,INVESTOR_LIST[INVESTOR CODE],0),)," ")</f>
        <v>MOHAMMAD SAIFUDDOWLA</v>
      </c>
      <c r="I8168" s="145" t="s">
        <v>609</v>
      </c>
      <c r="J8168" s="163" t="s">
        <v>52</v>
      </c>
      <c r="K8168" s="219"/>
      <c r="L8168" s="219">
        <v>202143.24</v>
      </c>
    </row>
    <row r="8169" spans="1:13" ht="22.5" x14ac:dyDescent="0.2">
      <c r="A8169" s="168">
        <v>2023</v>
      </c>
      <c r="B8169" s="168">
        <v>2</v>
      </c>
      <c r="C8169" s="133">
        <v>2</v>
      </c>
      <c r="D8169" s="141">
        <f t="shared" ref="D8169:D8183" si="820">DATE(A8169,B8169,C8169)</f>
        <v>44959</v>
      </c>
      <c r="E8169" s="275">
        <f t="shared" ref="E8169:E8183" si="821">DATE(A8169,B8169,C8169)</f>
        <v>44959</v>
      </c>
      <c r="F8169" s="479" t="s">
        <v>1310</v>
      </c>
      <c r="G8169" s="220" t="s">
        <v>74</v>
      </c>
      <c r="H8169" s="142" t="str" cm="1">
        <f t="array" ref="H8169">IFERROR(INDEX(INVESTOR_LIST[INVESTOR NAME],MATCH(I8169,INVESTOR_LIST[INVESTOR CODE],0),)," ")</f>
        <v>FAHMIDA KHAN</v>
      </c>
      <c r="I8169" s="142" t="s">
        <v>617</v>
      </c>
      <c r="J8169" s="168" t="s">
        <v>13</v>
      </c>
      <c r="K8169" s="226">
        <v>41280</v>
      </c>
      <c r="L8169" s="226"/>
    </row>
    <row r="8170" spans="1:13" ht="22.5" x14ac:dyDescent="0.2">
      <c r="A8170" s="133">
        <v>2023</v>
      </c>
      <c r="B8170" s="133">
        <v>2</v>
      </c>
      <c r="C8170" s="133">
        <v>2</v>
      </c>
      <c r="D8170" s="141">
        <f t="shared" si="820"/>
        <v>44959</v>
      </c>
      <c r="E8170" s="275">
        <f t="shared" si="821"/>
        <v>44959</v>
      </c>
      <c r="F8170" s="481"/>
      <c r="G8170" s="174" t="s">
        <v>74</v>
      </c>
      <c r="H8170" s="148" t="str" cm="1">
        <f t="array" ref="H8170">IFERROR(INDEX(INVESTOR_LIST[INVESTOR NAME],MATCH(I8170,INVESTOR_LIST[INVESTOR CODE],0),)," ")</f>
        <v>FAHMIDA KHAN</v>
      </c>
      <c r="I8170" s="148" t="s">
        <v>617</v>
      </c>
      <c r="J8170" s="133" t="s">
        <v>53</v>
      </c>
      <c r="K8170" s="218">
        <v>9164.16</v>
      </c>
      <c r="L8170" s="218"/>
    </row>
    <row r="8171" spans="1:13" ht="22.5" x14ac:dyDescent="0.2">
      <c r="A8171" s="163">
        <v>2023</v>
      </c>
      <c r="B8171" s="163">
        <v>2</v>
      </c>
      <c r="C8171" s="163">
        <v>2</v>
      </c>
      <c r="D8171" s="280">
        <f t="shared" si="820"/>
        <v>44959</v>
      </c>
      <c r="E8171" s="281">
        <f t="shared" si="821"/>
        <v>44959</v>
      </c>
      <c r="F8171" s="480"/>
      <c r="G8171" s="221" t="s">
        <v>74</v>
      </c>
      <c r="H8171" s="145" t="str" cm="1">
        <f t="array" ref="H8171">IFERROR(INDEX(INVESTOR_LIST[INVESTOR NAME],MATCH(I8171,INVESTOR_LIST[INVESTOR CODE],0),)," ")</f>
        <v>FAHMIDA KHAN</v>
      </c>
      <c r="I8171" s="145" t="s">
        <v>617</v>
      </c>
      <c r="J8171" s="163" t="s">
        <v>52</v>
      </c>
      <c r="K8171" s="219"/>
      <c r="L8171" s="219">
        <v>50444.160000000003</v>
      </c>
    </row>
    <row r="8172" spans="1:13" x14ac:dyDescent="0.2">
      <c r="A8172" s="133">
        <v>2023</v>
      </c>
      <c r="B8172" s="133">
        <v>2</v>
      </c>
      <c r="C8172" s="133">
        <v>2</v>
      </c>
      <c r="D8172" s="141">
        <f t="shared" si="820"/>
        <v>44959</v>
      </c>
      <c r="E8172" s="275">
        <f t="shared" si="821"/>
        <v>44959</v>
      </c>
      <c r="F8172" s="481" t="s">
        <v>1499</v>
      </c>
      <c r="G8172" s="174" t="s">
        <v>94</v>
      </c>
      <c r="H8172" s="174" t="str" cm="1">
        <f t="array" ref="H8172">IFERROR(INDEX(INVESTOR_LIST[INVESTOR NAME],MATCH(I8172,INVESTOR_LIST[INVESTOR CODE],0),)," ")</f>
        <v xml:space="preserve"> </v>
      </c>
      <c r="J8172" s="149" t="s">
        <v>190</v>
      </c>
      <c r="K8172" s="218">
        <v>917464.59</v>
      </c>
      <c r="L8172" s="218"/>
      <c r="M8172" s="160"/>
    </row>
    <row r="8173" spans="1:13" x14ac:dyDescent="0.2">
      <c r="A8173" s="133">
        <v>2023</v>
      </c>
      <c r="B8173" s="133">
        <v>2</v>
      </c>
      <c r="C8173" s="133">
        <v>2</v>
      </c>
      <c r="D8173" s="141">
        <f t="shared" si="820"/>
        <v>44959</v>
      </c>
      <c r="E8173" s="275">
        <f t="shared" si="821"/>
        <v>44959</v>
      </c>
      <c r="F8173" s="481"/>
      <c r="G8173" s="174" t="s">
        <v>94</v>
      </c>
      <c r="H8173" s="174"/>
      <c r="J8173" s="149" t="s">
        <v>80</v>
      </c>
      <c r="K8173" s="218">
        <v>1654.41</v>
      </c>
      <c r="L8173" s="218"/>
    </row>
    <row r="8174" spans="1:13" x14ac:dyDescent="0.2">
      <c r="A8174" s="133">
        <v>2023</v>
      </c>
      <c r="B8174" s="133">
        <v>2</v>
      </c>
      <c r="C8174" s="133">
        <v>2</v>
      </c>
      <c r="D8174" s="141">
        <f t="shared" si="820"/>
        <v>44959</v>
      </c>
      <c r="E8174" s="275">
        <f t="shared" si="821"/>
        <v>44959</v>
      </c>
      <c r="F8174" s="481"/>
      <c r="G8174" s="174" t="s">
        <v>94</v>
      </c>
      <c r="H8174" s="174" t="str" cm="1">
        <f t="array" ref="H8174">IFERROR(INDEX(INVESTOR_LIST[INVESTOR NAME],MATCH(I8174,INVESTOR_LIST[INVESTOR CODE],0),)," ")</f>
        <v xml:space="preserve"> </v>
      </c>
      <c r="J8174" s="149" t="s">
        <v>191</v>
      </c>
      <c r="K8174" s="218"/>
      <c r="L8174" s="218">
        <v>3673.77</v>
      </c>
    </row>
    <row r="8175" spans="1:13" x14ac:dyDescent="0.2">
      <c r="A8175" s="163">
        <v>2023</v>
      </c>
      <c r="B8175" s="163">
        <v>2</v>
      </c>
      <c r="C8175" s="163">
        <v>2</v>
      </c>
      <c r="D8175" s="280">
        <f t="shared" si="820"/>
        <v>44959</v>
      </c>
      <c r="E8175" s="281">
        <f t="shared" si="821"/>
        <v>44959</v>
      </c>
      <c r="F8175" s="480"/>
      <c r="G8175" s="221" t="s">
        <v>94</v>
      </c>
      <c r="H8175" s="145" t="str" cm="1">
        <f t="array" ref="H8175">IFERROR(INDEX(INVESTOR_LIST[INVESTOR NAME],MATCH(I8175,INVESTOR_LIST[INVESTOR CODE],0),)," ")</f>
        <v xml:space="preserve"> </v>
      </c>
      <c r="I8175" s="145"/>
      <c r="J8175" s="163" t="s">
        <v>79</v>
      </c>
      <c r="K8175" s="219"/>
      <c r="L8175" s="219">
        <v>915445.23</v>
      </c>
    </row>
    <row r="8176" spans="1:13" x14ac:dyDescent="0.2">
      <c r="A8176" s="168">
        <v>2023</v>
      </c>
      <c r="B8176" s="168">
        <v>2</v>
      </c>
      <c r="C8176" s="168">
        <v>2</v>
      </c>
      <c r="D8176" s="141">
        <f>DATE(A8176,B8176,C8176)</f>
        <v>44959</v>
      </c>
      <c r="E8176" s="275">
        <f>DATE(A8176,B8176,C8176)</f>
        <v>44959</v>
      </c>
      <c r="F8176" s="479" t="s">
        <v>1500</v>
      </c>
      <c r="G8176" s="220" t="s">
        <v>74</v>
      </c>
      <c r="H8176" s="220" t="str" cm="1">
        <f t="array" ref="H8176">IFERROR(INDEX(INVESTOR_LIST[INVESTOR NAME],MATCH(I8176,INVESTOR_LIST[INVESTOR CODE],0),)," ")</f>
        <v xml:space="preserve"> </v>
      </c>
      <c r="I8176" s="142"/>
      <c r="J8176" s="143" t="s">
        <v>52</v>
      </c>
      <c r="K8176" s="226">
        <v>193154.16</v>
      </c>
      <c r="L8176" s="226"/>
    </row>
    <row r="8177" spans="1:14" x14ac:dyDescent="0.2">
      <c r="A8177" s="163">
        <v>2023</v>
      </c>
      <c r="B8177" s="163">
        <v>2</v>
      </c>
      <c r="C8177" s="163">
        <v>2</v>
      </c>
      <c r="D8177" s="141">
        <f>DATE(A8177,B8177,C8177)</f>
        <v>44959</v>
      </c>
      <c r="E8177" s="275">
        <f>DATE(A8177,B8177,C8177)</f>
        <v>44959</v>
      </c>
      <c r="F8177" s="480"/>
      <c r="G8177" s="221" t="s">
        <v>74</v>
      </c>
      <c r="H8177" s="221" t="str" cm="1">
        <f t="array" ref="H8177">IFERROR(INDEX(INVESTOR_LIST[INVESTOR NAME],MATCH(I8177,INVESTOR_LIST[INVESTOR CODE],0),)," ")</f>
        <v xml:space="preserve"> </v>
      </c>
      <c r="I8177" s="145"/>
      <c r="J8177" s="146" t="s">
        <v>190</v>
      </c>
      <c r="K8177" s="219"/>
      <c r="L8177" s="219">
        <v>193154.16</v>
      </c>
    </row>
    <row r="8178" spans="1:14" x14ac:dyDescent="0.2">
      <c r="A8178" s="133">
        <v>2023</v>
      </c>
      <c r="B8178" s="168">
        <v>2</v>
      </c>
      <c r="C8178" s="168">
        <v>2</v>
      </c>
      <c r="D8178" s="141">
        <f>DATE(A8178,B8178,C8178)</f>
        <v>44959</v>
      </c>
      <c r="E8178" s="275">
        <f>DATE(A8178,B8178,C8178)</f>
        <v>44959</v>
      </c>
      <c r="F8178" s="481" t="s">
        <v>1581</v>
      </c>
      <c r="G8178" s="174" t="s">
        <v>94</v>
      </c>
      <c r="H8178" s="174" t="str" cm="1">
        <f t="array" ref="H8178">IFERROR(INDEX(INVESTOR_LIST[INVESTOR NAME],MATCH(I8178,INVESTOR_LIST[INVESTOR CODE],0),)," ")</f>
        <v xml:space="preserve"> </v>
      </c>
      <c r="I8178" s="148" t="s">
        <v>348</v>
      </c>
      <c r="J8178" s="149" t="s">
        <v>168</v>
      </c>
      <c r="K8178" s="218">
        <v>90252.6</v>
      </c>
      <c r="L8178" s="218"/>
    </row>
    <row r="8179" spans="1:14" x14ac:dyDescent="0.2">
      <c r="A8179" s="163">
        <v>2023</v>
      </c>
      <c r="B8179" s="163">
        <v>2</v>
      </c>
      <c r="C8179" s="163">
        <v>2</v>
      </c>
      <c r="D8179" s="141">
        <f>DATE(A8179,B8179,C8179)</f>
        <v>44959</v>
      </c>
      <c r="E8179" s="275">
        <f>DATE(A8179,B8179,C8179)</f>
        <v>44959</v>
      </c>
      <c r="F8179" s="480"/>
      <c r="G8179" s="221" t="s">
        <v>94</v>
      </c>
      <c r="H8179" s="221" t="str" cm="1">
        <f t="array" ref="H8179">IFERROR(INDEX(INVESTOR_LIST[INVESTOR NAME],MATCH(I8179,INVESTOR_LIST[INVESTOR CODE],0),)," ")</f>
        <v xml:space="preserve"> </v>
      </c>
      <c r="I8179" s="145" t="s">
        <v>348</v>
      </c>
      <c r="J8179" s="146" t="s">
        <v>166</v>
      </c>
      <c r="K8179" s="219"/>
      <c r="L8179" s="219">
        <v>90252.6</v>
      </c>
    </row>
    <row r="8180" spans="1:14" x14ac:dyDescent="0.2">
      <c r="A8180" s="324">
        <v>2023</v>
      </c>
      <c r="B8180" s="324">
        <v>2</v>
      </c>
      <c r="C8180" s="325">
        <v>2</v>
      </c>
      <c r="D8180" s="326">
        <f t="shared" si="820"/>
        <v>44959</v>
      </c>
      <c r="E8180" s="327">
        <f t="shared" si="821"/>
        <v>44959</v>
      </c>
      <c r="F8180" s="473" t="s">
        <v>1490</v>
      </c>
      <c r="G8180" s="328" t="s">
        <v>94</v>
      </c>
      <c r="H8180" s="329" t="str" cm="1">
        <f t="array" ref="H8180">IFERROR(INDEX(INVESTOR_LIST[INVESTOR NAME],MATCH(I8180,INVESTOR_LIST[INVESTOR CODE],0),)," ")</f>
        <v xml:space="preserve"> </v>
      </c>
      <c r="I8180" s="329" t="s">
        <v>348</v>
      </c>
      <c r="J8180" s="325" t="s">
        <v>133</v>
      </c>
      <c r="K8180" s="330">
        <v>14659.25</v>
      </c>
      <c r="L8180" s="330"/>
      <c r="M8180" s="160"/>
    </row>
    <row r="8181" spans="1:14" x14ac:dyDescent="0.2">
      <c r="A8181" s="331">
        <v>2023</v>
      </c>
      <c r="B8181" s="331">
        <v>2</v>
      </c>
      <c r="C8181" s="331">
        <v>2</v>
      </c>
      <c r="D8181" s="326">
        <f t="shared" si="820"/>
        <v>44959</v>
      </c>
      <c r="E8181" s="327">
        <f t="shared" si="821"/>
        <v>44959</v>
      </c>
      <c r="F8181" s="474"/>
      <c r="G8181" s="332" t="s">
        <v>94</v>
      </c>
      <c r="H8181" s="333" t="str" cm="1">
        <f t="array" ref="H8181">IFERROR(INDEX(INVESTOR_LIST[INVESTOR NAME],MATCH(I8181,INVESTOR_LIST[INVESTOR CODE],0),)," ")</f>
        <v xml:space="preserve"> </v>
      </c>
      <c r="I8181" s="333" t="s">
        <v>348</v>
      </c>
      <c r="J8181" s="331" t="s">
        <v>152</v>
      </c>
      <c r="K8181" s="334"/>
      <c r="L8181" s="334">
        <v>14659.25</v>
      </c>
      <c r="M8181" s="160"/>
      <c r="N8181" s="160"/>
    </row>
    <row r="8182" spans="1:14" x14ac:dyDescent="0.2">
      <c r="A8182" s="324">
        <v>2023</v>
      </c>
      <c r="B8182" s="324">
        <v>2</v>
      </c>
      <c r="C8182" s="325">
        <v>2</v>
      </c>
      <c r="D8182" s="326">
        <f t="shared" si="820"/>
        <v>44959</v>
      </c>
      <c r="E8182" s="327">
        <f t="shared" si="821"/>
        <v>44959</v>
      </c>
      <c r="F8182" s="473" t="s">
        <v>1491</v>
      </c>
      <c r="G8182" s="328" t="s">
        <v>94</v>
      </c>
      <c r="H8182" s="329" t="str" cm="1">
        <f t="array" ref="H8182">IFERROR(INDEX(INVESTOR_LIST[INVESTOR NAME],MATCH(I8182,INVESTOR_LIST[INVESTOR CODE],0),)," ")</f>
        <v xml:space="preserve"> </v>
      </c>
      <c r="I8182" s="329" t="s">
        <v>348</v>
      </c>
      <c r="J8182" s="324" t="s">
        <v>133</v>
      </c>
      <c r="K8182" s="330">
        <v>12259.62</v>
      </c>
      <c r="L8182" s="330"/>
      <c r="M8182" s="160"/>
      <c r="N8182" s="160"/>
    </row>
    <row r="8183" spans="1:14" x14ac:dyDescent="0.2">
      <c r="A8183" s="331">
        <v>2023</v>
      </c>
      <c r="B8183" s="331">
        <v>2</v>
      </c>
      <c r="C8183" s="331">
        <v>2</v>
      </c>
      <c r="D8183" s="326">
        <f t="shared" si="820"/>
        <v>44959</v>
      </c>
      <c r="E8183" s="327">
        <f t="shared" si="821"/>
        <v>44959</v>
      </c>
      <c r="F8183" s="474"/>
      <c r="G8183" s="332" t="s">
        <v>94</v>
      </c>
      <c r="H8183" s="333" t="str" cm="1">
        <f t="array" ref="H8183">IFERROR(INDEX(INVESTOR_LIST[INVESTOR NAME],MATCH(I8183,INVESTOR_LIST[INVESTOR CODE],0),)," ")</f>
        <v xml:space="preserve"> </v>
      </c>
      <c r="I8183" s="333" t="s">
        <v>348</v>
      </c>
      <c r="J8183" s="331" t="s">
        <v>152</v>
      </c>
      <c r="K8183" s="334"/>
      <c r="L8183" s="334">
        <v>12259.62</v>
      </c>
      <c r="M8183" s="160"/>
      <c r="N8183" s="160"/>
    </row>
    <row r="8184" spans="1:14" x14ac:dyDescent="0.2">
      <c r="A8184" s="324">
        <v>2023</v>
      </c>
      <c r="B8184" s="324">
        <v>2</v>
      </c>
      <c r="C8184" s="325">
        <v>2</v>
      </c>
      <c r="D8184" s="326">
        <f>DATE(A8184,B8184,C8184)</f>
        <v>44959</v>
      </c>
      <c r="E8184" s="327">
        <f>DATE(A8184,B8184,C8184)</f>
        <v>44959</v>
      </c>
      <c r="F8184" s="473" t="s">
        <v>1531</v>
      </c>
      <c r="G8184" s="328" t="s">
        <v>94</v>
      </c>
      <c r="H8184" s="329" t="str" cm="1">
        <f t="array" ref="H8184">IFERROR(INDEX(INVESTOR_LIST[INVESTOR NAME],MATCH(I8184,INVESTOR_LIST[INVESTOR CODE],0),)," ")</f>
        <v xml:space="preserve"> </v>
      </c>
      <c r="I8184" s="329" t="s">
        <v>348</v>
      </c>
      <c r="J8184" s="324" t="s">
        <v>133</v>
      </c>
      <c r="K8184" s="330">
        <v>7115.38</v>
      </c>
      <c r="L8184" s="330"/>
      <c r="M8184" s="160"/>
      <c r="N8184" s="160"/>
    </row>
    <row r="8185" spans="1:14" x14ac:dyDescent="0.2">
      <c r="A8185" s="331">
        <v>2023</v>
      </c>
      <c r="B8185" s="331">
        <v>2</v>
      </c>
      <c r="C8185" s="331">
        <v>2</v>
      </c>
      <c r="D8185" s="326">
        <f>DATE(A8185,B8185,C8185)</f>
        <v>44959</v>
      </c>
      <c r="E8185" s="327">
        <f>DATE(A8185,B8185,C8185)</f>
        <v>44959</v>
      </c>
      <c r="F8185" s="474"/>
      <c r="G8185" s="332" t="s">
        <v>94</v>
      </c>
      <c r="H8185" s="333" t="str" cm="1">
        <f t="array" ref="H8185">IFERROR(INDEX(INVESTOR_LIST[INVESTOR NAME],MATCH(I8185,INVESTOR_LIST[INVESTOR CODE],0),)," ")</f>
        <v xml:space="preserve"> </v>
      </c>
      <c r="I8185" s="333" t="s">
        <v>348</v>
      </c>
      <c r="J8185" s="331" t="s">
        <v>152</v>
      </c>
      <c r="K8185" s="334"/>
      <c r="L8185" s="334">
        <v>7115.38</v>
      </c>
      <c r="M8185" s="160"/>
      <c r="N8185" s="160"/>
    </row>
    <row r="8186" spans="1:14" x14ac:dyDescent="0.2">
      <c r="A8186" s="238">
        <v>2023</v>
      </c>
      <c r="B8186" s="238">
        <v>2</v>
      </c>
      <c r="C8186" s="238">
        <v>2</v>
      </c>
      <c r="D8186" s="270">
        <f t="shared" ref="D8186:D8196" si="822">DATE(A8186,B8186,C8186)</f>
        <v>44959</v>
      </c>
      <c r="E8186" s="279">
        <f t="shared" ref="E8186:E8196" si="823">DATE(A8186,B8186,C8186)</f>
        <v>44959</v>
      </c>
      <c r="F8186" s="477" t="s">
        <v>347</v>
      </c>
      <c r="G8186" s="239" t="s">
        <v>94</v>
      </c>
      <c r="H8186" s="239" t="str" cm="1">
        <f t="array" ref="H8186">IFERROR(INDEX(INVESTOR_LIST[INVESTOR NAME],MATCH(I8186,INVESTOR_LIST[INVESTOR CODE],0),)," ")</f>
        <v xml:space="preserve"> </v>
      </c>
      <c r="I8186" s="262" t="s">
        <v>348</v>
      </c>
      <c r="J8186" s="240" t="s">
        <v>108</v>
      </c>
      <c r="K8186" s="241">
        <v>430613.39000001497</v>
      </c>
      <c r="L8186" s="241"/>
    </row>
    <row r="8187" spans="1:14" x14ac:dyDescent="0.2">
      <c r="A8187" s="242">
        <v>2023</v>
      </c>
      <c r="B8187" s="242">
        <v>2</v>
      </c>
      <c r="C8187" s="242">
        <v>2</v>
      </c>
      <c r="D8187" s="270">
        <f t="shared" si="822"/>
        <v>44959</v>
      </c>
      <c r="E8187" s="279">
        <f t="shared" si="823"/>
        <v>44959</v>
      </c>
      <c r="F8187" s="478"/>
      <c r="G8187" s="243" t="s">
        <v>94</v>
      </c>
      <c r="H8187" s="243" t="str" cm="1">
        <f t="array" ref="H8187">IFERROR(INDEX(INVESTOR_LIST[INVESTOR NAME],MATCH(I8187,INVESTOR_LIST[INVESTOR CODE],0),)," ")</f>
        <v xml:space="preserve"> </v>
      </c>
      <c r="I8187" s="263" t="s">
        <v>348</v>
      </c>
      <c r="J8187" s="244" t="s">
        <v>82</v>
      </c>
      <c r="K8187" s="245"/>
      <c r="L8187" s="245">
        <v>430613.39000001497</v>
      </c>
    </row>
    <row r="8188" spans="1:14" ht="22.5" x14ac:dyDescent="0.2">
      <c r="A8188" s="246">
        <v>2023</v>
      </c>
      <c r="B8188" s="238">
        <v>2</v>
      </c>
      <c r="C8188" s="238">
        <v>2</v>
      </c>
      <c r="D8188" s="270">
        <f t="shared" si="822"/>
        <v>44959</v>
      </c>
      <c r="E8188" s="279">
        <f t="shared" si="823"/>
        <v>44959</v>
      </c>
      <c r="F8188" s="482" t="s">
        <v>148</v>
      </c>
      <c r="G8188" s="247" t="s">
        <v>94</v>
      </c>
      <c r="H8188" s="247" t="str" cm="1">
        <f t="array" ref="H8188">IFERROR(INDEX(INVESTOR_LIST[INVESTOR NAME],MATCH(I8188,INVESTOR_LIST[INVESTOR CODE],0),)," ")</f>
        <v xml:space="preserve"> </v>
      </c>
      <c r="I8188" s="248" t="s">
        <v>348</v>
      </c>
      <c r="J8188" s="249" t="s">
        <v>95</v>
      </c>
      <c r="K8188" s="250">
        <v>2747.2527472527472</v>
      </c>
      <c r="L8188" s="241"/>
    </row>
    <row r="8189" spans="1:14" x14ac:dyDescent="0.2">
      <c r="A8189" s="242">
        <v>2023</v>
      </c>
      <c r="B8189" s="242">
        <v>2</v>
      </c>
      <c r="C8189" s="242">
        <v>2</v>
      </c>
      <c r="D8189" s="270">
        <f t="shared" si="822"/>
        <v>44959</v>
      </c>
      <c r="E8189" s="279">
        <f t="shared" si="823"/>
        <v>44959</v>
      </c>
      <c r="F8189" s="478"/>
      <c r="G8189" s="243" t="s">
        <v>94</v>
      </c>
      <c r="H8189" s="243" t="str" cm="1">
        <f t="array" ref="H8189">IFERROR(INDEX(INVESTOR_LIST[INVESTOR NAME],MATCH(I8189,INVESTOR_LIST[INVESTOR CODE],0),)," ")</f>
        <v xml:space="preserve"> </v>
      </c>
      <c r="I8189" s="263" t="s">
        <v>348</v>
      </c>
      <c r="J8189" s="244" t="s">
        <v>63</v>
      </c>
      <c r="K8189" s="245"/>
      <c r="L8189" s="245">
        <v>2747.2527472527472</v>
      </c>
    </row>
    <row r="8190" spans="1:14" x14ac:dyDescent="0.2">
      <c r="A8190" s="246">
        <v>2023</v>
      </c>
      <c r="B8190" s="238">
        <v>2</v>
      </c>
      <c r="C8190" s="238">
        <v>2</v>
      </c>
      <c r="D8190" s="270">
        <f t="shared" si="822"/>
        <v>44959</v>
      </c>
      <c r="E8190" s="279">
        <f t="shared" si="823"/>
        <v>44959</v>
      </c>
      <c r="F8190" s="482" t="s">
        <v>137</v>
      </c>
      <c r="G8190" s="247" t="s">
        <v>94</v>
      </c>
      <c r="H8190" s="247" t="str" cm="1">
        <f t="array" ref="H8190">IFERROR(INDEX(INVESTOR_LIST[INVESTOR NAME],MATCH(I8190,INVESTOR_LIST[INVESTOR CODE],0),)," ")</f>
        <v xml:space="preserve"> </v>
      </c>
      <c r="I8190" s="248" t="s">
        <v>348</v>
      </c>
      <c r="J8190" s="249" t="s">
        <v>97</v>
      </c>
      <c r="K8190" s="250">
        <v>75717.14613254687</v>
      </c>
      <c r="L8190" s="252"/>
    </row>
    <row r="8191" spans="1:14" x14ac:dyDescent="0.2">
      <c r="A8191" s="242">
        <v>2023</v>
      </c>
      <c r="B8191" s="242">
        <v>2</v>
      </c>
      <c r="C8191" s="242">
        <v>2</v>
      </c>
      <c r="D8191" s="270">
        <f t="shared" si="822"/>
        <v>44959</v>
      </c>
      <c r="E8191" s="279">
        <f t="shared" si="823"/>
        <v>44959</v>
      </c>
      <c r="F8191" s="478"/>
      <c r="G8191" s="243" t="s">
        <v>94</v>
      </c>
      <c r="H8191" s="243" t="str" cm="1">
        <f t="array" ref="H8191">IFERROR(INDEX(INVESTOR_LIST[INVESTOR NAME],MATCH(I8191,INVESTOR_LIST[INVESTOR CODE],0),)," ")</f>
        <v xml:space="preserve"> </v>
      </c>
      <c r="I8191" s="263" t="s">
        <v>348</v>
      </c>
      <c r="J8191" s="244" t="s">
        <v>47</v>
      </c>
      <c r="K8191" s="245"/>
      <c r="L8191" s="245">
        <v>75717.14613254687</v>
      </c>
    </row>
    <row r="8192" spans="1:14" x14ac:dyDescent="0.2">
      <c r="A8192" s="246">
        <v>2023</v>
      </c>
      <c r="B8192" s="238">
        <v>2</v>
      </c>
      <c r="C8192" s="238">
        <v>2</v>
      </c>
      <c r="D8192" s="270">
        <f t="shared" si="822"/>
        <v>44959</v>
      </c>
      <c r="E8192" s="279">
        <f t="shared" si="823"/>
        <v>44959</v>
      </c>
      <c r="F8192" s="482" t="s">
        <v>138</v>
      </c>
      <c r="G8192" s="247" t="s">
        <v>94</v>
      </c>
      <c r="H8192" s="247" t="str" cm="1">
        <f t="array" ref="H8192">IFERROR(INDEX(INVESTOR_LIST[INVESTOR NAME],MATCH(I8192,INVESTOR_LIST[INVESTOR CODE],0),)," ")</f>
        <v xml:space="preserve"> </v>
      </c>
      <c r="I8192" s="248" t="s">
        <v>348</v>
      </c>
      <c r="J8192" s="249" t="s">
        <v>100</v>
      </c>
      <c r="K8192" s="250">
        <v>3545.4726912427282</v>
      </c>
      <c r="L8192" s="252"/>
    </row>
    <row r="8193" spans="1:13" ht="10.9" customHeight="1" x14ac:dyDescent="0.2">
      <c r="A8193" s="242">
        <v>2023</v>
      </c>
      <c r="B8193" s="242">
        <v>2</v>
      </c>
      <c r="C8193" s="242">
        <v>2</v>
      </c>
      <c r="D8193" s="321">
        <f t="shared" si="822"/>
        <v>44959</v>
      </c>
      <c r="E8193" s="322">
        <f t="shared" si="823"/>
        <v>44959</v>
      </c>
      <c r="F8193" s="478"/>
      <c r="G8193" s="243" t="s">
        <v>94</v>
      </c>
      <c r="H8193" s="243" t="str" cm="1">
        <f t="array" ref="H8193">IFERROR(INDEX(INVESTOR_LIST[INVESTOR NAME],MATCH(I8193,INVESTOR_LIST[INVESTOR CODE],0),)," ")</f>
        <v xml:space="preserve"> </v>
      </c>
      <c r="I8193" s="263" t="s">
        <v>348</v>
      </c>
      <c r="J8193" s="244" t="s">
        <v>48</v>
      </c>
      <c r="K8193" s="245"/>
      <c r="L8193" s="245">
        <v>3545.4726912427282</v>
      </c>
    </row>
    <row r="8194" spans="1:13" ht="33.75" x14ac:dyDescent="0.2">
      <c r="A8194" s="168">
        <v>2023</v>
      </c>
      <c r="B8194" s="168">
        <v>2</v>
      </c>
      <c r="C8194" s="133">
        <v>5</v>
      </c>
      <c r="D8194" s="141">
        <f t="shared" si="822"/>
        <v>44962</v>
      </c>
      <c r="E8194" s="275">
        <f t="shared" si="823"/>
        <v>44962</v>
      </c>
      <c r="F8194" s="479" t="s">
        <v>1310</v>
      </c>
      <c r="G8194" s="220" t="s">
        <v>74</v>
      </c>
      <c r="H8194" s="142" t="str" cm="1">
        <f t="array" ref="H8194">IFERROR(INDEX(INVESTOR_LIST[INVESTOR NAME],MATCH(I8194,INVESTOR_LIST[INVESTOR CODE],0),)," ")</f>
        <v>BENOZEER AHMED</v>
      </c>
      <c r="I8194" s="142" t="s">
        <v>851</v>
      </c>
      <c r="J8194" s="168" t="s">
        <v>13</v>
      </c>
      <c r="K8194" s="226">
        <v>42010</v>
      </c>
      <c r="L8194" s="226"/>
    </row>
    <row r="8195" spans="1:13" ht="33.75" x14ac:dyDescent="0.2">
      <c r="A8195" s="133">
        <v>2023</v>
      </c>
      <c r="B8195" s="133">
        <v>2</v>
      </c>
      <c r="C8195" s="133">
        <v>5</v>
      </c>
      <c r="D8195" s="141">
        <f t="shared" si="822"/>
        <v>44962</v>
      </c>
      <c r="E8195" s="275">
        <f t="shared" si="823"/>
        <v>44962</v>
      </c>
      <c r="F8195" s="481"/>
      <c r="G8195" s="174" t="s">
        <v>74</v>
      </c>
      <c r="H8195" s="148" t="str" cm="1">
        <f t="array" ref="H8195">IFERROR(INDEX(INVESTOR_LIST[INVESTOR NAME],MATCH(I8195,INVESTOR_LIST[INVESTOR CODE],0),)," ")</f>
        <v>BENOZEER AHMED</v>
      </c>
      <c r="I8195" s="148" t="s">
        <v>851</v>
      </c>
      <c r="J8195" s="133" t="s">
        <v>53</v>
      </c>
      <c r="K8195" s="218">
        <v>9326.2199999999993</v>
      </c>
      <c r="L8195" s="218"/>
    </row>
    <row r="8196" spans="1:13" ht="33.75" x14ac:dyDescent="0.2">
      <c r="A8196" s="163">
        <v>2023</v>
      </c>
      <c r="B8196" s="163">
        <v>2</v>
      </c>
      <c r="C8196" s="163">
        <v>5</v>
      </c>
      <c r="D8196" s="280">
        <f t="shared" si="822"/>
        <v>44962</v>
      </c>
      <c r="E8196" s="281">
        <f t="shared" si="823"/>
        <v>44962</v>
      </c>
      <c r="F8196" s="480"/>
      <c r="G8196" s="221" t="s">
        <v>74</v>
      </c>
      <c r="H8196" s="145" t="str" cm="1">
        <f t="array" ref="H8196">IFERROR(INDEX(INVESTOR_LIST[INVESTOR NAME],MATCH(I8196,INVESTOR_LIST[INVESTOR CODE],0),)," ")</f>
        <v>BENOZEER AHMED</v>
      </c>
      <c r="I8196" s="145" t="s">
        <v>851</v>
      </c>
      <c r="J8196" s="163" t="s">
        <v>52</v>
      </c>
      <c r="K8196" s="219"/>
      <c r="L8196" s="219">
        <v>51336.22</v>
      </c>
    </row>
    <row r="8197" spans="1:13" x14ac:dyDescent="0.2">
      <c r="A8197" s="168">
        <v>2023</v>
      </c>
      <c r="B8197" s="168">
        <v>2</v>
      </c>
      <c r="C8197" s="168">
        <v>5</v>
      </c>
      <c r="D8197" s="141">
        <f>DATE(A8197,B8197,C8197)</f>
        <v>44962</v>
      </c>
      <c r="E8197" s="275">
        <f>DATE(A8197,B8197,C8197)</f>
        <v>44962</v>
      </c>
      <c r="F8197" s="479" t="s">
        <v>1500</v>
      </c>
      <c r="G8197" s="220" t="s">
        <v>74</v>
      </c>
      <c r="H8197" s="220" t="str" cm="1">
        <f t="array" ref="H8197">IFERROR(INDEX(INVESTOR_LIST[INVESTOR NAME],MATCH(I8197,INVESTOR_LIST[INVESTOR CODE],0),)," ")</f>
        <v xml:space="preserve"> </v>
      </c>
      <c r="I8197" s="142"/>
      <c r="J8197" s="143" t="s">
        <v>52</v>
      </c>
      <c r="K8197" s="226">
        <v>151338.5</v>
      </c>
      <c r="L8197" s="226"/>
    </row>
    <row r="8198" spans="1:13" x14ac:dyDescent="0.2">
      <c r="A8198" s="163">
        <v>2023</v>
      </c>
      <c r="B8198" s="163">
        <v>2</v>
      </c>
      <c r="C8198" s="163">
        <v>5</v>
      </c>
      <c r="D8198" s="141">
        <f>DATE(A8198,B8198,C8198)</f>
        <v>44962</v>
      </c>
      <c r="E8198" s="275">
        <f>DATE(A8198,B8198,C8198)</f>
        <v>44962</v>
      </c>
      <c r="F8198" s="480"/>
      <c r="G8198" s="221" t="s">
        <v>74</v>
      </c>
      <c r="H8198" s="221" t="str" cm="1">
        <f t="array" ref="H8198">IFERROR(INDEX(INVESTOR_LIST[INVESTOR NAME],MATCH(I8198,INVESTOR_LIST[INVESTOR CODE],0),)," ")</f>
        <v xml:space="preserve"> </v>
      </c>
      <c r="I8198" s="145"/>
      <c r="J8198" s="146" t="s">
        <v>190</v>
      </c>
      <c r="K8198" s="219"/>
      <c r="L8198" s="219">
        <v>151338.5</v>
      </c>
    </row>
    <row r="8199" spans="1:13" x14ac:dyDescent="0.2">
      <c r="A8199" s="133">
        <v>2023</v>
      </c>
      <c r="B8199" s="133">
        <v>2</v>
      </c>
      <c r="C8199" s="133">
        <v>5</v>
      </c>
      <c r="D8199" s="141">
        <f t="shared" ref="D8199:D8205" si="824">DATE(A8199,B8199,C8199)</f>
        <v>44962</v>
      </c>
      <c r="E8199" s="275">
        <f t="shared" ref="E8199:E8205" si="825">DATE(A8199,B8199,C8199)</f>
        <v>44962</v>
      </c>
      <c r="F8199" s="481" t="s">
        <v>1499</v>
      </c>
      <c r="G8199" s="174" t="s">
        <v>94</v>
      </c>
      <c r="H8199" s="174" t="str" cm="1">
        <f t="array" ref="H8199">IFERROR(INDEX(INVESTOR_LIST[INVESTOR NAME],MATCH(I8199,INVESTOR_LIST[INVESTOR CODE],0),)," ")</f>
        <v xml:space="preserve"> </v>
      </c>
      <c r="J8199" s="149" t="s">
        <v>190</v>
      </c>
      <c r="K8199" s="218">
        <v>1175233.56</v>
      </c>
      <c r="L8199" s="218"/>
      <c r="M8199" s="160"/>
    </row>
    <row r="8200" spans="1:13" x14ac:dyDescent="0.2">
      <c r="A8200" s="133">
        <v>2023</v>
      </c>
      <c r="B8200" s="133">
        <v>2</v>
      </c>
      <c r="C8200" s="133">
        <v>5</v>
      </c>
      <c r="D8200" s="141">
        <f t="shared" si="824"/>
        <v>44962</v>
      </c>
      <c r="E8200" s="275">
        <f t="shared" si="825"/>
        <v>44962</v>
      </c>
      <c r="F8200" s="481"/>
      <c r="G8200" s="174" t="s">
        <v>94</v>
      </c>
      <c r="H8200" s="174"/>
      <c r="J8200" s="149" t="s">
        <v>80</v>
      </c>
      <c r="K8200" s="218">
        <v>2119.2399999999998</v>
      </c>
      <c r="L8200" s="218"/>
    </row>
    <row r="8201" spans="1:13" x14ac:dyDescent="0.2">
      <c r="A8201" s="133">
        <v>2023</v>
      </c>
      <c r="B8201" s="133">
        <v>2</v>
      </c>
      <c r="C8201" s="133">
        <v>5</v>
      </c>
      <c r="D8201" s="141">
        <f t="shared" si="824"/>
        <v>44962</v>
      </c>
      <c r="E8201" s="275">
        <f t="shared" si="825"/>
        <v>44962</v>
      </c>
      <c r="F8201" s="481"/>
      <c r="G8201" s="174" t="s">
        <v>94</v>
      </c>
      <c r="H8201" s="174" t="str" cm="1">
        <f t="array" ref="H8201">IFERROR(INDEX(INVESTOR_LIST[INVESTOR NAME],MATCH(I8201,INVESTOR_LIST[INVESTOR CODE],0),)," ")</f>
        <v xml:space="preserve"> </v>
      </c>
      <c r="J8201" s="149" t="s">
        <v>191</v>
      </c>
      <c r="K8201" s="218">
        <v>62185.04</v>
      </c>
      <c r="L8201" s="218"/>
    </row>
    <row r="8202" spans="1:13" x14ac:dyDescent="0.2">
      <c r="A8202" s="163">
        <v>2023</v>
      </c>
      <c r="B8202" s="163">
        <v>2</v>
      </c>
      <c r="C8202" s="163">
        <v>5</v>
      </c>
      <c r="D8202" s="280">
        <f t="shared" si="824"/>
        <v>44962</v>
      </c>
      <c r="E8202" s="281">
        <f t="shared" si="825"/>
        <v>44962</v>
      </c>
      <c r="F8202" s="480"/>
      <c r="G8202" s="221" t="s">
        <v>94</v>
      </c>
      <c r="H8202" s="145" t="str" cm="1">
        <f t="array" ref="H8202">IFERROR(INDEX(INVESTOR_LIST[INVESTOR NAME],MATCH(I8202,INVESTOR_LIST[INVESTOR CODE],0),)," ")</f>
        <v xml:space="preserve"> </v>
      </c>
      <c r="I8202" s="145"/>
      <c r="J8202" s="163" t="s">
        <v>79</v>
      </c>
      <c r="K8202" s="219"/>
      <c r="L8202" s="219">
        <v>1239537.8400000001</v>
      </c>
    </row>
    <row r="8203" spans="1:13" x14ac:dyDescent="0.2">
      <c r="A8203" s="168">
        <v>2023</v>
      </c>
      <c r="B8203" s="168">
        <v>2</v>
      </c>
      <c r="C8203" s="168">
        <v>5</v>
      </c>
      <c r="D8203" s="141">
        <f t="shared" si="824"/>
        <v>44962</v>
      </c>
      <c r="E8203" s="275">
        <f t="shared" si="825"/>
        <v>44962</v>
      </c>
      <c r="F8203" s="479" t="s">
        <v>1319</v>
      </c>
      <c r="G8203" s="220" t="s">
        <v>74</v>
      </c>
      <c r="H8203" s="142" t="str" cm="1">
        <f t="array" ref="H8203">IFERROR(INDEX(INVESTOR_LIST[INVESTOR NAME],MATCH(I8203,INVESTOR_LIST[INVESTOR CODE],0),)," ")</f>
        <v xml:space="preserve"> </v>
      </c>
      <c r="I8203" s="142"/>
      <c r="J8203" s="168" t="s">
        <v>52</v>
      </c>
      <c r="K8203" s="226">
        <v>17000</v>
      </c>
      <c r="L8203" s="226"/>
    </row>
    <row r="8204" spans="1:13" x14ac:dyDescent="0.2">
      <c r="A8204" s="133">
        <v>2023</v>
      </c>
      <c r="B8204" s="133">
        <v>2</v>
      </c>
      <c r="C8204" s="133">
        <v>5</v>
      </c>
      <c r="D8204" s="141">
        <f t="shared" si="824"/>
        <v>44962</v>
      </c>
      <c r="E8204" s="275">
        <f t="shared" si="825"/>
        <v>44962</v>
      </c>
      <c r="F8204" s="481"/>
      <c r="G8204" s="174" t="s">
        <v>74</v>
      </c>
      <c r="H8204" s="148" t="str" cm="1">
        <f t="array" ref="H8204">IFERROR(INDEX(INVESTOR_LIST[INVESTOR NAME],MATCH(I8204,INVESTOR_LIST[INVESTOR CODE],0),)," ")</f>
        <v xml:space="preserve"> </v>
      </c>
      <c r="J8204" s="133" t="s">
        <v>13</v>
      </c>
      <c r="K8204" s="218"/>
      <c r="L8204" s="218">
        <v>13920</v>
      </c>
    </row>
    <row r="8205" spans="1:13" x14ac:dyDescent="0.2">
      <c r="A8205" s="163">
        <v>2023</v>
      </c>
      <c r="B8205" s="163">
        <v>2</v>
      </c>
      <c r="C8205" s="163">
        <v>5</v>
      </c>
      <c r="D8205" s="280">
        <f t="shared" si="824"/>
        <v>44962</v>
      </c>
      <c r="E8205" s="281">
        <f t="shared" si="825"/>
        <v>44962</v>
      </c>
      <c r="F8205" s="480"/>
      <c r="G8205" s="221" t="s">
        <v>74</v>
      </c>
      <c r="H8205" s="145" t="str" cm="1">
        <f t="array" ref="H8205">IFERROR(INDEX(INVESTOR_LIST[INVESTOR NAME],MATCH(I8205,INVESTOR_LIST[INVESTOR CODE],0),)," ")</f>
        <v xml:space="preserve"> </v>
      </c>
      <c r="I8205" s="145"/>
      <c r="J8205" s="163" t="s">
        <v>53</v>
      </c>
      <c r="K8205" s="219"/>
      <c r="L8205" s="219">
        <v>3080</v>
      </c>
    </row>
    <row r="8206" spans="1:13" x14ac:dyDescent="0.2">
      <c r="A8206" s="168">
        <v>2023</v>
      </c>
      <c r="B8206" s="168">
        <v>2</v>
      </c>
      <c r="C8206" s="168">
        <v>6</v>
      </c>
      <c r="D8206" s="141">
        <f t="shared" ref="D8206:D8215" si="826">DATE(A8206,B8206,C8206)</f>
        <v>44963</v>
      </c>
      <c r="E8206" s="275">
        <f t="shared" ref="E8206:E8215" si="827">DATE(A8206,B8206,C8206)</f>
        <v>44963</v>
      </c>
      <c r="F8206" s="479" t="s">
        <v>1319</v>
      </c>
      <c r="G8206" s="220" t="s">
        <v>74</v>
      </c>
      <c r="H8206" s="142" t="str" cm="1">
        <f t="array" ref="H8206">IFERROR(INDEX(INVESTOR_LIST[INVESTOR NAME],MATCH(I8206,INVESTOR_LIST[INVESTOR CODE],0),)," ")</f>
        <v xml:space="preserve"> </v>
      </c>
      <c r="I8206" s="142"/>
      <c r="J8206" s="168" t="s">
        <v>52</v>
      </c>
      <c r="K8206" s="226">
        <v>307000</v>
      </c>
      <c r="L8206" s="226"/>
    </row>
    <row r="8207" spans="1:13" x14ac:dyDescent="0.2">
      <c r="A8207" s="133">
        <v>2023</v>
      </c>
      <c r="B8207" s="133">
        <v>2</v>
      </c>
      <c r="C8207" s="133">
        <v>6</v>
      </c>
      <c r="D8207" s="141">
        <f t="shared" si="826"/>
        <v>44963</v>
      </c>
      <c r="E8207" s="275">
        <f t="shared" si="827"/>
        <v>44963</v>
      </c>
      <c r="F8207" s="481"/>
      <c r="G8207" s="174" t="s">
        <v>74</v>
      </c>
      <c r="H8207" s="148" t="str" cm="1">
        <f t="array" ref="H8207">IFERROR(INDEX(INVESTOR_LIST[INVESTOR NAME],MATCH(I8207,INVESTOR_LIST[INVESTOR CODE],0),)," ")</f>
        <v xml:space="preserve"> </v>
      </c>
      <c r="J8207" s="133" t="s">
        <v>13</v>
      </c>
      <c r="K8207" s="218"/>
      <c r="L8207" s="218">
        <v>251210</v>
      </c>
    </row>
    <row r="8208" spans="1:13" x14ac:dyDescent="0.2">
      <c r="A8208" s="163">
        <v>2023</v>
      </c>
      <c r="B8208" s="163">
        <v>2</v>
      </c>
      <c r="C8208" s="163">
        <v>6</v>
      </c>
      <c r="D8208" s="280">
        <f t="shared" si="826"/>
        <v>44963</v>
      </c>
      <c r="E8208" s="281">
        <f t="shared" si="827"/>
        <v>44963</v>
      </c>
      <c r="F8208" s="480"/>
      <c r="G8208" s="221" t="s">
        <v>74</v>
      </c>
      <c r="H8208" s="145" t="str" cm="1">
        <f t="array" ref="H8208">IFERROR(INDEX(INVESTOR_LIST[INVESTOR NAME],MATCH(I8208,INVESTOR_LIST[INVESTOR CODE],0),)," ")</f>
        <v xml:space="preserve"> </v>
      </c>
      <c r="I8208" s="145"/>
      <c r="J8208" s="163" t="s">
        <v>53</v>
      </c>
      <c r="K8208" s="219"/>
      <c r="L8208" s="219">
        <v>55790</v>
      </c>
    </row>
    <row r="8209" spans="1:13" x14ac:dyDescent="0.2">
      <c r="A8209" s="168">
        <v>2023</v>
      </c>
      <c r="B8209" s="168">
        <v>2</v>
      </c>
      <c r="C8209" s="168">
        <v>7</v>
      </c>
      <c r="D8209" s="141">
        <f>DATE(A8209,B8209,C8209)</f>
        <v>44964</v>
      </c>
      <c r="E8209" s="275">
        <f>DATE(A8209,B8209,C8209)</f>
        <v>44964</v>
      </c>
      <c r="F8209" s="479" t="s">
        <v>1500</v>
      </c>
      <c r="G8209" s="220" t="s">
        <v>74</v>
      </c>
      <c r="H8209" s="220" t="str" cm="1">
        <f t="array" ref="H8209">IFERROR(INDEX(INVESTOR_LIST[INVESTOR NAME],MATCH(I8209,INVESTOR_LIST[INVESTOR CODE],0),)," ")</f>
        <v xml:space="preserve"> </v>
      </c>
      <c r="I8209" s="142"/>
      <c r="J8209" s="143" t="s">
        <v>52</v>
      </c>
      <c r="K8209" s="226">
        <v>917464.59</v>
      </c>
      <c r="L8209" s="226"/>
    </row>
    <row r="8210" spans="1:13" x14ac:dyDescent="0.2">
      <c r="A8210" s="163">
        <v>2023</v>
      </c>
      <c r="B8210" s="163">
        <v>2</v>
      </c>
      <c r="C8210" s="163">
        <v>7</v>
      </c>
      <c r="D8210" s="141">
        <f>DATE(A8210,B8210,C8210)</f>
        <v>44964</v>
      </c>
      <c r="E8210" s="275">
        <f>DATE(A8210,B8210,C8210)</f>
        <v>44964</v>
      </c>
      <c r="F8210" s="480"/>
      <c r="G8210" s="221" t="s">
        <v>74</v>
      </c>
      <c r="H8210" s="221" t="str" cm="1">
        <f t="array" ref="H8210">IFERROR(INDEX(INVESTOR_LIST[INVESTOR NAME],MATCH(I8210,INVESTOR_LIST[INVESTOR CODE],0),)," ")</f>
        <v xml:space="preserve"> </v>
      </c>
      <c r="I8210" s="145"/>
      <c r="J8210" s="146" t="s">
        <v>190</v>
      </c>
      <c r="K8210" s="219"/>
      <c r="L8210" s="219">
        <v>917464.59</v>
      </c>
    </row>
    <row r="8211" spans="1:13" x14ac:dyDescent="0.2">
      <c r="A8211" s="168">
        <v>2023</v>
      </c>
      <c r="B8211" s="168">
        <v>2</v>
      </c>
      <c r="C8211" s="168">
        <v>8</v>
      </c>
      <c r="D8211" s="141">
        <f>DATE(A8211,B8211,C8211)</f>
        <v>44965</v>
      </c>
      <c r="E8211" s="275">
        <f>DATE(A8211,B8211,C8211)</f>
        <v>44965</v>
      </c>
      <c r="F8211" s="479" t="s">
        <v>1500</v>
      </c>
      <c r="G8211" s="220" t="s">
        <v>74</v>
      </c>
      <c r="H8211" s="220" t="str" cm="1">
        <f t="array" ref="H8211">IFERROR(INDEX(INVESTOR_LIST[INVESTOR NAME],MATCH(I8211,INVESTOR_LIST[INVESTOR CODE],0),)," ")</f>
        <v xml:space="preserve"> </v>
      </c>
      <c r="I8211" s="142"/>
      <c r="J8211" s="143" t="s">
        <v>52</v>
      </c>
      <c r="K8211" s="226">
        <v>1175233.56</v>
      </c>
      <c r="L8211" s="226"/>
    </row>
    <row r="8212" spans="1:13" x14ac:dyDescent="0.2">
      <c r="A8212" s="163">
        <v>2023</v>
      </c>
      <c r="B8212" s="163">
        <v>2</v>
      </c>
      <c r="C8212" s="163">
        <v>8</v>
      </c>
      <c r="D8212" s="141">
        <f>DATE(A8212,B8212,C8212)</f>
        <v>44965</v>
      </c>
      <c r="E8212" s="275">
        <f>DATE(A8212,B8212,C8212)</f>
        <v>44965</v>
      </c>
      <c r="F8212" s="480"/>
      <c r="G8212" s="221" t="s">
        <v>74</v>
      </c>
      <c r="H8212" s="221" t="str" cm="1">
        <f t="array" ref="H8212">IFERROR(INDEX(INVESTOR_LIST[INVESTOR NAME],MATCH(I8212,INVESTOR_LIST[INVESTOR CODE],0),)," ")</f>
        <v xml:space="preserve"> </v>
      </c>
      <c r="I8212" s="145"/>
      <c r="J8212" s="146" t="s">
        <v>190</v>
      </c>
      <c r="K8212" s="219"/>
      <c r="L8212" s="219">
        <v>1175233.56</v>
      </c>
    </row>
    <row r="8213" spans="1:13" ht="33.75" x14ac:dyDescent="0.2">
      <c r="A8213" s="168">
        <v>2023</v>
      </c>
      <c r="B8213" s="168">
        <v>2</v>
      </c>
      <c r="C8213" s="133">
        <v>8</v>
      </c>
      <c r="D8213" s="141">
        <f t="shared" si="826"/>
        <v>44965</v>
      </c>
      <c r="E8213" s="275">
        <f t="shared" si="827"/>
        <v>44965</v>
      </c>
      <c r="F8213" s="479" t="s">
        <v>1315</v>
      </c>
      <c r="G8213" s="220" t="s">
        <v>74</v>
      </c>
      <c r="H8213" s="142" t="str" cm="1">
        <f t="array" ref="H8213">IFERROR(INDEX(INVESTOR_LIST[INVESTOR NAME],MATCH(I8213,INVESTOR_LIST[INVESTOR CODE],0),)," ")</f>
        <v>ASHRAFUL ISLAM</v>
      </c>
      <c r="I8213" s="142" t="s">
        <v>1019</v>
      </c>
      <c r="J8213" s="168" t="s">
        <v>13</v>
      </c>
      <c r="K8213" s="226">
        <v>80250</v>
      </c>
      <c r="L8213" s="226"/>
    </row>
    <row r="8214" spans="1:13" ht="33.75" x14ac:dyDescent="0.2">
      <c r="A8214" s="133">
        <v>2023</v>
      </c>
      <c r="B8214" s="133">
        <v>2</v>
      </c>
      <c r="C8214" s="133">
        <v>8</v>
      </c>
      <c r="D8214" s="141">
        <f t="shared" si="826"/>
        <v>44965</v>
      </c>
      <c r="E8214" s="275">
        <f t="shared" si="827"/>
        <v>44965</v>
      </c>
      <c r="F8214" s="481"/>
      <c r="G8214" s="174" t="s">
        <v>74</v>
      </c>
      <c r="H8214" s="148" t="str" cm="1">
        <f t="array" ref="H8214">IFERROR(INDEX(INVESTOR_LIST[INVESTOR NAME],MATCH(I8214,INVESTOR_LIST[INVESTOR CODE],0),)," ")</f>
        <v>ASHRAFUL ISLAM</v>
      </c>
      <c r="I8214" s="148" t="s">
        <v>1019</v>
      </c>
      <c r="J8214" s="133" t="s">
        <v>53</v>
      </c>
      <c r="K8214" s="218">
        <v>17815.5</v>
      </c>
      <c r="L8214" s="218"/>
    </row>
    <row r="8215" spans="1:13" ht="33.75" x14ac:dyDescent="0.2">
      <c r="A8215" s="163">
        <v>2023</v>
      </c>
      <c r="B8215" s="163">
        <v>2</v>
      </c>
      <c r="C8215" s="163">
        <v>8</v>
      </c>
      <c r="D8215" s="280">
        <f t="shared" si="826"/>
        <v>44965</v>
      </c>
      <c r="E8215" s="281">
        <f t="shared" si="827"/>
        <v>44965</v>
      </c>
      <c r="F8215" s="480"/>
      <c r="G8215" s="221" t="s">
        <v>74</v>
      </c>
      <c r="H8215" s="145" t="str" cm="1">
        <f t="array" ref="H8215">IFERROR(INDEX(INVESTOR_LIST[INVESTOR NAME],MATCH(I8215,INVESTOR_LIST[INVESTOR CODE],0),)," ")</f>
        <v>ASHRAFUL ISLAM</v>
      </c>
      <c r="I8215" s="145" t="s">
        <v>1019</v>
      </c>
      <c r="J8215" s="163" t="s">
        <v>52</v>
      </c>
      <c r="K8215" s="219"/>
      <c r="L8215" s="219">
        <v>98065.5</v>
      </c>
    </row>
    <row r="8216" spans="1:13" ht="22.5" x14ac:dyDescent="0.2">
      <c r="A8216" s="168">
        <v>2023</v>
      </c>
      <c r="B8216" s="168">
        <v>2</v>
      </c>
      <c r="C8216" s="133">
        <v>8</v>
      </c>
      <c r="D8216" s="141">
        <f t="shared" ref="D8216:D8230" si="828">DATE(A8216,B8216,C8216)</f>
        <v>44965</v>
      </c>
      <c r="E8216" s="275">
        <f t="shared" ref="E8216:E8230" si="829">DATE(A8216,B8216,C8216)</f>
        <v>44965</v>
      </c>
      <c r="F8216" s="479" t="s">
        <v>1315</v>
      </c>
      <c r="G8216" s="220" t="s">
        <v>74</v>
      </c>
      <c r="H8216" s="142" t="str" cm="1">
        <f t="array" ref="H8216">IFERROR(INDEX(INVESTOR_LIST[INVESTOR NAME],MATCH(I8216,INVESTOR_LIST[INVESTOR CODE],0),)," ")</f>
        <v>TANIA KABIR</v>
      </c>
      <c r="I8216" s="142" t="s">
        <v>1021</v>
      </c>
      <c r="J8216" s="168" t="s">
        <v>13</v>
      </c>
      <c r="K8216" s="226">
        <v>80250</v>
      </c>
      <c r="L8216" s="226"/>
    </row>
    <row r="8217" spans="1:13" ht="22.5" x14ac:dyDescent="0.2">
      <c r="A8217" s="133">
        <v>2023</v>
      </c>
      <c r="B8217" s="133">
        <v>2</v>
      </c>
      <c r="C8217" s="133">
        <v>8</v>
      </c>
      <c r="D8217" s="141">
        <f t="shared" si="828"/>
        <v>44965</v>
      </c>
      <c r="E8217" s="275">
        <f t="shared" si="829"/>
        <v>44965</v>
      </c>
      <c r="F8217" s="481"/>
      <c r="G8217" s="174" t="s">
        <v>74</v>
      </c>
      <c r="H8217" s="148" t="str" cm="1">
        <f t="array" ref="H8217">IFERROR(INDEX(INVESTOR_LIST[INVESTOR NAME],MATCH(I8217,INVESTOR_LIST[INVESTOR CODE],0),)," ")</f>
        <v>TANIA KABIR</v>
      </c>
      <c r="I8217" s="148" t="s">
        <v>1021</v>
      </c>
      <c r="J8217" s="133" t="s">
        <v>53</v>
      </c>
      <c r="K8217" s="218">
        <v>17815.5</v>
      </c>
      <c r="L8217" s="218"/>
    </row>
    <row r="8218" spans="1:13" ht="22.5" x14ac:dyDescent="0.2">
      <c r="A8218" s="163">
        <v>2023</v>
      </c>
      <c r="B8218" s="163">
        <v>2</v>
      </c>
      <c r="C8218" s="163">
        <v>8</v>
      </c>
      <c r="D8218" s="280">
        <f t="shared" si="828"/>
        <v>44965</v>
      </c>
      <c r="E8218" s="281">
        <f t="shared" si="829"/>
        <v>44965</v>
      </c>
      <c r="F8218" s="480"/>
      <c r="G8218" s="221" t="s">
        <v>74</v>
      </c>
      <c r="H8218" s="145" t="str" cm="1">
        <f t="array" ref="H8218">IFERROR(INDEX(INVESTOR_LIST[INVESTOR NAME],MATCH(I8218,INVESTOR_LIST[INVESTOR CODE],0),)," ")</f>
        <v>TANIA KABIR</v>
      </c>
      <c r="I8218" s="145" t="s">
        <v>1021</v>
      </c>
      <c r="J8218" s="163" t="s">
        <v>52</v>
      </c>
      <c r="K8218" s="219"/>
      <c r="L8218" s="219">
        <v>98065.5</v>
      </c>
    </row>
    <row r="8219" spans="1:13" x14ac:dyDescent="0.2">
      <c r="A8219" s="133">
        <v>2023</v>
      </c>
      <c r="B8219" s="133">
        <v>2</v>
      </c>
      <c r="C8219" s="168">
        <v>9</v>
      </c>
      <c r="D8219" s="141">
        <f t="shared" si="828"/>
        <v>44966</v>
      </c>
      <c r="E8219" s="275">
        <f t="shared" si="829"/>
        <v>44966</v>
      </c>
      <c r="F8219" s="479" t="s">
        <v>1579</v>
      </c>
      <c r="G8219" s="174" t="s">
        <v>74</v>
      </c>
      <c r="H8219" s="148" t="str" cm="1">
        <f t="array" ref="H8219">IFERROR(INDEX(INVESTOR_LIST[INVESTOR NAME],MATCH(I8219,INVESTOR_LIST[INVESTOR CODE],0),)," ")</f>
        <v xml:space="preserve"> </v>
      </c>
      <c r="I8219" s="148" t="s">
        <v>348</v>
      </c>
      <c r="J8219" s="133" t="s">
        <v>50</v>
      </c>
      <c r="K8219" s="172">
        <v>30000</v>
      </c>
    </row>
    <row r="8220" spans="1:13" x14ac:dyDescent="0.2">
      <c r="A8220" s="133">
        <v>2023</v>
      </c>
      <c r="B8220" s="133">
        <v>2</v>
      </c>
      <c r="C8220" s="133">
        <v>9</v>
      </c>
      <c r="D8220" s="141">
        <f t="shared" ref="D8220" si="830">DATE(A8220,B8220,C8220)</f>
        <v>44966</v>
      </c>
      <c r="E8220" s="275">
        <f t="shared" ref="E8220" si="831">DATE(A8220,B8220,C8220)</f>
        <v>44966</v>
      </c>
      <c r="F8220" s="481"/>
      <c r="G8220" s="174" t="s">
        <v>74</v>
      </c>
      <c r="J8220" s="133" t="s">
        <v>130</v>
      </c>
      <c r="K8220" s="172">
        <v>4500</v>
      </c>
    </row>
    <row r="8221" spans="1:13" x14ac:dyDescent="0.2">
      <c r="A8221" s="163">
        <v>2023</v>
      </c>
      <c r="B8221" s="163">
        <v>2</v>
      </c>
      <c r="C8221" s="163">
        <v>9</v>
      </c>
      <c r="D8221" s="280">
        <f t="shared" si="828"/>
        <v>44966</v>
      </c>
      <c r="E8221" s="281">
        <f t="shared" si="829"/>
        <v>44966</v>
      </c>
      <c r="F8221" s="480"/>
      <c r="G8221" s="221" t="s">
        <v>74</v>
      </c>
      <c r="H8221" s="145" t="str" cm="1">
        <f t="array" ref="H8221">IFERROR(INDEX(INVESTOR_LIST[INVESTOR NAME],MATCH(I8221,INVESTOR_LIST[INVESTOR CODE],0),)," ")</f>
        <v xml:space="preserve"> </v>
      </c>
      <c r="I8221" s="145" t="s">
        <v>348</v>
      </c>
      <c r="J8221" s="163" t="s">
        <v>52</v>
      </c>
      <c r="K8221" s="219"/>
      <c r="L8221" s="219">
        <v>34500</v>
      </c>
    </row>
    <row r="8222" spans="1:13" x14ac:dyDescent="0.2">
      <c r="A8222" s="133">
        <v>2023</v>
      </c>
      <c r="B8222" s="133">
        <v>2</v>
      </c>
      <c r="C8222" s="133">
        <v>9</v>
      </c>
      <c r="D8222" s="141">
        <f t="shared" si="828"/>
        <v>44966</v>
      </c>
      <c r="E8222" s="275">
        <f t="shared" si="829"/>
        <v>44966</v>
      </c>
      <c r="F8222" s="481" t="s">
        <v>1554</v>
      </c>
      <c r="G8222" s="174" t="s">
        <v>94</v>
      </c>
      <c r="H8222" s="174" t="str" cm="1">
        <f t="array" ref="H8222">IFERROR(INDEX(INVESTOR_LIST[INVESTOR NAME],MATCH(I8222,INVESTOR_LIST[INVESTOR CODE],0),)," ")</f>
        <v xml:space="preserve"> </v>
      </c>
      <c r="J8222" s="149" t="s">
        <v>79</v>
      </c>
      <c r="K8222" s="218">
        <v>2804400</v>
      </c>
      <c r="L8222" s="218"/>
      <c r="M8222" s="160"/>
    </row>
    <row r="8223" spans="1:13" x14ac:dyDescent="0.2">
      <c r="A8223" s="133">
        <v>2023</v>
      </c>
      <c r="B8223" s="133">
        <v>2</v>
      </c>
      <c r="C8223" s="133">
        <v>9</v>
      </c>
      <c r="D8223" s="141">
        <f t="shared" si="828"/>
        <v>44966</v>
      </c>
      <c r="E8223" s="275">
        <f t="shared" si="829"/>
        <v>44966</v>
      </c>
      <c r="F8223" s="481"/>
      <c r="G8223" s="174" t="s">
        <v>94</v>
      </c>
      <c r="H8223" s="174"/>
      <c r="J8223" s="149" t="s">
        <v>80</v>
      </c>
      <c r="K8223" s="218">
        <v>5603.4</v>
      </c>
      <c r="L8223" s="218"/>
    </row>
    <row r="8224" spans="1:13" x14ac:dyDescent="0.2">
      <c r="A8224" s="133">
        <v>2023</v>
      </c>
      <c r="B8224" s="133">
        <v>2</v>
      </c>
      <c r="C8224" s="133">
        <v>9</v>
      </c>
      <c r="D8224" s="141">
        <f t="shared" si="828"/>
        <v>44966</v>
      </c>
      <c r="E8224" s="275">
        <f t="shared" si="829"/>
        <v>44966</v>
      </c>
      <c r="F8224" s="481"/>
      <c r="G8224" s="174" t="s">
        <v>94</v>
      </c>
      <c r="H8224" s="174"/>
      <c r="J8224" s="149" t="s">
        <v>147</v>
      </c>
      <c r="K8224" s="218"/>
      <c r="L8224" s="218">
        <v>2501403.4</v>
      </c>
    </row>
    <row r="8225" spans="1:14" x14ac:dyDescent="0.2">
      <c r="A8225" s="133">
        <v>2023</v>
      </c>
      <c r="B8225" s="133">
        <v>2</v>
      </c>
      <c r="C8225" s="133">
        <v>9</v>
      </c>
      <c r="D8225" s="141">
        <f t="shared" si="828"/>
        <v>44966</v>
      </c>
      <c r="E8225" s="275">
        <f t="shared" si="829"/>
        <v>44966</v>
      </c>
      <c r="F8225" s="481"/>
      <c r="G8225" s="174" t="s">
        <v>94</v>
      </c>
      <c r="H8225" s="174" t="str" cm="1">
        <f t="array" ref="H8225">IFERROR(INDEX(INVESTOR_LIST[INVESTOR NAME],MATCH(I8225,INVESTOR_LIST[INVESTOR CODE],0),)," ")</f>
        <v xml:space="preserve"> </v>
      </c>
      <c r="J8225" s="149" t="s">
        <v>191</v>
      </c>
      <c r="K8225" s="218"/>
      <c r="L8225" s="218">
        <v>34500</v>
      </c>
    </row>
    <row r="8226" spans="1:14" x14ac:dyDescent="0.2">
      <c r="A8226" s="163">
        <v>2023</v>
      </c>
      <c r="B8226" s="163">
        <v>2</v>
      </c>
      <c r="C8226" s="163">
        <v>9</v>
      </c>
      <c r="D8226" s="280">
        <f t="shared" si="828"/>
        <v>44966</v>
      </c>
      <c r="E8226" s="281">
        <f t="shared" si="829"/>
        <v>44966</v>
      </c>
      <c r="F8226" s="480"/>
      <c r="G8226" s="221" t="s">
        <v>94</v>
      </c>
      <c r="H8226" s="145" t="str" cm="1">
        <f t="array" ref="H8226">IFERROR(INDEX(INVESTOR_LIST[INVESTOR NAME],MATCH(I8226,INVESTOR_LIST[INVESTOR CODE],0),)," ")</f>
        <v xml:space="preserve"> </v>
      </c>
      <c r="I8226" s="145"/>
      <c r="J8226" s="163" t="s">
        <v>79</v>
      </c>
      <c r="K8226" s="219"/>
      <c r="L8226" s="219">
        <v>274100</v>
      </c>
    </row>
    <row r="8227" spans="1:14" x14ac:dyDescent="0.2">
      <c r="A8227" s="324">
        <v>2023</v>
      </c>
      <c r="B8227" s="324">
        <v>2</v>
      </c>
      <c r="C8227" s="325">
        <v>9</v>
      </c>
      <c r="D8227" s="326">
        <f t="shared" si="828"/>
        <v>44966</v>
      </c>
      <c r="E8227" s="327">
        <f t="shared" si="829"/>
        <v>44966</v>
      </c>
      <c r="F8227" s="473" t="s">
        <v>1490</v>
      </c>
      <c r="G8227" s="328" t="s">
        <v>94</v>
      </c>
      <c r="H8227" s="329" t="str" cm="1">
        <f t="array" ref="H8227">IFERROR(INDEX(INVESTOR_LIST[INVESTOR NAME],MATCH(I8227,INVESTOR_LIST[INVESTOR CODE],0),)," ")</f>
        <v xml:space="preserve"> </v>
      </c>
      <c r="I8227" s="329" t="s">
        <v>348</v>
      </c>
      <c r="J8227" s="325" t="s">
        <v>133</v>
      </c>
      <c r="K8227" s="330">
        <v>14659.25</v>
      </c>
      <c r="L8227" s="330"/>
      <c r="M8227" s="160"/>
    </row>
    <row r="8228" spans="1:14" x14ac:dyDescent="0.2">
      <c r="A8228" s="331">
        <v>2023</v>
      </c>
      <c r="B8228" s="331">
        <v>2</v>
      </c>
      <c r="C8228" s="331">
        <v>9</v>
      </c>
      <c r="D8228" s="326">
        <f t="shared" si="828"/>
        <v>44966</v>
      </c>
      <c r="E8228" s="327">
        <f t="shared" si="829"/>
        <v>44966</v>
      </c>
      <c r="F8228" s="474"/>
      <c r="G8228" s="332" t="s">
        <v>94</v>
      </c>
      <c r="H8228" s="333" t="str" cm="1">
        <f t="array" ref="H8228">IFERROR(INDEX(INVESTOR_LIST[INVESTOR NAME],MATCH(I8228,INVESTOR_LIST[INVESTOR CODE],0),)," ")</f>
        <v xml:space="preserve"> </v>
      </c>
      <c r="I8228" s="333" t="s">
        <v>348</v>
      </c>
      <c r="J8228" s="331" t="s">
        <v>152</v>
      </c>
      <c r="K8228" s="334"/>
      <c r="L8228" s="334">
        <v>14659.25</v>
      </c>
      <c r="M8228" s="160"/>
      <c r="N8228" s="160"/>
    </row>
    <row r="8229" spans="1:14" x14ac:dyDescent="0.2">
      <c r="A8229" s="324">
        <v>2023</v>
      </c>
      <c r="B8229" s="324">
        <v>2</v>
      </c>
      <c r="C8229" s="325">
        <v>9</v>
      </c>
      <c r="D8229" s="326">
        <f t="shared" si="828"/>
        <v>44966</v>
      </c>
      <c r="E8229" s="327">
        <f t="shared" si="829"/>
        <v>44966</v>
      </c>
      <c r="F8229" s="473" t="s">
        <v>1491</v>
      </c>
      <c r="G8229" s="328" t="s">
        <v>94</v>
      </c>
      <c r="H8229" s="329" t="str" cm="1">
        <f t="array" ref="H8229">IFERROR(INDEX(INVESTOR_LIST[INVESTOR NAME],MATCH(I8229,INVESTOR_LIST[INVESTOR CODE],0),)," ")</f>
        <v xml:space="preserve"> </v>
      </c>
      <c r="I8229" s="329" t="s">
        <v>348</v>
      </c>
      <c r="J8229" s="324" t="s">
        <v>133</v>
      </c>
      <c r="K8229" s="330">
        <v>12259.62</v>
      </c>
      <c r="L8229" s="330"/>
      <c r="M8229" s="160"/>
      <c r="N8229" s="160"/>
    </row>
    <row r="8230" spans="1:14" x14ac:dyDescent="0.2">
      <c r="A8230" s="331">
        <v>2023</v>
      </c>
      <c r="B8230" s="331">
        <v>2</v>
      </c>
      <c r="C8230" s="331">
        <v>9</v>
      </c>
      <c r="D8230" s="326">
        <f t="shared" si="828"/>
        <v>44966</v>
      </c>
      <c r="E8230" s="327">
        <f t="shared" si="829"/>
        <v>44966</v>
      </c>
      <c r="F8230" s="474"/>
      <c r="G8230" s="332" t="s">
        <v>94</v>
      </c>
      <c r="H8230" s="333" t="str" cm="1">
        <f t="array" ref="H8230">IFERROR(INDEX(INVESTOR_LIST[INVESTOR NAME],MATCH(I8230,INVESTOR_LIST[INVESTOR CODE],0),)," ")</f>
        <v xml:space="preserve"> </v>
      </c>
      <c r="I8230" s="333" t="s">
        <v>348</v>
      </c>
      <c r="J8230" s="331" t="s">
        <v>152</v>
      </c>
      <c r="K8230" s="334"/>
      <c r="L8230" s="334">
        <v>12259.62</v>
      </c>
      <c r="M8230" s="160"/>
      <c r="N8230" s="160"/>
    </row>
    <row r="8231" spans="1:14" x14ac:dyDescent="0.2">
      <c r="A8231" s="324">
        <v>2023</v>
      </c>
      <c r="B8231" s="324">
        <v>2</v>
      </c>
      <c r="C8231" s="325">
        <v>9</v>
      </c>
      <c r="D8231" s="326">
        <f>DATE(A8231,B8231,C8231)</f>
        <v>44966</v>
      </c>
      <c r="E8231" s="327">
        <f>DATE(A8231,B8231,C8231)</f>
        <v>44966</v>
      </c>
      <c r="F8231" s="473" t="s">
        <v>1531</v>
      </c>
      <c r="G8231" s="328" t="s">
        <v>94</v>
      </c>
      <c r="H8231" s="329" t="str" cm="1">
        <f t="array" ref="H8231">IFERROR(INDEX(INVESTOR_LIST[INVESTOR NAME],MATCH(I8231,INVESTOR_LIST[INVESTOR CODE],0),)," ")</f>
        <v xml:space="preserve"> </v>
      </c>
      <c r="I8231" s="329" t="s">
        <v>348</v>
      </c>
      <c r="J8231" s="324" t="s">
        <v>133</v>
      </c>
      <c r="K8231" s="330">
        <v>7115.38</v>
      </c>
      <c r="L8231" s="330"/>
      <c r="M8231" s="160"/>
      <c r="N8231" s="160"/>
    </row>
    <row r="8232" spans="1:14" x14ac:dyDescent="0.2">
      <c r="A8232" s="331">
        <v>2023</v>
      </c>
      <c r="B8232" s="331">
        <v>2</v>
      </c>
      <c r="C8232" s="331">
        <v>9</v>
      </c>
      <c r="D8232" s="326">
        <f>DATE(A8232,B8232,C8232)</f>
        <v>44966</v>
      </c>
      <c r="E8232" s="327">
        <f>DATE(A8232,B8232,C8232)</f>
        <v>44966</v>
      </c>
      <c r="F8232" s="474"/>
      <c r="G8232" s="332" t="s">
        <v>94</v>
      </c>
      <c r="H8232" s="333" t="str" cm="1">
        <f t="array" ref="H8232">IFERROR(INDEX(INVESTOR_LIST[INVESTOR NAME],MATCH(I8232,INVESTOR_LIST[INVESTOR CODE],0),)," ")</f>
        <v xml:space="preserve"> </v>
      </c>
      <c r="I8232" s="333" t="s">
        <v>348</v>
      </c>
      <c r="J8232" s="331" t="s">
        <v>152</v>
      </c>
      <c r="K8232" s="334"/>
      <c r="L8232" s="334">
        <v>7115.38</v>
      </c>
      <c r="M8232" s="160"/>
      <c r="N8232" s="160"/>
    </row>
    <row r="8233" spans="1:14" x14ac:dyDescent="0.2">
      <c r="A8233" s="238">
        <v>2023</v>
      </c>
      <c r="B8233" s="238">
        <v>2</v>
      </c>
      <c r="C8233" s="238">
        <v>9</v>
      </c>
      <c r="D8233" s="270">
        <f t="shared" ref="D8233:D8260" si="832">DATE(A8233,B8233,C8233)</f>
        <v>44966</v>
      </c>
      <c r="E8233" s="279">
        <f t="shared" ref="E8233:E8260" si="833">DATE(A8233,B8233,C8233)</f>
        <v>44966</v>
      </c>
      <c r="F8233" s="477" t="s">
        <v>347</v>
      </c>
      <c r="G8233" s="239" t="s">
        <v>94</v>
      </c>
      <c r="H8233" s="239" t="str" cm="1">
        <f t="array" ref="H8233">IFERROR(INDEX(INVESTOR_LIST[INVESTOR NAME],MATCH(I8233,INVESTOR_LIST[INVESTOR CODE],0),)," ")</f>
        <v xml:space="preserve"> </v>
      </c>
      <c r="I8233" s="262" t="s">
        <v>348</v>
      </c>
      <c r="J8233" s="240" t="s">
        <v>108</v>
      </c>
      <c r="K8233" s="241">
        <v>337225.20000001835</v>
      </c>
      <c r="L8233" s="241"/>
    </row>
    <row r="8234" spans="1:14" x14ac:dyDescent="0.2">
      <c r="A8234" s="242">
        <v>2023</v>
      </c>
      <c r="B8234" s="242">
        <v>2</v>
      </c>
      <c r="C8234" s="242">
        <v>9</v>
      </c>
      <c r="D8234" s="270">
        <f t="shared" si="832"/>
        <v>44966</v>
      </c>
      <c r="E8234" s="279">
        <f t="shared" si="833"/>
        <v>44966</v>
      </c>
      <c r="F8234" s="478"/>
      <c r="G8234" s="243" t="s">
        <v>94</v>
      </c>
      <c r="H8234" s="243" t="str" cm="1">
        <f t="array" ref="H8234">IFERROR(INDEX(INVESTOR_LIST[INVESTOR NAME],MATCH(I8234,INVESTOR_LIST[INVESTOR CODE],0),)," ")</f>
        <v xml:space="preserve"> </v>
      </c>
      <c r="I8234" s="263" t="s">
        <v>348</v>
      </c>
      <c r="J8234" s="244" t="s">
        <v>82</v>
      </c>
      <c r="K8234" s="245"/>
      <c r="L8234" s="245">
        <v>337225.20000001835</v>
      </c>
    </row>
    <row r="8235" spans="1:14" ht="22.5" x14ac:dyDescent="0.2">
      <c r="A8235" s="246">
        <v>2023</v>
      </c>
      <c r="B8235" s="238">
        <v>2</v>
      </c>
      <c r="C8235" s="238">
        <v>9</v>
      </c>
      <c r="D8235" s="270">
        <f t="shared" si="832"/>
        <v>44966</v>
      </c>
      <c r="E8235" s="279">
        <f t="shared" si="833"/>
        <v>44966</v>
      </c>
      <c r="F8235" s="482" t="s">
        <v>148</v>
      </c>
      <c r="G8235" s="247" t="s">
        <v>94</v>
      </c>
      <c r="H8235" s="247" t="str" cm="1">
        <f t="array" ref="H8235">IFERROR(INDEX(INVESTOR_LIST[INVESTOR NAME],MATCH(I8235,INVESTOR_LIST[INVESTOR CODE],0),)," ")</f>
        <v xml:space="preserve"> </v>
      </c>
      <c r="I8235" s="248" t="s">
        <v>348</v>
      </c>
      <c r="J8235" s="249" t="s">
        <v>95</v>
      </c>
      <c r="K8235" s="250">
        <v>2747.2527472527472</v>
      </c>
      <c r="L8235" s="241"/>
    </row>
    <row r="8236" spans="1:14" x14ac:dyDescent="0.2">
      <c r="A8236" s="242">
        <v>2023</v>
      </c>
      <c r="B8236" s="242">
        <v>2</v>
      </c>
      <c r="C8236" s="242">
        <v>9</v>
      </c>
      <c r="D8236" s="270">
        <f t="shared" si="832"/>
        <v>44966</v>
      </c>
      <c r="E8236" s="279">
        <f t="shared" si="833"/>
        <v>44966</v>
      </c>
      <c r="F8236" s="478"/>
      <c r="G8236" s="243" t="s">
        <v>94</v>
      </c>
      <c r="H8236" s="243" t="str" cm="1">
        <f t="array" ref="H8236">IFERROR(INDEX(INVESTOR_LIST[INVESTOR NAME],MATCH(I8236,INVESTOR_LIST[INVESTOR CODE],0),)," ")</f>
        <v xml:space="preserve"> </v>
      </c>
      <c r="I8236" s="263" t="s">
        <v>348</v>
      </c>
      <c r="J8236" s="244" t="s">
        <v>63</v>
      </c>
      <c r="K8236" s="245"/>
      <c r="L8236" s="245">
        <v>2747.2527472527472</v>
      </c>
    </row>
    <row r="8237" spans="1:14" x14ac:dyDescent="0.2">
      <c r="A8237" s="246">
        <v>2023</v>
      </c>
      <c r="B8237" s="238">
        <v>2</v>
      </c>
      <c r="C8237" s="238">
        <v>9</v>
      </c>
      <c r="D8237" s="270">
        <f t="shared" si="832"/>
        <v>44966</v>
      </c>
      <c r="E8237" s="279">
        <f t="shared" si="833"/>
        <v>44966</v>
      </c>
      <c r="F8237" s="482" t="s">
        <v>137</v>
      </c>
      <c r="G8237" s="247" t="s">
        <v>94</v>
      </c>
      <c r="H8237" s="247" t="str" cm="1">
        <f t="array" ref="H8237">IFERROR(INDEX(INVESTOR_LIST[INVESTOR NAME],MATCH(I8237,INVESTOR_LIST[INVESTOR CODE],0),)," ")</f>
        <v xml:space="preserve"> </v>
      </c>
      <c r="I8237" s="248" t="s">
        <v>348</v>
      </c>
      <c r="J8237" s="249" t="s">
        <v>97</v>
      </c>
      <c r="K8237" s="250">
        <v>75855.985243481089</v>
      </c>
      <c r="L8237" s="252"/>
    </row>
    <row r="8238" spans="1:14" x14ac:dyDescent="0.2">
      <c r="A8238" s="242">
        <v>2023</v>
      </c>
      <c r="B8238" s="242">
        <v>2</v>
      </c>
      <c r="C8238" s="242">
        <v>9</v>
      </c>
      <c r="D8238" s="270">
        <f t="shared" si="832"/>
        <v>44966</v>
      </c>
      <c r="E8238" s="279">
        <f t="shared" si="833"/>
        <v>44966</v>
      </c>
      <c r="F8238" s="478"/>
      <c r="G8238" s="243" t="s">
        <v>94</v>
      </c>
      <c r="H8238" s="243" t="str" cm="1">
        <f t="array" ref="H8238">IFERROR(INDEX(INVESTOR_LIST[INVESTOR NAME],MATCH(I8238,INVESTOR_LIST[INVESTOR CODE],0),)," ")</f>
        <v xml:space="preserve"> </v>
      </c>
      <c r="I8238" s="263" t="s">
        <v>348</v>
      </c>
      <c r="J8238" s="244" t="s">
        <v>47</v>
      </c>
      <c r="K8238" s="245"/>
      <c r="L8238" s="245">
        <v>75855.985243481089</v>
      </c>
    </row>
    <row r="8239" spans="1:14" x14ac:dyDescent="0.2">
      <c r="A8239" s="246">
        <v>2023</v>
      </c>
      <c r="B8239" s="238">
        <v>2</v>
      </c>
      <c r="C8239" s="238">
        <v>9</v>
      </c>
      <c r="D8239" s="270">
        <f t="shared" si="832"/>
        <v>44966</v>
      </c>
      <c r="E8239" s="279">
        <f t="shared" si="833"/>
        <v>44966</v>
      </c>
      <c r="F8239" s="482" t="s">
        <v>138</v>
      </c>
      <c r="G8239" s="247" t="s">
        <v>94</v>
      </c>
      <c r="H8239" s="247" t="str" cm="1">
        <f t="array" ref="H8239">IFERROR(INDEX(INVESTOR_LIST[INVESTOR NAME],MATCH(I8239,INVESTOR_LIST[INVESTOR CODE],0),)," ")</f>
        <v xml:space="preserve"> </v>
      </c>
      <c r="I8239" s="248" t="s">
        <v>348</v>
      </c>
      <c r="J8239" s="249" t="s">
        <v>100</v>
      </c>
      <c r="K8239" s="250">
        <v>3552.4146467894388</v>
      </c>
      <c r="L8239" s="252"/>
    </row>
    <row r="8240" spans="1:14" ht="10.9" customHeight="1" x14ac:dyDescent="0.2">
      <c r="A8240" s="242">
        <v>2023</v>
      </c>
      <c r="B8240" s="242">
        <v>2</v>
      </c>
      <c r="C8240" s="242">
        <v>9</v>
      </c>
      <c r="D8240" s="321">
        <f t="shared" si="832"/>
        <v>44966</v>
      </c>
      <c r="E8240" s="322">
        <f t="shared" si="833"/>
        <v>44966</v>
      </c>
      <c r="F8240" s="478"/>
      <c r="G8240" s="243" t="s">
        <v>94</v>
      </c>
      <c r="H8240" s="243" t="str" cm="1">
        <f t="array" ref="H8240">IFERROR(INDEX(INVESTOR_LIST[INVESTOR NAME],MATCH(I8240,INVESTOR_LIST[INVESTOR CODE],0),)," ")</f>
        <v xml:space="preserve"> </v>
      </c>
      <c r="I8240" s="263" t="s">
        <v>348</v>
      </c>
      <c r="J8240" s="244" t="s">
        <v>48</v>
      </c>
      <c r="K8240" s="245"/>
      <c r="L8240" s="245">
        <v>3552.4146467894388</v>
      </c>
    </row>
    <row r="8241" spans="1:13" x14ac:dyDescent="0.2">
      <c r="A8241" s="133">
        <v>2023</v>
      </c>
      <c r="B8241" s="133">
        <v>2</v>
      </c>
      <c r="C8241" s="168">
        <v>13</v>
      </c>
      <c r="D8241" s="141">
        <f t="shared" si="832"/>
        <v>44970</v>
      </c>
      <c r="E8241" s="275">
        <f t="shared" si="833"/>
        <v>44970</v>
      </c>
      <c r="F8241" s="479" t="s">
        <v>1507</v>
      </c>
      <c r="G8241" s="220" t="s">
        <v>74</v>
      </c>
      <c r="H8241" s="220" t="str" cm="1">
        <f t="array" ref="H8241">IFERROR(INDEX(INVESTOR_LIST[INVESTOR NAME],MATCH(I8241,INVESTOR_LIST[INVESTOR CODE],0),)," ")</f>
        <v xml:space="preserve"> </v>
      </c>
      <c r="I8241" s="142"/>
      <c r="J8241" s="143" t="s">
        <v>147</v>
      </c>
      <c r="K8241" s="226">
        <v>2501403.4</v>
      </c>
      <c r="L8241" s="226"/>
    </row>
    <row r="8242" spans="1:13" x14ac:dyDescent="0.2">
      <c r="A8242" s="163">
        <v>2023</v>
      </c>
      <c r="B8242" s="163">
        <v>2</v>
      </c>
      <c r="C8242" s="163">
        <v>13</v>
      </c>
      <c r="D8242" s="141">
        <f t="shared" si="832"/>
        <v>44970</v>
      </c>
      <c r="E8242" s="275">
        <f t="shared" si="833"/>
        <v>44970</v>
      </c>
      <c r="F8242" s="480"/>
      <c r="G8242" s="221" t="s">
        <v>74</v>
      </c>
      <c r="H8242" s="221" t="str" cm="1">
        <f t="array" ref="H8242">IFERROR(INDEX(INVESTOR_LIST[INVESTOR NAME],MATCH(I8242,INVESTOR_LIST[INVESTOR CODE],0),)," ")</f>
        <v xml:space="preserve"> </v>
      </c>
      <c r="I8242" s="145" t="s">
        <v>348</v>
      </c>
      <c r="J8242" s="146" t="s">
        <v>52</v>
      </c>
      <c r="K8242" s="219"/>
      <c r="L8242" s="219">
        <v>2501403.4</v>
      </c>
    </row>
    <row r="8243" spans="1:13" x14ac:dyDescent="0.2">
      <c r="A8243" s="168">
        <v>2023</v>
      </c>
      <c r="B8243" s="168">
        <v>2</v>
      </c>
      <c r="C8243" s="168">
        <v>13</v>
      </c>
      <c r="D8243" s="141">
        <f t="shared" si="832"/>
        <v>44970</v>
      </c>
      <c r="E8243" s="275">
        <f t="shared" si="833"/>
        <v>44970</v>
      </c>
      <c r="F8243" s="479" t="s">
        <v>1580</v>
      </c>
      <c r="G8243" s="220" t="s">
        <v>74</v>
      </c>
      <c r="H8243" s="220" t="str" cm="1">
        <f t="array" ref="H8243">IFERROR(INDEX(INVESTOR_LIST[INVESTOR NAME],MATCH(I8243,INVESTOR_LIST[INVESTOR CODE],0),)," ")</f>
        <v xml:space="preserve"> </v>
      </c>
      <c r="I8243" s="142" t="s">
        <v>348</v>
      </c>
      <c r="J8243" s="143" t="s">
        <v>104</v>
      </c>
      <c r="K8243" s="226">
        <v>2045.08</v>
      </c>
      <c r="L8243" s="226"/>
    </row>
    <row r="8244" spans="1:13" x14ac:dyDescent="0.2">
      <c r="A8244" s="163">
        <v>2023</v>
      </c>
      <c r="B8244" s="163">
        <v>2</v>
      </c>
      <c r="C8244" s="163">
        <v>13</v>
      </c>
      <c r="D8244" s="141">
        <f t="shared" si="832"/>
        <v>44970</v>
      </c>
      <c r="E8244" s="275">
        <f t="shared" si="833"/>
        <v>44970</v>
      </c>
      <c r="F8244" s="480"/>
      <c r="G8244" s="221" t="s">
        <v>74</v>
      </c>
      <c r="H8244" s="221" t="str" cm="1">
        <f t="array" ref="H8244">IFERROR(INDEX(INVESTOR_LIST[INVESTOR NAME],MATCH(I8244,INVESTOR_LIST[INVESTOR CODE],0),)," ")</f>
        <v xml:space="preserve"> </v>
      </c>
      <c r="I8244" s="145" t="s">
        <v>348</v>
      </c>
      <c r="J8244" s="146" t="s">
        <v>52</v>
      </c>
      <c r="K8244" s="219"/>
      <c r="L8244" s="219">
        <v>2045.08</v>
      </c>
    </row>
    <row r="8245" spans="1:13" ht="33.75" x14ac:dyDescent="0.2">
      <c r="A8245" s="168">
        <v>2023</v>
      </c>
      <c r="B8245" s="168">
        <v>2</v>
      </c>
      <c r="C8245" s="168">
        <v>13</v>
      </c>
      <c r="D8245" s="141">
        <f t="shared" si="832"/>
        <v>44970</v>
      </c>
      <c r="E8245" s="275">
        <f t="shared" si="833"/>
        <v>44970</v>
      </c>
      <c r="F8245" s="479" t="s">
        <v>964</v>
      </c>
      <c r="G8245" s="220" t="s">
        <v>74</v>
      </c>
      <c r="H8245" s="142" t="str" cm="1">
        <f t="array" ref="H8245">IFERROR(INDEX(INVESTOR_LIST[INVESTOR NAME],MATCH(I8245,INVESTOR_LIST[INVESTOR CODE],0),)," ")</f>
        <v>MD JAMAL HOSSAIN</v>
      </c>
      <c r="I8245" s="142" t="s">
        <v>1600</v>
      </c>
      <c r="J8245" s="168" t="s">
        <v>52</v>
      </c>
      <c r="K8245" s="226">
        <v>10000</v>
      </c>
      <c r="L8245" s="226"/>
    </row>
    <row r="8246" spans="1:13" ht="33.75" x14ac:dyDescent="0.2">
      <c r="A8246" s="133">
        <v>2023</v>
      </c>
      <c r="B8246" s="133">
        <v>2</v>
      </c>
      <c r="C8246" s="133">
        <v>13</v>
      </c>
      <c r="D8246" s="141">
        <f t="shared" si="832"/>
        <v>44970</v>
      </c>
      <c r="E8246" s="275">
        <f t="shared" si="833"/>
        <v>44970</v>
      </c>
      <c r="F8246" s="481"/>
      <c r="G8246" s="174" t="s">
        <v>74</v>
      </c>
      <c r="H8246" s="148" t="str" cm="1">
        <f t="array" ref="H8246">IFERROR(INDEX(INVESTOR_LIST[INVESTOR NAME],MATCH(I8246,INVESTOR_LIST[INVESTOR CODE],0),)," ")</f>
        <v>MD JAMAL HOSSAIN</v>
      </c>
      <c r="I8246" s="148" t="s">
        <v>1600</v>
      </c>
      <c r="J8246" s="133" t="s">
        <v>13</v>
      </c>
      <c r="K8246" s="218"/>
      <c r="L8246" s="218">
        <v>8180</v>
      </c>
    </row>
    <row r="8247" spans="1:13" ht="33.75" x14ac:dyDescent="0.2">
      <c r="A8247" s="163">
        <v>2023</v>
      </c>
      <c r="B8247" s="163">
        <v>2</v>
      </c>
      <c r="C8247" s="163">
        <v>13</v>
      </c>
      <c r="D8247" s="280">
        <f t="shared" si="832"/>
        <v>44970</v>
      </c>
      <c r="E8247" s="281">
        <f t="shared" si="833"/>
        <v>44970</v>
      </c>
      <c r="F8247" s="480"/>
      <c r="G8247" s="221" t="s">
        <v>74</v>
      </c>
      <c r="H8247" s="145" t="str" cm="1">
        <f t="array" ref="H8247">IFERROR(INDEX(INVESTOR_LIST[INVESTOR NAME],MATCH(I8247,INVESTOR_LIST[INVESTOR CODE],0),)," ")</f>
        <v>MD JAMAL HOSSAIN</v>
      </c>
      <c r="I8247" s="145" t="s">
        <v>1600</v>
      </c>
      <c r="J8247" s="163" t="s">
        <v>53</v>
      </c>
      <c r="K8247" s="219"/>
      <c r="L8247" s="219">
        <v>1820</v>
      </c>
    </row>
    <row r="8248" spans="1:13" ht="10.15" customHeight="1" x14ac:dyDescent="0.2">
      <c r="A8248" s="133">
        <v>2023</v>
      </c>
      <c r="B8248" s="133">
        <v>2</v>
      </c>
      <c r="C8248" s="133">
        <v>13</v>
      </c>
      <c r="D8248" s="141">
        <f>DATE(A8248,B8248,C8248)</f>
        <v>44970</v>
      </c>
      <c r="E8248" s="275">
        <f>DATE(A8248,B8248,C8248)</f>
        <v>44970</v>
      </c>
      <c r="F8248" s="481" t="s">
        <v>1641</v>
      </c>
      <c r="G8248" s="174" t="s">
        <v>74</v>
      </c>
      <c r="H8248" s="174" t="str" cm="1">
        <f t="array" ref="H8248">IFERROR(INDEX(INVESTOR_LIST[INVESTOR NAME],MATCH(I8248,INVESTOR_LIST[INVESTOR CODE],0),)," ")</f>
        <v xml:space="preserve"> </v>
      </c>
      <c r="I8248" s="148" t="s">
        <v>348</v>
      </c>
      <c r="J8248" s="149" t="s">
        <v>96</v>
      </c>
      <c r="K8248" s="218">
        <v>2500000</v>
      </c>
      <c r="L8248" s="218"/>
    </row>
    <row r="8249" spans="1:13" x14ac:dyDescent="0.2">
      <c r="A8249" s="163">
        <v>2023</v>
      </c>
      <c r="B8249" s="163">
        <v>2</v>
      </c>
      <c r="C8249" s="163">
        <v>13</v>
      </c>
      <c r="D8249" s="141">
        <f t="shared" ref="D8249" si="834">DATE(A8249,B8249,C8249)</f>
        <v>44970</v>
      </c>
      <c r="E8249" s="275">
        <f t="shared" ref="E8249" si="835">DATE(A8249,B8249,C8249)</f>
        <v>44970</v>
      </c>
      <c r="F8249" s="480"/>
      <c r="G8249" s="221" t="s">
        <v>74</v>
      </c>
      <c r="H8249" s="221" t="str" cm="1">
        <f t="array" ref="H8249">IFERROR(INDEX(INVESTOR_LIST[INVESTOR NAME],MATCH(I8249,INVESTOR_LIST[INVESTOR CODE],0),)," ")</f>
        <v xml:space="preserve"> </v>
      </c>
      <c r="I8249" s="145"/>
      <c r="J8249" s="146" t="s">
        <v>96</v>
      </c>
      <c r="K8249" s="219"/>
      <c r="L8249" s="219">
        <v>2500000</v>
      </c>
    </row>
    <row r="8250" spans="1:13" ht="10.15" customHeight="1" x14ac:dyDescent="0.2">
      <c r="A8250" s="168">
        <v>2023</v>
      </c>
      <c r="B8250" s="168">
        <v>2</v>
      </c>
      <c r="C8250" s="133">
        <v>15</v>
      </c>
      <c r="D8250" s="141">
        <f t="shared" si="832"/>
        <v>44972</v>
      </c>
      <c r="E8250" s="275">
        <f t="shared" si="833"/>
        <v>44972</v>
      </c>
      <c r="F8250" s="479" t="s">
        <v>1315</v>
      </c>
      <c r="G8250" s="220" t="s">
        <v>74</v>
      </c>
      <c r="H8250" s="142" t="str" cm="1">
        <f t="array" ref="H8250">IFERROR(INDEX(INVESTOR_LIST[INVESTOR NAME],MATCH(I8250,INVESTOR_LIST[INVESTOR CODE],0),)," ")</f>
        <v>KHANDAKAR MOHAMMAD NURUL HADIUZZAMAN</v>
      </c>
      <c r="I8250" s="142" t="s">
        <v>873</v>
      </c>
      <c r="J8250" s="168" t="s">
        <v>13</v>
      </c>
      <c r="K8250" s="226">
        <v>500000</v>
      </c>
      <c r="L8250" s="226"/>
    </row>
    <row r="8251" spans="1:13" ht="10.15" customHeight="1" x14ac:dyDescent="0.2">
      <c r="A8251" s="133">
        <v>2023</v>
      </c>
      <c r="B8251" s="133">
        <v>2</v>
      </c>
      <c r="C8251" s="133">
        <v>15</v>
      </c>
      <c r="D8251" s="141">
        <f t="shared" si="832"/>
        <v>44972</v>
      </c>
      <c r="E8251" s="275">
        <f t="shared" si="833"/>
        <v>44972</v>
      </c>
      <c r="F8251" s="481"/>
      <c r="G8251" s="174" t="s">
        <v>74</v>
      </c>
      <c r="H8251" s="148" t="str" cm="1">
        <f t="array" ref="H8251">IFERROR(INDEX(INVESTOR_LIST[INVESTOR NAME],MATCH(I8251,INVESTOR_LIST[INVESTOR CODE],0),)," ")</f>
        <v>KHANDAKAR MOHAMMAD NURUL HADIUZZAMAN</v>
      </c>
      <c r="I8251" s="148" t="s">
        <v>873</v>
      </c>
      <c r="J8251" s="133" t="s">
        <v>53</v>
      </c>
      <c r="K8251" s="218">
        <v>111000</v>
      </c>
    </row>
    <row r="8252" spans="1:13" ht="10.15" customHeight="1" x14ac:dyDescent="0.2">
      <c r="A8252" s="163">
        <v>2023</v>
      </c>
      <c r="B8252" s="163">
        <v>2</v>
      </c>
      <c r="C8252" s="163">
        <v>15</v>
      </c>
      <c r="D8252" s="280">
        <f t="shared" si="832"/>
        <v>44972</v>
      </c>
      <c r="E8252" s="281">
        <f t="shared" si="833"/>
        <v>44972</v>
      </c>
      <c r="F8252" s="480"/>
      <c r="G8252" s="221" t="s">
        <v>74</v>
      </c>
      <c r="H8252" s="145" t="str" cm="1">
        <f t="array" ref="H8252">IFERROR(INDEX(INVESTOR_LIST[INVESTOR NAME],MATCH(I8252,INVESTOR_LIST[INVESTOR CODE],0),)," ")</f>
        <v>KHANDAKAR MOHAMMAD NURUL HADIUZZAMAN</v>
      </c>
      <c r="I8252" s="145" t="s">
        <v>873</v>
      </c>
      <c r="J8252" s="163" t="s">
        <v>52</v>
      </c>
      <c r="K8252" s="219"/>
      <c r="L8252" s="219">
        <v>611000</v>
      </c>
    </row>
    <row r="8253" spans="1:13" x14ac:dyDescent="0.2">
      <c r="A8253" s="133">
        <v>2023</v>
      </c>
      <c r="B8253" s="133">
        <v>2</v>
      </c>
      <c r="C8253" s="133">
        <v>15</v>
      </c>
      <c r="D8253" s="141">
        <f t="shared" si="832"/>
        <v>44972</v>
      </c>
      <c r="E8253" s="275">
        <f t="shared" si="833"/>
        <v>44972</v>
      </c>
      <c r="F8253" s="481" t="s">
        <v>982</v>
      </c>
      <c r="G8253" s="174" t="s">
        <v>74</v>
      </c>
      <c r="H8253" s="174" t="str" cm="1">
        <f t="array" ref="H8253">IFERROR(INDEX(INVESTOR_LIST[INVESTOR NAME],MATCH(I8253,INVESTOR_LIST[INVESTOR CODE],0),)," ")</f>
        <v xml:space="preserve"> </v>
      </c>
      <c r="I8253" s="148" t="s">
        <v>348</v>
      </c>
      <c r="J8253" s="149" t="s">
        <v>163</v>
      </c>
      <c r="K8253" s="218">
        <v>4500</v>
      </c>
      <c r="L8253" s="218"/>
    </row>
    <row r="8254" spans="1:13" x14ac:dyDescent="0.2">
      <c r="A8254" s="163">
        <v>2023</v>
      </c>
      <c r="B8254" s="163">
        <v>2</v>
      </c>
      <c r="C8254" s="163">
        <v>15</v>
      </c>
      <c r="D8254" s="141">
        <f t="shared" si="832"/>
        <v>44972</v>
      </c>
      <c r="E8254" s="275">
        <f t="shared" si="833"/>
        <v>44972</v>
      </c>
      <c r="F8254" s="480"/>
      <c r="G8254" s="221" t="s">
        <v>74</v>
      </c>
      <c r="H8254" s="221" t="str" cm="1">
        <f t="array" ref="H8254">IFERROR(INDEX(INVESTOR_LIST[INVESTOR NAME],MATCH(I8254,INVESTOR_LIST[INVESTOR CODE],0),)," ")</f>
        <v xml:space="preserve"> </v>
      </c>
      <c r="I8254" s="145" t="s">
        <v>348</v>
      </c>
      <c r="J8254" s="146" t="s">
        <v>52</v>
      </c>
      <c r="K8254" s="219"/>
      <c r="L8254" s="219">
        <v>4500</v>
      </c>
    </row>
    <row r="8255" spans="1:13" x14ac:dyDescent="0.2">
      <c r="A8255" s="133">
        <v>2023</v>
      </c>
      <c r="B8255" s="133">
        <v>2</v>
      </c>
      <c r="C8255" s="133">
        <v>15</v>
      </c>
      <c r="D8255" s="141">
        <f t="shared" si="832"/>
        <v>44972</v>
      </c>
      <c r="E8255" s="275">
        <f t="shared" si="833"/>
        <v>44972</v>
      </c>
      <c r="F8255" s="481" t="s">
        <v>1499</v>
      </c>
      <c r="G8255" s="174" t="s">
        <v>94</v>
      </c>
      <c r="H8255" s="174" t="str" cm="1">
        <f t="array" ref="H8255">IFERROR(INDEX(INVESTOR_LIST[INVESTOR NAME],MATCH(I8255,INVESTOR_LIST[INVESTOR CODE],0),)," ")</f>
        <v xml:space="preserve"> </v>
      </c>
      <c r="J8255" s="149" t="s">
        <v>190</v>
      </c>
      <c r="K8255" s="218">
        <v>320645.90000000002</v>
      </c>
      <c r="L8255" s="218"/>
      <c r="M8255" s="160"/>
    </row>
    <row r="8256" spans="1:13" x14ac:dyDescent="0.2">
      <c r="A8256" s="133">
        <v>2023</v>
      </c>
      <c r="B8256" s="133">
        <v>2</v>
      </c>
      <c r="C8256" s="133">
        <v>15</v>
      </c>
      <c r="D8256" s="141">
        <f t="shared" si="832"/>
        <v>44972</v>
      </c>
      <c r="E8256" s="275">
        <f t="shared" si="833"/>
        <v>44972</v>
      </c>
      <c r="F8256" s="481"/>
      <c r="G8256" s="174" t="s">
        <v>94</v>
      </c>
      <c r="H8256" s="174"/>
      <c r="J8256" s="149" t="s">
        <v>80</v>
      </c>
      <c r="K8256" s="218">
        <v>578.20000000000005</v>
      </c>
      <c r="L8256" s="218"/>
    </row>
    <row r="8257" spans="1:17" x14ac:dyDescent="0.2">
      <c r="A8257" s="133">
        <v>2023</v>
      </c>
      <c r="B8257" s="133">
        <v>2</v>
      </c>
      <c r="C8257" s="133">
        <v>15</v>
      </c>
      <c r="D8257" s="141">
        <f t="shared" si="832"/>
        <v>44972</v>
      </c>
      <c r="E8257" s="275">
        <f t="shared" si="833"/>
        <v>44972</v>
      </c>
      <c r="F8257" s="481"/>
      <c r="G8257" s="174" t="s">
        <v>94</v>
      </c>
      <c r="H8257" s="174" t="str" cm="1">
        <f t="array" ref="H8257">IFERROR(INDEX(INVESTOR_LIST[INVESTOR NAME],MATCH(I8257,INVESTOR_LIST[INVESTOR CODE],0),)," ")</f>
        <v xml:space="preserve"> </v>
      </c>
      <c r="J8257" s="149" t="s">
        <v>191</v>
      </c>
      <c r="K8257" s="218">
        <v>146325.9</v>
      </c>
      <c r="L8257" s="218"/>
    </row>
    <row r="8258" spans="1:17" x14ac:dyDescent="0.2">
      <c r="A8258" s="163">
        <v>2023</v>
      </c>
      <c r="B8258" s="163">
        <v>2</v>
      </c>
      <c r="C8258" s="163">
        <v>15</v>
      </c>
      <c r="D8258" s="280">
        <f t="shared" si="832"/>
        <v>44972</v>
      </c>
      <c r="E8258" s="281">
        <f t="shared" si="833"/>
        <v>44972</v>
      </c>
      <c r="F8258" s="480"/>
      <c r="G8258" s="221" t="s">
        <v>94</v>
      </c>
      <c r="H8258" s="145" t="str" cm="1">
        <f t="array" ref="H8258">IFERROR(INDEX(INVESTOR_LIST[INVESTOR NAME],MATCH(I8258,INVESTOR_LIST[INVESTOR CODE],0),)," ")</f>
        <v xml:space="preserve"> </v>
      </c>
      <c r="I8258" s="145"/>
      <c r="J8258" s="163" t="s">
        <v>79</v>
      </c>
      <c r="K8258" s="219"/>
      <c r="L8258" s="219">
        <v>467550</v>
      </c>
    </row>
    <row r="8259" spans="1:17" x14ac:dyDescent="0.2">
      <c r="A8259" s="133">
        <v>2023</v>
      </c>
      <c r="B8259" s="133">
        <v>2</v>
      </c>
      <c r="C8259" s="133">
        <v>16</v>
      </c>
      <c r="D8259" s="141">
        <f t="shared" si="832"/>
        <v>44973</v>
      </c>
      <c r="E8259" s="275">
        <f t="shared" si="833"/>
        <v>44973</v>
      </c>
      <c r="F8259" s="481" t="s">
        <v>1582</v>
      </c>
      <c r="G8259" s="174" t="s">
        <v>74</v>
      </c>
      <c r="H8259" s="174" t="str" cm="1">
        <f t="array" ref="H8259">IFERROR(INDEX(INVESTOR_LIST[INVESTOR NAME],MATCH(I8259,INVESTOR_LIST[INVESTOR CODE],0),)," ")</f>
        <v xml:space="preserve"> </v>
      </c>
      <c r="I8259" s="148" t="s">
        <v>348</v>
      </c>
      <c r="J8259" s="149" t="s">
        <v>163</v>
      </c>
      <c r="K8259" s="218">
        <v>1575</v>
      </c>
      <c r="L8259" s="218"/>
      <c r="M8259" s="147"/>
      <c r="Q8259" s="133" t="s">
        <v>348</v>
      </c>
    </row>
    <row r="8260" spans="1:17" x14ac:dyDescent="0.2">
      <c r="A8260" s="163">
        <v>2023</v>
      </c>
      <c r="B8260" s="163">
        <v>2</v>
      </c>
      <c r="C8260" s="163">
        <v>16</v>
      </c>
      <c r="D8260" s="141">
        <f t="shared" si="832"/>
        <v>44973</v>
      </c>
      <c r="E8260" s="275">
        <f t="shared" si="833"/>
        <v>44973</v>
      </c>
      <c r="F8260" s="480"/>
      <c r="G8260" s="221" t="s">
        <v>74</v>
      </c>
      <c r="H8260" s="221" t="str" cm="1">
        <f t="array" ref="H8260">IFERROR(INDEX(INVESTOR_LIST[INVESTOR NAME],MATCH(I8260,INVESTOR_LIST[INVESTOR CODE],0),)," ")</f>
        <v xml:space="preserve"> </v>
      </c>
      <c r="I8260" s="145"/>
      <c r="J8260" s="146" t="s">
        <v>52</v>
      </c>
      <c r="K8260" s="219"/>
      <c r="L8260" s="219">
        <v>1575</v>
      </c>
      <c r="M8260" s="147"/>
      <c r="Q8260" s="133" t="s">
        <v>348</v>
      </c>
    </row>
    <row r="8261" spans="1:17" x14ac:dyDescent="0.2">
      <c r="A8261" s="133">
        <v>2023</v>
      </c>
      <c r="B8261" s="168">
        <v>2</v>
      </c>
      <c r="C8261" s="168">
        <v>16</v>
      </c>
      <c r="D8261" s="141">
        <f>DATE(A8261,B8261,C8261)</f>
        <v>44973</v>
      </c>
      <c r="E8261" s="275">
        <f>DATE(A8261,B8261,C8261)</f>
        <v>44973</v>
      </c>
      <c r="F8261" s="481" t="s">
        <v>1583</v>
      </c>
      <c r="G8261" s="174" t="s">
        <v>94</v>
      </c>
      <c r="H8261" s="174" t="str" cm="1">
        <f t="array" ref="H8261">IFERROR(INDEX(INVESTOR_LIST[INVESTOR NAME],MATCH(I8261,INVESTOR_LIST[INVESTOR CODE],0),)," ")</f>
        <v xml:space="preserve"> </v>
      </c>
      <c r="I8261" s="148" t="s">
        <v>348</v>
      </c>
      <c r="J8261" s="149" t="s">
        <v>52</v>
      </c>
      <c r="K8261" s="218">
        <v>90252.6</v>
      </c>
      <c r="L8261" s="218"/>
    </row>
    <row r="8262" spans="1:17" x14ac:dyDescent="0.2">
      <c r="A8262" s="163">
        <v>2023</v>
      </c>
      <c r="B8262" s="163">
        <v>2</v>
      </c>
      <c r="C8262" s="163">
        <v>16</v>
      </c>
      <c r="D8262" s="141">
        <f>DATE(A8262,B8262,C8262)</f>
        <v>44973</v>
      </c>
      <c r="E8262" s="275">
        <f>DATE(A8262,B8262,C8262)</f>
        <v>44973</v>
      </c>
      <c r="F8262" s="480"/>
      <c r="G8262" s="221" t="s">
        <v>94</v>
      </c>
      <c r="H8262" s="221" t="str" cm="1">
        <f t="array" ref="H8262">IFERROR(INDEX(INVESTOR_LIST[INVESTOR NAME],MATCH(I8262,INVESTOR_LIST[INVESTOR CODE],0),)," ")</f>
        <v xml:space="preserve"> </v>
      </c>
      <c r="I8262" s="145" t="s">
        <v>348</v>
      </c>
      <c r="J8262" s="146" t="s">
        <v>168</v>
      </c>
      <c r="K8262" s="219"/>
      <c r="L8262" s="219">
        <v>90252.6</v>
      </c>
    </row>
    <row r="8263" spans="1:17" x14ac:dyDescent="0.2">
      <c r="A8263" s="168">
        <v>2023</v>
      </c>
      <c r="B8263" s="168">
        <v>2</v>
      </c>
      <c r="C8263" s="168">
        <v>16</v>
      </c>
      <c r="D8263" s="141">
        <f t="shared" ref="D8263:D8265" si="836">DATE(A8263,B8263,C8263)</f>
        <v>44973</v>
      </c>
      <c r="E8263" s="275">
        <f t="shared" ref="E8263:E8265" si="837">DATE(A8263,B8263,C8263)</f>
        <v>44973</v>
      </c>
      <c r="F8263" s="479" t="s">
        <v>1319</v>
      </c>
      <c r="G8263" s="220" t="s">
        <v>74</v>
      </c>
      <c r="H8263" s="142" t="str" cm="1">
        <f t="array" ref="H8263">IFERROR(INDEX(INVESTOR_LIST[INVESTOR NAME],MATCH(I8263,INVESTOR_LIST[INVESTOR CODE],0),)," ")</f>
        <v xml:space="preserve"> </v>
      </c>
      <c r="I8263" s="142"/>
      <c r="J8263" s="168" t="s">
        <v>52</v>
      </c>
      <c r="K8263" s="226">
        <v>33000</v>
      </c>
      <c r="L8263" s="226"/>
    </row>
    <row r="8264" spans="1:17" x14ac:dyDescent="0.2">
      <c r="A8264" s="133">
        <v>2023</v>
      </c>
      <c r="B8264" s="133">
        <v>2</v>
      </c>
      <c r="C8264" s="133">
        <v>16</v>
      </c>
      <c r="D8264" s="141">
        <f t="shared" si="836"/>
        <v>44973</v>
      </c>
      <c r="E8264" s="275">
        <f t="shared" si="837"/>
        <v>44973</v>
      </c>
      <c r="F8264" s="481"/>
      <c r="G8264" s="174" t="s">
        <v>74</v>
      </c>
      <c r="H8264" s="148" t="str" cm="1">
        <f t="array" ref="H8264">IFERROR(INDEX(INVESTOR_LIST[INVESTOR NAME],MATCH(I8264,INVESTOR_LIST[INVESTOR CODE],0),)," ")</f>
        <v xml:space="preserve"> </v>
      </c>
      <c r="J8264" s="133" t="s">
        <v>13</v>
      </c>
      <c r="K8264" s="218"/>
      <c r="L8264" s="218">
        <v>27000</v>
      </c>
    </row>
    <row r="8265" spans="1:17" x14ac:dyDescent="0.2">
      <c r="A8265" s="163">
        <v>2023</v>
      </c>
      <c r="B8265" s="163">
        <v>2</v>
      </c>
      <c r="C8265" s="163">
        <v>16</v>
      </c>
      <c r="D8265" s="280">
        <f t="shared" si="836"/>
        <v>44973</v>
      </c>
      <c r="E8265" s="281">
        <f t="shared" si="837"/>
        <v>44973</v>
      </c>
      <c r="F8265" s="480"/>
      <c r="G8265" s="221" t="s">
        <v>74</v>
      </c>
      <c r="H8265" s="145" t="str" cm="1">
        <f t="array" ref="H8265">IFERROR(INDEX(INVESTOR_LIST[INVESTOR NAME],MATCH(I8265,INVESTOR_LIST[INVESTOR CODE],0),)," ")</f>
        <v xml:space="preserve"> </v>
      </c>
      <c r="I8265" s="145"/>
      <c r="J8265" s="163" t="s">
        <v>53</v>
      </c>
      <c r="K8265" s="219"/>
      <c r="L8265" s="219">
        <v>6000</v>
      </c>
    </row>
    <row r="8266" spans="1:17" x14ac:dyDescent="0.2">
      <c r="A8266" s="133">
        <v>2023</v>
      </c>
      <c r="B8266" s="133">
        <v>2</v>
      </c>
      <c r="C8266" s="133">
        <v>16</v>
      </c>
      <c r="D8266" s="141">
        <f>DATE(A8266,B8266,C8266)</f>
        <v>44973</v>
      </c>
      <c r="E8266" s="275">
        <f>DATE(A8266,B8266,C8266)</f>
        <v>44973</v>
      </c>
      <c r="F8266" s="481" t="s">
        <v>1603</v>
      </c>
      <c r="G8266" s="174" t="s">
        <v>74</v>
      </c>
      <c r="H8266" s="174" t="str" cm="1">
        <f t="array" ref="H8266">IFERROR(INDEX(INVESTOR_LIST[INVESTOR NAME],MATCH(I8266,INVESTOR_LIST[INVESTOR CODE],0),)," ")</f>
        <v xml:space="preserve"> </v>
      </c>
      <c r="I8266" s="148" t="s">
        <v>348</v>
      </c>
      <c r="J8266" s="149" t="s">
        <v>96</v>
      </c>
      <c r="K8266" s="218">
        <v>1000000</v>
      </c>
      <c r="L8266" s="218"/>
    </row>
    <row r="8267" spans="1:17" x14ac:dyDescent="0.2">
      <c r="A8267" s="163">
        <v>2023</v>
      </c>
      <c r="B8267" s="163">
        <v>2</v>
      </c>
      <c r="C8267" s="163">
        <v>16</v>
      </c>
      <c r="D8267" s="141">
        <f t="shared" ref="D8267" si="838">DATE(A8267,B8267,C8267)</f>
        <v>44973</v>
      </c>
      <c r="E8267" s="275">
        <f t="shared" ref="E8267" si="839">DATE(A8267,B8267,C8267)</f>
        <v>44973</v>
      </c>
      <c r="F8267" s="480"/>
      <c r="G8267" s="221" t="s">
        <v>74</v>
      </c>
      <c r="H8267" s="221" t="str" cm="1">
        <f t="array" ref="H8267">IFERROR(INDEX(INVESTOR_LIST[INVESTOR NAME],MATCH(I8267,INVESTOR_LIST[INVESTOR CODE],0),)," ")</f>
        <v xml:space="preserve"> </v>
      </c>
      <c r="I8267" s="145"/>
      <c r="J8267" s="146" t="s">
        <v>96</v>
      </c>
      <c r="K8267" s="219"/>
      <c r="L8267" s="219">
        <v>1000000</v>
      </c>
    </row>
    <row r="8268" spans="1:17" x14ac:dyDescent="0.2">
      <c r="A8268" s="324">
        <v>2023</v>
      </c>
      <c r="B8268" s="324">
        <v>2</v>
      </c>
      <c r="C8268" s="325">
        <v>16</v>
      </c>
      <c r="D8268" s="326">
        <f t="shared" ref="D8268:D8271" si="840">DATE(A8268,B8268,C8268)</f>
        <v>44973</v>
      </c>
      <c r="E8268" s="327">
        <f t="shared" ref="E8268:E8271" si="841">DATE(A8268,B8268,C8268)</f>
        <v>44973</v>
      </c>
      <c r="F8268" s="473" t="s">
        <v>1490</v>
      </c>
      <c r="G8268" s="328" t="s">
        <v>94</v>
      </c>
      <c r="H8268" s="329" t="str" cm="1">
        <f t="array" ref="H8268">IFERROR(INDEX(INVESTOR_LIST[INVESTOR NAME],MATCH(I8268,INVESTOR_LIST[INVESTOR CODE],0),)," ")</f>
        <v xml:space="preserve"> </v>
      </c>
      <c r="I8268" s="329" t="s">
        <v>348</v>
      </c>
      <c r="J8268" s="325" t="s">
        <v>133</v>
      </c>
      <c r="K8268" s="330">
        <v>14659.25</v>
      </c>
      <c r="L8268" s="330"/>
      <c r="M8268" s="160"/>
    </row>
    <row r="8269" spans="1:17" x14ac:dyDescent="0.2">
      <c r="A8269" s="331">
        <v>2023</v>
      </c>
      <c r="B8269" s="331">
        <v>2</v>
      </c>
      <c r="C8269" s="331">
        <v>16</v>
      </c>
      <c r="D8269" s="326">
        <f t="shared" si="840"/>
        <v>44973</v>
      </c>
      <c r="E8269" s="327">
        <f t="shared" si="841"/>
        <v>44973</v>
      </c>
      <c r="F8269" s="474"/>
      <c r="G8269" s="332" t="s">
        <v>94</v>
      </c>
      <c r="H8269" s="333" t="str" cm="1">
        <f t="array" ref="H8269">IFERROR(INDEX(INVESTOR_LIST[INVESTOR NAME],MATCH(I8269,INVESTOR_LIST[INVESTOR CODE],0),)," ")</f>
        <v xml:space="preserve"> </v>
      </c>
      <c r="I8269" s="333" t="s">
        <v>348</v>
      </c>
      <c r="J8269" s="331" t="s">
        <v>152</v>
      </c>
      <c r="K8269" s="334"/>
      <c r="L8269" s="334">
        <v>14659.25</v>
      </c>
      <c r="M8269" s="160"/>
      <c r="N8269" s="160"/>
    </row>
    <row r="8270" spans="1:17" x14ac:dyDescent="0.2">
      <c r="A8270" s="324">
        <v>2023</v>
      </c>
      <c r="B8270" s="324">
        <v>2</v>
      </c>
      <c r="C8270" s="325">
        <v>16</v>
      </c>
      <c r="D8270" s="326">
        <f t="shared" si="840"/>
        <v>44973</v>
      </c>
      <c r="E8270" s="327">
        <f t="shared" si="841"/>
        <v>44973</v>
      </c>
      <c r="F8270" s="473" t="s">
        <v>1491</v>
      </c>
      <c r="G8270" s="328" t="s">
        <v>94</v>
      </c>
      <c r="H8270" s="329" t="str" cm="1">
        <f t="array" ref="H8270">IFERROR(INDEX(INVESTOR_LIST[INVESTOR NAME],MATCH(I8270,INVESTOR_LIST[INVESTOR CODE],0),)," ")</f>
        <v xml:space="preserve"> </v>
      </c>
      <c r="I8270" s="329" t="s">
        <v>348</v>
      </c>
      <c r="J8270" s="324" t="s">
        <v>133</v>
      </c>
      <c r="K8270" s="330">
        <v>12259.62</v>
      </c>
      <c r="L8270" s="330"/>
      <c r="M8270" s="160"/>
      <c r="N8270" s="160"/>
    </row>
    <row r="8271" spans="1:17" x14ac:dyDescent="0.2">
      <c r="A8271" s="331">
        <v>2023</v>
      </c>
      <c r="B8271" s="331">
        <v>2</v>
      </c>
      <c r="C8271" s="331">
        <v>16</v>
      </c>
      <c r="D8271" s="326">
        <f t="shared" si="840"/>
        <v>44973</v>
      </c>
      <c r="E8271" s="327">
        <f t="shared" si="841"/>
        <v>44973</v>
      </c>
      <c r="F8271" s="474"/>
      <c r="G8271" s="332" t="s">
        <v>94</v>
      </c>
      <c r="H8271" s="333" t="str" cm="1">
        <f t="array" ref="H8271">IFERROR(INDEX(INVESTOR_LIST[INVESTOR NAME],MATCH(I8271,INVESTOR_LIST[INVESTOR CODE],0),)," ")</f>
        <v xml:space="preserve"> </v>
      </c>
      <c r="I8271" s="333" t="s">
        <v>348</v>
      </c>
      <c r="J8271" s="331" t="s">
        <v>152</v>
      </c>
      <c r="K8271" s="334"/>
      <c r="L8271" s="334">
        <v>12259.62</v>
      </c>
      <c r="M8271" s="160"/>
      <c r="N8271" s="160"/>
    </row>
    <row r="8272" spans="1:17" x14ac:dyDescent="0.2">
      <c r="A8272" s="324">
        <v>2023</v>
      </c>
      <c r="B8272" s="324">
        <v>2</v>
      </c>
      <c r="C8272" s="325">
        <v>16</v>
      </c>
      <c r="D8272" s="326">
        <f>DATE(A8272,B8272,C8272)</f>
        <v>44973</v>
      </c>
      <c r="E8272" s="327">
        <f>DATE(A8272,B8272,C8272)</f>
        <v>44973</v>
      </c>
      <c r="F8272" s="473" t="s">
        <v>1531</v>
      </c>
      <c r="G8272" s="328" t="s">
        <v>94</v>
      </c>
      <c r="H8272" s="329" t="str" cm="1">
        <f t="array" ref="H8272">IFERROR(INDEX(INVESTOR_LIST[INVESTOR NAME],MATCH(I8272,INVESTOR_LIST[INVESTOR CODE],0),)," ")</f>
        <v xml:space="preserve"> </v>
      </c>
      <c r="I8272" s="329" t="s">
        <v>348</v>
      </c>
      <c r="J8272" s="324" t="s">
        <v>133</v>
      </c>
      <c r="K8272" s="330">
        <v>7115.38</v>
      </c>
      <c r="L8272" s="330"/>
      <c r="M8272" s="160"/>
      <c r="N8272" s="160"/>
    </row>
    <row r="8273" spans="1:14" x14ac:dyDescent="0.2">
      <c r="A8273" s="331">
        <v>2023</v>
      </c>
      <c r="B8273" s="331">
        <v>2</v>
      </c>
      <c r="C8273" s="331">
        <v>16</v>
      </c>
      <c r="D8273" s="326">
        <f>DATE(A8273,B8273,C8273)</f>
        <v>44973</v>
      </c>
      <c r="E8273" s="327">
        <f>DATE(A8273,B8273,C8273)</f>
        <v>44973</v>
      </c>
      <c r="F8273" s="474"/>
      <c r="G8273" s="332" t="s">
        <v>94</v>
      </c>
      <c r="H8273" s="333" t="str" cm="1">
        <f t="array" ref="H8273">IFERROR(INDEX(INVESTOR_LIST[INVESTOR NAME],MATCH(I8273,INVESTOR_LIST[INVESTOR CODE],0),)," ")</f>
        <v xml:space="preserve"> </v>
      </c>
      <c r="I8273" s="333" t="s">
        <v>348</v>
      </c>
      <c r="J8273" s="331" t="s">
        <v>152</v>
      </c>
      <c r="K8273" s="334"/>
      <c r="L8273" s="334">
        <v>7115.38</v>
      </c>
      <c r="M8273" s="160"/>
      <c r="N8273" s="160"/>
    </row>
    <row r="8274" spans="1:14" x14ac:dyDescent="0.2">
      <c r="A8274" s="238">
        <v>2023</v>
      </c>
      <c r="B8274" s="238">
        <v>2</v>
      </c>
      <c r="C8274" s="238">
        <v>16</v>
      </c>
      <c r="D8274" s="270">
        <f t="shared" ref="D8274:D8284" si="842">DATE(A8274,B8274,C8274)</f>
        <v>44973</v>
      </c>
      <c r="E8274" s="279">
        <f t="shared" ref="E8274:E8284" si="843">DATE(A8274,B8274,C8274)</f>
        <v>44973</v>
      </c>
      <c r="F8274" s="477" t="s">
        <v>347</v>
      </c>
      <c r="G8274" s="239" t="s">
        <v>94</v>
      </c>
      <c r="H8274" s="239" t="str" cm="1">
        <f t="array" ref="H8274">IFERROR(INDEX(INVESTOR_LIST[INVESTOR NAME],MATCH(I8274,INVESTOR_LIST[INVESTOR CODE],0),)," ")</f>
        <v xml:space="preserve"> </v>
      </c>
      <c r="I8274" s="262" t="s">
        <v>348</v>
      </c>
      <c r="J8274" s="240" t="s">
        <v>108</v>
      </c>
      <c r="K8274" s="241">
        <v>17651.280000001192</v>
      </c>
      <c r="L8274" s="241"/>
    </row>
    <row r="8275" spans="1:14" x14ac:dyDescent="0.2">
      <c r="A8275" s="242">
        <v>2023</v>
      </c>
      <c r="B8275" s="242">
        <v>2</v>
      </c>
      <c r="C8275" s="242">
        <v>16</v>
      </c>
      <c r="D8275" s="270">
        <f t="shared" si="842"/>
        <v>44973</v>
      </c>
      <c r="E8275" s="279">
        <f t="shared" si="843"/>
        <v>44973</v>
      </c>
      <c r="F8275" s="478"/>
      <c r="G8275" s="243" t="s">
        <v>94</v>
      </c>
      <c r="H8275" s="243" t="str" cm="1">
        <f t="array" ref="H8275">IFERROR(INDEX(INVESTOR_LIST[INVESTOR NAME],MATCH(I8275,INVESTOR_LIST[INVESTOR CODE],0),)," ")</f>
        <v xml:space="preserve"> </v>
      </c>
      <c r="I8275" s="263" t="s">
        <v>348</v>
      </c>
      <c r="J8275" s="244" t="s">
        <v>82</v>
      </c>
      <c r="K8275" s="245"/>
      <c r="L8275" s="245">
        <v>17651.280000001192</v>
      </c>
    </row>
    <row r="8276" spans="1:14" ht="22.5" x14ac:dyDescent="0.2">
      <c r="A8276" s="246">
        <v>2023</v>
      </c>
      <c r="B8276" s="238">
        <v>2</v>
      </c>
      <c r="C8276" s="238">
        <v>16</v>
      </c>
      <c r="D8276" s="270">
        <f t="shared" si="842"/>
        <v>44973</v>
      </c>
      <c r="E8276" s="279">
        <f t="shared" si="843"/>
        <v>44973</v>
      </c>
      <c r="F8276" s="482" t="s">
        <v>148</v>
      </c>
      <c r="G8276" s="247" t="s">
        <v>94</v>
      </c>
      <c r="H8276" s="247" t="str" cm="1">
        <f t="array" ref="H8276">IFERROR(INDEX(INVESTOR_LIST[INVESTOR NAME],MATCH(I8276,INVESTOR_LIST[INVESTOR CODE],0),)," ")</f>
        <v xml:space="preserve"> </v>
      </c>
      <c r="I8276" s="248" t="s">
        <v>348</v>
      </c>
      <c r="J8276" s="249" t="s">
        <v>95</v>
      </c>
      <c r="K8276" s="250">
        <v>2747.2527472527472</v>
      </c>
      <c r="L8276" s="241"/>
    </row>
    <row r="8277" spans="1:14" x14ac:dyDescent="0.2">
      <c r="A8277" s="242">
        <v>2023</v>
      </c>
      <c r="B8277" s="242">
        <v>2</v>
      </c>
      <c r="C8277" s="242">
        <v>16</v>
      </c>
      <c r="D8277" s="270">
        <f t="shared" si="842"/>
        <v>44973</v>
      </c>
      <c r="E8277" s="279">
        <f t="shared" si="843"/>
        <v>44973</v>
      </c>
      <c r="F8277" s="478"/>
      <c r="G8277" s="243" t="s">
        <v>94</v>
      </c>
      <c r="H8277" s="243" t="str" cm="1">
        <f t="array" ref="H8277">IFERROR(INDEX(INVESTOR_LIST[INVESTOR NAME],MATCH(I8277,INVESTOR_LIST[INVESTOR CODE],0),)," ")</f>
        <v xml:space="preserve"> </v>
      </c>
      <c r="I8277" s="263" t="s">
        <v>348</v>
      </c>
      <c r="J8277" s="244" t="s">
        <v>63</v>
      </c>
      <c r="K8277" s="245"/>
      <c r="L8277" s="245">
        <v>2747.2527472527472</v>
      </c>
    </row>
    <row r="8278" spans="1:14" x14ac:dyDescent="0.2">
      <c r="A8278" s="246">
        <v>2023</v>
      </c>
      <c r="B8278" s="238">
        <v>2</v>
      </c>
      <c r="C8278" s="238">
        <v>16</v>
      </c>
      <c r="D8278" s="270">
        <f t="shared" si="842"/>
        <v>44973</v>
      </c>
      <c r="E8278" s="279">
        <f t="shared" si="843"/>
        <v>44973</v>
      </c>
      <c r="F8278" s="482" t="s">
        <v>137</v>
      </c>
      <c r="G8278" s="247" t="s">
        <v>94</v>
      </c>
      <c r="H8278" s="247" t="str" cm="1">
        <f t="array" ref="H8278">IFERROR(INDEX(INVESTOR_LIST[INVESTOR NAME],MATCH(I8278,INVESTOR_LIST[INVESTOR CODE],0),)," ")</f>
        <v xml:space="preserve"> </v>
      </c>
      <c r="I8278" s="248" t="s">
        <v>348</v>
      </c>
      <c r="J8278" s="249" t="s">
        <v>97</v>
      </c>
      <c r="K8278" s="250">
        <v>75588.199973235896</v>
      </c>
      <c r="L8278" s="252"/>
    </row>
    <row r="8279" spans="1:14" x14ac:dyDescent="0.2">
      <c r="A8279" s="242">
        <v>2023</v>
      </c>
      <c r="B8279" s="242">
        <v>2</v>
      </c>
      <c r="C8279" s="242">
        <v>16</v>
      </c>
      <c r="D8279" s="270">
        <f t="shared" si="842"/>
        <v>44973</v>
      </c>
      <c r="E8279" s="279">
        <f t="shared" si="843"/>
        <v>44973</v>
      </c>
      <c r="F8279" s="478"/>
      <c r="G8279" s="243" t="s">
        <v>94</v>
      </c>
      <c r="H8279" s="243" t="str" cm="1">
        <f t="array" ref="H8279">IFERROR(INDEX(INVESTOR_LIST[INVESTOR NAME],MATCH(I8279,INVESTOR_LIST[INVESTOR CODE],0),)," ")</f>
        <v xml:space="preserve"> </v>
      </c>
      <c r="I8279" s="263" t="s">
        <v>348</v>
      </c>
      <c r="J8279" s="244" t="s">
        <v>47</v>
      </c>
      <c r="K8279" s="245"/>
      <c r="L8279" s="245">
        <v>75588.199973235896</v>
      </c>
    </row>
    <row r="8280" spans="1:14" x14ac:dyDescent="0.2">
      <c r="A8280" s="246">
        <v>2023</v>
      </c>
      <c r="B8280" s="238">
        <v>2</v>
      </c>
      <c r="C8280" s="238">
        <v>16</v>
      </c>
      <c r="D8280" s="270">
        <f t="shared" si="842"/>
        <v>44973</v>
      </c>
      <c r="E8280" s="279">
        <f t="shared" si="843"/>
        <v>44973</v>
      </c>
      <c r="F8280" s="482" t="s">
        <v>138</v>
      </c>
      <c r="G8280" s="247" t="s">
        <v>94</v>
      </c>
      <c r="H8280" s="247" t="str" cm="1">
        <f t="array" ref="H8280">IFERROR(INDEX(INVESTOR_LIST[INVESTOR NAME],MATCH(I8280,INVESTOR_LIST[INVESTOR CODE],0),)," ")</f>
        <v xml:space="preserve"> </v>
      </c>
      <c r="I8280" s="248" t="s">
        <v>348</v>
      </c>
      <c r="J8280" s="249" t="s">
        <v>100</v>
      </c>
      <c r="K8280" s="250">
        <v>3539.0253832771787</v>
      </c>
      <c r="L8280" s="252"/>
    </row>
    <row r="8281" spans="1:14" ht="10.9" customHeight="1" x14ac:dyDescent="0.2">
      <c r="A8281" s="242">
        <v>2023</v>
      </c>
      <c r="B8281" s="242">
        <v>2</v>
      </c>
      <c r="C8281" s="242">
        <v>16</v>
      </c>
      <c r="D8281" s="321">
        <f t="shared" si="842"/>
        <v>44973</v>
      </c>
      <c r="E8281" s="322">
        <f t="shared" si="843"/>
        <v>44973</v>
      </c>
      <c r="F8281" s="478"/>
      <c r="G8281" s="243" t="s">
        <v>94</v>
      </c>
      <c r="H8281" s="243" t="str" cm="1">
        <f t="array" ref="H8281">IFERROR(INDEX(INVESTOR_LIST[INVESTOR NAME],MATCH(I8281,INVESTOR_LIST[INVESTOR CODE],0),)," ")</f>
        <v xml:space="preserve"> </v>
      </c>
      <c r="I8281" s="263" t="s">
        <v>348</v>
      </c>
      <c r="J8281" s="244" t="s">
        <v>48</v>
      </c>
      <c r="K8281" s="245"/>
      <c r="L8281" s="245">
        <v>3539.0253832771787</v>
      </c>
    </row>
    <row r="8282" spans="1:14" ht="10.15" customHeight="1" x14ac:dyDescent="0.2">
      <c r="A8282" s="168">
        <v>2023</v>
      </c>
      <c r="B8282" s="168">
        <v>2</v>
      </c>
      <c r="C8282" s="133">
        <v>19</v>
      </c>
      <c r="D8282" s="141">
        <f t="shared" si="842"/>
        <v>44976</v>
      </c>
      <c r="E8282" s="275">
        <f t="shared" si="843"/>
        <v>44976</v>
      </c>
      <c r="F8282" s="479" t="s">
        <v>1370</v>
      </c>
      <c r="G8282" s="220" t="s">
        <v>74</v>
      </c>
      <c r="H8282" s="142" t="str" cm="1">
        <f t="array" ref="H8282">IFERROR(INDEX(INVESTOR_LIST[INVESTOR NAME],MATCH(I8282,INVESTOR_LIST[INVESTOR CODE],0),)," ")</f>
        <v>JNANDIP PAUL</v>
      </c>
      <c r="I8282" s="142" t="s">
        <v>459</v>
      </c>
      <c r="J8282" s="168" t="s">
        <v>13</v>
      </c>
      <c r="K8282" s="226">
        <v>139990</v>
      </c>
      <c r="L8282" s="226"/>
    </row>
    <row r="8283" spans="1:14" ht="10.15" customHeight="1" x14ac:dyDescent="0.2">
      <c r="A8283" s="133">
        <v>2023</v>
      </c>
      <c r="B8283" s="133">
        <v>2</v>
      </c>
      <c r="C8283" s="133">
        <v>19</v>
      </c>
      <c r="D8283" s="141">
        <f t="shared" si="842"/>
        <v>44976</v>
      </c>
      <c r="E8283" s="275">
        <f t="shared" si="843"/>
        <v>44976</v>
      </c>
      <c r="F8283" s="481"/>
      <c r="G8283" s="174" t="s">
        <v>74</v>
      </c>
      <c r="H8283" s="148" t="str" cm="1">
        <f t="array" ref="H8283">IFERROR(INDEX(INVESTOR_LIST[INVESTOR NAME],MATCH(I8283,INVESTOR_LIST[INVESTOR CODE],0),)," ")</f>
        <v>JNANDIP PAUL</v>
      </c>
      <c r="I8283" s="148" t="s">
        <v>459</v>
      </c>
      <c r="J8283" s="133" t="s">
        <v>53</v>
      </c>
      <c r="K8283" s="218">
        <v>31217.77</v>
      </c>
    </row>
    <row r="8284" spans="1:14" ht="10.15" customHeight="1" x14ac:dyDescent="0.2">
      <c r="A8284" s="163">
        <v>2023</v>
      </c>
      <c r="B8284" s="163">
        <v>2</v>
      </c>
      <c r="C8284" s="163">
        <v>19</v>
      </c>
      <c r="D8284" s="280">
        <f t="shared" si="842"/>
        <v>44976</v>
      </c>
      <c r="E8284" s="281">
        <f t="shared" si="843"/>
        <v>44976</v>
      </c>
      <c r="F8284" s="480"/>
      <c r="G8284" s="221" t="s">
        <v>74</v>
      </c>
      <c r="H8284" s="145" t="str" cm="1">
        <f t="array" ref="H8284">IFERROR(INDEX(INVESTOR_LIST[INVESTOR NAME],MATCH(I8284,INVESTOR_LIST[INVESTOR CODE],0),)," ")</f>
        <v>JNANDIP PAUL</v>
      </c>
      <c r="I8284" s="145" t="s">
        <v>459</v>
      </c>
      <c r="J8284" s="163" t="s">
        <v>52</v>
      </c>
      <c r="K8284" s="219"/>
      <c r="L8284" s="219">
        <v>171207.77</v>
      </c>
    </row>
    <row r="8285" spans="1:14" x14ac:dyDescent="0.2">
      <c r="A8285" s="168">
        <v>2023</v>
      </c>
      <c r="B8285" s="168">
        <v>2</v>
      </c>
      <c r="C8285" s="168">
        <v>19</v>
      </c>
      <c r="D8285" s="141">
        <f>DATE(A8285,B8285,C8285)</f>
        <v>44976</v>
      </c>
      <c r="E8285" s="275">
        <f>DATE(A8285,B8285,C8285)</f>
        <v>44976</v>
      </c>
      <c r="F8285" s="479" t="s">
        <v>1500</v>
      </c>
      <c r="G8285" s="220" t="s">
        <v>74</v>
      </c>
      <c r="H8285" s="220" t="str" cm="1">
        <f t="array" ref="H8285">IFERROR(INDEX(INVESTOR_LIST[INVESTOR NAME],MATCH(I8285,INVESTOR_LIST[INVESTOR CODE],0),)," ")</f>
        <v xml:space="preserve"> </v>
      </c>
      <c r="I8285" s="142"/>
      <c r="J8285" s="143" t="s">
        <v>52</v>
      </c>
      <c r="K8285" s="226">
        <v>320645.90000000002</v>
      </c>
      <c r="L8285" s="226"/>
    </row>
    <row r="8286" spans="1:14" x14ac:dyDescent="0.2">
      <c r="A8286" s="163">
        <v>2023</v>
      </c>
      <c r="B8286" s="163">
        <v>2</v>
      </c>
      <c r="C8286" s="163">
        <v>19</v>
      </c>
      <c r="D8286" s="141">
        <f>DATE(A8286,B8286,C8286)</f>
        <v>44976</v>
      </c>
      <c r="E8286" s="275">
        <f>DATE(A8286,B8286,C8286)</f>
        <v>44976</v>
      </c>
      <c r="F8286" s="480"/>
      <c r="G8286" s="221" t="s">
        <v>74</v>
      </c>
      <c r="H8286" s="221" t="str" cm="1">
        <f t="array" ref="H8286">IFERROR(INDEX(INVESTOR_LIST[INVESTOR NAME],MATCH(I8286,INVESTOR_LIST[INVESTOR CODE],0),)," ")</f>
        <v xml:space="preserve"> </v>
      </c>
      <c r="I8286" s="145"/>
      <c r="J8286" s="146" t="s">
        <v>190</v>
      </c>
      <c r="K8286" s="219"/>
      <c r="L8286" s="219">
        <v>320645.90000000002</v>
      </c>
    </row>
    <row r="8287" spans="1:14" ht="10.15" customHeight="1" x14ac:dyDescent="0.2">
      <c r="A8287" s="168">
        <v>2023</v>
      </c>
      <c r="B8287" s="168">
        <v>2</v>
      </c>
      <c r="C8287" s="133">
        <v>20</v>
      </c>
      <c r="D8287" s="141">
        <f t="shared" ref="D8287:D8304" si="844">DATE(A8287,B8287,C8287)</f>
        <v>44977</v>
      </c>
      <c r="E8287" s="275">
        <f t="shared" ref="E8287:E8304" si="845">DATE(A8287,B8287,C8287)</f>
        <v>44977</v>
      </c>
      <c r="F8287" s="479" t="s">
        <v>1315</v>
      </c>
      <c r="G8287" s="220" t="s">
        <v>74</v>
      </c>
      <c r="H8287" s="142" t="str" cm="1">
        <f t="array" ref="H8287">IFERROR(INDEX(INVESTOR_LIST[INVESTOR NAME],MATCH(I8287,INVESTOR_LIST[INVESTOR CODE],0),)," ")</f>
        <v>MD. NIAZ MURSHED</v>
      </c>
      <c r="I8287" s="142" t="s">
        <v>646</v>
      </c>
      <c r="J8287" s="168" t="s">
        <v>13</v>
      </c>
      <c r="K8287" s="226">
        <v>61320</v>
      </c>
      <c r="L8287" s="226"/>
    </row>
    <row r="8288" spans="1:14" ht="10.15" customHeight="1" x14ac:dyDescent="0.2">
      <c r="A8288" s="133">
        <v>2023</v>
      </c>
      <c r="B8288" s="133">
        <v>2</v>
      </c>
      <c r="C8288" s="133">
        <v>20</v>
      </c>
      <c r="D8288" s="141">
        <f t="shared" si="844"/>
        <v>44977</v>
      </c>
      <c r="E8288" s="275">
        <f t="shared" si="845"/>
        <v>44977</v>
      </c>
      <c r="F8288" s="481"/>
      <c r="G8288" s="174" t="s">
        <v>74</v>
      </c>
      <c r="H8288" s="148" t="str" cm="1">
        <f t="array" ref="H8288">IFERROR(INDEX(INVESTOR_LIST[INVESTOR NAME],MATCH(I8288,INVESTOR_LIST[INVESTOR CODE],0),)," ")</f>
        <v>MD. NIAZ MURSHED</v>
      </c>
      <c r="I8288" s="148" t="s">
        <v>646</v>
      </c>
      <c r="J8288" s="133" t="s">
        <v>53</v>
      </c>
      <c r="K8288" s="218">
        <v>13680</v>
      </c>
    </row>
    <row r="8289" spans="1:14" ht="10.15" customHeight="1" x14ac:dyDescent="0.2">
      <c r="A8289" s="163">
        <v>2023</v>
      </c>
      <c r="B8289" s="163">
        <v>2</v>
      </c>
      <c r="C8289" s="163">
        <v>20</v>
      </c>
      <c r="D8289" s="280">
        <f t="shared" si="844"/>
        <v>44977</v>
      </c>
      <c r="E8289" s="281">
        <f t="shared" si="845"/>
        <v>44977</v>
      </c>
      <c r="F8289" s="480"/>
      <c r="G8289" s="221" t="s">
        <v>74</v>
      </c>
      <c r="H8289" s="145" t="str" cm="1">
        <f t="array" ref="H8289">IFERROR(INDEX(INVESTOR_LIST[INVESTOR NAME],MATCH(I8289,INVESTOR_LIST[INVESTOR CODE],0),)," ")</f>
        <v>MD. NIAZ MURSHED</v>
      </c>
      <c r="I8289" s="145" t="s">
        <v>646</v>
      </c>
      <c r="J8289" s="163" t="s">
        <v>52</v>
      </c>
      <c r="K8289" s="219"/>
      <c r="L8289" s="219">
        <v>75000</v>
      </c>
    </row>
    <row r="8290" spans="1:14" x14ac:dyDescent="0.2">
      <c r="A8290" s="168">
        <v>2023</v>
      </c>
      <c r="B8290" s="168">
        <v>2</v>
      </c>
      <c r="C8290" s="168">
        <v>22</v>
      </c>
      <c r="D8290" s="141">
        <f t="shared" si="844"/>
        <v>44979</v>
      </c>
      <c r="E8290" s="275">
        <f t="shared" si="845"/>
        <v>44979</v>
      </c>
      <c r="F8290" s="481" t="s">
        <v>1569</v>
      </c>
      <c r="G8290" s="174" t="s">
        <v>74</v>
      </c>
      <c r="H8290" s="174" t="str" cm="1">
        <f t="array" ref="H8290">IFERROR(INDEX(INVESTOR_LIST[INVESTOR NAME],MATCH(I8290,INVESTOR_LIST[INVESTOR CODE],0),)," ")</f>
        <v xml:space="preserve"> </v>
      </c>
      <c r="I8290" s="148" t="s">
        <v>348</v>
      </c>
      <c r="J8290" s="149" t="s">
        <v>52</v>
      </c>
      <c r="K8290" s="218">
        <v>45000</v>
      </c>
      <c r="L8290" s="218"/>
    </row>
    <row r="8291" spans="1:14" x14ac:dyDescent="0.2">
      <c r="A8291" s="163">
        <v>2023</v>
      </c>
      <c r="B8291" s="163">
        <v>2</v>
      </c>
      <c r="C8291" s="163">
        <v>22</v>
      </c>
      <c r="D8291" s="141">
        <f t="shared" si="844"/>
        <v>44979</v>
      </c>
      <c r="E8291" s="275">
        <f t="shared" si="845"/>
        <v>44979</v>
      </c>
      <c r="F8291" s="480"/>
      <c r="G8291" s="221" t="s">
        <v>74</v>
      </c>
      <c r="H8291" s="221" t="str" cm="1">
        <f t="array" ref="H8291">IFERROR(INDEX(INVESTOR_LIST[INVESTOR NAME],MATCH(I8291,INVESTOR_LIST[INVESTOR CODE],0),)," ")</f>
        <v xml:space="preserve"> </v>
      </c>
      <c r="I8291" s="145" t="s">
        <v>348</v>
      </c>
      <c r="J8291" s="146" t="s">
        <v>166</v>
      </c>
      <c r="K8291" s="219"/>
      <c r="L8291" s="219">
        <v>45000</v>
      </c>
    </row>
    <row r="8292" spans="1:14" x14ac:dyDescent="0.2">
      <c r="A8292" s="168">
        <v>2023</v>
      </c>
      <c r="B8292" s="133">
        <v>2</v>
      </c>
      <c r="C8292" s="133">
        <v>22</v>
      </c>
      <c r="D8292" s="141">
        <f t="shared" si="844"/>
        <v>44979</v>
      </c>
      <c r="E8292" s="275">
        <f t="shared" si="845"/>
        <v>44979</v>
      </c>
      <c r="F8292" s="479" t="s">
        <v>1601</v>
      </c>
      <c r="G8292" s="220" t="s">
        <v>74</v>
      </c>
      <c r="H8292" s="220" t="str" cm="1">
        <f t="array" ref="H8292">IFERROR(INDEX(INVESTOR_LIST[INVESTOR NAME],MATCH(I8292,INVESTOR_LIST[INVESTOR CODE],0),)," ")</f>
        <v xml:space="preserve"> </v>
      </c>
      <c r="I8292" s="142" t="s">
        <v>348</v>
      </c>
      <c r="J8292" s="143" t="s">
        <v>184</v>
      </c>
      <c r="K8292" s="226">
        <v>3250000</v>
      </c>
      <c r="L8292" s="226"/>
    </row>
    <row r="8293" spans="1:14" x14ac:dyDescent="0.2">
      <c r="A8293" s="133">
        <v>2023</v>
      </c>
      <c r="B8293" s="133">
        <v>2</v>
      </c>
      <c r="C8293" s="133">
        <v>22</v>
      </c>
      <c r="D8293" s="141">
        <f t="shared" si="844"/>
        <v>44979</v>
      </c>
      <c r="E8293" s="275">
        <f t="shared" si="845"/>
        <v>44979</v>
      </c>
      <c r="F8293" s="481"/>
      <c r="G8293" s="174" t="s">
        <v>74</v>
      </c>
      <c r="H8293" s="174" t="str" cm="1">
        <f t="array" ref="H8293">IFERROR(INDEX(INVESTOR_LIST[INVESTOR NAME],MATCH(I8293,INVESTOR_LIST[INVESTOR CODE],0),)," ")</f>
        <v xml:space="preserve"> </v>
      </c>
      <c r="I8293" s="148" t="s">
        <v>348</v>
      </c>
      <c r="J8293" s="149" t="s">
        <v>185</v>
      </c>
      <c r="K8293" s="218">
        <v>3000</v>
      </c>
      <c r="L8293" s="218"/>
    </row>
    <row r="8294" spans="1:14" x14ac:dyDescent="0.2">
      <c r="A8294" s="133">
        <v>2023</v>
      </c>
      <c r="B8294" s="133">
        <v>2</v>
      </c>
      <c r="C8294" s="133">
        <v>22</v>
      </c>
      <c r="D8294" s="141">
        <f t="shared" si="844"/>
        <v>44979</v>
      </c>
      <c r="E8294" s="275">
        <f t="shared" si="845"/>
        <v>44979</v>
      </c>
      <c r="F8294" s="481"/>
      <c r="G8294" s="174" t="s">
        <v>74</v>
      </c>
      <c r="H8294" s="174"/>
      <c r="J8294" s="149" t="s">
        <v>61</v>
      </c>
      <c r="K8294" s="218">
        <v>115</v>
      </c>
      <c r="L8294" s="218"/>
    </row>
    <row r="8295" spans="1:14" x14ac:dyDescent="0.2">
      <c r="A8295" s="163">
        <v>2023</v>
      </c>
      <c r="B8295" s="163">
        <v>2</v>
      </c>
      <c r="C8295" s="163">
        <v>22</v>
      </c>
      <c r="D8295" s="141">
        <f t="shared" si="844"/>
        <v>44979</v>
      </c>
      <c r="E8295" s="275">
        <f t="shared" si="845"/>
        <v>44979</v>
      </c>
      <c r="F8295" s="480"/>
      <c r="G8295" s="221" t="s">
        <v>74</v>
      </c>
      <c r="H8295" s="221" t="str" cm="1">
        <f t="array" ref="H8295">IFERROR(INDEX(INVESTOR_LIST[INVESTOR NAME],MATCH(I8295,INVESTOR_LIST[INVESTOR CODE],0),)," ")</f>
        <v xml:space="preserve"> </v>
      </c>
      <c r="I8295" s="145" t="s">
        <v>348</v>
      </c>
      <c r="J8295" s="146" t="s">
        <v>52</v>
      </c>
      <c r="K8295" s="219"/>
      <c r="L8295" s="219">
        <v>3253115</v>
      </c>
    </row>
    <row r="8296" spans="1:14" x14ac:dyDescent="0.2">
      <c r="A8296" s="133">
        <v>2023</v>
      </c>
      <c r="B8296" s="133">
        <v>2</v>
      </c>
      <c r="C8296" s="168">
        <v>22</v>
      </c>
      <c r="D8296" s="141">
        <f t="shared" si="844"/>
        <v>44979</v>
      </c>
      <c r="E8296" s="275">
        <f t="shared" si="845"/>
        <v>44979</v>
      </c>
      <c r="F8296" s="479" t="s">
        <v>1602</v>
      </c>
      <c r="G8296" s="174" t="s">
        <v>74</v>
      </c>
      <c r="H8296" s="148" t="str" cm="1">
        <f t="array" ref="H8296">IFERROR(INDEX(INVESTOR_LIST[INVESTOR NAME],MATCH(I8296,INVESTOR_LIST[INVESTOR CODE],0),)," ")</f>
        <v xml:space="preserve"> </v>
      </c>
      <c r="J8296" s="133" t="s">
        <v>61</v>
      </c>
      <c r="K8296" s="172">
        <v>230</v>
      </c>
    </row>
    <row r="8297" spans="1:14" x14ac:dyDescent="0.2">
      <c r="A8297" s="133">
        <v>2023</v>
      </c>
      <c r="B8297" s="133">
        <v>2</v>
      </c>
      <c r="C8297" s="133">
        <v>22</v>
      </c>
      <c r="D8297" s="280">
        <f t="shared" si="844"/>
        <v>44979</v>
      </c>
      <c r="E8297" s="281">
        <f t="shared" si="845"/>
        <v>44979</v>
      </c>
      <c r="F8297" s="480"/>
      <c r="G8297" s="221" t="s">
        <v>74</v>
      </c>
      <c r="H8297" s="145" t="str" cm="1">
        <f t="array" ref="H8297">IFERROR(INDEX(INVESTOR_LIST[INVESTOR NAME],MATCH(I8297,INVESTOR_LIST[INVESTOR CODE],0),)," ")</f>
        <v xml:space="preserve"> </v>
      </c>
      <c r="I8297" s="145"/>
      <c r="J8297" s="163" t="s">
        <v>52</v>
      </c>
      <c r="K8297" s="219"/>
      <c r="L8297" s="219">
        <v>230</v>
      </c>
    </row>
    <row r="8298" spans="1:14" x14ac:dyDescent="0.2">
      <c r="A8298" s="168">
        <v>2023</v>
      </c>
      <c r="B8298" s="168">
        <v>2</v>
      </c>
      <c r="C8298" s="168">
        <v>23</v>
      </c>
      <c r="D8298" s="141">
        <f t="shared" si="844"/>
        <v>44980</v>
      </c>
      <c r="E8298" s="275">
        <f t="shared" si="845"/>
        <v>44980</v>
      </c>
      <c r="F8298" s="479" t="s">
        <v>1604</v>
      </c>
      <c r="G8298" s="220" t="s">
        <v>74</v>
      </c>
      <c r="H8298" s="220" t="str" cm="1">
        <f t="array" ref="H8298">IFERROR(INDEX(INVESTOR_LIST[INVESTOR NAME],MATCH(I8298,INVESTOR_LIST[INVESTOR CODE],0),)," ")</f>
        <v xml:space="preserve"> </v>
      </c>
      <c r="I8298" s="142" t="s">
        <v>348</v>
      </c>
      <c r="J8298" s="143" t="s">
        <v>52</v>
      </c>
      <c r="K8298" s="226">
        <v>16500</v>
      </c>
      <c r="L8298" s="226"/>
    </row>
    <row r="8299" spans="1:14" x14ac:dyDescent="0.2">
      <c r="A8299" s="133">
        <v>2023</v>
      </c>
      <c r="B8299" s="133">
        <v>2</v>
      </c>
      <c r="C8299" s="133">
        <v>23</v>
      </c>
      <c r="D8299" s="141">
        <f t="shared" ref="D8299" si="846">DATE(A8299,B8299,C8299)</f>
        <v>44980</v>
      </c>
      <c r="E8299" s="275">
        <f t="shared" ref="E8299" si="847">DATE(A8299,B8299,C8299)</f>
        <v>44980</v>
      </c>
      <c r="F8299" s="481"/>
      <c r="G8299" s="174" t="s">
        <v>74</v>
      </c>
      <c r="H8299" s="174"/>
      <c r="J8299" s="149" t="s">
        <v>61</v>
      </c>
      <c r="K8299" s="218">
        <v>1000</v>
      </c>
      <c r="L8299" s="218"/>
    </row>
    <row r="8300" spans="1:14" x14ac:dyDescent="0.2">
      <c r="A8300" s="163">
        <v>2023</v>
      </c>
      <c r="B8300" s="163">
        <v>2</v>
      </c>
      <c r="C8300" s="163">
        <v>23</v>
      </c>
      <c r="D8300" s="280">
        <f t="shared" si="844"/>
        <v>44980</v>
      </c>
      <c r="E8300" s="281">
        <f t="shared" si="845"/>
        <v>44980</v>
      </c>
      <c r="F8300" s="480"/>
      <c r="G8300" s="221" t="s">
        <v>74</v>
      </c>
      <c r="H8300" s="221" t="str" cm="1">
        <f t="array" ref="H8300">IFERROR(INDEX(INVESTOR_LIST[INVESTOR NAME],MATCH(I8300,INVESTOR_LIST[INVESTOR CODE],0),)," ")</f>
        <v xml:space="preserve"> </v>
      </c>
      <c r="I8300" s="145" t="s">
        <v>348</v>
      </c>
      <c r="J8300" s="146" t="s">
        <v>60</v>
      </c>
      <c r="K8300" s="219"/>
      <c r="L8300" s="219">
        <v>17500</v>
      </c>
    </row>
    <row r="8301" spans="1:14" x14ac:dyDescent="0.2">
      <c r="A8301" s="324">
        <v>2023</v>
      </c>
      <c r="B8301" s="324">
        <v>2</v>
      </c>
      <c r="C8301" s="325">
        <v>23</v>
      </c>
      <c r="D8301" s="326">
        <f t="shared" si="844"/>
        <v>44980</v>
      </c>
      <c r="E8301" s="327">
        <f t="shared" si="845"/>
        <v>44980</v>
      </c>
      <c r="F8301" s="473" t="s">
        <v>1490</v>
      </c>
      <c r="G8301" s="328" t="s">
        <v>94</v>
      </c>
      <c r="H8301" s="329" t="str" cm="1">
        <f t="array" ref="H8301">IFERROR(INDEX(INVESTOR_LIST[INVESTOR NAME],MATCH(I8301,INVESTOR_LIST[INVESTOR CODE],0),)," ")</f>
        <v xml:space="preserve"> </v>
      </c>
      <c r="I8301" s="329" t="s">
        <v>348</v>
      </c>
      <c r="J8301" s="325" t="s">
        <v>133</v>
      </c>
      <c r="K8301" s="330">
        <v>14659.25</v>
      </c>
      <c r="L8301" s="330"/>
      <c r="M8301" s="160"/>
    </row>
    <row r="8302" spans="1:14" x14ac:dyDescent="0.2">
      <c r="A8302" s="331">
        <v>2023</v>
      </c>
      <c r="B8302" s="331">
        <v>2</v>
      </c>
      <c r="C8302" s="331">
        <v>23</v>
      </c>
      <c r="D8302" s="326">
        <f t="shared" si="844"/>
        <v>44980</v>
      </c>
      <c r="E8302" s="327">
        <f t="shared" si="845"/>
        <v>44980</v>
      </c>
      <c r="F8302" s="474"/>
      <c r="G8302" s="332" t="s">
        <v>94</v>
      </c>
      <c r="H8302" s="333" t="str" cm="1">
        <f t="array" ref="H8302">IFERROR(INDEX(INVESTOR_LIST[INVESTOR NAME],MATCH(I8302,INVESTOR_LIST[INVESTOR CODE],0),)," ")</f>
        <v xml:space="preserve"> </v>
      </c>
      <c r="I8302" s="333" t="s">
        <v>348</v>
      </c>
      <c r="J8302" s="331" t="s">
        <v>152</v>
      </c>
      <c r="K8302" s="334"/>
      <c r="L8302" s="334">
        <v>14659.25</v>
      </c>
      <c r="M8302" s="160"/>
      <c r="N8302" s="160"/>
    </row>
    <row r="8303" spans="1:14" x14ac:dyDescent="0.2">
      <c r="A8303" s="324">
        <v>2023</v>
      </c>
      <c r="B8303" s="324">
        <v>2</v>
      </c>
      <c r="C8303" s="325">
        <v>23</v>
      </c>
      <c r="D8303" s="326">
        <f t="shared" si="844"/>
        <v>44980</v>
      </c>
      <c r="E8303" s="327">
        <f t="shared" si="845"/>
        <v>44980</v>
      </c>
      <c r="F8303" s="473" t="s">
        <v>1491</v>
      </c>
      <c r="G8303" s="328" t="s">
        <v>94</v>
      </c>
      <c r="H8303" s="329" t="str" cm="1">
        <f t="array" ref="H8303">IFERROR(INDEX(INVESTOR_LIST[INVESTOR NAME],MATCH(I8303,INVESTOR_LIST[INVESTOR CODE],0),)," ")</f>
        <v xml:space="preserve"> </v>
      </c>
      <c r="I8303" s="329" t="s">
        <v>348</v>
      </c>
      <c r="J8303" s="324" t="s">
        <v>133</v>
      </c>
      <c r="K8303" s="330">
        <v>9134.6200000000008</v>
      </c>
      <c r="L8303" s="330"/>
      <c r="M8303" s="160"/>
      <c r="N8303" s="160"/>
    </row>
    <row r="8304" spans="1:14" x14ac:dyDescent="0.2">
      <c r="A8304" s="331">
        <v>2023</v>
      </c>
      <c r="B8304" s="331">
        <v>2</v>
      </c>
      <c r="C8304" s="331">
        <v>23</v>
      </c>
      <c r="D8304" s="326">
        <f t="shared" si="844"/>
        <v>44980</v>
      </c>
      <c r="E8304" s="327">
        <f t="shared" si="845"/>
        <v>44980</v>
      </c>
      <c r="F8304" s="474"/>
      <c r="G8304" s="332" t="s">
        <v>94</v>
      </c>
      <c r="H8304" s="333" t="str" cm="1">
        <f t="array" ref="H8304">IFERROR(INDEX(INVESTOR_LIST[INVESTOR NAME],MATCH(I8304,INVESTOR_LIST[INVESTOR CODE],0),)," ")</f>
        <v xml:space="preserve"> </v>
      </c>
      <c r="I8304" s="333" t="s">
        <v>348</v>
      </c>
      <c r="J8304" s="331" t="s">
        <v>152</v>
      </c>
      <c r="K8304" s="334"/>
      <c r="L8304" s="334">
        <v>9134.6200000000008</v>
      </c>
      <c r="M8304" s="160"/>
      <c r="N8304" s="160"/>
    </row>
    <row r="8305" spans="1:14" x14ac:dyDescent="0.2">
      <c r="A8305" s="324">
        <v>2023</v>
      </c>
      <c r="B8305" s="324">
        <v>2</v>
      </c>
      <c r="C8305" s="325">
        <v>23</v>
      </c>
      <c r="D8305" s="326">
        <f>DATE(A8305,B8305,C8305)</f>
        <v>44980</v>
      </c>
      <c r="E8305" s="327">
        <f>DATE(A8305,B8305,C8305)</f>
        <v>44980</v>
      </c>
      <c r="F8305" s="473" t="s">
        <v>1531</v>
      </c>
      <c r="G8305" s="328" t="s">
        <v>94</v>
      </c>
      <c r="H8305" s="329" t="str" cm="1">
        <f t="array" ref="H8305">IFERROR(INDEX(INVESTOR_LIST[INVESTOR NAME],MATCH(I8305,INVESTOR_LIST[INVESTOR CODE],0),)," ")</f>
        <v xml:space="preserve"> </v>
      </c>
      <c r="I8305" s="329" t="s">
        <v>348</v>
      </c>
      <c r="J8305" s="324" t="s">
        <v>133</v>
      </c>
      <c r="K8305" s="330">
        <v>7211.54</v>
      </c>
      <c r="L8305" s="330"/>
      <c r="M8305" s="160"/>
      <c r="N8305" s="160"/>
    </row>
    <row r="8306" spans="1:14" x14ac:dyDescent="0.2">
      <c r="A8306" s="331">
        <v>2023</v>
      </c>
      <c r="B8306" s="331">
        <v>2</v>
      </c>
      <c r="C8306" s="331">
        <v>23</v>
      </c>
      <c r="D8306" s="326">
        <f>DATE(A8306,B8306,C8306)</f>
        <v>44980</v>
      </c>
      <c r="E8306" s="327">
        <f>DATE(A8306,B8306,C8306)</f>
        <v>44980</v>
      </c>
      <c r="F8306" s="474"/>
      <c r="G8306" s="332" t="s">
        <v>94</v>
      </c>
      <c r="H8306" s="333" t="str" cm="1">
        <f t="array" ref="H8306">IFERROR(INDEX(INVESTOR_LIST[INVESTOR NAME],MATCH(I8306,INVESTOR_LIST[INVESTOR CODE],0),)," ")</f>
        <v xml:space="preserve"> </v>
      </c>
      <c r="I8306" s="333" t="s">
        <v>348</v>
      </c>
      <c r="J8306" s="331" t="s">
        <v>152</v>
      </c>
      <c r="K8306" s="334"/>
      <c r="L8306" s="334">
        <v>7211.54</v>
      </c>
      <c r="M8306" s="160"/>
      <c r="N8306" s="160"/>
    </row>
    <row r="8307" spans="1:14" x14ac:dyDescent="0.2">
      <c r="A8307" s="238">
        <v>2023</v>
      </c>
      <c r="B8307" s="238">
        <v>2</v>
      </c>
      <c r="C8307" s="238">
        <v>23</v>
      </c>
      <c r="D8307" s="270">
        <f t="shared" ref="D8307:D8324" si="848">DATE(A8307,B8307,C8307)</f>
        <v>44980</v>
      </c>
      <c r="E8307" s="279">
        <f t="shared" ref="E8307:E8324" si="849">DATE(A8307,B8307,C8307)</f>
        <v>44980</v>
      </c>
      <c r="F8307" s="477" t="s">
        <v>347</v>
      </c>
      <c r="G8307" s="239" t="s">
        <v>94</v>
      </c>
      <c r="H8307" s="239" t="str" cm="1">
        <f t="array" ref="H8307">IFERROR(INDEX(INVESTOR_LIST[INVESTOR NAME],MATCH(I8307,INVESTOR_LIST[INVESTOR CODE],0),)," ")</f>
        <v xml:space="preserve"> </v>
      </c>
      <c r="I8307" s="262" t="s">
        <v>348</v>
      </c>
      <c r="J8307" s="240" t="s">
        <v>82</v>
      </c>
      <c r="K8307" s="241">
        <v>13537.890000000596</v>
      </c>
      <c r="L8307" s="241"/>
    </row>
    <row r="8308" spans="1:14" x14ac:dyDescent="0.2">
      <c r="A8308" s="242">
        <v>2023</v>
      </c>
      <c r="B8308" s="242">
        <v>2</v>
      </c>
      <c r="C8308" s="242">
        <v>23</v>
      </c>
      <c r="D8308" s="270">
        <f t="shared" si="848"/>
        <v>44980</v>
      </c>
      <c r="E8308" s="279">
        <f t="shared" si="849"/>
        <v>44980</v>
      </c>
      <c r="F8308" s="478"/>
      <c r="G8308" s="243" t="s">
        <v>94</v>
      </c>
      <c r="H8308" s="243" t="str" cm="1">
        <f t="array" ref="H8308">IFERROR(INDEX(INVESTOR_LIST[INVESTOR NAME],MATCH(I8308,INVESTOR_LIST[INVESTOR CODE],0),)," ")</f>
        <v xml:space="preserve"> </v>
      </c>
      <c r="I8308" s="263" t="s">
        <v>348</v>
      </c>
      <c r="J8308" s="244" t="s">
        <v>108</v>
      </c>
      <c r="K8308" s="245"/>
      <c r="L8308" s="245">
        <v>13537.890000000596</v>
      </c>
    </row>
    <row r="8309" spans="1:14" ht="22.5" x14ac:dyDescent="0.2">
      <c r="A8309" s="246">
        <v>2023</v>
      </c>
      <c r="B8309" s="238">
        <v>2</v>
      </c>
      <c r="C8309" s="238">
        <v>23</v>
      </c>
      <c r="D8309" s="270">
        <f t="shared" si="848"/>
        <v>44980</v>
      </c>
      <c r="E8309" s="279">
        <f t="shared" si="849"/>
        <v>44980</v>
      </c>
      <c r="F8309" s="482" t="s">
        <v>148</v>
      </c>
      <c r="G8309" s="247" t="s">
        <v>94</v>
      </c>
      <c r="H8309" s="247" t="str" cm="1">
        <f t="array" ref="H8309">IFERROR(INDEX(INVESTOR_LIST[INVESTOR NAME],MATCH(I8309,INVESTOR_LIST[INVESTOR CODE],0),)," ")</f>
        <v xml:space="preserve"> </v>
      </c>
      <c r="I8309" s="248" t="s">
        <v>348</v>
      </c>
      <c r="J8309" s="249" t="s">
        <v>95</v>
      </c>
      <c r="K8309" s="250">
        <v>2747.2527472527472</v>
      </c>
      <c r="L8309" s="241"/>
    </row>
    <row r="8310" spans="1:14" x14ac:dyDescent="0.2">
      <c r="A8310" s="242">
        <v>2023</v>
      </c>
      <c r="B8310" s="242">
        <v>2</v>
      </c>
      <c r="C8310" s="242">
        <v>23</v>
      </c>
      <c r="D8310" s="270">
        <f t="shared" si="848"/>
        <v>44980</v>
      </c>
      <c r="E8310" s="279">
        <f t="shared" si="849"/>
        <v>44980</v>
      </c>
      <c r="F8310" s="478"/>
      <c r="G8310" s="243" t="s">
        <v>94</v>
      </c>
      <c r="H8310" s="243" t="str" cm="1">
        <f t="array" ref="H8310">IFERROR(INDEX(INVESTOR_LIST[INVESTOR NAME],MATCH(I8310,INVESTOR_LIST[INVESTOR CODE],0),)," ")</f>
        <v xml:space="preserve"> </v>
      </c>
      <c r="I8310" s="263" t="s">
        <v>348</v>
      </c>
      <c r="J8310" s="244" t="s">
        <v>63</v>
      </c>
      <c r="K8310" s="245"/>
      <c r="L8310" s="245">
        <v>2747.2527472527472</v>
      </c>
    </row>
    <row r="8311" spans="1:14" x14ac:dyDescent="0.2">
      <c r="A8311" s="246">
        <v>2023</v>
      </c>
      <c r="B8311" s="238">
        <v>2</v>
      </c>
      <c r="C8311" s="238">
        <v>23</v>
      </c>
      <c r="D8311" s="270">
        <f t="shared" si="848"/>
        <v>44980</v>
      </c>
      <c r="E8311" s="279">
        <f t="shared" si="849"/>
        <v>44980</v>
      </c>
      <c r="F8311" s="482" t="s">
        <v>137</v>
      </c>
      <c r="G8311" s="247" t="s">
        <v>94</v>
      </c>
      <c r="H8311" s="247" t="str" cm="1">
        <f t="array" ref="H8311">IFERROR(INDEX(INVESTOR_LIST[INVESTOR NAME],MATCH(I8311,INVESTOR_LIST[INVESTOR CODE],0),)," ")</f>
        <v xml:space="preserve"> </v>
      </c>
      <c r="I8311" s="248" t="s">
        <v>348</v>
      </c>
      <c r="J8311" s="249" t="s">
        <v>97</v>
      </c>
      <c r="K8311" s="250">
        <v>0</v>
      </c>
      <c r="L8311" s="252"/>
    </row>
    <row r="8312" spans="1:14" x14ac:dyDescent="0.2">
      <c r="A8312" s="242">
        <v>2023</v>
      </c>
      <c r="B8312" s="242">
        <v>2</v>
      </c>
      <c r="C8312" s="242">
        <v>23</v>
      </c>
      <c r="D8312" s="270">
        <f t="shared" si="848"/>
        <v>44980</v>
      </c>
      <c r="E8312" s="279">
        <f t="shared" si="849"/>
        <v>44980</v>
      </c>
      <c r="F8312" s="478"/>
      <c r="G8312" s="243" t="s">
        <v>94</v>
      </c>
      <c r="H8312" s="243" t="str" cm="1">
        <f t="array" ref="H8312">IFERROR(INDEX(INVESTOR_LIST[INVESTOR NAME],MATCH(I8312,INVESTOR_LIST[INVESTOR CODE],0),)," ")</f>
        <v xml:space="preserve"> </v>
      </c>
      <c r="I8312" s="263" t="s">
        <v>348</v>
      </c>
      <c r="J8312" s="244" t="s">
        <v>47</v>
      </c>
      <c r="K8312" s="245"/>
      <c r="L8312" s="245">
        <v>0</v>
      </c>
    </row>
    <row r="8313" spans="1:14" x14ac:dyDescent="0.2">
      <c r="A8313" s="246">
        <v>2023</v>
      </c>
      <c r="B8313" s="238">
        <v>2</v>
      </c>
      <c r="C8313" s="238">
        <v>23</v>
      </c>
      <c r="D8313" s="270">
        <f t="shared" si="848"/>
        <v>44980</v>
      </c>
      <c r="E8313" s="279">
        <f t="shared" si="849"/>
        <v>44980</v>
      </c>
      <c r="F8313" s="482" t="s">
        <v>138</v>
      </c>
      <c r="G8313" s="247" t="s">
        <v>94</v>
      </c>
      <c r="H8313" s="247" t="str" cm="1">
        <f t="array" ref="H8313">IFERROR(INDEX(INVESTOR_LIST[INVESTOR NAME],MATCH(I8313,INVESTOR_LIST[INVESTOR CODE],0),)," ")</f>
        <v xml:space="preserve"> </v>
      </c>
      <c r="I8313" s="248" t="s">
        <v>348</v>
      </c>
      <c r="J8313" s="249" t="s">
        <v>100</v>
      </c>
      <c r="K8313" s="250">
        <v>3535.1254440828757</v>
      </c>
      <c r="L8313" s="252"/>
    </row>
    <row r="8314" spans="1:14" ht="10.9" customHeight="1" x14ac:dyDescent="0.2">
      <c r="A8314" s="242">
        <v>2023</v>
      </c>
      <c r="B8314" s="242">
        <v>2</v>
      </c>
      <c r="C8314" s="242">
        <v>23</v>
      </c>
      <c r="D8314" s="321">
        <f t="shared" si="848"/>
        <v>44980</v>
      </c>
      <c r="E8314" s="322">
        <f t="shared" si="849"/>
        <v>44980</v>
      </c>
      <c r="F8314" s="478"/>
      <c r="G8314" s="243" t="s">
        <v>94</v>
      </c>
      <c r="H8314" s="243" t="str" cm="1">
        <f t="array" ref="H8314">IFERROR(INDEX(INVESTOR_LIST[INVESTOR NAME],MATCH(I8314,INVESTOR_LIST[INVESTOR CODE],0),)," ")</f>
        <v xml:space="preserve"> </v>
      </c>
      <c r="I8314" s="263" t="s">
        <v>348</v>
      </c>
      <c r="J8314" s="244" t="s">
        <v>48</v>
      </c>
      <c r="K8314" s="245"/>
      <c r="L8314" s="245">
        <v>3535.1254440828757</v>
      </c>
    </row>
    <row r="8315" spans="1:14" x14ac:dyDescent="0.2">
      <c r="A8315" s="133">
        <v>2023</v>
      </c>
      <c r="B8315" s="168">
        <v>2</v>
      </c>
      <c r="C8315" s="168">
        <v>26</v>
      </c>
      <c r="D8315" s="141">
        <f>DATE(A8315,B8315,C8315)</f>
        <v>44983</v>
      </c>
      <c r="E8315" s="275">
        <f>DATE(A8315,B8315,C8315)</f>
        <v>44983</v>
      </c>
      <c r="F8315" s="481" t="s">
        <v>1629</v>
      </c>
      <c r="G8315" s="174" t="s">
        <v>94</v>
      </c>
      <c r="H8315" s="174" t="str" cm="1">
        <f t="array" ref="H8315">IFERROR(INDEX(INVESTOR_LIST[INVESTOR NAME],MATCH(I8315,INVESTOR_LIST[INVESTOR CODE],0),)," ")</f>
        <v xml:space="preserve"> </v>
      </c>
      <c r="I8315" s="148" t="s">
        <v>348</v>
      </c>
      <c r="J8315" s="149" t="s">
        <v>168</v>
      </c>
      <c r="K8315" s="218">
        <v>177650</v>
      </c>
      <c r="L8315" s="218"/>
    </row>
    <row r="8316" spans="1:14" x14ac:dyDescent="0.2">
      <c r="A8316" s="163">
        <v>2023</v>
      </c>
      <c r="B8316" s="163">
        <v>2</v>
      </c>
      <c r="C8316" s="163">
        <v>26</v>
      </c>
      <c r="D8316" s="141">
        <f>DATE(A8316,B8316,C8316)</f>
        <v>44983</v>
      </c>
      <c r="E8316" s="275">
        <f>DATE(A8316,B8316,C8316)</f>
        <v>44983</v>
      </c>
      <c r="F8316" s="480"/>
      <c r="G8316" s="221" t="s">
        <v>94</v>
      </c>
      <c r="H8316" s="221" t="str" cm="1">
        <f t="array" ref="H8316">IFERROR(INDEX(INVESTOR_LIST[INVESTOR NAME],MATCH(I8316,INVESTOR_LIST[INVESTOR CODE],0),)," ")</f>
        <v xml:space="preserve"> </v>
      </c>
      <c r="I8316" s="145" t="s">
        <v>348</v>
      </c>
      <c r="J8316" s="146" t="s">
        <v>166</v>
      </c>
      <c r="K8316" s="219"/>
      <c r="L8316" s="219">
        <v>177650</v>
      </c>
    </row>
    <row r="8317" spans="1:14" ht="10.15" customHeight="1" x14ac:dyDescent="0.2">
      <c r="A8317" s="168">
        <v>2023</v>
      </c>
      <c r="B8317" s="168">
        <v>2</v>
      </c>
      <c r="C8317" s="133">
        <v>26</v>
      </c>
      <c r="D8317" s="141">
        <f t="shared" si="848"/>
        <v>44983</v>
      </c>
      <c r="E8317" s="275">
        <f t="shared" si="849"/>
        <v>44983</v>
      </c>
      <c r="F8317" s="479" t="s">
        <v>1315</v>
      </c>
      <c r="G8317" s="220" t="s">
        <v>74</v>
      </c>
      <c r="H8317" s="142" t="str" cm="1">
        <f t="array" ref="H8317">IFERROR(INDEX(INVESTOR_LIST[INVESTOR NAME],MATCH(I8317,INVESTOR_LIST[INVESTOR CODE],0),)," ")</f>
        <v>AMIT KANTI SARKER</v>
      </c>
      <c r="I8317" s="142" t="s">
        <v>494</v>
      </c>
      <c r="J8317" s="168" t="s">
        <v>13</v>
      </c>
      <c r="K8317" s="226">
        <v>408830</v>
      </c>
      <c r="L8317" s="226"/>
    </row>
    <row r="8318" spans="1:14" ht="10.15" customHeight="1" x14ac:dyDescent="0.2">
      <c r="A8318" s="133">
        <v>2023</v>
      </c>
      <c r="B8318" s="133">
        <v>2</v>
      </c>
      <c r="C8318" s="133">
        <v>26</v>
      </c>
      <c r="D8318" s="141">
        <f t="shared" si="848"/>
        <v>44983</v>
      </c>
      <c r="E8318" s="275">
        <f t="shared" si="849"/>
        <v>44983</v>
      </c>
      <c r="F8318" s="481"/>
      <c r="G8318" s="174" t="s">
        <v>74</v>
      </c>
      <c r="H8318" s="148" t="str" cm="1">
        <f t="array" ref="H8318">IFERROR(INDEX(INVESTOR_LIST[INVESTOR NAME],MATCH(I8318,INVESTOR_LIST[INVESTOR CODE],0),)," ")</f>
        <v>AMIT KANTI SARKER</v>
      </c>
      <c r="I8318" s="148" t="s">
        <v>494</v>
      </c>
      <c r="J8318" s="133" t="s">
        <v>53</v>
      </c>
      <c r="K8318" s="218">
        <v>91170</v>
      </c>
    </row>
    <row r="8319" spans="1:14" ht="10.15" customHeight="1" x14ac:dyDescent="0.2">
      <c r="A8319" s="133">
        <v>2023</v>
      </c>
      <c r="B8319" s="133">
        <v>2</v>
      </c>
      <c r="C8319" s="133">
        <v>26</v>
      </c>
      <c r="D8319" s="141">
        <f t="shared" si="848"/>
        <v>44983</v>
      </c>
      <c r="E8319" s="275">
        <f t="shared" si="849"/>
        <v>44983</v>
      </c>
      <c r="F8319" s="481"/>
      <c r="G8319" s="174" t="s">
        <v>74</v>
      </c>
      <c r="H8319" s="148" t="str" cm="1">
        <f t="array" ref="H8319">IFERROR(INDEX(INVESTOR_LIST[INVESTOR NAME],MATCH(I8319,INVESTOR_LIST[INVESTOR CODE],0),)," ")</f>
        <v>AMIT KANTI SARKER</v>
      </c>
      <c r="I8319" s="148" t="s">
        <v>494</v>
      </c>
      <c r="J8319" s="133" t="s">
        <v>52</v>
      </c>
      <c r="K8319" s="218"/>
      <c r="L8319" s="218">
        <v>500000</v>
      </c>
    </row>
    <row r="8320" spans="1:14" x14ac:dyDescent="0.2">
      <c r="A8320" s="168">
        <v>2023</v>
      </c>
      <c r="B8320" s="168">
        <v>2</v>
      </c>
      <c r="C8320" s="168">
        <v>26</v>
      </c>
      <c r="D8320" s="141">
        <f t="shared" si="848"/>
        <v>44983</v>
      </c>
      <c r="E8320" s="275">
        <f t="shared" si="849"/>
        <v>44983</v>
      </c>
      <c r="F8320" s="479" t="s">
        <v>1567</v>
      </c>
      <c r="G8320" s="220" t="s">
        <v>74</v>
      </c>
      <c r="H8320" s="142" t="str" cm="1">
        <f t="array" ref="H8320">IFERROR(INDEX(INVESTOR_LIST[INVESTOR NAME],MATCH(I8320,INVESTOR_LIST[INVESTOR CODE],0),)," ")</f>
        <v xml:space="preserve"> </v>
      </c>
      <c r="I8320" s="142"/>
      <c r="J8320" s="168" t="s">
        <v>61</v>
      </c>
      <c r="K8320" s="226">
        <v>58</v>
      </c>
      <c r="L8320" s="226"/>
    </row>
    <row r="8321" spans="1:12" x14ac:dyDescent="0.2">
      <c r="A8321" s="163">
        <v>2023</v>
      </c>
      <c r="B8321" s="163">
        <v>2</v>
      </c>
      <c r="C8321" s="163">
        <v>26</v>
      </c>
      <c r="D8321" s="144">
        <f t="shared" si="848"/>
        <v>44983</v>
      </c>
      <c r="E8321" s="313">
        <f t="shared" si="849"/>
        <v>44983</v>
      </c>
      <c r="F8321" s="480"/>
      <c r="G8321" s="221" t="s">
        <v>74</v>
      </c>
      <c r="H8321" s="145" t="str" cm="1">
        <f t="array" ref="H8321">IFERROR(INDEX(INVESTOR_LIST[INVESTOR NAME],MATCH(I8321,INVESTOR_LIST[INVESTOR CODE],0),)," ")</f>
        <v xml:space="preserve"> </v>
      </c>
      <c r="I8321" s="145"/>
      <c r="J8321" s="163" t="s">
        <v>52</v>
      </c>
      <c r="K8321" s="219"/>
      <c r="L8321" s="219">
        <v>58</v>
      </c>
    </row>
    <row r="8322" spans="1:12" x14ac:dyDescent="0.2">
      <c r="A8322" s="168">
        <v>2023</v>
      </c>
      <c r="B8322" s="168">
        <v>2</v>
      </c>
      <c r="C8322" s="168">
        <v>27</v>
      </c>
      <c r="D8322" s="141">
        <f t="shared" si="848"/>
        <v>44984</v>
      </c>
      <c r="E8322" s="275">
        <f t="shared" si="849"/>
        <v>44984</v>
      </c>
      <c r="F8322" s="479" t="s">
        <v>1319</v>
      </c>
      <c r="G8322" s="220" t="s">
        <v>74</v>
      </c>
      <c r="H8322" s="142" t="str" cm="1">
        <f t="array" ref="H8322">IFERROR(INDEX(INVESTOR_LIST[INVESTOR NAME],MATCH(I8322,INVESTOR_LIST[INVESTOR CODE],0),)," ")</f>
        <v xml:space="preserve"> </v>
      </c>
      <c r="I8322" s="142"/>
      <c r="J8322" s="168" t="s">
        <v>52</v>
      </c>
      <c r="K8322" s="226">
        <v>399000</v>
      </c>
      <c r="L8322" s="226"/>
    </row>
    <row r="8323" spans="1:12" x14ac:dyDescent="0.2">
      <c r="A8323" s="133">
        <v>2023</v>
      </c>
      <c r="B8323" s="133">
        <v>2</v>
      </c>
      <c r="C8323" s="133">
        <v>27</v>
      </c>
      <c r="D8323" s="141">
        <f t="shared" si="848"/>
        <v>44984</v>
      </c>
      <c r="E8323" s="275">
        <f t="shared" si="849"/>
        <v>44984</v>
      </c>
      <c r="F8323" s="481"/>
      <c r="G8323" s="174" t="s">
        <v>74</v>
      </c>
      <c r="H8323" s="148" t="str" cm="1">
        <f t="array" ref="H8323">IFERROR(INDEX(INVESTOR_LIST[INVESTOR NAME],MATCH(I8323,INVESTOR_LIST[INVESTOR CODE],0),)," ")</f>
        <v xml:space="preserve"> </v>
      </c>
      <c r="J8323" s="133" t="s">
        <v>13</v>
      </c>
      <c r="K8323" s="218"/>
      <c r="L8323" s="218">
        <v>326290</v>
      </c>
    </row>
    <row r="8324" spans="1:12" x14ac:dyDescent="0.2">
      <c r="A8324" s="163">
        <v>2023</v>
      </c>
      <c r="B8324" s="163">
        <v>2</v>
      </c>
      <c r="C8324" s="163">
        <v>27</v>
      </c>
      <c r="D8324" s="280">
        <f t="shared" si="848"/>
        <v>44984</v>
      </c>
      <c r="E8324" s="281">
        <f t="shared" si="849"/>
        <v>44984</v>
      </c>
      <c r="F8324" s="480"/>
      <c r="G8324" s="221" t="s">
        <v>74</v>
      </c>
      <c r="H8324" s="145" t="str" cm="1">
        <f t="array" ref="H8324">IFERROR(INDEX(INVESTOR_LIST[INVESTOR NAME],MATCH(I8324,INVESTOR_LIST[INVESTOR CODE],0),)," ")</f>
        <v xml:space="preserve"> </v>
      </c>
      <c r="I8324" s="145"/>
      <c r="J8324" s="163" t="s">
        <v>53</v>
      </c>
      <c r="K8324" s="219"/>
      <c r="L8324" s="219">
        <v>72710</v>
      </c>
    </row>
    <row r="8325" spans="1:12" ht="10.15" customHeight="1" x14ac:dyDescent="0.2">
      <c r="A8325" s="133">
        <v>2023</v>
      </c>
      <c r="B8325" s="133">
        <v>2</v>
      </c>
      <c r="C8325" s="133">
        <v>28</v>
      </c>
      <c r="D8325" s="147">
        <f t="shared" ref="D8325:D8336" si="850">DATE(A8325,B8325,C8325)</f>
        <v>44985</v>
      </c>
      <c r="E8325" s="311">
        <f t="shared" ref="E8325:E8336" si="851">DATE(A8325,B8325,C8325)</f>
        <v>44985</v>
      </c>
      <c r="F8325" s="481" t="s">
        <v>1315</v>
      </c>
      <c r="G8325" s="174" t="s">
        <v>74</v>
      </c>
      <c r="H8325" s="148" t="str" cm="1">
        <f t="array" ref="H8325">IFERROR(INDEX(INVESTOR_LIST[INVESTOR NAME],MATCH(I8325,INVESTOR_LIST[INVESTOR CODE],0),)," ")</f>
        <v>SANDHANI ASSET MANAGEMENT LIMITED</v>
      </c>
      <c r="I8325" s="148" t="s">
        <v>1464</v>
      </c>
      <c r="J8325" s="133" t="s">
        <v>13</v>
      </c>
      <c r="K8325" s="218">
        <v>1226490</v>
      </c>
      <c r="L8325" s="218"/>
    </row>
    <row r="8326" spans="1:12" ht="10.15" customHeight="1" x14ac:dyDescent="0.2">
      <c r="A8326" s="133">
        <v>2023</v>
      </c>
      <c r="B8326" s="133">
        <v>2</v>
      </c>
      <c r="C8326" s="133">
        <v>28</v>
      </c>
      <c r="D8326" s="141">
        <f t="shared" si="850"/>
        <v>44985</v>
      </c>
      <c r="E8326" s="275">
        <f t="shared" si="851"/>
        <v>44985</v>
      </c>
      <c r="F8326" s="481"/>
      <c r="G8326" s="174" t="s">
        <v>74</v>
      </c>
      <c r="H8326" s="148" t="str" cm="1">
        <f t="array" ref="H8326">IFERROR(INDEX(INVESTOR_LIST[INVESTOR NAME],MATCH(I8326,INVESTOR_LIST[INVESTOR CODE],0),)," ")</f>
        <v>SANDHANI ASSET MANAGEMENT LIMITED</v>
      </c>
      <c r="I8326" s="148" t="s">
        <v>1464</v>
      </c>
      <c r="J8326" s="133" t="s">
        <v>53</v>
      </c>
      <c r="K8326" s="218">
        <v>273510</v>
      </c>
    </row>
    <row r="8327" spans="1:12" ht="10.15" customHeight="1" x14ac:dyDescent="0.2">
      <c r="A8327" s="133">
        <v>2023</v>
      </c>
      <c r="B8327" s="133">
        <v>2</v>
      </c>
      <c r="C8327" s="133">
        <v>28</v>
      </c>
      <c r="D8327" s="141">
        <f t="shared" si="850"/>
        <v>44985</v>
      </c>
      <c r="E8327" s="275">
        <f t="shared" si="851"/>
        <v>44985</v>
      </c>
      <c r="F8327" s="481"/>
      <c r="G8327" s="174" t="s">
        <v>74</v>
      </c>
      <c r="H8327" s="148" t="str" cm="1">
        <f t="array" ref="H8327">IFERROR(INDEX(INVESTOR_LIST[INVESTOR NAME],MATCH(I8327,INVESTOR_LIST[INVESTOR CODE],0),)," ")</f>
        <v>SANDHANI ASSET MANAGEMENT LIMITED</v>
      </c>
      <c r="I8327" s="148" t="s">
        <v>1464</v>
      </c>
      <c r="J8327" s="133" t="s">
        <v>52</v>
      </c>
      <c r="K8327" s="218"/>
      <c r="L8327" s="218">
        <v>1500000</v>
      </c>
    </row>
    <row r="8328" spans="1:12" x14ac:dyDescent="0.2">
      <c r="A8328" s="168">
        <v>2023</v>
      </c>
      <c r="B8328" s="168">
        <v>2</v>
      </c>
      <c r="C8328" s="168">
        <v>28</v>
      </c>
      <c r="D8328" s="141">
        <f t="shared" si="850"/>
        <v>44985</v>
      </c>
      <c r="E8328" s="275">
        <f t="shared" si="851"/>
        <v>44985</v>
      </c>
      <c r="F8328" s="479" t="s">
        <v>1567</v>
      </c>
      <c r="G8328" s="220" t="s">
        <v>74</v>
      </c>
      <c r="H8328" s="142" t="str" cm="1">
        <f t="array" ref="H8328">IFERROR(INDEX(INVESTOR_LIST[INVESTOR NAME],MATCH(I8328,INVESTOR_LIST[INVESTOR CODE],0),)," ")</f>
        <v xml:space="preserve"> </v>
      </c>
      <c r="I8328" s="142"/>
      <c r="J8328" s="168" t="s">
        <v>61</v>
      </c>
      <c r="K8328" s="226">
        <v>100</v>
      </c>
      <c r="L8328" s="226"/>
    </row>
    <row r="8329" spans="1:12" x14ac:dyDescent="0.2">
      <c r="A8329" s="163">
        <v>2023</v>
      </c>
      <c r="B8329" s="163">
        <v>2</v>
      </c>
      <c r="C8329" s="163">
        <v>28</v>
      </c>
      <c r="D8329" s="144">
        <f t="shared" si="850"/>
        <v>44985</v>
      </c>
      <c r="E8329" s="313">
        <f t="shared" si="851"/>
        <v>44985</v>
      </c>
      <c r="F8329" s="480"/>
      <c r="G8329" s="221" t="s">
        <v>74</v>
      </c>
      <c r="H8329" s="145" t="str" cm="1">
        <f t="array" ref="H8329">IFERROR(INDEX(INVESTOR_LIST[INVESTOR NAME],MATCH(I8329,INVESTOR_LIST[INVESTOR CODE],0),)," ")</f>
        <v xml:space="preserve"> </v>
      </c>
      <c r="I8329" s="145"/>
      <c r="J8329" s="163" t="s">
        <v>52</v>
      </c>
      <c r="K8329" s="219"/>
      <c r="L8329" s="219">
        <v>100</v>
      </c>
    </row>
    <row r="8330" spans="1:12" x14ac:dyDescent="0.2">
      <c r="A8330" s="133">
        <v>2023</v>
      </c>
      <c r="B8330" s="133">
        <v>2</v>
      </c>
      <c r="C8330" s="133">
        <v>28</v>
      </c>
      <c r="D8330" s="141">
        <f t="shared" si="850"/>
        <v>44985</v>
      </c>
      <c r="E8330" s="275">
        <f t="shared" si="851"/>
        <v>44985</v>
      </c>
      <c r="F8330" s="481" t="s">
        <v>1627</v>
      </c>
      <c r="G8330" s="174" t="s">
        <v>74</v>
      </c>
      <c r="H8330" s="174" t="str" cm="1">
        <f t="array" ref="H8330">IFERROR(INDEX(INVESTOR_LIST[INVESTOR NAME],MATCH(I8330,INVESTOR_LIST[INVESTOR CODE],0),)," ")</f>
        <v xml:space="preserve"> </v>
      </c>
      <c r="I8330" s="148" t="s">
        <v>348</v>
      </c>
      <c r="J8330" s="149" t="s">
        <v>52</v>
      </c>
      <c r="K8330" s="218">
        <v>2537750</v>
      </c>
      <c r="L8330" s="218"/>
    </row>
    <row r="8331" spans="1:12" x14ac:dyDescent="0.2">
      <c r="A8331" s="133">
        <v>2023</v>
      </c>
      <c r="B8331" s="133">
        <v>2</v>
      </c>
      <c r="C8331" s="133">
        <v>28</v>
      </c>
      <c r="D8331" s="141">
        <f t="shared" si="850"/>
        <v>44985</v>
      </c>
      <c r="E8331" s="275">
        <f t="shared" si="851"/>
        <v>44985</v>
      </c>
      <c r="F8331" s="481"/>
      <c r="G8331" s="174" t="s">
        <v>74</v>
      </c>
      <c r="H8331" s="174"/>
      <c r="J8331" s="149" t="s">
        <v>61</v>
      </c>
      <c r="K8331" s="218">
        <v>6000</v>
      </c>
      <c r="L8331" s="218"/>
    </row>
    <row r="8332" spans="1:12" x14ac:dyDescent="0.2">
      <c r="A8332" s="133">
        <v>2023</v>
      </c>
      <c r="B8332" s="133">
        <v>2</v>
      </c>
      <c r="C8332" s="133">
        <v>28</v>
      </c>
      <c r="D8332" s="141">
        <f t="shared" si="850"/>
        <v>44985</v>
      </c>
      <c r="E8332" s="275">
        <f t="shared" si="851"/>
        <v>44985</v>
      </c>
      <c r="F8332" s="481"/>
      <c r="G8332" s="174" t="s">
        <v>74</v>
      </c>
      <c r="H8332" s="174"/>
      <c r="J8332" s="149" t="s">
        <v>133</v>
      </c>
      <c r="K8332" s="218"/>
      <c r="L8332" s="218">
        <v>43750</v>
      </c>
    </row>
    <row r="8333" spans="1:12" x14ac:dyDescent="0.2">
      <c r="A8333" s="133">
        <v>2023</v>
      </c>
      <c r="B8333" s="133">
        <v>2</v>
      </c>
      <c r="C8333" s="133">
        <v>28</v>
      </c>
      <c r="D8333" s="141">
        <f t="shared" si="850"/>
        <v>44985</v>
      </c>
      <c r="E8333" s="275">
        <f t="shared" si="851"/>
        <v>44985</v>
      </c>
      <c r="F8333" s="480"/>
      <c r="G8333" s="221" t="s">
        <v>74</v>
      </c>
      <c r="H8333" s="221" t="str" cm="1">
        <f t="array" ref="H8333">IFERROR(INDEX(INVESTOR_LIST[INVESTOR NAME],MATCH(I8333,INVESTOR_LIST[INVESTOR CODE],0),)," ")</f>
        <v xml:space="preserve"> </v>
      </c>
      <c r="I8333" s="145"/>
      <c r="J8333" s="146" t="s">
        <v>96</v>
      </c>
      <c r="K8333" s="219"/>
      <c r="L8333" s="219">
        <v>2500000</v>
      </c>
    </row>
    <row r="8334" spans="1:12" x14ac:dyDescent="0.2">
      <c r="A8334" s="168">
        <v>2023</v>
      </c>
      <c r="B8334" s="168">
        <v>3</v>
      </c>
      <c r="C8334" s="168">
        <v>1</v>
      </c>
      <c r="D8334" s="141">
        <f t="shared" si="850"/>
        <v>44986</v>
      </c>
      <c r="E8334" s="275">
        <f t="shared" si="851"/>
        <v>44986</v>
      </c>
      <c r="F8334" s="479" t="s">
        <v>1319</v>
      </c>
      <c r="G8334" s="220" t="s">
        <v>74</v>
      </c>
      <c r="H8334" s="142" t="str" cm="1">
        <f t="array" ref="H8334">IFERROR(INDEX(INVESTOR_LIST[INVESTOR NAME],MATCH(I8334,INVESTOR_LIST[INVESTOR CODE],0),)," ")</f>
        <v xml:space="preserve"> </v>
      </c>
      <c r="I8334" s="142"/>
      <c r="J8334" s="168" t="s">
        <v>52</v>
      </c>
      <c r="K8334" s="226">
        <v>5000</v>
      </c>
      <c r="L8334" s="226"/>
    </row>
    <row r="8335" spans="1:12" x14ac:dyDescent="0.2">
      <c r="A8335" s="133">
        <v>2023</v>
      </c>
      <c r="B8335" s="133">
        <v>3</v>
      </c>
      <c r="C8335" s="133">
        <v>1</v>
      </c>
      <c r="D8335" s="141">
        <f t="shared" si="850"/>
        <v>44986</v>
      </c>
      <c r="E8335" s="275">
        <f t="shared" si="851"/>
        <v>44986</v>
      </c>
      <c r="F8335" s="481"/>
      <c r="G8335" s="174" t="s">
        <v>74</v>
      </c>
      <c r="H8335" s="148" t="str" cm="1">
        <f t="array" ref="H8335">IFERROR(INDEX(INVESTOR_LIST[INVESTOR NAME],MATCH(I8335,INVESTOR_LIST[INVESTOR CODE],0),)," ")</f>
        <v xml:space="preserve"> </v>
      </c>
      <c r="J8335" s="133" t="s">
        <v>13</v>
      </c>
      <c r="K8335" s="218"/>
      <c r="L8335" s="218">
        <v>4090</v>
      </c>
    </row>
    <row r="8336" spans="1:12" x14ac:dyDescent="0.2">
      <c r="A8336" s="163">
        <v>2023</v>
      </c>
      <c r="B8336" s="163">
        <v>3</v>
      </c>
      <c r="C8336" s="163">
        <v>1</v>
      </c>
      <c r="D8336" s="280">
        <f t="shared" si="850"/>
        <v>44986</v>
      </c>
      <c r="E8336" s="281">
        <f t="shared" si="851"/>
        <v>44986</v>
      </c>
      <c r="F8336" s="480"/>
      <c r="G8336" s="221" t="s">
        <v>74</v>
      </c>
      <c r="H8336" s="145" t="str" cm="1">
        <f t="array" ref="H8336">IFERROR(INDEX(INVESTOR_LIST[INVESTOR NAME],MATCH(I8336,INVESTOR_LIST[INVESTOR CODE],0),)," ")</f>
        <v xml:space="preserve"> </v>
      </c>
      <c r="I8336" s="145"/>
      <c r="J8336" s="163" t="s">
        <v>53</v>
      </c>
      <c r="K8336" s="219"/>
      <c r="L8336" s="219">
        <v>910</v>
      </c>
    </row>
    <row r="8337" spans="1:14" ht="10.15" customHeight="1" x14ac:dyDescent="0.2">
      <c r="A8337" s="168">
        <v>2023</v>
      </c>
      <c r="B8337" s="168">
        <v>3</v>
      </c>
      <c r="C8337" s="168">
        <v>2</v>
      </c>
      <c r="D8337" s="141">
        <f t="shared" ref="D8337:D8345" si="852">DATE(A8337,B8337,C8337)</f>
        <v>44987</v>
      </c>
      <c r="E8337" s="275">
        <f t="shared" ref="E8337:E8345" si="853">DATE(A8337,B8337,C8337)</f>
        <v>44987</v>
      </c>
      <c r="F8337" s="479" t="s">
        <v>1310</v>
      </c>
      <c r="G8337" s="220" t="s">
        <v>74</v>
      </c>
      <c r="H8337" s="142" t="str" cm="1">
        <f t="array" ref="H8337">IFERROR(INDEX(INVESTOR_LIST[INVESTOR NAME],MATCH(I8337,INVESTOR_LIST[INVESTOR CODE],0),)," ")</f>
        <v>MOHAMMAD SAIFUDDOWLA</v>
      </c>
      <c r="I8337" s="142" t="s">
        <v>609</v>
      </c>
      <c r="J8337" s="168" t="s">
        <v>13</v>
      </c>
      <c r="K8337" s="226">
        <v>6130</v>
      </c>
      <c r="L8337" s="226"/>
    </row>
    <row r="8338" spans="1:14" ht="10.15" customHeight="1" x14ac:dyDescent="0.2">
      <c r="A8338" s="133">
        <v>2023</v>
      </c>
      <c r="B8338" s="133">
        <v>3</v>
      </c>
      <c r="C8338" s="133">
        <v>2</v>
      </c>
      <c r="D8338" s="141">
        <f t="shared" si="852"/>
        <v>44987</v>
      </c>
      <c r="E8338" s="275">
        <f t="shared" si="853"/>
        <v>44987</v>
      </c>
      <c r="F8338" s="481"/>
      <c r="G8338" s="174" t="s">
        <v>74</v>
      </c>
      <c r="H8338" s="148" t="str" cm="1">
        <f t="array" ref="H8338">IFERROR(INDEX(INVESTOR_LIST[INVESTOR NAME],MATCH(I8338,INVESTOR_LIST[INVESTOR CODE],0),)," ")</f>
        <v>MOHAMMAD SAIFUDDOWLA</v>
      </c>
      <c r="I8338" s="148" t="s">
        <v>609</v>
      </c>
      <c r="J8338" s="133" t="s">
        <v>53</v>
      </c>
      <c r="K8338" s="218">
        <v>1370</v>
      </c>
      <c r="L8338" s="218"/>
    </row>
    <row r="8339" spans="1:14" ht="10.15" customHeight="1" x14ac:dyDescent="0.2">
      <c r="A8339" s="163">
        <v>2023</v>
      </c>
      <c r="B8339" s="163">
        <v>3</v>
      </c>
      <c r="C8339" s="163">
        <v>2</v>
      </c>
      <c r="D8339" s="280">
        <f t="shared" si="852"/>
        <v>44987</v>
      </c>
      <c r="E8339" s="281">
        <f t="shared" si="853"/>
        <v>44987</v>
      </c>
      <c r="F8339" s="480"/>
      <c r="G8339" s="221" t="s">
        <v>74</v>
      </c>
      <c r="H8339" s="145" t="str" cm="1">
        <f t="array" ref="H8339">IFERROR(INDEX(INVESTOR_LIST[INVESTOR NAME],MATCH(I8339,INVESTOR_LIST[INVESTOR CODE],0),)," ")</f>
        <v>MOHAMMAD SAIFUDDOWLA</v>
      </c>
      <c r="I8339" s="145" t="s">
        <v>609</v>
      </c>
      <c r="J8339" s="163" t="s">
        <v>52</v>
      </c>
      <c r="K8339" s="219"/>
      <c r="L8339" s="219">
        <v>7500</v>
      </c>
    </row>
    <row r="8340" spans="1:14" x14ac:dyDescent="0.2">
      <c r="A8340" s="133">
        <v>2023</v>
      </c>
      <c r="B8340" s="168">
        <v>3</v>
      </c>
      <c r="C8340" s="168">
        <v>2</v>
      </c>
      <c r="D8340" s="141">
        <f>DATE(A8340,B8340,C8340)</f>
        <v>44987</v>
      </c>
      <c r="E8340" s="275">
        <f>DATE(A8340,B8340,C8340)</f>
        <v>44987</v>
      </c>
      <c r="F8340" s="481" t="s">
        <v>1628</v>
      </c>
      <c r="G8340" s="174" t="s">
        <v>94</v>
      </c>
      <c r="H8340" s="174" t="str" cm="1">
        <f t="array" ref="H8340">IFERROR(INDEX(INVESTOR_LIST[INVESTOR NAME],MATCH(I8340,INVESTOR_LIST[INVESTOR CODE],0),)," ")</f>
        <v xml:space="preserve"> </v>
      </c>
      <c r="I8340" s="148" t="s">
        <v>348</v>
      </c>
      <c r="J8340" s="149" t="s">
        <v>168</v>
      </c>
      <c r="K8340" s="218">
        <v>385288</v>
      </c>
      <c r="L8340" s="218"/>
    </row>
    <row r="8341" spans="1:14" x14ac:dyDescent="0.2">
      <c r="A8341" s="163">
        <v>2023</v>
      </c>
      <c r="B8341" s="163">
        <v>3</v>
      </c>
      <c r="C8341" s="163">
        <v>2</v>
      </c>
      <c r="D8341" s="141">
        <f>DATE(A8341,B8341,C8341)</f>
        <v>44987</v>
      </c>
      <c r="E8341" s="275">
        <f>DATE(A8341,B8341,C8341)</f>
        <v>44987</v>
      </c>
      <c r="F8341" s="480"/>
      <c r="G8341" s="221" t="s">
        <v>94</v>
      </c>
      <c r="H8341" s="221" t="str" cm="1">
        <f t="array" ref="H8341">IFERROR(INDEX(INVESTOR_LIST[INVESTOR NAME],MATCH(I8341,INVESTOR_LIST[INVESTOR CODE],0),)," ")</f>
        <v xml:space="preserve"> </v>
      </c>
      <c r="I8341" s="145" t="s">
        <v>348</v>
      </c>
      <c r="J8341" s="146" t="s">
        <v>166</v>
      </c>
      <c r="K8341" s="219"/>
      <c r="L8341" s="219">
        <v>385288</v>
      </c>
    </row>
    <row r="8342" spans="1:14" x14ac:dyDescent="0.2">
      <c r="A8342" s="324">
        <v>2023</v>
      </c>
      <c r="B8342" s="324">
        <v>3</v>
      </c>
      <c r="C8342" s="325">
        <v>2</v>
      </c>
      <c r="D8342" s="326">
        <f t="shared" si="852"/>
        <v>44987</v>
      </c>
      <c r="E8342" s="327">
        <f t="shared" si="853"/>
        <v>44987</v>
      </c>
      <c r="F8342" s="473" t="s">
        <v>1490</v>
      </c>
      <c r="G8342" s="328" t="s">
        <v>94</v>
      </c>
      <c r="H8342" s="329" t="str" cm="1">
        <f t="array" ref="H8342">IFERROR(INDEX(INVESTOR_LIST[INVESTOR NAME],MATCH(I8342,INVESTOR_LIST[INVESTOR CODE],0),)," ")</f>
        <v xml:space="preserve"> </v>
      </c>
      <c r="I8342" s="329" t="s">
        <v>348</v>
      </c>
      <c r="J8342" s="325" t="s">
        <v>133</v>
      </c>
      <c r="K8342" s="330">
        <v>14659.25</v>
      </c>
      <c r="L8342" s="330"/>
      <c r="M8342" s="160"/>
    </row>
    <row r="8343" spans="1:14" x14ac:dyDescent="0.2">
      <c r="A8343" s="331">
        <v>2023</v>
      </c>
      <c r="B8343" s="331">
        <v>3</v>
      </c>
      <c r="C8343" s="331">
        <v>2</v>
      </c>
      <c r="D8343" s="326">
        <f t="shared" si="852"/>
        <v>44987</v>
      </c>
      <c r="E8343" s="327">
        <f t="shared" si="853"/>
        <v>44987</v>
      </c>
      <c r="F8343" s="474"/>
      <c r="G8343" s="332" t="s">
        <v>94</v>
      </c>
      <c r="H8343" s="333" t="str" cm="1">
        <f t="array" ref="H8343">IFERROR(INDEX(INVESTOR_LIST[INVESTOR NAME],MATCH(I8343,INVESTOR_LIST[INVESTOR CODE],0),)," ")</f>
        <v xml:space="preserve"> </v>
      </c>
      <c r="I8343" s="333" t="s">
        <v>348</v>
      </c>
      <c r="J8343" s="331" t="s">
        <v>152</v>
      </c>
      <c r="K8343" s="334"/>
      <c r="L8343" s="334">
        <v>14659.25</v>
      </c>
      <c r="M8343" s="160"/>
      <c r="N8343" s="160"/>
    </row>
    <row r="8344" spans="1:14" x14ac:dyDescent="0.2">
      <c r="A8344" s="324">
        <v>2023</v>
      </c>
      <c r="B8344" s="324">
        <v>3</v>
      </c>
      <c r="C8344" s="325">
        <v>2</v>
      </c>
      <c r="D8344" s="326">
        <f t="shared" si="852"/>
        <v>44987</v>
      </c>
      <c r="E8344" s="327">
        <f t="shared" si="853"/>
        <v>44987</v>
      </c>
      <c r="F8344" s="473" t="s">
        <v>1491</v>
      </c>
      <c r="G8344" s="328" t="s">
        <v>94</v>
      </c>
      <c r="H8344" s="329" t="str" cm="1">
        <f t="array" ref="H8344">IFERROR(INDEX(INVESTOR_LIST[INVESTOR NAME],MATCH(I8344,INVESTOR_LIST[INVESTOR CODE],0),)," ")</f>
        <v xml:space="preserve"> </v>
      </c>
      <c r="I8344" s="329" t="s">
        <v>348</v>
      </c>
      <c r="J8344" s="324" t="s">
        <v>133</v>
      </c>
      <c r="K8344" s="330">
        <v>8653.85</v>
      </c>
      <c r="L8344" s="330"/>
      <c r="M8344" s="160"/>
      <c r="N8344" s="160"/>
    </row>
    <row r="8345" spans="1:14" x14ac:dyDescent="0.2">
      <c r="A8345" s="331">
        <v>2023</v>
      </c>
      <c r="B8345" s="331">
        <v>3</v>
      </c>
      <c r="C8345" s="331">
        <v>2</v>
      </c>
      <c r="D8345" s="326">
        <f t="shared" si="852"/>
        <v>44987</v>
      </c>
      <c r="E8345" s="327">
        <f t="shared" si="853"/>
        <v>44987</v>
      </c>
      <c r="F8345" s="474"/>
      <c r="G8345" s="332" t="s">
        <v>94</v>
      </c>
      <c r="H8345" s="333" t="str" cm="1">
        <f t="array" ref="H8345">IFERROR(INDEX(INVESTOR_LIST[INVESTOR NAME],MATCH(I8345,INVESTOR_LIST[INVESTOR CODE],0),)," ")</f>
        <v xml:space="preserve"> </v>
      </c>
      <c r="I8345" s="333" t="s">
        <v>348</v>
      </c>
      <c r="J8345" s="331" t="s">
        <v>152</v>
      </c>
      <c r="K8345" s="334"/>
      <c r="L8345" s="334">
        <v>8653.85</v>
      </c>
      <c r="M8345" s="160"/>
      <c r="N8345" s="160"/>
    </row>
    <row r="8346" spans="1:14" x14ac:dyDescent="0.2">
      <c r="A8346" s="324">
        <v>2023</v>
      </c>
      <c r="B8346" s="324">
        <v>3</v>
      </c>
      <c r="C8346" s="325">
        <v>2</v>
      </c>
      <c r="D8346" s="326">
        <f>DATE(A8346,B8346,C8346)</f>
        <v>44987</v>
      </c>
      <c r="E8346" s="327">
        <f>DATE(A8346,B8346,C8346)</f>
        <v>44987</v>
      </c>
      <c r="F8346" s="473" t="s">
        <v>1531</v>
      </c>
      <c r="G8346" s="328" t="s">
        <v>94</v>
      </c>
      <c r="H8346" s="329" t="str" cm="1">
        <f t="array" ref="H8346">IFERROR(INDEX(INVESTOR_LIST[INVESTOR NAME],MATCH(I8346,INVESTOR_LIST[INVESTOR CODE],0),)," ")</f>
        <v xml:space="preserve"> </v>
      </c>
      <c r="I8346" s="329" t="s">
        <v>348</v>
      </c>
      <c r="J8346" s="324" t="s">
        <v>133</v>
      </c>
      <c r="K8346" s="330">
        <v>7211.54</v>
      </c>
      <c r="L8346" s="330"/>
      <c r="M8346" s="160"/>
      <c r="N8346" s="160"/>
    </row>
    <row r="8347" spans="1:14" x14ac:dyDescent="0.2">
      <c r="A8347" s="331">
        <v>2023</v>
      </c>
      <c r="B8347" s="331">
        <v>3</v>
      </c>
      <c r="C8347" s="331">
        <v>2</v>
      </c>
      <c r="D8347" s="326">
        <f>DATE(A8347,B8347,C8347)</f>
        <v>44987</v>
      </c>
      <c r="E8347" s="327">
        <f>DATE(A8347,B8347,C8347)</f>
        <v>44987</v>
      </c>
      <c r="F8347" s="474"/>
      <c r="G8347" s="332" t="s">
        <v>94</v>
      </c>
      <c r="H8347" s="333" t="str" cm="1">
        <f t="array" ref="H8347">IFERROR(INDEX(INVESTOR_LIST[INVESTOR NAME],MATCH(I8347,INVESTOR_LIST[INVESTOR CODE],0),)," ")</f>
        <v xml:space="preserve"> </v>
      </c>
      <c r="I8347" s="333" t="s">
        <v>348</v>
      </c>
      <c r="J8347" s="331" t="s">
        <v>152</v>
      </c>
      <c r="K8347" s="334"/>
      <c r="L8347" s="334">
        <v>7211.54</v>
      </c>
      <c r="M8347" s="160"/>
      <c r="N8347" s="160"/>
    </row>
    <row r="8348" spans="1:14" x14ac:dyDescent="0.2">
      <c r="A8348" s="238">
        <v>2023</v>
      </c>
      <c r="B8348" s="238">
        <v>3</v>
      </c>
      <c r="C8348" s="238">
        <v>2</v>
      </c>
      <c r="D8348" s="270">
        <f t="shared" ref="D8348:D8364" si="854">DATE(A8348,B8348,C8348)</f>
        <v>44987</v>
      </c>
      <c r="E8348" s="279">
        <f t="shared" ref="E8348:E8364" si="855">DATE(A8348,B8348,C8348)</f>
        <v>44987</v>
      </c>
      <c r="F8348" s="477" t="s">
        <v>347</v>
      </c>
      <c r="G8348" s="239" t="s">
        <v>94</v>
      </c>
      <c r="H8348" s="239" t="str" cm="1">
        <f t="array" ref="H8348">IFERROR(INDEX(INVESTOR_LIST[INVESTOR NAME],MATCH(I8348,INVESTOR_LIST[INVESTOR CODE],0),)," ")</f>
        <v xml:space="preserve"> </v>
      </c>
      <c r="I8348" s="262" t="s">
        <v>348</v>
      </c>
      <c r="J8348" s="240" t="s">
        <v>82</v>
      </c>
      <c r="K8348" s="241">
        <v>31566.720000013709</v>
      </c>
      <c r="L8348" s="241"/>
    </row>
    <row r="8349" spans="1:14" x14ac:dyDescent="0.2">
      <c r="A8349" s="242">
        <v>2023</v>
      </c>
      <c r="B8349" s="242">
        <v>3</v>
      </c>
      <c r="C8349" s="242">
        <v>2</v>
      </c>
      <c r="D8349" s="270">
        <f t="shared" si="854"/>
        <v>44987</v>
      </c>
      <c r="E8349" s="279">
        <f t="shared" si="855"/>
        <v>44987</v>
      </c>
      <c r="F8349" s="478"/>
      <c r="G8349" s="243" t="s">
        <v>94</v>
      </c>
      <c r="H8349" s="243" t="str" cm="1">
        <f t="array" ref="H8349">IFERROR(INDEX(INVESTOR_LIST[INVESTOR NAME],MATCH(I8349,INVESTOR_LIST[INVESTOR CODE],0),)," ")</f>
        <v xml:space="preserve"> </v>
      </c>
      <c r="I8349" s="263" t="s">
        <v>348</v>
      </c>
      <c r="J8349" s="244" t="s">
        <v>108</v>
      </c>
      <c r="K8349" s="245"/>
      <c r="L8349" s="245">
        <v>31566.720000013709</v>
      </c>
    </row>
    <row r="8350" spans="1:14" ht="22.5" x14ac:dyDescent="0.2">
      <c r="A8350" s="246">
        <v>2023</v>
      </c>
      <c r="B8350" s="238">
        <v>3</v>
      </c>
      <c r="C8350" s="238">
        <v>2</v>
      </c>
      <c r="D8350" s="270">
        <f t="shared" si="854"/>
        <v>44987</v>
      </c>
      <c r="E8350" s="279">
        <f t="shared" si="855"/>
        <v>44987</v>
      </c>
      <c r="F8350" s="482" t="s">
        <v>148</v>
      </c>
      <c r="G8350" s="247" t="s">
        <v>94</v>
      </c>
      <c r="H8350" s="247" t="str" cm="1">
        <f t="array" ref="H8350">IFERROR(INDEX(INVESTOR_LIST[INVESTOR NAME],MATCH(I8350,INVESTOR_LIST[INVESTOR CODE],0),)," ")</f>
        <v xml:space="preserve"> </v>
      </c>
      <c r="I8350" s="248" t="s">
        <v>348</v>
      </c>
      <c r="J8350" s="249" t="s">
        <v>95</v>
      </c>
      <c r="K8350" s="250">
        <v>2747.2527472527472</v>
      </c>
      <c r="L8350" s="241"/>
    </row>
    <row r="8351" spans="1:14" x14ac:dyDescent="0.2">
      <c r="A8351" s="242">
        <v>2023</v>
      </c>
      <c r="B8351" s="242">
        <v>3</v>
      </c>
      <c r="C8351" s="242">
        <v>2</v>
      </c>
      <c r="D8351" s="270">
        <f t="shared" si="854"/>
        <v>44987</v>
      </c>
      <c r="E8351" s="279">
        <f t="shared" si="855"/>
        <v>44987</v>
      </c>
      <c r="F8351" s="478"/>
      <c r="G8351" s="243" t="s">
        <v>94</v>
      </c>
      <c r="H8351" s="243" t="str" cm="1">
        <f t="array" ref="H8351">IFERROR(INDEX(INVESTOR_LIST[INVESTOR NAME],MATCH(I8351,INVESTOR_LIST[INVESTOR CODE],0),)," ")</f>
        <v xml:space="preserve"> </v>
      </c>
      <c r="I8351" s="263" t="s">
        <v>348</v>
      </c>
      <c r="J8351" s="244" t="s">
        <v>63</v>
      </c>
      <c r="K8351" s="245"/>
      <c r="L8351" s="245">
        <v>2747.2527472527472</v>
      </c>
    </row>
    <row r="8352" spans="1:14" x14ac:dyDescent="0.2">
      <c r="A8352" s="246">
        <v>2023</v>
      </c>
      <c r="B8352" s="238">
        <v>3</v>
      </c>
      <c r="C8352" s="238">
        <v>2</v>
      </c>
      <c r="D8352" s="270">
        <f t="shared" si="854"/>
        <v>44987</v>
      </c>
      <c r="E8352" s="279">
        <f t="shared" si="855"/>
        <v>44987</v>
      </c>
      <c r="F8352" s="482" t="s">
        <v>137</v>
      </c>
      <c r="G8352" s="247" t="s">
        <v>94</v>
      </c>
      <c r="H8352" s="247" t="str" cm="1">
        <f t="array" ref="H8352">IFERROR(INDEX(INVESTOR_LIST[INVESTOR NAME],MATCH(I8352,INVESTOR_LIST[INVESTOR CODE],0),)," ")</f>
        <v xml:space="preserve"> </v>
      </c>
      <c r="I8352" s="248" t="s">
        <v>348</v>
      </c>
      <c r="J8352" s="249" t="s">
        <v>97</v>
      </c>
      <c r="K8352" s="250">
        <v>75098.390670814697</v>
      </c>
      <c r="L8352" s="252"/>
    </row>
    <row r="8353" spans="1:13" x14ac:dyDescent="0.2">
      <c r="A8353" s="242">
        <v>2023</v>
      </c>
      <c r="B8353" s="242">
        <v>3</v>
      </c>
      <c r="C8353" s="242">
        <v>2</v>
      </c>
      <c r="D8353" s="270">
        <f t="shared" si="854"/>
        <v>44987</v>
      </c>
      <c r="E8353" s="279">
        <f t="shared" si="855"/>
        <v>44987</v>
      </c>
      <c r="F8353" s="478"/>
      <c r="G8353" s="243" t="s">
        <v>94</v>
      </c>
      <c r="H8353" s="243" t="str" cm="1">
        <f t="array" ref="H8353">IFERROR(INDEX(INVESTOR_LIST[INVESTOR NAME],MATCH(I8353,INVESTOR_LIST[INVESTOR CODE],0),)," ")</f>
        <v xml:space="preserve"> </v>
      </c>
      <c r="I8353" s="263" t="s">
        <v>348</v>
      </c>
      <c r="J8353" s="244" t="s">
        <v>47</v>
      </c>
      <c r="K8353" s="245"/>
      <c r="L8353" s="245">
        <v>75098.390670814697</v>
      </c>
    </row>
    <row r="8354" spans="1:13" x14ac:dyDescent="0.2">
      <c r="A8354" s="246">
        <v>2023</v>
      </c>
      <c r="B8354" s="238">
        <v>3</v>
      </c>
      <c r="C8354" s="238">
        <v>2</v>
      </c>
      <c r="D8354" s="270">
        <f t="shared" si="854"/>
        <v>44987</v>
      </c>
      <c r="E8354" s="279">
        <f t="shared" si="855"/>
        <v>44987</v>
      </c>
      <c r="F8354" s="482" t="s">
        <v>138</v>
      </c>
      <c r="G8354" s="247" t="s">
        <v>94</v>
      </c>
      <c r="H8354" s="247" t="str" cm="1">
        <f t="array" ref="H8354">IFERROR(INDEX(INVESTOR_LIST[INVESTOR NAME],MATCH(I8354,INVESTOR_LIST[INVESTOR CODE],0),)," ")</f>
        <v xml:space="preserve"> </v>
      </c>
      <c r="I8354" s="248" t="s">
        <v>348</v>
      </c>
      <c r="J8354" s="249" t="s">
        <v>100</v>
      </c>
      <c r="K8354" s="250">
        <v>3514.5349181561196</v>
      </c>
      <c r="L8354" s="252"/>
    </row>
    <row r="8355" spans="1:13" ht="10.9" customHeight="1" x14ac:dyDescent="0.2">
      <c r="A8355" s="242">
        <v>2023</v>
      </c>
      <c r="B8355" s="242">
        <v>3</v>
      </c>
      <c r="C8355" s="242">
        <v>2</v>
      </c>
      <c r="D8355" s="321">
        <f t="shared" si="854"/>
        <v>44987</v>
      </c>
      <c r="E8355" s="322">
        <f t="shared" si="855"/>
        <v>44987</v>
      </c>
      <c r="F8355" s="478"/>
      <c r="G8355" s="243" t="s">
        <v>94</v>
      </c>
      <c r="H8355" s="243" t="str" cm="1">
        <f t="array" ref="H8355">IFERROR(INDEX(INVESTOR_LIST[INVESTOR NAME],MATCH(I8355,INVESTOR_LIST[INVESTOR CODE],0),)," ")</f>
        <v xml:space="preserve"> </v>
      </c>
      <c r="I8355" s="263" t="s">
        <v>348</v>
      </c>
      <c r="J8355" s="244" t="s">
        <v>48</v>
      </c>
      <c r="K8355" s="245"/>
      <c r="L8355" s="245">
        <v>3514.5349181561196</v>
      </c>
    </row>
    <row r="8356" spans="1:13" ht="10.15" customHeight="1" x14ac:dyDescent="0.2">
      <c r="A8356" s="168">
        <v>2023</v>
      </c>
      <c r="B8356" s="168">
        <v>3</v>
      </c>
      <c r="C8356" s="168">
        <v>5</v>
      </c>
      <c r="D8356" s="141">
        <f t="shared" si="854"/>
        <v>44990</v>
      </c>
      <c r="E8356" s="275">
        <f t="shared" si="855"/>
        <v>44990</v>
      </c>
      <c r="F8356" s="479" t="s">
        <v>1630</v>
      </c>
      <c r="G8356" s="220" t="s">
        <v>74</v>
      </c>
      <c r="H8356" s="142" t="str" cm="1">
        <f t="array" ref="H8356">IFERROR(INDEX(INVESTOR_LIST[INVESTOR NAME],MATCH(I8356,INVESTOR_LIST[INVESTOR CODE],0),)," ")</f>
        <v>MOHAMMAD SAIFUDDOWLA</v>
      </c>
      <c r="I8356" s="142" t="s">
        <v>609</v>
      </c>
      <c r="J8356" s="168" t="s">
        <v>52</v>
      </c>
      <c r="K8356" s="226">
        <v>7500</v>
      </c>
      <c r="L8356" s="226"/>
    </row>
    <row r="8357" spans="1:13" ht="10.15" customHeight="1" x14ac:dyDescent="0.2">
      <c r="A8357" s="133">
        <v>2023</v>
      </c>
      <c r="B8357" s="133">
        <v>3</v>
      </c>
      <c r="C8357" s="133">
        <v>5</v>
      </c>
      <c r="D8357" s="141">
        <f t="shared" si="854"/>
        <v>44990</v>
      </c>
      <c r="E8357" s="275">
        <f t="shared" si="855"/>
        <v>44990</v>
      </c>
      <c r="F8357" s="481"/>
      <c r="G8357" s="174" t="s">
        <v>74</v>
      </c>
      <c r="H8357" s="148" t="str" cm="1">
        <f t="array" ref="H8357">IFERROR(INDEX(INVESTOR_LIST[INVESTOR NAME],MATCH(I8357,INVESTOR_LIST[INVESTOR CODE],0),)," ")</f>
        <v>MOHAMMAD SAIFUDDOWLA</v>
      </c>
      <c r="I8357" s="148" t="s">
        <v>609</v>
      </c>
      <c r="J8357" s="133" t="s">
        <v>53</v>
      </c>
      <c r="K8357" s="133"/>
      <c r="L8357" s="218">
        <v>1370</v>
      </c>
    </row>
    <row r="8358" spans="1:13" ht="10.15" customHeight="1" x14ac:dyDescent="0.2">
      <c r="A8358" s="163">
        <v>2023</v>
      </c>
      <c r="B8358" s="163">
        <v>3</v>
      </c>
      <c r="C8358" s="163">
        <v>5</v>
      </c>
      <c r="D8358" s="280">
        <f t="shared" si="854"/>
        <v>44990</v>
      </c>
      <c r="E8358" s="281">
        <f t="shared" si="855"/>
        <v>44990</v>
      </c>
      <c r="F8358" s="480"/>
      <c r="G8358" s="221" t="s">
        <v>74</v>
      </c>
      <c r="H8358" s="145" t="str" cm="1">
        <f t="array" ref="H8358">IFERROR(INDEX(INVESTOR_LIST[INVESTOR NAME],MATCH(I8358,INVESTOR_LIST[INVESTOR CODE],0),)," ")</f>
        <v>MOHAMMAD SAIFUDDOWLA</v>
      </c>
      <c r="I8358" s="145" t="s">
        <v>609</v>
      </c>
      <c r="J8358" s="163" t="s">
        <v>13</v>
      </c>
      <c r="K8358" s="219"/>
      <c r="L8358" s="219">
        <v>6130</v>
      </c>
    </row>
    <row r="8359" spans="1:13" x14ac:dyDescent="0.2">
      <c r="A8359" s="168">
        <v>2023</v>
      </c>
      <c r="B8359" s="168">
        <v>3</v>
      </c>
      <c r="C8359" s="168">
        <v>5</v>
      </c>
      <c r="D8359" s="141">
        <f t="shared" si="854"/>
        <v>44990</v>
      </c>
      <c r="E8359" s="275">
        <f t="shared" si="855"/>
        <v>44990</v>
      </c>
      <c r="F8359" s="479" t="s">
        <v>1319</v>
      </c>
      <c r="G8359" s="220" t="s">
        <v>74</v>
      </c>
      <c r="H8359" s="142" t="str" cm="1">
        <f t="array" ref="H8359">IFERROR(INDEX(INVESTOR_LIST[INVESTOR NAME],MATCH(I8359,INVESTOR_LIST[INVESTOR CODE],0),)," ")</f>
        <v xml:space="preserve"> </v>
      </c>
      <c r="I8359" s="142"/>
      <c r="J8359" s="168" t="s">
        <v>52</v>
      </c>
      <c r="K8359" s="226">
        <v>14500</v>
      </c>
      <c r="L8359" s="226"/>
    </row>
    <row r="8360" spans="1:13" x14ac:dyDescent="0.2">
      <c r="A8360" s="133">
        <v>2023</v>
      </c>
      <c r="B8360" s="133">
        <v>3</v>
      </c>
      <c r="C8360" s="133">
        <v>5</v>
      </c>
      <c r="D8360" s="141">
        <f t="shared" si="854"/>
        <v>44990</v>
      </c>
      <c r="E8360" s="275">
        <f t="shared" si="855"/>
        <v>44990</v>
      </c>
      <c r="F8360" s="481"/>
      <c r="G8360" s="174" t="s">
        <v>74</v>
      </c>
      <c r="H8360" s="148" t="str" cm="1">
        <f t="array" ref="H8360">IFERROR(INDEX(INVESTOR_LIST[INVESTOR NAME],MATCH(I8360,INVESTOR_LIST[INVESTOR CODE],0),)," ")</f>
        <v xml:space="preserve"> </v>
      </c>
      <c r="J8360" s="133" t="s">
        <v>13</v>
      </c>
      <c r="K8360" s="218"/>
      <c r="L8360" s="218">
        <v>11840</v>
      </c>
    </row>
    <row r="8361" spans="1:13" x14ac:dyDescent="0.2">
      <c r="A8361" s="163">
        <v>2023</v>
      </c>
      <c r="B8361" s="163">
        <v>3</v>
      </c>
      <c r="C8361" s="163">
        <v>5</v>
      </c>
      <c r="D8361" s="280">
        <f t="shared" si="854"/>
        <v>44990</v>
      </c>
      <c r="E8361" s="281">
        <f t="shared" si="855"/>
        <v>44990</v>
      </c>
      <c r="F8361" s="480"/>
      <c r="G8361" s="221" t="s">
        <v>74</v>
      </c>
      <c r="H8361" s="145" t="str" cm="1">
        <f t="array" ref="H8361">IFERROR(INDEX(INVESTOR_LIST[INVESTOR NAME],MATCH(I8361,INVESTOR_LIST[INVESTOR CODE],0),)," ")</f>
        <v xml:space="preserve"> </v>
      </c>
      <c r="I8361" s="145"/>
      <c r="J8361" s="163" t="s">
        <v>53</v>
      </c>
      <c r="K8361" s="219"/>
      <c r="L8361" s="219">
        <v>2660</v>
      </c>
    </row>
    <row r="8362" spans="1:13" ht="10.15" customHeight="1" x14ac:dyDescent="0.2">
      <c r="A8362" s="168">
        <v>2023</v>
      </c>
      <c r="B8362" s="168">
        <v>3</v>
      </c>
      <c r="C8362" s="168">
        <v>6</v>
      </c>
      <c r="D8362" s="141">
        <f t="shared" si="854"/>
        <v>44991</v>
      </c>
      <c r="E8362" s="275">
        <f t="shared" si="855"/>
        <v>44991</v>
      </c>
      <c r="F8362" s="479" t="s">
        <v>1310</v>
      </c>
      <c r="G8362" s="220" t="s">
        <v>74</v>
      </c>
      <c r="H8362" s="142" t="str" cm="1">
        <f t="array" ref="H8362">IFERROR(INDEX(INVESTOR_LIST[INVESTOR NAME],MATCH(I8362,INVESTOR_LIST[INVESTOR CODE],0),)," ")</f>
        <v>MOHAMMAD SAIFUDDOWLA</v>
      </c>
      <c r="I8362" s="142" t="s">
        <v>609</v>
      </c>
      <c r="J8362" s="168" t="s">
        <v>13</v>
      </c>
      <c r="K8362" s="226">
        <v>6130</v>
      </c>
      <c r="L8362" s="226"/>
    </row>
    <row r="8363" spans="1:13" ht="10.15" customHeight="1" x14ac:dyDescent="0.2">
      <c r="A8363" s="133">
        <v>2023</v>
      </c>
      <c r="B8363" s="133">
        <v>3</v>
      </c>
      <c r="C8363" s="133">
        <v>6</v>
      </c>
      <c r="D8363" s="141">
        <f t="shared" si="854"/>
        <v>44991</v>
      </c>
      <c r="E8363" s="275">
        <f t="shared" si="855"/>
        <v>44991</v>
      </c>
      <c r="F8363" s="481"/>
      <c r="G8363" s="174" t="s">
        <v>74</v>
      </c>
      <c r="H8363" s="148" t="str" cm="1">
        <f t="array" ref="H8363">IFERROR(INDEX(INVESTOR_LIST[INVESTOR NAME],MATCH(I8363,INVESTOR_LIST[INVESTOR CODE],0),)," ")</f>
        <v>MOHAMMAD SAIFUDDOWLA</v>
      </c>
      <c r="I8363" s="148" t="s">
        <v>609</v>
      </c>
      <c r="J8363" s="133" t="s">
        <v>53</v>
      </c>
      <c r="K8363" s="218">
        <v>1370</v>
      </c>
      <c r="L8363" s="218"/>
    </row>
    <row r="8364" spans="1:13" ht="10.15" customHeight="1" x14ac:dyDescent="0.2">
      <c r="A8364" s="163">
        <v>2023</v>
      </c>
      <c r="B8364" s="163">
        <v>3</v>
      </c>
      <c r="C8364" s="163">
        <v>6</v>
      </c>
      <c r="D8364" s="280">
        <f t="shared" si="854"/>
        <v>44991</v>
      </c>
      <c r="E8364" s="281">
        <f t="shared" si="855"/>
        <v>44991</v>
      </c>
      <c r="F8364" s="480"/>
      <c r="G8364" s="221" t="s">
        <v>74</v>
      </c>
      <c r="H8364" s="145" t="str" cm="1">
        <f t="array" ref="H8364">IFERROR(INDEX(INVESTOR_LIST[INVESTOR NAME],MATCH(I8364,INVESTOR_LIST[INVESTOR CODE],0),)," ")</f>
        <v>MOHAMMAD SAIFUDDOWLA</v>
      </c>
      <c r="I8364" s="145" t="s">
        <v>609</v>
      </c>
      <c r="J8364" s="163" t="s">
        <v>52</v>
      </c>
      <c r="K8364" s="219"/>
      <c r="L8364" s="219">
        <v>7500</v>
      </c>
    </row>
    <row r="8365" spans="1:13" x14ac:dyDescent="0.2">
      <c r="A8365" s="168">
        <v>2023</v>
      </c>
      <c r="B8365" s="168">
        <v>3</v>
      </c>
      <c r="C8365" s="168">
        <v>6</v>
      </c>
      <c r="D8365" s="141">
        <f t="shared" ref="D8365:D8375" si="856">DATE(A8365,B8365,C8365)</f>
        <v>44991</v>
      </c>
      <c r="E8365" s="275">
        <f t="shared" ref="E8365:E8375" si="857">DATE(A8365,B8365,C8365)</f>
        <v>44991</v>
      </c>
      <c r="F8365" s="479" t="s">
        <v>1319</v>
      </c>
      <c r="G8365" s="220" t="s">
        <v>74</v>
      </c>
      <c r="H8365" s="142" t="str" cm="1">
        <f t="array" ref="H8365">IFERROR(INDEX(INVESTOR_LIST[INVESTOR NAME],MATCH(I8365,INVESTOR_LIST[INVESTOR CODE],0),)," ")</f>
        <v xml:space="preserve"> </v>
      </c>
      <c r="I8365" s="142"/>
      <c r="J8365" s="168" t="s">
        <v>52</v>
      </c>
      <c r="K8365" s="226">
        <v>310000</v>
      </c>
      <c r="L8365" s="226"/>
    </row>
    <row r="8366" spans="1:13" x14ac:dyDescent="0.2">
      <c r="A8366" s="133">
        <v>2023</v>
      </c>
      <c r="B8366" s="133">
        <v>3</v>
      </c>
      <c r="C8366" s="133">
        <v>6</v>
      </c>
      <c r="D8366" s="141">
        <f t="shared" si="856"/>
        <v>44991</v>
      </c>
      <c r="E8366" s="275">
        <f t="shared" si="857"/>
        <v>44991</v>
      </c>
      <c r="F8366" s="481"/>
      <c r="G8366" s="174" t="s">
        <v>74</v>
      </c>
      <c r="H8366" s="148" t="str" cm="1">
        <f t="array" ref="H8366">IFERROR(INDEX(INVESTOR_LIST[INVESTOR NAME],MATCH(I8366,INVESTOR_LIST[INVESTOR CODE],0),)," ")</f>
        <v xml:space="preserve"> </v>
      </c>
      <c r="J8366" s="133" t="s">
        <v>13</v>
      </c>
      <c r="K8366" s="218"/>
      <c r="L8366" s="218">
        <v>252900</v>
      </c>
    </row>
    <row r="8367" spans="1:13" x14ac:dyDescent="0.2">
      <c r="A8367" s="163">
        <v>2023</v>
      </c>
      <c r="B8367" s="163">
        <v>3</v>
      </c>
      <c r="C8367" s="163">
        <v>6</v>
      </c>
      <c r="D8367" s="280">
        <f t="shared" si="856"/>
        <v>44991</v>
      </c>
      <c r="E8367" s="281">
        <f t="shared" si="857"/>
        <v>44991</v>
      </c>
      <c r="F8367" s="480"/>
      <c r="G8367" s="221" t="s">
        <v>74</v>
      </c>
      <c r="H8367" s="145" t="str" cm="1">
        <f t="array" ref="H8367">IFERROR(INDEX(INVESTOR_LIST[INVESTOR NAME],MATCH(I8367,INVESTOR_LIST[INVESTOR CODE],0),)," ")</f>
        <v xml:space="preserve"> </v>
      </c>
      <c r="I8367" s="145"/>
      <c r="J8367" s="163" t="s">
        <v>53</v>
      </c>
      <c r="K8367" s="219"/>
      <c r="L8367" s="219">
        <v>57100</v>
      </c>
    </row>
    <row r="8368" spans="1:13" x14ac:dyDescent="0.2">
      <c r="A8368" s="133">
        <v>2023</v>
      </c>
      <c r="B8368" s="133">
        <v>3</v>
      </c>
      <c r="C8368" s="133">
        <v>9</v>
      </c>
      <c r="D8368" s="141">
        <f t="shared" si="856"/>
        <v>44994</v>
      </c>
      <c r="E8368" s="275">
        <f t="shared" si="857"/>
        <v>44994</v>
      </c>
      <c r="F8368" s="481" t="s">
        <v>1499</v>
      </c>
      <c r="G8368" s="174" t="s">
        <v>94</v>
      </c>
      <c r="H8368" s="174" t="str" cm="1">
        <f t="array" ref="H8368">IFERROR(INDEX(INVESTOR_LIST[INVESTOR NAME],MATCH(I8368,INVESTOR_LIST[INVESTOR CODE],0),)," ")</f>
        <v xml:space="preserve"> </v>
      </c>
      <c r="J8368" s="149" t="s">
        <v>190</v>
      </c>
      <c r="K8368" s="218">
        <v>1237425</v>
      </c>
      <c r="L8368" s="218"/>
      <c r="M8368" s="160"/>
    </row>
    <row r="8369" spans="1:14" x14ac:dyDescent="0.2">
      <c r="A8369" s="133">
        <v>2023</v>
      </c>
      <c r="B8369" s="133">
        <v>3</v>
      </c>
      <c r="C8369" s="133">
        <v>9</v>
      </c>
      <c r="D8369" s="141">
        <f t="shared" si="856"/>
        <v>44994</v>
      </c>
      <c r="E8369" s="275">
        <f t="shared" si="857"/>
        <v>44994</v>
      </c>
      <c r="F8369" s="481"/>
      <c r="G8369" s="174" t="s">
        <v>94</v>
      </c>
      <c r="H8369" s="174"/>
      <c r="J8369" s="149" t="s">
        <v>80</v>
      </c>
      <c r="K8369" s="218">
        <v>75</v>
      </c>
      <c r="L8369" s="218"/>
    </row>
    <row r="8370" spans="1:14" x14ac:dyDescent="0.2">
      <c r="A8370" s="133">
        <v>2023</v>
      </c>
      <c r="B8370" s="133">
        <v>3</v>
      </c>
      <c r="C8370" s="133">
        <v>9</v>
      </c>
      <c r="D8370" s="141">
        <f t="shared" si="856"/>
        <v>44994</v>
      </c>
      <c r="E8370" s="275">
        <f t="shared" si="857"/>
        <v>44994</v>
      </c>
      <c r="F8370" s="481"/>
      <c r="G8370" s="174" t="s">
        <v>94</v>
      </c>
      <c r="H8370" s="174" t="str" cm="1">
        <f t="array" ref="H8370">IFERROR(INDEX(INVESTOR_LIST[INVESTOR NAME],MATCH(I8370,INVESTOR_LIST[INVESTOR CODE],0),)," ")</f>
        <v xml:space="preserve"> </v>
      </c>
      <c r="J8370" s="149" t="s">
        <v>191</v>
      </c>
      <c r="K8370" s="218"/>
      <c r="L8370" s="218">
        <v>81000</v>
      </c>
    </row>
    <row r="8371" spans="1:14" x14ac:dyDescent="0.2">
      <c r="A8371" s="163">
        <v>2023</v>
      </c>
      <c r="B8371" s="163">
        <v>3</v>
      </c>
      <c r="C8371" s="163">
        <v>9</v>
      </c>
      <c r="D8371" s="280">
        <f t="shared" si="856"/>
        <v>44994</v>
      </c>
      <c r="E8371" s="281">
        <f t="shared" si="857"/>
        <v>44994</v>
      </c>
      <c r="F8371" s="480"/>
      <c r="G8371" s="221" t="s">
        <v>94</v>
      </c>
      <c r="H8371" s="145" t="str" cm="1">
        <f t="array" ref="H8371">IFERROR(INDEX(INVESTOR_LIST[INVESTOR NAME],MATCH(I8371,INVESTOR_LIST[INVESTOR CODE],0),)," ")</f>
        <v xml:space="preserve"> </v>
      </c>
      <c r="I8371" s="145"/>
      <c r="J8371" s="163" t="s">
        <v>79</v>
      </c>
      <c r="K8371" s="219"/>
      <c r="L8371" s="219">
        <v>1156500</v>
      </c>
    </row>
    <row r="8372" spans="1:14" x14ac:dyDescent="0.2">
      <c r="A8372" s="324">
        <v>2023</v>
      </c>
      <c r="B8372" s="324">
        <v>3</v>
      </c>
      <c r="C8372" s="325">
        <v>9</v>
      </c>
      <c r="D8372" s="326">
        <f t="shared" si="856"/>
        <v>44994</v>
      </c>
      <c r="E8372" s="327">
        <f t="shared" si="857"/>
        <v>44994</v>
      </c>
      <c r="F8372" s="473" t="s">
        <v>1490</v>
      </c>
      <c r="G8372" s="328" t="s">
        <v>94</v>
      </c>
      <c r="H8372" s="329" t="str" cm="1">
        <f t="array" ref="H8372">IFERROR(INDEX(INVESTOR_LIST[INVESTOR NAME],MATCH(I8372,INVESTOR_LIST[INVESTOR CODE],0),)," ")</f>
        <v xml:space="preserve"> </v>
      </c>
      <c r="I8372" s="329" t="s">
        <v>348</v>
      </c>
      <c r="J8372" s="325" t="s">
        <v>133</v>
      </c>
      <c r="K8372" s="330">
        <v>15636.54</v>
      </c>
      <c r="L8372" s="330"/>
      <c r="M8372" s="160"/>
    </row>
    <row r="8373" spans="1:14" x14ac:dyDescent="0.2">
      <c r="A8373" s="331">
        <v>2023</v>
      </c>
      <c r="B8373" s="331">
        <v>3</v>
      </c>
      <c r="C8373" s="331">
        <v>9</v>
      </c>
      <c r="D8373" s="326">
        <f t="shared" si="856"/>
        <v>44994</v>
      </c>
      <c r="E8373" s="327">
        <f t="shared" si="857"/>
        <v>44994</v>
      </c>
      <c r="F8373" s="474"/>
      <c r="G8373" s="332" t="s">
        <v>94</v>
      </c>
      <c r="H8373" s="333" t="str" cm="1">
        <f t="array" ref="H8373">IFERROR(INDEX(INVESTOR_LIST[INVESTOR NAME],MATCH(I8373,INVESTOR_LIST[INVESTOR CODE],0),)," ")</f>
        <v xml:space="preserve"> </v>
      </c>
      <c r="I8373" s="333" t="s">
        <v>348</v>
      </c>
      <c r="J8373" s="331" t="s">
        <v>152</v>
      </c>
      <c r="K8373" s="334"/>
      <c r="L8373" s="334">
        <v>15636.54</v>
      </c>
      <c r="M8373" s="160"/>
      <c r="N8373" s="160"/>
    </row>
    <row r="8374" spans="1:14" x14ac:dyDescent="0.2">
      <c r="A8374" s="324">
        <v>2023</v>
      </c>
      <c r="B8374" s="324">
        <v>3</v>
      </c>
      <c r="C8374" s="325">
        <v>9</v>
      </c>
      <c r="D8374" s="326">
        <f t="shared" si="856"/>
        <v>44994</v>
      </c>
      <c r="E8374" s="327">
        <f t="shared" si="857"/>
        <v>44994</v>
      </c>
      <c r="F8374" s="473" t="s">
        <v>1491</v>
      </c>
      <c r="G8374" s="328" t="s">
        <v>94</v>
      </c>
      <c r="H8374" s="329" t="str" cm="1">
        <f t="array" ref="H8374">IFERROR(INDEX(INVESTOR_LIST[INVESTOR NAME],MATCH(I8374,INVESTOR_LIST[INVESTOR CODE],0),)," ")</f>
        <v xml:space="preserve"> </v>
      </c>
      <c r="I8374" s="329" t="s">
        <v>348</v>
      </c>
      <c r="J8374" s="324" t="s">
        <v>133</v>
      </c>
      <c r="K8374" s="330">
        <v>8653.85</v>
      </c>
      <c r="L8374" s="330"/>
      <c r="M8374" s="160"/>
      <c r="N8374" s="160"/>
    </row>
    <row r="8375" spans="1:14" x14ac:dyDescent="0.2">
      <c r="A8375" s="331">
        <v>2023</v>
      </c>
      <c r="B8375" s="331">
        <v>3</v>
      </c>
      <c r="C8375" s="331">
        <v>9</v>
      </c>
      <c r="D8375" s="326">
        <f t="shared" si="856"/>
        <v>44994</v>
      </c>
      <c r="E8375" s="327">
        <f t="shared" si="857"/>
        <v>44994</v>
      </c>
      <c r="F8375" s="474"/>
      <c r="G8375" s="332" t="s">
        <v>94</v>
      </c>
      <c r="H8375" s="333" t="str" cm="1">
        <f t="array" ref="H8375">IFERROR(INDEX(INVESTOR_LIST[INVESTOR NAME],MATCH(I8375,INVESTOR_LIST[INVESTOR CODE],0),)," ")</f>
        <v xml:space="preserve"> </v>
      </c>
      <c r="I8375" s="333" t="s">
        <v>348</v>
      </c>
      <c r="J8375" s="331" t="s">
        <v>152</v>
      </c>
      <c r="K8375" s="334"/>
      <c r="L8375" s="334">
        <v>8653.85</v>
      </c>
      <c r="M8375" s="160"/>
    </row>
    <row r="8376" spans="1:14" x14ac:dyDescent="0.2">
      <c r="A8376" s="324">
        <v>2023</v>
      </c>
      <c r="B8376" s="324">
        <v>3</v>
      </c>
      <c r="C8376" s="325">
        <v>9</v>
      </c>
      <c r="D8376" s="326">
        <f>DATE(A8376,B8376,C8376)</f>
        <v>44994</v>
      </c>
      <c r="E8376" s="327">
        <f>DATE(A8376,B8376,C8376)</f>
        <v>44994</v>
      </c>
      <c r="F8376" s="473" t="s">
        <v>1531</v>
      </c>
      <c r="G8376" s="328" t="s">
        <v>94</v>
      </c>
      <c r="H8376" s="329" t="str" cm="1">
        <f t="array" ref="H8376">IFERROR(INDEX(INVESTOR_LIST[INVESTOR NAME],MATCH(I8376,INVESTOR_LIST[INVESTOR CODE],0),)," ")</f>
        <v xml:space="preserve"> </v>
      </c>
      <c r="I8376" s="329" t="s">
        <v>348</v>
      </c>
      <c r="J8376" s="324" t="s">
        <v>133</v>
      </c>
      <c r="K8376" s="330">
        <v>7211.54</v>
      </c>
      <c r="L8376" s="330"/>
      <c r="M8376" s="160"/>
    </row>
    <row r="8377" spans="1:14" x14ac:dyDescent="0.2">
      <c r="A8377" s="331">
        <v>2023</v>
      </c>
      <c r="B8377" s="331">
        <v>3</v>
      </c>
      <c r="C8377" s="331">
        <v>9</v>
      </c>
      <c r="D8377" s="326">
        <f>DATE(A8377,B8377,C8377)</f>
        <v>44994</v>
      </c>
      <c r="E8377" s="327">
        <f>DATE(A8377,B8377,C8377)</f>
        <v>44994</v>
      </c>
      <c r="F8377" s="474"/>
      <c r="G8377" s="332" t="s">
        <v>94</v>
      </c>
      <c r="H8377" s="333" t="str" cm="1">
        <f t="array" ref="H8377">IFERROR(INDEX(INVESTOR_LIST[INVESTOR NAME],MATCH(I8377,INVESTOR_LIST[INVESTOR CODE],0),)," ")</f>
        <v xml:space="preserve"> </v>
      </c>
      <c r="I8377" s="333" t="s">
        <v>348</v>
      </c>
      <c r="J8377" s="331" t="s">
        <v>152</v>
      </c>
      <c r="K8377" s="334"/>
      <c r="L8377" s="334">
        <v>7211.54</v>
      </c>
      <c r="M8377" s="160"/>
    </row>
    <row r="8378" spans="1:14" x14ac:dyDescent="0.2">
      <c r="A8378" s="238">
        <v>2023</v>
      </c>
      <c r="B8378" s="238">
        <v>3</v>
      </c>
      <c r="C8378" s="238">
        <v>9</v>
      </c>
      <c r="D8378" s="270">
        <f t="shared" ref="D8378:D8388" si="858">DATE(A8378,B8378,C8378)</f>
        <v>44994</v>
      </c>
      <c r="E8378" s="279">
        <f t="shared" ref="E8378:E8388" si="859">DATE(A8378,B8378,C8378)</f>
        <v>44994</v>
      </c>
      <c r="F8378" s="477" t="s">
        <v>347</v>
      </c>
      <c r="G8378" s="239" t="s">
        <v>94</v>
      </c>
      <c r="H8378" s="239" t="str" cm="1">
        <f t="array" ref="H8378">IFERROR(INDEX(INVESTOR_LIST[INVESTOR NAME],MATCH(I8378,INVESTOR_LIST[INVESTOR CODE],0),)," ")</f>
        <v xml:space="preserve"> </v>
      </c>
      <c r="I8378" s="262" t="s">
        <v>348</v>
      </c>
      <c r="J8378" s="240" t="s">
        <v>82</v>
      </c>
      <c r="K8378" s="241">
        <v>15680.259999990463</v>
      </c>
      <c r="L8378" s="241"/>
    </row>
    <row r="8379" spans="1:14" x14ac:dyDescent="0.2">
      <c r="A8379" s="242">
        <v>2023</v>
      </c>
      <c r="B8379" s="242">
        <v>3</v>
      </c>
      <c r="C8379" s="242">
        <v>9</v>
      </c>
      <c r="D8379" s="270">
        <f t="shared" si="858"/>
        <v>44994</v>
      </c>
      <c r="E8379" s="279">
        <f t="shared" si="859"/>
        <v>44994</v>
      </c>
      <c r="F8379" s="478"/>
      <c r="G8379" s="243" t="s">
        <v>94</v>
      </c>
      <c r="H8379" s="243" t="str" cm="1">
        <f t="array" ref="H8379">IFERROR(INDEX(INVESTOR_LIST[INVESTOR NAME],MATCH(I8379,INVESTOR_LIST[INVESTOR CODE],0),)," ")</f>
        <v xml:space="preserve"> </v>
      </c>
      <c r="I8379" s="263" t="s">
        <v>348</v>
      </c>
      <c r="J8379" s="244" t="s">
        <v>108</v>
      </c>
      <c r="K8379" s="245"/>
      <c r="L8379" s="245">
        <v>15680.259999990463</v>
      </c>
    </row>
    <row r="8380" spans="1:14" ht="22.5" x14ac:dyDescent="0.2">
      <c r="A8380" s="246">
        <v>2023</v>
      </c>
      <c r="B8380" s="238">
        <v>3</v>
      </c>
      <c r="C8380" s="238">
        <v>9</v>
      </c>
      <c r="D8380" s="270">
        <f t="shared" si="858"/>
        <v>44994</v>
      </c>
      <c r="E8380" s="279">
        <f t="shared" si="859"/>
        <v>44994</v>
      </c>
      <c r="F8380" s="482" t="s">
        <v>148</v>
      </c>
      <c r="G8380" s="247" t="s">
        <v>94</v>
      </c>
      <c r="H8380" s="247" t="str" cm="1">
        <f t="array" ref="H8380">IFERROR(INDEX(INVESTOR_LIST[INVESTOR NAME],MATCH(I8380,INVESTOR_LIST[INVESTOR CODE],0),)," ")</f>
        <v xml:space="preserve"> </v>
      </c>
      <c r="I8380" s="248" t="s">
        <v>348</v>
      </c>
      <c r="J8380" s="249" t="s">
        <v>95</v>
      </c>
      <c r="K8380" s="250">
        <v>2747.2527472527472</v>
      </c>
      <c r="L8380" s="241"/>
    </row>
    <row r="8381" spans="1:14" x14ac:dyDescent="0.2">
      <c r="A8381" s="242">
        <v>2023</v>
      </c>
      <c r="B8381" s="242">
        <v>3</v>
      </c>
      <c r="C8381" s="242">
        <v>9</v>
      </c>
      <c r="D8381" s="270">
        <f t="shared" si="858"/>
        <v>44994</v>
      </c>
      <c r="E8381" s="279">
        <f t="shared" si="859"/>
        <v>44994</v>
      </c>
      <c r="F8381" s="478"/>
      <c r="G8381" s="243" t="s">
        <v>94</v>
      </c>
      <c r="H8381" s="243" t="str" cm="1">
        <f t="array" ref="H8381">IFERROR(INDEX(INVESTOR_LIST[INVESTOR NAME],MATCH(I8381,INVESTOR_LIST[INVESTOR CODE],0),)," ")</f>
        <v xml:space="preserve"> </v>
      </c>
      <c r="I8381" s="263" t="s">
        <v>348</v>
      </c>
      <c r="J8381" s="244" t="s">
        <v>63</v>
      </c>
      <c r="K8381" s="245"/>
      <c r="L8381" s="245">
        <v>2747.2527472527472</v>
      </c>
    </row>
    <row r="8382" spans="1:14" x14ac:dyDescent="0.2">
      <c r="A8382" s="246">
        <v>2023</v>
      </c>
      <c r="B8382" s="238">
        <v>3</v>
      </c>
      <c r="C8382" s="238">
        <v>9</v>
      </c>
      <c r="D8382" s="270">
        <f t="shared" si="858"/>
        <v>44994</v>
      </c>
      <c r="E8382" s="279">
        <f t="shared" si="859"/>
        <v>44994</v>
      </c>
      <c r="F8382" s="482" t="s">
        <v>137</v>
      </c>
      <c r="G8382" s="247" t="s">
        <v>94</v>
      </c>
      <c r="H8382" s="247" t="str" cm="1">
        <f t="array" ref="H8382">IFERROR(INDEX(INVESTOR_LIST[INVESTOR NAME],MATCH(I8382,INVESTOR_LIST[INVESTOR CODE],0),)," ")</f>
        <v xml:space="preserve"> </v>
      </c>
      <c r="I8382" s="248" t="s">
        <v>348</v>
      </c>
      <c r="J8382" s="249" t="s">
        <v>97</v>
      </c>
      <c r="K8382" s="250">
        <v>35208.404276111927</v>
      </c>
      <c r="L8382" s="252"/>
    </row>
    <row r="8383" spans="1:14" x14ac:dyDescent="0.2">
      <c r="A8383" s="242">
        <v>2023</v>
      </c>
      <c r="B8383" s="242">
        <v>3</v>
      </c>
      <c r="C8383" s="242">
        <v>9</v>
      </c>
      <c r="D8383" s="270">
        <f t="shared" si="858"/>
        <v>44994</v>
      </c>
      <c r="E8383" s="279">
        <f t="shared" si="859"/>
        <v>44994</v>
      </c>
      <c r="F8383" s="478"/>
      <c r="G8383" s="243" t="s">
        <v>94</v>
      </c>
      <c r="H8383" s="243" t="str" cm="1">
        <f t="array" ref="H8383">IFERROR(INDEX(INVESTOR_LIST[INVESTOR NAME],MATCH(I8383,INVESTOR_LIST[INVESTOR CODE],0),)," ")</f>
        <v xml:space="preserve"> </v>
      </c>
      <c r="I8383" s="263" t="s">
        <v>348</v>
      </c>
      <c r="J8383" s="244" t="s">
        <v>47</v>
      </c>
      <c r="K8383" s="245"/>
      <c r="L8383" s="245">
        <v>35208.404276111927</v>
      </c>
    </row>
    <row r="8384" spans="1:14" x14ac:dyDescent="0.2">
      <c r="A8384" s="246">
        <v>2023</v>
      </c>
      <c r="B8384" s="238">
        <v>3</v>
      </c>
      <c r="C8384" s="238">
        <v>9</v>
      </c>
      <c r="D8384" s="270">
        <f t="shared" si="858"/>
        <v>44994</v>
      </c>
      <c r="E8384" s="279">
        <f t="shared" si="859"/>
        <v>44994</v>
      </c>
      <c r="F8384" s="482" t="s">
        <v>138</v>
      </c>
      <c r="G8384" s="247" t="s">
        <v>94</v>
      </c>
      <c r="H8384" s="247" t="str" cm="1">
        <f t="array" ref="H8384">IFERROR(INDEX(INVESTOR_LIST[INVESTOR NAME],MATCH(I8384,INVESTOR_LIST[INVESTOR CODE],0),)," ")</f>
        <v xml:space="preserve"> </v>
      </c>
      <c r="I8384" s="248" t="s">
        <v>348</v>
      </c>
      <c r="J8384" s="249" t="s">
        <v>100</v>
      </c>
      <c r="K8384" s="250">
        <v>3520.8404276111924</v>
      </c>
      <c r="L8384" s="252"/>
    </row>
    <row r="8385" spans="1:17" ht="10.9" customHeight="1" x14ac:dyDescent="0.2">
      <c r="A8385" s="242">
        <v>2023</v>
      </c>
      <c r="B8385" s="242">
        <v>3</v>
      </c>
      <c r="C8385" s="242">
        <v>9</v>
      </c>
      <c r="D8385" s="321">
        <f t="shared" si="858"/>
        <v>44994</v>
      </c>
      <c r="E8385" s="322">
        <f t="shared" si="859"/>
        <v>44994</v>
      </c>
      <c r="F8385" s="478"/>
      <c r="G8385" s="243" t="s">
        <v>94</v>
      </c>
      <c r="H8385" s="243" t="str" cm="1">
        <f t="array" ref="H8385">IFERROR(INDEX(INVESTOR_LIST[INVESTOR NAME],MATCH(I8385,INVESTOR_LIST[INVESTOR CODE],0),)," ")</f>
        <v xml:space="preserve"> </v>
      </c>
      <c r="I8385" s="263" t="s">
        <v>348</v>
      </c>
      <c r="J8385" s="244" t="s">
        <v>48</v>
      </c>
      <c r="K8385" s="245"/>
      <c r="L8385" s="245">
        <v>3520.8404276111924</v>
      </c>
    </row>
    <row r="8386" spans="1:17" ht="33.75" x14ac:dyDescent="0.2">
      <c r="A8386" s="168">
        <v>2023</v>
      </c>
      <c r="B8386" s="168">
        <v>3</v>
      </c>
      <c r="C8386" s="168">
        <v>12</v>
      </c>
      <c r="D8386" s="141">
        <f t="shared" si="858"/>
        <v>44997</v>
      </c>
      <c r="E8386" s="275">
        <f t="shared" si="859"/>
        <v>44997</v>
      </c>
      <c r="F8386" s="479" t="s">
        <v>1315</v>
      </c>
      <c r="G8386" s="220" t="s">
        <v>74</v>
      </c>
      <c r="H8386" s="142" t="str" cm="1">
        <f t="array" ref="H8386">IFERROR(INDEX(INVESTOR_LIST[INVESTOR NAME],MATCH(I8386,INVESTOR_LIST[INVESTOR CODE],0),)," ")</f>
        <v>MD. ATIQUR RAHMAN</v>
      </c>
      <c r="I8386" s="142" t="s">
        <v>755</v>
      </c>
      <c r="J8386" s="168" t="s">
        <v>13</v>
      </c>
      <c r="K8386" s="218">
        <v>361030</v>
      </c>
      <c r="L8386" s="226"/>
    </row>
    <row r="8387" spans="1:17" ht="33.75" x14ac:dyDescent="0.2">
      <c r="A8387" s="133">
        <v>2023</v>
      </c>
      <c r="B8387" s="133">
        <v>3</v>
      </c>
      <c r="C8387" s="133">
        <v>12</v>
      </c>
      <c r="D8387" s="141">
        <f t="shared" si="858"/>
        <v>44997</v>
      </c>
      <c r="E8387" s="275">
        <f t="shared" si="859"/>
        <v>44997</v>
      </c>
      <c r="F8387" s="481"/>
      <c r="G8387" s="174" t="s">
        <v>74</v>
      </c>
      <c r="H8387" s="148" t="str" cm="1">
        <f t="array" ref="H8387">IFERROR(INDEX(INVESTOR_LIST[INVESTOR NAME],MATCH(I8387,INVESTOR_LIST[INVESTOR CODE],0),)," ")</f>
        <v>MD. ATIQUR RAHMAN</v>
      </c>
      <c r="I8387" s="148" t="s">
        <v>755</v>
      </c>
      <c r="J8387" s="133" t="s">
        <v>53</v>
      </c>
      <c r="K8387" s="218">
        <v>81773.3</v>
      </c>
      <c r="L8387" s="218"/>
    </row>
    <row r="8388" spans="1:17" ht="33.75" x14ac:dyDescent="0.2">
      <c r="A8388" s="163">
        <v>2023</v>
      </c>
      <c r="B8388" s="163">
        <v>3</v>
      </c>
      <c r="C8388" s="163">
        <v>12</v>
      </c>
      <c r="D8388" s="280">
        <f t="shared" si="858"/>
        <v>44997</v>
      </c>
      <c r="E8388" s="281">
        <f t="shared" si="859"/>
        <v>44997</v>
      </c>
      <c r="F8388" s="480"/>
      <c r="G8388" s="221" t="s">
        <v>74</v>
      </c>
      <c r="H8388" s="145" t="str" cm="1">
        <f t="array" ref="H8388">IFERROR(INDEX(INVESTOR_LIST[INVESTOR NAME],MATCH(I8388,INVESTOR_LIST[INVESTOR CODE],0),)," ")</f>
        <v>MD. ATIQUR RAHMAN</v>
      </c>
      <c r="I8388" s="145" t="s">
        <v>755</v>
      </c>
      <c r="J8388" s="163" t="s">
        <v>52</v>
      </c>
      <c r="K8388" s="219"/>
      <c r="L8388" s="219">
        <v>442803.3</v>
      </c>
    </row>
    <row r="8389" spans="1:17" ht="10.15" customHeight="1" x14ac:dyDescent="0.2">
      <c r="A8389" s="133">
        <v>2023</v>
      </c>
      <c r="B8389" s="133">
        <v>3</v>
      </c>
      <c r="C8389" s="168">
        <v>13</v>
      </c>
      <c r="D8389" s="141">
        <f>DATE(A8389,B8389,C8389)</f>
        <v>44998</v>
      </c>
      <c r="E8389" s="275">
        <f>DATE(A8389,B8389,C8389)</f>
        <v>44998</v>
      </c>
      <c r="F8389" s="479" t="s">
        <v>1639</v>
      </c>
      <c r="G8389" s="220" t="s">
        <v>74</v>
      </c>
      <c r="H8389" s="220" t="str" cm="1">
        <f t="array" ref="H8389">IFERROR(INDEX(INVESTOR_LIST[INVESTOR NAME],MATCH(I8389,INVESTOR_LIST[INVESTOR CODE],0),)," ")</f>
        <v xml:space="preserve"> </v>
      </c>
      <c r="I8389" s="142" t="s">
        <v>348</v>
      </c>
      <c r="J8389" s="143" t="s">
        <v>96</v>
      </c>
      <c r="K8389" s="226">
        <v>5000000</v>
      </c>
      <c r="L8389" s="226"/>
    </row>
    <row r="8390" spans="1:17" x14ac:dyDescent="0.2">
      <c r="A8390" s="163">
        <v>2023</v>
      </c>
      <c r="B8390" s="163">
        <v>3</v>
      </c>
      <c r="C8390" s="163">
        <v>13</v>
      </c>
      <c r="D8390" s="141">
        <f>DATE(A8390,B8390,C8390)</f>
        <v>44998</v>
      </c>
      <c r="E8390" s="275">
        <f>DATE(A8390,B8390,C8390)</f>
        <v>44998</v>
      </c>
      <c r="F8390" s="480"/>
      <c r="G8390" s="221" t="s">
        <v>74</v>
      </c>
      <c r="H8390" s="221" t="str" cm="1">
        <f t="array" ref="H8390">IFERROR(INDEX(INVESTOR_LIST[INVESTOR NAME],MATCH(I8390,INVESTOR_LIST[INVESTOR CODE],0),)," ")</f>
        <v xml:space="preserve"> </v>
      </c>
      <c r="I8390" s="145" t="s">
        <v>348</v>
      </c>
      <c r="J8390" s="146" t="s">
        <v>52</v>
      </c>
      <c r="K8390" s="219"/>
      <c r="L8390" s="219">
        <v>5000000</v>
      </c>
    </row>
    <row r="8391" spans="1:17" ht="10.15" customHeight="1" x14ac:dyDescent="0.2">
      <c r="A8391" s="133">
        <v>2023</v>
      </c>
      <c r="B8391" s="133">
        <v>3</v>
      </c>
      <c r="C8391" s="168">
        <v>13</v>
      </c>
      <c r="D8391" s="141">
        <f>DATE(A8391,B8391,C8391)</f>
        <v>44998</v>
      </c>
      <c r="E8391" s="275">
        <f>DATE(A8391,B8391,C8391)</f>
        <v>44998</v>
      </c>
      <c r="F8391" s="479" t="s">
        <v>1640</v>
      </c>
      <c r="G8391" s="220" t="s">
        <v>74</v>
      </c>
      <c r="H8391" s="220" t="str" cm="1">
        <f t="array" ref="H8391">IFERROR(INDEX(INVESTOR_LIST[INVESTOR NAME],MATCH(I8391,INVESTOR_LIST[INVESTOR CODE],0),)," ")</f>
        <v xml:space="preserve"> </v>
      </c>
      <c r="I8391" s="142" t="s">
        <v>348</v>
      </c>
      <c r="J8391" s="143" t="s">
        <v>96</v>
      </c>
      <c r="K8391" s="226">
        <v>10000000</v>
      </c>
      <c r="L8391" s="226"/>
    </row>
    <row r="8392" spans="1:17" x14ac:dyDescent="0.2">
      <c r="A8392" s="163">
        <v>2023</v>
      </c>
      <c r="B8392" s="163">
        <v>3</v>
      </c>
      <c r="C8392" s="163">
        <v>13</v>
      </c>
      <c r="D8392" s="141">
        <f>DATE(A8392,B8392,C8392)</f>
        <v>44998</v>
      </c>
      <c r="E8392" s="275">
        <f>DATE(A8392,B8392,C8392)</f>
        <v>44998</v>
      </c>
      <c r="F8392" s="480"/>
      <c r="G8392" s="221" t="s">
        <v>74</v>
      </c>
      <c r="H8392" s="221" t="str" cm="1">
        <f t="array" ref="H8392">IFERROR(INDEX(INVESTOR_LIST[INVESTOR NAME],MATCH(I8392,INVESTOR_LIST[INVESTOR CODE],0),)," ")</f>
        <v xml:space="preserve"> </v>
      </c>
      <c r="I8392" s="145" t="s">
        <v>348</v>
      </c>
      <c r="J8392" s="146" t="s">
        <v>52</v>
      </c>
      <c r="K8392" s="219"/>
      <c r="L8392" s="219">
        <v>10000000</v>
      </c>
    </row>
    <row r="8393" spans="1:17" x14ac:dyDescent="0.2">
      <c r="A8393" s="168">
        <v>2023</v>
      </c>
      <c r="B8393" s="168">
        <v>3</v>
      </c>
      <c r="C8393" s="168">
        <v>13</v>
      </c>
      <c r="D8393" s="141">
        <f t="shared" ref="D8393:D8394" si="860">DATE(A8393,B8393,C8393)</f>
        <v>44998</v>
      </c>
      <c r="E8393" s="275">
        <f t="shared" ref="E8393:E8394" si="861">DATE(A8393,B8393,C8393)</f>
        <v>44998</v>
      </c>
      <c r="F8393" s="479" t="s">
        <v>1632</v>
      </c>
      <c r="G8393" s="220" t="s">
        <v>74</v>
      </c>
      <c r="H8393" s="220" t="str" cm="1">
        <f t="array" ref="H8393">IFERROR(INDEX(INVESTOR_LIST[INVESTOR NAME],MATCH(I8393,INVESTOR_LIST[INVESTOR CODE],0),)," ")</f>
        <v xml:space="preserve"> </v>
      </c>
      <c r="I8393" s="142" t="s">
        <v>348</v>
      </c>
      <c r="J8393" s="143" t="s">
        <v>104</v>
      </c>
      <c r="K8393" s="226">
        <v>789.49</v>
      </c>
      <c r="L8393" s="226"/>
    </row>
    <row r="8394" spans="1:17" x14ac:dyDescent="0.2">
      <c r="A8394" s="163">
        <v>2023</v>
      </c>
      <c r="B8394" s="163">
        <v>3</v>
      </c>
      <c r="C8394" s="163">
        <v>13</v>
      </c>
      <c r="D8394" s="141">
        <f t="shared" si="860"/>
        <v>44998</v>
      </c>
      <c r="E8394" s="275">
        <f t="shared" si="861"/>
        <v>44998</v>
      </c>
      <c r="F8394" s="480"/>
      <c r="G8394" s="221" t="s">
        <v>74</v>
      </c>
      <c r="H8394" s="221" t="str" cm="1">
        <f t="array" ref="H8394">IFERROR(INDEX(INVESTOR_LIST[INVESTOR NAME],MATCH(I8394,INVESTOR_LIST[INVESTOR CODE],0),)," ")</f>
        <v xml:space="preserve"> </v>
      </c>
      <c r="I8394" s="145" t="s">
        <v>348</v>
      </c>
      <c r="J8394" s="146" t="s">
        <v>52</v>
      </c>
      <c r="K8394" s="219"/>
      <c r="L8394" s="219">
        <v>789.49</v>
      </c>
    </row>
    <row r="8395" spans="1:17" x14ac:dyDescent="0.2">
      <c r="A8395" s="133">
        <v>2023</v>
      </c>
      <c r="B8395" s="133">
        <v>3</v>
      </c>
      <c r="C8395" s="133">
        <v>14</v>
      </c>
      <c r="D8395" s="141">
        <f t="shared" ref="D8395:D8396" si="862">DATE(A8395,B8395,C8395)</f>
        <v>44999</v>
      </c>
      <c r="E8395" s="275">
        <f t="shared" ref="E8395:E8396" si="863">DATE(A8395,B8395,C8395)</f>
        <v>44999</v>
      </c>
      <c r="F8395" s="481" t="s">
        <v>1631</v>
      </c>
      <c r="G8395" s="174" t="s">
        <v>74</v>
      </c>
      <c r="H8395" s="174" t="str" cm="1">
        <f t="array" ref="H8395">IFERROR(INDEX(INVESTOR_LIST[INVESTOR NAME],MATCH(I8395,INVESTOR_LIST[INVESTOR CODE],0),)," ")</f>
        <v xml:space="preserve"> </v>
      </c>
      <c r="I8395" s="148" t="s">
        <v>348</v>
      </c>
      <c r="J8395" s="149" t="s">
        <v>163</v>
      </c>
      <c r="K8395" s="218">
        <v>1575</v>
      </c>
      <c r="L8395" s="218"/>
      <c r="M8395" s="147"/>
      <c r="Q8395" s="133" t="s">
        <v>348</v>
      </c>
    </row>
    <row r="8396" spans="1:17" x14ac:dyDescent="0.2">
      <c r="A8396" s="163">
        <v>2023</v>
      </c>
      <c r="B8396" s="163">
        <v>3</v>
      </c>
      <c r="C8396" s="163">
        <v>14</v>
      </c>
      <c r="D8396" s="141">
        <f t="shared" si="862"/>
        <v>44999</v>
      </c>
      <c r="E8396" s="275">
        <f t="shared" si="863"/>
        <v>44999</v>
      </c>
      <c r="F8396" s="480"/>
      <c r="G8396" s="221" t="s">
        <v>74</v>
      </c>
      <c r="H8396" s="221" t="str" cm="1">
        <f t="array" ref="H8396">IFERROR(INDEX(INVESTOR_LIST[INVESTOR NAME],MATCH(I8396,INVESTOR_LIST[INVESTOR CODE],0),)," ")</f>
        <v xml:space="preserve"> </v>
      </c>
      <c r="I8396" s="145"/>
      <c r="J8396" s="146" t="s">
        <v>52</v>
      </c>
      <c r="K8396" s="219"/>
      <c r="L8396" s="219">
        <v>1575</v>
      </c>
      <c r="M8396" s="147"/>
      <c r="Q8396" s="133" t="s">
        <v>348</v>
      </c>
    </row>
    <row r="8397" spans="1:17" x14ac:dyDescent="0.2">
      <c r="A8397" s="168">
        <v>2023</v>
      </c>
      <c r="B8397" s="168">
        <v>3</v>
      </c>
      <c r="C8397" s="168">
        <v>14</v>
      </c>
      <c r="D8397" s="141">
        <f>DATE(A8397,B8397,C8397)</f>
        <v>44999</v>
      </c>
      <c r="E8397" s="275">
        <f>DATE(A8397,B8397,C8397)</f>
        <v>44999</v>
      </c>
      <c r="F8397" s="479" t="s">
        <v>1500</v>
      </c>
      <c r="G8397" s="220" t="s">
        <v>74</v>
      </c>
      <c r="H8397" s="220" t="str" cm="1">
        <f t="array" ref="H8397">IFERROR(INDEX(INVESTOR_LIST[INVESTOR NAME],MATCH(I8397,INVESTOR_LIST[INVESTOR CODE],0),)," ")</f>
        <v xml:space="preserve"> </v>
      </c>
      <c r="I8397" s="142"/>
      <c r="J8397" s="143" t="s">
        <v>52</v>
      </c>
      <c r="K8397" s="226">
        <v>1237425</v>
      </c>
      <c r="L8397" s="226"/>
    </row>
    <row r="8398" spans="1:17" x14ac:dyDescent="0.2">
      <c r="A8398" s="163">
        <v>2023</v>
      </c>
      <c r="B8398" s="163">
        <v>3</v>
      </c>
      <c r="C8398" s="163">
        <v>14</v>
      </c>
      <c r="D8398" s="141">
        <f>DATE(A8398,B8398,C8398)</f>
        <v>44999</v>
      </c>
      <c r="E8398" s="275">
        <f>DATE(A8398,B8398,C8398)</f>
        <v>44999</v>
      </c>
      <c r="F8398" s="480"/>
      <c r="G8398" s="221" t="s">
        <v>74</v>
      </c>
      <c r="H8398" s="221" t="str" cm="1">
        <f t="array" ref="H8398">IFERROR(INDEX(INVESTOR_LIST[INVESTOR NAME],MATCH(I8398,INVESTOR_LIST[INVESTOR CODE],0),)," ")</f>
        <v xml:space="preserve"> </v>
      </c>
      <c r="I8398" s="145"/>
      <c r="J8398" s="146" t="s">
        <v>190</v>
      </c>
      <c r="K8398" s="219"/>
      <c r="L8398" s="219">
        <v>1237425</v>
      </c>
    </row>
    <row r="8399" spans="1:17" ht="33.75" x14ac:dyDescent="0.2">
      <c r="A8399" s="168">
        <v>2023</v>
      </c>
      <c r="B8399" s="168">
        <v>3</v>
      </c>
      <c r="C8399" s="168">
        <v>15</v>
      </c>
      <c r="D8399" s="141">
        <f t="shared" ref="D8399:D8405" si="864">DATE(A8399,B8399,C8399)</f>
        <v>45000</v>
      </c>
      <c r="E8399" s="275">
        <f t="shared" ref="E8399:E8405" si="865">DATE(A8399,B8399,C8399)</f>
        <v>45000</v>
      </c>
      <c r="F8399" s="479" t="s">
        <v>1315</v>
      </c>
      <c r="G8399" s="220" t="s">
        <v>74</v>
      </c>
      <c r="H8399" s="142" t="str" cm="1">
        <f t="array" ref="H8399">IFERROR(INDEX(INVESTOR_LIST[INVESTOR NAME],MATCH(I8399,INVESTOR_LIST[INVESTOR CODE],0),)," ")</f>
        <v>MD KAMAL HOSSAIN</v>
      </c>
      <c r="I8399" s="142" t="s">
        <v>723</v>
      </c>
      <c r="J8399" s="168" t="s">
        <v>13</v>
      </c>
      <c r="K8399" s="218">
        <v>75760</v>
      </c>
      <c r="L8399" s="226"/>
    </row>
    <row r="8400" spans="1:17" ht="33.75" x14ac:dyDescent="0.2">
      <c r="A8400" s="133">
        <v>2023</v>
      </c>
      <c r="B8400" s="133">
        <v>3</v>
      </c>
      <c r="C8400" s="133">
        <v>15</v>
      </c>
      <c r="D8400" s="141">
        <f t="shared" si="864"/>
        <v>45000</v>
      </c>
      <c r="E8400" s="275">
        <f t="shared" si="865"/>
        <v>45000</v>
      </c>
      <c r="F8400" s="481"/>
      <c r="G8400" s="174" t="s">
        <v>74</v>
      </c>
      <c r="H8400" s="148" t="str" cm="1">
        <f t="array" ref="H8400">IFERROR(INDEX(INVESTOR_LIST[INVESTOR NAME],MATCH(I8400,INVESTOR_LIST[INVESTOR CODE],0),)," ")</f>
        <v>MD KAMAL HOSSAIN</v>
      </c>
      <c r="I8400" s="148" t="s">
        <v>723</v>
      </c>
      <c r="J8400" s="133" t="s">
        <v>53</v>
      </c>
      <c r="K8400" s="218">
        <v>17159.64</v>
      </c>
      <c r="L8400" s="218"/>
    </row>
    <row r="8401" spans="1:13" ht="33.75" x14ac:dyDescent="0.2">
      <c r="A8401" s="163">
        <v>2023</v>
      </c>
      <c r="B8401" s="163">
        <v>3</v>
      </c>
      <c r="C8401" s="163">
        <v>15</v>
      </c>
      <c r="D8401" s="280">
        <f t="shared" si="864"/>
        <v>45000</v>
      </c>
      <c r="E8401" s="281">
        <f t="shared" si="865"/>
        <v>45000</v>
      </c>
      <c r="F8401" s="480"/>
      <c r="G8401" s="221" t="s">
        <v>74</v>
      </c>
      <c r="H8401" s="145" t="str" cm="1">
        <f t="array" ref="H8401">IFERROR(INDEX(INVESTOR_LIST[INVESTOR NAME],MATCH(I8401,INVESTOR_LIST[INVESTOR CODE],0),)," ")</f>
        <v>MD KAMAL HOSSAIN</v>
      </c>
      <c r="I8401" s="145" t="s">
        <v>723</v>
      </c>
      <c r="J8401" s="163" t="s">
        <v>52</v>
      </c>
      <c r="K8401" s="219"/>
      <c r="L8401" s="219">
        <v>92919.64</v>
      </c>
    </row>
    <row r="8402" spans="1:13" x14ac:dyDescent="0.2">
      <c r="A8402" s="133">
        <v>2023</v>
      </c>
      <c r="B8402" s="133">
        <v>3</v>
      </c>
      <c r="C8402" s="133">
        <v>15</v>
      </c>
      <c r="D8402" s="141">
        <f t="shared" si="864"/>
        <v>45000</v>
      </c>
      <c r="E8402" s="275">
        <f t="shared" si="865"/>
        <v>45000</v>
      </c>
      <c r="F8402" s="481" t="s">
        <v>1499</v>
      </c>
      <c r="G8402" s="174" t="s">
        <v>94</v>
      </c>
      <c r="H8402" s="174" t="str" cm="1">
        <f t="array" ref="H8402">IFERROR(INDEX(INVESTOR_LIST[INVESTOR NAME],MATCH(I8402,INVESTOR_LIST[INVESTOR CODE],0),)," ")</f>
        <v xml:space="preserve"> </v>
      </c>
      <c r="J8402" s="149" t="s">
        <v>190</v>
      </c>
      <c r="K8402" s="218">
        <v>4373612.7</v>
      </c>
      <c r="L8402" s="218"/>
      <c r="M8402" s="160"/>
    </row>
    <row r="8403" spans="1:13" x14ac:dyDescent="0.2">
      <c r="A8403" s="133">
        <v>2023</v>
      </c>
      <c r="B8403" s="133">
        <v>3</v>
      </c>
      <c r="C8403" s="133">
        <v>15</v>
      </c>
      <c r="D8403" s="141">
        <f t="shared" si="864"/>
        <v>45000</v>
      </c>
      <c r="E8403" s="275">
        <f t="shared" si="865"/>
        <v>45000</v>
      </c>
      <c r="F8403" s="481"/>
      <c r="G8403" s="174" t="s">
        <v>94</v>
      </c>
      <c r="H8403" s="174"/>
      <c r="J8403" s="149" t="s">
        <v>80</v>
      </c>
      <c r="K8403" s="218">
        <v>7886.7</v>
      </c>
      <c r="L8403" s="218"/>
    </row>
    <row r="8404" spans="1:13" x14ac:dyDescent="0.2">
      <c r="A8404" s="133">
        <v>2023</v>
      </c>
      <c r="B8404" s="133">
        <v>3</v>
      </c>
      <c r="C8404" s="133">
        <v>15</v>
      </c>
      <c r="D8404" s="141">
        <f t="shared" si="864"/>
        <v>45000</v>
      </c>
      <c r="E8404" s="275">
        <f t="shared" si="865"/>
        <v>45000</v>
      </c>
      <c r="F8404" s="481"/>
      <c r="G8404" s="174" t="s">
        <v>94</v>
      </c>
      <c r="H8404" s="174" t="str" cm="1">
        <f t="array" ref="H8404">IFERROR(INDEX(INVESTOR_LIST[INVESTOR NAME],MATCH(I8404,INVESTOR_LIST[INVESTOR CODE],0),)," ")</f>
        <v xml:space="preserve"> </v>
      </c>
      <c r="J8404" s="149" t="s">
        <v>191</v>
      </c>
      <c r="K8404" s="218">
        <v>133796</v>
      </c>
      <c r="L8404" s="218"/>
    </row>
    <row r="8405" spans="1:13" x14ac:dyDescent="0.2">
      <c r="A8405" s="163">
        <v>2023</v>
      </c>
      <c r="B8405" s="163">
        <v>3</v>
      </c>
      <c r="C8405" s="163">
        <v>15</v>
      </c>
      <c r="D8405" s="280">
        <f t="shared" si="864"/>
        <v>45000</v>
      </c>
      <c r="E8405" s="281">
        <f t="shared" si="865"/>
        <v>45000</v>
      </c>
      <c r="F8405" s="480"/>
      <c r="G8405" s="221" t="s">
        <v>94</v>
      </c>
      <c r="H8405" s="145" t="str" cm="1">
        <f t="array" ref="H8405">IFERROR(INDEX(INVESTOR_LIST[INVESTOR NAME],MATCH(I8405,INVESTOR_LIST[INVESTOR CODE],0),)," ")</f>
        <v xml:space="preserve"> </v>
      </c>
      <c r="I8405" s="145"/>
      <c r="J8405" s="163" t="s">
        <v>79</v>
      </c>
      <c r="K8405" s="219"/>
      <c r="L8405" s="219">
        <v>4515295.4000000004</v>
      </c>
    </row>
    <row r="8406" spans="1:13" ht="33.75" x14ac:dyDescent="0.2">
      <c r="A8406" s="168">
        <v>2023</v>
      </c>
      <c r="B8406" s="168">
        <v>3</v>
      </c>
      <c r="C8406" s="168">
        <v>16</v>
      </c>
      <c r="D8406" s="141">
        <f t="shared" ref="D8406:D8409" si="866">DATE(A8406,B8406,C8406)</f>
        <v>45001</v>
      </c>
      <c r="E8406" s="275">
        <f t="shared" ref="E8406:E8409" si="867">DATE(A8406,B8406,C8406)</f>
        <v>45001</v>
      </c>
      <c r="F8406" s="479" t="s">
        <v>1315</v>
      </c>
      <c r="G8406" s="220" t="s">
        <v>74</v>
      </c>
      <c r="H8406" s="142" t="str" cm="1">
        <f t="array" ref="H8406">IFERROR(INDEX(INVESTOR_LIST[INVESTOR NAME],MATCH(I8406,INVESTOR_LIST[INVESTOR CODE],0),)," ")</f>
        <v>FAIYEAD AHMEDUL HYE</v>
      </c>
      <c r="I8406" s="142" t="s">
        <v>496</v>
      </c>
      <c r="J8406" s="168" t="s">
        <v>13</v>
      </c>
      <c r="K8406" s="218">
        <v>815330</v>
      </c>
      <c r="L8406" s="226"/>
    </row>
    <row r="8407" spans="1:13" ht="33.75" x14ac:dyDescent="0.2">
      <c r="A8407" s="133">
        <v>2023</v>
      </c>
      <c r="B8407" s="133">
        <v>3</v>
      </c>
      <c r="C8407" s="133">
        <v>16</v>
      </c>
      <c r="D8407" s="141">
        <f t="shared" si="866"/>
        <v>45001</v>
      </c>
      <c r="E8407" s="275">
        <f t="shared" si="867"/>
        <v>45001</v>
      </c>
      <c r="F8407" s="481"/>
      <c r="G8407" s="174" t="s">
        <v>74</v>
      </c>
      <c r="H8407" s="148" t="str" cm="1">
        <f t="array" ref="H8407">IFERROR(INDEX(INVESTOR_LIST[INVESTOR NAME],MATCH(I8407,INVESTOR_LIST[INVESTOR CODE],0),)," ")</f>
        <v>FAIYEAD AHMEDUL HYE</v>
      </c>
      <c r="I8407" s="148" t="s">
        <v>496</v>
      </c>
      <c r="J8407" s="133" t="s">
        <v>53</v>
      </c>
      <c r="K8407" s="218">
        <v>184670</v>
      </c>
      <c r="L8407" s="218"/>
    </row>
    <row r="8408" spans="1:13" ht="33.75" x14ac:dyDescent="0.2">
      <c r="A8408" s="163">
        <v>2023</v>
      </c>
      <c r="B8408" s="163">
        <v>3</v>
      </c>
      <c r="C8408" s="163">
        <v>16</v>
      </c>
      <c r="D8408" s="280">
        <f t="shared" si="866"/>
        <v>45001</v>
      </c>
      <c r="E8408" s="281">
        <f t="shared" si="867"/>
        <v>45001</v>
      </c>
      <c r="F8408" s="480"/>
      <c r="G8408" s="221" t="s">
        <v>74</v>
      </c>
      <c r="H8408" s="145" t="str" cm="1">
        <f t="array" ref="H8408">IFERROR(INDEX(INVESTOR_LIST[INVESTOR NAME],MATCH(I8408,INVESTOR_LIST[INVESTOR CODE],0),)," ")</f>
        <v>FAIYEAD AHMEDUL HYE</v>
      </c>
      <c r="I8408" s="145" t="s">
        <v>496</v>
      </c>
      <c r="J8408" s="163" t="s">
        <v>52</v>
      </c>
      <c r="K8408" s="219"/>
      <c r="L8408" s="219">
        <v>1000000</v>
      </c>
    </row>
    <row r="8409" spans="1:13" ht="10.15" customHeight="1" x14ac:dyDescent="0.2">
      <c r="A8409" s="133">
        <v>2023</v>
      </c>
      <c r="B8409" s="133">
        <v>3</v>
      </c>
      <c r="C8409" s="133">
        <v>16</v>
      </c>
      <c r="D8409" s="141">
        <f t="shared" si="866"/>
        <v>45001</v>
      </c>
      <c r="E8409" s="275">
        <f t="shared" si="867"/>
        <v>45001</v>
      </c>
      <c r="F8409" s="479" t="s">
        <v>1633</v>
      </c>
      <c r="G8409" s="220" t="s">
        <v>74</v>
      </c>
      <c r="H8409" s="220"/>
      <c r="I8409" s="142"/>
      <c r="J8409" s="143" t="s">
        <v>96</v>
      </c>
      <c r="K8409" s="226">
        <v>5081875</v>
      </c>
      <c r="L8409" s="226"/>
    </row>
    <row r="8410" spans="1:13" ht="10.15" customHeight="1" x14ac:dyDescent="0.2">
      <c r="A8410" s="133">
        <v>2023</v>
      </c>
      <c r="B8410" s="133">
        <v>3</v>
      </c>
      <c r="C8410" s="133">
        <v>16</v>
      </c>
      <c r="D8410" s="141">
        <f t="shared" ref="D8410:D8414" si="868">DATE(A8410,B8410,C8410)</f>
        <v>45001</v>
      </c>
      <c r="E8410" s="275">
        <f t="shared" ref="E8410:E8414" si="869">DATE(A8410,B8410,C8410)</f>
        <v>45001</v>
      </c>
      <c r="F8410" s="481"/>
      <c r="G8410" s="174" t="s">
        <v>74</v>
      </c>
      <c r="H8410" s="174" t="str" cm="1">
        <f t="array" ref="H8410">IFERROR(INDEX(INVESTOR_LIST[INVESTOR NAME],MATCH(I8410,INVESTOR_LIST[INVESTOR CODE],0),)," ")</f>
        <v xml:space="preserve"> </v>
      </c>
      <c r="I8410" s="148" t="s">
        <v>348</v>
      </c>
      <c r="J8410" s="149" t="s">
        <v>52</v>
      </c>
      <c r="K8410" s="218">
        <v>92285.16</v>
      </c>
      <c r="L8410" s="218"/>
    </row>
    <row r="8411" spans="1:13" ht="10.15" customHeight="1" x14ac:dyDescent="0.2">
      <c r="A8411" s="133">
        <v>2023</v>
      </c>
      <c r="B8411" s="133">
        <v>3</v>
      </c>
      <c r="C8411" s="133">
        <v>16</v>
      </c>
      <c r="D8411" s="141">
        <f t="shared" si="868"/>
        <v>45001</v>
      </c>
      <c r="E8411" s="275">
        <f t="shared" si="869"/>
        <v>45001</v>
      </c>
      <c r="F8411" s="481"/>
      <c r="G8411" s="174" t="s">
        <v>74</v>
      </c>
      <c r="H8411" s="174"/>
      <c r="J8411" s="149" t="s">
        <v>61</v>
      </c>
      <c r="K8411" s="218">
        <v>3000</v>
      </c>
      <c r="L8411" s="218"/>
    </row>
    <row r="8412" spans="1:13" ht="10.15" customHeight="1" x14ac:dyDescent="0.2">
      <c r="A8412" s="133">
        <v>2023</v>
      </c>
      <c r="B8412" s="133">
        <v>3</v>
      </c>
      <c r="C8412" s="133">
        <v>16</v>
      </c>
      <c r="D8412" s="141">
        <f t="shared" si="868"/>
        <v>45001</v>
      </c>
      <c r="E8412" s="275">
        <f t="shared" si="869"/>
        <v>45001</v>
      </c>
      <c r="F8412" s="481"/>
      <c r="G8412" s="174" t="s">
        <v>74</v>
      </c>
      <c r="H8412" s="174" t="str" cm="1">
        <f t="array" ref="H8412">IFERROR(INDEX(INVESTOR_LIST[INVESTOR NAME],MATCH(I8412,INVESTOR_LIST[INVESTOR CODE],0),)," ")</f>
        <v xml:space="preserve"> </v>
      </c>
      <c r="J8412" s="149" t="s">
        <v>133</v>
      </c>
      <c r="K8412" s="218"/>
      <c r="L8412" s="218">
        <v>95285.16</v>
      </c>
    </row>
    <row r="8413" spans="1:13" ht="10.15" customHeight="1" x14ac:dyDescent="0.2">
      <c r="A8413" s="163">
        <v>2023</v>
      </c>
      <c r="B8413" s="163">
        <v>3</v>
      </c>
      <c r="C8413" s="163">
        <v>16</v>
      </c>
      <c r="D8413" s="141">
        <f t="shared" si="868"/>
        <v>45001</v>
      </c>
      <c r="E8413" s="275">
        <f t="shared" si="869"/>
        <v>45001</v>
      </c>
      <c r="F8413" s="480"/>
      <c r="G8413" s="221" t="s">
        <v>74</v>
      </c>
      <c r="H8413" s="221"/>
      <c r="I8413" s="145"/>
      <c r="J8413" s="146" t="s">
        <v>96</v>
      </c>
      <c r="K8413" s="219"/>
      <c r="L8413" s="219">
        <v>5081875</v>
      </c>
    </row>
    <row r="8414" spans="1:13" ht="10.15" customHeight="1" x14ac:dyDescent="0.2">
      <c r="A8414" s="133">
        <v>2023</v>
      </c>
      <c r="B8414" s="133">
        <v>3</v>
      </c>
      <c r="C8414" s="133">
        <v>16</v>
      </c>
      <c r="D8414" s="141">
        <f t="shared" si="868"/>
        <v>45001</v>
      </c>
      <c r="E8414" s="275">
        <f t="shared" si="869"/>
        <v>45001</v>
      </c>
      <c r="F8414" s="481" t="s">
        <v>1633</v>
      </c>
      <c r="G8414" s="174" t="s">
        <v>74</v>
      </c>
      <c r="H8414" s="174"/>
      <c r="J8414" s="149" t="s">
        <v>96</v>
      </c>
      <c r="K8414" s="218">
        <v>5081875</v>
      </c>
      <c r="L8414" s="218"/>
    </row>
    <row r="8415" spans="1:13" ht="10.15" customHeight="1" x14ac:dyDescent="0.2">
      <c r="A8415" s="133">
        <v>2023</v>
      </c>
      <c r="B8415" s="133">
        <v>3</v>
      </c>
      <c r="C8415" s="133">
        <v>16</v>
      </c>
      <c r="D8415" s="141">
        <f t="shared" ref="D8415:D8418" si="870">DATE(A8415,B8415,C8415)</f>
        <v>45001</v>
      </c>
      <c r="E8415" s="275">
        <f t="shared" ref="E8415:E8418" si="871">DATE(A8415,B8415,C8415)</f>
        <v>45001</v>
      </c>
      <c r="F8415" s="481"/>
      <c r="G8415" s="174" t="s">
        <v>74</v>
      </c>
      <c r="H8415" s="174" t="str" cm="1">
        <f t="array" ref="H8415">IFERROR(INDEX(INVESTOR_LIST[INVESTOR NAME],MATCH(I8415,INVESTOR_LIST[INVESTOR CODE],0),)," ")</f>
        <v xml:space="preserve"> </v>
      </c>
      <c r="I8415" s="148" t="s">
        <v>348</v>
      </c>
      <c r="J8415" s="149" t="s">
        <v>52</v>
      </c>
      <c r="K8415" s="218">
        <v>92285.16</v>
      </c>
      <c r="L8415" s="218"/>
    </row>
    <row r="8416" spans="1:13" ht="10.15" customHeight="1" x14ac:dyDescent="0.2">
      <c r="A8416" s="133">
        <v>2023</v>
      </c>
      <c r="B8416" s="133">
        <v>3</v>
      </c>
      <c r="C8416" s="133">
        <v>16</v>
      </c>
      <c r="D8416" s="141">
        <f t="shared" si="870"/>
        <v>45001</v>
      </c>
      <c r="E8416" s="275">
        <f t="shared" si="871"/>
        <v>45001</v>
      </c>
      <c r="F8416" s="481"/>
      <c r="G8416" s="174" t="s">
        <v>74</v>
      </c>
      <c r="H8416" s="174"/>
      <c r="J8416" s="149" t="s">
        <v>61</v>
      </c>
      <c r="K8416" s="218">
        <v>3000</v>
      </c>
      <c r="L8416" s="218"/>
    </row>
    <row r="8417" spans="1:14" ht="10.15" customHeight="1" x14ac:dyDescent="0.2">
      <c r="A8417" s="133">
        <v>2023</v>
      </c>
      <c r="B8417" s="133">
        <v>3</v>
      </c>
      <c r="C8417" s="133">
        <v>16</v>
      </c>
      <c r="D8417" s="141">
        <f t="shared" si="870"/>
        <v>45001</v>
      </c>
      <c r="E8417" s="275">
        <f t="shared" si="871"/>
        <v>45001</v>
      </c>
      <c r="F8417" s="481"/>
      <c r="G8417" s="174" t="s">
        <v>74</v>
      </c>
      <c r="H8417" s="174" t="str" cm="1">
        <f t="array" ref="H8417">IFERROR(INDEX(INVESTOR_LIST[INVESTOR NAME],MATCH(I8417,INVESTOR_LIST[INVESTOR CODE],0),)," ")</f>
        <v xml:space="preserve"> </v>
      </c>
      <c r="J8417" s="149" t="s">
        <v>133</v>
      </c>
      <c r="K8417" s="218"/>
      <c r="L8417" s="218">
        <v>95285.16</v>
      </c>
    </row>
    <row r="8418" spans="1:14" ht="10.15" customHeight="1" x14ac:dyDescent="0.2">
      <c r="A8418" s="163">
        <v>2023</v>
      </c>
      <c r="B8418" s="163">
        <v>3</v>
      </c>
      <c r="C8418" s="163">
        <v>16</v>
      </c>
      <c r="D8418" s="141">
        <f t="shared" si="870"/>
        <v>45001</v>
      </c>
      <c r="E8418" s="275">
        <f t="shared" si="871"/>
        <v>45001</v>
      </c>
      <c r="F8418" s="480"/>
      <c r="G8418" s="174" t="s">
        <v>74</v>
      </c>
      <c r="H8418" s="174"/>
      <c r="J8418" s="149" t="s">
        <v>96</v>
      </c>
      <c r="K8418" s="218"/>
      <c r="L8418" s="218">
        <v>5081875</v>
      </c>
    </row>
    <row r="8419" spans="1:14" x14ac:dyDescent="0.2">
      <c r="A8419" s="168">
        <v>2023</v>
      </c>
      <c r="B8419" s="168">
        <v>3</v>
      </c>
      <c r="C8419" s="168">
        <v>16</v>
      </c>
      <c r="D8419" s="141">
        <f t="shared" ref="D8419:D8429" si="872">DATE(A8419,B8419,C8419)</f>
        <v>45001</v>
      </c>
      <c r="E8419" s="275">
        <f t="shared" ref="E8419:E8429" si="873">DATE(A8419,B8419,C8419)</f>
        <v>45001</v>
      </c>
      <c r="F8419" s="479" t="s">
        <v>1319</v>
      </c>
      <c r="G8419" s="220" t="s">
        <v>74</v>
      </c>
      <c r="H8419" s="142" t="str" cm="1">
        <f t="array" ref="H8419">IFERROR(INDEX(INVESTOR_LIST[INVESTOR NAME],MATCH(I8419,INVESTOR_LIST[INVESTOR CODE],0),)," ")</f>
        <v xml:space="preserve"> </v>
      </c>
      <c r="I8419" s="142"/>
      <c r="J8419" s="168" t="s">
        <v>52</v>
      </c>
      <c r="K8419" s="226">
        <v>33000</v>
      </c>
      <c r="L8419" s="226"/>
    </row>
    <row r="8420" spans="1:14" x14ac:dyDescent="0.2">
      <c r="A8420" s="133">
        <v>2023</v>
      </c>
      <c r="B8420" s="133">
        <v>3</v>
      </c>
      <c r="C8420" s="133">
        <v>16</v>
      </c>
      <c r="D8420" s="141">
        <f t="shared" si="872"/>
        <v>45001</v>
      </c>
      <c r="E8420" s="275">
        <f t="shared" si="873"/>
        <v>45001</v>
      </c>
      <c r="F8420" s="481"/>
      <c r="G8420" s="174" t="s">
        <v>74</v>
      </c>
      <c r="H8420" s="148" t="str" cm="1">
        <f t="array" ref="H8420">IFERROR(INDEX(INVESTOR_LIST[INVESTOR NAME],MATCH(I8420,INVESTOR_LIST[INVESTOR CODE],0),)," ")</f>
        <v xml:space="preserve"> </v>
      </c>
      <c r="J8420" s="133" t="s">
        <v>13</v>
      </c>
      <c r="K8420" s="218"/>
      <c r="L8420" s="218">
        <v>26910</v>
      </c>
    </row>
    <row r="8421" spans="1:14" x14ac:dyDescent="0.2">
      <c r="A8421" s="163">
        <v>2023</v>
      </c>
      <c r="B8421" s="163">
        <v>3</v>
      </c>
      <c r="C8421" s="163">
        <v>16</v>
      </c>
      <c r="D8421" s="280">
        <f t="shared" si="872"/>
        <v>45001</v>
      </c>
      <c r="E8421" s="281">
        <f t="shared" si="873"/>
        <v>45001</v>
      </c>
      <c r="F8421" s="480"/>
      <c r="G8421" s="221" t="s">
        <v>74</v>
      </c>
      <c r="H8421" s="145" t="str" cm="1">
        <f t="array" ref="H8421">IFERROR(INDEX(INVESTOR_LIST[INVESTOR NAME],MATCH(I8421,INVESTOR_LIST[INVESTOR CODE],0),)," ")</f>
        <v xml:space="preserve"> </v>
      </c>
      <c r="I8421" s="145"/>
      <c r="J8421" s="163" t="s">
        <v>53</v>
      </c>
      <c r="K8421" s="219"/>
      <c r="L8421" s="219">
        <v>6090</v>
      </c>
    </row>
    <row r="8422" spans="1:14" x14ac:dyDescent="0.2">
      <c r="A8422" s="168">
        <v>2023</v>
      </c>
      <c r="B8422" s="168">
        <v>3</v>
      </c>
      <c r="C8422" s="168">
        <v>16</v>
      </c>
      <c r="D8422" s="141">
        <f>DATE(A8422,B8422,C8422)</f>
        <v>45001</v>
      </c>
      <c r="E8422" s="275">
        <f>DATE(A8422,B8422,C8422)</f>
        <v>45001</v>
      </c>
      <c r="F8422" s="479" t="s">
        <v>1636</v>
      </c>
      <c r="G8422" s="220" t="s">
        <v>74</v>
      </c>
      <c r="H8422" s="220" t="str" cm="1">
        <f t="array" ref="H8422">IFERROR(INDEX(INVESTOR_LIST[INVESTOR NAME],MATCH(I8422,INVESTOR_LIST[INVESTOR CODE],0),)," ")</f>
        <v xml:space="preserve"> </v>
      </c>
      <c r="I8422" s="142" t="s">
        <v>348</v>
      </c>
      <c r="J8422" s="143" t="s">
        <v>79</v>
      </c>
      <c r="K8422" s="226">
        <v>3250000</v>
      </c>
      <c r="L8422" s="226"/>
    </row>
    <row r="8423" spans="1:14" x14ac:dyDescent="0.2">
      <c r="A8423" s="163">
        <v>2023</v>
      </c>
      <c r="B8423" s="163">
        <v>3</v>
      </c>
      <c r="C8423" s="163">
        <v>16</v>
      </c>
      <c r="D8423" s="141">
        <f>DATE(A8423,B8423,C8423)</f>
        <v>45001</v>
      </c>
      <c r="E8423" s="275">
        <f>DATE(A8423,B8423,C8423)</f>
        <v>45001</v>
      </c>
      <c r="F8423" s="480"/>
      <c r="G8423" s="221" t="s">
        <v>74</v>
      </c>
      <c r="H8423" s="221" t="str" cm="1">
        <f t="array" ref="H8423">IFERROR(INDEX(INVESTOR_LIST[INVESTOR NAME],MATCH(I8423,INVESTOR_LIST[INVESTOR CODE],0),)," ")</f>
        <v xml:space="preserve"> </v>
      </c>
      <c r="I8423" s="145" t="s">
        <v>348</v>
      </c>
      <c r="J8423" s="146" t="s">
        <v>184</v>
      </c>
      <c r="K8423" s="219"/>
      <c r="L8423" s="219">
        <v>3250000</v>
      </c>
    </row>
    <row r="8424" spans="1:14" x14ac:dyDescent="0.2">
      <c r="A8424" s="324">
        <v>2023</v>
      </c>
      <c r="B8424" s="324">
        <v>3</v>
      </c>
      <c r="C8424" s="325">
        <v>16</v>
      </c>
      <c r="D8424" s="326">
        <f>DATE(A8424,B8424,C8424)</f>
        <v>45001</v>
      </c>
      <c r="E8424" s="327">
        <f>DATE(A8424,B8424,C8424)</f>
        <v>45001</v>
      </c>
      <c r="F8424" s="473" t="s">
        <v>1634</v>
      </c>
      <c r="G8424" s="328" t="s">
        <v>94</v>
      </c>
      <c r="H8424" s="329" t="str" cm="1">
        <f t="array" ref="H8424">IFERROR(INDEX(INVESTOR_LIST[INVESTOR NAME],MATCH(I8424,INVESTOR_LIST[INVESTOR CODE],0),)," ")</f>
        <v xml:space="preserve"> </v>
      </c>
      <c r="I8424" s="329" t="s">
        <v>348</v>
      </c>
      <c r="J8424" s="324" t="s">
        <v>133</v>
      </c>
      <c r="K8424" s="330">
        <f>3966.35*5</f>
        <v>19831.75</v>
      </c>
      <c r="L8424" s="330"/>
      <c r="M8424" s="160"/>
    </row>
    <row r="8425" spans="1:14" x14ac:dyDescent="0.2">
      <c r="A8425" s="331">
        <v>2023</v>
      </c>
      <c r="B8425" s="331">
        <v>3</v>
      </c>
      <c r="C8425" s="331">
        <v>16</v>
      </c>
      <c r="D8425" s="326">
        <f>DATE(A8425,B8425,C8425)</f>
        <v>45001</v>
      </c>
      <c r="E8425" s="327">
        <f>DATE(A8425,B8425,C8425)</f>
        <v>45001</v>
      </c>
      <c r="F8425" s="474"/>
      <c r="G8425" s="332" t="s">
        <v>94</v>
      </c>
      <c r="H8425" s="333" t="str" cm="1">
        <f t="array" ref="H8425">IFERROR(INDEX(INVESTOR_LIST[INVESTOR NAME],MATCH(I8425,INVESTOR_LIST[INVESTOR CODE],0),)," ")</f>
        <v xml:space="preserve"> </v>
      </c>
      <c r="I8425" s="333" t="s">
        <v>348</v>
      </c>
      <c r="J8425" s="331" t="s">
        <v>152</v>
      </c>
      <c r="K8425" s="334"/>
      <c r="L8425" s="334">
        <v>19831.75</v>
      </c>
      <c r="M8425" s="160"/>
    </row>
    <row r="8426" spans="1:14" x14ac:dyDescent="0.2">
      <c r="A8426" s="324">
        <v>2023</v>
      </c>
      <c r="B8426" s="324">
        <v>3</v>
      </c>
      <c r="C8426" s="325">
        <v>16</v>
      </c>
      <c r="D8426" s="326">
        <f t="shared" si="872"/>
        <v>45001</v>
      </c>
      <c r="E8426" s="327">
        <f t="shared" si="873"/>
        <v>45001</v>
      </c>
      <c r="F8426" s="473" t="s">
        <v>1490</v>
      </c>
      <c r="G8426" s="328" t="s">
        <v>94</v>
      </c>
      <c r="H8426" s="329" t="str" cm="1">
        <f t="array" ref="H8426">IFERROR(INDEX(INVESTOR_LIST[INVESTOR NAME],MATCH(I8426,INVESTOR_LIST[INVESTOR CODE],0),)," ")</f>
        <v xml:space="preserve"> </v>
      </c>
      <c r="I8426" s="329" t="s">
        <v>348</v>
      </c>
      <c r="J8426" s="325" t="s">
        <v>133</v>
      </c>
      <c r="K8426" s="330">
        <v>23479.68</v>
      </c>
      <c r="L8426" s="330"/>
      <c r="M8426" s="160"/>
    </row>
    <row r="8427" spans="1:14" x14ac:dyDescent="0.2">
      <c r="A8427" s="331">
        <v>2023</v>
      </c>
      <c r="B8427" s="331">
        <v>3</v>
      </c>
      <c r="C8427" s="331">
        <v>16</v>
      </c>
      <c r="D8427" s="326">
        <f t="shared" si="872"/>
        <v>45001</v>
      </c>
      <c r="E8427" s="327">
        <f t="shared" si="873"/>
        <v>45001</v>
      </c>
      <c r="F8427" s="474"/>
      <c r="G8427" s="332" t="s">
        <v>94</v>
      </c>
      <c r="H8427" s="333" t="str" cm="1">
        <f t="array" ref="H8427">IFERROR(INDEX(INVESTOR_LIST[INVESTOR NAME],MATCH(I8427,INVESTOR_LIST[INVESTOR CODE],0),)," ")</f>
        <v xml:space="preserve"> </v>
      </c>
      <c r="I8427" s="333" t="s">
        <v>348</v>
      </c>
      <c r="J8427" s="331" t="s">
        <v>152</v>
      </c>
      <c r="K8427" s="334"/>
      <c r="L8427" s="334">
        <v>23479.68</v>
      </c>
      <c r="M8427" s="160"/>
      <c r="N8427" s="160"/>
    </row>
    <row r="8428" spans="1:14" x14ac:dyDescent="0.2">
      <c r="A8428" s="324">
        <v>2023</v>
      </c>
      <c r="B8428" s="324">
        <v>3</v>
      </c>
      <c r="C8428" s="325">
        <v>16</v>
      </c>
      <c r="D8428" s="326">
        <f t="shared" si="872"/>
        <v>45001</v>
      </c>
      <c r="E8428" s="327">
        <f t="shared" si="873"/>
        <v>45001</v>
      </c>
      <c r="F8428" s="473" t="s">
        <v>1491</v>
      </c>
      <c r="G8428" s="328" t="s">
        <v>94</v>
      </c>
      <c r="H8428" s="329" t="str" cm="1">
        <f t="array" ref="H8428">IFERROR(INDEX(INVESTOR_LIST[INVESTOR NAME],MATCH(I8428,INVESTOR_LIST[INVESTOR CODE],0),)," ")</f>
        <v xml:space="preserve"> </v>
      </c>
      <c r="I8428" s="329" t="s">
        <v>348</v>
      </c>
      <c r="J8428" s="324" t="s">
        <v>133</v>
      </c>
      <c r="K8428" s="330">
        <v>8653.85</v>
      </c>
      <c r="L8428" s="330"/>
      <c r="M8428" s="160"/>
      <c r="N8428" s="160"/>
    </row>
    <row r="8429" spans="1:14" x14ac:dyDescent="0.2">
      <c r="A8429" s="331">
        <v>2023</v>
      </c>
      <c r="B8429" s="331">
        <v>3</v>
      </c>
      <c r="C8429" s="331">
        <v>16</v>
      </c>
      <c r="D8429" s="326">
        <f t="shared" si="872"/>
        <v>45001</v>
      </c>
      <c r="E8429" s="327">
        <f t="shared" si="873"/>
        <v>45001</v>
      </c>
      <c r="F8429" s="474"/>
      <c r="G8429" s="332" t="s">
        <v>94</v>
      </c>
      <c r="H8429" s="333" t="str" cm="1">
        <f t="array" ref="H8429">IFERROR(INDEX(INVESTOR_LIST[INVESTOR NAME],MATCH(I8429,INVESTOR_LIST[INVESTOR CODE],0),)," ")</f>
        <v xml:space="preserve"> </v>
      </c>
      <c r="I8429" s="333" t="s">
        <v>348</v>
      </c>
      <c r="J8429" s="331" t="s">
        <v>152</v>
      </c>
      <c r="K8429" s="334"/>
      <c r="L8429" s="334">
        <v>8653.85</v>
      </c>
      <c r="M8429" s="160"/>
    </row>
    <row r="8430" spans="1:14" x14ac:dyDescent="0.2">
      <c r="A8430" s="324">
        <v>2023</v>
      </c>
      <c r="B8430" s="324">
        <v>3</v>
      </c>
      <c r="C8430" s="325">
        <v>16</v>
      </c>
      <c r="D8430" s="326">
        <f>DATE(A8430,B8430,C8430)</f>
        <v>45001</v>
      </c>
      <c r="E8430" s="327">
        <f>DATE(A8430,B8430,C8430)</f>
        <v>45001</v>
      </c>
      <c r="F8430" s="473" t="s">
        <v>1531</v>
      </c>
      <c r="G8430" s="328" t="s">
        <v>94</v>
      </c>
      <c r="H8430" s="329" t="str" cm="1">
        <f t="array" ref="H8430">IFERROR(INDEX(INVESTOR_LIST[INVESTOR NAME],MATCH(I8430,INVESTOR_LIST[INVESTOR CODE],0),)," ")</f>
        <v xml:space="preserve"> </v>
      </c>
      <c r="I8430" s="329" t="s">
        <v>348</v>
      </c>
      <c r="J8430" s="324" t="s">
        <v>133</v>
      </c>
      <c r="K8430" s="330">
        <v>22349.17</v>
      </c>
      <c r="L8430" s="330"/>
      <c r="M8430" s="160"/>
    </row>
    <row r="8431" spans="1:14" x14ac:dyDescent="0.2">
      <c r="A8431" s="331">
        <v>2023</v>
      </c>
      <c r="B8431" s="331">
        <v>3</v>
      </c>
      <c r="C8431" s="331">
        <v>16</v>
      </c>
      <c r="D8431" s="326">
        <f>DATE(A8431,B8431,C8431)</f>
        <v>45001</v>
      </c>
      <c r="E8431" s="327">
        <f>DATE(A8431,B8431,C8431)</f>
        <v>45001</v>
      </c>
      <c r="F8431" s="474"/>
      <c r="G8431" s="332" t="s">
        <v>94</v>
      </c>
      <c r="H8431" s="333" t="str" cm="1">
        <f t="array" ref="H8431">IFERROR(INDEX(INVESTOR_LIST[INVESTOR NAME],MATCH(I8431,INVESTOR_LIST[INVESTOR CODE],0),)," ")</f>
        <v xml:space="preserve"> </v>
      </c>
      <c r="I8431" s="333" t="s">
        <v>348</v>
      </c>
      <c r="J8431" s="331" t="s">
        <v>152</v>
      </c>
      <c r="K8431" s="334"/>
      <c r="L8431" s="334">
        <v>22349.17</v>
      </c>
      <c r="M8431" s="160"/>
    </row>
    <row r="8432" spans="1:14" x14ac:dyDescent="0.2">
      <c r="A8432" s="238">
        <v>2023</v>
      </c>
      <c r="B8432" s="238">
        <v>3</v>
      </c>
      <c r="C8432" s="238">
        <v>16</v>
      </c>
      <c r="D8432" s="270">
        <f t="shared" ref="D8432:D8442" si="874">DATE(A8432,B8432,C8432)</f>
        <v>45001</v>
      </c>
      <c r="E8432" s="279">
        <f t="shared" ref="E8432:E8442" si="875">DATE(A8432,B8432,C8432)</f>
        <v>45001</v>
      </c>
      <c r="F8432" s="477" t="s">
        <v>347</v>
      </c>
      <c r="G8432" s="239" t="s">
        <v>94</v>
      </c>
      <c r="H8432" s="239" t="str" cm="1">
        <f t="array" ref="H8432">IFERROR(INDEX(INVESTOR_LIST[INVESTOR NAME],MATCH(I8432,INVESTOR_LIST[INVESTOR CODE],0),)," ")</f>
        <v xml:space="preserve"> </v>
      </c>
      <c r="I8432" s="262" t="s">
        <v>348</v>
      </c>
      <c r="J8432" s="240" t="s">
        <v>108</v>
      </c>
      <c r="K8432" s="241">
        <v>189714.7500000149</v>
      </c>
      <c r="L8432" s="241"/>
    </row>
    <row r="8433" spans="1:12" x14ac:dyDescent="0.2">
      <c r="A8433" s="242">
        <v>2023</v>
      </c>
      <c r="B8433" s="242">
        <v>3</v>
      </c>
      <c r="C8433" s="242">
        <v>16</v>
      </c>
      <c r="D8433" s="270">
        <f t="shared" si="874"/>
        <v>45001</v>
      </c>
      <c r="E8433" s="279">
        <f t="shared" si="875"/>
        <v>45001</v>
      </c>
      <c r="F8433" s="478"/>
      <c r="G8433" s="243" t="s">
        <v>94</v>
      </c>
      <c r="H8433" s="243" t="str" cm="1">
        <f t="array" ref="H8433">IFERROR(INDEX(INVESTOR_LIST[INVESTOR NAME],MATCH(I8433,INVESTOR_LIST[INVESTOR CODE],0),)," ")</f>
        <v xml:space="preserve"> </v>
      </c>
      <c r="I8433" s="263" t="s">
        <v>348</v>
      </c>
      <c r="J8433" s="244" t="s">
        <v>82</v>
      </c>
      <c r="K8433" s="245"/>
      <c r="L8433" s="245">
        <v>189714.7500000149</v>
      </c>
    </row>
    <row r="8434" spans="1:12" ht="22.5" x14ac:dyDescent="0.2">
      <c r="A8434" s="246">
        <v>2023</v>
      </c>
      <c r="B8434" s="238">
        <v>3</v>
      </c>
      <c r="C8434" s="238">
        <v>16</v>
      </c>
      <c r="D8434" s="270">
        <f t="shared" si="874"/>
        <v>45001</v>
      </c>
      <c r="E8434" s="279">
        <f t="shared" si="875"/>
        <v>45001</v>
      </c>
      <c r="F8434" s="482" t="s">
        <v>148</v>
      </c>
      <c r="G8434" s="247" t="s">
        <v>94</v>
      </c>
      <c r="H8434" s="247" t="str" cm="1">
        <f t="array" ref="H8434">IFERROR(INDEX(INVESTOR_LIST[INVESTOR NAME],MATCH(I8434,INVESTOR_LIST[INVESTOR CODE],0),)," ")</f>
        <v xml:space="preserve"> </v>
      </c>
      <c r="I8434" s="248" t="s">
        <v>348</v>
      </c>
      <c r="J8434" s="249" t="s">
        <v>95</v>
      </c>
      <c r="K8434" s="250">
        <v>2747.2527472527472</v>
      </c>
      <c r="L8434" s="241"/>
    </row>
    <row r="8435" spans="1:12" x14ac:dyDescent="0.2">
      <c r="A8435" s="242">
        <v>2023</v>
      </c>
      <c r="B8435" s="242">
        <v>3</v>
      </c>
      <c r="C8435" s="242">
        <v>16</v>
      </c>
      <c r="D8435" s="270">
        <f t="shared" si="874"/>
        <v>45001</v>
      </c>
      <c r="E8435" s="279">
        <f t="shared" si="875"/>
        <v>45001</v>
      </c>
      <c r="F8435" s="478"/>
      <c r="G8435" s="243" t="s">
        <v>94</v>
      </c>
      <c r="H8435" s="243" t="str" cm="1">
        <f t="array" ref="H8435">IFERROR(INDEX(INVESTOR_LIST[INVESTOR NAME],MATCH(I8435,INVESTOR_LIST[INVESTOR CODE],0),)," ")</f>
        <v xml:space="preserve"> </v>
      </c>
      <c r="I8435" s="263" t="s">
        <v>348</v>
      </c>
      <c r="J8435" s="244" t="s">
        <v>63</v>
      </c>
      <c r="K8435" s="245"/>
      <c r="L8435" s="245">
        <v>2747.2527472527472</v>
      </c>
    </row>
    <row r="8436" spans="1:12" x14ac:dyDescent="0.2">
      <c r="A8436" s="246">
        <v>2023</v>
      </c>
      <c r="B8436" s="238">
        <v>3</v>
      </c>
      <c r="C8436" s="238">
        <v>16</v>
      </c>
      <c r="D8436" s="270">
        <f t="shared" si="874"/>
        <v>45001</v>
      </c>
      <c r="E8436" s="279">
        <f t="shared" si="875"/>
        <v>45001</v>
      </c>
      <c r="F8436" s="482" t="s">
        <v>137</v>
      </c>
      <c r="G8436" s="247" t="s">
        <v>94</v>
      </c>
      <c r="H8436" s="247" t="str" cm="1">
        <f t="array" ref="H8436">IFERROR(INDEX(INVESTOR_LIST[INVESTOR NAME],MATCH(I8436,INVESTOR_LIST[INVESTOR CODE],0),)," ")</f>
        <v xml:space="preserve"> </v>
      </c>
      <c r="I8436" s="248" t="s">
        <v>348</v>
      </c>
      <c r="J8436" s="249" t="s">
        <v>97</v>
      </c>
      <c r="K8436" s="250">
        <v>34935.670155448272</v>
      </c>
      <c r="L8436" s="252"/>
    </row>
    <row r="8437" spans="1:12" x14ac:dyDescent="0.2">
      <c r="A8437" s="242">
        <v>2023</v>
      </c>
      <c r="B8437" s="242">
        <v>3</v>
      </c>
      <c r="C8437" s="242">
        <v>16</v>
      </c>
      <c r="D8437" s="270">
        <f t="shared" si="874"/>
        <v>45001</v>
      </c>
      <c r="E8437" s="279">
        <f t="shared" si="875"/>
        <v>45001</v>
      </c>
      <c r="F8437" s="478"/>
      <c r="G8437" s="243" t="s">
        <v>94</v>
      </c>
      <c r="H8437" s="243" t="str" cm="1">
        <f t="array" ref="H8437">IFERROR(INDEX(INVESTOR_LIST[INVESTOR NAME],MATCH(I8437,INVESTOR_LIST[INVESTOR CODE],0),)," ")</f>
        <v xml:space="preserve"> </v>
      </c>
      <c r="I8437" s="263" t="s">
        <v>348</v>
      </c>
      <c r="J8437" s="244" t="s">
        <v>47</v>
      </c>
      <c r="K8437" s="245"/>
      <c r="L8437" s="245">
        <v>34935.670155448272</v>
      </c>
    </row>
    <row r="8438" spans="1:12" x14ac:dyDescent="0.2">
      <c r="A8438" s="246">
        <v>2023</v>
      </c>
      <c r="B8438" s="238">
        <v>3</v>
      </c>
      <c r="C8438" s="238">
        <v>16</v>
      </c>
      <c r="D8438" s="270">
        <f t="shared" si="874"/>
        <v>45001</v>
      </c>
      <c r="E8438" s="279">
        <f t="shared" si="875"/>
        <v>45001</v>
      </c>
      <c r="F8438" s="482" t="s">
        <v>138</v>
      </c>
      <c r="G8438" s="247" t="s">
        <v>94</v>
      </c>
      <c r="H8438" s="247" t="str" cm="1">
        <f t="array" ref="H8438">IFERROR(INDEX(INVESTOR_LIST[INVESTOR NAME],MATCH(I8438,INVESTOR_LIST[INVESTOR CODE],0),)," ")</f>
        <v xml:space="preserve"> </v>
      </c>
      <c r="I8438" s="248" t="s">
        <v>348</v>
      </c>
      <c r="J8438" s="249" t="s">
        <v>100</v>
      </c>
      <c r="K8438" s="250">
        <v>3493.567015544827</v>
      </c>
      <c r="L8438" s="252"/>
    </row>
    <row r="8439" spans="1:12" ht="10.9" customHeight="1" x14ac:dyDescent="0.2">
      <c r="A8439" s="242">
        <v>2023</v>
      </c>
      <c r="B8439" s="242">
        <v>3</v>
      </c>
      <c r="C8439" s="242">
        <v>16</v>
      </c>
      <c r="D8439" s="321">
        <f t="shared" si="874"/>
        <v>45001</v>
      </c>
      <c r="E8439" s="322">
        <f t="shared" si="875"/>
        <v>45001</v>
      </c>
      <c r="F8439" s="478"/>
      <c r="G8439" s="243" t="s">
        <v>94</v>
      </c>
      <c r="H8439" s="243" t="str" cm="1">
        <f t="array" ref="H8439">IFERROR(INDEX(INVESTOR_LIST[INVESTOR NAME],MATCH(I8439,INVESTOR_LIST[INVESTOR CODE],0),)," ")</f>
        <v xml:space="preserve"> </v>
      </c>
      <c r="I8439" s="263" t="s">
        <v>348</v>
      </c>
      <c r="J8439" s="244" t="s">
        <v>48</v>
      </c>
      <c r="K8439" s="245"/>
      <c r="L8439" s="245">
        <v>3493.567015544827</v>
      </c>
    </row>
    <row r="8440" spans="1:12" ht="33.75" x14ac:dyDescent="0.2">
      <c r="A8440" s="168">
        <v>2023</v>
      </c>
      <c r="B8440" s="168">
        <v>3</v>
      </c>
      <c r="C8440" s="168">
        <v>20</v>
      </c>
      <c r="D8440" s="141">
        <f t="shared" si="874"/>
        <v>45005</v>
      </c>
      <c r="E8440" s="275">
        <f t="shared" si="875"/>
        <v>45005</v>
      </c>
      <c r="F8440" s="479" t="s">
        <v>1315</v>
      </c>
      <c r="G8440" s="220" t="s">
        <v>74</v>
      </c>
      <c r="H8440" s="142" t="str" cm="1">
        <f t="array" ref="H8440">IFERROR(INDEX(INVESTOR_LIST[INVESTOR NAME],MATCH(I8440,INVESTOR_LIST[INVESTOR CODE],0),)," ")</f>
        <v>HARI PADA SAHA</v>
      </c>
      <c r="I8440" s="142" t="s">
        <v>370</v>
      </c>
      <c r="J8440" s="168" t="s">
        <v>13</v>
      </c>
      <c r="K8440" s="218">
        <v>394880</v>
      </c>
      <c r="L8440" s="226"/>
    </row>
    <row r="8441" spans="1:12" ht="33.75" x14ac:dyDescent="0.2">
      <c r="A8441" s="133">
        <v>2023</v>
      </c>
      <c r="B8441" s="133">
        <v>3</v>
      </c>
      <c r="C8441" s="133">
        <v>20</v>
      </c>
      <c r="D8441" s="141">
        <f t="shared" si="874"/>
        <v>45005</v>
      </c>
      <c r="E8441" s="275">
        <f t="shared" si="875"/>
        <v>45005</v>
      </c>
      <c r="F8441" s="481"/>
      <c r="G8441" s="174" t="s">
        <v>74</v>
      </c>
      <c r="H8441" s="148" t="str" cm="1">
        <f t="array" ref="H8441">IFERROR(INDEX(INVESTOR_LIST[INVESTOR NAME],MATCH(I8441,INVESTOR_LIST[INVESTOR CODE],0),)," ")</f>
        <v>HARI PADA SAHA</v>
      </c>
      <c r="I8441" s="148" t="s">
        <v>370</v>
      </c>
      <c r="J8441" s="133" t="s">
        <v>53</v>
      </c>
      <c r="K8441" s="218">
        <v>89637.759999999995</v>
      </c>
      <c r="L8441" s="218"/>
    </row>
    <row r="8442" spans="1:12" ht="33.75" x14ac:dyDescent="0.2">
      <c r="A8442" s="163">
        <v>2023</v>
      </c>
      <c r="B8442" s="163">
        <v>3</v>
      </c>
      <c r="C8442" s="163">
        <v>20</v>
      </c>
      <c r="D8442" s="280">
        <f t="shared" si="874"/>
        <v>45005</v>
      </c>
      <c r="E8442" s="281">
        <f t="shared" si="875"/>
        <v>45005</v>
      </c>
      <c r="F8442" s="480"/>
      <c r="G8442" s="221" t="s">
        <v>74</v>
      </c>
      <c r="H8442" s="145" t="str" cm="1">
        <f t="array" ref="H8442">IFERROR(INDEX(INVESTOR_LIST[INVESTOR NAME],MATCH(I8442,INVESTOR_LIST[INVESTOR CODE],0),)," ")</f>
        <v>HARI PADA SAHA</v>
      </c>
      <c r="I8442" s="145" t="s">
        <v>370</v>
      </c>
      <c r="J8442" s="163" t="s">
        <v>52</v>
      </c>
      <c r="K8442" s="219"/>
      <c r="L8442" s="219">
        <v>484517.76</v>
      </c>
    </row>
    <row r="8443" spans="1:12" x14ac:dyDescent="0.2">
      <c r="A8443" s="168">
        <v>2023</v>
      </c>
      <c r="B8443" s="168">
        <v>3</v>
      </c>
      <c r="C8443" s="168">
        <v>19</v>
      </c>
      <c r="D8443" s="141">
        <f>DATE(A8443,B8443,C8443)</f>
        <v>45004</v>
      </c>
      <c r="E8443" s="275">
        <f>DATE(A8443,B8443,C8443)</f>
        <v>45004</v>
      </c>
      <c r="F8443" s="479" t="s">
        <v>1500</v>
      </c>
      <c r="G8443" s="220" t="s">
        <v>74</v>
      </c>
      <c r="H8443" s="220" t="str" cm="1">
        <f t="array" ref="H8443">IFERROR(INDEX(INVESTOR_LIST[INVESTOR NAME],MATCH(I8443,INVESTOR_LIST[INVESTOR CODE],0),)," ")</f>
        <v xml:space="preserve"> </v>
      </c>
      <c r="I8443" s="142"/>
      <c r="J8443" s="143" t="s">
        <v>52</v>
      </c>
      <c r="K8443" s="226">
        <v>4373612.7</v>
      </c>
      <c r="L8443" s="226"/>
    </row>
    <row r="8444" spans="1:12" x14ac:dyDescent="0.2">
      <c r="A8444" s="163">
        <v>2023</v>
      </c>
      <c r="B8444" s="163">
        <v>3</v>
      </c>
      <c r="C8444" s="163">
        <v>19</v>
      </c>
      <c r="D8444" s="141">
        <f>DATE(A8444,B8444,C8444)</f>
        <v>45004</v>
      </c>
      <c r="E8444" s="275">
        <f>DATE(A8444,B8444,C8444)</f>
        <v>45004</v>
      </c>
      <c r="F8444" s="480"/>
      <c r="G8444" s="221" t="s">
        <v>74</v>
      </c>
      <c r="H8444" s="221" t="str" cm="1">
        <f t="array" ref="H8444">IFERROR(INDEX(INVESTOR_LIST[INVESTOR NAME],MATCH(I8444,INVESTOR_LIST[INVESTOR CODE],0),)," ")</f>
        <v xml:space="preserve"> </v>
      </c>
      <c r="I8444" s="145"/>
      <c r="J8444" s="146" t="s">
        <v>190</v>
      </c>
      <c r="K8444" s="219"/>
      <c r="L8444" s="219">
        <v>4373612.7</v>
      </c>
    </row>
    <row r="8445" spans="1:12" x14ac:dyDescent="0.2">
      <c r="A8445" s="133">
        <v>2023</v>
      </c>
      <c r="B8445" s="133">
        <v>3</v>
      </c>
      <c r="C8445" s="168">
        <v>19</v>
      </c>
      <c r="D8445" s="141">
        <f>DATE(A8445,B8445,C8445)</f>
        <v>45004</v>
      </c>
      <c r="E8445" s="275">
        <f>DATE(A8445,B8445,C8445)</f>
        <v>45004</v>
      </c>
      <c r="F8445" s="479" t="s">
        <v>1638</v>
      </c>
      <c r="G8445" s="220" t="s">
        <v>74</v>
      </c>
      <c r="H8445" s="220" t="str" cm="1">
        <f t="array" ref="H8445">IFERROR(INDEX(INVESTOR_LIST[INVESTOR NAME],MATCH(I8445,INVESTOR_LIST[INVESTOR CODE],0),)," ")</f>
        <v xml:space="preserve"> </v>
      </c>
      <c r="I8445" s="142" t="s">
        <v>348</v>
      </c>
      <c r="J8445" s="143" t="s">
        <v>96</v>
      </c>
      <c r="K8445" s="226">
        <v>3000000</v>
      </c>
      <c r="L8445" s="226"/>
    </row>
    <row r="8446" spans="1:12" x14ac:dyDescent="0.2">
      <c r="A8446" s="163">
        <v>2023</v>
      </c>
      <c r="B8446" s="163">
        <v>3</v>
      </c>
      <c r="C8446" s="163">
        <v>19</v>
      </c>
      <c r="D8446" s="280">
        <f>DATE(A8446,B8446,C8446)</f>
        <v>45004</v>
      </c>
      <c r="E8446" s="281">
        <f>DATE(A8446,B8446,C8446)</f>
        <v>45004</v>
      </c>
      <c r="F8446" s="480"/>
      <c r="G8446" s="221" t="s">
        <v>74</v>
      </c>
      <c r="H8446" s="221" t="str" cm="1">
        <f t="array" ref="H8446">IFERROR(INDEX(INVESTOR_LIST[INVESTOR NAME],MATCH(I8446,INVESTOR_LIST[INVESTOR CODE],0),)," ")</f>
        <v xml:space="preserve"> </v>
      </c>
      <c r="I8446" s="145" t="s">
        <v>348</v>
      </c>
      <c r="J8446" s="146" t="s">
        <v>52</v>
      </c>
      <c r="K8446" s="219"/>
      <c r="L8446" s="219">
        <v>3000000</v>
      </c>
    </row>
    <row r="8447" spans="1:12" ht="10.15" customHeight="1" x14ac:dyDescent="0.2">
      <c r="A8447" s="168">
        <v>2023</v>
      </c>
      <c r="B8447" s="168">
        <v>3</v>
      </c>
      <c r="C8447" s="168">
        <v>21</v>
      </c>
      <c r="D8447" s="141">
        <f t="shared" ref="D8447:D8451" si="876">DATE(A8447,B8447,C8447)</f>
        <v>45006</v>
      </c>
      <c r="E8447" s="275">
        <f t="shared" ref="E8447:E8451" si="877">DATE(A8447,B8447,C8447)</f>
        <v>45006</v>
      </c>
      <c r="F8447" s="479" t="s">
        <v>1315</v>
      </c>
      <c r="G8447" s="220" t="s">
        <v>74</v>
      </c>
      <c r="H8447" s="142" t="str" cm="1">
        <f t="array" ref="H8447">IFERROR(INDEX(INVESTOR_LIST[INVESTOR NAME],MATCH(I8447,INVESTOR_LIST[INVESTOR CODE],0),)," ")</f>
        <v>FARUQUE AHMED &amp; ZAHEDA BEGUM HENA</v>
      </c>
      <c r="I8447" s="142" t="s">
        <v>549</v>
      </c>
      <c r="J8447" s="168" t="s">
        <v>13</v>
      </c>
      <c r="K8447" s="218">
        <v>2385000</v>
      </c>
      <c r="L8447" s="226"/>
    </row>
    <row r="8448" spans="1:12" ht="10.15" customHeight="1" x14ac:dyDescent="0.2">
      <c r="A8448" s="133">
        <v>2023</v>
      </c>
      <c r="B8448" s="133">
        <v>3</v>
      </c>
      <c r="C8448" s="133">
        <v>21</v>
      </c>
      <c r="D8448" s="141">
        <f t="shared" si="876"/>
        <v>45006</v>
      </c>
      <c r="E8448" s="275">
        <f t="shared" si="877"/>
        <v>45006</v>
      </c>
      <c r="F8448" s="481"/>
      <c r="G8448" s="174" t="s">
        <v>74</v>
      </c>
      <c r="H8448" s="148" t="str" cm="1">
        <f t="array" ref="H8448">IFERROR(INDEX(INVESTOR_LIST[INVESTOR NAME],MATCH(I8448,INVESTOR_LIST[INVESTOR CODE],0),)," ")</f>
        <v>FARUQUE AHMED &amp; ZAHEDA BEGUM HENA</v>
      </c>
      <c r="I8448" s="148" t="s">
        <v>549</v>
      </c>
      <c r="J8448" s="133" t="s">
        <v>53</v>
      </c>
      <c r="K8448" s="218">
        <v>541400</v>
      </c>
      <c r="L8448" s="218"/>
    </row>
    <row r="8449" spans="1:14" ht="10.15" customHeight="1" x14ac:dyDescent="0.2">
      <c r="A8449" s="163">
        <v>2023</v>
      </c>
      <c r="B8449" s="163">
        <v>3</v>
      </c>
      <c r="C8449" s="163">
        <v>21</v>
      </c>
      <c r="D8449" s="280">
        <f t="shared" si="876"/>
        <v>45006</v>
      </c>
      <c r="E8449" s="281">
        <f t="shared" si="877"/>
        <v>45006</v>
      </c>
      <c r="F8449" s="480"/>
      <c r="G8449" s="221" t="s">
        <v>74</v>
      </c>
      <c r="H8449" s="145" t="str" cm="1">
        <f t="array" ref="H8449">IFERROR(INDEX(INVESTOR_LIST[INVESTOR NAME],MATCH(I8449,INVESTOR_LIST[INVESTOR CODE],0),)," ")</f>
        <v>FARUQUE AHMED &amp; ZAHEDA BEGUM HENA</v>
      </c>
      <c r="I8449" s="145" t="s">
        <v>549</v>
      </c>
      <c r="J8449" s="163" t="s">
        <v>52</v>
      </c>
      <c r="K8449" s="219"/>
      <c r="L8449" s="219">
        <v>2926400</v>
      </c>
    </row>
    <row r="8450" spans="1:14" x14ac:dyDescent="0.2">
      <c r="A8450" s="168">
        <v>2023</v>
      </c>
      <c r="B8450" s="168">
        <v>3</v>
      </c>
      <c r="C8450" s="168">
        <v>21</v>
      </c>
      <c r="D8450" s="141">
        <f t="shared" si="876"/>
        <v>45006</v>
      </c>
      <c r="E8450" s="275">
        <f t="shared" si="877"/>
        <v>45006</v>
      </c>
      <c r="F8450" s="479" t="s">
        <v>1567</v>
      </c>
      <c r="G8450" s="220" t="s">
        <v>74</v>
      </c>
      <c r="H8450" s="142" t="str" cm="1">
        <f t="array" ref="H8450">IFERROR(INDEX(INVESTOR_LIST[INVESTOR NAME],MATCH(I8450,INVESTOR_LIST[INVESTOR CODE],0),)," ")</f>
        <v xml:space="preserve"> </v>
      </c>
      <c r="I8450" s="142"/>
      <c r="J8450" s="168" t="s">
        <v>61</v>
      </c>
      <c r="K8450" s="226">
        <v>100</v>
      </c>
      <c r="L8450" s="226"/>
    </row>
    <row r="8451" spans="1:14" x14ac:dyDescent="0.2">
      <c r="A8451" s="163">
        <v>2023</v>
      </c>
      <c r="B8451" s="163">
        <v>3</v>
      </c>
      <c r="C8451" s="163">
        <v>21</v>
      </c>
      <c r="D8451" s="144">
        <f t="shared" si="876"/>
        <v>45006</v>
      </c>
      <c r="E8451" s="313">
        <f t="shared" si="877"/>
        <v>45006</v>
      </c>
      <c r="F8451" s="480"/>
      <c r="G8451" s="221" t="s">
        <v>74</v>
      </c>
      <c r="H8451" s="145" t="str" cm="1">
        <f t="array" ref="H8451">IFERROR(INDEX(INVESTOR_LIST[INVESTOR NAME],MATCH(I8451,INVESTOR_LIST[INVESTOR CODE],0),)," ")</f>
        <v xml:space="preserve"> </v>
      </c>
      <c r="I8451" s="145"/>
      <c r="J8451" s="163" t="s">
        <v>52</v>
      </c>
      <c r="K8451" s="219"/>
      <c r="L8451" s="219">
        <v>100</v>
      </c>
    </row>
    <row r="8452" spans="1:14" x14ac:dyDescent="0.2">
      <c r="A8452" s="168">
        <v>2023</v>
      </c>
      <c r="B8452" s="168">
        <v>3</v>
      </c>
      <c r="C8452" s="168">
        <v>22</v>
      </c>
      <c r="D8452" s="141">
        <f>DATE(A8452,B8452,C8452)</f>
        <v>45007</v>
      </c>
      <c r="E8452" s="275">
        <f>DATE(A8452,B8452,C8452)</f>
        <v>45007</v>
      </c>
      <c r="F8452" s="479" t="s">
        <v>1637</v>
      </c>
      <c r="G8452" s="174" t="s">
        <v>74</v>
      </c>
      <c r="H8452" s="148" t="str" cm="1">
        <f t="array" ref="H8452">IFERROR(INDEX(INVESTOR_LIST[INVESTOR NAME],MATCH(I8452,INVESTOR_LIST[INVESTOR CODE],0),)," ")</f>
        <v xml:space="preserve"> </v>
      </c>
      <c r="I8452" s="148" t="s">
        <v>348</v>
      </c>
      <c r="J8452" s="133" t="s">
        <v>47</v>
      </c>
      <c r="K8452" s="172">
        <v>600000</v>
      </c>
    </row>
    <row r="8453" spans="1:14" x14ac:dyDescent="0.2">
      <c r="A8453" s="163">
        <v>2023</v>
      </c>
      <c r="B8453" s="163">
        <v>3</v>
      </c>
      <c r="C8453" s="163">
        <v>22</v>
      </c>
      <c r="D8453" s="141">
        <f>DATE(A8453,B8453,C8453)</f>
        <v>45007</v>
      </c>
      <c r="E8453" s="275">
        <f>DATE(A8453,B8453,C8453)</f>
        <v>45007</v>
      </c>
      <c r="F8453" s="480"/>
      <c r="G8453" s="221" t="s">
        <v>74</v>
      </c>
      <c r="H8453" s="145" t="str" cm="1">
        <f t="array" ref="H8453">IFERROR(INDEX(INVESTOR_LIST[INVESTOR NAME],MATCH(I8453,INVESTOR_LIST[INVESTOR CODE],0),)," ")</f>
        <v xml:space="preserve"> </v>
      </c>
      <c r="I8453" s="145" t="s">
        <v>348</v>
      </c>
      <c r="J8453" s="163" t="s">
        <v>52</v>
      </c>
      <c r="K8453" s="219"/>
      <c r="L8453" s="219">
        <v>600000</v>
      </c>
    </row>
    <row r="8454" spans="1:14" x14ac:dyDescent="0.2">
      <c r="A8454" s="324">
        <v>2023</v>
      </c>
      <c r="B8454" s="324">
        <v>3</v>
      </c>
      <c r="C8454" s="325">
        <v>23</v>
      </c>
      <c r="D8454" s="326">
        <f>DATE(A8454,B8454,C8454)</f>
        <v>45008</v>
      </c>
      <c r="E8454" s="327">
        <f>DATE(A8454,B8454,C8454)</f>
        <v>45008</v>
      </c>
      <c r="F8454" s="473" t="s">
        <v>1634</v>
      </c>
      <c r="G8454" s="328" t="s">
        <v>94</v>
      </c>
      <c r="H8454" s="329" t="str" cm="1">
        <f t="array" ref="H8454">IFERROR(INDEX(INVESTOR_LIST[INVESTOR NAME],MATCH(I8454,INVESTOR_LIST[INVESTOR CODE],0),)," ")</f>
        <v xml:space="preserve"> </v>
      </c>
      <c r="I8454" s="329" t="s">
        <v>348</v>
      </c>
      <c r="J8454" s="324" t="s">
        <v>133</v>
      </c>
      <c r="K8454" s="330">
        <v>3966.35</v>
      </c>
      <c r="L8454" s="330"/>
      <c r="M8454" s="160"/>
    </row>
    <row r="8455" spans="1:14" x14ac:dyDescent="0.2">
      <c r="A8455" s="331">
        <v>2023</v>
      </c>
      <c r="B8455" s="331">
        <v>3</v>
      </c>
      <c r="C8455" s="331">
        <v>23</v>
      </c>
      <c r="D8455" s="326">
        <f>DATE(A8455,B8455,C8455)</f>
        <v>45008</v>
      </c>
      <c r="E8455" s="327">
        <f>DATE(A8455,B8455,C8455)</f>
        <v>45008</v>
      </c>
      <c r="F8455" s="474"/>
      <c r="G8455" s="332" t="s">
        <v>94</v>
      </c>
      <c r="H8455" s="333" t="str" cm="1">
        <f t="array" ref="H8455">IFERROR(INDEX(INVESTOR_LIST[INVESTOR NAME],MATCH(I8455,INVESTOR_LIST[INVESTOR CODE],0),)," ")</f>
        <v xml:space="preserve"> </v>
      </c>
      <c r="I8455" s="333" t="s">
        <v>348</v>
      </c>
      <c r="J8455" s="331" t="s">
        <v>152</v>
      </c>
      <c r="K8455" s="334"/>
      <c r="L8455" s="334">
        <v>3966.35</v>
      </c>
      <c r="M8455" s="160"/>
    </row>
    <row r="8456" spans="1:14" x14ac:dyDescent="0.2">
      <c r="A8456" s="324">
        <v>2023</v>
      </c>
      <c r="B8456" s="324">
        <v>3</v>
      </c>
      <c r="C8456" s="325">
        <v>23</v>
      </c>
      <c r="D8456" s="326">
        <f t="shared" ref="D8456:D8459" si="878">DATE(A8456,B8456,C8456)</f>
        <v>45008</v>
      </c>
      <c r="E8456" s="327">
        <f t="shared" ref="E8456:E8459" si="879">DATE(A8456,B8456,C8456)</f>
        <v>45008</v>
      </c>
      <c r="F8456" s="473" t="s">
        <v>1490</v>
      </c>
      <c r="G8456" s="328" t="s">
        <v>94</v>
      </c>
      <c r="H8456" s="329" t="str" cm="1">
        <f t="array" ref="H8456">IFERROR(INDEX(INVESTOR_LIST[INVESTOR NAME],MATCH(I8456,INVESTOR_LIST[INVESTOR CODE],0),)," ")</f>
        <v xml:space="preserve"> </v>
      </c>
      <c r="I8456" s="329" t="s">
        <v>348</v>
      </c>
      <c r="J8456" s="325" t="s">
        <v>133</v>
      </c>
      <c r="K8456" s="330">
        <v>23479.68</v>
      </c>
      <c r="L8456" s="330"/>
      <c r="M8456" s="160"/>
    </row>
    <row r="8457" spans="1:14" x14ac:dyDescent="0.2">
      <c r="A8457" s="331">
        <v>2023</v>
      </c>
      <c r="B8457" s="331">
        <v>3</v>
      </c>
      <c r="C8457" s="331">
        <v>23</v>
      </c>
      <c r="D8457" s="326">
        <f t="shared" si="878"/>
        <v>45008</v>
      </c>
      <c r="E8457" s="327">
        <f t="shared" si="879"/>
        <v>45008</v>
      </c>
      <c r="F8457" s="474"/>
      <c r="G8457" s="332" t="s">
        <v>94</v>
      </c>
      <c r="H8457" s="333" t="str" cm="1">
        <f t="array" ref="H8457">IFERROR(INDEX(INVESTOR_LIST[INVESTOR NAME],MATCH(I8457,INVESTOR_LIST[INVESTOR CODE],0),)," ")</f>
        <v xml:space="preserve"> </v>
      </c>
      <c r="I8457" s="333" t="s">
        <v>348</v>
      </c>
      <c r="J8457" s="331" t="s">
        <v>152</v>
      </c>
      <c r="K8457" s="334"/>
      <c r="L8457" s="334">
        <v>23479.68</v>
      </c>
      <c r="M8457" s="160"/>
      <c r="N8457" s="160"/>
    </row>
    <row r="8458" spans="1:14" x14ac:dyDescent="0.2">
      <c r="A8458" s="324">
        <v>2023</v>
      </c>
      <c r="B8458" s="324">
        <v>3</v>
      </c>
      <c r="C8458" s="325">
        <v>23</v>
      </c>
      <c r="D8458" s="326">
        <f t="shared" si="878"/>
        <v>45008</v>
      </c>
      <c r="E8458" s="327">
        <f t="shared" si="879"/>
        <v>45008</v>
      </c>
      <c r="F8458" s="473" t="s">
        <v>1491</v>
      </c>
      <c r="G8458" s="328" t="s">
        <v>94</v>
      </c>
      <c r="H8458" s="329" t="str" cm="1">
        <f t="array" ref="H8458">IFERROR(INDEX(INVESTOR_LIST[INVESTOR NAME],MATCH(I8458,INVESTOR_LIST[INVESTOR CODE],0),)," ")</f>
        <v xml:space="preserve"> </v>
      </c>
      <c r="I8458" s="329" t="s">
        <v>348</v>
      </c>
      <c r="J8458" s="324" t="s">
        <v>133</v>
      </c>
      <c r="K8458" s="330">
        <v>13125</v>
      </c>
      <c r="L8458" s="330"/>
      <c r="M8458" s="160"/>
      <c r="N8458" s="160"/>
    </row>
    <row r="8459" spans="1:14" x14ac:dyDescent="0.2">
      <c r="A8459" s="331">
        <v>2023</v>
      </c>
      <c r="B8459" s="331">
        <v>3</v>
      </c>
      <c r="C8459" s="331">
        <v>23</v>
      </c>
      <c r="D8459" s="326">
        <f t="shared" si="878"/>
        <v>45008</v>
      </c>
      <c r="E8459" s="327">
        <f t="shared" si="879"/>
        <v>45008</v>
      </c>
      <c r="F8459" s="474"/>
      <c r="G8459" s="332" t="s">
        <v>94</v>
      </c>
      <c r="H8459" s="333" t="str" cm="1">
        <f t="array" ref="H8459">IFERROR(INDEX(INVESTOR_LIST[INVESTOR NAME],MATCH(I8459,INVESTOR_LIST[INVESTOR CODE],0),)," ")</f>
        <v xml:space="preserve"> </v>
      </c>
      <c r="I8459" s="333" t="s">
        <v>348</v>
      </c>
      <c r="J8459" s="331" t="s">
        <v>152</v>
      </c>
      <c r="K8459" s="334"/>
      <c r="L8459" s="334">
        <v>13125</v>
      </c>
      <c r="M8459" s="160"/>
    </row>
    <row r="8460" spans="1:14" x14ac:dyDescent="0.2">
      <c r="A8460" s="324">
        <v>2023</v>
      </c>
      <c r="B8460" s="324">
        <v>3</v>
      </c>
      <c r="C8460" s="325">
        <v>23</v>
      </c>
      <c r="D8460" s="326">
        <f>DATE(A8460,B8460,C8460)</f>
        <v>45008</v>
      </c>
      <c r="E8460" s="327">
        <f>DATE(A8460,B8460,C8460)</f>
        <v>45008</v>
      </c>
      <c r="F8460" s="473" t="s">
        <v>1531</v>
      </c>
      <c r="G8460" s="328" t="s">
        <v>94</v>
      </c>
      <c r="H8460" s="329" t="str" cm="1">
        <f t="array" ref="H8460">IFERROR(INDEX(INVESTOR_LIST[INVESTOR NAME],MATCH(I8460,INVESTOR_LIST[INVESTOR CODE],0),)," ")</f>
        <v xml:space="preserve"> </v>
      </c>
      <c r="I8460" s="329" t="s">
        <v>348</v>
      </c>
      <c r="J8460" s="324" t="s">
        <v>133</v>
      </c>
      <c r="K8460" s="330">
        <v>22349.17</v>
      </c>
      <c r="L8460" s="330"/>
      <c r="M8460" s="160"/>
    </row>
    <row r="8461" spans="1:14" x14ac:dyDescent="0.2">
      <c r="A8461" s="331">
        <v>2023</v>
      </c>
      <c r="B8461" s="331">
        <v>3</v>
      </c>
      <c r="C8461" s="331">
        <v>23</v>
      </c>
      <c r="D8461" s="326">
        <f>DATE(A8461,B8461,C8461)</f>
        <v>45008</v>
      </c>
      <c r="E8461" s="327">
        <f>DATE(A8461,B8461,C8461)</f>
        <v>45008</v>
      </c>
      <c r="F8461" s="474"/>
      <c r="G8461" s="332" t="s">
        <v>94</v>
      </c>
      <c r="H8461" s="333" t="str" cm="1">
        <f t="array" ref="H8461">IFERROR(INDEX(INVESTOR_LIST[INVESTOR NAME],MATCH(I8461,INVESTOR_LIST[INVESTOR CODE],0),)," ")</f>
        <v xml:space="preserve"> </v>
      </c>
      <c r="I8461" s="333" t="s">
        <v>348</v>
      </c>
      <c r="J8461" s="331" t="s">
        <v>152</v>
      </c>
      <c r="K8461" s="334"/>
      <c r="L8461" s="334">
        <v>22349.17</v>
      </c>
      <c r="M8461" s="160"/>
    </row>
    <row r="8462" spans="1:14" x14ac:dyDescent="0.2">
      <c r="A8462" s="238">
        <v>2023</v>
      </c>
      <c r="B8462" s="238">
        <v>3</v>
      </c>
      <c r="C8462" s="238">
        <v>23</v>
      </c>
      <c r="D8462" s="270">
        <f t="shared" ref="D8462:D8480" si="880">DATE(A8462,B8462,C8462)</f>
        <v>45008</v>
      </c>
      <c r="E8462" s="279">
        <f t="shared" ref="E8462:E8480" si="881">DATE(A8462,B8462,C8462)</f>
        <v>45008</v>
      </c>
      <c r="F8462" s="477" t="s">
        <v>347</v>
      </c>
      <c r="G8462" s="239" t="s">
        <v>94</v>
      </c>
      <c r="H8462" s="239" t="str" cm="1">
        <f t="array" ref="H8462">IFERROR(INDEX(INVESTOR_LIST[INVESTOR NAME],MATCH(I8462,INVESTOR_LIST[INVESTOR CODE],0),)," ")</f>
        <v xml:space="preserve"> </v>
      </c>
      <c r="I8462" s="262" t="s">
        <v>348</v>
      </c>
      <c r="J8462" s="240" t="s">
        <v>82</v>
      </c>
      <c r="K8462" s="241">
        <v>4512.6300000101328</v>
      </c>
      <c r="L8462" s="241"/>
    </row>
    <row r="8463" spans="1:14" x14ac:dyDescent="0.2">
      <c r="A8463" s="242">
        <v>2023</v>
      </c>
      <c r="B8463" s="242">
        <v>3</v>
      </c>
      <c r="C8463" s="242">
        <v>23</v>
      </c>
      <c r="D8463" s="270">
        <f t="shared" si="880"/>
        <v>45008</v>
      </c>
      <c r="E8463" s="279">
        <f t="shared" si="881"/>
        <v>45008</v>
      </c>
      <c r="F8463" s="478"/>
      <c r="G8463" s="243" t="s">
        <v>94</v>
      </c>
      <c r="H8463" s="243" t="str" cm="1">
        <f t="array" ref="H8463">IFERROR(INDEX(INVESTOR_LIST[INVESTOR NAME],MATCH(I8463,INVESTOR_LIST[INVESTOR CODE],0),)," ")</f>
        <v xml:space="preserve"> </v>
      </c>
      <c r="I8463" s="263" t="s">
        <v>348</v>
      </c>
      <c r="J8463" s="244" t="s">
        <v>108</v>
      </c>
      <c r="K8463" s="245"/>
      <c r="L8463" s="245">
        <v>4512.6300000101328</v>
      </c>
    </row>
    <row r="8464" spans="1:14" ht="22.5" x14ac:dyDescent="0.2">
      <c r="A8464" s="246">
        <v>2023</v>
      </c>
      <c r="B8464" s="238">
        <v>3</v>
      </c>
      <c r="C8464" s="238">
        <v>23</v>
      </c>
      <c r="D8464" s="270">
        <f t="shared" si="880"/>
        <v>45008</v>
      </c>
      <c r="E8464" s="279">
        <f t="shared" si="881"/>
        <v>45008</v>
      </c>
      <c r="F8464" s="482" t="s">
        <v>148</v>
      </c>
      <c r="G8464" s="247" t="s">
        <v>94</v>
      </c>
      <c r="H8464" s="247" t="str" cm="1">
        <f t="array" ref="H8464">IFERROR(INDEX(INVESTOR_LIST[INVESTOR NAME],MATCH(I8464,INVESTOR_LIST[INVESTOR CODE],0),)," ")</f>
        <v xml:space="preserve"> </v>
      </c>
      <c r="I8464" s="248" t="s">
        <v>348</v>
      </c>
      <c r="J8464" s="249" t="s">
        <v>95</v>
      </c>
      <c r="K8464" s="250">
        <v>2747.2527472527472</v>
      </c>
      <c r="L8464" s="241"/>
    </row>
    <row r="8465" spans="1:12" x14ac:dyDescent="0.2">
      <c r="A8465" s="242">
        <v>2023</v>
      </c>
      <c r="B8465" s="242">
        <v>3</v>
      </c>
      <c r="C8465" s="242">
        <v>23</v>
      </c>
      <c r="D8465" s="270">
        <f t="shared" si="880"/>
        <v>45008</v>
      </c>
      <c r="E8465" s="279">
        <f t="shared" si="881"/>
        <v>45008</v>
      </c>
      <c r="F8465" s="478"/>
      <c r="G8465" s="243" t="s">
        <v>94</v>
      </c>
      <c r="H8465" s="243" t="str" cm="1">
        <f t="array" ref="H8465">IFERROR(INDEX(INVESTOR_LIST[INVESTOR NAME],MATCH(I8465,INVESTOR_LIST[INVESTOR CODE],0),)," ")</f>
        <v xml:space="preserve"> </v>
      </c>
      <c r="I8465" s="263" t="s">
        <v>348</v>
      </c>
      <c r="J8465" s="244" t="s">
        <v>63</v>
      </c>
      <c r="K8465" s="245"/>
      <c r="L8465" s="245">
        <v>2747.2527472527472</v>
      </c>
    </row>
    <row r="8466" spans="1:12" x14ac:dyDescent="0.2">
      <c r="A8466" s="246">
        <v>2023</v>
      </c>
      <c r="B8466" s="238">
        <v>3</v>
      </c>
      <c r="C8466" s="238">
        <v>23</v>
      </c>
      <c r="D8466" s="270">
        <f t="shared" si="880"/>
        <v>45008</v>
      </c>
      <c r="E8466" s="279">
        <f t="shared" si="881"/>
        <v>45008</v>
      </c>
      <c r="F8466" s="482" t="s">
        <v>137</v>
      </c>
      <c r="G8466" s="247" t="s">
        <v>94</v>
      </c>
      <c r="H8466" s="247" t="str" cm="1">
        <f t="array" ref="H8466">IFERROR(INDEX(INVESTOR_LIST[INVESTOR NAME],MATCH(I8466,INVESTOR_LIST[INVESTOR CODE],0),)," ")</f>
        <v xml:space="preserve"> </v>
      </c>
      <c r="I8466" s="248" t="s">
        <v>348</v>
      </c>
      <c r="J8466" s="249" t="s">
        <v>97</v>
      </c>
      <c r="K8466" s="250">
        <v>34283.018870848609</v>
      </c>
      <c r="L8466" s="252"/>
    </row>
    <row r="8467" spans="1:12" x14ac:dyDescent="0.2">
      <c r="A8467" s="242">
        <v>2023</v>
      </c>
      <c r="B8467" s="242">
        <v>3</v>
      </c>
      <c r="C8467" s="242">
        <v>23</v>
      </c>
      <c r="D8467" s="270">
        <f t="shared" si="880"/>
        <v>45008</v>
      </c>
      <c r="E8467" s="279">
        <f t="shared" si="881"/>
        <v>45008</v>
      </c>
      <c r="F8467" s="478"/>
      <c r="G8467" s="243" t="s">
        <v>94</v>
      </c>
      <c r="H8467" s="243" t="str" cm="1">
        <f t="array" ref="H8467">IFERROR(INDEX(INVESTOR_LIST[INVESTOR NAME],MATCH(I8467,INVESTOR_LIST[INVESTOR CODE],0),)," ")</f>
        <v xml:space="preserve"> </v>
      </c>
      <c r="I8467" s="263" t="s">
        <v>348</v>
      </c>
      <c r="J8467" s="244" t="s">
        <v>47</v>
      </c>
      <c r="K8467" s="245"/>
      <c r="L8467" s="245">
        <v>34283.018870848609</v>
      </c>
    </row>
    <row r="8468" spans="1:12" x14ac:dyDescent="0.2">
      <c r="A8468" s="246">
        <v>2023</v>
      </c>
      <c r="B8468" s="238">
        <v>3</v>
      </c>
      <c r="C8468" s="238">
        <v>23</v>
      </c>
      <c r="D8468" s="270">
        <f t="shared" si="880"/>
        <v>45008</v>
      </c>
      <c r="E8468" s="279">
        <f t="shared" si="881"/>
        <v>45008</v>
      </c>
      <c r="F8468" s="482" t="s">
        <v>138</v>
      </c>
      <c r="G8468" s="247" t="s">
        <v>94</v>
      </c>
      <c r="H8468" s="247" t="str" cm="1">
        <f t="array" ref="H8468">IFERROR(INDEX(INVESTOR_LIST[INVESTOR NAME],MATCH(I8468,INVESTOR_LIST[INVESTOR CODE],0),)," ")</f>
        <v xml:space="preserve"> </v>
      </c>
      <c r="I8468" s="248" t="s">
        <v>348</v>
      </c>
      <c r="J8468" s="249" t="s">
        <v>100</v>
      </c>
      <c r="K8468" s="250">
        <v>3428.3018870848609</v>
      </c>
      <c r="L8468" s="252"/>
    </row>
    <row r="8469" spans="1:12" ht="10.9" customHeight="1" x14ac:dyDescent="0.2">
      <c r="A8469" s="242">
        <v>2023</v>
      </c>
      <c r="B8469" s="242">
        <v>3</v>
      </c>
      <c r="C8469" s="242">
        <v>23</v>
      </c>
      <c r="D8469" s="321">
        <f t="shared" si="880"/>
        <v>45008</v>
      </c>
      <c r="E8469" s="322">
        <f t="shared" si="881"/>
        <v>45008</v>
      </c>
      <c r="F8469" s="478"/>
      <c r="G8469" s="243" t="s">
        <v>94</v>
      </c>
      <c r="H8469" s="243" t="str" cm="1">
        <f t="array" ref="H8469">IFERROR(INDEX(INVESTOR_LIST[INVESTOR NAME],MATCH(I8469,INVESTOR_LIST[INVESTOR CODE],0),)," ")</f>
        <v xml:space="preserve"> </v>
      </c>
      <c r="I8469" s="263" t="s">
        <v>348</v>
      </c>
      <c r="J8469" s="244" t="s">
        <v>48</v>
      </c>
      <c r="K8469" s="245"/>
      <c r="L8469" s="245">
        <v>3428.3018870848609</v>
      </c>
    </row>
    <row r="8470" spans="1:12" ht="10.15" customHeight="1" x14ac:dyDescent="0.2">
      <c r="A8470" s="168">
        <v>2023</v>
      </c>
      <c r="B8470" s="168">
        <v>3</v>
      </c>
      <c r="C8470" s="168">
        <v>27</v>
      </c>
      <c r="D8470" s="141">
        <f t="shared" si="880"/>
        <v>45012</v>
      </c>
      <c r="E8470" s="275">
        <f t="shared" si="881"/>
        <v>45012</v>
      </c>
      <c r="F8470" s="479" t="s">
        <v>964</v>
      </c>
      <c r="G8470" s="220" t="s">
        <v>74</v>
      </c>
      <c r="H8470" s="142" t="str" cm="1">
        <f t="array" ref="H8470">IFERROR(INDEX(INVESTOR_LIST[INVESTOR NAME],MATCH(I8470,INVESTOR_LIST[INVESTOR CODE],0),)," ")</f>
        <v>FARUQUE AHMED &amp; ZAHEDA BEGUM HENA</v>
      </c>
      <c r="I8470" s="142" t="s">
        <v>549</v>
      </c>
      <c r="J8470" s="168" t="s">
        <v>52</v>
      </c>
      <c r="K8470" s="226">
        <v>2926400</v>
      </c>
      <c r="L8470" s="226"/>
    </row>
    <row r="8471" spans="1:12" ht="10.15" customHeight="1" x14ac:dyDescent="0.2">
      <c r="A8471" s="133">
        <v>2023</v>
      </c>
      <c r="B8471" s="133">
        <v>3</v>
      </c>
      <c r="C8471" s="133">
        <v>27</v>
      </c>
      <c r="D8471" s="141">
        <f t="shared" si="880"/>
        <v>45012</v>
      </c>
      <c r="E8471" s="275">
        <f t="shared" si="881"/>
        <v>45012</v>
      </c>
      <c r="F8471" s="481"/>
      <c r="G8471" s="174" t="s">
        <v>74</v>
      </c>
      <c r="H8471" s="148" t="str" cm="1">
        <f t="array" ref="H8471">IFERROR(INDEX(INVESTOR_LIST[INVESTOR NAME],MATCH(I8471,INVESTOR_LIST[INVESTOR CODE],0),)," ")</f>
        <v>FARUQUE AHMED &amp; ZAHEDA BEGUM HENA</v>
      </c>
      <c r="I8471" s="148" t="s">
        <v>549</v>
      </c>
      <c r="J8471" s="133" t="s">
        <v>13</v>
      </c>
      <c r="K8471" s="218"/>
      <c r="L8471" s="218">
        <v>2385000</v>
      </c>
    </row>
    <row r="8472" spans="1:12" ht="10.15" customHeight="1" x14ac:dyDescent="0.2">
      <c r="A8472" s="163">
        <v>2023</v>
      </c>
      <c r="B8472" s="163">
        <v>3</v>
      </c>
      <c r="C8472" s="163">
        <v>27</v>
      </c>
      <c r="D8472" s="280">
        <f t="shared" si="880"/>
        <v>45012</v>
      </c>
      <c r="E8472" s="281">
        <f t="shared" si="881"/>
        <v>45012</v>
      </c>
      <c r="F8472" s="480"/>
      <c r="G8472" s="221" t="s">
        <v>74</v>
      </c>
      <c r="H8472" s="145" t="str" cm="1">
        <f t="array" ref="H8472">IFERROR(INDEX(INVESTOR_LIST[INVESTOR NAME],MATCH(I8472,INVESTOR_LIST[INVESTOR CODE],0),)," ")</f>
        <v>FARUQUE AHMED &amp; ZAHEDA BEGUM HENA</v>
      </c>
      <c r="I8472" s="145" t="s">
        <v>549</v>
      </c>
      <c r="J8472" s="163" t="s">
        <v>53</v>
      </c>
      <c r="K8472" s="219"/>
      <c r="L8472" s="219">
        <v>541400</v>
      </c>
    </row>
    <row r="8473" spans="1:12" x14ac:dyDescent="0.2">
      <c r="A8473" s="168">
        <v>2023</v>
      </c>
      <c r="B8473" s="168">
        <v>3</v>
      </c>
      <c r="C8473" s="168">
        <v>27</v>
      </c>
      <c r="D8473" s="141">
        <f t="shared" si="880"/>
        <v>45012</v>
      </c>
      <c r="E8473" s="275">
        <f t="shared" si="881"/>
        <v>45012</v>
      </c>
      <c r="F8473" s="479" t="s">
        <v>1567</v>
      </c>
      <c r="G8473" s="220" t="s">
        <v>74</v>
      </c>
      <c r="H8473" s="142" t="str" cm="1">
        <f t="array" ref="H8473">IFERROR(INDEX(INVESTOR_LIST[INVESTOR NAME],MATCH(I8473,INVESTOR_LIST[INVESTOR CODE],0),)," ")</f>
        <v xml:space="preserve"> </v>
      </c>
      <c r="I8473" s="142"/>
      <c r="J8473" s="168" t="s">
        <v>61</v>
      </c>
      <c r="K8473" s="226">
        <v>60</v>
      </c>
      <c r="L8473" s="226"/>
    </row>
    <row r="8474" spans="1:12" x14ac:dyDescent="0.2">
      <c r="A8474" s="163">
        <v>2023</v>
      </c>
      <c r="B8474" s="163">
        <v>3</v>
      </c>
      <c r="C8474" s="163">
        <v>27</v>
      </c>
      <c r="D8474" s="144">
        <f t="shared" si="880"/>
        <v>45012</v>
      </c>
      <c r="E8474" s="313">
        <f t="shared" si="881"/>
        <v>45012</v>
      </c>
      <c r="F8474" s="480"/>
      <c r="G8474" s="221" t="s">
        <v>74</v>
      </c>
      <c r="H8474" s="145" t="str" cm="1">
        <f t="array" ref="H8474">IFERROR(INDEX(INVESTOR_LIST[INVESTOR NAME],MATCH(I8474,INVESTOR_LIST[INVESTOR CODE],0),)," ")</f>
        <v xml:space="preserve"> </v>
      </c>
      <c r="I8474" s="145"/>
      <c r="J8474" s="163" t="s">
        <v>52</v>
      </c>
      <c r="K8474" s="219"/>
      <c r="L8474" s="219">
        <v>60</v>
      </c>
    </row>
    <row r="8475" spans="1:12" x14ac:dyDescent="0.2">
      <c r="A8475" s="168">
        <v>2023</v>
      </c>
      <c r="B8475" s="168">
        <v>3</v>
      </c>
      <c r="C8475" s="168">
        <v>28</v>
      </c>
      <c r="D8475" s="141">
        <f t="shared" si="880"/>
        <v>45013</v>
      </c>
      <c r="E8475" s="275">
        <f t="shared" si="881"/>
        <v>45013</v>
      </c>
      <c r="F8475" s="479" t="s">
        <v>1319</v>
      </c>
      <c r="G8475" s="220" t="s">
        <v>74</v>
      </c>
      <c r="H8475" s="142" t="str" cm="1">
        <f t="array" ref="H8475">IFERROR(INDEX(INVESTOR_LIST[INVESTOR NAME],MATCH(I8475,INVESTOR_LIST[INVESTOR CODE],0),)," ")</f>
        <v xml:space="preserve"> </v>
      </c>
      <c r="I8475" s="142"/>
      <c r="J8475" s="168" t="s">
        <v>52</v>
      </c>
      <c r="K8475" s="226">
        <v>392000</v>
      </c>
      <c r="L8475" s="226"/>
    </row>
    <row r="8476" spans="1:12" x14ac:dyDescent="0.2">
      <c r="A8476" s="133">
        <v>2023</v>
      </c>
      <c r="B8476" s="133">
        <v>3</v>
      </c>
      <c r="C8476" s="133">
        <v>28</v>
      </c>
      <c r="D8476" s="141">
        <f t="shared" si="880"/>
        <v>45013</v>
      </c>
      <c r="E8476" s="275">
        <f t="shared" si="881"/>
        <v>45013</v>
      </c>
      <c r="F8476" s="481"/>
      <c r="G8476" s="174" t="s">
        <v>74</v>
      </c>
      <c r="H8476" s="148" t="str" cm="1">
        <f t="array" ref="H8476">IFERROR(INDEX(INVESTOR_LIST[INVESTOR NAME],MATCH(I8476,INVESTOR_LIST[INVESTOR CODE],0),)," ")</f>
        <v xml:space="preserve"> </v>
      </c>
      <c r="J8476" s="133" t="s">
        <v>13</v>
      </c>
      <c r="K8476" s="218"/>
      <c r="L8476" s="218">
        <v>319320</v>
      </c>
    </row>
    <row r="8477" spans="1:12" x14ac:dyDescent="0.2">
      <c r="A8477" s="163">
        <v>2023</v>
      </c>
      <c r="B8477" s="163">
        <v>3</v>
      </c>
      <c r="C8477" s="163">
        <v>28</v>
      </c>
      <c r="D8477" s="280">
        <f t="shared" si="880"/>
        <v>45013</v>
      </c>
      <c r="E8477" s="281">
        <f t="shared" si="881"/>
        <v>45013</v>
      </c>
      <c r="F8477" s="480"/>
      <c r="G8477" s="221" t="s">
        <v>74</v>
      </c>
      <c r="H8477" s="145" t="str" cm="1">
        <f t="array" ref="H8477">IFERROR(INDEX(INVESTOR_LIST[INVESTOR NAME],MATCH(I8477,INVESTOR_LIST[INVESTOR CODE],0),)," ")</f>
        <v xml:space="preserve"> </v>
      </c>
      <c r="I8477" s="145"/>
      <c r="J8477" s="163" t="s">
        <v>53</v>
      </c>
      <c r="K8477" s="219"/>
      <c r="L8477" s="219">
        <v>72680</v>
      </c>
    </row>
    <row r="8478" spans="1:12" ht="10.15" customHeight="1" x14ac:dyDescent="0.2">
      <c r="A8478" s="168">
        <v>2023</v>
      </c>
      <c r="B8478" s="168">
        <v>3</v>
      </c>
      <c r="C8478" s="168">
        <v>28</v>
      </c>
      <c r="D8478" s="141">
        <f t="shared" si="880"/>
        <v>45013</v>
      </c>
      <c r="E8478" s="275">
        <f t="shared" si="881"/>
        <v>45013</v>
      </c>
      <c r="F8478" s="479" t="s">
        <v>1315</v>
      </c>
      <c r="G8478" s="220" t="s">
        <v>74</v>
      </c>
      <c r="H8478" s="142" t="str" cm="1">
        <f t="array" ref="H8478">IFERROR(INDEX(INVESTOR_LIST[INVESTOR NAME],MATCH(I8478,INVESTOR_LIST[INVESTOR CODE],0),)," ")</f>
        <v>FARUQUE AHMED &amp; ZAHEDA BEGUM HENA</v>
      </c>
      <c r="I8478" s="142" t="s">
        <v>549</v>
      </c>
      <c r="J8478" s="168" t="s">
        <v>13</v>
      </c>
      <c r="K8478" s="218">
        <v>2385000</v>
      </c>
      <c r="L8478" s="226"/>
    </row>
    <row r="8479" spans="1:12" ht="10.15" customHeight="1" x14ac:dyDescent="0.2">
      <c r="A8479" s="133">
        <v>2023</v>
      </c>
      <c r="B8479" s="133">
        <v>3</v>
      </c>
      <c r="C8479" s="133">
        <v>28</v>
      </c>
      <c r="D8479" s="141">
        <f t="shared" si="880"/>
        <v>45013</v>
      </c>
      <c r="E8479" s="275">
        <f t="shared" si="881"/>
        <v>45013</v>
      </c>
      <c r="F8479" s="481"/>
      <c r="G8479" s="174" t="s">
        <v>74</v>
      </c>
      <c r="H8479" s="148" t="str" cm="1">
        <f t="array" ref="H8479">IFERROR(INDEX(INVESTOR_LIST[INVESTOR NAME],MATCH(I8479,INVESTOR_LIST[INVESTOR CODE],0),)," ")</f>
        <v>FARUQUE AHMED &amp; ZAHEDA BEGUM HENA</v>
      </c>
      <c r="I8479" s="148" t="s">
        <v>549</v>
      </c>
      <c r="J8479" s="133" t="s">
        <v>53</v>
      </c>
      <c r="K8479" s="218">
        <v>541400</v>
      </c>
      <c r="L8479" s="218"/>
    </row>
    <row r="8480" spans="1:12" ht="10.15" customHeight="1" x14ac:dyDescent="0.2">
      <c r="A8480" s="163">
        <v>2023</v>
      </c>
      <c r="B8480" s="163">
        <v>3</v>
      </c>
      <c r="C8480" s="163">
        <v>28</v>
      </c>
      <c r="D8480" s="280">
        <f t="shared" si="880"/>
        <v>45013</v>
      </c>
      <c r="E8480" s="281">
        <f t="shared" si="881"/>
        <v>45013</v>
      </c>
      <c r="F8480" s="480"/>
      <c r="G8480" s="221" t="s">
        <v>74</v>
      </c>
      <c r="H8480" s="145" t="str" cm="1">
        <f t="array" ref="H8480">IFERROR(INDEX(INVESTOR_LIST[INVESTOR NAME],MATCH(I8480,INVESTOR_LIST[INVESTOR CODE],0),)," ")</f>
        <v>FARUQUE AHMED &amp; ZAHEDA BEGUM HENA</v>
      </c>
      <c r="I8480" s="145" t="s">
        <v>549</v>
      </c>
      <c r="J8480" s="163" t="s">
        <v>52</v>
      </c>
      <c r="K8480" s="219"/>
      <c r="L8480" s="219">
        <v>2926400</v>
      </c>
    </row>
    <row r="8481" spans="1:14" ht="10.15" customHeight="1" x14ac:dyDescent="0.2">
      <c r="A8481" s="168">
        <v>2023</v>
      </c>
      <c r="B8481" s="168">
        <v>3</v>
      </c>
      <c r="C8481" s="168">
        <v>28</v>
      </c>
      <c r="D8481" s="141">
        <f>DATE(A8481,B8481,C8481)</f>
        <v>45013</v>
      </c>
      <c r="E8481" s="275">
        <f>DATE(A8481,B8481,C8481)</f>
        <v>45013</v>
      </c>
      <c r="F8481" s="479" t="s">
        <v>1637</v>
      </c>
      <c r="G8481" s="174" t="s">
        <v>74</v>
      </c>
      <c r="H8481" s="148" t="str" cm="1">
        <f t="array" ref="H8481">IFERROR(INDEX(INVESTOR_LIST[INVESTOR NAME],MATCH(I8481,INVESTOR_LIST[INVESTOR CODE],0),)," ")</f>
        <v xml:space="preserve"> </v>
      </c>
      <c r="I8481" s="148" t="s">
        <v>348</v>
      </c>
      <c r="J8481" s="133" t="s">
        <v>47</v>
      </c>
      <c r="K8481" s="172">
        <v>150000</v>
      </c>
    </row>
    <row r="8482" spans="1:14" x14ac:dyDescent="0.2">
      <c r="A8482" s="163">
        <v>2023</v>
      </c>
      <c r="B8482" s="163">
        <v>3</v>
      </c>
      <c r="C8482" s="163">
        <v>28</v>
      </c>
      <c r="D8482" s="141">
        <f>DATE(A8482,B8482,C8482)</f>
        <v>45013</v>
      </c>
      <c r="E8482" s="275">
        <f>DATE(A8482,B8482,C8482)</f>
        <v>45013</v>
      </c>
      <c r="F8482" s="480"/>
      <c r="G8482" s="221" t="s">
        <v>74</v>
      </c>
      <c r="H8482" s="145" t="str" cm="1">
        <f t="array" ref="H8482">IFERROR(INDEX(INVESTOR_LIST[INVESTOR NAME],MATCH(I8482,INVESTOR_LIST[INVESTOR CODE],0),)," ")</f>
        <v xml:space="preserve"> </v>
      </c>
      <c r="I8482" s="145" t="s">
        <v>348</v>
      </c>
      <c r="J8482" s="163" t="s">
        <v>52</v>
      </c>
      <c r="K8482" s="219"/>
      <c r="L8482" s="219">
        <v>150000</v>
      </c>
    </row>
    <row r="8483" spans="1:14" x14ac:dyDescent="0.2">
      <c r="A8483" s="324">
        <v>2023</v>
      </c>
      <c r="B8483" s="324">
        <v>3</v>
      </c>
      <c r="C8483" s="325">
        <v>30</v>
      </c>
      <c r="D8483" s="326">
        <f>DATE(A8483,B8483,C8483)</f>
        <v>45015</v>
      </c>
      <c r="E8483" s="327">
        <f>DATE(A8483,B8483,C8483)</f>
        <v>45015</v>
      </c>
      <c r="F8483" s="473" t="s">
        <v>1634</v>
      </c>
      <c r="G8483" s="328" t="s">
        <v>94</v>
      </c>
      <c r="H8483" s="329" t="str" cm="1">
        <f t="array" ref="H8483">IFERROR(INDEX(INVESTOR_LIST[INVESTOR NAME],MATCH(I8483,INVESTOR_LIST[INVESTOR CODE],0),)," ")</f>
        <v xml:space="preserve"> </v>
      </c>
      <c r="I8483" s="329" t="s">
        <v>348</v>
      </c>
      <c r="J8483" s="324" t="s">
        <v>133</v>
      </c>
      <c r="K8483" s="330">
        <v>3966.35</v>
      </c>
      <c r="L8483" s="330"/>
      <c r="M8483" s="160"/>
    </row>
    <row r="8484" spans="1:14" x14ac:dyDescent="0.2">
      <c r="A8484" s="331">
        <v>2023</v>
      </c>
      <c r="B8484" s="331">
        <v>3</v>
      </c>
      <c r="C8484" s="331">
        <v>30</v>
      </c>
      <c r="D8484" s="326">
        <f>DATE(A8484,B8484,C8484)</f>
        <v>45015</v>
      </c>
      <c r="E8484" s="327">
        <f>DATE(A8484,B8484,C8484)</f>
        <v>45015</v>
      </c>
      <c r="F8484" s="474"/>
      <c r="G8484" s="332" t="s">
        <v>94</v>
      </c>
      <c r="H8484" s="333" t="str" cm="1">
        <f t="array" ref="H8484">IFERROR(INDEX(INVESTOR_LIST[INVESTOR NAME],MATCH(I8484,INVESTOR_LIST[INVESTOR CODE],0),)," ")</f>
        <v xml:space="preserve"> </v>
      </c>
      <c r="I8484" s="333" t="s">
        <v>348</v>
      </c>
      <c r="J8484" s="331" t="s">
        <v>152</v>
      </c>
      <c r="K8484" s="334"/>
      <c r="L8484" s="334">
        <v>3966.35</v>
      </c>
      <c r="M8484" s="160"/>
    </row>
    <row r="8485" spans="1:14" x14ac:dyDescent="0.2">
      <c r="A8485" s="324">
        <v>2023</v>
      </c>
      <c r="B8485" s="324">
        <v>3</v>
      </c>
      <c r="C8485" s="325">
        <v>30</v>
      </c>
      <c r="D8485" s="326">
        <f t="shared" ref="D8485:D8488" si="882">DATE(A8485,B8485,C8485)</f>
        <v>45015</v>
      </c>
      <c r="E8485" s="327">
        <f t="shared" ref="E8485:E8488" si="883">DATE(A8485,B8485,C8485)</f>
        <v>45015</v>
      </c>
      <c r="F8485" s="473" t="s">
        <v>1490</v>
      </c>
      <c r="G8485" s="328" t="s">
        <v>94</v>
      </c>
      <c r="H8485" s="329" t="str" cm="1">
        <f t="array" ref="H8485">IFERROR(INDEX(INVESTOR_LIST[INVESTOR NAME],MATCH(I8485,INVESTOR_LIST[INVESTOR CODE],0),)," ")</f>
        <v xml:space="preserve"> </v>
      </c>
      <c r="I8485" s="329" t="s">
        <v>348</v>
      </c>
      <c r="J8485" s="325" t="s">
        <v>133</v>
      </c>
      <c r="K8485" s="330">
        <v>23479.68</v>
      </c>
      <c r="L8485" s="330"/>
      <c r="M8485" s="160"/>
    </row>
    <row r="8486" spans="1:14" x14ac:dyDescent="0.2">
      <c r="A8486" s="331">
        <v>2023</v>
      </c>
      <c r="B8486" s="331">
        <v>3</v>
      </c>
      <c r="C8486" s="331">
        <v>30</v>
      </c>
      <c r="D8486" s="326">
        <f t="shared" si="882"/>
        <v>45015</v>
      </c>
      <c r="E8486" s="327">
        <f t="shared" si="883"/>
        <v>45015</v>
      </c>
      <c r="F8486" s="474"/>
      <c r="G8486" s="332" t="s">
        <v>94</v>
      </c>
      <c r="H8486" s="333" t="str" cm="1">
        <f t="array" ref="H8486">IFERROR(INDEX(INVESTOR_LIST[INVESTOR NAME],MATCH(I8486,INVESTOR_LIST[INVESTOR CODE],0),)," ")</f>
        <v xml:space="preserve"> </v>
      </c>
      <c r="I8486" s="333" t="s">
        <v>348</v>
      </c>
      <c r="J8486" s="331" t="s">
        <v>152</v>
      </c>
      <c r="K8486" s="334"/>
      <c r="L8486" s="334">
        <v>23479.68</v>
      </c>
      <c r="M8486" s="160"/>
      <c r="N8486" s="160"/>
    </row>
    <row r="8487" spans="1:14" x14ac:dyDescent="0.2">
      <c r="A8487" s="324">
        <v>2023</v>
      </c>
      <c r="B8487" s="324">
        <v>3</v>
      </c>
      <c r="C8487" s="325">
        <v>30</v>
      </c>
      <c r="D8487" s="326">
        <f t="shared" si="882"/>
        <v>45015</v>
      </c>
      <c r="E8487" s="327">
        <f t="shared" si="883"/>
        <v>45015</v>
      </c>
      <c r="F8487" s="473" t="s">
        <v>1491</v>
      </c>
      <c r="G8487" s="328" t="s">
        <v>94</v>
      </c>
      <c r="H8487" s="329" t="str" cm="1">
        <f t="array" ref="H8487">IFERROR(INDEX(INVESTOR_LIST[INVESTOR NAME],MATCH(I8487,INVESTOR_LIST[INVESTOR CODE],0),)," ")</f>
        <v xml:space="preserve"> </v>
      </c>
      <c r="I8487" s="329" t="s">
        <v>348</v>
      </c>
      <c r="J8487" s="324" t="s">
        <v>133</v>
      </c>
      <c r="K8487" s="330">
        <v>13125</v>
      </c>
      <c r="L8487" s="330"/>
      <c r="M8487" s="160"/>
      <c r="N8487" s="160"/>
    </row>
    <row r="8488" spans="1:14" x14ac:dyDescent="0.2">
      <c r="A8488" s="331">
        <v>2023</v>
      </c>
      <c r="B8488" s="331">
        <v>3</v>
      </c>
      <c r="C8488" s="331">
        <v>30</v>
      </c>
      <c r="D8488" s="326">
        <f t="shared" si="882"/>
        <v>45015</v>
      </c>
      <c r="E8488" s="327">
        <f t="shared" si="883"/>
        <v>45015</v>
      </c>
      <c r="F8488" s="474"/>
      <c r="G8488" s="332" t="s">
        <v>94</v>
      </c>
      <c r="H8488" s="333" t="str" cm="1">
        <f t="array" ref="H8488">IFERROR(INDEX(INVESTOR_LIST[INVESTOR NAME],MATCH(I8488,INVESTOR_LIST[INVESTOR CODE],0),)," ")</f>
        <v xml:space="preserve"> </v>
      </c>
      <c r="I8488" s="333" t="s">
        <v>348</v>
      </c>
      <c r="J8488" s="331" t="s">
        <v>152</v>
      </c>
      <c r="K8488" s="334"/>
      <c r="L8488" s="334">
        <v>13125</v>
      </c>
      <c r="M8488" s="160"/>
    </row>
    <row r="8489" spans="1:14" x14ac:dyDescent="0.2">
      <c r="A8489" s="324">
        <v>2023</v>
      </c>
      <c r="B8489" s="324">
        <v>3</v>
      </c>
      <c r="C8489" s="325">
        <v>30</v>
      </c>
      <c r="D8489" s="326">
        <f>DATE(A8489,B8489,C8489)</f>
        <v>45015</v>
      </c>
      <c r="E8489" s="327">
        <f>DATE(A8489,B8489,C8489)</f>
        <v>45015</v>
      </c>
      <c r="F8489" s="473" t="s">
        <v>1531</v>
      </c>
      <c r="G8489" s="328" t="s">
        <v>94</v>
      </c>
      <c r="H8489" s="329" t="str" cm="1">
        <f t="array" ref="H8489">IFERROR(INDEX(INVESTOR_LIST[INVESTOR NAME],MATCH(I8489,INVESTOR_LIST[INVESTOR CODE],0),)," ")</f>
        <v xml:space="preserve"> </v>
      </c>
      <c r="I8489" s="329" t="s">
        <v>348</v>
      </c>
      <c r="J8489" s="324" t="s">
        <v>133</v>
      </c>
      <c r="K8489" s="330">
        <v>22349.17</v>
      </c>
      <c r="L8489" s="330"/>
      <c r="M8489" s="160"/>
    </row>
    <row r="8490" spans="1:14" x14ac:dyDescent="0.2">
      <c r="A8490" s="331">
        <v>2023</v>
      </c>
      <c r="B8490" s="331">
        <v>3</v>
      </c>
      <c r="C8490" s="331">
        <v>30</v>
      </c>
      <c r="D8490" s="326">
        <f>DATE(A8490,B8490,C8490)</f>
        <v>45015</v>
      </c>
      <c r="E8490" s="327">
        <f>DATE(A8490,B8490,C8490)</f>
        <v>45015</v>
      </c>
      <c r="F8490" s="474"/>
      <c r="G8490" s="332" t="s">
        <v>94</v>
      </c>
      <c r="H8490" s="333" t="str" cm="1">
        <f t="array" ref="H8490">IFERROR(INDEX(INVESTOR_LIST[INVESTOR NAME],MATCH(I8490,INVESTOR_LIST[INVESTOR CODE],0),)," ")</f>
        <v xml:space="preserve"> </v>
      </c>
      <c r="I8490" s="333" t="s">
        <v>348</v>
      </c>
      <c r="J8490" s="331" t="s">
        <v>152</v>
      </c>
      <c r="K8490" s="334"/>
      <c r="L8490" s="334">
        <v>22349.17</v>
      </c>
      <c r="M8490" s="160"/>
    </row>
    <row r="8491" spans="1:14" x14ac:dyDescent="0.2">
      <c r="A8491" s="238">
        <v>2023</v>
      </c>
      <c r="B8491" s="238">
        <v>3</v>
      </c>
      <c r="C8491" s="238">
        <v>30</v>
      </c>
      <c r="D8491" s="270">
        <f t="shared" ref="D8491:D8501" si="884">DATE(A8491,B8491,C8491)</f>
        <v>45015</v>
      </c>
      <c r="E8491" s="279">
        <f t="shared" ref="E8491:E8501" si="885">DATE(A8491,B8491,C8491)</f>
        <v>45015</v>
      </c>
      <c r="F8491" s="477" t="s">
        <v>347</v>
      </c>
      <c r="G8491" s="239" t="s">
        <v>94</v>
      </c>
      <c r="H8491" s="239" t="str" cm="1">
        <f t="array" ref="H8491">IFERROR(INDEX(INVESTOR_LIST[INVESTOR NAME],MATCH(I8491,INVESTOR_LIST[INVESTOR CODE],0),)," ")</f>
        <v xml:space="preserve"> </v>
      </c>
      <c r="I8491" s="262" t="s">
        <v>348</v>
      </c>
      <c r="J8491" s="240" t="s">
        <v>108</v>
      </c>
      <c r="K8491" s="241">
        <v>39337.370000004768</v>
      </c>
      <c r="L8491" s="241"/>
    </row>
    <row r="8492" spans="1:14" x14ac:dyDescent="0.2">
      <c r="A8492" s="242">
        <v>2023</v>
      </c>
      <c r="B8492" s="242">
        <v>3</v>
      </c>
      <c r="C8492" s="242">
        <v>30</v>
      </c>
      <c r="D8492" s="270">
        <f t="shared" si="884"/>
        <v>45015</v>
      </c>
      <c r="E8492" s="279">
        <f t="shared" si="885"/>
        <v>45015</v>
      </c>
      <c r="F8492" s="478"/>
      <c r="G8492" s="243" t="s">
        <v>94</v>
      </c>
      <c r="H8492" s="243" t="str" cm="1">
        <f t="array" ref="H8492">IFERROR(INDEX(INVESTOR_LIST[INVESTOR NAME],MATCH(I8492,INVESTOR_LIST[INVESTOR CODE],0),)," ")</f>
        <v xml:space="preserve"> </v>
      </c>
      <c r="I8492" s="263" t="s">
        <v>348</v>
      </c>
      <c r="J8492" s="244" t="s">
        <v>82</v>
      </c>
      <c r="K8492" s="245"/>
      <c r="L8492" s="245">
        <v>39337.370000004768</v>
      </c>
    </row>
    <row r="8493" spans="1:14" ht="22.5" x14ac:dyDescent="0.2">
      <c r="A8493" s="246">
        <v>2023</v>
      </c>
      <c r="B8493" s="238">
        <v>3</v>
      </c>
      <c r="C8493" s="238">
        <v>30</v>
      </c>
      <c r="D8493" s="270">
        <f t="shared" si="884"/>
        <v>45015</v>
      </c>
      <c r="E8493" s="279">
        <f t="shared" si="885"/>
        <v>45015</v>
      </c>
      <c r="F8493" s="482" t="s">
        <v>148</v>
      </c>
      <c r="G8493" s="247" t="s">
        <v>94</v>
      </c>
      <c r="H8493" s="247" t="str" cm="1">
        <f t="array" ref="H8493">IFERROR(INDEX(INVESTOR_LIST[INVESTOR NAME],MATCH(I8493,INVESTOR_LIST[INVESTOR CODE],0),)," ")</f>
        <v xml:space="preserve"> </v>
      </c>
      <c r="I8493" s="248" t="s">
        <v>348</v>
      </c>
      <c r="J8493" s="249" t="s">
        <v>95</v>
      </c>
      <c r="K8493" s="250">
        <v>2747.2527472527472</v>
      </c>
      <c r="L8493" s="241"/>
    </row>
    <row r="8494" spans="1:14" x14ac:dyDescent="0.2">
      <c r="A8494" s="242">
        <v>2023</v>
      </c>
      <c r="B8494" s="242">
        <v>3</v>
      </c>
      <c r="C8494" s="242">
        <v>30</v>
      </c>
      <c r="D8494" s="270">
        <f t="shared" si="884"/>
        <v>45015</v>
      </c>
      <c r="E8494" s="279">
        <f t="shared" si="885"/>
        <v>45015</v>
      </c>
      <c r="F8494" s="478"/>
      <c r="G8494" s="243" t="s">
        <v>94</v>
      </c>
      <c r="H8494" s="243" t="str" cm="1">
        <f t="array" ref="H8494">IFERROR(INDEX(INVESTOR_LIST[INVESTOR NAME],MATCH(I8494,INVESTOR_LIST[INVESTOR CODE],0),)," ")</f>
        <v xml:space="preserve"> </v>
      </c>
      <c r="I8494" s="263" t="s">
        <v>348</v>
      </c>
      <c r="J8494" s="244" t="s">
        <v>63</v>
      </c>
      <c r="K8494" s="245"/>
      <c r="L8494" s="245">
        <v>2747.2527472527472</v>
      </c>
    </row>
    <row r="8495" spans="1:14" x14ac:dyDescent="0.2">
      <c r="A8495" s="246">
        <v>2023</v>
      </c>
      <c r="B8495" s="238">
        <v>3</v>
      </c>
      <c r="C8495" s="238">
        <v>30</v>
      </c>
      <c r="D8495" s="270">
        <f t="shared" si="884"/>
        <v>45015</v>
      </c>
      <c r="E8495" s="279">
        <f t="shared" si="885"/>
        <v>45015</v>
      </c>
      <c r="F8495" s="482" t="s">
        <v>137</v>
      </c>
      <c r="G8495" s="247" t="s">
        <v>94</v>
      </c>
      <c r="H8495" s="247" t="str" cm="1">
        <f t="array" ref="H8495">IFERROR(INDEX(INVESTOR_LIST[INVESTOR NAME],MATCH(I8495,INVESTOR_LIST[INVESTOR CODE],0),)," ")</f>
        <v xml:space="preserve"> </v>
      </c>
      <c r="I8495" s="248" t="s">
        <v>348</v>
      </c>
      <c r="J8495" s="249" t="s">
        <v>97</v>
      </c>
      <c r="K8495" s="250">
        <v>34371.144183636068</v>
      </c>
      <c r="L8495" s="252"/>
    </row>
    <row r="8496" spans="1:14" x14ac:dyDescent="0.2">
      <c r="A8496" s="242">
        <v>2023</v>
      </c>
      <c r="B8496" s="242">
        <v>3</v>
      </c>
      <c r="C8496" s="242">
        <v>30</v>
      </c>
      <c r="D8496" s="270">
        <f t="shared" si="884"/>
        <v>45015</v>
      </c>
      <c r="E8496" s="279">
        <f t="shared" si="885"/>
        <v>45015</v>
      </c>
      <c r="F8496" s="478"/>
      <c r="G8496" s="243" t="s">
        <v>94</v>
      </c>
      <c r="H8496" s="243" t="str" cm="1">
        <f t="array" ref="H8496">IFERROR(INDEX(INVESTOR_LIST[INVESTOR NAME],MATCH(I8496,INVESTOR_LIST[INVESTOR CODE],0),)," ")</f>
        <v xml:space="preserve"> </v>
      </c>
      <c r="I8496" s="263" t="s">
        <v>348</v>
      </c>
      <c r="J8496" s="244" t="s">
        <v>47</v>
      </c>
      <c r="K8496" s="245"/>
      <c r="L8496" s="245">
        <v>34371.144183636068</v>
      </c>
    </row>
    <row r="8497" spans="1:12" x14ac:dyDescent="0.2">
      <c r="A8497" s="246">
        <v>2023</v>
      </c>
      <c r="B8497" s="238">
        <v>3</v>
      </c>
      <c r="C8497" s="238">
        <v>30</v>
      </c>
      <c r="D8497" s="270">
        <f t="shared" si="884"/>
        <v>45015</v>
      </c>
      <c r="E8497" s="279">
        <f t="shared" si="885"/>
        <v>45015</v>
      </c>
      <c r="F8497" s="482" t="s">
        <v>138</v>
      </c>
      <c r="G8497" s="247" t="s">
        <v>94</v>
      </c>
      <c r="H8497" s="247" t="str" cm="1">
        <f t="array" ref="H8497">IFERROR(INDEX(INVESTOR_LIST[INVESTOR NAME],MATCH(I8497,INVESTOR_LIST[INVESTOR CODE],0),)," ")</f>
        <v xml:space="preserve"> </v>
      </c>
      <c r="I8497" s="248" t="s">
        <v>348</v>
      </c>
      <c r="J8497" s="249" t="s">
        <v>100</v>
      </c>
      <c r="K8497" s="250">
        <v>3437.1144183636065</v>
      </c>
      <c r="L8497" s="252"/>
    </row>
    <row r="8498" spans="1:12" ht="10.9" customHeight="1" x14ac:dyDescent="0.2">
      <c r="A8498" s="242">
        <v>2023</v>
      </c>
      <c r="B8498" s="242">
        <v>3</v>
      </c>
      <c r="C8498" s="242">
        <v>30</v>
      </c>
      <c r="D8498" s="321">
        <f t="shared" si="884"/>
        <v>45015</v>
      </c>
      <c r="E8498" s="322">
        <f t="shared" si="885"/>
        <v>45015</v>
      </c>
      <c r="F8498" s="478"/>
      <c r="G8498" s="243" t="s">
        <v>94</v>
      </c>
      <c r="H8498" s="243" t="str" cm="1">
        <f t="array" ref="H8498">IFERROR(INDEX(INVESTOR_LIST[INVESTOR NAME],MATCH(I8498,INVESTOR_LIST[INVESTOR CODE],0),)," ")</f>
        <v xml:space="preserve"> </v>
      </c>
      <c r="I8498" s="263" t="s">
        <v>348</v>
      </c>
      <c r="J8498" s="244" t="s">
        <v>48</v>
      </c>
      <c r="K8498" s="245"/>
      <c r="L8498" s="245">
        <v>3437.1144183636065</v>
      </c>
    </row>
    <row r="8499" spans="1:12" ht="10.15" customHeight="1" x14ac:dyDescent="0.2">
      <c r="A8499" s="168">
        <v>2023</v>
      </c>
      <c r="B8499" s="168">
        <v>4</v>
      </c>
      <c r="C8499" s="168">
        <v>2</v>
      </c>
      <c r="D8499" s="141">
        <f t="shared" si="884"/>
        <v>45018</v>
      </c>
      <c r="E8499" s="275">
        <f t="shared" si="885"/>
        <v>45018</v>
      </c>
      <c r="F8499" s="479" t="s">
        <v>1315</v>
      </c>
      <c r="G8499" s="220" t="s">
        <v>74</v>
      </c>
      <c r="H8499" s="142" t="str" cm="1">
        <f t="array" ref="H8499">IFERROR(INDEX(INVESTOR_LIST[INVESTOR NAME],MATCH(I8499,INVESTOR_LIST[INVESTOR CODE],0),)," ")</f>
        <v>SWADESH RANJAN SAHA</v>
      </c>
      <c r="I8499" s="142" t="s">
        <v>461</v>
      </c>
      <c r="J8499" s="168" t="s">
        <v>13</v>
      </c>
      <c r="K8499" s="218">
        <v>162920</v>
      </c>
      <c r="L8499" s="226"/>
    </row>
    <row r="8500" spans="1:12" ht="10.15" customHeight="1" x14ac:dyDescent="0.2">
      <c r="A8500" s="133">
        <v>2023</v>
      </c>
      <c r="B8500" s="133">
        <v>4</v>
      </c>
      <c r="C8500" s="133">
        <v>2</v>
      </c>
      <c r="D8500" s="141">
        <f t="shared" si="884"/>
        <v>45018</v>
      </c>
      <c r="E8500" s="275">
        <f t="shared" si="885"/>
        <v>45018</v>
      </c>
      <c r="F8500" s="481"/>
      <c r="G8500" s="174" t="s">
        <v>74</v>
      </c>
      <c r="H8500" s="148" t="str" cm="1">
        <f t="array" ref="H8500">IFERROR(INDEX(INVESTOR_LIST[INVESTOR NAME],MATCH(I8500,INVESTOR_LIST[INVESTOR CODE],0),)," ")</f>
        <v>SWADESH RANJAN SAHA</v>
      </c>
      <c r="I8500" s="148" t="s">
        <v>461</v>
      </c>
      <c r="J8500" s="133" t="s">
        <v>53</v>
      </c>
      <c r="K8500" s="218">
        <v>37080</v>
      </c>
      <c r="L8500" s="218"/>
    </row>
    <row r="8501" spans="1:12" ht="10.15" customHeight="1" x14ac:dyDescent="0.2">
      <c r="A8501" s="163">
        <v>2023</v>
      </c>
      <c r="B8501" s="163">
        <v>4</v>
      </c>
      <c r="C8501" s="163">
        <v>2</v>
      </c>
      <c r="D8501" s="280">
        <f t="shared" si="884"/>
        <v>45018</v>
      </c>
      <c r="E8501" s="281">
        <f t="shared" si="885"/>
        <v>45018</v>
      </c>
      <c r="F8501" s="480"/>
      <c r="G8501" s="221" t="s">
        <v>74</v>
      </c>
      <c r="H8501" s="145" t="str" cm="1">
        <f t="array" ref="H8501">IFERROR(INDEX(INVESTOR_LIST[INVESTOR NAME],MATCH(I8501,INVESTOR_LIST[INVESTOR CODE],0),)," ")</f>
        <v>SWADESH RANJAN SAHA</v>
      </c>
      <c r="I8501" s="145" t="s">
        <v>461</v>
      </c>
      <c r="J8501" s="163" t="s">
        <v>52</v>
      </c>
      <c r="K8501" s="219"/>
      <c r="L8501" s="219">
        <v>200000</v>
      </c>
    </row>
    <row r="8502" spans="1:12" ht="10.15" customHeight="1" x14ac:dyDescent="0.2">
      <c r="A8502" s="168">
        <v>2023</v>
      </c>
      <c r="B8502" s="168">
        <v>4</v>
      </c>
      <c r="C8502" s="168">
        <v>3</v>
      </c>
      <c r="D8502" s="141">
        <f t="shared" ref="D8502:D8511" si="886">DATE(A8502,B8502,C8502)</f>
        <v>45019</v>
      </c>
      <c r="E8502" s="275">
        <f t="shared" ref="E8502:E8511" si="887">DATE(A8502,B8502,C8502)</f>
        <v>45019</v>
      </c>
      <c r="F8502" s="479" t="s">
        <v>1315</v>
      </c>
      <c r="G8502" s="220" t="s">
        <v>74</v>
      </c>
      <c r="H8502" s="142" t="str" cm="1">
        <f t="array" ref="H8502">IFERROR(INDEX(INVESTOR_LIST[INVESTOR NAME],MATCH(I8502,INVESTOR_LIST[INVESTOR CODE],0),)," ")</f>
        <v>MOHAMMED SELIM</v>
      </c>
      <c r="I8502" s="142" t="s">
        <v>401</v>
      </c>
      <c r="J8502" s="168" t="s">
        <v>13</v>
      </c>
      <c r="K8502" s="218">
        <v>100000</v>
      </c>
      <c r="L8502" s="226"/>
    </row>
    <row r="8503" spans="1:12" ht="10.15" customHeight="1" x14ac:dyDescent="0.2">
      <c r="A8503" s="133">
        <v>2023</v>
      </c>
      <c r="B8503" s="133">
        <v>4</v>
      </c>
      <c r="C8503" s="133">
        <v>3</v>
      </c>
      <c r="D8503" s="141">
        <f t="shared" si="886"/>
        <v>45019</v>
      </c>
      <c r="E8503" s="275">
        <f t="shared" si="887"/>
        <v>45019</v>
      </c>
      <c r="F8503" s="481"/>
      <c r="G8503" s="174" t="s">
        <v>74</v>
      </c>
      <c r="H8503" s="148" t="str" cm="1">
        <f t="array" ref="H8503">IFERROR(INDEX(INVESTOR_LIST[INVESTOR NAME],MATCH(I8503,INVESTOR_LIST[INVESTOR CODE],0),)," ")</f>
        <v>MOHAMMED SELIM</v>
      </c>
      <c r="I8503" s="148" t="s">
        <v>401</v>
      </c>
      <c r="J8503" s="133" t="s">
        <v>53</v>
      </c>
      <c r="K8503" s="218">
        <v>22700</v>
      </c>
      <c r="L8503" s="218"/>
    </row>
    <row r="8504" spans="1:12" ht="10.15" customHeight="1" x14ac:dyDescent="0.2">
      <c r="A8504" s="163">
        <v>2023</v>
      </c>
      <c r="B8504" s="163">
        <v>4</v>
      </c>
      <c r="C8504" s="163">
        <v>3</v>
      </c>
      <c r="D8504" s="280">
        <f t="shared" si="886"/>
        <v>45019</v>
      </c>
      <c r="E8504" s="281">
        <f t="shared" si="887"/>
        <v>45019</v>
      </c>
      <c r="F8504" s="480"/>
      <c r="G8504" s="221" t="s">
        <v>74</v>
      </c>
      <c r="H8504" s="145" t="str" cm="1">
        <f t="array" ref="H8504">IFERROR(INDEX(INVESTOR_LIST[INVESTOR NAME],MATCH(I8504,INVESTOR_LIST[INVESTOR CODE],0),)," ")</f>
        <v>MOHAMMED SELIM</v>
      </c>
      <c r="I8504" s="145" t="s">
        <v>401</v>
      </c>
      <c r="J8504" s="163" t="s">
        <v>52</v>
      </c>
      <c r="K8504" s="219"/>
      <c r="L8504" s="219">
        <v>122700</v>
      </c>
    </row>
    <row r="8505" spans="1:12" x14ac:dyDescent="0.2">
      <c r="A8505" s="168">
        <v>2023</v>
      </c>
      <c r="B8505" s="168">
        <v>4</v>
      </c>
      <c r="C8505" s="168">
        <v>3</v>
      </c>
      <c r="D8505" s="141">
        <f t="shared" si="886"/>
        <v>45019</v>
      </c>
      <c r="E8505" s="275">
        <f t="shared" si="887"/>
        <v>45019</v>
      </c>
      <c r="F8505" s="479" t="s">
        <v>1644</v>
      </c>
      <c r="G8505" s="220" t="s">
        <v>74</v>
      </c>
      <c r="H8505" s="220" t="str" cm="1">
        <f t="array" ref="H8505">IFERROR(INDEX(INVESTOR_LIST[INVESTOR NAME],MATCH(I8505,INVESTOR_LIST[INVESTOR CODE],0),)," ")</f>
        <v xml:space="preserve"> </v>
      </c>
      <c r="I8505" s="142" t="s">
        <v>348</v>
      </c>
      <c r="J8505" s="143" t="s">
        <v>322</v>
      </c>
      <c r="K8505" s="226">
        <v>72098.27</v>
      </c>
      <c r="L8505" s="226"/>
    </row>
    <row r="8506" spans="1:12" x14ac:dyDescent="0.2">
      <c r="A8506" s="163">
        <v>2023</v>
      </c>
      <c r="B8506" s="163">
        <v>4</v>
      </c>
      <c r="C8506" s="163">
        <v>3</v>
      </c>
      <c r="D8506" s="141">
        <f t="shared" si="886"/>
        <v>45019</v>
      </c>
      <c r="E8506" s="275">
        <f t="shared" si="887"/>
        <v>45019</v>
      </c>
      <c r="F8506" s="480"/>
      <c r="G8506" s="221" t="s">
        <v>74</v>
      </c>
      <c r="H8506" s="221" t="str" cm="1">
        <f t="array" ref="H8506">IFERROR(INDEX(INVESTOR_LIST[INVESTOR NAME],MATCH(I8506,INVESTOR_LIST[INVESTOR CODE],0),)," ")</f>
        <v xml:space="preserve"> </v>
      </c>
      <c r="I8506" s="145" t="s">
        <v>348</v>
      </c>
      <c r="J8506" s="146" t="s">
        <v>52</v>
      </c>
      <c r="K8506" s="219"/>
      <c r="L8506" s="219">
        <v>72098.27</v>
      </c>
    </row>
    <row r="8507" spans="1:12" ht="10.15" customHeight="1" x14ac:dyDescent="0.2">
      <c r="A8507" s="168">
        <v>2023</v>
      </c>
      <c r="B8507" s="168">
        <v>4</v>
      </c>
      <c r="C8507" s="168">
        <v>3</v>
      </c>
      <c r="D8507" s="141">
        <f t="shared" si="886"/>
        <v>45019</v>
      </c>
      <c r="E8507" s="275">
        <f t="shared" si="887"/>
        <v>45019</v>
      </c>
      <c r="F8507" s="479" t="s">
        <v>1319</v>
      </c>
      <c r="G8507" s="220" t="s">
        <v>74</v>
      </c>
      <c r="H8507" s="142" t="str" cm="1">
        <f t="array" ref="H8507">IFERROR(INDEX(INVESTOR_LIST[INVESTOR NAME],MATCH(I8507,INVESTOR_LIST[INVESTOR CODE],0),)," ")</f>
        <v xml:space="preserve"> </v>
      </c>
      <c r="I8507" s="142"/>
      <c r="J8507" s="168" t="s">
        <v>52</v>
      </c>
      <c r="K8507" s="226">
        <v>5000</v>
      </c>
      <c r="L8507" s="226"/>
    </row>
    <row r="8508" spans="1:12" ht="10.15" customHeight="1" x14ac:dyDescent="0.2">
      <c r="A8508" s="133">
        <v>2023</v>
      </c>
      <c r="B8508" s="133">
        <v>4</v>
      </c>
      <c r="C8508" s="133">
        <v>3</v>
      </c>
      <c r="D8508" s="141">
        <f t="shared" si="886"/>
        <v>45019</v>
      </c>
      <c r="E8508" s="275">
        <f t="shared" si="887"/>
        <v>45019</v>
      </c>
      <c r="F8508" s="481"/>
      <c r="G8508" s="174" t="s">
        <v>74</v>
      </c>
      <c r="H8508" s="148" t="str" cm="1">
        <f t="array" ref="H8508">IFERROR(INDEX(INVESTOR_LIST[INVESTOR NAME],MATCH(I8508,INVESTOR_LIST[INVESTOR CODE],0),)," ")</f>
        <v xml:space="preserve"> </v>
      </c>
      <c r="J8508" s="133" t="s">
        <v>13</v>
      </c>
      <c r="K8508" s="218"/>
      <c r="L8508" s="218">
        <v>4070</v>
      </c>
    </row>
    <row r="8509" spans="1:12" ht="10.15" customHeight="1" x14ac:dyDescent="0.2">
      <c r="A8509" s="163">
        <v>2023</v>
      </c>
      <c r="B8509" s="163">
        <v>4</v>
      </c>
      <c r="C8509" s="163">
        <v>3</v>
      </c>
      <c r="D8509" s="280">
        <f t="shared" si="886"/>
        <v>45019</v>
      </c>
      <c r="E8509" s="281">
        <f t="shared" si="887"/>
        <v>45019</v>
      </c>
      <c r="F8509" s="480"/>
      <c r="G8509" s="221" t="s">
        <v>74</v>
      </c>
      <c r="H8509" s="145" t="str" cm="1">
        <f t="array" ref="H8509">IFERROR(INDEX(INVESTOR_LIST[INVESTOR NAME],MATCH(I8509,INVESTOR_LIST[INVESTOR CODE],0),)," ")</f>
        <v xml:space="preserve"> </v>
      </c>
      <c r="I8509" s="145"/>
      <c r="J8509" s="163" t="s">
        <v>53</v>
      </c>
      <c r="K8509" s="219"/>
      <c r="L8509" s="219">
        <v>930</v>
      </c>
    </row>
    <row r="8510" spans="1:12" x14ac:dyDescent="0.2">
      <c r="A8510" s="133">
        <v>2023</v>
      </c>
      <c r="B8510" s="133">
        <v>4</v>
      </c>
      <c r="C8510" s="133">
        <v>4</v>
      </c>
      <c r="D8510" s="141">
        <f t="shared" si="886"/>
        <v>45020</v>
      </c>
      <c r="E8510" s="275">
        <f t="shared" si="887"/>
        <v>45020</v>
      </c>
      <c r="F8510" s="481" t="s">
        <v>982</v>
      </c>
      <c r="G8510" s="174" t="s">
        <v>74</v>
      </c>
      <c r="H8510" s="174" t="str" cm="1">
        <f t="array" ref="H8510">IFERROR(INDEX(INVESTOR_LIST[INVESTOR NAME],MATCH(I8510,INVESTOR_LIST[INVESTOR CODE],0),)," ")</f>
        <v xml:space="preserve"> </v>
      </c>
      <c r="I8510" s="148" t="s">
        <v>348</v>
      </c>
      <c r="J8510" s="149" t="s">
        <v>163</v>
      </c>
      <c r="K8510" s="218">
        <v>9000</v>
      </c>
      <c r="L8510" s="218"/>
    </row>
    <row r="8511" spans="1:12" x14ac:dyDescent="0.2">
      <c r="A8511" s="163">
        <v>2023</v>
      </c>
      <c r="B8511" s="163">
        <v>4</v>
      </c>
      <c r="C8511" s="163">
        <v>4</v>
      </c>
      <c r="D8511" s="141">
        <f t="shared" si="886"/>
        <v>45020</v>
      </c>
      <c r="E8511" s="275">
        <f t="shared" si="887"/>
        <v>45020</v>
      </c>
      <c r="F8511" s="480"/>
      <c r="G8511" s="221" t="s">
        <v>74</v>
      </c>
      <c r="H8511" s="221" t="str" cm="1">
        <f t="array" ref="H8511">IFERROR(INDEX(INVESTOR_LIST[INVESTOR NAME],MATCH(I8511,INVESTOR_LIST[INVESTOR CODE],0),)," ")</f>
        <v xml:space="preserve"> </v>
      </c>
      <c r="I8511" s="145" t="s">
        <v>348</v>
      </c>
      <c r="J8511" s="146" t="s">
        <v>52</v>
      </c>
      <c r="K8511" s="219"/>
      <c r="L8511" s="219">
        <v>9000</v>
      </c>
    </row>
    <row r="8512" spans="1:12" ht="10.15" customHeight="1" x14ac:dyDescent="0.2">
      <c r="A8512" s="168">
        <v>2023</v>
      </c>
      <c r="B8512" s="168">
        <v>4</v>
      </c>
      <c r="C8512" s="168">
        <v>5</v>
      </c>
      <c r="D8512" s="141">
        <f t="shared" ref="D8512:D8514" si="888">DATE(A8512,B8512,C8512)</f>
        <v>45021</v>
      </c>
      <c r="E8512" s="275">
        <f t="shared" ref="E8512:E8514" si="889">DATE(A8512,B8512,C8512)</f>
        <v>45021</v>
      </c>
      <c r="F8512" s="479" t="s">
        <v>1315</v>
      </c>
      <c r="G8512" s="220" t="s">
        <v>74</v>
      </c>
      <c r="H8512" s="142" t="str" cm="1">
        <f t="array" ref="H8512">IFERROR(INDEX(INVESTOR_LIST[INVESTOR NAME],MATCH(I8512,INVESTOR_LIST[INVESTOR CODE],0),)," ")</f>
        <v>TRIPTI BARUA</v>
      </c>
      <c r="I8512" s="142" t="s">
        <v>498</v>
      </c>
      <c r="J8512" s="168" t="s">
        <v>13</v>
      </c>
      <c r="K8512" s="218">
        <v>3421310</v>
      </c>
      <c r="L8512" s="226"/>
    </row>
    <row r="8513" spans="1:12" ht="10.15" customHeight="1" x14ac:dyDescent="0.2">
      <c r="A8513" s="133">
        <v>2023</v>
      </c>
      <c r="B8513" s="133">
        <v>4</v>
      </c>
      <c r="C8513" s="133">
        <v>5</v>
      </c>
      <c r="D8513" s="141">
        <f t="shared" si="888"/>
        <v>45021</v>
      </c>
      <c r="E8513" s="275">
        <f t="shared" si="889"/>
        <v>45021</v>
      </c>
      <c r="F8513" s="481"/>
      <c r="G8513" s="174" t="s">
        <v>74</v>
      </c>
      <c r="H8513" s="148" t="str" cm="1">
        <f t="array" ref="H8513">IFERROR(INDEX(INVESTOR_LIST[INVESTOR NAME],MATCH(I8513,INVESTOR_LIST[INVESTOR CODE],0),)," ")</f>
        <v>TRIPTI BARUA</v>
      </c>
      <c r="I8513" s="148" t="s">
        <v>498</v>
      </c>
      <c r="J8513" s="133" t="s">
        <v>53</v>
      </c>
      <c r="K8513" s="218">
        <v>778690</v>
      </c>
      <c r="L8513" s="218"/>
    </row>
    <row r="8514" spans="1:12" ht="10.15" customHeight="1" x14ac:dyDescent="0.2">
      <c r="A8514" s="163">
        <v>2023</v>
      </c>
      <c r="B8514" s="163">
        <v>4</v>
      </c>
      <c r="C8514" s="163">
        <v>5</v>
      </c>
      <c r="D8514" s="280">
        <f t="shared" si="888"/>
        <v>45021</v>
      </c>
      <c r="E8514" s="281">
        <f t="shared" si="889"/>
        <v>45021</v>
      </c>
      <c r="F8514" s="480"/>
      <c r="G8514" s="221" t="s">
        <v>74</v>
      </c>
      <c r="H8514" s="145" t="str" cm="1">
        <f t="array" ref="H8514">IFERROR(INDEX(INVESTOR_LIST[INVESTOR NAME],MATCH(I8514,INVESTOR_LIST[INVESTOR CODE],0),)," ")</f>
        <v>TRIPTI BARUA</v>
      </c>
      <c r="I8514" s="145" t="s">
        <v>498</v>
      </c>
      <c r="J8514" s="163" t="s">
        <v>52</v>
      </c>
      <c r="K8514" s="219"/>
      <c r="L8514" s="219">
        <v>4200000</v>
      </c>
    </row>
    <row r="8515" spans="1:12" ht="10.15" customHeight="1" x14ac:dyDescent="0.2">
      <c r="A8515" s="168">
        <v>2023</v>
      </c>
      <c r="B8515" s="168">
        <v>4</v>
      </c>
      <c r="C8515" s="168">
        <v>5</v>
      </c>
      <c r="D8515" s="141">
        <f t="shared" ref="D8515:D8527" si="890">DATE(A8515,B8515,C8515)</f>
        <v>45021</v>
      </c>
      <c r="E8515" s="275">
        <f t="shared" ref="E8515:E8527" si="891">DATE(A8515,B8515,C8515)</f>
        <v>45021</v>
      </c>
      <c r="F8515" s="479" t="s">
        <v>1370</v>
      </c>
      <c r="G8515" s="220" t="s">
        <v>74</v>
      </c>
      <c r="H8515" s="142" t="str" cm="1">
        <f t="array" ref="H8515">IFERROR(INDEX(INVESTOR_LIST[INVESTOR NAME],MATCH(I8515,INVESTOR_LIST[INVESTOR CODE],0),)," ")</f>
        <v>MD. ABDUL KARIM</v>
      </c>
      <c r="I8515" s="142" t="s">
        <v>1308</v>
      </c>
      <c r="J8515" s="168" t="s">
        <v>13</v>
      </c>
      <c r="K8515" s="218">
        <v>268060</v>
      </c>
      <c r="L8515" s="226"/>
    </row>
    <row r="8516" spans="1:12" ht="10.15" customHeight="1" x14ac:dyDescent="0.2">
      <c r="A8516" s="133">
        <v>2023</v>
      </c>
      <c r="B8516" s="133">
        <v>4</v>
      </c>
      <c r="C8516" s="133">
        <v>5</v>
      </c>
      <c r="D8516" s="141">
        <f t="shared" si="890"/>
        <v>45021</v>
      </c>
      <c r="E8516" s="275">
        <f t="shared" si="891"/>
        <v>45021</v>
      </c>
      <c r="F8516" s="481"/>
      <c r="G8516" s="174" t="s">
        <v>74</v>
      </c>
      <c r="H8516" s="148" t="str" cm="1">
        <f t="array" ref="H8516">IFERROR(INDEX(INVESTOR_LIST[INVESTOR NAME],MATCH(I8516,INVESTOR_LIST[INVESTOR CODE],0),)," ")</f>
        <v>MD. ABDUL KARIM</v>
      </c>
      <c r="I8516" s="148" t="s">
        <v>1308</v>
      </c>
      <c r="J8516" s="133" t="s">
        <v>53</v>
      </c>
      <c r="K8516" s="218">
        <v>61010.46</v>
      </c>
      <c r="L8516" s="218"/>
    </row>
    <row r="8517" spans="1:12" ht="10.15" customHeight="1" x14ac:dyDescent="0.2">
      <c r="A8517" s="163">
        <v>2023</v>
      </c>
      <c r="B8517" s="163">
        <v>4</v>
      </c>
      <c r="C8517" s="163">
        <v>5</v>
      </c>
      <c r="D8517" s="280">
        <f t="shared" si="890"/>
        <v>45021</v>
      </c>
      <c r="E8517" s="281">
        <f t="shared" si="891"/>
        <v>45021</v>
      </c>
      <c r="F8517" s="480"/>
      <c r="G8517" s="221" t="s">
        <v>74</v>
      </c>
      <c r="H8517" s="145" t="str" cm="1">
        <f t="array" ref="H8517">IFERROR(INDEX(INVESTOR_LIST[INVESTOR NAME],MATCH(I8517,INVESTOR_LIST[INVESTOR CODE],0),)," ")</f>
        <v>MD. ABDUL KARIM</v>
      </c>
      <c r="I8517" s="145" t="s">
        <v>1308</v>
      </c>
      <c r="J8517" s="163" t="s">
        <v>52</v>
      </c>
      <c r="K8517" s="219"/>
      <c r="L8517" s="219">
        <v>329070.46000000002</v>
      </c>
    </row>
    <row r="8518" spans="1:12" ht="10.15" customHeight="1" x14ac:dyDescent="0.2">
      <c r="A8518" s="168">
        <v>2023</v>
      </c>
      <c r="B8518" s="168">
        <v>4</v>
      </c>
      <c r="C8518" s="168">
        <v>5</v>
      </c>
      <c r="D8518" s="141">
        <f t="shared" si="890"/>
        <v>45021</v>
      </c>
      <c r="E8518" s="275">
        <f t="shared" si="891"/>
        <v>45021</v>
      </c>
      <c r="F8518" s="479" t="s">
        <v>1315</v>
      </c>
      <c r="G8518" s="220" t="s">
        <v>74</v>
      </c>
      <c r="H8518" s="142" t="str" cm="1">
        <f t="array" ref="H8518">IFERROR(INDEX(INVESTOR_LIST[INVESTOR NAME],MATCH(I8518,INVESTOR_LIST[INVESTOR CODE],0),)," ")</f>
        <v>ASMA UL HUSNA</v>
      </c>
      <c r="I8518" s="142" t="s">
        <v>620</v>
      </c>
      <c r="J8518" s="168" t="s">
        <v>13</v>
      </c>
      <c r="K8518" s="218">
        <v>16360</v>
      </c>
      <c r="L8518" s="226"/>
    </row>
    <row r="8519" spans="1:12" ht="10.15" customHeight="1" x14ac:dyDescent="0.2">
      <c r="A8519" s="133">
        <v>2023</v>
      </c>
      <c r="B8519" s="133">
        <v>4</v>
      </c>
      <c r="C8519" s="133">
        <v>5</v>
      </c>
      <c r="D8519" s="141">
        <f t="shared" si="890"/>
        <v>45021</v>
      </c>
      <c r="E8519" s="275">
        <f t="shared" si="891"/>
        <v>45021</v>
      </c>
      <c r="F8519" s="481"/>
      <c r="G8519" s="174" t="s">
        <v>74</v>
      </c>
      <c r="H8519" s="148" t="str" cm="1">
        <f t="array" ref="H8519">IFERROR(INDEX(INVESTOR_LIST[INVESTOR NAME],MATCH(I8519,INVESTOR_LIST[INVESTOR CODE],0),)," ")</f>
        <v>ASMA UL HUSNA</v>
      </c>
      <c r="I8519" s="148" t="s">
        <v>620</v>
      </c>
      <c r="J8519" s="133" t="s">
        <v>53</v>
      </c>
      <c r="K8519" s="218">
        <v>3723.54</v>
      </c>
      <c r="L8519" s="218"/>
    </row>
    <row r="8520" spans="1:12" ht="10.15" customHeight="1" x14ac:dyDescent="0.2">
      <c r="A8520" s="163">
        <v>2023</v>
      </c>
      <c r="B8520" s="163">
        <v>4</v>
      </c>
      <c r="C8520" s="163">
        <v>5</v>
      </c>
      <c r="D8520" s="280">
        <f t="shared" si="890"/>
        <v>45021</v>
      </c>
      <c r="E8520" s="281">
        <f t="shared" si="891"/>
        <v>45021</v>
      </c>
      <c r="F8520" s="480"/>
      <c r="G8520" s="221" t="s">
        <v>74</v>
      </c>
      <c r="H8520" s="145" t="str" cm="1">
        <f t="array" ref="H8520">IFERROR(INDEX(INVESTOR_LIST[INVESTOR NAME],MATCH(I8520,INVESTOR_LIST[INVESTOR CODE],0),)," ")</f>
        <v>ASMA UL HUSNA</v>
      </c>
      <c r="I8520" s="145" t="s">
        <v>620</v>
      </c>
      <c r="J8520" s="163" t="s">
        <v>52</v>
      </c>
      <c r="K8520" s="219"/>
      <c r="L8520" s="219">
        <v>20083.54</v>
      </c>
    </row>
    <row r="8521" spans="1:12" x14ac:dyDescent="0.2">
      <c r="A8521" s="168">
        <v>2023</v>
      </c>
      <c r="B8521" s="133">
        <v>4</v>
      </c>
      <c r="C8521" s="133">
        <v>5</v>
      </c>
      <c r="D8521" s="141">
        <f t="shared" si="890"/>
        <v>45021</v>
      </c>
      <c r="E8521" s="275">
        <f t="shared" si="891"/>
        <v>45021</v>
      </c>
      <c r="F8521" s="479" t="s">
        <v>1645</v>
      </c>
      <c r="G8521" s="220" t="s">
        <v>74</v>
      </c>
      <c r="H8521" s="220" t="str" cm="1">
        <f t="array" ref="H8521">IFERROR(INDEX(INVESTOR_LIST[INVESTOR NAME],MATCH(I8521,INVESTOR_LIST[INVESTOR CODE],0),)," ")</f>
        <v xml:space="preserve"> </v>
      </c>
      <c r="I8521" s="142" t="s">
        <v>348</v>
      </c>
      <c r="J8521" s="143" t="s">
        <v>184</v>
      </c>
      <c r="K8521" s="226">
        <v>680000</v>
      </c>
      <c r="L8521" s="226"/>
    </row>
    <row r="8522" spans="1:12" x14ac:dyDescent="0.2">
      <c r="A8522" s="133">
        <v>2023</v>
      </c>
      <c r="B8522" s="133">
        <v>4</v>
      </c>
      <c r="C8522" s="133">
        <v>5</v>
      </c>
      <c r="D8522" s="141">
        <f t="shared" si="890"/>
        <v>45021</v>
      </c>
      <c r="E8522" s="275">
        <f t="shared" si="891"/>
        <v>45021</v>
      </c>
      <c r="F8522" s="481"/>
      <c r="G8522" s="174" t="s">
        <v>74</v>
      </c>
      <c r="H8522" s="174" t="str" cm="1">
        <f t="array" ref="H8522">IFERROR(INDEX(INVESTOR_LIST[INVESTOR NAME],MATCH(I8522,INVESTOR_LIST[INVESTOR CODE],0),)," ")</f>
        <v xml:space="preserve"> </v>
      </c>
      <c r="I8522" s="148" t="s">
        <v>348</v>
      </c>
      <c r="J8522" s="149" t="s">
        <v>185</v>
      </c>
      <c r="K8522" s="218">
        <v>3000</v>
      </c>
      <c r="L8522" s="218"/>
    </row>
    <row r="8523" spans="1:12" x14ac:dyDescent="0.2">
      <c r="A8523" s="133">
        <v>2023</v>
      </c>
      <c r="B8523" s="133">
        <v>4</v>
      </c>
      <c r="C8523" s="133">
        <v>5</v>
      </c>
      <c r="D8523" s="141">
        <f t="shared" si="890"/>
        <v>45021</v>
      </c>
      <c r="E8523" s="275">
        <f t="shared" si="891"/>
        <v>45021</v>
      </c>
      <c r="F8523" s="481"/>
      <c r="G8523" s="174" t="s">
        <v>74</v>
      </c>
      <c r="H8523" s="174"/>
      <c r="J8523" s="149" t="s">
        <v>61</v>
      </c>
      <c r="K8523" s="218">
        <v>115</v>
      </c>
      <c r="L8523" s="218"/>
    </row>
    <row r="8524" spans="1:12" x14ac:dyDescent="0.2">
      <c r="A8524" s="163">
        <v>2023</v>
      </c>
      <c r="B8524" s="163">
        <v>4</v>
      </c>
      <c r="C8524" s="163">
        <v>5</v>
      </c>
      <c r="D8524" s="280">
        <f t="shared" si="890"/>
        <v>45021</v>
      </c>
      <c r="E8524" s="281">
        <f t="shared" si="891"/>
        <v>45021</v>
      </c>
      <c r="F8524" s="480"/>
      <c r="G8524" s="221" t="s">
        <v>74</v>
      </c>
      <c r="H8524" s="221" t="str" cm="1">
        <f t="array" ref="H8524">IFERROR(INDEX(INVESTOR_LIST[INVESTOR NAME],MATCH(I8524,INVESTOR_LIST[INVESTOR CODE],0),)," ")</f>
        <v xml:space="preserve"> </v>
      </c>
      <c r="I8524" s="145" t="s">
        <v>348</v>
      </c>
      <c r="J8524" s="146" t="s">
        <v>52</v>
      </c>
      <c r="K8524" s="219"/>
      <c r="L8524" s="219">
        <v>683115</v>
      </c>
    </row>
    <row r="8525" spans="1:12" ht="10.15" customHeight="1" x14ac:dyDescent="0.2">
      <c r="A8525" s="168">
        <v>2023</v>
      </c>
      <c r="B8525" s="168">
        <v>4</v>
      </c>
      <c r="C8525" s="168">
        <v>5</v>
      </c>
      <c r="D8525" s="141">
        <f t="shared" si="890"/>
        <v>45021</v>
      </c>
      <c r="E8525" s="275">
        <f t="shared" si="891"/>
        <v>45021</v>
      </c>
      <c r="F8525" s="479" t="s">
        <v>1319</v>
      </c>
      <c r="G8525" s="220" t="s">
        <v>74</v>
      </c>
      <c r="H8525" s="142" t="str" cm="1">
        <f t="array" ref="H8525">IFERROR(INDEX(INVESTOR_LIST[INVESTOR NAME],MATCH(I8525,INVESTOR_LIST[INVESTOR CODE],0),)," ")</f>
        <v xml:space="preserve"> </v>
      </c>
      <c r="I8525" s="142"/>
      <c r="J8525" s="168" t="s">
        <v>52</v>
      </c>
      <c r="K8525" s="226">
        <v>13500</v>
      </c>
      <c r="L8525" s="226"/>
    </row>
    <row r="8526" spans="1:12" ht="10.15" customHeight="1" x14ac:dyDescent="0.2">
      <c r="A8526" s="133">
        <v>2023</v>
      </c>
      <c r="B8526" s="133">
        <v>4</v>
      </c>
      <c r="C8526" s="133">
        <v>5</v>
      </c>
      <c r="D8526" s="141">
        <f t="shared" si="890"/>
        <v>45021</v>
      </c>
      <c r="E8526" s="275">
        <f t="shared" si="891"/>
        <v>45021</v>
      </c>
      <c r="F8526" s="481"/>
      <c r="G8526" s="174" t="s">
        <v>74</v>
      </c>
      <c r="H8526" s="148" t="str" cm="1">
        <f t="array" ref="H8526">IFERROR(INDEX(INVESTOR_LIST[INVESTOR NAME],MATCH(I8526,INVESTOR_LIST[INVESTOR CODE],0),)," ")</f>
        <v xml:space="preserve"> </v>
      </c>
      <c r="J8526" s="133" t="s">
        <v>13</v>
      </c>
      <c r="K8526" s="218"/>
      <c r="L8526" s="218">
        <v>10990</v>
      </c>
    </row>
    <row r="8527" spans="1:12" ht="10.15" customHeight="1" x14ac:dyDescent="0.2">
      <c r="A8527" s="163">
        <v>2023</v>
      </c>
      <c r="B8527" s="163">
        <v>4</v>
      </c>
      <c r="C8527" s="163">
        <v>5</v>
      </c>
      <c r="D8527" s="280">
        <f t="shared" si="890"/>
        <v>45021</v>
      </c>
      <c r="E8527" s="281">
        <f t="shared" si="891"/>
        <v>45021</v>
      </c>
      <c r="F8527" s="480"/>
      <c r="G8527" s="221" t="s">
        <v>74</v>
      </c>
      <c r="H8527" s="145" t="str" cm="1">
        <f t="array" ref="H8527">IFERROR(INDEX(INVESTOR_LIST[INVESTOR NAME],MATCH(I8527,INVESTOR_LIST[INVESTOR CODE],0),)," ")</f>
        <v xml:space="preserve"> </v>
      </c>
      <c r="I8527" s="145"/>
      <c r="J8527" s="163" t="s">
        <v>53</v>
      </c>
      <c r="K8527" s="219"/>
      <c r="L8527" s="219">
        <v>2510</v>
      </c>
    </row>
    <row r="8528" spans="1:12" ht="10.15" customHeight="1" x14ac:dyDescent="0.2">
      <c r="A8528" s="168">
        <v>2023</v>
      </c>
      <c r="B8528" s="168">
        <v>4</v>
      </c>
      <c r="C8528" s="168">
        <v>6</v>
      </c>
      <c r="D8528" s="141">
        <f t="shared" ref="D8528:D8530" si="892">DATE(A8528,B8528,C8528)</f>
        <v>45022</v>
      </c>
      <c r="E8528" s="275">
        <f t="shared" ref="E8528:E8530" si="893">DATE(A8528,B8528,C8528)</f>
        <v>45022</v>
      </c>
      <c r="F8528" s="479" t="s">
        <v>1319</v>
      </c>
      <c r="G8528" s="220" t="s">
        <v>74</v>
      </c>
      <c r="H8528" s="142" t="str" cm="1">
        <f t="array" ref="H8528">IFERROR(INDEX(INVESTOR_LIST[INVESTOR NAME],MATCH(I8528,INVESTOR_LIST[INVESTOR CODE],0),)," ")</f>
        <v xml:space="preserve"> </v>
      </c>
      <c r="I8528" s="142"/>
      <c r="J8528" s="168" t="s">
        <v>52</v>
      </c>
      <c r="K8528" s="226">
        <v>305000</v>
      </c>
      <c r="L8528" s="226"/>
    </row>
    <row r="8529" spans="1:14" ht="10.15" customHeight="1" x14ac:dyDescent="0.2">
      <c r="A8529" s="133">
        <v>2023</v>
      </c>
      <c r="B8529" s="133">
        <v>4</v>
      </c>
      <c r="C8529" s="133">
        <v>6</v>
      </c>
      <c r="D8529" s="141">
        <f t="shared" si="892"/>
        <v>45022</v>
      </c>
      <c r="E8529" s="275">
        <f t="shared" si="893"/>
        <v>45022</v>
      </c>
      <c r="F8529" s="481"/>
      <c r="G8529" s="174" t="s">
        <v>74</v>
      </c>
      <c r="H8529" s="148" t="str" cm="1">
        <f t="array" ref="H8529">IFERROR(INDEX(INVESTOR_LIST[INVESTOR NAME],MATCH(I8529,INVESTOR_LIST[INVESTOR CODE],0),)," ")</f>
        <v xml:space="preserve"> </v>
      </c>
      <c r="J8529" s="133" t="s">
        <v>13</v>
      </c>
      <c r="K8529" s="218"/>
      <c r="L8529" s="218">
        <v>248420</v>
      </c>
    </row>
    <row r="8530" spans="1:14" ht="10.15" customHeight="1" x14ac:dyDescent="0.2">
      <c r="A8530" s="163">
        <v>2023</v>
      </c>
      <c r="B8530" s="163">
        <v>4</v>
      </c>
      <c r="C8530" s="163">
        <v>6</v>
      </c>
      <c r="D8530" s="280">
        <f t="shared" si="892"/>
        <v>45022</v>
      </c>
      <c r="E8530" s="281">
        <f t="shared" si="893"/>
        <v>45022</v>
      </c>
      <c r="F8530" s="480"/>
      <c r="G8530" s="221" t="s">
        <v>74</v>
      </c>
      <c r="H8530" s="145" t="str" cm="1">
        <f t="array" ref="H8530">IFERROR(INDEX(INVESTOR_LIST[INVESTOR NAME],MATCH(I8530,INVESTOR_LIST[INVESTOR CODE],0),)," ")</f>
        <v xml:space="preserve"> </v>
      </c>
      <c r="I8530" s="145"/>
      <c r="J8530" s="163" t="s">
        <v>53</v>
      </c>
      <c r="K8530" s="219"/>
      <c r="L8530" s="219">
        <v>56580</v>
      </c>
    </row>
    <row r="8531" spans="1:14" x14ac:dyDescent="0.2">
      <c r="A8531" s="324">
        <v>2023</v>
      </c>
      <c r="B8531" s="324">
        <v>4</v>
      </c>
      <c r="C8531" s="325">
        <v>6</v>
      </c>
      <c r="D8531" s="326">
        <f>DATE(A8531,B8531,C8531)</f>
        <v>45022</v>
      </c>
      <c r="E8531" s="327">
        <f>DATE(A8531,B8531,C8531)</f>
        <v>45022</v>
      </c>
      <c r="F8531" s="473" t="s">
        <v>1634</v>
      </c>
      <c r="G8531" s="328" t="s">
        <v>94</v>
      </c>
      <c r="H8531" s="329" t="str" cm="1">
        <f t="array" ref="H8531">IFERROR(INDEX(INVESTOR_LIST[INVESTOR NAME],MATCH(I8531,INVESTOR_LIST[INVESTOR CODE],0),)," ")</f>
        <v xml:space="preserve"> </v>
      </c>
      <c r="I8531" s="329" t="s">
        <v>348</v>
      </c>
      <c r="J8531" s="324" t="s">
        <v>133</v>
      </c>
      <c r="K8531" s="330">
        <v>3966.35</v>
      </c>
      <c r="L8531" s="330"/>
      <c r="M8531" s="160"/>
    </row>
    <row r="8532" spans="1:14" x14ac:dyDescent="0.2">
      <c r="A8532" s="331">
        <v>2023</v>
      </c>
      <c r="B8532" s="331">
        <v>4</v>
      </c>
      <c r="C8532" s="331">
        <v>6</v>
      </c>
      <c r="D8532" s="326">
        <f>DATE(A8532,B8532,C8532)</f>
        <v>45022</v>
      </c>
      <c r="E8532" s="327">
        <f>DATE(A8532,B8532,C8532)</f>
        <v>45022</v>
      </c>
      <c r="F8532" s="474"/>
      <c r="G8532" s="332" t="s">
        <v>94</v>
      </c>
      <c r="H8532" s="333" t="str" cm="1">
        <f t="array" ref="H8532">IFERROR(INDEX(INVESTOR_LIST[INVESTOR NAME],MATCH(I8532,INVESTOR_LIST[INVESTOR CODE],0),)," ")</f>
        <v xml:space="preserve"> </v>
      </c>
      <c r="I8532" s="333" t="s">
        <v>348</v>
      </c>
      <c r="J8532" s="331" t="s">
        <v>152</v>
      </c>
      <c r="K8532" s="334"/>
      <c r="L8532" s="334">
        <v>3966.35</v>
      </c>
      <c r="M8532" s="160"/>
    </row>
    <row r="8533" spans="1:14" x14ac:dyDescent="0.2">
      <c r="A8533" s="324">
        <v>2023</v>
      </c>
      <c r="B8533" s="324">
        <v>4</v>
      </c>
      <c r="C8533" s="325">
        <v>6</v>
      </c>
      <c r="D8533" s="326">
        <f t="shared" ref="D8533:D8536" si="894">DATE(A8533,B8533,C8533)</f>
        <v>45022</v>
      </c>
      <c r="E8533" s="327">
        <f t="shared" ref="E8533:E8536" si="895">DATE(A8533,B8533,C8533)</f>
        <v>45022</v>
      </c>
      <c r="F8533" s="473" t="s">
        <v>1490</v>
      </c>
      <c r="G8533" s="328" t="s">
        <v>94</v>
      </c>
      <c r="H8533" s="329" t="str" cm="1">
        <f t="array" ref="H8533">IFERROR(INDEX(INVESTOR_LIST[INVESTOR NAME],MATCH(I8533,INVESTOR_LIST[INVESTOR CODE],0),)," ")</f>
        <v xml:space="preserve"> </v>
      </c>
      <c r="I8533" s="329" t="s">
        <v>348</v>
      </c>
      <c r="J8533" s="325" t="s">
        <v>133</v>
      </c>
      <c r="K8533" s="330">
        <v>23479.68</v>
      </c>
      <c r="L8533" s="330"/>
      <c r="M8533" s="160"/>
    </row>
    <row r="8534" spans="1:14" x14ac:dyDescent="0.2">
      <c r="A8534" s="331">
        <v>2023</v>
      </c>
      <c r="B8534" s="331">
        <v>4</v>
      </c>
      <c r="C8534" s="331">
        <v>6</v>
      </c>
      <c r="D8534" s="326">
        <f t="shared" si="894"/>
        <v>45022</v>
      </c>
      <c r="E8534" s="327">
        <f t="shared" si="895"/>
        <v>45022</v>
      </c>
      <c r="F8534" s="474"/>
      <c r="G8534" s="332" t="s">
        <v>94</v>
      </c>
      <c r="H8534" s="333" t="str" cm="1">
        <f t="array" ref="H8534">IFERROR(INDEX(INVESTOR_LIST[INVESTOR NAME],MATCH(I8534,INVESTOR_LIST[INVESTOR CODE],0),)," ")</f>
        <v xml:space="preserve"> </v>
      </c>
      <c r="I8534" s="333" t="s">
        <v>348</v>
      </c>
      <c r="J8534" s="331" t="s">
        <v>152</v>
      </c>
      <c r="K8534" s="334"/>
      <c r="L8534" s="334">
        <v>23479.68</v>
      </c>
      <c r="M8534" s="160"/>
      <c r="N8534" s="160"/>
    </row>
    <row r="8535" spans="1:14" x14ac:dyDescent="0.2">
      <c r="A8535" s="324">
        <v>2023</v>
      </c>
      <c r="B8535" s="324">
        <v>4</v>
      </c>
      <c r="C8535" s="325">
        <v>6</v>
      </c>
      <c r="D8535" s="326">
        <f t="shared" si="894"/>
        <v>45022</v>
      </c>
      <c r="E8535" s="327">
        <f t="shared" si="895"/>
        <v>45022</v>
      </c>
      <c r="F8535" s="473" t="s">
        <v>1491</v>
      </c>
      <c r="G8535" s="328" t="s">
        <v>94</v>
      </c>
      <c r="H8535" s="329" t="str" cm="1">
        <f t="array" ref="H8535">IFERROR(INDEX(INVESTOR_LIST[INVESTOR NAME],MATCH(I8535,INVESTOR_LIST[INVESTOR CODE],0),)," ")</f>
        <v xml:space="preserve"> </v>
      </c>
      <c r="I8535" s="329" t="s">
        <v>348</v>
      </c>
      <c r="J8535" s="324" t="s">
        <v>133</v>
      </c>
      <c r="K8535" s="330">
        <v>13125</v>
      </c>
      <c r="L8535" s="330"/>
      <c r="M8535" s="160"/>
      <c r="N8535" s="160"/>
    </row>
    <row r="8536" spans="1:14" x14ac:dyDescent="0.2">
      <c r="A8536" s="331">
        <v>2023</v>
      </c>
      <c r="B8536" s="331">
        <v>4</v>
      </c>
      <c r="C8536" s="331">
        <v>6</v>
      </c>
      <c r="D8536" s="326">
        <f t="shared" si="894"/>
        <v>45022</v>
      </c>
      <c r="E8536" s="327">
        <f t="shared" si="895"/>
        <v>45022</v>
      </c>
      <c r="F8536" s="474"/>
      <c r="G8536" s="332" t="s">
        <v>94</v>
      </c>
      <c r="H8536" s="333" t="str" cm="1">
        <f t="array" ref="H8536">IFERROR(INDEX(INVESTOR_LIST[INVESTOR NAME],MATCH(I8536,INVESTOR_LIST[INVESTOR CODE],0),)," ")</f>
        <v xml:space="preserve"> </v>
      </c>
      <c r="I8536" s="333" t="s">
        <v>348</v>
      </c>
      <c r="J8536" s="331" t="s">
        <v>152</v>
      </c>
      <c r="K8536" s="334"/>
      <c r="L8536" s="334">
        <v>13125</v>
      </c>
      <c r="M8536" s="160"/>
    </row>
    <row r="8537" spans="1:14" x14ac:dyDescent="0.2">
      <c r="A8537" s="324">
        <v>2023</v>
      </c>
      <c r="B8537" s="324">
        <v>4</v>
      </c>
      <c r="C8537" s="325">
        <v>6</v>
      </c>
      <c r="D8537" s="326">
        <f>DATE(A8537,B8537,C8537)</f>
        <v>45022</v>
      </c>
      <c r="E8537" s="327">
        <f>DATE(A8537,B8537,C8537)</f>
        <v>45022</v>
      </c>
      <c r="F8537" s="473" t="s">
        <v>1531</v>
      </c>
      <c r="G8537" s="328" t="s">
        <v>94</v>
      </c>
      <c r="H8537" s="329" t="str" cm="1">
        <f t="array" ref="H8537">IFERROR(INDEX(INVESTOR_LIST[INVESTOR NAME],MATCH(I8537,INVESTOR_LIST[INVESTOR CODE],0),)," ")</f>
        <v xml:space="preserve"> </v>
      </c>
      <c r="I8537" s="329" t="s">
        <v>348</v>
      </c>
      <c r="J8537" s="324" t="s">
        <v>133</v>
      </c>
      <c r="K8537" s="330">
        <v>22349.17</v>
      </c>
      <c r="L8537" s="330"/>
      <c r="M8537" s="160"/>
    </row>
    <row r="8538" spans="1:14" x14ac:dyDescent="0.2">
      <c r="A8538" s="331">
        <v>2023</v>
      </c>
      <c r="B8538" s="331">
        <v>4</v>
      </c>
      <c r="C8538" s="331">
        <v>6</v>
      </c>
      <c r="D8538" s="326">
        <f>DATE(A8538,B8538,C8538)</f>
        <v>45022</v>
      </c>
      <c r="E8538" s="327">
        <f>DATE(A8538,B8538,C8538)</f>
        <v>45022</v>
      </c>
      <c r="F8538" s="474"/>
      <c r="G8538" s="332" t="s">
        <v>94</v>
      </c>
      <c r="H8538" s="333" t="str" cm="1">
        <f t="array" ref="H8538">IFERROR(INDEX(INVESTOR_LIST[INVESTOR NAME],MATCH(I8538,INVESTOR_LIST[INVESTOR CODE],0),)," ")</f>
        <v xml:space="preserve"> </v>
      </c>
      <c r="I8538" s="333" t="s">
        <v>348</v>
      </c>
      <c r="J8538" s="331" t="s">
        <v>152</v>
      </c>
      <c r="K8538" s="334"/>
      <c r="L8538" s="334">
        <v>22349.17</v>
      </c>
      <c r="M8538" s="160"/>
    </row>
    <row r="8539" spans="1:14" x14ac:dyDescent="0.2">
      <c r="A8539" s="238">
        <v>2023</v>
      </c>
      <c r="B8539" s="238">
        <v>4</v>
      </c>
      <c r="C8539" s="238">
        <v>6</v>
      </c>
      <c r="D8539" s="270">
        <f t="shared" ref="D8539:D8562" si="896">DATE(A8539,B8539,C8539)</f>
        <v>45022</v>
      </c>
      <c r="E8539" s="279">
        <f t="shared" ref="E8539:E8562" si="897">DATE(A8539,B8539,C8539)</f>
        <v>45022</v>
      </c>
      <c r="F8539" s="477" t="s">
        <v>347</v>
      </c>
      <c r="G8539" s="239" t="s">
        <v>94</v>
      </c>
      <c r="H8539" s="239" t="str" cm="1">
        <f t="array" ref="H8539">IFERROR(INDEX(INVESTOR_LIST[INVESTOR NAME],MATCH(I8539,INVESTOR_LIST[INVESTOR CODE],0),)," ")</f>
        <v xml:space="preserve"> </v>
      </c>
      <c r="I8539" s="262" t="s">
        <v>348</v>
      </c>
      <c r="J8539" s="240" t="s">
        <v>108</v>
      </c>
      <c r="K8539" s="241">
        <v>529587.37000000477</v>
      </c>
      <c r="L8539" s="241"/>
    </row>
    <row r="8540" spans="1:14" x14ac:dyDescent="0.2">
      <c r="A8540" s="242">
        <v>2023</v>
      </c>
      <c r="B8540" s="242">
        <v>4</v>
      </c>
      <c r="C8540" s="242">
        <v>6</v>
      </c>
      <c r="D8540" s="270">
        <f t="shared" si="896"/>
        <v>45022</v>
      </c>
      <c r="E8540" s="279">
        <f t="shared" si="897"/>
        <v>45022</v>
      </c>
      <c r="F8540" s="478"/>
      <c r="G8540" s="243" t="s">
        <v>94</v>
      </c>
      <c r="H8540" s="243" t="str" cm="1">
        <f t="array" ref="H8540">IFERROR(INDEX(INVESTOR_LIST[INVESTOR NAME],MATCH(I8540,INVESTOR_LIST[INVESTOR CODE],0),)," ")</f>
        <v xml:space="preserve"> </v>
      </c>
      <c r="I8540" s="263" t="s">
        <v>348</v>
      </c>
      <c r="J8540" s="244" t="s">
        <v>82</v>
      </c>
      <c r="K8540" s="245"/>
      <c r="L8540" s="245">
        <v>529587.37000000477</v>
      </c>
    </row>
    <row r="8541" spans="1:14" ht="22.5" x14ac:dyDescent="0.2">
      <c r="A8541" s="246">
        <v>2023</v>
      </c>
      <c r="B8541" s="238">
        <v>4</v>
      </c>
      <c r="C8541" s="238">
        <v>6</v>
      </c>
      <c r="D8541" s="270">
        <f t="shared" si="896"/>
        <v>45022</v>
      </c>
      <c r="E8541" s="279">
        <f t="shared" si="897"/>
        <v>45022</v>
      </c>
      <c r="F8541" s="482" t="s">
        <v>148</v>
      </c>
      <c r="G8541" s="247" t="s">
        <v>94</v>
      </c>
      <c r="H8541" s="247" t="str" cm="1">
        <f t="array" ref="H8541">IFERROR(INDEX(INVESTOR_LIST[INVESTOR NAME],MATCH(I8541,INVESTOR_LIST[INVESTOR CODE],0),)," ")</f>
        <v xml:space="preserve"> </v>
      </c>
      <c r="I8541" s="248" t="s">
        <v>348</v>
      </c>
      <c r="J8541" s="249" t="s">
        <v>95</v>
      </c>
      <c r="K8541" s="250">
        <v>2747.2527472527472</v>
      </c>
      <c r="L8541" s="241"/>
    </row>
    <row r="8542" spans="1:14" x14ac:dyDescent="0.2">
      <c r="A8542" s="242">
        <v>2023</v>
      </c>
      <c r="B8542" s="242">
        <v>4</v>
      </c>
      <c r="C8542" s="242">
        <v>6</v>
      </c>
      <c r="D8542" s="270">
        <f t="shared" si="896"/>
        <v>45022</v>
      </c>
      <c r="E8542" s="279">
        <f t="shared" si="897"/>
        <v>45022</v>
      </c>
      <c r="F8542" s="478"/>
      <c r="G8542" s="243" t="s">
        <v>94</v>
      </c>
      <c r="H8542" s="243" t="str" cm="1">
        <f t="array" ref="H8542">IFERROR(INDEX(INVESTOR_LIST[INVESTOR NAME],MATCH(I8542,INVESTOR_LIST[INVESTOR CODE],0),)," ")</f>
        <v xml:space="preserve"> </v>
      </c>
      <c r="I8542" s="263" t="s">
        <v>348</v>
      </c>
      <c r="J8542" s="244" t="s">
        <v>63</v>
      </c>
      <c r="K8542" s="245"/>
      <c r="L8542" s="245">
        <v>2747.2527472527472</v>
      </c>
    </row>
    <row r="8543" spans="1:14" x14ac:dyDescent="0.2">
      <c r="A8543" s="246">
        <v>2023</v>
      </c>
      <c r="B8543" s="238">
        <v>4</v>
      </c>
      <c r="C8543" s="238">
        <v>6</v>
      </c>
      <c r="D8543" s="270">
        <f t="shared" si="896"/>
        <v>45022</v>
      </c>
      <c r="E8543" s="279">
        <f t="shared" si="897"/>
        <v>45022</v>
      </c>
      <c r="F8543" s="482" t="s">
        <v>137</v>
      </c>
      <c r="G8543" s="247" t="s">
        <v>94</v>
      </c>
      <c r="H8543" s="247" t="str" cm="1">
        <f t="array" ref="H8543">IFERROR(INDEX(INVESTOR_LIST[INVESTOR NAME],MATCH(I8543,INVESTOR_LIST[INVESTOR CODE],0),)," ")</f>
        <v xml:space="preserve"> </v>
      </c>
      <c r="I8543" s="248" t="s">
        <v>348</v>
      </c>
      <c r="J8543" s="249" t="s">
        <v>97</v>
      </c>
      <c r="K8543" s="250">
        <v>33585.542675684293</v>
      </c>
      <c r="L8543" s="252"/>
    </row>
    <row r="8544" spans="1:14" x14ac:dyDescent="0.2">
      <c r="A8544" s="242">
        <v>2023</v>
      </c>
      <c r="B8544" s="242">
        <v>4</v>
      </c>
      <c r="C8544" s="242">
        <v>6</v>
      </c>
      <c r="D8544" s="270">
        <f t="shared" si="896"/>
        <v>45022</v>
      </c>
      <c r="E8544" s="279">
        <f t="shared" si="897"/>
        <v>45022</v>
      </c>
      <c r="F8544" s="478"/>
      <c r="G8544" s="243" t="s">
        <v>94</v>
      </c>
      <c r="H8544" s="243" t="str" cm="1">
        <f t="array" ref="H8544">IFERROR(INDEX(INVESTOR_LIST[INVESTOR NAME],MATCH(I8544,INVESTOR_LIST[INVESTOR CODE],0),)," ")</f>
        <v xml:space="preserve"> </v>
      </c>
      <c r="I8544" s="263" t="s">
        <v>348</v>
      </c>
      <c r="J8544" s="244" t="s">
        <v>47</v>
      </c>
      <c r="K8544" s="245"/>
      <c r="L8544" s="245">
        <v>33585.542675684293</v>
      </c>
    </row>
    <row r="8545" spans="1:13" x14ac:dyDescent="0.2">
      <c r="A8545" s="246">
        <v>2023</v>
      </c>
      <c r="B8545" s="238">
        <v>4</v>
      </c>
      <c r="C8545" s="238">
        <v>6</v>
      </c>
      <c r="D8545" s="270">
        <f t="shared" si="896"/>
        <v>45022</v>
      </c>
      <c r="E8545" s="279">
        <f t="shared" si="897"/>
        <v>45022</v>
      </c>
      <c r="F8545" s="482" t="s">
        <v>138</v>
      </c>
      <c r="G8545" s="247" t="s">
        <v>94</v>
      </c>
      <c r="H8545" s="247" t="str" cm="1">
        <f t="array" ref="H8545">IFERROR(INDEX(INVESTOR_LIST[INVESTOR NAME],MATCH(I8545,INVESTOR_LIST[INVESTOR CODE],0),)," ")</f>
        <v xml:space="preserve"> </v>
      </c>
      <c r="I8545" s="248" t="s">
        <v>348</v>
      </c>
      <c r="J8545" s="249" t="s">
        <v>100</v>
      </c>
      <c r="K8545" s="250">
        <v>3358.5542675684296</v>
      </c>
      <c r="L8545" s="252"/>
    </row>
    <row r="8546" spans="1:13" ht="10.9" customHeight="1" x14ac:dyDescent="0.2">
      <c r="A8546" s="242">
        <v>2023</v>
      </c>
      <c r="B8546" s="242">
        <v>4</v>
      </c>
      <c r="C8546" s="242">
        <v>6</v>
      </c>
      <c r="D8546" s="321">
        <f t="shared" si="896"/>
        <v>45022</v>
      </c>
      <c r="E8546" s="322">
        <f t="shared" si="897"/>
        <v>45022</v>
      </c>
      <c r="F8546" s="478"/>
      <c r="G8546" s="243" t="s">
        <v>94</v>
      </c>
      <c r="H8546" s="243" t="str" cm="1">
        <f t="array" ref="H8546">IFERROR(INDEX(INVESTOR_LIST[INVESTOR NAME],MATCH(I8546,INVESTOR_LIST[INVESTOR CODE],0),)," ")</f>
        <v xml:space="preserve"> </v>
      </c>
      <c r="I8546" s="263" t="s">
        <v>348</v>
      </c>
      <c r="J8546" s="244" t="s">
        <v>48</v>
      </c>
      <c r="K8546" s="245"/>
      <c r="L8546" s="245">
        <v>3358.5542675684296</v>
      </c>
    </row>
    <row r="8547" spans="1:13" x14ac:dyDescent="0.2">
      <c r="A8547" s="133">
        <v>2023</v>
      </c>
      <c r="B8547" s="133">
        <v>4</v>
      </c>
      <c r="C8547" s="133">
        <v>9</v>
      </c>
      <c r="D8547" s="141">
        <f t="shared" si="896"/>
        <v>45025</v>
      </c>
      <c r="E8547" s="275">
        <f t="shared" si="897"/>
        <v>45025</v>
      </c>
      <c r="F8547" s="481" t="s">
        <v>1646</v>
      </c>
      <c r="G8547" s="174" t="s">
        <v>94</v>
      </c>
      <c r="H8547" s="174" t="str" cm="1">
        <f t="array" ref="H8547">IFERROR(INDEX(INVESTOR_LIST[INVESTOR NAME],MATCH(I8547,INVESTOR_LIST[INVESTOR CODE],0),)," ")</f>
        <v xml:space="preserve"> </v>
      </c>
      <c r="J8547" s="149" t="s">
        <v>190</v>
      </c>
      <c r="K8547" s="218">
        <v>1365605.28</v>
      </c>
      <c r="L8547" s="218"/>
      <c r="M8547" s="160"/>
    </row>
    <row r="8548" spans="1:13" x14ac:dyDescent="0.2">
      <c r="A8548" s="133">
        <v>2023</v>
      </c>
      <c r="B8548" s="133">
        <v>4</v>
      </c>
      <c r="C8548" s="133">
        <v>9</v>
      </c>
      <c r="D8548" s="141">
        <f t="shared" si="896"/>
        <v>45025</v>
      </c>
      <c r="E8548" s="275">
        <f t="shared" si="897"/>
        <v>45025</v>
      </c>
      <c r="F8548" s="481"/>
      <c r="G8548" s="174" t="s">
        <v>94</v>
      </c>
      <c r="H8548" s="174"/>
      <c r="J8548" s="149" t="s">
        <v>80</v>
      </c>
      <c r="K8548" s="218">
        <v>2462.52</v>
      </c>
      <c r="L8548" s="218"/>
    </row>
    <row r="8549" spans="1:13" x14ac:dyDescent="0.2">
      <c r="A8549" s="133">
        <v>2023</v>
      </c>
      <c r="B8549" s="133">
        <v>4</v>
      </c>
      <c r="C8549" s="133">
        <v>9</v>
      </c>
      <c r="D8549" s="141">
        <f t="shared" si="896"/>
        <v>45025</v>
      </c>
      <c r="E8549" s="275">
        <f t="shared" si="897"/>
        <v>45025</v>
      </c>
      <c r="F8549" s="481"/>
      <c r="G8549" s="174" t="s">
        <v>94</v>
      </c>
      <c r="H8549" s="174" t="str" cm="1">
        <f t="array" ref="H8549">IFERROR(INDEX(INVESTOR_LIST[INVESTOR NAME],MATCH(I8549,INVESTOR_LIST[INVESTOR CODE],0),)," ")</f>
        <v xml:space="preserve"> </v>
      </c>
      <c r="J8549" s="149" t="s">
        <v>191</v>
      </c>
      <c r="K8549" s="218">
        <v>41776.11</v>
      </c>
      <c r="L8549" s="218"/>
    </row>
    <row r="8550" spans="1:13" x14ac:dyDescent="0.2">
      <c r="A8550" s="163">
        <v>2023</v>
      </c>
      <c r="B8550" s="163">
        <v>4</v>
      </c>
      <c r="C8550" s="163">
        <v>9</v>
      </c>
      <c r="D8550" s="280">
        <f t="shared" si="896"/>
        <v>45025</v>
      </c>
      <c r="E8550" s="281">
        <f t="shared" si="897"/>
        <v>45025</v>
      </c>
      <c r="F8550" s="480"/>
      <c r="G8550" s="221" t="s">
        <v>94</v>
      </c>
      <c r="H8550" s="145" t="str" cm="1">
        <f t="array" ref="H8550">IFERROR(INDEX(INVESTOR_LIST[INVESTOR NAME],MATCH(I8550,INVESTOR_LIST[INVESTOR CODE],0),)," ")</f>
        <v xml:space="preserve"> </v>
      </c>
      <c r="I8550" s="145"/>
      <c r="J8550" s="163" t="s">
        <v>79</v>
      </c>
      <c r="K8550" s="219"/>
      <c r="L8550" s="219">
        <v>1409843.91</v>
      </c>
    </row>
    <row r="8551" spans="1:13" ht="10.15" customHeight="1" x14ac:dyDescent="0.2">
      <c r="A8551" s="168">
        <v>2023</v>
      </c>
      <c r="B8551" s="168">
        <v>4</v>
      </c>
      <c r="C8551" s="168">
        <v>11</v>
      </c>
      <c r="D8551" s="141">
        <f t="shared" si="896"/>
        <v>45027</v>
      </c>
      <c r="E8551" s="275">
        <f t="shared" si="897"/>
        <v>45027</v>
      </c>
      <c r="F8551" s="479" t="s">
        <v>1310</v>
      </c>
      <c r="G8551" s="220" t="s">
        <v>74</v>
      </c>
      <c r="H8551" s="142" t="str" cm="1">
        <f t="array" ref="H8551">IFERROR(INDEX(INVESTOR_LIST[INVESTOR NAME],MATCH(I8551,INVESTOR_LIST[INVESTOR CODE],0),)," ")</f>
        <v>SWADESH RANJAN SAHA</v>
      </c>
      <c r="I8551" s="142" t="s">
        <v>461</v>
      </c>
      <c r="J8551" s="168" t="s">
        <v>13</v>
      </c>
      <c r="K8551" s="218">
        <v>649930</v>
      </c>
      <c r="L8551" s="226"/>
    </row>
    <row r="8552" spans="1:13" ht="10.15" customHeight="1" x14ac:dyDescent="0.2">
      <c r="A8552" s="133">
        <v>2023</v>
      </c>
      <c r="B8552" s="133">
        <v>4</v>
      </c>
      <c r="C8552" s="133">
        <v>11</v>
      </c>
      <c r="D8552" s="141">
        <f t="shared" si="896"/>
        <v>45027</v>
      </c>
      <c r="E8552" s="275">
        <f t="shared" si="897"/>
        <v>45027</v>
      </c>
      <c r="F8552" s="481"/>
      <c r="G8552" s="174" t="s">
        <v>74</v>
      </c>
      <c r="H8552" s="148" t="str" cm="1">
        <f t="array" ref="H8552">IFERROR(INDEX(INVESTOR_LIST[INVESTOR NAME],MATCH(I8552,INVESTOR_LIST[INVESTOR CODE],0),)," ")</f>
        <v>SWADESH RANJAN SAHA</v>
      </c>
      <c r="I8552" s="148" t="s">
        <v>461</v>
      </c>
      <c r="J8552" s="133" t="s">
        <v>53</v>
      </c>
      <c r="K8552" s="218">
        <v>150070</v>
      </c>
      <c r="L8552" s="218"/>
    </row>
    <row r="8553" spans="1:13" ht="10.15" customHeight="1" x14ac:dyDescent="0.2">
      <c r="A8553" s="163">
        <v>2023</v>
      </c>
      <c r="B8553" s="163">
        <v>4</v>
      </c>
      <c r="C8553" s="163">
        <v>11</v>
      </c>
      <c r="D8553" s="280">
        <f t="shared" si="896"/>
        <v>45027</v>
      </c>
      <c r="E8553" s="281">
        <f t="shared" si="897"/>
        <v>45027</v>
      </c>
      <c r="F8553" s="480"/>
      <c r="G8553" s="221" t="s">
        <v>74</v>
      </c>
      <c r="H8553" s="145" t="str" cm="1">
        <f t="array" ref="H8553">IFERROR(INDEX(INVESTOR_LIST[INVESTOR NAME],MATCH(I8553,INVESTOR_LIST[INVESTOR CODE],0),)," ")</f>
        <v>SWADESH RANJAN SAHA</v>
      </c>
      <c r="I8553" s="145" t="s">
        <v>461</v>
      </c>
      <c r="J8553" s="163" t="s">
        <v>52</v>
      </c>
      <c r="K8553" s="219"/>
      <c r="L8553" s="219">
        <v>800000</v>
      </c>
    </row>
    <row r="8554" spans="1:13" x14ac:dyDescent="0.2">
      <c r="A8554" s="168">
        <v>2023</v>
      </c>
      <c r="B8554" s="168">
        <v>4</v>
      </c>
      <c r="C8554" s="168">
        <v>11</v>
      </c>
      <c r="D8554" s="280">
        <f t="shared" si="896"/>
        <v>45027</v>
      </c>
      <c r="E8554" s="281">
        <f t="shared" si="897"/>
        <v>45027</v>
      </c>
      <c r="F8554" s="479" t="s">
        <v>1567</v>
      </c>
      <c r="G8554" s="220" t="s">
        <v>74</v>
      </c>
      <c r="H8554" s="142" t="str" cm="1">
        <f t="array" ref="H8554">IFERROR(INDEX(INVESTOR_LIST[INVESTOR NAME],MATCH(I8554,INVESTOR_LIST[INVESTOR CODE],0),)," ")</f>
        <v xml:space="preserve"> </v>
      </c>
      <c r="I8554" s="142"/>
      <c r="J8554" s="168" t="s">
        <v>61</v>
      </c>
      <c r="K8554" s="226">
        <v>100</v>
      </c>
      <c r="L8554" s="226"/>
    </row>
    <row r="8555" spans="1:13" x14ac:dyDescent="0.2">
      <c r="A8555" s="163">
        <v>2023</v>
      </c>
      <c r="B8555" s="163">
        <v>4</v>
      </c>
      <c r="C8555" s="163">
        <v>11</v>
      </c>
      <c r="D8555" s="144">
        <f t="shared" si="896"/>
        <v>45027</v>
      </c>
      <c r="E8555" s="313">
        <f t="shared" si="897"/>
        <v>45027</v>
      </c>
      <c r="F8555" s="480"/>
      <c r="G8555" s="221" t="s">
        <v>74</v>
      </c>
      <c r="H8555" s="145" t="str" cm="1">
        <f t="array" ref="H8555">IFERROR(INDEX(INVESTOR_LIST[INVESTOR NAME],MATCH(I8555,INVESTOR_LIST[INVESTOR CODE],0),)," ")</f>
        <v xml:space="preserve"> </v>
      </c>
      <c r="I8555" s="145"/>
      <c r="J8555" s="163" t="s">
        <v>52</v>
      </c>
      <c r="K8555" s="219"/>
      <c r="L8555" s="219">
        <v>100</v>
      </c>
    </row>
    <row r="8556" spans="1:13" x14ac:dyDescent="0.2">
      <c r="A8556" s="168">
        <v>2023</v>
      </c>
      <c r="B8556" s="168">
        <v>4</v>
      </c>
      <c r="C8556" s="168">
        <v>11</v>
      </c>
      <c r="D8556" s="141">
        <f>DATE(A8556,B8556,C8556)</f>
        <v>45027</v>
      </c>
      <c r="E8556" s="275">
        <f>DATE(A8556,B8556,C8556)</f>
        <v>45027</v>
      </c>
      <c r="F8556" s="479" t="s">
        <v>1647</v>
      </c>
      <c r="G8556" s="220" t="s">
        <v>74</v>
      </c>
      <c r="H8556" s="220" t="str" cm="1">
        <f t="array" ref="H8556">IFERROR(INDEX(INVESTOR_LIST[INVESTOR NAME],MATCH(I8556,INVESTOR_LIST[INVESTOR CODE],0),)," ")</f>
        <v xml:space="preserve"> </v>
      </c>
      <c r="I8556" s="142"/>
      <c r="J8556" s="143" t="s">
        <v>52</v>
      </c>
      <c r="K8556" s="226">
        <v>1365605.28</v>
      </c>
      <c r="L8556" s="226"/>
    </row>
    <row r="8557" spans="1:13" x14ac:dyDescent="0.2">
      <c r="A8557" s="163">
        <v>2023</v>
      </c>
      <c r="B8557" s="163">
        <v>4</v>
      </c>
      <c r="C8557" s="163">
        <v>11</v>
      </c>
      <c r="D8557" s="280">
        <f>DATE(A8557,B8557,C8557)</f>
        <v>45027</v>
      </c>
      <c r="E8557" s="281">
        <f>DATE(A8557,B8557,C8557)</f>
        <v>45027</v>
      </c>
      <c r="F8557" s="480"/>
      <c r="G8557" s="221" t="s">
        <v>74</v>
      </c>
      <c r="H8557" s="221" t="str" cm="1">
        <f t="array" ref="H8557">IFERROR(INDEX(INVESTOR_LIST[INVESTOR NAME],MATCH(I8557,INVESTOR_LIST[INVESTOR CODE],0),)," ")</f>
        <v xml:space="preserve"> </v>
      </c>
      <c r="I8557" s="145"/>
      <c r="J8557" s="146" t="s">
        <v>190</v>
      </c>
      <c r="K8557" s="219"/>
      <c r="L8557" s="219">
        <v>1365605.28</v>
      </c>
    </row>
    <row r="8558" spans="1:13" ht="10.15" customHeight="1" x14ac:dyDescent="0.2">
      <c r="A8558" s="168">
        <v>2023</v>
      </c>
      <c r="B8558" s="168">
        <v>4</v>
      </c>
      <c r="C8558" s="168">
        <v>12</v>
      </c>
      <c r="D8558" s="141">
        <f t="shared" si="896"/>
        <v>45028</v>
      </c>
      <c r="E8558" s="275">
        <f t="shared" si="897"/>
        <v>45028</v>
      </c>
      <c r="F8558" s="479" t="s">
        <v>1315</v>
      </c>
      <c r="G8558" s="220" t="s">
        <v>74</v>
      </c>
      <c r="H8558" s="142" t="str" cm="1">
        <f t="array" ref="H8558">IFERROR(INDEX(INVESTOR_LIST[INVESTOR NAME],MATCH(I8558,INVESTOR_LIST[INVESTOR CODE],0),)," ")</f>
        <v>MD. SAJID SAADAT ALI</v>
      </c>
      <c r="I8558" s="142" t="s">
        <v>519</v>
      </c>
      <c r="J8558" s="168" t="s">
        <v>13</v>
      </c>
      <c r="K8558" s="218">
        <v>139560</v>
      </c>
      <c r="L8558" s="226"/>
    </row>
    <row r="8559" spans="1:13" ht="10.15" customHeight="1" x14ac:dyDescent="0.2">
      <c r="A8559" s="133">
        <v>2023</v>
      </c>
      <c r="B8559" s="133">
        <v>4</v>
      </c>
      <c r="C8559" s="133">
        <v>12</v>
      </c>
      <c r="D8559" s="141">
        <f t="shared" si="896"/>
        <v>45028</v>
      </c>
      <c r="E8559" s="275">
        <f t="shared" si="897"/>
        <v>45028</v>
      </c>
      <c r="F8559" s="481"/>
      <c r="G8559" s="174" t="s">
        <v>74</v>
      </c>
      <c r="H8559" s="148" t="str" cm="1">
        <f t="array" ref="H8559">IFERROR(INDEX(INVESTOR_LIST[INVESTOR NAME],MATCH(I8559,INVESTOR_LIST[INVESTOR CODE],0),)," ")</f>
        <v>MD. SAJID SAADAT ALI</v>
      </c>
      <c r="I8559" s="148" t="s">
        <v>519</v>
      </c>
      <c r="J8559" s="133" t="s">
        <v>53</v>
      </c>
      <c r="K8559" s="218">
        <v>31763.86</v>
      </c>
      <c r="L8559" s="218"/>
    </row>
    <row r="8560" spans="1:13" ht="10.15" customHeight="1" x14ac:dyDescent="0.2">
      <c r="A8560" s="163">
        <v>2023</v>
      </c>
      <c r="B8560" s="163">
        <v>4</v>
      </c>
      <c r="C8560" s="163">
        <v>12</v>
      </c>
      <c r="D8560" s="280">
        <f t="shared" si="896"/>
        <v>45028</v>
      </c>
      <c r="E8560" s="281">
        <f t="shared" si="897"/>
        <v>45028</v>
      </c>
      <c r="F8560" s="480"/>
      <c r="G8560" s="221" t="s">
        <v>74</v>
      </c>
      <c r="H8560" s="145" t="str" cm="1">
        <f t="array" ref="H8560">IFERROR(INDEX(INVESTOR_LIST[INVESTOR NAME],MATCH(I8560,INVESTOR_LIST[INVESTOR CODE],0),)," ")</f>
        <v>MD. SAJID SAADAT ALI</v>
      </c>
      <c r="I8560" s="145" t="s">
        <v>519</v>
      </c>
      <c r="J8560" s="163" t="s">
        <v>52</v>
      </c>
      <c r="K8560" s="219"/>
      <c r="L8560" s="219">
        <v>171323.86</v>
      </c>
    </row>
    <row r="8561" spans="1:14" x14ac:dyDescent="0.2">
      <c r="A8561" s="168">
        <v>2023</v>
      </c>
      <c r="B8561" s="168">
        <v>4</v>
      </c>
      <c r="C8561" s="168">
        <v>12</v>
      </c>
      <c r="D8561" s="141">
        <f t="shared" si="896"/>
        <v>45028</v>
      </c>
      <c r="E8561" s="275">
        <f t="shared" si="897"/>
        <v>45028</v>
      </c>
      <c r="F8561" s="481" t="s">
        <v>1668</v>
      </c>
      <c r="G8561" s="174" t="s">
        <v>74</v>
      </c>
      <c r="H8561" s="174" t="str" cm="1">
        <f t="array" ref="H8561">IFERROR(INDEX(INVESTOR_LIST[INVESTOR NAME],MATCH(I8561,INVESTOR_LIST[INVESTOR CODE],0),)," ")</f>
        <v xml:space="preserve"> </v>
      </c>
      <c r="I8561" s="148" t="s">
        <v>348</v>
      </c>
      <c r="J8561" s="149" t="s">
        <v>52</v>
      </c>
      <c r="K8561" s="218">
        <v>385288</v>
      </c>
      <c r="L8561" s="218"/>
    </row>
    <row r="8562" spans="1:14" x14ac:dyDescent="0.2">
      <c r="A8562" s="163">
        <v>2023</v>
      </c>
      <c r="B8562" s="163">
        <v>4</v>
      </c>
      <c r="C8562" s="163">
        <v>12</v>
      </c>
      <c r="D8562" s="141">
        <f t="shared" si="896"/>
        <v>45028</v>
      </c>
      <c r="E8562" s="275">
        <f t="shared" si="897"/>
        <v>45028</v>
      </c>
      <c r="F8562" s="480"/>
      <c r="G8562" s="221" t="s">
        <v>74</v>
      </c>
      <c r="H8562" s="221" t="str" cm="1">
        <f t="array" ref="H8562">IFERROR(INDEX(INVESTOR_LIST[INVESTOR NAME],MATCH(I8562,INVESTOR_LIST[INVESTOR CODE],0),)," ")</f>
        <v xml:space="preserve"> </v>
      </c>
      <c r="I8562" s="145" t="s">
        <v>348</v>
      </c>
      <c r="J8562" s="146" t="s">
        <v>168</v>
      </c>
      <c r="K8562" s="219"/>
      <c r="L8562" s="219">
        <v>385288</v>
      </c>
    </row>
    <row r="8563" spans="1:14" x14ac:dyDescent="0.2">
      <c r="A8563" s="324">
        <v>2023</v>
      </c>
      <c r="B8563" s="324">
        <v>4</v>
      </c>
      <c r="C8563" s="325">
        <v>13</v>
      </c>
      <c r="D8563" s="326">
        <f>DATE(A8563,B8563,C8563)</f>
        <v>45029</v>
      </c>
      <c r="E8563" s="327">
        <f>DATE(A8563,B8563,C8563)</f>
        <v>45029</v>
      </c>
      <c r="F8563" s="473" t="s">
        <v>1634</v>
      </c>
      <c r="G8563" s="328" t="s">
        <v>94</v>
      </c>
      <c r="H8563" s="329" t="str" cm="1">
        <f t="array" ref="H8563">IFERROR(INDEX(INVESTOR_LIST[INVESTOR NAME],MATCH(I8563,INVESTOR_LIST[INVESTOR CODE],0),)," ")</f>
        <v xml:space="preserve"> </v>
      </c>
      <c r="I8563" s="329" t="s">
        <v>348</v>
      </c>
      <c r="J8563" s="324" t="s">
        <v>133</v>
      </c>
      <c r="K8563" s="330">
        <v>3966.35</v>
      </c>
      <c r="L8563" s="330"/>
      <c r="M8563" s="160"/>
    </row>
    <row r="8564" spans="1:14" x14ac:dyDescent="0.2">
      <c r="A8564" s="331">
        <v>2023</v>
      </c>
      <c r="B8564" s="331">
        <v>4</v>
      </c>
      <c r="C8564" s="331">
        <v>13</v>
      </c>
      <c r="D8564" s="326">
        <f>DATE(A8564,B8564,C8564)</f>
        <v>45029</v>
      </c>
      <c r="E8564" s="327">
        <f>DATE(A8564,B8564,C8564)</f>
        <v>45029</v>
      </c>
      <c r="F8564" s="474"/>
      <c r="G8564" s="332" t="s">
        <v>94</v>
      </c>
      <c r="H8564" s="333" t="str" cm="1">
        <f t="array" ref="H8564">IFERROR(INDEX(INVESTOR_LIST[INVESTOR NAME],MATCH(I8564,INVESTOR_LIST[INVESTOR CODE],0),)," ")</f>
        <v xml:space="preserve"> </v>
      </c>
      <c r="I8564" s="333" t="s">
        <v>348</v>
      </c>
      <c r="J8564" s="331" t="s">
        <v>152</v>
      </c>
      <c r="K8564" s="334"/>
      <c r="L8564" s="334">
        <v>3966.35</v>
      </c>
      <c r="M8564" s="160"/>
    </row>
    <row r="8565" spans="1:14" x14ac:dyDescent="0.2">
      <c r="A8565" s="324">
        <v>2023</v>
      </c>
      <c r="B8565" s="324">
        <v>4</v>
      </c>
      <c r="C8565" s="325">
        <v>13</v>
      </c>
      <c r="D8565" s="326">
        <f t="shared" ref="D8565:D8568" si="898">DATE(A8565,B8565,C8565)</f>
        <v>45029</v>
      </c>
      <c r="E8565" s="327">
        <f t="shared" ref="E8565:E8568" si="899">DATE(A8565,B8565,C8565)</f>
        <v>45029</v>
      </c>
      <c r="F8565" s="473" t="s">
        <v>1490</v>
      </c>
      <c r="G8565" s="328" t="s">
        <v>94</v>
      </c>
      <c r="H8565" s="329" t="str" cm="1">
        <f t="array" ref="H8565">IFERROR(INDEX(INVESTOR_LIST[INVESTOR NAME],MATCH(I8565,INVESTOR_LIST[INVESTOR CODE],0),)," ")</f>
        <v xml:space="preserve"> </v>
      </c>
      <c r="I8565" s="329" t="s">
        <v>348</v>
      </c>
      <c r="J8565" s="325" t="s">
        <v>133</v>
      </c>
      <c r="K8565" s="330">
        <v>23479.68</v>
      </c>
      <c r="L8565" s="330"/>
      <c r="M8565" s="160"/>
    </row>
    <row r="8566" spans="1:14" x14ac:dyDescent="0.2">
      <c r="A8566" s="331">
        <v>2023</v>
      </c>
      <c r="B8566" s="331">
        <v>4</v>
      </c>
      <c r="C8566" s="331">
        <v>13</v>
      </c>
      <c r="D8566" s="326">
        <f t="shared" si="898"/>
        <v>45029</v>
      </c>
      <c r="E8566" s="327">
        <f t="shared" si="899"/>
        <v>45029</v>
      </c>
      <c r="F8566" s="474"/>
      <c r="G8566" s="332" t="s">
        <v>94</v>
      </c>
      <c r="H8566" s="333" t="str" cm="1">
        <f t="array" ref="H8566">IFERROR(INDEX(INVESTOR_LIST[INVESTOR NAME],MATCH(I8566,INVESTOR_LIST[INVESTOR CODE],0),)," ")</f>
        <v xml:space="preserve"> </v>
      </c>
      <c r="I8566" s="333" t="s">
        <v>348</v>
      </c>
      <c r="J8566" s="331" t="s">
        <v>152</v>
      </c>
      <c r="K8566" s="334"/>
      <c r="L8566" s="334">
        <v>23479.68</v>
      </c>
      <c r="M8566" s="160"/>
      <c r="N8566" s="160"/>
    </row>
    <row r="8567" spans="1:14" x14ac:dyDescent="0.2">
      <c r="A8567" s="324">
        <v>2023</v>
      </c>
      <c r="B8567" s="324">
        <v>4</v>
      </c>
      <c r="C8567" s="325">
        <v>13</v>
      </c>
      <c r="D8567" s="326">
        <f t="shared" si="898"/>
        <v>45029</v>
      </c>
      <c r="E8567" s="327">
        <f t="shared" si="899"/>
        <v>45029</v>
      </c>
      <c r="F8567" s="473" t="s">
        <v>1491</v>
      </c>
      <c r="G8567" s="328" t="s">
        <v>94</v>
      </c>
      <c r="H8567" s="329" t="str" cm="1">
        <f t="array" ref="H8567">IFERROR(INDEX(INVESTOR_LIST[INVESTOR NAME],MATCH(I8567,INVESTOR_LIST[INVESTOR CODE],0),)," ")</f>
        <v xml:space="preserve"> </v>
      </c>
      <c r="I8567" s="329" t="s">
        <v>348</v>
      </c>
      <c r="J8567" s="324" t="s">
        <v>133</v>
      </c>
      <c r="K8567" s="330">
        <v>13125</v>
      </c>
      <c r="L8567" s="330"/>
      <c r="M8567" s="160"/>
      <c r="N8567" s="160"/>
    </row>
    <row r="8568" spans="1:14" x14ac:dyDescent="0.2">
      <c r="A8568" s="331">
        <v>2023</v>
      </c>
      <c r="B8568" s="331">
        <v>4</v>
      </c>
      <c r="C8568" s="331">
        <v>13</v>
      </c>
      <c r="D8568" s="326">
        <f t="shared" si="898"/>
        <v>45029</v>
      </c>
      <c r="E8568" s="327">
        <f t="shared" si="899"/>
        <v>45029</v>
      </c>
      <c r="F8568" s="474"/>
      <c r="G8568" s="332" t="s">
        <v>94</v>
      </c>
      <c r="H8568" s="333" t="str" cm="1">
        <f t="array" ref="H8568">IFERROR(INDEX(INVESTOR_LIST[INVESTOR NAME],MATCH(I8568,INVESTOR_LIST[INVESTOR CODE],0),)," ")</f>
        <v xml:space="preserve"> </v>
      </c>
      <c r="I8568" s="333" t="s">
        <v>348</v>
      </c>
      <c r="J8568" s="331" t="s">
        <v>152</v>
      </c>
      <c r="K8568" s="334"/>
      <c r="L8568" s="334">
        <v>13125</v>
      </c>
      <c r="M8568" s="160"/>
    </row>
    <row r="8569" spans="1:14" x14ac:dyDescent="0.2">
      <c r="A8569" s="324">
        <v>2023</v>
      </c>
      <c r="B8569" s="324">
        <v>4</v>
      </c>
      <c r="C8569" s="325">
        <v>13</v>
      </c>
      <c r="D8569" s="326">
        <f>DATE(A8569,B8569,C8569)</f>
        <v>45029</v>
      </c>
      <c r="E8569" s="327">
        <f>DATE(A8569,B8569,C8569)</f>
        <v>45029</v>
      </c>
      <c r="F8569" s="473" t="s">
        <v>1531</v>
      </c>
      <c r="G8569" s="328" t="s">
        <v>94</v>
      </c>
      <c r="H8569" s="329" t="str" cm="1">
        <f t="array" ref="H8569">IFERROR(INDEX(INVESTOR_LIST[INVESTOR NAME],MATCH(I8569,INVESTOR_LIST[INVESTOR CODE],0),)," ")</f>
        <v xml:space="preserve"> </v>
      </c>
      <c r="I8569" s="329" t="s">
        <v>348</v>
      </c>
      <c r="J8569" s="324" t="s">
        <v>133</v>
      </c>
      <c r="K8569" s="330">
        <v>22349.17</v>
      </c>
      <c r="L8569" s="330"/>
      <c r="M8569" s="160"/>
    </row>
    <row r="8570" spans="1:14" x14ac:dyDescent="0.2">
      <c r="A8570" s="331">
        <v>2023</v>
      </c>
      <c r="B8570" s="331">
        <v>4</v>
      </c>
      <c r="C8570" s="331">
        <v>13</v>
      </c>
      <c r="D8570" s="326">
        <f>DATE(A8570,B8570,C8570)</f>
        <v>45029</v>
      </c>
      <c r="E8570" s="327">
        <f>DATE(A8570,B8570,C8570)</f>
        <v>45029</v>
      </c>
      <c r="F8570" s="474"/>
      <c r="G8570" s="332" t="s">
        <v>94</v>
      </c>
      <c r="H8570" s="333" t="str" cm="1">
        <f t="array" ref="H8570">IFERROR(INDEX(INVESTOR_LIST[INVESTOR NAME],MATCH(I8570,INVESTOR_LIST[INVESTOR CODE],0),)," ")</f>
        <v xml:space="preserve"> </v>
      </c>
      <c r="I8570" s="333" t="s">
        <v>348</v>
      </c>
      <c r="J8570" s="331" t="s">
        <v>152</v>
      </c>
      <c r="K8570" s="334"/>
      <c r="L8570" s="334">
        <v>22349.17</v>
      </c>
      <c r="M8570" s="160"/>
    </row>
    <row r="8571" spans="1:14" x14ac:dyDescent="0.2">
      <c r="A8571" s="238">
        <v>2023</v>
      </c>
      <c r="B8571" s="238">
        <v>4</v>
      </c>
      <c r="C8571" s="238">
        <v>13</v>
      </c>
      <c r="D8571" s="270">
        <f t="shared" ref="D8571:D8588" si="900">DATE(A8571,B8571,C8571)</f>
        <v>45029</v>
      </c>
      <c r="E8571" s="279">
        <f t="shared" ref="E8571:E8588" si="901">DATE(A8571,B8571,C8571)</f>
        <v>45029</v>
      </c>
      <c r="F8571" s="477" t="s">
        <v>347</v>
      </c>
      <c r="G8571" s="239" t="s">
        <v>94</v>
      </c>
      <c r="H8571" s="239" t="str" cm="1">
        <f t="array" ref="H8571">IFERROR(INDEX(INVESTOR_LIST[INVESTOR NAME],MATCH(I8571,INVESTOR_LIST[INVESTOR CODE],0),)," ")</f>
        <v xml:space="preserve"> </v>
      </c>
      <c r="I8571" s="262" t="s">
        <v>348</v>
      </c>
      <c r="J8571" s="240" t="s">
        <v>108</v>
      </c>
      <c r="K8571" s="241">
        <v>370301.1099999845</v>
      </c>
      <c r="L8571" s="241"/>
    </row>
    <row r="8572" spans="1:14" x14ac:dyDescent="0.2">
      <c r="A8572" s="242">
        <v>2023</v>
      </c>
      <c r="B8572" s="242">
        <v>4</v>
      </c>
      <c r="C8572" s="242">
        <v>13</v>
      </c>
      <c r="D8572" s="270">
        <f t="shared" si="900"/>
        <v>45029</v>
      </c>
      <c r="E8572" s="279">
        <f t="shared" si="901"/>
        <v>45029</v>
      </c>
      <c r="F8572" s="478"/>
      <c r="G8572" s="243" t="s">
        <v>94</v>
      </c>
      <c r="H8572" s="243" t="str" cm="1">
        <f t="array" ref="H8572">IFERROR(INDEX(INVESTOR_LIST[INVESTOR NAME],MATCH(I8572,INVESTOR_LIST[INVESTOR CODE],0),)," ")</f>
        <v xml:space="preserve"> </v>
      </c>
      <c r="I8572" s="263" t="s">
        <v>348</v>
      </c>
      <c r="J8572" s="244" t="s">
        <v>82</v>
      </c>
      <c r="K8572" s="245"/>
      <c r="L8572" s="245">
        <v>370301.1099999845</v>
      </c>
    </row>
    <row r="8573" spans="1:14" ht="22.5" x14ac:dyDescent="0.2">
      <c r="A8573" s="246">
        <v>2023</v>
      </c>
      <c r="B8573" s="238">
        <v>4</v>
      </c>
      <c r="C8573" s="238">
        <v>13</v>
      </c>
      <c r="D8573" s="270">
        <f t="shared" si="900"/>
        <v>45029</v>
      </c>
      <c r="E8573" s="279">
        <f t="shared" si="901"/>
        <v>45029</v>
      </c>
      <c r="F8573" s="482" t="s">
        <v>148</v>
      </c>
      <c r="G8573" s="247" t="s">
        <v>94</v>
      </c>
      <c r="H8573" s="247" t="str" cm="1">
        <f t="array" ref="H8573">IFERROR(INDEX(INVESTOR_LIST[INVESTOR NAME],MATCH(I8573,INVESTOR_LIST[INVESTOR CODE],0),)," ")</f>
        <v xml:space="preserve"> </v>
      </c>
      <c r="I8573" s="248" t="s">
        <v>348</v>
      </c>
      <c r="J8573" s="249" t="s">
        <v>95</v>
      </c>
      <c r="K8573" s="250">
        <v>2747.2527472527472</v>
      </c>
      <c r="L8573" s="241"/>
    </row>
    <row r="8574" spans="1:14" x14ac:dyDescent="0.2">
      <c r="A8574" s="242">
        <v>2023</v>
      </c>
      <c r="B8574" s="242">
        <v>4</v>
      </c>
      <c r="C8574" s="242">
        <v>13</v>
      </c>
      <c r="D8574" s="270">
        <f t="shared" si="900"/>
        <v>45029</v>
      </c>
      <c r="E8574" s="279">
        <f t="shared" si="901"/>
        <v>45029</v>
      </c>
      <c r="F8574" s="478"/>
      <c r="G8574" s="243" t="s">
        <v>94</v>
      </c>
      <c r="H8574" s="243" t="str" cm="1">
        <f t="array" ref="H8574">IFERROR(INDEX(INVESTOR_LIST[INVESTOR NAME],MATCH(I8574,INVESTOR_LIST[INVESTOR CODE],0),)," ")</f>
        <v xml:space="preserve"> </v>
      </c>
      <c r="I8574" s="263" t="s">
        <v>348</v>
      </c>
      <c r="J8574" s="244" t="s">
        <v>63</v>
      </c>
      <c r="K8574" s="245"/>
      <c r="L8574" s="245">
        <v>2747.2527472527472</v>
      </c>
    </row>
    <row r="8575" spans="1:14" x14ac:dyDescent="0.2">
      <c r="A8575" s="246">
        <v>2023</v>
      </c>
      <c r="B8575" s="238">
        <v>4</v>
      </c>
      <c r="C8575" s="238">
        <v>13</v>
      </c>
      <c r="D8575" s="270">
        <f t="shared" si="900"/>
        <v>45029</v>
      </c>
      <c r="E8575" s="279">
        <f t="shared" si="901"/>
        <v>45029</v>
      </c>
      <c r="F8575" s="482" t="s">
        <v>137</v>
      </c>
      <c r="G8575" s="247" t="s">
        <v>94</v>
      </c>
      <c r="H8575" s="247" t="str" cm="1">
        <f t="array" ref="H8575">IFERROR(INDEX(INVESTOR_LIST[INVESTOR NAME],MATCH(I8575,INVESTOR_LIST[INVESTOR CODE],0),)," ")</f>
        <v xml:space="preserve"> </v>
      </c>
      <c r="I8575" s="248" t="s">
        <v>348</v>
      </c>
      <c r="J8575" s="249" t="s">
        <v>97</v>
      </c>
      <c r="K8575" s="250">
        <v>33539.995650743811</v>
      </c>
      <c r="L8575" s="252"/>
    </row>
    <row r="8576" spans="1:14" x14ac:dyDescent="0.2">
      <c r="A8576" s="242">
        <v>2023</v>
      </c>
      <c r="B8576" s="242">
        <v>4</v>
      </c>
      <c r="C8576" s="242">
        <v>13</v>
      </c>
      <c r="D8576" s="270">
        <f t="shared" si="900"/>
        <v>45029</v>
      </c>
      <c r="E8576" s="279">
        <f t="shared" si="901"/>
        <v>45029</v>
      </c>
      <c r="F8576" s="478"/>
      <c r="G8576" s="243" t="s">
        <v>94</v>
      </c>
      <c r="H8576" s="243" t="str" cm="1">
        <f t="array" ref="H8576">IFERROR(INDEX(INVESTOR_LIST[INVESTOR NAME],MATCH(I8576,INVESTOR_LIST[INVESTOR CODE],0),)," ")</f>
        <v xml:space="preserve"> </v>
      </c>
      <c r="I8576" s="263" t="s">
        <v>348</v>
      </c>
      <c r="J8576" s="244" t="s">
        <v>47</v>
      </c>
      <c r="K8576" s="245"/>
      <c r="L8576" s="245">
        <v>33539.995650743811</v>
      </c>
    </row>
    <row r="8577" spans="1:17" x14ac:dyDescent="0.2">
      <c r="A8577" s="246">
        <v>2023</v>
      </c>
      <c r="B8577" s="238">
        <v>4</v>
      </c>
      <c r="C8577" s="238">
        <v>13</v>
      </c>
      <c r="D8577" s="270">
        <f t="shared" si="900"/>
        <v>45029</v>
      </c>
      <c r="E8577" s="279">
        <f t="shared" si="901"/>
        <v>45029</v>
      </c>
      <c r="F8577" s="482" t="s">
        <v>138</v>
      </c>
      <c r="G8577" s="247" t="s">
        <v>94</v>
      </c>
      <c r="H8577" s="247" t="str" cm="1">
        <f t="array" ref="H8577">IFERROR(INDEX(INVESTOR_LIST[INVESTOR NAME],MATCH(I8577,INVESTOR_LIST[INVESTOR CODE],0),)," ")</f>
        <v xml:space="preserve"> </v>
      </c>
      <c r="I8577" s="248" t="s">
        <v>348</v>
      </c>
      <c r="J8577" s="249" t="s">
        <v>100</v>
      </c>
      <c r="K8577" s="250">
        <v>3353.9995650743808</v>
      </c>
      <c r="L8577" s="252"/>
    </row>
    <row r="8578" spans="1:17" ht="10.9" customHeight="1" x14ac:dyDescent="0.2">
      <c r="A8578" s="242">
        <v>2023</v>
      </c>
      <c r="B8578" s="242">
        <v>4</v>
      </c>
      <c r="C8578" s="242">
        <v>13</v>
      </c>
      <c r="D8578" s="321">
        <f t="shared" si="900"/>
        <v>45029</v>
      </c>
      <c r="E8578" s="322">
        <f t="shared" si="901"/>
        <v>45029</v>
      </c>
      <c r="F8578" s="478"/>
      <c r="G8578" s="243" t="s">
        <v>94</v>
      </c>
      <c r="H8578" s="243" t="str" cm="1">
        <f t="array" ref="H8578">IFERROR(INDEX(INVESTOR_LIST[INVESTOR NAME],MATCH(I8578,INVESTOR_LIST[INVESTOR CODE],0),)," ")</f>
        <v xml:space="preserve"> </v>
      </c>
      <c r="I8578" s="263" t="s">
        <v>348</v>
      </c>
      <c r="J8578" s="244" t="s">
        <v>48</v>
      </c>
      <c r="K8578" s="245"/>
      <c r="L8578" s="245">
        <v>3353.9995650743808</v>
      </c>
    </row>
    <row r="8579" spans="1:17" ht="10.15" customHeight="1" x14ac:dyDescent="0.2">
      <c r="A8579" s="168">
        <v>2023</v>
      </c>
      <c r="B8579" s="168">
        <v>4</v>
      </c>
      <c r="C8579" s="168">
        <v>17</v>
      </c>
      <c r="D8579" s="141">
        <f>DATE(A8579,B8579,C8579)</f>
        <v>45033</v>
      </c>
      <c r="E8579" s="275">
        <f>DATE(A8579,B8579,C8579)</f>
        <v>45033</v>
      </c>
      <c r="F8579" s="479" t="s">
        <v>1319</v>
      </c>
      <c r="G8579" s="220" t="s">
        <v>74</v>
      </c>
      <c r="H8579" s="142" t="str" cm="1">
        <f t="array" ref="H8579">IFERROR(INDEX(INVESTOR_LIST[INVESTOR NAME],MATCH(I8579,INVESTOR_LIST[INVESTOR CODE],0),)," ")</f>
        <v xml:space="preserve"> </v>
      </c>
      <c r="I8579" s="142"/>
      <c r="J8579" s="168" t="s">
        <v>52</v>
      </c>
      <c r="K8579" s="226">
        <v>36000</v>
      </c>
      <c r="L8579" s="226"/>
    </row>
    <row r="8580" spans="1:17" ht="10.15" customHeight="1" x14ac:dyDescent="0.2">
      <c r="A8580" s="133">
        <v>2023</v>
      </c>
      <c r="B8580" s="133">
        <v>4</v>
      </c>
      <c r="C8580" s="133">
        <v>17</v>
      </c>
      <c r="D8580" s="141">
        <f>DATE(A8580,B8580,C8580)</f>
        <v>45033</v>
      </c>
      <c r="E8580" s="275">
        <f>DATE(A8580,B8580,C8580)</f>
        <v>45033</v>
      </c>
      <c r="F8580" s="481"/>
      <c r="G8580" s="174" t="s">
        <v>74</v>
      </c>
      <c r="H8580" s="148" t="str" cm="1">
        <f t="array" ref="H8580">IFERROR(INDEX(INVESTOR_LIST[INVESTOR NAME],MATCH(I8580,INVESTOR_LIST[INVESTOR CODE],0),)," ")</f>
        <v xml:space="preserve"> </v>
      </c>
      <c r="J8580" s="133" t="s">
        <v>13</v>
      </c>
      <c r="K8580" s="218"/>
      <c r="L8580" s="218">
        <v>29120</v>
      </c>
    </row>
    <row r="8581" spans="1:17" ht="10.15" customHeight="1" x14ac:dyDescent="0.2">
      <c r="A8581" s="163">
        <v>2023</v>
      </c>
      <c r="B8581" s="163">
        <v>4</v>
      </c>
      <c r="C8581" s="163">
        <v>17</v>
      </c>
      <c r="D8581" s="280">
        <f>DATE(A8581,B8581,C8581)</f>
        <v>45033</v>
      </c>
      <c r="E8581" s="281">
        <f>DATE(A8581,B8581,C8581)</f>
        <v>45033</v>
      </c>
      <c r="F8581" s="480"/>
      <c r="G8581" s="221" t="s">
        <v>74</v>
      </c>
      <c r="H8581" s="145" t="str" cm="1">
        <f t="array" ref="H8581">IFERROR(INDEX(INVESTOR_LIST[INVESTOR NAME],MATCH(I8581,INVESTOR_LIST[INVESTOR CODE],0),)," ")</f>
        <v xml:space="preserve"> </v>
      </c>
      <c r="I8581" s="145"/>
      <c r="J8581" s="163" t="s">
        <v>53</v>
      </c>
      <c r="K8581" s="219"/>
      <c r="L8581" s="219">
        <v>6880</v>
      </c>
    </row>
    <row r="8582" spans="1:17" x14ac:dyDescent="0.2">
      <c r="A8582" s="168">
        <v>2023</v>
      </c>
      <c r="B8582" s="168">
        <v>4</v>
      </c>
      <c r="C8582" s="168">
        <v>17</v>
      </c>
      <c r="D8582" s="141">
        <f t="shared" ref="D8582:D8583" si="902">DATE(A8582,B8582,C8582)</f>
        <v>45033</v>
      </c>
      <c r="E8582" s="275">
        <f t="shared" ref="E8582:E8583" si="903">DATE(A8582,B8582,C8582)</f>
        <v>45033</v>
      </c>
      <c r="F8582" s="479" t="s">
        <v>1669</v>
      </c>
      <c r="G8582" s="220" t="s">
        <v>74</v>
      </c>
      <c r="H8582" s="220" t="str" cm="1">
        <f t="array" ref="H8582">IFERROR(INDEX(INVESTOR_LIST[INVESTOR NAME],MATCH(I8582,INVESTOR_LIST[INVESTOR CODE],0),)," ")</f>
        <v xml:space="preserve"> </v>
      </c>
      <c r="I8582" s="142" t="s">
        <v>348</v>
      </c>
      <c r="J8582" s="143" t="s">
        <v>104</v>
      </c>
      <c r="K8582" s="226">
        <v>572.69000000000005</v>
      </c>
      <c r="L8582" s="226"/>
    </row>
    <row r="8583" spans="1:17" x14ac:dyDescent="0.2">
      <c r="A8583" s="163">
        <v>2023</v>
      </c>
      <c r="B8583" s="163">
        <v>4</v>
      </c>
      <c r="C8583" s="163">
        <v>17</v>
      </c>
      <c r="D8583" s="141">
        <f t="shared" si="902"/>
        <v>45033</v>
      </c>
      <c r="E8583" s="275">
        <f t="shared" si="903"/>
        <v>45033</v>
      </c>
      <c r="F8583" s="480"/>
      <c r="G8583" s="221" t="s">
        <v>74</v>
      </c>
      <c r="H8583" s="221" t="str" cm="1">
        <f t="array" ref="H8583">IFERROR(INDEX(INVESTOR_LIST[INVESTOR NAME],MATCH(I8583,INVESTOR_LIST[INVESTOR CODE],0),)," ")</f>
        <v xml:space="preserve"> </v>
      </c>
      <c r="I8583" s="145" t="s">
        <v>348</v>
      </c>
      <c r="J8583" s="146" t="s">
        <v>52</v>
      </c>
      <c r="K8583" s="219"/>
      <c r="L8583" s="219">
        <v>572.69000000000005</v>
      </c>
    </row>
    <row r="8584" spans="1:17" ht="10.15" customHeight="1" x14ac:dyDescent="0.2">
      <c r="A8584" s="168">
        <v>2023</v>
      </c>
      <c r="B8584" s="168">
        <v>4</v>
      </c>
      <c r="C8584" s="168">
        <v>18</v>
      </c>
      <c r="D8584" s="141">
        <f t="shared" si="900"/>
        <v>45034</v>
      </c>
      <c r="E8584" s="275">
        <f t="shared" si="901"/>
        <v>45034</v>
      </c>
      <c r="F8584" s="479" t="s">
        <v>1310</v>
      </c>
      <c r="G8584" s="220" t="s">
        <v>74</v>
      </c>
      <c r="H8584" s="142" t="str" cm="1">
        <f t="array" ref="H8584">IFERROR(INDEX(INVESTOR_LIST[INVESTOR NAME],MATCH(I8584,INVESTOR_LIST[INVESTOR CODE],0),)," ")</f>
        <v>MD MAHDI HASAN</v>
      </c>
      <c r="I8584" s="142" t="s">
        <v>630</v>
      </c>
      <c r="J8584" s="168" t="s">
        <v>13</v>
      </c>
      <c r="K8584" s="218">
        <v>21320</v>
      </c>
      <c r="L8584" s="226"/>
    </row>
    <row r="8585" spans="1:17" ht="10.15" customHeight="1" x14ac:dyDescent="0.2">
      <c r="A8585" s="133">
        <v>2023</v>
      </c>
      <c r="B8585" s="133">
        <v>4</v>
      </c>
      <c r="C8585" s="133">
        <v>18</v>
      </c>
      <c r="D8585" s="141">
        <f t="shared" si="900"/>
        <v>45034</v>
      </c>
      <c r="E8585" s="275">
        <f t="shared" si="901"/>
        <v>45034</v>
      </c>
      <c r="F8585" s="481"/>
      <c r="G8585" s="174" t="s">
        <v>74</v>
      </c>
      <c r="H8585" s="148" t="str" cm="1">
        <f t="array" ref="H8585">IFERROR(INDEX(INVESTOR_LIST[INVESTOR NAME],MATCH(I8585,INVESTOR_LIST[INVESTOR CODE],0),)," ")</f>
        <v>MD MAHDI HASAN</v>
      </c>
      <c r="I8585" s="148" t="s">
        <v>630</v>
      </c>
      <c r="J8585" s="133" t="s">
        <v>53</v>
      </c>
      <c r="K8585" s="218">
        <v>5033.6499999999996</v>
      </c>
      <c r="L8585" s="218"/>
    </row>
    <row r="8586" spans="1:17" ht="10.15" customHeight="1" x14ac:dyDescent="0.2">
      <c r="A8586" s="163">
        <v>2023</v>
      </c>
      <c r="B8586" s="163">
        <v>4</v>
      </c>
      <c r="C8586" s="163">
        <v>18</v>
      </c>
      <c r="D8586" s="280">
        <f t="shared" si="900"/>
        <v>45034</v>
      </c>
      <c r="E8586" s="281">
        <f t="shared" si="901"/>
        <v>45034</v>
      </c>
      <c r="F8586" s="480"/>
      <c r="G8586" s="221" t="s">
        <v>74</v>
      </c>
      <c r="H8586" s="145" t="str" cm="1">
        <f t="array" ref="H8586">IFERROR(INDEX(INVESTOR_LIST[INVESTOR NAME],MATCH(I8586,INVESTOR_LIST[INVESTOR CODE],0),)," ")</f>
        <v>MD MAHDI HASAN</v>
      </c>
      <c r="I8586" s="145" t="s">
        <v>630</v>
      </c>
      <c r="J8586" s="163" t="s">
        <v>52</v>
      </c>
      <c r="K8586" s="219"/>
      <c r="L8586" s="219">
        <v>26353.65</v>
      </c>
    </row>
    <row r="8587" spans="1:17" x14ac:dyDescent="0.2">
      <c r="A8587" s="133">
        <v>2023</v>
      </c>
      <c r="B8587" s="133">
        <v>3</v>
      </c>
      <c r="C8587" s="133">
        <v>18</v>
      </c>
      <c r="D8587" s="141">
        <f t="shared" si="900"/>
        <v>45003</v>
      </c>
      <c r="E8587" s="275">
        <f t="shared" si="901"/>
        <v>45003</v>
      </c>
      <c r="F8587" s="481" t="s">
        <v>1670</v>
      </c>
      <c r="G8587" s="174" t="s">
        <v>74</v>
      </c>
      <c r="H8587" s="174" t="str" cm="1">
        <f t="array" ref="H8587">IFERROR(INDEX(INVESTOR_LIST[INVESTOR NAME],MATCH(I8587,INVESTOR_LIST[INVESTOR CODE],0),)," ")</f>
        <v xml:space="preserve"> </v>
      </c>
      <c r="I8587" s="148" t="s">
        <v>348</v>
      </c>
      <c r="J8587" s="149" t="s">
        <v>163</v>
      </c>
      <c r="K8587" s="218">
        <v>1575</v>
      </c>
      <c r="L8587" s="218"/>
      <c r="M8587" s="147"/>
      <c r="Q8587" s="133" t="s">
        <v>348</v>
      </c>
    </row>
    <row r="8588" spans="1:17" x14ac:dyDescent="0.2">
      <c r="A8588" s="163">
        <v>2023</v>
      </c>
      <c r="B8588" s="163">
        <v>3</v>
      </c>
      <c r="C8588" s="163">
        <v>18</v>
      </c>
      <c r="D8588" s="141">
        <f t="shared" si="900"/>
        <v>45003</v>
      </c>
      <c r="E8588" s="275">
        <f t="shared" si="901"/>
        <v>45003</v>
      </c>
      <c r="F8588" s="480"/>
      <c r="G8588" s="221" t="s">
        <v>74</v>
      </c>
      <c r="H8588" s="221" t="str" cm="1">
        <f t="array" ref="H8588">IFERROR(INDEX(INVESTOR_LIST[INVESTOR NAME],MATCH(I8588,INVESTOR_LIST[INVESTOR CODE],0),)," ")</f>
        <v xml:space="preserve"> </v>
      </c>
      <c r="I8588" s="145"/>
      <c r="J8588" s="146" t="s">
        <v>52</v>
      </c>
      <c r="K8588" s="219"/>
      <c r="L8588" s="219">
        <v>1575</v>
      </c>
      <c r="M8588" s="147"/>
      <c r="Q8588" s="133" t="s">
        <v>348</v>
      </c>
    </row>
    <row r="8589" spans="1:17" x14ac:dyDescent="0.2">
      <c r="A8589" s="324">
        <v>2023</v>
      </c>
      <c r="B8589" s="324">
        <v>4</v>
      </c>
      <c r="C8589" s="325">
        <v>18</v>
      </c>
      <c r="D8589" s="326">
        <f>DATE(A8589,B8589,C8589)</f>
        <v>45034</v>
      </c>
      <c r="E8589" s="327">
        <f>DATE(A8589,B8589,C8589)</f>
        <v>45034</v>
      </c>
      <c r="F8589" s="473" t="s">
        <v>1634</v>
      </c>
      <c r="G8589" s="328" t="s">
        <v>94</v>
      </c>
      <c r="H8589" s="329" t="str" cm="1">
        <f t="array" ref="H8589">IFERROR(INDEX(INVESTOR_LIST[INVESTOR NAME],MATCH(I8589,INVESTOR_LIST[INVESTOR CODE],0),)," ")</f>
        <v xml:space="preserve"> </v>
      </c>
      <c r="I8589" s="329" t="s">
        <v>348</v>
      </c>
      <c r="J8589" s="324" t="s">
        <v>133</v>
      </c>
      <c r="K8589" s="330">
        <v>3966.35</v>
      </c>
      <c r="L8589" s="330"/>
      <c r="M8589" s="160"/>
    </row>
    <row r="8590" spans="1:17" x14ac:dyDescent="0.2">
      <c r="A8590" s="331">
        <v>2023</v>
      </c>
      <c r="B8590" s="331">
        <v>4</v>
      </c>
      <c r="C8590" s="331">
        <v>18</v>
      </c>
      <c r="D8590" s="326">
        <f>DATE(A8590,B8590,C8590)</f>
        <v>45034</v>
      </c>
      <c r="E8590" s="327">
        <f>DATE(A8590,B8590,C8590)</f>
        <v>45034</v>
      </c>
      <c r="F8590" s="474"/>
      <c r="G8590" s="332" t="s">
        <v>94</v>
      </c>
      <c r="H8590" s="333" t="str" cm="1">
        <f t="array" ref="H8590">IFERROR(INDEX(INVESTOR_LIST[INVESTOR NAME],MATCH(I8590,INVESTOR_LIST[INVESTOR CODE],0),)," ")</f>
        <v xml:space="preserve"> </v>
      </c>
      <c r="I8590" s="333" t="s">
        <v>348</v>
      </c>
      <c r="J8590" s="331" t="s">
        <v>152</v>
      </c>
      <c r="K8590" s="334"/>
      <c r="L8590" s="334">
        <v>3966.35</v>
      </c>
      <c r="M8590" s="160"/>
    </row>
    <row r="8591" spans="1:17" x14ac:dyDescent="0.2">
      <c r="A8591" s="324">
        <v>2023</v>
      </c>
      <c r="B8591" s="324">
        <v>4</v>
      </c>
      <c r="C8591" s="325">
        <v>18</v>
      </c>
      <c r="D8591" s="326">
        <f t="shared" ref="D8591:D8594" si="904">DATE(A8591,B8591,C8591)</f>
        <v>45034</v>
      </c>
      <c r="E8591" s="327">
        <f t="shared" ref="E8591:E8594" si="905">DATE(A8591,B8591,C8591)</f>
        <v>45034</v>
      </c>
      <c r="F8591" s="473" t="s">
        <v>1490</v>
      </c>
      <c r="G8591" s="328" t="s">
        <v>94</v>
      </c>
      <c r="H8591" s="329" t="str" cm="1">
        <f t="array" ref="H8591">IFERROR(INDEX(INVESTOR_LIST[INVESTOR NAME],MATCH(I8591,INVESTOR_LIST[INVESTOR CODE],0),)," ")</f>
        <v xml:space="preserve"> </v>
      </c>
      <c r="I8591" s="329" t="s">
        <v>348</v>
      </c>
      <c r="J8591" s="325" t="s">
        <v>133</v>
      </c>
      <c r="K8591" s="330">
        <v>23479.68</v>
      </c>
      <c r="L8591" s="330"/>
      <c r="M8591" s="160"/>
    </row>
    <row r="8592" spans="1:17" x14ac:dyDescent="0.2">
      <c r="A8592" s="331">
        <v>2023</v>
      </c>
      <c r="B8592" s="331">
        <v>4</v>
      </c>
      <c r="C8592" s="331">
        <v>18</v>
      </c>
      <c r="D8592" s="326">
        <f t="shared" si="904"/>
        <v>45034</v>
      </c>
      <c r="E8592" s="327">
        <f t="shared" si="905"/>
        <v>45034</v>
      </c>
      <c r="F8592" s="474"/>
      <c r="G8592" s="332" t="s">
        <v>94</v>
      </c>
      <c r="H8592" s="333" t="str" cm="1">
        <f t="array" ref="H8592">IFERROR(INDEX(INVESTOR_LIST[INVESTOR NAME],MATCH(I8592,INVESTOR_LIST[INVESTOR CODE],0),)," ")</f>
        <v xml:space="preserve"> </v>
      </c>
      <c r="I8592" s="333" t="s">
        <v>348</v>
      </c>
      <c r="J8592" s="331" t="s">
        <v>152</v>
      </c>
      <c r="K8592" s="334"/>
      <c r="L8592" s="334">
        <v>23479.68</v>
      </c>
      <c r="M8592" s="160"/>
      <c r="N8592" s="160"/>
    </row>
    <row r="8593" spans="1:14" x14ac:dyDescent="0.2">
      <c r="A8593" s="324">
        <v>2023</v>
      </c>
      <c r="B8593" s="324">
        <v>4</v>
      </c>
      <c r="C8593" s="325">
        <v>18</v>
      </c>
      <c r="D8593" s="326">
        <f t="shared" si="904"/>
        <v>45034</v>
      </c>
      <c r="E8593" s="327">
        <f t="shared" si="905"/>
        <v>45034</v>
      </c>
      <c r="F8593" s="473" t="s">
        <v>1491</v>
      </c>
      <c r="G8593" s="328" t="s">
        <v>94</v>
      </c>
      <c r="H8593" s="329" t="str" cm="1">
        <f t="array" ref="H8593">IFERROR(INDEX(INVESTOR_LIST[INVESTOR NAME],MATCH(I8593,INVESTOR_LIST[INVESTOR CODE],0),)," ")</f>
        <v xml:space="preserve"> </v>
      </c>
      <c r="I8593" s="329" t="s">
        <v>348</v>
      </c>
      <c r="J8593" s="324" t="s">
        <v>133</v>
      </c>
      <c r="K8593" s="330">
        <v>13125</v>
      </c>
      <c r="L8593" s="330"/>
      <c r="M8593" s="160"/>
      <c r="N8593" s="160"/>
    </row>
    <row r="8594" spans="1:14" x14ac:dyDescent="0.2">
      <c r="A8594" s="331">
        <v>2023</v>
      </c>
      <c r="B8594" s="331">
        <v>4</v>
      </c>
      <c r="C8594" s="331">
        <v>18</v>
      </c>
      <c r="D8594" s="326">
        <f t="shared" si="904"/>
        <v>45034</v>
      </c>
      <c r="E8594" s="327">
        <f t="shared" si="905"/>
        <v>45034</v>
      </c>
      <c r="F8594" s="474"/>
      <c r="G8594" s="332" t="s">
        <v>94</v>
      </c>
      <c r="H8594" s="333" t="str" cm="1">
        <f t="array" ref="H8594">IFERROR(INDEX(INVESTOR_LIST[INVESTOR NAME],MATCH(I8594,INVESTOR_LIST[INVESTOR CODE],0),)," ")</f>
        <v xml:space="preserve"> </v>
      </c>
      <c r="I8594" s="333" t="s">
        <v>348</v>
      </c>
      <c r="J8594" s="331" t="s">
        <v>152</v>
      </c>
      <c r="K8594" s="334"/>
      <c r="L8594" s="334">
        <v>13125</v>
      </c>
      <c r="M8594" s="160"/>
    </row>
    <row r="8595" spans="1:14" x14ac:dyDescent="0.2">
      <c r="A8595" s="324">
        <v>2023</v>
      </c>
      <c r="B8595" s="324">
        <v>4</v>
      </c>
      <c r="C8595" s="325">
        <v>18</v>
      </c>
      <c r="D8595" s="326">
        <f>DATE(A8595,B8595,C8595)</f>
        <v>45034</v>
      </c>
      <c r="E8595" s="327">
        <f>DATE(A8595,B8595,C8595)</f>
        <v>45034</v>
      </c>
      <c r="F8595" s="473" t="s">
        <v>1531</v>
      </c>
      <c r="G8595" s="328" t="s">
        <v>94</v>
      </c>
      <c r="H8595" s="329" t="str" cm="1">
        <f t="array" ref="H8595">IFERROR(INDEX(INVESTOR_LIST[INVESTOR NAME],MATCH(I8595,INVESTOR_LIST[INVESTOR CODE],0),)," ")</f>
        <v xml:space="preserve"> </v>
      </c>
      <c r="I8595" s="329" t="s">
        <v>348</v>
      </c>
      <c r="J8595" s="324" t="s">
        <v>133</v>
      </c>
      <c r="K8595" s="330">
        <v>22349.17</v>
      </c>
      <c r="L8595" s="330"/>
      <c r="M8595" s="160"/>
    </row>
    <row r="8596" spans="1:14" x14ac:dyDescent="0.2">
      <c r="A8596" s="331">
        <v>2023</v>
      </c>
      <c r="B8596" s="331">
        <v>4</v>
      </c>
      <c r="C8596" s="331">
        <v>18</v>
      </c>
      <c r="D8596" s="326">
        <f>DATE(A8596,B8596,C8596)</f>
        <v>45034</v>
      </c>
      <c r="E8596" s="327">
        <f>DATE(A8596,B8596,C8596)</f>
        <v>45034</v>
      </c>
      <c r="F8596" s="474"/>
      <c r="G8596" s="332" t="s">
        <v>94</v>
      </c>
      <c r="H8596" s="333" t="str" cm="1">
        <f t="array" ref="H8596">IFERROR(INDEX(INVESTOR_LIST[INVESTOR NAME],MATCH(I8596,INVESTOR_LIST[INVESTOR CODE],0),)," ")</f>
        <v xml:space="preserve"> </v>
      </c>
      <c r="I8596" s="333" t="s">
        <v>348</v>
      </c>
      <c r="J8596" s="331" t="s">
        <v>152</v>
      </c>
      <c r="K8596" s="334"/>
      <c r="L8596" s="334">
        <v>22349.17</v>
      </c>
      <c r="M8596" s="160"/>
    </row>
    <row r="8597" spans="1:14" x14ac:dyDescent="0.2">
      <c r="A8597" s="238">
        <v>2023</v>
      </c>
      <c r="B8597" s="238">
        <v>4</v>
      </c>
      <c r="C8597" s="238">
        <v>18</v>
      </c>
      <c r="D8597" s="270">
        <f t="shared" ref="D8597:D8609" si="906">DATE(A8597,B8597,C8597)</f>
        <v>45034</v>
      </c>
      <c r="E8597" s="279">
        <f t="shared" ref="E8597:E8609" si="907">DATE(A8597,B8597,C8597)</f>
        <v>45034</v>
      </c>
      <c r="F8597" s="477" t="s">
        <v>347</v>
      </c>
      <c r="G8597" s="239" t="s">
        <v>94</v>
      </c>
      <c r="H8597" s="239" t="str" cm="1">
        <f t="array" ref="H8597">IFERROR(INDEX(INVESTOR_LIST[INVESTOR NAME],MATCH(I8597,INVESTOR_LIST[INVESTOR CODE],0),)," ")</f>
        <v xml:space="preserve"> </v>
      </c>
      <c r="I8597" s="262" t="s">
        <v>348</v>
      </c>
      <c r="J8597" s="240" t="s">
        <v>82</v>
      </c>
      <c r="K8597" s="241">
        <v>341959.01000002027</v>
      </c>
      <c r="L8597" s="241"/>
    </row>
    <row r="8598" spans="1:14" x14ac:dyDescent="0.2">
      <c r="A8598" s="242">
        <v>2023</v>
      </c>
      <c r="B8598" s="242">
        <v>4</v>
      </c>
      <c r="C8598" s="242">
        <v>18</v>
      </c>
      <c r="D8598" s="270">
        <f t="shared" si="906"/>
        <v>45034</v>
      </c>
      <c r="E8598" s="279">
        <f t="shared" si="907"/>
        <v>45034</v>
      </c>
      <c r="F8598" s="478"/>
      <c r="G8598" s="243" t="s">
        <v>94</v>
      </c>
      <c r="H8598" s="243" t="str" cm="1">
        <f t="array" ref="H8598">IFERROR(INDEX(INVESTOR_LIST[INVESTOR NAME],MATCH(I8598,INVESTOR_LIST[INVESTOR CODE],0),)," ")</f>
        <v xml:space="preserve"> </v>
      </c>
      <c r="I8598" s="263" t="s">
        <v>348</v>
      </c>
      <c r="J8598" s="244" t="s">
        <v>108</v>
      </c>
      <c r="K8598" s="245"/>
      <c r="L8598" s="245">
        <v>341959.01000002027</v>
      </c>
    </row>
    <row r="8599" spans="1:14" ht="22.5" x14ac:dyDescent="0.2">
      <c r="A8599" s="246">
        <v>2023</v>
      </c>
      <c r="B8599" s="238">
        <v>4</v>
      </c>
      <c r="C8599" s="238">
        <v>18</v>
      </c>
      <c r="D8599" s="270">
        <f t="shared" si="906"/>
        <v>45034</v>
      </c>
      <c r="E8599" s="279">
        <f t="shared" si="907"/>
        <v>45034</v>
      </c>
      <c r="F8599" s="482" t="s">
        <v>148</v>
      </c>
      <c r="G8599" s="247" t="s">
        <v>94</v>
      </c>
      <c r="H8599" s="247" t="str" cm="1">
        <f t="array" ref="H8599">IFERROR(INDEX(INVESTOR_LIST[INVESTOR NAME],MATCH(I8599,INVESTOR_LIST[INVESTOR CODE],0),)," ")</f>
        <v xml:space="preserve"> </v>
      </c>
      <c r="I8599" s="248" t="s">
        <v>348</v>
      </c>
      <c r="J8599" s="249" t="s">
        <v>95</v>
      </c>
      <c r="K8599" s="250">
        <v>2747.2527472527472</v>
      </c>
      <c r="L8599" s="241"/>
    </row>
    <row r="8600" spans="1:14" x14ac:dyDescent="0.2">
      <c r="A8600" s="242">
        <v>2023</v>
      </c>
      <c r="B8600" s="242">
        <v>4</v>
      </c>
      <c r="C8600" s="242">
        <v>18</v>
      </c>
      <c r="D8600" s="270">
        <f t="shared" si="906"/>
        <v>45034</v>
      </c>
      <c r="E8600" s="279">
        <f t="shared" si="907"/>
        <v>45034</v>
      </c>
      <c r="F8600" s="478"/>
      <c r="G8600" s="243" t="s">
        <v>94</v>
      </c>
      <c r="H8600" s="243" t="str" cm="1">
        <f t="array" ref="H8600">IFERROR(INDEX(INVESTOR_LIST[INVESTOR NAME],MATCH(I8600,INVESTOR_LIST[INVESTOR CODE],0),)," ")</f>
        <v xml:space="preserve"> </v>
      </c>
      <c r="I8600" s="263" t="s">
        <v>348</v>
      </c>
      <c r="J8600" s="244" t="s">
        <v>63</v>
      </c>
      <c r="K8600" s="245"/>
      <c r="L8600" s="245">
        <v>2747.2527472527472</v>
      </c>
    </row>
    <row r="8601" spans="1:14" x14ac:dyDescent="0.2">
      <c r="A8601" s="246">
        <v>2023</v>
      </c>
      <c r="B8601" s="238">
        <v>4</v>
      </c>
      <c r="C8601" s="238">
        <v>18</v>
      </c>
      <c r="D8601" s="270">
        <f t="shared" si="906"/>
        <v>45034</v>
      </c>
      <c r="E8601" s="279">
        <f t="shared" si="907"/>
        <v>45034</v>
      </c>
      <c r="F8601" s="482" t="s">
        <v>137</v>
      </c>
      <c r="G8601" s="247" t="s">
        <v>94</v>
      </c>
      <c r="H8601" s="247" t="str" cm="1">
        <f t="array" ref="H8601">IFERROR(INDEX(INVESTOR_LIST[INVESTOR NAME],MATCH(I8601,INVESTOR_LIST[INVESTOR CODE],0),)," ")</f>
        <v xml:space="preserve"> </v>
      </c>
      <c r="I8601" s="248" t="s">
        <v>348</v>
      </c>
      <c r="J8601" s="249" t="s">
        <v>97</v>
      </c>
      <c r="K8601" s="250">
        <v>33480.455958827835</v>
      </c>
      <c r="L8601" s="252"/>
    </row>
    <row r="8602" spans="1:14" x14ac:dyDescent="0.2">
      <c r="A8602" s="242">
        <v>2023</v>
      </c>
      <c r="B8602" s="242">
        <v>4</v>
      </c>
      <c r="C8602" s="242">
        <v>18</v>
      </c>
      <c r="D8602" s="270">
        <f t="shared" si="906"/>
        <v>45034</v>
      </c>
      <c r="E8602" s="279">
        <f t="shared" si="907"/>
        <v>45034</v>
      </c>
      <c r="F8602" s="478"/>
      <c r="G8602" s="243" t="s">
        <v>94</v>
      </c>
      <c r="H8602" s="243" t="str" cm="1">
        <f t="array" ref="H8602">IFERROR(INDEX(INVESTOR_LIST[INVESTOR NAME],MATCH(I8602,INVESTOR_LIST[INVESTOR CODE],0),)," ")</f>
        <v xml:space="preserve"> </v>
      </c>
      <c r="I8602" s="263" t="s">
        <v>348</v>
      </c>
      <c r="J8602" s="244" t="s">
        <v>47</v>
      </c>
      <c r="K8602" s="245"/>
      <c r="L8602" s="245">
        <v>33480.455958827835</v>
      </c>
    </row>
    <row r="8603" spans="1:14" x14ac:dyDescent="0.2">
      <c r="A8603" s="246">
        <v>2023</v>
      </c>
      <c r="B8603" s="238">
        <v>4</v>
      </c>
      <c r="C8603" s="238">
        <v>18</v>
      </c>
      <c r="D8603" s="270">
        <f t="shared" si="906"/>
        <v>45034</v>
      </c>
      <c r="E8603" s="279">
        <f t="shared" si="907"/>
        <v>45034</v>
      </c>
      <c r="F8603" s="482" t="s">
        <v>138</v>
      </c>
      <c r="G8603" s="247" t="s">
        <v>94</v>
      </c>
      <c r="H8603" s="247" t="str" cm="1">
        <f t="array" ref="H8603">IFERROR(INDEX(INVESTOR_LIST[INVESTOR NAME],MATCH(I8603,INVESTOR_LIST[INVESTOR CODE],0),)," ")</f>
        <v xml:space="preserve"> </v>
      </c>
      <c r="I8603" s="248" t="s">
        <v>348</v>
      </c>
      <c r="J8603" s="249" t="s">
        <v>100</v>
      </c>
      <c r="K8603" s="250">
        <v>3348.0455958827833</v>
      </c>
      <c r="L8603" s="252"/>
    </row>
    <row r="8604" spans="1:14" ht="10.9" customHeight="1" x14ac:dyDescent="0.2">
      <c r="A8604" s="242">
        <v>2023</v>
      </c>
      <c r="B8604" s="242">
        <v>4</v>
      </c>
      <c r="C8604" s="242">
        <v>18</v>
      </c>
      <c r="D8604" s="321">
        <f t="shared" si="906"/>
        <v>45034</v>
      </c>
      <c r="E8604" s="322">
        <f t="shared" si="907"/>
        <v>45034</v>
      </c>
      <c r="F8604" s="478"/>
      <c r="G8604" s="243" t="s">
        <v>94</v>
      </c>
      <c r="H8604" s="243" t="str" cm="1">
        <f t="array" ref="H8604">IFERROR(INDEX(INVESTOR_LIST[INVESTOR NAME],MATCH(I8604,INVESTOR_LIST[INVESTOR CODE],0),)," ")</f>
        <v xml:space="preserve"> </v>
      </c>
      <c r="I8604" s="263" t="s">
        <v>348</v>
      </c>
      <c r="J8604" s="244" t="s">
        <v>48</v>
      </c>
      <c r="K8604" s="245"/>
      <c r="L8604" s="245">
        <v>3348.0455958827833</v>
      </c>
    </row>
    <row r="8605" spans="1:14" ht="10.15" customHeight="1" x14ac:dyDescent="0.2">
      <c r="A8605" s="168">
        <v>2023</v>
      </c>
      <c r="B8605" s="168">
        <v>4</v>
      </c>
      <c r="C8605" s="168">
        <v>24</v>
      </c>
      <c r="D8605" s="141">
        <f t="shared" si="906"/>
        <v>45040</v>
      </c>
      <c r="E8605" s="275">
        <f t="shared" si="907"/>
        <v>45040</v>
      </c>
      <c r="F8605" s="479" t="s">
        <v>1315</v>
      </c>
      <c r="G8605" s="220" t="s">
        <v>74</v>
      </c>
      <c r="H8605" s="142" t="str" cm="1">
        <f t="array" ref="H8605">IFERROR(INDEX(INVESTOR_LIST[INVESTOR NAME],MATCH(I8605,INVESTOR_LIST[INVESTOR CODE],0),)," ")</f>
        <v>GOURI TOSH PAUL</v>
      </c>
      <c r="I8605" s="142" t="s">
        <v>819</v>
      </c>
      <c r="J8605" s="168" t="s">
        <v>13</v>
      </c>
      <c r="K8605" s="218">
        <v>162100</v>
      </c>
      <c r="L8605" s="226"/>
    </row>
    <row r="8606" spans="1:14" ht="10.15" customHeight="1" x14ac:dyDescent="0.2">
      <c r="A8606" s="133">
        <v>2023</v>
      </c>
      <c r="B8606" s="133">
        <v>4</v>
      </c>
      <c r="C8606" s="133">
        <v>24</v>
      </c>
      <c r="D8606" s="141">
        <f t="shared" si="906"/>
        <v>45040</v>
      </c>
      <c r="E8606" s="275">
        <f t="shared" si="907"/>
        <v>45040</v>
      </c>
      <c r="F8606" s="481"/>
      <c r="G8606" s="174" t="s">
        <v>74</v>
      </c>
      <c r="H8606" s="148" t="str" cm="1">
        <f t="array" ref="H8606">IFERROR(INDEX(INVESTOR_LIST[INVESTOR NAME],MATCH(I8606,INVESTOR_LIST[INVESTOR CODE],0),)," ")</f>
        <v>GOURI TOSH PAUL</v>
      </c>
      <c r="I8606" s="148" t="s">
        <v>819</v>
      </c>
      <c r="J8606" s="133" t="s">
        <v>53</v>
      </c>
      <c r="K8606" s="218">
        <v>37900</v>
      </c>
      <c r="L8606" s="218"/>
    </row>
    <row r="8607" spans="1:14" ht="10.15" customHeight="1" x14ac:dyDescent="0.2">
      <c r="A8607" s="163">
        <v>2023</v>
      </c>
      <c r="B8607" s="163">
        <v>4</v>
      </c>
      <c r="C8607" s="163">
        <v>24</v>
      </c>
      <c r="D8607" s="280">
        <f t="shared" si="906"/>
        <v>45040</v>
      </c>
      <c r="E8607" s="281">
        <f t="shared" si="907"/>
        <v>45040</v>
      </c>
      <c r="F8607" s="480"/>
      <c r="G8607" s="221" t="s">
        <v>74</v>
      </c>
      <c r="H8607" s="145" t="str" cm="1">
        <f t="array" ref="H8607">IFERROR(INDEX(INVESTOR_LIST[INVESTOR NAME],MATCH(I8607,INVESTOR_LIST[INVESTOR CODE],0),)," ")</f>
        <v>GOURI TOSH PAUL</v>
      </c>
      <c r="I8607" s="145" t="s">
        <v>819</v>
      </c>
      <c r="J8607" s="163" t="s">
        <v>52</v>
      </c>
      <c r="K8607" s="219"/>
      <c r="L8607" s="219">
        <v>200000</v>
      </c>
    </row>
    <row r="8608" spans="1:14" x14ac:dyDescent="0.2">
      <c r="A8608" s="168">
        <v>2023</v>
      </c>
      <c r="B8608" s="168">
        <v>4</v>
      </c>
      <c r="C8608" s="133">
        <v>24</v>
      </c>
      <c r="D8608" s="141">
        <f t="shared" si="906"/>
        <v>45040</v>
      </c>
      <c r="E8608" s="275">
        <f t="shared" si="907"/>
        <v>45040</v>
      </c>
      <c r="F8608" s="479" t="s">
        <v>1671</v>
      </c>
      <c r="G8608" s="220" t="s">
        <v>74</v>
      </c>
      <c r="H8608" s="220" t="str" cm="1">
        <f t="array" ref="H8608">IFERROR(INDEX(INVESTOR_LIST[INVESTOR NAME],MATCH(I8608,INVESTOR_LIST[INVESTOR CODE],0),)," ")</f>
        <v xml:space="preserve"> </v>
      </c>
      <c r="I8608" s="142" t="s">
        <v>348</v>
      </c>
      <c r="J8608" s="143" t="s">
        <v>79</v>
      </c>
      <c r="K8608" s="226">
        <v>61820</v>
      </c>
      <c r="L8608" s="226"/>
    </row>
    <row r="8609" spans="1:14" x14ac:dyDescent="0.2">
      <c r="A8609" s="133">
        <v>2023</v>
      </c>
      <c r="B8609" s="133">
        <v>4</v>
      </c>
      <c r="C8609" s="133">
        <v>24</v>
      </c>
      <c r="D8609" s="141">
        <f t="shared" si="906"/>
        <v>45040</v>
      </c>
      <c r="E8609" s="275">
        <f t="shared" si="907"/>
        <v>45040</v>
      </c>
      <c r="F8609" s="481"/>
      <c r="G8609" s="174" t="s">
        <v>74</v>
      </c>
      <c r="H8609" s="174" t="str" cm="1">
        <f t="array" ref="H8609">IFERROR(INDEX(INVESTOR_LIST[INVESTOR NAME],MATCH(I8609,INVESTOR_LIST[INVESTOR CODE],0),)," ")</f>
        <v xml:space="preserve"> </v>
      </c>
      <c r="I8609" s="148" t="s">
        <v>348</v>
      </c>
      <c r="J8609" s="149" t="s">
        <v>52</v>
      </c>
      <c r="K8609" s="218">
        <v>618180</v>
      </c>
      <c r="L8609" s="218"/>
    </row>
    <row r="8610" spans="1:14" x14ac:dyDescent="0.2">
      <c r="A8610" s="163">
        <v>2023</v>
      </c>
      <c r="B8610" s="163">
        <v>4</v>
      </c>
      <c r="C8610" s="163">
        <v>24</v>
      </c>
      <c r="D8610" s="141">
        <f>DATE(A8610,B8610,C8610)</f>
        <v>45040</v>
      </c>
      <c r="E8610" s="275">
        <f>DATE(A8610,B8610,C8610)</f>
        <v>45040</v>
      </c>
      <c r="F8610" s="480"/>
      <c r="G8610" s="221" t="s">
        <v>74</v>
      </c>
      <c r="H8610" s="221" t="str" cm="1">
        <f t="array" ref="H8610">IFERROR(INDEX(INVESTOR_LIST[INVESTOR NAME],MATCH(I8610,INVESTOR_LIST[INVESTOR CODE],0),)," ")</f>
        <v xml:space="preserve"> </v>
      </c>
      <c r="I8610" s="145" t="s">
        <v>348</v>
      </c>
      <c r="J8610" s="146" t="s">
        <v>184</v>
      </c>
      <c r="K8610" s="219"/>
      <c r="L8610" s="219">
        <v>680000</v>
      </c>
    </row>
    <row r="8611" spans="1:14" x14ac:dyDescent="0.2">
      <c r="A8611" s="133">
        <v>2023</v>
      </c>
      <c r="B8611" s="133">
        <v>4</v>
      </c>
      <c r="C8611" s="133">
        <v>25</v>
      </c>
      <c r="D8611" s="141">
        <f t="shared" ref="D8611:D8612" si="908">DATE(A8611,B8611,C8611)</f>
        <v>45041</v>
      </c>
      <c r="E8611" s="275">
        <f t="shared" ref="E8611:E8612" si="909">DATE(A8611,B8611,C8611)</f>
        <v>45041</v>
      </c>
      <c r="F8611" s="481" t="s">
        <v>982</v>
      </c>
      <c r="G8611" s="174" t="s">
        <v>74</v>
      </c>
      <c r="H8611" s="174" t="str" cm="1">
        <f t="array" ref="H8611">IFERROR(INDEX(INVESTOR_LIST[INVESTOR NAME],MATCH(I8611,INVESTOR_LIST[INVESTOR CODE],0),)," ")</f>
        <v xml:space="preserve"> </v>
      </c>
      <c r="I8611" s="148" t="s">
        <v>348</v>
      </c>
      <c r="J8611" s="149" t="s">
        <v>163</v>
      </c>
      <c r="K8611" s="218">
        <v>10500</v>
      </c>
      <c r="L8611" s="218"/>
    </row>
    <row r="8612" spans="1:14" x14ac:dyDescent="0.2">
      <c r="A8612" s="163">
        <v>2023</v>
      </c>
      <c r="B8612" s="163">
        <v>4</v>
      </c>
      <c r="C8612" s="163">
        <v>25</v>
      </c>
      <c r="D8612" s="141">
        <f t="shared" si="908"/>
        <v>45041</v>
      </c>
      <c r="E8612" s="275">
        <f t="shared" si="909"/>
        <v>45041</v>
      </c>
      <c r="F8612" s="480"/>
      <c r="G8612" s="221" t="s">
        <v>74</v>
      </c>
      <c r="H8612" s="221" t="str" cm="1">
        <f t="array" ref="H8612">IFERROR(INDEX(INVESTOR_LIST[INVESTOR NAME],MATCH(I8612,INVESTOR_LIST[INVESTOR CODE],0),)," ")</f>
        <v xml:space="preserve"> </v>
      </c>
      <c r="I8612" s="145" t="s">
        <v>348</v>
      </c>
      <c r="J8612" s="146" t="s">
        <v>52</v>
      </c>
      <c r="K8612" s="219"/>
      <c r="L8612" s="219">
        <v>10500</v>
      </c>
    </row>
    <row r="8613" spans="1:14" ht="10.15" customHeight="1" x14ac:dyDescent="0.2">
      <c r="A8613" s="168">
        <v>2023</v>
      </c>
      <c r="B8613" s="168">
        <v>4</v>
      </c>
      <c r="C8613" s="168">
        <v>27</v>
      </c>
      <c r="D8613" s="141">
        <f>DATE(A8613,B8613,C8613)</f>
        <v>45043</v>
      </c>
      <c r="E8613" s="275">
        <f>DATE(A8613,B8613,C8613)</f>
        <v>45043</v>
      </c>
      <c r="F8613" s="479" t="s">
        <v>1319</v>
      </c>
      <c r="G8613" s="220" t="s">
        <v>74</v>
      </c>
      <c r="H8613" s="142" t="str" cm="1">
        <f t="array" ref="H8613">IFERROR(INDEX(INVESTOR_LIST[INVESTOR NAME],MATCH(I8613,INVESTOR_LIST[INVESTOR CODE],0),)," ")</f>
        <v xml:space="preserve"> </v>
      </c>
      <c r="I8613" s="142"/>
      <c r="J8613" s="168" t="s">
        <v>52</v>
      </c>
      <c r="K8613" s="226">
        <v>399500</v>
      </c>
      <c r="L8613" s="226"/>
    </row>
    <row r="8614" spans="1:14" ht="10.15" customHeight="1" x14ac:dyDescent="0.2">
      <c r="A8614" s="133">
        <v>2023</v>
      </c>
      <c r="B8614" s="133">
        <v>4</v>
      </c>
      <c r="C8614" s="133">
        <v>27</v>
      </c>
      <c r="D8614" s="141">
        <f>DATE(A8614,B8614,C8614)</f>
        <v>45043</v>
      </c>
      <c r="E8614" s="275">
        <f>DATE(A8614,B8614,C8614)</f>
        <v>45043</v>
      </c>
      <c r="F8614" s="481"/>
      <c r="G8614" s="174" t="s">
        <v>74</v>
      </c>
      <c r="H8614" s="148" t="str" cm="1">
        <f t="array" ref="H8614">IFERROR(INDEX(INVESTOR_LIST[INVESTOR NAME],MATCH(I8614,INVESTOR_LIST[INVESTOR CODE],0),)," ")</f>
        <v xml:space="preserve"> </v>
      </c>
      <c r="J8614" s="133" t="s">
        <v>13</v>
      </c>
      <c r="K8614" s="218"/>
      <c r="L8614" s="218">
        <v>323760</v>
      </c>
    </row>
    <row r="8615" spans="1:14" ht="10.15" customHeight="1" x14ac:dyDescent="0.2">
      <c r="A8615" s="163">
        <v>2023</v>
      </c>
      <c r="B8615" s="163">
        <v>4</v>
      </c>
      <c r="C8615" s="163">
        <v>27</v>
      </c>
      <c r="D8615" s="280">
        <f>DATE(A8615,B8615,C8615)</f>
        <v>45043</v>
      </c>
      <c r="E8615" s="281">
        <f>DATE(A8615,B8615,C8615)</f>
        <v>45043</v>
      </c>
      <c r="F8615" s="480"/>
      <c r="G8615" s="221" t="s">
        <v>74</v>
      </c>
      <c r="H8615" s="145" t="str" cm="1">
        <f t="array" ref="H8615">IFERROR(INDEX(INVESTOR_LIST[INVESTOR NAME],MATCH(I8615,INVESTOR_LIST[INVESTOR CODE],0),)," ")</f>
        <v xml:space="preserve"> </v>
      </c>
      <c r="I8615" s="145"/>
      <c r="J8615" s="163" t="s">
        <v>53</v>
      </c>
      <c r="K8615" s="219"/>
      <c r="L8615" s="219">
        <v>75740</v>
      </c>
    </row>
    <row r="8616" spans="1:14" x14ac:dyDescent="0.2">
      <c r="A8616" s="324">
        <v>2023</v>
      </c>
      <c r="B8616" s="324">
        <v>4</v>
      </c>
      <c r="C8616" s="325">
        <v>27</v>
      </c>
      <c r="D8616" s="326">
        <f>DATE(A8616,B8616,C8616)</f>
        <v>45043</v>
      </c>
      <c r="E8616" s="327">
        <f>DATE(A8616,B8616,C8616)</f>
        <v>45043</v>
      </c>
      <c r="F8616" s="473" t="s">
        <v>1634</v>
      </c>
      <c r="G8616" s="328" t="s">
        <v>94</v>
      </c>
      <c r="H8616" s="329" t="str" cm="1">
        <f t="array" ref="H8616">IFERROR(INDEX(INVESTOR_LIST[INVESTOR NAME],MATCH(I8616,INVESTOR_LIST[INVESTOR CODE],0),)," ")</f>
        <v xml:space="preserve"> </v>
      </c>
      <c r="I8616" s="329" t="s">
        <v>348</v>
      </c>
      <c r="J8616" s="324" t="s">
        <v>133</v>
      </c>
      <c r="K8616" s="330">
        <v>3966.35</v>
      </c>
      <c r="L8616" s="330"/>
      <c r="M8616" s="160"/>
    </row>
    <row r="8617" spans="1:14" x14ac:dyDescent="0.2">
      <c r="A8617" s="331">
        <v>2023</v>
      </c>
      <c r="B8617" s="331">
        <v>4</v>
      </c>
      <c r="C8617" s="331">
        <v>27</v>
      </c>
      <c r="D8617" s="326">
        <f>DATE(A8617,B8617,C8617)</f>
        <v>45043</v>
      </c>
      <c r="E8617" s="327">
        <f>DATE(A8617,B8617,C8617)</f>
        <v>45043</v>
      </c>
      <c r="F8617" s="474"/>
      <c r="G8617" s="332" t="s">
        <v>94</v>
      </c>
      <c r="H8617" s="333" t="str" cm="1">
        <f t="array" ref="H8617">IFERROR(INDEX(INVESTOR_LIST[INVESTOR NAME],MATCH(I8617,INVESTOR_LIST[INVESTOR CODE],0),)," ")</f>
        <v xml:space="preserve"> </v>
      </c>
      <c r="I8617" s="333" t="s">
        <v>348</v>
      </c>
      <c r="J8617" s="331" t="s">
        <v>152</v>
      </c>
      <c r="K8617" s="334"/>
      <c r="L8617" s="334">
        <v>3966.35</v>
      </c>
      <c r="M8617" s="160"/>
    </row>
    <row r="8618" spans="1:14" x14ac:dyDescent="0.2">
      <c r="A8618" s="324">
        <v>2023</v>
      </c>
      <c r="B8618" s="324">
        <v>4</v>
      </c>
      <c r="C8618" s="325">
        <v>27</v>
      </c>
      <c r="D8618" s="326">
        <f t="shared" ref="D8618:D8621" si="910">DATE(A8618,B8618,C8618)</f>
        <v>45043</v>
      </c>
      <c r="E8618" s="327">
        <f t="shared" ref="E8618:E8621" si="911">DATE(A8618,B8618,C8618)</f>
        <v>45043</v>
      </c>
      <c r="F8618" s="473" t="s">
        <v>1490</v>
      </c>
      <c r="G8618" s="328" t="s">
        <v>94</v>
      </c>
      <c r="H8618" s="329" t="str" cm="1">
        <f t="array" ref="H8618">IFERROR(INDEX(INVESTOR_LIST[INVESTOR NAME],MATCH(I8618,INVESTOR_LIST[INVESTOR CODE],0),)," ")</f>
        <v xml:space="preserve"> </v>
      </c>
      <c r="I8618" s="329" t="s">
        <v>348</v>
      </c>
      <c r="J8618" s="325" t="s">
        <v>133</v>
      </c>
      <c r="K8618" s="330">
        <v>23479.68</v>
      </c>
      <c r="L8618" s="330"/>
      <c r="M8618" s="160"/>
    </row>
    <row r="8619" spans="1:14" x14ac:dyDescent="0.2">
      <c r="A8619" s="331">
        <v>2023</v>
      </c>
      <c r="B8619" s="331">
        <v>4</v>
      </c>
      <c r="C8619" s="331">
        <v>27</v>
      </c>
      <c r="D8619" s="326">
        <f t="shared" si="910"/>
        <v>45043</v>
      </c>
      <c r="E8619" s="327">
        <f t="shared" si="911"/>
        <v>45043</v>
      </c>
      <c r="F8619" s="474"/>
      <c r="G8619" s="332" t="s">
        <v>94</v>
      </c>
      <c r="H8619" s="333" t="str" cm="1">
        <f t="array" ref="H8619">IFERROR(INDEX(INVESTOR_LIST[INVESTOR NAME],MATCH(I8619,INVESTOR_LIST[INVESTOR CODE],0),)," ")</f>
        <v xml:space="preserve"> </v>
      </c>
      <c r="I8619" s="333" t="s">
        <v>348</v>
      </c>
      <c r="J8619" s="331" t="s">
        <v>152</v>
      </c>
      <c r="K8619" s="334"/>
      <c r="L8619" s="334">
        <v>23479.68</v>
      </c>
      <c r="M8619" s="160"/>
      <c r="N8619" s="160"/>
    </row>
    <row r="8620" spans="1:14" x14ac:dyDescent="0.2">
      <c r="A8620" s="324">
        <v>2023</v>
      </c>
      <c r="B8620" s="324">
        <v>4</v>
      </c>
      <c r="C8620" s="325">
        <v>27</v>
      </c>
      <c r="D8620" s="326">
        <f t="shared" si="910"/>
        <v>45043</v>
      </c>
      <c r="E8620" s="327">
        <f t="shared" si="911"/>
        <v>45043</v>
      </c>
      <c r="F8620" s="473" t="s">
        <v>1491</v>
      </c>
      <c r="G8620" s="328" t="s">
        <v>94</v>
      </c>
      <c r="H8620" s="329" t="str" cm="1">
        <f t="array" ref="H8620">IFERROR(INDEX(INVESTOR_LIST[INVESTOR NAME],MATCH(I8620,INVESTOR_LIST[INVESTOR CODE],0),)," ")</f>
        <v xml:space="preserve"> </v>
      </c>
      <c r="I8620" s="329" t="s">
        <v>348</v>
      </c>
      <c r="J8620" s="324" t="s">
        <v>133</v>
      </c>
      <c r="K8620" s="330">
        <v>13125</v>
      </c>
      <c r="L8620" s="330"/>
      <c r="M8620" s="160"/>
      <c r="N8620" s="160"/>
    </row>
    <row r="8621" spans="1:14" x14ac:dyDescent="0.2">
      <c r="A8621" s="331">
        <v>2023</v>
      </c>
      <c r="B8621" s="331">
        <v>4</v>
      </c>
      <c r="C8621" s="331">
        <v>27</v>
      </c>
      <c r="D8621" s="326">
        <f t="shared" si="910"/>
        <v>45043</v>
      </c>
      <c r="E8621" s="327">
        <f t="shared" si="911"/>
        <v>45043</v>
      </c>
      <c r="F8621" s="474"/>
      <c r="G8621" s="332" t="s">
        <v>94</v>
      </c>
      <c r="H8621" s="333" t="str" cm="1">
        <f t="array" ref="H8621">IFERROR(INDEX(INVESTOR_LIST[INVESTOR NAME],MATCH(I8621,INVESTOR_LIST[INVESTOR CODE],0),)," ")</f>
        <v xml:space="preserve"> </v>
      </c>
      <c r="I8621" s="333" t="s">
        <v>348</v>
      </c>
      <c r="J8621" s="331" t="s">
        <v>152</v>
      </c>
      <c r="K8621" s="334"/>
      <c r="L8621" s="334">
        <v>13125</v>
      </c>
      <c r="M8621" s="160"/>
    </row>
    <row r="8622" spans="1:14" x14ac:dyDescent="0.2">
      <c r="A8622" s="324">
        <v>2023</v>
      </c>
      <c r="B8622" s="324">
        <v>4</v>
      </c>
      <c r="C8622" s="325">
        <v>27</v>
      </c>
      <c r="D8622" s="326">
        <f>DATE(A8622,B8622,C8622)</f>
        <v>45043</v>
      </c>
      <c r="E8622" s="327">
        <f>DATE(A8622,B8622,C8622)</f>
        <v>45043</v>
      </c>
      <c r="F8622" s="473" t="s">
        <v>1531</v>
      </c>
      <c r="G8622" s="328" t="s">
        <v>94</v>
      </c>
      <c r="H8622" s="329" t="str" cm="1">
        <f t="array" ref="H8622">IFERROR(INDEX(INVESTOR_LIST[INVESTOR NAME],MATCH(I8622,INVESTOR_LIST[INVESTOR CODE],0),)," ")</f>
        <v xml:space="preserve"> </v>
      </c>
      <c r="I8622" s="329" t="s">
        <v>348</v>
      </c>
      <c r="J8622" s="324" t="s">
        <v>133</v>
      </c>
      <c r="K8622" s="330">
        <v>22349.17</v>
      </c>
      <c r="L8622" s="330"/>
      <c r="M8622" s="160"/>
    </row>
    <row r="8623" spans="1:14" x14ac:dyDescent="0.2">
      <c r="A8623" s="331">
        <v>2023</v>
      </c>
      <c r="B8623" s="331">
        <v>4</v>
      </c>
      <c r="C8623" s="331">
        <v>27</v>
      </c>
      <c r="D8623" s="326">
        <f>DATE(A8623,B8623,C8623)</f>
        <v>45043</v>
      </c>
      <c r="E8623" s="327">
        <f>DATE(A8623,B8623,C8623)</f>
        <v>45043</v>
      </c>
      <c r="F8623" s="474"/>
      <c r="G8623" s="332" t="s">
        <v>94</v>
      </c>
      <c r="H8623" s="333" t="str" cm="1">
        <f t="array" ref="H8623">IFERROR(INDEX(INVESTOR_LIST[INVESTOR NAME],MATCH(I8623,INVESTOR_LIST[INVESTOR CODE],0),)," ")</f>
        <v xml:space="preserve"> </v>
      </c>
      <c r="I8623" s="333" t="s">
        <v>348</v>
      </c>
      <c r="J8623" s="331" t="s">
        <v>152</v>
      </c>
      <c r="K8623" s="334"/>
      <c r="L8623" s="334">
        <v>22349.17</v>
      </c>
      <c r="M8623" s="160"/>
    </row>
    <row r="8624" spans="1:14" x14ac:dyDescent="0.2">
      <c r="A8624" s="238">
        <v>2023</v>
      </c>
      <c r="B8624" s="238">
        <v>4</v>
      </c>
      <c r="C8624" s="238">
        <v>27</v>
      </c>
      <c r="D8624" s="270">
        <f t="shared" ref="D8624:D8635" si="912">DATE(A8624,B8624,C8624)</f>
        <v>45043</v>
      </c>
      <c r="E8624" s="279">
        <f t="shared" ref="E8624:E8635" si="913">DATE(A8624,B8624,C8624)</f>
        <v>45043</v>
      </c>
      <c r="F8624" s="477" t="s">
        <v>347</v>
      </c>
      <c r="G8624" s="239" t="s">
        <v>94</v>
      </c>
      <c r="H8624" s="239" t="str" cm="1">
        <f t="array" ref="H8624">IFERROR(INDEX(INVESTOR_LIST[INVESTOR NAME],MATCH(I8624,INVESTOR_LIST[INVESTOR CODE],0),)," ")</f>
        <v xml:space="preserve"> </v>
      </c>
      <c r="I8624" s="262" t="s">
        <v>348</v>
      </c>
      <c r="J8624" s="240" t="s">
        <v>82</v>
      </c>
      <c r="K8624" s="241">
        <v>67565.469999983907</v>
      </c>
      <c r="L8624" s="241"/>
    </row>
    <row r="8625" spans="1:13" x14ac:dyDescent="0.2">
      <c r="A8625" s="242">
        <v>2023</v>
      </c>
      <c r="B8625" s="242">
        <v>4</v>
      </c>
      <c r="C8625" s="242">
        <v>27</v>
      </c>
      <c r="D8625" s="270">
        <f t="shared" si="912"/>
        <v>45043</v>
      </c>
      <c r="E8625" s="279">
        <f t="shared" si="913"/>
        <v>45043</v>
      </c>
      <c r="F8625" s="478"/>
      <c r="G8625" s="243" t="s">
        <v>94</v>
      </c>
      <c r="H8625" s="243" t="str" cm="1">
        <f t="array" ref="H8625">IFERROR(INDEX(INVESTOR_LIST[INVESTOR NAME],MATCH(I8625,INVESTOR_LIST[INVESTOR CODE],0),)," ")</f>
        <v xml:space="preserve"> </v>
      </c>
      <c r="I8625" s="263" t="s">
        <v>348</v>
      </c>
      <c r="J8625" s="244" t="s">
        <v>108</v>
      </c>
      <c r="K8625" s="245"/>
      <c r="L8625" s="245">
        <v>67565.469999983907</v>
      </c>
    </row>
    <row r="8626" spans="1:13" ht="22.5" x14ac:dyDescent="0.2">
      <c r="A8626" s="246">
        <v>2023</v>
      </c>
      <c r="B8626" s="238">
        <v>4</v>
      </c>
      <c r="C8626" s="238">
        <v>27</v>
      </c>
      <c r="D8626" s="270">
        <f t="shared" si="912"/>
        <v>45043</v>
      </c>
      <c r="E8626" s="279">
        <f t="shared" si="913"/>
        <v>45043</v>
      </c>
      <c r="F8626" s="482" t="s">
        <v>148</v>
      </c>
      <c r="G8626" s="247" t="s">
        <v>94</v>
      </c>
      <c r="H8626" s="247" t="str" cm="1">
        <f t="array" ref="H8626">IFERROR(INDEX(INVESTOR_LIST[INVESTOR NAME],MATCH(I8626,INVESTOR_LIST[INVESTOR CODE],0),)," ")</f>
        <v xml:space="preserve"> </v>
      </c>
      <c r="I8626" s="248" t="s">
        <v>348</v>
      </c>
      <c r="J8626" s="249" t="s">
        <v>95</v>
      </c>
      <c r="K8626" s="250">
        <v>2747.2527472527472</v>
      </c>
      <c r="L8626" s="241"/>
    </row>
    <row r="8627" spans="1:13" x14ac:dyDescent="0.2">
      <c r="A8627" s="242">
        <v>2023</v>
      </c>
      <c r="B8627" s="242">
        <v>4</v>
      </c>
      <c r="C8627" s="242">
        <v>27</v>
      </c>
      <c r="D8627" s="270">
        <f t="shared" si="912"/>
        <v>45043</v>
      </c>
      <c r="E8627" s="279">
        <f t="shared" si="913"/>
        <v>45043</v>
      </c>
      <c r="F8627" s="478"/>
      <c r="G8627" s="243" t="s">
        <v>94</v>
      </c>
      <c r="H8627" s="243" t="str" cm="1">
        <f t="array" ref="H8627">IFERROR(INDEX(INVESTOR_LIST[INVESTOR NAME],MATCH(I8627,INVESTOR_LIST[INVESTOR CODE],0),)," ")</f>
        <v xml:space="preserve"> </v>
      </c>
      <c r="I8627" s="263" t="s">
        <v>348</v>
      </c>
      <c r="J8627" s="244" t="s">
        <v>63</v>
      </c>
      <c r="K8627" s="245"/>
      <c r="L8627" s="245">
        <v>2747.2527472527472</v>
      </c>
    </row>
    <row r="8628" spans="1:13" x14ac:dyDescent="0.2">
      <c r="A8628" s="246">
        <v>2023</v>
      </c>
      <c r="B8628" s="238">
        <v>4</v>
      </c>
      <c r="C8628" s="238">
        <v>27</v>
      </c>
      <c r="D8628" s="270">
        <f t="shared" si="912"/>
        <v>45043</v>
      </c>
      <c r="E8628" s="279">
        <f t="shared" si="913"/>
        <v>45043</v>
      </c>
      <c r="F8628" s="482" t="s">
        <v>137</v>
      </c>
      <c r="G8628" s="247" t="s">
        <v>94</v>
      </c>
      <c r="H8628" s="247" t="str" cm="1">
        <f t="array" ref="H8628">IFERROR(INDEX(INVESTOR_LIST[INVESTOR NAME],MATCH(I8628,INVESTOR_LIST[INVESTOR CODE],0),)," ")</f>
        <v xml:space="preserve"> </v>
      </c>
      <c r="I8628" s="248" t="s">
        <v>348</v>
      </c>
      <c r="J8628" s="249" t="s">
        <v>97</v>
      </c>
      <c r="K8628" s="250">
        <v>33507.995184923609</v>
      </c>
      <c r="L8628" s="252"/>
    </row>
    <row r="8629" spans="1:13" x14ac:dyDescent="0.2">
      <c r="A8629" s="242">
        <v>2023</v>
      </c>
      <c r="B8629" s="242">
        <v>4</v>
      </c>
      <c r="C8629" s="242">
        <v>27</v>
      </c>
      <c r="D8629" s="270">
        <f t="shared" si="912"/>
        <v>45043</v>
      </c>
      <c r="E8629" s="279">
        <f t="shared" si="913"/>
        <v>45043</v>
      </c>
      <c r="F8629" s="478"/>
      <c r="G8629" s="243" t="s">
        <v>94</v>
      </c>
      <c r="H8629" s="243" t="str" cm="1">
        <f t="array" ref="H8629">IFERROR(INDEX(INVESTOR_LIST[INVESTOR NAME],MATCH(I8629,INVESTOR_LIST[INVESTOR CODE],0),)," ")</f>
        <v xml:space="preserve"> </v>
      </c>
      <c r="I8629" s="263" t="s">
        <v>348</v>
      </c>
      <c r="J8629" s="244" t="s">
        <v>47</v>
      </c>
      <c r="K8629" s="245"/>
      <c r="L8629" s="245">
        <v>33507.995184923609</v>
      </c>
    </row>
    <row r="8630" spans="1:13" x14ac:dyDescent="0.2">
      <c r="A8630" s="246">
        <v>2023</v>
      </c>
      <c r="B8630" s="238">
        <v>4</v>
      </c>
      <c r="C8630" s="238">
        <v>27</v>
      </c>
      <c r="D8630" s="270">
        <f t="shared" si="912"/>
        <v>45043</v>
      </c>
      <c r="E8630" s="279">
        <f t="shared" si="913"/>
        <v>45043</v>
      </c>
      <c r="F8630" s="482" t="s">
        <v>138</v>
      </c>
      <c r="G8630" s="247" t="s">
        <v>94</v>
      </c>
      <c r="H8630" s="247" t="str" cm="1">
        <f t="array" ref="H8630">IFERROR(INDEX(INVESTOR_LIST[INVESTOR NAME],MATCH(I8630,INVESTOR_LIST[INVESTOR CODE],0),)," ")</f>
        <v xml:space="preserve"> </v>
      </c>
      <c r="I8630" s="248" t="s">
        <v>348</v>
      </c>
      <c r="J8630" s="249" t="s">
        <v>100</v>
      </c>
      <c r="K8630" s="250">
        <v>3350.7995184923611</v>
      </c>
      <c r="L8630" s="252"/>
    </row>
    <row r="8631" spans="1:13" ht="10.9" customHeight="1" x14ac:dyDescent="0.2">
      <c r="A8631" s="242">
        <v>2023</v>
      </c>
      <c r="B8631" s="242">
        <v>4</v>
      </c>
      <c r="C8631" s="242">
        <v>27</v>
      </c>
      <c r="D8631" s="321">
        <f t="shared" si="912"/>
        <v>45043</v>
      </c>
      <c r="E8631" s="322">
        <f t="shared" si="913"/>
        <v>45043</v>
      </c>
      <c r="F8631" s="478"/>
      <c r="G8631" s="243" t="s">
        <v>94</v>
      </c>
      <c r="H8631" s="243" t="str" cm="1">
        <f t="array" ref="H8631">IFERROR(INDEX(INVESTOR_LIST[INVESTOR NAME],MATCH(I8631,INVESTOR_LIST[INVESTOR CODE],0),)," ")</f>
        <v xml:space="preserve"> </v>
      </c>
      <c r="I8631" s="263" t="s">
        <v>348</v>
      </c>
      <c r="J8631" s="244" t="s">
        <v>48</v>
      </c>
      <c r="K8631" s="245"/>
      <c r="L8631" s="245">
        <v>3350.7995184923611</v>
      </c>
    </row>
    <row r="8632" spans="1:13" x14ac:dyDescent="0.2">
      <c r="A8632" s="133">
        <v>2023</v>
      </c>
      <c r="B8632" s="133">
        <v>4</v>
      </c>
      <c r="C8632" s="133">
        <v>30</v>
      </c>
      <c r="D8632" s="141">
        <f t="shared" si="912"/>
        <v>45046</v>
      </c>
      <c r="E8632" s="275">
        <f t="shared" si="913"/>
        <v>45046</v>
      </c>
      <c r="F8632" s="481" t="s">
        <v>1499</v>
      </c>
      <c r="G8632" s="174" t="s">
        <v>94</v>
      </c>
      <c r="H8632" s="174" t="str" cm="1">
        <f t="array" ref="H8632">IFERROR(INDEX(INVESTOR_LIST[INVESTOR NAME],MATCH(I8632,INVESTOR_LIST[INVESTOR CODE],0),)," ")</f>
        <v xml:space="preserve"> </v>
      </c>
      <c r="J8632" s="149" t="s">
        <v>190</v>
      </c>
      <c r="K8632" s="218">
        <v>117787.6</v>
      </c>
      <c r="L8632" s="218"/>
      <c r="M8632" s="160"/>
    </row>
    <row r="8633" spans="1:13" x14ac:dyDescent="0.2">
      <c r="A8633" s="133">
        <v>2023</v>
      </c>
      <c r="B8633" s="133">
        <v>4</v>
      </c>
      <c r="C8633" s="133">
        <v>30</v>
      </c>
      <c r="D8633" s="141">
        <f t="shared" si="912"/>
        <v>45046</v>
      </c>
      <c r="E8633" s="275">
        <f t="shared" si="913"/>
        <v>45046</v>
      </c>
      <c r="F8633" s="481"/>
      <c r="G8633" s="174" t="s">
        <v>94</v>
      </c>
      <c r="H8633" s="174"/>
      <c r="J8633" s="149" t="s">
        <v>80</v>
      </c>
      <c r="K8633" s="218">
        <v>212.4</v>
      </c>
      <c r="L8633" s="218"/>
    </row>
    <row r="8634" spans="1:13" x14ac:dyDescent="0.2">
      <c r="A8634" s="133">
        <v>2023</v>
      </c>
      <c r="B8634" s="133">
        <v>4</v>
      </c>
      <c r="C8634" s="133">
        <v>30</v>
      </c>
      <c r="D8634" s="141">
        <f t="shared" si="912"/>
        <v>45046</v>
      </c>
      <c r="E8634" s="275">
        <f t="shared" si="913"/>
        <v>45046</v>
      </c>
      <c r="F8634" s="481"/>
      <c r="G8634" s="174" t="s">
        <v>94</v>
      </c>
      <c r="H8634" s="174" t="str" cm="1">
        <f t="array" ref="H8634">IFERROR(INDEX(INVESTOR_LIST[INVESTOR NAME],MATCH(I8634,INVESTOR_LIST[INVESTOR CODE],0),)," ")</f>
        <v xml:space="preserve"> </v>
      </c>
      <c r="J8634" s="149" t="s">
        <v>191</v>
      </c>
      <c r="K8634" s="218"/>
      <c r="L8634" s="218">
        <v>18000</v>
      </c>
    </row>
    <row r="8635" spans="1:13" x14ac:dyDescent="0.2">
      <c r="A8635" s="163">
        <v>2023</v>
      </c>
      <c r="B8635" s="163">
        <v>4</v>
      </c>
      <c r="C8635" s="163">
        <v>30</v>
      </c>
      <c r="D8635" s="280">
        <f t="shared" si="912"/>
        <v>45046</v>
      </c>
      <c r="E8635" s="281">
        <f t="shared" si="913"/>
        <v>45046</v>
      </c>
      <c r="F8635" s="480"/>
      <c r="G8635" s="221" t="s">
        <v>94</v>
      </c>
      <c r="H8635" s="145" t="str" cm="1">
        <f t="array" ref="H8635">IFERROR(INDEX(INVESTOR_LIST[INVESTOR NAME],MATCH(I8635,INVESTOR_LIST[INVESTOR CODE],0),)," ")</f>
        <v xml:space="preserve"> </v>
      </c>
      <c r="I8635" s="145"/>
      <c r="J8635" s="163" t="s">
        <v>79</v>
      </c>
      <c r="K8635" s="219"/>
      <c r="L8635" s="219">
        <v>100000</v>
      </c>
    </row>
    <row r="8636" spans="1:13" x14ac:dyDescent="0.2">
      <c r="A8636" s="133">
        <v>2023</v>
      </c>
      <c r="B8636" s="133">
        <v>5</v>
      </c>
      <c r="C8636" s="133">
        <v>2</v>
      </c>
      <c r="D8636" s="141">
        <f t="shared" ref="D8636:D8650" si="914">DATE(A8636,B8636,C8636)</f>
        <v>45048</v>
      </c>
      <c r="E8636" s="275">
        <f t="shared" ref="E8636:E8650" si="915">DATE(A8636,B8636,C8636)</f>
        <v>45048</v>
      </c>
      <c r="F8636" s="481" t="s">
        <v>1646</v>
      </c>
      <c r="G8636" s="174" t="s">
        <v>94</v>
      </c>
      <c r="H8636" s="174" t="str" cm="1">
        <f t="array" ref="H8636">IFERROR(INDEX(INVESTOR_LIST[INVESTOR NAME],MATCH(I8636,INVESTOR_LIST[INVESTOR CODE],0),)," ")</f>
        <v xml:space="preserve"> </v>
      </c>
      <c r="J8636" s="149" t="s">
        <v>190</v>
      </c>
      <c r="K8636" s="218">
        <v>188659.8</v>
      </c>
      <c r="L8636" s="218"/>
      <c r="M8636" s="160"/>
    </row>
    <row r="8637" spans="1:13" x14ac:dyDescent="0.2">
      <c r="A8637" s="133">
        <v>2023</v>
      </c>
      <c r="B8637" s="133">
        <v>5</v>
      </c>
      <c r="C8637" s="133">
        <v>2</v>
      </c>
      <c r="D8637" s="141">
        <f t="shared" si="914"/>
        <v>45048</v>
      </c>
      <c r="E8637" s="275">
        <f t="shared" si="915"/>
        <v>45048</v>
      </c>
      <c r="F8637" s="481"/>
      <c r="G8637" s="174" t="s">
        <v>94</v>
      </c>
      <c r="H8637" s="174"/>
      <c r="J8637" s="149" t="s">
        <v>80</v>
      </c>
      <c r="K8637" s="218">
        <v>340.2</v>
      </c>
      <c r="L8637" s="218"/>
    </row>
    <row r="8638" spans="1:13" x14ac:dyDescent="0.2">
      <c r="A8638" s="133">
        <v>2023</v>
      </c>
      <c r="B8638" s="133">
        <v>5</v>
      </c>
      <c r="C8638" s="133">
        <v>2</v>
      </c>
      <c r="D8638" s="141">
        <f t="shared" si="914"/>
        <v>45048</v>
      </c>
      <c r="E8638" s="275">
        <f t="shared" si="915"/>
        <v>45048</v>
      </c>
      <c r="F8638" s="481"/>
      <c r="G8638" s="174" t="s">
        <v>94</v>
      </c>
      <c r="H8638" s="174" t="str" cm="1">
        <f t="array" ref="H8638">IFERROR(INDEX(INVESTOR_LIST[INVESTOR NAME],MATCH(I8638,INVESTOR_LIST[INVESTOR CODE],0),)," ")</f>
        <v xml:space="preserve"> </v>
      </c>
      <c r="J8638" s="149" t="s">
        <v>191</v>
      </c>
      <c r="K8638" s="218"/>
      <c r="L8638" s="218">
        <v>39000</v>
      </c>
    </row>
    <row r="8639" spans="1:13" x14ac:dyDescent="0.2">
      <c r="A8639" s="163">
        <v>2023</v>
      </c>
      <c r="B8639" s="163">
        <v>5</v>
      </c>
      <c r="C8639" s="163">
        <v>2</v>
      </c>
      <c r="D8639" s="280">
        <f t="shared" si="914"/>
        <v>45048</v>
      </c>
      <c r="E8639" s="281">
        <f t="shared" si="915"/>
        <v>45048</v>
      </c>
      <c r="F8639" s="480"/>
      <c r="G8639" s="221" t="s">
        <v>94</v>
      </c>
      <c r="H8639" s="145" t="str" cm="1">
        <f t="array" ref="H8639">IFERROR(INDEX(INVESTOR_LIST[INVESTOR NAME],MATCH(I8639,INVESTOR_LIST[INVESTOR CODE],0),)," ")</f>
        <v xml:space="preserve"> </v>
      </c>
      <c r="I8639" s="145"/>
      <c r="J8639" s="163" t="s">
        <v>79</v>
      </c>
      <c r="K8639" s="219"/>
      <c r="L8639" s="219">
        <v>150000</v>
      </c>
    </row>
    <row r="8640" spans="1:13" ht="10.15" customHeight="1" x14ac:dyDescent="0.2">
      <c r="A8640" s="133">
        <v>2023</v>
      </c>
      <c r="B8640" s="133">
        <v>5</v>
      </c>
      <c r="C8640" s="133">
        <v>2</v>
      </c>
      <c r="D8640" s="141">
        <f t="shared" si="914"/>
        <v>45048</v>
      </c>
      <c r="E8640" s="275">
        <f t="shared" si="915"/>
        <v>45048</v>
      </c>
      <c r="F8640" s="481" t="s">
        <v>1688</v>
      </c>
      <c r="G8640" s="220" t="s">
        <v>74</v>
      </c>
      <c r="H8640" s="220"/>
      <c r="I8640" s="142"/>
      <c r="J8640" s="143" t="s">
        <v>96</v>
      </c>
      <c r="K8640" s="226">
        <v>2000000</v>
      </c>
      <c r="L8640" s="226"/>
    </row>
    <row r="8641" spans="1:12" ht="10.15" customHeight="1" x14ac:dyDescent="0.2">
      <c r="A8641" s="133">
        <v>2023</v>
      </c>
      <c r="B8641" s="133">
        <v>5</v>
      </c>
      <c r="C8641" s="133">
        <v>2</v>
      </c>
      <c r="D8641" s="141">
        <f t="shared" si="914"/>
        <v>45048</v>
      </c>
      <c r="E8641" s="275">
        <f t="shared" si="915"/>
        <v>45048</v>
      </c>
      <c r="F8641" s="481"/>
      <c r="G8641" s="174" t="s">
        <v>74</v>
      </c>
      <c r="H8641" s="174" t="str" cm="1">
        <f t="array" ref="H8641">IFERROR(INDEX(INVESTOR_LIST[INVESTOR NAME],MATCH(I8641,INVESTOR_LIST[INVESTOR CODE],0),)," ")</f>
        <v xml:space="preserve"> </v>
      </c>
      <c r="I8641" s="148" t="s">
        <v>348</v>
      </c>
      <c r="J8641" s="149" t="s">
        <v>52</v>
      </c>
      <c r="K8641" s="218">
        <v>37500</v>
      </c>
      <c r="L8641" s="218"/>
    </row>
    <row r="8642" spans="1:12" ht="10.15" customHeight="1" x14ac:dyDescent="0.2">
      <c r="A8642" s="133">
        <v>2023</v>
      </c>
      <c r="B8642" s="133">
        <v>5</v>
      </c>
      <c r="C8642" s="133">
        <v>2</v>
      </c>
      <c r="D8642" s="141">
        <f t="shared" si="914"/>
        <v>45048</v>
      </c>
      <c r="E8642" s="275">
        <f t="shared" si="915"/>
        <v>45048</v>
      </c>
      <c r="F8642" s="481"/>
      <c r="G8642" s="174" t="s">
        <v>74</v>
      </c>
      <c r="H8642" s="174" t="str" cm="1">
        <f t="array" ref="H8642">IFERROR(INDEX(INVESTOR_LIST[INVESTOR NAME],MATCH(I8642,INVESTOR_LIST[INVESTOR CODE],0),)," ")</f>
        <v xml:space="preserve"> </v>
      </c>
      <c r="J8642" s="149" t="s">
        <v>133</v>
      </c>
      <c r="K8642" s="218"/>
      <c r="L8642" s="218">
        <v>37500</v>
      </c>
    </row>
    <row r="8643" spans="1:12" ht="10.15" customHeight="1" x14ac:dyDescent="0.2">
      <c r="A8643" s="163">
        <v>2023</v>
      </c>
      <c r="B8643" s="163">
        <v>5</v>
      </c>
      <c r="C8643" s="163">
        <v>2</v>
      </c>
      <c r="D8643" s="141">
        <f t="shared" si="914"/>
        <v>45048</v>
      </c>
      <c r="E8643" s="275">
        <f t="shared" si="915"/>
        <v>45048</v>
      </c>
      <c r="F8643" s="480"/>
      <c r="G8643" s="221" t="s">
        <v>74</v>
      </c>
      <c r="H8643" s="221"/>
      <c r="I8643" s="145"/>
      <c r="J8643" s="146" t="s">
        <v>96</v>
      </c>
      <c r="K8643" s="219"/>
      <c r="L8643" s="219">
        <v>2000000</v>
      </c>
    </row>
    <row r="8644" spans="1:12" ht="10.15" customHeight="1" x14ac:dyDescent="0.2">
      <c r="A8644" s="133">
        <v>2023</v>
      </c>
      <c r="B8644" s="133">
        <v>5</v>
      </c>
      <c r="C8644" s="133">
        <v>2</v>
      </c>
      <c r="D8644" s="141">
        <f t="shared" ref="D8644:D8647" si="916">DATE(A8644,B8644,C8644)</f>
        <v>45048</v>
      </c>
      <c r="E8644" s="275">
        <f t="shared" ref="E8644:E8647" si="917">DATE(A8644,B8644,C8644)</f>
        <v>45048</v>
      </c>
      <c r="F8644" s="481" t="s">
        <v>1689</v>
      </c>
      <c r="G8644" s="174" t="s">
        <v>74</v>
      </c>
      <c r="H8644" s="174"/>
      <c r="J8644" s="149" t="s">
        <v>96</v>
      </c>
      <c r="K8644" s="226">
        <v>2000000</v>
      </c>
      <c r="L8644" s="226"/>
    </row>
    <row r="8645" spans="1:12" ht="10.15" customHeight="1" x14ac:dyDescent="0.2">
      <c r="A8645" s="133">
        <v>2023</v>
      </c>
      <c r="B8645" s="133">
        <v>5</v>
      </c>
      <c r="C8645" s="133">
        <v>2</v>
      </c>
      <c r="D8645" s="141">
        <f t="shared" si="916"/>
        <v>45048</v>
      </c>
      <c r="E8645" s="275">
        <f t="shared" si="917"/>
        <v>45048</v>
      </c>
      <c r="F8645" s="481"/>
      <c r="G8645" s="174" t="s">
        <v>74</v>
      </c>
      <c r="H8645" s="174" t="str" cm="1">
        <f t="array" ref="H8645">IFERROR(INDEX(INVESTOR_LIST[INVESTOR NAME],MATCH(I8645,INVESTOR_LIST[INVESTOR CODE],0),)," ")</f>
        <v xml:space="preserve"> </v>
      </c>
      <c r="I8645" s="148" t="s">
        <v>348</v>
      </c>
      <c r="J8645" s="149" t="s">
        <v>52</v>
      </c>
      <c r="K8645" s="218">
        <v>37500</v>
      </c>
      <c r="L8645" s="218"/>
    </row>
    <row r="8646" spans="1:12" ht="10.15" customHeight="1" x14ac:dyDescent="0.2">
      <c r="A8646" s="133">
        <v>2023</v>
      </c>
      <c r="B8646" s="133">
        <v>5</v>
      </c>
      <c r="C8646" s="133">
        <v>2</v>
      </c>
      <c r="D8646" s="141">
        <f t="shared" si="916"/>
        <v>45048</v>
      </c>
      <c r="E8646" s="275">
        <f t="shared" si="917"/>
        <v>45048</v>
      </c>
      <c r="F8646" s="481"/>
      <c r="G8646" s="174" t="s">
        <v>74</v>
      </c>
      <c r="H8646" s="174" t="str" cm="1">
        <f t="array" ref="H8646">IFERROR(INDEX(INVESTOR_LIST[INVESTOR NAME],MATCH(I8646,INVESTOR_LIST[INVESTOR CODE],0),)," ")</f>
        <v xml:space="preserve"> </v>
      </c>
      <c r="J8646" s="149" t="s">
        <v>133</v>
      </c>
      <c r="K8646" s="218"/>
      <c r="L8646" s="218">
        <v>37500</v>
      </c>
    </row>
    <row r="8647" spans="1:12" ht="10.15" customHeight="1" x14ac:dyDescent="0.2">
      <c r="A8647" s="163">
        <v>2023</v>
      </c>
      <c r="B8647" s="163">
        <v>5</v>
      </c>
      <c r="C8647" s="163">
        <v>2</v>
      </c>
      <c r="D8647" s="141">
        <f t="shared" si="916"/>
        <v>45048</v>
      </c>
      <c r="E8647" s="275">
        <f t="shared" si="917"/>
        <v>45048</v>
      </c>
      <c r="F8647" s="480"/>
      <c r="G8647" s="174" t="s">
        <v>74</v>
      </c>
      <c r="H8647" s="174"/>
      <c r="J8647" s="149" t="s">
        <v>96</v>
      </c>
      <c r="K8647" s="219"/>
      <c r="L8647" s="219">
        <v>2000000</v>
      </c>
    </row>
    <row r="8648" spans="1:12" ht="10.15" customHeight="1" x14ac:dyDescent="0.2">
      <c r="A8648" s="168">
        <v>2023</v>
      </c>
      <c r="B8648" s="168">
        <v>5</v>
      </c>
      <c r="C8648" s="168">
        <v>3</v>
      </c>
      <c r="D8648" s="141">
        <f t="shared" si="914"/>
        <v>45049</v>
      </c>
      <c r="E8648" s="275">
        <f t="shared" si="915"/>
        <v>45049</v>
      </c>
      <c r="F8648" s="479" t="s">
        <v>1310</v>
      </c>
      <c r="G8648" s="220" t="s">
        <v>74</v>
      </c>
      <c r="H8648" s="142" t="str" cm="1">
        <f t="array" ref="H8648">IFERROR(INDEX(INVESTOR_LIST[INVESTOR NAME],MATCH(I8648,INVESTOR_LIST[INVESTOR CODE],0),)," ")</f>
        <v>MD. NIAZ MURSHED</v>
      </c>
      <c r="I8648" s="142" t="s">
        <v>646</v>
      </c>
      <c r="J8648" s="168" t="s">
        <v>13</v>
      </c>
      <c r="K8648" s="218">
        <v>202690</v>
      </c>
      <c r="L8648" s="226"/>
    </row>
    <row r="8649" spans="1:12" ht="10.15" customHeight="1" x14ac:dyDescent="0.2">
      <c r="A8649" s="133">
        <v>2023</v>
      </c>
      <c r="B8649" s="133">
        <v>5</v>
      </c>
      <c r="C8649" s="133">
        <v>3</v>
      </c>
      <c r="D8649" s="141">
        <f t="shared" si="914"/>
        <v>45049</v>
      </c>
      <c r="E8649" s="275">
        <f t="shared" si="915"/>
        <v>45049</v>
      </c>
      <c r="F8649" s="481"/>
      <c r="G8649" s="174" t="s">
        <v>74</v>
      </c>
      <c r="H8649" s="148" t="str" cm="1">
        <f t="array" ref="H8649">IFERROR(INDEX(INVESTOR_LIST[INVESTOR NAME],MATCH(I8649,INVESTOR_LIST[INVESTOR CODE],0),)," ")</f>
        <v>MD. NIAZ MURSHED</v>
      </c>
      <c r="I8649" s="148" t="s">
        <v>646</v>
      </c>
      <c r="J8649" s="133" t="s">
        <v>53</v>
      </c>
      <c r="K8649" s="218">
        <v>47310</v>
      </c>
      <c r="L8649" s="218"/>
    </row>
    <row r="8650" spans="1:12" ht="10.15" customHeight="1" x14ac:dyDescent="0.2">
      <c r="A8650" s="163">
        <v>2023</v>
      </c>
      <c r="B8650" s="163">
        <v>5</v>
      </c>
      <c r="C8650" s="163">
        <v>3</v>
      </c>
      <c r="D8650" s="280">
        <f t="shared" si="914"/>
        <v>45049</v>
      </c>
      <c r="E8650" s="281">
        <f t="shared" si="915"/>
        <v>45049</v>
      </c>
      <c r="F8650" s="480"/>
      <c r="G8650" s="221" t="s">
        <v>74</v>
      </c>
      <c r="H8650" s="145" t="str" cm="1">
        <f t="array" ref="H8650">IFERROR(INDEX(INVESTOR_LIST[INVESTOR NAME],MATCH(I8650,INVESTOR_LIST[INVESTOR CODE],0),)," ")</f>
        <v>MD. NIAZ MURSHED</v>
      </c>
      <c r="I8650" s="145" t="s">
        <v>646</v>
      </c>
      <c r="J8650" s="163" t="s">
        <v>52</v>
      </c>
      <c r="K8650" s="219"/>
      <c r="L8650" s="219">
        <v>250000</v>
      </c>
    </row>
    <row r="8651" spans="1:12" x14ac:dyDescent="0.2">
      <c r="A8651" s="168">
        <v>2023</v>
      </c>
      <c r="B8651" s="168">
        <v>5</v>
      </c>
      <c r="C8651" s="168">
        <v>3</v>
      </c>
      <c r="D8651" s="141">
        <f>DATE(A8651,B8651,C8651)</f>
        <v>45049</v>
      </c>
      <c r="E8651" s="275">
        <f>DATE(A8651,B8651,C8651)</f>
        <v>45049</v>
      </c>
      <c r="F8651" s="479" t="s">
        <v>1500</v>
      </c>
      <c r="G8651" s="220" t="s">
        <v>74</v>
      </c>
      <c r="H8651" s="220" t="str" cm="1">
        <f t="array" ref="H8651">IFERROR(INDEX(INVESTOR_LIST[INVESTOR NAME],MATCH(I8651,INVESTOR_LIST[INVESTOR CODE],0),)," ")</f>
        <v xml:space="preserve"> </v>
      </c>
      <c r="I8651" s="142"/>
      <c r="J8651" s="143" t="s">
        <v>52</v>
      </c>
      <c r="K8651" s="226">
        <v>117787.6</v>
      </c>
      <c r="L8651" s="226"/>
    </row>
    <row r="8652" spans="1:12" x14ac:dyDescent="0.2">
      <c r="A8652" s="163">
        <v>2023</v>
      </c>
      <c r="B8652" s="163">
        <v>5</v>
      </c>
      <c r="C8652" s="163">
        <v>3</v>
      </c>
      <c r="D8652" s="280">
        <f>DATE(A8652,B8652,C8652)</f>
        <v>45049</v>
      </c>
      <c r="E8652" s="281">
        <f>DATE(A8652,B8652,C8652)</f>
        <v>45049</v>
      </c>
      <c r="F8652" s="480"/>
      <c r="G8652" s="221" t="s">
        <v>74</v>
      </c>
      <c r="H8652" s="221" t="str" cm="1">
        <f t="array" ref="H8652">IFERROR(INDEX(INVESTOR_LIST[INVESTOR NAME],MATCH(I8652,INVESTOR_LIST[INVESTOR CODE],0),)," ")</f>
        <v xml:space="preserve"> </v>
      </c>
      <c r="I8652" s="145"/>
      <c r="J8652" s="146" t="s">
        <v>190</v>
      </c>
      <c r="K8652" s="219"/>
      <c r="L8652" s="219">
        <v>117787.6</v>
      </c>
    </row>
    <row r="8653" spans="1:12" ht="10.15" customHeight="1" x14ac:dyDescent="0.2">
      <c r="A8653" s="133">
        <v>2023</v>
      </c>
      <c r="B8653" s="133">
        <v>5</v>
      </c>
      <c r="C8653" s="133">
        <v>3</v>
      </c>
      <c r="D8653" s="141">
        <f t="shared" ref="D8653:D8656" si="918">DATE(A8653,B8653,C8653)</f>
        <v>45049</v>
      </c>
      <c r="E8653" s="275">
        <f t="shared" ref="E8653:E8656" si="919">DATE(A8653,B8653,C8653)</f>
        <v>45049</v>
      </c>
      <c r="F8653" s="481" t="s">
        <v>1676</v>
      </c>
      <c r="G8653" s="174" t="s">
        <v>74</v>
      </c>
      <c r="H8653" s="174"/>
      <c r="J8653" s="149" t="s">
        <v>96</v>
      </c>
      <c r="K8653" s="226">
        <v>2000000</v>
      </c>
      <c r="L8653" s="226"/>
    </row>
    <row r="8654" spans="1:12" ht="10.15" customHeight="1" x14ac:dyDescent="0.2">
      <c r="A8654" s="133">
        <v>2023</v>
      </c>
      <c r="B8654" s="133">
        <v>5</v>
      </c>
      <c r="C8654" s="133">
        <v>3</v>
      </c>
      <c r="D8654" s="141">
        <f t="shared" si="918"/>
        <v>45049</v>
      </c>
      <c r="E8654" s="275">
        <f t="shared" si="919"/>
        <v>45049</v>
      </c>
      <c r="F8654" s="481"/>
      <c r="G8654" s="174" t="s">
        <v>74</v>
      </c>
      <c r="H8654" s="174" t="str" cm="1">
        <f t="array" ref="H8654">IFERROR(INDEX(INVESTOR_LIST[INVESTOR NAME],MATCH(I8654,INVESTOR_LIST[INVESTOR CODE],0),)," ")</f>
        <v xml:space="preserve"> </v>
      </c>
      <c r="I8654" s="148" t="s">
        <v>348</v>
      </c>
      <c r="J8654" s="149" t="s">
        <v>52</v>
      </c>
      <c r="K8654" s="218">
        <v>37500</v>
      </c>
      <c r="L8654" s="218"/>
    </row>
    <row r="8655" spans="1:12" ht="10.15" customHeight="1" x14ac:dyDescent="0.2">
      <c r="A8655" s="133">
        <v>2023</v>
      </c>
      <c r="B8655" s="133">
        <v>5</v>
      </c>
      <c r="C8655" s="133">
        <v>3</v>
      </c>
      <c r="D8655" s="141">
        <f t="shared" si="918"/>
        <v>45049</v>
      </c>
      <c r="E8655" s="275">
        <f t="shared" si="919"/>
        <v>45049</v>
      </c>
      <c r="F8655" s="481"/>
      <c r="G8655" s="174" t="s">
        <v>74</v>
      </c>
      <c r="H8655" s="174" t="str" cm="1">
        <f t="array" ref="H8655">IFERROR(INDEX(INVESTOR_LIST[INVESTOR NAME],MATCH(I8655,INVESTOR_LIST[INVESTOR CODE],0),)," ")</f>
        <v xml:space="preserve"> </v>
      </c>
      <c r="J8655" s="149" t="s">
        <v>133</v>
      </c>
      <c r="K8655" s="218"/>
      <c r="L8655" s="218">
        <v>37500</v>
      </c>
    </row>
    <row r="8656" spans="1:12" ht="10.15" customHeight="1" x14ac:dyDescent="0.2">
      <c r="A8656" s="163">
        <v>2023</v>
      </c>
      <c r="B8656" s="163">
        <v>5</v>
      </c>
      <c r="C8656" s="163">
        <v>3</v>
      </c>
      <c r="D8656" s="141">
        <f t="shared" si="918"/>
        <v>45049</v>
      </c>
      <c r="E8656" s="275">
        <f t="shared" si="919"/>
        <v>45049</v>
      </c>
      <c r="F8656" s="480"/>
      <c r="G8656" s="174" t="s">
        <v>74</v>
      </c>
      <c r="H8656" s="174"/>
      <c r="J8656" s="149" t="s">
        <v>96</v>
      </c>
      <c r="K8656" s="219"/>
      <c r="L8656" s="219">
        <v>2000000</v>
      </c>
    </row>
    <row r="8657" spans="1:14" x14ac:dyDescent="0.2">
      <c r="A8657" s="324">
        <v>2023</v>
      </c>
      <c r="B8657" s="324">
        <v>5</v>
      </c>
      <c r="C8657" s="325">
        <v>3</v>
      </c>
      <c r="D8657" s="326">
        <f>DATE(A8657,B8657,C8657)</f>
        <v>45049</v>
      </c>
      <c r="E8657" s="327">
        <f>DATE(A8657,B8657,C8657)</f>
        <v>45049</v>
      </c>
      <c r="F8657" s="473" t="s">
        <v>1634</v>
      </c>
      <c r="G8657" s="340" t="s">
        <v>94</v>
      </c>
      <c r="H8657" s="341" t="str" cm="1">
        <f t="array" ref="H8657">IFERROR(INDEX(INVESTOR_LIST[INVESTOR NAME],MATCH(I8657,INVESTOR_LIST[INVESTOR CODE],0),)," ")</f>
        <v xml:space="preserve"> </v>
      </c>
      <c r="I8657" s="341" t="s">
        <v>348</v>
      </c>
      <c r="J8657" s="325" t="s">
        <v>133</v>
      </c>
      <c r="K8657" s="330">
        <v>3966.35</v>
      </c>
      <c r="L8657" s="330"/>
      <c r="M8657" s="160"/>
    </row>
    <row r="8658" spans="1:14" x14ac:dyDescent="0.2">
      <c r="A8658" s="331">
        <v>2023</v>
      </c>
      <c r="B8658" s="331">
        <v>5</v>
      </c>
      <c r="C8658" s="331">
        <v>3</v>
      </c>
      <c r="D8658" s="326">
        <f>DATE(A8658,B8658,C8658)</f>
        <v>45049</v>
      </c>
      <c r="E8658" s="327">
        <f>DATE(A8658,B8658,C8658)</f>
        <v>45049</v>
      </c>
      <c r="F8658" s="474"/>
      <c r="G8658" s="332" t="s">
        <v>94</v>
      </c>
      <c r="H8658" s="333" t="str" cm="1">
        <f t="array" ref="H8658">IFERROR(INDEX(INVESTOR_LIST[INVESTOR NAME],MATCH(I8658,INVESTOR_LIST[INVESTOR CODE],0),)," ")</f>
        <v xml:space="preserve"> </v>
      </c>
      <c r="I8658" s="333" t="s">
        <v>348</v>
      </c>
      <c r="J8658" s="331" t="s">
        <v>152</v>
      </c>
      <c r="K8658" s="334"/>
      <c r="L8658" s="334">
        <v>3966.35</v>
      </c>
      <c r="M8658" s="160"/>
    </row>
    <row r="8659" spans="1:14" x14ac:dyDescent="0.2">
      <c r="A8659" s="324">
        <v>2023</v>
      </c>
      <c r="B8659" s="324">
        <v>5</v>
      </c>
      <c r="C8659" s="325">
        <v>3</v>
      </c>
      <c r="D8659" s="326">
        <f t="shared" ref="D8659:D8662" si="920">DATE(A8659,B8659,C8659)</f>
        <v>45049</v>
      </c>
      <c r="E8659" s="327">
        <f t="shared" ref="E8659:E8662" si="921">DATE(A8659,B8659,C8659)</f>
        <v>45049</v>
      </c>
      <c r="F8659" s="473" t="s">
        <v>1490</v>
      </c>
      <c r="G8659" s="328" t="s">
        <v>94</v>
      </c>
      <c r="H8659" s="329" t="str" cm="1">
        <f t="array" ref="H8659">IFERROR(INDEX(INVESTOR_LIST[INVESTOR NAME],MATCH(I8659,INVESTOR_LIST[INVESTOR CODE],0),)," ")</f>
        <v xml:space="preserve"> </v>
      </c>
      <c r="I8659" s="329" t="s">
        <v>348</v>
      </c>
      <c r="J8659" s="325" t="s">
        <v>133</v>
      </c>
      <c r="K8659" s="330">
        <v>23479.68</v>
      </c>
      <c r="L8659" s="330"/>
      <c r="M8659" s="160"/>
    </row>
    <row r="8660" spans="1:14" x14ac:dyDescent="0.2">
      <c r="A8660" s="331">
        <v>2023</v>
      </c>
      <c r="B8660" s="331">
        <v>5</v>
      </c>
      <c r="C8660" s="331">
        <v>3</v>
      </c>
      <c r="D8660" s="326">
        <f t="shared" si="920"/>
        <v>45049</v>
      </c>
      <c r="E8660" s="327">
        <f t="shared" si="921"/>
        <v>45049</v>
      </c>
      <c r="F8660" s="474"/>
      <c r="G8660" s="332" t="s">
        <v>94</v>
      </c>
      <c r="H8660" s="333" t="str" cm="1">
        <f t="array" ref="H8660">IFERROR(INDEX(INVESTOR_LIST[INVESTOR NAME],MATCH(I8660,INVESTOR_LIST[INVESTOR CODE],0),)," ")</f>
        <v xml:space="preserve"> </v>
      </c>
      <c r="I8660" s="333" t="s">
        <v>348</v>
      </c>
      <c r="J8660" s="331" t="s">
        <v>152</v>
      </c>
      <c r="K8660" s="334"/>
      <c r="L8660" s="334">
        <v>23479.68</v>
      </c>
      <c r="M8660" s="160"/>
      <c r="N8660" s="160"/>
    </row>
    <row r="8661" spans="1:14" x14ac:dyDescent="0.2">
      <c r="A8661" s="324">
        <v>2023</v>
      </c>
      <c r="B8661" s="324">
        <v>5</v>
      </c>
      <c r="C8661" s="325">
        <v>3</v>
      </c>
      <c r="D8661" s="326">
        <f t="shared" si="920"/>
        <v>45049</v>
      </c>
      <c r="E8661" s="327">
        <f t="shared" si="921"/>
        <v>45049</v>
      </c>
      <c r="F8661" s="473" t="s">
        <v>1491</v>
      </c>
      <c r="G8661" s="328" t="s">
        <v>94</v>
      </c>
      <c r="H8661" s="329" t="str" cm="1">
        <f t="array" ref="H8661">IFERROR(INDEX(INVESTOR_LIST[INVESTOR NAME],MATCH(I8661,INVESTOR_LIST[INVESTOR CODE],0),)," ")</f>
        <v xml:space="preserve"> </v>
      </c>
      <c r="I8661" s="329" t="s">
        <v>348</v>
      </c>
      <c r="J8661" s="324" t="s">
        <v>133</v>
      </c>
      <c r="K8661" s="330">
        <v>13125</v>
      </c>
      <c r="L8661" s="330"/>
      <c r="M8661" s="160"/>
      <c r="N8661" s="160"/>
    </row>
    <row r="8662" spans="1:14" x14ac:dyDescent="0.2">
      <c r="A8662" s="331">
        <v>2023</v>
      </c>
      <c r="B8662" s="331">
        <v>5</v>
      </c>
      <c r="C8662" s="331">
        <v>3</v>
      </c>
      <c r="D8662" s="326">
        <f t="shared" si="920"/>
        <v>45049</v>
      </c>
      <c r="E8662" s="327">
        <f t="shared" si="921"/>
        <v>45049</v>
      </c>
      <c r="F8662" s="474"/>
      <c r="G8662" s="332" t="s">
        <v>94</v>
      </c>
      <c r="H8662" s="333" t="str" cm="1">
        <f t="array" ref="H8662">IFERROR(INDEX(INVESTOR_LIST[INVESTOR NAME],MATCH(I8662,INVESTOR_LIST[INVESTOR CODE],0),)," ")</f>
        <v xml:space="preserve"> </v>
      </c>
      <c r="I8662" s="333" t="s">
        <v>348</v>
      </c>
      <c r="J8662" s="331" t="s">
        <v>152</v>
      </c>
      <c r="K8662" s="334"/>
      <c r="L8662" s="334">
        <v>13125</v>
      </c>
      <c r="M8662" s="160"/>
    </row>
    <row r="8663" spans="1:14" x14ac:dyDescent="0.2">
      <c r="A8663" s="324">
        <v>2023</v>
      </c>
      <c r="B8663" s="324">
        <v>5</v>
      </c>
      <c r="C8663" s="325">
        <v>3</v>
      </c>
      <c r="D8663" s="326">
        <f>DATE(A8663,B8663,C8663)</f>
        <v>45049</v>
      </c>
      <c r="E8663" s="327">
        <f>DATE(A8663,B8663,C8663)</f>
        <v>45049</v>
      </c>
      <c r="F8663" s="473" t="s">
        <v>1531</v>
      </c>
      <c r="G8663" s="328" t="s">
        <v>94</v>
      </c>
      <c r="H8663" s="329" t="str" cm="1">
        <f t="array" ref="H8663">IFERROR(INDEX(INVESTOR_LIST[INVESTOR NAME],MATCH(I8663,INVESTOR_LIST[INVESTOR CODE],0),)," ")</f>
        <v xml:space="preserve"> </v>
      </c>
      <c r="I8663" s="329" t="s">
        <v>348</v>
      </c>
      <c r="J8663" s="324" t="s">
        <v>133</v>
      </c>
      <c r="K8663" s="330">
        <v>22349.17</v>
      </c>
      <c r="L8663" s="330"/>
      <c r="M8663" s="160"/>
    </row>
    <row r="8664" spans="1:14" x14ac:dyDescent="0.2">
      <c r="A8664" s="331">
        <v>2023</v>
      </c>
      <c r="B8664" s="331">
        <v>5</v>
      </c>
      <c r="C8664" s="331">
        <v>3</v>
      </c>
      <c r="D8664" s="326">
        <f>DATE(A8664,B8664,C8664)</f>
        <v>45049</v>
      </c>
      <c r="E8664" s="327">
        <f>DATE(A8664,B8664,C8664)</f>
        <v>45049</v>
      </c>
      <c r="F8664" s="474"/>
      <c r="G8664" s="332" t="s">
        <v>94</v>
      </c>
      <c r="H8664" s="333" t="str" cm="1">
        <f t="array" ref="H8664">IFERROR(INDEX(INVESTOR_LIST[INVESTOR NAME],MATCH(I8664,INVESTOR_LIST[INVESTOR CODE],0),)," ")</f>
        <v xml:space="preserve"> </v>
      </c>
      <c r="I8664" s="333" t="s">
        <v>348</v>
      </c>
      <c r="J8664" s="331" t="s">
        <v>152</v>
      </c>
      <c r="K8664" s="334"/>
      <c r="L8664" s="334">
        <v>22349.17</v>
      </c>
      <c r="M8664" s="160"/>
    </row>
    <row r="8665" spans="1:14" x14ac:dyDescent="0.2">
      <c r="A8665" s="238">
        <v>2023</v>
      </c>
      <c r="B8665" s="238">
        <v>5</v>
      </c>
      <c r="C8665" s="238">
        <v>3</v>
      </c>
      <c r="D8665" s="270">
        <f t="shared" ref="D8665:D8675" si="922">DATE(A8665,B8665,C8665)</f>
        <v>45049</v>
      </c>
      <c r="E8665" s="279">
        <f t="shared" ref="E8665:E8675" si="923">DATE(A8665,B8665,C8665)</f>
        <v>45049</v>
      </c>
      <c r="F8665" s="477" t="s">
        <v>347</v>
      </c>
      <c r="G8665" s="239" t="s">
        <v>94</v>
      </c>
      <c r="H8665" s="239" t="str" cm="1">
        <f t="array" ref="H8665">IFERROR(INDEX(INVESTOR_LIST[INVESTOR NAME],MATCH(I8665,INVESTOR_LIST[INVESTOR CODE],0),)," ")</f>
        <v xml:space="preserve"> </v>
      </c>
      <c r="I8665" s="262" t="s">
        <v>348</v>
      </c>
      <c r="J8665" s="240" t="s">
        <v>108</v>
      </c>
      <c r="K8665" s="241">
        <v>698331.11999998987</v>
      </c>
      <c r="L8665" s="241"/>
    </row>
    <row r="8666" spans="1:14" x14ac:dyDescent="0.2">
      <c r="A8666" s="242">
        <v>2023</v>
      </c>
      <c r="B8666" s="242">
        <v>5</v>
      </c>
      <c r="C8666" s="242">
        <v>3</v>
      </c>
      <c r="D8666" s="270">
        <f t="shared" si="922"/>
        <v>45049</v>
      </c>
      <c r="E8666" s="279">
        <f t="shared" si="923"/>
        <v>45049</v>
      </c>
      <c r="F8666" s="478"/>
      <c r="G8666" s="243" t="s">
        <v>94</v>
      </c>
      <c r="H8666" s="243" t="str" cm="1">
        <f t="array" ref="H8666">IFERROR(INDEX(INVESTOR_LIST[INVESTOR NAME],MATCH(I8666,INVESTOR_LIST[INVESTOR CODE],0),)," ")</f>
        <v xml:space="preserve"> </v>
      </c>
      <c r="I8666" s="263" t="s">
        <v>348</v>
      </c>
      <c r="J8666" s="244" t="s">
        <v>82</v>
      </c>
      <c r="K8666" s="245"/>
      <c r="L8666" s="245">
        <v>698331.11999998987</v>
      </c>
    </row>
    <row r="8667" spans="1:14" ht="22.5" x14ac:dyDescent="0.2">
      <c r="A8667" s="246">
        <v>2023</v>
      </c>
      <c r="B8667" s="238">
        <v>5</v>
      </c>
      <c r="C8667" s="238">
        <v>3</v>
      </c>
      <c r="D8667" s="270">
        <f t="shared" si="922"/>
        <v>45049</v>
      </c>
      <c r="E8667" s="279">
        <f t="shared" si="923"/>
        <v>45049</v>
      </c>
      <c r="F8667" s="482" t="s">
        <v>148</v>
      </c>
      <c r="G8667" s="247" t="s">
        <v>94</v>
      </c>
      <c r="H8667" s="247" t="str" cm="1">
        <f t="array" ref="H8667">IFERROR(INDEX(INVESTOR_LIST[INVESTOR NAME],MATCH(I8667,INVESTOR_LIST[INVESTOR CODE],0),)," ")</f>
        <v xml:space="preserve"> </v>
      </c>
      <c r="I8667" s="248" t="s">
        <v>348</v>
      </c>
      <c r="J8667" s="249" t="s">
        <v>95</v>
      </c>
      <c r="K8667" s="250">
        <v>2747.2527472527472</v>
      </c>
      <c r="L8667" s="241"/>
    </row>
    <row r="8668" spans="1:14" x14ac:dyDescent="0.2">
      <c r="A8668" s="242">
        <v>2023</v>
      </c>
      <c r="B8668" s="242">
        <v>5</v>
      </c>
      <c r="C8668" s="242">
        <v>3</v>
      </c>
      <c r="D8668" s="270">
        <f t="shared" si="922"/>
        <v>45049</v>
      </c>
      <c r="E8668" s="279">
        <f t="shared" si="923"/>
        <v>45049</v>
      </c>
      <c r="F8668" s="478"/>
      <c r="G8668" s="243" t="s">
        <v>94</v>
      </c>
      <c r="H8668" s="243" t="str" cm="1">
        <f t="array" ref="H8668">IFERROR(INDEX(INVESTOR_LIST[INVESTOR NAME],MATCH(I8668,INVESTOR_LIST[INVESTOR CODE],0),)," ")</f>
        <v xml:space="preserve"> </v>
      </c>
      <c r="I8668" s="263" t="s">
        <v>348</v>
      </c>
      <c r="J8668" s="244" t="s">
        <v>63</v>
      </c>
      <c r="K8668" s="245"/>
      <c r="L8668" s="245">
        <v>2747.2527472527472</v>
      </c>
    </row>
    <row r="8669" spans="1:14" x14ac:dyDescent="0.2">
      <c r="A8669" s="246">
        <v>2023</v>
      </c>
      <c r="B8669" s="238">
        <v>5</v>
      </c>
      <c r="C8669" s="238">
        <v>3</v>
      </c>
      <c r="D8669" s="270">
        <f t="shared" si="922"/>
        <v>45049</v>
      </c>
      <c r="E8669" s="279">
        <f t="shared" si="923"/>
        <v>45049</v>
      </c>
      <c r="F8669" s="482" t="s">
        <v>137</v>
      </c>
      <c r="G8669" s="247" t="s">
        <v>94</v>
      </c>
      <c r="H8669" s="247" t="str" cm="1">
        <f t="array" ref="H8669">IFERROR(INDEX(INVESTOR_LIST[INVESTOR NAME],MATCH(I8669,INVESTOR_LIST[INVESTOR CODE],0),)," ")</f>
        <v xml:space="preserve"> </v>
      </c>
      <c r="I8669" s="248" t="s">
        <v>348</v>
      </c>
      <c r="J8669" s="249" t="s">
        <v>97</v>
      </c>
      <c r="K8669" s="250">
        <v>33609.551468106169</v>
      </c>
      <c r="L8669" s="252"/>
    </row>
    <row r="8670" spans="1:14" x14ac:dyDescent="0.2">
      <c r="A8670" s="242">
        <v>2023</v>
      </c>
      <c r="B8670" s="242">
        <v>5</v>
      </c>
      <c r="C8670" s="242">
        <v>3</v>
      </c>
      <c r="D8670" s="270">
        <f t="shared" si="922"/>
        <v>45049</v>
      </c>
      <c r="E8670" s="279">
        <f t="shared" si="923"/>
        <v>45049</v>
      </c>
      <c r="F8670" s="478"/>
      <c r="G8670" s="243" t="s">
        <v>94</v>
      </c>
      <c r="H8670" s="243" t="str" cm="1">
        <f t="array" ref="H8670">IFERROR(INDEX(INVESTOR_LIST[INVESTOR NAME],MATCH(I8670,INVESTOR_LIST[INVESTOR CODE],0),)," ")</f>
        <v xml:space="preserve"> </v>
      </c>
      <c r="I8670" s="263" t="s">
        <v>348</v>
      </c>
      <c r="J8670" s="244" t="s">
        <v>47</v>
      </c>
      <c r="K8670" s="245"/>
      <c r="L8670" s="245">
        <v>33609.551468106169</v>
      </c>
    </row>
    <row r="8671" spans="1:14" x14ac:dyDescent="0.2">
      <c r="A8671" s="246">
        <v>2023</v>
      </c>
      <c r="B8671" s="238">
        <v>5</v>
      </c>
      <c r="C8671" s="238">
        <v>3</v>
      </c>
      <c r="D8671" s="270">
        <f t="shared" si="922"/>
        <v>45049</v>
      </c>
      <c r="E8671" s="279">
        <f t="shared" si="923"/>
        <v>45049</v>
      </c>
      <c r="F8671" s="482" t="s">
        <v>138</v>
      </c>
      <c r="G8671" s="247" t="s">
        <v>94</v>
      </c>
      <c r="H8671" s="247" t="str" cm="1">
        <f t="array" ref="H8671">IFERROR(INDEX(INVESTOR_LIST[INVESTOR NAME],MATCH(I8671,INVESTOR_LIST[INVESTOR CODE],0),)," ")</f>
        <v xml:space="preserve"> </v>
      </c>
      <c r="I8671" s="248" t="s">
        <v>348</v>
      </c>
      <c r="J8671" s="249" t="s">
        <v>100</v>
      </c>
      <c r="K8671" s="250">
        <v>3360.955146810617</v>
      </c>
      <c r="L8671" s="252"/>
    </row>
    <row r="8672" spans="1:14" ht="10.9" customHeight="1" x14ac:dyDescent="0.2">
      <c r="A8672" s="242">
        <v>2023</v>
      </c>
      <c r="B8672" s="242">
        <v>5</v>
      </c>
      <c r="C8672" s="242">
        <v>3</v>
      </c>
      <c r="D8672" s="321">
        <f t="shared" si="922"/>
        <v>45049</v>
      </c>
      <c r="E8672" s="322">
        <f t="shared" si="923"/>
        <v>45049</v>
      </c>
      <c r="F8672" s="478"/>
      <c r="G8672" s="243" t="s">
        <v>94</v>
      </c>
      <c r="H8672" s="243" t="str" cm="1">
        <f t="array" ref="H8672">IFERROR(INDEX(INVESTOR_LIST[INVESTOR NAME],MATCH(I8672,INVESTOR_LIST[INVESTOR CODE],0),)," ")</f>
        <v xml:space="preserve"> </v>
      </c>
      <c r="I8672" s="263" t="s">
        <v>348</v>
      </c>
      <c r="J8672" s="244" t="s">
        <v>48</v>
      </c>
      <c r="K8672" s="245"/>
      <c r="L8672" s="245">
        <v>3360.955146810617</v>
      </c>
    </row>
    <row r="8673" spans="1:12" ht="10.15" customHeight="1" x14ac:dyDescent="0.2">
      <c r="A8673" s="168">
        <v>2023</v>
      </c>
      <c r="B8673" s="168">
        <v>5</v>
      </c>
      <c r="C8673" s="168">
        <v>7</v>
      </c>
      <c r="D8673" s="141">
        <f t="shared" si="922"/>
        <v>45053</v>
      </c>
      <c r="E8673" s="275">
        <f t="shared" si="923"/>
        <v>45053</v>
      </c>
      <c r="F8673" s="479" t="s">
        <v>1370</v>
      </c>
      <c r="G8673" s="220" t="s">
        <v>74</v>
      </c>
      <c r="H8673" s="142" t="str" cm="1">
        <f t="array" ref="H8673">IFERROR(INDEX(INVESTOR_LIST[INVESTOR NAME],MATCH(I8673,INVESTOR_LIST[INVESTOR CODE],0),)," ")</f>
        <v>MD. GIAS UDDIN</v>
      </c>
      <c r="I8673" s="142" t="s">
        <v>439</v>
      </c>
      <c r="J8673" s="168" t="s">
        <v>13</v>
      </c>
      <c r="K8673" s="218">
        <v>386170</v>
      </c>
      <c r="L8673" s="226"/>
    </row>
    <row r="8674" spans="1:12" ht="10.15" customHeight="1" x14ac:dyDescent="0.2">
      <c r="A8674" s="133">
        <v>2023</v>
      </c>
      <c r="B8674" s="133">
        <v>5</v>
      </c>
      <c r="C8674" s="133">
        <v>7</v>
      </c>
      <c r="D8674" s="141">
        <f t="shared" si="922"/>
        <v>45053</v>
      </c>
      <c r="E8674" s="275">
        <f t="shared" si="923"/>
        <v>45053</v>
      </c>
      <c r="F8674" s="481"/>
      <c r="G8674" s="174" t="s">
        <v>74</v>
      </c>
      <c r="H8674" s="148" t="str" cm="1">
        <f t="array" ref="H8674">IFERROR(INDEX(INVESTOR_LIST[INVESTOR NAME],MATCH(I8674,INVESTOR_LIST[INVESTOR CODE],0),)," ")</f>
        <v>MD. GIAS UDDIN</v>
      </c>
      <c r="I8674" s="148" t="s">
        <v>439</v>
      </c>
      <c r="J8674" s="133" t="s">
        <v>53</v>
      </c>
      <c r="K8674" s="218">
        <v>92294.63</v>
      </c>
      <c r="L8674" s="133"/>
    </row>
    <row r="8675" spans="1:12" ht="10.15" customHeight="1" x14ac:dyDescent="0.2">
      <c r="A8675" s="163">
        <v>2023</v>
      </c>
      <c r="B8675" s="163">
        <v>5</v>
      </c>
      <c r="C8675" s="163">
        <v>7</v>
      </c>
      <c r="D8675" s="280">
        <f t="shared" si="922"/>
        <v>45053</v>
      </c>
      <c r="E8675" s="281">
        <f t="shared" si="923"/>
        <v>45053</v>
      </c>
      <c r="F8675" s="480"/>
      <c r="G8675" s="221" t="s">
        <v>74</v>
      </c>
      <c r="H8675" s="145" t="str" cm="1">
        <f t="array" ref="H8675">IFERROR(INDEX(INVESTOR_LIST[INVESTOR NAME],MATCH(I8675,INVESTOR_LIST[INVESTOR CODE],0),)," ")</f>
        <v>MD. GIAS UDDIN</v>
      </c>
      <c r="I8675" s="145" t="s">
        <v>439</v>
      </c>
      <c r="J8675" s="163" t="s">
        <v>52</v>
      </c>
      <c r="K8675" s="219"/>
      <c r="L8675" s="219">
        <v>478464.63</v>
      </c>
    </row>
    <row r="8676" spans="1:12" ht="10.15" customHeight="1" x14ac:dyDescent="0.2">
      <c r="A8676" s="168">
        <v>2023</v>
      </c>
      <c r="B8676" s="168">
        <v>5</v>
      </c>
      <c r="C8676" s="168">
        <v>7</v>
      </c>
      <c r="D8676" s="141">
        <f t="shared" ref="D8676:D8685" si="924">DATE(A8676,B8676,C8676)</f>
        <v>45053</v>
      </c>
      <c r="E8676" s="275">
        <f t="shared" ref="E8676:E8685" si="925">DATE(A8676,B8676,C8676)</f>
        <v>45053</v>
      </c>
      <c r="F8676" s="479" t="s">
        <v>1319</v>
      </c>
      <c r="G8676" s="220" t="s">
        <v>74</v>
      </c>
      <c r="H8676" s="142" t="str" cm="1">
        <f t="array" ref="H8676">IFERROR(INDEX(INVESTOR_LIST[INVESTOR NAME],MATCH(I8676,INVESTOR_LIST[INVESTOR CODE],0),)," ")</f>
        <v xml:space="preserve"> </v>
      </c>
      <c r="I8676" s="142"/>
      <c r="J8676" s="168" t="s">
        <v>52</v>
      </c>
      <c r="K8676" s="226">
        <v>14500</v>
      </c>
      <c r="L8676" s="226"/>
    </row>
    <row r="8677" spans="1:12" ht="10.15" customHeight="1" x14ac:dyDescent="0.2">
      <c r="A8677" s="133">
        <v>2023</v>
      </c>
      <c r="B8677" s="133">
        <v>5</v>
      </c>
      <c r="C8677" s="133">
        <v>7</v>
      </c>
      <c r="D8677" s="141">
        <f t="shared" si="924"/>
        <v>45053</v>
      </c>
      <c r="E8677" s="275">
        <f t="shared" si="925"/>
        <v>45053</v>
      </c>
      <c r="F8677" s="481"/>
      <c r="G8677" s="174" t="s">
        <v>74</v>
      </c>
      <c r="H8677" s="148" t="str" cm="1">
        <f t="array" ref="H8677">IFERROR(INDEX(INVESTOR_LIST[INVESTOR NAME],MATCH(I8677,INVESTOR_LIST[INVESTOR CODE],0),)," ")</f>
        <v xml:space="preserve"> </v>
      </c>
      <c r="J8677" s="133" t="s">
        <v>13</v>
      </c>
      <c r="K8677" s="218"/>
      <c r="L8677" s="218">
        <v>11720</v>
      </c>
    </row>
    <row r="8678" spans="1:12" ht="10.15" customHeight="1" x14ac:dyDescent="0.2">
      <c r="A8678" s="163">
        <v>2023</v>
      </c>
      <c r="B8678" s="163">
        <v>5</v>
      </c>
      <c r="C8678" s="163">
        <v>7</v>
      </c>
      <c r="D8678" s="280">
        <f t="shared" si="924"/>
        <v>45053</v>
      </c>
      <c r="E8678" s="281">
        <f t="shared" si="925"/>
        <v>45053</v>
      </c>
      <c r="F8678" s="480"/>
      <c r="G8678" s="221" t="s">
        <v>74</v>
      </c>
      <c r="H8678" s="145" t="str" cm="1">
        <f t="array" ref="H8678">IFERROR(INDEX(INVESTOR_LIST[INVESTOR NAME],MATCH(I8678,INVESTOR_LIST[INVESTOR CODE],0),)," ")</f>
        <v xml:space="preserve"> </v>
      </c>
      <c r="I8678" s="145"/>
      <c r="J8678" s="163" t="s">
        <v>53</v>
      </c>
      <c r="K8678" s="219"/>
      <c r="L8678" s="219">
        <v>2780</v>
      </c>
    </row>
    <row r="8679" spans="1:12" x14ac:dyDescent="0.2">
      <c r="A8679" s="168">
        <v>2023</v>
      </c>
      <c r="B8679" s="168">
        <v>5</v>
      </c>
      <c r="C8679" s="168">
        <v>7</v>
      </c>
      <c r="D8679" s="141">
        <f t="shared" si="924"/>
        <v>45053</v>
      </c>
      <c r="E8679" s="275">
        <f t="shared" si="925"/>
        <v>45053</v>
      </c>
      <c r="F8679" s="479" t="s">
        <v>1647</v>
      </c>
      <c r="G8679" s="220" t="s">
        <v>74</v>
      </c>
      <c r="H8679" s="220" t="str" cm="1">
        <f t="array" ref="H8679">IFERROR(INDEX(INVESTOR_LIST[INVESTOR NAME],MATCH(I8679,INVESTOR_LIST[INVESTOR CODE],0),)," ")</f>
        <v xml:space="preserve"> </v>
      </c>
      <c r="I8679" s="142"/>
      <c r="J8679" s="143" t="s">
        <v>52</v>
      </c>
      <c r="K8679" s="226">
        <v>188659.8</v>
      </c>
      <c r="L8679" s="226"/>
    </row>
    <row r="8680" spans="1:12" x14ac:dyDescent="0.2">
      <c r="A8680" s="163">
        <v>2023</v>
      </c>
      <c r="B8680" s="163">
        <v>5</v>
      </c>
      <c r="C8680" s="163">
        <v>7</v>
      </c>
      <c r="D8680" s="280">
        <f t="shared" si="924"/>
        <v>45053</v>
      </c>
      <c r="E8680" s="281">
        <f t="shared" si="925"/>
        <v>45053</v>
      </c>
      <c r="F8680" s="480"/>
      <c r="G8680" s="221" t="s">
        <v>74</v>
      </c>
      <c r="H8680" s="221" t="str" cm="1">
        <f t="array" ref="H8680">IFERROR(INDEX(INVESTOR_LIST[INVESTOR NAME],MATCH(I8680,INVESTOR_LIST[INVESTOR CODE],0),)," ")</f>
        <v xml:space="preserve"> </v>
      </c>
      <c r="I8680" s="145"/>
      <c r="J8680" s="146" t="s">
        <v>190</v>
      </c>
      <c r="K8680" s="219"/>
      <c r="L8680" s="219">
        <v>188659.8</v>
      </c>
    </row>
    <row r="8681" spans="1:12" ht="10.15" customHeight="1" x14ac:dyDescent="0.2">
      <c r="A8681" s="168">
        <v>2023</v>
      </c>
      <c r="B8681" s="168">
        <v>5</v>
      </c>
      <c r="C8681" s="168">
        <v>8</v>
      </c>
      <c r="D8681" s="141">
        <f t="shared" si="924"/>
        <v>45054</v>
      </c>
      <c r="E8681" s="275">
        <f t="shared" si="925"/>
        <v>45054</v>
      </c>
      <c r="F8681" s="479" t="s">
        <v>1319</v>
      </c>
      <c r="G8681" s="220" t="s">
        <v>74</v>
      </c>
      <c r="H8681" s="142" t="str" cm="1">
        <f t="array" ref="H8681">IFERROR(INDEX(INVESTOR_LIST[INVESTOR NAME],MATCH(I8681,INVESTOR_LIST[INVESTOR CODE],0),)," ")</f>
        <v xml:space="preserve"> </v>
      </c>
      <c r="I8681" s="142"/>
      <c r="J8681" s="168" t="s">
        <v>52</v>
      </c>
      <c r="K8681" s="226">
        <v>245000</v>
      </c>
      <c r="L8681" s="226"/>
    </row>
    <row r="8682" spans="1:12" ht="10.15" customHeight="1" x14ac:dyDescent="0.2">
      <c r="A8682" s="133">
        <v>2023</v>
      </c>
      <c r="B8682" s="133">
        <v>5</v>
      </c>
      <c r="C8682" s="133">
        <v>8</v>
      </c>
      <c r="D8682" s="141">
        <f t="shared" si="924"/>
        <v>45054</v>
      </c>
      <c r="E8682" s="275">
        <f t="shared" si="925"/>
        <v>45054</v>
      </c>
      <c r="F8682" s="481"/>
      <c r="G8682" s="174" t="s">
        <v>74</v>
      </c>
      <c r="H8682" s="148" t="str" cm="1">
        <f t="array" ref="H8682">IFERROR(INDEX(INVESTOR_LIST[INVESTOR NAME],MATCH(I8682,INVESTOR_LIST[INVESTOR CODE],0),)," ")</f>
        <v xml:space="preserve"> </v>
      </c>
      <c r="J8682" s="133" t="s">
        <v>13</v>
      </c>
      <c r="K8682" s="218"/>
      <c r="L8682" s="218">
        <v>197780</v>
      </c>
    </row>
    <row r="8683" spans="1:12" ht="10.15" customHeight="1" x14ac:dyDescent="0.2">
      <c r="A8683" s="163">
        <v>2023</v>
      </c>
      <c r="B8683" s="163">
        <v>5</v>
      </c>
      <c r="C8683" s="163">
        <v>8</v>
      </c>
      <c r="D8683" s="280">
        <f t="shared" si="924"/>
        <v>45054</v>
      </c>
      <c r="E8683" s="281">
        <f t="shared" si="925"/>
        <v>45054</v>
      </c>
      <c r="F8683" s="480"/>
      <c r="G8683" s="221" t="s">
        <v>74</v>
      </c>
      <c r="H8683" s="145" t="str" cm="1">
        <f t="array" ref="H8683">IFERROR(INDEX(INVESTOR_LIST[INVESTOR NAME],MATCH(I8683,INVESTOR_LIST[INVESTOR CODE],0),)," ")</f>
        <v xml:space="preserve"> </v>
      </c>
      <c r="I8683" s="145"/>
      <c r="J8683" s="163" t="s">
        <v>53</v>
      </c>
      <c r="K8683" s="219"/>
      <c r="L8683" s="219">
        <v>47220</v>
      </c>
    </row>
    <row r="8684" spans="1:12" x14ac:dyDescent="0.2">
      <c r="A8684" s="133">
        <v>2023</v>
      </c>
      <c r="B8684" s="168">
        <v>5</v>
      </c>
      <c r="C8684" s="168">
        <v>8</v>
      </c>
      <c r="D8684" s="141">
        <f t="shared" si="924"/>
        <v>45054</v>
      </c>
      <c r="E8684" s="275">
        <f t="shared" si="925"/>
        <v>45054</v>
      </c>
      <c r="F8684" s="481" t="s">
        <v>1675</v>
      </c>
      <c r="G8684" s="174" t="s">
        <v>74</v>
      </c>
      <c r="H8684" s="174" t="str" cm="1">
        <f t="array" ref="H8684">IFERROR(INDEX(INVESTOR_LIST[INVESTOR NAME],MATCH(I8684,INVESTOR_LIST[INVESTOR CODE],0),)," ")</f>
        <v xml:space="preserve"> </v>
      </c>
      <c r="I8684" s="148" t="s">
        <v>348</v>
      </c>
      <c r="J8684" s="149" t="s">
        <v>52</v>
      </c>
      <c r="K8684" s="218">
        <v>177650</v>
      </c>
      <c r="L8684" s="218"/>
    </row>
    <row r="8685" spans="1:12" x14ac:dyDescent="0.2">
      <c r="A8685" s="163">
        <v>2023</v>
      </c>
      <c r="B8685" s="163">
        <v>5</v>
      </c>
      <c r="C8685" s="163">
        <v>8</v>
      </c>
      <c r="D8685" s="141">
        <f t="shared" si="924"/>
        <v>45054</v>
      </c>
      <c r="E8685" s="275">
        <f t="shared" si="925"/>
        <v>45054</v>
      </c>
      <c r="F8685" s="480"/>
      <c r="G8685" s="221" t="s">
        <v>74</v>
      </c>
      <c r="H8685" s="221" t="str" cm="1">
        <f t="array" ref="H8685">IFERROR(INDEX(INVESTOR_LIST[INVESTOR NAME],MATCH(I8685,INVESTOR_LIST[INVESTOR CODE],0),)," ")</f>
        <v xml:space="preserve"> </v>
      </c>
      <c r="I8685" s="145" t="s">
        <v>348</v>
      </c>
      <c r="J8685" s="146" t="s">
        <v>168</v>
      </c>
      <c r="K8685" s="219"/>
      <c r="L8685" s="219">
        <v>177650</v>
      </c>
    </row>
    <row r="8686" spans="1:12" x14ac:dyDescent="0.2">
      <c r="A8686" s="168">
        <v>2023</v>
      </c>
      <c r="B8686" s="168">
        <v>5</v>
      </c>
      <c r="C8686" s="168">
        <v>8</v>
      </c>
      <c r="D8686" s="141">
        <f t="shared" ref="D8686:D8701" si="926">DATE(A8686,B8686,C8686)</f>
        <v>45054</v>
      </c>
      <c r="E8686" s="275">
        <f t="shared" ref="E8686:E8701" si="927">DATE(A8686,B8686,C8686)</f>
        <v>45054</v>
      </c>
      <c r="F8686" s="479" t="s">
        <v>1567</v>
      </c>
      <c r="G8686" s="220" t="s">
        <v>74</v>
      </c>
      <c r="H8686" s="142" t="str" cm="1">
        <f t="array" ref="H8686">IFERROR(INDEX(INVESTOR_LIST[INVESTOR NAME],MATCH(I8686,INVESTOR_LIST[INVESTOR CODE],0),)," ")</f>
        <v xml:space="preserve"> </v>
      </c>
      <c r="I8686" s="142"/>
      <c r="J8686" s="168" t="s">
        <v>61</v>
      </c>
      <c r="K8686" s="226">
        <v>10</v>
      </c>
      <c r="L8686" s="226"/>
    </row>
    <row r="8687" spans="1:12" x14ac:dyDescent="0.2">
      <c r="A8687" s="163">
        <v>2023</v>
      </c>
      <c r="B8687" s="163">
        <v>5</v>
      </c>
      <c r="C8687" s="163">
        <v>8</v>
      </c>
      <c r="D8687" s="144">
        <f t="shared" si="926"/>
        <v>45054</v>
      </c>
      <c r="E8687" s="313">
        <f t="shared" si="927"/>
        <v>45054</v>
      </c>
      <c r="F8687" s="480"/>
      <c r="G8687" s="221" t="s">
        <v>74</v>
      </c>
      <c r="H8687" s="145" t="str" cm="1">
        <f t="array" ref="H8687">IFERROR(INDEX(INVESTOR_LIST[INVESTOR NAME],MATCH(I8687,INVESTOR_LIST[INVESTOR CODE],0),)," ")</f>
        <v xml:space="preserve"> </v>
      </c>
      <c r="I8687" s="145"/>
      <c r="J8687" s="163" t="s">
        <v>52</v>
      </c>
      <c r="K8687" s="219"/>
      <c r="L8687" s="219">
        <v>10</v>
      </c>
    </row>
    <row r="8688" spans="1:12" x14ac:dyDescent="0.2">
      <c r="A8688" s="133">
        <v>2023</v>
      </c>
      <c r="B8688" s="168">
        <v>5</v>
      </c>
      <c r="C8688" s="168">
        <v>10</v>
      </c>
      <c r="D8688" s="141">
        <f t="shared" ref="D8688:D8694" si="928">DATE(A8688,B8688,C8688)</f>
        <v>45056</v>
      </c>
      <c r="E8688" s="275">
        <f t="shared" ref="E8688:E8694" si="929">DATE(A8688,B8688,C8688)</f>
        <v>45056</v>
      </c>
      <c r="F8688" s="481" t="s">
        <v>1692</v>
      </c>
      <c r="G8688" s="174" t="s">
        <v>94</v>
      </c>
      <c r="H8688" s="174" t="str" cm="1">
        <f t="array" ref="H8688">IFERROR(INDEX(INVESTOR_LIST[INVESTOR NAME],MATCH(I8688,INVESTOR_LIST[INVESTOR CODE],0),)," ")</f>
        <v xml:space="preserve"> </v>
      </c>
      <c r="I8688" s="148" t="s">
        <v>348</v>
      </c>
      <c r="J8688" s="149" t="s">
        <v>168</v>
      </c>
      <c r="K8688" s="218">
        <v>354131.25</v>
      </c>
      <c r="L8688" s="218"/>
    </row>
    <row r="8689" spans="1:13" x14ac:dyDescent="0.2">
      <c r="A8689" s="163">
        <v>2023</v>
      </c>
      <c r="B8689" s="163">
        <v>5</v>
      </c>
      <c r="C8689" s="163">
        <v>10</v>
      </c>
      <c r="D8689" s="141">
        <f t="shared" si="928"/>
        <v>45056</v>
      </c>
      <c r="E8689" s="275">
        <f t="shared" si="929"/>
        <v>45056</v>
      </c>
      <c r="F8689" s="480"/>
      <c r="G8689" s="221" t="s">
        <v>94</v>
      </c>
      <c r="H8689" s="221" t="str" cm="1">
        <f t="array" ref="H8689">IFERROR(INDEX(INVESTOR_LIST[INVESTOR NAME],MATCH(I8689,INVESTOR_LIST[INVESTOR CODE],0),)," ")</f>
        <v xml:space="preserve"> </v>
      </c>
      <c r="I8689" s="145" t="s">
        <v>348</v>
      </c>
      <c r="J8689" s="146" t="s">
        <v>166</v>
      </c>
      <c r="K8689" s="219"/>
      <c r="L8689" s="219">
        <v>354131.25</v>
      </c>
    </row>
    <row r="8690" spans="1:13" x14ac:dyDescent="0.2">
      <c r="A8690" s="168">
        <v>2023</v>
      </c>
      <c r="B8690" s="133">
        <v>5</v>
      </c>
      <c r="C8690" s="133">
        <v>10</v>
      </c>
      <c r="D8690" s="141">
        <f t="shared" si="928"/>
        <v>45056</v>
      </c>
      <c r="E8690" s="275">
        <f t="shared" si="929"/>
        <v>45056</v>
      </c>
      <c r="F8690" s="479" t="s">
        <v>1687</v>
      </c>
      <c r="G8690" s="220" t="s">
        <v>74</v>
      </c>
      <c r="H8690" s="220" t="str" cm="1">
        <f t="array" ref="H8690">IFERROR(INDEX(INVESTOR_LIST[INVESTOR NAME],MATCH(I8690,INVESTOR_LIST[INVESTOR CODE],0),)," ")</f>
        <v xml:space="preserve"> </v>
      </c>
      <c r="I8690" s="142" t="s">
        <v>348</v>
      </c>
      <c r="J8690" s="143" t="s">
        <v>184</v>
      </c>
      <c r="K8690" s="226">
        <v>2400000</v>
      </c>
      <c r="L8690" s="226"/>
    </row>
    <row r="8691" spans="1:13" x14ac:dyDescent="0.2">
      <c r="A8691" s="133">
        <v>2023</v>
      </c>
      <c r="B8691" s="133">
        <v>5</v>
      </c>
      <c r="C8691" s="133">
        <v>10</v>
      </c>
      <c r="D8691" s="141">
        <f t="shared" si="928"/>
        <v>45056</v>
      </c>
      <c r="E8691" s="275">
        <f t="shared" si="929"/>
        <v>45056</v>
      </c>
      <c r="F8691" s="481"/>
      <c r="G8691" s="174" t="s">
        <v>74</v>
      </c>
      <c r="H8691" s="174"/>
      <c r="J8691" s="149" t="s">
        <v>61</v>
      </c>
      <c r="K8691" s="218">
        <v>115</v>
      </c>
      <c r="L8691" s="218"/>
    </row>
    <row r="8692" spans="1:13" x14ac:dyDescent="0.2">
      <c r="A8692" s="163">
        <v>2023</v>
      </c>
      <c r="B8692" s="163">
        <v>5</v>
      </c>
      <c r="C8692" s="163">
        <v>10</v>
      </c>
      <c r="D8692" s="280">
        <f t="shared" si="928"/>
        <v>45056</v>
      </c>
      <c r="E8692" s="281">
        <f t="shared" si="929"/>
        <v>45056</v>
      </c>
      <c r="F8692" s="480"/>
      <c r="G8692" s="221" t="s">
        <v>74</v>
      </c>
      <c r="H8692" s="221" t="str" cm="1">
        <f t="array" ref="H8692">IFERROR(INDEX(INVESTOR_LIST[INVESTOR NAME],MATCH(I8692,INVESTOR_LIST[INVESTOR CODE],0),)," ")</f>
        <v xml:space="preserve"> </v>
      </c>
      <c r="I8692" s="145" t="s">
        <v>348</v>
      </c>
      <c r="J8692" s="146" t="s">
        <v>52</v>
      </c>
      <c r="K8692" s="219"/>
      <c r="L8692" s="219">
        <v>2400115</v>
      </c>
    </row>
    <row r="8693" spans="1:13" ht="10.15" customHeight="1" x14ac:dyDescent="0.2">
      <c r="A8693" s="168">
        <v>2023</v>
      </c>
      <c r="B8693" s="168">
        <v>5</v>
      </c>
      <c r="C8693" s="168">
        <v>10</v>
      </c>
      <c r="D8693" s="141">
        <f t="shared" si="928"/>
        <v>45056</v>
      </c>
      <c r="E8693" s="275">
        <f t="shared" si="929"/>
        <v>45056</v>
      </c>
      <c r="F8693" s="479" t="s">
        <v>1637</v>
      </c>
      <c r="G8693" s="174" t="s">
        <v>74</v>
      </c>
      <c r="H8693" s="148" t="str" cm="1">
        <f t="array" ref="H8693">IFERROR(INDEX(INVESTOR_LIST[INVESTOR NAME],MATCH(I8693,INVESTOR_LIST[INVESTOR CODE],0),)," ")</f>
        <v xml:space="preserve"> </v>
      </c>
      <c r="I8693" s="148" t="s">
        <v>348</v>
      </c>
      <c r="J8693" s="133" t="s">
        <v>47</v>
      </c>
      <c r="K8693" s="172">
        <v>50000</v>
      </c>
    </row>
    <row r="8694" spans="1:13" x14ac:dyDescent="0.2">
      <c r="A8694" s="163">
        <v>2023</v>
      </c>
      <c r="B8694" s="163">
        <v>5</v>
      </c>
      <c r="C8694" s="163">
        <v>10</v>
      </c>
      <c r="D8694" s="280">
        <f t="shared" si="928"/>
        <v>45056</v>
      </c>
      <c r="E8694" s="281">
        <f t="shared" si="929"/>
        <v>45056</v>
      </c>
      <c r="F8694" s="480"/>
      <c r="G8694" s="221" t="s">
        <v>74</v>
      </c>
      <c r="H8694" s="145" t="str" cm="1">
        <f t="array" ref="H8694">IFERROR(INDEX(INVESTOR_LIST[INVESTOR NAME],MATCH(I8694,INVESTOR_LIST[INVESTOR CODE],0),)," ")</f>
        <v xml:space="preserve"> </v>
      </c>
      <c r="I8694" s="145" t="s">
        <v>348</v>
      </c>
      <c r="J8694" s="163" t="s">
        <v>52</v>
      </c>
      <c r="K8694" s="219"/>
      <c r="L8694" s="219">
        <v>50000</v>
      </c>
    </row>
    <row r="8695" spans="1:13" x14ac:dyDescent="0.2">
      <c r="A8695" s="133">
        <v>2023</v>
      </c>
      <c r="B8695" s="133">
        <v>5</v>
      </c>
      <c r="C8695" s="133">
        <v>10</v>
      </c>
      <c r="D8695" s="141">
        <f t="shared" ref="D8695:D8698" si="930">DATE(A8695,B8695,C8695)</f>
        <v>45056</v>
      </c>
      <c r="E8695" s="275">
        <f t="shared" ref="E8695:E8698" si="931">DATE(A8695,B8695,C8695)</f>
        <v>45056</v>
      </c>
      <c r="F8695" s="481" t="s">
        <v>1646</v>
      </c>
      <c r="G8695" s="174" t="s">
        <v>94</v>
      </c>
      <c r="H8695" s="174" t="str" cm="1">
        <f t="array" ref="H8695">IFERROR(INDEX(INVESTOR_LIST[INVESTOR NAME],MATCH(I8695,INVESTOR_LIST[INVESTOR CODE],0),)," ")</f>
        <v xml:space="preserve"> </v>
      </c>
      <c r="J8695" s="149" t="s">
        <v>190</v>
      </c>
      <c r="K8695" s="218">
        <v>496105.4</v>
      </c>
      <c r="L8695" s="218"/>
      <c r="M8695" s="160"/>
    </row>
    <row r="8696" spans="1:13" x14ac:dyDescent="0.2">
      <c r="A8696" s="133">
        <v>2023</v>
      </c>
      <c r="B8696" s="133">
        <v>5</v>
      </c>
      <c r="C8696" s="133">
        <v>10</v>
      </c>
      <c r="D8696" s="141">
        <f t="shared" si="930"/>
        <v>45056</v>
      </c>
      <c r="E8696" s="275">
        <f t="shared" si="931"/>
        <v>45056</v>
      </c>
      <c r="F8696" s="481"/>
      <c r="G8696" s="174" t="s">
        <v>94</v>
      </c>
      <c r="H8696" s="174"/>
      <c r="J8696" s="149" t="s">
        <v>80</v>
      </c>
      <c r="K8696" s="218">
        <v>894.6</v>
      </c>
      <c r="L8696" s="218"/>
    </row>
    <row r="8697" spans="1:13" x14ac:dyDescent="0.2">
      <c r="A8697" s="133">
        <v>2023</v>
      </c>
      <c r="B8697" s="133">
        <v>5</v>
      </c>
      <c r="C8697" s="133">
        <v>10</v>
      </c>
      <c r="D8697" s="141">
        <f t="shared" si="930"/>
        <v>45056</v>
      </c>
      <c r="E8697" s="275">
        <f t="shared" si="931"/>
        <v>45056</v>
      </c>
      <c r="F8697" s="481"/>
      <c r="G8697" s="174" t="s">
        <v>94</v>
      </c>
      <c r="H8697" s="174" t="str" cm="1">
        <f t="array" ref="H8697">IFERROR(INDEX(INVESTOR_LIST[INVESTOR NAME],MATCH(I8697,INVESTOR_LIST[INVESTOR CODE],0),)," ")</f>
        <v xml:space="preserve"> </v>
      </c>
      <c r="J8697" s="149" t="s">
        <v>191</v>
      </c>
      <c r="K8697" s="218"/>
      <c r="L8697" s="218">
        <v>197000</v>
      </c>
    </row>
    <row r="8698" spans="1:13" x14ac:dyDescent="0.2">
      <c r="A8698" s="163">
        <v>2023</v>
      </c>
      <c r="B8698" s="163">
        <v>5</v>
      </c>
      <c r="C8698" s="163">
        <v>10</v>
      </c>
      <c r="D8698" s="280">
        <f t="shared" si="930"/>
        <v>45056</v>
      </c>
      <c r="E8698" s="281">
        <f t="shared" si="931"/>
        <v>45056</v>
      </c>
      <c r="F8698" s="480"/>
      <c r="G8698" s="221" t="s">
        <v>94</v>
      </c>
      <c r="H8698" s="145" t="str" cm="1">
        <f t="array" ref="H8698">IFERROR(INDEX(INVESTOR_LIST[INVESTOR NAME],MATCH(I8698,INVESTOR_LIST[INVESTOR CODE],0),)," ")</f>
        <v xml:space="preserve"> </v>
      </c>
      <c r="I8698" s="145"/>
      <c r="J8698" s="163" t="s">
        <v>79</v>
      </c>
      <c r="K8698" s="219"/>
      <c r="L8698" s="219">
        <v>300000</v>
      </c>
    </row>
    <row r="8699" spans="1:13" ht="10.15" customHeight="1" x14ac:dyDescent="0.2">
      <c r="A8699" s="168">
        <v>2023</v>
      </c>
      <c r="B8699" s="168">
        <v>5</v>
      </c>
      <c r="C8699" s="168">
        <v>11</v>
      </c>
      <c r="D8699" s="141">
        <f t="shared" si="926"/>
        <v>45057</v>
      </c>
      <c r="E8699" s="275">
        <f t="shared" si="927"/>
        <v>45057</v>
      </c>
      <c r="F8699" s="479" t="s">
        <v>1315</v>
      </c>
      <c r="G8699" s="220" t="s">
        <v>74</v>
      </c>
      <c r="H8699" s="142" t="str" cm="1">
        <f t="array" ref="H8699">IFERROR(INDEX(INVESTOR_LIST[INVESTOR NAME],MATCH(I8699,INVESTOR_LIST[INVESTOR CODE],0),)," ")</f>
        <v>ASIF AHMED</v>
      </c>
      <c r="I8699" s="142" t="s">
        <v>430</v>
      </c>
      <c r="J8699" s="168" t="s">
        <v>13</v>
      </c>
      <c r="K8699" s="218">
        <v>191370</v>
      </c>
      <c r="L8699" s="226"/>
    </row>
    <row r="8700" spans="1:13" ht="10.15" customHeight="1" x14ac:dyDescent="0.2">
      <c r="A8700" s="133">
        <v>2023</v>
      </c>
      <c r="B8700" s="133">
        <v>5</v>
      </c>
      <c r="C8700" s="133">
        <v>11</v>
      </c>
      <c r="D8700" s="141">
        <f t="shared" si="926"/>
        <v>45057</v>
      </c>
      <c r="E8700" s="275">
        <f t="shared" si="927"/>
        <v>45057</v>
      </c>
      <c r="F8700" s="481"/>
      <c r="G8700" s="174" t="s">
        <v>74</v>
      </c>
      <c r="H8700" s="148" t="str" cm="1">
        <f t="array" ref="H8700">IFERROR(INDEX(INVESTOR_LIST[INVESTOR NAME],MATCH(I8700,INVESTOR_LIST[INVESTOR CODE],0),)," ")</f>
        <v>ASIF AHMED</v>
      </c>
      <c r="I8700" s="148" t="s">
        <v>430</v>
      </c>
      <c r="J8700" s="133" t="s">
        <v>53</v>
      </c>
      <c r="K8700" s="218">
        <v>45737.43</v>
      </c>
      <c r="L8700" s="218"/>
    </row>
    <row r="8701" spans="1:13" ht="10.15" customHeight="1" x14ac:dyDescent="0.2">
      <c r="A8701" s="163">
        <v>2023</v>
      </c>
      <c r="B8701" s="163">
        <v>5</v>
      </c>
      <c r="C8701" s="163">
        <v>11</v>
      </c>
      <c r="D8701" s="280">
        <f t="shared" si="926"/>
        <v>45057</v>
      </c>
      <c r="E8701" s="281">
        <f t="shared" si="927"/>
        <v>45057</v>
      </c>
      <c r="F8701" s="480"/>
      <c r="G8701" s="221" t="s">
        <v>74</v>
      </c>
      <c r="H8701" s="145" t="str" cm="1">
        <f t="array" ref="H8701">IFERROR(INDEX(INVESTOR_LIST[INVESTOR NAME],MATCH(I8701,INVESTOR_LIST[INVESTOR CODE],0),)," ")</f>
        <v>ASIF AHMED</v>
      </c>
      <c r="I8701" s="145" t="s">
        <v>430</v>
      </c>
      <c r="J8701" s="163" t="s">
        <v>52</v>
      </c>
      <c r="K8701" s="219"/>
      <c r="L8701" s="219">
        <v>237107.43</v>
      </c>
    </row>
    <row r="8702" spans="1:13" x14ac:dyDescent="0.2">
      <c r="A8702" s="324">
        <v>2023</v>
      </c>
      <c r="B8702" s="324">
        <v>5</v>
      </c>
      <c r="C8702" s="325">
        <v>11</v>
      </c>
      <c r="D8702" s="326">
        <f>DATE(A8702,B8702,C8702)</f>
        <v>45057</v>
      </c>
      <c r="E8702" s="327">
        <f>DATE(A8702,B8702,C8702)</f>
        <v>45057</v>
      </c>
      <c r="F8702" s="473" t="s">
        <v>1634</v>
      </c>
      <c r="G8702" s="340" t="s">
        <v>94</v>
      </c>
      <c r="H8702" s="341" t="str" cm="1">
        <f t="array" ref="H8702">IFERROR(INDEX(INVESTOR_LIST[INVESTOR NAME],MATCH(I8702,INVESTOR_LIST[INVESTOR CODE],0),)," ")</f>
        <v xml:space="preserve"> </v>
      </c>
      <c r="I8702" s="341" t="s">
        <v>348</v>
      </c>
      <c r="J8702" s="325" t="s">
        <v>133</v>
      </c>
      <c r="K8702" s="330">
        <v>3966.35</v>
      </c>
      <c r="L8702" s="330"/>
      <c r="M8702" s="160"/>
    </row>
    <row r="8703" spans="1:13" x14ac:dyDescent="0.2">
      <c r="A8703" s="331">
        <v>2023</v>
      </c>
      <c r="B8703" s="331">
        <v>5</v>
      </c>
      <c r="C8703" s="331">
        <v>11</v>
      </c>
      <c r="D8703" s="326">
        <f>DATE(A8703,B8703,C8703)</f>
        <v>45057</v>
      </c>
      <c r="E8703" s="327">
        <f>DATE(A8703,B8703,C8703)</f>
        <v>45057</v>
      </c>
      <c r="F8703" s="474"/>
      <c r="G8703" s="332" t="s">
        <v>94</v>
      </c>
      <c r="H8703" s="333" t="str" cm="1">
        <f t="array" ref="H8703">IFERROR(INDEX(INVESTOR_LIST[INVESTOR NAME],MATCH(I8703,INVESTOR_LIST[INVESTOR CODE],0),)," ")</f>
        <v xml:space="preserve"> </v>
      </c>
      <c r="I8703" s="333" t="s">
        <v>348</v>
      </c>
      <c r="J8703" s="331" t="s">
        <v>152</v>
      </c>
      <c r="K8703" s="334"/>
      <c r="L8703" s="334">
        <v>3966.35</v>
      </c>
      <c r="M8703" s="160"/>
    </row>
    <row r="8704" spans="1:13" x14ac:dyDescent="0.2">
      <c r="A8704" s="324">
        <v>2023</v>
      </c>
      <c r="B8704" s="324">
        <v>5</v>
      </c>
      <c r="C8704" s="325">
        <v>11</v>
      </c>
      <c r="D8704" s="326">
        <f t="shared" ref="D8704:D8707" si="932">DATE(A8704,B8704,C8704)</f>
        <v>45057</v>
      </c>
      <c r="E8704" s="327">
        <f t="shared" ref="E8704:E8707" si="933">DATE(A8704,B8704,C8704)</f>
        <v>45057</v>
      </c>
      <c r="F8704" s="473" t="s">
        <v>1490</v>
      </c>
      <c r="G8704" s="328" t="s">
        <v>94</v>
      </c>
      <c r="H8704" s="329" t="str" cm="1">
        <f t="array" ref="H8704">IFERROR(INDEX(INVESTOR_LIST[INVESTOR NAME],MATCH(I8704,INVESTOR_LIST[INVESTOR CODE],0),)," ")</f>
        <v xml:space="preserve"> </v>
      </c>
      <c r="I8704" s="329" t="s">
        <v>348</v>
      </c>
      <c r="J8704" s="325" t="s">
        <v>133</v>
      </c>
      <c r="K8704" s="330">
        <v>23479.68</v>
      </c>
      <c r="L8704" s="330"/>
      <c r="M8704" s="160"/>
    </row>
    <row r="8705" spans="1:14" x14ac:dyDescent="0.2">
      <c r="A8705" s="331">
        <v>2023</v>
      </c>
      <c r="B8705" s="331">
        <v>5</v>
      </c>
      <c r="C8705" s="331">
        <v>11</v>
      </c>
      <c r="D8705" s="326">
        <f t="shared" si="932"/>
        <v>45057</v>
      </c>
      <c r="E8705" s="327">
        <f t="shared" si="933"/>
        <v>45057</v>
      </c>
      <c r="F8705" s="474"/>
      <c r="G8705" s="332" t="s">
        <v>94</v>
      </c>
      <c r="H8705" s="333" t="str" cm="1">
        <f t="array" ref="H8705">IFERROR(INDEX(INVESTOR_LIST[INVESTOR NAME],MATCH(I8705,INVESTOR_LIST[INVESTOR CODE],0),)," ")</f>
        <v xml:space="preserve"> </v>
      </c>
      <c r="I8705" s="333" t="s">
        <v>348</v>
      </c>
      <c r="J8705" s="331" t="s">
        <v>152</v>
      </c>
      <c r="K8705" s="334"/>
      <c r="L8705" s="334">
        <v>23479.68</v>
      </c>
      <c r="M8705" s="160"/>
      <c r="N8705" s="160"/>
    </row>
    <row r="8706" spans="1:14" x14ac:dyDescent="0.2">
      <c r="A8706" s="324">
        <v>2023</v>
      </c>
      <c r="B8706" s="324">
        <v>5</v>
      </c>
      <c r="C8706" s="325">
        <v>11</v>
      </c>
      <c r="D8706" s="326">
        <f t="shared" si="932"/>
        <v>45057</v>
      </c>
      <c r="E8706" s="327">
        <f t="shared" si="933"/>
        <v>45057</v>
      </c>
      <c r="F8706" s="473" t="s">
        <v>1491</v>
      </c>
      <c r="G8706" s="328" t="s">
        <v>94</v>
      </c>
      <c r="H8706" s="329" t="str" cm="1">
        <f t="array" ref="H8706">IFERROR(INDEX(INVESTOR_LIST[INVESTOR NAME],MATCH(I8706,INVESTOR_LIST[INVESTOR CODE],0),)," ")</f>
        <v xml:space="preserve"> </v>
      </c>
      <c r="I8706" s="329" t="s">
        <v>348</v>
      </c>
      <c r="J8706" s="324" t="s">
        <v>133</v>
      </c>
      <c r="K8706" s="330">
        <v>13413.46</v>
      </c>
      <c r="L8706" s="330"/>
      <c r="M8706" s="160"/>
      <c r="N8706" s="160"/>
    </row>
    <row r="8707" spans="1:14" x14ac:dyDescent="0.2">
      <c r="A8707" s="331">
        <v>2023</v>
      </c>
      <c r="B8707" s="331">
        <v>5</v>
      </c>
      <c r="C8707" s="331">
        <v>11</v>
      </c>
      <c r="D8707" s="326">
        <f t="shared" si="932"/>
        <v>45057</v>
      </c>
      <c r="E8707" s="327">
        <f t="shared" si="933"/>
        <v>45057</v>
      </c>
      <c r="F8707" s="474"/>
      <c r="G8707" s="332" t="s">
        <v>94</v>
      </c>
      <c r="H8707" s="333" t="str" cm="1">
        <f t="array" ref="H8707">IFERROR(INDEX(INVESTOR_LIST[INVESTOR NAME],MATCH(I8707,INVESTOR_LIST[INVESTOR CODE],0),)," ")</f>
        <v xml:space="preserve"> </v>
      </c>
      <c r="I8707" s="333" t="s">
        <v>348</v>
      </c>
      <c r="J8707" s="331" t="s">
        <v>152</v>
      </c>
      <c r="K8707" s="334"/>
      <c r="L8707" s="334">
        <v>13413.46</v>
      </c>
      <c r="M8707" s="160"/>
    </row>
    <row r="8708" spans="1:14" x14ac:dyDescent="0.2">
      <c r="A8708" s="324">
        <v>2023</v>
      </c>
      <c r="B8708" s="324">
        <v>5</v>
      </c>
      <c r="C8708" s="325">
        <v>11</v>
      </c>
      <c r="D8708" s="326">
        <f>DATE(A8708,B8708,C8708)</f>
        <v>45057</v>
      </c>
      <c r="E8708" s="327">
        <f>DATE(A8708,B8708,C8708)</f>
        <v>45057</v>
      </c>
      <c r="F8708" s="473" t="s">
        <v>1531</v>
      </c>
      <c r="G8708" s="328" t="s">
        <v>94</v>
      </c>
      <c r="H8708" s="329" t="str" cm="1">
        <f t="array" ref="H8708">IFERROR(INDEX(INVESTOR_LIST[INVESTOR NAME],MATCH(I8708,INVESTOR_LIST[INVESTOR CODE],0),)," ")</f>
        <v xml:space="preserve"> </v>
      </c>
      <c r="I8708" s="329" t="s">
        <v>348</v>
      </c>
      <c r="J8708" s="324" t="s">
        <v>133</v>
      </c>
      <c r="K8708" s="330">
        <v>22541.48</v>
      </c>
      <c r="L8708" s="330"/>
      <c r="M8708" s="160"/>
    </row>
    <row r="8709" spans="1:14" x14ac:dyDescent="0.2">
      <c r="A8709" s="331">
        <v>2023</v>
      </c>
      <c r="B8709" s="331">
        <v>5</v>
      </c>
      <c r="C8709" s="331">
        <v>11</v>
      </c>
      <c r="D8709" s="326">
        <f>DATE(A8709,B8709,C8709)</f>
        <v>45057</v>
      </c>
      <c r="E8709" s="327">
        <f>DATE(A8709,B8709,C8709)</f>
        <v>45057</v>
      </c>
      <c r="F8709" s="474"/>
      <c r="G8709" s="332" t="s">
        <v>94</v>
      </c>
      <c r="H8709" s="333" t="str" cm="1">
        <f t="array" ref="H8709">IFERROR(INDEX(INVESTOR_LIST[INVESTOR NAME],MATCH(I8709,INVESTOR_LIST[INVESTOR CODE],0),)," ")</f>
        <v xml:space="preserve"> </v>
      </c>
      <c r="I8709" s="333" t="s">
        <v>348</v>
      </c>
      <c r="J8709" s="331" t="s">
        <v>152</v>
      </c>
      <c r="K8709" s="334"/>
      <c r="L8709" s="334">
        <v>22541.48</v>
      </c>
      <c r="M8709" s="160"/>
    </row>
    <row r="8710" spans="1:14" x14ac:dyDescent="0.2">
      <c r="A8710" s="238">
        <v>2023</v>
      </c>
      <c r="B8710" s="238">
        <v>5</v>
      </c>
      <c r="C8710" s="238">
        <v>11</v>
      </c>
      <c r="D8710" s="270">
        <f t="shared" ref="D8710:D8738" si="934">DATE(A8710,B8710,C8710)</f>
        <v>45057</v>
      </c>
      <c r="E8710" s="279">
        <f t="shared" ref="E8710:E8738" si="935">DATE(A8710,B8710,C8710)</f>
        <v>45057</v>
      </c>
      <c r="F8710" s="477" t="s">
        <v>347</v>
      </c>
      <c r="G8710" s="239" t="s">
        <v>94</v>
      </c>
      <c r="H8710" s="239" t="str" cm="1">
        <f t="array" ref="H8710">IFERROR(INDEX(INVESTOR_LIST[INVESTOR NAME],MATCH(I8710,INVESTOR_LIST[INVESTOR CODE],0),)," ")</f>
        <v xml:space="preserve"> </v>
      </c>
      <c r="I8710" s="262" t="s">
        <v>348</v>
      </c>
      <c r="J8710" s="240" t="s">
        <v>108</v>
      </c>
      <c r="K8710" s="241">
        <v>483794.62999999523</v>
      </c>
      <c r="L8710" s="241"/>
    </row>
    <row r="8711" spans="1:14" x14ac:dyDescent="0.2">
      <c r="A8711" s="242">
        <v>2023</v>
      </c>
      <c r="B8711" s="242">
        <v>5</v>
      </c>
      <c r="C8711" s="242">
        <v>11</v>
      </c>
      <c r="D8711" s="270">
        <f t="shared" si="934"/>
        <v>45057</v>
      </c>
      <c r="E8711" s="279">
        <f t="shared" si="935"/>
        <v>45057</v>
      </c>
      <c r="F8711" s="478"/>
      <c r="G8711" s="243" t="s">
        <v>94</v>
      </c>
      <c r="H8711" s="243" t="str" cm="1">
        <f t="array" ref="H8711">IFERROR(INDEX(INVESTOR_LIST[INVESTOR NAME],MATCH(I8711,INVESTOR_LIST[INVESTOR CODE],0),)," ")</f>
        <v xml:space="preserve"> </v>
      </c>
      <c r="I8711" s="263" t="s">
        <v>348</v>
      </c>
      <c r="J8711" s="244" t="s">
        <v>82</v>
      </c>
      <c r="K8711" s="245"/>
      <c r="L8711" s="245">
        <v>483794.62999999523</v>
      </c>
    </row>
    <row r="8712" spans="1:14" ht="22.5" x14ac:dyDescent="0.2">
      <c r="A8712" s="246">
        <v>2023</v>
      </c>
      <c r="B8712" s="238">
        <v>5</v>
      </c>
      <c r="C8712" s="238">
        <v>11</v>
      </c>
      <c r="D8712" s="270">
        <f t="shared" si="934"/>
        <v>45057</v>
      </c>
      <c r="E8712" s="279">
        <f t="shared" si="935"/>
        <v>45057</v>
      </c>
      <c r="F8712" s="482" t="s">
        <v>148</v>
      </c>
      <c r="G8712" s="247" t="s">
        <v>94</v>
      </c>
      <c r="H8712" s="247" t="str" cm="1">
        <f t="array" ref="H8712">IFERROR(INDEX(INVESTOR_LIST[INVESTOR NAME],MATCH(I8712,INVESTOR_LIST[INVESTOR CODE],0),)," ")</f>
        <v xml:space="preserve"> </v>
      </c>
      <c r="I8712" s="248" t="s">
        <v>348</v>
      </c>
      <c r="J8712" s="249" t="s">
        <v>95</v>
      </c>
      <c r="K8712" s="250">
        <v>2747.2527472527472</v>
      </c>
      <c r="L8712" s="241"/>
    </row>
    <row r="8713" spans="1:14" x14ac:dyDescent="0.2">
      <c r="A8713" s="242">
        <v>2023</v>
      </c>
      <c r="B8713" s="242">
        <v>5</v>
      </c>
      <c r="C8713" s="242">
        <v>11</v>
      </c>
      <c r="D8713" s="270">
        <f t="shared" si="934"/>
        <v>45057</v>
      </c>
      <c r="E8713" s="279">
        <f t="shared" si="935"/>
        <v>45057</v>
      </c>
      <c r="F8713" s="478"/>
      <c r="G8713" s="243" t="s">
        <v>94</v>
      </c>
      <c r="H8713" s="243" t="str" cm="1">
        <f t="array" ref="H8713">IFERROR(INDEX(INVESTOR_LIST[INVESTOR NAME],MATCH(I8713,INVESTOR_LIST[INVESTOR CODE],0),)," ")</f>
        <v xml:space="preserve"> </v>
      </c>
      <c r="I8713" s="263" t="s">
        <v>348</v>
      </c>
      <c r="J8713" s="244" t="s">
        <v>63</v>
      </c>
      <c r="K8713" s="245"/>
      <c r="L8713" s="245">
        <v>2747.2527472527472</v>
      </c>
    </row>
    <row r="8714" spans="1:14" x14ac:dyDescent="0.2">
      <c r="A8714" s="246">
        <v>2023</v>
      </c>
      <c r="B8714" s="238">
        <v>5</v>
      </c>
      <c r="C8714" s="238">
        <v>11</v>
      </c>
      <c r="D8714" s="270">
        <f t="shared" si="934"/>
        <v>45057</v>
      </c>
      <c r="E8714" s="279">
        <f t="shared" si="935"/>
        <v>45057</v>
      </c>
      <c r="F8714" s="482" t="s">
        <v>137</v>
      </c>
      <c r="G8714" s="247" t="s">
        <v>94</v>
      </c>
      <c r="H8714" s="247" t="str" cm="1">
        <f t="array" ref="H8714">IFERROR(INDEX(INVESTOR_LIST[INVESTOR NAME],MATCH(I8714,INVESTOR_LIST[INVESTOR CODE],0),)," ")</f>
        <v xml:space="preserve"> </v>
      </c>
      <c r="I8714" s="248" t="s">
        <v>348</v>
      </c>
      <c r="J8714" s="249" t="s">
        <v>97</v>
      </c>
      <c r="K8714" s="250">
        <v>33657.125733613451</v>
      </c>
      <c r="L8714" s="252"/>
    </row>
    <row r="8715" spans="1:14" x14ac:dyDescent="0.2">
      <c r="A8715" s="242">
        <v>2023</v>
      </c>
      <c r="B8715" s="242">
        <v>5</v>
      </c>
      <c r="C8715" s="242">
        <v>11</v>
      </c>
      <c r="D8715" s="270">
        <f t="shared" si="934"/>
        <v>45057</v>
      </c>
      <c r="E8715" s="279">
        <f t="shared" si="935"/>
        <v>45057</v>
      </c>
      <c r="F8715" s="478"/>
      <c r="G8715" s="243" t="s">
        <v>94</v>
      </c>
      <c r="H8715" s="243" t="str" cm="1">
        <f t="array" ref="H8715">IFERROR(INDEX(INVESTOR_LIST[INVESTOR NAME],MATCH(I8715,INVESTOR_LIST[INVESTOR CODE],0),)," ")</f>
        <v xml:space="preserve"> </v>
      </c>
      <c r="I8715" s="263" t="s">
        <v>348</v>
      </c>
      <c r="J8715" s="244" t="s">
        <v>47</v>
      </c>
      <c r="K8715" s="245"/>
      <c r="L8715" s="245">
        <v>33657.125733613451</v>
      </c>
    </row>
    <row r="8716" spans="1:14" x14ac:dyDescent="0.2">
      <c r="A8716" s="246">
        <v>2023</v>
      </c>
      <c r="B8716" s="238">
        <v>5</v>
      </c>
      <c r="C8716" s="238">
        <v>11</v>
      </c>
      <c r="D8716" s="270">
        <f t="shared" si="934"/>
        <v>45057</v>
      </c>
      <c r="E8716" s="279">
        <f t="shared" si="935"/>
        <v>45057</v>
      </c>
      <c r="F8716" s="482" t="s">
        <v>138</v>
      </c>
      <c r="G8716" s="247" t="s">
        <v>94</v>
      </c>
      <c r="H8716" s="247" t="str" cm="1">
        <f t="array" ref="H8716">IFERROR(INDEX(INVESTOR_LIST[INVESTOR NAME],MATCH(I8716,INVESTOR_LIST[INVESTOR CODE],0),)," ")</f>
        <v xml:space="preserve"> </v>
      </c>
      <c r="I8716" s="248" t="s">
        <v>348</v>
      </c>
      <c r="J8716" s="249" t="s">
        <v>100</v>
      </c>
      <c r="K8716" s="250">
        <v>3365.7125733613448</v>
      </c>
      <c r="L8716" s="252"/>
    </row>
    <row r="8717" spans="1:14" ht="10.9" customHeight="1" x14ac:dyDescent="0.2">
      <c r="A8717" s="242">
        <v>2023</v>
      </c>
      <c r="B8717" s="242">
        <v>5</v>
      </c>
      <c r="C8717" s="242">
        <v>11</v>
      </c>
      <c r="D8717" s="321">
        <f t="shared" si="934"/>
        <v>45057</v>
      </c>
      <c r="E8717" s="322">
        <f t="shared" si="935"/>
        <v>45057</v>
      </c>
      <c r="F8717" s="478"/>
      <c r="G8717" s="243" t="s">
        <v>94</v>
      </c>
      <c r="H8717" s="243" t="str" cm="1">
        <f t="array" ref="H8717">IFERROR(INDEX(INVESTOR_LIST[INVESTOR NAME],MATCH(I8717,INVESTOR_LIST[INVESTOR CODE],0),)," ")</f>
        <v xml:space="preserve"> </v>
      </c>
      <c r="I8717" s="263" t="s">
        <v>348</v>
      </c>
      <c r="J8717" s="244" t="s">
        <v>48</v>
      </c>
      <c r="K8717" s="245"/>
      <c r="L8717" s="245">
        <v>3365.7125733613448</v>
      </c>
    </row>
    <row r="8718" spans="1:14" ht="10.15" customHeight="1" x14ac:dyDescent="0.2">
      <c r="A8718" s="133">
        <v>2023</v>
      </c>
      <c r="B8718" s="133">
        <v>5</v>
      </c>
      <c r="C8718" s="133">
        <v>13</v>
      </c>
      <c r="D8718" s="141">
        <f t="shared" si="934"/>
        <v>45059</v>
      </c>
      <c r="E8718" s="275">
        <f t="shared" si="935"/>
        <v>45059</v>
      </c>
      <c r="F8718" s="481" t="s">
        <v>1739</v>
      </c>
      <c r="G8718" s="174" t="s">
        <v>74</v>
      </c>
      <c r="H8718" s="174"/>
      <c r="J8718" s="149" t="s">
        <v>96</v>
      </c>
      <c r="K8718" s="226">
        <v>1020625</v>
      </c>
      <c r="L8718" s="226"/>
    </row>
    <row r="8719" spans="1:14" ht="10.15" customHeight="1" x14ac:dyDescent="0.2">
      <c r="A8719" s="133">
        <v>2023</v>
      </c>
      <c r="B8719" s="133">
        <v>5</v>
      </c>
      <c r="C8719" s="133">
        <v>13</v>
      </c>
      <c r="D8719" s="141">
        <f t="shared" si="934"/>
        <v>45059</v>
      </c>
      <c r="E8719" s="275">
        <f t="shared" si="935"/>
        <v>45059</v>
      </c>
      <c r="F8719" s="481"/>
      <c r="G8719" s="174" t="s">
        <v>74</v>
      </c>
      <c r="H8719" s="174" t="str" cm="1">
        <f t="array" ref="H8719">IFERROR(INDEX(INVESTOR_LIST[INVESTOR NAME],MATCH(I8719,INVESTOR_LIST[INVESTOR CODE],0),)," ")</f>
        <v xml:space="preserve"> </v>
      </c>
      <c r="J8719" s="149" t="s">
        <v>133</v>
      </c>
      <c r="K8719" s="218"/>
      <c r="L8719" s="218">
        <v>20625</v>
      </c>
    </row>
    <row r="8720" spans="1:14" ht="10.15" customHeight="1" x14ac:dyDescent="0.2">
      <c r="A8720" s="163">
        <v>2023</v>
      </c>
      <c r="B8720" s="163">
        <v>5</v>
      </c>
      <c r="C8720" s="163">
        <v>13</v>
      </c>
      <c r="D8720" s="141">
        <f t="shared" si="934"/>
        <v>45059</v>
      </c>
      <c r="E8720" s="275">
        <f t="shared" si="935"/>
        <v>45059</v>
      </c>
      <c r="F8720" s="480"/>
      <c r="G8720" s="221" t="s">
        <v>74</v>
      </c>
      <c r="H8720" s="221"/>
      <c r="I8720" s="145"/>
      <c r="J8720" s="146" t="s">
        <v>96</v>
      </c>
      <c r="K8720" s="219"/>
      <c r="L8720" s="219">
        <v>1000000</v>
      </c>
    </row>
    <row r="8721" spans="1:12" ht="10.15" customHeight="1" x14ac:dyDescent="0.2">
      <c r="A8721" s="133">
        <v>2023</v>
      </c>
      <c r="B8721" s="133">
        <v>5</v>
      </c>
      <c r="C8721" s="133">
        <v>13</v>
      </c>
      <c r="D8721" s="141">
        <f t="shared" ref="D8721:D8723" si="936">DATE(A8721,B8721,C8721)</f>
        <v>45059</v>
      </c>
      <c r="E8721" s="275">
        <f t="shared" ref="E8721:E8723" si="937">DATE(A8721,B8721,C8721)</f>
        <v>45059</v>
      </c>
      <c r="F8721" s="481" t="s">
        <v>1740</v>
      </c>
      <c r="G8721" s="174" t="s">
        <v>74</v>
      </c>
      <c r="H8721" s="174"/>
      <c r="J8721" s="149" t="s">
        <v>96</v>
      </c>
      <c r="K8721" s="226">
        <v>1530937.5</v>
      </c>
      <c r="L8721" s="226"/>
    </row>
    <row r="8722" spans="1:12" ht="10.15" customHeight="1" x14ac:dyDescent="0.2">
      <c r="A8722" s="133">
        <v>2023</v>
      </c>
      <c r="B8722" s="133">
        <v>5</v>
      </c>
      <c r="C8722" s="133">
        <v>13</v>
      </c>
      <c r="D8722" s="141">
        <f t="shared" si="936"/>
        <v>45059</v>
      </c>
      <c r="E8722" s="275">
        <f t="shared" si="937"/>
        <v>45059</v>
      </c>
      <c r="F8722" s="481"/>
      <c r="G8722" s="174" t="s">
        <v>74</v>
      </c>
      <c r="H8722" s="174" t="str" cm="1">
        <f t="array" ref="H8722">IFERROR(INDEX(INVESTOR_LIST[INVESTOR NAME],MATCH(I8722,INVESTOR_LIST[INVESTOR CODE],0),)," ")</f>
        <v xml:space="preserve"> </v>
      </c>
      <c r="J8722" s="149" t="s">
        <v>133</v>
      </c>
      <c r="K8722" s="218"/>
      <c r="L8722" s="218">
        <v>30937.5</v>
      </c>
    </row>
    <row r="8723" spans="1:12" ht="10.15" customHeight="1" x14ac:dyDescent="0.2">
      <c r="A8723" s="163">
        <v>2023</v>
      </c>
      <c r="B8723" s="163">
        <v>5</v>
      </c>
      <c r="C8723" s="163">
        <v>13</v>
      </c>
      <c r="D8723" s="141">
        <f t="shared" si="936"/>
        <v>45059</v>
      </c>
      <c r="E8723" s="275">
        <f t="shared" si="937"/>
        <v>45059</v>
      </c>
      <c r="F8723" s="480"/>
      <c r="G8723" s="174" t="s">
        <v>74</v>
      </c>
      <c r="H8723" s="174"/>
      <c r="J8723" s="149" t="s">
        <v>96</v>
      </c>
      <c r="K8723" s="219"/>
      <c r="L8723" s="219">
        <v>1500000</v>
      </c>
    </row>
    <row r="8724" spans="1:12" ht="10.15" customHeight="1" x14ac:dyDescent="0.2">
      <c r="A8724" s="168">
        <v>2023</v>
      </c>
      <c r="B8724" s="168">
        <v>5</v>
      </c>
      <c r="C8724" s="168">
        <v>14</v>
      </c>
      <c r="D8724" s="141">
        <f t="shared" si="934"/>
        <v>45060</v>
      </c>
      <c r="E8724" s="275">
        <f t="shared" si="935"/>
        <v>45060</v>
      </c>
      <c r="F8724" s="479" t="s">
        <v>1370</v>
      </c>
      <c r="G8724" s="220" t="s">
        <v>74</v>
      </c>
      <c r="H8724" s="142" t="str" cm="1">
        <f t="array" ref="H8724">IFERROR(INDEX(INVESTOR_LIST[INVESTOR NAME],MATCH(I8724,INVESTOR_LIST[INVESTOR CODE],0),)," ")</f>
        <v>FARHANA AKHTER</v>
      </c>
      <c r="I8724" s="142" t="s">
        <v>665</v>
      </c>
      <c r="J8724" s="168" t="s">
        <v>13</v>
      </c>
      <c r="K8724" s="218">
        <v>182770</v>
      </c>
      <c r="L8724" s="226"/>
    </row>
    <row r="8725" spans="1:12" ht="10.15" customHeight="1" x14ac:dyDescent="0.2">
      <c r="A8725" s="133">
        <v>2023</v>
      </c>
      <c r="B8725" s="133">
        <v>5</v>
      </c>
      <c r="C8725" s="133">
        <v>14</v>
      </c>
      <c r="D8725" s="141">
        <f t="shared" si="934"/>
        <v>45060</v>
      </c>
      <c r="E8725" s="275">
        <f t="shared" si="935"/>
        <v>45060</v>
      </c>
      <c r="F8725" s="481"/>
      <c r="G8725" s="174" t="s">
        <v>74</v>
      </c>
      <c r="H8725" s="148" t="str" cm="1">
        <f t="array" ref="H8725">IFERROR(INDEX(INVESTOR_LIST[INVESTOR NAME],MATCH(I8725,INVESTOR_LIST[INVESTOR CODE],0),)," ")</f>
        <v>FARHANA AKHTER</v>
      </c>
      <c r="I8725" s="148" t="s">
        <v>665</v>
      </c>
      <c r="J8725" s="133" t="s">
        <v>53</v>
      </c>
      <c r="K8725" s="218">
        <v>43682.03</v>
      </c>
      <c r="L8725" s="133"/>
    </row>
    <row r="8726" spans="1:12" ht="10.15" customHeight="1" x14ac:dyDescent="0.2">
      <c r="A8726" s="163">
        <v>2023</v>
      </c>
      <c r="B8726" s="163">
        <v>5</v>
      </c>
      <c r="C8726" s="163">
        <v>14</v>
      </c>
      <c r="D8726" s="280">
        <f t="shared" si="934"/>
        <v>45060</v>
      </c>
      <c r="E8726" s="281">
        <f t="shared" si="935"/>
        <v>45060</v>
      </c>
      <c r="F8726" s="480"/>
      <c r="G8726" s="221" t="s">
        <v>74</v>
      </c>
      <c r="H8726" s="145" t="str" cm="1">
        <f t="array" ref="H8726">IFERROR(INDEX(INVESTOR_LIST[INVESTOR NAME],MATCH(I8726,INVESTOR_LIST[INVESTOR CODE],0),)," ")</f>
        <v>FARHANA AKHTER</v>
      </c>
      <c r="I8726" s="145" t="s">
        <v>665</v>
      </c>
      <c r="J8726" s="163" t="s">
        <v>52</v>
      </c>
      <c r="K8726" s="219"/>
      <c r="L8726" s="219">
        <v>226452.03</v>
      </c>
    </row>
    <row r="8727" spans="1:12" x14ac:dyDescent="0.2">
      <c r="A8727" s="168">
        <v>2023</v>
      </c>
      <c r="B8727" s="168">
        <v>5</v>
      </c>
      <c r="C8727" s="168">
        <v>14</v>
      </c>
      <c r="D8727" s="141">
        <f t="shared" si="934"/>
        <v>45060</v>
      </c>
      <c r="E8727" s="275">
        <f t="shared" si="935"/>
        <v>45060</v>
      </c>
      <c r="F8727" s="479" t="s">
        <v>1647</v>
      </c>
      <c r="G8727" s="220" t="s">
        <v>74</v>
      </c>
      <c r="H8727" s="220" t="str" cm="1">
        <f t="array" ref="H8727">IFERROR(INDEX(INVESTOR_LIST[INVESTOR NAME],MATCH(I8727,INVESTOR_LIST[INVESTOR CODE],0),)," ")</f>
        <v xml:space="preserve"> </v>
      </c>
      <c r="I8727" s="142"/>
      <c r="J8727" s="143" t="s">
        <v>52</v>
      </c>
      <c r="K8727" s="226">
        <v>496105.4</v>
      </c>
      <c r="L8727" s="226"/>
    </row>
    <row r="8728" spans="1:12" x14ac:dyDescent="0.2">
      <c r="A8728" s="163">
        <v>2023</v>
      </c>
      <c r="B8728" s="163">
        <v>5</v>
      </c>
      <c r="C8728" s="163">
        <v>14</v>
      </c>
      <c r="D8728" s="280">
        <f t="shared" si="934"/>
        <v>45060</v>
      </c>
      <c r="E8728" s="281">
        <f t="shared" si="935"/>
        <v>45060</v>
      </c>
      <c r="F8728" s="480"/>
      <c r="G8728" s="221" t="s">
        <v>74</v>
      </c>
      <c r="H8728" s="221" t="str" cm="1">
        <f t="array" ref="H8728">IFERROR(INDEX(INVESTOR_LIST[INVESTOR NAME],MATCH(I8728,INVESTOR_LIST[INVESTOR CODE],0),)," ")</f>
        <v xml:space="preserve"> </v>
      </c>
      <c r="I8728" s="145"/>
      <c r="J8728" s="146" t="s">
        <v>190</v>
      </c>
      <c r="K8728" s="219"/>
      <c r="L8728" s="219">
        <v>496105.4</v>
      </c>
    </row>
    <row r="8729" spans="1:12" ht="10.15" customHeight="1" x14ac:dyDescent="0.2">
      <c r="A8729" s="133">
        <v>2023</v>
      </c>
      <c r="B8729" s="133">
        <v>5</v>
      </c>
      <c r="C8729" s="133">
        <v>14</v>
      </c>
      <c r="D8729" s="141">
        <f t="shared" si="934"/>
        <v>45060</v>
      </c>
      <c r="E8729" s="275">
        <f t="shared" si="935"/>
        <v>45060</v>
      </c>
      <c r="F8729" s="481" t="s">
        <v>1673</v>
      </c>
      <c r="G8729" s="220" t="s">
        <v>74</v>
      </c>
      <c r="H8729" s="220"/>
      <c r="I8729" s="142"/>
      <c r="J8729" s="143" t="s">
        <v>96</v>
      </c>
      <c r="K8729" s="226">
        <v>2000000</v>
      </c>
      <c r="L8729" s="226"/>
    </row>
    <row r="8730" spans="1:12" ht="10.15" customHeight="1" x14ac:dyDescent="0.2">
      <c r="A8730" s="133">
        <v>2023</v>
      </c>
      <c r="B8730" s="133">
        <v>5</v>
      </c>
      <c r="C8730" s="133">
        <v>14</v>
      </c>
      <c r="D8730" s="141">
        <f t="shared" si="934"/>
        <v>45060</v>
      </c>
      <c r="E8730" s="275">
        <f t="shared" si="935"/>
        <v>45060</v>
      </c>
      <c r="F8730" s="481"/>
      <c r="G8730" s="174" t="s">
        <v>74</v>
      </c>
      <c r="H8730" s="174" t="str" cm="1">
        <f t="array" ref="H8730">IFERROR(INDEX(INVESTOR_LIST[INVESTOR NAME],MATCH(I8730,INVESTOR_LIST[INVESTOR CODE],0),)," ")</f>
        <v xml:space="preserve"> </v>
      </c>
      <c r="I8730" s="148" t="s">
        <v>348</v>
      </c>
      <c r="J8730" s="149" t="s">
        <v>52</v>
      </c>
      <c r="K8730" s="218">
        <v>34500</v>
      </c>
      <c r="L8730" s="218"/>
    </row>
    <row r="8731" spans="1:12" ht="10.15" customHeight="1" x14ac:dyDescent="0.2">
      <c r="A8731" s="133">
        <v>2023</v>
      </c>
      <c r="B8731" s="133">
        <v>5</v>
      </c>
      <c r="C8731" s="133">
        <v>14</v>
      </c>
      <c r="D8731" s="141">
        <f t="shared" ref="D8731" si="938">DATE(A8731,B8731,C8731)</f>
        <v>45060</v>
      </c>
      <c r="E8731" s="275">
        <f t="shared" ref="E8731" si="939">DATE(A8731,B8731,C8731)</f>
        <v>45060</v>
      </c>
      <c r="F8731" s="481"/>
      <c r="G8731" s="174" t="s">
        <v>74</v>
      </c>
      <c r="H8731" s="174"/>
      <c r="J8731" s="149" t="s">
        <v>61</v>
      </c>
      <c r="K8731" s="218">
        <v>3000</v>
      </c>
      <c r="L8731" s="218"/>
    </row>
    <row r="8732" spans="1:12" ht="10.15" customHeight="1" x14ac:dyDescent="0.2">
      <c r="A8732" s="133">
        <v>2023</v>
      </c>
      <c r="B8732" s="133">
        <v>5</v>
      </c>
      <c r="C8732" s="133">
        <v>14</v>
      </c>
      <c r="D8732" s="141">
        <f t="shared" si="934"/>
        <v>45060</v>
      </c>
      <c r="E8732" s="275">
        <f t="shared" si="935"/>
        <v>45060</v>
      </c>
      <c r="F8732" s="481"/>
      <c r="G8732" s="174" t="s">
        <v>74</v>
      </c>
      <c r="H8732" s="174" t="str" cm="1">
        <f t="array" ref="H8732">IFERROR(INDEX(INVESTOR_LIST[INVESTOR NAME],MATCH(I8732,INVESTOR_LIST[INVESTOR CODE],0),)," ")</f>
        <v xml:space="preserve"> </v>
      </c>
      <c r="J8732" s="149" t="s">
        <v>133</v>
      </c>
      <c r="K8732" s="218"/>
      <c r="L8732" s="218">
        <v>37500</v>
      </c>
    </row>
    <row r="8733" spans="1:12" ht="10.15" customHeight="1" x14ac:dyDescent="0.2">
      <c r="A8733" s="163">
        <v>2023</v>
      </c>
      <c r="B8733" s="163">
        <v>5</v>
      </c>
      <c r="C8733" s="163">
        <v>14</v>
      </c>
      <c r="D8733" s="141">
        <f t="shared" si="934"/>
        <v>45060</v>
      </c>
      <c r="E8733" s="275">
        <f t="shared" si="935"/>
        <v>45060</v>
      </c>
      <c r="F8733" s="480"/>
      <c r="G8733" s="221" t="s">
        <v>74</v>
      </c>
      <c r="H8733" s="221"/>
      <c r="I8733" s="145"/>
      <c r="J8733" s="146" t="s">
        <v>96</v>
      </c>
      <c r="K8733" s="219"/>
      <c r="L8733" s="219">
        <v>2000000</v>
      </c>
    </row>
    <row r="8734" spans="1:12" ht="10.15" customHeight="1" x14ac:dyDescent="0.2">
      <c r="A8734" s="133">
        <v>2023</v>
      </c>
      <c r="B8734" s="133">
        <v>5</v>
      </c>
      <c r="C8734" s="133">
        <v>14</v>
      </c>
      <c r="D8734" s="141">
        <f t="shared" si="934"/>
        <v>45060</v>
      </c>
      <c r="E8734" s="275">
        <f t="shared" si="935"/>
        <v>45060</v>
      </c>
      <c r="F8734" s="481" t="s">
        <v>1674</v>
      </c>
      <c r="G8734" s="174" t="s">
        <v>74</v>
      </c>
      <c r="H8734" s="174"/>
      <c r="J8734" s="149" t="s">
        <v>96</v>
      </c>
      <c r="K8734" s="226">
        <v>2000000</v>
      </c>
      <c r="L8734" s="226"/>
    </row>
    <row r="8735" spans="1:12" ht="10.15" customHeight="1" x14ac:dyDescent="0.2">
      <c r="A8735" s="133">
        <v>2023</v>
      </c>
      <c r="B8735" s="133">
        <v>5</v>
      </c>
      <c r="C8735" s="133">
        <v>14</v>
      </c>
      <c r="D8735" s="141">
        <f t="shared" si="934"/>
        <v>45060</v>
      </c>
      <c r="E8735" s="275">
        <f t="shared" si="935"/>
        <v>45060</v>
      </c>
      <c r="F8735" s="481"/>
      <c r="G8735" s="174" t="s">
        <v>74</v>
      </c>
      <c r="H8735" s="174" t="str" cm="1">
        <f t="array" ref="H8735">IFERROR(INDEX(INVESTOR_LIST[INVESTOR NAME],MATCH(I8735,INVESTOR_LIST[INVESTOR CODE],0),)," ")</f>
        <v xml:space="preserve"> </v>
      </c>
      <c r="I8735" s="148" t="s">
        <v>348</v>
      </c>
      <c r="J8735" s="149" t="s">
        <v>52</v>
      </c>
      <c r="K8735" s="218">
        <v>34500</v>
      </c>
      <c r="L8735" s="218"/>
    </row>
    <row r="8736" spans="1:12" ht="10.15" customHeight="1" x14ac:dyDescent="0.2">
      <c r="A8736" s="133">
        <v>2023</v>
      </c>
      <c r="B8736" s="133">
        <v>5</v>
      </c>
      <c r="C8736" s="133">
        <v>14</v>
      </c>
      <c r="D8736" s="141">
        <f t="shared" ref="D8736" si="940">DATE(A8736,B8736,C8736)</f>
        <v>45060</v>
      </c>
      <c r="E8736" s="275">
        <f t="shared" ref="E8736" si="941">DATE(A8736,B8736,C8736)</f>
        <v>45060</v>
      </c>
      <c r="F8736" s="481"/>
      <c r="G8736" s="174" t="s">
        <v>74</v>
      </c>
      <c r="H8736" s="174"/>
      <c r="J8736" s="149" t="s">
        <v>61</v>
      </c>
      <c r="K8736" s="218">
        <v>3000</v>
      </c>
      <c r="L8736" s="218"/>
    </row>
    <row r="8737" spans="1:13" ht="10.15" customHeight="1" x14ac:dyDescent="0.2">
      <c r="A8737" s="133">
        <v>2023</v>
      </c>
      <c r="B8737" s="133">
        <v>5</v>
      </c>
      <c r="C8737" s="133">
        <v>14</v>
      </c>
      <c r="D8737" s="141">
        <f t="shared" si="934"/>
        <v>45060</v>
      </c>
      <c r="E8737" s="275">
        <f t="shared" si="935"/>
        <v>45060</v>
      </c>
      <c r="F8737" s="481"/>
      <c r="G8737" s="174" t="s">
        <v>74</v>
      </c>
      <c r="H8737" s="174" t="str" cm="1">
        <f t="array" ref="H8737">IFERROR(INDEX(INVESTOR_LIST[INVESTOR NAME],MATCH(I8737,INVESTOR_LIST[INVESTOR CODE],0),)," ")</f>
        <v xml:space="preserve"> </v>
      </c>
      <c r="J8737" s="149" t="s">
        <v>133</v>
      </c>
      <c r="K8737" s="218"/>
      <c r="L8737" s="218">
        <v>37500</v>
      </c>
    </row>
    <row r="8738" spans="1:13" ht="10.15" customHeight="1" x14ac:dyDescent="0.2">
      <c r="A8738" s="163">
        <v>2023</v>
      </c>
      <c r="B8738" s="163">
        <v>5</v>
      </c>
      <c r="C8738" s="163">
        <v>14</v>
      </c>
      <c r="D8738" s="141">
        <f t="shared" si="934"/>
        <v>45060</v>
      </c>
      <c r="E8738" s="275">
        <f t="shared" si="935"/>
        <v>45060</v>
      </c>
      <c r="F8738" s="480"/>
      <c r="G8738" s="174" t="s">
        <v>74</v>
      </c>
      <c r="H8738" s="174"/>
      <c r="J8738" s="149" t="s">
        <v>96</v>
      </c>
      <c r="K8738" s="219"/>
      <c r="L8738" s="219">
        <v>2000000</v>
      </c>
    </row>
    <row r="8739" spans="1:13" ht="10.15" customHeight="1" x14ac:dyDescent="0.2">
      <c r="A8739" s="168">
        <v>2023</v>
      </c>
      <c r="B8739" s="168">
        <v>5</v>
      </c>
      <c r="C8739" s="168">
        <v>15</v>
      </c>
      <c r="D8739" s="141">
        <f t="shared" ref="D8739:D8745" si="942">DATE(A8739,B8739,C8739)</f>
        <v>45061</v>
      </c>
      <c r="E8739" s="275">
        <f t="shared" ref="E8739:E8745" si="943">DATE(A8739,B8739,C8739)</f>
        <v>45061</v>
      </c>
      <c r="F8739" s="479" t="s">
        <v>1310</v>
      </c>
      <c r="G8739" s="220" t="s">
        <v>74</v>
      </c>
      <c r="H8739" s="142" t="str" cm="1">
        <f t="array" ref="H8739">IFERROR(INDEX(INVESTOR_LIST[INVESTOR NAME],MATCH(I8739,INVESTOR_LIST[INVESTOR CODE],0),)," ")</f>
        <v>JUBAIR MOHAMMAD HASAN</v>
      </c>
      <c r="I8739" s="142" t="s">
        <v>783</v>
      </c>
      <c r="J8739" s="168" t="s">
        <v>13</v>
      </c>
      <c r="K8739" s="218">
        <v>24870</v>
      </c>
      <c r="L8739" s="226"/>
    </row>
    <row r="8740" spans="1:13" ht="10.15" customHeight="1" x14ac:dyDescent="0.2">
      <c r="A8740" s="133">
        <v>2023</v>
      </c>
      <c r="B8740" s="133">
        <v>5</v>
      </c>
      <c r="C8740" s="133">
        <v>15</v>
      </c>
      <c r="D8740" s="141">
        <f t="shared" si="942"/>
        <v>45061</v>
      </c>
      <c r="E8740" s="275">
        <f t="shared" si="943"/>
        <v>45061</v>
      </c>
      <c r="F8740" s="481"/>
      <c r="G8740" s="174" t="s">
        <v>74</v>
      </c>
      <c r="H8740" s="148" t="str" cm="1">
        <f t="array" ref="H8740">IFERROR(INDEX(INVESTOR_LIST[INVESTOR NAME],MATCH(I8740,INVESTOR_LIST[INVESTOR CODE],0),)," ")</f>
        <v>JUBAIR MOHAMMAD HASAN</v>
      </c>
      <c r="I8740" s="148" t="s">
        <v>783</v>
      </c>
      <c r="J8740" s="133" t="s">
        <v>53</v>
      </c>
      <c r="K8740" s="218">
        <v>6006.11</v>
      </c>
      <c r="L8740" s="133"/>
    </row>
    <row r="8741" spans="1:13" ht="10.15" customHeight="1" x14ac:dyDescent="0.2">
      <c r="A8741" s="163">
        <v>2023</v>
      </c>
      <c r="B8741" s="163">
        <v>5</v>
      </c>
      <c r="C8741" s="163">
        <v>15</v>
      </c>
      <c r="D8741" s="280">
        <f t="shared" si="942"/>
        <v>45061</v>
      </c>
      <c r="E8741" s="281">
        <f t="shared" si="943"/>
        <v>45061</v>
      </c>
      <c r="F8741" s="480"/>
      <c r="G8741" s="221" t="s">
        <v>74</v>
      </c>
      <c r="H8741" s="145" t="str" cm="1">
        <f t="array" ref="H8741">IFERROR(INDEX(INVESTOR_LIST[INVESTOR NAME],MATCH(I8741,INVESTOR_LIST[INVESTOR CODE],0),)," ")</f>
        <v>JUBAIR MOHAMMAD HASAN</v>
      </c>
      <c r="I8741" s="145" t="s">
        <v>783</v>
      </c>
      <c r="J8741" s="163" t="s">
        <v>52</v>
      </c>
      <c r="K8741" s="219"/>
      <c r="L8741" s="219">
        <v>30876.11</v>
      </c>
    </row>
    <row r="8742" spans="1:13" x14ac:dyDescent="0.2">
      <c r="A8742" s="133">
        <v>2023</v>
      </c>
      <c r="B8742" s="133">
        <v>5</v>
      </c>
      <c r="C8742" s="133">
        <v>15</v>
      </c>
      <c r="D8742" s="141">
        <f t="shared" si="942"/>
        <v>45061</v>
      </c>
      <c r="E8742" s="275">
        <f t="shared" si="943"/>
        <v>45061</v>
      </c>
      <c r="F8742" s="481" t="s">
        <v>1646</v>
      </c>
      <c r="G8742" s="174" t="s">
        <v>94</v>
      </c>
      <c r="H8742" s="174" t="str" cm="1">
        <f t="array" ref="H8742">IFERROR(INDEX(INVESTOR_LIST[INVESTOR NAME],MATCH(I8742,INVESTOR_LIST[INVESTOR CODE],0),)," ")</f>
        <v xml:space="preserve"> </v>
      </c>
      <c r="J8742" s="149" t="s">
        <v>190</v>
      </c>
      <c r="K8742" s="218">
        <v>727144.78</v>
      </c>
      <c r="L8742" s="218"/>
      <c r="M8742" s="160"/>
    </row>
    <row r="8743" spans="1:13" x14ac:dyDescent="0.2">
      <c r="A8743" s="133">
        <v>2023</v>
      </c>
      <c r="B8743" s="133">
        <v>5</v>
      </c>
      <c r="C8743" s="133">
        <v>15</v>
      </c>
      <c r="D8743" s="141">
        <f t="shared" si="942"/>
        <v>45061</v>
      </c>
      <c r="E8743" s="275">
        <f t="shared" si="943"/>
        <v>45061</v>
      </c>
      <c r="F8743" s="481"/>
      <c r="G8743" s="174" t="s">
        <v>94</v>
      </c>
      <c r="H8743" s="174"/>
      <c r="J8743" s="149" t="s">
        <v>80</v>
      </c>
      <c r="K8743" s="218">
        <v>1311.22</v>
      </c>
      <c r="L8743" s="218"/>
    </row>
    <row r="8744" spans="1:13" x14ac:dyDescent="0.2">
      <c r="A8744" s="133">
        <v>2023</v>
      </c>
      <c r="B8744" s="133">
        <v>5</v>
      </c>
      <c r="C8744" s="133">
        <v>15</v>
      </c>
      <c r="D8744" s="141">
        <f t="shared" si="942"/>
        <v>45061</v>
      </c>
      <c r="E8744" s="275">
        <f t="shared" si="943"/>
        <v>45061</v>
      </c>
      <c r="F8744" s="481"/>
      <c r="G8744" s="174" t="s">
        <v>94</v>
      </c>
      <c r="H8744" s="174" t="str" cm="1">
        <f t="array" ref="H8744">IFERROR(INDEX(INVESTOR_LIST[INVESTOR NAME],MATCH(I8744,INVESTOR_LIST[INVESTOR CODE],0),)," ")</f>
        <v xml:space="preserve"> </v>
      </c>
      <c r="J8744" s="149" t="s">
        <v>191</v>
      </c>
      <c r="K8744" s="218"/>
      <c r="L8744" s="218">
        <v>228456</v>
      </c>
    </row>
    <row r="8745" spans="1:13" x14ac:dyDescent="0.2">
      <c r="A8745" s="163">
        <v>2023</v>
      </c>
      <c r="B8745" s="163">
        <v>5</v>
      </c>
      <c r="C8745" s="163">
        <v>15</v>
      </c>
      <c r="D8745" s="280">
        <f t="shared" si="942"/>
        <v>45061</v>
      </c>
      <c r="E8745" s="281">
        <f t="shared" si="943"/>
        <v>45061</v>
      </c>
      <c r="F8745" s="480"/>
      <c r="G8745" s="221" t="s">
        <v>94</v>
      </c>
      <c r="H8745" s="145" t="str" cm="1">
        <f t="array" ref="H8745">IFERROR(INDEX(INVESTOR_LIST[INVESTOR NAME],MATCH(I8745,INVESTOR_LIST[INVESTOR CODE],0),)," ")</f>
        <v xml:space="preserve"> </v>
      </c>
      <c r="I8745" s="145"/>
      <c r="J8745" s="163" t="s">
        <v>79</v>
      </c>
      <c r="K8745" s="219"/>
      <c r="L8745" s="219">
        <v>500000</v>
      </c>
    </row>
    <row r="8746" spans="1:13" ht="10.15" customHeight="1" x14ac:dyDescent="0.2">
      <c r="A8746" s="168">
        <v>2023</v>
      </c>
      <c r="B8746" s="168">
        <v>5</v>
      </c>
      <c r="C8746" s="168">
        <v>16</v>
      </c>
      <c r="D8746" s="141">
        <f>DATE(A8746,B8746,C8746)</f>
        <v>45062</v>
      </c>
      <c r="E8746" s="275">
        <f>DATE(A8746,B8746,C8746)</f>
        <v>45062</v>
      </c>
      <c r="F8746" s="479" t="s">
        <v>1319</v>
      </c>
      <c r="G8746" s="220" t="s">
        <v>74</v>
      </c>
      <c r="H8746" s="142" t="str" cm="1">
        <f t="array" ref="H8746">IFERROR(INDEX(INVESTOR_LIST[INVESTOR NAME],MATCH(I8746,INVESTOR_LIST[INVESTOR CODE],0),)," ")</f>
        <v xml:space="preserve"> </v>
      </c>
      <c r="I8746" s="142"/>
      <c r="J8746" s="168" t="s">
        <v>52</v>
      </c>
      <c r="K8746" s="226">
        <v>36000</v>
      </c>
      <c r="L8746" s="226"/>
    </row>
    <row r="8747" spans="1:13" ht="10.15" customHeight="1" x14ac:dyDescent="0.2">
      <c r="A8747" s="133">
        <v>2023</v>
      </c>
      <c r="B8747" s="133">
        <v>5</v>
      </c>
      <c r="C8747" s="133">
        <v>16</v>
      </c>
      <c r="D8747" s="141">
        <f>DATE(A8747,B8747,C8747)</f>
        <v>45062</v>
      </c>
      <c r="E8747" s="275">
        <f>DATE(A8747,B8747,C8747)</f>
        <v>45062</v>
      </c>
      <c r="F8747" s="481"/>
      <c r="G8747" s="174" t="s">
        <v>74</v>
      </c>
      <c r="H8747" s="148" t="str" cm="1">
        <f t="array" ref="H8747">IFERROR(INDEX(INVESTOR_LIST[INVESTOR NAME],MATCH(I8747,INVESTOR_LIST[INVESTOR CODE],0),)," ")</f>
        <v xml:space="preserve"> </v>
      </c>
      <c r="J8747" s="133" t="s">
        <v>13</v>
      </c>
      <c r="K8747" s="218"/>
      <c r="L8747" s="218">
        <v>29000</v>
      </c>
    </row>
    <row r="8748" spans="1:13" ht="10.15" customHeight="1" x14ac:dyDescent="0.2">
      <c r="A8748" s="163">
        <v>2023</v>
      </c>
      <c r="B8748" s="163">
        <v>5</v>
      </c>
      <c r="C8748" s="163">
        <v>16</v>
      </c>
      <c r="D8748" s="280">
        <f>DATE(A8748,B8748,C8748)</f>
        <v>45062</v>
      </c>
      <c r="E8748" s="281">
        <f>DATE(A8748,B8748,C8748)</f>
        <v>45062</v>
      </c>
      <c r="F8748" s="480"/>
      <c r="G8748" s="221" t="s">
        <v>74</v>
      </c>
      <c r="H8748" s="145" t="str" cm="1">
        <f t="array" ref="H8748">IFERROR(INDEX(INVESTOR_LIST[INVESTOR NAME],MATCH(I8748,INVESTOR_LIST[INVESTOR CODE],0),)," ")</f>
        <v xml:space="preserve"> </v>
      </c>
      <c r="I8748" s="145"/>
      <c r="J8748" s="163" t="s">
        <v>53</v>
      </c>
      <c r="K8748" s="219"/>
      <c r="L8748" s="219">
        <v>7000</v>
      </c>
    </row>
    <row r="8749" spans="1:13" x14ac:dyDescent="0.2">
      <c r="A8749" s="133">
        <v>2023</v>
      </c>
      <c r="B8749" s="133">
        <v>5</v>
      </c>
      <c r="C8749" s="133">
        <v>16</v>
      </c>
      <c r="D8749" s="141">
        <f t="shared" ref="D8749:D8752" si="944">DATE(A8749,B8749,C8749)</f>
        <v>45062</v>
      </c>
      <c r="E8749" s="275">
        <f t="shared" ref="E8749:E8752" si="945">DATE(A8749,B8749,C8749)</f>
        <v>45062</v>
      </c>
      <c r="F8749" s="481" t="s">
        <v>1646</v>
      </c>
      <c r="G8749" s="174" t="s">
        <v>94</v>
      </c>
      <c r="H8749" s="174" t="str" cm="1">
        <f t="array" ref="H8749">IFERROR(INDEX(INVESTOR_LIST[INVESTOR NAME],MATCH(I8749,INVESTOR_LIST[INVESTOR CODE],0),)," ")</f>
        <v xml:space="preserve"> </v>
      </c>
      <c r="J8749" s="149" t="s">
        <v>190</v>
      </c>
      <c r="K8749" s="218">
        <v>1183865.2</v>
      </c>
      <c r="L8749" s="218"/>
      <c r="M8749" s="160"/>
    </row>
    <row r="8750" spans="1:13" x14ac:dyDescent="0.2">
      <c r="A8750" s="133">
        <v>2023</v>
      </c>
      <c r="B8750" s="133">
        <v>5</v>
      </c>
      <c r="C8750" s="133">
        <v>16</v>
      </c>
      <c r="D8750" s="141">
        <f t="shared" si="944"/>
        <v>45062</v>
      </c>
      <c r="E8750" s="275">
        <f t="shared" si="945"/>
        <v>45062</v>
      </c>
      <c r="F8750" s="481"/>
      <c r="G8750" s="174" t="s">
        <v>94</v>
      </c>
      <c r="H8750" s="174"/>
      <c r="J8750" s="149" t="s">
        <v>80</v>
      </c>
      <c r="K8750" s="218">
        <v>2134.8000000000002</v>
      </c>
      <c r="L8750" s="218"/>
    </row>
    <row r="8751" spans="1:13" x14ac:dyDescent="0.2">
      <c r="A8751" s="133">
        <v>2023</v>
      </c>
      <c r="B8751" s="133">
        <v>5</v>
      </c>
      <c r="C8751" s="133">
        <v>16</v>
      </c>
      <c r="D8751" s="141">
        <f t="shared" si="944"/>
        <v>45062</v>
      </c>
      <c r="E8751" s="275">
        <f t="shared" si="945"/>
        <v>45062</v>
      </c>
      <c r="F8751" s="481"/>
      <c r="G8751" s="174" t="s">
        <v>94</v>
      </c>
      <c r="H8751" s="174" t="str" cm="1">
        <f t="array" ref="H8751">IFERROR(INDEX(INVESTOR_LIST[INVESTOR NAME],MATCH(I8751,INVESTOR_LIST[INVESTOR CODE],0),)," ")</f>
        <v xml:space="preserve"> </v>
      </c>
      <c r="J8751" s="149" t="s">
        <v>191</v>
      </c>
      <c r="K8751" s="218"/>
      <c r="L8751" s="218">
        <v>386000</v>
      </c>
    </row>
    <row r="8752" spans="1:13" x14ac:dyDescent="0.2">
      <c r="A8752" s="163">
        <v>2023</v>
      </c>
      <c r="B8752" s="163">
        <v>5</v>
      </c>
      <c r="C8752" s="163">
        <v>16</v>
      </c>
      <c r="D8752" s="280">
        <f t="shared" si="944"/>
        <v>45062</v>
      </c>
      <c r="E8752" s="281">
        <f t="shared" si="945"/>
        <v>45062</v>
      </c>
      <c r="F8752" s="480"/>
      <c r="G8752" s="221" t="s">
        <v>94</v>
      </c>
      <c r="H8752" s="145" t="str" cm="1">
        <f t="array" ref="H8752">IFERROR(INDEX(INVESTOR_LIST[INVESTOR NAME],MATCH(I8752,INVESTOR_LIST[INVESTOR CODE],0),)," ")</f>
        <v xml:space="preserve"> </v>
      </c>
      <c r="I8752" s="145"/>
      <c r="J8752" s="163" t="s">
        <v>79</v>
      </c>
      <c r="K8752" s="219"/>
      <c r="L8752" s="219">
        <v>800000</v>
      </c>
    </row>
    <row r="8753" spans="1:17" x14ac:dyDescent="0.2">
      <c r="A8753" s="133">
        <v>2023</v>
      </c>
      <c r="B8753" s="133">
        <v>5</v>
      </c>
      <c r="C8753" s="133">
        <v>17</v>
      </c>
      <c r="D8753" s="141">
        <f t="shared" ref="D8753:D8754" si="946">DATE(A8753,B8753,C8753)</f>
        <v>45063</v>
      </c>
      <c r="E8753" s="275">
        <f t="shared" ref="E8753:E8754" si="947">DATE(A8753,B8753,C8753)</f>
        <v>45063</v>
      </c>
      <c r="F8753" s="481" t="s">
        <v>1690</v>
      </c>
      <c r="G8753" s="174" t="s">
        <v>74</v>
      </c>
      <c r="H8753" s="174" t="str" cm="1">
        <f t="array" ref="H8753">IFERROR(INDEX(INVESTOR_LIST[INVESTOR NAME],MATCH(I8753,INVESTOR_LIST[INVESTOR CODE],0),)," ")</f>
        <v xml:space="preserve"> </v>
      </c>
      <c r="I8753" s="148" t="s">
        <v>348</v>
      </c>
      <c r="J8753" s="149" t="s">
        <v>163</v>
      </c>
      <c r="K8753" s="218">
        <v>1575</v>
      </c>
      <c r="L8753" s="218"/>
      <c r="M8753" s="147"/>
      <c r="Q8753" s="133" t="s">
        <v>348</v>
      </c>
    </row>
    <row r="8754" spans="1:17" x14ac:dyDescent="0.2">
      <c r="A8754" s="163">
        <v>2023</v>
      </c>
      <c r="B8754" s="163">
        <v>5</v>
      </c>
      <c r="C8754" s="163">
        <v>17</v>
      </c>
      <c r="D8754" s="141">
        <f t="shared" si="946"/>
        <v>45063</v>
      </c>
      <c r="E8754" s="275">
        <f t="shared" si="947"/>
        <v>45063</v>
      </c>
      <c r="F8754" s="480"/>
      <c r="G8754" s="221" t="s">
        <v>74</v>
      </c>
      <c r="H8754" s="221" t="str" cm="1">
        <f t="array" ref="H8754">IFERROR(INDEX(INVESTOR_LIST[INVESTOR NAME],MATCH(I8754,INVESTOR_LIST[INVESTOR CODE],0),)," ")</f>
        <v xml:space="preserve"> </v>
      </c>
      <c r="I8754" s="145"/>
      <c r="J8754" s="146" t="s">
        <v>52</v>
      </c>
      <c r="K8754" s="219"/>
      <c r="L8754" s="219">
        <v>1575</v>
      </c>
      <c r="M8754" s="147"/>
      <c r="Q8754" s="133" t="s">
        <v>348</v>
      </c>
    </row>
    <row r="8755" spans="1:17" x14ac:dyDescent="0.2">
      <c r="A8755" s="133">
        <v>2023</v>
      </c>
      <c r="B8755" s="133">
        <v>5</v>
      </c>
      <c r="C8755" s="168">
        <v>17</v>
      </c>
      <c r="D8755" s="141">
        <f t="shared" ref="D8755:D8770" si="948">DATE(A8755,B8755,C8755)</f>
        <v>45063</v>
      </c>
      <c r="E8755" s="275">
        <f t="shared" ref="E8755:E8770" si="949">DATE(A8755,B8755,C8755)</f>
        <v>45063</v>
      </c>
      <c r="F8755" s="479" t="s">
        <v>1397</v>
      </c>
      <c r="G8755" s="174" t="s">
        <v>74</v>
      </c>
      <c r="H8755" s="148" t="str" cm="1">
        <f t="array" ref="H8755">IFERROR(INDEX(INVESTOR_LIST[INVESTOR NAME],MATCH(I8755,INVESTOR_LIST[INVESTOR CODE],0),)," ")</f>
        <v xml:space="preserve"> </v>
      </c>
      <c r="I8755" s="148" t="s">
        <v>348</v>
      </c>
      <c r="J8755" s="133" t="s">
        <v>52</v>
      </c>
      <c r="K8755" s="172">
        <v>213487.5</v>
      </c>
    </row>
    <row r="8756" spans="1:17" x14ac:dyDescent="0.2">
      <c r="A8756" s="163">
        <v>2023</v>
      </c>
      <c r="B8756" s="163">
        <v>5</v>
      </c>
      <c r="C8756" s="163">
        <v>17</v>
      </c>
      <c r="D8756" s="141">
        <f t="shared" si="948"/>
        <v>45063</v>
      </c>
      <c r="E8756" s="275">
        <f t="shared" si="949"/>
        <v>45063</v>
      </c>
      <c r="F8756" s="480"/>
      <c r="G8756" s="221" t="s">
        <v>74</v>
      </c>
      <c r="H8756" s="145" t="str" cm="1">
        <f t="array" ref="H8756">IFERROR(INDEX(INVESTOR_LIST[INVESTOR NAME],MATCH(I8756,INVESTOR_LIST[INVESTOR CODE],0),)," ")</f>
        <v xml:space="preserve"> </v>
      </c>
      <c r="I8756" s="145" t="s">
        <v>348</v>
      </c>
      <c r="J8756" s="163" t="s">
        <v>166</v>
      </c>
      <c r="K8756" s="219"/>
      <c r="L8756" s="219">
        <v>213487.5</v>
      </c>
    </row>
    <row r="8757" spans="1:17" x14ac:dyDescent="0.2">
      <c r="A8757" s="168">
        <v>2023</v>
      </c>
      <c r="B8757" s="168">
        <v>5</v>
      </c>
      <c r="C8757" s="168">
        <v>17</v>
      </c>
      <c r="D8757" s="141">
        <f t="shared" si="948"/>
        <v>45063</v>
      </c>
      <c r="E8757" s="275">
        <f t="shared" si="949"/>
        <v>45063</v>
      </c>
      <c r="F8757" s="479" t="s">
        <v>1647</v>
      </c>
      <c r="G8757" s="220" t="s">
        <v>74</v>
      </c>
      <c r="H8757" s="220" t="str" cm="1">
        <f t="array" ref="H8757">IFERROR(INDEX(INVESTOR_LIST[INVESTOR NAME],MATCH(I8757,INVESTOR_LIST[INVESTOR CODE],0),)," ")</f>
        <v xml:space="preserve"> </v>
      </c>
      <c r="I8757" s="142"/>
      <c r="J8757" s="143" t="s">
        <v>52</v>
      </c>
      <c r="K8757" s="226">
        <v>727144.78</v>
      </c>
      <c r="L8757" s="226"/>
    </row>
    <row r="8758" spans="1:17" x14ac:dyDescent="0.2">
      <c r="A8758" s="163">
        <v>2023</v>
      </c>
      <c r="B8758" s="163">
        <v>5</v>
      </c>
      <c r="C8758" s="163">
        <v>17</v>
      </c>
      <c r="D8758" s="280">
        <f t="shared" si="948"/>
        <v>45063</v>
      </c>
      <c r="E8758" s="281">
        <f t="shared" si="949"/>
        <v>45063</v>
      </c>
      <c r="F8758" s="480"/>
      <c r="G8758" s="221" t="s">
        <v>74</v>
      </c>
      <c r="H8758" s="221" t="str" cm="1">
        <f t="array" ref="H8758">IFERROR(INDEX(INVESTOR_LIST[INVESTOR NAME],MATCH(I8758,INVESTOR_LIST[INVESTOR CODE],0),)," ")</f>
        <v xml:space="preserve"> </v>
      </c>
      <c r="I8758" s="145"/>
      <c r="J8758" s="146" t="s">
        <v>190</v>
      </c>
      <c r="K8758" s="219"/>
      <c r="L8758" s="219">
        <v>727144.78</v>
      </c>
    </row>
    <row r="8759" spans="1:17" x14ac:dyDescent="0.2">
      <c r="A8759" s="133">
        <v>2023</v>
      </c>
      <c r="B8759" s="133">
        <v>5</v>
      </c>
      <c r="C8759" s="133">
        <v>17</v>
      </c>
      <c r="D8759" s="141">
        <f t="shared" si="948"/>
        <v>45063</v>
      </c>
      <c r="E8759" s="275">
        <f t="shared" si="949"/>
        <v>45063</v>
      </c>
      <c r="F8759" s="481" t="s">
        <v>1499</v>
      </c>
      <c r="G8759" s="174" t="s">
        <v>94</v>
      </c>
      <c r="H8759" s="174" t="str" cm="1">
        <f t="array" ref="H8759">IFERROR(INDEX(INVESTOR_LIST[INVESTOR NAME],MATCH(I8759,INVESTOR_LIST[INVESTOR CODE],0),)," ")</f>
        <v xml:space="preserve"> </v>
      </c>
      <c r="J8759" s="149" t="s">
        <v>190</v>
      </c>
      <c r="K8759" s="218">
        <v>527548.69999999995</v>
      </c>
      <c r="L8759" s="218"/>
      <c r="M8759" s="160"/>
    </row>
    <row r="8760" spans="1:17" x14ac:dyDescent="0.2">
      <c r="A8760" s="133">
        <v>2023</v>
      </c>
      <c r="B8760" s="133">
        <v>5</v>
      </c>
      <c r="C8760" s="133">
        <v>17</v>
      </c>
      <c r="D8760" s="141">
        <f t="shared" si="948"/>
        <v>45063</v>
      </c>
      <c r="E8760" s="275">
        <f t="shared" si="949"/>
        <v>45063</v>
      </c>
      <c r="F8760" s="481"/>
      <c r="G8760" s="174" t="s">
        <v>94</v>
      </c>
      <c r="H8760" s="174"/>
      <c r="J8760" s="149" t="s">
        <v>80</v>
      </c>
      <c r="K8760" s="218">
        <v>951.3</v>
      </c>
      <c r="L8760" s="218"/>
    </row>
    <row r="8761" spans="1:17" x14ac:dyDescent="0.2">
      <c r="A8761" s="133">
        <v>2023</v>
      </c>
      <c r="B8761" s="133">
        <v>5</v>
      </c>
      <c r="C8761" s="133">
        <v>17</v>
      </c>
      <c r="D8761" s="141">
        <f t="shared" si="948"/>
        <v>45063</v>
      </c>
      <c r="E8761" s="275">
        <f t="shared" si="949"/>
        <v>45063</v>
      </c>
      <c r="F8761" s="481"/>
      <c r="G8761" s="174" t="s">
        <v>94</v>
      </c>
      <c r="H8761" s="174" t="str" cm="1">
        <f t="array" ref="H8761">IFERROR(INDEX(INVESTOR_LIST[INVESTOR NAME],MATCH(I8761,INVESTOR_LIST[INVESTOR CODE],0),)," ")</f>
        <v xml:space="preserve"> </v>
      </c>
      <c r="J8761" s="149" t="s">
        <v>191</v>
      </c>
      <c r="K8761" s="218"/>
      <c r="L8761" s="218">
        <v>178500</v>
      </c>
    </row>
    <row r="8762" spans="1:17" x14ac:dyDescent="0.2">
      <c r="A8762" s="163">
        <v>2023</v>
      </c>
      <c r="B8762" s="163">
        <v>5</v>
      </c>
      <c r="C8762" s="163">
        <v>17</v>
      </c>
      <c r="D8762" s="280">
        <f t="shared" si="948"/>
        <v>45063</v>
      </c>
      <c r="E8762" s="281">
        <f t="shared" si="949"/>
        <v>45063</v>
      </c>
      <c r="F8762" s="480"/>
      <c r="G8762" s="221" t="s">
        <v>94</v>
      </c>
      <c r="H8762" s="145" t="str" cm="1">
        <f t="array" ref="H8762">IFERROR(INDEX(INVESTOR_LIST[INVESTOR NAME],MATCH(I8762,INVESTOR_LIST[INVESTOR CODE],0),)," ")</f>
        <v xml:space="preserve"> </v>
      </c>
      <c r="I8762" s="145"/>
      <c r="J8762" s="163" t="s">
        <v>79</v>
      </c>
      <c r="K8762" s="219"/>
      <c r="L8762" s="219">
        <v>350000</v>
      </c>
    </row>
    <row r="8763" spans="1:17" x14ac:dyDescent="0.2">
      <c r="A8763" s="133">
        <v>2023</v>
      </c>
      <c r="B8763" s="133">
        <v>5</v>
      </c>
      <c r="C8763" s="133">
        <v>18</v>
      </c>
      <c r="D8763" s="141">
        <f t="shared" si="948"/>
        <v>45064</v>
      </c>
      <c r="E8763" s="275">
        <f t="shared" si="949"/>
        <v>45064</v>
      </c>
      <c r="F8763" s="481" t="s">
        <v>982</v>
      </c>
      <c r="G8763" s="174" t="s">
        <v>74</v>
      </c>
      <c r="H8763" s="174" t="str" cm="1">
        <f t="array" ref="H8763">IFERROR(INDEX(INVESTOR_LIST[INVESTOR NAME],MATCH(I8763,INVESTOR_LIST[INVESTOR CODE],0),)," ")</f>
        <v xml:space="preserve"> </v>
      </c>
      <c r="I8763" s="148" t="s">
        <v>348</v>
      </c>
      <c r="J8763" s="149" t="s">
        <v>163</v>
      </c>
      <c r="K8763" s="218">
        <v>13750</v>
      </c>
      <c r="L8763" s="218"/>
    </row>
    <row r="8764" spans="1:17" x14ac:dyDescent="0.2">
      <c r="A8764" s="163">
        <v>2023</v>
      </c>
      <c r="B8764" s="163">
        <v>5</v>
      </c>
      <c r="C8764" s="163">
        <v>18</v>
      </c>
      <c r="D8764" s="141">
        <f t="shared" si="948"/>
        <v>45064</v>
      </c>
      <c r="E8764" s="275">
        <f t="shared" si="949"/>
        <v>45064</v>
      </c>
      <c r="F8764" s="480"/>
      <c r="G8764" s="221" t="s">
        <v>74</v>
      </c>
      <c r="H8764" s="221" t="str" cm="1">
        <f t="array" ref="H8764">IFERROR(INDEX(INVESTOR_LIST[INVESTOR NAME],MATCH(I8764,INVESTOR_LIST[INVESTOR CODE],0),)," ")</f>
        <v xml:space="preserve"> </v>
      </c>
      <c r="I8764" s="145" t="s">
        <v>348</v>
      </c>
      <c r="J8764" s="146" t="s">
        <v>52</v>
      </c>
      <c r="K8764" s="219"/>
      <c r="L8764" s="219">
        <v>13750</v>
      </c>
    </row>
    <row r="8765" spans="1:17" x14ac:dyDescent="0.2">
      <c r="A8765" s="168">
        <v>2023</v>
      </c>
      <c r="B8765" s="168">
        <v>5</v>
      </c>
      <c r="C8765" s="168">
        <v>18</v>
      </c>
      <c r="D8765" s="141">
        <f t="shared" si="948"/>
        <v>45064</v>
      </c>
      <c r="E8765" s="275">
        <f t="shared" si="949"/>
        <v>45064</v>
      </c>
      <c r="F8765" s="479" t="s">
        <v>1691</v>
      </c>
      <c r="G8765" s="220" t="s">
        <v>74</v>
      </c>
      <c r="H8765" s="220" t="str" cm="1">
        <f t="array" ref="H8765">IFERROR(INDEX(INVESTOR_LIST[INVESTOR NAME],MATCH(I8765,INVESTOR_LIST[INVESTOR CODE],0),)," ")</f>
        <v xml:space="preserve"> </v>
      </c>
      <c r="I8765" s="142" t="s">
        <v>348</v>
      </c>
      <c r="J8765" s="143" t="s">
        <v>104</v>
      </c>
      <c r="K8765" s="226">
        <v>186.83</v>
      </c>
      <c r="L8765" s="226"/>
    </row>
    <row r="8766" spans="1:17" x14ac:dyDescent="0.2">
      <c r="A8766" s="163">
        <v>2023</v>
      </c>
      <c r="B8766" s="163">
        <v>5</v>
      </c>
      <c r="C8766" s="163">
        <v>18</v>
      </c>
      <c r="D8766" s="141">
        <f t="shared" si="948"/>
        <v>45064</v>
      </c>
      <c r="E8766" s="275">
        <f t="shared" si="949"/>
        <v>45064</v>
      </c>
      <c r="F8766" s="480"/>
      <c r="G8766" s="221" t="s">
        <v>74</v>
      </c>
      <c r="H8766" s="221" t="str" cm="1">
        <f t="array" ref="H8766">IFERROR(INDEX(INVESTOR_LIST[INVESTOR NAME],MATCH(I8766,INVESTOR_LIST[INVESTOR CODE],0),)," ")</f>
        <v xml:space="preserve"> </v>
      </c>
      <c r="I8766" s="145" t="s">
        <v>348</v>
      </c>
      <c r="J8766" s="146" t="s">
        <v>52</v>
      </c>
      <c r="K8766" s="219"/>
      <c r="L8766" s="219">
        <v>186.83</v>
      </c>
    </row>
    <row r="8767" spans="1:17" ht="10.15" customHeight="1" x14ac:dyDescent="0.2">
      <c r="A8767" s="133">
        <v>2023</v>
      </c>
      <c r="B8767" s="133">
        <v>5</v>
      </c>
      <c r="C8767" s="133">
        <v>18</v>
      </c>
      <c r="D8767" s="141">
        <f t="shared" si="948"/>
        <v>45064</v>
      </c>
      <c r="E8767" s="275">
        <f t="shared" si="949"/>
        <v>45064</v>
      </c>
      <c r="F8767" s="481" t="s">
        <v>1700</v>
      </c>
      <c r="G8767" s="174" t="s">
        <v>74</v>
      </c>
      <c r="H8767" s="174"/>
      <c r="J8767" s="149" t="s">
        <v>96</v>
      </c>
      <c r="K8767" s="226">
        <v>1000000</v>
      </c>
      <c r="L8767" s="226"/>
    </row>
    <row r="8768" spans="1:17" ht="10.15" customHeight="1" x14ac:dyDescent="0.2">
      <c r="A8768" s="133">
        <v>2023</v>
      </c>
      <c r="B8768" s="133">
        <v>5</v>
      </c>
      <c r="C8768" s="133">
        <v>18</v>
      </c>
      <c r="D8768" s="141">
        <f t="shared" si="948"/>
        <v>45064</v>
      </c>
      <c r="E8768" s="275">
        <f t="shared" si="949"/>
        <v>45064</v>
      </c>
      <c r="F8768" s="481"/>
      <c r="G8768" s="174" t="s">
        <v>74</v>
      </c>
      <c r="H8768" s="174" t="str" cm="1">
        <f t="array" ref="H8768">IFERROR(INDEX(INVESTOR_LIST[INVESTOR NAME],MATCH(I8768,INVESTOR_LIST[INVESTOR CODE],0),)," ")</f>
        <v xml:space="preserve"> </v>
      </c>
      <c r="I8768" s="148" t="s">
        <v>348</v>
      </c>
      <c r="J8768" s="149" t="s">
        <v>52</v>
      </c>
      <c r="K8768" s="218">
        <v>18750</v>
      </c>
      <c r="L8768" s="218"/>
    </row>
    <row r="8769" spans="1:14" ht="10.15" customHeight="1" x14ac:dyDescent="0.2">
      <c r="A8769" s="133">
        <v>2023</v>
      </c>
      <c r="B8769" s="133">
        <v>5</v>
      </c>
      <c r="C8769" s="133">
        <v>18</v>
      </c>
      <c r="D8769" s="141">
        <f t="shared" si="948"/>
        <v>45064</v>
      </c>
      <c r="E8769" s="275">
        <f t="shared" si="949"/>
        <v>45064</v>
      </c>
      <c r="F8769" s="481"/>
      <c r="G8769" s="174" t="s">
        <v>74</v>
      </c>
      <c r="H8769" s="174" t="str" cm="1">
        <f t="array" ref="H8769">IFERROR(INDEX(INVESTOR_LIST[INVESTOR NAME],MATCH(I8769,INVESTOR_LIST[INVESTOR CODE],0),)," ")</f>
        <v xml:space="preserve"> </v>
      </c>
      <c r="J8769" s="149" t="s">
        <v>133</v>
      </c>
      <c r="K8769" s="218"/>
      <c r="L8769" s="218">
        <v>18750</v>
      </c>
    </row>
    <row r="8770" spans="1:14" ht="10.15" customHeight="1" x14ac:dyDescent="0.2">
      <c r="A8770" s="163">
        <v>2023</v>
      </c>
      <c r="B8770" s="163">
        <v>5</v>
      </c>
      <c r="C8770" s="163">
        <v>18</v>
      </c>
      <c r="D8770" s="141">
        <f t="shared" si="948"/>
        <v>45064</v>
      </c>
      <c r="E8770" s="275">
        <f t="shared" si="949"/>
        <v>45064</v>
      </c>
      <c r="F8770" s="480"/>
      <c r="G8770" s="174" t="s">
        <v>74</v>
      </c>
      <c r="H8770" s="174"/>
      <c r="J8770" s="149" t="s">
        <v>96</v>
      </c>
      <c r="K8770" s="219"/>
      <c r="L8770" s="219">
        <v>1000000</v>
      </c>
    </row>
    <row r="8771" spans="1:14" x14ac:dyDescent="0.2">
      <c r="A8771" s="168">
        <v>2023</v>
      </c>
      <c r="B8771" s="168">
        <v>5</v>
      </c>
      <c r="C8771" s="168">
        <v>18</v>
      </c>
      <c r="D8771" s="141">
        <f t="shared" ref="D8771:D8772" si="950">DATE(A8771,B8771,C8771)</f>
        <v>45064</v>
      </c>
      <c r="E8771" s="275">
        <f t="shared" ref="E8771:E8772" si="951">DATE(A8771,B8771,C8771)</f>
        <v>45064</v>
      </c>
      <c r="F8771" s="479" t="s">
        <v>1647</v>
      </c>
      <c r="G8771" s="220" t="s">
        <v>74</v>
      </c>
      <c r="H8771" s="220" t="str" cm="1">
        <f t="array" ref="H8771">IFERROR(INDEX(INVESTOR_LIST[INVESTOR NAME],MATCH(I8771,INVESTOR_LIST[INVESTOR CODE],0),)," ")</f>
        <v xml:space="preserve"> </v>
      </c>
      <c r="I8771" s="142"/>
      <c r="J8771" s="143" t="s">
        <v>52</v>
      </c>
      <c r="K8771" s="226">
        <v>1183865.2</v>
      </c>
      <c r="L8771" s="226"/>
    </row>
    <row r="8772" spans="1:14" x14ac:dyDescent="0.2">
      <c r="A8772" s="163">
        <v>2023</v>
      </c>
      <c r="B8772" s="163">
        <v>5</v>
      </c>
      <c r="C8772" s="163">
        <v>18</v>
      </c>
      <c r="D8772" s="280">
        <f t="shared" si="950"/>
        <v>45064</v>
      </c>
      <c r="E8772" s="281">
        <f t="shared" si="951"/>
        <v>45064</v>
      </c>
      <c r="F8772" s="480"/>
      <c r="G8772" s="221" t="s">
        <v>74</v>
      </c>
      <c r="H8772" s="221" t="str" cm="1">
        <f t="array" ref="H8772">IFERROR(INDEX(INVESTOR_LIST[INVESTOR NAME],MATCH(I8772,INVESTOR_LIST[INVESTOR CODE],0),)," ")</f>
        <v xml:space="preserve"> </v>
      </c>
      <c r="I8772" s="145"/>
      <c r="J8772" s="146" t="s">
        <v>190</v>
      </c>
      <c r="K8772" s="219"/>
      <c r="L8772" s="219">
        <v>1183865.2</v>
      </c>
    </row>
    <row r="8773" spans="1:14" x14ac:dyDescent="0.2">
      <c r="A8773" s="324">
        <v>2023</v>
      </c>
      <c r="B8773" s="324">
        <v>5</v>
      </c>
      <c r="C8773" s="325">
        <v>18</v>
      </c>
      <c r="D8773" s="326">
        <f>DATE(A8773,B8773,C8773)</f>
        <v>45064</v>
      </c>
      <c r="E8773" s="327">
        <f>DATE(A8773,B8773,C8773)</f>
        <v>45064</v>
      </c>
      <c r="F8773" s="473" t="s">
        <v>1634</v>
      </c>
      <c r="G8773" s="340" t="s">
        <v>94</v>
      </c>
      <c r="H8773" s="341" t="str" cm="1">
        <f t="array" ref="H8773">IFERROR(INDEX(INVESTOR_LIST[INVESTOR NAME],MATCH(I8773,INVESTOR_LIST[INVESTOR CODE],0),)," ")</f>
        <v xml:space="preserve"> </v>
      </c>
      <c r="I8773" s="341" t="s">
        <v>348</v>
      </c>
      <c r="J8773" s="325" t="s">
        <v>133</v>
      </c>
      <c r="K8773" s="330"/>
      <c r="L8773" s="330"/>
      <c r="M8773" s="160"/>
    </row>
    <row r="8774" spans="1:14" x14ac:dyDescent="0.2">
      <c r="A8774" s="331">
        <v>2023</v>
      </c>
      <c r="B8774" s="331">
        <v>5</v>
      </c>
      <c r="C8774" s="331">
        <v>18</v>
      </c>
      <c r="D8774" s="326">
        <f>DATE(A8774,B8774,C8774)</f>
        <v>45064</v>
      </c>
      <c r="E8774" s="327">
        <f>DATE(A8774,B8774,C8774)</f>
        <v>45064</v>
      </c>
      <c r="F8774" s="474"/>
      <c r="G8774" s="332" t="s">
        <v>94</v>
      </c>
      <c r="H8774" s="333" t="str" cm="1">
        <f t="array" ref="H8774">IFERROR(INDEX(INVESTOR_LIST[INVESTOR NAME],MATCH(I8774,INVESTOR_LIST[INVESTOR CODE],0),)," ")</f>
        <v xml:space="preserve"> </v>
      </c>
      <c r="I8774" s="333" t="s">
        <v>348</v>
      </c>
      <c r="J8774" s="331" t="s">
        <v>152</v>
      </c>
      <c r="K8774" s="334"/>
      <c r="L8774" s="334"/>
      <c r="M8774" s="160"/>
    </row>
    <row r="8775" spans="1:14" x14ac:dyDescent="0.2">
      <c r="A8775" s="324">
        <v>2023</v>
      </c>
      <c r="B8775" s="324">
        <v>5</v>
      </c>
      <c r="C8775" s="325">
        <v>18</v>
      </c>
      <c r="D8775" s="326">
        <f t="shared" ref="D8775:D8778" si="952">DATE(A8775,B8775,C8775)</f>
        <v>45064</v>
      </c>
      <c r="E8775" s="327">
        <f t="shared" ref="E8775:E8778" si="953">DATE(A8775,B8775,C8775)</f>
        <v>45064</v>
      </c>
      <c r="F8775" s="473" t="s">
        <v>1490</v>
      </c>
      <c r="G8775" s="328" t="s">
        <v>94</v>
      </c>
      <c r="H8775" s="329" t="str" cm="1">
        <f t="array" ref="H8775">IFERROR(INDEX(INVESTOR_LIST[INVESTOR NAME],MATCH(I8775,INVESTOR_LIST[INVESTOR CODE],0),)," ")</f>
        <v xml:space="preserve"> </v>
      </c>
      <c r="I8775" s="329" t="s">
        <v>348</v>
      </c>
      <c r="J8775" s="325" t="s">
        <v>133</v>
      </c>
      <c r="K8775" s="330">
        <v>23479.68</v>
      </c>
      <c r="L8775" s="330"/>
      <c r="M8775" s="160"/>
    </row>
    <row r="8776" spans="1:14" x14ac:dyDescent="0.2">
      <c r="A8776" s="331">
        <v>2023</v>
      </c>
      <c r="B8776" s="331">
        <v>5</v>
      </c>
      <c r="C8776" s="331">
        <v>18</v>
      </c>
      <c r="D8776" s="326">
        <f t="shared" si="952"/>
        <v>45064</v>
      </c>
      <c r="E8776" s="327">
        <f t="shared" si="953"/>
        <v>45064</v>
      </c>
      <c r="F8776" s="474"/>
      <c r="G8776" s="332" t="s">
        <v>94</v>
      </c>
      <c r="H8776" s="333" t="str" cm="1">
        <f t="array" ref="H8776">IFERROR(INDEX(INVESTOR_LIST[INVESTOR NAME],MATCH(I8776,INVESTOR_LIST[INVESTOR CODE],0),)," ")</f>
        <v xml:space="preserve"> </v>
      </c>
      <c r="I8776" s="333" t="s">
        <v>348</v>
      </c>
      <c r="J8776" s="331" t="s">
        <v>152</v>
      </c>
      <c r="K8776" s="334"/>
      <c r="L8776" s="334">
        <v>23479.68</v>
      </c>
      <c r="M8776" s="160"/>
      <c r="N8776" s="160"/>
    </row>
    <row r="8777" spans="1:14" x14ac:dyDescent="0.2">
      <c r="A8777" s="324">
        <v>2023</v>
      </c>
      <c r="B8777" s="324">
        <v>5</v>
      </c>
      <c r="C8777" s="325">
        <v>18</v>
      </c>
      <c r="D8777" s="326">
        <f t="shared" si="952"/>
        <v>45064</v>
      </c>
      <c r="E8777" s="327">
        <f t="shared" si="953"/>
        <v>45064</v>
      </c>
      <c r="F8777" s="473" t="s">
        <v>1491</v>
      </c>
      <c r="G8777" s="328" t="s">
        <v>94</v>
      </c>
      <c r="H8777" s="329" t="str" cm="1">
        <f t="array" ref="H8777">IFERROR(INDEX(INVESTOR_LIST[INVESTOR NAME],MATCH(I8777,INVESTOR_LIST[INVESTOR CODE],0),)," ")</f>
        <v xml:space="preserve"> </v>
      </c>
      <c r="I8777" s="329" t="s">
        <v>348</v>
      </c>
      <c r="J8777" s="324" t="s">
        <v>133</v>
      </c>
      <c r="K8777" s="330">
        <v>13413.46</v>
      </c>
      <c r="L8777" s="330"/>
      <c r="M8777" s="160"/>
      <c r="N8777" s="160"/>
    </row>
    <row r="8778" spans="1:14" x14ac:dyDescent="0.2">
      <c r="A8778" s="331">
        <v>2023</v>
      </c>
      <c r="B8778" s="331">
        <v>5</v>
      </c>
      <c r="C8778" s="331">
        <v>18</v>
      </c>
      <c r="D8778" s="326">
        <f t="shared" si="952"/>
        <v>45064</v>
      </c>
      <c r="E8778" s="327">
        <f t="shared" si="953"/>
        <v>45064</v>
      </c>
      <c r="F8778" s="474"/>
      <c r="G8778" s="332" t="s">
        <v>94</v>
      </c>
      <c r="H8778" s="333" t="str" cm="1">
        <f t="array" ref="H8778">IFERROR(INDEX(INVESTOR_LIST[INVESTOR NAME],MATCH(I8778,INVESTOR_LIST[INVESTOR CODE],0),)," ")</f>
        <v xml:space="preserve"> </v>
      </c>
      <c r="I8778" s="333" t="s">
        <v>348</v>
      </c>
      <c r="J8778" s="331" t="s">
        <v>152</v>
      </c>
      <c r="K8778" s="334"/>
      <c r="L8778" s="334">
        <v>13413.46</v>
      </c>
      <c r="M8778" s="160"/>
    </row>
    <row r="8779" spans="1:14" x14ac:dyDescent="0.2">
      <c r="A8779" s="324">
        <v>2023</v>
      </c>
      <c r="B8779" s="324">
        <v>5</v>
      </c>
      <c r="C8779" s="325">
        <v>18</v>
      </c>
      <c r="D8779" s="326">
        <f>DATE(A8779,B8779,C8779)</f>
        <v>45064</v>
      </c>
      <c r="E8779" s="327">
        <f>DATE(A8779,B8779,C8779)</f>
        <v>45064</v>
      </c>
      <c r="F8779" s="473" t="s">
        <v>1531</v>
      </c>
      <c r="G8779" s="328" t="s">
        <v>94</v>
      </c>
      <c r="H8779" s="329" t="str" cm="1">
        <f t="array" ref="H8779">IFERROR(INDEX(INVESTOR_LIST[INVESTOR NAME],MATCH(I8779,INVESTOR_LIST[INVESTOR CODE],0),)," ")</f>
        <v xml:space="preserve"> </v>
      </c>
      <c r="I8779" s="329" t="s">
        <v>348</v>
      </c>
      <c r="J8779" s="324" t="s">
        <v>133</v>
      </c>
      <c r="K8779" s="330">
        <v>22589.56</v>
      </c>
      <c r="L8779" s="330"/>
      <c r="M8779" s="160"/>
    </row>
    <row r="8780" spans="1:14" x14ac:dyDescent="0.2">
      <c r="A8780" s="331">
        <v>2023</v>
      </c>
      <c r="B8780" s="331">
        <v>5</v>
      </c>
      <c r="C8780" s="331">
        <v>18</v>
      </c>
      <c r="D8780" s="326">
        <f>DATE(A8780,B8780,C8780)</f>
        <v>45064</v>
      </c>
      <c r="E8780" s="327">
        <f>DATE(A8780,B8780,C8780)</f>
        <v>45064</v>
      </c>
      <c r="F8780" s="474"/>
      <c r="G8780" s="332" t="s">
        <v>94</v>
      </c>
      <c r="H8780" s="333" t="str" cm="1">
        <f t="array" ref="H8780">IFERROR(INDEX(INVESTOR_LIST[INVESTOR NAME],MATCH(I8780,INVESTOR_LIST[INVESTOR CODE],0),)," ")</f>
        <v xml:space="preserve"> </v>
      </c>
      <c r="I8780" s="333" t="s">
        <v>348</v>
      </c>
      <c r="J8780" s="331" t="s">
        <v>152</v>
      </c>
      <c r="K8780" s="334"/>
      <c r="L8780" s="334">
        <v>22589.56</v>
      </c>
      <c r="M8780" s="160"/>
    </row>
    <row r="8781" spans="1:14" x14ac:dyDescent="0.2">
      <c r="A8781" s="238">
        <v>2023</v>
      </c>
      <c r="B8781" s="238">
        <v>5</v>
      </c>
      <c r="C8781" s="238">
        <v>18</v>
      </c>
      <c r="D8781" s="270">
        <f t="shared" ref="D8781:D8790" si="954">DATE(A8781,B8781,C8781)</f>
        <v>45064</v>
      </c>
      <c r="E8781" s="279">
        <f t="shared" ref="E8781:E8790" si="955">DATE(A8781,B8781,C8781)</f>
        <v>45064</v>
      </c>
      <c r="F8781" s="477" t="s">
        <v>347</v>
      </c>
      <c r="G8781" s="239" t="s">
        <v>94</v>
      </c>
      <c r="H8781" s="239" t="str" cm="1">
        <f t="array" ref="H8781">IFERROR(INDEX(INVESTOR_LIST[INVESTOR NAME],MATCH(I8781,INVESTOR_LIST[INVESTOR CODE],0),)," ")</f>
        <v xml:space="preserve"> </v>
      </c>
      <c r="I8781" s="262" t="s">
        <v>348</v>
      </c>
      <c r="J8781" s="240" t="s">
        <v>82</v>
      </c>
      <c r="K8781" s="241">
        <v>1301023.1899999827</v>
      </c>
      <c r="L8781" s="241"/>
    </row>
    <row r="8782" spans="1:14" x14ac:dyDescent="0.2">
      <c r="A8782" s="242">
        <v>2023</v>
      </c>
      <c r="B8782" s="242">
        <v>5</v>
      </c>
      <c r="C8782" s="242">
        <v>18</v>
      </c>
      <c r="D8782" s="270">
        <f t="shared" si="954"/>
        <v>45064</v>
      </c>
      <c r="E8782" s="279">
        <f t="shared" si="955"/>
        <v>45064</v>
      </c>
      <c r="F8782" s="478"/>
      <c r="G8782" s="243" t="s">
        <v>94</v>
      </c>
      <c r="H8782" s="243" t="str" cm="1">
        <f t="array" ref="H8782">IFERROR(INDEX(INVESTOR_LIST[INVESTOR NAME],MATCH(I8782,INVESTOR_LIST[INVESTOR CODE],0),)," ")</f>
        <v xml:space="preserve"> </v>
      </c>
      <c r="I8782" s="263" t="s">
        <v>348</v>
      </c>
      <c r="J8782" s="244" t="s">
        <v>108</v>
      </c>
      <c r="K8782" s="245"/>
      <c r="L8782" s="245">
        <v>1301023.1899999827</v>
      </c>
    </row>
    <row r="8783" spans="1:14" ht="22.5" x14ac:dyDescent="0.2">
      <c r="A8783" s="246">
        <v>2023</v>
      </c>
      <c r="B8783" s="238">
        <v>5</v>
      </c>
      <c r="C8783" s="238">
        <v>18</v>
      </c>
      <c r="D8783" s="270">
        <f t="shared" si="954"/>
        <v>45064</v>
      </c>
      <c r="E8783" s="279">
        <f t="shared" si="955"/>
        <v>45064</v>
      </c>
      <c r="F8783" s="482" t="s">
        <v>148</v>
      </c>
      <c r="G8783" s="247" t="s">
        <v>94</v>
      </c>
      <c r="H8783" s="247" t="str" cm="1">
        <f t="array" ref="H8783">IFERROR(INDEX(INVESTOR_LIST[INVESTOR NAME],MATCH(I8783,INVESTOR_LIST[INVESTOR CODE],0),)," ")</f>
        <v xml:space="preserve"> </v>
      </c>
      <c r="I8783" s="248" t="s">
        <v>348</v>
      </c>
      <c r="J8783" s="249" t="s">
        <v>95</v>
      </c>
      <c r="K8783" s="250">
        <v>2747.2527472527472</v>
      </c>
      <c r="L8783" s="241"/>
    </row>
    <row r="8784" spans="1:14" x14ac:dyDescent="0.2">
      <c r="A8784" s="242">
        <v>2023</v>
      </c>
      <c r="B8784" s="242">
        <v>5</v>
      </c>
      <c r="C8784" s="242">
        <v>18</v>
      </c>
      <c r="D8784" s="270">
        <f t="shared" si="954"/>
        <v>45064</v>
      </c>
      <c r="E8784" s="279">
        <f t="shared" si="955"/>
        <v>45064</v>
      </c>
      <c r="F8784" s="478"/>
      <c r="G8784" s="243" t="s">
        <v>94</v>
      </c>
      <c r="H8784" s="243" t="str" cm="1">
        <f t="array" ref="H8784">IFERROR(INDEX(INVESTOR_LIST[INVESTOR NAME],MATCH(I8784,INVESTOR_LIST[INVESTOR CODE],0),)," ")</f>
        <v xml:space="preserve"> </v>
      </c>
      <c r="I8784" s="263" t="s">
        <v>348</v>
      </c>
      <c r="J8784" s="244" t="s">
        <v>63</v>
      </c>
      <c r="K8784" s="245"/>
      <c r="L8784" s="245">
        <v>2747.2527472527472</v>
      </c>
    </row>
    <row r="8785" spans="1:13" x14ac:dyDescent="0.2">
      <c r="A8785" s="246">
        <v>2023</v>
      </c>
      <c r="B8785" s="238">
        <v>5</v>
      </c>
      <c r="C8785" s="238">
        <v>18</v>
      </c>
      <c r="D8785" s="270">
        <f t="shared" si="954"/>
        <v>45064</v>
      </c>
      <c r="E8785" s="279">
        <f t="shared" si="955"/>
        <v>45064</v>
      </c>
      <c r="F8785" s="482" t="s">
        <v>137</v>
      </c>
      <c r="G8785" s="247" t="s">
        <v>94</v>
      </c>
      <c r="H8785" s="247" t="str" cm="1">
        <f t="array" ref="H8785">IFERROR(INDEX(INVESTOR_LIST[INVESTOR NAME],MATCH(I8785,INVESTOR_LIST[INVESTOR CODE],0),)," ")</f>
        <v xml:space="preserve"> </v>
      </c>
      <c r="I8785" s="248" t="s">
        <v>348</v>
      </c>
      <c r="J8785" s="249" t="s">
        <v>97</v>
      </c>
      <c r="K8785" s="250">
        <v>33624.823210333794</v>
      </c>
      <c r="L8785" s="252"/>
    </row>
    <row r="8786" spans="1:13" x14ac:dyDescent="0.2">
      <c r="A8786" s="242">
        <v>2023</v>
      </c>
      <c r="B8786" s="242">
        <v>5</v>
      </c>
      <c r="C8786" s="242">
        <v>18</v>
      </c>
      <c r="D8786" s="270">
        <f t="shared" si="954"/>
        <v>45064</v>
      </c>
      <c r="E8786" s="279">
        <f t="shared" si="955"/>
        <v>45064</v>
      </c>
      <c r="F8786" s="478"/>
      <c r="G8786" s="243" t="s">
        <v>94</v>
      </c>
      <c r="H8786" s="243" t="str" cm="1">
        <f t="array" ref="H8786">IFERROR(INDEX(INVESTOR_LIST[INVESTOR NAME],MATCH(I8786,INVESTOR_LIST[INVESTOR CODE],0),)," ")</f>
        <v xml:space="preserve"> </v>
      </c>
      <c r="I8786" s="263" t="s">
        <v>348</v>
      </c>
      <c r="J8786" s="244" t="s">
        <v>47</v>
      </c>
      <c r="K8786" s="245"/>
      <c r="L8786" s="245">
        <v>33624.823210333794</v>
      </c>
    </row>
    <row r="8787" spans="1:13" x14ac:dyDescent="0.2">
      <c r="A8787" s="246">
        <v>2023</v>
      </c>
      <c r="B8787" s="238">
        <v>5</v>
      </c>
      <c r="C8787" s="238">
        <v>18</v>
      </c>
      <c r="D8787" s="270">
        <f t="shared" si="954"/>
        <v>45064</v>
      </c>
      <c r="E8787" s="279">
        <f t="shared" si="955"/>
        <v>45064</v>
      </c>
      <c r="F8787" s="482" t="s">
        <v>138</v>
      </c>
      <c r="G8787" s="247" t="s">
        <v>94</v>
      </c>
      <c r="H8787" s="247" t="str" cm="1">
        <f t="array" ref="H8787">IFERROR(INDEX(INVESTOR_LIST[INVESTOR NAME],MATCH(I8787,INVESTOR_LIST[INVESTOR CODE],0),)," ")</f>
        <v xml:space="preserve"> </v>
      </c>
      <c r="I8787" s="248" t="s">
        <v>348</v>
      </c>
      <c r="J8787" s="249" t="s">
        <v>100</v>
      </c>
      <c r="K8787" s="250">
        <v>3362.4823210333789</v>
      </c>
      <c r="L8787" s="252"/>
    </row>
    <row r="8788" spans="1:13" ht="10.9" customHeight="1" x14ac:dyDescent="0.2">
      <c r="A8788" s="242">
        <v>2023</v>
      </c>
      <c r="B8788" s="242">
        <v>5</v>
      </c>
      <c r="C8788" s="242">
        <v>18</v>
      </c>
      <c r="D8788" s="321">
        <f t="shared" si="954"/>
        <v>45064</v>
      </c>
      <c r="E8788" s="322">
        <f t="shared" si="955"/>
        <v>45064</v>
      </c>
      <c r="F8788" s="478"/>
      <c r="G8788" s="243" t="s">
        <v>94</v>
      </c>
      <c r="H8788" s="243" t="str" cm="1">
        <f t="array" ref="H8788">IFERROR(INDEX(INVESTOR_LIST[INVESTOR NAME],MATCH(I8788,INVESTOR_LIST[INVESTOR CODE],0),)," ")</f>
        <v xml:space="preserve"> </v>
      </c>
      <c r="I8788" s="263" t="s">
        <v>348</v>
      </c>
      <c r="J8788" s="244" t="s">
        <v>48</v>
      </c>
      <c r="K8788" s="245"/>
      <c r="L8788" s="245">
        <v>3362.4823210333789</v>
      </c>
    </row>
    <row r="8789" spans="1:13" x14ac:dyDescent="0.2">
      <c r="A8789" s="168">
        <v>2023</v>
      </c>
      <c r="B8789" s="168">
        <v>5</v>
      </c>
      <c r="C8789" s="133">
        <v>21</v>
      </c>
      <c r="D8789" s="141">
        <f t="shared" si="954"/>
        <v>45067</v>
      </c>
      <c r="E8789" s="275">
        <f t="shared" si="955"/>
        <v>45067</v>
      </c>
      <c r="F8789" s="479" t="s">
        <v>1693</v>
      </c>
      <c r="G8789" s="220" t="s">
        <v>74</v>
      </c>
      <c r="H8789" s="220" t="str" cm="1">
        <f t="array" ref="H8789">IFERROR(INDEX(INVESTOR_LIST[INVESTOR NAME],MATCH(I8789,INVESTOR_LIST[INVESTOR CODE],0),)," ")</f>
        <v xml:space="preserve"> </v>
      </c>
      <c r="I8789" s="142" t="s">
        <v>348</v>
      </c>
      <c r="J8789" s="143" t="s">
        <v>79</v>
      </c>
      <c r="K8789" s="226">
        <v>48030</v>
      </c>
      <c r="L8789" s="226"/>
    </row>
    <row r="8790" spans="1:13" x14ac:dyDescent="0.2">
      <c r="A8790" s="133">
        <v>2023</v>
      </c>
      <c r="B8790" s="133">
        <v>5</v>
      </c>
      <c r="C8790" s="133">
        <v>21</v>
      </c>
      <c r="D8790" s="141">
        <f t="shared" si="954"/>
        <v>45067</v>
      </c>
      <c r="E8790" s="275">
        <f t="shared" si="955"/>
        <v>45067</v>
      </c>
      <c r="F8790" s="481"/>
      <c r="G8790" s="174" t="s">
        <v>74</v>
      </c>
      <c r="H8790" s="174" t="str" cm="1">
        <f t="array" ref="H8790">IFERROR(INDEX(INVESTOR_LIST[INVESTOR NAME],MATCH(I8790,INVESTOR_LIST[INVESTOR CODE],0),)," ")</f>
        <v xml:space="preserve"> </v>
      </c>
      <c r="I8790" s="148" t="s">
        <v>348</v>
      </c>
      <c r="J8790" s="149" t="s">
        <v>52</v>
      </c>
      <c r="K8790" s="218">
        <v>2351970</v>
      </c>
      <c r="L8790" s="218"/>
    </row>
    <row r="8791" spans="1:13" x14ac:dyDescent="0.2">
      <c r="A8791" s="163">
        <v>2023</v>
      </c>
      <c r="B8791" s="163">
        <v>5</v>
      </c>
      <c r="C8791" s="163">
        <v>21</v>
      </c>
      <c r="D8791" s="141">
        <f>DATE(A8791,B8791,C8791)</f>
        <v>45067</v>
      </c>
      <c r="E8791" s="275">
        <f>DATE(A8791,B8791,C8791)</f>
        <v>45067</v>
      </c>
      <c r="F8791" s="480"/>
      <c r="G8791" s="221" t="s">
        <v>74</v>
      </c>
      <c r="H8791" s="221" t="str" cm="1">
        <f t="array" ref="H8791">IFERROR(INDEX(INVESTOR_LIST[INVESTOR NAME],MATCH(I8791,INVESTOR_LIST[INVESTOR CODE],0),)," ")</f>
        <v xml:space="preserve"> </v>
      </c>
      <c r="I8791" s="145" t="s">
        <v>348</v>
      </c>
      <c r="J8791" s="146" t="s">
        <v>184</v>
      </c>
      <c r="K8791" s="219"/>
      <c r="L8791" s="219">
        <v>2400000</v>
      </c>
    </row>
    <row r="8792" spans="1:13" x14ac:dyDescent="0.2">
      <c r="A8792" s="168">
        <v>2023</v>
      </c>
      <c r="B8792" s="168">
        <v>5</v>
      </c>
      <c r="C8792" s="168">
        <v>21</v>
      </c>
      <c r="D8792" s="141">
        <f t="shared" ref="D8792:D8797" si="956">DATE(A8792,B8792,C8792)</f>
        <v>45067</v>
      </c>
      <c r="E8792" s="275">
        <f t="shared" ref="E8792:E8797" si="957">DATE(A8792,B8792,C8792)</f>
        <v>45067</v>
      </c>
      <c r="F8792" s="479" t="s">
        <v>1647</v>
      </c>
      <c r="G8792" s="220" t="s">
        <v>74</v>
      </c>
      <c r="H8792" s="220" t="str" cm="1">
        <f t="array" ref="H8792">IFERROR(INDEX(INVESTOR_LIST[INVESTOR NAME],MATCH(I8792,INVESTOR_LIST[INVESTOR CODE],0),)," ")</f>
        <v xml:space="preserve"> </v>
      </c>
      <c r="I8792" s="142"/>
      <c r="J8792" s="143" t="s">
        <v>52</v>
      </c>
      <c r="K8792" s="226">
        <v>527548.69999999995</v>
      </c>
      <c r="L8792" s="226"/>
    </row>
    <row r="8793" spans="1:13" x14ac:dyDescent="0.2">
      <c r="A8793" s="163">
        <v>2023</v>
      </c>
      <c r="B8793" s="163">
        <v>5</v>
      </c>
      <c r="C8793" s="163">
        <v>21</v>
      </c>
      <c r="D8793" s="280">
        <f t="shared" si="956"/>
        <v>45067</v>
      </c>
      <c r="E8793" s="281">
        <f t="shared" si="957"/>
        <v>45067</v>
      </c>
      <c r="F8793" s="480"/>
      <c r="G8793" s="221" t="s">
        <v>74</v>
      </c>
      <c r="H8793" s="221" t="str" cm="1">
        <f t="array" ref="H8793">IFERROR(INDEX(INVESTOR_LIST[INVESTOR NAME],MATCH(I8793,INVESTOR_LIST[INVESTOR CODE],0),)," ")</f>
        <v xml:space="preserve"> </v>
      </c>
      <c r="I8793" s="145"/>
      <c r="J8793" s="146" t="s">
        <v>190</v>
      </c>
      <c r="K8793" s="219"/>
      <c r="L8793" s="219">
        <v>527548.69999999995</v>
      </c>
    </row>
    <row r="8794" spans="1:13" x14ac:dyDescent="0.2">
      <c r="A8794" s="133">
        <v>2023</v>
      </c>
      <c r="B8794" s="133">
        <v>5</v>
      </c>
      <c r="C8794" s="133">
        <v>21</v>
      </c>
      <c r="D8794" s="141">
        <f t="shared" si="956"/>
        <v>45067</v>
      </c>
      <c r="E8794" s="275">
        <f t="shared" si="957"/>
        <v>45067</v>
      </c>
      <c r="F8794" s="481" t="s">
        <v>1499</v>
      </c>
      <c r="G8794" s="174" t="s">
        <v>94</v>
      </c>
      <c r="H8794" s="174" t="str" cm="1">
        <f t="array" ref="H8794">IFERROR(INDEX(INVESTOR_LIST[INVESTOR NAME],MATCH(I8794,INVESTOR_LIST[INVESTOR CODE],0),)," ")</f>
        <v xml:space="preserve"> </v>
      </c>
      <c r="J8794" s="149" t="s">
        <v>190</v>
      </c>
      <c r="K8794" s="218">
        <v>359851.1</v>
      </c>
      <c r="L8794" s="218"/>
      <c r="M8794" s="160"/>
    </row>
    <row r="8795" spans="1:13" x14ac:dyDescent="0.2">
      <c r="A8795" s="133">
        <v>2023</v>
      </c>
      <c r="B8795" s="133">
        <v>5</v>
      </c>
      <c r="C8795" s="133">
        <v>21</v>
      </c>
      <c r="D8795" s="141">
        <f t="shared" si="956"/>
        <v>45067</v>
      </c>
      <c r="E8795" s="275">
        <f t="shared" si="957"/>
        <v>45067</v>
      </c>
      <c r="F8795" s="481"/>
      <c r="G8795" s="174" t="s">
        <v>94</v>
      </c>
      <c r="H8795" s="174"/>
      <c r="J8795" s="149" t="s">
        <v>80</v>
      </c>
      <c r="K8795" s="218">
        <v>648.9</v>
      </c>
      <c r="L8795" s="218"/>
    </row>
    <row r="8796" spans="1:13" x14ac:dyDescent="0.2">
      <c r="A8796" s="133">
        <v>2023</v>
      </c>
      <c r="B8796" s="133">
        <v>5</v>
      </c>
      <c r="C8796" s="133">
        <v>21</v>
      </c>
      <c r="D8796" s="141">
        <f t="shared" si="956"/>
        <v>45067</v>
      </c>
      <c r="E8796" s="275">
        <f t="shared" si="957"/>
        <v>45067</v>
      </c>
      <c r="F8796" s="481"/>
      <c r="G8796" s="174" t="s">
        <v>94</v>
      </c>
      <c r="H8796" s="174" t="str" cm="1">
        <f t="array" ref="H8796">IFERROR(INDEX(INVESTOR_LIST[INVESTOR NAME],MATCH(I8796,INVESTOR_LIST[INVESTOR CODE],0),)," ")</f>
        <v xml:space="preserve"> </v>
      </c>
      <c r="J8796" s="149" t="s">
        <v>191</v>
      </c>
      <c r="K8796" s="218"/>
      <c r="L8796" s="218">
        <v>110500</v>
      </c>
    </row>
    <row r="8797" spans="1:13" x14ac:dyDescent="0.2">
      <c r="A8797" s="163">
        <v>2023</v>
      </c>
      <c r="B8797" s="163">
        <v>5</v>
      </c>
      <c r="C8797" s="163">
        <v>21</v>
      </c>
      <c r="D8797" s="280">
        <f t="shared" si="956"/>
        <v>45067</v>
      </c>
      <c r="E8797" s="281">
        <f t="shared" si="957"/>
        <v>45067</v>
      </c>
      <c r="F8797" s="480"/>
      <c r="G8797" s="221" t="s">
        <v>94</v>
      </c>
      <c r="H8797" s="145" t="str" cm="1">
        <f t="array" ref="H8797">IFERROR(INDEX(INVESTOR_LIST[INVESTOR NAME],MATCH(I8797,INVESTOR_LIST[INVESTOR CODE],0),)," ")</f>
        <v xml:space="preserve"> </v>
      </c>
      <c r="I8797" s="145"/>
      <c r="J8797" s="163" t="s">
        <v>79</v>
      </c>
      <c r="K8797" s="219"/>
      <c r="L8797" s="219">
        <v>250000</v>
      </c>
    </row>
    <row r="8798" spans="1:13" x14ac:dyDescent="0.2">
      <c r="A8798" s="133">
        <v>2023</v>
      </c>
      <c r="B8798" s="133">
        <v>5</v>
      </c>
      <c r="C8798" s="133">
        <v>22</v>
      </c>
      <c r="D8798" s="141">
        <f t="shared" ref="D8798:D8806" si="958">DATE(A8798,B8798,C8798)</f>
        <v>45068</v>
      </c>
      <c r="E8798" s="275">
        <f t="shared" ref="E8798:E8806" si="959">DATE(A8798,B8798,C8798)</f>
        <v>45068</v>
      </c>
      <c r="F8798" s="481" t="s">
        <v>1499</v>
      </c>
      <c r="G8798" s="174" t="s">
        <v>94</v>
      </c>
      <c r="H8798" s="174" t="str" cm="1">
        <f t="array" ref="H8798">IFERROR(INDEX(INVESTOR_LIST[INVESTOR NAME],MATCH(I8798,INVESTOR_LIST[INVESTOR CODE],0),)," ")</f>
        <v xml:space="preserve"> </v>
      </c>
      <c r="J8798" s="149" t="s">
        <v>190</v>
      </c>
      <c r="K8798" s="218">
        <v>301456.40000000002</v>
      </c>
      <c r="L8798" s="218"/>
      <c r="M8798" s="160"/>
    </row>
    <row r="8799" spans="1:13" x14ac:dyDescent="0.2">
      <c r="A8799" s="133">
        <v>2023</v>
      </c>
      <c r="B8799" s="133">
        <v>5</v>
      </c>
      <c r="C8799" s="133">
        <v>22</v>
      </c>
      <c r="D8799" s="141">
        <f t="shared" si="958"/>
        <v>45068</v>
      </c>
      <c r="E8799" s="275">
        <f t="shared" si="959"/>
        <v>45068</v>
      </c>
      <c r="F8799" s="481"/>
      <c r="G8799" s="174" t="s">
        <v>94</v>
      </c>
      <c r="H8799" s="174"/>
      <c r="J8799" s="149" t="s">
        <v>80</v>
      </c>
      <c r="K8799" s="218">
        <v>543.6</v>
      </c>
      <c r="L8799" s="218"/>
    </row>
    <row r="8800" spans="1:13" x14ac:dyDescent="0.2">
      <c r="A8800" s="133">
        <v>2023</v>
      </c>
      <c r="B8800" s="133">
        <v>5</v>
      </c>
      <c r="C8800" s="133">
        <v>22</v>
      </c>
      <c r="D8800" s="141">
        <f t="shared" si="958"/>
        <v>45068</v>
      </c>
      <c r="E8800" s="275">
        <f t="shared" si="959"/>
        <v>45068</v>
      </c>
      <c r="F8800" s="481"/>
      <c r="G8800" s="174" t="s">
        <v>94</v>
      </c>
      <c r="H8800" s="174" t="str" cm="1">
        <f t="array" ref="H8800">IFERROR(INDEX(INVESTOR_LIST[INVESTOR NAME],MATCH(I8800,INVESTOR_LIST[INVESTOR CODE],0),)," ")</f>
        <v xml:space="preserve"> </v>
      </c>
      <c r="J8800" s="149" t="s">
        <v>191</v>
      </c>
      <c r="K8800" s="218"/>
      <c r="L8800" s="218">
        <v>102000</v>
      </c>
    </row>
    <row r="8801" spans="1:13" x14ac:dyDescent="0.2">
      <c r="A8801" s="163">
        <v>2023</v>
      </c>
      <c r="B8801" s="163">
        <v>5</v>
      </c>
      <c r="C8801" s="163">
        <v>22</v>
      </c>
      <c r="D8801" s="280">
        <f t="shared" si="958"/>
        <v>45068</v>
      </c>
      <c r="E8801" s="281">
        <f t="shared" si="959"/>
        <v>45068</v>
      </c>
      <c r="F8801" s="480"/>
      <c r="G8801" s="221" t="s">
        <v>94</v>
      </c>
      <c r="H8801" s="145" t="str" cm="1">
        <f t="array" ref="H8801">IFERROR(INDEX(INVESTOR_LIST[INVESTOR NAME],MATCH(I8801,INVESTOR_LIST[INVESTOR CODE],0),)," ")</f>
        <v xml:space="preserve"> </v>
      </c>
      <c r="I8801" s="145"/>
      <c r="J8801" s="163" t="s">
        <v>79</v>
      </c>
      <c r="K8801" s="219"/>
      <c r="L8801" s="219">
        <v>200000</v>
      </c>
    </row>
    <row r="8802" spans="1:13" x14ac:dyDescent="0.2">
      <c r="A8802" s="168">
        <v>2023</v>
      </c>
      <c r="B8802" s="168">
        <v>5</v>
      </c>
      <c r="C8802" s="168">
        <v>23</v>
      </c>
      <c r="D8802" s="141">
        <f t="shared" si="958"/>
        <v>45069</v>
      </c>
      <c r="E8802" s="275">
        <f t="shared" si="959"/>
        <v>45069</v>
      </c>
      <c r="F8802" s="479" t="s">
        <v>1500</v>
      </c>
      <c r="G8802" s="220" t="s">
        <v>74</v>
      </c>
      <c r="H8802" s="220" t="str" cm="1">
        <f t="array" ref="H8802">IFERROR(INDEX(INVESTOR_LIST[INVESTOR NAME],MATCH(I8802,INVESTOR_LIST[INVESTOR CODE],0),)," ")</f>
        <v xml:space="preserve"> </v>
      </c>
      <c r="I8802" s="142"/>
      <c r="J8802" s="143" t="s">
        <v>52</v>
      </c>
      <c r="K8802" s="226">
        <v>359851.1</v>
      </c>
      <c r="L8802" s="226"/>
    </row>
    <row r="8803" spans="1:13" x14ac:dyDescent="0.2">
      <c r="A8803" s="163">
        <v>2023</v>
      </c>
      <c r="B8803" s="163">
        <v>5</v>
      </c>
      <c r="C8803" s="163">
        <v>23</v>
      </c>
      <c r="D8803" s="280">
        <f t="shared" si="958"/>
        <v>45069</v>
      </c>
      <c r="E8803" s="281">
        <f t="shared" si="959"/>
        <v>45069</v>
      </c>
      <c r="F8803" s="480"/>
      <c r="G8803" s="221" t="s">
        <v>74</v>
      </c>
      <c r="H8803" s="221" t="str" cm="1">
        <f t="array" ref="H8803">IFERROR(INDEX(INVESTOR_LIST[INVESTOR NAME],MATCH(I8803,INVESTOR_LIST[INVESTOR CODE],0),)," ")</f>
        <v xml:space="preserve"> </v>
      </c>
      <c r="I8803" s="145"/>
      <c r="J8803" s="146" t="s">
        <v>190</v>
      </c>
      <c r="K8803" s="219"/>
      <c r="L8803" s="219">
        <v>359851.1</v>
      </c>
    </row>
    <row r="8804" spans="1:13" x14ac:dyDescent="0.2">
      <c r="A8804" s="168">
        <v>2023</v>
      </c>
      <c r="B8804" s="168">
        <v>5</v>
      </c>
      <c r="C8804" s="168">
        <v>23</v>
      </c>
      <c r="D8804" s="141">
        <f t="shared" si="958"/>
        <v>45069</v>
      </c>
      <c r="E8804" s="275">
        <f t="shared" si="959"/>
        <v>45069</v>
      </c>
      <c r="F8804" s="479" t="s">
        <v>1695</v>
      </c>
      <c r="G8804" s="220" t="s">
        <v>94</v>
      </c>
      <c r="H8804" s="220" t="str" cm="1">
        <f t="array" ref="H8804">IFERROR(INDEX(INVESTOR_LIST[INVESTOR NAME],MATCH(I8804,INVESTOR_LIST[INVESTOR CODE],0),)," ")</f>
        <v xml:space="preserve"> </v>
      </c>
      <c r="I8804" s="142"/>
      <c r="J8804" s="143" t="s">
        <v>79</v>
      </c>
      <c r="K8804" s="226">
        <v>570000</v>
      </c>
      <c r="L8804" s="226"/>
      <c r="M8804" s="160"/>
    </row>
    <row r="8805" spans="1:13" x14ac:dyDescent="0.2">
      <c r="A8805" s="133">
        <v>2023</v>
      </c>
      <c r="B8805" s="133">
        <v>5</v>
      </c>
      <c r="C8805" s="133">
        <v>23</v>
      </c>
      <c r="D8805" s="141">
        <f t="shared" si="958"/>
        <v>45069</v>
      </c>
      <c r="E8805" s="275">
        <f t="shared" si="959"/>
        <v>45069</v>
      </c>
      <c r="F8805" s="481"/>
      <c r="G8805" s="174" t="s">
        <v>94</v>
      </c>
      <c r="H8805" s="174"/>
      <c r="J8805" s="149" t="s">
        <v>80</v>
      </c>
      <c r="K8805" s="218">
        <v>1026</v>
      </c>
      <c r="L8805" s="218"/>
    </row>
    <row r="8806" spans="1:13" x14ac:dyDescent="0.2">
      <c r="A8806" s="163">
        <v>2023</v>
      </c>
      <c r="B8806" s="163">
        <v>5</v>
      </c>
      <c r="C8806" s="163">
        <v>23</v>
      </c>
      <c r="D8806" s="280">
        <f t="shared" si="958"/>
        <v>45069</v>
      </c>
      <c r="E8806" s="281">
        <f t="shared" si="959"/>
        <v>45069</v>
      </c>
      <c r="F8806" s="480"/>
      <c r="G8806" s="221" t="s">
        <v>94</v>
      </c>
      <c r="H8806" s="221"/>
      <c r="I8806" s="145"/>
      <c r="J8806" s="146" t="s">
        <v>147</v>
      </c>
      <c r="K8806" s="219"/>
      <c r="L8806" s="219">
        <v>571026</v>
      </c>
    </row>
    <row r="8807" spans="1:13" x14ac:dyDescent="0.2">
      <c r="A8807" s="168">
        <v>2023</v>
      </c>
      <c r="B8807" s="168">
        <v>5</v>
      </c>
      <c r="C8807" s="168">
        <v>23</v>
      </c>
      <c r="D8807" s="141">
        <f t="shared" ref="D8807:D8811" si="960">DATE(A8807,B8807,C8807)</f>
        <v>45069</v>
      </c>
      <c r="E8807" s="275">
        <f t="shared" ref="E8807:E8811" si="961">DATE(A8807,B8807,C8807)</f>
        <v>45069</v>
      </c>
      <c r="F8807" s="479" t="s">
        <v>1506</v>
      </c>
      <c r="G8807" s="220" t="s">
        <v>94</v>
      </c>
      <c r="H8807" s="220" t="str" cm="1">
        <f t="array" ref="H8807">IFERROR(INDEX(INVESTOR_LIST[INVESTOR NAME],MATCH(I8807,INVESTOR_LIST[INVESTOR CODE],0),)," ")</f>
        <v xml:space="preserve"> </v>
      </c>
      <c r="I8807" s="142"/>
      <c r="J8807" s="143" t="s">
        <v>79</v>
      </c>
      <c r="K8807" s="226">
        <v>1413769.7</v>
      </c>
      <c r="L8807" s="226"/>
      <c r="M8807" s="160"/>
    </row>
    <row r="8808" spans="1:13" x14ac:dyDescent="0.2">
      <c r="A8808" s="133">
        <v>2023</v>
      </c>
      <c r="B8808" s="133">
        <v>5</v>
      </c>
      <c r="C8808" s="133">
        <v>23</v>
      </c>
      <c r="D8808" s="141">
        <f t="shared" si="960"/>
        <v>45069</v>
      </c>
      <c r="E8808" s="275">
        <f t="shared" si="961"/>
        <v>45069</v>
      </c>
      <c r="F8808" s="481"/>
      <c r="G8808" s="174" t="s">
        <v>94</v>
      </c>
      <c r="H8808" s="174"/>
      <c r="J8808" s="149" t="s">
        <v>80</v>
      </c>
      <c r="K8808" s="218">
        <v>2544.79</v>
      </c>
      <c r="L8808" s="218"/>
    </row>
    <row r="8809" spans="1:13" x14ac:dyDescent="0.2">
      <c r="A8809" s="163">
        <v>2023</v>
      </c>
      <c r="B8809" s="163">
        <v>5</v>
      </c>
      <c r="C8809" s="163">
        <v>23</v>
      </c>
      <c r="D8809" s="280">
        <f t="shared" si="960"/>
        <v>45069</v>
      </c>
      <c r="E8809" s="281">
        <f t="shared" si="961"/>
        <v>45069</v>
      </c>
      <c r="F8809" s="480"/>
      <c r="G8809" s="221" t="s">
        <v>94</v>
      </c>
      <c r="H8809" s="221"/>
      <c r="I8809" s="145"/>
      <c r="J8809" s="146" t="s">
        <v>147</v>
      </c>
      <c r="K8809" s="219"/>
      <c r="L8809" s="219">
        <v>1416314.49</v>
      </c>
    </row>
    <row r="8810" spans="1:13" x14ac:dyDescent="0.2">
      <c r="A8810" s="133">
        <v>2023</v>
      </c>
      <c r="B8810" s="168">
        <v>5</v>
      </c>
      <c r="C8810" s="168">
        <v>23</v>
      </c>
      <c r="D8810" s="141">
        <f t="shared" si="960"/>
        <v>45069</v>
      </c>
      <c r="E8810" s="275">
        <f t="shared" si="961"/>
        <v>45069</v>
      </c>
      <c r="F8810" s="481" t="s">
        <v>1697</v>
      </c>
      <c r="G8810" s="174" t="s">
        <v>94</v>
      </c>
      <c r="H8810" s="174" t="str" cm="1">
        <f t="array" ref="H8810">IFERROR(INDEX(INVESTOR_LIST[INVESTOR NAME],MATCH(I8810,INVESTOR_LIST[INVESTOR CODE],0),)," ")</f>
        <v xml:space="preserve"> </v>
      </c>
      <c r="I8810" s="148" t="s">
        <v>348</v>
      </c>
      <c r="J8810" s="149" t="s">
        <v>168</v>
      </c>
      <c r="K8810" s="218">
        <v>25000</v>
      </c>
      <c r="L8810" s="218"/>
    </row>
    <row r="8811" spans="1:13" x14ac:dyDescent="0.2">
      <c r="A8811" s="163">
        <v>2023</v>
      </c>
      <c r="B8811" s="163">
        <v>5</v>
      </c>
      <c r="C8811" s="163">
        <v>23</v>
      </c>
      <c r="D8811" s="141">
        <f t="shared" si="960"/>
        <v>45069</v>
      </c>
      <c r="E8811" s="275">
        <f t="shared" si="961"/>
        <v>45069</v>
      </c>
      <c r="F8811" s="480"/>
      <c r="G8811" s="221" t="s">
        <v>94</v>
      </c>
      <c r="H8811" s="221" t="str" cm="1">
        <f t="array" ref="H8811">IFERROR(INDEX(INVESTOR_LIST[INVESTOR NAME],MATCH(I8811,INVESTOR_LIST[INVESTOR CODE],0),)," ")</f>
        <v xml:space="preserve"> </v>
      </c>
      <c r="I8811" s="145" t="s">
        <v>348</v>
      </c>
      <c r="J8811" s="146" t="s">
        <v>166</v>
      </c>
      <c r="K8811" s="219"/>
      <c r="L8811" s="219">
        <v>25000</v>
      </c>
    </row>
    <row r="8812" spans="1:13" x14ac:dyDescent="0.2">
      <c r="A8812" s="133">
        <v>2023</v>
      </c>
      <c r="B8812" s="133">
        <v>5</v>
      </c>
      <c r="C8812" s="168">
        <v>24</v>
      </c>
      <c r="D8812" s="141">
        <f>DATE(A8812,B8812,C8812)</f>
        <v>45070</v>
      </c>
      <c r="E8812" s="275">
        <f>DATE(A8812,B8812,C8812)</f>
        <v>45070</v>
      </c>
      <c r="F8812" s="479" t="s">
        <v>1694</v>
      </c>
      <c r="G8812" s="220" t="s">
        <v>74</v>
      </c>
      <c r="H8812" s="220" t="str" cm="1">
        <f t="array" ref="H8812">IFERROR(INDEX(INVESTOR_LIST[INVESTOR NAME],MATCH(I8812,INVESTOR_LIST[INVESTOR CODE],0),)," ")</f>
        <v xml:space="preserve"> </v>
      </c>
      <c r="I8812" s="142"/>
      <c r="J8812" s="143" t="s">
        <v>147</v>
      </c>
      <c r="K8812" s="226">
        <v>571026</v>
      </c>
      <c r="L8812" s="226"/>
    </row>
    <row r="8813" spans="1:13" x14ac:dyDescent="0.2">
      <c r="A8813" s="163">
        <v>2023</v>
      </c>
      <c r="B8813" s="163">
        <v>5</v>
      </c>
      <c r="C8813" s="163">
        <v>24</v>
      </c>
      <c r="D8813" s="280">
        <f>DATE(A8813,B8813,C8813)</f>
        <v>45070</v>
      </c>
      <c r="E8813" s="281">
        <f>DATE(A8813,B8813,C8813)</f>
        <v>45070</v>
      </c>
      <c r="F8813" s="480"/>
      <c r="G8813" s="221" t="s">
        <v>74</v>
      </c>
      <c r="H8813" s="221" t="str" cm="1">
        <f t="array" ref="H8813">IFERROR(INDEX(INVESTOR_LIST[INVESTOR NAME],MATCH(I8813,INVESTOR_LIST[INVESTOR CODE],0),)," ")</f>
        <v xml:space="preserve"> </v>
      </c>
      <c r="I8813" s="145" t="s">
        <v>348</v>
      </c>
      <c r="J8813" s="146" t="s">
        <v>52</v>
      </c>
      <c r="K8813" s="219"/>
      <c r="L8813" s="219">
        <v>571026</v>
      </c>
    </row>
    <row r="8814" spans="1:13" x14ac:dyDescent="0.2">
      <c r="A8814" s="133">
        <v>2023</v>
      </c>
      <c r="B8814" s="133">
        <v>5</v>
      </c>
      <c r="C8814" s="168">
        <v>24</v>
      </c>
      <c r="D8814" s="141">
        <f>DATE(A8814,B8814,C8814)</f>
        <v>45070</v>
      </c>
      <c r="E8814" s="275">
        <f>DATE(A8814,B8814,C8814)</f>
        <v>45070</v>
      </c>
      <c r="F8814" s="479" t="s">
        <v>1507</v>
      </c>
      <c r="G8814" s="220" t="s">
        <v>74</v>
      </c>
      <c r="H8814" s="220" t="str" cm="1">
        <f t="array" ref="H8814">IFERROR(INDEX(INVESTOR_LIST[INVESTOR NAME],MATCH(I8814,INVESTOR_LIST[INVESTOR CODE],0),)," ")</f>
        <v xml:space="preserve"> </v>
      </c>
      <c r="I8814" s="142"/>
      <c r="J8814" s="143" t="s">
        <v>147</v>
      </c>
      <c r="K8814" s="226">
        <v>1416314.49</v>
      </c>
      <c r="L8814" s="226"/>
    </row>
    <row r="8815" spans="1:13" x14ac:dyDescent="0.2">
      <c r="A8815" s="163">
        <v>2023</v>
      </c>
      <c r="B8815" s="163">
        <v>5</v>
      </c>
      <c r="C8815" s="163">
        <v>24</v>
      </c>
      <c r="D8815" s="280">
        <f>DATE(A8815,B8815,C8815)</f>
        <v>45070</v>
      </c>
      <c r="E8815" s="281">
        <f>DATE(A8815,B8815,C8815)</f>
        <v>45070</v>
      </c>
      <c r="F8815" s="480"/>
      <c r="G8815" s="221" t="s">
        <v>74</v>
      </c>
      <c r="H8815" s="221" t="str" cm="1">
        <f t="array" ref="H8815">IFERROR(INDEX(INVESTOR_LIST[INVESTOR NAME],MATCH(I8815,INVESTOR_LIST[INVESTOR CODE],0),)," ")</f>
        <v xml:space="preserve"> </v>
      </c>
      <c r="I8815" s="145" t="s">
        <v>348</v>
      </c>
      <c r="J8815" s="146" t="s">
        <v>52</v>
      </c>
      <c r="K8815" s="219"/>
      <c r="L8815" s="219">
        <v>1416314.49</v>
      </c>
    </row>
    <row r="8816" spans="1:13" x14ac:dyDescent="0.2">
      <c r="A8816" s="133">
        <v>2023</v>
      </c>
      <c r="B8816" s="133">
        <v>5</v>
      </c>
      <c r="C8816" s="133">
        <v>24</v>
      </c>
      <c r="D8816" s="141">
        <f t="shared" ref="D8816:D8819" si="962">DATE(A8816,B8816,C8816)</f>
        <v>45070</v>
      </c>
      <c r="E8816" s="275">
        <f t="shared" ref="E8816:E8819" si="963">DATE(A8816,B8816,C8816)</f>
        <v>45070</v>
      </c>
      <c r="F8816" s="481" t="s">
        <v>1499</v>
      </c>
      <c r="G8816" s="174" t="s">
        <v>94</v>
      </c>
      <c r="H8816" s="174" t="str" cm="1">
        <f t="array" ref="H8816">IFERROR(INDEX(INVESTOR_LIST[INVESTOR NAME],MATCH(I8816,INVESTOR_LIST[INVESTOR CODE],0),)," ")</f>
        <v xml:space="preserve"> </v>
      </c>
      <c r="J8816" s="149" t="s">
        <v>190</v>
      </c>
      <c r="K8816" s="218">
        <v>306447.40000000002</v>
      </c>
      <c r="L8816" s="218"/>
      <c r="M8816" s="160"/>
    </row>
    <row r="8817" spans="1:13" x14ac:dyDescent="0.2">
      <c r="A8817" s="133">
        <v>2023</v>
      </c>
      <c r="B8817" s="133">
        <v>5</v>
      </c>
      <c r="C8817" s="133">
        <v>24</v>
      </c>
      <c r="D8817" s="141">
        <f t="shared" si="962"/>
        <v>45070</v>
      </c>
      <c r="E8817" s="275">
        <f t="shared" si="963"/>
        <v>45070</v>
      </c>
      <c r="F8817" s="481"/>
      <c r="G8817" s="174" t="s">
        <v>94</v>
      </c>
      <c r="H8817" s="174"/>
      <c r="J8817" s="149" t="s">
        <v>80</v>
      </c>
      <c r="K8817" s="218">
        <v>552.6</v>
      </c>
      <c r="L8817" s="218"/>
    </row>
    <row r="8818" spans="1:13" x14ac:dyDescent="0.2">
      <c r="A8818" s="133">
        <v>2023</v>
      </c>
      <c r="B8818" s="133">
        <v>5</v>
      </c>
      <c r="C8818" s="133">
        <v>24</v>
      </c>
      <c r="D8818" s="141">
        <f t="shared" si="962"/>
        <v>45070</v>
      </c>
      <c r="E8818" s="275">
        <f t="shared" si="963"/>
        <v>45070</v>
      </c>
      <c r="F8818" s="481"/>
      <c r="G8818" s="174" t="s">
        <v>94</v>
      </c>
      <c r="H8818" s="174" t="str" cm="1">
        <f t="array" ref="H8818">IFERROR(INDEX(INVESTOR_LIST[INVESTOR NAME],MATCH(I8818,INVESTOR_LIST[INVESTOR CODE],0),)," ")</f>
        <v xml:space="preserve"> </v>
      </c>
      <c r="J8818" s="149" t="s">
        <v>191</v>
      </c>
      <c r="K8818" s="218"/>
      <c r="L8818" s="218">
        <v>107000</v>
      </c>
    </row>
    <row r="8819" spans="1:13" x14ac:dyDescent="0.2">
      <c r="A8819" s="163">
        <v>2023</v>
      </c>
      <c r="B8819" s="163">
        <v>5</v>
      </c>
      <c r="C8819" s="163">
        <v>24</v>
      </c>
      <c r="D8819" s="280">
        <f t="shared" si="962"/>
        <v>45070</v>
      </c>
      <c r="E8819" s="281">
        <f t="shared" si="963"/>
        <v>45070</v>
      </c>
      <c r="F8819" s="480"/>
      <c r="G8819" s="221" t="s">
        <v>94</v>
      </c>
      <c r="H8819" s="145" t="str" cm="1">
        <f t="array" ref="H8819">IFERROR(INDEX(INVESTOR_LIST[INVESTOR NAME],MATCH(I8819,INVESTOR_LIST[INVESTOR CODE],0),)," ")</f>
        <v xml:space="preserve"> </v>
      </c>
      <c r="I8819" s="145"/>
      <c r="J8819" s="163" t="s">
        <v>79</v>
      </c>
      <c r="K8819" s="219"/>
      <c r="L8819" s="219">
        <v>200000</v>
      </c>
    </row>
    <row r="8820" spans="1:13" x14ac:dyDescent="0.2">
      <c r="A8820" s="133">
        <v>2023</v>
      </c>
      <c r="B8820" s="133">
        <v>5</v>
      </c>
      <c r="C8820" s="133">
        <v>25</v>
      </c>
      <c r="D8820" s="141">
        <f t="shared" ref="D8820:D8829" si="964">DATE(A8820,B8820,C8820)</f>
        <v>45071</v>
      </c>
      <c r="E8820" s="275">
        <f t="shared" ref="E8820:E8829" si="965">DATE(A8820,B8820,C8820)</f>
        <v>45071</v>
      </c>
      <c r="F8820" s="481" t="s">
        <v>1646</v>
      </c>
      <c r="G8820" s="174" t="s">
        <v>94</v>
      </c>
      <c r="H8820" s="174" t="str" cm="1">
        <f t="array" ref="H8820">IFERROR(INDEX(INVESTOR_LIST[INVESTOR NAME],MATCH(I8820,INVESTOR_LIST[INVESTOR CODE],0),)," ")</f>
        <v xml:space="preserve"> </v>
      </c>
      <c r="J8820" s="149" t="s">
        <v>190</v>
      </c>
      <c r="K8820" s="218">
        <v>314821.90000000002</v>
      </c>
      <c r="L8820" s="218"/>
      <c r="M8820" s="160"/>
    </row>
    <row r="8821" spans="1:13" x14ac:dyDescent="0.2">
      <c r="A8821" s="133">
        <v>2023</v>
      </c>
      <c r="B8821" s="133">
        <v>5</v>
      </c>
      <c r="C8821" s="133">
        <v>25</v>
      </c>
      <c r="D8821" s="141">
        <f t="shared" si="964"/>
        <v>45071</v>
      </c>
      <c r="E8821" s="275">
        <f t="shared" si="965"/>
        <v>45071</v>
      </c>
      <c r="F8821" s="481"/>
      <c r="G8821" s="174" t="s">
        <v>94</v>
      </c>
      <c r="H8821" s="174"/>
      <c r="J8821" s="149" t="s">
        <v>80</v>
      </c>
      <c r="K8821" s="218">
        <v>567.70000000000005</v>
      </c>
      <c r="L8821" s="218"/>
    </row>
    <row r="8822" spans="1:13" x14ac:dyDescent="0.2">
      <c r="A8822" s="133">
        <v>2023</v>
      </c>
      <c r="B8822" s="133">
        <v>5</v>
      </c>
      <c r="C8822" s="133">
        <v>25</v>
      </c>
      <c r="D8822" s="141">
        <f t="shared" si="964"/>
        <v>45071</v>
      </c>
      <c r="E8822" s="275">
        <f t="shared" si="965"/>
        <v>45071</v>
      </c>
      <c r="F8822" s="481"/>
      <c r="G8822" s="174" t="s">
        <v>94</v>
      </c>
      <c r="H8822" s="174" t="str" cm="1">
        <f t="array" ref="H8822">IFERROR(INDEX(INVESTOR_LIST[INVESTOR NAME],MATCH(I8822,INVESTOR_LIST[INVESTOR CODE],0),)," ")</f>
        <v xml:space="preserve"> </v>
      </c>
      <c r="J8822" s="149" t="s">
        <v>191</v>
      </c>
      <c r="K8822" s="218"/>
      <c r="L8822" s="218">
        <v>115389.6</v>
      </c>
    </row>
    <row r="8823" spans="1:13" x14ac:dyDescent="0.2">
      <c r="A8823" s="163">
        <v>2023</v>
      </c>
      <c r="B8823" s="163">
        <v>5</v>
      </c>
      <c r="C8823" s="163">
        <v>25</v>
      </c>
      <c r="D8823" s="280">
        <f t="shared" si="964"/>
        <v>45071</v>
      </c>
      <c r="E8823" s="281">
        <f t="shared" si="965"/>
        <v>45071</v>
      </c>
      <c r="F8823" s="480"/>
      <c r="G8823" s="221" t="s">
        <v>94</v>
      </c>
      <c r="H8823" s="145" t="str" cm="1">
        <f t="array" ref="H8823">IFERROR(INDEX(INVESTOR_LIST[INVESTOR NAME],MATCH(I8823,INVESTOR_LIST[INVESTOR CODE],0),)," ")</f>
        <v xml:space="preserve"> </v>
      </c>
      <c r="I8823" s="145"/>
      <c r="J8823" s="163" t="s">
        <v>79</v>
      </c>
      <c r="K8823" s="219"/>
      <c r="L8823" s="219">
        <v>200000</v>
      </c>
    </row>
    <row r="8824" spans="1:13" x14ac:dyDescent="0.2">
      <c r="A8824" s="133">
        <v>2023</v>
      </c>
      <c r="B8824" s="133">
        <v>5</v>
      </c>
      <c r="C8824" s="133">
        <v>25</v>
      </c>
      <c r="D8824" s="141">
        <f t="shared" si="964"/>
        <v>45071</v>
      </c>
      <c r="E8824" s="275">
        <f t="shared" si="965"/>
        <v>45071</v>
      </c>
      <c r="F8824" s="481" t="s">
        <v>1499</v>
      </c>
      <c r="G8824" s="174" t="s">
        <v>94</v>
      </c>
      <c r="H8824" s="174" t="str" cm="1">
        <f t="array" ref="H8824">IFERROR(INDEX(INVESTOR_LIST[INVESTOR NAME],MATCH(I8824,INVESTOR_LIST[INVESTOR CODE],0),)," ")</f>
        <v xml:space="preserve"> </v>
      </c>
      <c r="J8824" s="149" t="s">
        <v>190</v>
      </c>
      <c r="K8824" s="218">
        <v>373285.87</v>
      </c>
      <c r="L8824" s="218"/>
      <c r="M8824" s="160"/>
    </row>
    <row r="8825" spans="1:13" x14ac:dyDescent="0.2">
      <c r="A8825" s="133">
        <v>2023</v>
      </c>
      <c r="B8825" s="133">
        <v>5</v>
      </c>
      <c r="C8825" s="133">
        <v>25</v>
      </c>
      <c r="D8825" s="141">
        <f t="shared" si="964"/>
        <v>45071</v>
      </c>
      <c r="E8825" s="275">
        <f t="shared" si="965"/>
        <v>45071</v>
      </c>
      <c r="F8825" s="481"/>
      <c r="G8825" s="174" t="s">
        <v>94</v>
      </c>
      <c r="H8825" s="174"/>
      <c r="J8825" s="149" t="s">
        <v>80</v>
      </c>
      <c r="K8825" s="218">
        <v>673.13</v>
      </c>
      <c r="L8825" s="218"/>
    </row>
    <row r="8826" spans="1:13" x14ac:dyDescent="0.2">
      <c r="A8826" s="133">
        <v>2023</v>
      </c>
      <c r="B8826" s="133">
        <v>5</v>
      </c>
      <c r="C8826" s="133">
        <v>25</v>
      </c>
      <c r="D8826" s="141">
        <f t="shared" si="964"/>
        <v>45071</v>
      </c>
      <c r="E8826" s="275">
        <f t="shared" si="965"/>
        <v>45071</v>
      </c>
      <c r="F8826" s="481"/>
      <c r="G8826" s="174" t="s">
        <v>94</v>
      </c>
      <c r="H8826" s="174" t="str" cm="1">
        <f t="array" ref="H8826">IFERROR(INDEX(INVESTOR_LIST[INVESTOR NAME],MATCH(I8826,INVESTOR_LIST[INVESTOR CODE],0),)," ")</f>
        <v xml:space="preserve"> </v>
      </c>
      <c r="J8826" s="149" t="s">
        <v>191</v>
      </c>
      <c r="K8826" s="218">
        <v>41551</v>
      </c>
      <c r="L8826" s="218"/>
    </row>
    <row r="8827" spans="1:13" x14ac:dyDescent="0.2">
      <c r="A8827" s="163">
        <v>2023</v>
      </c>
      <c r="B8827" s="163">
        <v>5</v>
      </c>
      <c r="C8827" s="163">
        <v>25</v>
      </c>
      <c r="D8827" s="280">
        <f t="shared" si="964"/>
        <v>45071</v>
      </c>
      <c r="E8827" s="281">
        <f t="shared" si="965"/>
        <v>45071</v>
      </c>
      <c r="F8827" s="480"/>
      <c r="G8827" s="221" t="s">
        <v>94</v>
      </c>
      <c r="H8827" s="145" t="str" cm="1">
        <f t="array" ref="H8827">IFERROR(INDEX(INVESTOR_LIST[INVESTOR NAME],MATCH(I8827,INVESTOR_LIST[INVESTOR CODE],0),)," ")</f>
        <v xml:space="preserve"> </v>
      </c>
      <c r="I8827" s="145"/>
      <c r="J8827" s="163" t="s">
        <v>79</v>
      </c>
      <c r="K8827" s="219"/>
      <c r="L8827" s="219">
        <v>415510</v>
      </c>
    </row>
    <row r="8828" spans="1:13" x14ac:dyDescent="0.2">
      <c r="A8828" s="168">
        <v>2023</v>
      </c>
      <c r="B8828" s="168">
        <v>5</v>
      </c>
      <c r="C8828" s="168">
        <v>25</v>
      </c>
      <c r="D8828" s="141">
        <f t="shared" si="964"/>
        <v>45071</v>
      </c>
      <c r="E8828" s="275">
        <f t="shared" si="965"/>
        <v>45071</v>
      </c>
      <c r="F8828" s="479" t="s">
        <v>1500</v>
      </c>
      <c r="G8828" s="220" t="s">
        <v>74</v>
      </c>
      <c r="H8828" s="220" t="str" cm="1">
        <f t="array" ref="H8828">IFERROR(INDEX(INVESTOR_LIST[INVESTOR NAME],MATCH(I8828,INVESTOR_LIST[INVESTOR CODE],0),)," ")</f>
        <v xml:space="preserve"> </v>
      </c>
      <c r="I8828" s="142"/>
      <c r="J8828" s="143" t="s">
        <v>52</v>
      </c>
      <c r="K8828" s="226">
        <v>301456.40000000002</v>
      </c>
      <c r="L8828" s="226"/>
    </row>
    <row r="8829" spans="1:13" x14ac:dyDescent="0.2">
      <c r="A8829" s="163">
        <v>2023</v>
      </c>
      <c r="B8829" s="163">
        <v>5</v>
      </c>
      <c r="C8829" s="163">
        <v>25</v>
      </c>
      <c r="D8829" s="280">
        <f t="shared" si="964"/>
        <v>45071</v>
      </c>
      <c r="E8829" s="281">
        <f t="shared" si="965"/>
        <v>45071</v>
      </c>
      <c r="F8829" s="480"/>
      <c r="G8829" s="221" t="s">
        <v>74</v>
      </c>
      <c r="H8829" s="221" t="str" cm="1">
        <f t="array" ref="H8829">IFERROR(INDEX(INVESTOR_LIST[INVESTOR NAME],MATCH(I8829,INVESTOR_LIST[INVESTOR CODE],0),)," ")</f>
        <v xml:space="preserve"> </v>
      </c>
      <c r="I8829" s="145"/>
      <c r="J8829" s="146" t="s">
        <v>190</v>
      </c>
      <c r="K8829" s="219"/>
      <c r="L8829" s="219">
        <v>301456.40000000002</v>
      </c>
    </row>
    <row r="8830" spans="1:13" x14ac:dyDescent="0.2">
      <c r="A8830" s="324">
        <v>2023</v>
      </c>
      <c r="B8830" s="324">
        <v>5</v>
      </c>
      <c r="C8830" s="325">
        <v>25</v>
      </c>
      <c r="D8830" s="326">
        <f>DATE(A8830,B8830,C8830)</f>
        <v>45071</v>
      </c>
      <c r="E8830" s="327">
        <f>DATE(A8830,B8830,C8830)</f>
        <v>45071</v>
      </c>
      <c r="F8830" s="473" t="s">
        <v>1634</v>
      </c>
      <c r="G8830" s="340" t="s">
        <v>94</v>
      </c>
      <c r="H8830" s="341" t="str" cm="1">
        <f t="array" ref="H8830">IFERROR(INDEX(INVESTOR_LIST[INVESTOR NAME],MATCH(I8830,INVESTOR_LIST[INVESTOR CODE],0),)," ")</f>
        <v xml:space="preserve"> </v>
      </c>
      <c r="I8830" s="341" t="s">
        <v>348</v>
      </c>
      <c r="J8830" s="325" t="s">
        <v>133</v>
      </c>
      <c r="K8830" s="330"/>
      <c r="L8830" s="330"/>
      <c r="M8830" s="160"/>
    </row>
    <row r="8831" spans="1:13" x14ac:dyDescent="0.2">
      <c r="A8831" s="331">
        <v>2023</v>
      </c>
      <c r="B8831" s="331">
        <v>5</v>
      </c>
      <c r="C8831" s="331">
        <v>25</v>
      </c>
      <c r="D8831" s="326">
        <f>DATE(A8831,B8831,C8831)</f>
        <v>45071</v>
      </c>
      <c r="E8831" s="327">
        <f>DATE(A8831,B8831,C8831)</f>
        <v>45071</v>
      </c>
      <c r="F8831" s="474"/>
      <c r="G8831" s="332" t="s">
        <v>94</v>
      </c>
      <c r="H8831" s="333" t="str" cm="1">
        <f t="array" ref="H8831">IFERROR(INDEX(INVESTOR_LIST[INVESTOR NAME],MATCH(I8831,INVESTOR_LIST[INVESTOR CODE],0),)," ")</f>
        <v xml:space="preserve"> </v>
      </c>
      <c r="I8831" s="333" t="s">
        <v>348</v>
      </c>
      <c r="J8831" s="331" t="s">
        <v>152</v>
      </c>
      <c r="K8831" s="334"/>
      <c r="L8831" s="334"/>
      <c r="M8831" s="160"/>
    </row>
    <row r="8832" spans="1:13" x14ac:dyDescent="0.2">
      <c r="A8832" s="324">
        <v>2023</v>
      </c>
      <c r="B8832" s="324">
        <v>5</v>
      </c>
      <c r="C8832" s="325">
        <v>25</v>
      </c>
      <c r="D8832" s="326">
        <f t="shared" ref="D8832:D8835" si="966">DATE(A8832,B8832,C8832)</f>
        <v>45071</v>
      </c>
      <c r="E8832" s="327">
        <f t="shared" ref="E8832:E8835" si="967">DATE(A8832,B8832,C8832)</f>
        <v>45071</v>
      </c>
      <c r="F8832" s="473" t="s">
        <v>1490</v>
      </c>
      <c r="G8832" s="328" t="s">
        <v>94</v>
      </c>
      <c r="H8832" s="329" t="str" cm="1">
        <f t="array" ref="H8832">IFERROR(INDEX(INVESTOR_LIST[INVESTOR NAME],MATCH(I8832,INVESTOR_LIST[INVESTOR CODE],0),)," ")</f>
        <v xml:space="preserve"> </v>
      </c>
      <c r="I8832" s="329" t="s">
        <v>348</v>
      </c>
      <c r="J8832" s="325" t="s">
        <v>133</v>
      </c>
      <c r="K8832" s="330">
        <v>23479.68</v>
      </c>
      <c r="L8832" s="330"/>
      <c r="M8832" s="160"/>
    </row>
    <row r="8833" spans="1:14" x14ac:dyDescent="0.2">
      <c r="A8833" s="331">
        <v>2023</v>
      </c>
      <c r="B8833" s="331">
        <v>5</v>
      </c>
      <c r="C8833" s="331">
        <v>25</v>
      </c>
      <c r="D8833" s="326">
        <f t="shared" si="966"/>
        <v>45071</v>
      </c>
      <c r="E8833" s="327">
        <f t="shared" si="967"/>
        <v>45071</v>
      </c>
      <c r="F8833" s="474"/>
      <c r="G8833" s="332" t="s">
        <v>94</v>
      </c>
      <c r="H8833" s="333" t="str" cm="1">
        <f t="array" ref="H8833">IFERROR(INDEX(INVESTOR_LIST[INVESTOR NAME],MATCH(I8833,INVESTOR_LIST[INVESTOR CODE],0),)," ")</f>
        <v xml:space="preserve"> </v>
      </c>
      <c r="I8833" s="333" t="s">
        <v>348</v>
      </c>
      <c r="J8833" s="331" t="s">
        <v>152</v>
      </c>
      <c r="K8833" s="334"/>
      <c r="L8833" s="334">
        <v>23479.68</v>
      </c>
      <c r="M8833" s="160"/>
      <c r="N8833" s="160"/>
    </row>
    <row r="8834" spans="1:14" x14ac:dyDescent="0.2">
      <c r="A8834" s="324">
        <v>2023</v>
      </c>
      <c r="B8834" s="324">
        <v>5</v>
      </c>
      <c r="C8834" s="325">
        <v>25</v>
      </c>
      <c r="D8834" s="326">
        <f t="shared" si="966"/>
        <v>45071</v>
      </c>
      <c r="E8834" s="327">
        <f t="shared" si="967"/>
        <v>45071</v>
      </c>
      <c r="F8834" s="473" t="s">
        <v>1491</v>
      </c>
      <c r="G8834" s="328" t="s">
        <v>94</v>
      </c>
      <c r="H8834" s="329" t="str" cm="1">
        <f t="array" ref="H8834">IFERROR(INDEX(INVESTOR_LIST[INVESTOR NAME],MATCH(I8834,INVESTOR_LIST[INVESTOR CODE],0),)," ")</f>
        <v xml:space="preserve"> </v>
      </c>
      <c r="I8834" s="329" t="s">
        <v>348</v>
      </c>
      <c r="J8834" s="324" t="s">
        <v>133</v>
      </c>
      <c r="K8834" s="330">
        <v>13413.46</v>
      </c>
      <c r="L8834" s="330"/>
      <c r="M8834" s="160"/>
      <c r="N8834" s="160"/>
    </row>
    <row r="8835" spans="1:14" x14ac:dyDescent="0.2">
      <c r="A8835" s="331">
        <v>2023</v>
      </c>
      <c r="B8835" s="331">
        <v>5</v>
      </c>
      <c r="C8835" s="331">
        <v>25</v>
      </c>
      <c r="D8835" s="326">
        <f t="shared" si="966"/>
        <v>45071</v>
      </c>
      <c r="E8835" s="327">
        <f t="shared" si="967"/>
        <v>45071</v>
      </c>
      <c r="F8835" s="474"/>
      <c r="G8835" s="332" t="s">
        <v>94</v>
      </c>
      <c r="H8835" s="333" t="str" cm="1">
        <f t="array" ref="H8835">IFERROR(INDEX(INVESTOR_LIST[INVESTOR NAME],MATCH(I8835,INVESTOR_LIST[INVESTOR CODE],0),)," ")</f>
        <v xml:space="preserve"> </v>
      </c>
      <c r="I8835" s="333" t="s">
        <v>348</v>
      </c>
      <c r="J8835" s="331" t="s">
        <v>152</v>
      </c>
      <c r="K8835" s="334"/>
      <c r="L8835" s="334">
        <v>13413.46</v>
      </c>
      <c r="M8835" s="160"/>
    </row>
    <row r="8836" spans="1:14" x14ac:dyDescent="0.2">
      <c r="A8836" s="324">
        <v>2023</v>
      </c>
      <c r="B8836" s="324">
        <v>5</v>
      </c>
      <c r="C8836" s="325">
        <v>25</v>
      </c>
      <c r="D8836" s="326">
        <f>DATE(A8836,B8836,C8836)</f>
        <v>45071</v>
      </c>
      <c r="E8836" s="327">
        <f>DATE(A8836,B8836,C8836)</f>
        <v>45071</v>
      </c>
      <c r="F8836" s="473" t="s">
        <v>1531</v>
      </c>
      <c r="G8836" s="328" t="s">
        <v>94</v>
      </c>
      <c r="H8836" s="329" t="str" cm="1">
        <f t="array" ref="H8836">IFERROR(INDEX(INVESTOR_LIST[INVESTOR NAME],MATCH(I8836,INVESTOR_LIST[INVESTOR CODE],0),)," ")</f>
        <v xml:space="preserve"> </v>
      </c>
      <c r="I8836" s="329" t="s">
        <v>348</v>
      </c>
      <c r="J8836" s="324" t="s">
        <v>133</v>
      </c>
      <c r="K8836" s="330">
        <v>22589.56</v>
      </c>
      <c r="L8836" s="330"/>
      <c r="M8836" s="160"/>
    </row>
    <row r="8837" spans="1:14" x14ac:dyDescent="0.2">
      <c r="A8837" s="331">
        <v>2023</v>
      </c>
      <c r="B8837" s="331">
        <v>5</v>
      </c>
      <c r="C8837" s="331">
        <v>25</v>
      </c>
      <c r="D8837" s="326">
        <f>DATE(A8837,B8837,C8837)</f>
        <v>45071</v>
      </c>
      <c r="E8837" s="327">
        <f>DATE(A8837,B8837,C8837)</f>
        <v>45071</v>
      </c>
      <c r="F8837" s="474"/>
      <c r="G8837" s="332" t="s">
        <v>94</v>
      </c>
      <c r="H8837" s="333" t="str" cm="1">
        <f t="array" ref="H8837">IFERROR(INDEX(INVESTOR_LIST[INVESTOR NAME],MATCH(I8837,INVESTOR_LIST[INVESTOR CODE],0),)," ")</f>
        <v xml:space="preserve"> </v>
      </c>
      <c r="I8837" s="333" t="s">
        <v>348</v>
      </c>
      <c r="J8837" s="331" t="s">
        <v>152</v>
      </c>
      <c r="K8837" s="334"/>
      <c r="L8837" s="334">
        <v>22589.56</v>
      </c>
      <c r="M8837" s="160"/>
    </row>
    <row r="8838" spans="1:14" x14ac:dyDescent="0.2">
      <c r="A8838" s="238">
        <v>2023</v>
      </c>
      <c r="B8838" s="238">
        <v>5</v>
      </c>
      <c r="C8838" s="238">
        <v>25</v>
      </c>
      <c r="D8838" s="270">
        <f t="shared" ref="D8838:D8853" si="968">DATE(A8838,B8838,C8838)</f>
        <v>45071</v>
      </c>
      <c r="E8838" s="279">
        <f t="shared" ref="E8838:E8853" si="969">DATE(A8838,B8838,C8838)</f>
        <v>45071</v>
      </c>
      <c r="F8838" s="477" t="s">
        <v>347</v>
      </c>
      <c r="G8838" s="239" t="s">
        <v>94</v>
      </c>
      <c r="H8838" s="239" t="str" cm="1">
        <f t="array" ref="H8838">IFERROR(INDEX(INVESTOR_LIST[INVESTOR NAME],MATCH(I8838,INVESTOR_LIST[INVESTOR CODE],0),)," ")</f>
        <v xml:space="preserve"> </v>
      </c>
      <c r="I8838" s="262" t="s">
        <v>348</v>
      </c>
      <c r="J8838" s="240" t="s">
        <v>82</v>
      </c>
      <c r="K8838" s="241">
        <v>261296.09000000358</v>
      </c>
      <c r="L8838" s="241"/>
    </row>
    <row r="8839" spans="1:14" x14ac:dyDescent="0.2">
      <c r="A8839" s="242">
        <v>2023</v>
      </c>
      <c r="B8839" s="242">
        <v>5</v>
      </c>
      <c r="C8839" s="242">
        <v>25</v>
      </c>
      <c r="D8839" s="270">
        <f t="shared" si="968"/>
        <v>45071</v>
      </c>
      <c r="E8839" s="279">
        <f t="shared" si="969"/>
        <v>45071</v>
      </c>
      <c r="F8839" s="478"/>
      <c r="G8839" s="243" t="s">
        <v>94</v>
      </c>
      <c r="H8839" s="243" t="str" cm="1">
        <f t="array" ref="H8839">IFERROR(INDEX(INVESTOR_LIST[INVESTOR NAME],MATCH(I8839,INVESTOR_LIST[INVESTOR CODE],0),)," ")</f>
        <v xml:space="preserve"> </v>
      </c>
      <c r="I8839" s="263" t="s">
        <v>348</v>
      </c>
      <c r="J8839" s="244" t="s">
        <v>108</v>
      </c>
      <c r="K8839" s="245"/>
      <c r="L8839" s="245">
        <v>261296.09000000358</v>
      </c>
    </row>
    <row r="8840" spans="1:14" ht="22.5" x14ac:dyDescent="0.2">
      <c r="A8840" s="246">
        <v>2023</v>
      </c>
      <c r="B8840" s="238">
        <v>5</v>
      </c>
      <c r="C8840" s="238">
        <v>25</v>
      </c>
      <c r="D8840" s="270">
        <f t="shared" si="968"/>
        <v>45071</v>
      </c>
      <c r="E8840" s="279">
        <f t="shared" si="969"/>
        <v>45071</v>
      </c>
      <c r="F8840" s="482" t="s">
        <v>148</v>
      </c>
      <c r="G8840" s="247" t="s">
        <v>94</v>
      </c>
      <c r="H8840" s="247" t="str" cm="1">
        <f t="array" ref="H8840">IFERROR(INDEX(INVESTOR_LIST[INVESTOR NAME],MATCH(I8840,INVESTOR_LIST[INVESTOR CODE],0),)," ")</f>
        <v xml:space="preserve"> </v>
      </c>
      <c r="I8840" s="248" t="s">
        <v>348</v>
      </c>
      <c r="J8840" s="249" t="s">
        <v>95</v>
      </c>
      <c r="K8840" s="250">
        <v>2747.2527472527472</v>
      </c>
      <c r="L8840" s="241"/>
    </row>
    <row r="8841" spans="1:14" x14ac:dyDescent="0.2">
      <c r="A8841" s="242">
        <v>2023</v>
      </c>
      <c r="B8841" s="242">
        <v>5</v>
      </c>
      <c r="C8841" s="242">
        <v>25</v>
      </c>
      <c r="D8841" s="270">
        <f t="shared" si="968"/>
        <v>45071</v>
      </c>
      <c r="E8841" s="279">
        <f t="shared" si="969"/>
        <v>45071</v>
      </c>
      <c r="F8841" s="478"/>
      <c r="G8841" s="243" t="s">
        <v>94</v>
      </c>
      <c r="H8841" s="243" t="str" cm="1">
        <f t="array" ref="H8841">IFERROR(INDEX(INVESTOR_LIST[INVESTOR NAME],MATCH(I8841,INVESTOR_LIST[INVESTOR CODE],0),)," ")</f>
        <v xml:space="preserve"> </v>
      </c>
      <c r="I8841" s="263" t="s">
        <v>348</v>
      </c>
      <c r="J8841" s="244" t="s">
        <v>63</v>
      </c>
      <c r="K8841" s="245"/>
      <c r="L8841" s="245">
        <v>2747.2527472527472</v>
      </c>
    </row>
    <row r="8842" spans="1:14" x14ac:dyDescent="0.2">
      <c r="A8842" s="246">
        <v>2023</v>
      </c>
      <c r="B8842" s="238">
        <v>5</v>
      </c>
      <c r="C8842" s="238">
        <v>25</v>
      </c>
      <c r="D8842" s="270">
        <f t="shared" si="968"/>
        <v>45071</v>
      </c>
      <c r="E8842" s="279">
        <f t="shared" si="969"/>
        <v>45071</v>
      </c>
      <c r="F8842" s="482" t="s">
        <v>137</v>
      </c>
      <c r="G8842" s="247" t="s">
        <v>94</v>
      </c>
      <c r="H8842" s="247" t="str" cm="1">
        <f t="array" ref="H8842">IFERROR(INDEX(INVESTOR_LIST[INVESTOR NAME],MATCH(I8842,INVESTOR_LIST[INVESTOR CODE],0),)," ")</f>
        <v xml:space="preserve"> </v>
      </c>
      <c r="I8842" s="248" t="s">
        <v>348</v>
      </c>
      <c r="J8842" s="249" t="s">
        <v>97</v>
      </c>
      <c r="K8842" s="250">
        <v>67305.505625175807</v>
      </c>
      <c r="L8842" s="252"/>
    </row>
    <row r="8843" spans="1:14" x14ac:dyDescent="0.2">
      <c r="A8843" s="242">
        <v>2023</v>
      </c>
      <c r="B8843" s="242">
        <v>5</v>
      </c>
      <c r="C8843" s="242">
        <v>25</v>
      </c>
      <c r="D8843" s="270">
        <f t="shared" si="968"/>
        <v>45071</v>
      </c>
      <c r="E8843" s="279">
        <f t="shared" si="969"/>
        <v>45071</v>
      </c>
      <c r="F8843" s="478"/>
      <c r="G8843" s="243" t="s">
        <v>94</v>
      </c>
      <c r="H8843" s="243" t="str" cm="1">
        <f t="array" ref="H8843">IFERROR(INDEX(INVESTOR_LIST[INVESTOR NAME],MATCH(I8843,INVESTOR_LIST[INVESTOR CODE],0),)," ")</f>
        <v xml:space="preserve"> </v>
      </c>
      <c r="I8843" s="263" t="s">
        <v>348</v>
      </c>
      <c r="J8843" s="244" t="s">
        <v>47</v>
      </c>
      <c r="K8843" s="245"/>
      <c r="L8843" s="245">
        <v>67305.505625175807</v>
      </c>
    </row>
    <row r="8844" spans="1:14" x14ac:dyDescent="0.2">
      <c r="A8844" s="246">
        <v>2023</v>
      </c>
      <c r="B8844" s="238">
        <v>5</v>
      </c>
      <c r="C8844" s="238">
        <v>25</v>
      </c>
      <c r="D8844" s="270">
        <f t="shared" si="968"/>
        <v>45071</v>
      </c>
      <c r="E8844" s="279">
        <f t="shared" si="969"/>
        <v>45071</v>
      </c>
      <c r="F8844" s="482" t="s">
        <v>138</v>
      </c>
      <c r="G8844" s="247" t="s">
        <v>94</v>
      </c>
      <c r="H8844" s="247" t="str" cm="1">
        <f t="array" ref="H8844">IFERROR(INDEX(INVESTOR_LIST[INVESTOR NAME],MATCH(I8844,INVESTOR_LIST[INVESTOR CODE],0),)," ")</f>
        <v xml:space="preserve"> </v>
      </c>
      <c r="I8844" s="248" t="s">
        <v>348</v>
      </c>
      <c r="J8844" s="249" t="s">
        <v>100</v>
      </c>
      <c r="K8844" s="250">
        <v>3365.2752812587905</v>
      </c>
      <c r="L8844" s="252"/>
    </row>
    <row r="8845" spans="1:14" ht="10.9" customHeight="1" x14ac:dyDescent="0.2">
      <c r="A8845" s="242">
        <v>2023</v>
      </c>
      <c r="B8845" s="242">
        <v>5</v>
      </c>
      <c r="C8845" s="242">
        <v>25</v>
      </c>
      <c r="D8845" s="321">
        <f t="shared" si="968"/>
        <v>45071</v>
      </c>
      <c r="E8845" s="322">
        <f t="shared" si="969"/>
        <v>45071</v>
      </c>
      <c r="F8845" s="478"/>
      <c r="G8845" s="243" t="s">
        <v>94</v>
      </c>
      <c r="H8845" s="243" t="str" cm="1">
        <f t="array" ref="H8845">IFERROR(INDEX(INVESTOR_LIST[INVESTOR NAME],MATCH(I8845,INVESTOR_LIST[INVESTOR CODE],0),)," ")</f>
        <v xml:space="preserve"> </v>
      </c>
      <c r="I8845" s="263" t="s">
        <v>348</v>
      </c>
      <c r="J8845" s="244" t="s">
        <v>48</v>
      </c>
      <c r="K8845" s="245"/>
      <c r="L8845" s="245">
        <v>3365.2752812587905</v>
      </c>
    </row>
    <row r="8846" spans="1:14" ht="10.15" customHeight="1" x14ac:dyDescent="0.2">
      <c r="A8846" s="168">
        <v>2023</v>
      </c>
      <c r="B8846" s="168">
        <v>5</v>
      </c>
      <c r="C8846" s="168">
        <v>28</v>
      </c>
      <c r="D8846" s="141">
        <f t="shared" si="968"/>
        <v>45074</v>
      </c>
      <c r="E8846" s="275">
        <f t="shared" si="969"/>
        <v>45074</v>
      </c>
      <c r="F8846" s="479" t="s">
        <v>1315</v>
      </c>
      <c r="G8846" s="220" t="s">
        <v>74</v>
      </c>
      <c r="H8846" s="142" t="str" cm="1">
        <f t="array" ref="H8846">IFERROR(INDEX(INVESTOR_LIST[INVESTOR NAME],MATCH(I8846,INVESTOR_LIST[INVESTOR CODE],0),)," ")</f>
        <v>MOHAMMAD HABIB RASHID</v>
      </c>
      <c r="I8846" s="142" t="s">
        <v>550</v>
      </c>
      <c r="J8846" s="168" t="s">
        <v>13</v>
      </c>
      <c r="K8846" s="218">
        <v>80310</v>
      </c>
      <c r="L8846" s="226"/>
    </row>
    <row r="8847" spans="1:14" ht="10.15" customHeight="1" x14ac:dyDescent="0.2">
      <c r="A8847" s="133">
        <v>2023</v>
      </c>
      <c r="B8847" s="133">
        <v>5</v>
      </c>
      <c r="C8847" s="133">
        <v>28</v>
      </c>
      <c r="D8847" s="141">
        <f t="shared" si="968"/>
        <v>45074</v>
      </c>
      <c r="E8847" s="275">
        <f t="shared" si="969"/>
        <v>45074</v>
      </c>
      <c r="F8847" s="481"/>
      <c r="G8847" s="174" t="s">
        <v>74</v>
      </c>
      <c r="H8847" s="148" t="str" cm="1">
        <f t="array" ref="H8847">IFERROR(INDEX(INVESTOR_LIST[INVESTOR NAME],MATCH(I8847,INVESTOR_LIST[INVESTOR CODE],0),)," ")</f>
        <v>MOHAMMAD HABIB RASHID</v>
      </c>
      <c r="I8847" s="148" t="s">
        <v>550</v>
      </c>
      <c r="J8847" s="133" t="s">
        <v>53</v>
      </c>
      <c r="K8847" s="218">
        <v>19690</v>
      </c>
      <c r="L8847" s="133"/>
    </row>
    <row r="8848" spans="1:14" ht="10.15" customHeight="1" x14ac:dyDescent="0.2">
      <c r="A8848" s="163">
        <v>2023</v>
      </c>
      <c r="B8848" s="163">
        <v>5</v>
      </c>
      <c r="C8848" s="163">
        <v>28</v>
      </c>
      <c r="D8848" s="280">
        <f t="shared" si="968"/>
        <v>45074</v>
      </c>
      <c r="E8848" s="281">
        <f t="shared" si="969"/>
        <v>45074</v>
      </c>
      <c r="F8848" s="480"/>
      <c r="G8848" s="221" t="s">
        <v>74</v>
      </c>
      <c r="H8848" s="145" t="str" cm="1">
        <f t="array" ref="H8848">IFERROR(INDEX(INVESTOR_LIST[INVESTOR NAME],MATCH(I8848,INVESTOR_LIST[INVESTOR CODE],0),)," ")</f>
        <v>MOHAMMAD HABIB RASHID</v>
      </c>
      <c r="I8848" s="145" t="s">
        <v>550</v>
      </c>
      <c r="J8848" s="163" t="s">
        <v>52</v>
      </c>
      <c r="K8848" s="219"/>
      <c r="L8848" s="219">
        <v>100000</v>
      </c>
    </row>
    <row r="8849" spans="1:13" x14ac:dyDescent="0.2">
      <c r="A8849" s="168">
        <v>2023</v>
      </c>
      <c r="B8849" s="168">
        <v>5</v>
      </c>
      <c r="C8849" s="168">
        <v>28</v>
      </c>
      <c r="D8849" s="141">
        <f>DATE(A8849,B8849,C8849)</f>
        <v>45074</v>
      </c>
      <c r="E8849" s="275">
        <f>DATE(A8849,B8849,C8849)</f>
        <v>45074</v>
      </c>
      <c r="F8849" s="479" t="s">
        <v>1695</v>
      </c>
      <c r="G8849" s="220" t="s">
        <v>94</v>
      </c>
      <c r="H8849" s="220" t="str" cm="1">
        <f t="array" ref="H8849">IFERROR(INDEX(INVESTOR_LIST[INVESTOR NAME],MATCH(I8849,INVESTOR_LIST[INVESTOR CODE],0),)," ")</f>
        <v xml:space="preserve"> </v>
      </c>
      <c r="I8849" s="142"/>
      <c r="J8849" s="143" t="s">
        <v>79</v>
      </c>
      <c r="K8849" s="226">
        <v>628597.4</v>
      </c>
      <c r="L8849" s="226"/>
      <c r="M8849" s="160"/>
    </row>
    <row r="8850" spans="1:13" x14ac:dyDescent="0.2">
      <c r="A8850" s="133">
        <v>2023</v>
      </c>
      <c r="B8850" s="133">
        <v>5</v>
      </c>
      <c r="C8850" s="133">
        <v>28</v>
      </c>
      <c r="D8850" s="141">
        <f>DATE(A8850,B8850,C8850)</f>
        <v>45074</v>
      </c>
      <c r="E8850" s="275">
        <f>DATE(A8850,B8850,C8850)</f>
        <v>45074</v>
      </c>
      <c r="F8850" s="481"/>
      <c r="G8850" s="174" t="s">
        <v>94</v>
      </c>
      <c r="H8850" s="174"/>
      <c r="J8850" s="149" t="s">
        <v>80</v>
      </c>
      <c r="K8850" s="218">
        <v>1131.48</v>
      </c>
      <c r="L8850" s="218"/>
    </row>
    <row r="8851" spans="1:13" x14ac:dyDescent="0.2">
      <c r="A8851" s="163">
        <v>2023</v>
      </c>
      <c r="B8851" s="163">
        <v>5</v>
      </c>
      <c r="C8851" s="163">
        <v>28</v>
      </c>
      <c r="D8851" s="280">
        <f>DATE(A8851,B8851,C8851)</f>
        <v>45074</v>
      </c>
      <c r="E8851" s="281">
        <f>DATE(A8851,B8851,C8851)</f>
        <v>45074</v>
      </c>
      <c r="F8851" s="480"/>
      <c r="G8851" s="221" t="s">
        <v>94</v>
      </c>
      <c r="H8851" s="221"/>
      <c r="I8851" s="145"/>
      <c r="J8851" s="146" t="s">
        <v>147</v>
      </c>
      <c r="K8851" s="219"/>
      <c r="L8851" s="219">
        <v>629728.88</v>
      </c>
    </row>
    <row r="8852" spans="1:13" x14ac:dyDescent="0.2">
      <c r="A8852" s="168">
        <v>2023</v>
      </c>
      <c r="B8852" s="168">
        <v>5</v>
      </c>
      <c r="C8852" s="168">
        <v>29</v>
      </c>
      <c r="D8852" s="141">
        <f t="shared" si="968"/>
        <v>45075</v>
      </c>
      <c r="E8852" s="275">
        <f t="shared" si="969"/>
        <v>45075</v>
      </c>
      <c r="F8852" s="479" t="s">
        <v>1500</v>
      </c>
      <c r="G8852" s="220" t="s">
        <v>74</v>
      </c>
      <c r="H8852" s="220" t="str" cm="1">
        <f t="array" ref="H8852">IFERROR(INDEX(INVESTOR_LIST[INVESTOR NAME],MATCH(I8852,INVESTOR_LIST[INVESTOR CODE],0),)," ")</f>
        <v xml:space="preserve"> </v>
      </c>
      <c r="I8852" s="142"/>
      <c r="J8852" s="143" t="s">
        <v>52</v>
      </c>
      <c r="K8852" s="226">
        <v>306447.40000000002</v>
      </c>
      <c r="L8852" s="226"/>
    </row>
    <row r="8853" spans="1:13" x14ac:dyDescent="0.2">
      <c r="A8853" s="163">
        <v>2023</v>
      </c>
      <c r="B8853" s="163">
        <v>5</v>
      </c>
      <c r="C8853" s="163">
        <v>29</v>
      </c>
      <c r="D8853" s="280">
        <f t="shared" si="968"/>
        <v>45075</v>
      </c>
      <c r="E8853" s="281">
        <f t="shared" si="969"/>
        <v>45075</v>
      </c>
      <c r="F8853" s="480"/>
      <c r="G8853" s="221" t="s">
        <v>74</v>
      </c>
      <c r="H8853" s="221" t="str" cm="1">
        <f t="array" ref="H8853">IFERROR(INDEX(INVESTOR_LIST[INVESTOR NAME],MATCH(I8853,INVESTOR_LIST[INVESTOR CODE],0),)," ")</f>
        <v xml:space="preserve"> </v>
      </c>
      <c r="I8853" s="145"/>
      <c r="J8853" s="146" t="s">
        <v>190</v>
      </c>
      <c r="K8853" s="219"/>
      <c r="L8853" s="219">
        <v>306447.40000000002</v>
      </c>
    </row>
    <row r="8854" spans="1:13" ht="10.15" customHeight="1" x14ac:dyDescent="0.2">
      <c r="A8854" s="168">
        <v>2023</v>
      </c>
      <c r="B8854" s="168">
        <v>5</v>
      </c>
      <c r="C8854" s="168">
        <v>29</v>
      </c>
      <c r="D8854" s="141">
        <f t="shared" ref="D8854:D8866" si="970">DATE(A8854,B8854,C8854)</f>
        <v>45075</v>
      </c>
      <c r="E8854" s="275">
        <f t="shared" ref="E8854:E8866" si="971">DATE(A8854,B8854,C8854)</f>
        <v>45075</v>
      </c>
      <c r="F8854" s="479" t="s">
        <v>1319</v>
      </c>
      <c r="G8854" s="220" t="s">
        <v>74</v>
      </c>
      <c r="H8854" s="142" t="str" cm="1">
        <f t="array" ref="H8854">IFERROR(INDEX(INVESTOR_LIST[INVESTOR NAME],MATCH(I8854,INVESTOR_LIST[INVESTOR CODE],0),)," ")</f>
        <v xml:space="preserve"> </v>
      </c>
      <c r="I8854" s="142"/>
      <c r="J8854" s="168" t="s">
        <v>52</v>
      </c>
      <c r="K8854" s="226">
        <v>399500</v>
      </c>
      <c r="L8854" s="226"/>
    </row>
    <row r="8855" spans="1:13" ht="10.15" customHeight="1" x14ac:dyDescent="0.2">
      <c r="A8855" s="133">
        <v>2023</v>
      </c>
      <c r="B8855" s="133">
        <v>5</v>
      </c>
      <c r="C8855" s="133">
        <v>29</v>
      </c>
      <c r="D8855" s="141">
        <f t="shared" si="970"/>
        <v>45075</v>
      </c>
      <c r="E8855" s="275">
        <f t="shared" si="971"/>
        <v>45075</v>
      </c>
      <c r="F8855" s="481"/>
      <c r="G8855" s="174" t="s">
        <v>74</v>
      </c>
      <c r="H8855" s="148" t="str" cm="1">
        <f t="array" ref="H8855">IFERROR(INDEX(INVESTOR_LIST[INVESTOR NAME],MATCH(I8855,INVESTOR_LIST[INVESTOR CODE],0),)," ")</f>
        <v xml:space="preserve"> </v>
      </c>
      <c r="J8855" s="133" t="s">
        <v>13</v>
      </c>
      <c r="K8855" s="218"/>
      <c r="L8855" s="218">
        <v>320910</v>
      </c>
    </row>
    <row r="8856" spans="1:13" ht="10.15" customHeight="1" x14ac:dyDescent="0.2">
      <c r="A8856" s="163">
        <v>2023</v>
      </c>
      <c r="B8856" s="163">
        <v>5</v>
      </c>
      <c r="C8856" s="163">
        <v>29</v>
      </c>
      <c r="D8856" s="280">
        <f t="shared" si="970"/>
        <v>45075</v>
      </c>
      <c r="E8856" s="281">
        <f t="shared" si="971"/>
        <v>45075</v>
      </c>
      <c r="F8856" s="480"/>
      <c r="G8856" s="221" t="s">
        <v>74</v>
      </c>
      <c r="H8856" s="145" t="str" cm="1">
        <f t="array" ref="H8856">IFERROR(INDEX(INVESTOR_LIST[INVESTOR NAME],MATCH(I8856,INVESTOR_LIST[INVESTOR CODE],0),)," ")</f>
        <v xml:space="preserve"> </v>
      </c>
      <c r="I8856" s="145"/>
      <c r="J8856" s="163" t="s">
        <v>53</v>
      </c>
      <c r="K8856" s="219"/>
      <c r="L8856" s="219">
        <v>78590</v>
      </c>
    </row>
    <row r="8857" spans="1:13" ht="10.15" customHeight="1" x14ac:dyDescent="0.2">
      <c r="A8857" s="168">
        <v>2023</v>
      </c>
      <c r="B8857" s="168">
        <v>5</v>
      </c>
      <c r="C8857" s="168">
        <v>29</v>
      </c>
      <c r="D8857" s="141">
        <f t="shared" si="970"/>
        <v>45075</v>
      </c>
      <c r="E8857" s="275">
        <f t="shared" si="971"/>
        <v>45075</v>
      </c>
      <c r="F8857" s="479" t="s">
        <v>1310</v>
      </c>
      <c r="G8857" s="220" t="s">
        <v>74</v>
      </c>
      <c r="H8857" s="142" t="str" cm="1">
        <f t="array" ref="H8857">IFERROR(INDEX(INVESTOR_LIST[INVESTOR NAME],MATCH(I8857,INVESTOR_LIST[INVESTOR CODE],0),)," ")</f>
        <v>HARUN IBNE HOQUE</v>
      </c>
      <c r="I8857" s="142" t="s">
        <v>618</v>
      </c>
      <c r="J8857" s="168" t="s">
        <v>13</v>
      </c>
      <c r="K8857" s="218">
        <v>2410</v>
      </c>
      <c r="L8857" s="226"/>
    </row>
    <row r="8858" spans="1:13" ht="10.15" customHeight="1" x14ac:dyDescent="0.2">
      <c r="A8858" s="133">
        <v>2023</v>
      </c>
      <c r="B8858" s="133">
        <v>5</v>
      </c>
      <c r="C8858" s="133">
        <v>29</v>
      </c>
      <c r="D8858" s="141">
        <f t="shared" si="970"/>
        <v>45075</v>
      </c>
      <c r="E8858" s="275">
        <f t="shared" si="971"/>
        <v>45075</v>
      </c>
      <c r="F8858" s="481"/>
      <c r="G8858" s="174" t="s">
        <v>74</v>
      </c>
      <c r="H8858" s="148" t="str" cm="1">
        <f t="array" ref="H8858">IFERROR(INDEX(INVESTOR_LIST[INVESTOR NAME],MATCH(I8858,INVESTOR_LIST[INVESTOR CODE],0),)," ")</f>
        <v>HARUN IBNE HOQUE</v>
      </c>
      <c r="I8858" s="148" t="s">
        <v>618</v>
      </c>
      <c r="J8858" s="133" t="s">
        <v>53</v>
      </c>
      <c r="K8858" s="218">
        <v>590</v>
      </c>
      <c r="L8858" s="133"/>
    </row>
    <row r="8859" spans="1:13" ht="10.15" customHeight="1" x14ac:dyDescent="0.2">
      <c r="A8859" s="163">
        <v>2023</v>
      </c>
      <c r="B8859" s="163">
        <v>5</v>
      </c>
      <c r="C8859" s="163">
        <v>29</v>
      </c>
      <c r="D8859" s="280">
        <f t="shared" si="970"/>
        <v>45075</v>
      </c>
      <c r="E8859" s="281">
        <f t="shared" si="971"/>
        <v>45075</v>
      </c>
      <c r="F8859" s="480"/>
      <c r="G8859" s="221" t="s">
        <v>74</v>
      </c>
      <c r="H8859" s="145" t="str" cm="1">
        <f t="array" ref="H8859">IFERROR(INDEX(INVESTOR_LIST[INVESTOR NAME],MATCH(I8859,INVESTOR_LIST[INVESTOR CODE],0),)," ")</f>
        <v>HARUN IBNE HOQUE</v>
      </c>
      <c r="I8859" s="145" t="s">
        <v>618</v>
      </c>
      <c r="J8859" s="163" t="s">
        <v>52</v>
      </c>
      <c r="K8859" s="219"/>
      <c r="L8859" s="219">
        <v>3000</v>
      </c>
    </row>
    <row r="8860" spans="1:13" x14ac:dyDescent="0.2">
      <c r="A8860" s="133">
        <v>2023</v>
      </c>
      <c r="B8860" s="133">
        <v>5</v>
      </c>
      <c r="C8860" s="168">
        <v>29</v>
      </c>
      <c r="D8860" s="141">
        <f t="shared" si="970"/>
        <v>45075</v>
      </c>
      <c r="E8860" s="275">
        <f t="shared" si="971"/>
        <v>45075</v>
      </c>
      <c r="F8860" s="479" t="s">
        <v>1694</v>
      </c>
      <c r="G8860" s="220" t="s">
        <v>74</v>
      </c>
      <c r="H8860" s="220" t="str" cm="1">
        <f t="array" ref="H8860">IFERROR(INDEX(INVESTOR_LIST[INVESTOR NAME],MATCH(I8860,INVESTOR_LIST[INVESTOR CODE],0),)," ")</f>
        <v xml:space="preserve"> </v>
      </c>
      <c r="I8860" s="142"/>
      <c r="J8860" s="143" t="s">
        <v>147</v>
      </c>
      <c r="K8860" s="226">
        <v>629728.88</v>
      </c>
      <c r="L8860" s="226"/>
    </row>
    <row r="8861" spans="1:13" x14ac:dyDescent="0.2">
      <c r="A8861" s="163">
        <v>2023</v>
      </c>
      <c r="B8861" s="163">
        <v>5</v>
      </c>
      <c r="C8861" s="163">
        <v>29</v>
      </c>
      <c r="D8861" s="280">
        <f t="shared" si="970"/>
        <v>45075</v>
      </c>
      <c r="E8861" s="281">
        <f t="shared" si="971"/>
        <v>45075</v>
      </c>
      <c r="F8861" s="480"/>
      <c r="G8861" s="221" t="s">
        <v>74</v>
      </c>
      <c r="H8861" s="221" t="str" cm="1">
        <f t="array" ref="H8861">IFERROR(INDEX(INVESTOR_LIST[INVESTOR NAME],MATCH(I8861,INVESTOR_LIST[INVESTOR CODE],0),)," ")</f>
        <v xml:space="preserve"> </v>
      </c>
      <c r="I8861" s="145" t="s">
        <v>348</v>
      </c>
      <c r="J8861" s="146" t="s">
        <v>52</v>
      </c>
      <c r="K8861" s="219"/>
      <c r="L8861" s="219">
        <v>629728.88</v>
      </c>
    </row>
    <row r="8862" spans="1:13" x14ac:dyDescent="0.2">
      <c r="A8862" s="168">
        <v>2023</v>
      </c>
      <c r="B8862" s="168">
        <v>5</v>
      </c>
      <c r="C8862" s="168">
        <v>29</v>
      </c>
      <c r="D8862" s="141">
        <f t="shared" si="970"/>
        <v>45075</v>
      </c>
      <c r="E8862" s="275">
        <f t="shared" si="971"/>
        <v>45075</v>
      </c>
      <c r="F8862" s="479" t="s">
        <v>1695</v>
      </c>
      <c r="G8862" s="220" t="s">
        <v>94</v>
      </c>
      <c r="H8862" s="220" t="str" cm="1">
        <f t="array" ref="H8862">IFERROR(INDEX(INVESTOR_LIST[INVESTOR NAME],MATCH(I8862,INVESTOR_LIST[INVESTOR CODE],0),)," ")</f>
        <v xml:space="preserve"> </v>
      </c>
      <c r="I8862" s="142"/>
      <c r="J8862" s="143" t="s">
        <v>79</v>
      </c>
      <c r="K8862" s="226">
        <v>788700</v>
      </c>
      <c r="L8862" s="226"/>
      <c r="M8862" s="160"/>
    </row>
    <row r="8863" spans="1:13" x14ac:dyDescent="0.2">
      <c r="A8863" s="133">
        <v>2023</v>
      </c>
      <c r="B8863" s="133">
        <v>5</v>
      </c>
      <c r="C8863" s="133">
        <v>29</v>
      </c>
      <c r="D8863" s="141">
        <f t="shared" si="970"/>
        <v>45075</v>
      </c>
      <c r="E8863" s="275">
        <f t="shared" si="971"/>
        <v>45075</v>
      </c>
      <c r="F8863" s="481"/>
      <c r="G8863" s="174" t="s">
        <v>94</v>
      </c>
      <c r="H8863" s="174"/>
      <c r="J8863" s="149" t="s">
        <v>80</v>
      </c>
      <c r="K8863" s="218">
        <v>1419.66</v>
      </c>
      <c r="L8863" s="218"/>
    </row>
    <row r="8864" spans="1:13" x14ac:dyDescent="0.2">
      <c r="A8864" s="163">
        <v>2023</v>
      </c>
      <c r="B8864" s="163">
        <v>5</v>
      </c>
      <c r="C8864" s="163">
        <v>29</v>
      </c>
      <c r="D8864" s="280">
        <f t="shared" si="970"/>
        <v>45075</v>
      </c>
      <c r="E8864" s="281">
        <f t="shared" si="971"/>
        <v>45075</v>
      </c>
      <c r="F8864" s="480"/>
      <c r="G8864" s="221" t="s">
        <v>94</v>
      </c>
      <c r="H8864" s="221"/>
      <c r="I8864" s="145"/>
      <c r="J8864" s="146" t="s">
        <v>147</v>
      </c>
      <c r="K8864" s="219"/>
      <c r="L8864" s="219">
        <v>790119.66</v>
      </c>
    </row>
    <row r="8865" spans="1:17" x14ac:dyDescent="0.2">
      <c r="A8865" s="133">
        <v>2023</v>
      </c>
      <c r="B8865" s="133">
        <v>5</v>
      </c>
      <c r="C8865" s="168">
        <v>29</v>
      </c>
      <c r="D8865" s="141">
        <f t="shared" si="970"/>
        <v>45075</v>
      </c>
      <c r="E8865" s="275">
        <f t="shared" si="971"/>
        <v>45075</v>
      </c>
      <c r="F8865" s="479" t="s">
        <v>1694</v>
      </c>
      <c r="G8865" s="220" t="s">
        <v>74</v>
      </c>
      <c r="H8865" s="220" t="str" cm="1">
        <f t="array" ref="H8865">IFERROR(INDEX(INVESTOR_LIST[INVESTOR NAME],MATCH(I8865,INVESTOR_LIST[INVESTOR CODE],0),)," ")</f>
        <v xml:space="preserve"> </v>
      </c>
      <c r="I8865" s="142"/>
      <c r="J8865" s="143" t="s">
        <v>147</v>
      </c>
      <c r="K8865" s="226">
        <v>790119.66</v>
      </c>
      <c r="L8865" s="226"/>
    </row>
    <row r="8866" spans="1:17" x14ac:dyDescent="0.2">
      <c r="A8866" s="163">
        <v>2023</v>
      </c>
      <c r="B8866" s="163">
        <v>5</v>
      </c>
      <c r="C8866" s="163">
        <v>29</v>
      </c>
      <c r="D8866" s="280">
        <f t="shared" si="970"/>
        <v>45075</v>
      </c>
      <c r="E8866" s="281">
        <f t="shared" si="971"/>
        <v>45075</v>
      </c>
      <c r="F8866" s="480"/>
      <c r="G8866" s="221" t="s">
        <v>74</v>
      </c>
      <c r="H8866" s="221" t="str" cm="1">
        <f t="array" ref="H8866">IFERROR(INDEX(INVESTOR_LIST[INVESTOR NAME],MATCH(I8866,INVESTOR_LIST[INVESTOR CODE],0),)," ")</f>
        <v xml:space="preserve"> </v>
      </c>
      <c r="I8866" s="145" t="s">
        <v>348</v>
      </c>
      <c r="J8866" s="146" t="s">
        <v>52</v>
      </c>
      <c r="K8866" s="219"/>
      <c r="L8866" s="219">
        <v>790119.66</v>
      </c>
    </row>
    <row r="8867" spans="1:17" x14ac:dyDescent="0.2">
      <c r="A8867" s="168">
        <v>2023</v>
      </c>
      <c r="B8867" s="168">
        <v>5</v>
      </c>
      <c r="C8867" s="168">
        <v>29</v>
      </c>
      <c r="D8867" s="141">
        <f t="shared" ref="D8867:D8868" si="972">DATE(A8867,B8867,C8867)</f>
        <v>45075</v>
      </c>
      <c r="E8867" s="275">
        <f t="shared" ref="E8867:E8868" si="973">DATE(A8867,B8867,C8867)</f>
        <v>45075</v>
      </c>
      <c r="F8867" s="479" t="s">
        <v>1647</v>
      </c>
      <c r="G8867" s="220" t="s">
        <v>74</v>
      </c>
      <c r="H8867" s="220" t="str" cm="1">
        <f t="array" ref="H8867">IFERROR(INDEX(INVESTOR_LIST[INVESTOR NAME],MATCH(I8867,INVESTOR_LIST[INVESTOR CODE],0),)," ")</f>
        <v xml:space="preserve"> </v>
      </c>
      <c r="I8867" s="142"/>
      <c r="J8867" s="143" t="s">
        <v>52</v>
      </c>
      <c r="K8867" s="226">
        <v>314821.90000000002</v>
      </c>
      <c r="L8867" s="226"/>
    </row>
    <row r="8868" spans="1:17" x14ac:dyDescent="0.2">
      <c r="A8868" s="163">
        <v>2023</v>
      </c>
      <c r="B8868" s="163">
        <v>5</v>
      </c>
      <c r="C8868" s="163">
        <v>29</v>
      </c>
      <c r="D8868" s="280">
        <f t="shared" si="972"/>
        <v>45075</v>
      </c>
      <c r="E8868" s="281">
        <f t="shared" si="973"/>
        <v>45075</v>
      </c>
      <c r="F8868" s="480"/>
      <c r="G8868" s="221" t="s">
        <v>74</v>
      </c>
      <c r="H8868" s="221" t="str" cm="1">
        <f t="array" ref="H8868">IFERROR(INDEX(INVESTOR_LIST[INVESTOR NAME],MATCH(I8868,INVESTOR_LIST[INVESTOR CODE],0),)," ")</f>
        <v xml:space="preserve"> </v>
      </c>
      <c r="I8868" s="145"/>
      <c r="J8868" s="146" t="s">
        <v>190</v>
      </c>
      <c r="K8868" s="219"/>
      <c r="L8868" s="219">
        <v>314821.90000000002</v>
      </c>
    </row>
    <row r="8869" spans="1:17" x14ac:dyDescent="0.2">
      <c r="A8869" s="168">
        <v>2023</v>
      </c>
      <c r="B8869" s="168">
        <v>5</v>
      </c>
      <c r="C8869" s="168">
        <v>29</v>
      </c>
      <c r="D8869" s="141">
        <f t="shared" ref="D8869:D8877" si="974">DATE(A8869,B8869,C8869)</f>
        <v>45075</v>
      </c>
      <c r="E8869" s="275">
        <f t="shared" ref="E8869:E8877" si="975">DATE(A8869,B8869,C8869)</f>
        <v>45075</v>
      </c>
      <c r="F8869" s="479" t="s">
        <v>1500</v>
      </c>
      <c r="G8869" s="220" t="s">
        <v>74</v>
      </c>
      <c r="H8869" s="220" t="str" cm="1">
        <f t="array" ref="H8869">IFERROR(INDEX(INVESTOR_LIST[INVESTOR NAME],MATCH(I8869,INVESTOR_LIST[INVESTOR CODE],0),)," ")</f>
        <v xml:space="preserve"> </v>
      </c>
      <c r="I8869" s="142"/>
      <c r="J8869" s="143" t="s">
        <v>52</v>
      </c>
      <c r="K8869" s="226">
        <v>373285.87</v>
      </c>
      <c r="L8869" s="226"/>
    </row>
    <row r="8870" spans="1:17" x14ac:dyDescent="0.2">
      <c r="A8870" s="163">
        <v>2023</v>
      </c>
      <c r="B8870" s="163">
        <v>5</v>
      </c>
      <c r="C8870" s="163">
        <v>29</v>
      </c>
      <c r="D8870" s="280">
        <f t="shared" si="974"/>
        <v>45075</v>
      </c>
      <c r="E8870" s="281">
        <f t="shared" si="975"/>
        <v>45075</v>
      </c>
      <c r="F8870" s="480"/>
      <c r="G8870" s="221" t="s">
        <v>74</v>
      </c>
      <c r="H8870" s="221" t="str" cm="1">
        <f t="array" ref="H8870">IFERROR(INDEX(INVESTOR_LIST[INVESTOR NAME],MATCH(I8870,INVESTOR_LIST[INVESTOR CODE],0),)," ")</f>
        <v xml:space="preserve"> </v>
      </c>
      <c r="I8870" s="145"/>
      <c r="J8870" s="146" t="s">
        <v>190</v>
      </c>
      <c r="K8870" s="219"/>
      <c r="L8870" s="219">
        <v>373285.87</v>
      </c>
    </row>
    <row r="8871" spans="1:17" x14ac:dyDescent="0.2">
      <c r="A8871" s="133">
        <v>2023</v>
      </c>
      <c r="B8871" s="133">
        <v>5</v>
      </c>
      <c r="C8871" s="133">
        <v>30</v>
      </c>
      <c r="D8871" s="141">
        <f t="shared" si="974"/>
        <v>45076</v>
      </c>
      <c r="E8871" s="275">
        <f t="shared" si="975"/>
        <v>45076</v>
      </c>
      <c r="F8871" s="481" t="s">
        <v>1646</v>
      </c>
      <c r="G8871" s="174" t="s">
        <v>94</v>
      </c>
      <c r="H8871" s="174" t="str" cm="1">
        <f t="array" ref="H8871">IFERROR(INDEX(INVESTOR_LIST[INVESTOR NAME],MATCH(I8871,INVESTOR_LIST[INVESTOR CODE],0),)," ")</f>
        <v xml:space="preserve"> </v>
      </c>
      <c r="J8871" s="149" t="s">
        <v>190</v>
      </c>
      <c r="K8871" s="218">
        <v>4309029.76</v>
      </c>
      <c r="L8871" s="218"/>
      <c r="M8871" s="160"/>
    </row>
    <row r="8872" spans="1:17" x14ac:dyDescent="0.2">
      <c r="A8872" s="133">
        <v>2023</v>
      </c>
      <c r="B8872" s="133">
        <v>5</v>
      </c>
      <c r="C8872" s="133">
        <v>30</v>
      </c>
      <c r="D8872" s="141">
        <f t="shared" si="974"/>
        <v>45076</v>
      </c>
      <c r="E8872" s="275">
        <f t="shared" si="975"/>
        <v>45076</v>
      </c>
      <c r="F8872" s="481"/>
      <c r="G8872" s="174" t="s">
        <v>94</v>
      </c>
      <c r="H8872" s="174"/>
      <c r="J8872" s="149" t="s">
        <v>80</v>
      </c>
      <c r="K8872" s="218">
        <v>7770.24</v>
      </c>
      <c r="L8872" s="218"/>
    </row>
    <row r="8873" spans="1:17" x14ac:dyDescent="0.2">
      <c r="A8873" s="133">
        <v>2023</v>
      </c>
      <c r="B8873" s="133">
        <v>5</v>
      </c>
      <c r="C8873" s="133">
        <v>30</v>
      </c>
      <c r="D8873" s="141">
        <f t="shared" si="974"/>
        <v>45076</v>
      </c>
      <c r="E8873" s="275">
        <f t="shared" si="975"/>
        <v>45076</v>
      </c>
      <c r="F8873" s="481"/>
      <c r="G8873" s="174" t="s">
        <v>94</v>
      </c>
      <c r="H8873" s="174" t="str" cm="1">
        <f t="array" ref="H8873">IFERROR(INDEX(INVESTOR_LIST[INVESTOR NAME],MATCH(I8873,INVESTOR_LIST[INVESTOR CODE],0),)," ")</f>
        <v xml:space="preserve"> </v>
      </c>
      <c r="J8873" s="149" t="s">
        <v>191</v>
      </c>
      <c r="K8873" s="218">
        <v>486151.15</v>
      </c>
      <c r="L8873" s="218"/>
    </row>
    <row r="8874" spans="1:17" x14ac:dyDescent="0.2">
      <c r="A8874" s="163">
        <v>2023</v>
      </c>
      <c r="B8874" s="163">
        <v>5</v>
      </c>
      <c r="C8874" s="163">
        <v>30</v>
      </c>
      <c r="D8874" s="280">
        <f t="shared" si="974"/>
        <v>45076</v>
      </c>
      <c r="E8874" s="281">
        <f t="shared" si="975"/>
        <v>45076</v>
      </c>
      <c r="F8874" s="480"/>
      <c r="G8874" s="221" t="s">
        <v>94</v>
      </c>
      <c r="H8874" s="145" t="str" cm="1">
        <f t="array" ref="H8874">IFERROR(INDEX(INVESTOR_LIST[INVESTOR NAME],MATCH(I8874,INVESTOR_LIST[INVESTOR CODE],0),)," ")</f>
        <v xml:space="preserve"> </v>
      </c>
      <c r="I8874" s="145"/>
      <c r="J8874" s="163" t="s">
        <v>79</v>
      </c>
      <c r="K8874" s="219"/>
      <c r="L8874" s="219">
        <v>4802951.1500000004</v>
      </c>
    </row>
    <row r="8875" spans="1:17" x14ac:dyDescent="0.2">
      <c r="A8875" s="133">
        <v>2023</v>
      </c>
      <c r="B8875" s="133">
        <v>5</v>
      </c>
      <c r="C8875" s="133">
        <v>30</v>
      </c>
      <c r="D8875" s="141">
        <f t="shared" si="974"/>
        <v>45076</v>
      </c>
      <c r="E8875" s="275">
        <f t="shared" si="975"/>
        <v>45076</v>
      </c>
      <c r="F8875" s="481" t="s">
        <v>1696</v>
      </c>
      <c r="G8875" s="174" t="s">
        <v>74</v>
      </c>
      <c r="H8875" s="174" t="str" cm="1">
        <f t="array" ref="H8875">IFERROR(INDEX(INVESTOR_LIST[INVESTOR NAME],MATCH(I8875,INVESTOR_LIST[INVESTOR CODE],0),)," ")</f>
        <v xml:space="preserve"> </v>
      </c>
      <c r="I8875" s="148" t="s">
        <v>348</v>
      </c>
      <c r="J8875" s="149" t="s">
        <v>79</v>
      </c>
      <c r="K8875" s="218">
        <v>2999996.4600000004</v>
      </c>
      <c r="L8875" s="218"/>
      <c r="M8875" s="147"/>
      <c r="Q8875" s="133" t="s">
        <v>348</v>
      </c>
    </row>
    <row r="8876" spans="1:17" x14ac:dyDescent="0.2">
      <c r="A8876" s="133">
        <v>2023</v>
      </c>
      <c r="B8876" s="133">
        <v>5</v>
      </c>
      <c r="C8876" s="133">
        <v>30</v>
      </c>
      <c r="D8876" s="141">
        <f t="shared" ref="D8876" si="976">DATE(A8876,B8876,C8876)</f>
        <v>45076</v>
      </c>
      <c r="E8876" s="275">
        <f t="shared" ref="E8876" si="977">DATE(A8876,B8876,C8876)</f>
        <v>45076</v>
      </c>
      <c r="F8876" s="481"/>
      <c r="G8876" s="174" t="s">
        <v>74</v>
      </c>
      <c r="H8876" s="174"/>
      <c r="J8876" s="149" t="s">
        <v>190</v>
      </c>
      <c r="K8876" s="218">
        <v>3.54</v>
      </c>
      <c r="L8876" s="218"/>
      <c r="M8876" s="147"/>
    </row>
    <row r="8877" spans="1:17" x14ac:dyDescent="0.2">
      <c r="A8877" s="163">
        <v>2023</v>
      </c>
      <c r="B8877" s="163">
        <v>5</v>
      </c>
      <c r="C8877" s="163">
        <v>30</v>
      </c>
      <c r="D8877" s="280">
        <f t="shared" si="974"/>
        <v>45076</v>
      </c>
      <c r="E8877" s="281">
        <f t="shared" si="975"/>
        <v>45076</v>
      </c>
      <c r="F8877" s="480"/>
      <c r="G8877" s="221" t="s">
        <v>74</v>
      </c>
      <c r="H8877" s="221" t="str" cm="1">
        <f t="array" ref="H8877">IFERROR(INDEX(INVESTOR_LIST[INVESTOR NAME],MATCH(I8877,INVESTOR_LIST[INVESTOR CODE],0),)," ")</f>
        <v xml:space="preserve"> </v>
      </c>
      <c r="I8877" s="145" t="s">
        <v>348</v>
      </c>
      <c r="J8877" s="146" t="s">
        <v>52</v>
      </c>
      <c r="K8877" s="219"/>
      <c r="L8877" s="219">
        <v>3000000</v>
      </c>
      <c r="M8877" s="147"/>
      <c r="Q8877" s="133" t="s">
        <v>348</v>
      </c>
    </row>
    <row r="8878" spans="1:17" x14ac:dyDescent="0.2">
      <c r="A8878" s="133">
        <v>2023</v>
      </c>
      <c r="B8878" s="133">
        <v>5</v>
      </c>
      <c r="C8878" s="133">
        <v>30</v>
      </c>
      <c r="D8878" s="141">
        <f t="shared" ref="D8878:D8888" si="978">DATE(A8878,B8878,C8878)</f>
        <v>45076</v>
      </c>
      <c r="E8878" s="275">
        <f t="shared" ref="E8878:E8888" si="979">DATE(A8878,B8878,C8878)</f>
        <v>45076</v>
      </c>
      <c r="F8878" s="481" t="s">
        <v>1499</v>
      </c>
      <c r="G8878" s="174" t="s">
        <v>94</v>
      </c>
      <c r="H8878" s="174" t="str" cm="1">
        <f t="array" ref="H8878">IFERROR(INDEX(INVESTOR_LIST[INVESTOR NAME],MATCH(I8878,INVESTOR_LIST[INVESTOR CODE],0),)," ")</f>
        <v xml:space="preserve"> </v>
      </c>
      <c r="J8878" s="149" t="s">
        <v>190</v>
      </c>
      <c r="K8878" s="218">
        <v>2245155.73</v>
      </c>
      <c r="L8878" s="218"/>
      <c r="M8878" s="160"/>
    </row>
    <row r="8879" spans="1:17" x14ac:dyDescent="0.2">
      <c r="A8879" s="133">
        <v>2023</v>
      </c>
      <c r="B8879" s="133">
        <v>5</v>
      </c>
      <c r="C8879" s="133">
        <v>30</v>
      </c>
      <c r="D8879" s="141">
        <f t="shared" si="978"/>
        <v>45076</v>
      </c>
      <c r="E8879" s="275">
        <f t="shared" si="979"/>
        <v>45076</v>
      </c>
      <c r="F8879" s="481"/>
      <c r="G8879" s="174" t="s">
        <v>94</v>
      </c>
      <c r="H8879" s="174"/>
      <c r="J8879" s="149" t="s">
        <v>80</v>
      </c>
      <c r="K8879" s="218">
        <v>4048.57</v>
      </c>
      <c r="L8879" s="218"/>
    </row>
    <row r="8880" spans="1:17" x14ac:dyDescent="0.2">
      <c r="A8880" s="133">
        <v>2023</v>
      </c>
      <c r="B8880" s="133">
        <v>5</v>
      </c>
      <c r="C8880" s="133">
        <v>30</v>
      </c>
      <c r="D8880" s="141">
        <f t="shared" si="978"/>
        <v>45076</v>
      </c>
      <c r="E8880" s="275">
        <f t="shared" si="979"/>
        <v>45076</v>
      </c>
      <c r="F8880" s="481"/>
      <c r="G8880" s="174" t="s">
        <v>94</v>
      </c>
      <c r="H8880" s="174" t="str" cm="1">
        <f t="array" ref="H8880">IFERROR(INDEX(INVESTOR_LIST[INVESTOR NAME],MATCH(I8880,INVESTOR_LIST[INVESTOR CODE],0),)," ")</f>
        <v xml:space="preserve"> </v>
      </c>
      <c r="J8880" s="149" t="s">
        <v>191</v>
      </c>
      <c r="K8880" s="218"/>
      <c r="L8880" s="218">
        <v>65434.6</v>
      </c>
    </row>
    <row r="8881" spans="1:14" x14ac:dyDescent="0.2">
      <c r="A8881" s="163">
        <v>2023</v>
      </c>
      <c r="B8881" s="163">
        <v>5</v>
      </c>
      <c r="C8881" s="163">
        <v>30</v>
      </c>
      <c r="D8881" s="280">
        <f t="shared" si="978"/>
        <v>45076</v>
      </c>
      <c r="E8881" s="281">
        <f t="shared" si="979"/>
        <v>45076</v>
      </c>
      <c r="F8881" s="480"/>
      <c r="G8881" s="221" t="s">
        <v>94</v>
      </c>
      <c r="H8881" s="145" t="str" cm="1">
        <f t="array" ref="H8881">IFERROR(INDEX(INVESTOR_LIST[INVESTOR NAME],MATCH(I8881,INVESTOR_LIST[INVESTOR CODE],0),)," ")</f>
        <v xml:space="preserve"> </v>
      </c>
      <c r="I8881" s="145"/>
      <c r="J8881" s="163" t="s">
        <v>79</v>
      </c>
      <c r="K8881" s="219"/>
      <c r="L8881" s="219">
        <v>2183769.7000000002</v>
      </c>
    </row>
    <row r="8882" spans="1:14" ht="10.15" customHeight="1" x14ac:dyDescent="0.2">
      <c r="A8882" s="168">
        <v>2023</v>
      </c>
      <c r="B8882" s="168">
        <v>5</v>
      </c>
      <c r="C8882" s="168">
        <v>31</v>
      </c>
      <c r="D8882" s="141">
        <f t="shared" si="978"/>
        <v>45077</v>
      </c>
      <c r="E8882" s="275">
        <f t="shared" si="979"/>
        <v>45077</v>
      </c>
      <c r="F8882" s="479" t="s">
        <v>1310</v>
      </c>
      <c r="G8882" s="220" t="s">
        <v>74</v>
      </c>
      <c r="H8882" s="142" t="str" cm="1">
        <f t="array" ref="H8882">IFERROR(INDEX(INVESTOR_LIST[INVESTOR NAME],MATCH(I8882,INVESTOR_LIST[INVESTOR CODE],0),)," ")</f>
        <v>FAHIM AHASAN CHOUDHURY</v>
      </c>
      <c r="I8882" s="142" t="s">
        <v>634</v>
      </c>
      <c r="J8882" s="168" t="s">
        <v>13</v>
      </c>
      <c r="K8882" s="218">
        <v>92130</v>
      </c>
      <c r="L8882" s="226"/>
    </row>
    <row r="8883" spans="1:14" ht="10.15" customHeight="1" x14ac:dyDescent="0.2">
      <c r="A8883" s="133">
        <v>2023</v>
      </c>
      <c r="B8883" s="133">
        <v>5</v>
      </c>
      <c r="C8883" s="133">
        <v>31</v>
      </c>
      <c r="D8883" s="141">
        <f t="shared" si="978"/>
        <v>45077</v>
      </c>
      <c r="E8883" s="275">
        <f t="shared" si="979"/>
        <v>45077</v>
      </c>
      <c r="F8883" s="481"/>
      <c r="G8883" s="174" t="s">
        <v>74</v>
      </c>
      <c r="H8883" s="148" t="str" cm="1">
        <f t="array" ref="H8883">IFERROR(INDEX(INVESTOR_LIST[INVESTOR NAME],MATCH(I8883,INVESTOR_LIST[INVESTOR CODE],0),)," ")</f>
        <v>FAHIM AHASAN CHOUDHURY</v>
      </c>
      <c r="I8883" s="148" t="s">
        <v>634</v>
      </c>
      <c r="J8883" s="133" t="s">
        <v>53</v>
      </c>
      <c r="K8883" s="218">
        <v>22581.06</v>
      </c>
      <c r="L8883" s="133"/>
    </row>
    <row r="8884" spans="1:14" ht="10.15" customHeight="1" x14ac:dyDescent="0.2">
      <c r="A8884" s="163">
        <v>2023</v>
      </c>
      <c r="B8884" s="163">
        <v>5</v>
      </c>
      <c r="C8884" s="163">
        <v>31</v>
      </c>
      <c r="D8884" s="280">
        <f t="shared" si="978"/>
        <v>45077</v>
      </c>
      <c r="E8884" s="281">
        <f t="shared" si="979"/>
        <v>45077</v>
      </c>
      <c r="F8884" s="480"/>
      <c r="G8884" s="221" t="s">
        <v>74</v>
      </c>
      <c r="H8884" s="145" t="str" cm="1">
        <f t="array" ref="H8884">IFERROR(INDEX(INVESTOR_LIST[INVESTOR NAME],MATCH(I8884,INVESTOR_LIST[INVESTOR CODE],0),)," ")</f>
        <v>FAHIM AHASAN CHOUDHURY</v>
      </c>
      <c r="I8884" s="145" t="s">
        <v>634</v>
      </c>
      <c r="J8884" s="163" t="s">
        <v>52</v>
      </c>
      <c r="K8884" s="219"/>
      <c r="L8884" s="219">
        <v>114711.06</v>
      </c>
    </row>
    <row r="8885" spans="1:14" x14ac:dyDescent="0.2">
      <c r="A8885" s="168">
        <v>2023</v>
      </c>
      <c r="B8885" s="168">
        <v>5</v>
      </c>
      <c r="C8885" s="168">
        <v>31</v>
      </c>
      <c r="D8885" s="141">
        <f t="shared" si="978"/>
        <v>45077</v>
      </c>
      <c r="E8885" s="275">
        <f t="shared" si="979"/>
        <v>45077</v>
      </c>
      <c r="F8885" s="479" t="s">
        <v>1500</v>
      </c>
      <c r="G8885" s="220" t="s">
        <v>74</v>
      </c>
      <c r="H8885" s="220" t="str" cm="1">
        <f t="array" ref="H8885">IFERROR(INDEX(INVESTOR_LIST[INVESTOR NAME],MATCH(I8885,INVESTOR_LIST[INVESTOR CODE],0),)," ")</f>
        <v xml:space="preserve"> </v>
      </c>
      <c r="I8885" s="142"/>
      <c r="J8885" s="143" t="s">
        <v>52</v>
      </c>
      <c r="K8885" s="226">
        <v>2245155.73</v>
      </c>
      <c r="L8885" s="226"/>
    </row>
    <row r="8886" spans="1:14" x14ac:dyDescent="0.2">
      <c r="A8886" s="163">
        <v>2023</v>
      </c>
      <c r="B8886" s="163">
        <v>5</v>
      </c>
      <c r="C8886" s="163">
        <v>31</v>
      </c>
      <c r="D8886" s="280">
        <f t="shared" si="978"/>
        <v>45077</v>
      </c>
      <c r="E8886" s="281">
        <f t="shared" si="979"/>
        <v>45077</v>
      </c>
      <c r="F8886" s="480"/>
      <c r="G8886" s="221" t="s">
        <v>74</v>
      </c>
      <c r="H8886" s="221" t="str" cm="1">
        <f t="array" ref="H8886">IFERROR(INDEX(INVESTOR_LIST[INVESTOR NAME],MATCH(I8886,INVESTOR_LIST[INVESTOR CODE],0),)," ")</f>
        <v xml:space="preserve"> </v>
      </c>
      <c r="I8886" s="145"/>
      <c r="J8886" s="146" t="s">
        <v>190</v>
      </c>
      <c r="K8886" s="219"/>
      <c r="L8886" s="219">
        <v>2245155.73</v>
      </c>
    </row>
    <row r="8887" spans="1:14" x14ac:dyDescent="0.2">
      <c r="A8887" s="168">
        <v>2023</v>
      </c>
      <c r="B8887" s="168">
        <v>6</v>
      </c>
      <c r="C8887" s="168">
        <v>1</v>
      </c>
      <c r="D8887" s="141">
        <f t="shared" si="978"/>
        <v>45078</v>
      </c>
      <c r="E8887" s="275">
        <f t="shared" si="979"/>
        <v>45078</v>
      </c>
      <c r="F8887" s="479" t="s">
        <v>1500</v>
      </c>
      <c r="G8887" s="220" t="s">
        <v>74</v>
      </c>
      <c r="H8887" s="220" t="str" cm="1">
        <f t="array" ref="H8887">IFERROR(INDEX(INVESTOR_LIST[INVESTOR NAME],MATCH(I8887,INVESTOR_LIST[INVESTOR CODE],0),)," ")</f>
        <v xml:space="preserve"> </v>
      </c>
      <c r="I8887" s="142"/>
      <c r="J8887" s="143" t="s">
        <v>52</v>
      </c>
      <c r="K8887" s="226">
        <v>3.54</v>
      </c>
      <c r="L8887" s="226"/>
    </row>
    <row r="8888" spans="1:14" x14ac:dyDescent="0.2">
      <c r="A8888" s="163">
        <v>2023</v>
      </c>
      <c r="B8888" s="163">
        <v>6</v>
      </c>
      <c r="C8888" s="163">
        <v>1</v>
      </c>
      <c r="D8888" s="280">
        <f t="shared" si="978"/>
        <v>45078</v>
      </c>
      <c r="E8888" s="281">
        <f t="shared" si="979"/>
        <v>45078</v>
      </c>
      <c r="F8888" s="480"/>
      <c r="G8888" s="221" t="s">
        <v>74</v>
      </c>
      <c r="H8888" s="221" t="str" cm="1">
        <f t="array" ref="H8888">IFERROR(INDEX(INVESTOR_LIST[INVESTOR NAME],MATCH(I8888,INVESTOR_LIST[INVESTOR CODE],0),)," ")</f>
        <v xml:space="preserve"> </v>
      </c>
      <c r="I8888" s="145"/>
      <c r="J8888" s="146" t="s">
        <v>190</v>
      </c>
      <c r="K8888" s="219"/>
      <c r="L8888" s="219">
        <v>3.54</v>
      </c>
    </row>
    <row r="8889" spans="1:14" x14ac:dyDescent="0.2">
      <c r="A8889" s="168">
        <v>2023</v>
      </c>
      <c r="B8889" s="168">
        <v>6</v>
      </c>
      <c r="C8889" s="168">
        <v>1</v>
      </c>
      <c r="D8889" s="141">
        <f t="shared" ref="D8889:D8890" si="980">DATE(A8889,B8889,C8889)</f>
        <v>45078</v>
      </c>
      <c r="E8889" s="275">
        <f t="shared" ref="E8889:E8890" si="981">DATE(A8889,B8889,C8889)</f>
        <v>45078</v>
      </c>
      <c r="F8889" s="479" t="s">
        <v>1500</v>
      </c>
      <c r="G8889" s="220" t="s">
        <v>74</v>
      </c>
      <c r="H8889" s="220" t="str" cm="1">
        <f t="array" ref="H8889">IFERROR(INDEX(INVESTOR_LIST[INVESTOR NAME],MATCH(I8889,INVESTOR_LIST[INVESTOR CODE],0),)," ")</f>
        <v xml:space="preserve"> </v>
      </c>
      <c r="I8889" s="142"/>
      <c r="J8889" s="143" t="s">
        <v>52</v>
      </c>
      <c r="K8889" s="226">
        <v>4309029.76</v>
      </c>
      <c r="L8889" s="226"/>
    </row>
    <row r="8890" spans="1:14" x14ac:dyDescent="0.2">
      <c r="A8890" s="163">
        <v>2023</v>
      </c>
      <c r="B8890" s="163">
        <v>6</v>
      </c>
      <c r="C8890" s="163">
        <v>1</v>
      </c>
      <c r="D8890" s="280">
        <f t="shared" si="980"/>
        <v>45078</v>
      </c>
      <c r="E8890" s="281">
        <f t="shared" si="981"/>
        <v>45078</v>
      </c>
      <c r="F8890" s="480"/>
      <c r="G8890" s="221" t="s">
        <v>74</v>
      </c>
      <c r="H8890" s="221" t="str" cm="1">
        <f t="array" ref="H8890">IFERROR(INDEX(INVESTOR_LIST[INVESTOR NAME],MATCH(I8890,INVESTOR_LIST[INVESTOR CODE],0),)," ")</f>
        <v xml:space="preserve"> </v>
      </c>
      <c r="I8890" s="145"/>
      <c r="J8890" s="146" t="s">
        <v>190</v>
      </c>
      <c r="K8890" s="219"/>
      <c r="L8890" s="219">
        <v>4309029.76</v>
      </c>
    </row>
    <row r="8891" spans="1:14" x14ac:dyDescent="0.2">
      <c r="A8891" s="324">
        <v>2023</v>
      </c>
      <c r="B8891" s="324">
        <v>6</v>
      </c>
      <c r="C8891" s="325">
        <v>1</v>
      </c>
      <c r="D8891" s="326">
        <f>DATE(A8891,B8891,C8891)</f>
        <v>45078</v>
      </c>
      <c r="E8891" s="327">
        <f>DATE(A8891,B8891,C8891)</f>
        <v>45078</v>
      </c>
      <c r="F8891" s="473" t="s">
        <v>1634</v>
      </c>
      <c r="G8891" s="340" t="s">
        <v>94</v>
      </c>
      <c r="H8891" s="341" t="str" cm="1">
        <f t="array" ref="H8891">IFERROR(INDEX(INVESTOR_LIST[INVESTOR NAME],MATCH(I8891,INVESTOR_LIST[INVESTOR CODE],0),)," ")</f>
        <v xml:space="preserve"> </v>
      </c>
      <c r="I8891" s="341" t="s">
        <v>348</v>
      </c>
      <c r="J8891" s="325" t="s">
        <v>133</v>
      </c>
      <c r="K8891" s="330"/>
      <c r="L8891" s="330"/>
      <c r="M8891" s="160"/>
    </row>
    <row r="8892" spans="1:14" x14ac:dyDescent="0.2">
      <c r="A8892" s="331">
        <v>2023</v>
      </c>
      <c r="B8892" s="331">
        <v>6</v>
      </c>
      <c r="C8892" s="331">
        <v>1</v>
      </c>
      <c r="D8892" s="326">
        <f>DATE(A8892,B8892,C8892)</f>
        <v>45078</v>
      </c>
      <c r="E8892" s="327">
        <f>DATE(A8892,B8892,C8892)</f>
        <v>45078</v>
      </c>
      <c r="F8892" s="474"/>
      <c r="G8892" s="332" t="s">
        <v>94</v>
      </c>
      <c r="H8892" s="333" t="str" cm="1">
        <f t="array" ref="H8892">IFERROR(INDEX(INVESTOR_LIST[INVESTOR NAME],MATCH(I8892,INVESTOR_LIST[INVESTOR CODE],0),)," ")</f>
        <v xml:space="preserve"> </v>
      </c>
      <c r="I8892" s="333" t="s">
        <v>348</v>
      </c>
      <c r="J8892" s="331" t="s">
        <v>152</v>
      </c>
      <c r="K8892" s="334"/>
      <c r="L8892" s="334"/>
      <c r="M8892" s="160"/>
    </row>
    <row r="8893" spans="1:14" x14ac:dyDescent="0.2">
      <c r="A8893" s="324">
        <v>2023</v>
      </c>
      <c r="B8893" s="324">
        <v>6</v>
      </c>
      <c r="C8893" s="325">
        <v>1</v>
      </c>
      <c r="D8893" s="326">
        <f t="shared" ref="D8893:D8896" si="982">DATE(A8893,B8893,C8893)</f>
        <v>45078</v>
      </c>
      <c r="E8893" s="327">
        <f t="shared" ref="E8893:E8896" si="983">DATE(A8893,B8893,C8893)</f>
        <v>45078</v>
      </c>
      <c r="F8893" s="473" t="s">
        <v>1490</v>
      </c>
      <c r="G8893" s="328" t="s">
        <v>94</v>
      </c>
      <c r="H8893" s="329" t="str" cm="1">
        <f t="array" ref="H8893">IFERROR(INDEX(INVESTOR_LIST[INVESTOR NAME],MATCH(I8893,INVESTOR_LIST[INVESTOR CODE],0),)," ")</f>
        <v xml:space="preserve"> </v>
      </c>
      <c r="I8893" s="329" t="s">
        <v>348</v>
      </c>
      <c r="J8893" s="325" t="s">
        <v>133</v>
      </c>
      <c r="K8893" s="330">
        <v>23479.68</v>
      </c>
      <c r="L8893" s="330"/>
      <c r="M8893" s="160"/>
    </row>
    <row r="8894" spans="1:14" x14ac:dyDescent="0.2">
      <c r="A8894" s="331">
        <v>2023</v>
      </c>
      <c r="B8894" s="331">
        <v>6</v>
      </c>
      <c r="C8894" s="331">
        <v>1</v>
      </c>
      <c r="D8894" s="326">
        <f t="shared" si="982"/>
        <v>45078</v>
      </c>
      <c r="E8894" s="327">
        <f t="shared" si="983"/>
        <v>45078</v>
      </c>
      <c r="F8894" s="474"/>
      <c r="G8894" s="332" t="s">
        <v>94</v>
      </c>
      <c r="H8894" s="333" t="str" cm="1">
        <f t="array" ref="H8894">IFERROR(INDEX(INVESTOR_LIST[INVESTOR NAME],MATCH(I8894,INVESTOR_LIST[INVESTOR CODE],0),)," ")</f>
        <v xml:space="preserve"> </v>
      </c>
      <c r="I8894" s="333" t="s">
        <v>348</v>
      </c>
      <c r="J8894" s="331" t="s">
        <v>152</v>
      </c>
      <c r="K8894" s="334"/>
      <c r="L8894" s="334">
        <v>23479.68</v>
      </c>
      <c r="M8894" s="160"/>
      <c r="N8894" s="160"/>
    </row>
    <row r="8895" spans="1:14" x14ac:dyDescent="0.2">
      <c r="A8895" s="324">
        <v>2023</v>
      </c>
      <c r="B8895" s="324">
        <v>6</v>
      </c>
      <c r="C8895" s="325">
        <v>1</v>
      </c>
      <c r="D8895" s="326">
        <f t="shared" si="982"/>
        <v>45078</v>
      </c>
      <c r="E8895" s="327">
        <f t="shared" si="983"/>
        <v>45078</v>
      </c>
      <c r="F8895" s="473" t="s">
        <v>1491</v>
      </c>
      <c r="G8895" s="328" t="s">
        <v>94</v>
      </c>
      <c r="H8895" s="329" t="str" cm="1">
        <f t="array" ref="H8895">IFERROR(INDEX(INVESTOR_LIST[INVESTOR NAME],MATCH(I8895,INVESTOR_LIST[INVESTOR CODE],0),)," ")</f>
        <v xml:space="preserve"> </v>
      </c>
      <c r="I8895" s="329" t="s">
        <v>348</v>
      </c>
      <c r="J8895" s="324" t="s">
        <v>133</v>
      </c>
      <c r="K8895" s="330">
        <v>13413.46</v>
      </c>
      <c r="L8895" s="330"/>
      <c r="M8895" s="160"/>
      <c r="N8895" s="160"/>
    </row>
    <row r="8896" spans="1:14" x14ac:dyDescent="0.2">
      <c r="A8896" s="331">
        <v>2023</v>
      </c>
      <c r="B8896" s="331">
        <v>6</v>
      </c>
      <c r="C8896" s="331">
        <v>1</v>
      </c>
      <c r="D8896" s="326">
        <f t="shared" si="982"/>
        <v>45078</v>
      </c>
      <c r="E8896" s="327">
        <f t="shared" si="983"/>
        <v>45078</v>
      </c>
      <c r="F8896" s="474"/>
      <c r="G8896" s="332" t="s">
        <v>94</v>
      </c>
      <c r="H8896" s="333" t="str" cm="1">
        <f t="array" ref="H8896">IFERROR(INDEX(INVESTOR_LIST[INVESTOR NAME],MATCH(I8896,INVESTOR_LIST[INVESTOR CODE],0),)," ")</f>
        <v xml:space="preserve"> </v>
      </c>
      <c r="I8896" s="333" t="s">
        <v>348</v>
      </c>
      <c r="J8896" s="331" t="s">
        <v>152</v>
      </c>
      <c r="K8896" s="334"/>
      <c r="L8896" s="334">
        <v>13413.46</v>
      </c>
      <c r="M8896" s="160"/>
    </row>
    <row r="8897" spans="1:13" x14ac:dyDescent="0.2">
      <c r="A8897" s="324">
        <v>2023</v>
      </c>
      <c r="B8897" s="324">
        <v>6</v>
      </c>
      <c r="C8897" s="325">
        <v>1</v>
      </c>
      <c r="D8897" s="326">
        <f>DATE(A8897,B8897,C8897)</f>
        <v>45078</v>
      </c>
      <c r="E8897" s="327">
        <f>DATE(A8897,B8897,C8897)</f>
        <v>45078</v>
      </c>
      <c r="F8897" s="473" t="s">
        <v>1531</v>
      </c>
      <c r="G8897" s="328" t="s">
        <v>94</v>
      </c>
      <c r="H8897" s="329" t="str" cm="1">
        <f t="array" ref="H8897">IFERROR(INDEX(INVESTOR_LIST[INVESTOR NAME],MATCH(I8897,INVESTOR_LIST[INVESTOR CODE],0),)," ")</f>
        <v xml:space="preserve"> </v>
      </c>
      <c r="I8897" s="329" t="s">
        <v>348</v>
      </c>
      <c r="J8897" s="324" t="s">
        <v>133</v>
      </c>
      <c r="K8897" s="330">
        <v>22589.56</v>
      </c>
      <c r="L8897" s="330"/>
      <c r="M8897" s="160"/>
    </row>
    <row r="8898" spans="1:13" x14ac:dyDescent="0.2">
      <c r="A8898" s="331">
        <v>2023</v>
      </c>
      <c r="B8898" s="331">
        <v>6</v>
      </c>
      <c r="C8898" s="331">
        <v>1</v>
      </c>
      <c r="D8898" s="326">
        <f>DATE(A8898,B8898,C8898)</f>
        <v>45078</v>
      </c>
      <c r="E8898" s="327">
        <f>DATE(A8898,B8898,C8898)</f>
        <v>45078</v>
      </c>
      <c r="F8898" s="474"/>
      <c r="G8898" s="332" t="s">
        <v>94</v>
      </c>
      <c r="H8898" s="333" t="str" cm="1">
        <f t="array" ref="H8898">IFERROR(INDEX(INVESTOR_LIST[INVESTOR NAME],MATCH(I8898,INVESTOR_LIST[INVESTOR CODE],0),)," ")</f>
        <v xml:space="preserve"> </v>
      </c>
      <c r="I8898" s="333" t="s">
        <v>348</v>
      </c>
      <c r="J8898" s="331" t="s">
        <v>152</v>
      </c>
      <c r="K8898" s="334"/>
      <c r="L8898" s="334">
        <v>22589.56</v>
      </c>
      <c r="M8898" s="160"/>
    </row>
    <row r="8899" spans="1:13" x14ac:dyDescent="0.2">
      <c r="A8899" s="238">
        <v>2023</v>
      </c>
      <c r="B8899" s="238">
        <v>6</v>
      </c>
      <c r="C8899" s="238">
        <v>1</v>
      </c>
      <c r="D8899" s="270">
        <f t="shared" ref="D8899:D8914" si="984">DATE(A8899,B8899,C8899)</f>
        <v>45078</v>
      </c>
      <c r="E8899" s="279">
        <f t="shared" ref="E8899:E8914" si="985">DATE(A8899,B8899,C8899)</f>
        <v>45078</v>
      </c>
      <c r="F8899" s="477" t="s">
        <v>347</v>
      </c>
      <c r="G8899" s="239" t="s">
        <v>94</v>
      </c>
      <c r="H8899" s="239" t="str" cm="1">
        <f t="array" ref="H8899">IFERROR(INDEX(INVESTOR_LIST[INVESTOR NAME],MATCH(I8899,INVESTOR_LIST[INVESTOR CODE],0),)," ")</f>
        <v xml:space="preserve"> </v>
      </c>
      <c r="I8899" s="262" t="s">
        <v>348</v>
      </c>
      <c r="J8899" s="240" t="s">
        <v>108</v>
      </c>
      <c r="K8899" s="241">
        <v>318714.84999999404</v>
      </c>
      <c r="L8899" s="241"/>
    </row>
    <row r="8900" spans="1:13" x14ac:dyDescent="0.2">
      <c r="A8900" s="242">
        <v>2023</v>
      </c>
      <c r="B8900" s="242">
        <v>6</v>
      </c>
      <c r="C8900" s="242">
        <v>1</v>
      </c>
      <c r="D8900" s="270">
        <f t="shared" si="984"/>
        <v>45078</v>
      </c>
      <c r="E8900" s="279">
        <f t="shared" si="985"/>
        <v>45078</v>
      </c>
      <c r="F8900" s="478"/>
      <c r="G8900" s="243" t="s">
        <v>94</v>
      </c>
      <c r="H8900" s="243" t="str" cm="1">
        <f t="array" ref="H8900">IFERROR(INDEX(INVESTOR_LIST[INVESTOR NAME],MATCH(I8900,INVESTOR_LIST[INVESTOR CODE],0),)," ")</f>
        <v xml:space="preserve"> </v>
      </c>
      <c r="I8900" s="263" t="s">
        <v>348</v>
      </c>
      <c r="J8900" s="244" t="s">
        <v>82</v>
      </c>
      <c r="K8900" s="245"/>
      <c r="L8900" s="245">
        <v>318714.84999999404</v>
      </c>
    </row>
    <row r="8901" spans="1:13" ht="22.5" x14ac:dyDescent="0.2">
      <c r="A8901" s="246">
        <v>2023</v>
      </c>
      <c r="B8901" s="238">
        <v>6</v>
      </c>
      <c r="C8901" s="238">
        <v>1</v>
      </c>
      <c r="D8901" s="270">
        <f t="shared" si="984"/>
        <v>45078</v>
      </c>
      <c r="E8901" s="279">
        <f t="shared" si="985"/>
        <v>45078</v>
      </c>
      <c r="F8901" s="482" t="s">
        <v>148</v>
      </c>
      <c r="G8901" s="247" t="s">
        <v>94</v>
      </c>
      <c r="H8901" s="247" t="str" cm="1">
        <f t="array" ref="H8901">IFERROR(INDEX(INVESTOR_LIST[INVESTOR NAME],MATCH(I8901,INVESTOR_LIST[INVESTOR CODE],0),)," ")</f>
        <v xml:space="preserve"> </v>
      </c>
      <c r="I8901" s="248" t="s">
        <v>348</v>
      </c>
      <c r="J8901" s="249" t="s">
        <v>95</v>
      </c>
      <c r="K8901" s="250">
        <v>2747.2527472527472</v>
      </c>
      <c r="L8901" s="241"/>
    </row>
    <row r="8902" spans="1:13" x14ac:dyDescent="0.2">
      <c r="A8902" s="242">
        <v>2023</v>
      </c>
      <c r="B8902" s="242">
        <v>6</v>
      </c>
      <c r="C8902" s="242">
        <v>1</v>
      </c>
      <c r="D8902" s="270">
        <f t="shared" si="984"/>
        <v>45078</v>
      </c>
      <c r="E8902" s="279">
        <f t="shared" si="985"/>
        <v>45078</v>
      </c>
      <c r="F8902" s="478"/>
      <c r="G8902" s="243" t="s">
        <v>94</v>
      </c>
      <c r="H8902" s="243" t="str" cm="1">
        <f t="array" ref="H8902">IFERROR(INDEX(INVESTOR_LIST[INVESTOR NAME],MATCH(I8902,INVESTOR_LIST[INVESTOR CODE],0),)," ")</f>
        <v xml:space="preserve"> </v>
      </c>
      <c r="I8902" s="263" t="s">
        <v>348</v>
      </c>
      <c r="J8902" s="244" t="s">
        <v>63</v>
      </c>
      <c r="K8902" s="245"/>
      <c r="L8902" s="245">
        <v>2747.2527472527472</v>
      </c>
    </row>
    <row r="8903" spans="1:13" x14ac:dyDescent="0.2">
      <c r="A8903" s="246">
        <v>2023</v>
      </c>
      <c r="B8903" s="238">
        <v>6</v>
      </c>
      <c r="C8903" s="238">
        <v>1</v>
      </c>
      <c r="D8903" s="270">
        <f t="shared" si="984"/>
        <v>45078</v>
      </c>
      <c r="E8903" s="279">
        <f t="shared" si="985"/>
        <v>45078</v>
      </c>
      <c r="F8903" s="482" t="s">
        <v>137</v>
      </c>
      <c r="G8903" s="247" t="s">
        <v>94</v>
      </c>
      <c r="H8903" s="247" t="str" cm="1">
        <f t="array" ref="H8903">IFERROR(INDEX(INVESTOR_LIST[INVESTOR NAME],MATCH(I8903,INVESTOR_LIST[INVESTOR CODE],0),)," ")</f>
        <v xml:space="preserve"> </v>
      </c>
      <c r="I8903" s="248" t="s">
        <v>348</v>
      </c>
      <c r="J8903" s="249" t="s">
        <v>97</v>
      </c>
      <c r="K8903" s="250">
        <v>33667.557034962199</v>
      </c>
      <c r="L8903" s="252"/>
    </row>
    <row r="8904" spans="1:13" x14ac:dyDescent="0.2">
      <c r="A8904" s="242">
        <v>2023</v>
      </c>
      <c r="B8904" s="242">
        <v>6</v>
      </c>
      <c r="C8904" s="242">
        <v>1</v>
      </c>
      <c r="D8904" s="270">
        <f t="shared" si="984"/>
        <v>45078</v>
      </c>
      <c r="E8904" s="279">
        <f t="shared" si="985"/>
        <v>45078</v>
      </c>
      <c r="F8904" s="478"/>
      <c r="G8904" s="243" t="s">
        <v>94</v>
      </c>
      <c r="H8904" s="243" t="str" cm="1">
        <f t="array" ref="H8904">IFERROR(INDEX(INVESTOR_LIST[INVESTOR NAME],MATCH(I8904,INVESTOR_LIST[INVESTOR CODE],0),)," ")</f>
        <v xml:space="preserve"> </v>
      </c>
      <c r="I8904" s="263" t="s">
        <v>348</v>
      </c>
      <c r="J8904" s="244" t="s">
        <v>47</v>
      </c>
      <c r="K8904" s="245"/>
      <c r="L8904" s="245">
        <v>33667.557034962199</v>
      </c>
    </row>
    <row r="8905" spans="1:13" x14ac:dyDescent="0.2">
      <c r="A8905" s="246">
        <v>2023</v>
      </c>
      <c r="B8905" s="238">
        <v>6</v>
      </c>
      <c r="C8905" s="238">
        <v>1</v>
      </c>
      <c r="D8905" s="270">
        <f t="shared" si="984"/>
        <v>45078</v>
      </c>
      <c r="E8905" s="279">
        <f t="shared" si="985"/>
        <v>45078</v>
      </c>
      <c r="F8905" s="482" t="s">
        <v>138</v>
      </c>
      <c r="G8905" s="247" t="s">
        <v>94</v>
      </c>
      <c r="H8905" s="247" t="str" cm="1">
        <f t="array" ref="H8905">IFERROR(INDEX(INVESTOR_LIST[INVESTOR NAME],MATCH(I8905,INVESTOR_LIST[INVESTOR CODE],0),)," ")</f>
        <v xml:space="preserve"> </v>
      </c>
      <c r="I8905" s="248" t="s">
        <v>348</v>
      </c>
      <c r="J8905" s="249" t="s">
        <v>100</v>
      </c>
      <c r="K8905" s="250">
        <v>3366.7557034962197</v>
      </c>
      <c r="L8905" s="252"/>
    </row>
    <row r="8906" spans="1:13" ht="10.9" customHeight="1" x14ac:dyDescent="0.2">
      <c r="A8906" s="242">
        <v>2023</v>
      </c>
      <c r="B8906" s="242">
        <v>6</v>
      </c>
      <c r="C8906" s="242">
        <v>1</v>
      </c>
      <c r="D8906" s="321">
        <f t="shared" si="984"/>
        <v>45078</v>
      </c>
      <c r="E8906" s="322">
        <f t="shared" si="985"/>
        <v>45078</v>
      </c>
      <c r="F8906" s="478"/>
      <c r="G8906" s="243" t="s">
        <v>94</v>
      </c>
      <c r="H8906" s="243" t="str" cm="1">
        <f t="array" ref="H8906">IFERROR(INDEX(INVESTOR_LIST[INVESTOR NAME],MATCH(I8906,INVESTOR_LIST[INVESTOR CODE],0),)," ")</f>
        <v xml:space="preserve"> </v>
      </c>
      <c r="I8906" s="263" t="s">
        <v>348</v>
      </c>
      <c r="J8906" s="244" t="s">
        <v>48</v>
      </c>
      <c r="K8906" s="245"/>
      <c r="L8906" s="245">
        <v>3366.7557034962197</v>
      </c>
    </row>
    <row r="8907" spans="1:13" x14ac:dyDescent="0.2">
      <c r="A8907" s="168">
        <v>2023</v>
      </c>
      <c r="B8907" s="168">
        <v>6</v>
      </c>
      <c r="C8907" s="168">
        <v>4</v>
      </c>
      <c r="D8907" s="280">
        <f t="shared" si="984"/>
        <v>45081</v>
      </c>
      <c r="E8907" s="281">
        <f t="shared" si="985"/>
        <v>45081</v>
      </c>
      <c r="F8907" s="479" t="s">
        <v>1567</v>
      </c>
      <c r="G8907" s="220" t="s">
        <v>74</v>
      </c>
      <c r="H8907" s="142" t="str" cm="1">
        <f t="array" ref="H8907">IFERROR(INDEX(INVESTOR_LIST[INVESTOR NAME],MATCH(I8907,INVESTOR_LIST[INVESTOR CODE],0),)," ")</f>
        <v xml:space="preserve"> </v>
      </c>
      <c r="I8907" s="142"/>
      <c r="J8907" s="168" t="s">
        <v>61</v>
      </c>
      <c r="K8907" s="226">
        <v>100</v>
      </c>
      <c r="L8907" s="226"/>
    </row>
    <row r="8908" spans="1:13" x14ac:dyDescent="0.2">
      <c r="A8908" s="163">
        <v>2023</v>
      </c>
      <c r="B8908" s="163">
        <v>6</v>
      </c>
      <c r="C8908" s="163">
        <v>4</v>
      </c>
      <c r="D8908" s="144">
        <f>DATE(A8908,B8908,C8908)</f>
        <v>45081</v>
      </c>
      <c r="E8908" s="313">
        <f>DATE(A8908,B8908,C8908)</f>
        <v>45081</v>
      </c>
      <c r="F8908" s="480"/>
      <c r="G8908" s="221" t="s">
        <v>74</v>
      </c>
      <c r="H8908" s="145" t="str" cm="1">
        <f t="array" ref="H8908">IFERROR(INDEX(INVESTOR_LIST[INVESTOR NAME],MATCH(I8908,INVESTOR_LIST[INVESTOR CODE],0),)," ")</f>
        <v xml:space="preserve"> </v>
      </c>
      <c r="I8908" s="145"/>
      <c r="J8908" s="163" t="s">
        <v>52</v>
      </c>
      <c r="K8908" s="219"/>
      <c r="L8908" s="219">
        <v>100</v>
      </c>
    </row>
    <row r="8909" spans="1:13" ht="10.15" customHeight="1" x14ac:dyDescent="0.2">
      <c r="A8909" s="168">
        <v>2023</v>
      </c>
      <c r="B8909" s="168">
        <v>6</v>
      </c>
      <c r="C8909" s="168">
        <v>4</v>
      </c>
      <c r="D8909" s="141">
        <f>DATE(A8909,B8909,C8909)</f>
        <v>45081</v>
      </c>
      <c r="E8909" s="275">
        <f>DATE(A8909,B8909,C8909)</f>
        <v>45081</v>
      </c>
      <c r="F8909" s="479" t="s">
        <v>1315</v>
      </c>
      <c r="G8909" s="220" t="s">
        <v>74</v>
      </c>
      <c r="H8909" s="142" t="str" cm="1">
        <f t="array" ref="H8909">IFERROR(INDEX(INVESTOR_LIST[INVESTOR NAME],MATCH(I8909,INVESTOR_LIST[INVESTOR CODE],0),)," ")</f>
        <v>UNICAP SECURITIES LIMITED</v>
      </c>
      <c r="I8909" s="142" t="s">
        <v>398</v>
      </c>
      <c r="J8909" s="168" t="s">
        <v>13</v>
      </c>
      <c r="K8909" s="218">
        <v>4515150</v>
      </c>
      <c r="L8909" s="226"/>
    </row>
    <row r="8910" spans="1:13" ht="10.15" customHeight="1" x14ac:dyDescent="0.2">
      <c r="A8910" s="133">
        <v>2023</v>
      </c>
      <c r="B8910" s="133">
        <v>6</v>
      </c>
      <c r="C8910" s="133">
        <v>4</v>
      </c>
      <c r="D8910" s="141">
        <f t="shared" si="984"/>
        <v>45081</v>
      </c>
      <c r="E8910" s="275">
        <f t="shared" si="985"/>
        <v>45081</v>
      </c>
      <c r="F8910" s="481"/>
      <c r="G8910" s="174" t="s">
        <v>74</v>
      </c>
      <c r="H8910" s="148" t="str" cm="1">
        <f t="array" ref="H8910">IFERROR(INDEX(INVESTOR_LIST[INVESTOR NAME],MATCH(I8910,INVESTOR_LIST[INVESTOR CODE],0),)," ")</f>
        <v>UNICAP SECURITIES LIMITED</v>
      </c>
      <c r="I8910" s="148" t="s">
        <v>398</v>
      </c>
      <c r="J8910" s="133" t="s">
        <v>53</v>
      </c>
      <c r="K8910" s="218">
        <v>1106663.27</v>
      </c>
      <c r="L8910" s="133"/>
    </row>
    <row r="8911" spans="1:13" ht="10.15" customHeight="1" x14ac:dyDescent="0.2">
      <c r="A8911" s="163">
        <v>2023</v>
      </c>
      <c r="B8911" s="163">
        <v>6</v>
      </c>
      <c r="C8911" s="163">
        <v>4</v>
      </c>
      <c r="D8911" s="280">
        <f t="shared" si="984"/>
        <v>45081</v>
      </c>
      <c r="E8911" s="281">
        <f t="shared" si="985"/>
        <v>45081</v>
      </c>
      <c r="F8911" s="480"/>
      <c r="G8911" s="221" t="s">
        <v>74</v>
      </c>
      <c r="H8911" s="145" t="str" cm="1">
        <f t="array" ref="H8911">IFERROR(INDEX(INVESTOR_LIST[INVESTOR NAME],MATCH(I8911,INVESTOR_LIST[INVESTOR CODE],0),)," ")</f>
        <v>UNICAP SECURITIES LIMITED</v>
      </c>
      <c r="I8911" s="145" t="s">
        <v>398</v>
      </c>
      <c r="J8911" s="163" t="s">
        <v>52</v>
      </c>
      <c r="K8911" s="219"/>
      <c r="L8911" s="219">
        <v>5621813.2699999996</v>
      </c>
    </row>
    <row r="8912" spans="1:13" ht="10.15" customHeight="1" x14ac:dyDescent="0.2">
      <c r="A8912" s="168">
        <v>2023</v>
      </c>
      <c r="B8912" s="168">
        <v>6</v>
      </c>
      <c r="C8912" s="168">
        <v>4</v>
      </c>
      <c r="D8912" s="141">
        <f t="shared" si="984"/>
        <v>45081</v>
      </c>
      <c r="E8912" s="275">
        <f t="shared" si="985"/>
        <v>45081</v>
      </c>
      <c r="F8912" s="479" t="s">
        <v>1319</v>
      </c>
      <c r="G8912" s="220" t="s">
        <v>74</v>
      </c>
      <c r="H8912" s="142" t="str" cm="1">
        <f t="array" ref="H8912">IFERROR(INDEX(INVESTOR_LIST[INVESTOR NAME],MATCH(I8912,INVESTOR_LIST[INVESTOR CODE],0),)," ")</f>
        <v xml:space="preserve"> </v>
      </c>
      <c r="I8912" s="142"/>
      <c r="J8912" s="168" t="s">
        <v>52</v>
      </c>
      <c r="K8912" s="226">
        <v>2000</v>
      </c>
      <c r="L8912" s="226"/>
    </row>
    <row r="8913" spans="1:13" ht="10.15" customHeight="1" x14ac:dyDescent="0.2">
      <c r="A8913" s="133">
        <v>2023</v>
      </c>
      <c r="B8913" s="133">
        <v>6</v>
      </c>
      <c r="C8913" s="133">
        <v>4</v>
      </c>
      <c r="D8913" s="141">
        <f t="shared" si="984"/>
        <v>45081</v>
      </c>
      <c r="E8913" s="275">
        <f t="shared" si="985"/>
        <v>45081</v>
      </c>
      <c r="F8913" s="481"/>
      <c r="G8913" s="174" t="s">
        <v>74</v>
      </c>
      <c r="H8913" s="148" t="str" cm="1">
        <f t="array" ref="H8913">IFERROR(INDEX(INVESTOR_LIST[INVESTOR NAME],MATCH(I8913,INVESTOR_LIST[INVESTOR CODE],0),)," ")</f>
        <v xml:space="preserve"> </v>
      </c>
      <c r="J8913" s="133" t="s">
        <v>13</v>
      </c>
      <c r="K8913" s="218"/>
      <c r="L8913" s="218">
        <v>1610</v>
      </c>
    </row>
    <row r="8914" spans="1:13" ht="10.15" customHeight="1" x14ac:dyDescent="0.2">
      <c r="A8914" s="163">
        <v>2023</v>
      </c>
      <c r="B8914" s="163">
        <v>6</v>
      </c>
      <c r="C8914" s="163">
        <v>4</v>
      </c>
      <c r="D8914" s="280">
        <f t="shared" si="984"/>
        <v>45081</v>
      </c>
      <c r="E8914" s="281">
        <f t="shared" si="985"/>
        <v>45081</v>
      </c>
      <c r="F8914" s="480"/>
      <c r="G8914" s="221" t="s">
        <v>74</v>
      </c>
      <c r="H8914" s="145" t="str" cm="1">
        <f t="array" ref="H8914">IFERROR(INDEX(INVESTOR_LIST[INVESTOR NAME],MATCH(I8914,INVESTOR_LIST[INVESTOR CODE],0),)," ")</f>
        <v xml:space="preserve"> </v>
      </c>
      <c r="I8914" s="145"/>
      <c r="J8914" s="163" t="s">
        <v>53</v>
      </c>
      <c r="K8914" s="219"/>
      <c r="L8914" s="219">
        <v>390</v>
      </c>
    </row>
    <row r="8915" spans="1:13" ht="10.15" customHeight="1" x14ac:dyDescent="0.2">
      <c r="A8915" s="168">
        <v>2023</v>
      </c>
      <c r="B8915" s="168">
        <v>6</v>
      </c>
      <c r="C8915" s="168">
        <v>5</v>
      </c>
      <c r="D8915" s="141">
        <f t="shared" ref="D8915:D8917" si="986">DATE(A8915,B8915,C8915)</f>
        <v>45082</v>
      </c>
      <c r="E8915" s="275">
        <f t="shared" ref="E8915:E8917" si="987">DATE(A8915,B8915,C8915)</f>
        <v>45082</v>
      </c>
      <c r="F8915" s="479" t="s">
        <v>1319</v>
      </c>
      <c r="G8915" s="220" t="s">
        <v>74</v>
      </c>
      <c r="H8915" s="142" t="str" cm="1">
        <f t="array" ref="H8915">IFERROR(INDEX(INVESTOR_LIST[INVESTOR NAME],MATCH(I8915,INVESTOR_LIST[INVESTOR CODE],0),)," ")</f>
        <v xml:space="preserve"> </v>
      </c>
      <c r="I8915" s="142"/>
      <c r="J8915" s="168" t="s">
        <v>52</v>
      </c>
      <c r="K8915" s="226">
        <v>14500</v>
      </c>
      <c r="L8915" s="226"/>
    </row>
    <row r="8916" spans="1:13" ht="10.15" customHeight="1" x14ac:dyDescent="0.2">
      <c r="A8916" s="133">
        <v>2023</v>
      </c>
      <c r="B8916" s="133">
        <v>6</v>
      </c>
      <c r="C8916" s="133">
        <v>5</v>
      </c>
      <c r="D8916" s="141">
        <f t="shared" si="986"/>
        <v>45082</v>
      </c>
      <c r="E8916" s="275">
        <f t="shared" si="987"/>
        <v>45082</v>
      </c>
      <c r="F8916" s="481"/>
      <c r="G8916" s="174" t="s">
        <v>74</v>
      </c>
      <c r="H8916" s="148" t="str" cm="1">
        <f t="array" ref="H8916">IFERROR(INDEX(INVESTOR_LIST[INVESTOR NAME],MATCH(I8916,INVESTOR_LIST[INVESTOR CODE],0),)," ")</f>
        <v xml:space="preserve"> </v>
      </c>
      <c r="J8916" s="133" t="s">
        <v>13</v>
      </c>
      <c r="K8916" s="218"/>
      <c r="L8916" s="218">
        <v>11650</v>
      </c>
    </row>
    <row r="8917" spans="1:13" ht="10.15" customHeight="1" x14ac:dyDescent="0.2">
      <c r="A8917" s="163">
        <v>2023</v>
      </c>
      <c r="B8917" s="163">
        <v>6</v>
      </c>
      <c r="C8917" s="163">
        <v>5</v>
      </c>
      <c r="D8917" s="280">
        <f t="shared" si="986"/>
        <v>45082</v>
      </c>
      <c r="E8917" s="281">
        <f t="shared" si="987"/>
        <v>45082</v>
      </c>
      <c r="F8917" s="480"/>
      <c r="G8917" s="221" t="s">
        <v>74</v>
      </c>
      <c r="H8917" s="145" t="str" cm="1">
        <f t="array" ref="H8917">IFERROR(INDEX(INVESTOR_LIST[INVESTOR NAME],MATCH(I8917,INVESTOR_LIST[INVESTOR CODE],0),)," ")</f>
        <v xml:space="preserve"> </v>
      </c>
      <c r="I8917" s="145"/>
      <c r="J8917" s="163" t="s">
        <v>53</v>
      </c>
      <c r="K8917" s="219"/>
      <c r="L8917" s="219">
        <v>2850</v>
      </c>
    </row>
    <row r="8918" spans="1:13" ht="10.15" customHeight="1" x14ac:dyDescent="0.2">
      <c r="A8918" s="168">
        <v>2023</v>
      </c>
      <c r="B8918" s="168">
        <v>6</v>
      </c>
      <c r="C8918" s="168">
        <v>5</v>
      </c>
      <c r="D8918" s="141">
        <f>DATE(A8918,B8918,C8918)</f>
        <v>45082</v>
      </c>
      <c r="E8918" s="275">
        <f>DATE(A8918,B8918,C8918)</f>
        <v>45082</v>
      </c>
      <c r="F8918" s="479" t="s">
        <v>1315</v>
      </c>
      <c r="G8918" s="220" t="s">
        <v>74</v>
      </c>
      <c r="H8918" s="142" t="str" cm="1">
        <f t="array" ref="H8918">IFERROR(INDEX(INVESTOR_LIST[INVESTOR NAME],MATCH(I8918,INVESTOR_LIST[INVESTOR CODE],0),)," ")</f>
        <v>MD. OMAR FARUQUE Al QUADERI</v>
      </c>
      <c r="I8918" s="142" t="s">
        <v>424</v>
      </c>
      <c r="J8918" s="168" t="s">
        <v>13</v>
      </c>
      <c r="K8918" s="218">
        <v>481890</v>
      </c>
      <c r="L8918" s="226"/>
    </row>
    <row r="8919" spans="1:13" ht="10.15" customHeight="1" x14ac:dyDescent="0.2">
      <c r="A8919" s="133">
        <v>2023</v>
      </c>
      <c r="B8919" s="133">
        <v>6</v>
      </c>
      <c r="C8919" s="133">
        <v>5</v>
      </c>
      <c r="D8919" s="141">
        <f t="shared" ref="D8919:D8929" si="988">DATE(A8919,B8919,C8919)</f>
        <v>45082</v>
      </c>
      <c r="E8919" s="275">
        <f t="shared" ref="E8919:E8929" si="989">DATE(A8919,B8919,C8919)</f>
        <v>45082</v>
      </c>
      <c r="F8919" s="481"/>
      <c r="G8919" s="174" t="s">
        <v>74</v>
      </c>
      <c r="H8919" s="148" t="str" cm="1">
        <f t="array" ref="H8919">IFERROR(INDEX(INVESTOR_LIST[INVESTOR NAME],MATCH(I8919,INVESTOR_LIST[INVESTOR CODE],0),)," ")</f>
        <v>MD. OMAR FARUQUE Al QUADERI</v>
      </c>
      <c r="I8919" s="148" t="s">
        <v>424</v>
      </c>
      <c r="J8919" s="133" t="s">
        <v>53</v>
      </c>
      <c r="K8919" s="218">
        <v>118110</v>
      </c>
      <c r="L8919" s="133"/>
    </row>
    <row r="8920" spans="1:13" ht="10.15" customHeight="1" x14ac:dyDescent="0.2">
      <c r="A8920" s="163">
        <v>2023</v>
      </c>
      <c r="B8920" s="163">
        <v>6</v>
      </c>
      <c r="C8920" s="163">
        <v>5</v>
      </c>
      <c r="D8920" s="280">
        <f t="shared" si="988"/>
        <v>45082</v>
      </c>
      <c r="E8920" s="281">
        <f t="shared" si="989"/>
        <v>45082</v>
      </c>
      <c r="F8920" s="480"/>
      <c r="G8920" s="221" t="s">
        <v>74</v>
      </c>
      <c r="H8920" s="145" t="str" cm="1">
        <f t="array" ref="H8920">IFERROR(INDEX(INVESTOR_LIST[INVESTOR NAME],MATCH(I8920,INVESTOR_LIST[INVESTOR CODE],0),)," ")</f>
        <v>MD. OMAR FARUQUE Al QUADERI</v>
      </c>
      <c r="I8920" s="145" t="s">
        <v>424</v>
      </c>
      <c r="J8920" s="163" t="s">
        <v>52</v>
      </c>
      <c r="K8920" s="219"/>
      <c r="L8920" s="219">
        <v>600000</v>
      </c>
    </row>
    <row r="8921" spans="1:13" x14ac:dyDescent="0.2">
      <c r="A8921" s="133">
        <v>2023</v>
      </c>
      <c r="B8921" s="133">
        <v>6</v>
      </c>
      <c r="C8921" s="133">
        <v>5</v>
      </c>
      <c r="D8921" s="141">
        <f t="shared" si="988"/>
        <v>45082</v>
      </c>
      <c r="E8921" s="275">
        <f t="shared" si="989"/>
        <v>45082</v>
      </c>
      <c r="F8921" s="481" t="s">
        <v>1499</v>
      </c>
      <c r="G8921" s="174" t="s">
        <v>94</v>
      </c>
      <c r="H8921" s="174" t="str" cm="1">
        <f t="array" ref="H8921">IFERROR(INDEX(INVESTOR_LIST[INVESTOR NAME],MATCH(I8921,INVESTOR_LIST[INVESTOR CODE],0),)," ")</f>
        <v xml:space="preserve"> </v>
      </c>
      <c r="J8921" s="149" t="s">
        <v>190</v>
      </c>
      <c r="K8921" s="218">
        <v>3564821.75</v>
      </c>
      <c r="L8921" s="218"/>
      <c r="M8921" s="160"/>
    </row>
    <row r="8922" spans="1:13" x14ac:dyDescent="0.2">
      <c r="A8922" s="133">
        <v>2023</v>
      </c>
      <c r="B8922" s="133">
        <v>6</v>
      </c>
      <c r="C8922" s="133">
        <v>5</v>
      </c>
      <c r="D8922" s="141">
        <f t="shared" si="988"/>
        <v>45082</v>
      </c>
      <c r="E8922" s="275">
        <f t="shared" si="989"/>
        <v>45082</v>
      </c>
      <c r="F8922" s="481"/>
      <c r="G8922" s="174" t="s">
        <v>94</v>
      </c>
      <c r="H8922" s="174"/>
      <c r="J8922" s="149" t="s">
        <v>80</v>
      </c>
      <c r="K8922" s="218">
        <v>6428.25</v>
      </c>
      <c r="L8922" s="218"/>
    </row>
    <row r="8923" spans="1:13" x14ac:dyDescent="0.2">
      <c r="A8923" s="133">
        <v>2023</v>
      </c>
      <c r="B8923" s="133">
        <v>6</v>
      </c>
      <c r="C8923" s="133">
        <v>5</v>
      </c>
      <c r="D8923" s="141">
        <f t="shared" si="988"/>
        <v>45082</v>
      </c>
      <c r="E8923" s="275">
        <f t="shared" si="989"/>
        <v>45082</v>
      </c>
      <c r="F8923" s="481"/>
      <c r="G8923" s="174" t="s">
        <v>94</v>
      </c>
      <c r="H8923" s="174" t="str" cm="1">
        <f t="array" ref="H8923">IFERROR(INDEX(INVESTOR_LIST[INVESTOR NAME],MATCH(I8923,INVESTOR_LIST[INVESTOR CODE],0),)," ")</f>
        <v xml:space="preserve"> </v>
      </c>
      <c r="J8923" s="149" t="s">
        <v>191</v>
      </c>
      <c r="K8923" s="218">
        <v>393450.23999999999</v>
      </c>
      <c r="L8923" s="218"/>
    </row>
    <row r="8924" spans="1:13" x14ac:dyDescent="0.2">
      <c r="A8924" s="163">
        <v>2023</v>
      </c>
      <c r="B8924" s="163">
        <v>6</v>
      </c>
      <c r="C8924" s="163">
        <v>5</v>
      </c>
      <c r="D8924" s="280">
        <f t="shared" si="988"/>
        <v>45082</v>
      </c>
      <c r="E8924" s="281">
        <f t="shared" si="989"/>
        <v>45082</v>
      </c>
      <c r="F8924" s="480"/>
      <c r="G8924" s="221" t="s">
        <v>94</v>
      </c>
      <c r="H8924" s="145" t="str" cm="1">
        <f t="array" ref="H8924">IFERROR(INDEX(INVESTOR_LIST[INVESTOR NAME],MATCH(I8924,INVESTOR_LIST[INVESTOR CODE],0),)," ")</f>
        <v xml:space="preserve"> </v>
      </c>
      <c r="I8924" s="145"/>
      <c r="J8924" s="163" t="s">
        <v>79</v>
      </c>
      <c r="K8924" s="219"/>
      <c r="L8924" s="219">
        <v>3964700.24</v>
      </c>
    </row>
    <row r="8925" spans="1:13" ht="10.15" customHeight="1" x14ac:dyDescent="0.2">
      <c r="A8925" s="168">
        <v>2023</v>
      </c>
      <c r="B8925" s="168">
        <v>6</v>
      </c>
      <c r="C8925" s="168">
        <v>6</v>
      </c>
      <c r="D8925" s="141">
        <f t="shared" si="988"/>
        <v>45083</v>
      </c>
      <c r="E8925" s="275">
        <f t="shared" si="989"/>
        <v>45083</v>
      </c>
      <c r="F8925" s="479" t="s">
        <v>1319</v>
      </c>
      <c r="G8925" s="220" t="s">
        <v>74</v>
      </c>
      <c r="H8925" s="142" t="str" cm="1">
        <f t="array" ref="H8925">IFERROR(INDEX(INVESTOR_LIST[INVESTOR NAME],MATCH(I8925,INVESTOR_LIST[INVESTOR CODE],0),)," ")</f>
        <v xml:space="preserve"> </v>
      </c>
      <c r="I8925" s="142"/>
      <c r="J8925" s="168" t="s">
        <v>52</v>
      </c>
      <c r="K8925" s="226">
        <v>304000</v>
      </c>
      <c r="L8925" s="226"/>
    </row>
    <row r="8926" spans="1:13" ht="10.15" customHeight="1" x14ac:dyDescent="0.2">
      <c r="A8926" s="133">
        <v>2023</v>
      </c>
      <c r="B8926" s="133">
        <v>6</v>
      </c>
      <c r="C8926" s="133">
        <v>6</v>
      </c>
      <c r="D8926" s="141">
        <f t="shared" si="988"/>
        <v>45083</v>
      </c>
      <c r="E8926" s="275">
        <f t="shared" si="989"/>
        <v>45083</v>
      </c>
      <c r="F8926" s="481"/>
      <c r="G8926" s="174" t="s">
        <v>74</v>
      </c>
      <c r="H8926" s="148" t="str" cm="1">
        <f t="array" ref="H8926">IFERROR(INDEX(INVESTOR_LIST[INVESTOR NAME],MATCH(I8926,INVESTOR_LIST[INVESTOR CODE],0),)," ")</f>
        <v xml:space="preserve"> </v>
      </c>
      <c r="J8926" s="133" t="s">
        <v>13</v>
      </c>
      <c r="K8926" s="218"/>
      <c r="L8926" s="218">
        <v>244230</v>
      </c>
    </row>
    <row r="8927" spans="1:13" ht="10.15" customHeight="1" x14ac:dyDescent="0.2">
      <c r="A8927" s="163">
        <v>2023</v>
      </c>
      <c r="B8927" s="163">
        <v>6</v>
      </c>
      <c r="C8927" s="163">
        <v>6</v>
      </c>
      <c r="D8927" s="280">
        <f t="shared" si="988"/>
        <v>45083</v>
      </c>
      <c r="E8927" s="281">
        <f t="shared" si="989"/>
        <v>45083</v>
      </c>
      <c r="F8927" s="480"/>
      <c r="G8927" s="221" t="s">
        <v>74</v>
      </c>
      <c r="H8927" s="145" t="str" cm="1">
        <f t="array" ref="H8927">IFERROR(INDEX(INVESTOR_LIST[INVESTOR NAME],MATCH(I8927,INVESTOR_LIST[INVESTOR CODE],0),)," ")</f>
        <v xml:space="preserve"> </v>
      </c>
      <c r="I8927" s="145"/>
      <c r="J8927" s="163" t="s">
        <v>53</v>
      </c>
      <c r="K8927" s="219"/>
      <c r="L8927" s="219">
        <v>59770</v>
      </c>
    </row>
    <row r="8928" spans="1:13" x14ac:dyDescent="0.2">
      <c r="A8928" s="168">
        <v>2023</v>
      </c>
      <c r="B8928" s="168">
        <v>6</v>
      </c>
      <c r="C8928" s="168">
        <v>7</v>
      </c>
      <c r="D8928" s="141">
        <f t="shared" si="988"/>
        <v>45084</v>
      </c>
      <c r="E8928" s="275">
        <f t="shared" si="989"/>
        <v>45084</v>
      </c>
      <c r="F8928" s="479" t="s">
        <v>1500</v>
      </c>
      <c r="G8928" s="220" t="s">
        <v>74</v>
      </c>
      <c r="H8928" s="220" t="str" cm="1">
        <f t="array" ref="H8928">IFERROR(INDEX(INVESTOR_LIST[INVESTOR NAME],MATCH(I8928,INVESTOR_LIST[INVESTOR CODE],0),)," ")</f>
        <v xml:space="preserve"> </v>
      </c>
      <c r="I8928" s="142"/>
      <c r="J8928" s="143" t="s">
        <v>52</v>
      </c>
      <c r="K8928" s="226">
        <v>3564821.75</v>
      </c>
      <c r="L8928" s="226"/>
    </row>
    <row r="8929" spans="1:14" x14ac:dyDescent="0.2">
      <c r="A8929" s="163">
        <v>2023</v>
      </c>
      <c r="B8929" s="163">
        <v>6</v>
      </c>
      <c r="C8929" s="163">
        <v>7</v>
      </c>
      <c r="D8929" s="280">
        <f t="shared" si="988"/>
        <v>45084</v>
      </c>
      <c r="E8929" s="281">
        <f t="shared" si="989"/>
        <v>45084</v>
      </c>
      <c r="F8929" s="480"/>
      <c r="G8929" s="221" t="s">
        <v>74</v>
      </c>
      <c r="H8929" s="221" t="str" cm="1">
        <f t="array" ref="H8929">IFERROR(INDEX(INVESTOR_LIST[INVESTOR NAME],MATCH(I8929,INVESTOR_LIST[INVESTOR CODE],0),)," ")</f>
        <v xml:space="preserve"> </v>
      </c>
      <c r="I8929" s="145"/>
      <c r="J8929" s="146" t="s">
        <v>190</v>
      </c>
      <c r="K8929" s="219"/>
      <c r="L8929" s="219">
        <v>3564821.75</v>
      </c>
    </row>
    <row r="8930" spans="1:14" ht="10.15" customHeight="1" x14ac:dyDescent="0.2">
      <c r="A8930" s="168">
        <v>2023</v>
      </c>
      <c r="B8930" s="168">
        <v>6</v>
      </c>
      <c r="C8930" s="168">
        <v>8</v>
      </c>
      <c r="D8930" s="141">
        <f>DATE(A8930,B8930,C8930)</f>
        <v>45085</v>
      </c>
      <c r="E8930" s="275">
        <f>DATE(A8930,B8930,C8930)</f>
        <v>45085</v>
      </c>
      <c r="F8930" s="479" t="s">
        <v>1370</v>
      </c>
      <c r="G8930" s="220" t="s">
        <v>74</v>
      </c>
      <c r="H8930" s="142" t="str" cm="1">
        <f t="array" ref="H8930">IFERROR(INDEX(INVESTOR_LIST[INVESTOR NAME],MATCH(I8930,INVESTOR_LIST[INVESTOR CODE],0),)," ")</f>
        <v>S.M. FERDAUS HOSSAIN</v>
      </c>
      <c r="I8930" s="142" t="s">
        <v>606</v>
      </c>
      <c r="J8930" s="168" t="s">
        <v>13</v>
      </c>
      <c r="K8930" s="218">
        <v>47900</v>
      </c>
      <c r="L8930" s="226"/>
    </row>
    <row r="8931" spans="1:14" ht="10.15" customHeight="1" x14ac:dyDescent="0.2">
      <c r="A8931" s="133">
        <v>2023</v>
      </c>
      <c r="B8931" s="133">
        <v>6</v>
      </c>
      <c r="C8931" s="133">
        <v>8</v>
      </c>
      <c r="D8931" s="141">
        <f t="shared" ref="D8931:D8936" si="990">DATE(A8931,B8931,C8931)</f>
        <v>45085</v>
      </c>
      <c r="E8931" s="275">
        <f t="shared" ref="E8931:E8936" si="991">DATE(A8931,B8931,C8931)</f>
        <v>45085</v>
      </c>
      <c r="F8931" s="481"/>
      <c r="G8931" s="174" t="s">
        <v>74</v>
      </c>
      <c r="H8931" s="148" t="str" cm="1">
        <f t="array" ref="H8931">IFERROR(INDEX(INVESTOR_LIST[INVESTOR NAME],MATCH(I8931,INVESTOR_LIST[INVESTOR CODE],0),)," ")</f>
        <v>S.M. FERDAUS HOSSAIN</v>
      </c>
      <c r="I8931" s="148" t="s">
        <v>606</v>
      </c>
      <c r="J8931" s="133" t="s">
        <v>53</v>
      </c>
      <c r="K8931" s="218">
        <v>11716.34</v>
      </c>
      <c r="L8931" s="133"/>
    </row>
    <row r="8932" spans="1:14" ht="10.15" customHeight="1" x14ac:dyDescent="0.2">
      <c r="A8932" s="163">
        <v>2023</v>
      </c>
      <c r="B8932" s="163">
        <v>6</v>
      </c>
      <c r="C8932" s="163">
        <v>8</v>
      </c>
      <c r="D8932" s="280">
        <f t="shared" si="990"/>
        <v>45085</v>
      </c>
      <c r="E8932" s="281">
        <f t="shared" si="991"/>
        <v>45085</v>
      </c>
      <c r="F8932" s="480"/>
      <c r="G8932" s="221" t="s">
        <v>74</v>
      </c>
      <c r="H8932" s="145" t="str" cm="1">
        <f t="array" ref="H8932">IFERROR(INDEX(INVESTOR_LIST[INVESTOR NAME],MATCH(I8932,INVESTOR_LIST[INVESTOR CODE],0),)," ")</f>
        <v>S.M. FERDAUS HOSSAIN</v>
      </c>
      <c r="I8932" s="145" t="s">
        <v>606</v>
      </c>
      <c r="J8932" s="163" t="s">
        <v>52</v>
      </c>
      <c r="K8932" s="219"/>
      <c r="L8932" s="219">
        <v>59616.34</v>
      </c>
    </row>
    <row r="8933" spans="1:14" x14ac:dyDescent="0.2">
      <c r="A8933" s="133">
        <v>2023</v>
      </c>
      <c r="B8933" s="133">
        <v>6</v>
      </c>
      <c r="C8933" s="133">
        <v>8</v>
      </c>
      <c r="D8933" s="141">
        <f t="shared" si="990"/>
        <v>45085</v>
      </c>
      <c r="E8933" s="275">
        <f t="shared" si="991"/>
        <v>45085</v>
      </c>
      <c r="F8933" s="481" t="s">
        <v>1499</v>
      </c>
      <c r="G8933" s="174" t="s">
        <v>94</v>
      </c>
      <c r="H8933" s="174" t="str" cm="1">
        <f t="array" ref="H8933">IFERROR(INDEX(INVESTOR_LIST[INVESTOR NAME],MATCH(I8933,INVESTOR_LIST[INVESTOR CODE],0),)," ")</f>
        <v xml:space="preserve"> </v>
      </c>
      <c r="J8933" s="149" t="s">
        <v>190</v>
      </c>
      <c r="K8933" s="218">
        <v>444302.81</v>
      </c>
      <c r="L8933" s="218"/>
      <c r="M8933" s="160"/>
    </row>
    <row r="8934" spans="1:14" x14ac:dyDescent="0.2">
      <c r="A8934" s="133">
        <v>2023</v>
      </c>
      <c r="B8934" s="133">
        <v>6</v>
      </c>
      <c r="C8934" s="133">
        <v>8</v>
      </c>
      <c r="D8934" s="141">
        <f t="shared" si="990"/>
        <v>45085</v>
      </c>
      <c r="E8934" s="275">
        <f t="shared" si="991"/>
        <v>45085</v>
      </c>
      <c r="F8934" s="481"/>
      <c r="G8934" s="174" t="s">
        <v>94</v>
      </c>
      <c r="H8934" s="174"/>
      <c r="J8934" s="149" t="s">
        <v>80</v>
      </c>
      <c r="K8934" s="218">
        <v>801.19</v>
      </c>
      <c r="L8934" s="218"/>
    </row>
    <row r="8935" spans="1:14" x14ac:dyDescent="0.2">
      <c r="A8935" s="133">
        <v>2023</v>
      </c>
      <c r="B8935" s="133">
        <v>6</v>
      </c>
      <c r="C8935" s="133">
        <v>8</v>
      </c>
      <c r="D8935" s="141">
        <f t="shared" si="990"/>
        <v>45085</v>
      </c>
      <c r="E8935" s="275">
        <f t="shared" si="991"/>
        <v>45085</v>
      </c>
      <c r="F8935" s="481"/>
      <c r="G8935" s="174" t="s">
        <v>94</v>
      </c>
      <c r="H8935" s="174" t="str" cm="1">
        <f t="array" ref="H8935">IFERROR(INDEX(INVESTOR_LIST[INVESTOR NAME],MATCH(I8935,INVESTOR_LIST[INVESTOR CODE],0),)," ")</f>
        <v xml:space="preserve"> </v>
      </c>
      <c r="J8935" s="149" t="s">
        <v>191</v>
      </c>
      <c r="K8935" s="218"/>
      <c r="L8935" s="218">
        <v>383284</v>
      </c>
    </row>
    <row r="8936" spans="1:14" x14ac:dyDescent="0.2">
      <c r="A8936" s="163">
        <v>2023</v>
      </c>
      <c r="B8936" s="163">
        <v>6</v>
      </c>
      <c r="C8936" s="163">
        <v>8</v>
      </c>
      <c r="D8936" s="280">
        <f t="shared" si="990"/>
        <v>45085</v>
      </c>
      <c r="E8936" s="281">
        <f t="shared" si="991"/>
        <v>45085</v>
      </c>
      <c r="F8936" s="480"/>
      <c r="G8936" s="221" t="s">
        <v>94</v>
      </c>
      <c r="H8936" s="145" t="str" cm="1">
        <f t="array" ref="H8936">IFERROR(INDEX(INVESTOR_LIST[INVESTOR NAME],MATCH(I8936,INVESTOR_LIST[INVESTOR CODE],0),)," ")</f>
        <v xml:space="preserve"> </v>
      </c>
      <c r="I8936" s="145"/>
      <c r="J8936" s="163" t="s">
        <v>79</v>
      </c>
      <c r="K8936" s="219"/>
      <c r="L8936" s="219">
        <v>61820</v>
      </c>
    </row>
    <row r="8937" spans="1:14" x14ac:dyDescent="0.2">
      <c r="A8937" s="324">
        <v>2023</v>
      </c>
      <c r="B8937" s="324">
        <v>6</v>
      </c>
      <c r="C8937" s="325">
        <v>8</v>
      </c>
      <c r="D8937" s="326">
        <f>DATE(A8937,B8937,C8937)</f>
        <v>45085</v>
      </c>
      <c r="E8937" s="327">
        <f>DATE(A8937,B8937,C8937)</f>
        <v>45085</v>
      </c>
      <c r="F8937" s="473" t="s">
        <v>1634</v>
      </c>
      <c r="G8937" s="340" t="s">
        <v>94</v>
      </c>
      <c r="H8937" s="341" t="str" cm="1">
        <f t="array" ref="H8937">IFERROR(INDEX(INVESTOR_LIST[INVESTOR NAME],MATCH(I8937,INVESTOR_LIST[INVESTOR CODE],0),)," ")</f>
        <v xml:space="preserve"> </v>
      </c>
      <c r="I8937" s="341" t="s">
        <v>348</v>
      </c>
      <c r="J8937" s="325" t="s">
        <v>133</v>
      </c>
      <c r="K8937" s="330"/>
      <c r="L8937" s="330"/>
      <c r="M8937" s="160"/>
    </row>
    <row r="8938" spans="1:14" x14ac:dyDescent="0.2">
      <c r="A8938" s="331">
        <v>2023</v>
      </c>
      <c r="B8938" s="331">
        <v>6</v>
      </c>
      <c r="C8938" s="331">
        <v>8</v>
      </c>
      <c r="D8938" s="326">
        <f>DATE(A8938,B8938,C8938)</f>
        <v>45085</v>
      </c>
      <c r="E8938" s="327">
        <f>DATE(A8938,B8938,C8938)</f>
        <v>45085</v>
      </c>
      <c r="F8938" s="474"/>
      <c r="G8938" s="332" t="s">
        <v>94</v>
      </c>
      <c r="H8938" s="333" t="str" cm="1">
        <f t="array" ref="H8938">IFERROR(INDEX(INVESTOR_LIST[INVESTOR NAME],MATCH(I8938,INVESTOR_LIST[INVESTOR CODE],0),)," ")</f>
        <v xml:space="preserve"> </v>
      </c>
      <c r="I8938" s="333" t="s">
        <v>348</v>
      </c>
      <c r="J8938" s="331" t="s">
        <v>152</v>
      </c>
      <c r="K8938" s="334"/>
      <c r="L8938" s="334"/>
      <c r="M8938" s="160"/>
    </row>
    <row r="8939" spans="1:14" x14ac:dyDescent="0.2">
      <c r="A8939" s="324">
        <v>2023</v>
      </c>
      <c r="B8939" s="324">
        <v>6</v>
      </c>
      <c r="C8939" s="325">
        <v>8</v>
      </c>
      <c r="D8939" s="326">
        <f t="shared" ref="D8939:D8942" si="992">DATE(A8939,B8939,C8939)</f>
        <v>45085</v>
      </c>
      <c r="E8939" s="327">
        <f t="shared" ref="E8939:E8942" si="993">DATE(A8939,B8939,C8939)</f>
        <v>45085</v>
      </c>
      <c r="F8939" s="473" t="s">
        <v>1490</v>
      </c>
      <c r="G8939" s="328" t="s">
        <v>94</v>
      </c>
      <c r="H8939" s="329" t="str" cm="1">
        <f t="array" ref="H8939">IFERROR(INDEX(INVESTOR_LIST[INVESTOR NAME],MATCH(I8939,INVESTOR_LIST[INVESTOR CODE],0),)," ")</f>
        <v xml:space="preserve"> </v>
      </c>
      <c r="I8939" s="329" t="s">
        <v>348</v>
      </c>
      <c r="J8939" s="325" t="s">
        <v>133</v>
      </c>
      <c r="K8939" s="330">
        <v>15661.41</v>
      </c>
      <c r="L8939" s="330"/>
      <c r="M8939" s="160"/>
    </row>
    <row r="8940" spans="1:14" x14ac:dyDescent="0.2">
      <c r="A8940" s="331">
        <v>2023</v>
      </c>
      <c r="B8940" s="331">
        <v>6</v>
      </c>
      <c r="C8940" s="331">
        <v>8</v>
      </c>
      <c r="D8940" s="326">
        <f t="shared" si="992"/>
        <v>45085</v>
      </c>
      <c r="E8940" s="327">
        <f t="shared" si="993"/>
        <v>45085</v>
      </c>
      <c r="F8940" s="474"/>
      <c r="G8940" s="332" t="s">
        <v>94</v>
      </c>
      <c r="H8940" s="333" t="str" cm="1">
        <f t="array" ref="H8940">IFERROR(INDEX(INVESTOR_LIST[INVESTOR NAME],MATCH(I8940,INVESTOR_LIST[INVESTOR CODE],0),)," ")</f>
        <v xml:space="preserve"> </v>
      </c>
      <c r="I8940" s="333" t="s">
        <v>348</v>
      </c>
      <c r="J8940" s="331" t="s">
        <v>152</v>
      </c>
      <c r="K8940" s="334"/>
      <c r="L8940" s="334">
        <v>15661.41</v>
      </c>
      <c r="M8940" s="160"/>
      <c r="N8940" s="160"/>
    </row>
    <row r="8941" spans="1:14" x14ac:dyDescent="0.2">
      <c r="A8941" s="324">
        <v>2023</v>
      </c>
      <c r="B8941" s="324">
        <v>6</v>
      </c>
      <c r="C8941" s="325">
        <v>8</v>
      </c>
      <c r="D8941" s="326">
        <f t="shared" si="992"/>
        <v>45085</v>
      </c>
      <c r="E8941" s="327">
        <f t="shared" si="993"/>
        <v>45085</v>
      </c>
      <c r="F8941" s="473" t="s">
        <v>1491</v>
      </c>
      <c r="G8941" s="328" t="s">
        <v>94</v>
      </c>
      <c r="H8941" s="329" t="str" cm="1">
        <f t="array" ref="H8941">IFERROR(INDEX(INVESTOR_LIST[INVESTOR NAME],MATCH(I8941,INVESTOR_LIST[INVESTOR CODE],0),)," ")</f>
        <v xml:space="preserve"> </v>
      </c>
      <c r="I8941" s="329" t="s">
        <v>348</v>
      </c>
      <c r="J8941" s="324" t="s">
        <v>133</v>
      </c>
      <c r="K8941" s="330">
        <v>13413.46</v>
      </c>
      <c r="L8941" s="330"/>
      <c r="M8941" s="160"/>
      <c r="N8941" s="160"/>
    </row>
    <row r="8942" spans="1:14" x14ac:dyDescent="0.2">
      <c r="A8942" s="331">
        <v>2023</v>
      </c>
      <c r="B8942" s="331">
        <v>6</v>
      </c>
      <c r="C8942" s="331">
        <v>8</v>
      </c>
      <c r="D8942" s="326">
        <f t="shared" si="992"/>
        <v>45085</v>
      </c>
      <c r="E8942" s="327">
        <f t="shared" si="993"/>
        <v>45085</v>
      </c>
      <c r="F8942" s="474"/>
      <c r="G8942" s="332" t="s">
        <v>94</v>
      </c>
      <c r="H8942" s="333" t="str" cm="1">
        <f t="array" ref="H8942">IFERROR(INDEX(INVESTOR_LIST[INVESTOR NAME],MATCH(I8942,INVESTOR_LIST[INVESTOR CODE],0),)," ")</f>
        <v xml:space="preserve"> </v>
      </c>
      <c r="I8942" s="333" t="s">
        <v>348</v>
      </c>
      <c r="J8942" s="331" t="s">
        <v>152</v>
      </c>
      <c r="K8942" s="334"/>
      <c r="L8942" s="334">
        <v>13413.46</v>
      </c>
      <c r="M8942" s="160"/>
    </row>
    <row r="8943" spans="1:14" x14ac:dyDescent="0.2">
      <c r="A8943" s="324">
        <v>2023</v>
      </c>
      <c r="B8943" s="324">
        <v>6</v>
      </c>
      <c r="C8943" s="325">
        <v>8</v>
      </c>
      <c r="D8943" s="326">
        <f>DATE(A8943,B8943,C8943)</f>
        <v>45085</v>
      </c>
      <c r="E8943" s="327">
        <f>DATE(A8943,B8943,C8943)</f>
        <v>45085</v>
      </c>
      <c r="F8943" s="473" t="s">
        <v>1531</v>
      </c>
      <c r="G8943" s="328" t="s">
        <v>94</v>
      </c>
      <c r="H8943" s="329" t="str" cm="1">
        <f t="array" ref="H8943">IFERROR(INDEX(INVESTOR_LIST[INVESTOR NAME],MATCH(I8943,INVESTOR_LIST[INVESTOR CODE],0),)," ")</f>
        <v xml:space="preserve"> </v>
      </c>
      <c r="I8943" s="329" t="s">
        <v>348</v>
      </c>
      <c r="J8943" s="324" t="s">
        <v>133</v>
      </c>
      <c r="K8943" s="330">
        <v>22589.56</v>
      </c>
      <c r="L8943" s="330"/>
      <c r="M8943" s="160"/>
    </row>
    <row r="8944" spans="1:14" x14ac:dyDescent="0.2">
      <c r="A8944" s="331">
        <v>2023</v>
      </c>
      <c r="B8944" s="331">
        <v>6</v>
      </c>
      <c r="C8944" s="331">
        <v>8</v>
      </c>
      <c r="D8944" s="326">
        <f>DATE(A8944,B8944,C8944)</f>
        <v>45085</v>
      </c>
      <c r="E8944" s="327">
        <f>DATE(A8944,B8944,C8944)</f>
        <v>45085</v>
      </c>
      <c r="F8944" s="474"/>
      <c r="G8944" s="332" t="s">
        <v>94</v>
      </c>
      <c r="H8944" s="333" t="str" cm="1">
        <f t="array" ref="H8944">IFERROR(INDEX(INVESTOR_LIST[INVESTOR NAME],MATCH(I8944,INVESTOR_LIST[INVESTOR CODE],0),)," ")</f>
        <v xml:space="preserve"> </v>
      </c>
      <c r="I8944" s="333" t="s">
        <v>348</v>
      </c>
      <c r="J8944" s="331" t="s">
        <v>152</v>
      </c>
      <c r="K8944" s="334"/>
      <c r="L8944" s="334">
        <v>22589.56</v>
      </c>
      <c r="M8944" s="160"/>
    </row>
    <row r="8945" spans="1:13" x14ac:dyDescent="0.2">
      <c r="A8945" s="238">
        <v>2023</v>
      </c>
      <c r="B8945" s="238">
        <v>6</v>
      </c>
      <c r="C8945" s="238">
        <v>8</v>
      </c>
      <c r="D8945" s="270">
        <f t="shared" ref="D8945:D8956" si="994">DATE(A8945,B8945,C8945)</f>
        <v>45085</v>
      </c>
      <c r="E8945" s="279">
        <f t="shared" ref="E8945:E8956" si="995">DATE(A8945,B8945,C8945)</f>
        <v>45085</v>
      </c>
      <c r="F8945" s="477" t="s">
        <v>347</v>
      </c>
      <c r="G8945" s="239" t="s">
        <v>94</v>
      </c>
      <c r="H8945" s="239" t="str" cm="1">
        <f t="array" ref="H8945">IFERROR(INDEX(INVESTOR_LIST[INVESTOR NAME],MATCH(I8945,INVESTOR_LIST[INVESTOR CODE],0),)," ")</f>
        <v xml:space="preserve"> </v>
      </c>
      <c r="I8945" s="262" t="s">
        <v>348</v>
      </c>
      <c r="J8945" s="240" t="s">
        <v>108</v>
      </c>
      <c r="K8945" s="241">
        <v>167631.78000001609</v>
      </c>
      <c r="L8945" s="241"/>
    </row>
    <row r="8946" spans="1:13" x14ac:dyDescent="0.2">
      <c r="A8946" s="242">
        <v>2023</v>
      </c>
      <c r="B8946" s="242">
        <v>6</v>
      </c>
      <c r="C8946" s="242">
        <v>8</v>
      </c>
      <c r="D8946" s="270">
        <f t="shared" si="994"/>
        <v>45085</v>
      </c>
      <c r="E8946" s="279">
        <f t="shared" si="995"/>
        <v>45085</v>
      </c>
      <c r="F8946" s="478"/>
      <c r="G8946" s="243" t="s">
        <v>94</v>
      </c>
      <c r="H8946" s="243" t="str" cm="1">
        <f t="array" ref="H8946">IFERROR(INDEX(INVESTOR_LIST[INVESTOR NAME],MATCH(I8946,INVESTOR_LIST[INVESTOR CODE],0),)," ")</f>
        <v xml:space="preserve"> </v>
      </c>
      <c r="I8946" s="263" t="s">
        <v>348</v>
      </c>
      <c r="J8946" s="244" t="s">
        <v>82</v>
      </c>
      <c r="K8946" s="245"/>
      <c r="L8946" s="245">
        <v>167631.78000001609</v>
      </c>
    </row>
    <row r="8947" spans="1:13" ht="22.5" x14ac:dyDescent="0.2">
      <c r="A8947" s="246">
        <v>2023</v>
      </c>
      <c r="B8947" s="238">
        <v>6</v>
      </c>
      <c r="C8947" s="238">
        <v>8</v>
      </c>
      <c r="D8947" s="270">
        <f t="shared" si="994"/>
        <v>45085</v>
      </c>
      <c r="E8947" s="279">
        <f t="shared" si="995"/>
        <v>45085</v>
      </c>
      <c r="F8947" s="482" t="s">
        <v>148</v>
      </c>
      <c r="G8947" s="247" t="s">
        <v>94</v>
      </c>
      <c r="H8947" s="247" t="str" cm="1">
        <f t="array" ref="H8947">IFERROR(INDEX(INVESTOR_LIST[INVESTOR NAME],MATCH(I8947,INVESTOR_LIST[INVESTOR CODE],0),)," ")</f>
        <v xml:space="preserve"> </v>
      </c>
      <c r="I8947" s="248" t="s">
        <v>348</v>
      </c>
      <c r="J8947" s="249" t="s">
        <v>95</v>
      </c>
      <c r="K8947" s="250">
        <v>2747.2527472527472</v>
      </c>
      <c r="L8947" s="241"/>
    </row>
    <row r="8948" spans="1:13" x14ac:dyDescent="0.2">
      <c r="A8948" s="242">
        <v>2023</v>
      </c>
      <c r="B8948" s="242">
        <v>6</v>
      </c>
      <c r="C8948" s="242">
        <v>8</v>
      </c>
      <c r="D8948" s="270">
        <f t="shared" si="994"/>
        <v>45085</v>
      </c>
      <c r="E8948" s="279">
        <f t="shared" si="995"/>
        <v>45085</v>
      </c>
      <c r="F8948" s="478"/>
      <c r="G8948" s="243" t="s">
        <v>94</v>
      </c>
      <c r="H8948" s="243" t="str" cm="1">
        <f t="array" ref="H8948">IFERROR(INDEX(INVESTOR_LIST[INVESTOR NAME],MATCH(I8948,INVESTOR_LIST[INVESTOR CODE],0),)," ")</f>
        <v xml:space="preserve"> </v>
      </c>
      <c r="I8948" s="263" t="s">
        <v>348</v>
      </c>
      <c r="J8948" s="244" t="s">
        <v>63</v>
      </c>
      <c r="K8948" s="245"/>
      <c r="L8948" s="245">
        <v>2747.2527472527472</v>
      </c>
    </row>
    <row r="8949" spans="1:13" x14ac:dyDescent="0.2">
      <c r="A8949" s="246">
        <v>2023</v>
      </c>
      <c r="B8949" s="238">
        <v>6</v>
      </c>
      <c r="C8949" s="238">
        <v>8</v>
      </c>
      <c r="D8949" s="270">
        <f t="shared" si="994"/>
        <v>45085</v>
      </c>
      <c r="E8949" s="279">
        <f t="shared" si="995"/>
        <v>45085</v>
      </c>
      <c r="F8949" s="482" t="s">
        <v>137</v>
      </c>
      <c r="G8949" s="247" t="s">
        <v>94</v>
      </c>
      <c r="H8949" s="247" t="str" cm="1">
        <f t="array" ref="H8949">IFERROR(INDEX(INVESTOR_LIST[INVESTOR NAME],MATCH(I8949,INVESTOR_LIST[INVESTOR CODE],0),)," ")</f>
        <v xml:space="preserve"> </v>
      </c>
      <c r="I8949" s="248" t="s">
        <v>348</v>
      </c>
      <c r="J8949" s="249" t="s">
        <v>97</v>
      </c>
      <c r="K8949" s="250">
        <v>32552.381910830325</v>
      </c>
      <c r="L8949" s="252"/>
    </row>
    <row r="8950" spans="1:13" x14ac:dyDescent="0.2">
      <c r="A8950" s="242">
        <v>2023</v>
      </c>
      <c r="B8950" s="242">
        <v>6</v>
      </c>
      <c r="C8950" s="242">
        <v>8</v>
      </c>
      <c r="D8950" s="270">
        <f t="shared" si="994"/>
        <v>45085</v>
      </c>
      <c r="E8950" s="279">
        <f t="shared" si="995"/>
        <v>45085</v>
      </c>
      <c r="F8950" s="478"/>
      <c r="G8950" s="243" t="s">
        <v>94</v>
      </c>
      <c r="H8950" s="243" t="str" cm="1">
        <f t="array" ref="H8950">IFERROR(INDEX(INVESTOR_LIST[INVESTOR NAME],MATCH(I8950,INVESTOR_LIST[INVESTOR CODE],0),)," ")</f>
        <v xml:space="preserve"> </v>
      </c>
      <c r="I8950" s="263" t="s">
        <v>348</v>
      </c>
      <c r="J8950" s="244" t="s">
        <v>47</v>
      </c>
      <c r="K8950" s="245"/>
      <c r="L8950" s="245">
        <v>32552.381910830325</v>
      </c>
    </row>
    <row r="8951" spans="1:13" x14ac:dyDescent="0.2">
      <c r="A8951" s="246">
        <v>2023</v>
      </c>
      <c r="B8951" s="238">
        <v>6</v>
      </c>
      <c r="C8951" s="238">
        <v>8</v>
      </c>
      <c r="D8951" s="270">
        <f t="shared" si="994"/>
        <v>45085</v>
      </c>
      <c r="E8951" s="279">
        <f t="shared" si="995"/>
        <v>45085</v>
      </c>
      <c r="F8951" s="482" t="s">
        <v>138</v>
      </c>
      <c r="G8951" s="247" t="s">
        <v>94</v>
      </c>
      <c r="H8951" s="247" t="str" cm="1">
        <f t="array" ref="H8951">IFERROR(INDEX(INVESTOR_LIST[INVESTOR NAME],MATCH(I8951,INVESTOR_LIST[INVESTOR CODE],0),)," ")</f>
        <v xml:space="preserve"> </v>
      </c>
      <c r="I8951" s="248" t="s">
        <v>348</v>
      </c>
      <c r="J8951" s="249" t="s">
        <v>100</v>
      </c>
      <c r="K8951" s="250">
        <v>3255.2381910830322</v>
      </c>
      <c r="L8951" s="252"/>
    </row>
    <row r="8952" spans="1:13" ht="10.9" customHeight="1" x14ac:dyDescent="0.2">
      <c r="A8952" s="242">
        <v>2023</v>
      </c>
      <c r="B8952" s="242">
        <v>6</v>
      </c>
      <c r="C8952" s="242">
        <v>8</v>
      </c>
      <c r="D8952" s="321">
        <f t="shared" si="994"/>
        <v>45085</v>
      </c>
      <c r="E8952" s="322">
        <f t="shared" si="995"/>
        <v>45085</v>
      </c>
      <c r="F8952" s="478"/>
      <c r="G8952" s="243" t="s">
        <v>94</v>
      </c>
      <c r="H8952" s="243" t="str" cm="1">
        <f t="array" ref="H8952">IFERROR(INDEX(INVESTOR_LIST[INVESTOR NAME],MATCH(I8952,INVESTOR_LIST[INVESTOR CODE],0),)," ")</f>
        <v xml:space="preserve"> </v>
      </c>
      <c r="I8952" s="263" t="s">
        <v>348</v>
      </c>
      <c r="J8952" s="244" t="s">
        <v>48</v>
      </c>
      <c r="K8952" s="245"/>
      <c r="L8952" s="245">
        <v>3255.2381910830322</v>
      </c>
    </row>
    <row r="8953" spans="1:13" x14ac:dyDescent="0.2">
      <c r="A8953" s="133">
        <v>2023</v>
      </c>
      <c r="B8953" s="133">
        <v>6</v>
      </c>
      <c r="C8953" s="133">
        <v>11</v>
      </c>
      <c r="D8953" s="141">
        <f t="shared" si="994"/>
        <v>45088</v>
      </c>
      <c r="E8953" s="275">
        <f t="shared" si="995"/>
        <v>45088</v>
      </c>
      <c r="F8953" s="481" t="s">
        <v>1499</v>
      </c>
      <c r="G8953" s="174" t="s">
        <v>94</v>
      </c>
      <c r="H8953" s="174" t="str" cm="1">
        <f t="array" ref="H8953">IFERROR(INDEX(INVESTOR_LIST[INVESTOR NAME],MATCH(I8953,INVESTOR_LIST[INVESTOR CODE],0),)," ")</f>
        <v xml:space="preserve"> </v>
      </c>
      <c r="J8953" s="149" t="s">
        <v>190</v>
      </c>
      <c r="K8953" s="218">
        <v>5117422.03</v>
      </c>
      <c r="L8953" s="218"/>
      <c r="M8953" s="160"/>
    </row>
    <row r="8954" spans="1:13" x14ac:dyDescent="0.2">
      <c r="A8954" s="133">
        <v>2023</v>
      </c>
      <c r="B8954" s="133">
        <v>6</v>
      </c>
      <c r="C8954" s="133">
        <v>11</v>
      </c>
      <c r="D8954" s="141">
        <f t="shared" si="994"/>
        <v>45088</v>
      </c>
      <c r="E8954" s="275">
        <f t="shared" si="995"/>
        <v>45088</v>
      </c>
      <c r="F8954" s="481"/>
      <c r="G8954" s="174" t="s">
        <v>94</v>
      </c>
      <c r="H8954" s="174"/>
      <c r="J8954" s="149" t="s">
        <v>80</v>
      </c>
      <c r="K8954" s="218">
        <v>9227.9699999999993</v>
      </c>
      <c r="L8954" s="218"/>
    </row>
    <row r="8955" spans="1:13" x14ac:dyDescent="0.2">
      <c r="A8955" s="133">
        <v>2023</v>
      </c>
      <c r="B8955" s="133">
        <v>6</v>
      </c>
      <c r="C8955" s="133">
        <v>11</v>
      </c>
      <c r="D8955" s="141">
        <f t="shared" si="994"/>
        <v>45088</v>
      </c>
      <c r="E8955" s="275">
        <f t="shared" si="995"/>
        <v>45088</v>
      </c>
      <c r="F8955" s="481"/>
      <c r="G8955" s="174" t="s">
        <v>94</v>
      </c>
      <c r="H8955" s="174" t="str" cm="1">
        <f t="array" ref="H8955">IFERROR(INDEX(INVESTOR_LIST[INVESTOR NAME],MATCH(I8955,INVESTOR_LIST[INVESTOR CODE],0),)," ")</f>
        <v xml:space="preserve"> </v>
      </c>
      <c r="J8955" s="149" t="s">
        <v>191</v>
      </c>
      <c r="K8955" s="218">
        <v>537207.49</v>
      </c>
      <c r="L8955" s="218"/>
    </row>
    <row r="8956" spans="1:13" x14ac:dyDescent="0.2">
      <c r="A8956" s="163">
        <v>2023</v>
      </c>
      <c r="B8956" s="163">
        <v>6</v>
      </c>
      <c r="C8956" s="163">
        <v>11</v>
      </c>
      <c r="D8956" s="280">
        <f t="shared" si="994"/>
        <v>45088</v>
      </c>
      <c r="E8956" s="281">
        <f t="shared" si="995"/>
        <v>45088</v>
      </c>
      <c r="F8956" s="480"/>
      <c r="G8956" s="221" t="s">
        <v>94</v>
      </c>
      <c r="H8956" s="145" t="str" cm="1">
        <f t="array" ref="H8956">IFERROR(INDEX(INVESTOR_LIST[INVESTOR NAME],MATCH(I8956,INVESTOR_LIST[INVESTOR CODE],0),)," ")</f>
        <v xml:space="preserve"> </v>
      </c>
      <c r="I8956" s="145"/>
      <c r="J8956" s="163" t="s">
        <v>79</v>
      </c>
      <c r="K8956" s="219"/>
      <c r="L8956" s="219">
        <v>5663857.4900000002</v>
      </c>
    </row>
    <row r="8957" spans="1:13" ht="10.15" customHeight="1" x14ac:dyDescent="0.2">
      <c r="A8957" s="168">
        <v>2023</v>
      </c>
      <c r="B8957" s="168">
        <v>6</v>
      </c>
      <c r="C8957" s="168">
        <v>12</v>
      </c>
      <c r="D8957" s="141">
        <f>DATE(A8957,B8957,C8957)</f>
        <v>45089</v>
      </c>
      <c r="E8957" s="275">
        <f>DATE(A8957,B8957,C8957)</f>
        <v>45089</v>
      </c>
      <c r="F8957" s="479" t="s">
        <v>1315</v>
      </c>
      <c r="G8957" s="220" t="s">
        <v>74</v>
      </c>
      <c r="H8957" s="142" t="str" cm="1">
        <f t="array" ref="H8957">IFERROR(INDEX(INVESTOR_LIST[INVESTOR NAME],MATCH(I8957,INVESTOR_LIST[INVESTOR CODE],0),)," ")</f>
        <v>MD MAHDI HASAN</v>
      </c>
      <c r="I8957" s="142" t="s">
        <v>630</v>
      </c>
      <c r="J8957" s="168" t="s">
        <v>13</v>
      </c>
      <c r="K8957" s="218">
        <v>10490</v>
      </c>
      <c r="L8957" s="226"/>
    </row>
    <row r="8958" spans="1:13" ht="10.15" customHeight="1" x14ac:dyDescent="0.2">
      <c r="A8958" s="133">
        <v>2023</v>
      </c>
      <c r="B8958" s="133">
        <v>6</v>
      </c>
      <c r="C8958" s="133">
        <v>12</v>
      </c>
      <c r="D8958" s="141">
        <f t="shared" ref="D8958:D8972" si="996">DATE(A8958,B8958,C8958)</f>
        <v>45089</v>
      </c>
      <c r="E8958" s="275">
        <f t="shared" ref="E8958:E8972" si="997">DATE(A8958,B8958,C8958)</f>
        <v>45089</v>
      </c>
      <c r="F8958" s="481"/>
      <c r="G8958" s="174" t="s">
        <v>74</v>
      </c>
      <c r="H8958" s="148" t="str" cm="1">
        <f t="array" ref="H8958">IFERROR(INDEX(INVESTOR_LIST[INVESTOR NAME],MATCH(I8958,INVESTOR_LIST[INVESTOR CODE],0),)," ")</f>
        <v>MD MAHDI HASAN</v>
      </c>
      <c r="I8958" s="148" t="s">
        <v>630</v>
      </c>
      <c r="J8958" s="133" t="s">
        <v>53</v>
      </c>
      <c r="K8958" s="218">
        <v>2567.9500000000007</v>
      </c>
      <c r="L8958" s="133"/>
    </row>
    <row r="8959" spans="1:13" ht="10.15" customHeight="1" x14ac:dyDescent="0.2">
      <c r="A8959" s="163">
        <v>2023</v>
      </c>
      <c r="B8959" s="163">
        <v>6</v>
      </c>
      <c r="C8959" s="163">
        <v>12</v>
      </c>
      <c r="D8959" s="280">
        <f t="shared" si="996"/>
        <v>45089</v>
      </c>
      <c r="E8959" s="281">
        <f t="shared" si="997"/>
        <v>45089</v>
      </c>
      <c r="F8959" s="480"/>
      <c r="G8959" s="221" t="s">
        <v>74</v>
      </c>
      <c r="H8959" s="145" t="str" cm="1">
        <f t="array" ref="H8959">IFERROR(INDEX(INVESTOR_LIST[INVESTOR NAME],MATCH(I8959,INVESTOR_LIST[INVESTOR CODE],0),)," ")</f>
        <v>MD MAHDI HASAN</v>
      </c>
      <c r="I8959" s="145" t="s">
        <v>630</v>
      </c>
      <c r="J8959" s="163" t="s">
        <v>52</v>
      </c>
      <c r="K8959" s="219"/>
      <c r="L8959" s="219">
        <v>13057.95</v>
      </c>
    </row>
    <row r="8960" spans="1:13" x14ac:dyDescent="0.2">
      <c r="A8960" s="168">
        <v>2023</v>
      </c>
      <c r="B8960" s="168">
        <v>6</v>
      </c>
      <c r="C8960" s="168">
        <v>12</v>
      </c>
      <c r="D8960" s="141">
        <f t="shared" si="996"/>
        <v>45089</v>
      </c>
      <c r="E8960" s="275">
        <f t="shared" si="997"/>
        <v>45089</v>
      </c>
      <c r="F8960" s="479" t="s">
        <v>1500</v>
      </c>
      <c r="G8960" s="220" t="s">
        <v>74</v>
      </c>
      <c r="H8960" s="220" t="str" cm="1">
        <f t="array" ref="H8960">IFERROR(INDEX(INVESTOR_LIST[INVESTOR NAME],MATCH(I8960,INVESTOR_LIST[INVESTOR CODE],0),)," ")</f>
        <v xml:space="preserve"> </v>
      </c>
      <c r="I8960" s="142"/>
      <c r="J8960" s="143" t="s">
        <v>52</v>
      </c>
      <c r="K8960" s="226">
        <v>444302.81</v>
      </c>
      <c r="L8960" s="226"/>
    </row>
    <row r="8961" spans="1:12" x14ac:dyDescent="0.2">
      <c r="A8961" s="163">
        <v>2023</v>
      </c>
      <c r="B8961" s="163">
        <v>6</v>
      </c>
      <c r="C8961" s="163">
        <v>12</v>
      </c>
      <c r="D8961" s="280">
        <f t="shared" si="996"/>
        <v>45089</v>
      </c>
      <c r="E8961" s="281">
        <f t="shared" si="997"/>
        <v>45089</v>
      </c>
      <c r="F8961" s="480"/>
      <c r="G8961" s="221" t="s">
        <v>74</v>
      </c>
      <c r="H8961" s="221" t="str" cm="1">
        <f t="array" ref="H8961">IFERROR(INDEX(INVESTOR_LIST[INVESTOR NAME],MATCH(I8961,INVESTOR_LIST[INVESTOR CODE],0),)," ")</f>
        <v xml:space="preserve"> </v>
      </c>
      <c r="I8961" s="145"/>
      <c r="J8961" s="146" t="s">
        <v>190</v>
      </c>
      <c r="K8961" s="219"/>
      <c r="L8961" s="219">
        <v>444302.81</v>
      </c>
    </row>
    <row r="8962" spans="1:12" x14ac:dyDescent="0.2">
      <c r="A8962" s="168">
        <v>2023</v>
      </c>
      <c r="B8962" s="168">
        <v>6</v>
      </c>
      <c r="C8962" s="168">
        <v>13</v>
      </c>
      <c r="D8962" s="141">
        <f t="shared" ref="D8962:D8963" si="998">DATE(A8962,B8962,C8962)</f>
        <v>45090</v>
      </c>
      <c r="E8962" s="275">
        <f t="shared" ref="E8962:E8963" si="999">DATE(A8962,B8962,C8962)</f>
        <v>45090</v>
      </c>
      <c r="F8962" s="479" t="s">
        <v>1500</v>
      </c>
      <c r="G8962" s="220" t="s">
        <v>74</v>
      </c>
      <c r="H8962" s="220" t="str" cm="1">
        <f t="array" ref="H8962">IFERROR(INDEX(INVESTOR_LIST[INVESTOR NAME],MATCH(I8962,INVESTOR_LIST[INVESTOR CODE],0),)," ")</f>
        <v xml:space="preserve"> </v>
      </c>
      <c r="I8962" s="142"/>
      <c r="J8962" s="143" t="s">
        <v>52</v>
      </c>
      <c r="K8962" s="226">
        <v>5117422.03</v>
      </c>
      <c r="L8962" s="226"/>
    </row>
    <row r="8963" spans="1:12" x14ac:dyDescent="0.2">
      <c r="A8963" s="163">
        <v>2023</v>
      </c>
      <c r="B8963" s="163">
        <v>6</v>
      </c>
      <c r="C8963" s="163">
        <v>13</v>
      </c>
      <c r="D8963" s="280">
        <f t="shared" si="998"/>
        <v>45090</v>
      </c>
      <c r="E8963" s="281">
        <f t="shared" si="999"/>
        <v>45090</v>
      </c>
      <c r="F8963" s="480"/>
      <c r="G8963" s="221" t="s">
        <v>74</v>
      </c>
      <c r="H8963" s="221" t="str" cm="1">
        <f t="array" ref="H8963">IFERROR(INDEX(INVESTOR_LIST[INVESTOR NAME],MATCH(I8963,INVESTOR_LIST[INVESTOR CODE],0),)," ")</f>
        <v xml:space="preserve"> </v>
      </c>
      <c r="I8963" s="145"/>
      <c r="J8963" s="146" t="s">
        <v>190</v>
      </c>
      <c r="K8963" s="219"/>
      <c r="L8963" s="219">
        <v>5117422.03</v>
      </c>
    </row>
    <row r="8964" spans="1:12" ht="10.15" customHeight="1" x14ac:dyDescent="0.2">
      <c r="A8964" s="168">
        <v>2023</v>
      </c>
      <c r="B8964" s="168">
        <v>6</v>
      </c>
      <c r="C8964" s="168">
        <v>13</v>
      </c>
      <c r="D8964" s="141">
        <f t="shared" si="996"/>
        <v>45090</v>
      </c>
      <c r="E8964" s="275">
        <f t="shared" si="997"/>
        <v>45090</v>
      </c>
      <c r="F8964" s="479" t="s">
        <v>964</v>
      </c>
      <c r="G8964" s="220" t="s">
        <v>74</v>
      </c>
      <c r="H8964" s="142" t="str" cm="1">
        <f t="array" ref="H8964">IFERROR(INDEX(INVESTOR_LIST[INVESTOR NAME],MATCH(I8964,INVESTOR_LIST[INVESTOR CODE],0),)," ")</f>
        <v>MD. BABUL MIAH</v>
      </c>
      <c r="I8964" s="142" t="s">
        <v>1375</v>
      </c>
      <c r="J8964" s="168" t="s">
        <v>52</v>
      </c>
      <c r="K8964" s="226">
        <v>5000</v>
      </c>
      <c r="L8964" s="226"/>
    </row>
    <row r="8965" spans="1:12" ht="10.15" customHeight="1" x14ac:dyDescent="0.2">
      <c r="A8965" s="133">
        <v>2023</v>
      </c>
      <c r="B8965" s="133">
        <v>6</v>
      </c>
      <c r="C8965" s="133">
        <v>13</v>
      </c>
      <c r="D8965" s="141">
        <f t="shared" si="996"/>
        <v>45090</v>
      </c>
      <c r="E8965" s="275">
        <f t="shared" si="997"/>
        <v>45090</v>
      </c>
      <c r="F8965" s="481"/>
      <c r="G8965" s="174" t="s">
        <v>74</v>
      </c>
      <c r="H8965" s="148" t="str" cm="1">
        <f t="array" ref="H8965">IFERROR(INDEX(INVESTOR_LIST[INVESTOR NAME],MATCH(I8965,INVESTOR_LIST[INVESTOR CODE],0),)," ")</f>
        <v>MD. BABUL MIAH</v>
      </c>
      <c r="I8965" s="148" t="s">
        <v>1375</v>
      </c>
      <c r="J8965" s="133" t="s">
        <v>13</v>
      </c>
      <c r="K8965" s="218"/>
      <c r="L8965" s="218">
        <v>4020</v>
      </c>
    </row>
    <row r="8966" spans="1:12" ht="10.15" customHeight="1" x14ac:dyDescent="0.2">
      <c r="A8966" s="163">
        <v>2023</v>
      </c>
      <c r="B8966" s="163">
        <v>6</v>
      </c>
      <c r="C8966" s="163">
        <v>13</v>
      </c>
      <c r="D8966" s="280">
        <f t="shared" si="996"/>
        <v>45090</v>
      </c>
      <c r="E8966" s="281">
        <f t="shared" si="997"/>
        <v>45090</v>
      </c>
      <c r="F8966" s="480"/>
      <c r="G8966" s="221" t="s">
        <v>74</v>
      </c>
      <c r="H8966" s="145" t="str" cm="1">
        <f t="array" ref="H8966">IFERROR(INDEX(INVESTOR_LIST[INVESTOR NAME],MATCH(I8966,INVESTOR_LIST[INVESTOR CODE],0),)," ")</f>
        <v>MD. BABUL MIAH</v>
      </c>
      <c r="I8966" s="145" t="s">
        <v>1375</v>
      </c>
      <c r="J8966" s="163" t="s">
        <v>53</v>
      </c>
      <c r="K8966" s="219"/>
      <c r="L8966" s="219">
        <v>980</v>
      </c>
    </row>
    <row r="8967" spans="1:12" x14ac:dyDescent="0.2">
      <c r="A8967" s="168">
        <v>2023</v>
      </c>
      <c r="B8967" s="133">
        <v>6</v>
      </c>
      <c r="C8967" s="133">
        <v>14</v>
      </c>
      <c r="D8967" s="141">
        <f t="shared" si="996"/>
        <v>45091</v>
      </c>
      <c r="E8967" s="275">
        <f t="shared" si="997"/>
        <v>45091</v>
      </c>
      <c r="F8967" s="479" t="s">
        <v>1699</v>
      </c>
      <c r="G8967" s="220" t="s">
        <v>74</v>
      </c>
      <c r="H8967" s="220" t="str" cm="1">
        <f t="array" ref="H8967">IFERROR(INDEX(INVESTOR_LIST[INVESTOR NAME],MATCH(I8967,INVESTOR_LIST[INVESTOR CODE],0),)," ")</f>
        <v xml:space="preserve"> </v>
      </c>
      <c r="I8967" s="142" t="s">
        <v>348</v>
      </c>
      <c r="J8967" s="143" t="s">
        <v>184</v>
      </c>
      <c r="K8967" s="226">
        <v>5000000</v>
      </c>
      <c r="L8967" s="226"/>
    </row>
    <row r="8968" spans="1:12" x14ac:dyDescent="0.2">
      <c r="A8968" s="133">
        <v>2023</v>
      </c>
      <c r="B8968" s="133">
        <v>6</v>
      </c>
      <c r="C8968" s="133">
        <v>14</v>
      </c>
      <c r="D8968" s="141">
        <f t="shared" si="996"/>
        <v>45091</v>
      </c>
      <c r="E8968" s="275">
        <f t="shared" si="997"/>
        <v>45091</v>
      </c>
      <c r="F8968" s="481"/>
      <c r="G8968" s="174" t="s">
        <v>74</v>
      </c>
      <c r="H8968" s="174"/>
      <c r="J8968" s="149" t="s">
        <v>61</v>
      </c>
      <c r="K8968" s="218">
        <v>115</v>
      </c>
      <c r="L8968" s="218"/>
    </row>
    <row r="8969" spans="1:12" x14ac:dyDescent="0.2">
      <c r="A8969" s="163">
        <v>2023</v>
      </c>
      <c r="B8969" s="163">
        <v>6</v>
      </c>
      <c r="C8969" s="163">
        <v>14</v>
      </c>
      <c r="D8969" s="280">
        <f t="shared" si="996"/>
        <v>45091</v>
      </c>
      <c r="E8969" s="281">
        <f t="shared" si="997"/>
        <v>45091</v>
      </c>
      <c r="F8969" s="480"/>
      <c r="G8969" s="221" t="s">
        <v>74</v>
      </c>
      <c r="H8969" s="221" t="str" cm="1">
        <f t="array" ref="H8969">IFERROR(INDEX(INVESTOR_LIST[INVESTOR NAME],MATCH(I8969,INVESTOR_LIST[INVESTOR CODE],0),)," ")</f>
        <v xml:space="preserve"> </v>
      </c>
      <c r="I8969" s="145" t="s">
        <v>348</v>
      </c>
      <c r="J8969" s="146" t="s">
        <v>52</v>
      </c>
      <c r="K8969" s="219"/>
      <c r="L8969" s="219">
        <v>5000115</v>
      </c>
    </row>
    <row r="8970" spans="1:12" ht="10.15" customHeight="1" x14ac:dyDescent="0.2">
      <c r="A8970" s="168">
        <v>2023</v>
      </c>
      <c r="B8970" s="168">
        <v>6</v>
      </c>
      <c r="C8970" s="168">
        <v>15</v>
      </c>
      <c r="D8970" s="141">
        <f t="shared" si="996"/>
        <v>45092</v>
      </c>
      <c r="E8970" s="275">
        <f t="shared" si="997"/>
        <v>45092</v>
      </c>
      <c r="F8970" s="479" t="s">
        <v>1319</v>
      </c>
      <c r="G8970" s="220" t="s">
        <v>74</v>
      </c>
      <c r="H8970" s="142" t="str" cm="1">
        <f t="array" ref="H8970">IFERROR(INDEX(INVESTOR_LIST[INVESTOR NAME],MATCH(I8970,INVESTOR_LIST[INVESTOR CODE],0),)," ")</f>
        <v xml:space="preserve"> </v>
      </c>
      <c r="I8970" s="142"/>
      <c r="J8970" s="168" t="s">
        <v>52</v>
      </c>
      <c r="K8970" s="226">
        <v>3000</v>
      </c>
      <c r="L8970" s="226"/>
    </row>
    <row r="8971" spans="1:12" ht="10.15" customHeight="1" x14ac:dyDescent="0.2">
      <c r="A8971" s="133">
        <v>2023</v>
      </c>
      <c r="B8971" s="133">
        <v>6</v>
      </c>
      <c r="C8971" s="133">
        <v>15</v>
      </c>
      <c r="D8971" s="141">
        <f t="shared" si="996"/>
        <v>45092</v>
      </c>
      <c r="E8971" s="275">
        <f t="shared" si="997"/>
        <v>45092</v>
      </c>
      <c r="F8971" s="481"/>
      <c r="G8971" s="174" t="s">
        <v>74</v>
      </c>
      <c r="H8971" s="148" t="str" cm="1">
        <f t="array" ref="H8971">IFERROR(INDEX(INVESTOR_LIST[INVESTOR NAME],MATCH(I8971,INVESTOR_LIST[INVESTOR CODE],0),)," ")</f>
        <v xml:space="preserve"> </v>
      </c>
      <c r="J8971" s="133" t="s">
        <v>13</v>
      </c>
      <c r="K8971" s="218"/>
      <c r="L8971" s="218">
        <v>2410</v>
      </c>
    </row>
    <row r="8972" spans="1:12" ht="10.15" customHeight="1" x14ac:dyDescent="0.2">
      <c r="A8972" s="163">
        <v>2023</v>
      </c>
      <c r="B8972" s="163">
        <v>6</v>
      </c>
      <c r="C8972" s="163">
        <v>15</v>
      </c>
      <c r="D8972" s="280">
        <f t="shared" si="996"/>
        <v>45092</v>
      </c>
      <c r="E8972" s="281">
        <f t="shared" si="997"/>
        <v>45092</v>
      </c>
      <c r="F8972" s="480"/>
      <c r="G8972" s="221" t="s">
        <v>74</v>
      </c>
      <c r="H8972" s="145" t="str" cm="1">
        <f t="array" ref="H8972">IFERROR(INDEX(INVESTOR_LIST[INVESTOR NAME],MATCH(I8972,INVESTOR_LIST[INVESTOR CODE],0),)," ")</f>
        <v xml:space="preserve"> </v>
      </c>
      <c r="I8972" s="145"/>
      <c r="J8972" s="163" t="s">
        <v>53</v>
      </c>
      <c r="K8972" s="219"/>
      <c r="L8972" s="219">
        <v>590</v>
      </c>
    </row>
    <row r="8973" spans="1:12" ht="10.15" customHeight="1" x14ac:dyDescent="0.2">
      <c r="A8973" s="168">
        <v>2023</v>
      </c>
      <c r="B8973" s="168">
        <v>6</v>
      </c>
      <c r="C8973" s="168">
        <v>15</v>
      </c>
      <c r="D8973" s="141">
        <f>DATE(A8973,B8973,C8973)</f>
        <v>45092</v>
      </c>
      <c r="E8973" s="275">
        <f>DATE(A8973,B8973,C8973)</f>
        <v>45092</v>
      </c>
      <c r="F8973" s="479" t="s">
        <v>1315</v>
      </c>
      <c r="G8973" s="220" t="s">
        <v>74</v>
      </c>
      <c r="H8973" s="142" t="str" cm="1">
        <f t="array" ref="H8973">IFERROR(INDEX(INVESTOR_LIST[INVESTOR NAME],MATCH(I8973,INVESTOR_LIST[INVESTOR CODE],0),)," ")</f>
        <v>MOHAMMED HAFIZ UDDIN</v>
      </c>
      <c r="I8973" s="142" t="s">
        <v>603</v>
      </c>
      <c r="J8973" s="168" t="s">
        <v>13</v>
      </c>
      <c r="K8973" s="218">
        <v>162110</v>
      </c>
      <c r="L8973" s="226"/>
    </row>
    <row r="8974" spans="1:12" ht="10.15" customHeight="1" x14ac:dyDescent="0.2">
      <c r="A8974" s="133">
        <v>2023</v>
      </c>
      <c r="B8974" s="133">
        <v>6</v>
      </c>
      <c r="C8974" s="133">
        <v>15</v>
      </c>
      <c r="D8974" s="141">
        <f t="shared" ref="D8974:D8975" si="1000">DATE(A8974,B8974,C8974)</f>
        <v>45092</v>
      </c>
      <c r="E8974" s="275">
        <f t="shared" ref="E8974:E8975" si="1001">DATE(A8974,B8974,C8974)</f>
        <v>45092</v>
      </c>
      <c r="F8974" s="481"/>
      <c r="G8974" s="174" t="s">
        <v>74</v>
      </c>
      <c r="H8974" s="148" t="str" cm="1">
        <f t="array" ref="H8974">IFERROR(INDEX(INVESTOR_LIST[INVESTOR NAME],MATCH(I8974,INVESTOR_LIST[INVESTOR CODE],0),)," ")</f>
        <v>MOHAMMED HAFIZ UDDIN</v>
      </c>
      <c r="I8974" s="148" t="s">
        <v>603</v>
      </c>
      <c r="J8974" s="133" t="s">
        <v>53</v>
      </c>
      <c r="K8974" s="218">
        <v>39684.53</v>
      </c>
      <c r="L8974" s="133"/>
    </row>
    <row r="8975" spans="1:12" ht="10.15" customHeight="1" x14ac:dyDescent="0.2">
      <c r="A8975" s="163">
        <v>2023</v>
      </c>
      <c r="B8975" s="163">
        <v>6</v>
      </c>
      <c r="C8975" s="163">
        <v>15</v>
      </c>
      <c r="D8975" s="280">
        <f t="shared" si="1000"/>
        <v>45092</v>
      </c>
      <c r="E8975" s="281">
        <f t="shared" si="1001"/>
        <v>45092</v>
      </c>
      <c r="F8975" s="480"/>
      <c r="G8975" s="221" t="s">
        <v>74</v>
      </c>
      <c r="H8975" s="145" t="str" cm="1">
        <f t="array" ref="H8975">IFERROR(INDEX(INVESTOR_LIST[INVESTOR NAME],MATCH(I8975,INVESTOR_LIST[INVESTOR CODE],0),)," ")</f>
        <v>MOHAMMED HAFIZ UDDIN</v>
      </c>
      <c r="I8975" s="145" t="s">
        <v>603</v>
      </c>
      <c r="J8975" s="163" t="s">
        <v>52</v>
      </c>
      <c r="K8975" s="219"/>
      <c r="L8975" s="219">
        <v>201794.53</v>
      </c>
    </row>
    <row r="8976" spans="1:12" ht="10.15" customHeight="1" x14ac:dyDescent="0.2">
      <c r="A8976" s="168">
        <v>2023</v>
      </c>
      <c r="B8976" s="168">
        <v>6</v>
      </c>
      <c r="C8976" s="168">
        <v>15</v>
      </c>
      <c r="D8976" s="141">
        <f>DATE(A8976,B8976,C8976)</f>
        <v>45092</v>
      </c>
      <c r="E8976" s="275">
        <f>DATE(A8976,B8976,C8976)</f>
        <v>45092</v>
      </c>
      <c r="F8976" s="479" t="s">
        <v>1315</v>
      </c>
      <c r="G8976" s="220" t="s">
        <v>74</v>
      </c>
      <c r="H8976" s="142" t="str" cm="1">
        <f t="array" ref="H8976">IFERROR(INDEX(INVESTOR_LIST[INVESTOR NAME],MATCH(I8976,INVESTOR_LIST[INVESTOR CODE],0),)," ")</f>
        <v>MD MAHDI HASAN</v>
      </c>
      <c r="I8976" s="142" t="s">
        <v>630</v>
      </c>
      <c r="J8976" s="168" t="s">
        <v>13</v>
      </c>
      <c r="K8976" s="218">
        <v>4011610</v>
      </c>
      <c r="L8976" s="226"/>
    </row>
    <row r="8977" spans="1:17" ht="10.15" customHeight="1" x14ac:dyDescent="0.2">
      <c r="A8977" s="133">
        <v>2023</v>
      </c>
      <c r="B8977" s="133">
        <v>6</v>
      </c>
      <c r="C8977" s="133">
        <v>15</v>
      </c>
      <c r="D8977" s="141">
        <f t="shared" ref="D8977:D8985" si="1002">DATE(A8977,B8977,C8977)</f>
        <v>45092</v>
      </c>
      <c r="E8977" s="275">
        <f t="shared" ref="E8977:E8985" si="1003">DATE(A8977,B8977,C8977)</f>
        <v>45092</v>
      </c>
      <c r="F8977" s="481"/>
      <c r="G8977" s="174" t="s">
        <v>74</v>
      </c>
      <c r="H8977" s="148" t="str" cm="1">
        <f t="array" ref="H8977">IFERROR(INDEX(INVESTOR_LIST[INVESTOR NAME],MATCH(I8977,INVESTOR_LIST[INVESTOR CODE],0),)," ")</f>
        <v>MD MAHDI HASAN</v>
      </c>
      <c r="I8977" s="148" t="s">
        <v>630</v>
      </c>
      <c r="J8977" s="133" t="s">
        <v>53</v>
      </c>
      <c r="K8977" s="218">
        <v>982042.12999999989</v>
      </c>
      <c r="L8977" s="133"/>
    </row>
    <row r="8978" spans="1:17" ht="10.15" customHeight="1" x14ac:dyDescent="0.2">
      <c r="A8978" s="163">
        <v>2023</v>
      </c>
      <c r="B8978" s="163">
        <v>6</v>
      </c>
      <c r="C8978" s="163">
        <v>15</v>
      </c>
      <c r="D8978" s="280">
        <f t="shared" si="1002"/>
        <v>45092</v>
      </c>
      <c r="E8978" s="281">
        <f t="shared" si="1003"/>
        <v>45092</v>
      </c>
      <c r="F8978" s="480"/>
      <c r="G8978" s="221" t="s">
        <v>74</v>
      </c>
      <c r="H8978" s="145" t="str" cm="1">
        <f t="array" ref="H8978">IFERROR(INDEX(INVESTOR_LIST[INVESTOR NAME],MATCH(I8978,INVESTOR_LIST[INVESTOR CODE],0),)," ")</f>
        <v>MD MAHDI HASAN</v>
      </c>
      <c r="I8978" s="145" t="s">
        <v>630</v>
      </c>
      <c r="J8978" s="163" t="s">
        <v>52</v>
      </c>
      <c r="K8978" s="219"/>
      <c r="L8978" s="219">
        <v>4993652.13</v>
      </c>
    </row>
    <row r="8979" spans="1:17" x14ac:dyDescent="0.2">
      <c r="A8979" s="133">
        <v>2023</v>
      </c>
      <c r="B8979" s="133">
        <v>6</v>
      </c>
      <c r="C8979" s="133">
        <v>15</v>
      </c>
      <c r="D8979" s="141">
        <f t="shared" si="1002"/>
        <v>45092</v>
      </c>
      <c r="E8979" s="275">
        <f t="shared" si="1003"/>
        <v>45092</v>
      </c>
      <c r="F8979" s="481" t="s">
        <v>1703</v>
      </c>
      <c r="G8979" s="174" t="s">
        <v>74</v>
      </c>
      <c r="H8979" s="174" t="str" cm="1">
        <f t="array" ref="H8979">IFERROR(INDEX(INVESTOR_LIST[INVESTOR NAME],MATCH(I8979,INVESTOR_LIST[INVESTOR CODE],0),)," ")</f>
        <v xml:space="preserve"> </v>
      </c>
      <c r="I8979" s="148" t="s">
        <v>348</v>
      </c>
      <c r="J8979" s="149" t="s">
        <v>163</v>
      </c>
      <c r="K8979" s="218">
        <v>1575</v>
      </c>
      <c r="L8979" s="218"/>
      <c r="M8979" s="147"/>
      <c r="Q8979" s="133" t="s">
        <v>348</v>
      </c>
    </row>
    <row r="8980" spans="1:17" x14ac:dyDescent="0.2">
      <c r="A8980" s="163">
        <v>2023</v>
      </c>
      <c r="B8980" s="163">
        <v>6</v>
      </c>
      <c r="C8980" s="163">
        <v>15</v>
      </c>
      <c r="D8980" s="141">
        <f t="shared" si="1002"/>
        <v>45092</v>
      </c>
      <c r="E8980" s="275">
        <f t="shared" si="1003"/>
        <v>45092</v>
      </c>
      <c r="F8980" s="480"/>
      <c r="G8980" s="221" t="s">
        <v>74</v>
      </c>
      <c r="H8980" s="221" t="str" cm="1">
        <f t="array" ref="H8980">IFERROR(INDEX(INVESTOR_LIST[INVESTOR NAME],MATCH(I8980,INVESTOR_LIST[INVESTOR CODE],0),)," ")</f>
        <v xml:space="preserve"> </v>
      </c>
      <c r="I8980" s="145"/>
      <c r="J8980" s="146" t="s">
        <v>52</v>
      </c>
      <c r="K8980" s="219"/>
      <c r="L8980" s="219">
        <v>1575</v>
      </c>
      <c r="M8980" s="147"/>
      <c r="Q8980" s="133" t="s">
        <v>348</v>
      </c>
    </row>
    <row r="8981" spans="1:17" ht="10.15" customHeight="1" x14ac:dyDescent="0.2">
      <c r="A8981" s="133">
        <v>2023</v>
      </c>
      <c r="B8981" s="133">
        <v>6</v>
      </c>
      <c r="C8981" s="133">
        <v>15</v>
      </c>
      <c r="D8981" s="141">
        <f t="shared" si="1002"/>
        <v>45092</v>
      </c>
      <c r="E8981" s="275">
        <f t="shared" si="1003"/>
        <v>45092</v>
      </c>
      <c r="F8981" s="479" t="s">
        <v>1701</v>
      </c>
      <c r="G8981" s="220" t="s">
        <v>74</v>
      </c>
      <c r="H8981" s="220"/>
      <c r="I8981" s="142"/>
      <c r="J8981" s="143" t="s">
        <v>96</v>
      </c>
      <c r="K8981" s="226">
        <v>1000000</v>
      </c>
      <c r="L8981" s="226"/>
    </row>
    <row r="8982" spans="1:17" ht="10.15" customHeight="1" x14ac:dyDescent="0.2">
      <c r="A8982" s="133">
        <v>2023</v>
      </c>
      <c r="B8982" s="133">
        <v>6</v>
      </c>
      <c r="C8982" s="133">
        <v>15</v>
      </c>
      <c r="D8982" s="141">
        <f t="shared" si="1002"/>
        <v>45092</v>
      </c>
      <c r="E8982" s="275">
        <f t="shared" si="1003"/>
        <v>45092</v>
      </c>
      <c r="F8982" s="481"/>
      <c r="G8982" s="174" t="s">
        <v>74</v>
      </c>
      <c r="H8982" s="174" t="str" cm="1">
        <f t="array" ref="H8982">IFERROR(INDEX(INVESTOR_LIST[INVESTOR NAME],MATCH(I8982,INVESTOR_LIST[INVESTOR CODE],0),)," ")</f>
        <v xml:space="preserve"> </v>
      </c>
      <c r="I8982" s="148" t="s">
        <v>348</v>
      </c>
      <c r="J8982" s="149" t="s">
        <v>52</v>
      </c>
      <c r="K8982" s="218">
        <v>18875</v>
      </c>
      <c r="L8982" s="218"/>
    </row>
    <row r="8983" spans="1:17" ht="10.15" customHeight="1" x14ac:dyDescent="0.2">
      <c r="A8983" s="133">
        <v>2023</v>
      </c>
      <c r="B8983" s="133">
        <v>6</v>
      </c>
      <c r="C8983" s="133">
        <v>15</v>
      </c>
      <c r="D8983" s="141">
        <f t="shared" ref="D8983" si="1004">DATE(A8983,B8983,C8983)</f>
        <v>45092</v>
      </c>
      <c r="E8983" s="275">
        <f t="shared" ref="E8983" si="1005">DATE(A8983,B8983,C8983)</f>
        <v>45092</v>
      </c>
      <c r="F8983" s="481"/>
      <c r="G8983" s="174" t="s">
        <v>74</v>
      </c>
      <c r="H8983" s="174"/>
      <c r="J8983" s="149" t="s">
        <v>61</v>
      </c>
      <c r="K8983" s="218">
        <v>500</v>
      </c>
      <c r="L8983" s="218"/>
    </row>
    <row r="8984" spans="1:17" ht="10.15" customHeight="1" x14ac:dyDescent="0.2">
      <c r="A8984" s="133">
        <v>2023</v>
      </c>
      <c r="B8984" s="133">
        <v>6</v>
      </c>
      <c r="C8984" s="133">
        <v>15</v>
      </c>
      <c r="D8984" s="141">
        <f t="shared" si="1002"/>
        <v>45092</v>
      </c>
      <c r="E8984" s="275">
        <f t="shared" si="1003"/>
        <v>45092</v>
      </c>
      <c r="F8984" s="481"/>
      <c r="G8984" s="174" t="s">
        <v>74</v>
      </c>
      <c r="H8984" s="174" t="str" cm="1">
        <f t="array" ref="H8984">IFERROR(INDEX(INVESTOR_LIST[INVESTOR NAME],MATCH(I8984,INVESTOR_LIST[INVESTOR CODE],0),)," ")</f>
        <v xml:space="preserve"> </v>
      </c>
      <c r="J8984" s="149" t="s">
        <v>133</v>
      </c>
      <c r="K8984" s="218"/>
      <c r="L8984" s="218">
        <v>19375</v>
      </c>
    </row>
    <row r="8985" spans="1:17" ht="10.15" customHeight="1" x14ac:dyDescent="0.2">
      <c r="A8985" s="163">
        <v>2023</v>
      </c>
      <c r="B8985" s="163">
        <v>6</v>
      </c>
      <c r="C8985" s="163">
        <v>15</v>
      </c>
      <c r="D8985" s="141">
        <f t="shared" si="1002"/>
        <v>45092</v>
      </c>
      <c r="E8985" s="275">
        <f t="shared" si="1003"/>
        <v>45092</v>
      </c>
      <c r="F8985" s="480"/>
      <c r="G8985" s="221" t="s">
        <v>74</v>
      </c>
      <c r="H8985" s="221"/>
      <c r="I8985" s="145"/>
      <c r="J8985" s="146" t="s">
        <v>96</v>
      </c>
      <c r="K8985" s="219"/>
      <c r="L8985" s="219">
        <v>1000000</v>
      </c>
    </row>
    <row r="8986" spans="1:17" ht="10.15" customHeight="1" x14ac:dyDescent="0.2">
      <c r="A8986" s="133">
        <v>2023</v>
      </c>
      <c r="B8986" s="133">
        <v>6</v>
      </c>
      <c r="C8986" s="168">
        <v>15</v>
      </c>
      <c r="D8986" s="141">
        <f t="shared" ref="D8986:D8996" si="1006">DATE(A8986,B8986,C8986)</f>
        <v>45092</v>
      </c>
      <c r="E8986" s="275">
        <f t="shared" ref="E8986:E8996" si="1007">DATE(A8986,B8986,C8986)</f>
        <v>45092</v>
      </c>
      <c r="F8986" s="479" t="s">
        <v>1702</v>
      </c>
      <c r="G8986" s="220" t="s">
        <v>74</v>
      </c>
      <c r="H8986" s="220"/>
      <c r="I8986" s="142"/>
      <c r="J8986" s="143" t="s">
        <v>96</v>
      </c>
      <c r="K8986" s="226">
        <v>1000000</v>
      </c>
      <c r="L8986" s="226"/>
    </row>
    <row r="8987" spans="1:17" ht="10.15" customHeight="1" x14ac:dyDescent="0.2">
      <c r="A8987" s="133">
        <v>2023</v>
      </c>
      <c r="B8987" s="133">
        <v>6</v>
      </c>
      <c r="C8987" s="133">
        <v>15</v>
      </c>
      <c r="D8987" s="141">
        <f t="shared" si="1006"/>
        <v>45092</v>
      </c>
      <c r="E8987" s="275">
        <f t="shared" si="1007"/>
        <v>45092</v>
      </c>
      <c r="F8987" s="481"/>
      <c r="G8987" s="174" t="s">
        <v>74</v>
      </c>
      <c r="H8987" s="174" t="str" cm="1">
        <f t="array" ref="H8987">IFERROR(INDEX(INVESTOR_LIST[INVESTOR NAME],MATCH(I8987,INVESTOR_LIST[INVESTOR CODE],0),)," ")</f>
        <v xml:space="preserve"> </v>
      </c>
      <c r="I8987" s="148" t="s">
        <v>348</v>
      </c>
      <c r="J8987" s="149" t="s">
        <v>52</v>
      </c>
      <c r="K8987" s="218">
        <v>18875</v>
      </c>
      <c r="L8987" s="218"/>
    </row>
    <row r="8988" spans="1:17" ht="10.15" customHeight="1" x14ac:dyDescent="0.2">
      <c r="A8988" s="133">
        <v>2023</v>
      </c>
      <c r="B8988" s="133">
        <v>6</v>
      </c>
      <c r="C8988" s="133">
        <v>15</v>
      </c>
      <c r="D8988" s="141">
        <f t="shared" ref="D8988" si="1008">DATE(A8988,B8988,C8988)</f>
        <v>45092</v>
      </c>
      <c r="E8988" s="275">
        <f t="shared" ref="E8988" si="1009">DATE(A8988,B8988,C8988)</f>
        <v>45092</v>
      </c>
      <c r="F8988" s="481"/>
      <c r="G8988" s="174" t="s">
        <v>74</v>
      </c>
      <c r="H8988" s="174"/>
      <c r="J8988" s="149" t="s">
        <v>61</v>
      </c>
      <c r="K8988" s="218">
        <v>500</v>
      </c>
      <c r="L8988" s="218"/>
    </row>
    <row r="8989" spans="1:17" ht="10.15" customHeight="1" x14ac:dyDescent="0.2">
      <c r="A8989" s="133">
        <v>2023</v>
      </c>
      <c r="B8989" s="133">
        <v>6</v>
      </c>
      <c r="C8989" s="133">
        <v>15</v>
      </c>
      <c r="D8989" s="141">
        <f t="shared" si="1006"/>
        <v>45092</v>
      </c>
      <c r="E8989" s="275">
        <f t="shared" si="1007"/>
        <v>45092</v>
      </c>
      <c r="F8989" s="481"/>
      <c r="G8989" s="174" t="s">
        <v>74</v>
      </c>
      <c r="H8989" s="174" t="str" cm="1">
        <f t="array" ref="H8989">IFERROR(INDEX(INVESTOR_LIST[INVESTOR NAME],MATCH(I8989,INVESTOR_LIST[INVESTOR CODE],0),)," ")</f>
        <v xml:space="preserve"> </v>
      </c>
      <c r="J8989" s="149" t="s">
        <v>133</v>
      </c>
      <c r="K8989" s="218"/>
      <c r="L8989" s="218">
        <v>19375</v>
      </c>
    </row>
    <row r="8990" spans="1:17" ht="10.15" customHeight="1" x14ac:dyDescent="0.2">
      <c r="A8990" s="163">
        <v>2023</v>
      </c>
      <c r="B8990" s="163">
        <v>6</v>
      </c>
      <c r="C8990" s="163">
        <v>15</v>
      </c>
      <c r="D8990" s="280">
        <f t="shared" si="1006"/>
        <v>45092</v>
      </c>
      <c r="E8990" s="281">
        <f t="shared" si="1007"/>
        <v>45092</v>
      </c>
      <c r="F8990" s="480"/>
      <c r="G8990" s="221" t="s">
        <v>74</v>
      </c>
      <c r="H8990" s="221"/>
      <c r="I8990" s="145"/>
      <c r="J8990" s="146" t="s">
        <v>96</v>
      </c>
      <c r="K8990" s="219"/>
      <c r="L8990" s="219">
        <v>1000000</v>
      </c>
    </row>
    <row r="8991" spans="1:17" x14ac:dyDescent="0.2">
      <c r="A8991" s="133">
        <v>2023</v>
      </c>
      <c r="B8991" s="133">
        <v>6</v>
      </c>
      <c r="C8991" s="133">
        <v>15</v>
      </c>
      <c r="D8991" s="141">
        <f t="shared" si="1006"/>
        <v>45092</v>
      </c>
      <c r="E8991" s="275">
        <f t="shared" si="1007"/>
        <v>45092</v>
      </c>
      <c r="F8991" s="481" t="s">
        <v>982</v>
      </c>
      <c r="G8991" s="174" t="s">
        <v>74</v>
      </c>
      <c r="H8991" s="174" t="str" cm="1">
        <f t="array" ref="H8991">IFERROR(INDEX(INVESTOR_LIST[INVESTOR NAME],MATCH(I8991,INVESTOR_LIST[INVESTOR CODE],0),)," ")</f>
        <v xml:space="preserve"> </v>
      </c>
      <c r="I8991" s="148" t="s">
        <v>348</v>
      </c>
      <c r="J8991" s="149" t="s">
        <v>163</v>
      </c>
      <c r="K8991" s="218">
        <v>8000</v>
      </c>
      <c r="L8991" s="218"/>
    </row>
    <row r="8992" spans="1:17" x14ac:dyDescent="0.2">
      <c r="A8992" s="163">
        <v>2023</v>
      </c>
      <c r="B8992" s="163">
        <v>6</v>
      </c>
      <c r="C8992" s="163">
        <v>15</v>
      </c>
      <c r="D8992" s="141">
        <f t="shared" si="1006"/>
        <v>45092</v>
      </c>
      <c r="E8992" s="275">
        <f t="shared" si="1007"/>
        <v>45092</v>
      </c>
      <c r="F8992" s="480"/>
      <c r="G8992" s="221" t="s">
        <v>74</v>
      </c>
      <c r="H8992" s="221" t="str" cm="1">
        <f t="array" ref="H8992">IFERROR(INDEX(INVESTOR_LIST[INVESTOR NAME],MATCH(I8992,INVESTOR_LIST[INVESTOR CODE],0),)," ")</f>
        <v xml:space="preserve"> </v>
      </c>
      <c r="I8992" s="145" t="s">
        <v>348</v>
      </c>
      <c r="J8992" s="146" t="s">
        <v>52</v>
      </c>
      <c r="K8992" s="219"/>
      <c r="L8992" s="219">
        <v>8000</v>
      </c>
    </row>
    <row r="8993" spans="1:14" x14ac:dyDescent="0.2">
      <c r="A8993" s="133">
        <v>2023</v>
      </c>
      <c r="B8993" s="133">
        <v>6</v>
      </c>
      <c r="C8993" s="133">
        <v>15</v>
      </c>
      <c r="D8993" s="141">
        <f t="shared" si="1006"/>
        <v>45092</v>
      </c>
      <c r="E8993" s="275">
        <f t="shared" si="1007"/>
        <v>45092</v>
      </c>
      <c r="F8993" s="481" t="s">
        <v>1499</v>
      </c>
      <c r="G8993" s="174" t="s">
        <v>94</v>
      </c>
      <c r="H8993" s="174" t="str" cm="1">
        <f t="array" ref="H8993">IFERROR(INDEX(INVESTOR_LIST[INVESTOR NAME],MATCH(I8993,INVESTOR_LIST[INVESTOR CODE],0),)," ")</f>
        <v xml:space="preserve"> </v>
      </c>
      <c r="J8993" s="149" t="s">
        <v>190</v>
      </c>
      <c r="K8993" s="218">
        <v>158693.14000000001</v>
      </c>
      <c r="L8993" s="218"/>
      <c r="M8993" s="160"/>
    </row>
    <row r="8994" spans="1:14" x14ac:dyDescent="0.2">
      <c r="A8994" s="133">
        <v>2023</v>
      </c>
      <c r="B8994" s="133">
        <v>6</v>
      </c>
      <c r="C8994" s="133">
        <v>15</v>
      </c>
      <c r="D8994" s="141">
        <f t="shared" si="1006"/>
        <v>45092</v>
      </c>
      <c r="E8994" s="275">
        <f t="shared" si="1007"/>
        <v>45092</v>
      </c>
      <c r="F8994" s="481"/>
      <c r="G8994" s="174" t="s">
        <v>94</v>
      </c>
      <c r="H8994" s="174"/>
      <c r="J8994" s="149" t="s">
        <v>80</v>
      </c>
      <c r="K8994" s="218">
        <v>286.16000000000003</v>
      </c>
      <c r="L8994" s="218"/>
    </row>
    <row r="8995" spans="1:14" x14ac:dyDescent="0.2">
      <c r="A8995" s="133">
        <v>2023</v>
      </c>
      <c r="B8995" s="133">
        <v>6</v>
      </c>
      <c r="C8995" s="133">
        <v>15</v>
      </c>
      <c r="D8995" s="141">
        <f t="shared" si="1006"/>
        <v>45092</v>
      </c>
      <c r="E8995" s="275">
        <f t="shared" si="1007"/>
        <v>45092</v>
      </c>
      <c r="F8995" s="481"/>
      <c r="G8995" s="174" t="s">
        <v>94</v>
      </c>
      <c r="H8995" s="174" t="str" cm="1">
        <f t="array" ref="H8995">IFERROR(INDEX(INVESTOR_LIST[INVESTOR NAME],MATCH(I8995,INVESTOR_LIST[INVESTOR CODE],0),)," ")</f>
        <v xml:space="preserve"> </v>
      </c>
      <c r="J8995" s="149" t="s">
        <v>191</v>
      </c>
      <c r="K8995" s="218"/>
      <c r="L8995" s="218">
        <v>110949.3</v>
      </c>
    </row>
    <row r="8996" spans="1:14" x14ac:dyDescent="0.2">
      <c r="A8996" s="163">
        <v>2023</v>
      </c>
      <c r="B8996" s="163">
        <v>6</v>
      </c>
      <c r="C8996" s="163">
        <v>15</v>
      </c>
      <c r="D8996" s="280">
        <f t="shared" si="1006"/>
        <v>45092</v>
      </c>
      <c r="E8996" s="281">
        <f t="shared" si="1007"/>
        <v>45092</v>
      </c>
      <c r="F8996" s="480"/>
      <c r="G8996" s="221" t="s">
        <v>94</v>
      </c>
      <c r="H8996" s="145" t="str" cm="1">
        <f t="array" ref="H8996">IFERROR(INDEX(INVESTOR_LIST[INVESTOR NAME],MATCH(I8996,INVESTOR_LIST[INVESTOR CODE],0),)," ")</f>
        <v xml:space="preserve"> </v>
      </c>
      <c r="I8996" s="145"/>
      <c r="J8996" s="163" t="s">
        <v>79</v>
      </c>
      <c r="K8996" s="219"/>
      <c r="L8996" s="219">
        <v>48030</v>
      </c>
    </row>
    <row r="8997" spans="1:14" x14ac:dyDescent="0.2">
      <c r="A8997" s="324">
        <v>2023</v>
      </c>
      <c r="B8997" s="324">
        <v>6</v>
      </c>
      <c r="C8997" s="325">
        <v>15</v>
      </c>
      <c r="D8997" s="326">
        <f>DATE(A8997,B8997,C8997)</f>
        <v>45092</v>
      </c>
      <c r="E8997" s="327">
        <f>DATE(A8997,B8997,C8997)</f>
        <v>45092</v>
      </c>
      <c r="F8997" s="473" t="s">
        <v>1634</v>
      </c>
      <c r="G8997" s="340" t="s">
        <v>94</v>
      </c>
      <c r="H8997" s="341" t="str" cm="1">
        <f t="array" ref="H8997">IFERROR(INDEX(INVESTOR_LIST[INVESTOR NAME],MATCH(I8997,INVESTOR_LIST[INVESTOR CODE],0),)," ")</f>
        <v xml:space="preserve"> </v>
      </c>
      <c r="I8997" s="341" t="s">
        <v>348</v>
      </c>
      <c r="J8997" s="325" t="s">
        <v>133</v>
      </c>
      <c r="K8997" s="330">
        <v>20854.099999999999</v>
      </c>
      <c r="L8997" s="330"/>
      <c r="M8997" s="160"/>
    </row>
    <row r="8998" spans="1:14" x14ac:dyDescent="0.2">
      <c r="A8998" s="331">
        <v>2023</v>
      </c>
      <c r="B8998" s="331">
        <v>6</v>
      </c>
      <c r="C8998" s="331">
        <v>15</v>
      </c>
      <c r="D8998" s="326">
        <f>DATE(A8998,B8998,C8998)</f>
        <v>45092</v>
      </c>
      <c r="E8998" s="327">
        <f>DATE(A8998,B8998,C8998)</f>
        <v>45092</v>
      </c>
      <c r="F8998" s="474"/>
      <c r="G8998" s="332" t="s">
        <v>94</v>
      </c>
      <c r="H8998" s="333" t="str" cm="1">
        <f t="array" ref="H8998">IFERROR(INDEX(INVESTOR_LIST[INVESTOR NAME],MATCH(I8998,INVESTOR_LIST[INVESTOR CODE],0),)," ")</f>
        <v xml:space="preserve"> </v>
      </c>
      <c r="I8998" s="333" t="s">
        <v>348</v>
      </c>
      <c r="J8998" s="331" t="s">
        <v>152</v>
      </c>
      <c r="K8998" s="334"/>
      <c r="L8998" s="334">
        <v>20854.099999999999</v>
      </c>
      <c r="M8998" s="160"/>
    </row>
    <row r="8999" spans="1:14" x14ac:dyDescent="0.2">
      <c r="A8999" s="324">
        <v>2023</v>
      </c>
      <c r="B8999" s="324">
        <v>6</v>
      </c>
      <c r="C8999" s="325">
        <v>15</v>
      </c>
      <c r="D8999" s="326">
        <f t="shared" ref="D8999:D9002" si="1010">DATE(A8999,B8999,C8999)</f>
        <v>45092</v>
      </c>
      <c r="E8999" s="327">
        <f t="shared" ref="E8999:E9002" si="1011">DATE(A8999,B8999,C8999)</f>
        <v>45092</v>
      </c>
      <c r="F8999" s="473" t="s">
        <v>1490</v>
      </c>
      <c r="G8999" s="328" t="s">
        <v>94</v>
      </c>
      <c r="H8999" s="329" t="str" cm="1">
        <f t="array" ref="H8999">IFERROR(INDEX(INVESTOR_LIST[INVESTOR NAME],MATCH(I8999,INVESTOR_LIST[INVESTOR CODE],0),)," ")</f>
        <v xml:space="preserve"> </v>
      </c>
      <c r="I8999" s="329" t="s">
        <v>348</v>
      </c>
      <c r="J8999" s="325" t="s">
        <v>133</v>
      </c>
      <c r="K8999" s="330">
        <v>23577.4</v>
      </c>
      <c r="L8999" s="330"/>
      <c r="M8999" s="160"/>
    </row>
    <row r="9000" spans="1:14" x14ac:dyDescent="0.2">
      <c r="A9000" s="331">
        <v>2023</v>
      </c>
      <c r="B9000" s="331">
        <v>6</v>
      </c>
      <c r="C9000" s="331">
        <v>15</v>
      </c>
      <c r="D9000" s="326">
        <f t="shared" si="1010"/>
        <v>45092</v>
      </c>
      <c r="E9000" s="327">
        <f t="shared" si="1011"/>
        <v>45092</v>
      </c>
      <c r="F9000" s="474"/>
      <c r="G9000" s="332" t="s">
        <v>94</v>
      </c>
      <c r="H9000" s="333" t="str" cm="1">
        <f t="array" ref="H9000">IFERROR(INDEX(INVESTOR_LIST[INVESTOR NAME],MATCH(I9000,INVESTOR_LIST[INVESTOR CODE],0),)," ")</f>
        <v xml:space="preserve"> </v>
      </c>
      <c r="I9000" s="333" t="s">
        <v>348</v>
      </c>
      <c r="J9000" s="331" t="s">
        <v>152</v>
      </c>
      <c r="K9000" s="334"/>
      <c r="L9000" s="334">
        <v>23577.4</v>
      </c>
      <c r="M9000" s="160"/>
      <c r="N9000" s="160"/>
    </row>
    <row r="9001" spans="1:14" x14ac:dyDescent="0.2">
      <c r="A9001" s="324">
        <v>2023</v>
      </c>
      <c r="B9001" s="324">
        <v>6</v>
      </c>
      <c r="C9001" s="325">
        <v>15</v>
      </c>
      <c r="D9001" s="326">
        <f t="shared" si="1010"/>
        <v>45092</v>
      </c>
      <c r="E9001" s="327">
        <f t="shared" si="1011"/>
        <v>45092</v>
      </c>
      <c r="F9001" s="473" t="s">
        <v>1491</v>
      </c>
      <c r="G9001" s="328" t="s">
        <v>94</v>
      </c>
      <c r="H9001" s="329" t="str" cm="1">
        <f t="array" ref="H9001">IFERROR(INDEX(INVESTOR_LIST[INVESTOR NAME],MATCH(I9001,INVESTOR_LIST[INVESTOR CODE],0),)," ")</f>
        <v xml:space="preserve"> </v>
      </c>
      <c r="I9001" s="329" t="s">
        <v>348</v>
      </c>
      <c r="J9001" s="324" t="s">
        <v>133</v>
      </c>
      <c r="K9001" s="330">
        <v>13413.46</v>
      </c>
      <c r="L9001" s="330"/>
      <c r="M9001" s="160"/>
      <c r="N9001" s="160"/>
    </row>
    <row r="9002" spans="1:14" x14ac:dyDescent="0.2">
      <c r="A9002" s="331">
        <v>2023</v>
      </c>
      <c r="B9002" s="331">
        <v>6</v>
      </c>
      <c r="C9002" s="331">
        <v>15</v>
      </c>
      <c r="D9002" s="326">
        <f t="shared" si="1010"/>
        <v>45092</v>
      </c>
      <c r="E9002" s="327">
        <f t="shared" si="1011"/>
        <v>45092</v>
      </c>
      <c r="F9002" s="474"/>
      <c r="G9002" s="332" t="s">
        <v>94</v>
      </c>
      <c r="H9002" s="333" t="str" cm="1">
        <f t="array" ref="H9002">IFERROR(INDEX(INVESTOR_LIST[INVESTOR NAME],MATCH(I9002,INVESTOR_LIST[INVESTOR CODE],0),)," ")</f>
        <v xml:space="preserve"> </v>
      </c>
      <c r="I9002" s="333" t="s">
        <v>348</v>
      </c>
      <c r="J9002" s="331" t="s">
        <v>152</v>
      </c>
      <c r="K9002" s="334"/>
      <c r="L9002" s="334">
        <v>13413.46</v>
      </c>
      <c r="M9002" s="160"/>
    </row>
    <row r="9003" spans="1:14" x14ac:dyDescent="0.2">
      <c r="A9003" s="324">
        <v>2023</v>
      </c>
      <c r="B9003" s="324">
        <v>6</v>
      </c>
      <c r="C9003" s="325">
        <v>15</v>
      </c>
      <c r="D9003" s="326">
        <f>DATE(A9003,B9003,C9003)</f>
        <v>45092</v>
      </c>
      <c r="E9003" s="327">
        <f>DATE(A9003,B9003,C9003)</f>
        <v>45092</v>
      </c>
      <c r="F9003" s="473" t="s">
        <v>1531</v>
      </c>
      <c r="G9003" s="328" t="s">
        <v>94</v>
      </c>
      <c r="H9003" s="329" t="str" cm="1">
        <f t="array" ref="H9003">IFERROR(INDEX(INVESTOR_LIST[INVESTOR NAME],MATCH(I9003,INVESTOR_LIST[INVESTOR CODE],0),)," ")</f>
        <v xml:space="preserve"> </v>
      </c>
      <c r="I9003" s="329" t="s">
        <v>348</v>
      </c>
      <c r="J9003" s="324" t="s">
        <v>133</v>
      </c>
      <c r="K9003" s="330">
        <v>22685.71</v>
      </c>
      <c r="L9003" s="330"/>
      <c r="M9003" s="160"/>
    </row>
    <row r="9004" spans="1:14" x14ac:dyDescent="0.2">
      <c r="A9004" s="331">
        <v>2023</v>
      </c>
      <c r="B9004" s="331">
        <v>6</v>
      </c>
      <c r="C9004" s="331">
        <v>15</v>
      </c>
      <c r="D9004" s="326">
        <f>DATE(A9004,B9004,C9004)</f>
        <v>45092</v>
      </c>
      <c r="E9004" s="327">
        <f>DATE(A9004,B9004,C9004)</f>
        <v>45092</v>
      </c>
      <c r="F9004" s="474"/>
      <c r="G9004" s="332" t="s">
        <v>94</v>
      </c>
      <c r="H9004" s="333" t="str" cm="1">
        <f t="array" ref="H9004">IFERROR(INDEX(INVESTOR_LIST[INVESTOR NAME],MATCH(I9004,INVESTOR_LIST[INVESTOR CODE],0),)," ")</f>
        <v xml:space="preserve"> </v>
      </c>
      <c r="I9004" s="333" t="s">
        <v>348</v>
      </c>
      <c r="J9004" s="331" t="s">
        <v>152</v>
      </c>
      <c r="K9004" s="334"/>
      <c r="L9004" s="334">
        <v>22685.71</v>
      </c>
      <c r="M9004" s="160"/>
    </row>
    <row r="9005" spans="1:14" x14ac:dyDescent="0.2">
      <c r="A9005" s="238">
        <v>2023</v>
      </c>
      <c r="B9005" s="238">
        <v>6</v>
      </c>
      <c r="C9005" s="238">
        <v>15</v>
      </c>
      <c r="D9005" s="270">
        <f t="shared" ref="D9005:D9023" si="1012">DATE(A9005,B9005,C9005)</f>
        <v>45092</v>
      </c>
      <c r="E9005" s="279">
        <f t="shared" ref="E9005:E9023" si="1013">DATE(A9005,B9005,C9005)</f>
        <v>45092</v>
      </c>
      <c r="F9005" s="477" t="s">
        <v>347</v>
      </c>
      <c r="G9005" s="239" t="s">
        <v>94</v>
      </c>
      <c r="H9005" s="239" t="str" cm="1">
        <f t="array" ref="H9005">IFERROR(INDEX(INVESTOR_LIST[INVESTOR NAME],MATCH(I9005,INVESTOR_LIST[INVESTOR CODE],0),)," ")</f>
        <v xml:space="preserve"> </v>
      </c>
      <c r="I9005" s="262" t="s">
        <v>348</v>
      </c>
      <c r="J9005" s="240" t="s">
        <v>108</v>
      </c>
      <c r="K9005" s="241">
        <v>316416.46999998391</v>
      </c>
      <c r="L9005" s="241"/>
    </row>
    <row r="9006" spans="1:14" x14ac:dyDescent="0.2">
      <c r="A9006" s="242">
        <v>2023</v>
      </c>
      <c r="B9006" s="242">
        <v>6</v>
      </c>
      <c r="C9006" s="242">
        <v>15</v>
      </c>
      <c r="D9006" s="270">
        <f t="shared" si="1012"/>
        <v>45092</v>
      </c>
      <c r="E9006" s="279">
        <f t="shared" si="1013"/>
        <v>45092</v>
      </c>
      <c r="F9006" s="478"/>
      <c r="G9006" s="243" t="s">
        <v>94</v>
      </c>
      <c r="H9006" s="243" t="str" cm="1">
        <f t="array" ref="H9006">IFERROR(INDEX(INVESTOR_LIST[INVESTOR NAME],MATCH(I9006,INVESTOR_LIST[INVESTOR CODE],0),)," ")</f>
        <v xml:space="preserve"> </v>
      </c>
      <c r="I9006" s="263" t="s">
        <v>348</v>
      </c>
      <c r="J9006" s="244" t="s">
        <v>82</v>
      </c>
      <c r="K9006" s="245"/>
      <c r="L9006" s="245">
        <v>316416.46999998391</v>
      </c>
    </row>
    <row r="9007" spans="1:14" ht="22.5" x14ac:dyDescent="0.2">
      <c r="A9007" s="246">
        <v>2023</v>
      </c>
      <c r="B9007" s="238">
        <v>6</v>
      </c>
      <c r="C9007" s="238">
        <v>15</v>
      </c>
      <c r="D9007" s="270">
        <f t="shared" si="1012"/>
        <v>45092</v>
      </c>
      <c r="E9007" s="279">
        <f t="shared" si="1013"/>
        <v>45092</v>
      </c>
      <c r="F9007" s="482" t="s">
        <v>148</v>
      </c>
      <c r="G9007" s="247" t="s">
        <v>94</v>
      </c>
      <c r="H9007" s="247" t="str" cm="1">
        <f t="array" ref="H9007">IFERROR(INDEX(INVESTOR_LIST[INVESTOR NAME],MATCH(I9007,INVESTOR_LIST[INVESTOR CODE],0),)," ")</f>
        <v xml:space="preserve"> </v>
      </c>
      <c r="I9007" s="248" t="s">
        <v>348</v>
      </c>
      <c r="J9007" s="249" t="s">
        <v>95</v>
      </c>
      <c r="K9007" s="250">
        <v>2747.2527472527472</v>
      </c>
      <c r="L9007" s="241"/>
    </row>
    <row r="9008" spans="1:14" x14ac:dyDescent="0.2">
      <c r="A9008" s="242">
        <v>2023</v>
      </c>
      <c r="B9008" s="242">
        <v>6</v>
      </c>
      <c r="C9008" s="242">
        <v>15</v>
      </c>
      <c r="D9008" s="270">
        <f t="shared" si="1012"/>
        <v>45092</v>
      </c>
      <c r="E9008" s="279">
        <f t="shared" si="1013"/>
        <v>45092</v>
      </c>
      <c r="F9008" s="478"/>
      <c r="G9008" s="243" t="s">
        <v>94</v>
      </c>
      <c r="H9008" s="243" t="str" cm="1">
        <f t="array" ref="H9008">IFERROR(INDEX(INVESTOR_LIST[INVESTOR NAME],MATCH(I9008,INVESTOR_LIST[INVESTOR CODE],0),)," ")</f>
        <v xml:space="preserve"> </v>
      </c>
      <c r="I9008" s="263" t="s">
        <v>348</v>
      </c>
      <c r="J9008" s="244" t="s">
        <v>63</v>
      </c>
      <c r="K9008" s="245"/>
      <c r="L9008" s="245">
        <v>2747.2527472527472</v>
      </c>
    </row>
    <row r="9009" spans="1:12" x14ac:dyDescent="0.2">
      <c r="A9009" s="246">
        <v>2023</v>
      </c>
      <c r="B9009" s="238">
        <v>6</v>
      </c>
      <c r="C9009" s="238">
        <v>15</v>
      </c>
      <c r="D9009" s="270">
        <f t="shared" si="1012"/>
        <v>45092</v>
      </c>
      <c r="E9009" s="279">
        <f t="shared" si="1013"/>
        <v>45092</v>
      </c>
      <c r="F9009" s="482" t="s">
        <v>137</v>
      </c>
      <c r="G9009" s="247" t="s">
        <v>94</v>
      </c>
      <c r="H9009" s="247" t="str" cm="1">
        <f t="array" ref="H9009">IFERROR(INDEX(INVESTOR_LIST[INVESTOR NAME],MATCH(I9009,INVESTOR_LIST[INVESTOR CODE],0),)," ")</f>
        <v xml:space="preserve"> </v>
      </c>
      <c r="I9009" s="248" t="s">
        <v>348</v>
      </c>
      <c r="J9009" s="249" t="s">
        <v>97</v>
      </c>
      <c r="K9009" s="250">
        <v>31535.348323743947</v>
      </c>
      <c r="L9009" s="252"/>
    </row>
    <row r="9010" spans="1:12" x14ac:dyDescent="0.2">
      <c r="A9010" s="242">
        <v>2023</v>
      </c>
      <c r="B9010" s="242">
        <v>6</v>
      </c>
      <c r="C9010" s="242">
        <v>15</v>
      </c>
      <c r="D9010" s="270">
        <f t="shared" si="1012"/>
        <v>45092</v>
      </c>
      <c r="E9010" s="279">
        <f t="shared" si="1013"/>
        <v>45092</v>
      </c>
      <c r="F9010" s="478"/>
      <c r="G9010" s="243" t="s">
        <v>94</v>
      </c>
      <c r="H9010" s="243" t="str" cm="1">
        <f t="array" ref="H9010">IFERROR(INDEX(INVESTOR_LIST[INVESTOR NAME],MATCH(I9010,INVESTOR_LIST[INVESTOR CODE],0),)," ")</f>
        <v xml:space="preserve"> </v>
      </c>
      <c r="I9010" s="263" t="s">
        <v>348</v>
      </c>
      <c r="J9010" s="244" t="s">
        <v>47</v>
      </c>
      <c r="K9010" s="245"/>
      <c r="L9010" s="245">
        <v>31535.348323743947</v>
      </c>
    </row>
    <row r="9011" spans="1:12" x14ac:dyDescent="0.2">
      <c r="A9011" s="246">
        <v>2023</v>
      </c>
      <c r="B9011" s="238">
        <v>6</v>
      </c>
      <c r="C9011" s="238">
        <v>15</v>
      </c>
      <c r="D9011" s="270">
        <f t="shared" si="1012"/>
        <v>45092</v>
      </c>
      <c r="E9011" s="279">
        <f t="shared" si="1013"/>
        <v>45092</v>
      </c>
      <c r="F9011" s="482" t="s">
        <v>138</v>
      </c>
      <c r="G9011" s="247" t="s">
        <v>94</v>
      </c>
      <c r="H9011" s="247" t="str" cm="1">
        <f t="array" ref="H9011">IFERROR(INDEX(INVESTOR_LIST[INVESTOR NAME],MATCH(I9011,INVESTOR_LIST[INVESTOR CODE],0),)," ")</f>
        <v xml:space="preserve"> </v>
      </c>
      <c r="I9011" s="248" t="s">
        <v>348</v>
      </c>
      <c r="J9011" s="249" t="s">
        <v>100</v>
      </c>
      <c r="K9011" s="250">
        <v>3153.5348323743947</v>
      </c>
      <c r="L9011" s="252"/>
    </row>
    <row r="9012" spans="1:12" ht="10.9" customHeight="1" x14ac:dyDescent="0.2">
      <c r="A9012" s="242">
        <v>2023</v>
      </c>
      <c r="B9012" s="242">
        <v>6</v>
      </c>
      <c r="C9012" s="242">
        <v>15</v>
      </c>
      <c r="D9012" s="321">
        <f t="shared" si="1012"/>
        <v>45092</v>
      </c>
      <c r="E9012" s="322">
        <f t="shared" si="1013"/>
        <v>45092</v>
      </c>
      <c r="F9012" s="478"/>
      <c r="G9012" s="243" t="s">
        <v>94</v>
      </c>
      <c r="H9012" s="243" t="str" cm="1">
        <f t="array" ref="H9012">IFERROR(INDEX(INVESTOR_LIST[INVESTOR NAME],MATCH(I9012,INVESTOR_LIST[INVESTOR CODE],0),)," ")</f>
        <v xml:space="preserve"> </v>
      </c>
      <c r="I9012" s="263" t="s">
        <v>348</v>
      </c>
      <c r="J9012" s="244" t="s">
        <v>48</v>
      </c>
      <c r="K9012" s="245"/>
      <c r="L9012" s="245">
        <v>3153.5348323743947</v>
      </c>
    </row>
    <row r="9013" spans="1:12" ht="10.15" customHeight="1" x14ac:dyDescent="0.2">
      <c r="A9013" s="168">
        <v>2023</v>
      </c>
      <c r="B9013" s="168">
        <v>6</v>
      </c>
      <c r="C9013" s="168">
        <v>18</v>
      </c>
      <c r="D9013" s="141">
        <f t="shared" si="1012"/>
        <v>45095</v>
      </c>
      <c r="E9013" s="275">
        <f t="shared" si="1013"/>
        <v>45095</v>
      </c>
      <c r="F9013" s="479" t="s">
        <v>1319</v>
      </c>
      <c r="G9013" s="220" t="s">
        <v>74</v>
      </c>
      <c r="H9013" s="142" t="str" cm="1">
        <f t="array" ref="H9013">IFERROR(INDEX(INVESTOR_LIST[INVESTOR NAME],MATCH(I9013,INVESTOR_LIST[INVESTOR CODE],0),)," ")</f>
        <v xml:space="preserve"> </v>
      </c>
      <c r="I9013" s="142"/>
      <c r="J9013" s="168" t="s">
        <v>52</v>
      </c>
      <c r="K9013" s="226">
        <v>33000</v>
      </c>
      <c r="L9013" s="226"/>
    </row>
    <row r="9014" spans="1:12" ht="10.15" customHeight="1" x14ac:dyDescent="0.2">
      <c r="A9014" s="133">
        <v>2023</v>
      </c>
      <c r="B9014" s="133">
        <v>6</v>
      </c>
      <c r="C9014" s="133">
        <v>18</v>
      </c>
      <c r="D9014" s="141">
        <f t="shared" si="1012"/>
        <v>45095</v>
      </c>
      <c r="E9014" s="275">
        <f t="shared" si="1013"/>
        <v>45095</v>
      </c>
      <c r="F9014" s="481"/>
      <c r="G9014" s="174" t="s">
        <v>74</v>
      </c>
      <c r="H9014" s="148" t="str" cm="1">
        <f t="array" ref="H9014">IFERROR(INDEX(INVESTOR_LIST[INVESTOR NAME],MATCH(I9014,INVESTOR_LIST[INVESTOR CODE],0),)," ")</f>
        <v xml:space="preserve"> </v>
      </c>
      <c r="J9014" s="133" t="s">
        <v>13</v>
      </c>
      <c r="K9014" s="218"/>
      <c r="L9014" s="218">
        <v>26520</v>
      </c>
    </row>
    <row r="9015" spans="1:12" ht="10.15" customHeight="1" x14ac:dyDescent="0.2">
      <c r="A9015" s="163">
        <v>2023</v>
      </c>
      <c r="B9015" s="163">
        <v>6</v>
      </c>
      <c r="C9015" s="163">
        <v>18</v>
      </c>
      <c r="D9015" s="280">
        <f t="shared" si="1012"/>
        <v>45095</v>
      </c>
      <c r="E9015" s="281">
        <f t="shared" si="1013"/>
        <v>45095</v>
      </c>
      <c r="F9015" s="480"/>
      <c r="G9015" s="221" t="s">
        <v>74</v>
      </c>
      <c r="H9015" s="145" t="str" cm="1">
        <f t="array" ref="H9015">IFERROR(INDEX(INVESTOR_LIST[INVESTOR NAME],MATCH(I9015,INVESTOR_LIST[INVESTOR CODE],0),)," ")</f>
        <v xml:space="preserve"> </v>
      </c>
      <c r="I9015" s="145"/>
      <c r="J9015" s="163" t="s">
        <v>53</v>
      </c>
      <c r="K9015" s="219"/>
      <c r="L9015" s="219">
        <v>6480</v>
      </c>
    </row>
    <row r="9016" spans="1:12" x14ac:dyDescent="0.2">
      <c r="A9016" s="133">
        <v>2023</v>
      </c>
      <c r="B9016" s="168">
        <v>6</v>
      </c>
      <c r="C9016" s="168">
        <v>19</v>
      </c>
      <c r="D9016" s="141">
        <f t="shared" si="1012"/>
        <v>45096</v>
      </c>
      <c r="E9016" s="275">
        <f t="shared" si="1013"/>
        <v>45096</v>
      </c>
      <c r="F9016" s="481" t="s">
        <v>1738</v>
      </c>
      <c r="G9016" s="174" t="s">
        <v>74</v>
      </c>
      <c r="H9016" s="174" t="str" cm="1">
        <f t="array" ref="H9016">IFERROR(INDEX(INVESTOR_LIST[INVESTOR NAME],MATCH(I9016,INVESTOR_LIST[INVESTOR CODE],0),)," ")</f>
        <v xml:space="preserve"> </v>
      </c>
      <c r="I9016" s="148" t="s">
        <v>348</v>
      </c>
      <c r="J9016" s="149" t="s">
        <v>52</v>
      </c>
      <c r="K9016" s="218">
        <v>354131.25</v>
      </c>
      <c r="L9016" s="218"/>
    </row>
    <row r="9017" spans="1:12" x14ac:dyDescent="0.2">
      <c r="A9017" s="163">
        <v>2023</v>
      </c>
      <c r="B9017" s="163">
        <v>6</v>
      </c>
      <c r="C9017" s="163">
        <v>19</v>
      </c>
      <c r="D9017" s="280">
        <f t="shared" si="1012"/>
        <v>45096</v>
      </c>
      <c r="E9017" s="281">
        <f t="shared" si="1013"/>
        <v>45096</v>
      </c>
      <c r="F9017" s="480"/>
      <c r="G9017" s="221" t="s">
        <v>74</v>
      </c>
      <c r="H9017" s="221" t="str" cm="1">
        <f t="array" ref="H9017">IFERROR(INDEX(INVESTOR_LIST[INVESTOR NAME],MATCH(I9017,INVESTOR_LIST[INVESTOR CODE],0),)," ")</f>
        <v xml:space="preserve"> </v>
      </c>
      <c r="I9017" s="145" t="s">
        <v>348</v>
      </c>
      <c r="J9017" s="146" t="s">
        <v>168</v>
      </c>
      <c r="K9017" s="219"/>
      <c r="L9017" s="219">
        <v>354131.25</v>
      </c>
    </row>
    <row r="9018" spans="1:12" x14ac:dyDescent="0.2">
      <c r="A9018" s="168">
        <v>2023</v>
      </c>
      <c r="B9018" s="168">
        <v>6</v>
      </c>
      <c r="C9018" s="168">
        <v>19</v>
      </c>
      <c r="D9018" s="141">
        <f t="shared" si="1012"/>
        <v>45096</v>
      </c>
      <c r="E9018" s="275">
        <f t="shared" si="1013"/>
        <v>45096</v>
      </c>
      <c r="F9018" s="479" t="s">
        <v>1500</v>
      </c>
      <c r="G9018" s="220" t="s">
        <v>74</v>
      </c>
      <c r="H9018" s="220" t="str" cm="1">
        <f t="array" ref="H9018">IFERROR(INDEX(INVESTOR_LIST[INVESTOR NAME],MATCH(I9018,INVESTOR_LIST[INVESTOR CODE],0),)," ")</f>
        <v xml:space="preserve"> </v>
      </c>
      <c r="I9018" s="142"/>
      <c r="J9018" s="143" t="s">
        <v>52</v>
      </c>
      <c r="K9018" s="226">
        <v>158693.14000000001</v>
      </c>
      <c r="L9018" s="226"/>
    </row>
    <row r="9019" spans="1:12" x14ac:dyDescent="0.2">
      <c r="A9019" s="163">
        <v>2023</v>
      </c>
      <c r="B9019" s="163">
        <v>6</v>
      </c>
      <c r="C9019" s="163">
        <v>19</v>
      </c>
      <c r="D9019" s="280">
        <f t="shared" si="1012"/>
        <v>45096</v>
      </c>
      <c r="E9019" s="281">
        <f t="shared" si="1013"/>
        <v>45096</v>
      </c>
      <c r="F9019" s="480"/>
      <c r="G9019" s="221" t="s">
        <v>74</v>
      </c>
      <c r="H9019" s="221" t="str" cm="1">
        <f t="array" ref="H9019">IFERROR(INDEX(INVESTOR_LIST[INVESTOR NAME],MATCH(I9019,INVESTOR_LIST[INVESTOR CODE],0),)," ")</f>
        <v xml:space="preserve"> </v>
      </c>
      <c r="I9019" s="145"/>
      <c r="J9019" s="146" t="s">
        <v>190</v>
      </c>
      <c r="K9019" s="219"/>
      <c r="L9019" s="219">
        <v>158693.14000000001</v>
      </c>
    </row>
    <row r="9020" spans="1:12" ht="10.15" customHeight="1" x14ac:dyDescent="0.2">
      <c r="A9020" s="133">
        <v>2023</v>
      </c>
      <c r="B9020" s="133">
        <v>6</v>
      </c>
      <c r="C9020" s="133">
        <v>19</v>
      </c>
      <c r="D9020" s="141">
        <f t="shared" si="1012"/>
        <v>45096</v>
      </c>
      <c r="E9020" s="275">
        <f t="shared" si="1013"/>
        <v>45096</v>
      </c>
      <c r="F9020" s="479" t="s">
        <v>1741</v>
      </c>
      <c r="G9020" s="220" t="s">
        <v>74</v>
      </c>
      <c r="H9020" s="220"/>
      <c r="I9020" s="142"/>
      <c r="J9020" s="143" t="s">
        <v>96</v>
      </c>
      <c r="K9020" s="226">
        <v>1000000</v>
      </c>
      <c r="L9020" s="226"/>
    </row>
    <row r="9021" spans="1:12" ht="10.15" customHeight="1" x14ac:dyDescent="0.2">
      <c r="A9021" s="133">
        <v>2023</v>
      </c>
      <c r="B9021" s="133">
        <v>6</v>
      </c>
      <c r="C9021" s="133">
        <v>19</v>
      </c>
      <c r="D9021" s="141">
        <f t="shared" si="1012"/>
        <v>45096</v>
      </c>
      <c r="E9021" s="275">
        <f t="shared" si="1013"/>
        <v>45096</v>
      </c>
      <c r="F9021" s="481"/>
      <c r="G9021" s="174" t="s">
        <v>74</v>
      </c>
      <c r="H9021" s="174" t="str" cm="1">
        <f t="array" ref="H9021">IFERROR(INDEX(INVESTOR_LIST[INVESTOR NAME],MATCH(I9021,INVESTOR_LIST[INVESTOR CODE],0),)," ")</f>
        <v xml:space="preserve"> </v>
      </c>
      <c r="I9021" s="148" t="s">
        <v>348</v>
      </c>
      <c r="J9021" s="149" t="s">
        <v>52</v>
      </c>
      <c r="K9021" s="218">
        <v>19375</v>
      </c>
      <c r="L9021" s="218"/>
    </row>
    <row r="9022" spans="1:12" ht="10.15" customHeight="1" x14ac:dyDescent="0.2">
      <c r="A9022" s="133">
        <v>2023</v>
      </c>
      <c r="B9022" s="133">
        <v>6</v>
      </c>
      <c r="C9022" s="133">
        <v>19</v>
      </c>
      <c r="D9022" s="141">
        <f t="shared" si="1012"/>
        <v>45096</v>
      </c>
      <c r="E9022" s="275">
        <f t="shared" si="1013"/>
        <v>45096</v>
      </c>
      <c r="F9022" s="481"/>
      <c r="G9022" s="174" t="s">
        <v>74</v>
      </c>
      <c r="H9022" s="174" t="str" cm="1">
        <f t="array" ref="H9022">IFERROR(INDEX(INVESTOR_LIST[INVESTOR NAME],MATCH(I9022,INVESTOR_LIST[INVESTOR CODE],0),)," ")</f>
        <v xml:space="preserve"> </v>
      </c>
      <c r="J9022" s="149" t="s">
        <v>133</v>
      </c>
      <c r="K9022" s="218"/>
      <c r="L9022" s="218">
        <v>19375</v>
      </c>
    </row>
    <row r="9023" spans="1:12" ht="10.15" customHeight="1" x14ac:dyDescent="0.2">
      <c r="A9023" s="163">
        <v>2023</v>
      </c>
      <c r="B9023" s="163">
        <v>6</v>
      </c>
      <c r="C9023" s="163">
        <v>19</v>
      </c>
      <c r="D9023" s="141">
        <f t="shared" si="1012"/>
        <v>45096</v>
      </c>
      <c r="E9023" s="275">
        <f t="shared" si="1013"/>
        <v>45096</v>
      </c>
      <c r="F9023" s="480"/>
      <c r="G9023" s="221" t="s">
        <v>74</v>
      </c>
      <c r="H9023" s="221"/>
      <c r="I9023" s="145"/>
      <c r="J9023" s="146" t="s">
        <v>96</v>
      </c>
      <c r="K9023" s="219"/>
      <c r="L9023" s="219">
        <v>1000000</v>
      </c>
    </row>
    <row r="9024" spans="1:12" ht="10.15" customHeight="1" x14ac:dyDescent="0.2">
      <c r="A9024" s="133">
        <v>2023</v>
      </c>
      <c r="B9024" s="133">
        <v>6</v>
      </c>
      <c r="C9024" s="133">
        <v>19</v>
      </c>
      <c r="D9024" s="141">
        <f t="shared" ref="D9024:D9027" si="1014">DATE(A9024,B9024,C9024)</f>
        <v>45096</v>
      </c>
      <c r="E9024" s="275">
        <f t="shared" ref="E9024:E9027" si="1015">DATE(A9024,B9024,C9024)</f>
        <v>45096</v>
      </c>
      <c r="F9024" s="479" t="s">
        <v>1742</v>
      </c>
      <c r="G9024" s="220" t="s">
        <v>74</v>
      </c>
      <c r="H9024" s="220"/>
      <c r="I9024" s="142"/>
      <c r="J9024" s="143" t="s">
        <v>96</v>
      </c>
      <c r="K9024" s="226">
        <v>1000000</v>
      </c>
      <c r="L9024" s="226"/>
    </row>
    <row r="9025" spans="1:12" ht="10.15" customHeight="1" x14ac:dyDescent="0.2">
      <c r="A9025" s="133">
        <v>2023</v>
      </c>
      <c r="B9025" s="133">
        <v>6</v>
      </c>
      <c r="C9025" s="133">
        <v>19</v>
      </c>
      <c r="D9025" s="141">
        <f t="shared" si="1014"/>
        <v>45096</v>
      </c>
      <c r="E9025" s="275">
        <f t="shared" si="1015"/>
        <v>45096</v>
      </c>
      <c r="F9025" s="481"/>
      <c r="G9025" s="174" t="s">
        <v>74</v>
      </c>
      <c r="H9025" s="174" t="str" cm="1">
        <f t="array" ref="H9025">IFERROR(INDEX(INVESTOR_LIST[INVESTOR NAME],MATCH(I9025,INVESTOR_LIST[INVESTOR CODE],0),)," ")</f>
        <v xml:space="preserve"> </v>
      </c>
      <c r="I9025" s="148" t="s">
        <v>348</v>
      </c>
      <c r="J9025" s="149" t="s">
        <v>52</v>
      </c>
      <c r="K9025" s="218">
        <v>19375</v>
      </c>
      <c r="L9025" s="218"/>
    </row>
    <row r="9026" spans="1:12" ht="10.15" customHeight="1" x14ac:dyDescent="0.2">
      <c r="A9026" s="133">
        <v>2023</v>
      </c>
      <c r="B9026" s="133">
        <v>6</v>
      </c>
      <c r="C9026" s="133">
        <v>19</v>
      </c>
      <c r="D9026" s="141">
        <f t="shared" si="1014"/>
        <v>45096</v>
      </c>
      <c r="E9026" s="275">
        <f t="shared" si="1015"/>
        <v>45096</v>
      </c>
      <c r="F9026" s="481"/>
      <c r="G9026" s="174" t="s">
        <v>74</v>
      </c>
      <c r="H9026" s="174" t="str" cm="1">
        <f t="array" ref="H9026">IFERROR(INDEX(INVESTOR_LIST[INVESTOR NAME],MATCH(I9026,INVESTOR_LIST[INVESTOR CODE],0),)," ")</f>
        <v xml:space="preserve"> </v>
      </c>
      <c r="J9026" s="149" t="s">
        <v>133</v>
      </c>
      <c r="K9026" s="218"/>
      <c r="L9026" s="218">
        <v>19375</v>
      </c>
    </row>
    <row r="9027" spans="1:12" ht="10.15" customHeight="1" x14ac:dyDescent="0.2">
      <c r="A9027" s="163">
        <v>2023</v>
      </c>
      <c r="B9027" s="163">
        <v>6</v>
      </c>
      <c r="C9027" s="163">
        <v>19</v>
      </c>
      <c r="D9027" s="141">
        <f t="shared" si="1014"/>
        <v>45096</v>
      </c>
      <c r="E9027" s="275">
        <f t="shared" si="1015"/>
        <v>45096</v>
      </c>
      <c r="F9027" s="480"/>
      <c r="G9027" s="221" t="s">
        <v>74</v>
      </c>
      <c r="H9027" s="221"/>
      <c r="I9027" s="145"/>
      <c r="J9027" s="146" t="s">
        <v>96</v>
      </c>
      <c r="K9027" s="219"/>
      <c r="L9027" s="219">
        <v>1000000</v>
      </c>
    </row>
    <row r="9028" spans="1:12" ht="10.15" customHeight="1" x14ac:dyDescent="0.2">
      <c r="A9028" s="133">
        <v>2023</v>
      </c>
      <c r="B9028" s="133">
        <v>6</v>
      </c>
      <c r="C9028" s="133">
        <v>19</v>
      </c>
      <c r="D9028" s="141">
        <f t="shared" ref="D9028:D9031" si="1016">DATE(A9028,B9028,C9028)</f>
        <v>45096</v>
      </c>
      <c r="E9028" s="275">
        <f t="shared" ref="E9028:E9031" si="1017">DATE(A9028,B9028,C9028)</f>
        <v>45096</v>
      </c>
      <c r="F9028" s="479" t="s">
        <v>1743</v>
      </c>
      <c r="G9028" s="220" t="s">
        <v>74</v>
      </c>
      <c r="H9028" s="220"/>
      <c r="I9028" s="142"/>
      <c r="J9028" s="143" t="s">
        <v>96</v>
      </c>
      <c r="K9028" s="226">
        <v>1000000</v>
      </c>
      <c r="L9028" s="226"/>
    </row>
    <row r="9029" spans="1:12" ht="10.15" customHeight="1" x14ac:dyDescent="0.2">
      <c r="A9029" s="133">
        <v>2023</v>
      </c>
      <c r="B9029" s="133">
        <v>6</v>
      </c>
      <c r="C9029" s="133">
        <v>19</v>
      </c>
      <c r="D9029" s="141">
        <f t="shared" si="1016"/>
        <v>45096</v>
      </c>
      <c r="E9029" s="275">
        <f t="shared" si="1017"/>
        <v>45096</v>
      </c>
      <c r="F9029" s="481"/>
      <c r="G9029" s="174" t="s">
        <v>74</v>
      </c>
      <c r="H9029" s="174" t="str" cm="1">
        <f t="array" ref="H9029">IFERROR(INDEX(INVESTOR_LIST[INVESTOR NAME],MATCH(I9029,INVESTOR_LIST[INVESTOR CODE],0),)," ")</f>
        <v xml:space="preserve"> </v>
      </c>
      <c r="I9029" s="148" t="s">
        <v>348</v>
      </c>
      <c r="J9029" s="149" t="s">
        <v>52</v>
      </c>
      <c r="K9029" s="218">
        <v>19375</v>
      </c>
      <c r="L9029" s="218"/>
    </row>
    <row r="9030" spans="1:12" ht="10.15" customHeight="1" x14ac:dyDescent="0.2">
      <c r="A9030" s="133">
        <v>2023</v>
      </c>
      <c r="B9030" s="133">
        <v>6</v>
      </c>
      <c r="C9030" s="133">
        <v>19</v>
      </c>
      <c r="D9030" s="141">
        <f t="shared" si="1016"/>
        <v>45096</v>
      </c>
      <c r="E9030" s="275">
        <f t="shared" si="1017"/>
        <v>45096</v>
      </c>
      <c r="F9030" s="481"/>
      <c r="G9030" s="174" t="s">
        <v>74</v>
      </c>
      <c r="H9030" s="174" t="str" cm="1">
        <f t="array" ref="H9030">IFERROR(INDEX(INVESTOR_LIST[INVESTOR NAME],MATCH(I9030,INVESTOR_LIST[INVESTOR CODE],0),)," ")</f>
        <v xml:space="preserve"> </v>
      </c>
      <c r="J9030" s="149" t="s">
        <v>133</v>
      </c>
      <c r="K9030" s="218"/>
      <c r="L9030" s="218">
        <v>19375</v>
      </c>
    </row>
    <row r="9031" spans="1:12" ht="10.15" customHeight="1" x14ac:dyDescent="0.2">
      <c r="A9031" s="163">
        <v>2023</v>
      </c>
      <c r="B9031" s="163">
        <v>6</v>
      </c>
      <c r="C9031" s="163">
        <v>19</v>
      </c>
      <c r="D9031" s="141">
        <f t="shared" si="1016"/>
        <v>45096</v>
      </c>
      <c r="E9031" s="275">
        <f t="shared" si="1017"/>
        <v>45096</v>
      </c>
      <c r="F9031" s="480"/>
      <c r="G9031" s="221" t="s">
        <v>74</v>
      </c>
      <c r="H9031" s="221"/>
      <c r="I9031" s="145"/>
      <c r="J9031" s="146" t="s">
        <v>96</v>
      </c>
      <c r="K9031" s="219"/>
      <c r="L9031" s="219">
        <v>1000000</v>
      </c>
    </row>
    <row r="9032" spans="1:12" ht="10.15" customHeight="1" x14ac:dyDescent="0.2">
      <c r="A9032" s="168">
        <v>2023</v>
      </c>
      <c r="B9032" s="168">
        <v>6</v>
      </c>
      <c r="C9032" s="168">
        <v>21</v>
      </c>
      <c r="D9032" s="141">
        <f>DATE(A9032,B9032,C9032)</f>
        <v>45098</v>
      </c>
      <c r="E9032" s="275">
        <f>DATE(A9032,B9032,C9032)</f>
        <v>45098</v>
      </c>
      <c r="F9032" s="479" t="s">
        <v>1310</v>
      </c>
      <c r="G9032" s="220" t="s">
        <v>74</v>
      </c>
      <c r="H9032" s="142" t="str" cm="1">
        <f t="array" ref="H9032">IFERROR(INDEX(INVESTOR_LIST[INVESTOR NAME],MATCH(I9032,INVESTOR_LIST[INVESTOR CODE],0),)," ")</f>
        <v>MOHAMMAD AKIB NAWAZ</v>
      </c>
      <c r="I9032" s="142" t="s">
        <v>677</v>
      </c>
      <c r="J9032" s="168" t="s">
        <v>13</v>
      </c>
      <c r="K9032" s="218">
        <v>63730</v>
      </c>
      <c r="L9032" s="226"/>
    </row>
    <row r="9033" spans="1:12" ht="10.15" customHeight="1" x14ac:dyDescent="0.2">
      <c r="A9033" s="133">
        <v>2023</v>
      </c>
      <c r="B9033" s="133">
        <v>6</v>
      </c>
      <c r="C9033" s="133">
        <v>21</v>
      </c>
      <c r="D9033" s="141">
        <f t="shared" ref="D9033:D9034" si="1018">DATE(A9033,B9033,C9033)</f>
        <v>45098</v>
      </c>
      <c r="E9033" s="275">
        <f t="shared" ref="E9033:E9034" si="1019">DATE(A9033,B9033,C9033)</f>
        <v>45098</v>
      </c>
      <c r="F9033" s="481"/>
      <c r="G9033" s="174" t="s">
        <v>74</v>
      </c>
      <c r="H9033" s="148" t="str" cm="1">
        <f t="array" ref="H9033">IFERROR(INDEX(INVESTOR_LIST[INVESTOR NAME],MATCH(I9033,INVESTOR_LIST[INVESTOR CODE],0),)," ")</f>
        <v>MOHAMMAD AKIB NAWAZ</v>
      </c>
      <c r="I9033" s="148" t="s">
        <v>677</v>
      </c>
      <c r="J9033" s="133" t="s">
        <v>53</v>
      </c>
      <c r="K9033" s="218">
        <v>15626.600000000006</v>
      </c>
      <c r="L9033" s="133"/>
    </row>
    <row r="9034" spans="1:12" ht="10.15" customHeight="1" x14ac:dyDescent="0.2">
      <c r="A9034" s="163">
        <v>2023</v>
      </c>
      <c r="B9034" s="163">
        <v>6</v>
      </c>
      <c r="C9034" s="163">
        <v>21</v>
      </c>
      <c r="D9034" s="280">
        <f t="shared" si="1018"/>
        <v>45098</v>
      </c>
      <c r="E9034" s="281">
        <f t="shared" si="1019"/>
        <v>45098</v>
      </c>
      <c r="F9034" s="480"/>
      <c r="G9034" s="221" t="s">
        <v>74</v>
      </c>
      <c r="H9034" s="145" t="str" cm="1">
        <f t="array" ref="H9034">IFERROR(INDEX(INVESTOR_LIST[INVESTOR NAME],MATCH(I9034,INVESTOR_LIST[INVESTOR CODE],0),)," ")</f>
        <v>MOHAMMAD AKIB NAWAZ</v>
      </c>
      <c r="I9034" s="145" t="s">
        <v>677</v>
      </c>
      <c r="J9034" s="163" t="s">
        <v>52</v>
      </c>
      <c r="K9034" s="219"/>
      <c r="L9034" s="219">
        <v>79356.600000000006</v>
      </c>
    </row>
    <row r="9035" spans="1:12" ht="10.15" customHeight="1" x14ac:dyDescent="0.2">
      <c r="A9035" s="168">
        <v>2023</v>
      </c>
      <c r="B9035" s="168">
        <v>6</v>
      </c>
      <c r="C9035" s="168">
        <v>22</v>
      </c>
      <c r="D9035" s="141">
        <f>DATE(A9035,B9035,C9035)</f>
        <v>45099</v>
      </c>
      <c r="E9035" s="275">
        <f>DATE(A9035,B9035,C9035)</f>
        <v>45099</v>
      </c>
      <c r="F9035" s="479" t="s">
        <v>1310</v>
      </c>
      <c r="G9035" s="220" t="s">
        <v>74</v>
      </c>
      <c r="H9035" s="142" t="str" cm="1">
        <f t="array" ref="H9035">IFERROR(INDEX(INVESTOR_LIST[INVESTOR NAME],MATCH(I9035,INVESTOR_LIST[INVESTOR CODE],0),)," ")</f>
        <v>ZAFOR UDDIN AHMED</v>
      </c>
      <c r="I9035" s="142" t="s">
        <v>727</v>
      </c>
      <c r="J9035" s="168" t="s">
        <v>13</v>
      </c>
      <c r="K9035" s="218">
        <v>20340</v>
      </c>
      <c r="L9035" s="226"/>
    </row>
    <row r="9036" spans="1:12" ht="10.15" customHeight="1" x14ac:dyDescent="0.2">
      <c r="A9036" s="133">
        <v>2023</v>
      </c>
      <c r="B9036" s="133">
        <v>6</v>
      </c>
      <c r="C9036" s="133">
        <v>22</v>
      </c>
      <c r="D9036" s="141">
        <f t="shared" ref="D9036:D9037" si="1020">DATE(A9036,B9036,C9036)</f>
        <v>45099</v>
      </c>
      <c r="E9036" s="275">
        <f t="shared" ref="E9036:E9037" si="1021">DATE(A9036,B9036,C9036)</f>
        <v>45099</v>
      </c>
      <c r="F9036" s="481"/>
      <c r="G9036" s="174" t="s">
        <v>74</v>
      </c>
      <c r="H9036" s="148" t="str" cm="1">
        <f t="array" ref="H9036">IFERROR(INDEX(INVESTOR_LIST[INVESTOR NAME],MATCH(I9036,INVESTOR_LIST[INVESTOR CODE],0),)," ")</f>
        <v>ZAFOR UDDIN AHMED</v>
      </c>
      <c r="I9036" s="148" t="s">
        <v>727</v>
      </c>
      <c r="J9036" s="133" t="s">
        <v>53</v>
      </c>
      <c r="K9036" s="218">
        <v>4987.369999999999</v>
      </c>
      <c r="L9036" s="133"/>
    </row>
    <row r="9037" spans="1:12" ht="10.15" customHeight="1" x14ac:dyDescent="0.2">
      <c r="A9037" s="163">
        <v>2023</v>
      </c>
      <c r="B9037" s="163">
        <v>6</v>
      </c>
      <c r="C9037" s="163">
        <v>22</v>
      </c>
      <c r="D9037" s="280">
        <f t="shared" si="1020"/>
        <v>45099</v>
      </c>
      <c r="E9037" s="281">
        <f t="shared" si="1021"/>
        <v>45099</v>
      </c>
      <c r="F9037" s="480"/>
      <c r="G9037" s="221" t="s">
        <v>74</v>
      </c>
      <c r="H9037" s="145" t="str" cm="1">
        <f t="array" ref="H9037">IFERROR(INDEX(INVESTOR_LIST[INVESTOR NAME],MATCH(I9037,INVESTOR_LIST[INVESTOR CODE],0),)," ")</f>
        <v>ZAFOR UDDIN AHMED</v>
      </c>
      <c r="I9037" s="145" t="s">
        <v>727</v>
      </c>
      <c r="J9037" s="163" t="s">
        <v>52</v>
      </c>
      <c r="K9037" s="219"/>
      <c r="L9037" s="219">
        <v>25327.37</v>
      </c>
    </row>
    <row r="9038" spans="1:12" ht="10.15" customHeight="1" x14ac:dyDescent="0.2">
      <c r="A9038" s="133">
        <v>2023</v>
      </c>
      <c r="B9038" s="133">
        <v>6</v>
      </c>
      <c r="C9038" s="133">
        <v>20</v>
      </c>
      <c r="D9038" s="141">
        <f t="shared" ref="D9038:D9041" si="1022">DATE(A9038,B9038,C9038)</f>
        <v>45097</v>
      </c>
      <c r="E9038" s="275">
        <f t="shared" ref="E9038:E9041" si="1023">DATE(A9038,B9038,C9038)</f>
        <v>45097</v>
      </c>
      <c r="F9038" s="479" t="s">
        <v>1744</v>
      </c>
      <c r="G9038" s="220" t="s">
        <v>74</v>
      </c>
      <c r="H9038" s="220"/>
      <c r="I9038" s="142"/>
      <c r="J9038" s="143" t="s">
        <v>96</v>
      </c>
      <c r="K9038" s="226">
        <v>5081875</v>
      </c>
      <c r="L9038" s="226"/>
    </row>
    <row r="9039" spans="1:12" ht="10.15" customHeight="1" x14ac:dyDescent="0.2">
      <c r="A9039" s="133">
        <v>2023</v>
      </c>
      <c r="B9039" s="133">
        <v>6</v>
      </c>
      <c r="C9039" s="133">
        <v>20</v>
      </c>
      <c r="D9039" s="141">
        <f t="shared" si="1022"/>
        <v>45097</v>
      </c>
      <c r="E9039" s="275">
        <f t="shared" si="1023"/>
        <v>45097</v>
      </c>
      <c r="F9039" s="481"/>
      <c r="G9039" s="174" t="s">
        <v>74</v>
      </c>
      <c r="H9039" s="174" t="str" cm="1">
        <f t="array" ref="H9039">IFERROR(INDEX(INVESTOR_LIST[INVESTOR NAME],MATCH(I9039,INVESTOR_LIST[INVESTOR CODE],0),)," ")</f>
        <v xml:space="preserve"> </v>
      </c>
      <c r="I9039" s="148" t="s">
        <v>348</v>
      </c>
      <c r="J9039" s="149" t="s">
        <v>52</v>
      </c>
      <c r="K9039" s="218">
        <v>101637.5</v>
      </c>
      <c r="L9039" s="218"/>
    </row>
    <row r="9040" spans="1:12" ht="10.15" customHeight="1" x14ac:dyDescent="0.2">
      <c r="A9040" s="133">
        <v>2023</v>
      </c>
      <c r="B9040" s="133">
        <v>6</v>
      </c>
      <c r="C9040" s="133">
        <v>20</v>
      </c>
      <c r="D9040" s="141">
        <f t="shared" si="1022"/>
        <v>45097</v>
      </c>
      <c r="E9040" s="275">
        <f t="shared" si="1023"/>
        <v>45097</v>
      </c>
      <c r="F9040" s="481"/>
      <c r="G9040" s="174" t="s">
        <v>74</v>
      </c>
      <c r="H9040" s="174" t="str" cm="1">
        <f t="array" ref="H9040">IFERROR(INDEX(INVESTOR_LIST[INVESTOR NAME],MATCH(I9040,INVESTOR_LIST[INVESTOR CODE],0),)," ")</f>
        <v xml:space="preserve"> </v>
      </c>
      <c r="J9040" s="149" t="s">
        <v>133</v>
      </c>
      <c r="K9040" s="218"/>
      <c r="L9040" s="218">
        <v>101637.5</v>
      </c>
    </row>
    <row r="9041" spans="1:14" ht="10.15" customHeight="1" x14ac:dyDescent="0.2">
      <c r="A9041" s="163">
        <v>2023</v>
      </c>
      <c r="B9041" s="163">
        <v>6</v>
      </c>
      <c r="C9041" s="163">
        <v>20</v>
      </c>
      <c r="D9041" s="141">
        <f t="shared" si="1022"/>
        <v>45097</v>
      </c>
      <c r="E9041" s="275">
        <f t="shared" si="1023"/>
        <v>45097</v>
      </c>
      <c r="F9041" s="480"/>
      <c r="G9041" s="221" t="s">
        <v>74</v>
      </c>
      <c r="H9041" s="221"/>
      <c r="I9041" s="145"/>
      <c r="J9041" s="146" t="s">
        <v>96</v>
      </c>
      <c r="K9041" s="219"/>
      <c r="L9041" s="219">
        <v>5081875</v>
      </c>
    </row>
    <row r="9042" spans="1:14" ht="10.15" customHeight="1" x14ac:dyDescent="0.2">
      <c r="A9042" s="133">
        <v>2023</v>
      </c>
      <c r="B9042" s="133">
        <v>6</v>
      </c>
      <c r="C9042" s="133">
        <v>20</v>
      </c>
      <c r="D9042" s="141">
        <f t="shared" ref="D9042:D9045" si="1024">DATE(A9042,B9042,C9042)</f>
        <v>45097</v>
      </c>
      <c r="E9042" s="275">
        <f t="shared" ref="E9042:E9045" si="1025">DATE(A9042,B9042,C9042)</f>
        <v>45097</v>
      </c>
      <c r="F9042" s="479" t="s">
        <v>1633</v>
      </c>
      <c r="G9042" s="220" t="s">
        <v>74</v>
      </c>
      <c r="H9042" s="220"/>
      <c r="I9042" s="142"/>
      <c r="J9042" s="143" t="s">
        <v>96</v>
      </c>
      <c r="K9042" s="226">
        <v>5081875</v>
      </c>
      <c r="L9042" s="226"/>
    </row>
    <row r="9043" spans="1:14" ht="10.15" customHeight="1" x14ac:dyDescent="0.2">
      <c r="A9043" s="133">
        <v>2023</v>
      </c>
      <c r="B9043" s="133">
        <v>6</v>
      </c>
      <c r="C9043" s="133">
        <v>20</v>
      </c>
      <c r="D9043" s="141">
        <f t="shared" si="1024"/>
        <v>45097</v>
      </c>
      <c r="E9043" s="275">
        <f t="shared" si="1025"/>
        <v>45097</v>
      </c>
      <c r="F9043" s="481"/>
      <c r="G9043" s="174" t="s">
        <v>74</v>
      </c>
      <c r="H9043" s="174" t="str" cm="1">
        <f t="array" ref="H9043">IFERROR(INDEX(INVESTOR_LIST[INVESTOR NAME],MATCH(I9043,INVESTOR_LIST[INVESTOR CODE],0),)," ")</f>
        <v xml:space="preserve"> </v>
      </c>
      <c r="I9043" s="148" t="s">
        <v>348</v>
      </c>
      <c r="J9043" s="149" t="s">
        <v>52</v>
      </c>
      <c r="K9043" s="218">
        <v>101637.5</v>
      </c>
      <c r="L9043" s="218"/>
    </row>
    <row r="9044" spans="1:14" ht="10.15" customHeight="1" x14ac:dyDescent="0.2">
      <c r="A9044" s="133">
        <v>2023</v>
      </c>
      <c r="B9044" s="133">
        <v>6</v>
      </c>
      <c r="C9044" s="133">
        <v>20</v>
      </c>
      <c r="D9044" s="141">
        <f t="shared" si="1024"/>
        <v>45097</v>
      </c>
      <c r="E9044" s="275">
        <f t="shared" si="1025"/>
        <v>45097</v>
      </c>
      <c r="F9044" s="481"/>
      <c r="G9044" s="174" t="s">
        <v>74</v>
      </c>
      <c r="H9044" s="174" t="str" cm="1">
        <f t="array" ref="H9044">IFERROR(INDEX(INVESTOR_LIST[INVESTOR NAME],MATCH(I9044,INVESTOR_LIST[INVESTOR CODE],0),)," ")</f>
        <v xml:space="preserve"> </v>
      </c>
      <c r="J9044" s="149" t="s">
        <v>133</v>
      </c>
      <c r="K9044" s="218"/>
      <c r="L9044" s="218">
        <v>101637.5</v>
      </c>
    </row>
    <row r="9045" spans="1:14" ht="10.15" customHeight="1" x14ac:dyDescent="0.2">
      <c r="A9045" s="163">
        <v>2023</v>
      </c>
      <c r="B9045" s="163">
        <v>6</v>
      </c>
      <c r="C9045" s="163">
        <v>20</v>
      </c>
      <c r="D9045" s="280">
        <f t="shared" si="1024"/>
        <v>45097</v>
      </c>
      <c r="E9045" s="281">
        <f t="shared" si="1025"/>
        <v>45097</v>
      </c>
      <c r="F9045" s="480"/>
      <c r="G9045" s="221" t="s">
        <v>74</v>
      </c>
      <c r="H9045" s="221"/>
      <c r="I9045" s="145"/>
      <c r="J9045" s="146" t="s">
        <v>96</v>
      </c>
      <c r="K9045" s="219"/>
      <c r="L9045" s="219">
        <v>5081875</v>
      </c>
    </row>
    <row r="9046" spans="1:14" x14ac:dyDescent="0.2">
      <c r="A9046" s="324">
        <v>2023</v>
      </c>
      <c r="B9046" s="324">
        <v>6</v>
      </c>
      <c r="C9046" s="325">
        <v>22</v>
      </c>
      <c r="D9046" s="326">
        <f>DATE(A9046,B9046,C9046)</f>
        <v>45099</v>
      </c>
      <c r="E9046" s="327">
        <f>DATE(A9046,B9046,C9046)</f>
        <v>45099</v>
      </c>
      <c r="F9046" s="473" t="s">
        <v>1634</v>
      </c>
      <c r="G9046" s="340" t="s">
        <v>94</v>
      </c>
      <c r="H9046" s="341" t="str" cm="1">
        <f t="array" ref="H9046">IFERROR(INDEX(INVESTOR_LIST[INVESTOR NAME],MATCH(I9046,INVESTOR_LIST[INVESTOR CODE],0),)," ")</f>
        <v xml:space="preserve"> </v>
      </c>
      <c r="I9046" s="341" t="s">
        <v>348</v>
      </c>
      <c r="J9046" s="325" t="s">
        <v>133</v>
      </c>
      <c r="K9046" s="330">
        <v>4170.82</v>
      </c>
      <c r="L9046" s="330"/>
      <c r="M9046" s="160"/>
    </row>
    <row r="9047" spans="1:14" x14ac:dyDescent="0.2">
      <c r="A9047" s="331">
        <v>2023</v>
      </c>
      <c r="B9047" s="331">
        <v>6</v>
      </c>
      <c r="C9047" s="331">
        <v>22</v>
      </c>
      <c r="D9047" s="326">
        <f>DATE(A9047,B9047,C9047)</f>
        <v>45099</v>
      </c>
      <c r="E9047" s="327">
        <f>DATE(A9047,B9047,C9047)</f>
        <v>45099</v>
      </c>
      <c r="F9047" s="474"/>
      <c r="G9047" s="332" t="s">
        <v>94</v>
      </c>
      <c r="H9047" s="333" t="str" cm="1">
        <f t="array" ref="H9047">IFERROR(INDEX(INVESTOR_LIST[INVESTOR NAME],MATCH(I9047,INVESTOR_LIST[INVESTOR CODE],0),)," ")</f>
        <v xml:space="preserve"> </v>
      </c>
      <c r="I9047" s="333" t="s">
        <v>348</v>
      </c>
      <c r="J9047" s="331" t="s">
        <v>152</v>
      </c>
      <c r="K9047" s="334"/>
      <c r="L9047" s="334">
        <v>4170.82</v>
      </c>
      <c r="M9047" s="160"/>
    </row>
    <row r="9048" spans="1:14" x14ac:dyDescent="0.2">
      <c r="A9048" s="324">
        <v>2023</v>
      </c>
      <c r="B9048" s="324">
        <v>6</v>
      </c>
      <c r="C9048" s="325">
        <v>22</v>
      </c>
      <c r="D9048" s="326">
        <f t="shared" ref="D9048:D9051" si="1026">DATE(A9048,B9048,C9048)</f>
        <v>45099</v>
      </c>
      <c r="E9048" s="327">
        <f t="shared" ref="E9048:E9051" si="1027">DATE(A9048,B9048,C9048)</f>
        <v>45099</v>
      </c>
      <c r="F9048" s="473" t="s">
        <v>1490</v>
      </c>
      <c r="G9048" s="328" t="s">
        <v>94</v>
      </c>
      <c r="H9048" s="329" t="str" cm="1">
        <f t="array" ref="H9048">IFERROR(INDEX(INVESTOR_LIST[INVESTOR NAME],MATCH(I9048,INVESTOR_LIST[INVESTOR CODE],0),)," ")</f>
        <v xml:space="preserve"> </v>
      </c>
      <c r="I9048" s="329" t="s">
        <v>348</v>
      </c>
      <c r="J9048" s="325" t="s">
        <v>133</v>
      </c>
      <c r="K9048" s="330">
        <v>23577.4</v>
      </c>
      <c r="L9048" s="330"/>
      <c r="M9048" s="160"/>
    </row>
    <row r="9049" spans="1:14" x14ac:dyDescent="0.2">
      <c r="A9049" s="331">
        <v>2023</v>
      </c>
      <c r="B9049" s="331">
        <v>6</v>
      </c>
      <c r="C9049" s="331">
        <v>22</v>
      </c>
      <c r="D9049" s="326">
        <f t="shared" si="1026"/>
        <v>45099</v>
      </c>
      <c r="E9049" s="327">
        <f t="shared" si="1027"/>
        <v>45099</v>
      </c>
      <c r="F9049" s="474"/>
      <c r="G9049" s="332" t="s">
        <v>94</v>
      </c>
      <c r="H9049" s="333" t="str" cm="1">
        <f t="array" ref="H9049">IFERROR(INDEX(INVESTOR_LIST[INVESTOR NAME],MATCH(I9049,INVESTOR_LIST[INVESTOR CODE],0),)," ")</f>
        <v xml:space="preserve"> </v>
      </c>
      <c r="I9049" s="333" t="s">
        <v>348</v>
      </c>
      <c r="J9049" s="331" t="s">
        <v>152</v>
      </c>
      <c r="K9049" s="334"/>
      <c r="L9049" s="334">
        <v>23577.4</v>
      </c>
      <c r="M9049" s="160"/>
      <c r="N9049" s="160"/>
    </row>
    <row r="9050" spans="1:14" x14ac:dyDescent="0.2">
      <c r="A9050" s="324">
        <v>2023</v>
      </c>
      <c r="B9050" s="324">
        <v>6</v>
      </c>
      <c r="C9050" s="325">
        <v>22</v>
      </c>
      <c r="D9050" s="326">
        <f t="shared" si="1026"/>
        <v>45099</v>
      </c>
      <c r="E9050" s="327">
        <f t="shared" si="1027"/>
        <v>45099</v>
      </c>
      <c r="F9050" s="473" t="s">
        <v>1491</v>
      </c>
      <c r="G9050" s="328" t="s">
        <v>94</v>
      </c>
      <c r="H9050" s="329" t="str" cm="1">
        <f t="array" ref="H9050">IFERROR(INDEX(INVESTOR_LIST[INVESTOR NAME],MATCH(I9050,INVESTOR_LIST[INVESTOR CODE],0),)," ")</f>
        <v xml:space="preserve"> </v>
      </c>
      <c r="I9050" s="329" t="s">
        <v>348</v>
      </c>
      <c r="J9050" s="324" t="s">
        <v>133</v>
      </c>
      <c r="K9050" s="330">
        <v>13557.69</v>
      </c>
      <c r="L9050" s="330"/>
      <c r="M9050" s="160"/>
      <c r="N9050" s="160"/>
    </row>
    <row r="9051" spans="1:14" x14ac:dyDescent="0.2">
      <c r="A9051" s="331">
        <v>2023</v>
      </c>
      <c r="B9051" s="331">
        <v>6</v>
      </c>
      <c r="C9051" s="331">
        <v>22</v>
      </c>
      <c r="D9051" s="326">
        <f t="shared" si="1026"/>
        <v>45099</v>
      </c>
      <c r="E9051" s="327">
        <f t="shared" si="1027"/>
        <v>45099</v>
      </c>
      <c r="F9051" s="474"/>
      <c r="G9051" s="332" t="s">
        <v>94</v>
      </c>
      <c r="H9051" s="333" t="str" cm="1">
        <f t="array" ref="H9051">IFERROR(INDEX(INVESTOR_LIST[INVESTOR NAME],MATCH(I9051,INVESTOR_LIST[INVESTOR CODE],0),)," ")</f>
        <v xml:space="preserve"> </v>
      </c>
      <c r="I9051" s="333" t="s">
        <v>348</v>
      </c>
      <c r="J9051" s="331" t="s">
        <v>152</v>
      </c>
      <c r="K9051" s="334"/>
      <c r="L9051" s="334">
        <v>13557.69</v>
      </c>
      <c r="M9051" s="160"/>
    </row>
    <row r="9052" spans="1:14" x14ac:dyDescent="0.2">
      <c r="A9052" s="324">
        <v>2023</v>
      </c>
      <c r="B9052" s="324">
        <v>6</v>
      </c>
      <c r="C9052" s="325">
        <v>22</v>
      </c>
      <c r="D9052" s="326">
        <f>DATE(A9052,B9052,C9052)</f>
        <v>45099</v>
      </c>
      <c r="E9052" s="327">
        <f>DATE(A9052,B9052,C9052)</f>
        <v>45099</v>
      </c>
      <c r="F9052" s="473" t="s">
        <v>1531</v>
      </c>
      <c r="G9052" s="328" t="s">
        <v>94</v>
      </c>
      <c r="H9052" s="329" t="str" cm="1">
        <f t="array" ref="H9052">IFERROR(INDEX(INVESTOR_LIST[INVESTOR NAME],MATCH(I9052,INVESTOR_LIST[INVESTOR CODE],0),)," ")</f>
        <v xml:space="preserve"> </v>
      </c>
      <c r="I9052" s="329" t="s">
        <v>348</v>
      </c>
      <c r="J9052" s="324" t="s">
        <v>133</v>
      </c>
      <c r="K9052" s="330">
        <v>22685.71</v>
      </c>
      <c r="L9052" s="330"/>
      <c r="M9052" s="160"/>
    </row>
    <row r="9053" spans="1:14" x14ac:dyDescent="0.2">
      <c r="A9053" s="331">
        <v>2023</v>
      </c>
      <c r="B9053" s="331">
        <v>6</v>
      </c>
      <c r="C9053" s="331">
        <v>22</v>
      </c>
      <c r="D9053" s="326">
        <f>DATE(A9053,B9053,C9053)</f>
        <v>45099</v>
      </c>
      <c r="E9053" s="327">
        <f>DATE(A9053,B9053,C9053)</f>
        <v>45099</v>
      </c>
      <c r="F9053" s="474"/>
      <c r="G9053" s="332" t="s">
        <v>94</v>
      </c>
      <c r="H9053" s="333" t="str" cm="1">
        <f t="array" ref="H9053">IFERROR(INDEX(INVESTOR_LIST[INVESTOR NAME],MATCH(I9053,INVESTOR_LIST[INVESTOR CODE],0),)," ")</f>
        <v xml:space="preserve"> </v>
      </c>
      <c r="I9053" s="333" t="s">
        <v>348</v>
      </c>
      <c r="J9053" s="331" t="s">
        <v>152</v>
      </c>
      <c r="K9053" s="334"/>
      <c r="L9053" s="334">
        <v>22685.71</v>
      </c>
      <c r="M9053" s="160"/>
    </row>
    <row r="9054" spans="1:14" x14ac:dyDescent="0.2">
      <c r="A9054" s="238">
        <v>2023</v>
      </c>
      <c r="B9054" s="238">
        <v>6</v>
      </c>
      <c r="C9054" s="238">
        <v>22</v>
      </c>
      <c r="D9054" s="270">
        <f t="shared" ref="D9054:D9061" si="1028">DATE(A9054,B9054,C9054)</f>
        <v>45099</v>
      </c>
      <c r="E9054" s="279">
        <f t="shared" ref="E9054:E9061" si="1029">DATE(A9054,B9054,C9054)</f>
        <v>45099</v>
      </c>
      <c r="F9054" s="477" t="s">
        <v>347</v>
      </c>
      <c r="G9054" s="239" t="s">
        <v>94</v>
      </c>
      <c r="H9054" s="239" t="str" cm="1">
        <f t="array" ref="H9054">IFERROR(INDEX(INVESTOR_LIST[INVESTOR NAME],MATCH(I9054,INVESTOR_LIST[INVESTOR CODE],0),)," ")</f>
        <v xml:space="preserve"> </v>
      </c>
      <c r="I9054" s="262" t="s">
        <v>348</v>
      </c>
      <c r="J9054" s="240" t="s">
        <v>82</v>
      </c>
      <c r="K9054" s="241">
        <v>14694.640000000596</v>
      </c>
      <c r="L9054" s="241"/>
    </row>
    <row r="9055" spans="1:14" x14ac:dyDescent="0.2">
      <c r="A9055" s="242">
        <v>2023</v>
      </c>
      <c r="B9055" s="242">
        <v>6</v>
      </c>
      <c r="C9055" s="242">
        <v>22</v>
      </c>
      <c r="D9055" s="270">
        <f t="shared" si="1028"/>
        <v>45099</v>
      </c>
      <c r="E9055" s="279">
        <f t="shared" si="1029"/>
        <v>45099</v>
      </c>
      <c r="F9055" s="478"/>
      <c r="G9055" s="243" t="s">
        <v>94</v>
      </c>
      <c r="H9055" s="243" t="str" cm="1">
        <f t="array" ref="H9055">IFERROR(INDEX(INVESTOR_LIST[INVESTOR NAME],MATCH(I9055,INVESTOR_LIST[INVESTOR CODE],0),)," ")</f>
        <v xml:space="preserve"> </v>
      </c>
      <c r="I9055" s="263" t="s">
        <v>348</v>
      </c>
      <c r="J9055" s="244" t="s">
        <v>108</v>
      </c>
      <c r="K9055" s="245"/>
      <c r="L9055" s="245">
        <v>14694.640000000596</v>
      </c>
    </row>
    <row r="9056" spans="1:14" ht="22.5" x14ac:dyDescent="0.2">
      <c r="A9056" s="246">
        <v>2023</v>
      </c>
      <c r="B9056" s="238">
        <v>6</v>
      </c>
      <c r="C9056" s="238">
        <v>22</v>
      </c>
      <c r="D9056" s="270">
        <f t="shared" si="1028"/>
        <v>45099</v>
      </c>
      <c r="E9056" s="279">
        <f t="shared" si="1029"/>
        <v>45099</v>
      </c>
      <c r="F9056" s="482" t="s">
        <v>148</v>
      </c>
      <c r="G9056" s="247" t="s">
        <v>94</v>
      </c>
      <c r="H9056" s="247" t="str" cm="1">
        <f t="array" ref="H9056">IFERROR(INDEX(INVESTOR_LIST[INVESTOR NAME],MATCH(I9056,INVESTOR_LIST[INVESTOR CODE],0),)," ")</f>
        <v xml:space="preserve"> </v>
      </c>
      <c r="I9056" s="248" t="s">
        <v>348</v>
      </c>
      <c r="J9056" s="249" t="s">
        <v>95</v>
      </c>
      <c r="K9056" s="250">
        <v>2747.2527472527472</v>
      </c>
      <c r="L9056" s="241"/>
    </row>
    <row r="9057" spans="1:12" x14ac:dyDescent="0.2">
      <c r="A9057" s="242">
        <v>2023</v>
      </c>
      <c r="B9057" s="242">
        <v>6</v>
      </c>
      <c r="C9057" s="242">
        <v>22</v>
      </c>
      <c r="D9057" s="270">
        <f t="shared" si="1028"/>
        <v>45099</v>
      </c>
      <c r="E9057" s="279">
        <f t="shared" si="1029"/>
        <v>45099</v>
      </c>
      <c r="F9057" s="478"/>
      <c r="G9057" s="243" t="s">
        <v>94</v>
      </c>
      <c r="H9057" s="243" t="str" cm="1">
        <f t="array" ref="H9057">IFERROR(INDEX(INVESTOR_LIST[INVESTOR NAME],MATCH(I9057,INVESTOR_LIST[INVESTOR CODE],0),)," ")</f>
        <v xml:space="preserve"> </v>
      </c>
      <c r="I9057" s="263" t="s">
        <v>348</v>
      </c>
      <c r="J9057" s="244" t="s">
        <v>63</v>
      </c>
      <c r="K9057" s="245"/>
      <c r="L9057" s="245">
        <v>2747.2527472527472</v>
      </c>
    </row>
    <row r="9058" spans="1:12" x14ac:dyDescent="0.2">
      <c r="A9058" s="246">
        <v>2023</v>
      </c>
      <c r="B9058" s="238">
        <v>6</v>
      </c>
      <c r="C9058" s="238">
        <v>22</v>
      </c>
      <c r="D9058" s="270">
        <f t="shared" si="1028"/>
        <v>45099</v>
      </c>
      <c r="E9058" s="279">
        <f t="shared" si="1029"/>
        <v>45099</v>
      </c>
      <c r="F9058" s="482" t="s">
        <v>137</v>
      </c>
      <c r="G9058" s="247" t="s">
        <v>94</v>
      </c>
      <c r="H9058" s="247" t="str" cm="1">
        <f t="array" ref="H9058">IFERROR(INDEX(INVESTOR_LIST[INVESTOR NAME],MATCH(I9058,INVESTOR_LIST[INVESTOR CODE],0),)," ")</f>
        <v xml:space="preserve"> </v>
      </c>
      <c r="I9058" s="248" t="s">
        <v>348</v>
      </c>
      <c r="J9058" s="249" t="s">
        <v>97</v>
      </c>
      <c r="K9058" s="250">
        <v>31523.843874531758</v>
      </c>
      <c r="L9058" s="252"/>
    </row>
    <row r="9059" spans="1:12" x14ac:dyDescent="0.2">
      <c r="A9059" s="242">
        <v>2023</v>
      </c>
      <c r="B9059" s="242">
        <v>6</v>
      </c>
      <c r="C9059" s="242">
        <v>22</v>
      </c>
      <c r="D9059" s="270">
        <f t="shared" si="1028"/>
        <v>45099</v>
      </c>
      <c r="E9059" s="279">
        <f t="shared" si="1029"/>
        <v>45099</v>
      </c>
      <c r="F9059" s="478"/>
      <c r="G9059" s="243" t="s">
        <v>94</v>
      </c>
      <c r="H9059" s="243" t="str" cm="1">
        <f t="array" ref="H9059">IFERROR(INDEX(INVESTOR_LIST[INVESTOR NAME],MATCH(I9059,INVESTOR_LIST[INVESTOR CODE],0),)," ")</f>
        <v xml:space="preserve"> </v>
      </c>
      <c r="I9059" s="263" t="s">
        <v>348</v>
      </c>
      <c r="J9059" s="244" t="s">
        <v>47</v>
      </c>
      <c r="K9059" s="245"/>
      <c r="L9059" s="245">
        <v>31523.843874531758</v>
      </c>
    </row>
    <row r="9060" spans="1:12" x14ac:dyDescent="0.2">
      <c r="A9060" s="246">
        <v>2023</v>
      </c>
      <c r="B9060" s="238">
        <v>6</v>
      </c>
      <c r="C9060" s="238">
        <v>22</v>
      </c>
      <c r="D9060" s="270">
        <f t="shared" si="1028"/>
        <v>45099</v>
      </c>
      <c r="E9060" s="279">
        <f t="shared" si="1029"/>
        <v>45099</v>
      </c>
      <c r="F9060" s="482" t="s">
        <v>138</v>
      </c>
      <c r="G9060" s="247" t="s">
        <v>94</v>
      </c>
      <c r="H9060" s="247" t="str" cm="1">
        <f t="array" ref="H9060">IFERROR(INDEX(INVESTOR_LIST[INVESTOR NAME],MATCH(I9060,INVESTOR_LIST[INVESTOR CODE],0),)," ")</f>
        <v xml:space="preserve"> </v>
      </c>
      <c r="I9060" s="248" t="s">
        <v>348</v>
      </c>
      <c r="J9060" s="249" t="s">
        <v>100</v>
      </c>
      <c r="K9060" s="250">
        <v>3152.3843874531758</v>
      </c>
      <c r="L9060" s="252"/>
    </row>
    <row r="9061" spans="1:12" ht="10.9" customHeight="1" x14ac:dyDescent="0.2">
      <c r="A9061" s="242">
        <v>2023</v>
      </c>
      <c r="B9061" s="242">
        <v>6</v>
      </c>
      <c r="C9061" s="242">
        <v>22</v>
      </c>
      <c r="D9061" s="321">
        <f t="shared" si="1028"/>
        <v>45099</v>
      </c>
      <c r="E9061" s="322">
        <f t="shared" si="1029"/>
        <v>45099</v>
      </c>
      <c r="F9061" s="478"/>
      <c r="G9061" s="243" t="s">
        <v>94</v>
      </c>
      <c r="H9061" s="243" t="str" cm="1">
        <f t="array" ref="H9061">IFERROR(INDEX(INVESTOR_LIST[INVESTOR NAME],MATCH(I9061,INVESTOR_LIST[INVESTOR CODE],0),)," ")</f>
        <v xml:space="preserve"> </v>
      </c>
      <c r="I9061" s="263" t="s">
        <v>348</v>
      </c>
      <c r="J9061" s="244" t="s">
        <v>48</v>
      </c>
      <c r="K9061" s="245"/>
      <c r="L9061" s="245">
        <v>3152.3843874531758</v>
      </c>
    </row>
    <row r="9062" spans="1:12" ht="10.15" customHeight="1" x14ac:dyDescent="0.2">
      <c r="A9062" s="168">
        <v>2023</v>
      </c>
      <c r="B9062" s="168">
        <v>6</v>
      </c>
      <c r="C9062" s="168">
        <v>25</v>
      </c>
      <c r="D9062" s="141">
        <f>DATE(A9062,B9062,C9062)</f>
        <v>45102</v>
      </c>
      <c r="E9062" s="275">
        <f>DATE(A9062,B9062,C9062)</f>
        <v>45102</v>
      </c>
      <c r="F9062" s="479" t="s">
        <v>965</v>
      </c>
      <c r="G9062" s="220" t="s">
        <v>74</v>
      </c>
      <c r="H9062" s="142" t="str" cm="1">
        <f t="array" ref="H9062">IFERROR(INDEX(INVESTOR_LIST[INVESTOR NAME],MATCH(I9062,INVESTOR_LIST[INVESTOR CODE],0),)," ")</f>
        <v>SHAHNAZ PARVEEN</v>
      </c>
      <c r="I9062" s="142" t="s">
        <v>881</v>
      </c>
      <c r="J9062" s="168" t="s">
        <v>13</v>
      </c>
      <c r="K9062" s="218">
        <v>328600</v>
      </c>
      <c r="L9062" s="226"/>
    </row>
    <row r="9063" spans="1:12" ht="10.15" customHeight="1" x14ac:dyDescent="0.2">
      <c r="A9063" s="133">
        <v>2023</v>
      </c>
      <c r="B9063" s="133">
        <v>6</v>
      </c>
      <c r="C9063" s="133">
        <v>25</v>
      </c>
      <c r="D9063" s="141">
        <f t="shared" ref="D9063:D9069" si="1030">DATE(A9063,B9063,C9063)</f>
        <v>45102</v>
      </c>
      <c r="E9063" s="275">
        <f t="shared" ref="E9063:E9069" si="1031">DATE(A9063,B9063,C9063)</f>
        <v>45102</v>
      </c>
      <c r="F9063" s="481"/>
      <c r="G9063" s="174" t="s">
        <v>74</v>
      </c>
      <c r="H9063" s="148" t="str" cm="1">
        <f t="array" ref="H9063">IFERROR(INDEX(INVESTOR_LIST[INVESTOR NAME],MATCH(I9063,INVESTOR_LIST[INVESTOR CODE],0),)," ")</f>
        <v>SHAHNAZ PARVEEN</v>
      </c>
      <c r="I9063" s="148" t="s">
        <v>881</v>
      </c>
      <c r="J9063" s="133" t="s">
        <v>53</v>
      </c>
      <c r="K9063" s="218">
        <v>80605.580000000016</v>
      </c>
      <c r="L9063" s="133"/>
    </row>
    <row r="9064" spans="1:12" ht="10.15" customHeight="1" x14ac:dyDescent="0.2">
      <c r="A9064" s="163">
        <v>2023</v>
      </c>
      <c r="B9064" s="163">
        <v>6</v>
      </c>
      <c r="C9064" s="163">
        <v>25</v>
      </c>
      <c r="D9064" s="280">
        <f t="shared" si="1030"/>
        <v>45102</v>
      </c>
      <c r="E9064" s="281">
        <f t="shared" si="1031"/>
        <v>45102</v>
      </c>
      <c r="F9064" s="480"/>
      <c r="G9064" s="221" t="s">
        <v>74</v>
      </c>
      <c r="H9064" s="145" t="str" cm="1">
        <f t="array" ref="H9064">IFERROR(INDEX(INVESTOR_LIST[INVESTOR NAME],MATCH(I9064,INVESTOR_LIST[INVESTOR CODE],0),)," ")</f>
        <v>SHAHNAZ PARVEEN</v>
      </c>
      <c r="I9064" s="145" t="s">
        <v>881</v>
      </c>
      <c r="J9064" s="163" t="s">
        <v>52</v>
      </c>
      <c r="K9064" s="219"/>
      <c r="L9064" s="219">
        <v>409205.58</v>
      </c>
    </row>
    <row r="9065" spans="1:12" x14ac:dyDescent="0.2">
      <c r="A9065" s="168">
        <v>2023</v>
      </c>
      <c r="B9065" s="133">
        <v>6</v>
      </c>
      <c r="C9065" s="133">
        <v>25</v>
      </c>
      <c r="D9065" s="141">
        <f t="shared" si="1030"/>
        <v>45102</v>
      </c>
      <c r="E9065" s="275">
        <f t="shared" si="1031"/>
        <v>45102</v>
      </c>
      <c r="F9065" s="479" t="s">
        <v>1745</v>
      </c>
      <c r="G9065" s="220" t="s">
        <v>74</v>
      </c>
      <c r="H9065" s="220" t="str" cm="1">
        <f t="array" ref="H9065">IFERROR(INDEX(INVESTOR_LIST[INVESTOR NAME],MATCH(I9065,INVESTOR_LIST[INVESTOR CODE],0),)," ")</f>
        <v xml:space="preserve"> </v>
      </c>
      <c r="I9065" s="142" t="s">
        <v>348</v>
      </c>
      <c r="J9065" s="143" t="s">
        <v>79</v>
      </c>
      <c r="K9065" s="226">
        <v>90310</v>
      </c>
      <c r="L9065" s="226"/>
    </row>
    <row r="9066" spans="1:12" x14ac:dyDescent="0.2">
      <c r="A9066" s="133">
        <v>2023</v>
      </c>
      <c r="B9066" s="133">
        <v>6</v>
      </c>
      <c r="C9066" s="133">
        <v>25</v>
      </c>
      <c r="D9066" s="141">
        <f t="shared" si="1030"/>
        <v>45102</v>
      </c>
      <c r="E9066" s="275">
        <f t="shared" si="1031"/>
        <v>45102</v>
      </c>
      <c r="F9066" s="481"/>
      <c r="G9066" s="174" t="s">
        <v>74</v>
      </c>
      <c r="H9066" s="174"/>
      <c r="J9066" s="149" t="s">
        <v>52</v>
      </c>
      <c r="K9066" s="218">
        <v>4909690</v>
      </c>
      <c r="L9066" s="218"/>
    </row>
    <row r="9067" spans="1:12" x14ac:dyDescent="0.2">
      <c r="A9067" s="163">
        <v>2023</v>
      </c>
      <c r="B9067" s="163">
        <v>6</v>
      </c>
      <c r="C9067" s="163">
        <v>25</v>
      </c>
      <c r="D9067" s="280">
        <f t="shared" si="1030"/>
        <v>45102</v>
      </c>
      <c r="E9067" s="281">
        <f t="shared" si="1031"/>
        <v>45102</v>
      </c>
      <c r="F9067" s="480"/>
      <c r="G9067" s="221" t="s">
        <v>74</v>
      </c>
      <c r="H9067" s="221" t="str" cm="1">
        <f t="array" ref="H9067">IFERROR(INDEX(INVESTOR_LIST[INVESTOR NAME],MATCH(I9067,INVESTOR_LIST[INVESTOR CODE],0),)," ")</f>
        <v xml:space="preserve"> </v>
      </c>
      <c r="I9067" s="145" t="s">
        <v>348</v>
      </c>
      <c r="J9067" s="146" t="s">
        <v>184</v>
      </c>
      <c r="K9067" s="219"/>
      <c r="L9067" s="219">
        <v>5000000</v>
      </c>
    </row>
    <row r="9068" spans="1:12" x14ac:dyDescent="0.2">
      <c r="A9068" s="133">
        <v>2023</v>
      </c>
      <c r="B9068" s="133">
        <v>6</v>
      </c>
      <c r="C9068" s="168">
        <v>25</v>
      </c>
      <c r="D9068" s="141">
        <f t="shared" si="1030"/>
        <v>45102</v>
      </c>
      <c r="E9068" s="275">
        <f t="shared" si="1031"/>
        <v>45102</v>
      </c>
      <c r="F9068" s="479" t="s">
        <v>1746</v>
      </c>
      <c r="G9068" s="174" t="s">
        <v>74</v>
      </c>
      <c r="H9068" s="148" t="str" cm="1">
        <f t="array" ref="H9068">IFERROR(INDEX(INVESTOR_LIST[INVESTOR NAME],MATCH(I9068,INVESTOR_LIST[INVESTOR CODE],0),)," ")</f>
        <v xml:space="preserve"> </v>
      </c>
      <c r="I9068" s="148" t="s">
        <v>348</v>
      </c>
      <c r="J9068" s="133" t="s">
        <v>52</v>
      </c>
      <c r="K9068" s="172">
        <v>28038.34</v>
      </c>
    </row>
    <row r="9069" spans="1:12" x14ac:dyDescent="0.2">
      <c r="A9069" s="163">
        <v>2023</v>
      </c>
      <c r="B9069" s="163">
        <v>6</v>
      </c>
      <c r="C9069" s="163">
        <v>25</v>
      </c>
      <c r="D9069" s="141">
        <f t="shared" si="1030"/>
        <v>45102</v>
      </c>
      <c r="E9069" s="275">
        <f t="shared" si="1031"/>
        <v>45102</v>
      </c>
      <c r="F9069" s="480"/>
      <c r="G9069" s="221" t="s">
        <v>74</v>
      </c>
      <c r="H9069" s="145" t="str" cm="1">
        <f t="array" ref="H9069">IFERROR(INDEX(INVESTOR_LIST[INVESTOR NAME],MATCH(I9069,INVESTOR_LIST[INVESTOR CODE],0),)," ")</f>
        <v xml:space="preserve"> </v>
      </c>
      <c r="I9069" s="145" t="s">
        <v>348</v>
      </c>
      <c r="J9069" s="163" t="s">
        <v>166</v>
      </c>
      <c r="K9069" s="219"/>
      <c r="L9069" s="219">
        <v>28038.34</v>
      </c>
    </row>
    <row r="9070" spans="1:12" ht="10.15" customHeight="1" x14ac:dyDescent="0.2">
      <c r="A9070" s="168">
        <v>2023</v>
      </c>
      <c r="B9070" s="168">
        <v>6</v>
      </c>
      <c r="C9070" s="168">
        <v>26</v>
      </c>
      <c r="D9070" s="141">
        <f>DATE(A9070,B9070,C9070)</f>
        <v>45103</v>
      </c>
      <c r="E9070" s="275">
        <f>DATE(A9070,B9070,C9070)</f>
        <v>45103</v>
      </c>
      <c r="F9070" s="479" t="s">
        <v>965</v>
      </c>
      <c r="G9070" s="220" t="s">
        <v>74</v>
      </c>
      <c r="H9070" s="142" t="str" cm="1">
        <f t="array" ref="H9070">IFERROR(INDEX(INVESTOR_LIST[INVESTOR NAME],MATCH(I9070,INVESTOR_LIST[INVESTOR CODE],0),)," ")</f>
        <v>QUAZI TOWFIQUE UDDIN</v>
      </c>
      <c r="I9070" s="142" t="s">
        <v>704</v>
      </c>
      <c r="J9070" s="168" t="s">
        <v>13</v>
      </c>
      <c r="K9070" s="218">
        <v>1127250</v>
      </c>
      <c r="L9070" s="226"/>
    </row>
    <row r="9071" spans="1:12" ht="10.15" customHeight="1" x14ac:dyDescent="0.2">
      <c r="A9071" s="133">
        <v>2023</v>
      </c>
      <c r="B9071" s="133">
        <v>6</v>
      </c>
      <c r="C9071" s="133">
        <v>26</v>
      </c>
      <c r="D9071" s="141">
        <f t="shared" ref="D9071:D9073" si="1032">DATE(A9071,B9071,C9071)</f>
        <v>45103</v>
      </c>
      <c r="E9071" s="275">
        <f t="shared" ref="E9071:E9073" si="1033">DATE(A9071,B9071,C9071)</f>
        <v>45103</v>
      </c>
      <c r="F9071" s="481"/>
      <c r="G9071" s="174" t="s">
        <v>74</v>
      </c>
      <c r="H9071" s="148" t="str" cm="1">
        <f t="array" ref="H9071">IFERROR(INDEX(INVESTOR_LIST[INVESTOR NAME],MATCH(I9071,INVESTOR_LIST[INVESTOR CODE],0),)," ")</f>
        <v>QUAZI TOWFIQUE UDDIN</v>
      </c>
      <c r="I9071" s="148" t="s">
        <v>704</v>
      </c>
      <c r="J9071" s="133" t="s">
        <v>53</v>
      </c>
      <c r="K9071" s="218">
        <v>276399.43</v>
      </c>
      <c r="L9071" s="133"/>
    </row>
    <row r="9072" spans="1:12" ht="10.15" customHeight="1" x14ac:dyDescent="0.2">
      <c r="A9072" s="163">
        <v>2023</v>
      </c>
      <c r="B9072" s="163">
        <v>6</v>
      </c>
      <c r="C9072" s="163">
        <v>26</v>
      </c>
      <c r="D9072" s="280">
        <f t="shared" si="1032"/>
        <v>45103</v>
      </c>
      <c r="E9072" s="281">
        <f t="shared" si="1033"/>
        <v>45103</v>
      </c>
      <c r="F9072" s="480"/>
      <c r="G9072" s="221" t="s">
        <v>74</v>
      </c>
      <c r="H9072" s="145" t="str" cm="1">
        <f t="array" ref="H9072">IFERROR(INDEX(INVESTOR_LIST[INVESTOR NAME],MATCH(I9072,INVESTOR_LIST[INVESTOR CODE],0),)," ")</f>
        <v>QUAZI TOWFIQUE UDDIN</v>
      </c>
      <c r="I9072" s="145" t="s">
        <v>704</v>
      </c>
      <c r="J9072" s="163" t="s">
        <v>52</v>
      </c>
      <c r="K9072" s="219"/>
      <c r="L9072" s="219">
        <v>1403649.43</v>
      </c>
    </row>
    <row r="9073" spans="1:12" x14ac:dyDescent="0.2">
      <c r="A9073" s="168">
        <v>2023</v>
      </c>
      <c r="B9073" s="168">
        <v>6</v>
      </c>
      <c r="C9073" s="168">
        <v>26</v>
      </c>
      <c r="D9073" s="280">
        <f t="shared" si="1032"/>
        <v>45103</v>
      </c>
      <c r="E9073" s="281">
        <f t="shared" si="1033"/>
        <v>45103</v>
      </c>
      <c r="F9073" s="479" t="s">
        <v>1567</v>
      </c>
      <c r="G9073" s="220" t="s">
        <v>74</v>
      </c>
      <c r="H9073" s="142" t="str" cm="1">
        <f t="array" ref="H9073">IFERROR(INDEX(INVESTOR_LIST[INVESTOR NAME],MATCH(I9073,INVESTOR_LIST[INVESTOR CODE],0),)," ")</f>
        <v xml:space="preserve"> </v>
      </c>
      <c r="I9073" s="142"/>
      <c r="J9073" s="168" t="s">
        <v>61</v>
      </c>
      <c r="K9073" s="226">
        <v>100</v>
      </c>
      <c r="L9073" s="226"/>
    </row>
    <row r="9074" spans="1:12" x14ac:dyDescent="0.2">
      <c r="A9074" s="163">
        <v>2023</v>
      </c>
      <c r="B9074" s="163">
        <v>6</v>
      </c>
      <c r="C9074" s="163">
        <v>26</v>
      </c>
      <c r="D9074" s="144">
        <f>DATE(A9074,B9074,C9074)</f>
        <v>45103</v>
      </c>
      <c r="E9074" s="313">
        <f>DATE(A9074,B9074,C9074)</f>
        <v>45103</v>
      </c>
      <c r="F9074" s="480"/>
      <c r="G9074" s="221" t="s">
        <v>74</v>
      </c>
      <c r="H9074" s="145" t="str" cm="1">
        <f t="array" ref="H9074">IFERROR(INDEX(INVESTOR_LIST[INVESTOR NAME],MATCH(I9074,INVESTOR_LIST[INVESTOR CODE],0),)," ")</f>
        <v xml:space="preserve"> </v>
      </c>
      <c r="I9074" s="145"/>
      <c r="J9074" s="163" t="s">
        <v>52</v>
      </c>
      <c r="K9074" s="219"/>
      <c r="L9074" s="219">
        <v>100</v>
      </c>
    </row>
    <row r="9075" spans="1:12" x14ac:dyDescent="0.2">
      <c r="A9075" s="133">
        <v>2023</v>
      </c>
      <c r="B9075" s="133">
        <v>6</v>
      </c>
      <c r="C9075" s="168">
        <v>26</v>
      </c>
      <c r="D9075" s="141">
        <f t="shared" ref="D9075:D9085" si="1034">DATE(A9075,B9075,C9075)</f>
        <v>45103</v>
      </c>
      <c r="E9075" s="275">
        <f t="shared" ref="E9075:E9085" si="1035">DATE(A9075,B9075,C9075)</f>
        <v>45103</v>
      </c>
      <c r="F9075" s="479" t="s">
        <v>1432</v>
      </c>
      <c r="G9075" s="174" t="s">
        <v>74</v>
      </c>
      <c r="H9075" s="148" t="str" cm="1">
        <f t="array" ref="H9075">IFERROR(INDEX(INVESTOR_LIST[INVESTOR NAME],MATCH(I9075,INVESTOR_LIST[INVESTOR CODE],0),)," ")</f>
        <v xml:space="preserve"> </v>
      </c>
      <c r="I9075" s="148" t="s">
        <v>348</v>
      </c>
      <c r="J9075" s="133" t="s">
        <v>52</v>
      </c>
      <c r="K9075" s="172">
        <v>34433</v>
      </c>
    </row>
    <row r="9076" spans="1:12" x14ac:dyDescent="0.2">
      <c r="A9076" s="163">
        <v>2023</v>
      </c>
      <c r="B9076" s="163">
        <v>6</v>
      </c>
      <c r="C9076" s="163">
        <v>26</v>
      </c>
      <c r="D9076" s="141">
        <f t="shared" si="1034"/>
        <v>45103</v>
      </c>
      <c r="E9076" s="275">
        <f t="shared" si="1035"/>
        <v>45103</v>
      </c>
      <c r="F9076" s="480"/>
      <c r="G9076" s="221" t="s">
        <v>74</v>
      </c>
      <c r="H9076" s="145" t="str" cm="1">
        <f t="array" ref="H9076">IFERROR(INDEX(INVESTOR_LIST[INVESTOR NAME],MATCH(I9076,INVESTOR_LIST[INVESTOR CODE],0),)," ")</f>
        <v xml:space="preserve"> </v>
      </c>
      <c r="I9076" s="145" t="s">
        <v>348</v>
      </c>
      <c r="J9076" s="163" t="s">
        <v>60</v>
      </c>
      <c r="K9076" s="219"/>
      <c r="L9076" s="219">
        <v>34433</v>
      </c>
    </row>
    <row r="9077" spans="1:12" x14ac:dyDescent="0.2">
      <c r="A9077" s="133">
        <v>2023</v>
      </c>
      <c r="B9077" s="133">
        <v>6</v>
      </c>
      <c r="C9077" s="168">
        <v>28</v>
      </c>
      <c r="D9077" s="141">
        <f t="shared" si="1034"/>
        <v>45105</v>
      </c>
      <c r="E9077" s="275">
        <f t="shared" si="1035"/>
        <v>45105</v>
      </c>
      <c r="F9077" s="479" t="s">
        <v>77</v>
      </c>
      <c r="G9077" s="174" t="s">
        <v>74</v>
      </c>
      <c r="H9077" s="148" t="str" cm="1">
        <f t="array" ref="H9077">IFERROR(INDEX(INVESTOR_LIST[INVESTOR NAME],MATCH(I9077,INVESTOR_LIST[INVESTOR CODE],0),)," ")</f>
        <v xml:space="preserve"> </v>
      </c>
      <c r="I9077" s="148" t="s">
        <v>348</v>
      </c>
      <c r="J9077" s="133" t="s">
        <v>61</v>
      </c>
      <c r="K9077" s="172">
        <v>575</v>
      </c>
    </row>
    <row r="9078" spans="1:12" x14ac:dyDescent="0.2">
      <c r="A9078" s="163">
        <v>2023</v>
      </c>
      <c r="B9078" s="163">
        <v>6</v>
      </c>
      <c r="C9078" s="163">
        <v>28</v>
      </c>
      <c r="D9078" s="141">
        <f t="shared" si="1034"/>
        <v>45105</v>
      </c>
      <c r="E9078" s="275">
        <f t="shared" si="1035"/>
        <v>45105</v>
      </c>
      <c r="F9078" s="480"/>
      <c r="G9078" s="221" t="s">
        <v>74</v>
      </c>
      <c r="H9078" s="145" t="str" cm="1">
        <f t="array" ref="H9078">IFERROR(INDEX(INVESTOR_LIST[INVESTOR NAME],MATCH(I9078,INVESTOR_LIST[INVESTOR CODE],0),)," ")</f>
        <v xml:space="preserve"> </v>
      </c>
      <c r="I9078" s="145" t="s">
        <v>348</v>
      </c>
      <c r="J9078" s="163" t="s">
        <v>52</v>
      </c>
      <c r="K9078" s="219"/>
      <c r="L9078" s="219">
        <v>575</v>
      </c>
    </row>
    <row r="9079" spans="1:12" x14ac:dyDescent="0.2">
      <c r="A9079" s="133">
        <v>2023</v>
      </c>
      <c r="B9079" s="133">
        <v>6</v>
      </c>
      <c r="C9079" s="168">
        <v>26</v>
      </c>
      <c r="D9079" s="141">
        <f t="shared" si="1034"/>
        <v>45103</v>
      </c>
      <c r="E9079" s="275">
        <f t="shared" si="1035"/>
        <v>45103</v>
      </c>
      <c r="F9079" s="479" t="s">
        <v>1432</v>
      </c>
      <c r="G9079" s="174" t="s">
        <v>74</v>
      </c>
      <c r="H9079" s="148" t="str" cm="1">
        <f t="array" ref="H9079">IFERROR(INDEX(INVESTOR_LIST[INVESTOR NAME],MATCH(I9079,INVESTOR_LIST[INVESTOR CODE],0),)," ")</f>
        <v xml:space="preserve"> </v>
      </c>
      <c r="I9079" s="148" t="s">
        <v>348</v>
      </c>
      <c r="J9079" s="133" t="s">
        <v>52</v>
      </c>
      <c r="K9079" s="172">
        <v>293831</v>
      </c>
    </row>
    <row r="9080" spans="1:12" x14ac:dyDescent="0.2">
      <c r="A9080" s="163">
        <v>2023</v>
      </c>
      <c r="B9080" s="163">
        <v>6</v>
      </c>
      <c r="C9080" s="163">
        <v>26</v>
      </c>
      <c r="D9080" s="141">
        <f t="shared" si="1034"/>
        <v>45103</v>
      </c>
      <c r="E9080" s="275">
        <f t="shared" si="1035"/>
        <v>45103</v>
      </c>
      <c r="F9080" s="480"/>
      <c r="G9080" s="221" t="s">
        <v>74</v>
      </c>
      <c r="H9080" s="145" t="str" cm="1">
        <f t="array" ref="H9080">IFERROR(INDEX(INVESTOR_LIST[INVESTOR NAME],MATCH(I9080,INVESTOR_LIST[INVESTOR CODE],0),)," ")</f>
        <v xml:space="preserve"> </v>
      </c>
      <c r="I9080" s="145" t="s">
        <v>348</v>
      </c>
      <c r="J9080" s="163" t="s">
        <v>60</v>
      </c>
      <c r="K9080" s="219"/>
      <c r="L9080" s="219">
        <v>293831</v>
      </c>
    </row>
    <row r="9081" spans="1:12" ht="10.15" customHeight="1" x14ac:dyDescent="0.2">
      <c r="A9081" s="168">
        <v>2023</v>
      </c>
      <c r="B9081" s="168">
        <v>6</v>
      </c>
      <c r="C9081" s="168">
        <v>27</v>
      </c>
      <c r="D9081" s="141">
        <f t="shared" si="1034"/>
        <v>45104</v>
      </c>
      <c r="E9081" s="275">
        <f t="shared" si="1035"/>
        <v>45104</v>
      </c>
      <c r="F9081" s="479" t="s">
        <v>1319</v>
      </c>
      <c r="G9081" s="220" t="s">
        <v>74</v>
      </c>
      <c r="H9081" s="142" t="str" cm="1">
        <f t="array" ref="H9081">IFERROR(INDEX(INVESTOR_LIST[INVESTOR NAME],MATCH(I9081,INVESTOR_LIST[INVESTOR CODE],0),)," ")</f>
        <v xml:space="preserve"> </v>
      </c>
      <c r="I9081" s="142"/>
      <c r="J9081" s="168" t="s">
        <v>52</v>
      </c>
      <c r="K9081" s="226">
        <v>401000</v>
      </c>
      <c r="L9081" s="226"/>
    </row>
    <row r="9082" spans="1:12" ht="10.15" customHeight="1" x14ac:dyDescent="0.2">
      <c r="A9082" s="133">
        <v>2023</v>
      </c>
      <c r="B9082" s="133">
        <v>6</v>
      </c>
      <c r="C9082" s="133">
        <v>27</v>
      </c>
      <c r="D9082" s="141">
        <f t="shared" si="1034"/>
        <v>45104</v>
      </c>
      <c r="E9082" s="275">
        <f t="shared" si="1035"/>
        <v>45104</v>
      </c>
      <c r="F9082" s="481"/>
      <c r="G9082" s="174" t="s">
        <v>74</v>
      </c>
      <c r="H9082" s="148" t="str" cm="1">
        <f t="array" ref="H9082">IFERROR(INDEX(INVESTOR_LIST[INVESTOR NAME],MATCH(I9082,INVESTOR_LIST[INVESTOR CODE],0),)," ")</f>
        <v xml:space="preserve"> </v>
      </c>
      <c r="J9082" s="133" t="s">
        <v>13</v>
      </c>
      <c r="K9082" s="218"/>
      <c r="L9082" s="218">
        <v>321860</v>
      </c>
    </row>
    <row r="9083" spans="1:12" ht="10.15" customHeight="1" x14ac:dyDescent="0.2">
      <c r="A9083" s="163">
        <v>2023</v>
      </c>
      <c r="B9083" s="163">
        <v>6</v>
      </c>
      <c r="C9083" s="163">
        <v>27</v>
      </c>
      <c r="D9083" s="280">
        <f t="shared" si="1034"/>
        <v>45104</v>
      </c>
      <c r="E9083" s="281">
        <f t="shared" si="1035"/>
        <v>45104</v>
      </c>
      <c r="F9083" s="480"/>
      <c r="G9083" s="221" t="s">
        <v>74</v>
      </c>
      <c r="H9083" s="145" t="str" cm="1">
        <f t="array" ref="H9083">IFERROR(INDEX(INVESTOR_LIST[INVESTOR NAME],MATCH(I9083,INVESTOR_LIST[INVESTOR CODE],0),)," ")</f>
        <v xml:space="preserve"> </v>
      </c>
      <c r="I9083" s="145"/>
      <c r="J9083" s="163" t="s">
        <v>53</v>
      </c>
      <c r="K9083" s="219"/>
      <c r="L9083" s="219">
        <v>79140</v>
      </c>
    </row>
    <row r="9084" spans="1:12" x14ac:dyDescent="0.2">
      <c r="A9084" s="133">
        <v>2023</v>
      </c>
      <c r="B9084" s="133">
        <v>6</v>
      </c>
      <c r="C9084" s="168">
        <v>28</v>
      </c>
      <c r="D9084" s="141">
        <f t="shared" si="1034"/>
        <v>45105</v>
      </c>
      <c r="E9084" s="275">
        <f t="shared" si="1035"/>
        <v>45105</v>
      </c>
      <c r="F9084" s="479" t="s">
        <v>77</v>
      </c>
      <c r="G9084" s="174" t="s">
        <v>74</v>
      </c>
      <c r="H9084" s="148" t="str" cm="1">
        <f t="array" ref="H9084">IFERROR(INDEX(INVESTOR_LIST[INVESTOR NAME],MATCH(I9084,INVESTOR_LIST[INVESTOR CODE],0),)," ")</f>
        <v xml:space="preserve"> </v>
      </c>
      <c r="I9084" s="148" t="s">
        <v>348</v>
      </c>
      <c r="J9084" s="133" t="s">
        <v>61</v>
      </c>
      <c r="K9084" s="172">
        <v>345</v>
      </c>
    </row>
    <row r="9085" spans="1:12" x14ac:dyDescent="0.2">
      <c r="A9085" s="163">
        <v>2023</v>
      </c>
      <c r="B9085" s="163">
        <v>6</v>
      </c>
      <c r="C9085" s="163">
        <v>28</v>
      </c>
      <c r="D9085" s="141">
        <f t="shared" si="1034"/>
        <v>45105</v>
      </c>
      <c r="E9085" s="275">
        <f t="shared" si="1035"/>
        <v>45105</v>
      </c>
      <c r="F9085" s="480"/>
      <c r="G9085" s="221" t="s">
        <v>74</v>
      </c>
      <c r="H9085" s="145" t="str" cm="1">
        <f t="array" ref="H9085">IFERROR(INDEX(INVESTOR_LIST[INVESTOR NAME],MATCH(I9085,INVESTOR_LIST[INVESTOR CODE],0),)," ")</f>
        <v xml:space="preserve"> </v>
      </c>
      <c r="I9085" s="145" t="s">
        <v>348</v>
      </c>
      <c r="J9085" s="163" t="s">
        <v>52</v>
      </c>
      <c r="K9085" s="219"/>
      <c r="L9085" s="219">
        <v>345</v>
      </c>
    </row>
    <row r="9086" spans="1:12" x14ac:dyDescent="0.2">
      <c r="A9086" s="133">
        <v>2023</v>
      </c>
      <c r="B9086" s="133">
        <v>6</v>
      </c>
      <c r="C9086" s="168">
        <v>30</v>
      </c>
      <c r="D9086" s="141">
        <f t="shared" ref="D9086:D9087" si="1036">DATE(A9086,B9086,C9086)</f>
        <v>45107</v>
      </c>
      <c r="E9086" s="275">
        <f t="shared" ref="E9086:E9087" si="1037">DATE(A9086,B9086,C9086)</f>
        <v>45107</v>
      </c>
      <c r="F9086" s="479" t="s">
        <v>1747</v>
      </c>
      <c r="G9086" s="174" t="s">
        <v>74</v>
      </c>
      <c r="H9086" s="148" t="str" cm="1">
        <f t="array" ref="H9086">IFERROR(INDEX(INVESTOR_LIST[INVESTOR NAME],MATCH(I9086,INVESTOR_LIST[INVESTOR CODE],0),)," ")</f>
        <v xml:space="preserve"> </v>
      </c>
      <c r="I9086" s="148" t="s">
        <v>348</v>
      </c>
      <c r="J9086" s="133" t="s">
        <v>52</v>
      </c>
      <c r="K9086" s="172">
        <v>17587.82</v>
      </c>
    </row>
    <row r="9087" spans="1:12" x14ac:dyDescent="0.2">
      <c r="A9087" s="163">
        <v>2023</v>
      </c>
      <c r="B9087" s="163">
        <v>6</v>
      </c>
      <c r="C9087" s="163">
        <v>30</v>
      </c>
      <c r="D9087" s="141">
        <f t="shared" si="1036"/>
        <v>45107</v>
      </c>
      <c r="E9087" s="275">
        <f t="shared" si="1037"/>
        <v>45107</v>
      </c>
      <c r="F9087" s="480"/>
      <c r="G9087" s="221" t="s">
        <v>74</v>
      </c>
      <c r="H9087" s="145" t="str" cm="1">
        <f t="array" ref="H9087">IFERROR(INDEX(INVESTOR_LIST[INVESTOR NAME],MATCH(I9087,INVESTOR_LIST[INVESTOR CODE],0),)," ")</f>
        <v xml:space="preserve"> </v>
      </c>
      <c r="I9087" s="145" t="s">
        <v>348</v>
      </c>
      <c r="J9087" s="163" t="s">
        <v>60</v>
      </c>
      <c r="K9087" s="219"/>
      <c r="L9087" s="219">
        <v>17587.82</v>
      </c>
    </row>
    <row r="9088" spans="1:12" x14ac:dyDescent="0.2">
      <c r="A9088" s="133">
        <v>2023</v>
      </c>
      <c r="B9088" s="133">
        <v>6</v>
      </c>
      <c r="C9088" s="168">
        <v>30</v>
      </c>
      <c r="D9088" s="141">
        <f t="shared" ref="D9088:D9089" si="1038">DATE(A9088,B9088,C9088)</f>
        <v>45107</v>
      </c>
      <c r="E9088" s="275">
        <f t="shared" ref="E9088:E9089" si="1039">DATE(A9088,B9088,C9088)</f>
        <v>45107</v>
      </c>
      <c r="F9088" s="479" t="s">
        <v>1747</v>
      </c>
      <c r="G9088" s="174" t="s">
        <v>74</v>
      </c>
      <c r="H9088" s="148" t="str" cm="1">
        <f t="array" ref="H9088">IFERROR(INDEX(INVESTOR_LIST[INVESTOR NAME],MATCH(I9088,INVESTOR_LIST[INVESTOR CODE],0),)," ")</f>
        <v xml:space="preserve"> </v>
      </c>
      <c r="I9088" s="148" t="s">
        <v>348</v>
      </c>
      <c r="J9088" s="133" t="s">
        <v>52</v>
      </c>
      <c r="K9088" s="172">
        <v>29621.96</v>
      </c>
    </row>
    <row r="9089" spans="1:14" x14ac:dyDescent="0.2">
      <c r="A9089" s="163">
        <v>2023</v>
      </c>
      <c r="B9089" s="163">
        <v>6</v>
      </c>
      <c r="C9089" s="163">
        <v>30</v>
      </c>
      <c r="D9089" s="141">
        <f t="shared" si="1038"/>
        <v>45107</v>
      </c>
      <c r="E9089" s="275">
        <f t="shared" si="1039"/>
        <v>45107</v>
      </c>
      <c r="F9089" s="480"/>
      <c r="G9089" s="221" t="s">
        <v>74</v>
      </c>
      <c r="H9089" s="145" t="str" cm="1">
        <f t="array" ref="H9089">IFERROR(INDEX(INVESTOR_LIST[INVESTOR NAME],MATCH(I9089,INVESTOR_LIST[INVESTOR CODE],0),)," ")</f>
        <v xml:space="preserve"> </v>
      </c>
      <c r="I9089" s="145" t="s">
        <v>348</v>
      </c>
      <c r="J9089" s="163" t="s">
        <v>60</v>
      </c>
      <c r="K9089" s="219"/>
      <c r="L9089" s="219">
        <v>29621.96</v>
      </c>
    </row>
    <row r="9090" spans="1:14" x14ac:dyDescent="0.2">
      <c r="A9090" s="324">
        <v>2023</v>
      </c>
      <c r="B9090" s="324">
        <v>6</v>
      </c>
      <c r="C9090" s="325">
        <v>30</v>
      </c>
      <c r="D9090" s="326">
        <f>DATE(A9090,B9090,C9090)</f>
        <v>45107</v>
      </c>
      <c r="E9090" s="327">
        <f>DATE(A9090,B9090,C9090)</f>
        <v>45107</v>
      </c>
      <c r="F9090" s="473" t="s">
        <v>1634</v>
      </c>
      <c r="G9090" s="340" t="s">
        <v>94</v>
      </c>
      <c r="H9090" s="341" t="str" cm="1">
        <f t="array" ref="H9090">IFERROR(INDEX(INVESTOR_LIST[INVESTOR NAME],MATCH(I9090,INVESTOR_LIST[INVESTOR CODE],0),)," ")</f>
        <v xml:space="preserve"> </v>
      </c>
      <c r="I9090" s="341" t="s">
        <v>348</v>
      </c>
      <c r="J9090" s="325" t="s">
        <v>133</v>
      </c>
      <c r="K9090" s="330">
        <v>4170.82</v>
      </c>
      <c r="L9090" s="330"/>
      <c r="M9090" s="160"/>
    </row>
    <row r="9091" spans="1:14" x14ac:dyDescent="0.2">
      <c r="A9091" s="331">
        <v>2023</v>
      </c>
      <c r="B9091" s="331">
        <v>6</v>
      </c>
      <c r="C9091" s="331">
        <v>30</v>
      </c>
      <c r="D9091" s="326">
        <f>DATE(A9091,B9091,C9091)</f>
        <v>45107</v>
      </c>
      <c r="E9091" s="327">
        <f>DATE(A9091,B9091,C9091)</f>
        <v>45107</v>
      </c>
      <c r="F9091" s="474"/>
      <c r="G9091" s="332" t="s">
        <v>94</v>
      </c>
      <c r="H9091" s="333" t="str" cm="1">
        <f t="array" ref="H9091">IFERROR(INDEX(INVESTOR_LIST[INVESTOR NAME],MATCH(I9091,INVESTOR_LIST[INVESTOR CODE],0),)," ")</f>
        <v xml:space="preserve"> </v>
      </c>
      <c r="I9091" s="333" t="s">
        <v>348</v>
      </c>
      <c r="J9091" s="331" t="s">
        <v>152</v>
      </c>
      <c r="K9091" s="334"/>
      <c r="L9091" s="334">
        <v>4170.82</v>
      </c>
      <c r="M9091" s="160"/>
    </row>
    <row r="9092" spans="1:14" x14ac:dyDescent="0.2">
      <c r="A9092" s="324">
        <v>2023</v>
      </c>
      <c r="B9092" s="324">
        <v>6</v>
      </c>
      <c r="C9092" s="325">
        <v>30</v>
      </c>
      <c r="D9092" s="326">
        <f t="shared" ref="D9092:D9095" si="1040">DATE(A9092,B9092,C9092)</f>
        <v>45107</v>
      </c>
      <c r="E9092" s="327">
        <f t="shared" ref="E9092:E9095" si="1041">DATE(A9092,B9092,C9092)</f>
        <v>45107</v>
      </c>
      <c r="F9092" s="473" t="s">
        <v>1490</v>
      </c>
      <c r="G9092" s="328" t="s">
        <v>94</v>
      </c>
      <c r="H9092" s="329" t="str" cm="1">
        <f t="array" ref="H9092">IFERROR(INDEX(INVESTOR_LIST[INVESTOR NAME],MATCH(I9092,INVESTOR_LIST[INVESTOR CODE],0),)," ")</f>
        <v xml:space="preserve"> </v>
      </c>
      <c r="I9092" s="329" t="s">
        <v>348</v>
      </c>
      <c r="J9092" s="325" t="s">
        <v>133</v>
      </c>
      <c r="K9092" s="330">
        <v>23577.4</v>
      </c>
      <c r="L9092" s="330"/>
      <c r="M9092" s="160"/>
    </row>
    <row r="9093" spans="1:14" x14ac:dyDescent="0.2">
      <c r="A9093" s="331">
        <v>2023</v>
      </c>
      <c r="B9093" s="331">
        <v>6</v>
      </c>
      <c r="C9093" s="331">
        <v>30</v>
      </c>
      <c r="D9093" s="326">
        <f t="shared" si="1040"/>
        <v>45107</v>
      </c>
      <c r="E9093" s="327">
        <f t="shared" si="1041"/>
        <v>45107</v>
      </c>
      <c r="F9093" s="474"/>
      <c r="G9093" s="332" t="s">
        <v>94</v>
      </c>
      <c r="H9093" s="333" t="str" cm="1">
        <f t="array" ref="H9093">IFERROR(INDEX(INVESTOR_LIST[INVESTOR NAME],MATCH(I9093,INVESTOR_LIST[INVESTOR CODE],0),)," ")</f>
        <v xml:space="preserve"> </v>
      </c>
      <c r="I9093" s="333" t="s">
        <v>348</v>
      </c>
      <c r="J9093" s="331" t="s">
        <v>152</v>
      </c>
      <c r="K9093" s="334"/>
      <c r="L9093" s="334">
        <v>23577.4</v>
      </c>
      <c r="M9093" s="160"/>
      <c r="N9093" s="160"/>
    </row>
    <row r="9094" spans="1:14" x14ac:dyDescent="0.2">
      <c r="A9094" s="324">
        <v>2023</v>
      </c>
      <c r="B9094" s="324">
        <v>6</v>
      </c>
      <c r="C9094" s="325">
        <v>30</v>
      </c>
      <c r="D9094" s="326">
        <f t="shared" si="1040"/>
        <v>45107</v>
      </c>
      <c r="E9094" s="327">
        <f t="shared" si="1041"/>
        <v>45107</v>
      </c>
      <c r="F9094" s="473" t="s">
        <v>1491</v>
      </c>
      <c r="G9094" s="328" t="s">
        <v>94</v>
      </c>
      <c r="H9094" s="329" t="str" cm="1">
        <f t="array" ref="H9094">IFERROR(INDEX(INVESTOR_LIST[INVESTOR NAME],MATCH(I9094,INVESTOR_LIST[INVESTOR CODE],0),)," ")</f>
        <v xml:space="preserve"> </v>
      </c>
      <c r="I9094" s="329" t="s">
        <v>348</v>
      </c>
      <c r="J9094" s="324" t="s">
        <v>133</v>
      </c>
      <c r="K9094" s="330">
        <v>13557.69</v>
      </c>
      <c r="L9094" s="330"/>
      <c r="M9094" s="160"/>
      <c r="N9094" s="160"/>
    </row>
    <row r="9095" spans="1:14" x14ac:dyDescent="0.2">
      <c r="A9095" s="331">
        <v>2023</v>
      </c>
      <c r="B9095" s="331">
        <v>6</v>
      </c>
      <c r="C9095" s="331">
        <v>30</v>
      </c>
      <c r="D9095" s="326">
        <f t="shared" si="1040"/>
        <v>45107</v>
      </c>
      <c r="E9095" s="327">
        <f t="shared" si="1041"/>
        <v>45107</v>
      </c>
      <c r="F9095" s="474"/>
      <c r="G9095" s="332" t="s">
        <v>94</v>
      </c>
      <c r="H9095" s="333" t="str" cm="1">
        <f t="array" ref="H9095">IFERROR(INDEX(INVESTOR_LIST[INVESTOR NAME],MATCH(I9095,INVESTOR_LIST[INVESTOR CODE],0),)," ")</f>
        <v xml:space="preserve"> </v>
      </c>
      <c r="I9095" s="333" t="s">
        <v>348</v>
      </c>
      <c r="J9095" s="331" t="s">
        <v>152</v>
      </c>
      <c r="K9095" s="334"/>
      <c r="L9095" s="334">
        <v>13557.69</v>
      </c>
      <c r="M9095" s="160"/>
    </row>
    <row r="9096" spans="1:14" x14ac:dyDescent="0.2">
      <c r="A9096" s="324">
        <v>2023</v>
      </c>
      <c r="B9096" s="324">
        <v>6</v>
      </c>
      <c r="C9096" s="325">
        <v>30</v>
      </c>
      <c r="D9096" s="326">
        <f t="shared" ref="D9096:D9107" si="1042">DATE(A9096,B9096,C9096)</f>
        <v>45107</v>
      </c>
      <c r="E9096" s="327">
        <f t="shared" ref="E9096:E9107" si="1043">DATE(A9096,B9096,C9096)</f>
        <v>45107</v>
      </c>
      <c r="F9096" s="473" t="s">
        <v>1531</v>
      </c>
      <c r="G9096" s="328" t="s">
        <v>94</v>
      </c>
      <c r="H9096" s="329" t="str" cm="1">
        <f t="array" ref="H9096">IFERROR(INDEX(INVESTOR_LIST[INVESTOR NAME],MATCH(I9096,INVESTOR_LIST[INVESTOR CODE],0),)," ")</f>
        <v xml:space="preserve"> </v>
      </c>
      <c r="I9096" s="329" t="s">
        <v>348</v>
      </c>
      <c r="J9096" s="324" t="s">
        <v>133</v>
      </c>
      <c r="K9096" s="330">
        <v>22685.71</v>
      </c>
      <c r="L9096" s="330"/>
      <c r="M9096" s="160"/>
    </row>
    <row r="9097" spans="1:14" x14ac:dyDescent="0.2">
      <c r="A9097" s="331">
        <v>2023</v>
      </c>
      <c r="B9097" s="331">
        <v>6</v>
      </c>
      <c r="C9097" s="331">
        <v>30</v>
      </c>
      <c r="D9097" s="326">
        <f t="shared" si="1042"/>
        <v>45107</v>
      </c>
      <c r="E9097" s="327">
        <f t="shared" si="1043"/>
        <v>45107</v>
      </c>
      <c r="F9097" s="474"/>
      <c r="G9097" s="332" t="s">
        <v>94</v>
      </c>
      <c r="H9097" s="333" t="str" cm="1">
        <f t="array" ref="H9097">IFERROR(INDEX(INVESTOR_LIST[INVESTOR NAME],MATCH(I9097,INVESTOR_LIST[INVESTOR CODE],0),)," ")</f>
        <v xml:space="preserve"> </v>
      </c>
      <c r="I9097" s="333" t="s">
        <v>348</v>
      </c>
      <c r="J9097" s="331" t="s">
        <v>152</v>
      </c>
      <c r="K9097" s="334"/>
      <c r="L9097" s="334">
        <v>22685.71</v>
      </c>
      <c r="M9097" s="160"/>
    </row>
    <row r="9098" spans="1:14" x14ac:dyDescent="0.2">
      <c r="A9098" s="238">
        <v>2023</v>
      </c>
      <c r="B9098" s="238">
        <v>6</v>
      </c>
      <c r="C9098" s="238">
        <v>30</v>
      </c>
      <c r="D9098" s="270">
        <f t="shared" si="1042"/>
        <v>45107</v>
      </c>
      <c r="E9098" s="279">
        <f t="shared" si="1043"/>
        <v>45107</v>
      </c>
      <c r="F9098" s="477" t="s">
        <v>347</v>
      </c>
      <c r="G9098" s="239" t="s">
        <v>94</v>
      </c>
      <c r="H9098" s="239" t="str" cm="1">
        <f t="array" ref="H9098">IFERROR(INDEX(INVESTOR_LIST[INVESTOR NAME],MATCH(I9098,INVESTOR_LIST[INVESTOR CODE],0),)," ")</f>
        <v xml:space="preserve"> </v>
      </c>
      <c r="I9098" s="262" t="s">
        <v>348</v>
      </c>
      <c r="J9098" s="240" t="s">
        <v>108</v>
      </c>
      <c r="K9098" s="241">
        <v>17150.84999999404</v>
      </c>
      <c r="L9098" s="241"/>
    </row>
    <row r="9099" spans="1:14" x14ac:dyDescent="0.2">
      <c r="A9099" s="242">
        <v>2023</v>
      </c>
      <c r="B9099" s="242">
        <v>6</v>
      </c>
      <c r="C9099" s="242">
        <v>30</v>
      </c>
      <c r="D9099" s="270">
        <f t="shared" si="1042"/>
        <v>45107</v>
      </c>
      <c r="E9099" s="279">
        <f t="shared" si="1043"/>
        <v>45107</v>
      </c>
      <c r="F9099" s="478"/>
      <c r="G9099" s="243" t="s">
        <v>94</v>
      </c>
      <c r="H9099" s="243" t="str" cm="1">
        <f t="array" ref="H9099">IFERROR(INDEX(INVESTOR_LIST[INVESTOR NAME],MATCH(I9099,INVESTOR_LIST[INVESTOR CODE],0),)," ")</f>
        <v xml:space="preserve"> </v>
      </c>
      <c r="I9099" s="263" t="s">
        <v>348</v>
      </c>
      <c r="J9099" s="244" t="s">
        <v>82</v>
      </c>
      <c r="K9099" s="245"/>
      <c r="L9099" s="245">
        <v>17150.84999999404</v>
      </c>
    </row>
    <row r="9100" spans="1:14" ht="22.5" x14ac:dyDescent="0.2">
      <c r="A9100" s="246">
        <v>2023</v>
      </c>
      <c r="B9100" s="238">
        <v>6</v>
      </c>
      <c r="C9100" s="238">
        <v>30</v>
      </c>
      <c r="D9100" s="270">
        <f t="shared" si="1042"/>
        <v>45107</v>
      </c>
      <c r="E9100" s="279">
        <f t="shared" si="1043"/>
        <v>45107</v>
      </c>
      <c r="F9100" s="482" t="s">
        <v>148</v>
      </c>
      <c r="G9100" s="247" t="s">
        <v>94</v>
      </c>
      <c r="H9100" s="247" t="str" cm="1">
        <f t="array" ref="H9100">IFERROR(INDEX(INVESTOR_LIST[INVESTOR NAME],MATCH(I9100,INVESTOR_LIST[INVESTOR CODE],0),)," ")</f>
        <v xml:space="preserve"> </v>
      </c>
      <c r="I9100" s="248" t="s">
        <v>348</v>
      </c>
      <c r="J9100" s="249" t="s">
        <v>95</v>
      </c>
      <c r="K9100" s="250">
        <v>2747.2527472527472</v>
      </c>
      <c r="L9100" s="241"/>
    </row>
    <row r="9101" spans="1:14" x14ac:dyDescent="0.2">
      <c r="A9101" s="242">
        <v>2023</v>
      </c>
      <c r="B9101" s="242">
        <v>6</v>
      </c>
      <c r="C9101" s="242">
        <v>30</v>
      </c>
      <c r="D9101" s="270">
        <f t="shared" si="1042"/>
        <v>45107</v>
      </c>
      <c r="E9101" s="279">
        <f t="shared" si="1043"/>
        <v>45107</v>
      </c>
      <c r="F9101" s="478"/>
      <c r="G9101" s="243" t="s">
        <v>94</v>
      </c>
      <c r="H9101" s="243" t="str" cm="1">
        <f t="array" ref="H9101">IFERROR(INDEX(INVESTOR_LIST[INVESTOR NAME],MATCH(I9101,INVESTOR_LIST[INVESTOR CODE],0),)," ")</f>
        <v xml:space="preserve"> </v>
      </c>
      <c r="I9101" s="263" t="s">
        <v>348</v>
      </c>
      <c r="J9101" s="244" t="s">
        <v>63</v>
      </c>
      <c r="K9101" s="245"/>
      <c r="L9101" s="245">
        <v>2747.2527472527472</v>
      </c>
    </row>
    <row r="9102" spans="1:14" x14ac:dyDescent="0.2">
      <c r="A9102" s="246">
        <v>2023</v>
      </c>
      <c r="B9102" s="238">
        <v>6</v>
      </c>
      <c r="C9102" s="238">
        <v>30</v>
      </c>
      <c r="D9102" s="270">
        <f t="shared" si="1042"/>
        <v>45107</v>
      </c>
      <c r="E9102" s="279">
        <f t="shared" si="1043"/>
        <v>45107</v>
      </c>
      <c r="F9102" s="482" t="s">
        <v>137</v>
      </c>
      <c r="G9102" s="247" t="s">
        <v>94</v>
      </c>
      <c r="H9102" s="247" t="str" cm="1">
        <f t="array" ref="H9102">IFERROR(INDEX(INVESTOR_LIST[INVESTOR NAME],MATCH(I9102,INVESTOR_LIST[INVESTOR CODE],0),)," ")</f>
        <v xml:space="preserve"> </v>
      </c>
      <c r="I9102" s="248" t="s">
        <v>348</v>
      </c>
      <c r="J9102" s="249" t="s">
        <v>97</v>
      </c>
      <c r="K9102" s="250">
        <v>31337.614806501664</v>
      </c>
      <c r="L9102" s="252"/>
    </row>
    <row r="9103" spans="1:14" x14ac:dyDescent="0.2">
      <c r="A9103" s="242">
        <v>2023</v>
      </c>
      <c r="B9103" s="242">
        <v>6</v>
      </c>
      <c r="C9103" s="242">
        <v>30</v>
      </c>
      <c r="D9103" s="270">
        <f t="shared" si="1042"/>
        <v>45107</v>
      </c>
      <c r="E9103" s="279">
        <f t="shared" si="1043"/>
        <v>45107</v>
      </c>
      <c r="F9103" s="478"/>
      <c r="G9103" s="243" t="s">
        <v>94</v>
      </c>
      <c r="H9103" s="243" t="str" cm="1">
        <f t="array" ref="H9103">IFERROR(INDEX(INVESTOR_LIST[INVESTOR NAME],MATCH(I9103,INVESTOR_LIST[INVESTOR CODE],0),)," ")</f>
        <v xml:space="preserve"> </v>
      </c>
      <c r="I9103" s="263" t="s">
        <v>348</v>
      </c>
      <c r="J9103" s="244" t="s">
        <v>47</v>
      </c>
      <c r="K9103" s="245"/>
      <c r="L9103" s="245">
        <v>31337.614806501664</v>
      </c>
    </row>
    <row r="9104" spans="1:14" x14ac:dyDescent="0.2">
      <c r="A9104" s="246">
        <v>2023</v>
      </c>
      <c r="B9104" s="238">
        <v>6</v>
      </c>
      <c r="C9104" s="238">
        <v>30</v>
      </c>
      <c r="D9104" s="270">
        <f t="shared" si="1042"/>
        <v>45107</v>
      </c>
      <c r="E9104" s="279">
        <f t="shared" si="1043"/>
        <v>45107</v>
      </c>
      <c r="F9104" s="482" t="s">
        <v>138</v>
      </c>
      <c r="G9104" s="247" t="s">
        <v>94</v>
      </c>
      <c r="H9104" s="247" t="str" cm="1">
        <f t="array" ref="H9104">IFERROR(INDEX(INVESTOR_LIST[INVESTOR NAME],MATCH(I9104,INVESTOR_LIST[INVESTOR CODE],0),)," ")</f>
        <v xml:space="preserve"> </v>
      </c>
      <c r="I9104" s="248" t="s">
        <v>348</v>
      </c>
      <c r="J9104" s="249" t="s">
        <v>100</v>
      </c>
      <c r="K9104" s="250">
        <v>3133.7614806501665</v>
      </c>
      <c r="L9104" s="252"/>
    </row>
    <row r="9105" spans="1:12" ht="10.9" customHeight="1" x14ac:dyDescent="0.2">
      <c r="A9105" s="242">
        <v>2023</v>
      </c>
      <c r="B9105" s="242">
        <v>6</v>
      </c>
      <c r="C9105" s="242">
        <v>30</v>
      </c>
      <c r="D9105" s="321">
        <f t="shared" si="1042"/>
        <v>45107</v>
      </c>
      <c r="E9105" s="322">
        <f t="shared" si="1043"/>
        <v>45107</v>
      </c>
      <c r="F9105" s="478"/>
      <c r="G9105" s="243" t="s">
        <v>94</v>
      </c>
      <c r="H9105" s="243" t="str" cm="1">
        <f t="array" ref="H9105">IFERROR(INDEX(INVESTOR_LIST[INVESTOR NAME],MATCH(I9105,INVESTOR_LIST[INVESTOR CODE],0),)," ")</f>
        <v xml:space="preserve"> </v>
      </c>
      <c r="I9105" s="263" t="s">
        <v>348</v>
      </c>
      <c r="J9105" s="244" t="s">
        <v>48</v>
      </c>
      <c r="K9105" s="245"/>
      <c r="L9105" s="245">
        <v>3133.7614806501665</v>
      </c>
    </row>
    <row r="9106" spans="1:12" x14ac:dyDescent="0.2">
      <c r="A9106" s="133">
        <v>2023</v>
      </c>
      <c r="B9106" s="133">
        <v>7</v>
      </c>
      <c r="C9106" s="168">
        <v>1</v>
      </c>
      <c r="D9106" s="141">
        <f t="shared" si="1042"/>
        <v>45108</v>
      </c>
      <c r="E9106" s="275">
        <f t="shared" si="1043"/>
        <v>45108</v>
      </c>
      <c r="F9106" s="479" t="s">
        <v>77</v>
      </c>
      <c r="G9106" s="174" t="s">
        <v>74</v>
      </c>
      <c r="H9106" s="148" t="str" cm="1">
        <f t="array" ref="H9106">IFERROR(INDEX(INVESTOR_LIST[INVESTOR NAME],MATCH(I9106,INVESTOR_LIST[INVESTOR CODE],0),)," ")</f>
        <v xml:space="preserve"> </v>
      </c>
      <c r="I9106" s="148" t="s">
        <v>348</v>
      </c>
      <c r="J9106" s="133" t="s">
        <v>61</v>
      </c>
      <c r="K9106" s="172">
        <v>345</v>
      </c>
    </row>
    <row r="9107" spans="1:12" x14ac:dyDescent="0.2">
      <c r="A9107" s="163">
        <v>2023</v>
      </c>
      <c r="B9107" s="163">
        <v>7</v>
      </c>
      <c r="C9107" s="163">
        <v>1</v>
      </c>
      <c r="D9107" s="141">
        <f t="shared" si="1042"/>
        <v>45108</v>
      </c>
      <c r="E9107" s="275">
        <f t="shared" si="1043"/>
        <v>45108</v>
      </c>
      <c r="F9107" s="480"/>
      <c r="G9107" s="221" t="s">
        <v>74</v>
      </c>
      <c r="H9107" s="145" t="str" cm="1">
        <f t="array" ref="H9107">IFERROR(INDEX(INVESTOR_LIST[INVESTOR NAME],MATCH(I9107,INVESTOR_LIST[INVESTOR CODE],0),)," ")</f>
        <v xml:space="preserve"> </v>
      </c>
      <c r="I9107" s="145" t="s">
        <v>348</v>
      </c>
      <c r="J9107" s="163" t="s">
        <v>52</v>
      </c>
      <c r="K9107" s="219"/>
      <c r="L9107" s="219">
        <v>345</v>
      </c>
    </row>
    <row r="9108" spans="1:12" x14ac:dyDescent="0.2">
      <c r="A9108" s="133">
        <v>2023</v>
      </c>
      <c r="B9108" s="133">
        <v>7</v>
      </c>
      <c r="C9108" s="168">
        <v>1</v>
      </c>
      <c r="D9108" s="141">
        <f t="shared" ref="D9108:D9109" si="1044">DATE(A9108,B9108,C9108)</f>
        <v>45108</v>
      </c>
      <c r="E9108" s="275">
        <f t="shared" ref="E9108:E9109" si="1045">DATE(A9108,B9108,C9108)</f>
        <v>45108</v>
      </c>
      <c r="F9108" s="479" t="s">
        <v>77</v>
      </c>
      <c r="G9108" s="174" t="s">
        <v>74</v>
      </c>
      <c r="H9108" s="148" t="str" cm="1">
        <f t="array" ref="H9108">IFERROR(INDEX(INVESTOR_LIST[INVESTOR NAME],MATCH(I9108,INVESTOR_LIST[INVESTOR CODE],0),)," ")</f>
        <v xml:space="preserve"> </v>
      </c>
      <c r="I9108" s="148" t="s">
        <v>348</v>
      </c>
      <c r="J9108" s="133" t="s">
        <v>61</v>
      </c>
      <c r="K9108" s="172">
        <v>345</v>
      </c>
    </row>
    <row r="9109" spans="1:12" x14ac:dyDescent="0.2">
      <c r="A9109" s="163">
        <v>2023</v>
      </c>
      <c r="B9109" s="163">
        <v>7</v>
      </c>
      <c r="C9109" s="163">
        <v>1</v>
      </c>
      <c r="D9109" s="141">
        <f t="shared" si="1044"/>
        <v>45108</v>
      </c>
      <c r="E9109" s="275">
        <f t="shared" si="1045"/>
        <v>45108</v>
      </c>
      <c r="F9109" s="480"/>
      <c r="G9109" s="221" t="s">
        <v>74</v>
      </c>
      <c r="H9109" s="145" t="str" cm="1">
        <f t="array" ref="H9109">IFERROR(INDEX(INVESTOR_LIST[INVESTOR NAME],MATCH(I9109,INVESTOR_LIST[INVESTOR CODE],0),)," ")</f>
        <v xml:space="preserve"> </v>
      </c>
      <c r="I9109" s="145" t="s">
        <v>348</v>
      </c>
      <c r="J9109" s="163" t="s">
        <v>52</v>
      </c>
      <c r="K9109" s="219"/>
      <c r="L9109" s="219">
        <v>345</v>
      </c>
    </row>
    <row r="9110" spans="1:12" ht="10.15" customHeight="1" x14ac:dyDescent="0.2">
      <c r="A9110" s="168">
        <v>2023</v>
      </c>
      <c r="B9110" s="168">
        <v>7</v>
      </c>
      <c r="C9110" s="168">
        <v>4</v>
      </c>
      <c r="D9110" s="141">
        <f>DATE(A9110,B9110,C9110)</f>
        <v>45111</v>
      </c>
      <c r="E9110" s="275">
        <f>DATE(A9110,B9110,C9110)</f>
        <v>45111</v>
      </c>
      <c r="F9110" s="479" t="s">
        <v>965</v>
      </c>
      <c r="G9110" s="220" t="s">
        <v>74</v>
      </c>
      <c r="H9110" s="142" t="str" cm="1">
        <f t="array" ref="H9110">IFERROR(INDEX(INVESTOR_LIST[INVESTOR NAME],MATCH(I9110,INVESTOR_LIST[INVESTOR CODE],0),)," ")</f>
        <v>MORSHEDA MIM</v>
      </c>
      <c r="I9110" s="142" t="s">
        <v>373</v>
      </c>
      <c r="J9110" s="168" t="s">
        <v>13</v>
      </c>
      <c r="K9110" s="218">
        <v>92360</v>
      </c>
      <c r="L9110" s="226"/>
    </row>
    <row r="9111" spans="1:12" ht="10.15" customHeight="1" x14ac:dyDescent="0.2">
      <c r="A9111" s="133">
        <v>2023</v>
      </c>
      <c r="B9111" s="133">
        <v>7</v>
      </c>
      <c r="C9111" s="133">
        <v>4</v>
      </c>
      <c r="D9111" s="141">
        <f t="shared" ref="D9111:D9122" si="1046">DATE(A9111,B9111,C9111)</f>
        <v>45111</v>
      </c>
      <c r="E9111" s="275">
        <f t="shared" ref="E9111:E9122" si="1047">DATE(A9111,B9111,C9111)</f>
        <v>45111</v>
      </c>
      <c r="F9111" s="481"/>
      <c r="G9111" s="174" t="s">
        <v>74</v>
      </c>
      <c r="H9111" s="148" t="str" cm="1">
        <f t="array" ref="H9111">IFERROR(INDEX(INVESTOR_LIST[INVESTOR NAME],MATCH(I9111,INVESTOR_LIST[INVESTOR CODE],0),)," ")</f>
        <v>MORSHEDA MIM</v>
      </c>
      <c r="I9111" s="148" t="s">
        <v>373</v>
      </c>
      <c r="J9111" s="133" t="s">
        <v>53</v>
      </c>
      <c r="K9111" s="218">
        <v>22702.089999999997</v>
      </c>
      <c r="L9111" s="133"/>
    </row>
    <row r="9112" spans="1:12" ht="10.15" customHeight="1" x14ac:dyDescent="0.2">
      <c r="A9112" s="163">
        <v>2023</v>
      </c>
      <c r="B9112" s="163">
        <v>7</v>
      </c>
      <c r="C9112" s="163">
        <v>4</v>
      </c>
      <c r="D9112" s="280">
        <f t="shared" si="1046"/>
        <v>45111</v>
      </c>
      <c r="E9112" s="281">
        <f t="shared" si="1047"/>
        <v>45111</v>
      </c>
      <c r="F9112" s="480"/>
      <c r="G9112" s="221" t="s">
        <v>74</v>
      </c>
      <c r="H9112" s="145" t="str" cm="1">
        <f t="array" ref="H9112">IFERROR(INDEX(INVESTOR_LIST[INVESTOR NAME],MATCH(I9112,INVESTOR_LIST[INVESTOR CODE],0),)," ")</f>
        <v>MORSHEDA MIM</v>
      </c>
      <c r="I9112" s="145" t="s">
        <v>373</v>
      </c>
      <c r="J9112" s="163" t="s">
        <v>52</v>
      </c>
      <c r="K9112" s="219"/>
      <c r="L9112" s="219">
        <v>115062.09</v>
      </c>
    </row>
    <row r="9113" spans="1:12" x14ac:dyDescent="0.2">
      <c r="A9113" s="168">
        <v>2023</v>
      </c>
      <c r="B9113" s="168">
        <v>7</v>
      </c>
      <c r="C9113" s="168">
        <v>4</v>
      </c>
      <c r="D9113" s="141">
        <f t="shared" si="1046"/>
        <v>45111</v>
      </c>
      <c r="E9113" s="275">
        <f t="shared" si="1047"/>
        <v>45111</v>
      </c>
      <c r="F9113" s="479" t="s">
        <v>911</v>
      </c>
      <c r="G9113" s="220" t="s">
        <v>74</v>
      </c>
      <c r="H9113" s="220" t="str" cm="1">
        <f t="array" ref="H9113">IFERROR(INDEX(INVESTOR_LIST[INVESTOR NAME],MATCH(I9113,INVESTOR_LIST[INVESTOR CODE],0),)," ")</f>
        <v xml:space="preserve"> </v>
      </c>
      <c r="I9113" s="142" t="s">
        <v>348</v>
      </c>
      <c r="J9113" s="143" t="s">
        <v>101</v>
      </c>
      <c r="K9113" s="226">
        <v>162921.29</v>
      </c>
      <c r="L9113" s="226"/>
    </row>
    <row r="9114" spans="1:12" x14ac:dyDescent="0.2">
      <c r="A9114" s="133">
        <v>2023</v>
      </c>
      <c r="B9114" s="133">
        <v>7</v>
      </c>
      <c r="C9114" s="133">
        <v>4</v>
      </c>
      <c r="D9114" s="141">
        <f t="shared" si="1046"/>
        <v>45111</v>
      </c>
      <c r="E9114" s="275">
        <f t="shared" si="1047"/>
        <v>45111</v>
      </c>
      <c r="F9114" s="481"/>
      <c r="G9114" s="174" t="s">
        <v>74</v>
      </c>
      <c r="H9114" s="174"/>
      <c r="J9114" s="149" t="s">
        <v>61</v>
      </c>
      <c r="K9114" s="218">
        <v>115</v>
      </c>
      <c r="L9114" s="218"/>
    </row>
    <row r="9115" spans="1:12" x14ac:dyDescent="0.2">
      <c r="A9115" s="163">
        <v>2023</v>
      </c>
      <c r="B9115" s="163">
        <v>7</v>
      </c>
      <c r="C9115" s="163">
        <v>4</v>
      </c>
      <c r="D9115" s="280">
        <f t="shared" si="1046"/>
        <v>45111</v>
      </c>
      <c r="E9115" s="281">
        <f t="shared" si="1047"/>
        <v>45111</v>
      </c>
      <c r="F9115" s="480"/>
      <c r="G9115" s="221" t="s">
        <v>74</v>
      </c>
      <c r="H9115" s="221" t="str" cm="1">
        <f t="array" ref="H9115">IFERROR(INDEX(INVESTOR_LIST[INVESTOR NAME],MATCH(I9115,INVESTOR_LIST[INVESTOR CODE],0),)," ")</f>
        <v xml:space="preserve"> </v>
      </c>
      <c r="I9115" s="145" t="s">
        <v>348</v>
      </c>
      <c r="J9115" s="146" t="s">
        <v>52</v>
      </c>
      <c r="K9115" s="219"/>
      <c r="L9115" s="219">
        <v>163036.29</v>
      </c>
    </row>
    <row r="9116" spans="1:12" x14ac:dyDescent="0.2">
      <c r="A9116" s="133">
        <v>2023</v>
      </c>
      <c r="B9116" s="168">
        <v>7</v>
      </c>
      <c r="C9116" s="168">
        <v>5</v>
      </c>
      <c r="D9116" s="141">
        <f t="shared" si="1046"/>
        <v>45112</v>
      </c>
      <c r="E9116" s="275">
        <f t="shared" si="1047"/>
        <v>45112</v>
      </c>
      <c r="F9116" s="481" t="s">
        <v>1770</v>
      </c>
      <c r="G9116" s="174" t="s">
        <v>74</v>
      </c>
      <c r="H9116" s="174" t="str" cm="1">
        <f t="array" ref="H9116">IFERROR(INDEX(INVESTOR_LIST[INVESTOR NAME],MATCH(I9116,INVESTOR_LIST[INVESTOR CODE],0),)," ")</f>
        <v xml:space="preserve"> </v>
      </c>
      <c r="I9116" s="148" t="s">
        <v>348</v>
      </c>
      <c r="J9116" s="149" t="s">
        <v>52</v>
      </c>
      <c r="K9116" s="218">
        <v>25000</v>
      </c>
      <c r="L9116" s="218"/>
    </row>
    <row r="9117" spans="1:12" x14ac:dyDescent="0.2">
      <c r="A9117" s="133">
        <v>2023</v>
      </c>
      <c r="B9117" s="133">
        <v>7</v>
      </c>
      <c r="C9117" s="133">
        <v>5</v>
      </c>
      <c r="D9117" s="147">
        <f t="shared" ref="D9117:D9118" si="1048">DATE(A9117,B9117,C9117)</f>
        <v>45112</v>
      </c>
      <c r="E9117" s="311">
        <f t="shared" ref="E9117:E9118" si="1049">DATE(A9117,B9117,C9117)</f>
        <v>45112</v>
      </c>
      <c r="F9117" s="481"/>
      <c r="G9117" s="174" t="s">
        <v>74</v>
      </c>
      <c r="H9117" s="174"/>
      <c r="J9117" s="149" t="s">
        <v>168</v>
      </c>
      <c r="K9117" s="218"/>
      <c r="L9117" s="218">
        <v>25000</v>
      </c>
    </row>
    <row r="9118" spans="1:12" x14ac:dyDescent="0.2">
      <c r="A9118" s="133">
        <v>2023</v>
      </c>
      <c r="B9118" s="133">
        <v>7</v>
      </c>
      <c r="C9118" s="133">
        <v>5</v>
      </c>
      <c r="D9118" s="147">
        <f t="shared" si="1048"/>
        <v>45112</v>
      </c>
      <c r="E9118" s="311">
        <f t="shared" si="1049"/>
        <v>45112</v>
      </c>
      <c r="F9118" s="481"/>
      <c r="G9118" s="174" t="s">
        <v>94</v>
      </c>
      <c r="H9118" s="174"/>
      <c r="J9118" s="149" t="s">
        <v>168</v>
      </c>
      <c r="K9118" s="218">
        <v>4000</v>
      </c>
      <c r="L9118" s="218"/>
    </row>
    <row r="9119" spans="1:12" x14ac:dyDescent="0.2">
      <c r="A9119" s="163">
        <v>2023</v>
      </c>
      <c r="B9119" s="163">
        <v>7</v>
      </c>
      <c r="C9119" s="163">
        <v>5</v>
      </c>
      <c r="D9119" s="144">
        <f t="shared" si="1046"/>
        <v>45112</v>
      </c>
      <c r="E9119" s="313">
        <f t="shared" si="1047"/>
        <v>45112</v>
      </c>
      <c r="F9119" s="480"/>
      <c r="G9119" s="221" t="s">
        <v>94</v>
      </c>
      <c r="H9119" s="221" t="str" cm="1">
        <f t="array" ref="H9119">IFERROR(INDEX(INVESTOR_LIST[INVESTOR NAME],MATCH(I9119,INVESTOR_LIST[INVESTOR CODE],0),)," ")</f>
        <v xml:space="preserve"> </v>
      </c>
      <c r="I9119" s="145" t="s">
        <v>348</v>
      </c>
      <c r="J9119" s="146" t="s">
        <v>166</v>
      </c>
      <c r="K9119" s="219"/>
      <c r="L9119" s="219">
        <v>4000</v>
      </c>
    </row>
    <row r="9120" spans="1:12" ht="10.15" customHeight="1" x14ac:dyDescent="0.2">
      <c r="A9120" s="168">
        <v>2023</v>
      </c>
      <c r="B9120" s="168">
        <v>7</v>
      </c>
      <c r="C9120" s="168">
        <v>5</v>
      </c>
      <c r="D9120" s="141">
        <f t="shared" si="1046"/>
        <v>45112</v>
      </c>
      <c r="E9120" s="275">
        <f t="shared" si="1047"/>
        <v>45112</v>
      </c>
      <c r="F9120" s="479" t="s">
        <v>1319</v>
      </c>
      <c r="G9120" s="220" t="s">
        <v>74</v>
      </c>
      <c r="H9120" s="142" t="str" cm="1">
        <f t="array" ref="H9120">IFERROR(INDEX(INVESTOR_LIST[INVESTOR NAME],MATCH(I9120,INVESTOR_LIST[INVESTOR CODE],0),)," ")</f>
        <v xml:space="preserve"> </v>
      </c>
      <c r="I9120" s="142"/>
      <c r="J9120" s="168" t="s">
        <v>52</v>
      </c>
      <c r="K9120" s="226">
        <v>14500</v>
      </c>
      <c r="L9120" s="226"/>
    </row>
    <row r="9121" spans="1:14" ht="10.15" customHeight="1" x14ac:dyDescent="0.2">
      <c r="A9121" s="133">
        <v>2023</v>
      </c>
      <c r="B9121" s="133">
        <v>7</v>
      </c>
      <c r="C9121" s="133">
        <v>5</v>
      </c>
      <c r="D9121" s="141">
        <f t="shared" si="1046"/>
        <v>45112</v>
      </c>
      <c r="E9121" s="275">
        <f t="shared" si="1047"/>
        <v>45112</v>
      </c>
      <c r="F9121" s="481"/>
      <c r="G9121" s="174" t="s">
        <v>74</v>
      </c>
      <c r="H9121" s="148" t="str" cm="1">
        <f t="array" ref="H9121">IFERROR(INDEX(INVESTOR_LIST[INVESTOR NAME],MATCH(I9121,INVESTOR_LIST[INVESTOR CODE],0),)," ")</f>
        <v xml:space="preserve"> </v>
      </c>
      <c r="J9121" s="133" t="s">
        <v>13</v>
      </c>
      <c r="K9121" s="218"/>
      <c r="L9121" s="218">
        <v>11630</v>
      </c>
    </row>
    <row r="9122" spans="1:14" ht="10.15" customHeight="1" x14ac:dyDescent="0.2">
      <c r="A9122" s="163">
        <v>2023</v>
      </c>
      <c r="B9122" s="163">
        <v>7</v>
      </c>
      <c r="C9122" s="163">
        <v>5</v>
      </c>
      <c r="D9122" s="280">
        <f t="shared" si="1046"/>
        <v>45112</v>
      </c>
      <c r="E9122" s="281">
        <f t="shared" si="1047"/>
        <v>45112</v>
      </c>
      <c r="F9122" s="480"/>
      <c r="G9122" s="221" t="s">
        <v>74</v>
      </c>
      <c r="H9122" s="145" t="str" cm="1">
        <f t="array" ref="H9122">IFERROR(INDEX(INVESTOR_LIST[INVESTOR NAME],MATCH(I9122,INVESTOR_LIST[INVESTOR CODE],0),)," ")</f>
        <v xml:space="preserve"> </v>
      </c>
      <c r="I9122" s="145"/>
      <c r="J9122" s="163" t="s">
        <v>53</v>
      </c>
      <c r="K9122" s="219"/>
      <c r="L9122" s="219">
        <v>2870</v>
      </c>
    </row>
    <row r="9123" spans="1:14" ht="10.15" customHeight="1" x14ac:dyDescent="0.2">
      <c r="A9123" s="168">
        <v>2023</v>
      </c>
      <c r="B9123" s="168">
        <v>7</v>
      </c>
      <c r="C9123" s="168">
        <v>6</v>
      </c>
      <c r="D9123" s="141">
        <f t="shared" ref="D9123:D9125" si="1050">DATE(A9123,B9123,C9123)</f>
        <v>45113</v>
      </c>
      <c r="E9123" s="275">
        <f t="shared" ref="E9123:E9125" si="1051">DATE(A9123,B9123,C9123)</f>
        <v>45113</v>
      </c>
      <c r="F9123" s="479" t="s">
        <v>1319</v>
      </c>
      <c r="G9123" s="220" t="s">
        <v>74</v>
      </c>
      <c r="H9123" s="142" t="str" cm="1">
        <f t="array" ref="H9123">IFERROR(INDEX(INVESTOR_LIST[INVESTOR NAME],MATCH(I9123,INVESTOR_LIST[INVESTOR CODE],0),)," ")</f>
        <v xml:space="preserve"> </v>
      </c>
      <c r="I9123" s="142"/>
      <c r="J9123" s="168" t="s">
        <v>52</v>
      </c>
      <c r="K9123" s="226">
        <v>241000</v>
      </c>
      <c r="L9123" s="226"/>
    </row>
    <row r="9124" spans="1:14" ht="10.15" customHeight="1" x14ac:dyDescent="0.2">
      <c r="A9124" s="133">
        <v>2023</v>
      </c>
      <c r="B9124" s="133">
        <v>7</v>
      </c>
      <c r="C9124" s="133">
        <v>6</v>
      </c>
      <c r="D9124" s="141">
        <f t="shared" si="1050"/>
        <v>45113</v>
      </c>
      <c r="E9124" s="275">
        <f t="shared" si="1051"/>
        <v>45113</v>
      </c>
      <c r="F9124" s="481"/>
      <c r="G9124" s="174" t="s">
        <v>74</v>
      </c>
      <c r="H9124" s="148" t="str" cm="1">
        <f t="array" ref="H9124">IFERROR(INDEX(INVESTOR_LIST[INVESTOR NAME],MATCH(I9124,INVESTOR_LIST[INVESTOR CODE],0),)," ")</f>
        <v xml:space="preserve"> </v>
      </c>
      <c r="J9124" s="133" t="s">
        <v>13</v>
      </c>
      <c r="K9124" s="218"/>
      <c r="L9124" s="218">
        <v>193440</v>
      </c>
    </row>
    <row r="9125" spans="1:14" ht="10.15" customHeight="1" x14ac:dyDescent="0.2">
      <c r="A9125" s="163">
        <v>2023</v>
      </c>
      <c r="B9125" s="163">
        <v>7</v>
      </c>
      <c r="C9125" s="163">
        <v>6</v>
      </c>
      <c r="D9125" s="280">
        <f t="shared" si="1050"/>
        <v>45113</v>
      </c>
      <c r="E9125" s="281">
        <f t="shared" si="1051"/>
        <v>45113</v>
      </c>
      <c r="F9125" s="480"/>
      <c r="G9125" s="221" t="s">
        <v>74</v>
      </c>
      <c r="H9125" s="145" t="str" cm="1">
        <f t="array" ref="H9125">IFERROR(INDEX(INVESTOR_LIST[INVESTOR NAME],MATCH(I9125,INVESTOR_LIST[INVESTOR CODE],0),)," ")</f>
        <v xml:space="preserve"> </v>
      </c>
      <c r="I9125" s="145"/>
      <c r="J9125" s="163" t="s">
        <v>53</v>
      </c>
      <c r="K9125" s="219"/>
      <c r="L9125" s="219">
        <v>47560</v>
      </c>
    </row>
    <row r="9126" spans="1:14" ht="10.15" customHeight="1" x14ac:dyDescent="0.2">
      <c r="A9126" s="168">
        <v>2023</v>
      </c>
      <c r="B9126" s="168">
        <v>7</v>
      </c>
      <c r="C9126" s="168">
        <v>6</v>
      </c>
      <c r="D9126" s="141">
        <f>DATE(A9126,B9126,C9126)</f>
        <v>45113</v>
      </c>
      <c r="E9126" s="275">
        <f>DATE(A9126,B9126,C9126)</f>
        <v>45113</v>
      </c>
      <c r="F9126" s="479" t="s">
        <v>1310</v>
      </c>
      <c r="G9126" s="220" t="s">
        <v>74</v>
      </c>
      <c r="H9126" s="142" t="str" cm="1">
        <f t="array" ref="H9126">IFERROR(INDEX(INVESTOR_LIST[INVESTOR NAME],MATCH(I9126,INVESTOR_LIST[INVESTOR CODE],0),)," ")</f>
        <v>MD ABDUL AZIZ</v>
      </c>
      <c r="I9126" s="142" t="s">
        <v>611</v>
      </c>
      <c r="J9126" s="168" t="s">
        <v>13</v>
      </c>
      <c r="K9126" s="218">
        <v>107120</v>
      </c>
      <c r="L9126" s="226"/>
    </row>
    <row r="9127" spans="1:14" ht="10.15" customHeight="1" x14ac:dyDescent="0.2">
      <c r="A9127" s="133">
        <v>2023</v>
      </c>
      <c r="B9127" s="133">
        <v>7</v>
      </c>
      <c r="C9127" s="133">
        <v>6</v>
      </c>
      <c r="D9127" s="141">
        <f t="shared" ref="D9127:D9128" si="1052">DATE(A9127,B9127,C9127)</f>
        <v>45113</v>
      </c>
      <c r="E9127" s="275">
        <f t="shared" ref="E9127:E9128" si="1053">DATE(A9127,B9127,C9127)</f>
        <v>45113</v>
      </c>
      <c r="F9127" s="481"/>
      <c r="G9127" s="174" t="s">
        <v>74</v>
      </c>
      <c r="H9127" s="148" t="str" cm="1">
        <f t="array" ref="H9127">IFERROR(INDEX(INVESTOR_LIST[INVESTOR NAME],MATCH(I9127,INVESTOR_LIST[INVESTOR CODE],0),)," ")</f>
        <v>MD ABDUL AZIZ</v>
      </c>
      <c r="I9127" s="148" t="s">
        <v>611</v>
      </c>
      <c r="J9127" s="133" t="s">
        <v>53</v>
      </c>
      <c r="K9127" s="218">
        <v>26330.100000000006</v>
      </c>
      <c r="L9127" s="133"/>
    </row>
    <row r="9128" spans="1:14" ht="10.15" customHeight="1" x14ac:dyDescent="0.2">
      <c r="A9128" s="163">
        <v>2023</v>
      </c>
      <c r="B9128" s="163">
        <v>7</v>
      </c>
      <c r="C9128" s="163">
        <v>6</v>
      </c>
      <c r="D9128" s="280">
        <f t="shared" si="1052"/>
        <v>45113</v>
      </c>
      <c r="E9128" s="281">
        <f t="shared" si="1053"/>
        <v>45113</v>
      </c>
      <c r="F9128" s="480"/>
      <c r="G9128" s="221" t="s">
        <v>74</v>
      </c>
      <c r="H9128" s="145" t="str" cm="1">
        <f t="array" ref="H9128">IFERROR(INDEX(INVESTOR_LIST[INVESTOR NAME],MATCH(I9128,INVESTOR_LIST[INVESTOR CODE],0),)," ")</f>
        <v>MD ABDUL AZIZ</v>
      </c>
      <c r="I9128" s="145" t="s">
        <v>611</v>
      </c>
      <c r="J9128" s="163" t="s">
        <v>52</v>
      </c>
      <c r="K9128" s="219"/>
      <c r="L9128" s="219">
        <v>133450.1</v>
      </c>
    </row>
    <row r="9129" spans="1:14" x14ac:dyDescent="0.2">
      <c r="A9129" s="324">
        <v>2023</v>
      </c>
      <c r="B9129" s="324">
        <v>7</v>
      </c>
      <c r="C9129" s="325">
        <v>6</v>
      </c>
      <c r="D9129" s="326">
        <f>DATE(A9129,B9129,C9129)</f>
        <v>45113</v>
      </c>
      <c r="E9129" s="327">
        <f>DATE(A9129,B9129,C9129)</f>
        <v>45113</v>
      </c>
      <c r="F9129" s="473" t="s">
        <v>1634</v>
      </c>
      <c r="G9129" s="340" t="s">
        <v>94</v>
      </c>
      <c r="H9129" s="341" t="str" cm="1">
        <f t="array" ref="H9129">IFERROR(INDEX(INVESTOR_LIST[INVESTOR NAME],MATCH(I9129,INVESTOR_LIST[INVESTOR CODE],0),)," ")</f>
        <v xml:space="preserve"> </v>
      </c>
      <c r="I9129" s="341" t="s">
        <v>348</v>
      </c>
      <c r="J9129" s="325" t="s">
        <v>133</v>
      </c>
      <c r="K9129" s="330">
        <v>4170.82</v>
      </c>
      <c r="L9129" s="330"/>
      <c r="M9129" s="160"/>
    </row>
    <row r="9130" spans="1:14" x14ac:dyDescent="0.2">
      <c r="A9130" s="331">
        <v>2023</v>
      </c>
      <c r="B9130" s="331">
        <v>7</v>
      </c>
      <c r="C9130" s="331">
        <v>6</v>
      </c>
      <c r="D9130" s="326">
        <f>DATE(A9130,B9130,C9130)</f>
        <v>45113</v>
      </c>
      <c r="E9130" s="327">
        <f>DATE(A9130,B9130,C9130)</f>
        <v>45113</v>
      </c>
      <c r="F9130" s="474"/>
      <c r="G9130" s="332" t="s">
        <v>94</v>
      </c>
      <c r="H9130" s="333" t="str" cm="1">
        <f t="array" ref="H9130">IFERROR(INDEX(INVESTOR_LIST[INVESTOR NAME],MATCH(I9130,INVESTOR_LIST[INVESTOR CODE],0),)," ")</f>
        <v xml:space="preserve"> </v>
      </c>
      <c r="I9130" s="333" t="s">
        <v>348</v>
      </c>
      <c r="J9130" s="331" t="s">
        <v>152</v>
      </c>
      <c r="K9130" s="334"/>
      <c r="L9130" s="334">
        <v>4170.82</v>
      </c>
      <c r="M9130" s="160"/>
    </row>
    <row r="9131" spans="1:14" x14ac:dyDescent="0.2">
      <c r="A9131" s="324">
        <v>2023</v>
      </c>
      <c r="B9131" s="324">
        <v>7</v>
      </c>
      <c r="C9131" s="325">
        <v>6</v>
      </c>
      <c r="D9131" s="326">
        <f t="shared" ref="D9131:D9144" si="1054">DATE(A9131,B9131,C9131)</f>
        <v>45113</v>
      </c>
      <c r="E9131" s="327">
        <f t="shared" ref="E9131:E9144" si="1055">DATE(A9131,B9131,C9131)</f>
        <v>45113</v>
      </c>
      <c r="F9131" s="473" t="s">
        <v>1490</v>
      </c>
      <c r="G9131" s="328" t="s">
        <v>94</v>
      </c>
      <c r="H9131" s="329" t="str" cm="1">
        <f t="array" ref="H9131">IFERROR(INDEX(INVESTOR_LIST[INVESTOR NAME],MATCH(I9131,INVESTOR_LIST[INVESTOR CODE],0),)," ")</f>
        <v xml:space="preserve"> </v>
      </c>
      <c r="I9131" s="329" t="s">
        <v>348</v>
      </c>
      <c r="J9131" s="325" t="s">
        <v>133</v>
      </c>
      <c r="K9131" s="330">
        <v>23577.4</v>
      </c>
      <c r="L9131" s="330"/>
      <c r="M9131" s="160"/>
    </row>
    <row r="9132" spans="1:14" x14ac:dyDescent="0.2">
      <c r="A9132" s="331">
        <v>2023</v>
      </c>
      <c r="B9132" s="331">
        <v>7</v>
      </c>
      <c r="C9132" s="331">
        <v>6</v>
      </c>
      <c r="D9132" s="326">
        <f t="shared" si="1054"/>
        <v>45113</v>
      </c>
      <c r="E9132" s="327">
        <f t="shared" si="1055"/>
        <v>45113</v>
      </c>
      <c r="F9132" s="474"/>
      <c r="G9132" s="332" t="s">
        <v>94</v>
      </c>
      <c r="H9132" s="333" t="str" cm="1">
        <f t="array" ref="H9132">IFERROR(INDEX(INVESTOR_LIST[INVESTOR NAME],MATCH(I9132,INVESTOR_LIST[INVESTOR CODE],0),)," ")</f>
        <v xml:space="preserve"> </v>
      </c>
      <c r="I9132" s="333" t="s">
        <v>348</v>
      </c>
      <c r="J9132" s="331" t="s">
        <v>152</v>
      </c>
      <c r="K9132" s="334"/>
      <c r="L9132" s="334">
        <v>23577.4</v>
      </c>
      <c r="M9132" s="160"/>
      <c r="N9132" s="160"/>
    </row>
    <row r="9133" spans="1:14" x14ac:dyDescent="0.2">
      <c r="A9133" s="324">
        <v>2023</v>
      </c>
      <c r="B9133" s="324">
        <v>7</v>
      </c>
      <c r="C9133" s="325">
        <v>6</v>
      </c>
      <c r="D9133" s="326">
        <f t="shared" si="1054"/>
        <v>45113</v>
      </c>
      <c r="E9133" s="327">
        <f t="shared" si="1055"/>
        <v>45113</v>
      </c>
      <c r="F9133" s="473" t="s">
        <v>1491</v>
      </c>
      <c r="G9133" s="328" t="s">
        <v>94</v>
      </c>
      <c r="H9133" s="329" t="str" cm="1">
        <f t="array" ref="H9133">IFERROR(INDEX(INVESTOR_LIST[INVESTOR NAME],MATCH(I9133,INVESTOR_LIST[INVESTOR CODE],0),)," ")</f>
        <v xml:space="preserve"> </v>
      </c>
      <c r="I9133" s="329" t="s">
        <v>348</v>
      </c>
      <c r="J9133" s="324" t="s">
        <v>133</v>
      </c>
      <c r="K9133" s="330">
        <v>13557.69</v>
      </c>
      <c r="L9133" s="330"/>
      <c r="M9133" s="160"/>
      <c r="N9133" s="160"/>
    </row>
    <row r="9134" spans="1:14" x14ac:dyDescent="0.2">
      <c r="A9134" s="331">
        <v>2023</v>
      </c>
      <c r="B9134" s="331">
        <v>7</v>
      </c>
      <c r="C9134" s="331">
        <v>6</v>
      </c>
      <c r="D9134" s="326">
        <f t="shared" si="1054"/>
        <v>45113</v>
      </c>
      <c r="E9134" s="327">
        <f t="shared" si="1055"/>
        <v>45113</v>
      </c>
      <c r="F9134" s="474"/>
      <c r="G9134" s="332" t="s">
        <v>94</v>
      </c>
      <c r="H9134" s="333" t="str" cm="1">
        <f t="array" ref="H9134">IFERROR(INDEX(INVESTOR_LIST[INVESTOR NAME],MATCH(I9134,INVESTOR_LIST[INVESTOR CODE],0),)," ")</f>
        <v xml:space="preserve"> </v>
      </c>
      <c r="I9134" s="333" t="s">
        <v>348</v>
      </c>
      <c r="J9134" s="331" t="s">
        <v>152</v>
      </c>
      <c r="K9134" s="334"/>
      <c r="L9134" s="334">
        <v>13557.69</v>
      </c>
      <c r="M9134" s="160"/>
    </row>
    <row r="9135" spans="1:14" x14ac:dyDescent="0.2">
      <c r="A9135" s="324">
        <v>2023</v>
      </c>
      <c r="B9135" s="324">
        <v>7</v>
      </c>
      <c r="C9135" s="325">
        <v>6</v>
      </c>
      <c r="D9135" s="326">
        <f t="shared" si="1054"/>
        <v>45113</v>
      </c>
      <c r="E9135" s="327">
        <f t="shared" si="1055"/>
        <v>45113</v>
      </c>
      <c r="F9135" s="473" t="s">
        <v>1531</v>
      </c>
      <c r="G9135" s="328" t="s">
        <v>94</v>
      </c>
      <c r="H9135" s="329" t="str" cm="1">
        <f t="array" ref="H9135">IFERROR(INDEX(INVESTOR_LIST[INVESTOR NAME],MATCH(I9135,INVESTOR_LIST[INVESTOR CODE],0),)," ")</f>
        <v xml:space="preserve"> </v>
      </c>
      <c r="I9135" s="329" t="s">
        <v>348</v>
      </c>
      <c r="J9135" s="324" t="s">
        <v>133</v>
      </c>
      <c r="K9135" s="330">
        <v>22685.71</v>
      </c>
      <c r="L9135" s="330"/>
      <c r="M9135" s="160"/>
    </row>
    <row r="9136" spans="1:14" x14ac:dyDescent="0.2">
      <c r="A9136" s="331">
        <v>2023</v>
      </c>
      <c r="B9136" s="331">
        <v>7</v>
      </c>
      <c r="C9136" s="331">
        <v>6</v>
      </c>
      <c r="D9136" s="326">
        <f t="shared" si="1054"/>
        <v>45113</v>
      </c>
      <c r="E9136" s="327">
        <f t="shared" si="1055"/>
        <v>45113</v>
      </c>
      <c r="F9136" s="474"/>
      <c r="G9136" s="332" t="s">
        <v>94</v>
      </c>
      <c r="H9136" s="333" t="str" cm="1">
        <f t="array" ref="H9136">IFERROR(INDEX(INVESTOR_LIST[INVESTOR NAME],MATCH(I9136,INVESTOR_LIST[INVESTOR CODE],0),)," ")</f>
        <v xml:space="preserve"> </v>
      </c>
      <c r="I9136" s="333" t="s">
        <v>348</v>
      </c>
      <c r="J9136" s="331" t="s">
        <v>152</v>
      </c>
      <c r="K9136" s="334"/>
      <c r="L9136" s="334">
        <v>22685.71</v>
      </c>
      <c r="M9136" s="160"/>
    </row>
    <row r="9137" spans="1:13" x14ac:dyDescent="0.2">
      <c r="A9137" s="238">
        <v>2023</v>
      </c>
      <c r="B9137" s="238">
        <v>7</v>
      </c>
      <c r="C9137" s="238">
        <v>6</v>
      </c>
      <c r="D9137" s="270">
        <f t="shared" si="1054"/>
        <v>45113</v>
      </c>
      <c r="E9137" s="279">
        <f t="shared" si="1055"/>
        <v>45113</v>
      </c>
      <c r="F9137" s="477" t="s">
        <v>347</v>
      </c>
      <c r="G9137" s="239" t="s">
        <v>94</v>
      </c>
      <c r="H9137" s="239" t="str" cm="1">
        <f t="array" ref="H9137">IFERROR(INDEX(INVESTOR_LIST[INVESTOR NAME],MATCH(I9137,INVESTOR_LIST[INVESTOR CODE],0),)," ")</f>
        <v xml:space="preserve"> </v>
      </c>
      <c r="I9137" s="262" t="s">
        <v>348</v>
      </c>
      <c r="J9137" s="240" t="s">
        <v>108</v>
      </c>
      <c r="K9137" s="241">
        <v>62000.769999995828</v>
      </c>
      <c r="L9137" s="241"/>
    </row>
    <row r="9138" spans="1:13" x14ac:dyDescent="0.2">
      <c r="A9138" s="242">
        <v>2023</v>
      </c>
      <c r="B9138" s="242">
        <v>7</v>
      </c>
      <c r="C9138" s="242">
        <v>6</v>
      </c>
      <c r="D9138" s="270">
        <f t="shared" si="1054"/>
        <v>45113</v>
      </c>
      <c r="E9138" s="279">
        <f t="shared" si="1055"/>
        <v>45113</v>
      </c>
      <c r="F9138" s="478"/>
      <c r="G9138" s="243" t="s">
        <v>94</v>
      </c>
      <c r="H9138" s="243" t="str" cm="1">
        <f t="array" ref="H9138">IFERROR(INDEX(INVESTOR_LIST[INVESTOR NAME],MATCH(I9138,INVESTOR_LIST[INVESTOR CODE],0),)," ")</f>
        <v xml:space="preserve"> </v>
      </c>
      <c r="I9138" s="263" t="s">
        <v>348</v>
      </c>
      <c r="J9138" s="244" t="s">
        <v>82</v>
      </c>
      <c r="K9138" s="245"/>
      <c r="L9138" s="245">
        <v>62000.769999995828</v>
      </c>
    </row>
    <row r="9139" spans="1:13" ht="22.5" x14ac:dyDescent="0.2">
      <c r="A9139" s="246">
        <v>2023</v>
      </c>
      <c r="B9139" s="238">
        <v>7</v>
      </c>
      <c r="C9139" s="238">
        <v>6</v>
      </c>
      <c r="D9139" s="270">
        <f t="shared" si="1054"/>
        <v>45113</v>
      </c>
      <c r="E9139" s="279">
        <f t="shared" si="1055"/>
        <v>45113</v>
      </c>
      <c r="F9139" s="482" t="s">
        <v>148</v>
      </c>
      <c r="G9139" s="247" t="s">
        <v>94</v>
      </c>
      <c r="H9139" s="247" t="str" cm="1">
        <f t="array" ref="H9139">IFERROR(INDEX(INVESTOR_LIST[INVESTOR NAME],MATCH(I9139,INVESTOR_LIST[INVESTOR CODE],0),)," ")</f>
        <v xml:space="preserve"> </v>
      </c>
      <c r="I9139" s="248" t="s">
        <v>348</v>
      </c>
      <c r="J9139" s="249" t="s">
        <v>95</v>
      </c>
      <c r="K9139" s="250">
        <v>2747.2527472527472</v>
      </c>
      <c r="L9139" s="241"/>
    </row>
    <row r="9140" spans="1:13" x14ac:dyDescent="0.2">
      <c r="A9140" s="242">
        <v>2023</v>
      </c>
      <c r="B9140" s="242">
        <v>7</v>
      </c>
      <c r="C9140" s="242">
        <v>6</v>
      </c>
      <c r="D9140" s="270">
        <f t="shared" si="1054"/>
        <v>45113</v>
      </c>
      <c r="E9140" s="279">
        <f t="shared" si="1055"/>
        <v>45113</v>
      </c>
      <c r="F9140" s="478"/>
      <c r="G9140" s="243" t="s">
        <v>94</v>
      </c>
      <c r="H9140" s="243" t="str" cm="1">
        <f t="array" ref="H9140">IFERROR(INDEX(INVESTOR_LIST[INVESTOR NAME],MATCH(I9140,INVESTOR_LIST[INVESTOR CODE],0),)," ")</f>
        <v xml:space="preserve"> </v>
      </c>
      <c r="I9140" s="263" t="s">
        <v>348</v>
      </c>
      <c r="J9140" s="244" t="s">
        <v>63</v>
      </c>
      <c r="K9140" s="245"/>
      <c r="L9140" s="245">
        <v>2747.2527472527472</v>
      </c>
    </row>
    <row r="9141" spans="1:13" x14ac:dyDescent="0.2">
      <c r="A9141" s="246">
        <v>2023</v>
      </c>
      <c r="B9141" s="238">
        <v>7</v>
      </c>
      <c r="C9141" s="238">
        <v>6</v>
      </c>
      <c r="D9141" s="270">
        <f t="shared" si="1054"/>
        <v>45113</v>
      </c>
      <c r="E9141" s="279">
        <f t="shared" si="1055"/>
        <v>45113</v>
      </c>
      <c r="F9141" s="482" t="s">
        <v>137</v>
      </c>
      <c r="G9141" s="247" t="s">
        <v>94</v>
      </c>
      <c r="H9141" s="247" t="str" cm="1">
        <f t="array" ref="H9141">IFERROR(INDEX(INVESTOR_LIST[INVESTOR NAME],MATCH(I9141,INVESTOR_LIST[INVESTOR CODE],0),)," ")</f>
        <v xml:space="preserve"> </v>
      </c>
      <c r="I9141" s="248" t="s">
        <v>348</v>
      </c>
      <c r="J9141" s="249" t="s">
        <v>97</v>
      </c>
      <c r="K9141" s="250">
        <v>31325.072986061827</v>
      </c>
      <c r="L9141" s="252"/>
    </row>
    <row r="9142" spans="1:13" x14ac:dyDescent="0.2">
      <c r="A9142" s="242">
        <v>2023</v>
      </c>
      <c r="B9142" s="242">
        <v>7</v>
      </c>
      <c r="C9142" s="242">
        <v>6</v>
      </c>
      <c r="D9142" s="270">
        <f t="shared" si="1054"/>
        <v>45113</v>
      </c>
      <c r="E9142" s="279">
        <f t="shared" si="1055"/>
        <v>45113</v>
      </c>
      <c r="F9142" s="478"/>
      <c r="G9142" s="243" t="s">
        <v>94</v>
      </c>
      <c r="H9142" s="243" t="str" cm="1">
        <f t="array" ref="H9142">IFERROR(INDEX(INVESTOR_LIST[INVESTOR NAME],MATCH(I9142,INVESTOR_LIST[INVESTOR CODE],0),)," ")</f>
        <v xml:space="preserve"> </v>
      </c>
      <c r="I9142" s="263" t="s">
        <v>348</v>
      </c>
      <c r="J9142" s="244" t="s">
        <v>47</v>
      </c>
      <c r="K9142" s="245"/>
      <c r="L9142" s="245">
        <v>31325.072986061827</v>
      </c>
    </row>
    <row r="9143" spans="1:13" x14ac:dyDescent="0.2">
      <c r="A9143" s="246">
        <v>2023</v>
      </c>
      <c r="B9143" s="238">
        <v>7</v>
      </c>
      <c r="C9143" s="238">
        <v>6</v>
      </c>
      <c r="D9143" s="270">
        <f t="shared" si="1054"/>
        <v>45113</v>
      </c>
      <c r="E9143" s="279">
        <f t="shared" si="1055"/>
        <v>45113</v>
      </c>
      <c r="F9143" s="482" t="s">
        <v>138</v>
      </c>
      <c r="G9143" s="247" t="s">
        <v>94</v>
      </c>
      <c r="H9143" s="247" t="str" cm="1">
        <f t="array" ref="H9143">IFERROR(INDEX(INVESTOR_LIST[INVESTOR NAME],MATCH(I9143,INVESTOR_LIST[INVESTOR CODE],0),)," ")</f>
        <v xml:space="preserve"> </v>
      </c>
      <c r="I9143" s="248" t="s">
        <v>348</v>
      </c>
      <c r="J9143" s="249" t="s">
        <v>100</v>
      </c>
      <c r="K9143" s="250">
        <v>3132.5072986061828</v>
      </c>
      <c r="L9143" s="252"/>
    </row>
    <row r="9144" spans="1:13" ht="10.9" customHeight="1" x14ac:dyDescent="0.2">
      <c r="A9144" s="242">
        <v>2023</v>
      </c>
      <c r="B9144" s="242">
        <v>7</v>
      </c>
      <c r="C9144" s="242">
        <v>6</v>
      </c>
      <c r="D9144" s="321">
        <f t="shared" si="1054"/>
        <v>45113</v>
      </c>
      <c r="E9144" s="322">
        <f t="shared" si="1055"/>
        <v>45113</v>
      </c>
      <c r="F9144" s="478"/>
      <c r="G9144" s="243" t="s">
        <v>94</v>
      </c>
      <c r="H9144" s="243" t="str" cm="1">
        <f t="array" ref="H9144">IFERROR(INDEX(INVESTOR_LIST[INVESTOR NAME],MATCH(I9144,INVESTOR_LIST[INVESTOR CODE],0),)," ")</f>
        <v xml:space="preserve"> </v>
      </c>
      <c r="I9144" s="263" t="s">
        <v>348</v>
      </c>
      <c r="J9144" s="244" t="s">
        <v>48</v>
      </c>
      <c r="K9144" s="245"/>
      <c r="L9144" s="245">
        <v>3132.5072986061828</v>
      </c>
    </row>
    <row r="9145" spans="1:13" ht="10.15" customHeight="1" x14ac:dyDescent="0.2">
      <c r="A9145" s="168">
        <v>2023</v>
      </c>
      <c r="B9145" s="168">
        <v>7</v>
      </c>
      <c r="C9145" s="168">
        <v>11</v>
      </c>
      <c r="D9145" s="141">
        <f>DATE(A9145,B9145,C9145)</f>
        <v>45118</v>
      </c>
      <c r="E9145" s="275">
        <f>DATE(A9145,B9145,C9145)</f>
        <v>45118</v>
      </c>
      <c r="F9145" s="479" t="s">
        <v>1310</v>
      </c>
      <c r="G9145" s="220" t="s">
        <v>74</v>
      </c>
      <c r="H9145" s="142" t="str" cm="1">
        <f t="array" ref="H9145">IFERROR(INDEX(INVESTOR_LIST[INVESTOR NAME],MATCH(I9145,INVESTOR_LIST[INVESTOR CODE],0),)," ")</f>
        <v xml:space="preserve"> </v>
      </c>
      <c r="I9145" s="142"/>
      <c r="J9145" s="168" t="s">
        <v>13</v>
      </c>
      <c r="K9145" s="218">
        <v>99540</v>
      </c>
      <c r="L9145" s="226"/>
    </row>
    <row r="9146" spans="1:13" ht="10.15" customHeight="1" x14ac:dyDescent="0.2">
      <c r="A9146" s="133">
        <v>2023</v>
      </c>
      <c r="B9146" s="133">
        <v>7</v>
      </c>
      <c r="C9146" s="133">
        <v>11</v>
      </c>
      <c r="D9146" s="141">
        <f t="shared" ref="D9146:D9147" si="1056">DATE(A9146,B9146,C9146)</f>
        <v>45118</v>
      </c>
      <c r="E9146" s="275">
        <f t="shared" ref="E9146:E9147" si="1057">DATE(A9146,B9146,C9146)</f>
        <v>45118</v>
      </c>
      <c r="F9146" s="481"/>
      <c r="G9146" s="174" t="s">
        <v>74</v>
      </c>
      <c r="H9146" s="148" t="str" cm="1">
        <f t="array" ref="H9146">IFERROR(INDEX(INVESTOR_LIST[INVESTOR NAME],MATCH(I9146,INVESTOR_LIST[INVESTOR CODE],0),)," ")</f>
        <v xml:space="preserve"> </v>
      </c>
      <c r="J9146" s="133" t="s">
        <v>53</v>
      </c>
      <c r="K9146" s="218">
        <v>24460</v>
      </c>
      <c r="L9146" s="133"/>
    </row>
    <row r="9147" spans="1:13" ht="10.15" customHeight="1" x14ac:dyDescent="0.2">
      <c r="A9147" s="163">
        <v>2023</v>
      </c>
      <c r="B9147" s="163">
        <v>7</v>
      </c>
      <c r="C9147" s="163">
        <v>11</v>
      </c>
      <c r="D9147" s="280">
        <f t="shared" si="1056"/>
        <v>45118</v>
      </c>
      <c r="E9147" s="281">
        <f t="shared" si="1057"/>
        <v>45118</v>
      </c>
      <c r="F9147" s="480"/>
      <c r="G9147" s="221" t="s">
        <v>74</v>
      </c>
      <c r="H9147" s="145" t="str" cm="1">
        <f t="array" ref="H9147">IFERROR(INDEX(INVESTOR_LIST[INVESTOR NAME],MATCH(I9147,INVESTOR_LIST[INVESTOR CODE],0),)," ")</f>
        <v xml:space="preserve"> </v>
      </c>
      <c r="I9147" s="145"/>
      <c r="J9147" s="163" t="s">
        <v>52</v>
      </c>
      <c r="K9147" s="219"/>
      <c r="L9147" s="219">
        <v>124000</v>
      </c>
    </row>
    <row r="9148" spans="1:13" ht="10.15" customHeight="1" x14ac:dyDescent="0.2">
      <c r="A9148" s="168">
        <v>2023</v>
      </c>
      <c r="B9148" s="168">
        <v>7</v>
      </c>
      <c r="C9148" s="168">
        <v>12</v>
      </c>
      <c r="D9148" s="141">
        <f>DATE(A9148,B9148,C9148)</f>
        <v>45119</v>
      </c>
      <c r="E9148" s="275">
        <f>DATE(A9148,B9148,C9148)</f>
        <v>45119</v>
      </c>
      <c r="F9148" s="479" t="s">
        <v>1310</v>
      </c>
      <c r="G9148" s="220" t="s">
        <v>74</v>
      </c>
      <c r="H9148" s="142" t="str" cm="1">
        <f t="array" ref="H9148">IFERROR(INDEX(INVESTOR_LIST[INVESTOR NAME],MATCH(I9148,INVESTOR_LIST[INVESTOR CODE],0),)," ")</f>
        <v>SULTANA AFCHANA AFRIN</v>
      </c>
      <c r="I9148" s="142" t="s">
        <v>622</v>
      </c>
      <c r="J9148" s="168" t="s">
        <v>13</v>
      </c>
      <c r="K9148" s="218">
        <v>75700</v>
      </c>
      <c r="L9148" s="226"/>
    </row>
    <row r="9149" spans="1:13" ht="10.15" customHeight="1" x14ac:dyDescent="0.2">
      <c r="A9149" s="133">
        <v>2023</v>
      </c>
      <c r="B9149" s="133">
        <v>7</v>
      </c>
      <c r="C9149" s="133">
        <v>12</v>
      </c>
      <c r="D9149" s="141">
        <f t="shared" ref="D9149:D9150" si="1058">DATE(A9149,B9149,C9149)</f>
        <v>45119</v>
      </c>
      <c r="E9149" s="275">
        <f t="shared" ref="E9149:E9150" si="1059">DATE(A9149,B9149,C9149)</f>
        <v>45119</v>
      </c>
      <c r="F9149" s="481"/>
      <c r="G9149" s="174" t="s">
        <v>74</v>
      </c>
      <c r="H9149" s="148" t="str" cm="1">
        <f t="array" ref="H9149">IFERROR(INDEX(INVESTOR_LIST[INVESTOR NAME],MATCH(I9149,INVESTOR_LIST[INVESTOR CODE],0),)," ")</f>
        <v>SULTANA AFCHANA AFRIN</v>
      </c>
      <c r="I9149" s="148" t="s">
        <v>622</v>
      </c>
      <c r="J9149" s="133" t="s">
        <v>53</v>
      </c>
      <c r="K9149" s="218">
        <v>18781.169999999998</v>
      </c>
      <c r="L9149" s="133"/>
    </row>
    <row r="9150" spans="1:13" ht="10.15" customHeight="1" x14ac:dyDescent="0.2">
      <c r="A9150" s="163">
        <v>2023</v>
      </c>
      <c r="B9150" s="163">
        <v>7</v>
      </c>
      <c r="C9150" s="163">
        <v>12</v>
      </c>
      <c r="D9150" s="280">
        <f t="shared" si="1058"/>
        <v>45119</v>
      </c>
      <c r="E9150" s="281">
        <f t="shared" si="1059"/>
        <v>45119</v>
      </c>
      <c r="F9150" s="480"/>
      <c r="G9150" s="221" t="s">
        <v>74</v>
      </c>
      <c r="H9150" s="145" t="str" cm="1">
        <f t="array" ref="H9150">IFERROR(INDEX(INVESTOR_LIST[INVESTOR NAME],MATCH(I9150,INVESTOR_LIST[INVESTOR CODE],0),)," ")</f>
        <v>SULTANA AFCHANA AFRIN</v>
      </c>
      <c r="I9150" s="145" t="s">
        <v>622</v>
      </c>
      <c r="J9150" s="163" t="s">
        <v>52</v>
      </c>
      <c r="K9150" s="219"/>
      <c r="L9150" s="219">
        <v>94481.17</v>
      </c>
    </row>
    <row r="9151" spans="1:13" x14ac:dyDescent="0.2">
      <c r="A9151" s="324">
        <v>2023</v>
      </c>
      <c r="B9151" s="324">
        <v>7</v>
      </c>
      <c r="C9151" s="325">
        <v>13</v>
      </c>
      <c r="D9151" s="326">
        <f>DATE(A9151,B9151,C9151)</f>
        <v>45120</v>
      </c>
      <c r="E9151" s="327">
        <f>DATE(A9151,B9151,C9151)</f>
        <v>45120</v>
      </c>
      <c r="F9151" s="473" t="s">
        <v>1634</v>
      </c>
      <c r="G9151" s="340" t="s">
        <v>94</v>
      </c>
      <c r="H9151" s="341" t="str" cm="1">
        <f t="array" ref="H9151">IFERROR(INDEX(INVESTOR_LIST[INVESTOR NAME],MATCH(I9151,INVESTOR_LIST[INVESTOR CODE],0),)," ")</f>
        <v xml:space="preserve"> </v>
      </c>
      <c r="I9151" s="341" t="s">
        <v>348</v>
      </c>
      <c r="J9151" s="325" t="s">
        <v>133</v>
      </c>
      <c r="K9151" s="330">
        <v>4170.82</v>
      </c>
      <c r="L9151" s="330"/>
      <c r="M9151" s="160"/>
    </row>
    <row r="9152" spans="1:13" x14ac:dyDescent="0.2">
      <c r="A9152" s="331">
        <v>2023</v>
      </c>
      <c r="B9152" s="331">
        <v>7</v>
      </c>
      <c r="C9152" s="331">
        <v>13</v>
      </c>
      <c r="D9152" s="326">
        <f>DATE(A9152,B9152,C9152)</f>
        <v>45120</v>
      </c>
      <c r="E9152" s="327">
        <f>DATE(A9152,B9152,C9152)</f>
        <v>45120</v>
      </c>
      <c r="F9152" s="474"/>
      <c r="G9152" s="332" t="s">
        <v>94</v>
      </c>
      <c r="H9152" s="333" t="str" cm="1">
        <f t="array" ref="H9152">IFERROR(INDEX(INVESTOR_LIST[INVESTOR NAME],MATCH(I9152,INVESTOR_LIST[INVESTOR CODE],0),)," ")</f>
        <v xml:space="preserve"> </v>
      </c>
      <c r="I9152" s="333" t="s">
        <v>348</v>
      </c>
      <c r="J9152" s="331" t="s">
        <v>152</v>
      </c>
      <c r="K9152" s="334"/>
      <c r="L9152" s="334">
        <v>4170.82</v>
      </c>
      <c r="M9152" s="160"/>
    </row>
    <row r="9153" spans="1:14" x14ac:dyDescent="0.2">
      <c r="A9153" s="324">
        <v>2023</v>
      </c>
      <c r="B9153" s="324">
        <v>7</v>
      </c>
      <c r="C9153" s="325">
        <v>13</v>
      </c>
      <c r="D9153" s="326">
        <f t="shared" ref="D9153:D9166" si="1060">DATE(A9153,B9153,C9153)</f>
        <v>45120</v>
      </c>
      <c r="E9153" s="327">
        <f t="shared" ref="E9153:E9166" si="1061">DATE(A9153,B9153,C9153)</f>
        <v>45120</v>
      </c>
      <c r="F9153" s="473" t="s">
        <v>1490</v>
      </c>
      <c r="G9153" s="328" t="s">
        <v>94</v>
      </c>
      <c r="H9153" s="329" t="str" cm="1">
        <f t="array" ref="H9153">IFERROR(INDEX(INVESTOR_LIST[INVESTOR NAME],MATCH(I9153,INVESTOR_LIST[INVESTOR CODE],0),)," ")</f>
        <v xml:space="preserve"> </v>
      </c>
      <c r="I9153" s="329" t="s">
        <v>348</v>
      </c>
      <c r="J9153" s="325" t="s">
        <v>133</v>
      </c>
      <c r="K9153" s="330">
        <v>23577.4</v>
      </c>
      <c r="L9153" s="330"/>
      <c r="M9153" s="160"/>
    </row>
    <row r="9154" spans="1:14" x14ac:dyDescent="0.2">
      <c r="A9154" s="331">
        <v>2023</v>
      </c>
      <c r="B9154" s="331">
        <v>7</v>
      </c>
      <c r="C9154" s="331">
        <v>13</v>
      </c>
      <c r="D9154" s="326">
        <f t="shared" si="1060"/>
        <v>45120</v>
      </c>
      <c r="E9154" s="327">
        <f t="shared" si="1061"/>
        <v>45120</v>
      </c>
      <c r="F9154" s="474"/>
      <c r="G9154" s="332" t="s">
        <v>94</v>
      </c>
      <c r="H9154" s="333" t="str" cm="1">
        <f t="array" ref="H9154">IFERROR(INDEX(INVESTOR_LIST[INVESTOR NAME],MATCH(I9154,INVESTOR_LIST[INVESTOR CODE],0),)," ")</f>
        <v xml:space="preserve"> </v>
      </c>
      <c r="I9154" s="333" t="s">
        <v>348</v>
      </c>
      <c r="J9154" s="331" t="s">
        <v>152</v>
      </c>
      <c r="K9154" s="334"/>
      <c r="L9154" s="334">
        <v>23577.4</v>
      </c>
      <c r="M9154" s="160"/>
      <c r="N9154" s="160"/>
    </row>
    <row r="9155" spans="1:14" x14ac:dyDescent="0.2">
      <c r="A9155" s="324">
        <v>2023</v>
      </c>
      <c r="B9155" s="324">
        <v>7</v>
      </c>
      <c r="C9155" s="325">
        <v>13</v>
      </c>
      <c r="D9155" s="326">
        <f t="shared" si="1060"/>
        <v>45120</v>
      </c>
      <c r="E9155" s="327">
        <f t="shared" si="1061"/>
        <v>45120</v>
      </c>
      <c r="F9155" s="473" t="s">
        <v>1491</v>
      </c>
      <c r="G9155" s="328" t="s">
        <v>94</v>
      </c>
      <c r="H9155" s="329" t="str" cm="1">
        <f t="array" ref="H9155">IFERROR(INDEX(INVESTOR_LIST[INVESTOR NAME],MATCH(I9155,INVESTOR_LIST[INVESTOR CODE],0),)," ")</f>
        <v xml:space="preserve"> </v>
      </c>
      <c r="I9155" s="329" t="s">
        <v>348</v>
      </c>
      <c r="J9155" s="324" t="s">
        <v>133</v>
      </c>
      <c r="K9155" s="330">
        <v>13557.69</v>
      </c>
      <c r="L9155" s="330"/>
      <c r="M9155" s="160"/>
      <c r="N9155" s="160"/>
    </row>
    <row r="9156" spans="1:14" x14ac:dyDescent="0.2">
      <c r="A9156" s="331">
        <v>2023</v>
      </c>
      <c r="B9156" s="331">
        <v>7</v>
      </c>
      <c r="C9156" s="331">
        <v>13</v>
      </c>
      <c r="D9156" s="326">
        <f t="shared" si="1060"/>
        <v>45120</v>
      </c>
      <c r="E9156" s="327">
        <f t="shared" si="1061"/>
        <v>45120</v>
      </c>
      <c r="F9156" s="474"/>
      <c r="G9156" s="332" t="s">
        <v>94</v>
      </c>
      <c r="H9156" s="333" t="str" cm="1">
        <f t="array" ref="H9156">IFERROR(INDEX(INVESTOR_LIST[INVESTOR NAME],MATCH(I9156,INVESTOR_LIST[INVESTOR CODE],0),)," ")</f>
        <v xml:space="preserve"> </v>
      </c>
      <c r="I9156" s="333" t="s">
        <v>348</v>
      </c>
      <c r="J9156" s="331" t="s">
        <v>152</v>
      </c>
      <c r="K9156" s="334"/>
      <c r="L9156" s="334">
        <v>13557.69</v>
      </c>
      <c r="M9156" s="160"/>
    </row>
    <row r="9157" spans="1:14" x14ac:dyDescent="0.2">
      <c r="A9157" s="324">
        <v>2023</v>
      </c>
      <c r="B9157" s="324">
        <v>7</v>
      </c>
      <c r="C9157" s="325">
        <v>13</v>
      </c>
      <c r="D9157" s="326">
        <f t="shared" si="1060"/>
        <v>45120</v>
      </c>
      <c r="E9157" s="327">
        <f t="shared" si="1061"/>
        <v>45120</v>
      </c>
      <c r="F9157" s="473" t="s">
        <v>1531</v>
      </c>
      <c r="G9157" s="328" t="s">
        <v>94</v>
      </c>
      <c r="H9157" s="329" t="str" cm="1">
        <f t="array" ref="H9157">IFERROR(INDEX(INVESTOR_LIST[INVESTOR NAME],MATCH(I9157,INVESTOR_LIST[INVESTOR CODE],0),)," ")</f>
        <v xml:space="preserve"> </v>
      </c>
      <c r="I9157" s="329" t="s">
        <v>348</v>
      </c>
      <c r="J9157" s="324" t="s">
        <v>133</v>
      </c>
      <c r="K9157" s="330">
        <v>22685.71</v>
      </c>
      <c r="L9157" s="330"/>
      <c r="M9157" s="160"/>
    </row>
    <row r="9158" spans="1:14" x14ac:dyDescent="0.2">
      <c r="A9158" s="331">
        <v>2023</v>
      </c>
      <c r="B9158" s="331">
        <v>7</v>
      </c>
      <c r="C9158" s="331">
        <v>13</v>
      </c>
      <c r="D9158" s="326">
        <f t="shared" si="1060"/>
        <v>45120</v>
      </c>
      <c r="E9158" s="327">
        <f t="shared" si="1061"/>
        <v>45120</v>
      </c>
      <c r="F9158" s="474"/>
      <c r="G9158" s="332" t="s">
        <v>94</v>
      </c>
      <c r="H9158" s="333" t="str" cm="1">
        <f t="array" ref="H9158">IFERROR(INDEX(INVESTOR_LIST[INVESTOR NAME],MATCH(I9158,INVESTOR_LIST[INVESTOR CODE],0),)," ")</f>
        <v xml:space="preserve"> </v>
      </c>
      <c r="I9158" s="333" t="s">
        <v>348</v>
      </c>
      <c r="J9158" s="331" t="s">
        <v>152</v>
      </c>
      <c r="K9158" s="334"/>
      <c r="L9158" s="334">
        <v>22685.71</v>
      </c>
      <c r="M9158" s="160"/>
    </row>
    <row r="9159" spans="1:14" x14ac:dyDescent="0.2">
      <c r="A9159" s="238">
        <v>2023</v>
      </c>
      <c r="B9159" s="238">
        <v>7</v>
      </c>
      <c r="C9159" s="238">
        <v>13</v>
      </c>
      <c r="D9159" s="270">
        <f t="shared" si="1060"/>
        <v>45120</v>
      </c>
      <c r="E9159" s="279">
        <f t="shared" si="1061"/>
        <v>45120</v>
      </c>
      <c r="F9159" s="477" t="s">
        <v>347</v>
      </c>
      <c r="G9159" s="239" t="s">
        <v>94</v>
      </c>
      <c r="H9159" s="239" t="str" cm="1">
        <f t="array" ref="H9159">IFERROR(INDEX(INVESTOR_LIST[INVESTOR NAME],MATCH(I9159,INVESTOR_LIST[INVESTOR CODE],0),)," ")</f>
        <v xml:space="preserve"> </v>
      </c>
      <c r="I9159" s="262" t="s">
        <v>348</v>
      </c>
      <c r="J9159" s="240" t="s">
        <v>108</v>
      </c>
      <c r="K9159" s="241">
        <v>98835.800000011921</v>
      </c>
      <c r="L9159" s="241"/>
    </row>
    <row r="9160" spans="1:14" x14ac:dyDescent="0.2">
      <c r="A9160" s="242">
        <v>2023</v>
      </c>
      <c r="B9160" s="242">
        <v>7</v>
      </c>
      <c r="C9160" s="242">
        <v>13</v>
      </c>
      <c r="D9160" s="270">
        <f t="shared" si="1060"/>
        <v>45120</v>
      </c>
      <c r="E9160" s="279">
        <f t="shared" si="1061"/>
        <v>45120</v>
      </c>
      <c r="F9160" s="478"/>
      <c r="G9160" s="243" t="s">
        <v>94</v>
      </c>
      <c r="H9160" s="243" t="str" cm="1">
        <f t="array" ref="H9160">IFERROR(INDEX(INVESTOR_LIST[INVESTOR NAME],MATCH(I9160,INVESTOR_LIST[INVESTOR CODE],0),)," ")</f>
        <v xml:space="preserve"> </v>
      </c>
      <c r="I9160" s="263" t="s">
        <v>348</v>
      </c>
      <c r="J9160" s="244" t="s">
        <v>82</v>
      </c>
      <c r="K9160" s="245"/>
      <c r="L9160" s="245">
        <v>98835.800000011921</v>
      </c>
    </row>
    <row r="9161" spans="1:14" ht="22.5" x14ac:dyDescent="0.2">
      <c r="A9161" s="246">
        <v>2023</v>
      </c>
      <c r="B9161" s="238">
        <v>7</v>
      </c>
      <c r="C9161" s="238">
        <v>13</v>
      </c>
      <c r="D9161" s="270">
        <f t="shared" si="1060"/>
        <v>45120</v>
      </c>
      <c r="E9161" s="279">
        <f t="shared" si="1061"/>
        <v>45120</v>
      </c>
      <c r="F9161" s="482" t="s">
        <v>148</v>
      </c>
      <c r="G9161" s="247" t="s">
        <v>94</v>
      </c>
      <c r="H9161" s="247" t="str" cm="1">
        <f t="array" ref="H9161">IFERROR(INDEX(INVESTOR_LIST[INVESTOR NAME],MATCH(I9161,INVESTOR_LIST[INVESTOR CODE],0),)," ")</f>
        <v xml:space="preserve"> </v>
      </c>
      <c r="I9161" s="248" t="s">
        <v>348</v>
      </c>
      <c r="J9161" s="249" t="s">
        <v>95</v>
      </c>
      <c r="K9161" s="250">
        <v>2747.2527472527472</v>
      </c>
      <c r="L9161" s="241"/>
    </row>
    <row r="9162" spans="1:14" x14ac:dyDescent="0.2">
      <c r="A9162" s="242">
        <v>2023</v>
      </c>
      <c r="B9162" s="242">
        <v>7</v>
      </c>
      <c r="C9162" s="242">
        <v>13</v>
      </c>
      <c r="D9162" s="270">
        <f t="shared" si="1060"/>
        <v>45120</v>
      </c>
      <c r="E9162" s="279">
        <f t="shared" si="1061"/>
        <v>45120</v>
      </c>
      <c r="F9162" s="478"/>
      <c r="G9162" s="243" t="s">
        <v>94</v>
      </c>
      <c r="H9162" s="243" t="str" cm="1">
        <f t="array" ref="H9162">IFERROR(INDEX(INVESTOR_LIST[INVESTOR NAME],MATCH(I9162,INVESTOR_LIST[INVESTOR CODE],0),)," ")</f>
        <v xml:space="preserve"> </v>
      </c>
      <c r="I9162" s="263" t="s">
        <v>348</v>
      </c>
      <c r="J9162" s="244" t="s">
        <v>63</v>
      </c>
      <c r="K9162" s="245"/>
      <c r="L9162" s="245">
        <v>2747.2527472527472</v>
      </c>
    </row>
    <row r="9163" spans="1:14" x14ac:dyDescent="0.2">
      <c r="A9163" s="246">
        <v>2023</v>
      </c>
      <c r="B9163" s="238">
        <v>7</v>
      </c>
      <c r="C9163" s="238">
        <v>13</v>
      </c>
      <c r="D9163" s="270">
        <f t="shared" si="1060"/>
        <v>45120</v>
      </c>
      <c r="E9163" s="279">
        <f t="shared" si="1061"/>
        <v>45120</v>
      </c>
      <c r="F9163" s="482" t="s">
        <v>137</v>
      </c>
      <c r="G9163" s="247" t="s">
        <v>94</v>
      </c>
      <c r="H9163" s="247" t="str" cm="1">
        <f t="array" ref="H9163">IFERROR(INDEX(INVESTOR_LIST[INVESTOR NAME],MATCH(I9163,INVESTOR_LIST[INVESTOR CODE],0),)," ")</f>
        <v xml:space="preserve"> </v>
      </c>
      <c r="I9163" s="248" t="s">
        <v>348</v>
      </c>
      <c r="J9163" s="249" t="s">
        <v>97</v>
      </c>
      <c r="K9163" s="250">
        <v>31307.215566248</v>
      </c>
      <c r="L9163" s="252"/>
    </row>
    <row r="9164" spans="1:14" x14ac:dyDescent="0.2">
      <c r="A9164" s="242">
        <v>2023</v>
      </c>
      <c r="B9164" s="242">
        <v>7</v>
      </c>
      <c r="C9164" s="242">
        <v>13</v>
      </c>
      <c r="D9164" s="270">
        <f t="shared" si="1060"/>
        <v>45120</v>
      </c>
      <c r="E9164" s="279">
        <f t="shared" si="1061"/>
        <v>45120</v>
      </c>
      <c r="F9164" s="478"/>
      <c r="G9164" s="243" t="s">
        <v>94</v>
      </c>
      <c r="H9164" s="243" t="str" cm="1">
        <f t="array" ref="H9164">IFERROR(INDEX(INVESTOR_LIST[INVESTOR NAME],MATCH(I9164,INVESTOR_LIST[INVESTOR CODE],0),)," ")</f>
        <v xml:space="preserve"> </v>
      </c>
      <c r="I9164" s="263" t="s">
        <v>348</v>
      </c>
      <c r="J9164" s="244" t="s">
        <v>47</v>
      </c>
      <c r="K9164" s="245"/>
      <c r="L9164" s="245">
        <v>31307.215566248</v>
      </c>
    </row>
    <row r="9165" spans="1:14" x14ac:dyDescent="0.2">
      <c r="A9165" s="246">
        <v>2023</v>
      </c>
      <c r="B9165" s="238">
        <v>7</v>
      </c>
      <c r="C9165" s="238">
        <v>13</v>
      </c>
      <c r="D9165" s="270">
        <f t="shared" si="1060"/>
        <v>45120</v>
      </c>
      <c r="E9165" s="279">
        <f t="shared" si="1061"/>
        <v>45120</v>
      </c>
      <c r="F9165" s="482" t="s">
        <v>138</v>
      </c>
      <c r="G9165" s="247" t="s">
        <v>94</v>
      </c>
      <c r="H9165" s="247" t="str" cm="1">
        <f t="array" ref="H9165">IFERROR(INDEX(INVESTOR_LIST[INVESTOR NAME],MATCH(I9165,INVESTOR_LIST[INVESTOR CODE],0),)," ")</f>
        <v xml:space="preserve"> </v>
      </c>
      <c r="I9165" s="248" t="s">
        <v>348</v>
      </c>
      <c r="J9165" s="249" t="s">
        <v>100</v>
      </c>
      <c r="K9165" s="250">
        <v>3130.7215566248001</v>
      </c>
      <c r="L9165" s="252"/>
    </row>
    <row r="9166" spans="1:14" ht="10.9" customHeight="1" x14ac:dyDescent="0.2">
      <c r="A9166" s="242">
        <v>2023</v>
      </c>
      <c r="B9166" s="242">
        <v>7</v>
      </c>
      <c r="C9166" s="242">
        <v>13</v>
      </c>
      <c r="D9166" s="321">
        <f t="shared" si="1060"/>
        <v>45120</v>
      </c>
      <c r="E9166" s="322">
        <f t="shared" si="1061"/>
        <v>45120</v>
      </c>
      <c r="F9166" s="478"/>
      <c r="G9166" s="243" t="s">
        <v>94</v>
      </c>
      <c r="H9166" s="243" t="str" cm="1">
        <f t="array" ref="H9166">IFERROR(INDEX(INVESTOR_LIST[INVESTOR NAME],MATCH(I9166,INVESTOR_LIST[INVESTOR CODE],0),)," ")</f>
        <v xml:space="preserve"> </v>
      </c>
      <c r="I9166" s="263" t="s">
        <v>348</v>
      </c>
      <c r="J9166" s="244" t="s">
        <v>48</v>
      </c>
      <c r="K9166" s="245"/>
      <c r="L9166" s="245">
        <v>3130.7215566248001</v>
      </c>
    </row>
    <row r="9167" spans="1:14" ht="10.15" customHeight="1" x14ac:dyDescent="0.2">
      <c r="A9167" s="168">
        <v>2023</v>
      </c>
      <c r="B9167" s="168">
        <v>7</v>
      </c>
      <c r="C9167" s="168">
        <v>16</v>
      </c>
      <c r="D9167" s="141">
        <f>DATE(A9167,B9167,C9167)</f>
        <v>45123</v>
      </c>
      <c r="E9167" s="275">
        <f>DATE(A9167,B9167,C9167)</f>
        <v>45123</v>
      </c>
      <c r="F9167" s="479" t="s">
        <v>1370</v>
      </c>
      <c r="G9167" s="220" t="s">
        <v>74</v>
      </c>
      <c r="H9167" s="142" t="str" cm="1">
        <f t="array" ref="H9167">IFERROR(INDEX(INVESTOR_LIST[INVESTOR NAME],MATCH(I9167,INVESTOR_LIST[INVESTOR CODE],0),)," ")</f>
        <v xml:space="preserve"> </v>
      </c>
      <c r="I9167" s="142"/>
      <c r="J9167" s="168" t="s">
        <v>13</v>
      </c>
      <c r="K9167" s="218">
        <v>787930</v>
      </c>
      <c r="L9167" s="226"/>
    </row>
    <row r="9168" spans="1:14" ht="10.15" customHeight="1" x14ac:dyDescent="0.2">
      <c r="A9168" s="133">
        <v>2023</v>
      </c>
      <c r="B9168" s="133">
        <v>7</v>
      </c>
      <c r="C9168" s="133">
        <v>16</v>
      </c>
      <c r="D9168" s="141">
        <f t="shared" ref="D9168:D9171" si="1062">DATE(A9168,B9168,C9168)</f>
        <v>45123</v>
      </c>
      <c r="E9168" s="275">
        <f t="shared" ref="E9168:E9171" si="1063">DATE(A9168,B9168,C9168)</f>
        <v>45123</v>
      </c>
      <c r="F9168" s="481"/>
      <c r="G9168" s="174" t="s">
        <v>74</v>
      </c>
      <c r="H9168" s="148" t="str" cm="1">
        <f t="array" ref="H9168">IFERROR(INDEX(INVESTOR_LIST[INVESTOR NAME],MATCH(I9168,INVESTOR_LIST[INVESTOR CODE],0),)," ")</f>
        <v xml:space="preserve"> </v>
      </c>
      <c r="J9168" s="133" t="s">
        <v>53</v>
      </c>
      <c r="K9168" s="218">
        <v>196273.36</v>
      </c>
      <c r="L9168" s="133"/>
    </row>
    <row r="9169" spans="1:14" ht="10.15" customHeight="1" x14ac:dyDescent="0.2">
      <c r="A9169" s="163">
        <v>2023</v>
      </c>
      <c r="B9169" s="163">
        <v>7</v>
      </c>
      <c r="C9169" s="163">
        <v>16</v>
      </c>
      <c r="D9169" s="280">
        <f t="shared" si="1062"/>
        <v>45123</v>
      </c>
      <c r="E9169" s="281">
        <f t="shared" si="1063"/>
        <v>45123</v>
      </c>
      <c r="F9169" s="480"/>
      <c r="G9169" s="221" t="s">
        <v>74</v>
      </c>
      <c r="H9169" s="145" t="str" cm="1">
        <f t="array" ref="H9169">IFERROR(INDEX(INVESTOR_LIST[INVESTOR NAME],MATCH(I9169,INVESTOR_LIST[INVESTOR CODE],0),)," ")</f>
        <v xml:space="preserve"> </v>
      </c>
      <c r="I9169" s="145"/>
      <c r="J9169" s="163" t="s">
        <v>52</v>
      </c>
      <c r="K9169" s="219"/>
      <c r="L9169" s="219">
        <v>984203.36</v>
      </c>
    </row>
    <row r="9170" spans="1:14" x14ac:dyDescent="0.2">
      <c r="A9170" s="168">
        <v>2023</v>
      </c>
      <c r="B9170" s="168">
        <v>7</v>
      </c>
      <c r="C9170" s="168">
        <v>16</v>
      </c>
      <c r="D9170" s="141">
        <f t="shared" si="1062"/>
        <v>45123</v>
      </c>
      <c r="E9170" s="275">
        <f t="shared" si="1063"/>
        <v>45123</v>
      </c>
      <c r="F9170" s="479" t="s">
        <v>1750</v>
      </c>
      <c r="G9170" s="220" t="s">
        <v>74</v>
      </c>
      <c r="H9170" s="220" t="str" cm="1">
        <f t="array" ref="H9170">IFERROR(INDEX(INVESTOR_LIST[INVESTOR NAME],MATCH(I9170,INVESTOR_LIST[INVESTOR CODE],0),)," ")</f>
        <v xml:space="preserve"> </v>
      </c>
      <c r="I9170" s="142" t="s">
        <v>348</v>
      </c>
      <c r="J9170" s="143" t="s">
        <v>104</v>
      </c>
      <c r="K9170" s="226">
        <v>1897.32</v>
      </c>
      <c r="L9170" s="226"/>
    </row>
    <row r="9171" spans="1:14" x14ac:dyDescent="0.2">
      <c r="A9171" s="163">
        <v>2023</v>
      </c>
      <c r="B9171" s="163">
        <v>7</v>
      </c>
      <c r="C9171" s="163">
        <v>16</v>
      </c>
      <c r="D9171" s="141">
        <f t="shared" si="1062"/>
        <v>45123</v>
      </c>
      <c r="E9171" s="275">
        <f t="shared" si="1063"/>
        <v>45123</v>
      </c>
      <c r="F9171" s="480"/>
      <c r="G9171" s="221" t="s">
        <v>74</v>
      </c>
      <c r="H9171" s="221" t="str" cm="1">
        <f t="array" ref="H9171">IFERROR(INDEX(INVESTOR_LIST[INVESTOR NAME],MATCH(I9171,INVESTOR_LIST[INVESTOR CODE],0),)," ")</f>
        <v xml:space="preserve"> </v>
      </c>
      <c r="I9171" s="145" t="s">
        <v>348</v>
      </c>
      <c r="J9171" s="146" t="s">
        <v>52</v>
      </c>
      <c r="K9171" s="219"/>
      <c r="L9171" s="219">
        <v>1897.32</v>
      </c>
    </row>
    <row r="9172" spans="1:14" ht="10.15" customHeight="1" x14ac:dyDescent="0.2">
      <c r="A9172" s="168">
        <v>2023</v>
      </c>
      <c r="B9172" s="168">
        <v>7</v>
      </c>
      <c r="C9172" s="168">
        <v>17</v>
      </c>
      <c r="D9172" s="141">
        <f>DATE(A9172,B9172,C9172)</f>
        <v>45124</v>
      </c>
      <c r="E9172" s="275">
        <f>DATE(A9172,B9172,C9172)</f>
        <v>45124</v>
      </c>
      <c r="F9172" s="479" t="s">
        <v>1749</v>
      </c>
      <c r="G9172" s="220" t="s">
        <v>74</v>
      </c>
      <c r="H9172" s="142" t="str" cm="1">
        <f t="array" ref="H9172">IFERROR(INDEX(INVESTOR_LIST[INVESTOR NAME],MATCH(I9172,INVESTOR_LIST[INVESTOR CODE],0),)," ")</f>
        <v>SHUVA SAHA</v>
      </c>
      <c r="I9172" s="142" t="s">
        <v>421</v>
      </c>
      <c r="J9172" s="168" t="s">
        <v>13</v>
      </c>
      <c r="K9172" s="218">
        <v>17420</v>
      </c>
      <c r="L9172" s="226"/>
    </row>
    <row r="9173" spans="1:14" ht="10.15" customHeight="1" x14ac:dyDescent="0.2">
      <c r="A9173" s="133">
        <v>2023</v>
      </c>
      <c r="B9173" s="133">
        <v>7</v>
      </c>
      <c r="C9173" s="133">
        <v>17</v>
      </c>
      <c r="D9173" s="141">
        <f t="shared" ref="D9173:D9177" si="1064">DATE(A9173,B9173,C9173)</f>
        <v>45124</v>
      </c>
      <c r="E9173" s="275">
        <f t="shared" ref="E9173:E9177" si="1065">DATE(A9173,B9173,C9173)</f>
        <v>45124</v>
      </c>
      <c r="F9173" s="481"/>
      <c r="G9173" s="174" t="s">
        <v>74</v>
      </c>
      <c r="H9173" s="148" t="str" cm="1">
        <f t="array" ref="H9173">IFERROR(INDEX(INVESTOR_LIST[INVESTOR NAME],MATCH(I9173,INVESTOR_LIST[INVESTOR CODE],0),)," ")</f>
        <v>SHUVA SAHA</v>
      </c>
      <c r="I9173" s="148" t="s">
        <v>421</v>
      </c>
      <c r="J9173" s="133" t="s">
        <v>53</v>
      </c>
      <c r="K9173" s="218">
        <v>4339.32</v>
      </c>
      <c r="L9173" s="133"/>
    </row>
    <row r="9174" spans="1:14" ht="10.15" customHeight="1" x14ac:dyDescent="0.2">
      <c r="A9174" s="163">
        <v>2023</v>
      </c>
      <c r="B9174" s="163">
        <v>7</v>
      </c>
      <c r="C9174" s="163">
        <v>17</v>
      </c>
      <c r="D9174" s="280">
        <f t="shared" si="1064"/>
        <v>45124</v>
      </c>
      <c r="E9174" s="281">
        <f t="shared" si="1065"/>
        <v>45124</v>
      </c>
      <c r="F9174" s="480"/>
      <c r="G9174" s="221" t="s">
        <v>74</v>
      </c>
      <c r="H9174" s="145" t="str" cm="1">
        <f t="array" ref="H9174">IFERROR(INDEX(INVESTOR_LIST[INVESTOR NAME],MATCH(I9174,INVESTOR_LIST[INVESTOR CODE],0),)," ")</f>
        <v>SHUVA SAHA</v>
      </c>
      <c r="I9174" s="145" t="s">
        <v>421</v>
      </c>
      <c r="J9174" s="163" t="s">
        <v>52</v>
      </c>
      <c r="K9174" s="219"/>
      <c r="L9174" s="219">
        <v>21759.32</v>
      </c>
    </row>
    <row r="9175" spans="1:14" ht="10.15" customHeight="1" x14ac:dyDescent="0.2">
      <c r="A9175" s="168">
        <v>2023</v>
      </c>
      <c r="B9175" s="168">
        <v>7</v>
      </c>
      <c r="C9175" s="168">
        <v>17</v>
      </c>
      <c r="D9175" s="141">
        <f t="shared" si="1064"/>
        <v>45124</v>
      </c>
      <c r="E9175" s="275">
        <f t="shared" si="1065"/>
        <v>45124</v>
      </c>
      <c r="F9175" s="479" t="s">
        <v>1319</v>
      </c>
      <c r="G9175" s="220" t="s">
        <v>74</v>
      </c>
      <c r="H9175" s="142" t="str" cm="1">
        <f t="array" ref="H9175">IFERROR(INDEX(INVESTOR_LIST[INVESTOR NAME],MATCH(I9175,INVESTOR_LIST[INVESTOR CODE],0),)," ")</f>
        <v xml:space="preserve"> </v>
      </c>
      <c r="I9175" s="142"/>
      <c r="J9175" s="168" t="s">
        <v>52</v>
      </c>
      <c r="K9175" s="226">
        <v>36000</v>
      </c>
      <c r="L9175" s="226"/>
    </row>
    <row r="9176" spans="1:14" ht="10.15" customHeight="1" x14ac:dyDescent="0.2">
      <c r="A9176" s="133">
        <v>2023</v>
      </c>
      <c r="B9176" s="133">
        <v>7</v>
      </c>
      <c r="C9176" s="133">
        <v>17</v>
      </c>
      <c r="D9176" s="141">
        <f t="shared" si="1064"/>
        <v>45124</v>
      </c>
      <c r="E9176" s="275">
        <f t="shared" si="1065"/>
        <v>45124</v>
      </c>
      <c r="F9176" s="481"/>
      <c r="G9176" s="174" t="s">
        <v>74</v>
      </c>
      <c r="H9176" s="148" t="str" cm="1">
        <f t="array" ref="H9176">IFERROR(INDEX(INVESTOR_LIST[INVESTOR NAME],MATCH(I9176,INVESTOR_LIST[INVESTOR CODE],0),)," ")</f>
        <v xml:space="preserve"> </v>
      </c>
      <c r="J9176" s="133" t="s">
        <v>13</v>
      </c>
      <c r="K9176" s="218"/>
      <c r="L9176" s="218">
        <v>28810</v>
      </c>
    </row>
    <row r="9177" spans="1:14" ht="10.15" customHeight="1" x14ac:dyDescent="0.2">
      <c r="A9177" s="163">
        <v>2023</v>
      </c>
      <c r="B9177" s="163">
        <v>7</v>
      </c>
      <c r="C9177" s="163">
        <v>17</v>
      </c>
      <c r="D9177" s="280">
        <f t="shared" si="1064"/>
        <v>45124</v>
      </c>
      <c r="E9177" s="281">
        <f t="shared" si="1065"/>
        <v>45124</v>
      </c>
      <c r="F9177" s="480"/>
      <c r="G9177" s="221" t="s">
        <v>74</v>
      </c>
      <c r="H9177" s="145" t="str" cm="1">
        <f t="array" ref="H9177">IFERROR(INDEX(INVESTOR_LIST[INVESTOR NAME],MATCH(I9177,INVESTOR_LIST[INVESTOR CODE],0),)," ")</f>
        <v xml:space="preserve"> </v>
      </c>
      <c r="I9177" s="145"/>
      <c r="J9177" s="163" t="s">
        <v>53</v>
      </c>
      <c r="K9177" s="219"/>
      <c r="L9177" s="219">
        <v>7190</v>
      </c>
    </row>
    <row r="9178" spans="1:14" ht="10.15" customHeight="1" x14ac:dyDescent="0.2">
      <c r="A9178" s="168">
        <v>2023</v>
      </c>
      <c r="B9178" s="168">
        <v>7</v>
      </c>
      <c r="C9178" s="168">
        <v>20</v>
      </c>
      <c r="D9178" s="141">
        <f>DATE(A9178,B9178,C9178)</f>
        <v>45127</v>
      </c>
      <c r="E9178" s="275">
        <f>DATE(A9178,B9178,C9178)</f>
        <v>45127</v>
      </c>
      <c r="F9178" s="479" t="s">
        <v>1310</v>
      </c>
      <c r="G9178" s="220" t="s">
        <v>74</v>
      </c>
      <c r="H9178" s="142" t="str" cm="1">
        <f t="array" ref="H9178">IFERROR(INDEX(INVESTOR_LIST[INVESTOR NAME],MATCH(I9178,INVESTOR_LIST[INVESTOR CODE],0),)," ")</f>
        <v>BENOZEER AHMED</v>
      </c>
      <c r="I9178" s="142" t="s">
        <v>851</v>
      </c>
      <c r="J9178" s="168" t="s">
        <v>13</v>
      </c>
      <c r="K9178" s="218">
        <v>14590</v>
      </c>
      <c r="L9178" s="226"/>
    </row>
    <row r="9179" spans="1:14" ht="10.15" customHeight="1" x14ac:dyDescent="0.2">
      <c r="A9179" s="133">
        <v>2023</v>
      </c>
      <c r="B9179" s="133">
        <v>7</v>
      </c>
      <c r="C9179" s="133">
        <v>20</v>
      </c>
      <c r="D9179" s="141">
        <f t="shared" ref="D9179:D9180" si="1066">DATE(A9179,B9179,C9179)</f>
        <v>45127</v>
      </c>
      <c r="E9179" s="275">
        <f t="shared" ref="E9179:E9180" si="1067">DATE(A9179,B9179,C9179)</f>
        <v>45127</v>
      </c>
      <c r="F9179" s="481"/>
      <c r="G9179" s="174" t="s">
        <v>74</v>
      </c>
      <c r="H9179" s="148" t="str" cm="1">
        <f t="array" ref="H9179">IFERROR(INDEX(INVESTOR_LIST[INVESTOR NAME],MATCH(I9179,INVESTOR_LIST[INVESTOR CODE],0),)," ")</f>
        <v>BENOZEER AHMED</v>
      </c>
      <c r="I9179" s="148" t="s">
        <v>851</v>
      </c>
      <c r="J9179" s="133" t="s">
        <v>53</v>
      </c>
      <c r="K9179" s="218">
        <v>3634.369999999999</v>
      </c>
      <c r="L9179" s="133"/>
    </row>
    <row r="9180" spans="1:14" ht="10.15" customHeight="1" x14ac:dyDescent="0.2">
      <c r="A9180" s="163">
        <v>2023</v>
      </c>
      <c r="B9180" s="163">
        <v>7</v>
      </c>
      <c r="C9180" s="163">
        <v>20</v>
      </c>
      <c r="D9180" s="280">
        <f t="shared" si="1066"/>
        <v>45127</v>
      </c>
      <c r="E9180" s="281">
        <f t="shared" si="1067"/>
        <v>45127</v>
      </c>
      <c r="F9180" s="480"/>
      <c r="G9180" s="221" t="s">
        <v>74</v>
      </c>
      <c r="H9180" s="145" t="str" cm="1">
        <f t="array" ref="H9180">IFERROR(INDEX(INVESTOR_LIST[INVESTOR NAME],MATCH(I9180,INVESTOR_LIST[INVESTOR CODE],0),)," ")</f>
        <v>BENOZEER AHMED</v>
      </c>
      <c r="I9180" s="145" t="s">
        <v>851</v>
      </c>
      <c r="J9180" s="163" t="s">
        <v>52</v>
      </c>
      <c r="K9180" s="219"/>
      <c r="L9180" s="219">
        <v>18224.37</v>
      </c>
    </row>
    <row r="9181" spans="1:14" x14ac:dyDescent="0.2">
      <c r="A9181" s="324">
        <v>2023</v>
      </c>
      <c r="B9181" s="324">
        <v>7</v>
      </c>
      <c r="C9181" s="325">
        <v>20</v>
      </c>
      <c r="D9181" s="326">
        <f>DATE(A9181,B9181,C9181)</f>
        <v>45127</v>
      </c>
      <c r="E9181" s="327">
        <f>DATE(A9181,B9181,C9181)</f>
        <v>45127</v>
      </c>
      <c r="F9181" s="473" t="s">
        <v>1634</v>
      </c>
      <c r="G9181" s="340" t="s">
        <v>94</v>
      </c>
      <c r="H9181" s="341" t="str" cm="1">
        <f t="array" ref="H9181">IFERROR(INDEX(INVESTOR_LIST[INVESTOR NAME],MATCH(I9181,INVESTOR_LIST[INVESTOR CODE],0),)," ")</f>
        <v xml:space="preserve"> </v>
      </c>
      <c r="I9181" s="341" t="s">
        <v>348</v>
      </c>
      <c r="J9181" s="325" t="s">
        <v>133</v>
      </c>
      <c r="K9181" s="330">
        <v>4170.82</v>
      </c>
      <c r="L9181" s="330"/>
      <c r="M9181" s="160"/>
    </row>
    <row r="9182" spans="1:14" x14ac:dyDescent="0.2">
      <c r="A9182" s="331">
        <v>2023</v>
      </c>
      <c r="B9182" s="331">
        <v>7</v>
      </c>
      <c r="C9182" s="331">
        <v>20</v>
      </c>
      <c r="D9182" s="326">
        <f>DATE(A9182,B9182,C9182)</f>
        <v>45127</v>
      </c>
      <c r="E9182" s="327">
        <f>DATE(A9182,B9182,C9182)</f>
        <v>45127</v>
      </c>
      <c r="F9182" s="474"/>
      <c r="G9182" s="332" t="s">
        <v>94</v>
      </c>
      <c r="H9182" s="333" t="str" cm="1">
        <f t="array" ref="H9182">IFERROR(INDEX(INVESTOR_LIST[INVESTOR NAME],MATCH(I9182,INVESTOR_LIST[INVESTOR CODE],0),)," ")</f>
        <v xml:space="preserve"> </v>
      </c>
      <c r="I9182" s="333" t="s">
        <v>348</v>
      </c>
      <c r="J9182" s="331" t="s">
        <v>152</v>
      </c>
      <c r="K9182" s="334"/>
      <c r="L9182" s="334">
        <v>4170.82</v>
      </c>
      <c r="M9182" s="160"/>
    </row>
    <row r="9183" spans="1:14" x14ac:dyDescent="0.2">
      <c r="A9183" s="324">
        <v>2023</v>
      </c>
      <c r="B9183" s="324">
        <v>7</v>
      </c>
      <c r="C9183" s="325">
        <v>20</v>
      </c>
      <c r="D9183" s="326">
        <f t="shared" ref="D9183:D9212" si="1068">DATE(A9183,B9183,C9183)</f>
        <v>45127</v>
      </c>
      <c r="E9183" s="327">
        <f t="shared" ref="E9183:E9212" si="1069">DATE(A9183,B9183,C9183)</f>
        <v>45127</v>
      </c>
      <c r="F9183" s="473" t="s">
        <v>1490</v>
      </c>
      <c r="G9183" s="328" t="s">
        <v>94</v>
      </c>
      <c r="H9183" s="329" t="str" cm="1">
        <f t="array" ref="H9183">IFERROR(INDEX(INVESTOR_LIST[INVESTOR NAME],MATCH(I9183,INVESTOR_LIST[INVESTOR CODE],0),)," ")</f>
        <v xml:space="preserve"> </v>
      </c>
      <c r="I9183" s="329" t="s">
        <v>348</v>
      </c>
      <c r="J9183" s="325" t="s">
        <v>133</v>
      </c>
      <c r="K9183" s="330">
        <v>23763.11</v>
      </c>
      <c r="L9183" s="330"/>
      <c r="M9183" s="160"/>
    </row>
    <row r="9184" spans="1:14" x14ac:dyDescent="0.2">
      <c r="A9184" s="331">
        <v>2023</v>
      </c>
      <c r="B9184" s="331">
        <v>7</v>
      </c>
      <c r="C9184" s="331">
        <v>20</v>
      </c>
      <c r="D9184" s="326">
        <f t="shared" si="1068"/>
        <v>45127</v>
      </c>
      <c r="E9184" s="327">
        <f t="shared" si="1069"/>
        <v>45127</v>
      </c>
      <c r="F9184" s="474"/>
      <c r="G9184" s="332" t="s">
        <v>94</v>
      </c>
      <c r="H9184" s="333" t="str" cm="1">
        <f t="array" ref="H9184">IFERROR(INDEX(INVESTOR_LIST[INVESTOR NAME],MATCH(I9184,INVESTOR_LIST[INVESTOR CODE],0),)," ")</f>
        <v xml:space="preserve"> </v>
      </c>
      <c r="I9184" s="333" t="s">
        <v>348</v>
      </c>
      <c r="J9184" s="331" t="s">
        <v>152</v>
      </c>
      <c r="K9184" s="334"/>
      <c r="L9184" s="334">
        <v>23763.11</v>
      </c>
      <c r="M9184" s="160"/>
      <c r="N9184" s="160"/>
    </row>
    <row r="9185" spans="1:14" x14ac:dyDescent="0.2">
      <c r="A9185" s="324">
        <v>2023</v>
      </c>
      <c r="B9185" s="324">
        <v>7</v>
      </c>
      <c r="C9185" s="325">
        <v>20</v>
      </c>
      <c r="D9185" s="326">
        <f t="shared" si="1068"/>
        <v>45127</v>
      </c>
      <c r="E9185" s="327">
        <f t="shared" si="1069"/>
        <v>45127</v>
      </c>
      <c r="F9185" s="473" t="s">
        <v>1491</v>
      </c>
      <c r="G9185" s="328" t="s">
        <v>94</v>
      </c>
      <c r="H9185" s="329" t="str" cm="1">
        <f t="array" ref="H9185">IFERROR(INDEX(INVESTOR_LIST[INVESTOR NAME],MATCH(I9185,INVESTOR_LIST[INVESTOR CODE],0),)," ")</f>
        <v xml:space="preserve"> </v>
      </c>
      <c r="I9185" s="329" t="s">
        <v>348</v>
      </c>
      <c r="J9185" s="324" t="s">
        <v>133</v>
      </c>
      <c r="K9185" s="330">
        <v>13557.69</v>
      </c>
      <c r="L9185" s="330"/>
      <c r="M9185" s="160"/>
      <c r="N9185" s="160"/>
    </row>
    <row r="9186" spans="1:14" x14ac:dyDescent="0.2">
      <c r="A9186" s="331">
        <v>2023</v>
      </c>
      <c r="B9186" s="331">
        <v>7</v>
      </c>
      <c r="C9186" s="331">
        <v>20</v>
      </c>
      <c r="D9186" s="326">
        <f t="shared" si="1068"/>
        <v>45127</v>
      </c>
      <c r="E9186" s="327">
        <f t="shared" si="1069"/>
        <v>45127</v>
      </c>
      <c r="F9186" s="474"/>
      <c r="G9186" s="332" t="s">
        <v>94</v>
      </c>
      <c r="H9186" s="333" t="str" cm="1">
        <f t="array" ref="H9186">IFERROR(INDEX(INVESTOR_LIST[INVESTOR NAME],MATCH(I9186,INVESTOR_LIST[INVESTOR CODE],0),)," ")</f>
        <v xml:space="preserve"> </v>
      </c>
      <c r="I9186" s="333" t="s">
        <v>348</v>
      </c>
      <c r="J9186" s="331" t="s">
        <v>152</v>
      </c>
      <c r="K9186" s="334"/>
      <c r="L9186" s="334">
        <v>13557.69</v>
      </c>
      <c r="M9186" s="160"/>
    </row>
    <row r="9187" spans="1:14" x14ac:dyDescent="0.2">
      <c r="A9187" s="324">
        <v>2023</v>
      </c>
      <c r="B9187" s="324">
        <v>7</v>
      </c>
      <c r="C9187" s="325">
        <v>20</v>
      </c>
      <c r="D9187" s="326">
        <f t="shared" si="1068"/>
        <v>45127</v>
      </c>
      <c r="E9187" s="327">
        <f t="shared" si="1069"/>
        <v>45127</v>
      </c>
      <c r="F9187" s="473" t="s">
        <v>1531</v>
      </c>
      <c r="G9187" s="328" t="s">
        <v>94</v>
      </c>
      <c r="H9187" s="329" t="str" cm="1">
        <f t="array" ref="H9187">IFERROR(INDEX(INVESTOR_LIST[INVESTOR NAME],MATCH(I9187,INVESTOR_LIST[INVESTOR CODE],0),)," ")</f>
        <v xml:space="preserve"> </v>
      </c>
      <c r="I9187" s="329" t="s">
        <v>348</v>
      </c>
      <c r="J9187" s="324" t="s">
        <v>133</v>
      </c>
      <c r="K9187" s="330">
        <v>22836.54</v>
      </c>
      <c r="L9187" s="330"/>
      <c r="M9187" s="160"/>
    </row>
    <row r="9188" spans="1:14" x14ac:dyDescent="0.2">
      <c r="A9188" s="331">
        <v>2023</v>
      </c>
      <c r="B9188" s="331">
        <v>7</v>
      </c>
      <c r="C9188" s="331">
        <v>20</v>
      </c>
      <c r="D9188" s="326">
        <f t="shared" si="1068"/>
        <v>45127</v>
      </c>
      <c r="E9188" s="327">
        <f t="shared" si="1069"/>
        <v>45127</v>
      </c>
      <c r="F9188" s="474"/>
      <c r="G9188" s="332" t="s">
        <v>94</v>
      </c>
      <c r="H9188" s="333" t="str" cm="1">
        <f t="array" ref="H9188">IFERROR(INDEX(INVESTOR_LIST[INVESTOR NAME],MATCH(I9188,INVESTOR_LIST[INVESTOR CODE],0),)," ")</f>
        <v xml:space="preserve"> </v>
      </c>
      <c r="I9188" s="333" t="s">
        <v>348</v>
      </c>
      <c r="J9188" s="331" t="s">
        <v>152</v>
      </c>
      <c r="K9188" s="334"/>
      <c r="L9188" s="334">
        <v>22836.54</v>
      </c>
      <c r="M9188" s="160"/>
    </row>
    <row r="9189" spans="1:14" x14ac:dyDescent="0.2">
      <c r="A9189" s="238">
        <v>2023</v>
      </c>
      <c r="B9189" s="238">
        <v>7</v>
      </c>
      <c r="C9189" s="238">
        <v>20</v>
      </c>
      <c r="D9189" s="270">
        <f t="shared" si="1068"/>
        <v>45127</v>
      </c>
      <c r="E9189" s="279">
        <f t="shared" si="1069"/>
        <v>45127</v>
      </c>
      <c r="F9189" s="477" t="s">
        <v>347</v>
      </c>
      <c r="G9189" s="239" t="s">
        <v>94</v>
      </c>
      <c r="H9189" s="239" t="str" cm="1">
        <f t="array" ref="H9189">IFERROR(INDEX(INVESTOR_LIST[INVESTOR NAME],MATCH(I9189,INVESTOR_LIST[INVESTOR CODE],0),)," ")</f>
        <v xml:space="preserve"> </v>
      </c>
      <c r="I9189" s="262" t="s">
        <v>348</v>
      </c>
      <c r="J9189" s="240" t="s">
        <v>108</v>
      </c>
      <c r="K9189" s="241">
        <v>171399.98000001907</v>
      </c>
      <c r="L9189" s="241"/>
    </row>
    <row r="9190" spans="1:14" x14ac:dyDescent="0.2">
      <c r="A9190" s="242">
        <v>2023</v>
      </c>
      <c r="B9190" s="242">
        <v>7</v>
      </c>
      <c r="C9190" s="242">
        <v>20</v>
      </c>
      <c r="D9190" s="270">
        <f t="shared" si="1068"/>
        <v>45127</v>
      </c>
      <c r="E9190" s="279">
        <f t="shared" si="1069"/>
        <v>45127</v>
      </c>
      <c r="F9190" s="478"/>
      <c r="G9190" s="243" t="s">
        <v>94</v>
      </c>
      <c r="H9190" s="243" t="str" cm="1">
        <f t="array" ref="H9190">IFERROR(INDEX(INVESTOR_LIST[INVESTOR NAME],MATCH(I9190,INVESTOR_LIST[INVESTOR CODE],0),)," ")</f>
        <v xml:space="preserve"> </v>
      </c>
      <c r="I9190" s="263" t="s">
        <v>348</v>
      </c>
      <c r="J9190" s="244" t="s">
        <v>82</v>
      </c>
      <c r="K9190" s="245"/>
      <c r="L9190" s="245">
        <v>171399.98000001907</v>
      </c>
    </row>
    <row r="9191" spans="1:14" ht="22.5" x14ac:dyDescent="0.2">
      <c r="A9191" s="246">
        <v>2023</v>
      </c>
      <c r="B9191" s="238">
        <v>7</v>
      </c>
      <c r="C9191" s="238">
        <v>20</v>
      </c>
      <c r="D9191" s="270">
        <f t="shared" si="1068"/>
        <v>45127</v>
      </c>
      <c r="E9191" s="279">
        <f t="shared" si="1069"/>
        <v>45127</v>
      </c>
      <c r="F9191" s="482" t="s">
        <v>148</v>
      </c>
      <c r="G9191" s="247" t="s">
        <v>94</v>
      </c>
      <c r="H9191" s="247" t="str" cm="1">
        <f t="array" ref="H9191">IFERROR(INDEX(INVESTOR_LIST[INVESTOR NAME],MATCH(I9191,INVESTOR_LIST[INVESTOR CODE],0),)," ")</f>
        <v xml:space="preserve"> </v>
      </c>
      <c r="I9191" s="248" t="s">
        <v>348</v>
      </c>
      <c r="J9191" s="249" t="s">
        <v>95</v>
      </c>
      <c r="K9191" s="250">
        <v>2747.2527472527472</v>
      </c>
      <c r="L9191" s="241"/>
    </row>
    <row r="9192" spans="1:14" x14ac:dyDescent="0.2">
      <c r="A9192" s="242">
        <v>2023</v>
      </c>
      <c r="B9192" s="242">
        <v>7</v>
      </c>
      <c r="C9192" s="242">
        <v>20</v>
      </c>
      <c r="D9192" s="270">
        <f t="shared" si="1068"/>
        <v>45127</v>
      </c>
      <c r="E9192" s="279">
        <f t="shared" si="1069"/>
        <v>45127</v>
      </c>
      <c r="F9192" s="478"/>
      <c r="G9192" s="243" t="s">
        <v>94</v>
      </c>
      <c r="H9192" s="243" t="str" cm="1">
        <f t="array" ref="H9192">IFERROR(INDEX(INVESTOR_LIST[INVESTOR NAME],MATCH(I9192,INVESTOR_LIST[INVESTOR CODE],0),)," ")</f>
        <v xml:space="preserve"> </v>
      </c>
      <c r="I9192" s="263" t="s">
        <v>348</v>
      </c>
      <c r="J9192" s="244" t="s">
        <v>63</v>
      </c>
      <c r="K9192" s="245"/>
      <c r="L9192" s="245">
        <v>2747.2527472527472</v>
      </c>
    </row>
    <row r="9193" spans="1:14" x14ac:dyDescent="0.2">
      <c r="A9193" s="246">
        <v>2023</v>
      </c>
      <c r="B9193" s="238">
        <v>7</v>
      </c>
      <c r="C9193" s="238">
        <v>20</v>
      </c>
      <c r="D9193" s="270">
        <f t="shared" si="1068"/>
        <v>45127</v>
      </c>
      <c r="E9193" s="279">
        <f t="shared" si="1069"/>
        <v>45127</v>
      </c>
      <c r="F9193" s="482" t="s">
        <v>137</v>
      </c>
      <c r="G9193" s="247" t="s">
        <v>94</v>
      </c>
      <c r="H9193" s="247" t="str" cm="1">
        <f t="array" ref="H9193">IFERROR(INDEX(INVESTOR_LIST[INVESTOR NAME],MATCH(I9193,INVESTOR_LIST[INVESTOR CODE],0),)," ")</f>
        <v xml:space="preserve"> </v>
      </c>
      <c r="I9193" s="248" t="s">
        <v>348</v>
      </c>
      <c r="J9193" s="249" t="s">
        <v>97</v>
      </c>
      <c r="K9193" s="250">
        <v>31080.806062426822</v>
      </c>
      <c r="L9193" s="252"/>
    </row>
    <row r="9194" spans="1:14" x14ac:dyDescent="0.2">
      <c r="A9194" s="242">
        <v>2023</v>
      </c>
      <c r="B9194" s="242">
        <v>7</v>
      </c>
      <c r="C9194" s="242">
        <v>20</v>
      </c>
      <c r="D9194" s="270">
        <f t="shared" si="1068"/>
        <v>45127</v>
      </c>
      <c r="E9194" s="279">
        <f t="shared" si="1069"/>
        <v>45127</v>
      </c>
      <c r="F9194" s="478"/>
      <c r="G9194" s="243" t="s">
        <v>94</v>
      </c>
      <c r="H9194" s="243" t="str" cm="1">
        <f t="array" ref="H9194">IFERROR(INDEX(INVESTOR_LIST[INVESTOR NAME],MATCH(I9194,INVESTOR_LIST[INVESTOR CODE],0),)," ")</f>
        <v xml:space="preserve"> </v>
      </c>
      <c r="I9194" s="263" t="s">
        <v>348</v>
      </c>
      <c r="J9194" s="244" t="s">
        <v>47</v>
      </c>
      <c r="K9194" s="245"/>
      <c r="L9194" s="245">
        <v>31080.806062426822</v>
      </c>
    </row>
    <row r="9195" spans="1:14" x14ac:dyDescent="0.2">
      <c r="A9195" s="246">
        <v>2023</v>
      </c>
      <c r="B9195" s="238">
        <v>7</v>
      </c>
      <c r="C9195" s="238">
        <v>20</v>
      </c>
      <c r="D9195" s="270">
        <f t="shared" si="1068"/>
        <v>45127</v>
      </c>
      <c r="E9195" s="279">
        <f t="shared" si="1069"/>
        <v>45127</v>
      </c>
      <c r="F9195" s="482" t="s">
        <v>138</v>
      </c>
      <c r="G9195" s="247" t="s">
        <v>94</v>
      </c>
      <c r="H9195" s="247" t="str" cm="1">
        <f t="array" ref="H9195">IFERROR(INDEX(INVESTOR_LIST[INVESTOR NAME],MATCH(I9195,INVESTOR_LIST[INVESTOR CODE],0),)," ")</f>
        <v xml:space="preserve"> </v>
      </c>
      <c r="I9195" s="248" t="s">
        <v>348</v>
      </c>
      <c r="J9195" s="249" t="s">
        <v>100</v>
      </c>
      <c r="K9195" s="250">
        <v>3108.0806062426823</v>
      </c>
      <c r="L9195" s="252"/>
    </row>
    <row r="9196" spans="1:14" ht="10.9" customHeight="1" x14ac:dyDescent="0.2">
      <c r="A9196" s="242">
        <v>2023</v>
      </c>
      <c r="B9196" s="242">
        <v>7</v>
      </c>
      <c r="C9196" s="242">
        <v>20</v>
      </c>
      <c r="D9196" s="321">
        <f t="shared" si="1068"/>
        <v>45127</v>
      </c>
      <c r="E9196" s="322">
        <f t="shared" si="1069"/>
        <v>45127</v>
      </c>
      <c r="F9196" s="478"/>
      <c r="G9196" s="243" t="s">
        <v>94</v>
      </c>
      <c r="H9196" s="243" t="str" cm="1">
        <f t="array" ref="H9196">IFERROR(INDEX(INVESTOR_LIST[INVESTOR NAME],MATCH(I9196,INVESTOR_LIST[INVESTOR CODE],0),)," ")</f>
        <v xml:space="preserve"> </v>
      </c>
      <c r="I9196" s="263" t="s">
        <v>348</v>
      </c>
      <c r="J9196" s="244" t="s">
        <v>48</v>
      </c>
      <c r="K9196" s="245"/>
      <c r="L9196" s="245">
        <v>3108.0806062426823</v>
      </c>
    </row>
    <row r="9197" spans="1:14" x14ac:dyDescent="0.2">
      <c r="A9197" s="168">
        <v>2023</v>
      </c>
      <c r="B9197" s="168">
        <v>7</v>
      </c>
      <c r="C9197" s="168">
        <v>23</v>
      </c>
      <c r="D9197" s="141">
        <f t="shared" si="1068"/>
        <v>45130</v>
      </c>
      <c r="E9197" s="275">
        <f t="shared" si="1069"/>
        <v>45130</v>
      </c>
      <c r="F9197" s="479" t="s">
        <v>362</v>
      </c>
      <c r="G9197" s="220" t="s">
        <v>74</v>
      </c>
      <c r="H9197" s="220" t="str" cm="1">
        <f t="array" ref="H9197">IFERROR(INDEX(INVESTOR_LIST[INVESTOR NAME],MATCH(I9197,INVESTOR_LIST[INVESTOR CODE],0),)," ")</f>
        <v xml:space="preserve"> </v>
      </c>
      <c r="I9197" s="142" t="s">
        <v>348</v>
      </c>
      <c r="J9197" s="143" t="s">
        <v>104</v>
      </c>
      <c r="K9197" s="226">
        <v>1536.84</v>
      </c>
      <c r="L9197" s="226"/>
    </row>
    <row r="9198" spans="1:14" x14ac:dyDescent="0.2">
      <c r="A9198" s="163">
        <v>2023</v>
      </c>
      <c r="B9198" s="163">
        <v>7</v>
      </c>
      <c r="C9198" s="163">
        <v>23</v>
      </c>
      <c r="D9198" s="141">
        <f t="shared" si="1068"/>
        <v>45130</v>
      </c>
      <c r="E9198" s="275">
        <f t="shared" si="1069"/>
        <v>45130</v>
      </c>
      <c r="F9198" s="480"/>
      <c r="G9198" s="221" t="s">
        <v>74</v>
      </c>
      <c r="H9198" s="221" t="str" cm="1">
        <f t="array" ref="H9198">IFERROR(INDEX(INVESTOR_LIST[INVESTOR NAME],MATCH(I9198,INVESTOR_LIST[INVESTOR CODE],0),)," ")</f>
        <v xml:space="preserve"> </v>
      </c>
      <c r="I9198" s="145" t="s">
        <v>348</v>
      </c>
      <c r="J9198" s="146" t="s">
        <v>52</v>
      </c>
      <c r="K9198" s="219"/>
      <c r="L9198" s="219">
        <v>1536.84</v>
      </c>
    </row>
    <row r="9199" spans="1:14" x14ac:dyDescent="0.2">
      <c r="A9199" s="133">
        <v>2023</v>
      </c>
      <c r="B9199" s="133">
        <v>7</v>
      </c>
      <c r="C9199" s="133">
        <v>23</v>
      </c>
      <c r="D9199" s="141">
        <f t="shared" si="1068"/>
        <v>45130</v>
      </c>
      <c r="E9199" s="275">
        <f t="shared" si="1069"/>
        <v>45130</v>
      </c>
      <c r="F9199" s="481" t="s">
        <v>1753</v>
      </c>
      <c r="G9199" s="174" t="s">
        <v>94</v>
      </c>
      <c r="H9199" s="174" t="str" cm="1">
        <f t="array" ref="H9199">IFERROR(INDEX(INVESTOR_LIST[INVESTOR NAME],MATCH(I9199,INVESTOR_LIST[INVESTOR CODE],0),)," ")</f>
        <v xml:space="preserve"> </v>
      </c>
      <c r="J9199" s="149" t="s">
        <v>190</v>
      </c>
      <c r="K9199" s="218">
        <v>1373.92</v>
      </c>
      <c r="L9199" s="218"/>
      <c r="M9199" s="160"/>
    </row>
    <row r="9200" spans="1:14" x14ac:dyDescent="0.2">
      <c r="A9200" s="133">
        <v>2023</v>
      </c>
      <c r="B9200" s="133">
        <v>7</v>
      </c>
      <c r="C9200" s="133">
        <v>23</v>
      </c>
      <c r="D9200" s="141">
        <f t="shared" si="1068"/>
        <v>45130</v>
      </c>
      <c r="E9200" s="275">
        <f t="shared" si="1069"/>
        <v>45130</v>
      </c>
      <c r="F9200" s="481"/>
      <c r="G9200" s="174" t="s">
        <v>94</v>
      </c>
      <c r="H9200" s="174"/>
      <c r="J9200" s="149" t="s">
        <v>80</v>
      </c>
      <c r="K9200" s="218">
        <v>2.48</v>
      </c>
      <c r="L9200" s="218"/>
    </row>
    <row r="9201" spans="1:17" x14ac:dyDescent="0.2">
      <c r="A9201" s="133">
        <v>2023</v>
      </c>
      <c r="B9201" s="133">
        <v>7</v>
      </c>
      <c r="C9201" s="133">
        <v>23</v>
      </c>
      <c r="D9201" s="141">
        <f t="shared" si="1068"/>
        <v>45130</v>
      </c>
      <c r="E9201" s="275">
        <f t="shared" si="1069"/>
        <v>45130</v>
      </c>
      <c r="F9201" s="481"/>
      <c r="G9201" s="174" t="s">
        <v>94</v>
      </c>
      <c r="H9201" s="174" t="str" cm="1">
        <f t="array" ref="H9201">IFERROR(INDEX(INVESTOR_LIST[INVESTOR NAME],MATCH(I9201,INVESTOR_LIST[INVESTOR CODE],0),)," ")</f>
        <v xml:space="preserve"> </v>
      </c>
      <c r="J9201" s="149" t="s">
        <v>191</v>
      </c>
      <c r="K9201" s="218"/>
      <c r="L9201" s="218">
        <v>1066.4000000000001</v>
      </c>
    </row>
    <row r="9202" spans="1:17" x14ac:dyDescent="0.2">
      <c r="A9202" s="163">
        <v>2023</v>
      </c>
      <c r="B9202" s="163">
        <v>7</v>
      </c>
      <c r="C9202" s="163">
        <v>23</v>
      </c>
      <c r="D9202" s="280">
        <f t="shared" si="1068"/>
        <v>45130</v>
      </c>
      <c r="E9202" s="281">
        <f t="shared" si="1069"/>
        <v>45130</v>
      </c>
      <c r="F9202" s="480"/>
      <c r="G9202" s="221" t="s">
        <v>94</v>
      </c>
      <c r="H9202" s="145" t="str" cm="1">
        <f t="array" ref="H9202">IFERROR(INDEX(INVESTOR_LIST[INVESTOR NAME],MATCH(I9202,INVESTOR_LIST[INVESTOR CODE],0),)," ")</f>
        <v xml:space="preserve"> </v>
      </c>
      <c r="I9202" s="145"/>
      <c r="J9202" s="163" t="s">
        <v>79</v>
      </c>
      <c r="K9202" s="219"/>
      <c r="L9202" s="219">
        <v>310</v>
      </c>
    </row>
    <row r="9203" spans="1:17" ht="10.15" customHeight="1" x14ac:dyDescent="0.2">
      <c r="A9203" s="133">
        <v>2023</v>
      </c>
      <c r="B9203" s="133">
        <v>7</v>
      </c>
      <c r="C9203" s="133">
        <v>24</v>
      </c>
      <c r="D9203" s="141">
        <f t="shared" si="1068"/>
        <v>45131</v>
      </c>
      <c r="E9203" s="275">
        <f t="shared" si="1069"/>
        <v>45131</v>
      </c>
      <c r="F9203" s="479" t="s">
        <v>1751</v>
      </c>
      <c r="G9203" s="220" t="s">
        <v>74</v>
      </c>
      <c r="H9203" s="220"/>
      <c r="I9203" s="142"/>
      <c r="J9203" s="143" t="s">
        <v>96</v>
      </c>
      <c r="K9203" s="226">
        <v>1000000</v>
      </c>
      <c r="L9203" s="226"/>
    </row>
    <row r="9204" spans="1:17" ht="10.15" customHeight="1" x14ac:dyDescent="0.2">
      <c r="A9204" s="133">
        <v>2023</v>
      </c>
      <c r="B9204" s="133">
        <v>7</v>
      </c>
      <c r="C9204" s="133">
        <v>24</v>
      </c>
      <c r="D9204" s="141">
        <f t="shared" si="1068"/>
        <v>45131</v>
      </c>
      <c r="E9204" s="275">
        <f t="shared" si="1069"/>
        <v>45131</v>
      </c>
      <c r="F9204" s="481"/>
      <c r="G9204" s="174" t="s">
        <v>74</v>
      </c>
      <c r="H9204" s="174" t="str" cm="1">
        <f t="array" ref="H9204">IFERROR(INDEX(INVESTOR_LIST[INVESTOR NAME],MATCH(I9204,INVESTOR_LIST[INVESTOR CODE],0),)," ")</f>
        <v xml:space="preserve"> </v>
      </c>
      <c r="I9204" s="148" t="s">
        <v>348</v>
      </c>
      <c r="J9204" s="149" t="s">
        <v>52</v>
      </c>
      <c r="K9204" s="218">
        <v>26666.67</v>
      </c>
      <c r="L9204" s="218"/>
    </row>
    <row r="9205" spans="1:17" ht="10.15" customHeight="1" x14ac:dyDescent="0.2">
      <c r="A9205" s="133">
        <v>2023</v>
      </c>
      <c r="B9205" s="133">
        <v>7</v>
      </c>
      <c r="C9205" s="133">
        <v>24</v>
      </c>
      <c r="D9205" s="141">
        <f t="shared" si="1068"/>
        <v>45131</v>
      </c>
      <c r="E9205" s="275">
        <f t="shared" si="1069"/>
        <v>45131</v>
      </c>
      <c r="F9205" s="481"/>
      <c r="G9205" s="174" t="s">
        <v>74</v>
      </c>
      <c r="H9205" s="174" t="str" cm="1">
        <f t="array" ref="H9205">IFERROR(INDEX(INVESTOR_LIST[INVESTOR NAME],MATCH(I9205,INVESTOR_LIST[INVESTOR CODE],0),)," ")</f>
        <v xml:space="preserve"> </v>
      </c>
      <c r="J9205" s="149" t="s">
        <v>133</v>
      </c>
      <c r="K9205" s="218"/>
      <c r="L9205" s="218">
        <v>26666.67</v>
      </c>
    </row>
    <row r="9206" spans="1:17" ht="10.15" customHeight="1" x14ac:dyDescent="0.2">
      <c r="A9206" s="163">
        <v>2023</v>
      </c>
      <c r="B9206" s="163">
        <v>7</v>
      </c>
      <c r="C9206" s="163">
        <v>24</v>
      </c>
      <c r="D9206" s="141">
        <f t="shared" si="1068"/>
        <v>45131</v>
      </c>
      <c r="E9206" s="275">
        <f t="shared" si="1069"/>
        <v>45131</v>
      </c>
      <c r="F9206" s="480"/>
      <c r="G9206" s="221" t="s">
        <v>74</v>
      </c>
      <c r="H9206" s="221"/>
      <c r="I9206" s="145"/>
      <c r="J9206" s="146" t="s">
        <v>96</v>
      </c>
      <c r="K9206" s="219"/>
      <c r="L9206" s="219">
        <v>1000000</v>
      </c>
    </row>
    <row r="9207" spans="1:17" ht="10.15" customHeight="1" x14ac:dyDescent="0.2">
      <c r="A9207" s="133">
        <v>2023</v>
      </c>
      <c r="B9207" s="133">
        <v>7</v>
      </c>
      <c r="C9207" s="133">
        <v>24</v>
      </c>
      <c r="D9207" s="141">
        <f t="shared" si="1068"/>
        <v>45131</v>
      </c>
      <c r="E9207" s="275">
        <f t="shared" si="1069"/>
        <v>45131</v>
      </c>
      <c r="F9207" s="479" t="s">
        <v>1752</v>
      </c>
      <c r="G9207" s="220" t="s">
        <v>74</v>
      </c>
      <c r="H9207" s="220"/>
      <c r="I9207" s="142"/>
      <c r="J9207" s="143" t="s">
        <v>96</v>
      </c>
      <c r="K9207" s="226">
        <v>4000000</v>
      </c>
      <c r="L9207" s="226"/>
    </row>
    <row r="9208" spans="1:17" ht="10.15" customHeight="1" x14ac:dyDescent="0.2">
      <c r="A9208" s="133">
        <v>2023</v>
      </c>
      <c r="B9208" s="133">
        <v>7</v>
      </c>
      <c r="C9208" s="133">
        <v>24</v>
      </c>
      <c r="D9208" s="141">
        <f t="shared" si="1068"/>
        <v>45131</v>
      </c>
      <c r="E9208" s="275">
        <f t="shared" si="1069"/>
        <v>45131</v>
      </c>
      <c r="F9208" s="481"/>
      <c r="G9208" s="174" t="s">
        <v>74</v>
      </c>
      <c r="H9208" s="174" t="str" cm="1">
        <f t="array" ref="H9208">IFERROR(INDEX(INVESTOR_LIST[INVESTOR NAME],MATCH(I9208,INVESTOR_LIST[INVESTOR CODE],0),)," ")</f>
        <v xml:space="preserve"> </v>
      </c>
      <c r="I9208" s="148" t="s">
        <v>348</v>
      </c>
      <c r="J9208" s="149" t="s">
        <v>52</v>
      </c>
      <c r="K9208" s="218">
        <v>106666.67</v>
      </c>
      <c r="L9208" s="218"/>
    </row>
    <row r="9209" spans="1:17" ht="10.15" customHeight="1" x14ac:dyDescent="0.2">
      <c r="A9209" s="133">
        <v>2023</v>
      </c>
      <c r="B9209" s="133">
        <v>7</v>
      </c>
      <c r="C9209" s="133">
        <v>24</v>
      </c>
      <c r="D9209" s="141">
        <f t="shared" si="1068"/>
        <v>45131</v>
      </c>
      <c r="E9209" s="275">
        <f t="shared" si="1069"/>
        <v>45131</v>
      </c>
      <c r="F9209" s="481"/>
      <c r="G9209" s="174" t="s">
        <v>74</v>
      </c>
      <c r="H9209" s="174" t="str" cm="1">
        <f t="array" ref="H9209">IFERROR(INDEX(INVESTOR_LIST[INVESTOR NAME],MATCH(I9209,INVESTOR_LIST[INVESTOR CODE],0),)," ")</f>
        <v xml:space="preserve"> </v>
      </c>
      <c r="J9209" s="149" t="s">
        <v>133</v>
      </c>
      <c r="K9209" s="218"/>
      <c r="L9209" s="218">
        <v>106666.67</v>
      </c>
    </row>
    <row r="9210" spans="1:17" ht="10.15" customHeight="1" x14ac:dyDescent="0.2">
      <c r="A9210" s="163">
        <v>2023</v>
      </c>
      <c r="B9210" s="163">
        <v>7</v>
      </c>
      <c r="C9210" s="163">
        <v>24</v>
      </c>
      <c r="D9210" s="280">
        <f t="shared" si="1068"/>
        <v>45131</v>
      </c>
      <c r="E9210" s="281">
        <f t="shared" si="1069"/>
        <v>45131</v>
      </c>
      <c r="F9210" s="480"/>
      <c r="G9210" s="221" t="s">
        <v>74</v>
      </c>
      <c r="H9210" s="221"/>
      <c r="I9210" s="145"/>
      <c r="J9210" s="146" t="s">
        <v>96</v>
      </c>
      <c r="K9210" s="219"/>
      <c r="L9210" s="219">
        <v>4000000</v>
      </c>
    </row>
    <row r="9211" spans="1:17" x14ac:dyDescent="0.2">
      <c r="A9211" s="133">
        <v>2023</v>
      </c>
      <c r="B9211" s="133">
        <v>7</v>
      </c>
      <c r="C9211" s="133">
        <v>25</v>
      </c>
      <c r="D9211" s="141">
        <f t="shared" si="1068"/>
        <v>45132</v>
      </c>
      <c r="E9211" s="275">
        <f t="shared" si="1069"/>
        <v>45132</v>
      </c>
      <c r="F9211" s="481" t="s">
        <v>275</v>
      </c>
      <c r="G9211" s="174" t="s">
        <v>74</v>
      </c>
      <c r="H9211" s="174" t="str" cm="1">
        <f t="array" ref="H9211">IFERROR(INDEX(INVESTOR_LIST[INVESTOR NAME],MATCH(I9211,INVESTOR_LIST[INVESTOR CODE],0),)," ")</f>
        <v xml:space="preserve"> </v>
      </c>
      <c r="I9211" s="148" t="s">
        <v>348</v>
      </c>
      <c r="J9211" s="149" t="s">
        <v>163</v>
      </c>
      <c r="K9211" s="218">
        <v>1575</v>
      </c>
      <c r="L9211" s="218"/>
      <c r="M9211" s="147"/>
      <c r="Q9211" s="133" t="s">
        <v>348</v>
      </c>
    </row>
    <row r="9212" spans="1:17" x14ac:dyDescent="0.2">
      <c r="A9212" s="163">
        <v>2023</v>
      </c>
      <c r="B9212" s="163">
        <v>7</v>
      </c>
      <c r="C9212" s="163">
        <v>25</v>
      </c>
      <c r="D9212" s="141">
        <f t="shared" si="1068"/>
        <v>45132</v>
      </c>
      <c r="E9212" s="275">
        <f t="shared" si="1069"/>
        <v>45132</v>
      </c>
      <c r="F9212" s="480"/>
      <c r="G9212" s="221" t="s">
        <v>74</v>
      </c>
      <c r="H9212" s="221" t="str" cm="1">
        <f t="array" ref="H9212">IFERROR(INDEX(INVESTOR_LIST[INVESTOR NAME],MATCH(I9212,INVESTOR_LIST[INVESTOR CODE],0),)," ")</f>
        <v xml:space="preserve"> </v>
      </c>
      <c r="I9212" s="145"/>
      <c r="J9212" s="146" t="s">
        <v>52</v>
      </c>
      <c r="K9212" s="219"/>
      <c r="L9212" s="219">
        <v>1575</v>
      </c>
      <c r="M9212" s="147"/>
      <c r="Q9212" s="133" t="s">
        <v>348</v>
      </c>
    </row>
    <row r="9213" spans="1:17" ht="10.15" customHeight="1" x14ac:dyDescent="0.2">
      <c r="A9213" s="168">
        <v>2023</v>
      </c>
      <c r="B9213" s="168">
        <v>7</v>
      </c>
      <c r="C9213" s="168">
        <v>25</v>
      </c>
      <c r="D9213" s="141">
        <f>DATE(A9213,B9213,C9213)</f>
        <v>45132</v>
      </c>
      <c r="E9213" s="275">
        <f>DATE(A9213,B9213,C9213)</f>
        <v>45132</v>
      </c>
      <c r="F9213" s="479" t="s">
        <v>1310</v>
      </c>
      <c r="G9213" s="220" t="s">
        <v>74</v>
      </c>
      <c r="H9213" s="142" t="str" cm="1">
        <f t="array" ref="H9213">IFERROR(INDEX(INVESTOR_LIST[INVESTOR NAME],MATCH(I9213,INVESTOR_LIST[INVESTOR CODE],0),)," ")</f>
        <v>NITYANANDA BISWAS</v>
      </c>
      <c r="I9213" s="142" t="s">
        <v>749</v>
      </c>
      <c r="J9213" s="168" t="s">
        <v>13</v>
      </c>
      <c r="K9213" s="218">
        <v>33110</v>
      </c>
      <c r="L9213" s="226"/>
    </row>
    <row r="9214" spans="1:17" ht="10.15" customHeight="1" x14ac:dyDescent="0.2">
      <c r="A9214" s="133">
        <v>2023</v>
      </c>
      <c r="B9214" s="133">
        <v>7</v>
      </c>
      <c r="C9214" s="133">
        <v>25</v>
      </c>
      <c r="D9214" s="141">
        <f t="shared" ref="D9214:D9215" si="1070">DATE(A9214,B9214,C9214)</f>
        <v>45132</v>
      </c>
      <c r="E9214" s="275">
        <f t="shared" ref="E9214:E9215" si="1071">DATE(A9214,B9214,C9214)</f>
        <v>45132</v>
      </c>
      <c r="F9214" s="481"/>
      <c r="G9214" s="174" t="s">
        <v>74</v>
      </c>
      <c r="H9214" s="148" t="str" cm="1">
        <f t="array" ref="H9214">IFERROR(INDEX(INVESTOR_LIST[INVESTOR NAME],MATCH(I9214,INVESTOR_LIST[INVESTOR CODE],0),)," ")</f>
        <v>NITYANANDA BISWAS</v>
      </c>
      <c r="I9214" s="148" t="s">
        <v>749</v>
      </c>
      <c r="J9214" s="133" t="s">
        <v>53</v>
      </c>
      <c r="K9214" s="218">
        <v>8198.0400000000009</v>
      </c>
      <c r="L9214" s="133"/>
    </row>
    <row r="9215" spans="1:17" ht="10.15" customHeight="1" x14ac:dyDescent="0.2">
      <c r="A9215" s="163">
        <v>2023</v>
      </c>
      <c r="B9215" s="163">
        <v>7</v>
      </c>
      <c r="C9215" s="163">
        <v>25</v>
      </c>
      <c r="D9215" s="280">
        <f t="shared" si="1070"/>
        <v>45132</v>
      </c>
      <c r="E9215" s="281">
        <f t="shared" si="1071"/>
        <v>45132</v>
      </c>
      <c r="F9215" s="480"/>
      <c r="G9215" s="221" t="s">
        <v>74</v>
      </c>
      <c r="H9215" s="145" t="str" cm="1">
        <f t="array" ref="H9215">IFERROR(INDEX(INVESTOR_LIST[INVESTOR NAME],MATCH(I9215,INVESTOR_LIST[INVESTOR CODE],0),)," ")</f>
        <v>NITYANANDA BISWAS</v>
      </c>
      <c r="I9215" s="145" t="s">
        <v>749</v>
      </c>
      <c r="J9215" s="163" t="s">
        <v>52</v>
      </c>
      <c r="K9215" s="219"/>
      <c r="L9215" s="219">
        <v>41308.04</v>
      </c>
    </row>
    <row r="9216" spans="1:17" ht="10.15" customHeight="1" x14ac:dyDescent="0.2">
      <c r="A9216" s="168">
        <v>2023</v>
      </c>
      <c r="B9216" s="168">
        <v>7</v>
      </c>
      <c r="C9216" s="168">
        <v>25</v>
      </c>
      <c r="D9216" s="141">
        <f>DATE(A9216,B9216,C9216)</f>
        <v>45132</v>
      </c>
      <c r="E9216" s="275">
        <f>DATE(A9216,B9216,C9216)</f>
        <v>45132</v>
      </c>
      <c r="F9216" s="479" t="s">
        <v>1310</v>
      </c>
      <c r="G9216" s="220" t="s">
        <v>74</v>
      </c>
      <c r="H9216" s="142" t="str" cm="1">
        <f t="array" ref="H9216">IFERROR(INDEX(INVESTOR_LIST[INVESTOR NAME],MATCH(I9216,INVESTOR_LIST[INVESTOR CODE],0),)," ")</f>
        <v>MOHAMMAD JASIM UDDIN</v>
      </c>
      <c r="I9216" s="142" t="s">
        <v>621</v>
      </c>
      <c r="J9216" s="168" t="s">
        <v>13</v>
      </c>
      <c r="K9216" s="218">
        <v>24520</v>
      </c>
      <c r="L9216" s="226"/>
    </row>
    <row r="9217" spans="1:14" ht="10.15" customHeight="1" x14ac:dyDescent="0.2">
      <c r="A9217" s="133">
        <v>2023</v>
      </c>
      <c r="B9217" s="133">
        <v>7</v>
      </c>
      <c r="C9217" s="133">
        <v>25</v>
      </c>
      <c r="D9217" s="141">
        <f t="shared" ref="D9217:D9223" si="1072">DATE(A9217,B9217,C9217)</f>
        <v>45132</v>
      </c>
      <c r="E9217" s="275">
        <f t="shared" ref="E9217:E9223" si="1073">DATE(A9217,B9217,C9217)</f>
        <v>45132</v>
      </c>
      <c r="F9217" s="481"/>
      <c r="G9217" s="174" t="s">
        <v>74</v>
      </c>
      <c r="H9217" s="148" t="str" cm="1">
        <f t="array" ref="H9217">IFERROR(INDEX(INVESTOR_LIST[INVESTOR NAME],MATCH(I9217,INVESTOR_LIST[INVESTOR CODE],0),)," ")</f>
        <v>MOHAMMAD JASIM UDDIN</v>
      </c>
      <c r="I9217" s="148" t="s">
        <v>621</v>
      </c>
      <c r="J9217" s="133" t="s">
        <v>53</v>
      </c>
      <c r="K9217" s="218">
        <v>6071.1500000000015</v>
      </c>
      <c r="L9217" s="133"/>
    </row>
    <row r="9218" spans="1:14" ht="10.15" customHeight="1" x14ac:dyDescent="0.2">
      <c r="A9218" s="163">
        <v>2023</v>
      </c>
      <c r="B9218" s="163">
        <v>7</v>
      </c>
      <c r="C9218" s="163">
        <v>25</v>
      </c>
      <c r="D9218" s="280">
        <f t="shared" si="1072"/>
        <v>45132</v>
      </c>
      <c r="E9218" s="281">
        <f t="shared" si="1073"/>
        <v>45132</v>
      </c>
      <c r="F9218" s="480"/>
      <c r="G9218" s="221" t="s">
        <v>74</v>
      </c>
      <c r="H9218" s="145" t="str" cm="1">
        <f t="array" ref="H9218">IFERROR(INDEX(INVESTOR_LIST[INVESTOR NAME],MATCH(I9218,INVESTOR_LIST[INVESTOR CODE],0),)," ")</f>
        <v>MOHAMMAD JASIM UDDIN</v>
      </c>
      <c r="I9218" s="145" t="s">
        <v>621</v>
      </c>
      <c r="J9218" s="163" t="s">
        <v>52</v>
      </c>
      <c r="K9218" s="219"/>
      <c r="L9218" s="219">
        <v>30591.15</v>
      </c>
    </row>
    <row r="9219" spans="1:14" x14ac:dyDescent="0.2">
      <c r="A9219" s="168">
        <v>2023</v>
      </c>
      <c r="B9219" s="168">
        <v>7</v>
      </c>
      <c r="C9219" s="168">
        <v>26</v>
      </c>
      <c r="D9219" s="141">
        <f t="shared" si="1072"/>
        <v>45133</v>
      </c>
      <c r="E9219" s="275">
        <f t="shared" si="1073"/>
        <v>45133</v>
      </c>
      <c r="F9219" s="479" t="s">
        <v>908</v>
      </c>
      <c r="G9219" s="220" t="s">
        <v>74</v>
      </c>
      <c r="H9219" s="220" t="str" cm="1">
        <f t="array" ref="H9219">IFERROR(INDEX(INVESTOR_LIST[INVESTOR NAME],MATCH(I9219,INVESTOR_LIST[INVESTOR CODE],0),)," ")</f>
        <v xml:space="preserve"> </v>
      </c>
      <c r="I9219" s="142" t="s">
        <v>348</v>
      </c>
      <c r="J9219" s="143" t="s">
        <v>175</v>
      </c>
      <c r="K9219" s="226">
        <v>1800</v>
      </c>
      <c r="L9219" s="226"/>
    </row>
    <row r="9220" spans="1:14" x14ac:dyDescent="0.2">
      <c r="A9220" s="163">
        <v>2023</v>
      </c>
      <c r="B9220" s="163">
        <v>7</v>
      </c>
      <c r="C9220" s="163">
        <v>26</v>
      </c>
      <c r="D9220" s="141">
        <f t="shared" si="1072"/>
        <v>45133</v>
      </c>
      <c r="E9220" s="275">
        <f t="shared" si="1073"/>
        <v>45133</v>
      </c>
      <c r="F9220" s="480"/>
      <c r="G9220" s="221" t="s">
        <v>74</v>
      </c>
      <c r="H9220" s="221" t="str" cm="1">
        <f t="array" ref="H9220">IFERROR(INDEX(INVESTOR_LIST[INVESTOR NAME],MATCH(I9220,INVESTOR_LIST[INVESTOR CODE],0),)," ")</f>
        <v xml:space="preserve"> </v>
      </c>
      <c r="I9220" s="145" t="s">
        <v>348</v>
      </c>
      <c r="J9220" s="146" t="s">
        <v>52</v>
      </c>
      <c r="K9220" s="219"/>
      <c r="L9220" s="219">
        <v>1800</v>
      </c>
    </row>
    <row r="9221" spans="1:14" ht="10.15" customHeight="1" x14ac:dyDescent="0.2">
      <c r="A9221" s="168">
        <v>2023</v>
      </c>
      <c r="B9221" s="168">
        <v>7</v>
      </c>
      <c r="C9221" s="168">
        <v>27</v>
      </c>
      <c r="D9221" s="141">
        <f t="shared" si="1072"/>
        <v>45134</v>
      </c>
      <c r="E9221" s="275">
        <f t="shared" si="1073"/>
        <v>45134</v>
      </c>
      <c r="F9221" s="479" t="s">
        <v>1319</v>
      </c>
      <c r="G9221" s="220" t="s">
        <v>74</v>
      </c>
      <c r="H9221" s="142" t="str" cm="1">
        <f t="array" ref="H9221">IFERROR(INDEX(INVESTOR_LIST[INVESTOR NAME],MATCH(I9221,INVESTOR_LIST[INVESTOR CODE],0),)," ")</f>
        <v xml:space="preserve"> </v>
      </c>
      <c r="I9221" s="142"/>
      <c r="J9221" s="168" t="s">
        <v>52</v>
      </c>
      <c r="K9221" s="226">
        <v>389000</v>
      </c>
      <c r="L9221" s="226"/>
    </row>
    <row r="9222" spans="1:14" ht="10.15" customHeight="1" x14ac:dyDescent="0.2">
      <c r="A9222" s="133">
        <v>2023</v>
      </c>
      <c r="B9222" s="133">
        <v>7</v>
      </c>
      <c r="C9222" s="133">
        <v>27</v>
      </c>
      <c r="D9222" s="141">
        <f t="shared" si="1072"/>
        <v>45134</v>
      </c>
      <c r="E9222" s="275">
        <f t="shared" si="1073"/>
        <v>45134</v>
      </c>
      <c r="F9222" s="481"/>
      <c r="G9222" s="174" t="s">
        <v>74</v>
      </c>
      <c r="H9222" s="148" t="str" cm="1">
        <f t="array" ref="H9222">IFERROR(INDEX(INVESTOR_LIST[INVESTOR NAME],MATCH(I9222,INVESTOR_LIST[INVESTOR CODE],0),)," ")</f>
        <v xml:space="preserve"> </v>
      </c>
      <c r="J9222" s="133" t="s">
        <v>13</v>
      </c>
      <c r="K9222" s="218"/>
      <c r="L9222" s="218">
        <v>311820</v>
      </c>
    </row>
    <row r="9223" spans="1:14" ht="10.15" customHeight="1" x14ac:dyDescent="0.2">
      <c r="A9223" s="163">
        <v>2023</v>
      </c>
      <c r="B9223" s="163">
        <v>7</v>
      </c>
      <c r="C9223" s="163">
        <v>27</v>
      </c>
      <c r="D9223" s="280">
        <f t="shared" si="1072"/>
        <v>45134</v>
      </c>
      <c r="E9223" s="281">
        <f t="shared" si="1073"/>
        <v>45134</v>
      </c>
      <c r="F9223" s="480"/>
      <c r="G9223" s="221" t="s">
        <v>74</v>
      </c>
      <c r="H9223" s="145" t="str" cm="1">
        <f t="array" ref="H9223">IFERROR(INDEX(INVESTOR_LIST[INVESTOR NAME],MATCH(I9223,INVESTOR_LIST[INVESTOR CODE],0),)," ")</f>
        <v xml:space="preserve"> </v>
      </c>
      <c r="I9223" s="145"/>
      <c r="J9223" s="163" t="s">
        <v>53</v>
      </c>
      <c r="K9223" s="219"/>
      <c r="L9223" s="219">
        <v>77180</v>
      </c>
    </row>
    <row r="9224" spans="1:14" x14ac:dyDescent="0.2">
      <c r="A9224" s="324">
        <v>2023</v>
      </c>
      <c r="B9224" s="324">
        <v>7</v>
      </c>
      <c r="C9224" s="325">
        <v>27</v>
      </c>
      <c r="D9224" s="326">
        <f>DATE(A9224,B9224,C9224)</f>
        <v>45134</v>
      </c>
      <c r="E9224" s="327">
        <f>DATE(A9224,B9224,C9224)</f>
        <v>45134</v>
      </c>
      <c r="F9224" s="473" t="s">
        <v>1634</v>
      </c>
      <c r="G9224" s="340" t="s">
        <v>94</v>
      </c>
      <c r="H9224" s="341" t="str" cm="1">
        <f t="array" ref="H9224">IFERROR(INDEX(INVESTOR_LIST[INVESTOR NAME],MATCH(I9224,INVESTOR_LIST[INVESTOR CODE],0),)," ")</f>
        <v xml:space="preserve"> </v>
      </c>
      <c r="I9224" s="341" t="s">
        <v>348</v>
      </c>
      <c r="J9224" s="325" t="s">
        <v>133</v>
      </c>
      <c r="K9224" s="330">
        <v>4170.82</v>
      </c>
      <c r="L9224" s="330"/>
      <c r="M9224" s="160"/>
    </row>
    <row r="9225" spans="1:14" x14ac:dyDescent="0.2">
      <c r="A9225" s="331">
        <v>2023</v>
      </c>
      <c r="B9225" s="331">
        <v>7</v>
      </c>
      <c r="C9225" s="331">
        <v>27</v>
      </c>
      <c r="D9225" s="326">
        <f>DATE(A9225,B9225,C9225)</f>
        <v>45134</v>
      </c>
      <c r="E9225" s="327">
        <f>DATE(A9225,B9225,C9225)</f>
        <v>45134</v>
      </c>
      <c r="F9225" s="474"/>
      <c r="G9225" s="332" t="s">
        <v>94</v>
      </c>
      <c r="H9225" s="333" t="str" cm="1">
        <f t="array" ref="H9225">IFERROR(INDEX(INVESTOR_LIST[INVESTOR NAME],MATCH(I9225,INVESTOR_LIST[INVESTOR CODE],0),)," ")</f>
        <v xml:space="preserve"> </v>
      </c>
      <c r="I9225" s="333" t="s">
        <v>348</v>
      </c>
      <c r="J9225" s="331" t="s">
        <v>152</v>
      </c>
      <c r="K9225" s="334"/>
      <c r="L9225" s="334">
        <v>4170.82</v>
      </c>
      <c r="M9225" s="160"/>
    </row>
    <row r="9226" spans="1:14" x14ac:dyDescent="0.2">
      <c r="A9226" s="324">
        <v>2023</v>
      </c>
      <c r="B9226" s="324">
        <v>7</v>
      </c>
      <c r="C9226" s="325">
        <v>27</v>
      </c>
      <c r="D9226" s="326">
        <f t="shared" ref="D9226:D9250" si="1074">DATE(A9226,B9226,C9226)</f>
        <v>45134</v>
      </c>
      <c r="E9226" s="327">
        <f t="shared" ref="E9226:E9250" si="1075">DATE(A9226,B9226,C9226)</f>
        <v>45134</v>
      </c>
      <c r="F9226" s="473" t="s">
        <v>1490</v>
      </c>
      <c r="G9226" s="328" t="s">
        <v>94</v>
      </c>
      <c r="H9226" s="329" t="str" cm="1">
        <f t="array" ref="H9226">IFERROR(INDEX(INVESTOR_LIST[INVESTOR NAME],MATCH(I9226,INVESTOR_LIST[INVESTOR CODE],0),)," ")</f>
        <v xml:space="preserve"> </v>
      </c>
      <c r="I9226" s="329" t="s">
        <v>348</v>
      </c>
      <c r="J9226" s="325" t="s">
        <v>133</v>
      </c>
      <c r="K9226" s="330">
        <v>23763.11</v>
      </c>
      <c r="L9226" s="330"/>
      <c r="M9226" s="160"/>
    </row>
    <row r="9227" spans="1:14" x14ac:dyDescent="0.2">
      <c r="A9227" s="331">
        <v>2023</v>
      </c>
      <c r="B9227" s="331">
        <v>7</v>
      </c>
      <c r="C9227" s="331">
        <v>27</v>
      </c>
      <c r="D9227" s="326">
        <f t="shared" si="1074"/>
        <v>45134</v>
      </c>
      <c r="E9227" s="327">
        <f t="shared" si="1075"/>
        <v>45134</v>
      </c>
      <c r="F9227" s="474"/>
      <c r="G9227" s="332" t="s">
        <v>94</v>
      </c>
      <c r="H9227" s="333" t="str" cm="1">
        <f t="array" ref="H9227">IFERROR(INDEX(INVESTOR_LIST[INVESTOR NAME],MATCH(I9227,INVESTOR_LIST[INVESTOR CODE],0),)," ")</f>
        <v xml:space="preserve"> </v>
      </c>
      <c r="I9227" s="333" t="s">
        <v>348</v>
      </c>
      <c r="J9227" s="331" t="s">
        <v>152</v>
      </c>
      <c r="K9227" s="334"/>
      <c r="L9227" s="334">
        <v>23763.11</v>
      </c>
      <c r="M9227" s="160"/>
      <c r="N9227" s="160"/>
    </row>
    <row r="9228" spans="1:14" x14ac:dyDescent="0.2">
      <c r="A9228" s="324">
        <v>2023</v>
      </c>
      <c r="B9228" s="324">
        <v>7</v>
      </c>
      <c r="C9228" s="325">
        <v>27</v>
      </c>
      <c r="D9228" s="326">
        <f t="shared" si="1074"/>
        <v>45134</v>
      </c>
      <c r="E9228" s="327">
        <f t="shared" si="1075"/>
        <v>45134</v>
      </c>
      <c r="F9228" s="473" t="s">
        <v>1491</v>
      </c>
      <c r="G9228" s="328" t="s">
        <v>94</v>
      </c>
      <c r="H9228" s="329" t="str" cm="1">
        <f t="array" ref="H9228">IFERROR(INDEX(INVESTOR_LIST[INVESTOR NAME],MATCH(I9228,INVESTOR_LIST[INVESTOR CODE],0),)," ")</f>
        <v xml:space="preserve"> </v>
      </c>
      <c r="I9228" s="329" t="s">
        <v>348</v>
      </c>
      <c r="J9228" s="324" t="s">
        <v>133</v>
      </c>
      <c r="K9228" s="330">
        <v>13557.69</v>
      </c>
      <c r="L9228" s="330"/>
      <c r="M9228" s="160"/>
      <c r="N9228" s="160"/>
    </row>
    <row r="9229" spans="1:14" x14ac:dyDescent="0.2">
      <c r="A9229" s="331">
        <v>2023</v>
      </c>
      <c r="B9229" s="331">
        <v>7</v>
      </c>
      <c r="C9229" s="331">
        <v>27</v>
      </c>
      <c r="D9229" s="326">
        <f t="shared" si="1074"/>
        <v>45134</v>
      </c>
      <c r="E9229" s="327">
        <f t="shared" si="1075"/>
        <v>45134</v>
      </c>
      <c r="F9229" s="474"/>
      <c r="G9229" s="332" t="s">
        <v>94</v>
      </c>
      <c r="H9229" s="333" t="str" cm="1">
        <f t="array" ref="H9229">IFERROR(INDEX(INVESTOR_LIST[INVESTOR NAME],MATCH(I9229,INVESTOR_LIST[INVESTOR CODE],0),)," ")</f>
        <v xml:space="preserve"> </v>
      </c>
      <c r="I9229" s="333" t="s">
        <v>348</v>
      </c>
      <c r="J9229" s="331" t="s">
        <v>152</v>
      </c>
      <c r="K9229" s="334"/>
      <c r="L9229" s="334">
        <v>13557.69</v>
      </c>
      <c r="M9229" s="160"/>
    </row>
    <row r="9230" spans="1:14" x14ac:dyDescent="0.2">
      <c r="A9230" s="324">
        <v>2023</v>
      </c>
      <c r="B9230" s="324">
        <v>7</v>
      </c>
      <c r="C9230" s="325">
        <v>27</v>
      </c>
      <c r="D9230" s="326">
        <f t="shared" si="1074"/>
        <v>45134</v>
      </c>
      <c r="E9230" s="327">
        <f t="shared" si="1075"/>
        <v>45134</v>
      </c>
      <c r="F9230" s="473" t="s">
        <v>1531</v>
      </c>
      <c r="G9230" s="328" t="s">
        <v>94</v>
      </c>
      <c r="H9230" s="329" t="str" cm="1">
        <f t="array" ref="H9230">IFERROR(INDEX(INVESTOR_LIST[INVESTOR NAME],MATCH(I9230,INVESTOR_LIST[INVESTOR CODE],0),)," ")</f>
        <v xml:space="preserve"> </v>
      </c>
      <c r="I9230" s="329" t="s">
        <v>348</v>
      </c>
      <c r="J9230" s="324" t="s">
        <v>133</v>
      </c>
      <c r="K9230" s="330">
        <v>22836.54</v>
      </c>
      <c r="L9230" s="330"/>
      <c r="M9230" s="160"/>
    </row>
    <row r="9231" spans="1:14" x14ac:dyDescent="0.2">
      <c r="A9231" s="331">
        <v>2023</v>
      </c>
      <c r="B9231" s="331">
        <v>7</v>
      </c>
      <c r="C9231" s="331">
        <v>27</v>
      </c>
      <c r="D9231" s="326">
        <f t="shared" si="1074"/>
        <v>45134</v>
      </c>
      <c r="E9231" s="327">
        <f t="shared" si="1075"/>
        <v>45134</v>
      </c>
      <c r="F9231" s="474"/>
      <c r="G9231" s="332" t="s">
        <v>94</v>
      </c>
      <c r="H9231" s="333" t="str" cm="1">
        <f t="array" ref="H9231">IFERROR(INDEX(INVESTOR_LIST[INVESTOR NAME],MATCH(I9231,INVESTOR_LIST[INVESTOR CODE],0),)," ")</f>
        <v xml:space="preserve"> </v>
      </c>
      <c r="I9231" s="333" t="s">
        <v>348</v>
      </c>
      <c r="J9231" s="331" t="s">
        <v>152</v>
      </c>
      <c r="K9231" s="334"/>
      <c r="L9231" s="334">
        <v>22836.54</v>
      </c>
      <c r="M9231" s="160"/>
    </row>
    <row r="9232" spans="1:14" x14ac:dyDescent="0.2">
      <c r="A9232" s="238">
        <v>2023</v>
      </c>
      <c r="B9232" s="238">
        <v>7</v>
      </c>
      <c r="C9232" s="238">
        <v>27</v>
      </c>
      <c r="D9232" s="270">
        <f t="shared" si="1074"/>
        <v>45134</v>
      </c>
      <c r="E9232" s="279">
        <f t="shared" si="1075"/>
        <v>45134</v>
      </c>
      <c r="F9232" s="477" t="s">
        <v>347</v>
      </c>
      <c r="G9232" s="239" t="s">
        <v>94</v>
      </c>
      <c r="H9232" s="239" t="str" cm="1">
        <f t="array" ref="H9232">IFERROR(INDEX(INVESTOR_LIST[INVESTOR NAME],MATCH(I9232,INVESTOR_LIST[INVESTOR CODE],0),)," ")</f>
        <v xml:space="preserve"> </v>
      </c>
      <c r="I9232" s="262" t="s">
        <v>348</v>
      </c>
      <c r="J9232" s="240" t="s">
        <v>82</v>
      </c>
      <c r="K9232" s="241">
        <v>56636.90000000596</v>
      </c>
      <c r="L9232" s="241"/>
    </row>
    <row r="9233" spans="1:13" x14ac:dyDescent="0.2">
      <c r="A9233" s="242">
        <v>2023</v>
      </c>
      <c r="B9233" s="242">
        <v>7</v>
      </c>
      <c r="C9233" s="242">
        <v>27</v>
      </c>
      <c r="D9233" s="270">
        <f t="shared" si="1074"/>
        <v>45134</v>
      </c>
      <c r="E9233" s="279">
        <f t="shared" si="1075"/>
        <v>45134</v>
      </c>
      <c r="F9233" s="478"/>
      <c r="G9233" s="243" t="s">
        <v>94</v>
      </c>
      <c r="H9233" s="243" t="str" cm="1">
        <f t="array" ref="H9233">IFERROR(INDEX(INVESTOR_LIST[INVESTOR NAME],MATCH(I9233,INVESTOR_LIST[INVESTOR CODE],0),)," ")</f>
        <v xml:space="preserve"> </v>
      </c>
      <c r="I9233" s="263" t="s">
        <v>348</v>
      </c>
      <c r="J9233" s="244" t="s">
        <v>108</v>
      </c>
      <c r="K9233" s="245"/>
      <c r="L9233" s="245">
        <v>56636.90000000596</v>
      </c>
    </row>
    <row r="9234" spans="1:13" ht="22.5" x14ac:dyDescent="0.2">
      <c r="A9234" s="246">
        <v>2023</v>
      </c>
      <c r="B9234" s="238">
        <v>7</v>
      </c>
      <c r="C9234" s="238">
        <v>27</v>
      </c>
      <c r="D9234" s="270">
        <f t="shared" si="1074"/>
        <v>45134</v>
      </c>
      <c r="E9234" s="279">
        <f t="shared" si="1075"/>
        <v>45134</v>
      </c>
      <c r="F9234" s="482" t="s">
        <v>148</v>
      </c>
      <c r="G9234" s="247" t="s">
        <v>94</v>
      </c>
      <c r="H9234" s="247" t="str" cm="1">
        <f t="array" ref="H9234">IFERROR(INDEX(INVESTOR_LIST[INVESTOR NAME],MATCH(I9234,INVESTOR_LIST[INVESTOR CODE],0),)," ")</f>
        <v xml:space="preserve"> </v>
      </c>
      <c r="I9234" s="248" t="s">
        <v>348</v>
      </c>
      <c r="J9234" s="249" t="s">
        <v>95</v>
      </c>
      <c r="K9234" s="250">
        <v>2747.2527472527472</v>
      </c>
      <c r="L9234" s="241"/>
    </row>
    <row r="9235" spans="1:13" x14ac:dyDescent="0.2">
      <c r="A9235" s="242">
        <v>2023</v>
      </c>
      <c r="B9235" s="242">
        <v>7</v>
      </c>
      <c r="C9235" s="242">
        <v>27</v>
      </c>
      <c r="D9235" s="270">
        <f t="shared" si="1074"/>
        <v>45134</v>
      </c>
      <c r="E9235" s="279">
        <f t="shared" si="1075"/>
        <v>45134</v>
      </c>
      <c r="F9235" s="478"/>
      <c r="G9235" s="243" t="s">
        <v>94</v>
      </c>
      <c r="H9235" s="243" t="str" cm="1">
        <f t="array" ref="H9235">IFERROR(INDEX(INVESTOR_LIST[INVESTOR NAME],MATCH(I9235,INVESTOR_LIST[INVESTOR CODE],0),)," ")</f>
        <v xml:space="preserve"> </v>
      </c>
      <c r="I9235" s="263" t="s">
        <v>348</v>
      </c>
      <c r="J9235" s="244" t="s">
        <v>63</v>
      </c>
      <c r="K9235" s="245"/>
      <c r="L9235" s="245">
        <v>2747.2527472527472</v>
      </c>
    </row>
    <row r="9236" spans="1:13" x14ac:dyDescent="0.2">
      <c r="A9236" s="246">
        <v>2023</v>
      </c>
      <c r="B9236" s="238">
        <v>7</v>
      </c>
      <c r="C9236" s="238">
        <v>27</v>
      </c>
      <c r="D9236" s="270">
        <f t="shared" si="1074"/>
        <v>45134</v>
      </c>
      <c r="E9236" s="279">
        <f t="shared" si="1075"/>
        <v>45134</v>
      </c>
      <c r="F9236" s="482" t="s">
        <v>137</v>
      </c>
      <c r="G9236" s="247" t="s">
        <v>94</v>
      </c>
      <c r="H9236" s="247" t="str" cm="1">
        <f t="array" ref="H9236">IFERROR(INDEX(INVESTOR_LIST[INVESTOR NAME],MATCH(I9236,INVESTOR_LIST[INVESTOR CODE],0),)," ")</f>
        <v xml:space="preserve"> </v>
      </c>
      <c r="I9236" s="248" t="s">
        <v>348</v>
      </c>
      <c r="J9236" s="249" t="s">
        <v>97</v>
      </c>
      <c r="K9236" s="250">
        <v>31135.422987539143</v>
      </c>
      <c r="L9236" s="252"/>
    </row>
    <row r="9237" spans="1:13" x14ac:dyDescent="0.2">
      <c r="A9237" s="242">
        <v>2023</v>
      </c>
      <c r="B9237" s="242">
        <v>7</v>
      </c>
      <c r="C9237" s="242">
        <v>27</v>
      </c>
      <c r="D9237" s="270">
        <f t="shared" si="1074"/>
        <v>45134</v>
      </c>
      <c r="E9237" s="279">
        <f t="shared" si="1075"/>
        <v>45134</v>
      </c>
      <c r="F9237" s="478"/>
      <c r="G9237" s="243" t="s">
        <v>94</v>
      </c>
      <c r="H9237" s="243" t="str" cm="1">
        <f t="array" ref="H9237">IFERROR(INDEX(INVESTOR_LIST[INVESTOR NAME],MATCH(I9237,INVESTOR_LIST[INVESTOR CODE],0),)," ")</f>
        <v xml:space="preserve"> </v>
      </c>
      <c r="I9237" s="263" t="s">
        <v>348</v>
      </c>
      <c r="J9237" s="244" t="s">
        <v>47</v>
      </c>
      <c r="K9237" s="245"/>
      <c r="L9237" s="245">
        <v>31135.422987539143</v>
      </c>
    </row>
    <row r="9238" spans="1:13" x14ac:dyDescent="0.2">
      <c r="A9238" s="246">
        <v>2023</v>
      </c>
      <c r="B9238" s="238">
        <v>7</v>
      </c>
      <c r="C9238" s="238">
        <v>27</v>
      </c>
      <c r="D9238" s="270">
        <f t="shared" si="1074"/>
        <v>45134</v>
      </c>
      <c r="E9238" s="279">
        <f t="shared" si="1075"/>
        <v>45134</v>
      </c>
      <c r="F9238" s="482" t="s">
        <v>138</v>
      </c>
      <c r="G9238" s="247" t="s">
        <v>94</v>
      </c>
      <c r="H9238" s="247" t="str" cm="1">
        <f t="array" ref="H9238">IFERROR(INDEX(INVESTOR_LIST[INVESTOR NAME],MATCH(I9238,INVESTOR_LIST[INVESTOR CODE],0),)," ")</f>
        <v xml:space="preserve"> </v>
      </c>
      <c r="I9238" s="248" t="s">
        <v>348</v>
      </c>
      <c r="J9238" s="249" t="s">
        <v>100</v>
      </c>
      <c r="K9238" s="250">
        <v>3113.5422987539141</v>
      </c>
      <c r="L9238" s="252"/>
    </row>
    <row r="9239" spans="1:13" ht="10.9" customHeight="1" x14ac:dyDescent="0.2">
      <c r="A9239" s="242">
        <v>2023</v>
      </c>
      <c r="B9239" s="242">
        <v>7</v>
      </c>
      <c r="C9239" s="242">
        <v>27</v>
      </c>
      <c r="D9239" s="321">
        <f t="shared" si="1074"/>
        <v>45134</v>
      </c>
      <c r="E9239" s="322">
        <f t="shared" si="1075"/>
        <v>45134</v>
      </c>
      <c r="F9239" s="478"/>
      <c r="G9239" s="243" t="s">
        <v>94</v>
      </c>
      <c r="H9239" s="243" t="str" cm="1">
        <f t="array" ref="H9239">IFERROR(INDEX(INVESTOR_LIST[INVESTOR NAME],MATCH(I9239,INVESTOR_LIST[INVESTOR CODE],0),)," ")</f>
        <v xml:space="preserve"> </v>
      </c>
      <c r="I9239" s="263" t="s">
        <v>348</v>
      </c>
      <c r="J9239" s="244" t="s">
        <v>48</v>
      </c>
      <c r="K9239" s="245"/>
      <c r="L9239" s="245">
        <v>3113.5422987539141</v>
      </c>
    </row>
    <row r="9240" spans="1:13" x14ac:dyDescent="0.2">
      <c r="A9240" s="133">
        <v>2023</v>
      </c>
      <c r="B9240" s="133">
        <v>7</v>
      </c>
      <c r="C9240" s="133">
        <v>31</v>
      </c>
      <c r="D9240" s="141">
        <f t="shared" si="1074"/>
        <v>45138</v>
      </c>
      <c r="E9240" s="275">
        <f t="shared" si="1075"/>
        <v>45138</v>
      </c>
      <c r="F9240" s="481" t="s">
        <v>1753</v>
      </c>
      <c r="G9240" s="174" t="s">
        <v>94</v>
      </c>
      <c r="H9240" s="174" t="str" cm="1">
        <f t="array" ref="H9240">IFERROR(INDEX(INVESTOR_LIST[INVESTOR NAME],MATCH(I9240,INVESTOR_LIST[INVESTOR CODE],0),)," ")</f>
        <v xml:space="preserve"> </v>
      </c>
      <c r="J9240" s="149" t="s">
        <v>190</v>
      </c>
      <c r="K9240" s="218">
        <v>362825.75</v>
      </c>
      <c r="L9240" s="218"/>
      <c r="M9240" s="160"/>
    </row>
    <row r="9241" spans="1:13" x14ac:dyDescent="0.2">
      <c r="A9241" s="133">
        <v>2023</v>
      </c>
      <c r="B9241" s="133">
        <v>7</v>
      </c>
      <c r="C9241" s="133">
        <v>31</v>
      </c>
      <c r="D9241" s="141">
        <f t="shared" si="1074"/>
        <v>45138</v>
      </c>
      <c r="E9241" s="275">
        <f t="shared" si="1075"/>
        <v>45138</v>
      </c>
      <c r="F9241" s="481"/>
      <c r="G9241" s="174" t="s">
        <v>94</v>
      </c>
      <c r="H9241" s="174"/>
      <c r="J9241" s="149" t="s">
        <v>80</v>
      </c>
      <c r="K9241" s="218">
        <v>654.25</v>
      </c>
      <c r="L9241" s="218"/>
    </row>
    <row r="9242" spans="1:13" x14ac:dyDescent="0.2">
      <c r="A9242" s="133">
        <v>2023</v>
      </c>
      <c r="B9242" s="133">
        <v>7</v>
      </c>
      <c r="C9242" s="133">
        <v>31</v>
      </c>
      <c r="D9242" s="141">
        <f t="shared" si="1074"/>
        <v>45138</v>
      </c>
      <c r="E9242" s="275">
        <f t="shared" si="1075"/>
        <v>45138</v>
      </c>
      <c r="F9242" s="481"/>
      <c r="G9242" s="174" t="s">
        <v>94</v>
      </c>
      <c r="H9242" s="174" t="str" cm="1">
        <f t="array" ref="H9242">IFERROR(INDEX(INVESTOR_LIST[INVESTOR NAME],MATCH(I9242,INVESTOR_LIST[INVESTOR CODE],0),)," ")</f>
        <v xml:space="preserve"> </v>
      </c>
      <c r="J9242" s="149" t="s">
        <v>191</v>
      </c>
      <c r="K9242" s="218"/>
      <c r="L9242" s="218">
        <v>273480</v>
      </c>
    </row>
    <row r="9243" spans="1:13" x14ac:dyDescent="0.2">
      <c r="A9243" s="163">
        <v>2023</v>
      </c>
      <c r="B9243" s="163">
        <v>7</v>
      </c>
      <c r="C9243" s="163">
        <v>31</v>
      </c>
      <c r="D9243" s="280">
        <f t="shared" si="1074"/>
        <v>45138</v>
      </c>
      <c r="E9243" s="281">
        <f t="shared" si="1075"/>
        <v>45138</v>
      </c>
      <c r="F9243" s="480"/>
      <c r="G9243" s="221" t="s">
        <v>94</v>
      </c>
      <c r="H9243" s="145" t="str" cm="1">
        <f t="array" ref="H9243">IFERROR(INDEX(INVESTOR_LIST[INVESTOR NAME],MATCH(I9243,INVESTOR_LIST[INVESTOR CODE],0),)," ")</f>
        <v xml:space="preserve"> </v>
      </c>
      <c r="I9243" s="145"/>
      <c r="J9243" s="163" t="s">
        <v>79</v>
      </c>
      <c r="K9243" s="219"/>
      <c r="L9243" s="219">
        <v>90000</v>
      </c>
    </row>
    <row r="9244" spans="1:13" ht="10.15" customHeight="1" x14ac:dyDescent="0.2">
      <c r="A9244" s="133">
        <v>2023</v>
      </c>
      <c r="B9244" s="133">
        <v>8</v>
      </c>
      <c r="C9244" s="133">
        <v>1</v>
      </c>
      <c r="D9244" s="141">
        <f t="shared" si="1074"/>
        <v>45139</v>
      </c>
      <c r="E9244" s="275">
        <f t="shared" si="1075"/>
        <v>45139</v>
      </c>
      <c r="F9244" s="479" t="s">
        <v>1761</v>
      </c>
      <c r="G9244" s="220" t="s">
        <v>74</v>
      </c>
      <c r="H9244" s="220"/>
      <c r="I9244" s="142"/>
      <c r="J9244" s="143" t="s">
        <v>96</v>
      </c>
      <c r="K9244" s="226">
        <v>8000000</v>
      </c>
      <c r="L9244" s="226"/>
    </row>
    <row r="9245" spans="1:13" ht="10.15" customHeight="1" x14ac:dyDescent="0.2">
      <c r="A9245" s="133">
        <v>2023</v>
      </c>
      <c r="B9245" s="133">
        <v>8</v>
      </c>
      <c r="C9245" s="133">
        <v>1</v>
      </c>
      <c r="D9245" s="141">
        <f t="shared" si="1074"/>
        <v>45139</v>
      </c>
      <c r="E9245" s="275">
        <f t="shared" si="1075"/>
        <v>45139</v>
      </c>
      <c r="F9245" s="481"/>
      <c r="G9245" s="174" t="s">
        <v>74</v>
      </c>
      <c r="H9245" s="174" t="str" cm="1">
        <f t="array" ref="H9245">IFERROR(INDEX(INVESTOR_LIST[INVESTOR NAME],MATCH(I9245,INVESTOR_LIST[INVESTOR CODE],0),)," ")</f>
        <v xml:space="preserve"> </v>
      </c>
      <c r="I9245" s="148" t="s">
        <v>348</v>
      </c>
      <c r="J9245" s="149" t="s">
        <v>52</v>
      </c>
      <c r="K9245" s="218">
        <v>203667</v>
      </c>
      <c r="L9245" s="218"/>
    </row>
    <row r="9246" spans="1:13" ht="10.15" customHeight="1" x14ac:dyDescent="0.2">
      <c r="A9246" s="133">
        <v>2023</v>
      </c>
      <c r="B9246" s="133">
        <v>8</v>
      </c>
      <c r="C9246" s="133">
        <v>1</v>
      </c>
      <c r="D9246" s="141">
        <f t="shared" ref="D9246" si="1076">DATE(A9246,B9246,C9246)</f>
        <v>45139</v>
      </c>
      <c r="E9246" s="275">
        <f t="shared" ref="E9246" si="1077">DATE(A9246,B9246,C9246)</f>
        <v>45139</v>
      </c>
      <c r="F9246" s="481"/>
      <c r="G9246" s="174" t="s">
        <v>74</v>
      </c>
      <c r="H9246" s="174"/>
      <c r="J9246" s="149" t="s">
        <v>61</v>
      </c>
      <c r="K9246" s="218">
        <v>3000</v>
      </c>
      <c r="L9246" s="218"/>
    </row>
    <row r="9247" spans="1:13" ht="10.15" customHeight="1" x14ac:dyDescent="0.2">
      <c r="A9247" s="133">
        <v>2023</v>
      </c>
      <c r="B9247" s="133">
        <v>8</v>
      </c>
      <c r="C9247" s="133">
        <v>1</v>
      </c>
      <c r="D9247" s="141">
        <f t="shared" si="1074"/>
        <v>45139</v>
      </c>
      <c r="E9247" s="275">
        <f t="shared" si="1075"/>
        <v>45139</v>
      </c>
      <c r="F9247" s="481"/>
      <c r="G9247" s="174" t="s">
        <v>74</v>
      </c>
      <c r="H9247" s="174" t="str" cm="1">
        <f t="array" ref="H9247">IFERROR(INDEX(INVESTOR_LIST[INVESTOR NAME],MATCH(I9247,INVESTOR_LIST[INVESTOR CODE],0),)," ")</f>
        <v xml:space="preserve"> </v>
      </c>
      <c r="J9247" s="149" t="s">
        <v>133</v>
      </c>
      <c r="K9247" s="218"/>
      <c r="L9247" s="218">
        <v>206667</v>
      </c>
    </row>
    <row r="9248" spans="1:13" ht="10.15" customHeight="1" x14ac:dyDescent="0.2">
      <c r="A9248" s="163">
        <v>2023</v>
      </c>
      <c r="B9248" s="163">
        <v>8</v>
      </c>
      <c r="C9248" s="163">
        <v>1</v>
      </c>
      <c r="D9248" s="141">
        <f t="shared" si="1074"/>
        <v>45139</v>
      </c>
      <c r="E9248" s="275">
        <f t="shared" si="1075"/>
        <v>45139</v>
      </c>
      <c r="F9248" s="480"/>
      <c r="G9248" s="221" t="s">
        <v>74</v>
      </c>
      <c r="H9248" s="221"/>
      <c r="I9248" s="145"/>
      <c r="J9248" s="146" t="s">
        <v>96</v>
      </c>
      <c r="K9248" s="219"/>
      <c r="L9248" s="219">
        <v>8000000</v>
      </c>
    </row>
    <row r="9249" spans="1:12" ht="10.15" customHeight="1" x14ac:dyDescent="0.2">
      <c r="A9249" s="133">
        <v>2023</v>
      </c>
      <c r="B9249" s="133">
        <v>8</v>
      </c>
      <c r="C9249" s="133">
        <v>3</v>
      </c>
      <c r="D9249" s="141">
        <f t="shared" si="1074"/>
        <v>45141</v>
      </c>
      <c r="E9249" s="275">
        <f t="shared" si="1075"/>
        <v>45141</v>
      </c>
      <c r="F9249" s="479" t="s">
        <v>1754</v>
      </c>
      <c r="G9249" s="220" t="s">
        <v>74</v>
      </c>
      <c r="H9249" s="220" t="str" cm="1">
        <f t="array" ref="H9249">IFERROR(INDEX(INVESTOR_LIST[INVESTOR NAME],MATCH(I9249,INVESTOR_LIST[INVESTOR CODE],0),)," ")</f>
        <v xml:space="preserve"> </v>
      </c>
      <c r="I9249" s="142" t="s">
        <v>348</v>
      </c>
      <c r="J9249" s="143" t="s">
        <v>52</v>
      </c>
      <c r="K9249" s="226">
        <v>38750</v>
      </c>
      <c r="L9249" s="226"/>
    </row>
    <row r="9250" spans="1:12" ht="10.15" customHeight="1" x14ac:dyDescent="0.2">
      <c r="A9250" s="163">
        <v>2023</v>
      </c>
      <c r="B9250" s="163">
        <v>8</v>
      </c>
      <c r="C9250" s="163">
        <v>3</v>
      </c>
      <c r="D9250" s="280">
        <f t="shared" si="1074"/>
        <v>45141</v>
      </c>
      <c r="E9250" s="281">
        <f t="shared" si="1075"/>
        <v>45141</v>
      </c>
      <c r="F9250" s="480"/>
      <c r="G9250" s="221" t="s">
        <v>74</v>
      </c>
      <c r="H9250" s="221" t="str" cm="1">
        <f t="array" ref="H9250">IFERROR(INDEX(INVESTOR_LIST[INVESTOR NAME],MATCH(I9250,INVESTOR_LIST[INVESTOR CODE],0),)," ")</f>
        <v xml:space="preserve"> </v>
      </c>
      <c r="I9250" s="145"/>
      <c r="J9250" s="146" t="s">
        <v>133</v>
      </c>
      <c r="K9250" s="219"/>
      <c r="L9250" s="219">
        <v>38750</v>
      </c>
    </row>
    <row r="9251" spans="1:12" ht="10.15" customHeight="1" x14ac:dyDescent="0.2">
      <c r="A9251" s="133">
        <v>2023</v>
      </c>
      <c r="B9251" s="133">
        <v>8</v>
      </c>
      <c r="C9251" s="133">
        <v>3</v>
      </c>
      <c r="D9251" s="141">
        <f t="shared" ref="D9251:D9252" si="1078">DATE(A9251,B9251,C9251)</f>
        <v>45141</v>
      </c>
      <c r="E9251" s="275">
        <f t="shared" ref="E9251:E9252" si="1079">DATE(A9251,B9251,C9251)</f>
        <v>45141</v>
      </c>
      <c r="F9251" s="479" t="s">
        <v>1755</v>
      </c>
      <c r="G9251" s="220" t="s">
        <v>74</v>
      </c>
      <c r="H9251" s="220" t="str" cm="1">
        <f t="array" ref="H9251">IFERROR(INDEX(INVESTOR_LIST[INVESTOR NAME],MATCH(I9251,INVESTOR_LIST[INVESTOR CODE],0),)," ")</f>
        <v xml:space="preserve"> </v>
      </c>
      <c r="I9251" s="142" t="s">
        <v>348</v>
      </c>
      <c r="J9251" s="143" t="s">
        <v>52</v>
      </c>
      <c r="K9251" s="226">
        <v>38750</v>
      </c>
      <c r="L9251" s="226"/>
    </row>
    <row r="9252" spans="1:12" ht="10.15" customHeight="1" x14ac:dyDescent="0.2">
      <c r="A9252" s="163">
        <v>2023</v>
      </c>
      <c r="B9252" s="163">
        <v>8</v>
      </c>
      <c r="C9252" s="163">
        <v>3</v>
      </c>
      <c r="D9252" s="280">
        <f t="shared" si="1078"/>
        <v>45141</v>
      </c>
      <c r="E9252" s="281">
        <f t="shared" si="1079"/>
        <v>45141</v>
      </c>
      <c r="F9252" s="480"/>
      <c r="G9252" s="221" t="s">
        <v>74</v>
      </c>
      <c r="H9252" s="221" t="str" cm="1">
        <f t="array" ref="H9252">IFERROR(INDEX(INVESTOR_LIST[INVESTOR NAME],MATCH(I9252,INVESTOR_LIST[INVESTOR CODE],0),)," ")</f>
        <v xml:space="preserve"> </v>
      </c>
      <c r="I9252" s="145"/>
      <c r="J9252" s="146" t="s">
        <v>133</v>
      </c>
      <c r="K9252" s="219"/>
      <c r="L9252" s="219">
        <v>38750</v>
      </c>
    </row>
    <row r="9253" spans="1:12" ht="10.15" customHeight="1" x14ac:dyDescent="0.2">
      <c r="A9253" s="133">
        <v>2023</v>
      </c>
      <c r="B9253" s="133">
        <v>8</v>
      </c>
      <c r="C9253" s="133">
        <v>3</v>
      </c>
      <c r="D9253" s="141">
        <f t="shared" ref="D9253:D9256" si="1080">DATE(A9253,B9253,C9253)</f>
        <v>45141</v>
      </c>
      <c r="E9253" s="275">
        <f t="shared" ref="E9253:E9256" si="1081">DATE(A9253,B9253,C9253)</f>
        <v>45141</v>
      </c>
      <c r="F9253" s="479" t="s">
        <v>1756</v>
      </c>
      <c r="G9253" s="220" t="s">
        <v>74</v>
      </c>
      <c r="H9253" s="220" t="str" cm="1">
        <f t="array" ref="H9253">IFERROR(INDEX(INVESTOR_LIST[INVESTOR NAME],MATCH(I9253,INVESTOR_LIST[INVESTOR CODE],0),)," ")</f>
        <v xml:space="preserve"> </v>
      </c>
      <c r="I9253" s="142" t="s">
        <v>348</v>
      </c>
      <c r="J9253" s="143" t="s">
        <v>52</v>
      </c>
      <c r="K9253" s="226">
        <v>38750</v>
      </c>
      <c r="L9253" s="226"/>
    </row>
    <row r="9254" spans="1:12" ht="10.15" customHeight="1" x14ac:dyDescent="0.2">
      <c r="A9254" s="163">
        <v>2023</v>
      </c>
      <c r="B9254" s="163">
        <v>8</v>
      </c>
      <c r="C9254" s="163">
        <v>3</v>
      </c>
      <c r="D9254" s="280">
        <f t="shared" si="1080"/>
        <v>45141</v>
      </c>
      <c r="E9254" s="281">
        <f t="shared" si="1081"/>
        <v>45141</v>
      </c>
      <c r="F9254" s="480"/>
      <c r="G9254" s="221" t="s">
        <v>74</v>
      </c>
      <c r="H9254" s="221" t="str" cm="1">
        <f t="array" ref="H9254">IFERROR(INDEX(INVESTOR_LIST[INVESTOR NAME],MATCH(I9254,INVESTOR_LIST[INVESTOR CODE],0),)," ")</f>
        <v xml:space="preserve"> </v>
      </c>
      <c r="I9254" s="145"/>
      <c r="J9254" s="146" t="s">
        <v>133</v>
      </c>
      <c r="K9254" s="219"/>
      <c r="L9254" s="219">
        <v>38750</v>
      </c>
    </row>
    <row r="9255" spans="1:12" x14ac:dyDescent="0.2">
      <c r="A9255" s="168">
        <v>2023</v>
      </c>
      <c r="B9255" s="168">
        <v>8</v>
      </c>
      <c r="C9255" s="168">
        <v>3</v>
      </c>
      <c r="D9255" s="141">
        <f t="shared" si="1080"/>
        <v>45141</v>
      </c>
      <c r="E9255" s="275">
        <f t="shared" si="1081"/>
        <v>45141</v>
      </c>
      <c r="F9255" s="479" t="s">
        <v>1757</v>
      </c>
      <c r="G9255" s="220" t="s">
        <v>74</v>
      </c>
      <c r="H9255" s="220" t="str" cm="1">
        <f t="array" ref="H9255">IFERROR(INDEX(INVESTOR_LIST[INVESTOR NAME],MATCH(I9255,INVESTOR_LIST[INVESTOR CODE],0),)," ")</f>
        <v xml:space="preserve"> </v>
      </c>
      <c r="I9255" s="142"/>
      <c r="J9255" s="143" t="s">
        <v>52</v>
      </c>
      <c r="K9255" s="226">
        <v>364000</v>
      </c>
      <c r="L9255" s="226"/>
    </row>
    <row r="9256" spans="1:12" x14ac:dyDescent="0.2">
      <c r="A9256" s="163">
        <v>2023</v>
      </c>
      <c r="B9256" s="163">
        <v>8</v>
      </c>
      <c r="C9256" s="163">
        <v>3</v>
      </c>
      <c r="D9256" s="280">
        <f t="shared" si="1080"/>
        <v>45141</v>
      </c>
      <c r="E9256" s="281">
        <f t="shared" si="1081"/>
        <v>45141</v>
      </c>
      <c r="F9256" s="480"/>
      <c r="G9256" s="221" t="s">
        <v>74</v>
      </c>
      <c r="H9256" s="221" t="str" cm="1">
        <f t="array" ref="H9256">IFERROR(INDEX(INVESTOR_LIST[INVESTOR NAME],MATCH(I9256,INVESTOR_LIST[INVESTOR CODE],0),)," ")</f>
        <v xml:space="preserve"> </v>
      </c>
      <c r="I9256" s="145"/>
      <c r="J9256" s="146" t="s">
        <v>190</v>
      </c>
      <c r="K9256" s="219"/>
      <c r="L9256" s="219">
        <v>364000</v>
      </c>
    </row>
    <row r="9257" spans="1:12" ht="10.15" customHeight="1" x14ac:dyDescent="0.2">
      <c r="A9257" s="168">
        <v>2023</v>
      </c>
      <c r="B9257" s="168">
        <v>8</v>
      </c>
      <c r="C9257" s="168">
        <v>3</v>
      </c>
      <c r="D9257" s="141">
        <f>DATE(A9257,B9257,C9257)</f>
        <v>45141</v>
      </c>
      <c r="E9257" s="275">
        <f>DATE(A9257,B9257,C9257)</f>
        <v>45141</v>
      </c>
      <c r="F9257" s="479" t="s">
        <v>965</v>
      </c>
      <c r="G9257" s="220" t="s">
        <v>74</v>
      </c>
      <c r="H9257" s="142" t="str" cm="1">
        <f t="array" ref="H9257">IFERROR(INDEX(INVESTOR_LIST[INVESTOR NAME],MATCH(I9257,INVESTOR_LIST[INVESTOR CODE],0),)," ")</f>
        <v>RASIDA BEGUM</v>
      </c>
      <c r="I9257" s="142" t="s">
        <v>1137</v>
      </c>
      <c r="J9257" s="168" t="s">
        <v>13</v>
      </c>
      <c r="K9257" s="218">
        <v>242830</v>
      </c>
      <c r="L9257" s="226"/>
    </row>
    <row r="9258" spans="1:12" ht="10.15" customHeight="1" x14ac:dyDescent="0.2">
      <c r="A9258" s="133">
        <v>2023</v>
      </c>
      <c r="B9258" s="133">
        <v>8</v>
      </c>
      <c r="C9258" s="133">
        <v>3</v>
      </c>
      <c r="D9258" s="141">
        <f t="shared" ref="D9258:D9267" si="1082">DATE(A9258,B9258,C9258)</f>
        <v>45141</v>
      </c>
      <c r="E9258" s="275">
        <f t="shared" ref="E9258:E9267" si="1083">DATE(A9258,B9258,C9258)</f>
        <v>45141</v>
      </c>
      <c r="F9258" s="481"/>
      <c r="G9258" s="174" t="s">
        <v>74</v>
      </c>
      <c r="H9258" s="148" t="str" cm="1">
        <f t="array" ref="H9258">IFERROR(INDEX(INVESTOR_LIST[INVESTOR NAME],MATCH(I9258,INVESTOR_LIST[INVESTOR CODE],0),)," ")</f>
        <v>RASIDA BEGUM</v>
      </c>
      <c r="I9258" s="148" t="s">
        <v>1137</v>
      </c>
      <c r="J9258" s="133" t="s">
        <v>53</v>
      </c>
      <c r="K9258" s="218">
        <v>60076.140000000014</v>
      </c>
      <c r="L9258" s="133"/>
    </row>
    <row r="9259" spans="1:12" ht="10.15" customHeight="1" x14ac:dyDescent="0.2">
      <c r="A9259" s="163">
        <v>2023</v>
      </c>
      <c r="B9259" s="163">
        <v>8</v>
      </c>
      <c r="C9259" s="163">
        <v>3</v>
      </c>
      <c r="D9259" s="280">
        <f t="shared" si="1082"/>
        <v>45141</v>
      </c>
      <c r="E9259" s="281">
        <f t="shared" si="1083"/>
        <v>45141</v>
      </c>
      <c r="F9259" s="480"/>
      <c r="G9259" s="221" t="s">
        <v>74</v>
      </c>
      <c r="H9259" s="145" t="str" cm="1">
        <f t="array" ref="H9259">IFERROR(INDEX(INVESTOR_LIST[INVESTOR NAME],MATCH(I9259,INVESTOR_LIST[INVESTOR CODE],0),)," ")</f>
        <v>RASIDA BEGUM</v>
      </c>
      <c r="I9259" s="145" t="s">
        <v>1137</v>
      </c>
      <c r="J9259" s="163" t="s">
        <v>52</v>
      </c>
      <c r="K9259" s="219"/>
      <c r="L9259" s="219">
        <v>302906.14</v>
      </c>
    </row>
    <row r="9260" spans="1:12" ht="10.15" customHeight="1" x14ac:dyDescent="0.2">
      <c r="A9260" s="133">
        <v>2023</v>
      </c>
      <c r="B9260" s="133">
        <v>8</v>
      </c>
      <c r="C9260" s="133">
        <v>3</v>
      </c>
      <c r="D9260" s="141">
        <f t="shared" si="1082"/>
        <v>45141</v>
      </c>
      <c r="E9260" s="275">
        <f t="shared" si="1083"/>
        <v>45141</v>
      </c>
      <c r="F9260" s="479" t="s">
        <v>1673</v>
      </c>
      <c r="G9260" s="220" t="s">
        <v>74</v>
      </c>
      <c r="H9260" s="220"/>
      <c r="I9260" s="142"/>
      <c r="J9260" s="143" t="s">
        <v>96</v>
      </c>
      <c r="K9260" s="226">
        <v>2000000</v>
      </c>
      <c r="L9260" s="226"/>
    </row>
    <row r="9261" spans="1:12" ht="10.15" customHeight="1" x14ac:dyDescent="0.2">
      <c r="A9261" s="133">
        <v>2023</v>
      </c>
      <c r="B9261" s="133">
        <v>8</v>
      </c>
      <c r="C9261" s="133">
        <v>3</v>
      </c>
      <c r="D9261" s="141">
        <f t="shared" si="1082"/>
        <v>45141</v>
      </c>
      <c r="E9261" s="275">
        <f t="shared" si="1083"/>
        <v>45141</v>
      </c>
      <c r="F9261" s="481"/>
      <c r="G9261" s="174" t="s">
        <v>74</v>
      </c>
      <c r="H9261" s="174" t="str" cm="1">
        <f t="array" ref="H9261">IFERROR(INDEX(INVESTOR_LIST[INVESTOR NAME],MATCH(I9261,INVESTOR_LIST[INVESTOR CODE],0),)," ")</f>
        <v xml:space="preserve"> </v>
      </c>
      <c r="I9261" s="148" t="s">
        <v>348</v>
      </c>
      <c r="J9261" s="149" t="s">
        <v>52</v>
      </c>
      <c r="K9261" s="218">
        <v>38750</v>
      </c>
      <c r="L9261" s="218"/>
    </row>
    <row r="9262" spans="1:12" ht="10.15" customHeight="1" x14ac:dyDescent="0.2">
      <c r="A9262" s="133">
        <v>2023</v>
      </c>
      <c r="B9262" s="133">
        <v>8</v>
      </c>
      <c r="C9262" s="133">
        <v>3</v>
      </c>
      <c r="D9262" s="141">
        <f t="shared" si="1082"/>
        <v>45141</v>
      </c>
      <c r="E9262" s="275">
        <f t="shared" si="1083"/>
        <v>45141</v>
      </c>
      <c r="F9262" s="481"/>
      <c r="G9262" s="174" t="s">
        <v>74</v>
      </c>
      <c r="H9262" s="174" t="str" cm="1">
        <f t="array" ref="H9262">IFERROR(INDEX(INVESTOR_LIST[INVESTOR NAME],MATCH(I9262,INVESTOR_LIST[INVESTOR CODE],0),)," ")</f>
        <v xml:space="preserve"> </v>
      </c>
      <c r="J9262" s="149" t="s">
        <v>133</v>
      </c>
      <c r="K9262" s="218"/>
      <c r="L9262" s="218">
        <v>38750</v>
      </c>
    </row>
    <row r="9263" spans="1:12" ht="10.15" customHeight="1" x14ac:dyDescent="0.2">
      <c r="A9263" s="163">
        <v>2023</v>
      </c>
      <c r="B9263" s="163">
        <v>8</v>
      </c>
      <c r="C9263" s="163">
        <v>3</v>
      </c>
      <c r="D9263" s="141">
        <f t="shared" si="1082"/>
        <v>45141</v>
      </c>
      <c r="E9263" s="275">
        <f t="shared" si="1083"/>
        <v>45141</v>
      </c>
      <c r="F9263" s="480"/>
      <c r="G9263" s="221" t="s">
        <v>74</v>
      </c>
      <c r="H9263" s="221"/>
      <c r="I9263" s="145"/>
      <c r="J9263" s="146" t="s">
        <v>96</v>
      </c>
      <c r="K9263" s="219"/>
      <c r="L9263" s="219">
        <v>2000000</v>
      </c>
    </row>
    <row r="9264" spans="1:12" ht="10.15" customHeight="1" x14ac:dyDescent="0.2">
      <c r="A9264" s="133">
        <v>2023</v>
      </c>
      <c r="B9264" s="133">
        <v>8</v>
      </c>
      <c r="C9264" s="133">
        <v>3</v>
      </c>
      <c r="D9264" s="141">
        <f t="shared" si="1082"/>
        <v>45141</v>
      </c>
      <c r="E9264" s="275">
        <f t="shared" si="1083"/>
        <v>45141</v>
      </c>
      <c r="F9264" s="479" t="s">
        <v>1674</v>
      </c>
      <c r="G9264" s="220" t="s">
        <v>74</v>
      </c>
      <c r="H9264" s="220"/>
      <c r="I9264" s="142"/>
      <c r="J9264" s="143" t="s">
        <v>96</v>
      </c>
      <c r="K9264" s="226">
        <v>2000000</v>
      </c>
      <c r="L9264" s="226"/>
    </row>
    <row r="9265" spans="1:14" ht="10.15" customHeight="1" x14ac:dyDescent="0.2">
      <c r="A9265" s="133">
        <v>2023</v>
      </c>
      <c r="B9265" s="133">
        <v>8</v>
      </c>
      <c r="C9265" s="133">
        <v>3</v>
      </c>
      <c r="D9265" s="141">
        <f t="shared" si="1082"/>
        <v>45141</v>
      </c>
      <c r="E9265" s="275">
        <f t="shared" si="1083"/>
        <v>45141</v>
      </c>
      <c r="F9265" s="481"/>
      <c r="G9265" s="174" t="s">
        <v>74</v>
      </c>
      <c r="H9265" s="174" t="str" cm="1">
        <f t="array" ref="H9265">IFERROR(INDEX(INVESTOR_LIST[INVESTOR NAME],MATCH(I9265,INVESTOR_LIST[INVESTOR CODE],0),)," ")</f>
        <v xml:space="preserve"> </v>
      </c>
      <c r="I9265" s="148" t="s">
        <v>348</v>
      </c>
      <c r="J9265" s="149" t="s">
        <v>52</v>
      </c>
      <c r="K9265" s="218">
        <v>38750</v>
      </c>
      <c r="L9265" s="218"/>
    </row>
    <row r="9266" spans="1:14" ht="10.15" customHeight="1" x14ac:dyDescent="0.2">
      <c r="A9266" s="133">
        <v>2023</v>
      </c>
      <c r="B9266" s="133">
        <v>8</v>
      </c>
      <c r="C9266" s="133">
        <v>3</v>
      </c>
      <c r="D9266" s="141">
        <f t="shared" si="1082"/>
        <v>45141</v>
      </c>
      <c r="E9266" s="275">
        <f t="shared" si="1083"/>
        <v>45141</v>
      </c>
      <c r="F9266" s="481"/>
      <c r="G9266" s="174" t="s">
        <v>74</v>
      </c>
      <c r="H9266" s="174" t="str" cm="1">
        <f t="array" ref="H9266">IFERROR(INDEX(INVESTOR_LIST[INVESTOR NAME],MATCH(I9266,INVESTOR_LIST[INVESTOR CODE],0),)," ")</f>
        <v xml:space="preserve"> </v>
      </c>
      <c r="J9266" s="149" t="s">
        <v>133</v>
      </c>
      <c r="K9266" s="218"/>
      <c r="L9266" s="218">
        <v>38750</v>
      </c>
    </row>
    <row r="9267" spans="1:14" ht="10.15" customHeight="1" x14ac:dyDescent="0.2">
      <c r="A9267" s="163">
        <v>2023</v>
      </c>
      <c r="B9267" s="163">
        <v>8</v>
      </c>
      <c r="C9267" s="163">
        <v>3</v>
      </c>
      <c r="D9267" s="280">
        <f t="shared" si="1082"/>
        <v>45141</v>
      </c>
      <c r="E9267" s="281">
        <f t="shared" si="1083"/>
        <v>45141</v>
      </c>
      <c r="F9267" s="480"/>
      <c r="G9267" s="221" t="s">
        <v>74</v>
      </c>
      <c r="H9267" s="221"/>
      <c r="I9267" s="145"/>
      <c r="J9267" s="146" t="s">
        <v>96</v>
      </c>
      <c r="K9267" s="219"/>
      <c r="L9267" s="219">
        <v>2000000</v>
      </c>
    </row>
    <row r="9268" spans="1:14" x14ac:dyDescent="0.2">
      <c r="A9268" s="324">
        <v>2023</v>
      </c>
      <c r="B9268" s="324">
        <v>8</v>
      </c>
      <c r="C9268" s="325">
        <v>3</v>
      </c>
      <c r="D9268" s="326">
        <f>DATE(A9268,B9268,C9268)</f>
        <v>45141</v>
      </c>
      <c r="E9268" s="327">
        <f>DATE(A9268,B9268,C9268)</f>
        <v>45141</v>
      </c>
      <c r="F9268" s="473" t="s">
        <v>1634</v>
      </c>
      <c r="G9268" s="340" t="s">
        <v>94</v>
      </c>
      <c r="H9268" s="341" t="str" cm="1">
        <f t="array" ref="H9268">IFERROR(INDEX(INVESTOR_LIST[INVESTOR NAME],MATCH(I9268,INVESTOR_LIST[INVESTOR CODE],0),)," ")</f>
        <v xml:space="preserve"> </v>
      </c>
      <c r="I9268" s="341" t="s">
        <v>348</v>
      </c>
      <c r="J9268" s="325" t="s">
        <v>133</v>
      </c>
      <c r="K9268" s="330">
        <v>4170.82</v>
      </c>
      <c r="L9268" s="330"/>
      <c r="M9268" s="160"/>
    </row>
    <row r="9269" spans="1:14" x14ac:dyDescent="0.2">
      <c r="A9269" s="331">
        <v>2023</v>
      </c>
      <c r="B9269" s="331">
        <v>8</v>
      </c>
      <c r="C9269" s="331">
        <v>3</v>
      </c>
      <c r="D9269" s="326">
        <f>DATE(A9269,B9269,C9269)</f>
        <v>45141</v>
      </c>
      <c r="E9269" s="327">
        <f>DATE(A9269,B9269,C9269)</f>
        <v>45141</v>
      </c>
      <c r="F9269" s="474"/>
      <c r="G9269" s="332" t="s">
        <v>94</v>
      </c>
      <c r="H9269" s="333" t="str" cm="1">
        <f t="array" ref="H9269">IFERROR(INDEX(INVESTOR_LIST[INVESTOR NAME],MATCH(I9269,INVESTOR_LIST[INVESTOR CODE],0),)," ")</f>
        <v xml:space="preserve"> </v>
      </c>
      <c r="I9269" s="333" t="s">
        <v>348</v>
      </c>
      <c r="J9269" s="331" t="s">
        <v>152</v>
      </c>
      <c r="K9269" s="334"/>
      <c r="L9269" s="334">
        <v>4170.82</v>
      </c>
      <c r="M9269" s="160"/>
    </row>
    <row r="9270" spans="1:14" x14ac:dyDescent="0.2">
      <c r="A9270" s="324">
        <v>2023</v>
      </c>
      <c r="B9270" s="324">
        <v>8</v>
      </c>
      <c r="C9270" s="325">
        <v>3</v>
      </c>
      <c r="D9270" s="326">
        <f t="shared" ref="D9270:D9294" si="1084">DATE(A9270,B9270,C9270)</f>
        <v>45141</v>
      </c>
      <c r="E9270" s="327">
        <f t="shared" ref="E9270:E9294" si="1085">DATE(A9270,B9270,C9270)</f>
        <v>45141</v>
      </c>
      <c r="F9270" s="473" t="s">
        <v>1490</v>
      </c>
      <c r="G9270" s="328" t="s">
        <v>94</v>
      </c>
      <c r="H9270" s="329" t="str" cm="1">
        <f t="array" ref="H9270">IFERROR(INDEX(INVESTOR_LIST[INVESTOR NAME],MATCH(I9270,INVESTOR_LIST[INVESTOR CODE],0),)," ")</f>
        <v xml:space="preserve"> </v>
      </c>
      <c r="I9270" s="329" t="s">
        <v>348</v>
      </c>
      <c r="J9270" s="325" t="s">
        <v>133</v>
      </c>
      <c r="K9270" s="330">
        <v>23763.11</v>
      </c>
      <c r="L9270" s="330"/>
      <c r="M9270" s="160"/>
    </row>
    <row r="9271" spans="1:14" x14ac:dyDescent="0.2">
      <c r="A9271" s="331">
        <v>2023</v>
      </c>
      <c r="B9271" s="331">
        <v>8</v>
      </c>
      <c r="C9271" s="331">
        <v>3</v>
      </c>
      <c r="D9271" s="326">
        <f t="shared" si="1084"/>
        <v>45141</v>
      </c>
      <c r="E9271" s="327">
        <f t="shared" si="1085"/>
        <v>45141</v>
      </c>
      <c r="F9271" s="474"/>
      <c r="G9271" s="332" t="s">
        <v>94</v>
      </c>
      <c r="H9271" s="333" t="str" cm="1">
        <f t="array" ref="H9271">IFERROR(INDEX(INVESTOR_LIST[INVESTOR NAME],MATCH(I9271,INVESTOR_LIST[INVESTOR CODE],0),)," ")</f>
        <v xml:space="preserve"> </v>
      </c>
      <c r="I9271" s="333" t="s">
        <v>348</v>
      </c>
      <c r="J9271" s="331" t="s">
        <v>152</v>
      </c>
      <c r="K9271" s="334"/>
      <c r="L9271" s="334">
        <v>23763.11</v>
      </c>
      <c r="M9271" s="160"/>
      <c r="N9271" s="160"/>
    </row>
    <row r="9272" spans="1:14" x14ac:dyDescent="0.2">
      <c r="A9272" s="324">
        <v>2023</v>
      </c>
      <c r="B9272" s="324">
        <v>8</v>
      </c>
      <c r="C9272" s="325">
        <v>3</v>
      </c>
      <c r="D9272" s="326">
        <f t="shared" si="1084"/>
        <v>45141</v>
      </c>
      <c r="E9272" s="327">
        <f t="shared" si="1085"/>
        <v>45141</v>
      </c>
      <c r="F9272" s="473" t="s">
        <v>1491</v>
      </c>
      <c r="G9272" s="328" t="s">
        <v>94</v>
      </c>
      <c r="H9272" s="329" t="str" cm="1">
        <f t="array" ref="H9272">IFERROR(INDEX(INVESTOR_LIST[INVESTOR NAME],MATCH(I9272,INVESTOR_LIST[INVESTOR CODE],0),)," ")</f>
        <v xml:space="preserve"> </v>
      </c>
      <c r="I9272" s="329" t="s">
        <v>348</v>
      </c>
      <c r="J9272" s="324" t="s">
        <v>133</v>
      </c>
      <c r="K9272" s="330">
        <v>4615.38</v>
      </c>
      <c r="L9272" s="330"/>
      <c r="M9272" s="160"/>
      <c r="N9272" s="160"/>
    </row>
    <row r="9273" spans="1:14" x14ac:dyDescent="0.2">
      <c r="A9273" s="331">
        <v>2023</v>
      </c>
      <c r="B9273" s="331">
        <v>8</v>
      </c>
      <c r="C9273" s="331">
        <v>3</v>
      </c>
      <c r="D9273" s="326">
        <f t="shared" si="1084"/>
        <v>45141</v>
      </c>
      <c r="E9273" s="327">
        <f t="shared" si="1085"/>
        <v>45141</v>
      </c>
      <c r="F9273" s="474"/>
      <c r="G9273" s="332" t="s">
        <v>94</v>
      </c>
      <c r="H9273" s="333" t="str" cm="1">
        <f t="array" ref="H9273">IFERROR(INDEX(INVESTOR_LIST[INVESTOR NAME],MATCH(I9273,INVESTOR_LIST[INVESTOR CODE],0),)," ")</f>
        <v xml:space="preserve"> </v>
      </c>
      <c r="I9273" s="333" t="s">
        <v>348</v>
      </c>
      <c r="J9273" s="331" t="s">
        <v>152</v>
      </c>
      <c r="K9273" s="334"/>
      <c r="L9273" s="334">
        <v>4615.38</v>
      </c>
      <c r="M9273" s="160"/>
    </row>
    <row r="9274" spans="1:14" x14ac:dyDescent="0.2">
      <c r="A9274" s="324">
        <v>2023</v>
      </c>
      <c r="B9274" s="324">
        <v>8</v>
      </c>
      <c r="C9274" s="325">
        <v>3</v>
      </c>
      <c r="D9274" s="326">
        <f t="shared" si="1084"/>
        <v>45141</v>
      </c>
      <c r="E9274" s="327">
        <f t="shared" si="1085"/>
        <v>45141</v>
      </c>
      <c r="F9274" s="473" t="s">
        <v>1531</v>
      </c>
      <c r="G9274" s="328" t="s">
        <v>94</v>
      </c>
      <c r="H9274" s="329" t="str" cm="1">
        <f t="array" ref="H9274">IFERROR(INDEX(INVESTOR_LIST[INVESTOR NAME],MATCH(I9274,INVESTOR_LIST[INVESTOR CODE],0),)," ")</f>
        <v xml:space="preserve"> </v>
      </c>
      <c r="I9274" s="329" t="s">
        <v>348</v>
      </c>
      <c r="J9274" s="324" t="s">
        <v>133</v>
      </c>
      <c r="K9274" s="330">
        <v>23028.85</v>
      </c>
      <c r="L9274" s="330"/>
      <c r="M9274" s="160"/>
    </row>
    <row r="9275" spans="1:14" x14ac:dyDescent="0.2">
      <c r="A9275" s="331">
        <v>2023</v>
      </c>
      <c r="B9275" s="331">
        <v>8</v>
      </c>
      <c r="C9275" s="331">
        <v>3</v>
      </c>
      <c r="D9275" s="326">
        <f t="shared" si="1084"/>
        <v>45141</v>
      </c>
      <c r="E9275" s="327">
        <f t="shared" si="1085"/>
        <v>45141</v>
      </c>
      <c r="F9275" s="474"/>
      <c r="G9275" s="332" t="s">
        <v>94</v>
      </c>
      <c r="H9275" s="333" t="str" cm="1">
        <f t="array" ref="H9275">IFERROR(INDEX(INVESTOR_LIST[INVESTOR NAME],MATCH(I9275,INVESTOR_LIST[INVESTOR CODE],0),)," ")</f>
        <v xml:space="preserve"> </v>
      </c>
      <c r="I9275" s="333" t="s">
        <v>348</v>
      </c>
      <c r="J9275" s="331" t="s">
        <v>152</v>
      </c>
      <c r="K9275" s="334"/>
      <c r="L9275" s="334">
        <v>23028.85</v>
      </c>
      <c r="M9275" s="160"/>
    </row>
    <row r="9276" spans="1:14" x14ac:dyDescent="0.2">
      <c r="A9276" s="238">
        <v>2023</v>
      </c>
      <c r="B9276" s="238">
        <v>8</v>
      </c>
      <c r="C9276" s="238">
        <v>3</v>
      </c>
      <c r="D9276" s="270">
        <f t="shared" si="1084"/>
        <v>45141</v>
      </c>
      <c r="E9276" s="279">
        <f t="shared" si="1085"/>
        <v>45141</v>
      </c>
      <c r="F9276" s="477" t="s">
        <v>347</v>
      </c>
      <c r="G9276" s="239" t="s">
        <v>94</v>
      </c>
      <c r="H9276" s="239" t="str" cm="1">
        <f t="array" ref="H9276">IFERROR(INDEX(INVESTOR_LIST[INVESTOR NAME],MATCH(I9276,INVESTOR_LIST[INVESTOR CODE],0),)," ")</f>
        <v xml:space="preserve"> </v>
      </c>
      <c r="I9276" s="262" t="s">
        <v>348</v>
      </c>
      <c r="J9276" s="240" t="s">
        <v>82</v>
      </c>
      <c r="K9276" s="241">
        <v>406724.71999999881</v>
      </c>
      <c r="L9276" s="241"/>
    </row>
    <row r="9277" spans="1:14" x14ac:dyDescent="0.2">
      <c r="A9277" s="242">
        <v>2023</v>
      </c>
      <c r="B9277" s="242">
        <v>8</v>
      </c>
      <c r="C9277" s="242">
        <v>3</v>
      </c>
      <c r="D9277" s="270">
        <f t="shared" si="1084"/>
        <v>45141</v>
      </c>
      <c r="E9277" s="279">
        <f t="shared" si="1085"/>
        <v>45141</v>
      </c>
      <c r="F9277" s="478"/>
      <c r="G9277" s="243" t="s">
        <v>94</v>
      </c>
      <c r="H9277" s="243" t="str" cm="1">
        <f t="array" ref="H9277">IFERROR(INDEX(INVESTOR_LIST[INVESTOR NAME],MATCH(I9277,INVESTOR_LIST[INVESTOR CODE],0),)," ")</f>
        <v xml:space="preserve"> </v>
      </c>
      <c r="I9277" s="263" t="s">
        <v>348</v>
      </c>
      <c r="J9277" s="244" t="s">
        <v>108</v>
      </c>
      <c r="K9277" s="245"/>
      <c r="L9277" s="245">
        <v>406724.71999999881</v>
      </c>
    </row>
    <row r="9278" spans="1:14" ht="22.5" x14ac:dyDescent="0.2">
      <c r="A9278" s="246">
        <v>2023</v>
      </c>
      <c r="B9278" s="238">
        <v>8</v>
      </c>
      <c r="C9278" s="238">
        <v>3</v>
      </c>
      <c r="D9278" s="270">
        <f t="shared" si="1084"/>
        <v>45141</v>
      </c>
      <c r="E9278" s="279">
        <f t="shared" si="1085"/>
        <v>45141</v>
      </c>
      <c r="F9278" s="482" t="s">
        <v>148</v>
      </c>
      <c r="G9278" s="247" t="s">
        <v>94</v>
      </c>
      <c r="H9278" s="247" t="str" cm="1">
        <f t="array" ref="H9278">IFERROR(INDEX(INVESTOR_LIST[INVESTOR NAME],MATCH(I9278,INVESTOR_LIST[INVESTOR CODE],0),)," ")</f>
        <v xml:space="preserve"> </v>
      </c>
      <c r="I9278" s="248" t="s">
        <v>348</v>
      </c>
      <c r="J9278" s="249" t="s">
        <v>95</v>
      </c>
      <c r="K9278" s="250">
        <v>2747.2527472527472</v>
      </c>
      <c r="L9278" s="241"/>
    </row>
    <row r="9279" spans="1:14" x14ac:dyDescent="0.2">
      <c r="A9279" s="242">
        <v>2023</v>
      </c>
      <c r="B9279" s="242">
        <v>8</v>
      </c>
      <c r="C9279" s="242">
        <v>3</v>
      </c>
      <c r="D9279" s="270">
        <f t="shared" si="1084"/>
        <v>45141</v>
      </c>
      <c r="E9279" s="279">
        <f t="shared" si="1085"/>
        <v>45141</v>
      </c>
      <c r="F9279" s="478"/>
      <c r="G9279" s="243" t="s">
        <v>94</v>
      </c>
      <c r="H9279" s="243" t="str" cm="1">
        <f t="array" ref="H9279">IFERROR(INDEX(INVESTOR_LIST[INVESTOR NAME],MATCH(I9279,INVESTOR_LIST[INVESTOR CODE],0),)," ")</f>
        <v xml:space="preserve"> </v>
      </c>
      <c r="I9279" s="263" t="s">
        <v>348</v>
      </c>
      <c r="J9279" s="244" t="s">
        <v>63</v>
      </c>
      <c r="K9279" s="245"/>
      <c r="L9279" s="245">
        <v>2747.2527472527472</v>
      </c>
    </row>
    <row r="9280" spans="1:14" x14ac:dyDescent="0.2">
      <c r="A9280" s="246">
        <v>2023</v>
      </c>
      <c r="B9280" s="238">
        <v>8</v>
      </c>
      <c r="C9280" s="238">
        <v>3</v>
      </c>
      <c r="D9280" s="270">
        <f t="shared" si="1084"/>
        <v>45141</v>
      </c>
      <c r="E9280" s="279">
        <f t="shared" si="1085"/>
        <v>45141</v>
      </c>
      <c r="F9280" s="482" t="s">
        <v>137</v>
      </c>
      <c r="G9280" s="247" t="s">
        <v>94</v>
      </c>
      <c r="H9280" s="247" t="str" cm="1">
        <f t="array" ref="H9280">IFERROR(INDEX(INVESTOR_LIST[INVESTOR NAME],MATCH(I9280,INVESTOR_LIST[INVESTOR CODE],0),)," ")</f>
        <v xml:space="preserve"> </v>
      </c>
      <c r="I9280" s="248" t="s">
        <v>348</v>
      </c>
      <c r="J9280" s="249" t="s">
        <v>97</v>
      </c>
      <c r="K9280" s="250">
        <v>31053.812022532693</v>
      </c>
      <c r="L9280" s="252"/>
    </row>
    <row r="9281" spans="1:12" x14ac:dyDescent="0.2">
      <c r="A9281" s="242">
        <v>2023</v>
      </c>
      <c r="B9281" s="242">
        <v>8</v>
      </c>
      <c r="C9281" s="242">
        <v>3</v>
      </c>
      <c r="D9281" s="270">
        <f t="shared" si="1084"/>
        <v>45141</v>
      </c>
      <c r="E9281" s="279">
        <f t="shared" si="1085"/>
        <v>45141</v>
      </c>
      <c r="F9281" s="478"/>
      <c r="G9281" s="243" t="s">
        <v>94</v>
      </c>
      <c r="H9281" s="243" t="str" cm="1">
        <f t="array" ref="H9281">IFERROR(INDEX(INVESTOR_LIST[INVESTOR NAME],MATCH(I9281,INVESTOR_LIST[INVESTOR CODE],0),)," ")</f>
        <v xml:space="preserve"> </v>
      </c>
      <c r="I9281" s="263" t="s">
        <v>348</v>
      </c>
      <c r="J9281" s="244" t="s">
        <v>47</v>
      </c>
      <c r="K9281" s="245"/>
      <c r="L9281" s="245">
        <v>31053.812022532693</v>
      </c>
    </row>
    <row r="9282" spans="1:12" x14ac:dyDescent="0.2">
      <c r="A9282" s="246">
        <v>2023</v>
      </c>
      <c r="B9282" s="238">
        <v>8</v>
      </c>
      <c r="C9282" s="238">
        <v>3</v>
      </c>
      <c r="D9282" s="270">
        <f t="shared" si="1084"/>
        <v>45141</v>
      </c>
      <c r="E9282" s="279">
        <f t="shared" si="1085"/>
        <v>45141</v>
      </c>
      <c r="F9282" s="482" t="s">
        <v>138</v>
      </c>
      <c r="G9282" s="247" t="s">
        <v>94</v>
      </c>
      <c r="H9282" s="247" t="str" cm="1">
        <f t="array" ref="H9282">IFERROR(INDEX(INVESTOR_LIST[INVESTOR NAME],MATCH(I9282,INVESTOR_LIST[INVESTOR CODE],0),)," ")</f>
        <v xml:space="preserve"> </v>
      </c>
      <c r="I9282" s="248" t="s">
        <v>348</v>
      </c>
      <c r="J9282" s="249" t="s">
        <v>100</v>
      </c>
      <c r="K9282" s="250">
        <v>3105.3812022532697</v>
      </c>
      <c r="L9282" s="252"/>
    </row>
    <row r="9283" spans="1:12" ht="10.9" customHeight="1" x14ac:dyDescent="0.2">
      <c r="A9283" s="242">
        <v>2023</v>
      </c>
      <c r="B9283" s="242">
        <v>8</v>
      </c>
      <c r="C9283" s="242">
        <v>3</v>
      </c>
      <c r="D9283" s="321">
        <f t="shared" si="1084"/>
        <v>45141</v>
      </c>
      <c r="E9283" s="322">
        <f t="shared" si="1085"/>
        <v>45141</v>
      </c>
      <c r="F9283" s="478"/>
      <c r="G9283" s="243" t="s">
        <v>94</v>
      </c>
      <c r="H9283" s="243" t="str" cm="1">
        <f t="array" ref="H9283">IFERROR(INDEX(INVESTOR_LIST[INVESTOR NAME],MATCH(I9283,INVESTOR_LIST[INVESTOR CODE],0),)," ")</f>
        <v xml:space="preserve"> </v>
      </c>
      <c r="I9283" s="263" t="s">
        <v>348</v>
      </c>
      <c r="J9283" s="244" t="s">
        <v>48</v>
      </c>
      <c r="K9283" s="245"/>
      <c r="L9283" s="245">
        <v>3105.3812022532697</v>
      </c>
    </row>
    <row r="9284" spans="1:12" ht="10.15" customHeight="1" x14ac:dyDescent="0.2">
      <c r="A9284" s="168">
        <v>2023</v>
      </c>
      <c r="B9284" s="168">
        <v>8</v>
      </c>
      <c r="C9284" s="168">
        <v>6</v>
      </c>
      <c r="D9284" s="141">
        <f t="shared" si="1084"/>
        <v>45144</v>
      </c>
      <c r="E9284" s="275">
        <f t="shared" si="1085"/>
        <v>45144</v>
      </c>
      <c r="F9284" s="479" t="s">
        <v>1319</v>
      </c>
      <c r="G9284" s="220" t="s">
        <v>74</v>
      </c>
      <c r="H9284" s="142" t="str" cm="1">
        <f t="array" ref="H9284">IFERROR(INDEX(INVESTOR_LIST[INVESTOR NAME],MATCH(I9284,INVESTOR_LIST[INVESTOR CODE],0),)," ")</f>
        <v xml:space="preserve"> </v>
      </c>
      <c r="I9284" s="142"/>
      <c r="J9284" s="168" t="s">
        <v>52</v>
      </c>
      <c r="K9284" s="226">
        <v>14500</v>
      </c>
      <c r="L9284" s="226"/>
    </row>
    <row r="9285" spans="1:12" ht="10.15" customHeight="1" x14ac:dyDescent="0.2">
      <c r="A9285" s="133">
        <v>2023</v>
      </c>
      <c r="B9285" s="133">
        <v>8</v>
      </c>
      <c r="C9285" s="133">
        <v>6</v>
      </c>
      <c r="D9285" s="141">
        <f t="shared" si="1084"/>
        <v>45144</v>
      </c>
      <c r="E9285" s="275">
        <f t="shared" si="1085"/>
        <v>45144</v>
      </c>
      <c r="F9285" s="481"/>
      <c r="G9285" s="174" t="s">
        <v>74</v>
      </c>
      <c r="H9285" s="148" t="str" cm="1">
        <f t="array" ref="H9285">IFERROR(INDEX(INVESTOR_LIST[INVESTOR NAME],MATCH(I9285,INVESTOR_LIST[INVESTOR CODE],0),)," ")</f>
        <v xml:space="preserve"> </v>
      </c>
      <c r="J9285" s="133" t="s">
        <v>13</v>
      </c>
      <c r="K9285" s="218"/>
      <c r="L9285" s="218">
        <v>11630</v>
      </c>
    </row>
    <row r="9286" spans="1:12" ht="10.15" customHeight="1" x14ac:dyDescent="0.2">
      <c r="A9286" s="163">
        <v>2023</v>
      </c>
      <c r="B9286" s="163">
        <v>8</v>
      </c>
      <c r="C9286" s="163">
        <v>6</v>
      </c>
      <c r="D9286" s="280">
        <f t="shared" si="1084"/>
        <v>45144</v>
      </c>
      <c r="E9286" s="281">
        <f t="shared" si="1085"/>
        <v>45144</v>
      </c>
      <c r="F9286" s="480"/>
      <c r="G9286" s="221" t="s">
        <v>74</v>
      </c>
      <c r="H9286" s="145" t="str" cm="1">
        <f t="array" ref="H9286">IFERROR(INDEX(INVESTOR_LIST[INVESTOR NAME],MATCH(I9286,INVESTOR_LIST[INVESTOR CODE],0),)," ")</f>
        <v xml:space="preserve"> </v>
      </c>
      <c r="I9286" s="145"/>
      <c r="J9286" s="163" t="s">
        <v>53</v>
      </c>
      <c r="K9286" s="219"/>
      <c r="L9286" s="219">
        <v>2870</v>
      </c>
    </row>
    <row r="9287" spans="1:12" ht="10.15" customHeight="1" x14ac:dyDescent="0.2">
      <c r="A9287" s="168">
        <v>2023</v>
      </c>
      <c r="B9287" s="168">
        <v>8</v>
      </c>
      <c r="C9287" s="168">
        <v>7</v>
      </c>
      <c r="D9287" s="141">
        <f t="shared" ref="D9287:D9289" si="1086">DATE(A9287,B9287,C9287)</f>
        <v>45145</v>
      </c>
      <c r="E9287" s="275">
        <f t="shared" ref="E9287:E9289" si="1087">DATE(A9287,B9287,C9287)</f>
        <v>45145</v>
      </c>
      <c r="F9287" s="479" t="s">
        <v>1319</v>
      </c>
      <c r="G9287" s="220" t="s">
        <v>74</v>
      </c>
      <c r="H9287" s="142" t="str" cm="1">
        <f t="array" ref="H9287">IFERROR(INDEX(INVESTOR_LIST[INVESTOR NAME],MATCH(I9287,INVESTOR_LIST[INVESTOR CODE],0),)," ")</f>
        <v xml:space="preserve"> </v>
      </c>
      <c r="I9287" s="142"/>
      <c r="J9287" s="168" t="s">
        <v>52</v>
      </c>
      <c r="K9287" s="226">
        <v>221000</v>
      </c>
      <c r="L9287" s="226"/>
    </row>
    <row r="9288" spans="1:12" ht="10.15" customHeight="1" x14ac:dyDescent="0.2">
      <c r="A9288" s="133">
        <v>2023</v>
      </c>
      <c r="B9288" s="133">
        <v>8</v>
      </c>
      <c r="C9288" s="133">
        <v>7</v>
      </c>
      <c r="D9288" s="141">
        <f t="shared" si="1086"/>
        <v>45145</v>
      </c>
      <c r="E9288" s="275">
        <f t="shared" si="1087"/>
        <v>45145</v>
      </c>
      <c r="F9288" s="481"/>
      <c r="G9288" s="174" t="s">
        <v>74</v>
      </c>
      <c r="H9288" s="148" t="str" cm="1">
        <f t="array" ref="H9288">IFERROR(INDEX(INVESTOR_LIST[INVESTOR NAME],MATCH(I9288,INVESTOR_LIST[INVESTOR CODE],0),)," ")</f>
        <v xml:space="preserve"> </v>
      </c>
      <c r="J9288" s="133" t="s">
        <v>13</v>
      </c>
      <c r="K9288" s="218"/>
      <c r="L9288" s="218">
        <v>177240</v>
      </c>
    </row>
    <row r="9289" spans="1:12" ht="10.15" customHeight="1" x14ac:dyDescent="0.2">
      <c r="A9289" s="163">
        <v>2023</v>
      </c>
      <c r="B9289" s="163">
        <v>8</v>
      </c>
      <c r="C9289" s="163">
        <v>7</v>
      </c>
      <c r="D9289" s="280">
        <f t="shared" si="1086"/>
        <v>45145</v>
      </c>
      <c r="E9289" s="281">
        <f t="shared" si="1087"/>
        <v>45145</v>
      </c>
      <c r="F9289" s="480"/>
      <c r="G9289" s="221" t="s">
        <v>74</v>
      </c>
      <c r="H9289" s="145" t="str" cm="1">
        <f t="array" ref="H9289">IFERROR(INDEX(INVESTOR_LIST[INVESTOR NAME],MATCH(I9289,INVESTOR_LIST[INVESTOR CODE],0),)," ")</f>
        <v xml:space="preserve"> </v>
      </c>
      <c r="I9289" s="145"/>
      <c r="J9289" s="163" t="s">
        <v>53</v>
      </c>
      <c r="K9289" s="219"/>
      <c r="L9289" s="219">
        <v>43760</v>
      </c>
    </row>
    <row r="9290" spans="1:12" x14ac:dyDescent="0.2">
      <c r="A9290" s="133">
        <v>2023</v>
      </c>
      <c r="B9290" s="133">
        <v>8</v>
      </c>
      <c r="C9290" s="133">
        <v>7</v>
      </c>
      <c r="D9290" s="141">
        <f t="shared" si="1084"/>
        <v>45145</v>
      </c>
      <c r="E9290" s="275">
        <f t="shared" si="1085"/>
        <v>45145</v>
      </c>
      <c r="F9290" s="481" t="s">
        <v>982</v>
      </c>
      <c r="G9290" s="174" t="s">
        <v>74</v>
      </c>
      <c r="H9290" s="174" t="str" cm="1">
        <f t="array" ref="H9290">IFERROR(INDEX(INVESTOR_LIST[INVESTOR NAME],MATCH(I9290,INVESTOR_LIST[INVESTOR CODE],0),)," ")</f>
        <v xml:space="preserve"> </v>
      </c>
      <c r="I9290" s="148" t="s">
        <v>348</v>
      </c>
      <c r="J9290" s="149" t="s">
        <v>163</v>
      </c>
      <c r="K9290" s="218">
        <v>5000</v>
      </c>
      <c r="L9290" s="218"/>
    </row>
    <row r="9291" spans="1:12" x14ac:dyDescent="0.2">
      <c r="A9291" s="163">
        <v>2023</v>
      </c>
      <c r="B9291" s="163">
        <v>8</v>
      </c>
      <c r="C9291" s="163">
        <v>7</v>
      </c>
      <c r="D9291" s="141">
        <f t="shared" si="1084"/>
        <v>45145</v>
      </c>
      <c r="E9291" s="275">
        <f t="shared" si="1085"/>
        <v>45145</v>
      </c>
      <c r="F9291" s="480"/>
      <c r="G9291" s="221" t="s">
        <v>74</v>
      </c>
      <c r="H9291" s="221" t="str" cm="1">
        <f t="array" ref="H9291">IFERROR(INDEX(INVESTOR_LIST[INVESTOR NAME],MATCH(I9291,INVESTOR_LIST[INVESTOR CODE],0),)," ")</f>
        <v xml:space="preserve"> </v>
      </c>
      <c r="I9291" s="145" t="s">
        <v>348</v>
      </c>
      <c r="J9291" s="146" t="s">
        <v>52</v>
      </c>
      <c r="K9291" s="219"/>
      <c r="L9291" s="219">
        <v>5000</v>
      </c>
    </row>
    <row r="9292" spans="1:12" ht="10.15" customHeight="1" x14ac:dyDescent="0.2">
      <c r="A9292" s="168">
        <v>2023</v>
      </c>
      <c r="B9292" s="168">
        <v>8</v>
      </c>
      <c r="C9292" s="168">
        <v>7</v>
      </c>
      <c r="D9292" s="141">
        <f t="shared" si="1084"/>
        <v>45145</v>
      </c>
      <c r="E9292" s="275">
        <f t="shared" si="1085"/>
        <v>45145</v>
      </c>
      <c r="F9292" s="479" t="s">
        <v>1758</v>
      </c>
      <c r="G9292" s="220" t="s">
        <v>74</v>
      </c>
      <c r="H9292" s="220"/>
      <c r="I9292" s="142"/>
      <c r="J9292" s="143" t="s">
        <v>52</v>
      </c>
      <c r="K9292" s="226">
        <v>1997000</v>
      </c>
      <c r="L9292" s="226"/>
    </row>
    <row r="9293" spans="1:12" ht="10.15" customHeight="1" x14ac:dyDescent="0.2">
      <c r="A9293" s="133">
        <v>2023</v>
      </c>
      <c r="B9293" s="133">
        <v>8</v>
      </c>
      <c r="C9293" s="133">
        <v>7</v>
      </c>
      <c r="D9293" s="141">
        <f t="shared" ref="D9293" si="1088">DATE(A9293,B9293,C9293)</f>
        <v>45145</v>
      </c>
      <c r="E9293" s="275">
        <f t="shared" ref="E9293" si="1089">DATE(A9293,B9293,C9293)</f>
        <v>45145</v>
      </c>
      <c r="F9293" s="481"/>
      <c r="G9293" s="174" t="s">
        <v>74</v>
      </c>
      <c r="H9293" s="174"/>
      <c r="J9293" s="149" t="s">
        <v>61</v>
      </c>
      <c r="K9293" s="218">
        <v>3000</v>
      </c>
      <c r="L9293" s="218"/>
    </row>
    <row r="9294" spans="1:12" ht="10.15" customHeight="1" x14ac:dyDescent="0.2">
      <c r="A9294" s="163">
        <v>2023</v>
      </c>
      <c r="B9294" s="163">
        <v>8</v>
      </c>
      <c r="C9294" s="163">
        <v>7</v>
      </c>
      <c r="D9294" s="280">
        <f t="shared" si="1084"/>
        <v>45145</v>
      </c>
      <c r="E9294" s="281">
        <f t="shared" si="1085"/>
        <v>45145</v>
      </c>
      <c r="F9294" s="480"/>
      <c r="G9294" s="221" t="s">
        <v>74</v>
      </c>
      <c r="H9294" s="221" t="str" cm="1">
        <f t="array" ref="H9294">IFERROR(INDEX(INVESTOR_LIST[INVESTOR NAME],MATCH(I9294,INVESTOR_LIST[INVESTOR CODE],0),)," ")</f>
        <v xml:space="preserve"> </v>
      </c>
      <c r="I9294" s="145" t="s">
        <v>348</v>
      </c>
      <c r="J9294" s="146" t="s">
        <v>96</v>
      </c>
      <c r="K9294" s="219"/>
      <c r="L9294" s="219">
        <v>2000000</v>
      </c>
    </row>
    <row r="9295" spans="1:12" ht="10.15" customHeight="1" x14ac:dyDescent="0.2">
      <c r="A9295" s="168">
        <v>2023</v>
      </c>
      <c r="B9295" s="168">
        <v>8</v>
      </c>
      <c r="C9295" s="168">
        <v>7</v>
      </c>
      <c r="D9295" s="141">
        <f t="shared" ref="D9295:D9297" si="1090">DATE(A9295,B9295,C9295)</f>
        <v>45145</v>
      </c>
      <c r="E9295" s="275">
        <f t="shared" ref="E9295:E9297" si="1091">DATE(A9295,B9295,C9295)</f>
        <v>45145</v>
      </c>
      <c r="F9295" s="479" t="s">
        <v>1759</v>
      </c>
      <c r="G9295" s="220" t="s">
        <v>74</v>
      </c>
      <c r="H9295" s="220"/>
      <c r="I9295" s="142"/>
      <c r="J9295" s="143" t="s">
        <v>52</v>
      </c>
      <c r="K9295" s="226">
        <v>1997000</v>
      </c>
      <c r="L9295" s="226"/>
    </row>
    <row r="9296" spans="1:12" ht="10.15" customHeight="1" x14ac:dyDescent="0.2">
      <c r="A9296" s="133">
        <v>2023</v>
      </c>
      <c r="B9296" s="133">
        <v>8</v>
      </c>
      <c r="C9296" s="133">
        <v>7</v>
      </c>
      <c r="D9296" s="141">
        <f t="shared" si="1090"/>
        <v>45145</v>
      </c>
      <c r="E9296" s="275">
        <f t="shared" si="1091"/>
        <v>45145</v>
      </c>
      <c r="F9296" s="481"/>
      <c r="G9296" s="174" t="s">
        <v>74</v>
      </c>
      <c r="H9296" s="174"/>
      <c r="J9296" s="149" t="s">
        <v>61</v>
      </c>
      <c r="K9296" s="218">
        <v>3000</v>
      </c>
      <c r="L9296" s="218"/>
    </row>
    <row r="9297" spans="1:12" ht="10.15" customHeight="1" x14ac:dyDescent="0.2">
      <c r="A9297" s="163">
        <v>2023</v>
      </c>
      <c r="B9297" s="163">
        <v>8</v>
      </c>
      <c r="C9297" s="163">
        <v>7</v>
      </c>
      <c r="D9297" s="280">
        <f t="shared" si="1090"/>
        <v>45145</v>
      </c>
      <c r="E9297" s="281">
        <f t="shared" si="1091"/>
        <v>45145</v>
      </c>
      <c r="F9297" s="480"/>
      <c r="G9297" s="221" t="s">
        <v>74</v>
      </c>
      <c r="H9297" s="221" t="str" cm="1">
        <f t="array" ref="H9297">IFERROR(INDEX(INVESTOR_LIST[INVESTOR NAME],MATCH(I9297,INVESTOR_LIST[INVESTOR CODE],0),)," ")</f>
        <v xml:space="preserve"> </v>
      </c>
      <c r="I9297" s="145" t="s">
        <v>348</v>
      </c>
      <c r="J9297" s="146" t="s">
        <v>96</v>
      </c>
      <c r="K9297" s="219"/>
      <c r="L9297" s="219">
        <v>2000000</v>
      </c>
    </row>
    <row r="9298" spans="1:12" ht="10.15" customHeight="1" x14ac:dyDescent="0.2">
      <c r="A9298" s="168">
        <v>2023</v>
      </c>
      <c r="B9298" s="168">
        <v>8</v>
      </c>
      <c r="C9298" s="168">
        <v>7</v>
      </c>
      <c r="D9298" s="141">
        <f t="shared" ref="D9298:D9300" si="1092">DATE(A9298,B9298,C9298)</f>
        <v>45145</v>
      </c>
      <c r="E9298" s="275">
        <f t="shared" ref="E9298:E9300" si="1093">DATE(A9298,B9298,C9298)</f>
        <v>45145</v>
      </c>
      <c r="F9298" s="479" t="s">
        <v>1760</v>
      </c>
      <c r="G9298" s="220" t="s">
        <v>74</v>
      </c>
      <c r="H9298" s="220"/>
      <c r="I9298" s="142"/>
      <c r="J9298" s="143" t="s">
        <v>52</v>
      </c>
      <c r="K9298" s="226">
        <v>1997000</v>
      </c>
      <c r="L9298" s="226"/>
    </row>
    <row r="9299" spans="1:12" ht="10.15" customHeight="1" x14ac:dyDescent="0.2">
      <c r="A9299" s="133">
        <v>2023</v>
      </c>
      <c r="B9299" s="133">
        <v>8</v>
      </c>
      <c r="C9299" s="133">
        <v>7</v>
      </c>
      <c r="D9299" s="141">
        <f t="shared" si="1092"/>
        <v>45145</v>
      </c>
      <c r="E9299" s="275">
        <f t="shared" si="1093"/>
        <v>45145</v>
      </c>
      <c r="F9299" s="481"/>
      <c r="G9299" s="174" t="s">
        <v>74</v>
      </c>
      <c r="H9299" s="174"/>
      <c r="J9299" s="149" t="s">
        <v>61</v>
      </c>
      <c r="K9299" s="218">
        <v>3000</v>
      </c>
      <c r="L9299" s="218"/>
    </row>
    <row r="9300" spans="1:12" ht="10.15" customHeight="1" x14ac:dyDescent="0.2">
      <c r="A9300" s="163">
        <v>2023</v>
      </c>
      <c r="B9300" s="163">
        <v>8</v>
      </c>
      <c r="C9300" s="163">
        <v>7</v>
      </c>
      <c r="D9300" s="280">
        <f t="shared" si="1092"/>
        <v>45145</v>
      </c>
      <c r="E9300" s="281">
        <f t="shared" si="1093"/>
        <v>45145</v>
      </c>
      <c r="F9300" s="480"/>
      <c r="G9300" s="221" t="s">
        <v>74</v>
      </c>
      <c r="H9300" s="221" t="str" cm="1">
        <f t="array" ref="H9300">IFERROR(INDEX(INVESTOR_LIST[INVESTOR NAME],MATCH(I9300,INVESTOR_LIST[INVESTOR CODE],0),)," ")</f>
        <v xml:space="preserve"> </v>
      </c>
      <c r="I9300" s="145" t="s">
        <v>348</v>
      </c>
      <c r="J9300" s="146" t="s">
        <v>96</v>
      </c>
      <c r="K9300" s="219"/>
      <c r="L9300" s="219">
        <v>2000000</v>
      </c>
    </row>
    <row r="9301" spans="1:12" ht="10.15" customHeight="1" x14ac:dyDescent="0.2">
      <c r="A9301" s="168">
        <v>2023</v>
      </c>
      <c r="B9301" s="168">
        <v>8</v>
      </c>
      <c r="C9301" s="168">
        <v>7</v>
      </c>
      <c r="D9301" s="141">
        <f>DATE(A9301,B9301,C9301)</f>
        <v>45145</v>
      </c>
      <c r="E9301" s="275">
        <f>DATE(A9301,B9301,C9301)</f>
        <v>45145</v>
      </c>
      <c r="F9301" s="479" t="s">
        <v>1310</v>
      </c>
      <c r="G9301" s="220" t="s">
        <v>74</v>
      </c>
      <c r="H9301" s="142" t="str" cm="1">
        <f t="array" ref="H9301">IFERROR(INDEX(INVESTOR_LIST[INVESTOR NAME],MATCH(I9301,INVESTOR_LIST[INVESTOR CODE],0),)," ")</f>
        <v>MOHAMMAD ASRARUL HAQUE</v>
      </c>
      <c r="I9301" s="142" t="s">
        <v>1355</v>
      </c>
      <c r="J9301" s="168" t="s">
        <v>13</v>
      </c>
      <c r="K9301" s="218">
        <v>10660</v>
      </c>
      <c r="L9301" s="226"/>
    </row>
    <row r="9302" spans="1:12" ht="10.15" customHeight="1" x14ac:dyDescent="0.2">
      <c r="A9302" s="133">
        <v>2023</v>
      </c>
      <c r="B9302" s="133">
        <v>8</v>
      </c>
      <c r="C9302" s="133">
        <v>7</v>
      </c>
      <c r="D9302" s="141">
        <f t="shared" ref="D9302:D9303" si="1094">DATE(A9302,B9302,C9302)</f>
        <v>45145</v>
      </c>
      <c r="E9302" s="275">
        <f t="shared" ref="E9302:E9303" si="1095">DATE(A9302,B9302,C9302)</f>
        <v>45145</v>
      </c>
      <c r="F9302" s="481"/>
      <c r="G9302" s="174" t="s">
        <v>74</v>
      </c>
      <c r="H9302" s="148" t="str" cm="1">
        <f t="array" ref="H9302">IFERROR(INDEX(INVESTOR_LIST[INVESTOR NAME],MATCH(I9302,INVESTOR_LIST[INVESTOR CODE],0),)," ")</f>
        <v>MOHAMMAD ASRARUL HAQUE</v>
      </c>
      <c r="I9302" s="148" t="s">
        <v>1355</v>
      </c>
      <c r="J9302" s="133" t="s">
        <v>53</v>
      </c>
      <c r="K9302" s="218">
        <v>2626.6200000000008</v>
      </c>
      <c r="L9302" s="133"/>
    </row>
    <row r="9303" spans="1:12" ht="10.15" customHeight="1" x14ac:dyDescent="0.2">
      <c r="A9303" s="163">
        <v>2023</v>
      </c>
      <c r="B9303" s="163">
        <v>8</v>
      </c>
      <c r="C9303" s="163">
        <v>7</v>
      </c>
      <c r="D9303" s="280">
        <f t="shared" si="1094"/>
        <v>45145</v>
      </c>
      <c r="E9303" s="281">
        <f t="shared" si="1095"/>
        <v>45145</v>
      </c>
      <c r="F9303" s="480"/>
      <c r="G9303" s="221" t="s">
        <v>74</v>
      </c>
      <c r="H9303" s="145" t="str" cm="1">
        <f t="array" ref="H9303">IFERROR(INDEX(INVESTOR_LIST[INVESTOR NAME],MATCH(I9303,INVESTOR_LIST[INVESTOR CODE],0),)," ")</f>
        <v>MOHAMMAD ASRARUL HAQUE</v>
      </c>
      <c r="I9303" s="145" t="s">
        <v>1355</v>
      </c>
      <c r="J9303" s="163" t="s">
        <v>52</v>
      </c>
      <c r="K9303" s="219"/>
      <c r="L9303" s="219">
        <v>13286.62</v>
      </c>
    </row>
    <row r="9304" spans="1:12" ht="10.15" customHeight="1" x14ac:dyDescent="0.2">
      <c r="A9304" s="168">
        <v>2023</v>
      </c>
      <c r="B9304" s="168">
        <v>8</v>
      </c>
      <c r="C9304" s="168">
        <v>9</v>
      </c>
      <c r="D9304" s="141">
        <f>DATE(A9304,B9304,C9304)</f>
        <v>45147</v>
      </c>
      <c r="E9304" s="275">
        <f>DATE(A9304,B9304,C9304)</f>
        <v>45147</v>
      </c>
      <c r="F9304" s="479" t="s">
        <v>1310</v>
      </c>
      <c r="G9304" s="220" t="s">
        <v>74</v>
      </c>
      <c r="H9304" s="142" t="str" cm="1">
        <f t="array" ref="H9304">IFERROR(INDEX(INVESTOR_LIST[INVESTOR NAME],MATCH(I9304,INVESTOR_LIST[INVESTOR CODE],0),)," ")</f>
        <v>SK FEROZ ALAM</v>
      </c>
      <c r="I9304" s="142" t="s">
        <v>462</v>
      </c>
      <c r="J9304" s="168" t="s">
        <v>13</v>
      </c>
      <c r="K9304" s="218">
        <v>129460</v>
      </c>
      <c r="L9304" s="226"/>
    </row>
    <row r="9305" spans="1:12" ht="10.15" customHeight="1" x14ac:dyDescent="0.2">
      <c r="A9305" s="133">
        <v>2023</v>
      </c>
      <c r="B9305" s="133">
        <v>8</v>
      </c>
      <c r="C9305" s="133">
        <v>9</v>
      </c>
      <c r="D9305" s="141">
        <f t="shared" ref="D9305:D9306" si="1096">DATE(A9305,B9305,C9305)</f>
        <v>45147</v>
      </c>
      <c r="E9305" s="275">
        <f t="shared" ref="E9305:E9306" si="1097">DATE(A9305,B9305,C9305)</f>
        <v>45147</v>
      </c>
      <c r="F9305" s="481"/>
      <c r="G9305" s="174" t="s">
        <v>74</v>
      </c>
      <c r="H9305" s="148" t="str" cm="1">
        <f t="array" ref="H9305">IFERROR(INDEX(INVESTOR_LIST[INVESTOR NAME],MATCH(I9305,INVESTOR_LIST[INVESTOR CODE],0),)," ")</f>
        <v>SK FEROZ ALAM</v>
      </c>
      <c r="I9305" s="148" t="s">
        <v>462</v>
      </c>
      <c r="J9305" s="133" t="s">
        <v>53</v>
      </c>
      <c r="K9305" s="218">
        <v>31898.94</v>
      </c>
      <c r="L9305" s="133"/>
    </row>
    <row r="9306" spans="1:12" ht="10.15" customHeight="1" x14ac:dyDescent="0.2">
      <c r="A9306" s="163">
        <v>2023</v>
      </c>
      <c r="B9306" s="163">
        <v>8</v>
      </c>
      <c r="C9306" s="163">
        <v>9</v>
      </c>
      <c r="D9306" s="280">
        <f t="shared" si="1096"/>
        <v>45147</v>
      </c>
      <c r="E9306" s="281">
        <f t="shared" si="1097"/>
        <v>45147</v>
      </c>
      <c r="F9306" s="480"/>
      <c r="G9306" s="221" t="s">
        <v>74</v>
      </c>
      <c r="H9306" s="145" t="str" cm="1">
        <f t="array" ref="H9306">IFERROR(INDEX(INVESTOR_LIST[INVESTOR NAME],MATCH(I9306,INVESTOR_LIST[INVESTOR CODE],0),)," ")</f>
        <v>SK FEROZ ALAM</v>
      </c>
      <c r="I9306" s="145" t="s">
        <v>462</v>
      </c>
      <c r="J9306" s="163" t="s">
        <v>52</v>
      </c>
      <c r="K9306" s="219"/>
      <c r="L9306" s="219">
        <v>161358.94</v>
      </c>
    </row>
    <row r="9307" spans="1:12" ht="10.15" customHeight="1" x14ac:dyDescent="0.2">
      <c r="A9307" s="168">
        <v>2023</v>
      </c>
      <c r="B9307" s="168">
        <v>8</v>
      </c>
      <c r="C9307" s="168">
        <v>9</v>
      </c>
      <c r="D9307" s="141">
        <f>DATE(A9307,B9307,C9307)</f>
        <v>45147</v>
      </c>
      <c r="E9307" s="275">
        <f>DATE(A9307,B9307,C9307)</f>
        <v>45147</v>
      </c>
      <c r="F9307" s="479" t="s">
        <v>1310</v>
      </c>
      <c r="G9307" s="220" t="s">
        <v>74</v>
      </c>
      <c r="H9307" s="142" t="str" cm="1">
        <f t="array" ref="H9307">IFERROR(INDEX(INVESTOR_LIST[INVESTOR NAME],MATCH(I9307,INVESTOR_LIST[INVESTOR CODE],0),)," ")</f>
        <v>MOHAMMAD SAMIUL ALAM</v>
      </c>
      <c r="I9307" s="142" t="s">
        <v>726</v>
      </c>
      <c r="J9307" s="168" t="s">
        <v>13</v>
      </c>
      <c r="K9307" s="218">
        <v>423550</v>
      </c>
      <c r="L9307" s="226"/>
    </row>
    <row r="9308" spans="1:12" ht="10.15" customHeight="1" x14ac:dyDescent="0.2">
      <c r="A9308" s="133">
        <v>2023</v>
      </c>
      <c r="B9308" s="133">
        <v>8</v>
      </c>
      <c r="C9308" s="133">
        <v>9</v>
      </c>
      <c r="D9308" s="141">
        <f t="shared" ref="D9308:D9309" si="1098">DATE(A9308,B9308,C9308)</f>
        <v>45147</v>
      </c>
      <c r="E9308" s="275">
        <f t="shared" ref="E9308:E9309" si="1099">DATE(A9308,B9308,C9308)</f>
        <v>45147</v>
      </c>
      <c r="F9308" s="481"/>
      <c r="G9308" s="174" t="s">
        <v>74</v>
      </c>
      <c r="H9308" s="148" t="str" cm="1">
        <f t="array" ref="H9308">IFERROR(INDEX(INVESTOR_LIST[INVESTOR NAME],MATCH(I9308,INVESTOR_LIST[INVESTOR CODE],0),)," ")</f>
        <v>MOHAMMAD SAMIUL ALAM</v>
      </c>
      <c r="I9308" s="148" t="s">
        <v>726</v>
      </c>
      <c r="J9308" s="133" t="s">
        <v>53</v>
      </c>
      <c r="K9308" s="218">
        <v>104362.72</v>
      </c>
      <c r="L9308" s="133"/>
    </row>
    <row r="9309" spans="1:12" ht="10.15" customHeight="1" x14ac:dyDescent="0.2">
      <c r="A9309" s="163">
        <v>2023</v>
      </c>
      <c r="B9309" s="163">
        <v>8</v>
      </c>
      <c r="C9309" s="163">
        <v>9</v>
      </c>
      <c r="D9309" s="280">
        <f t="shared" si="1098"/>
        <v>45147</v>
      </c>
      <c r="E9309" s="281">
        <f t="shared" si="1099"/>
        <v>45147</v>
      </c>
      <c r="F9309" s="480"/>
      <c r="G9309" s="221" t="s">
        <v>74</v>
      </c>
      <c r="H9309" s="145" t="str" cm="1">
        <f t="array" ref="H9309">IFERROR(INDEX(INVESTOR_LIST[INVESTOR NAME],MATCH(I9309,INVESTOR_LIST[INVESTOR CODE],0),)," ")</f>
        <v>MOHAMMAD SAMIUL ALAM</v>
      </c>
      <c r="I9309" s="145" t="s">
        <v>726</v>
      </c>
      <c r="J9309" s="163" t="s">
        <v>52</v>
      </c>
      <c r="K9309" s="219"/>
      <c r="L9309" s="219">
        <v>527912.72</v>
      </c>
    </row>
    <row r="9310" spans="1:12" ht="10.15" customHeight="1" x14ac:dyDescent="0.2">
      <c r="A9310" s="168">
        <v>2023</v>
      </c>
      <c r="B9310" s="168">
        <v>8</v>
      </c>
      <c r="C9310" s="168">
        <v>9</v>
      </c>
      <c r="D9310" s="141">
        <f>DATE(A9310,B9310,C9310)</f>
        <v>45147</v>
      </c>
      <c r="E9310" s="275">
        <f>DATE(A9310,B9310,C9310)</f>
        <v>45147</v>
      </c>
      <c r="F9310" s="479" t="s">
        <v>1310</v>
      </c>
      <c r="G9310" s="220" t="s">
        <v>74</v>
      </c>
      <c r="H9310" s="142" t="str" cm="1">
        <f t="array" ref="H9310">IFERROR(INDEX(INVESTOR_LIST[INVESTOR NAME],MATCH(I9310,INVESTOR_LIST[INVESTOR CODE],0),)," ")</f>
        <v>MOHAMMED ALI XAHANGIR</v>
      </c>
      <c r="I9310" s="142" t="s">
        <v>616</v>
      </c>
      <c r="J9310" s="168" t="s">
        <v>13</v>
      </c>
      <c r="K9310" s="218">
        <v>41710</v>
      </c>
      <c r="L9310" s="226"/>
    </row>
    <row r="9311" spans="1:12" ht="10.15" customHeight="1" x14ac:dyDescent="0.2">
      <c r="A9311" s="133">
        <v>2023</v>
      </c>
      <c r="B9311" s="133">
        <v>8</v>
      </c>
      <c r="C9311" s="133">
        <v>9</v>
      </c>
      <c r="D9311" s="141">
        <f t="shared" ref="D9311:D9312" si="1100">DATE(A9311,B9311,C9311)</f>
        <v>45147</v>
      </c>
      <c r="E9311" s="275">
        <f t="shared" ref="E9311:E9312" si="1101">DATE(A9311,B9311,C9311)</f>
        <v>45147</v>
      </c>
      <c r="F9311" s="481"/>
      <c r="G9311" s="174" t="s">
        <v>74</v>
      </c>
      <c r="H9311" s="148" t="str" cm="1">
        <f t="array" ref="H9311">IFERROR(INDEX(INVESTOR_LIST[INVESTOR NAME],MATCH(I9311,INVESTOR_LIST[INVESTOR CODE],0),)," ")</f>
        <v>MOHAMMED ALI XAHANGIR</v>
      </c>
      <c r="I9311" s="148" t="s">
        <v>616</v>
      </c>
      <c r="J9311" s="133" t="s">
        <v>53</v>
      </c>
      <c r="K9311" s="218">
        <v>10277.339999999997</v>
      </c>
      <c r="L9311" s="133"/>
    </row>
    <row r="9312" spans="1:12" ht="10.15" customHeight="1" x14ac:dyDescent="0.2">
      <c r="A9312" s="163">
        <v>2023</v>
      </c>
      <c r="B9312" s="163">
        <v>8</v>
      </c>
      <c r="C9312" s="163">
        <v>9</v>
      </c>
      <c r="D9312" s="280">
        <f t="shared" si="1100"/>
        <v>45147</v>
      </c>
      <c r="E9312" s="281">
        <f t="shared" si="1101"/>
        <v>45147</v>
      </c>
      <c r="F9312" s="480"/>
      <c r="G9312" s="221" t="s">
        <v>74</v>
      </c>
      <c r="H9312" s="145" t="str" cm="1">
        <f t="array" ref="H9312">IFERROR(INDEX(INVESTOR_LIST[INVESTOR NAME],MATCH(I9312,INVESTOR_LIST[INVESTOR CODE],0),)," ")</f>
        <v>MOHAMMED ALI XAHANGIR</v>
      </c>
      <c r="I9312" s="145" t="s">
        <v>616</v>
      </c>
      <c r="J9312" s="163" t="s">
        <v>52</v>
      </c>
      <c r="K9312" s="219"/>
      <c r="L9312" s="219">
        <v>51987.34</v>
      </c>
    </row>
    <row r="9313" spans="1:14" x14ac:dyDescent="0.2">
      <c r="A9313" s="324">
        <v>2023</v>
      </c>
      <c r="B9313" s="324">
        <v>8</v>
      </c>
      <c r="C9313" s="325">
        <v>10</v>
      </c>
      <c r="D9313" s="326">
        <f>DATE(A9313,B9313,C9313)</f>
        <v>45148</v>
      </c>
      <c r="E9313" s="327">
        <f>DATE(A9313,B9313,C9313)</f>
        <v>45148</v>
      </c>
      <c r="F9313" s="473" t="s">
        <v>1634</v>
      </c>
      <c r="G9313" s="340" t="s">
        <v>94</v>
      </c>
      <c r="H9313" s="341" t="str" cm="1">
        <f t="array" ref="H9313">IFERROR(INDEX(INVESTOR_LIST[INVESTOR NAME],MATCH(I9313,INVESTOR_LIST[INVESTOR CODE],0),)," ")</f>
        <v xml:space="preserve"> </v>
      </c>
      <c r="I9313" s="341" t="s">
        <v>348</v>
      </c>
      <c r="J9313" s="325" t="s">
        <v>133</v>
      </c>
      <c r="K9313" s="330">
        <v>4170.82</v>
      </c>
      <c r="L9313" s="330"/>
      <c r="M9313" s="160"/>
    </row>
    <row r="9314" spans="1:14" x14ac:dyDescent="0.2">
      <c r="A9314" s="331">
        <v>2023</v>
      </c>
      <c r="B9314" s="331">
        <v>8</v>
      </c>
      <c r="C9314" s="331">
        <v>10</v>
      </c>
      <c r="D9314" s="326">
        <f>DATE(A9314,B9314,C9314)</f>
        <v>45148</v>
      </c>
      <c r="E9314" s="327">
        <f>DATE(A9314,B9314,C9314)</f>
        <v>45148</v>
      </c>
      <c r="F9314" s="474"/>
      <c r="G9314" s="332" t="s">
        <v>94</v>
      </c>
      <c r="H9314" s="333" t="str" cm="1">
        <f t="array" ref="H9314">IFERROR(INDEX(INVESTOR_LIST[INVESTOR NAME],MATCH(I9314,INVESTOR_LIST[INVESTOR CODE],0),)," ")</f>
        <v xml:space="preserve"> </v>
      </c>
      <c r="I9314" s="333" t="s">
        <v>348</v>
      </c>
      <c r="J9314" s="331" t="s">
        <v>152</v>
      </c>
      <c r="K9314" s="334"/>
      <c r="L9314" s="334">
        <v>4170.82</v>
      </c>
      <c r="M9314" s="160"/>
    </row>
    <row r="9315" spans="1:14" x14ac:dyDescent="0.2">
      <c r="A9315" s="324">
        <v>2023</v>
      </c>
      <c r="B9315" s="324">
        <v>8</v>
      </c>
      <c r="C9315" s="325">
        <v>10</v>
      </c>
      <c r="D9315" s="326">
        <f t="shared" ref="D9315:D9339" si="1102">DATE(A9315,B9315,C9315)</f>
        <v>45148</v>
      </c>
      <c r="E9315" s="327">
        <f t="shared" ref="E9315:E9339" si="1103">DATE(A9315,B9315,C9315)</f>
        <v>45148</v>
      </c>
      <c r="F9315" s="473" t="s">
        <v>1490</v>
      </c>
      <c r="G9315" s="328" t="s">
        <v>94</v>
      </c>
      <c r="H9315" s="329" t="str" cm="1">
        <f t="array" ref="H9315">IFERROR(INDEX(INVESTOR_LIST[INVESTOR NAME],MATCH(I9315,INVESTOR_LIST[INVESTOR CODE],0),)," ")</f>
        <v xml:space="preserve"> </v>
      </c>
      <c r="I9315" s="329" t="s">
        <v>348</v>
      </c>
      <c r="J9315" s="325" t="s">
        <v>133</v>
      </c>
      <c r="K9315" s="330">
        <v>23763.11</v>
      </c>
      <c r="L9315" s="330"/>
      <c r="M9315" s="160"/>
    </row>
    <row r="9316" spans="1:14" x14ac:dyDescent="0.2">
      <c r="A9316" s="331">
        <v>2023</v>
      </c>
      <c r="B9316" s="331">
        <v>8</v>
      </c>
      <c r="C9316" s="331">
        <v>10</v>
      </c>
      <c r="D9316" s="326">
        <f t="shared" si="1102"/>
        <v>45148</v>
      </c>
      <c r="E9316" s="327">
        <f t="shared" si="1103"/>
        <v>45148</v>
      </c>
      <c r="F9316" s="474"/>
      <c r="G9316" s="332" t="s">
        <v>94</v>
      </c>
      <c r="H9316" s="333" t="str" cm="1">
        <f t="array" ref="H9316">IFERROR(INDEX(INVESTOR_LIST[INVESTOR NAME],MATCH(I9316,INVESTOR_LIST[INVESTOR CODE],0),)," ")</f>
        <v xml:space="preserve"> </v>
      </c>
      <c r="I9316" s="333" t="s">
        <v>348</v>
      </c>
      <c r="J9316" s="331" t="s">
        <v>152</v>
      </c>
      <c r="K9316" s="334"/>
      <c r="L9316" s="334">
        <v>23763.11</v>
      </c>
      <c r="M9316" s="160"/>
      <c r="N9316" s="160"/>
    </row>
    <row r="9317" spans="1:14" x14ac:dyDescent="0.2">
      <c r="A9317" s="324">
        <v>2023</v>
      </c>
      <c r="B9317" s="324">
        <v>8</v>
      </c>
      <c r="C9317" s="325">
        <v>10</v>
      </c>
      <c r="D9317" s="326">
        <f t="shared" si="1102"/>
        <v>45148</v>
      </c>
      <c r="E9317" s="327">
        <f t="shared" si="1103"/>
        <v>45148</v>
      </c>
      <c r="F9317" s="473" t="s">
        <v>1491</v>
      </c>
      <c r="G9317" s="328" t="s">
        <v>94</v>
      </c>
      <c r="H9317" s="329" t="str" cm="1">
        <f t="array" ref="H9317">IFERROR(INDEX(INVESTOR_LIST[INVESTOR NAME],MATCH(I9317,INVESTOR_LIST[INVESTOR CODE],0),)," ")</f>
        <v xml:space="preserve"> </v>
      </c>
      <c r="I9317" s="329" t="s">
        <v>348</v>
      </c>
      <c r="J9317" s="324" t="s">
        <v>133</v>
      </c>
      <c r="K9317" s="330">
        <v>4615.38</v>
      </c>
      <c r="L9317" s="330"/>
      <c r="M9317" s="160"/>
      <c r="N9317" s="160"/>
    </row>
    <row r="9318" spans="1:14" x14ac:dyDescent="0.2">
      <c r="A9318" s="331">
        <v>2023</v>
      </c>
      <c r="B9318" s="331">
        <v>8</v>
      </c>
      <c r="C9318" s="331">
        <v>10</v>
      </c>
      <c r="D9318" s="326">
        <f t="shared" si="1102"/>
        <v>45148</v>
      </c>
      <c r="E9318" s="327">
        <f t="shared" si="1103"/>
        <v>45148</v>
      </c>
      <c r="F9318" s="474"/>
      <c r="G9318" s="332" t="s">
        <v>94</v>
      </c>
      <c r="H9318" s="333" t="str" cm="1">
        <f t="array" ref="H9318">IFERROR(INDEX(INVESTOR_LIST[INVESTOR NAME],MATCH(I9318,INVESTOR_LIST[INVESTOR CODE],0),)," ")</f>
        <v xml:space="preserve"> </v>
      </c>
      <c r="I9318" s="333" t="s">
        <v>348</v>
      </c>
      <c r="J9318" s="331" t="s">
        <v>152</v>
      </c>
      <c r="K9318" s="334"/>
      <c r="L9318" s="334">
        <v>4615.38</v>
      </c>
      <c r="M9318" s="160"/>
    </row>
    <row r="9319" spans="1:14" x14ac:dyDescent="0.2">
      <c r="A9319" s="324">
        <v>2023</v>
      </c>
      <c r="B9319" s="324">
        <v>8</v>
      </c>
      <c r="C9319" s="325">
        <v>10</v>
      </c>
      <c r="D9319" s="326">
        <f t="shared" si="1102"/>
        <v>45148</v>
      </c>
      <c r="E9319" s="327">
        <f t="shared" si="1103"/>
        <v>45148</v>
      </c>
      <c r="F9319" s="473" t="s">
        <v>1531</v>
      </c>
      <c r="G9319" s="328" t="s">
        <v>94</v>
      </c>
      <c r="H9319" s="329" t="str" cm="1">
        <f t="array" ref="H9319">IFERROR(INDEX(INVESTOR_LIST[INVESTOR NAME],MATCH(I9319,INVESTOR_LIST[INVESTOR CODE],0),)," ")</f>
        <v xml:space="preserve"> </v>
      </c>
      <c r="I9319" s="329" t="s">
        <v>348</v>
      </c>
      <c r="J9319" s="324" t="s">
        <v>133</v>
      </c>
      <c r="K9319" s="330">
        <v>23028.85</v>
      </c>
      <c r="L9319" s="330"/>
      <c r="M9319" s="160"/>
    </row>
    <row r="9320" spans="1:14" x14ac:dyDescent="0.2">
      <c r="A9320" s="331">
        <v>2023</v>
      </c>
      <c r="B9320" s="331">
        <v>8</v>
      </c>
      <c r="C9320" s="331">
        <v>10</v>
      </c>
      <c r="D9320" s="326">
        <f t="shared" si="1102"/>
        <v>45148</v>
      </c>
      <c r="E9320" s="327">
        <f t="shared" si="1103"/>
        <v>45148</v>
      </c>
      <c r="F9320" s="474"/>
      <c r="G9320" s="332" t="s">
        <v>94</v>
      </c>
      <c r="H9320" s="333" t="str" cm="1">
        <f t="array" ref="H9320">IFERROR(INDEX(INVESTOR_LIST[INVESTOR NAME],MATCH(I9320,INVESTOR_LIST[INVESTOR CODE],0),)," ")</f>
        <v xml:space="preserve"> </v>
      </c>
      <c r="I9320" s="333" t="s">
        <v>348</v>
      </c>
      <c r="J9320" s="331" t="s">
        <v>152</v>
      </c>
      <c r="K9320" s="334"/>
      <c r="L9320" s="334">
        <v>23028.85</v>
      </c>
      <c r="M9320" s="160"/>
    </row>
    <row r="9321" spans="1:14" x14ac:dyDescent="0.2">
      <c r="A9321" s="238">
        <v>2023</v>
      </c>
      <c r="B9321" s="238">
        <v>8</v>
      </c>
      <c r="C9321" s="238">
        <v>10</v>
      </c>
      <c r="D9321" s="270">
        <f t="shared" si="1102"/>
        <v>45148</v>
      </c>
      <c r="E9321" s="279">
        <f t="shared" si="1103"/>
        <v>45148</v>
      </c>
      <c r="F9321" s="477" t="s">
        <v>347</v>
      </c>
      <c r="G9321" s="239" t="s">
        <v>94</v>
      </c>
      <c r="H9321" s="239" t="str" cm="1">
        <f t="array" ref="H9321">IFERROR(INDEX(INVESTOR_LIST[INVESTOR NAME],MATCH(I9321,INVESTOR_LIST[INVESTOR CODE],0),)," ")</f>
        <v xml:space="preserve"> </v>
      </c>
      <c r="I9321" s="262" t="s">
        <v>348</v>
      </c>
      <c r="J9321" s="240" t="s">
        <v>82</v>
      </c>
      <c r="K9321" s="241">
        <v>2319.9200000017881</v>
      </c>
      <c r="L9321" s="241"/>
    </row>
    <row r="9322" spans="1:14" x14ac:dyDescent="0.2">
      <c r="A9322" s="242">
        <v>2023</v>
      </c>
      <c r="B9322" s="242">
        <v>8</v>
      </c>
      <c r="C9322" s="242">
        <v>10</v>
      </c>
      <c r="D9322" s="270">
        <f t="shared" si="1102"/>
        <v>45148</v>
      </c>
      <c r="E9322" s="279">
        <f t="shared" si="1103"/>
        <v>45148</v>
      </c>
      <c r="F9322" s="478"/>
      <c r="G9322" s="243" t="s">
        <v>94</v>
      </c>
      <c r="H9322" s="243" t="str" cm="1">
        <f t="array" ref="H9322">IFERROR(INDEX(INVESTOR_LIST[INVESTOR NAME],MATCH(I9322,INVESTOR_LIST[INVESTOR CODE],0),)," ")</f>
        <v xml:space="preserve"> </v>
      </c>
      <c r="I9322" s="263" t="s">
        <v>348</v>
      </c>
      <c r="J9322" s="244" t="s">
        <v>108</v>
      </c>
      <c r="K9322" s="245"/>
      <c r="L9322" s="245">
        <v>2319.9200000017881</v>
      </c>
    </row>
    <row r="9323" spans="1:14" ht="22.5" x14ac:dyDescent="0.2">
      <c r="A9323" s="246">
        <v>2023</v>
      </c>
      <c r="B9323" s="238">
        <v>8</v>
      </c>
      <c r="C9323" s="238">
        <v>10</v>
      </c>
      <c r="D9323" s="270">
        <f t="shared" si="1102"/>
        <v>45148</v>
      </c>
      <c r="E9323" s="279">
        <f t="shared" si="1103"/>
        <v>45148</v>
      </c>
      <c r="F9323" s="482" t="s">
        <v>148</v>
      </c>
      <c r="G9323" s="247" t="s">
        <v>94</v>
      </c>
      <c r="H9323" s="247" t="str" cm="1">
        <f t="array" ref="H9323">IFERROR(INDEX(INVESTOR_LIST[INVESTOR NAME],MATCH(I9323,INVESTOR_LIST[INVESTOR CODE],0),)," ")</f>
        <v xml:space="preserve"> </v>
      </c>
      <c r="I9323" s="248" t="s">
        <v>348</v>
      </c>
      <c r="J9323" s="249" t="s">
        <v>95</v>
      </c>
      <c r="K9323" s="250">
        <v>2747.2527472527472</v>
      </c>
      <c r="L9323" s="241"/>
    </row>
    <row r="9324" spans="1:14" x14ac:dyDescent="0.2">
      <c r="A9324" s="242">
        <v>2023</v>
      </c>
      <c r="B9324" s="242">
        <v>8</v>
      </c>
      <c r="C9324" s="242">
        <v>10</v>
      </c>
      <c r="D9324" s="270">
        <f t="shared" si="1102"/>
        <v>45148</v>
      </c>
      <c r="E9324" s="279">
        <f t="shared" si="1103"/>
        <v>45148</v>
      </c>
      <c r="F9324" s="478"/>
      <c r="G9324" s="243" t="s">
        <v>94</v>
      </c>
      <c r="H9324" s="243" t="str" cm="1">
        <f t="array" ref="H9324">IFERROR(INDEX(INVESTOR_LIST[INVESTOR NAME],MATCH(I9324,INVESTOR_LIST[INVESTOR CODE],0),)," ")</f>
        <v xml:space="preserve"> </v>
      </c>
      <c r="I9324" s="263" t="s">
        <v>348</v>
      </c>
      <c r="J9324" s="244" t="s">
        <v>63</v>
      </c>
      <c r="K9324" s="245"/>
      <c r="L9324" s="245">
        <v>2747.2527472527472</v>
      </c>
    </row>
    <row r="9325" spans="1:14" x14ac:dyDescent="0.2">
      <c r="A9325" s="246">
        <v>2023</v>
      </c>
      <c r="B9325" s="238">
        <v>8</v>
      </c>
      <c r="C9325" s="238">
        <v>10</v>
      </c>
      <c r="D9325" s="270">
        <f t="shared" si="1102"/>
        <v>45148</v>
      </c>
      <c r="E9325" s="279">
        <f t="shared" si="1103"/>
        <v>45148</v>
      </c>
      <c r="F9325" s="482" t="s">
        <v>137</v>
      </c>
      <c r="G9325" s="247" t="s">
        <v>94</v>
      </c>
      <c r="H9325" s="247" t="str" cm="1">
        <f t="array" ref="H9325">IFERROR(INDEX(INVESTOR_LIST[INVESTOR NAME],MATCH(I9325,INVESTOR_LIST[INVESTOR CODE],0),)," ")</f>
        <v xml:space="preserve"> </v>
      </c>
      <c r="I9325" s="248" t="s">
        <v>348</v>
      </c>
      <c r="J9325" s="249" t="s">
        <v>97</v>
      </c>
      <c r="K9325" s="250">
        <v>61911.262515845367</v>
      </c>
      <c r="L9325" s="252"/>
    </row>
    <row r="9326" spans="1:14" x14ac:dyDescent="0.2">
      <c r="A9326" s="242">
        <v>2023</v>
      </c>
      <c r="B9326" s="242">
        <v>8</v>
      </c>
      <c r="C9326" s="242">
        <v>10</v>
      </c>
      <c r="D9326" s="270">
        <f t="shared" si="1102"/>
        <v>45148</v>
      </c>
      <c r="E9326" s="279">
        <f t="shared" si="1103"/>
        <v>45148</v>
      </c>
      <c r="F9326" s="478"/>
      <c r="G9326" s="243" t="s">
        <v>94</v>
      </c>
      <c r="H9326" s="243" t="str" cm="1">
        <f t="array" ref="H9326">IFERROR(INDEX(INVESTOR_LIST[INVESTOR NAME],MATCH(I9326,INVESTOR_LIST[INVESTOR CODE],0),)," ")</f>
        <v xml:space="preserve"> </v>
      </c>
      <c r="I9326" s="263" t="s">
        <v>348</v>
      </c>
      <c r="J9326" s="244" t="s">
        <v>47</v>
      </c>
      <c r="K9326" s="245"/>
      <c r="L9326" s="245">
        <v>61911.262515845367</v>
      </c>
    </row>
    <row r="9327" spans="1:14" x14ac:dyDescent="0.2">
      <c r="A9327" s="246">
        <v>2023</v>
      </c>
      <c r="B9327" s="238">
        <v>8</v>
      </c>
      <c r="C9327" s="238">
        <v>10</v>
      </c>
      <c r="D9327" s="270">
        <f t="shared" si="1102"/>
        <v>45148</v>
      </c>
      <c r="E9327" s="279">
        <f t="shared" si="1103"/>
        <v>45148</v>
      </c>
      <c r="F9327" s="482" t="s">
        <v>138</v>
      </c>
      <c r="G9327" s="247" t="s">
        <v>94</v>
      </c>
      <c r="H9327" s="247" t="str" cm="1">
        <f t="array" ref="H9327">IFERROR(INDEX(INVESTOR_LIST[INVESTOR NAME],MATCH(I9327,INVESTOR_LIST[INVESTOR CODE],0),)," ")</f>
        <v xml:space="preserve"> </v>
      </c>
      <c r="I9327" s="248" t="s">
        <v>348</v>
      </c>
      <c r="J9327" s="249" t="s">
        <v>100</v>
      </c>
      <c r="K9327" s="250">
        <v>3095.5631257922682</v>
      </c>
      <c r="L9327" s="252"/>
    </row>
    <row r="9328" spans="1:14" ht="10.9" customHeight="1" x14ac:dyDescent="0.2">
      <c r="A9328" s="242">
        <v>2023</v>
      </c>
      <c r="B9328" s="242">
        <v>8</v>
      </c>
      <c r="C9328" s="242">
        <v>10</v>
      </c>
      <c r="D9328" s="321">
        <f t="shared" si="1102"/>
        <v>45148</v>
      </c>
      <c r="E9328" s="322">
        <f t="shared" si="1103"/>
        <v>45148</v>
      </c>
      <c r="F9328" s="478"/>
      <c r="G9328" s="243" t="s">
        <v>94</v>
      </c>
      <c r="H9328" s="243" t="str" cm="1">
        <f t="array" ref="H9328">IFERROR(INDEX(INVESTOR_LIST[INVESTOR NAME],MATCH(I9328,INVESTOR_LIST[INVESTOR CODE],0),)," ")</f>
        <v xml:space="preserve"> </v>
      </c>
      <c r="I9328" s="263" t="s">
        <v>348</v>
      </c>
      <c r="J9328" s="244" t="s">
        <v>48</v>
      </c>
      <c r="K9328" s="245"/>
      <c r="L9328" s="245">
        <v>3095.5631257922682</v>
      </c>
    </row>
    <row r="9329" spans="1:12" x14ac:dyDescent="0.2">
      <c r="A9329" s="168">
        <v>2023</v>
      </c>
      <c r="B9329" s="168">
        <v>8</v>
      </c>
      <c r="C9329" s="168">
        <v>13</v>
      </c>
      <c r="D9329" s="141">
        <f t="shared" si="1102"/>
        <v>45151</v>
      </c>
      <c r="E9329" s="275">
        <f t="shared" si="1103"/>
        <v>45151</v>
      </c>
      <c r="F9329" s="479" t="s">
        <v>362</v>
      </c>
      <c r="G9329" s="220" t="s">
        <v>74</v>
      </c>
      <c r="H9329" s="220" t="str" cm="1">
        <f t="array" ref="H9329">IFERROR(INDEX(INVESTOR_LIST[INVESTOR NAME],MATCH(I9329,INVESTOR_LIST[INVESTOR CODE],0),)," ")</f>
        <v xml:space="preserve"> </v>
      </c>
      <c r="I9329" s="142" t="s">
        <v>348</v>
      </c>
      <c r="J9329" s="143" t="s">
        <v>104</v>
      </c>
      <c r="K9329" s="226">
        <v>10.57</v>
      </c>
      <c r="L9329" s="226"/>
    </row>
    <row r="9330" spans="1:12" x14ac:dyDescent="0.2">
      <c r="A9330" s="163">
        <v>2023</v>
      </c>
      <c r="B9330" s="163">
        <v>8</v>
      </c>
      <c r="C9330" s="163">
        <v>13</v>
      </c>
      <c r="D9330" s="141">
        <f t="shared" si="1102"/>
        <v>45151</v>
      </c>
      <c r="E9330" s="275">
        <f t="shared" si="1103"/>
        <v>45151</v>
      </c>
      <c r="F9330" s="480"/>
      <c r="G9330" s="221" t="s">
        <v>74</v>
      </c>
      <c r="H9330" s="221" t="str" cm="1">
        <f t="array" ref="H9330">IFERROR(INDEX(INVESTOR_LIST[INVESTOR NAME],MATCH(I9330,INVESTOR_LIST[INVESTOR CODE],0),)," ")</f>
        <v xml:space="preserve"> </v>
      </c>
      <c r="I9330" s="145" t="s">
        <v>348</v>
      </c>
      <c r="J9330" s="146" t="s">
        <v>52</v>
      </c>
      <c r="K9330" s="219"/>
      <c r="L9330" s="219">
        <v>10.57</v>
      </c>
    </row>
    <row r="9331" spans="1:12" ht="10.15" customHeight="1" x14ac:dyDescent="0.2">
      <c r="A9331" s="168">
        <v>2023</v>
      </c>
      <c r="B9331" s="168">
        <v>8</v>
      </c>
      <c r="C9331" s="168">
        <v>14</v>
      </c>
      <c r="D9331" s="141">
        <f>DATE(A9331,B9331,C9331)</f>
        <v>45152</v>
      </c>
      <c r="E9331" s="275">
        <f>DATE(A9331,B9331,C9331)</f>
        <v>45152</v>
      </c>
      <c r="F9331" s="479" t="s">
        <v>1315</v>
      </c>
      <c r="G9331" s="220" t="s">
        <v>74</v>
      </c>
      <c r="H9331" s="142" t="str" cm="1">
        <f t="array" ref="H9331">IFERROR(INDEX(INVESTOR_LIST[INVESTOR NAME],MATCH(I9331,INVESTOR_LIST[INVESTOR CODE],0),)," ")</f>
        <v>MERINA TABASSUM AND MD. MONIRUL ISLAM</v>
      </c>
      <c r="I9331" s="142" t="s">
        <v>1334</v>
      </c>
      <c r="J9331" s="168" t="s">
        <v>13</v>
      </c>
      <c r="K9331" s="218">
        <v>419110</v>
      </c>
      <c r="L9331" s="226"/>
    </row>
    <row r="9332" spans="1:12" ht="10.15" customHeight="1" x14ac:dyDescent="0.2">
      <c r="A9332" s="133">
        <v>2023</v>
      </c>
      <c r="B9332" s="133">
        <v>8</v>
      </c>
      <c r="C9332" s="133">
        <v>14</v>
      </c>
      <c r="D9332" s="141">
        <f t="shared" ref="D9332:D9333" si="1104">DATE(A9332,B9332,C9332)</f>
        <v>45152</v>
      </c>
      <c r="E9332" s="275">
        <f t="shared" ref="E9332:E9333" si="1105">DATE(A9332,B9332,C9332)</f>
        <v>45152</v>
      </c>
      <c r="F9332" s="481"/>
      <c r="G9332" s="174" t="s">
        <v>74</v>
      </c>
      <c r="H9332" s="148" t="str" cm="1">
        <f t="array" ref="H9332">IFERROR(INDEX(INVESTOR_LIST[INVESTOR NAME],MATCH(I9332,INVESTOR_LIST[INVESTOR CODE],0),)," ")</f>
        <v>MERINA TABASSUM AND MD. MONIRUL ISLAM</v>
      </c>
      <c r="I9332" s="148" t="s">
        <v>1334</v>
      </c>
      <c r="J9332" s="133" t="s">
        <v>53</v>
      </c>
      <c r="K9332" s="218">
        <v>103226.78999999998</v>
      </c>
      <c r="L9332" s="133"/>
    </row>
    <row r="9333" spans="1:12" ht="10.15" customHeight="1" x14ac:dyDescent="0.2">
      <c r="A9333" s="163">
        <v>2023</v>
      </c>
      <c r="B9333" s="163">
        <v>8</v>
      </c>
      <c r="C9333" s="163">
        <v>14</v>
      </c>
      <c r="D9333" s="280">
        <f t="shared" si="1104"/>
        <v>45152</v>
      </c>
      <c r="E9333" s="281">
        <f t="shared" si="1105"/>
        <v>45152</v>
      </c>
      <c r="F9333" s="480"/>
      <c r="G9333" s="221" t="s">
        <v>74</v>
      </c>
      <c r="H9333" s="145" t="str" cm="1">
        <f t="array" ref="H9333">IFERROR(INDEX(INVESTOR_LIST[INVESTOR NAME],MATCH(I9333,INVESTOR_LIST[INVESTOR CODE],0),)," ")</f>
        <v>MERINA TABASSUM AND MD. MONIRUL ISLAM</v>
      </c>
      <c r="I9333" s="145" t="s">
        <v>1334</v>
      </c>
      <c r="J9333" s="163" t="s">
        <v>52</v>
      </c>
      <c r="K9333" s="219"/>
      <c r="L9333" s="219">
        <v>522336.79</v>
      </c>
    </row>
    <row r="9334" spans="1:12" ht="10.15" customHeight="1" x14ac:dyDescent="0.2">
      <c r="A9334" s="168">
        <v>2023</v>
      </c>
      <c r="B9334" s="168">
        <v>8</v>
      </c>
      <c r="C9334" s="168">
        <v>16</v>
      </c>
      <c r="D9334" s="141">
        <f t="shared" si="1102"/>
        <v>45154</v>
      </c>
      <c r="E9334" s="275">
        <f t="shared" si="1103"/>
        <v>45154</v>
      </c>
      <c r="F9334" s="479" t="s">
        <v>1762</v>
      </c>
      <c r="G9334" s="220" t="s">
        <v>74</v>
      </c>
      <c r="H9334" s="220"/>
      <c r="I9334" s="142"/>
      <c r="J9334" s="143" t="s">
        <v>52</v>
      </c>
      <c r="K9334" s="226">
        <v>2599783.2000000002</v>
      </c>
      <c r="L9334" s="226"/>
    </row>
    <row r="9335" spans="1:12" ht="10.15" customHeight="1" x14ac:dyDescent="0.2">
      <c r="A9335" s="133">
        <v>2023</v>
      </c>
      <c r="B9335" s="133">
        <v>8</v>
      </c>
      <c r="C9335" s="133">
        <v>16</v>
      </c>
      <c r="D9335" s="141">
        <f t="shared" si="1102"/>
        <v>45154</v>
      </c>
      <c r="E9335" s="275">
        <f t="shared" si="1103"/>
        <v>45154</v>
      </c>
      <c r="F9335" s="481"/>
      <c r="G9335" s="174" t="s">
        <v>74</v>
      </c>
      <c r="H9335" s="174"/>
      <c r="J9335" s="149" t="s">
        <v>61</v>
      </c>
      <c r="K9335" s="218">
        <v>6000</v>
      </c>
      <c r="L9335" s="218"/>
    </row>
    <row r="9336" spans="1:12" ht="10.15" customHeight="1" x14ac:dyDescent="0.2">
      <c r="A9336" s="133">
        <v>2023</v>
      </c>
      <c r="B9336" s="133">
        <v>8</v>
      </c>
      <c r="C9336" s="133">
        <v>16</v>
      </c>
      <c r="D9336" s="141">
        <f t="shared" ref="D9336" si="1106">DATE(A9336,B9336,C9336)</f>
        <v>45154</v>
      </c>
      <c r="E9336" s="275">
        <f t="shared" ref="E9336" si="1107">DATE(A9336,B9336,C9336)</f>
        <v>45154</v>
      </c>
      <c r="F9336" s="481"/>
      <c r="G9336" s="174" t="s">
        <v>74</v>
      </c>
      <c r="H9336" s="174"/>
      <c r="J9336" s="149" t="s">
        <v>133</v>
      </c>
      <c r="K9336" s="218"/>
      <c r="L9336" s="218">
        <v>54220.7</v>
      </c>
    </row>
    <row r="9337" spans="1:12" ht="10.15" customHeight="1" x14ac:dyDescent="0.2">
      <c r="A9337" s="163">
        <v>2023</v>
      </c>
      <c r="B9337" s="163">
        <v>8</v>
      </c>
      <c r="C9337" s="163">
        <v>16</v>
      </c>
      <c r="D9337" s="280">
        <f t="shared" si="1102"/>
        <v>45154</v>
      </c>
      <c r="E9337" s="281">
        <f t="shared" si="1103"/>
        <v>45154</v>
      </c>
      <c r="F9337" s="480"/>
      <c r="G9337" s="221" t="s">
        <v>74</v>
      </c>
      <c r="H9337" s="221" t="str" cm="1">
        <f t="array" ref="H9337">IFERROR(INDEX(INVESTOR_LIST[INVESTOR NAME],MATCH(I9337,INVESTOR_LIST[INVESTOR CODE],0),)," ")</f>
        <v xml:space="preserve"> </v>
      </c>
      <c r="I9337" s="145" t="s">
        <v>348</v>
      </c>
      <c r="J9337" s="146" t="s">
        <v>96</v>
      </c>
      <c r="K9337" s="219"/>
      <c r="L9337" s="219">
        <v>2551562.5</v>
      </c>
    </row>
    <row r="9338" spans="1:12" x14ac:dyDescent="0.2">
      <c r="A9338" s="133">
        <v>2023</v>
      </c>
      <c r="B9338" s="133">
        <v>8</v>
      </c>
      <c r="C9338" s="168">
        <v>16</v>
      </c>
      <c r="D9338" s="141">
        <f t="shared" si="1102"/>
        <v>45154</v>
      </c>
      <c r="E9338" s="275">
        <f t="shared" si="1103"/>
        <v>45154</v>
      </c>
      <c r="F9338" s="479" t="s">
        <v>77</v>
      </c>
      <c r="G9338" s="174" t="s">
        <v>74</v>
      </c>
      <c r="H9338" s="148" t="str" cm="1">
        <f t="array" ref="H9338">IFERROR(INDEX(INVESTOR_LIST[INVESTOR NAME],MATCH(I9338,INVESTOR_LIST[INVESTOR CODE],0),)," ")</f>
        <v xml:space="preserve"> </v>
      </c>
      <c r="I9338" s="148" t="s">
        <v>348</v>
      </c>
      <c r="J9338" s="133" t="s">
        <v>61</v>
      </c>
      <c r="K9338" s="172">
        <v>60</v>
      </c>
    </row>
    <row r="9339" spans="1:12" x14ac:dyDescent="0.2">
      <c r="A9339" s="163">
        <v>2023</v>
      </c>
      <c r="B9339" s="163">
        <v>8</v>
      </c>
      <c r="C9339" s="163">
        <v>16</v>
      </c>
      <c r="D9339" s="141">
        <f t="shared" si="1102"/>
        <v>45154</v>
      </c>
      <c r="E9339" s="275">
        <f t="shared" si="1103"/>
        <v>45154</v>
      </c>
      <c r="F9339" s="480"/>
      <c r="G9339" s="221" t="s">
        <v>74</v>
      </c>
      <c r="H9339" s="145" t="str" cm="1">
        <f t="array" ref="H9339">IFERROR(INDEX(INVESTOR_LIST[INVESTOR NAME],MATCH(I9339,INVESTOR_LIST[INVESTOR CODE],0),)," ")</f>
        <v xml:space="preserve"> </v>
      </c>
      <c r="I9339" s="145" t="s">
        <v>348</v>
      </c>
      <c r="J9339" s="163" t="s">
        <v>52</v>
      </c>
      <c r="K9339" s="219"/>
      <c r="L9339" s="219">
        <v>60</v>
      </c>
    </row>
    <row r="9340" spans="1:12" ht="10.15" customHeight="1" x14ac:dyDescent="0.2">
      <c r="A9340" s="168">
        <v>2023</v>
      </c>
      <c r="B9340" s="168">
        <v>8</v>
      </c>
      <c r="C9340" s="168">
        <v>16</v>
      </c>
      <c r="D9340" s="141">
        <f>DATE(A9340,B9340,C9340)</f>
        <v>45154</v>
      </c>
      <c r="E9340" s="275">
        <f>DATE(A9340,B9340,C9340)</f>
        <v>45154</v>
      </c>
      <c r="F9340" s="479" t="s">
        <v>1315</v>
      </c>
      <c r="G9340" s="220" t="s">
        <v>74</v>
      </c>
      <c r="H9340" s="142" t="str" cm="1">
        <f t="array" ref="H9340">IFERROR(INDEX(INVESTOR_LIST[INVESTOR NAME],MATCH(I9340,INVESTOR_LIST[INVESTOR CODE],0),)," ")</f>
        <v>SULTANA RAZIA</v>
      </c>
      <c r="I9340" s="142" t="s">
        <v>698</v>
      </c>
      <c r="J9340" s="168" t="s">
        <v>13</v>
      </c>
      <c r="K9340" s="218">
        <v>586760</v>
      </c>
      <c r="L9340" s="226"/>
    </row>
    <row r="9341" spans="1:12" ht="10.15" customHeight="1" x14ac:dyDescent="0.2">
      <c r="A9341" s="133">
        <v>2023</v>
      </c>
      <c r="B9341" s="133">
        <v>8</v>
      </c>
      <c r="C9341" s="133">
        <v>16</v>
      </c>
      <c r="D9341" s="141">
        <f t="shared" ref="D9341:D9342" si="1108">DATE(A9341,B9341,C9341)</f>
        <v>45154</v>
      </c>
      <c r="E9341" s="275">
        <f t="shared" ref="E9341:E9342" si="1109">DATE(A9341,B9341,C9341)</f>
        <v>45154</v>
      </c>
      <c r="F9341" s="481"/>
      <c r="G9341" s="174" t="s">
        <v>74</v>
      </c>
      <c r="H9341" s="148" t="str" cm="1">
        <f t="array" ref="H9341">IFERROR(INDEX(INVESTOR_LIST[INVESTOR NAME],MATCH(I9341,INVESTOR_LIST[INVESTOR CODE],0),)," ")</f>
        <v>SULTANA RAZIA</v>
      </c>
      <c r="I9341" s="148" t="s">
        <v>698</v>
      </c>
      <c r="J9341" s="133" t="s">
        <v>53</v>
      </c>
      <c r="K9341" s="218">
        <v>144518.99</v>
      </c>
      <c r="L9341" s="133"/>
    </row>
    <row r="9342" spans="1:12" ht="10.15" customHeight="1" x14ac:dyDescent="0.2">
      <c r="A9342" s="163">
        <v>2023</v>
      </c>
      <c r="B9342" s="163">
        <v>8</v>
      </c>
      <c r="C9342" s="163">
        <v>16</v>
      </c>
      <c r="D9342" s="280">
        <f t="shared" si="1108"/>
        <v>45154</v>
      </c>
      <c r="E9342" s="281">
        <f t="shared" si="1109"/>
        <v>45154</v>
      </c>
      <c r="F9342" s="480"/>
      <c r="G9342" s="221" t="s">
        <v>74</v>
      </c>
      <c r="H9342" s="145" t="str" cm="1">
        <f t="array" ref="H9342">IFERROR(INDEX(INVESTOR_LIST[INVESTOR NAME],MATCH(I9342,INVESTOR_LIST[INVESTOR CODE],0),)," ")</f>
        <v>SULTANA RAZIA</v>
      </c>
      <c r="I9342" s="145" t="s">
        <v>698</v>
      </c>
      <c r="J9342" s="163" t="s">
        <v>52</v>
      </c>
      <c r="K9342" s="219"/>
      <c r="L9342" s="219">
        <v>731278.99</v>
      </c>
    </row>
    <row r="9343" spans="1:12" ht="10.15" customHeight="1" x14ac:dyDescent="0.2">
      <c r="A9343" s="168">
        <v>2023</v>
      </c>
      <c r="B9343" s="168">
        <v>8</v>
      </c>
      <c r="C9343" s="168">
        <v>16</v>
      </c>
      <c r="D9343" s="141">
        <f>DATE(A9343,B9343,C9343)</f>
        <v>45154</v>
      </c>
      <c r="E9343" s="275">
        <f>DATE(A9343,B9343,C9343)</f>
        <v>45154</v>
      </c>
      <c r="F9343" s="479" t="s">
        <v>1315</v>
      </c>
      <c r="G9343" s="220" t="s">
        <v>74</v>
      </c>
      <c r="H9343" s="142" t="str" cm="1">
        <f t="array" ref="H9343">IFERROR(INDEX(INVESTOR_LIST[INVESTOR NAME],MATCH(I9343,INVESTOR_LIST[INVESTOR CODE],0),)," ")</f>
        <v>AMIT KANTI SARKER</v>
      </c>
      <c r="I9343" s="142" t="s">
        <v>494</v>
      </c>
      <c r="J9343" s="168" t="s">
        <v>13</v>
      </c>
      <c r="K9343" s="218">
        <v>252460</v>
      </c>
      <c r="L9343" s="226"/>
    </row>
    <row r="9344" spans="1:12" ht="10.15" customHeight="1" x14ac:dyDescent="0.2">
      <c r="A9344" s="133">
        <v>2023</v>
      </c>
      <c r="B9344" s="133">
        <v>8</v>
      </c>
      <c r="C9344" s="133">
        <v>16</v>
      </c>
      <c r="D9344" s="141">
        <f t="shared" ref="D9344:D9345" si="1110">DATE(A9344,B9344,C9344)</f>
        <v>45154</v>
      </c>
      <c r="E9344" s="275">
        <f t="shared" ref="E9344:E9345" si="1111">DATE(A9344,B9344,C9344)</f>
        <v>45154</v>
      </c>
      <c r="F9344" s="481"/>
      <c r="G9344" s="174" t="s">
        <v>74</v>
      </c>
      <c r="H9344" s="148" t="str" cm="1">
        <f t="array" ref="H9344">IFERROR(INDEX(INVESTOR_LIST[INVESTOR NAME],MATCH(I9344,INVESTOR_LIST[INVESTOR CODE],0),)," ")</f>
        <v>AMIT KANTI SARKER</v>
      </c>
      <c r="I9344" s="148" t="s">
        <v>494</v>
      </c>
      <c r="J9344" s="133" t="s">
        <v>53</v>
      </c>
      <c r="K9344" s="218">
        <v>62180.900000000023</v>
      </c>
      <c r="L9344" s="133"/>
    </row>
    <row r="9345" spans="1:13" ht="10.15" customHeight="1" x14ac:dyDescent="0.2">
      <c r="A9345" s="163">
        <v>2023</v>
      </c>
      <c r="B9345" s="163">
        <v>8</v>
      </c>
      <c r="C9345" s="163">
        <v>16</v>
      </c>
      <c r="D9345" s="280">
        <f t="shared" si="1110"/>
        <v>45154</v>
      </c>
      <c r="E9345" s="281">
        <f t="shared" si="1111"/>
        <v>45154</v>
      </c>
      <c r="F9345" s="480"/>
      <c r="G9345" s="221" t="s">
        <v>74</v>
      </c>
      <c r="H9345" s="145" t="str" cm="1">
        <f t="array" ref="H9345">IFERROR(INDEX(INVESTOR_LIST[INVESTOR NAME],MATCH(I9345,INVESTOR_LIST[INVESTOR CODE],0),)," ")</f>
        <v>AMIT KANTI SARKER</v>
      </c>
      <c r="I9345" s="145" t="s">
        <v>494</v>
      </c>
      <c r="J9345" s="163" t="s">
        <v>52</v>
      </c>
      <c r="K9345" s="219"/>
      <c r="L9345" s="219">
        <v>314640.90000000002</v>
      </c>
    </row>
    <row r="9346" spans="1:13" ht="10.15" customHeight="1" x14ac:dyDescent="0.2">
      <c r="A9346" s="168">
        <v>2023</v>
      </c>
      <c r="B9346" s="168">
        <v>8</v>
      </c>
      <c r="C9346" s="168">
        <v>17</v>
      </c>
      <c r="D9346" s="141">
        <f>DATE(A9346,B9346,C9346)</f>
        <v>45155</v>
      </c>
      <c r="E9346" s="275">
        <f>DATE(A9346,B9346,C9346)</f>
        <v>45155</v>
      </c>
      <c r="F9346" s="479" t="s">
        <v>1310</v>
      </c>
      <c r="G9346" s="220" t="s">
        <v>74</v>
      </c>
      <c r="H9346" s="142" t="str" cm="1">
        <f t="array" ref="H9346">IFERROR(INDEX(INVESTOR_LIST[INVESTOR NAME],MATCH(I9346,INVESTOR_LIST[INVESTOR CODE],0),)," ")</f>
        <v>MUHAMMAD TAREQ YUSUF</v>
      </c>
      <c r="I9346" s="142" t="s">
        <v>625</v>
      </c>
      <c r="J9346" s="168" t="s">
        <v>13</v>
      </c>
      <c r="K9346" s="218">
        <v>69370</v>
      </c>
      <c r="L9346" s="226"/>
    </row>
    <row r="9347" spans="1:13" ht="10.15" customHeight="1" x14ac:dyDescent="0.2">
      <c r="A9347" s="133">
        <v>2023</v>
      </c>
      <c r="B9347" s="133">
        <v>8</v>
      </c>
      <c r="C9347" s="133">
        <v>17</v>
      </c>
      <c r="D9347" s="141">
        <f t="shared" ref="D9347:D9348" si="1112">DATE(A9347,B9347,C9347)</f>
        <v>45155</v>
      </c>
      <c r="E9347" s="275">
        <f t="shared" ref="E9347:E9348" si="1113">DATE(A9347,B9347,C9347)</f>
        <v>45155</v>
      </c>
      <c r="F9347" s="481"/>
      <c r="G9347" s="174" t="s">
        <v>74</v>
      </c>
      <c r="H9347" s="148" t="str" cm="1">
        <f t="array" ref="H9347">IFERROR(INDEX(INVESTOR_LIST[INVESTOR NAME],MATCH(I9347,INVESTOR_LIST[INVESTOR CODE],0),)," ")</f>
        <v>MUHAMMAD TAREQ YUSUF</v>
      </c>
      <c r="I9347" s="148" t="s">
        <v>625</v>
      </c>
      <c r="J9347" s="133" t="s">
        <v>53</v>
      </c>
      <c r="K9347" s="218">
        <v>17085.830000000002</v>
      </c>
      <c r="L9347" s="133"/>
    </row>
    <row r="9348" spans="1:13" ht="10.15" customHeight="1" x14ac:dyDescent="0.2">
      <c r="A9348" s="163">
        <v>2023</v>
      </c>
      <c r="B9348" s="163">
        <v>8</v>
      </c>
      <c r="C9348" s="163">
        <v>17</v>
      </c>
      <c r="D9348" s="280">
        <f t="shared" si="1112"/>
        <v>45155</v>
      </c>
      <c r="E9348" s="281">
        <f t="shared" si="1113"/>
        <v>45155</v>
      </c>
      <c r="F9348" s="480"/>
      <c r="G9348" s="221" t="s">
        <v>74</v>
      </c>
      <c r="H9348" s="145" t="str" cm="1">
        <f t="array" ref="H9348">IFERROR(INDEX(INVESTOR_LIST[INVESTOR NAME],MATCH(I9348,INVESTOR_LIST[INVESTOR CODE],0),)," ")</f>
        <v>MUHAMMAD TAREQ YUSUF</v>
      </c>
      <c r="I9348" s="145" t="s">
        <v>625</v>
      </c>
      <c r="J9348" s="163" t="s">
        <v>52</v>
      </c>
      <c r="K9348" s="219"/>
      <c r="L9348" s="219">
        <v>86455.83</v>
      </c>
    </row>
    <row r="9349" spans="1:13" ht="10.15" customHeight="1" x14ac:dyDescent="0.2">
      <c r="A9349" s="168">
        <v>2023</v>
      </c>
      <c r="B9349" s="168">
        <v>8</v>
      </c>
      <c r="C9349" s="168">
        <v>17</v>
      </c>
      <c r="D9349" s="141">
        <f>DATE(A9349,B9349,C9349)</f>
        <v>45155</v>
      </c>
      <c r="E9349" s="275">
        <f>DATE(A9349,B9349,C9349)</f>
        <v>45155</v>
      </c>
      <c r="F9349" s="479" t="s">
        <v>1310</v>
      </c>
      <c r="G9349" s="220" t="s">
        <v>74</v>
      </c>
      <c r="H9349" s="142" t="str" cm="1">
        <f t="array" ref="H9349">IFERROR(INDEX(INVESTOR_LIST[INVESTOR NAME],MATCH(I9349,INVESTOR_LIST[INVESTOR CODE],0),)," ")</f>
        <v>NASIR UDDIN BABU</v>
      </c>
      <c r="I9349" s="142" t="s">
        <v>588</v>
      </c>
      <c r="J9349" s="168" t="s">
        <v>13</v>
      </c>
      <c r="K9349" s="218">
        <v>284080</v>
      </c>
      <c r="L9349" s="226"/>
    </row>
    <row r="9350" spans="1:13" ht="10.15" customHeight="1" x14ac:dyDescent="0.2">
      <c r="A9350" s="133">
        <v>2023</v>
      </c>
      <c r="B9350" s="133">
        <v>8</v>
      </c>
      <c r="C9350" s="133">
        <v>17</v>
      </c>
      <c r="D9350" s="141">
        <f t="shared" ref="D9350:D9351" si="1114">DATE(A9350,B9350,C9350)</f>
        <v>45155</v>
      </c>
      <c r="E9350" s="275">
        <f t="shared" ref="E9350:E9351" si="1115">DATE(A9350,B9350,C9350)</f>
        <v>45155</v>
      </c>
      <c r="F9350" s="481"/>
      <c r="G9350" s="174" t="s">
        <v>74</v>
      </c>
      <c r="H9350" s="148" t="str" cm="1">
        <f t="array" ref="H9350">IFERROR(INDEX(INVESTOR_LIST[INVESTOR NAME],MATCH(I9350,INVESTOR_LIST[INVESTOR CODE],0),)," ")</f>
        <v>NASIR UDDIN BABU</v>
      </c>
      <c r="I9350" s="148" t="s">
        <v>588</v>
      </c>
      <c r="J9350" s="133" t="s">
        <v>53</v>
      </c>
      <c r="K9350" s="218">
        <v>69968.900000000023</v>
      </c>
      <c r="L9350" s="133"/>
    </row>
    <row r="9351" spans="1:13" ht="10.15" customHeight="1" x14ac:dyDescent="0.2">
      <c r="A9351" s="163">
        <v>2023</v>
      </c>
      <c r="B9351" s="163">
        <v>8</v>
      </c>
      <c r="C9351" s="163">
        <v>17</v>
      </c>
      <c r="D9351" s="280">
        <f t="shared" si="1114"/>
        <v>45155</v>
      </c>
      <c r="E9351" s="281">
        <f t="shared" si="1115"/>
        <v>45155</v>
      </c>
      <c r="F9351" s="480"/>
      <c r="G9351" s="221" t="s">
        <v>74</v>
      </c>
      <c r="H9351" s="145" t="str" cm="1">
        <f t="array" ref="H9351">IFERROR(INDEX(INVESTOR_LIST[INVESTOR NAME],MATCH(I9351,INVESTOR_LIST[INVESTOR CODE],0),)," ")</f>
        <v>NASIR UDDIN BABU</v>
      </c>
      <c r="I9351" s="145" t="s">
        <v>588</v>
      </c>
      <c r="J9351" s="163" t="s">
        <v>52</v>
      </c>
      <c r="K9351" s="219"/>
      <c r="L9351" s="219">
        <v>354048.9</v>
      </c>
    </row>
    <row r="9352" spans="1:13" ht="10.15" customHeight="1" x14ac:dyDescent="0.2">
      <c r="A9352" s="168">
        <v>2023</v>
      </c>
      <c r="B9352" s="168">
        <v>8</v>
      </c>
      <c r="C9352" s="168">
        <v>17</v>
      </c>
      <c r="D9352" s="141">
        <f>DATE(A9352,B9352,C9352)</f>
        <v>45155</v>
      </c>
      <c r="E9352" s="275">
        <f>DATE(A9352,B9352,C9352)</f>
        <v>45155</v>
      </c>
      <c r="F9352" s="479" t="s">
        <v>1315</v>
      </c>
      <c r="G9352" s="220" t="s">
        <v>74</v>
      </c>
      <c r="H9352" s="142" t="str" cm="1">
        <f t="array" ref="H9352">IFERROR(INDEX(INVESTOR_LIST[INVESTOR NAME],MATCH(I9352,INVESTOR_LIST[INVESTOR CODE],0),)," ")</f>
        <v>MAYA RANI SAHA</v>
      </c>
      <c r="I9352" s="142" t="s">
        <v>456</v>
      </c>
      <c r="J9352" s="168" t="s">
        <v>13</v>
      </c>
      <c r="K9352" s="218">
        <v>895500</v>
      </c>
      <c r="L9352" s="226"/>
    </row>
    <row r="9353" spans="1:13" ht="10.15" customHeight="1" x14ac:dyDescent="0.2">
      <c r="A9353" s="133">
        <v>2023</v>
      </c>
      <c r="B9353" s="133">
        <v>8</v>
      </c>
      <c r="C9353" s="133">
        <v>17</v>
      </c>
      <c r="D9353" s="141">
        <f t="shared" ref="D9353:D9359" si="1116">DATE(A9353,B9353,C9353)</f>
        <v>45155</v>
      </c>
      <c r="E9353" s="275">
        <f t="shared" ref="E9353:E9359" si="1117">DATE(A9353,B9353,C9353)</f>
        <v>45155</v>
      </c>
      <c r="F9353" s="481"/>
      <c r="G9353" s="174" t="s">
        <v>74</v>
      </c>
      <c r="H9353" s="148" t="str" cm="1">
        <f t="array" ref="H9353">IFERROR(INDEX(INVESTOR_LIST[INVESTOR NAME],MATCH(I9353,INVESTOR_LIST[INVESTOR CODE],0),)," ")</f>
        <v>MAYA RANI SAHA</v>
      </c>
      <c r="I9353" s="148" t="s">
        <v>456</v>
      </c>
      <c r="J9353" s="133" t="s">
        <v>53</v>
      </c>
      <c r="K9353" s="218">
        <v>220561.65</v>
      </c>
      <c r="L9353" s="133"/>
    </row>
    <row r="9354" spans="1:13" ht="10.15" customHeight="1" x14ac:dyDescent="0.2">
      <c r="A9354" s="163">
        <v>2023</v>
      </c>
      <c r="B9354" s="163">
        <v>8</v>
      </c>
      <c r="C9354" s="163">
        <v>17</v>
      </c>
      <c r="D9354" s="280">
        <f t="shared" si="1116"/>
        <v>45155</v>
      </c>
      <c r="E9354" s="281">
        <f t="shared" si="1117"/>
        <v>45155</v>
      </c>
      <c r="F9354" s="480"/>
      <c r="G9354" s="221" t="s">
        <v>74</v>
      </c>
      <c r="H9354" s="145" t="str" cm="1">
        <f t="array" ref="H9354">IFERROR(INDEX(INVESTOR_LIST[INVESTOR NAME],MATCH(I9354,INVESTOR_LIST[INVESTOR CODE],0),)," ")</f>
        <v>MAYA RANI SAHA</v>
      </c>
      <c r="I9354" s="145" t="s">
        <v>456</v>
      </c>
      <c r="J9354" s="163" t="s">
        <v>52</v>
      </c>
      <c r="K9354" s="219"/>
      <c r="L9354" s="219">
        <v>1116061.6499999999</v>
      </c>
    </row>
    <row r="9355" spans="1:13" x14ac:dyDescent="0.2">
      <c r="A9355" s="133">
        <v>2023</v>
      </c>
      <c r="B9355" s="133">
        <v>8</v>
      </c>
      <c r="C9355" s="168">
        <v>17</v>
      </c>
      <c r="D9355" s="141">
        <f t="shared" si="1116"/>
        <v>45155</v>
      </c>
      <c r="E9355" s="275">
        <f t="shared" si="1117"/>
        <v>45155</v>
      </c>
      <c r="F9355" s="479" t="s">
        <v>77</v>
      </c>
      <c r="G9355" s="174" t="s">
        <v>74</v>
      </c>
      <c r="H9355" s="148" t="str" cm="1">
        <f t="array" ref="H9355">IFERROR(INDEX(INVESTOR_LIST[INVESTOR NAME],MATCH(I9355,INVESTOR_LIST[INVESTOR CODE],0),)," ")</f>
        <v xml:space="preserve"> </v>
      </c>
      <c r="I9355" s="148" t="s">
        <v>348</v>
      </c>
      <c r="J9355" s="133" t="s">
        <v>61</v>
      </c>
      <c r="K9355" s="172">
        <v>100</v>
      </c>
    </row>
    <row r="9356" spans="1:13" x14ac:dyDescent="0.2">
      <c r="A9356" s="163">
        <v>2023</v>
      </c>
      <c r="B9356" s="163">
        <v>8</v>
      </c>
      <c r="C9356" s="163">
        <v>17</v>
      </c>
      <c r="D9356" s="141">
        <f t="shared" si="1116"/>
        <v>45155</v>
      </c>
      <c r="E9356" s="275">
        <f t="shared" si="1117"/>
        <v>45155</v>
      </c>
      <c r="F9356" s="480"/>
      <c r="G9356" s="221" t="s">
        <v>74</v>
      </c>
      <c r="H9356" s="145" t="str" cm="1">
        <f t="array" ref="H9356">IFERROR(INDEX(INVESTOR_LIST[INVESTOR NAME],MATCH(I9356,INVESTOR_LIST[INVESTOR CODE],0),)," ")</f>
        <v xml:space="preserve"> </v>
      </c>
      <c r="I9356" s="145" t="s">
        <v>348</v>
      </c>
      <c r="J9356" s="163" t="s">
        <v>52</v>
      </c>
      <c r="K9356" s="219"/>
      <c r="L9356" s="219">
        <v>100</v>
      </c>
    </row>
    <row r="9357" spans="1:13" ht="10.15" customHeight="1" x14ac:dyDescent="0.2">
      <c r="A9357" s="168">
        <v>2023</v>
      </c>
      <c r="B9357" s="168">
        <v>8</v>
      </c>
      <c r="C9357" s="168">
        <v>17</v>
      </c>
      <c r="D9357" s="141">
        <f t="shared" si="1116"/>
        <v>45155</v>
      </c>
      <c r="E9357" s="275">
        <f t="shared" si="1117"/>
        <v>45155</v>
      </c>
      <c r="F9357" s="479" t="s">
        <v>1319</v>
      </c>
      <c r="G9357" s="220" t="s">
        <v>74</v>
      </c>
      <c r="H9357" s="142" t="str" cm="1">
        <f t="array" ref="H9357">IFERROR(INDEX(INVESTOR_LIST[INVESTOR NAME],MATCH(I9357,INVESTOR_LIST[INVESTOR CODE],0),)," ")</f>
        <v xml:space="preserve"> </v>
      </c>
      <c r="I9357" s="142"/>
      <c r="J9357" s="168" t="s">
        <v>52</v>
      </c>
      <c r="K9357" s="226">
        <v>25000</v>
      </c>
      <c r="L9357" s="226"/>
    </row>
    <row r="9358" spans="1:13" ht="10.15" customHeight="1" x14ac:dyDescent="0.2">
      <c r="A9358" s="133">
        <v>2023</v>
      </c>
      <c r="B9358" s="133">
        <v>8</v>
      </c>
      <c r="C9358" s="133">
        <v>17</v>
      </c>
      <c r="D9358" s="141">
        <f t="shared" si="1116"/>
        <v>45155</v>
      </c>
      <c r="E9358" s="275">
        <f t="shared" si="1117"/>
        <v>45155</v>
      </c>
      <c r="F9358" s="481"/>
      <c r="G9358" s="174" t="s">
        <v>74</v>
      </c>
      <c r="H9358" s="148" t="str" cm="1">
        <f t="array" ref="H9358">IFERROR(INDEX(INVESTOR_LIST[INVESTOR NAME],MATCH(I9358,INVESTOR_LIST[INVESTOR CODE],0),)," ")</f>
        <v xml:space="preserve"> </v>
      </c>
      <c r="J9358" s="133" t="s">
        <v>13</v>
      </c>
      <c r="K9358" s="218"/>
      <c r="L9358" s="218">
        <v>20050</v>
      </c>
    </row>
    <row r="9359" spans="1:13" ht="10.15" customHeight="1" x14ac:dyDescent="0.2">
      <c r="A9359" s="163">
        <v>2023</v>
      </c>
      <c r="B9359" s="163">
        <v>8</v>
      </c>
      <c r="C9359" s="163">
        <v>17</v>
      </c>
      <c r="D9359" s="280">
        <f t="shared" si="1116"/>
        <v>45155</v>
      </c>
      <c r="E9359" s="281">
        <f t="shared" si="1117"/>
        <v>45155</v>
      </c>
      <c r="F9359" s="480"/>
      <c r="G9359" s="221" t="s">
        <v>74</v>
      </c>
      <c r="H9359" s="145" t="str" cm="1">
        <f t="array" ref="H9359">IFERROR(INDEX(INVESTOR_LIST[INVESTOR NAME],MATCH(I9359,INVESTOR_LIST[INVESTOR CODE],0),)," ")</f>
        <v xml:space="preserve"> </v>
      </c>
      <c r="I9359" s="145"/>
      <c r="J9359" s="163" t="s">
        <v>53</v>
      </c>
      <c r="K9359" s="219"/>
      <c r="L9359" s="219">
        <v>4950</v>
      </c>
    </row>
    <row r="9360" spans="1:13" x14ac:dyDescent="0.2">
      <c r="A9360" s="324">
        <v>2023</v>
      </c>
      <c r="B9360" s="324">
        <v>8</v>
      </c>
      <c r="C9360" s="325">
        <v>17</v>
      </c>
      <c r="D9360" s="326">
        <f t="shared" ref="D9360:D9375" si="1118">DATE(A9360,B9360,C9360)</f>
        <v>45155</v>
      </c>
      <c r="E9360" s="327">
        <f t="shared" ref="E9360:E9375" si="1119">DATE(A9360,B9360,C9360)</f>
        <v>45155</v>
      </c>
      <c r="F9360" s="473" t="s">
        <v>1490</v>
      </c>
      <c r="G9360" s="328" t="s">
        <v>94</v>
      </c>
      <c r="H9360" s="329" t="str" cm="1">
        <f t="array" ref="H9360">IFERROR(INDEX(INVESTOR_LIST[INVESTOR NAME],MATCH(I9360,INVESTOR_LIST[INVESTOR CODE],0),)," ")</f>
        <v xml:space="preserve"> </v>
      </c>
      <c r="I9360" s="329" t="s">
        <v>348</v>
      </c>
      <c r="J9360" s="325" t="s">
        <v>133</v>
      </c>
      <c r="K9360" s="330">
        <v>23763.11</v>
      </c>
      <c r="L9360" s="330"/>
      <c r="M9360" s="160"/>
    </row>
    <row r="9361" spans="1:17" x14ac:dyDescent="0.2">
      <c r="A9361" s="331">
        <v>2023</v>
      </c>
      <c r="B9361" s="331">
        <v>8</v>
      </c>
      <c r="C9361" s="331">
        <v>17</v>
      </c>
      <c r="D9361" s="326">
        <f t="shared" si="1118"/>
        <v>45155</v>
      </c>
      <c r="E9361" s="327">
        <f t="shared" si="1119"/>
        <v>45155</v>
      </c>
      <c r="F9361" s="474"/>
      <c r="G9361" s="332" t="s">
        <v>94</v>
      </c>
      <c r="H9361" s="333" t="str" cm="1">
        <f t="array" ref="H9361">IFERROR(INDEX(INVESTOR_LIST[INVESTOR NAME],MATCH(I9361,INVESTOR_LIST[INVESTOR CODE],0),)," ")</f>
        <v xml:space="preserve"> </v>
      </c>
      <c r="I9361" s="333" t="s">
        <v>348</v>
      </c>
      <c r="J9361" s="331" t="s">
        <v>152</v>
      </c>
      <c r="K9361" s="334"/>
      <c r="L9361" s="334">
        <v>23763.11</v>
      </c>
      <c r="M9361" s="160"/>
      <c r="N9361" s="160"/>
    </row>
    <row r="9362" spans="1:17" x14ac:dyDescent="0.2">
      <c r="A9362" s="324">
        <v>2023</v>
      </c>
      <c r="B9362" s="324">
        <v>8</v>
      </c>
      <c r="C9362" s="325">
        <v>17</v>
      </c>
      <c r="D9362" s="326">
        <f t="shared" si="1118"/>
        <v>45155</v>
      </c>
      <c r="E9362" s="327">
        <f t="shared" si="1119"/>
        <v>45155</v>
      </c>
      <c r="F9362" s="473" t="s">
        <v>1491</v>
      </c>
      <c r="G9362" s="328" t="s">
        <v>94</v>
      </c>
      <c r="H9362" s="329" t="str" cm="1">
        <f t="array" ref="H9362">IFERROR(INDEX(INVESTOR_LIST[INVESTOR NAME],MATCH(I9362,INVESTOR_LIST[INVESTOR CODE],0),)," ")</f>
        <v xml:space="preserve"> </v>
      </c>
      <c r="I9362" s="329" t="s">
        <v>348</v>
      </c>
      <c r="J9362" s="324" t="s">
        <v>133</v>
      </c>
      <c r="K9362" s="330">
        <v>4615.38</v>
      </c>
      <c r="L9362" s="330"/>
      <c r="M9362" s="160"/>
      <c r="N9362" s="160"/>
    </row>
    <row r="9363" spans="1:17" x14ac:dyDescent="0.2">
      <c r="A9363" s="331">
        <v>2023</v>
      </c>
      <c r="B9363" s="331">
        <v>8</v>
      </c>
      <c r="C9363" s="331">
        <v>17</v>
      </c>
      <c r="D9363" s="326">
        <f t="shared" si="1118"/>
        <v>45155</v>
      </c>
      <c r="E9363" s="327">
        <f t="shared" si="1119"/>
        <v>45155</v>
      </c>
      <c r="F9363" s="474"/>
      <c r="G9363" s="332" t="s">
        <v>94</v>
      </c>
      <c r="H9363" s="333" t="str" cm="1">
        <f t="array" ref="H9363">IFERROR(INDEX(INVESTOR_LIST[INVESTOR NAME],MATCH(I9363,INVESTOR_LIST[INVESTOR CODE],0),)," ")</f>
        <v xml:space="preserve"> </v>
      </c>
      <c r="I9363" s="333" t="s">
        <v>348</v>
      </c>
      <c r="J9363" s="331" t="s">
        <v>152</v>
      </c>
      <c r="K9363" s="334"/>
      <c r="L9363" s="334">
        <v>4615.38</v>
      </c>
      <c r="M9363" s="160"/>
    </row>
    <row r="9364" spans="1:17" x14ac:dyDescent="0.2">
      <c r="A9364" s="324">
        <v>2023</v>
      </c>
      <c r="B9364" s="324">
        <v>8</v>
      </c>
      <c r="C9364" s="325">
        <v>17</v>
      </c>
      <c r="D9364" s="326">
        <f t="shared" si="1118"/>
        <v>45155</v>
      </c>
      <c r="E9364" s="327">
        <f t="shared" si="1119"/>
        <v>45155</v>
      </c>
      <c r="F9364" s="473" t="s">
        <v>1531</v>
      </c>
      <c r="G9364" s="328" t="s">
        <v>94</v>
      </c>
      <c r="H9364" s="329" t="str" cm="1">
        <f t="array" ref="H9364">IFERROR(INDEX(INVESTOR_LIST[INVESTOR NAME],MATCH(I9364,INVESTOR_LIST[INVESTOR CODE],0),)," ")</f>
        <v xml:space="preserve"> </v>
      </c>
      <c r="I9364" s="329" t="s">
        <v>348</v>
      </c>
      <c r="J9364" s="324" t="s">
        <v>133</v>
      </c>
      <c r="K9364" s="330">
        <v>23076.92</v>
      </c>
      <c r="L9364" s="330"/>
      <c r="M9364" s="160"/>
    </row>
    <row r="9365" spans="1:17" x14ac:dyDescent="0.2">
      <c r="A9365" s="331">
        <v>2023</v>
      </c>
      <c r="B9365" s="331">
        <v>8</v>
      </c>
      <c r="C9365" s="331">
        <v>17</v>
      </c>
      <c r="D9365" s="326">
        <f t="shared" si="1118"/>
        <v>45155</v>
      </c>
      <c r="E9365" s="327">
        <f t="shared" si="1119"/>
        <v>45155</v>
      </c>
      <c r="F9365" s="474"/>
      <c r="G9365" s="332" t="s">
        <v>94</v>
      </c>
      <c r="H9365" s="333" t="str" cm="1">
        <f t="array" ref="H9365">IFERROR(INDEX(INVESTOR_LIST[INVESTOR NAME],MATCH(I9365,INVESTOR_LIST[INVESTOR CODE],0),)," ")</f>
        <v xml:space="preserve"> </v>
      </c>
      <c r="I9365" s="333" t="s">
        <v>348</v>
      </c>
      <c r="J9365" s="331" t="s">
        <v>152</v>
      </c>
      <c r="K9365" s="334"/>
      <c r="L9365" s="334">
        <v>23076.92</v>
      </c>
      <c r="M9365" s="160"/>
    </row>
    <row r="9366" spans="1:17" x14ac:dyDescent="0.2">
      <c r="A9366" s="238">
        <v>2023</v>
      </c>
      <c r="B9366" s="238">
        <v>8</v>
      </c>
      <c r="C9366" s="238">
        <v>17</v>
      </c>
      <c r="D9366" s="270">
        <f t="shared" si="1118"/>
        <v>45155</v>
      </c>
      <c r="E9366" s="279">
        <f t="shared" si="1119"/>
        <v>45155</v>
      </c>
      <c r="F9366" s="477" t="s">
        <v>347</v>
      </c>
      <c r="G9366" s="239" t="s">
        <v>94</v>
      </c>
      <c r="H9366" s="239" t="str" cm="1">
        <f t="array" ref="H9366">IFERROR(INDEX(INVESTOR_LIST[INVESTOR NAME],MATCH(I9366,INVESTOR_LIST[INVESTOR CODE],0),)," ")</f>
        <v xml:space="preserve"> </v>
      </c>
      <c r="I9366" s="262" t="s">
        <v>348</v>
      </c>
      <c r="J9366" s="240" t="s">
        <v>108</v>
      </c>
      <c r="K9366" s="241">
        <v>896950.43999999762</v>
      </c>
      <c r="L9366" s="241"/>
    </row>
    <row r="9367" spans="1:17" x14ac:dyDescent="0.2">
      <c r="A9367" s="242">
        <v>2023</v>
      </c>
      <c r="B9367" s="242">
        <v>8</v>
      </c>
      <c r="C9367" s="242">
        <v>17</v>
      </c>
      <c r="D9367" s="270">
        <f t="shared" si="1118"/>
        <v>45155</v>
      </c>
      <c r="E9367" s="279">
        <f t="shared" si="1119"/>
        <v>45155</v>
      </c>
      <c r="F9367" s="478"/>
      <c r="G9367" s="243" t="s">
        <v>94</v>
      </c>
      <c r="H9367" s="243" t="str" cm="1">
        <f t="array" ref="H9367">IFERROR(INDEX(INVESTOR_LIST[INVESTOR NAME],MATCH(I9367,INVESTOR_LIST[INVESTOR CODE],0),)," ")</f>
        <v xml:space="preserve"> </v>
      </c>
      <c r="I9367" s="263" t="s">
        <v>348</v>
      </c>
      <c r="J9367" s="244" t="s">
        <v>82</v>
      </c>
      <c r="K9367" s="245"/>
      <c r="L9367" s="245">
        <v>896950.43999999762</v>
      </c>
    </row>
    <row r="9368" spans="1:17" ht="22.5" x14ac:dyDescent="0.2">
      <c r="A9368" s="246">
        <v>2023</v>
      </c>
      <c r="B9368" s="238">
        <v>8</v>
      </c>
      <c r="C9368" s="238">
        <v>17</v>
      </c>
      <c r="D9368" s="270">
        <f t="shared" si="1118"/>
        <v>45155</v>
      </c>
      <c r="E9368" s="279">
        <f t="shared" si="1119"/>
        <v>45155</v>
      </c>
      <c r="F9368" s="482" t="s">
        <v>148</v>
      </c>
      <c r="G9368" s="247" t="s">
        <v>94</v>
      </c>
      <c r="H9368" s="247" t="str" cm="1">
        <f t="array" ref="H9368">IFERROR(INDEX(INVESTOR_LIST[INVESTOR NAME],MATCH(I9368,INVESTOR_LIST[INVESTOR CODE],0),)," ")</f>
        <v xml:space="preserve"> </v>
      </c>
      <c r="I9368" s="248" t="s">
        <v>348</v>
      </c>
      <c r="J9368" s="249" t="s">
        <v>95</v>
      </c>
      <c r="K9368" s="250">
        <v>2747.2527472527472</v>
      </c>
      <c r="L9368" s="241"/>
    </row>
    <row r="9369" spans="1:17" x14ac:dyDescent="0.2">
      <c r="A9369" s="242">
        <v>2023</v>
      </c>
      <c r="B9369" s="242">
        <v>8</v>
      </c>
      <c r="C9369" s="242">
        <v>17</v>
      </c>
      <c r="D9369" s="270">
        <f t="shared" si="1118"/>
        <v>45155</v>
      </c>
      <c r="E9369" s="279">
        <f t="shared" si="1119"/>
        <v>45155</v>
      </c>
      <c r="F9369" s="478"/>
      <c r="G9369" s="243" t="s">
        <v>94</v>
      </c>
      <c r="H9369" s="243" t="str" cm="1">
        <f t="array" ref="H9369">IFERROR(INDEX(INVESTOR_LIST[INVESTOR NAME],MATCH(I9369,INVESTOR_LIST[INVESTOR CODE],0),)," ")</f>
        <v xml:space="preserve"> </v>
      </c>
      <c r="I9369" s="263" t="s">
        <v>348</v>
      </c>
      <c r="J9369" s="244" t="s">
        <v>63</v>
      </c>
      <c r="K9369" s="245"/>
      <c r="L9369" s="245">
        <v>2747.2527472527472</v>
      </c>
    </row>
    <row r="9370" spans="1:17" x14ac:dyDescent="0.2">
      <c r="A9370" s="246">
        <v>2023</v>
      </c>
      <c r="B9370" s="238">
        <v>8</v>
      </c>
      <c r="C9370" s="238">
        <v>17</v>
      </c>
      <c r="D9370" s="270">
        <f t="shared" si="1118"/>
        <v>45155</v>
      </c>
      <c r="E9370" s="279">
        <f t="shared" si="1119"/>
        <v>45155</v>
      </c>
      <c r="F9370" s="482" t="s">
        <v>137</v>
      </c>
      <c r="G9370" s="247" t="s">
        <v>94</v>
      </c>
      <c r="H9370" s="247" t="str" cm="1">
        <f t="array" ref="H9370">IFERROR(INDEX(INVESTOR_LIST[INVESTOR NAME],MATCH(I9370,INVESTOR_LIST[INVESTOR CODE],0),)," ")</f>
        <v xml:space="preserve"> </v>
      </c>
      <c r="I9370" s="248" t="s">
        <v>348</v>
      </c>
      <c r="J9370" s="249" t="s">
        <v>97</v>
      </c>
      <c r="K9370" s="250">
        <v>61053.616239541952</v>
      </c>
      <c r="L9370" s="252"/>
    </row>
    <row r="9371" spans="1:17" x14ac:dyDescent="0.2">
      <c r="A9371" s="242">
        <v>2023</v>
      </c>
      <c r="B9371" s="242">
        <v>8</v>
      </c>
      <c r="C9371" s="242">
        <v>17</v>
      </c>
      <c r="D9371" s="270">
        <f t="shared" si="1118"/>
        <v>45155</v>
      </c>
      <c r="E9371" s="279">
        <f t="shared" si="1119"/>
        <v>45155</v>
      </c>
      <c r="F9371" s="478"/>
      <c r="G9371" s="243" t="s">
        <v>94</v>
      </c>
      <c r="H9371" s="243" t="str" cm="1">
        <f t="array" ref="H9371">IFERROR(INDEX(INVESTOR_LIST[INVESTOR NAME],MATCH(I9371,INVESTOR_LIST[INVESTOR CODE],0),)," ")</f>
        <v xml:space="preserve"> </v>
      </c>
      <c r="I9371" s="263" t="s">
        <v>348</v>
      </c>
      <c r="J9371" s="244" t="s">
        <v>47</v>
      </c>
      <c r="K9371" s="245"/>
      <c r="L9371" s="245">
        <v>61053.616239541952</v>
      </c>
    </row>
    <row r="9372" spans="1:17" x14ac:dyDescent="0.2">
      <c r="A9372" s="246">
        <v>2023</v>
      </c>
      <c r="B9372" s="238">
        <v>8</v>
      </c>
      <c r="C9372" s="238">
        <v>17</v>
      </c>
      <c r="D9372" s="270">
        <f t="shared" si="1118"/>
        <v>45155</v>
      </c>
      <c r="E9372" s="279">
        <f t="shared" si="1119"/>
        <v>45155</v>
      </c>
      <c r="F9372" s="482" t="s">
        <v>138</v>
      </c>
      <c r="G9372" s="247" t="s">
        <v>94</v>
      </c>
      <c r="H9372" s="247" t="str" cm="1">
        <f t="array" ref="H9372">IFERROR(INDEX(INVESTOR_LIST[INVESTOR NAME],MATCH(I9372,INVESTOR_LIST[INVESTOR CODE],0),)," ")</f>
        <v xml:space="preserve"> </v>
      </c>
      <c r="I9372" s="248" t="s">
        <v>348</v>
      </c>
      <c r="J9372" s="249" t="s">
        <v>100</v>
      </c>
      <c r="K9372" s="250">
        <v>3052.6808119770981</v>
      </c>
      <c r="L9372" s="252"/>
    </row>
    <row r="9373" spans="1:17" ht="10.9" customHeight="1" x14ac:dyDescent="0.2">
      <c r="A9373" s="242">
        <v>2023</v>
      </c>
      <c r="B9373" s="242">
        <v>8</v>
      </c>
      <c r="C9373" s="242">
        <v>17</v>
      </c>
      <c r="D9373" s="321">
        <f t="shared" si="1118"/>
        <v>45155</v>
      </c>
      <c r="E9373" s="322">
        <f t="shared" si="1119"/>
        <v>45155</v>
      </c>
      <c r="F9373" s="478"/>
      <c r="G9373" s="243" t="s">
        <v>94</v>
      </c>
      <c r="H9373" s="243" t="str" cm="1">
        <f t="array" ref="H9373">IFERROR(INDEX(INVESTOR_LIST[INVESTOR NAME],MATCH(I9373,INVESTOR_LIST[INVESTOR CODE],0),)," ")</f>
        <v xml:space="preserve"> </v>
      </c>
      <c r="I9373" s="263" t="s">
        <v>348</v>
      </c>
      <c r="J9373" s="244" t="s">
        <v>48</v>
      </c>
      <c r="K9373" s="245"/>
      <c r="L9373" s="245">
        <v>3052.6808119770981</v>
      </c>
    </row>
    <row r="9374" spans="1:17" x14ac:dyDescent="0.2">
      <c r="A9374" s="133">
        <v>2023</v>
      </c>
      <c r="B9374" s="133">
        <v>8</v>
      </c>
      <c r="C9374" s="133">
        <v>21</v>
      </c>
      <c r="D9374" s="141">
        <f t="shared" si="1118"/>
        <v>45159</v>
      </c>
      <c r="E9374" s="275">
        <f t="shared" si="1119"/>
        <v>45159</v>
      </c>
      <c r="F9374" s="481" t="s">
        <v>275</v>
      </c>
      <c r="G9374" s="174" t="s">
        <v>74</v>
      </c>
      <c r="H9374" s="174" t="str" cm="1">
        <f t="array" ref="H9374">IFERROR(INDEX(INVESTOR_LIST[INVESTOR NAME],MATCH(I9374,INVESTOR_LIST[INVESTOR CODE],0),)," ")</f>
        <v xml:space="preserve"> </v>
      </c>
      <c r="I9374" s="148" t="s">
        <v>348</v>
      </c>
      <c r="J9374" s="149" t="s">
        <v>163</v>
      </c>
      <c r="K9374" s="218">
        <v>1575</v>
      </c>
      <c r="L9374" s="218"/>
      <c r="M9374" s="147"/>
      <c r="Q9374" s="133" t="s">
        <v>348</v>
      </c>
    </row>
    <row r="9375" spans="1:17" x14ac:dyDescent="0.2">
      <c r="A9375" s="163">
        <v>2023</v>
      </c>
      <c r="B9375" s="163">
        <v>8</v>
      </c>
      <c r="C9375" s="163">
        <v>21</v>
      </c>
      <c r="D9375" s="141">
        <f t="shared" si="1118"/>
        <v>45159</v>
      </c>
      <c r="E9375" s="275">
        <f t="shared" si="1119"/>
        <v>45159</v>
      </c>
      <c r="F9375" s="480"/>
      <c r="G9375" s="221" t="s">
        <v>74</v>
      </c>
      <c r="H9375" s="221" t="str" cm="1">
        <f t="array" ref="H9375">IFERROR(INDEX(INVESTOR_LIST[INVESTOR NAME],MATCH(I9375,INVESTOR_LIST[INVESTOR CODE],0),)," ")</f>
        <v xml:space="preserve"> </v>
      </c>
      <c r="I9375" s="145"/>
      <c r="J9375" s="146" t="s">
        <v>52</v>
      </c>
      <c r="K9375" s="219"/>
      <c r="L9375" s="219">
        <v>1575</v>
      </c>
      <c r="M9375" s="147"/>
      <c r="Q9375" s="133" t="s">
        <v>348</v>
      </c>
    </row>
    <row r="9376" spans="1:17" x14ac:dyDescent="0.2">
      <c r="A9376" s="133">
        <v>2023</v>
      </c>
      <c r="B9376" s="133">
        <v>8</v>
      </c>
      <c r="C9376" s="133">
        <v>21</v>
      </c>
      <c r="D9376" s="141">
        <f t="shared" ref="D9376:D9419" si="1120">DATE(A9376,B9376,C9376)</f>
        <v>45159</v>
      </c>
      <c r="E9376" s="275">
        <f t="shared" ref="E9376:E9419" si="1121">DATE(A9376,B9376,C9376)</f>
        <v>45159</v>
      </c>
      <c r="F9376" s="481" t="s">
        <v>1763</v>
      </c>
      <c r="G9376" s="174" t="s">
        <v>74</v>
      </c>
      <c r="H9376" s="174" t="str" cm="1">
        <f t="array" ref="H9376">IFERROR(INDEX(INVESTOR_LIST[INVESTOR NAME],MATCH(I9376,INVESTOR_LIST[INVESTOR CODE],0),)," ")</f>
        <v xml:space="preserve"> </v>
      </c>
      <c r="I9376" s="148" t="s">
        <v>348</v>
      </c>
      <c r="J9376" s="149" t="s">
        <v>1764</v>
      </c>
      <c r="K9376" s="218">
        <v>1846812</v>
      </c>
      <c r="L9376" s="218"/>
      <c r="M9376" s="147"/>
      <c r="Q9376" s="133" t="s">
        <v>348</v>
      </c>
    </row>
    <row r="9377" spans="1:17" x14ac:dyDescent="0.2">
      <c r="A9377" s="163">
        <v>2023</v>
      </c>
      <c r="B9377" s="163">
        <v>8</v>
      </c>
      <c r="C9377" s="163">
        <v>21</v>
      </c>
      <c r="D9377" s="141">
        <f t="shared" si="1120"/>
        <v>45159</v>
      </c>
      <c r="E9377" s="275">
        <f t="shared" si="1121"/>
        <v>45159</v>
      </c>
      <c r="F9377" s="480"/>
      <c r="G9377" s="221" t="s">
        <v>74</v>
      </c>
      <c r="H9377" s="221" t="str" cm="1">
        <f t="array" ref="H9377">IFERROR(INDEX(INVESTOR_LIST[INVESTOR NAME],MATCH(I9377,INVESTOR_LIST[INVESTOR CODE],0),)," ")</f>
        <v xml:space="preserve"> </v>
      </c>
      <c r="I9377" s="145"/>
      <c r="J9377" s="146" t="s">
        <v>52</v>
      </c>
      <c r="K9377" s="219"/>
      <c r="L9377" s="219">
        <v>1846812</v>
      </c>
      <c r="M9377" s="147"/>
      <c r="Q9377" s="133" t="s">
        <v>348</v>
      </c>
    </row>
    <row r="9378" spans="1:17" ht="10.15" customHeight="1" x14ac:dyDescent="0.2">
      <c r="A9378" s="168">
        <v>2023</v>
      </c>
      <c r="B9378" s="168">
        <v>8</v>
      </c>
      <c r="C9378" s="168">
        <v>21</v>
      </c>
      <c r="D9378" s="141">
        <f>DATE(A9378,B9378,C9378)</f>
        <v>45159</v>
      </c>
      <c r="E9378" s="275">
        <f>DATE(A9378,B9378,C9378)</f>
        <v>45159</v>
      </c>
      <c r="F9378" s="479" t="s">
        <v>1315</v>
      </c>
      <c r="G9378" s="220" t="s">
        <v>74</v>
      </c>
      <c r="H9378" s="142" t="str" cm="1">
        <f t="array" ref="H9378">IFERROR(INDEX(INVESTOR_LIST[INVESTOR NAME],MATCH(I9378,INVESTOR_LIST[INVESTOR CODE],0),)," ")</f>
        <v>SUMAIYA CHOWDHURY RUPTY</v>
      </c>
      <c r="I9378" s="142" t="s">
        <v>853</v>
      </c>
      <c r="J9378" s="168" t="s">
        <v>13</v>
      </c>
      <c r="K9378" s="218">
        <v>190820</v>
      </c>
      <c r="L9378" s="226"/>
    </row>
    <row r="9379" spans="1:17" ht="10.15" customHeight="1" x14ac:dyDescent="0.2">
      <c r="A9379" s="133">
        <v>2023</v>
      </c>
      <c r="B9379" s="133">
        <v>8</v>
      </c>
      <c r="C9379" s="133">
        <v>21</v>
      </c>
      <c r="D9379" s="141">
        <f t="shared" ref="D9379:D9380" si="1122">DATE(A9379,B9379,C9379)</f>
        <v>45159</v>
      </c>
      <c r="E9379" s="275">
        <f t="shared" ref="E9379:E9380" si="1123">DATE(A9379,B9379,C9379)</f>
        <v>45159</v>
      </c>
      <c r="F9379" s="481"/>
      <c r="G9379" s="174" t="s">
        <v>74</v>
      </c>
      <c r="H9379" s="148" t="str" cm="1">
        <f t="array" ref="H9379">IFERROR(INDEX(INVESTOR_LIST[INVESTOR NAME],MATCH(I9379,INVESTOR_LIST[INVESTOR CODE],0),)," ")</f>
        <v>SUMAIYA CHOWDHURY RUPTY</v>
      </c>
      <c r="I9379" s="148" t="s">
        <v>853</v>
      </c>
      <c r="J9379" s="133" t="s">
        <v>53</v>
      </c>
      <c r="K9379" s="218">
        <v>48296.54</v>
      </c>
      <c r="L9379" s="133"/>
    </row>
    <row r="9380" spans="1:17" ht="10.15" customHeight="1" x14ac:dyDescent="0.2">
      <c r="A9380" s="163">
        <v>2023</v>
      </c>
      <c r="B9380" s="163">
        <v>8</v>
      </c>
      <c r="C9380" s="163">
        <v>21</v>
      </c>
      <c r="D9380" s="280">
        <f t="shared" si="1122"/>
        <v>45159</v>
      </c>
      <c r="E9380" s="281">
        <f t="shared" si="1123"/>
        <v>45159</v>
      </c>
      <c r="F9380" s="480"/>
      <c r="G9380" s="221" t="s">
        <v>74</v>
      </c>
      <c r="H9380" s="145" t="str" cm="1">
        <f t="array" ref="H9380">IFERROR(INDEX(INVESTOR_LIST[INVESTOR NAME],MATCH(I9380,INVESTOR_LIST[INVESTOR CODE],0),)," ")</f>
        <v>SUMAIYA CHOWDHURY RUPTY</v>
      </c>
      <c r="I9380" s="145" t="s">
        <v>853</v>
      </c>
      <c r="J9380" s="163" t="s">
        <v>52</v>
      </c>
      <c r="K9380" s="219"/>
      <c r="L9380" s="219">
        <v>239116.54</v>
      </c>
    </row>
    <row r="9381" spans="1:17" ht="10.15" customHeight="1" x14ac:dyDescent="0.2">
      <c r="A9381" s="168">
        <v>2023</v>
      </c>
      <c r="B9381" s="168">
        <v>8</v>
      </c>
      <c r="C9381" s="168">
        <v>21</v>
      </c>
      <c r="D9381" s="141">
        <f>DATE(A9381,B9381,C9381)</f>
        <v>45159</v>
      </c>
      <c r="E9381" s="275">
        <f>DATE(A9381,B9381,C9381)</f>
        <v>45159</v>
      </c>
      <c r="F9381" s="479" t="s">
        <v>1315</v>
      </c>
      <c r="G9381" s="220" t="s">
        <v>74</v>
      </c>
      <c r="H9381" s="142" t="str" cm="1">
        <f t="array" ref="H9381">IFERROR(INDEX(INVESTOR_LIST[INVESTOR NAME],MATCH(I9381,INVESTOR_LIST[INVESTOR CODE],0),)," ")</f>
        <v>FAHMIDA KHAN</v>
      </c>
      <c r="I9381" s="142" t="s">
        <v>617</v>
      </c>
      <c r="J9381" s="168" t="s">
        <v>13</v>
      </c>
      <c r="K9381" s="218">
        <v>48520</v>
      </c>
      <c r="L9381" s="226"/>
    </row>
    <row r="9382" spans="1:17" ht="10.15" customHeight="1" x14ac:dyDescent="0.2">
      <c r="A9382" s="133">
        <v>2023</v>
      </c>
      <c r="B9382" s="133">
        <v>8</v>
      </c>
      <c r="C9382" s="133">
        <v>21</v>
      </c>
      <c r="D9382" s="141">
        <f t="shared" ref="D9382:D9383" si="1124">DATE(A9382,B9382,C9382)</f>
        <v>45159</v>
      </c>
      <c r="E9382" s="275">
        <f t="shared" ref="E9382:E9383" si="1125">DATE(A9382,B9382,C9382)</f>
        <v>45159</v>
      </c>
      <c r="F9382" s="481"/>
      <c r="G9382" s="174" t="s">
        <v>74</v>
      </c>
      <c r="H9382" s="148" t="str" cm="1">
        <f t="array" ref="H9382">IFERROR(INDEX(INVESTOR_LIST[INVESTOR NAME],MATCH(I9382,INVESTOR_LIST[INVESTOR CODE],0),)," ")</f>
        <v>FAHMIDA KHAN</v>
      </c>
      <c r="I9382" s="148" t="s">
        <v>617</v>
      </c>
      <c r="J9382" s="133" t="s">
        <v>53</v>
      </c>
      <c r="K9382" s="218">
        <v>12280.41</v>
      </c>
      <c r="L9382" s="133"/>
    </row>
    <row r="9383" spans="1:17" ht="10.15" customHeight="1" x14ac:dyDescent="0.2">
      <c r="A9383" s="163">
        <v>2023</v>
      </c>
      <c r="B9383" s="163">
        <v>8</v>
      </c>
      <c r="C9383" s="163">
        <v>21</v>
      </c>
      <c r="D9383" s="280">
        <f t="shared" si="1124"/>
        <v>45159</v>
      </c>
      <c r="E9383" s="281">
        <f t="shared" si="1125"/>
        <v>45159</v>
      </c>
      <c r="F9383" s="480"/>
      <c r="G9383" s="221" t="s">
        <v>74</v>
      </c>
      <c r="H9383" s="145" t="str" cm="1">
        <f t="array" ref="H9383">IFERROR(INDEX(INVESTOR_LIST[INVESTOR NAME],MATCH(I9383,INVESTOR_LIST[INVESTOR CODE],0),)," ")</f>
        <v>FAHMIDA KHAN</v>
      </c>
      <c r="I9383" s="145" t="s">
        <v>617</v>
      </c>
      <c r="J9383" s="163" t="s">
        <v>52</v>
      </c>
      <c r="K9383" s="219"/>
      <c r="L9383" s="219">
        <v>60800.41</v>
      </c>
    </row>
    <row r="9384" spans="1:17" ht="10.15" customHeight="1" x14ac:dyDescent="0.2">
      <c r="A9384" s="168">
        <v>2023</v>
      </c>
      <c r="B9384" s="168">
        <v>8</v>
      </c>
      <c r="C9384" s="168">
        <v>22</v>
      </c>
      <c r="D9384" s="141">
        <f>DATE(A9384,B9384,C9384)</f>
        <v>45160</v>
      </c>
      <c r="E9384" s="275">
        <f>DATE(A9384,B9384,C9384)</f>
        <v>45160</v>
      </c>
      <c r="F9384" s="479" t="s">
        <v>1315</v>
      </c>
      <c r="G9384" s="220" t="s">
        <v>74</v>
      </c>
      <c r="H9384" s="142" t="str" cm="1">
        <f t="array" ref="H9384">IFERROR(INDEX(INVESTOR_LIST[INVESTOR NAME],MATCH(I9384,INVESTOR_LIST[INVESTOR CODE],0),)," ")</f>
        <v>BISHWAJIT BASAK</v>
      </c>
      <c r="I9384" s="142" t="s">
        <v>1037</v>
      </c>
      <c r="J9384" s="168" t="s">
        <v>13</v>
      </c>
      <c r="K9384" s="218">
        <v>481540</v>
      </c>
      <c r="L9384" s="226"/>
    </row>
    <row r="9385" spans="1:17" ht="10.15" customHeight="1" x14ac:dyDescent="0.2">
      <c r="A9385" s="133">
        <v>2023</v>
      </c>
      <c r="B9385" s="133">
        <v>8</v>
      </c>
      <c r="C9385" s="133">
        <v>22</v>
      </c>
      <c r="D9385" s="141">
        <f t="shared" ref="D9385:D9386" si="1126">DATE(A9385,B9385,C9385)</f>
        <v>45160</v>
      </c>
      <c r="E9385" s="275">
        <f t="shared" ref="E9385:E9386" si="1127">DATE(A9385,B9385,C9385)</f>
        <v>45160</v>
      </c>
      <c r="F9385" s="481"/>
      <c r="G9385" s="174" t="s">
        <v>74</v>
      </c>
      <c r="H9385" s="148" t="str" cm="1">
        <f t="array" ref="H9385">IFERROR(INDEX(INVESTOR_LIST[INVESTOR NAME],MATCH(I9385,INVESTOR_LIST[INVESTOR CODE],0),)," ")</f>
        <v>BISHWAJIT BASAK</v>
      </c>
      <c r="I9385" s="148" t="s">
        <v>1037</v>
      </c>
      <c r="J9385" s="133" t="s">
        <v>53</v>
      </c>
      <c r="K9385" s="218">
        <v>121877.77</v>
      </c>
      <c r="L9385" s="133"/>
    </row>
    <row r="9386" spans="1:17" ht="10.15" customHeight="1" x14ac:dyDescent="0.2">
      <c r="A9386" s="163">
        <v>2023</v>
      </c>
      <c r="B9386" s="163">
        <v>8</v>
      </c>
      <c r="C9386" s="163">
        <v>22</v>
      </c>
      <c r="D9386" s="280">
        <f t="shared" si="1126"/>
        <v>45160</v>
      </c>
      <c r="E9386" s="281">
        <f t="shared" si="1127"/>
        <v>45160</v>
      </c>
      <c r="F9386" s="480"/>
      <c r="G9386" s="221" t="s">
        <v>74</v>
      </c>
      <c r="H9386" s="145" t="str" cm="1">
        <f t="array" ref="H9386">IFERROR(INDEX(INVESTOR_LIST[INVESTOR NAME],MATCH(I9386,INVESTOR_LIST[INVESTOR CODE],0),)," ")</f>
        <v>BISHWAJIT BASAK</v>
      </c>
      <c r="I9386" s="145" t="s">
        <v>1037</v>
      </c>
      <c r="J9386" s="163" t="s">
        <v>52</v>
      </c>
      <c r="K9386" s="219"/>
      <c r="L9386" s="219">
        <v>603417.77</v>
      </c>
    </row>
    <row r="9387" spans="1:17" ht="10.15" customHeight="1" x14ac:dyDescent="0.2">
      <c r="A9387" s="168">
        <v>2023</v>
      </c>
      <c r="B9387" s="168">
        <v>8</v>
      </c>
      <c r="C9387" s="168">
        <v>22</v>
      </c>
      <c r="D9387" s="141">
        <f>DATE(A9387,B9387,C9387)</f>
        <v>45160</v>
      </c>
      <c r="E9387" s="275">
        <f>DATE(A9387,B9387,C9387)</f>
        <v>45160</v>
      </c>
      <c r="F9387" s="479" t="s">
        <v>1310</v>
      </c>
      <c r="G9387" s="220" t="s">
        <v>74</v>
      </c>
      <c r="H9387" s="142" t="str" cm="1">
        <f t="array" ref="H9387">IFERROR(INDEX(INVESTOR_LIST[INVESTOR NAME],MATCH(I9387,INVESTOR_LIST[INVESTOR CODE],0),)," ")</f>
        <v>FAHMIDA SHARMIN NOWRIN</v>
      </c>
      <c r="I9387" s="142" t="s">
        <v>1332</v>
      </c>
      <c r="J9387" s="168" t="s">
        <v>13</v>
      </c>
      <c r="K9387" s="218">
        <v>69560</v>
      </c>
      <c r="L9387" s="226"/>
    </row>
    <row r="9388" spans="1:17" ht="10.15" customHeight="1" x14ac:dyDescent="0.2">
      <c r="A9388" s="133">
        <v>2023</v>
      </c>
      <c r="B9388" s="133">
        <v>8</v>
      </c>
      <c r="C9388" s="133">
        <v>22</v>
      </c>
      <c r="D9388" s="141">
        <f t="shared" ref="D9388:D9389" si="1128">DATE(A9388,B9388,C9388)</f>
        <v>45160</v>
      </c>
      <c r="E9388" s="275">
        <f t="shared" ref="E9388:E9389" si="1129">DATE(A9388,B9388,C9388)</f>
        <v>45160</v>
      </c>
      <c r="F9388" s="481"/>
      <c r="G9388" s="174" t="s">
        <v>74</v>
      </c>
      <c r="H9388" s="148" t="str" cm="1">
        <f t="array" ref="H9388">IFERROR(INDEX(INVESTOR_LIST[INVESTOR NAME],MATCH(I9388,INVESTOR_LIST[INVESTOR CODE],0),)," ")</f>
        <v>FAHMIDA SHARMIN NOWRIN</v>
      </c>
      <c r="I9388" s="148" t="s">
        <v>1332</v>
      </c>
      <c r="J9388" s="133" t="s">
        <v>53</v>
      </c>
      <c r="K9388" s="218">
        <v>17605.64</v>
      </c>
      <c r="L9388" s="133"/>
    </row>
    <row r="9389" spans="1:17" ht="10.15" customHeight="1" x14ac:dyDescent="0.2">
      <c r="A9389" s="163">
        <v>2023</v>
      </c>
      <c r="B9389" s="163">
        <v>8</v>
      </c>
      <c r="C9389" s="163">
        <v>22</v>
      </c>
      <c r="D9389" s="280">
        <f t="shared" si="1128"/>
        <v>45160</v>
      </c>
      <c r="E9389" s="281">
        <f t="shared" si="1129"/>
        <v>45160</v>
      </c>
      <c r="F9389" s="480"/>
      <c r="G9389" s="221" t="s">
        <v>74</v>
      </c>
      <c r="H9389" s="145" t="str" cm="1">
        <f t="array" ref="H9389">IFERROR(INDEX(INVESTOR_LIST[INVESTOR NAME],MATCH(I9389,INVESTOR_LIST[INVESTOR CODE],0),)," ")</f>
        <v>FAHMIDA SHARMIN NOWRIN</v>
      </c>
      <c r="I9389" s="145" t="s">
        <v>1332</v>
      </c>
      <c r="J9389" s="163" t="s">
        <v>52</v>
      </c>
      <c r="K9389" s="219"/>
      <c r="L9389" s="219">
        <v>87165.64</v>
      </c>
    </row>
    <row r="9390" spans="1:17" x14ac:dyDescent="0.2">
      <c r="A9390" s="168">
        <v>2023</v>
      </c>
      <c r="B9390" s="168">
        <v>8</v>
      </c>
      <c r="C9390" s="168">
        <v>24</v>
      </c>
      <c r="D9390" s="141">
        <f t="shared" si="1120"/>
        <v>45162</v>
      </c>
      <c r="E9390" s="275">
        <f t="shared" si="1121"/>
        <v>45162</v>
      </c>
      <c r="F9390" s="479" t="s">
        <v>1766</v>
      </c>
      <c r="G9390" s="220" t="s">
        <v>74</v>
      </c>
      <c r="H9390" s="142" t="str" cm="1">
        <f t="array" ref="H9390">IFERROR(INDEX(INVESTOR_LIST[INVESTOR NAME],MATCH(I9390,INVESTOR_LIST[INVESTOR CODE],0),)," ")</f>
        <v xml:space="preserve"> </v>
      </c>
      <c r="I9390" s="142"/>
      <c r="J9390" s="168" t="s">
        <v>48</v>
      </c>
      <c r="K9390" s="226">
        <v>183336.51</v>
      </c>
      <c r="L9390" s="226"/>
    </row>
    <row r="9391" spans="1:17" x14ac:dyDescent="0.2">
      <c r="A9391" s="163">
        <v>2023</v>
      </c>
      <c r="B9391" s="163">
        <v>8</v>
      </c>
      <c r="C9391" s="163">
        <v>24</v>
      </c>
      <c r="D9391" s="141">
        <f t="shared" si="1120"/>
        <v>45162</v>
      </c>
      <c r="E9391" s="275">
        <f t="shared" si="1121"/>
        <v>45162</v>
      </c>
      <c r="F9391" s="480"/>
      <c r="G9391" s="221" t="s">
        <v>74</v>
      </c>
      <c r="H9391" s="145" t="str" cm="1">
        <f t="array" ref="H9391">IFERROR(INDEX(INVESTOR_LIST[INVESTOR NAME],MATCH(I9391,INVESTOR_LIST[INVESTOR CODE],0),)," ")</f>
        <v xml:space="preserve"> </v>
      </c>
      <c r="I9391" s="145"/>
      <c r="J9391" s="163" t="s">
        <v>52</v>
      </c>
      <c r="K9391" s="219"/>
      <c r="L9391" s="219">
        <v>183336.51</v>
      </c>
    </row>
    <row r="9392" spans="1:17" x14ac:dyDescent="0.2">
      <c r="A9392" s="324">
        <v>2023</v>
      </c>
      <c r="B9392" s="324">
        <v>8</v>
      </c>
      <c r="C9392" s="325">
        <v>24</v>
      </c>
      <c r="D9392" s="326">
        <f t="shared" si="1120"/>
        <v>45162</v>
      </c>
      <c r="E9392" s="327">
        <f t="shared" si="1121"/>
        <v>45162</v>
      </c>
      <c r="F9392" s="473" t="s">
        <v>1490</v>
      </c>
      <c r="G9392" s="328" t="s">
        <v>94</v>
      </c>
      <c r="H9392" s="329" t="str" cm="1">
        <f t="array" ref="H9392">IFERROR(INDEX(INVESTOR_LIST[INVESTOR NAME],MATCH(I9392,INVESTOR_LIST[INVESTOR CODE],0),)," ")</f>
        <v xml:space="preserve"> </v>
      </c>
      <c r="I9392" s="329" t="s">
        <v>348</v>
      </c>
      <c r="J9392" s="325" t="s">
        <v>133</v>
      </c>
      <c r="K9392" s="330">
        <v>23763.11</v>
      </c>
      <c r="L9392" s="330"/>
      <c r="M9392" s="160"/>
    </row>
    <row r="9393" spans="1:14" x14ac:dyDescent="0.2">
      <c r="A9393" s="331">
        <v>2023</v>
      </c>
      <c r="B9393" s="331">
        <v>8</v>
      </c>
      <c r="C9393" s="331">
        <v>24</v>
      </c>
      <c r="D9393" s="326">
        <f t="shared" si="1120"/>
        <v>45162</v>
      </c>
      <c r="E9393" s="327">
        <f t="shared" si="1121"/>
        <v>45162</v>
      </c>
      <c r="F9393" s="474"/>
      <c r="G9393" s="332" t="s">
        <v>94</v>
      </c>
      <c r="H9393" s="333" t="str" cm="1">
        <f t="array" ref="H9393">IFERROR(INDEX(INVESTOR_LIST[INVESTOR NAME],MATCH(I9393,INVESTOR_LIST[INVESTOR CODE],0),)," ")</f>
        <v xml:space="preserve"> </v>
      </c>
      <c r="I9393" s="333" t="s">
        <v>348</v>
      </c>
      <c r="J9393" s="331" t="s">
        <v>152</v>
      </c>
      <c r="K9393" s="334"/>
      <c r="L9393" s="334">
        <v>23763.11</v>
      </c>
      <c r="M9393" s="160"/>
      <c r="N9393" s="160"/>
    </row>
    <row r="9394" spans="1:14" x14ac:dyDescent="0.2">
      <c r="A9394" s="324">
        <v>2023</v>
      </c>
      <c r="B9394" s="324">
        <v>8</v>
      </c>
      <c r="C9394" s="325">
        <v>24</v>
      </c>
      <c r="D9394" s="326">
        <f t="shared" si="1120"/>
        <v>45162</v>
      </c>
      <c r="E9394" s="327">
        <f t="shared" si="1121"/>
        <v>45162</v>
      </c>
      <c r="F9394" s="473" t="s">
        <v>1491</v>
      </c>
      <c r="G9394" s="328" t="s">
        <v>94</v>
      </c>
      <c r="H9394" s="329" t="str" cm="1">
        <f t="array" ref="H9394">IFERROR(INDEX(INVESTOR_LIST[INVESTOR NAME],MATCH(I9394,INVESTOR_LIST[INVESTOR CODE],0),)," ")</f>
        <v xml:space="preserve"> </v>
      </c>
      <c r="I9394" s="329" t="s">
        <v>348</v>
      </c>
      <c r="J9394" s="324" t="s">
        <v>133</v>
      </c>
      <c r="K9394" s="330">
        <v>4615.38</v>
      </c>
      <c r="L9394" s="330"/>
      <c r="M9394" s="160"/>
      <c r="N9394" s="160"/>
    </row>
    <row r="9395" spans="1:14" x14ac:dyDescent="0.2">
      <c r="A9395" s="331">
        <v>2023</v>
      </c>
      <c r="B9395" s="331">
        <v>8</v>
      </c>
      <c r="C9395" s="331">
        <v>24</v>
      </c>
      <c r="D9395" s="326">
        <f t="shared" si="1120"/>
        <v>45162</v>
      </c>
      <c r="E9395" s="327">
        <f t="shared" si="1121"/>
        <v>45162</v>
      </c>
      <c r="F9395" s="474"/>
      <c r="G9395" s="332" t="s">
        <v>94</v>
      </c>
      <c r="H9395" s="333" t="str" cm="1">
        <f t="array" ref="H9395">IFERROR(INDEX(INVESTOR_LIST[INVESTOR NAME],MATCH(I9395,INVESTOR_LIST[INVESTOR CODE],0),)," ")</f>
        <v xml:space="preserve"> </v>
      </c>
      <c r="I9395" s="333" t="s">
        <v>348</v>
      </c>
      <c r="J9395" s="331" t="s">
        <v>152</v>
      </c>
      <c r="K9395" s="334"/>
      <c r="L9395" s="334">
        <v>4615.38</v>
      </c>
      <c r="M9395" s="160"/>
    </row>
    <row r="9396" spans="1:14" x14ac:dyDescent="0.2">
      <c r="A9396" s="324">
        <v>2023</v>
      </c>
      <c r="B9396" s="324">
        <v>8</v>
      </c>
      <c r="C9396" s="325">
        <v>24</v>
      </c>
      <c r="D9396" s="326">
        <f t="shared" si="1120"/>
        <v>45162</v>
      </c>
      <c r="E9396" s="327">
        <f t="shared" si="1121"/>
        <v>45162</v>
      </c>
      <c r="F9396" s="473" t="s">
        <v>1531</v>
      </c>
      <c r="G9396" s="328" t="s">
        <v>94</v>
      </c>
      <c r="H9396" s="329" t="str" cm="1">
        <f t="array" ref="H9396">IFERROR(INDEX(INVESTOR_LIST[INVESTOR NAME],MATCH(I9396,INVESTOR_LIST[INVESTOR CODE],0),)," ")</f>
        <v xml:space="preserve"> </v>
      </c>
      <c r="I9396" s="329" t="s">
        <v>348</v>
      </c>
      <c r="J9396" s="324" t="s">
        <v>133</v>
      </c>
      <c r="K9396" s="330">
        <v>21538.46</v>
      </c>
      <c r="L9396" s="330"/>
      <c r="M9396" s="160"/>
    </row>
    <row r="9397" spans="1:14" x14ac:dyDescent="0.2">
      <c r="A9397" s="331">
        <v>2023</v>
      </c>
      <c r="B9397" s="331">
        <v>8</v>
      </c>
      <c r="C9397" s="331">
        <v>24</v>
      </c>
      <c r="D9397" s="326">
        <f t="shared" si="1120"/>
        <v>45162</v>
      </c>
      <c r="E9397" s="327">
        <f t="shared" si="1121"/>
        <v>45162</v>
      </c>
      <c r="F9397" s="474"/>
      <c r="G9397" s="332" t="s">
        <v>94</v>
      </c>
      <c r="H9397" s="333" t="str" cm="1">
        <f t="array" ref="H9397">IFERROR(INDEX(INVESTOR_LIST[INVESTOR NAME],MATCH(I9397,INVESTOR_LIST[INVESTOR CODE],0),)," ")</f>
        <v xml:space="preserve"> </v>
      </c>
      <c r="I9397" s="333" t="s">
        <v>348</v>
      </c>
      <c r="J9397" s="331" t="s">
        <v>152</v>
      </c>
      <c r="K9397" s="334"/>
      <c r="L9397" s="334">
        <v>21538.46</v>
      </c>
      <c r="M9397" s="160"/>
    </row>
    <row r="9398" spans="1:14" x14ac:dyDescent="0.2">
      <c r="A9398" s="238">
        <v>2023</v>
      </c>
      <c r="B9398" s="238">
        <v>8</v>
      </c>
      <c r="C9398" s="238">
        <v>24</v>
      </c>
      <c r="D9398" s="270">
        <f t="shared" si="1120"/>
        <v>45162</v>
      </c>
      <c r="E9398" s="279">
        <f t="shared" si="1121"/>
        <v>45162</v>
      </c>
      <c r="F9398" s="477" t="s">
        <v>347</v>
      </c>
      <c r="G9398" s="239" t="s">
        <v>94</v>
      </c>
      <c r="H9398" s="239" t="str" cm="1">
        <f t="array" ref="H9398">IFERROR(INDEX(INVESTOR_LIST[INVESTOR NAME],MATCH(I9398,INVESTOR_LIST[INVESTOR CODE],0),)," ")</f>
        <v xml:space="preserve"> </v>
      </c>
      <c r="I9398" s="262" t="s">
        <v>348</v>
      </c>
      <c r="J9398" s="240" t="s">
        <v>108</v>
      </c>
      <c r="K9398" s="241">
        <v>457765.34000000358</v>
      </c>
      <c r="L9398" s="241"/>
    </row>
    <row r="9399" spans="1:14" x14ac:dyDescent="0.2">
      <c r="A9399" s="242">
        <v>2023</v>
      </c>
      <c r="B9399" s="242">
        <v>8</v>
      </c>
      <c r="C9399" s="242">
        <v>24</v>
      </c>
      <c r="D9399" s="270">
        <f t="shared" si="1120"/>
        <v>45162</v>
      </c>
      <c r="E9399" s="279">
        <f t="shared" si="1121"/>
        <v>45162</v>
      </c>
      <c r="F9399" s="478"/>
      <c r="G9399" s="243" t="s">
        <v>94</v>
      </c>
      <c r="H9399" s="243" t="str" cm="1">
        <f t="array" ref="H9399">IFERROR(INDEX(INVESTOR_LIST[INVESTOR NAME],MATCH(I9399,INVESTOR_LIST[INVESTOR CODE],0),)," ")</f>
        <v xml:space="preserve"> </v>
      </c>
      <c r="I9399" s="263" t="s">
        <v>348</v>
      </c>
      <c r="J9399" s="244" t="s">
        <v>82</v>
      </c>
      <c r="K9399" s="245"/>
      <c r="L9399" s="245">
        <v>457765.34000000358</v>
      </c>
    </row>
    <row r="9400" spans="1:14" ht="22.5" x14ac:dyDescent="0.2">
      <c r="A9400" s="246">
        <v>2023</v>
      </c>
      <c r="B9400" s="238">
        <v>8</v>
      </c>
      <c r="C9400" s="238">
        <v>24</v>
      </c>
      <c r="D9400" s="270">
        <f t="shared" si="1120"/>
        <v>45162</v>
      </c>
      <c r="E9400" s="279">
        <f t="shared" si="1121"/>
        <v>45162</v>
      </c>
      <c r="F9400" s="482" t="s">
        <v>148</v>
      </c>
      <c r="G9400" s="247" t="s">
        <v>94</v>
      </c>
      <c r="H9400" s="247" t="str" cm="1">
        <f t="array" ref="H9400">IFERROR(INDEX(INVESTOR_LIST[INVESTOR NAME],MATCH(I9400,INVESTOR_LIST[INVESTOR CODE],0),)," ")</f>
        <v xml:space="preserve"> </v>
      </c>
      <c r="I9400" s="248" t="s">
        <v>348</v>
      </c>
      <c r="J9400" s="249" t="s">
        <v>95</v>
      </c>
      <c r="K9400" s="250">
        <v>2747.2527472527472</v>
      </c>
      <c r="L9400" s="241"/>
    </row>
    <row r="9401" spans="1:14" x14ac:dyDescent="0.2">
      <c r="A9401" s="242">
        <v>2023</v>
      </c>
      <c r="B9401" s="242">
        <v>8</v>
      </c>
      <c r="C9401" s="242">
        <v>24</v>
      </c>
      <c r="D9401" s="270">
        <f t="shared" si="1120"/>
        <v>45162</v>
      </c>
      <c r="E9401" s="279">
        <f t="shared" si="1121"/>
        <v>45162</v>
      </c>
      <c r="F9401" s="478"/>
      <c r="G9401" s="243" t="s">
        <v>94</v>
      </c>
      <c r="H9401" s="243" t="str" cm="1">
        <f t="array" ref="H9401">IFERROR(INDEX(INVESTOR_LIST[INVESTOR NAME],MATCH(I9401,INVESTOR_LIST[INVESTOR CODE],0),)," ")</f>
        <v xml:space="preserve"> </v>
      </c>
      <c r="I9401" s="263" t="s">
        <v>348</v>
      </c>
      <c r="J9401" s="244" t="s">
        <v>63</v>
      </c>
      <c r="K9401" s="245"/>
      <c r="L9401" s="245">
        <v>2747.2527472527472</v>
      </c>
    </row>
    <row r="9402" spans="1:14" x14ac:dyDescent="0.2">
      <c r="A9402" s="246">
        <v>2023</v>
      </c>
      <c r="B9402" s="238">
        <v>8</v>
      </c>
      <c r="C9402" s="238">
        <v>24</v>
      </c>
      <c r="D9402" s="270">
        <f t="shared" si="1120"/>
        <v>45162</v>
      </c>
      <c r="E9402" s="279">
        <f t="shared" si="1121"/>
        <v>45162</v>
      </c>
      <c r="F9402" s="482" t="s">
        <v>137</v>
      </c>
      <c r="G9402" s="247" t="s">
        <v>94</v>
      </c>
      <c r="H9402" s="247" t="str" cm="1">
        <f t="array" ref="H9402">IFERROR(INDEX(INVESTOR_LIST[INVESTOR NAME],MATCH(I9402,INVESTOR_LIST[INVESTOR CODE],0),)," ")</f>
        <v xml:space="preserve"> </v>
      </c>
      <c r="I9402" s="248" t="s">
        <v>348</v>
      </c>
      <c r="J9402" s="249" t="s">
        <v>97</v>
      </c>
      <c r="K9402" s="250">
        <v>60841.598308850116</v>
      </c>
      <c r="L9402" s="252"/>
    </row>
    <row r="9403" spans="1:14" x14ac:dyDescent="0.2">
      <c r="A9403" s="242">
        <v>2023</v>
      </c>
      <c r="B9403" s="242">
        <v>8</v>
      </c>
      <c r="C9403" s="242">
        <v>24</v>
      </c>
      <c r="D9403" s="270">
        <f t="shared" si="1120"/>
        <v>45162</v>
      </c>
      <c r="E9403" s="279">
        <f t="shared" si="1121"/>
        <v>45162</v>
      </c>
      <c r="F9403" s="478"/>
      <c r="G9403" s="243" t="s">
        <v>94</v>
      </c>
      <c r="H9403" s="243" t="str" cm="1">
        <f t="array" ref="H9403">IFERROR(INDEX(INVESTOR_LIST[INVESTOR NAME],MATCH(I9403,INVESTOR_LIST[INVESTOR CODE],0),)," ")</f>
        <v xml:space="preserve"> </v>
      </c>
      <c r="I9403" s="263" t="s">
        <v>348</v>
      </c>
      <c r="J9403" s="244" t="s">
        <v>47</v>
      </c>
      <c r="K9403" s="245"/>
      <c r="L9403" s="245">
        <v>60841.598308850116</v>
      </c>
    </row>
    <row r="9404" spans="1:14" x14ac:dyDescent="0.2">
      <c r="A9404" s="246">
        <v>2023</v>
      </c>
      <c r="B9404" s="238">
        <v>8</v>
      </c>
      <c r="C9404" s="238">
        <v>24</v>
      </c>
      <c r="D9404" s="270">
        <f t="shared" si="1120"/>
        <v>45162</v>
      </c>
      <c r="E9404" s="279">
        <f t="shared" si="1121"/>
        <v>45162</v>
      </c>
      <c r="F9404" s="482" t="s">
        <v>138</v>
      </c>
      <c r="G9404" s="247" t="s">
        <v>94</v>
      </c>
      <c r="H9404" s="247" t="str" cm="1">
        <f t="array" ref="H9404">IFERROR(INDEX(INVESTOR_LIST[INVESTOR NAME],MATCH(I9404,INVESTOR_LIST[INVESTOR CODE],0),)," ")</f>
        <v xml:space="preserve"> </v>
      </c>
      <c r="I9404" s="248" t="s">
        <v>348</v>
      </c>
      <c r="J9404" s="249" t="s">
        <v>100</v>
      </c>
      <c r="K9404" s="250">
        <v>3042.0799154425058</v>
      </c>
      <c r="L9404" s="252"/>
    </row>
    <row r="9405" spans="1:14" ht="10.9" customHeight="1" x14ac:dyDescent="0.2">
      <c r="A9405" s="242">
        <v>2023</v>
      </c>
      <c r="B9405" s="242">
        <v>8</v>
      </c>
      <c r="C9405" s="242">
        <v>24</v>
      </c>
      <c r="D9405" s="321">
        <f t="shared" si="1120"/>
        <v>45162</v>
      </c>
      <c r="E9405" s="322">
        <f t="shared" si="1121"/>
        <v>45162</v>
      </c>
      <c r="F9405" s="478"/>
      <c r="G9405" s="243" t="s">
        <v>94</v>
      </c>
      <c r="H9405" s="243" t="str" cm="1">
        <f t="array" ref="H9405">IFERROR(INDEX(INVESTOR_LIST[INVESTOR NAME],MATCH(I9405,INVESTOR_LIST[INVESTOR CODE],0),)," ")</f>
        <v xml:space="preserve"> </v>
      </c>
      <c r="I9405" s="263" t="s">
        <v>348</v>
      </c>
      <c r="J9405" s="244" t="s">
        <v>48</v>
      </c>
      <c r="K9405" s="245"/>
      <c r="L9405" s="245">
        <v>3042.0799154425058</v>
      </c>
    </row>
    <row r="9406" spans="1:14" x14ac:dyDescent="0.2">
      <c r="A9406" s="133">
        <v>2023</v>
      </c>
      <c r="B9406" s="133">
        <v>8</v>
      </c>
      <c r="C9406" s="133">
        <v>27</v>
      </c>
      <c r="D9406" s="141">
        <f t="shared" si="1120"/>
        <v>45165</v>
      </c>
      <c r="E9406" s="275">
        <f t="shared" si="1121"/>
        <v>45165</v>
      </c>
      <c r="F9406" s="481" t="s">
        <v>982</v>
      </c>
      <c r="G9406" s="174" t="s">
        <v>74</v>
      </c>
      <c r="H9406" s="174" t="str" cm="1">
        <f t="array" ref="H9406">IFERROR(INDEX(INVESTOR_LIST[INVESTOR NAME],MATCH(I9406,INVESTOR_LIST[INVESTOR CODE],0),)," ")</f>
        <v xml:space="preserve"> </v>
      </c>
      <c r="I9406" s="148" t="s">
        <v>348</v>
      </c>
      <c r="J9406" s="149" t="s">
        <v>163</v>
      </c>
      <c r="K9406" s="218">
        <v>6250</v>
      </c>
      <c r="L9406" s="218"/>
    </row>
    <row r="9407" spans="1:14" x14ac:dyDescent="0.2">
      <c r="A9407" s="163">
        <v>2023</v>
      </c>
      <c r="B9407" s="163">
        <v>8</v>
      </c>
      <c r="C9407" s="163">
        <v>27</v>
      </c>
      <c r="D9407" s="141">
        <f t="shared" si="1120"/>
        <v>45165</v>
      </c>
      <c r="E9407" s="275">
        <f t="shared" si="1121"/>
        <v>45165</v>
      </c>
      <c r="F9407" s="480"/>
      <c r="G9407" s="221" t="s">
        <v>74</v>
      </c>
      <c r="H9407" s="221" t="str" cm="1">
        <f t="array" ref="H9407">IFERROR(INDEX(INVESTOR_LIST[INVESTOR NAME],MATCH(I9407,INVESTOR_LIST[INVESTOR CODE],0),)," ")</f>
        <v xml:space="preserve"> </v>
      </c>
      <c r="I9407" s="145" t="s">
        <v>348</v>
      </c>
      <c r="J9407" s="146" t="s">
        <v>52</v>
      </c>
      <c r="K9407" s="219"/>
      <c r="L9407" s="219">
        <v>6250</v>
      </c>
    </row>
    <row r="9408" spans="1:14" ht="10.15" customHeight="1" x14ac:dyDescent="0.2">
      <c r="A9408" s="133">
        <v>2023</v>
      </c>
      <c r="B9408" s="133">
        <v>8</v>
      </c>
      <c r="C9408" s="133">
        <v>27</v>
      </c>
      <c r="D9408" s="141">
        <f t="shared" si="1120"/>
        <v>45165</v>
      </c>
      <c r="E9408" s="275">
        <f t="shared" si="1121"/>
        <v>45165</v>
      </c>
      <c r="F9408" s="479" t="s">
        <v>1700</v>
      </c>
      <c r="G9408" s="220" t="s">
        <v>74</v>
      </c>
      <c r="H9408" s="220"/>
      <c r="I9408" s="142"/>
      <c r="J9408" s="143" t="s">
        <v>96</v>
      </c>
      <c r="K9408" s="226">
        <v>1000000</v>
      </c>
      <c r="L9408" s="226"/>
    </row>
    <row r="9409" spans="1:13" ht="10.15" customHeight="1" x14ac:dyDescent="0.2">
      <c r="A9409" s="133">
        <v>2023</v>
      </c>
      <c r="B9409" s="133">
        <v>8</v>
      </c>
      <c r="C9409" s="133">
        <v>27</v>
      </c>
      <c r="D9409" s="141">
        <f t="shared" si="1120"/>
        <v>45165</v>
      </c>
      <c r="E9409" s="275">
        <f t="shared" si="1121"/>
        <v>45165</v>
      </c>
      <c r="F9409" s="481"/>
      <c r="G9409" s="174" t="s">
        <v>74</v>
      </c>
      <c r="H9409" s="174" t="str" cm="1">
        <f t="array" ref="H9409">IFERROR(INDEX(INVESTOR_LIST[INVESTOR NAME],MATCH(I9409,INVESTOR_LIST[INVESTOR CODE],0),)," ")</f>
        <v xml:space="preserve"> </v>
      </c>
      <c r="I9409" s="148" t="s">
        <v>348</v>
      </c>
      <c r="J9409" s="149" t="s">
        <v>52</v>
      </c>
      <c r="K9409" s="218">
        <v>19375</v>
      </c>
      <c r="L9409" s="218"/>
    </row>
    <row r="9410" spans="1:13" ht="10.15" customHeight="1" x14ac:dyDescent="0.2">
      <c r="A9410" s="133">
        <v>2023</v>
      </c>
      <c r="B9410" s="133">
        <v>8</v>
      </c>
      <c r="C9410" s="133">
        <v>27</v>
      </c>
      <c r="D9410" s="141">
        <f t="shared" si="1120"/>
        <v>45165</v>
      </c>
      <c r="E9410" s="275">
        <f t="shared" si="1121"/>
        <v>45165</v>
      </c>
      <c r="F9410" s="481"/>
      <c r="G9410" s="174" t="s">
        <v>74</v>
      </c>
      <c r="H9410" s="174" t="str" cm="1">
        <f t="array" ref="H9410">IFERROR(INDEX(INVESTOR_LIST[INVESTOR NAME],MATCH(I9410,INVESTOR_LIST[INVESTOR CODE],0),)," ")</f>
        <v xml:space="preserve"> </v>
      </c>
      <c r="J9410" s="149" t="s">
        <v>133</v>
      </c>
      <c r="K9410" s="218"/>
      <c r="L9410" s="218">
        <v>19375</v>
      </c>
    </row>
    <row r="9411" spans="1:13" ht="10.15" customHeight="1" x14ac:dyDescent="0.2">
      <c r="A9411" s="163">
        <v>2023</v>
      </c>
      <c r="B9411" s="163">
        <v>8</v>
      </c>
      <c r="C9411" s="163">
        <v>27</v>
      </c>
      <c r="D9411" s="141">
        <f t="shared" si="1120"/>
        <v>45165</v>
      </c>
      <c r="E9411" s="275">
        <f t="shared" si="1121"/>
        <v>45165</v>
      </c>
      <c r="F9411" s="480"/>
      <c r="G9411" s="221" t="s">
        <v>74</v>
      </c>
      <c r="H9411" s="221"/>
      <c r="I9411" s="145"/>
      <c r="J9411" s="146" t="s">
        <v>96</v>
      </c>
      <c r="K9411" s="219"/>
      <c r="L9411" s="219">
        <v>1000000</v>
      </c>
    </row>
    <row r="9412" spans="1:13" x14ac:dyDescent="0.2">
      <c r="A9412" s="133">
        <v>2023</v>
      </c>
      <c r="B9412" s="133">
        <v>8</v>
      </c>
      <c r="C9412" s="133">
        <v>27</v>
      </c>
      <c r="D9412" s="141">
        <f t="shared" si="1120"/>
        <v>45165</v>
      </c>
      <c r="E9412" s="275">
        <f t="shared" si="1121"/>
        <v>45165</v>
      </c>
      <c r="F9412" s="481" t="s">
        <v>1767</v>
      </c>
      <c r="G9412" s="174" t="s">
        <v>94</v>
      </c>
      <c r="H9412" s="174" t="str" cm="1">
        <f t="array" ref="H9412">IFERROR(INDEX(INVESTOR_LIST[INVESTOR NAME],MATCH(I9412,INVESTOR_LIST[INVESTOR CODE],0),)," ")</f>
        <v xml:space="preserve"> </v>
      </c>
      <c r="J9412" s="149" t="s">
        <v>79</v>
      </c>
      <c r="K9412" s="218">
        <v>2506773.1</v>
      </c>
      <c r="L9412" s="218"/>
      <c r="M9412" s="160"/>
    </row>
    <row r="9413" spans="1:13" x14ac:dyDescent="0.2">
      <c r="A9413" s="133">
        <v>2023</v>
      </c>
      <c r="B9413" s="133">
        <v>8</v>
      </c>
      <c r="C9413" s="133">
        <v>27</v>
      </c>
      <c r="D9413" s="141">
        <f t="shared" si="1120"/>
        <v>45165</v>
      </c>
      <c r="E9413" s="275">
        <f t="shared" si="1121"/>
        <v>45165</v>
      </c>
      <c r="F9413" s="481"/>
      <c r="G9413" s="174" t="s">
        <v>94</v>
      </c>
      <c r="H9413" s="174"/>
      <c r="J9413" s="149" t="s">
        <v>80</v>
      </c>
      <c r="K9413" s="218">
        <v>6615.08</v>
      </c>
      <c r="L9413" s="218"/>
    </row>
    <row r="9414" spans="1:13" x14ac:dyDescent="0.2">
      <c r="A9414" s="133">
        <v>2023</v>
      </c>
      <c r="B9414" s="133">
        <v>8</v>
      </c>
      <c r="C9414" s="133">
        <v>27</v>
      </c>
      <c r="D9414" s="141">
        <f t="shared" ref="D9414" si="1130">DATE(A9414,B9414,C9414)</f>
        <v>45165</v>
      </c>
      <c r="E9414" s="275">
        <f t="shared" ref="E9414" si="1131">DATE(A9414,B9414,C9414)</f>
        <v>45165</v>
      </c>
      <c r="F9414" s="481"/>
      <c r="G9414" s="174" t="s">
        <v>94</v>
      </c>
      <c r="H9414" s="174"/>
      <c r="J9414" s="149" t="s">
        <v>190</v>
      </c>
      <c r="K9414" s="218"/>
      <c r="L9414" s="218">
        <v>199.29</v>
      </c>
    </row>
    <row r="9415" spans="1:13" x14ac:dyDescent="0.2">
      <c r="A9415" s="133">
        <v>2023</v>
      </c>
      <c r="B9415" s="133">
        <v>8</v>
      </c>
      <c r="C9415" s="133">
        <v>27</v>
      </c>
      <c r="D9415" s="141">
        <f t="shared" si="1120"/>
        <v>45165</v>
      </c>
      <c r="E9415" s="275">
        <f t="shared" si="1121"/>
        <v>45165</v>
      </c>
      <c r="F9415" s="481"/>
      <c r="G9415" s="174" t="s">
        <v>94</v>
      </c>
      <c r="H9415" s="174"/>
      <c r="J9415" s="149" t="s">
        <v>147</v>
      </c>
      <c r="K9415" s="218"/>
      <c r="L9415" s="218">
        <v>1344688.89</v>
      </c>
    </row>
    <row r="9416" spans="1:13" x14ac:dyDescent="0.2">
      <c r="A9416" s="133">
        <v>2023</v>
      </c>
      <c r="B9416" s="133">
        <v>8</v>
      </c>
      <c r="C9416" s="133">
        <v>27</v>
      </c>
      <c r="D9416" s="141">
        <f t="shared" si="1120"/>
        <v>45165</v>
      </c>
      <c r="E9416" s="275">
        <f t="shared" si="1121"/>
        <v>45165</v>
      </c>
      <c r="F9416" s="481"/>
      <c r="G9416" s="174" t="s">
        <v>94</v>
      </c>
      <c r="H9416" s="174" t="str" cm="1">
        <f t="array" ref="H9416">IFERROR(INDEX(INVESTOR_LIST[INVESTOR NAME],MATCH(I9416,INVESTOR_LIST[INVESTOR CODE],0),)," ")</f>
        <v xml:space="preserve"> </v>
      </c>
      <c r="J9416" s="149" t="s">
        <v>191</v>
      </c>
      <c r="K9416" s="218">
        <v>49483.56</v>
      </c>
      <c r="L9416" s="218"/>
    </row>
    <row r="9417" spans="1:13" x14ac:dyDescent="0.2">
      <c r="A9417" s="163">
        <v>2023</v>
      </c>
      <c r="B9417" s="163">
        <v>8</v>
      </c>
      <c r="C9417" s="163">
        <v>27</v>
      </c>
      <c r="D9417" s="280">
        <f t="shared" si="1120"/>
        <v>45165</v>
      </c>
      <c r="E9417" s="281">
        <f t="shared" si="1121"/>
        <v>45165</v>
      </c>
      <c r="F9417" s="480"/>
      <c r="G9417" s="221" t="s">
        <v>94</v>
      </c>
      <c r="H9417" s="145" t="str" cm="1">
        <f t="array" ref="H9417">IFERROR(INDEX(INVESTOR_LIST[INVESTOR NAME],MATCH(I9417,INVESTOR_LIST[INVESTOR CODE],0),)," ")</f>
        <v xml:space="preserve"> </v>
      </c>
      <c r="I9417" s="145"/>
      <c r="J9417" s="163" t="s">
        <v>79</v>
      </c>
      <c r="K9417" s="219"/>
      <c r="L9417" s="219">
        <v>1217983.56</v>
      </c>
    </row>
    <row r="9418" spans="1:13" x14ac:dyDescent="0.2">
      <c r="A9418" s="133">
        <v>2023</v>
      </c>
      <c r="B9418" s="133">
        <v>8</v>
      </c>
      <c r="C9418" s="168">
        <v>28</v>
      </c>
      <c r="D9418" s="141">
        <f t="shared" si="1120"/>
        <v>45166</v>
      </c>
      <c r="E9418" s="275">
        <f t="shared" si="1121"/>
        <v>45166</v>
      </c>
      <c r="F9418" s="479" t="s">
        <v>1768</v>
      </c>
      <c r="G9418" s="220" t="s">
        <v>74</v>
      </c>
      <c r="H9418" s="220" t="str" cm="1">
        <f t="array" ref="H9418">IFERROR(INDEX(INVESTOR_LIST[INVESTOR NAME],MATCH(I9418,INVESTOR_LIST[INVESTOR CODE],0),)," ")</f>
        <v xml:space="preserve"> </v>
      </c>
      <c r="I9418" s="142"/>
      <c r="J9418" s="143" t="s">
        <v>147</v>
      </c>
      <c r="K9418" s="226">
        <v>1344688.89</v>
      </c>
      <c r="L9418" s="226"/>
    </row>
    <row r="9419" spans="1:13" x14ac:dyDescent="0.2">
      <c r="A9419" s="163">
        <v>2023</v>
      </c>
      <c r="B9419" s="163">
        <v>8</v>
      </c>
      <c r="C9419" s="163">
        <v>28</v>
      </c>
      <c r="D9419" s="280">
        <f t="shared" si="1120"/>
        <v>45166</v>
      </c>
      <c r="E9419" s="281">
        <f t="shared" si="1121"/>
        <v>45166</v>
      </c>
      <c r="F9419" s="480"/>
      <c r="G9419" s="221" t="s">
        <v>74</v>
      </c>
      <c r="H9419" s="221" t="str" cm="1">
        <f t="array" ref="H9419">IFERROR(INDEX(INVESTOR_LIST[INVESTOR NAME],MATCH(I9419,INVESTOR_LIST[INVESTOR CODE],0),)," ")</f>
        <v xml:space="preserve"> </v>
      </c>
      <c r="I9419" s="145" t="s">
        <v>348</v>
      </c>
      <c r="J9419" s="146" t="s">
        <v>52</v>
      </c>
      <c r="K9419" s="219"/>
      <c r="L9419" s="219">
        <v>1344688.89</v>
      </c>
    </row>
    <row r="9420" spans="1:13" ht="10.15" customHeight="1" x14ac:dyDescent="0.2">
      <c r="A9420" s="168">
        <v>2023</v>
      </c>
      <c r="B9420" s="168">
        <v>8</v>
      </c>
      <c r="C9420" s="168">
        <v>28</v>
      </c>
      <c r="D9420" s="141">
        <f>DATE(A9420,B9420,C9420)</f>
        <v>45166</v>
      </c>
      <c r="E9420" s="275">
        <f>DATE(A9420,B9420,C9420)</f>
        <v>45166</v>
      </c>
      <c r="F9420" s="479" t="s">
        <v>1310</v>
      </c>
      <c r="G9420" s="220" t="s">
        <v>74</v>
      </c>
      <c r="H9420" s="142" t="str" cm="1">
        <f t="array" ref="H9420">IFERROR(INDEX(INVESTOR_LIST[INVESTOR NAME],MATCH(I9420,INVESTOR_LIST[INVESTOR CODE],0),)," ")</f>
        <v>BISWAS ARIFUR RAHMAN</v>
      </c>
      <c r="I9420" s="142" t="s">
        <v>375</v>
      </c>
      <c r="J9420" s="168" t="s">
        <v>13</v>
      </c>
      <c r="K9420" s="218">
        <v>253510</v>
      </c>
      <c r="L9420" s="226"/>
    </row>
    <row r="9421" spans="1:13" ht="10.15" customHeight="1" x14ac:dyDescent="0.2">
      <c r="A9421" s="133">
        <v>2023</v>
      </c>
      <c r="B9421" s="133">
        <v>8</v>
      </c>
      <c r="C9421" s="133">
        <v>28</v>
      </c>
      <c r="D9421" s="141">
        <f t="shared" ref="D9421:D9425" si="1132">DATE(A9421,B9421,C9421)</f>
        <v>45166</v>
      </c>
      <c r="E9421" s="275">
        <f t="shared" ref="E9421:E9425" si="1133">DATE(A9421,B9421,C9421)</f>
        <v>45166</v>
      </c>
      <c r="F9421" s="481"/>
      <c r="G9421" s="174" t="s">
        <v>74</v>
      </c>
      <c r="H9421" s="148" t="str" cm="1">
        <f t="array" ref="H9421">IFERROR(INDEX(INVESTOR_LIST[INVESTOR NAME],MATCH(I9421,INVESTOR_LIST[INVESTOR CODE],0),)," ")</f>
        <v>BISWAS ARIFUR RAHMAN</v>
      </c>
      <c r="I9421" s="148" t="s">
        <v>375</v>
      </c>
      <c r="J9421" s="133" t="s">
        <v>53</v>
      </c>
      <c r="K9421" s="218">
        <v>65050.669999999984</v>
      </c>
      <c r="L9421" s="133"/>
    </row>
    <row r="9422" spans="1:13" ht="10.15" customHeight="1" x14ac:dyDescent="0.2">
      <c r="A9422" s="163">
        <v>2023</v>
      </c>
      <c r="B9422" s="163">
        <v>8</v>
      </c>
      <c r="C9422" s="163">
        <v>28</v>
      </c>
      <c r="D9422" s="280">
        <f t="shared" si="1132"/>
        <v>45166</v>
      </c>
      <c r="E9422" s="281">
        <f t="shared" si="1133"/>
        <v>45166</v>
      </c>
      <c r="F9422" s="480"/>
      <c r="G9422" s="221" t="s">
        <v>74</v>
      </c>
      <c r="H9422" s="145" t="str" cm="1">
        <f t="array" ref="H9422">IFERROR(INDEX(INVESTOR_LIST[INVESTOR NAME],MATCH(I9422,INVESTOR_LIST[INVESTOR CODE],0),)," ")</f>
        <v>BISWAS ARIFUR RAHMAN</v>
      </c>
      <c r="I9422" s="145" t="s">
        <v>375</v>
      </c>
      <c r="J9422" s="163" t="s">
        <v>52</v>
      </c>
      <c r="K9422" s="219"/>
      <c r="L9422" s="219">
        <v>318560.67</v>
      </c>
    </row>
    <row r="9423" spans="1:13" ht="10.15" customHeight="1" x14ac:dyDescent="0.2">
      <c r="A9423" s="168">
        <v>2023</v>
      </c>
      <c r="B9423" s="168">
        <v>8</v>
      </c>
      <c r="C9423" s="168">
        <v>28</v>
      </c>
      <c r="D9423" s="141">
        <f t="shared" si="1132"/>
        <v>45166</v>
      </c>
      <c r="E9423" s="275">
        <f t="shared" si="1133"/>
        <v>45166</v>
      </c>
      <c r="F9423" s="479" t="s">
        <v>1319</v>
      </c>
      <c r="G9423" s="220" t="s">
        <v>74</v>
      </c>
      <c r="H9423" s="142" t="str" cm="1">
        <f t="array" ref="H9423">IFERROR(INDEX(INVESTOR_LIST[INVESTOR NAME],MATCH(I9423,INVESTOR_LIST[INVESTOR CODE],0),)," ")</f>
        <v xml:space="preserve"> </v>
      </c>
      <c r="I9423" s="142"/>
      <c r="J9423" s="168" t="s">
        <v>52</v>
      </c>
      <c r="K9423" s="226">
        <v>368000</v>
      </c>
      <c r="L9423" s="226"/>
    </row>
    <row r="9424" spans="1:13" ht="10.15" customHeight="1" x14ac:dyDescent="0.2">
      <c r="A9424" s="133">
        <v>2023</v>
      </c>
      <c r="B9424" s="133">
        <v>8</v>
      </c>
      <c r="C9424" s="133">
        <v>28</v>
      </c>
      <c r="D9424" s="141">
        <f t="shared" si="1132"/>
        <v>45166</v>
      </c>
      <c r="E9424" s="275">
        <f t="shared" si="1133"/>
        <v>45166</v>
      </c>
      <c r="F9424" s="481"/>
      <c r="G9424" s="174" t="s">
        <v>74</v>
      </c>
      <c r="H9424" s="148" t="str" cm="1">
        <f t="array" ref="H9424">IFERROR(INDEX(INVESTOR_LIST[INVESTOR NAME],MATCH(I9424,INVESTOR_LIST[INVESTOR CODE],0),)," ")</f>
        <v xml:space="preserve"> </v>
      </c>
      <c r="J9424" s="133" t="s">
        <v>13</v>
      </c>
      <c r="K9424" s="218"/>
      <c r="L9424" s="218">
        <v>292890</v>
      </c>
    </row>
    <row r="9425" spans="1:12" ht="10.15" customHeight="1" x14ac:dyDescent="0.2">
      <c r="A9425" s="163">
        <v>2023</v>
      </c>
      <c r="B9425" s="163">
        <v>8</v>
      </c>
      <c r="C9425" s="163">
        <v>28</v>
      </c>
      <c r="D9425" s="280">
        <f t="shared" si="1132"/>
        <v>45166</v>
      </c>
      <c r="E9425" s="281">
        <f t="shared" si="1133"/>
        <v>45166</v>
      </c>
      <c r="F9425" s="480"/>
      <c r="G9425" s="221" t="s">
        <v>74</v>
      </c>
      <c r="H9425" s="145" t="str" cm="1">
        <f t="array" ref="H9425">IFERROR(INDEX(INVESTOR_LIST[INVESTOR NAME],MATCH(I9425,INVESTOR_LIST[INVESTOR CODE],0),)," ")</f>
        <v xml:space="preserve"> </v>
      </c>
      <c r="I9425" s="145"/>
      <c r="J9425" s="163" t="s">
        <v>53</v>
      </c>
      <c r="K9425" s="219"/>
      <c r="L9425" s="219">
        <v>75110</v>
      </c>
    </row>
    <row r="9426" spans="1:12" ht="10.15" customHeight="1" x14ac:dyDescent="0.2">
      <c r="A9426" s="168">
        <v>2023</v>
      </c>
      <c r="B9426" s="168">
        <v>8</v>
      </c>
      <c r="C9426" s="168">
        <v>30</v>
      </c>
      <c r="D9426" s="141">
        <f>DATE(A9426,B9426,C9426)</f>
        <v>45168</v>
      </c>
      <c r="E9426" s="275">
        <f>DATE(A9426,B9426,C9426)</f>
        <v>45168</v>
      </c>
      <c r="F9426" s="479" t="s">
        <v>1315</v>
      </c>
      <c r="G9426" s="220" t="s">
        <v>74</v>
      </c>
      <c r="H9426" s="142" t="str" cm="1">
        <f t="array" ref="H9426">IFERROR(INDEX(INVESTOR_LIST[INVESTOR NAME],MATCH(I9426,INVESTOR_LIST[INVESTOR CODE],0),)," ")</f>
        <v>SABRIA ISLAM TALUKDER</v>
      </c>
      <c r="I9426" s="142" t="s">
        <v>508</v>
      </c>
      <c r="J9426" s="168" t="s">
        <v>13</v>
      </c>
      <c r="K9426" s="218">
        <v>83100</v>
      </c>
      <c r="L9426" s="226"/>
    </row>
    <row r="9427" spans="1:12" ht="10.15" customHeight="1" x14ac:dyDescent="0.2">
      <c r="A9427" s="133">
        <v>2023</v>
      </c>
      <c r="B9427" s="133">
        <v>8</v>
      </c>
      <c r="C9427" s="133">
        <v>30</v>
      </c>
      <c r="D9427" s="141">
        <f t="shared" ref="D9427:D9432" si="1134">DATE(A9427,B9427,C9427)</f>
        <v>45168</v>
      </c>
      <c r="E9427" s="275">
        <f t="shared" ref="E9427:E9432" si="1135">DATE(A9427,B9427,C9427)</f>
        <v>45168</v>
      </c>
      <c r="F9427" s="481"/>
      <c r="G9427" s="174" t="s">
        <v>74</v>
      </c>
      <c r="H9427" s="148" t="str" cm="1">
        <f t="array" ref="H9427">IFERROR(INDEX(INVESTOR_LIST[INVESTOR NAME],MATCH(I9427,INVESTOR_LIST[INVESTOR CODE],0),)," ")</f>
        <v>SABRIA ISLAM TALUKDER</v>
      </c>
      <c r="I9427" s="148" t="s">
        <v>508</v>
      </c>
      <c r="J9427" s="133" t="s">
        <v>53</v>
      </c>
      <c r="K9427" s="218">
        <v>21323.460000000006</v>
      </c>
      <c r="L9427" s="133"/>
    </row>
    <row r="9428" spans="1:12" ht="10.15" customHeight="1" x14ac:dyDescent="0.2">
      <c r="A9428" s="163">
        <v>2023</v>
      </c>
      <c r="B9428" s="163">
        <v>8</v>
      </c>
      <c r="C9428" s="163">
        <v>30</v>
      </c>
      <c r="D9428" s="280">
        <f t="shared" si="1134"/>
        <v>45168</v>
      </c>
      <c r="E9428" s="281">
        <f t="shared" si="1135"/>
        <v>45168</v>
      </c>
      <c r="F9428" s="480"/>
      <c r="G9428" s="221" t="s">
        <v>74</v>
      </c>
      <c r="H9428" s="145" t="str" cm="1">
        <f t="array" ref="H9428">IFERROR(INDEX(INVESTOR_LIST[INVESTOR NAME],MATCH(I9428,INVESTOR_LIST[INVESTOR CODE],0),)," ")</f>
        <v>SABRIA ISLAM TALUKDER</v>
      </c>
      <c r="I9428" s="145" t="s">
        <v>508</v>
      </c>
      <c r="J9428" s="163" t="s">
        <v>52</v>
      </c>
      <c r="K9428" s="219"/>
      <c r="L9428" s="219">
        <v>104423.46</v>
      </c>
    </row>
    <row r="9429" spans="1:12" x14ac:dyDescent="0.2">
      <c r="A9429" s="133">
        <v>2023</v>
      </c>
      <c r="B9429" s="168">
        <v>8</v>
      </c>
      <c r="C9429" s="168">
        <v>30</v>
      </c>
      <c r="D9429" s="141">
        <f t="shared" si="1134"/>
        <v>45168</v>
      </c>
      <c r="E9429" s="275">
        <f t="shared" si="1135"/>
        <v>45168</v>
      </c>
      <c r="F9429" s="481" t="s">
        <v>1748</v>
      </c>
      <c r="G9429" s="174" t="s">
        <v>74</v>
      </c>
      <c r="H9429" s="174" t="str" cm="1">
        <f t="array" ref="H9429">IFERROR(INDEX(INVESTOR_LIST[INVESTOR NAME],MATCH(I9429,INVESTOR_LIST[INVESTOR CODE],0),)," ")</f>
        <v xml:space="preserve"> </v>
      </c>
      <c r="I9429" s="148" t="s">
        <v>348</v>
      </c>
      <c r="J9429" s="149" t="s">
        <v>52</v>
      </c>
      <c r="K9429" s="218">
        <v>4000</v>
      </c>
      <c r="L9429" s="218"/>
    </row>
    <row r="9430" spans="1:12" x14ac:dyDescent="0.2">
      <c r="A9430" s="133">
        <v>2023</v>
      </c>
      <c r="B9430" s="133">
        <v>8</v>
      </c>
      <c r="C9430" s="133">
        <v>30</v>
      </c>
      <c r="D9430" s="147">
        <f t="shared" si="1134"/>
        <v>45168</v>
      </c>
      <c r="E9430" s="311">
        <f t="shared" si="1135"/>
        <v>45168</v>
      </c>
      <c r="F9430" s="481"/>
      <c r="G9430" s="174" t="s">
        <v>94</v>
      </c>
      <c r="H9430" s="174"/>
      <c r="J9430" s="149" t="s">
        <v>168</v>
      </c>
      <c r="K9430" s="218"/>
      <c r="L9430" s="218">
        <v>4000</v>
      </c>
    </row>
    <row r="9431" spans="1:12" x14ac:dyDescent="0.2">
      <c r="A9431" s="168">
        <v>2023</v>
      </c>
      <c r="B9431" s="168">
        <v>8</v>
      </c>
      <c r="C9431" s="168">
        <v>31</v>
      </c>
      <c r="D9431" s="141">
        <f t="shared" si="1134"/>
        <v>45169</v>
      </c>
      <c r="E9431" s="275">
        <f t="shared" si="1135"/>
        <v>45169</v>
      </c>
      <c r="F9431" s="479" t="s">
        <v>1769</v>
      </c>
      <c r="G9431" s="220" t="s">
        <v>74</v>
      </c>
      <c r="H9431" s="220" t="str" cm="1">
        <f t="array" ref="H9431">IFERROR(INDEX(INVESTOR_LIST[INVESTOR NAME],MATCH(I9431,INVESTOR_LIST[INVESTOR CODE],0),)," ")</f>
        <v xml:space="preserve"> </v>
      </c>
      <c r="I9431" s="142" t="s">
        <v>348</v>
      </c>
      <c r="J9431" s="143" t="s">
        <v>322</v>
      </c>
      <c r="K9431" s="226">
        <v>70537.48</v>
      </c>
      <c r="L9431" s="226"/>
    </row>
    <row r="9432" spans="1:12" x14ac:dyDescent="0.2">
      <c r="A9432" s="163">
        <v>2023</v>
      </c>
      <c r="B9432" s="163">
        <v>8</v>
      </c>
      <c r="C9432" s="163">
        <v>31</v>
      </c>
      <c r="D9432" s="141">
        <f t="shared" si="1134"/>
        <v>45169</v>
      </c>
      <c r="E9432" s="275">
        <f t="shared" si="1135"/>
        <v>45169</v>
      </c>
      <c r="F9432" s="480"/>
      <c r="G9432" s="221" t="s">
        <v>74</v>
      </c>
      <c r="H9432" s="221" t="str" cm="1">
        <f t="array" ref="H9432">IFERROR(INDEX(INVESTOR_LIST[INVESTOR NAME],MATCH(I9432,INVESTOR_LIST[INVESTOR CODE],0),)," ")</f>
        <v xml:space="preserve"> </v>
      </c>
      <c r="I9432" s="145" t="s">
        <v>348</v>
      </c>
      <c r="J9432" s="146" t="s">
        <v>52</v>
      </c>
      <c r="K9432" s="219"/>
      <c r="L9432" s="219">
        <v>70537.48</v>
      </c>
    </row>
    <row r="9433" spans="1:12" ht="10.15" customHeight="1" x14ac:dyDescent="0.2">
      <c r="A9433" s="168">
        <v>2023</v>
      </c>
      <c r="B9433" s="168">
        <v>8</v>
      </c>
      <c r="C9433" s="168">
        <v>31</v>
      </c>
      <c r="D9433" s="141">
        <f>DATE(A9433,B9433,C9433)</f>
        <v>45169</v>
      </c>
      <c r="E9433" s="275">
        <f>DATE(A9433,B9433,C9433)</f>
        <v>45169</v>
      </c>
      <c r="F9433" s="479" t="s">
        <v>1315</v>
      </c>
      <c r="G9433" s="220" t="s">
        <v>74</v>
      </c>
      <c r="H9433" s="142" t="str" cm="1">
        <f t="array" ref="H9433">IFERROR(INDEX(INVESTOR_LIST[INVESTOR NAME],MATCH(I9433,INVESTOR_LIST[INVESTOR CODE],0),)," ")</f>
        <v>NUSRAT JAHAN TISHA</v>
      </c>
      <c r="I9433" s="142" t="s">
        <v>1486</v>
      </c>
      <c r="J9433" s="168" t="s">
        <v>13</v>
      </c>
      <c r="K9433" s="218">
        <v>17210</v>
      </c>
      <c r="L9433" s="226"/>
    </row>
    <row r="9434" spans="1:12" ht="10.15" customHeight="1" x14ac:dyDescent="0.2">
      <c r="A9434" s="133">
        <v>2023</v>
      </c>
      <c r="B9434" s="133">
        <v>8</v>
      </c>
      <c r="C9434" s="133">
        <v>31</v>
      </c>
      <c r="D9434" s="141">
        <f t="shared" ref="D9434:D9435" si="1136">DATE(A9434,B9434,C9434)</f>
        <v>45169</v>
      </c>
      <c r="E9434" s="275">
        <f t="shared" ref="E9434:E9435" si="1137">DATE(A9434,B9434,C9434)</f>
        <v>45169</v>
      </c>
      <c r="F9434" s="481"/>
      <c r="G9434" s="174" t="s">
        <v>74</v>
      </c>
      <c r="H9434" s="148" t="str" cm="1">
        <f t="array" ref="H9434">IFERROR(INDEX(INVESTOR_LIST[INVESTOR NAME],MATCH(I9434,INVESTOR_LIST[INVESTOR CODE],0),)," ")</f>
        <v>NUSRAT JAHAN TISHA</v>
      </c>
      <c r="I9434" s="148" t="s">
        <v>1486</v>
      </c>
      <c r="J9434" s="133" t="s">
        <v>53</v>
      </c>
      <c r="K9434" s="218">
        <v>4416.09</v>
      </c>
      <c r="L9434" s="133"/>
    </row>
    <row r="9435" spans="1:12" ht="10.15" customHeight="1" x14ac:dyDescent="0.2">
      <c r="A9435" s="163">
        <v>2023</v>
      </c>
      <c r="B9435" s="163">
        <v>8</v>
      </c>
      <c r="C9435" s="163">
        <v>31</v>
      </c>
      <c r="D9435" s="280">
        <f t="shared" si="1136"/>
        <v>45169</v>
      </c>
      <c r="E9435" s="281">
        <f t="shared" si="1137"/>
        <v>45169</v>
      </c>
      <c r="F9435" s="480"/>
      <c r="G9435" s="221" t="s">
        <v>74</v>
      </c>
      <c r="H9435" s="145" t="str" cm="1">
        <f t="array" ref="H9435">IFERROR(INDEX(INVESTOR_LIST[INVESTOR NAME],MATCH(I9435,INVESTOR_LIST[INVESTOR CODE],0),)," ")</f>
        <v>NUSRAT JAHAN TISHA</v>
      </c>
      <c r="I9435" s="145" t="s">
        <v>1486</v>
      </c>
      <c r="J9435" s="163" t="s">
        <v>52</v>
      </c>
      <c r="K9435" s="219"/>
      <c r="L9435" s="219">
        <v>21626.09</v>
      </c>
    </row>
    <row r="9436" spans="1:12" ht="10.15" customHeight="1" x14ac:dyDescent="0.2">
      <c r="A9436" s="168">
        <v>2023</v>
      </c>
      <c r="B9436" s="168">
        <v>8</v>
      </c>
      <c r="C9436" s="168">
        <v>31</v>
      </c>
      <c r="D9436" s="141">
        <f>DATE(A9436,B9436,C9436)</f>
        <v>45169</v>
      </c>
      <c r="E9436" s="275">
        <f>DATE(A9436,B9436,C9436)</f>
        <v>45169</v>
      </c>
      <c r="F9436" s="479" t="s">
        <v>1448</v>
      </c>
      <c r="G9436" s="220" t="s">
        <v>74</v>
      </c>
      <c r="H9436" s="142" t="str" cm="1">
        <f t="array" ref="H9436">IFERROR(INDEX(INVESTOR_LIST[INVESTOR NAME],MATCH(I9436,INVESTOR_LIST[INVESTOR CODE],0),)," ")</f>
        <v>TAMRIN AL DEEN</v>
      </c>
      <c r="I9436" s="142" t="s">
        <v>1422</v>
      </c>
      <c r="J9436" s="168" t="s">
        <v>13</v>
      </c>
      <c r="K9436" s="218">
        <v>45220</v>
      </c>
      <c r="L9436" s="226"/>
    </row>
    <row r="9437" spans="1:12" ht="10.15" customHeight="1" x14ac:dyDescent="0.2">
      <c r="A9437" s="133">
        <v>2023</v>
      </c>
      <c r="B9437" s="133">
        <v>8</v>
      </c>
      <c r="C9437" s="133">
        <v>31</v>
      </c>
      <c r="D9437" s="141">
        <f t="shared" ref="D9437:D9438" si="1138">DATE(A9437,B9437,C9437)</f>
        <v>45169</v>
      </c>
      <c r="E9437" s="275">
        <f t="shared" ref="E9437:E9438" si="1139">DATE(A9437,B9437,C9437)</f>
        <v>45169</v>
      </c>
      <c r="F9437" s="481"/>
      <c r="G9437" s="174" t="s">
        <v>74</v>
      </c>
      <c r="H9437" s="148" t="str" cm="1">
        <f t="array" ref="H9437">IFERROR(INDEX(INVESTOR_LIST[INVESTOR NAME],MATCH(I9437,INVESTOR_LIST[INVESTOR CODE],0),)," ")</f>
        <v>TAMRIN AL DEEN</v>
      </c>
      <c r="I9437" s="148" t="s">
        <v>1422</v>
      </c>
      <c r="J9437" s="133" t="s">
        <v>53</v>
      </c>
      <c r="K9437" s="218">
        <v>11603.45</v>
      </c>
      <c r="L9437" s="133"/>
    </row>
    <row r="9438" spans="1:12" ht="10.15" customHeight="1" x14ac:dyDescent="0.2">
      <c r="A9438" s="163">
        <v>2023</v>
      </c>
      <c r="B9438" s="163">
        <v>8</v>
      </c>
      <c r="C9438" s="163">
        <v>31</v>
      </c>
      <c r="D9438" s="280">
        <f t="shared" si="1138"/>
        <v>45169</v>
      </c>
      <c r="E9438" s="281">
        <f t="shared" si="1139"/>
        <v>45169</v>
      </c>
      <c r="F9438" s="480"/>
      <c r="G9438" s="221" t="s">
        <v>74</v>
      </c>
      <c r="H9438" s="145" t="str" cm="1">
        <f t="array" ref="H9438">IFERROR(INDEX(INVESTOR_LIST[INVESTOR NAME],MATCH(I9438,INVESTOR_LIST[INVESTOR CODE],0),)," ")</f>
        <v>TAMRIN AL DEEN</v>
      </c>
      <c r="I9438" s="145" t="s">
        <v>1422</v>
      </c>
      <c r="J9438" s="163" t="s">
        <v>52</v>
      </c>
      <c r="K9438" s="219"/>
      <c r="L9438" s="219">
        <v>56823.45</v>
      </c>
    </row>
    <row r="9439" spans="1:12" ht="10.15" customHeight="1" x14ac:dyDescent="0.2">
      <c r="A9439" s="168">
        <v>2023</v>
      </c>
      <c r="B9439" s="168">
        <v>8</v>
      </c>
      <c r="C9439" s="168">
        <v>31</v>
      </c>
      <c r="D9439" s="141">
        <f>DATE(A9439,B9439,C9439)</f>
        <v>45169</v>
      </c>
      <c r="E9439" s="275">
        <f>DATE(A9439,B9439,C9439)</f>
        <v>45169</v>
      </c>
      <c r="F9439" s="479" t="s">
        <v>1448</v>
      </c>
      <c r="G9439" s="220" t="s">
        <v>74</v>
      </c>
      <c r="H9439" s="142" t="str" cm="1">
        <f t="array" ref="H9439">IFERROR(INDEX(INVESTOR_LIST[INVESTOR NAME],MATCH(I9439,INVESTOR_LIST[INVESTOR CODE],0),)," ")</f>
        <v>K.M SAKIB AHMED</v>
      </c>
      <c r="I9439" s="142" t="s">
        <v>552</v>
      </c>
      <c r="J9439" s="168" t="s">
        <v>13</v>
      </c>
      <c r="K9439" s="218">
        <v>14910</v>
      </c>
      <c r="L9439" s="226"/>
    </row>
    <row r="9440" spans="1:12" ht="10.15" customHeight="1" x14ac:dyDescent="0.2">
      <c r="A9440" s="133">
        <v>2023</v>
      </c>
      <c r="B9440" s="133">
        <v>8</v>
      </c>
      <c r="C9440" s="133">
        <v>31</v>
      </c>
      <c r="D9440" s="141">
        <f t="shared" ref="D9440:D9455" si="1140">DATE(A9440,B9440,C9440)</f>
        <v>45169</v>
      </c>
      <c r="E9440" s="275">
        <f t="shared" ref="E9440:E9455" si="1141">DATE(A9440,B9440,C9440)</f>
        <v>45169</v>
      </c>
      <c r="F9440" s="481"/>
      <c r="G9440" s="174" t="s">
        <v>74</v>
      </c>
      <c r="H9440" s="148" t="str" cm="1">
        <f t="array" ref="H9440">IFERROR(INDEX(INVESTOR_LIST[INVESTOR NAME],MATCH(I9440,INVESTOR_LIST[INVESTOR CODE],0),)," ")</f>
        <v>K.M SAKIB AHMED</v>
      </c>
      <c r="I9440" s="148" t="s">
        <v>552</v>
      </c>
      <c r="J9440" s="133" t="s">
        <v>53</v>
      </c>
      <c r="K9440" s="218">
        <v>3825.91</v>
      </c>
      <c r="L9440" s="133"/>
    </row>
    <row r="9441" spans="1:14" ht="10.15" customHeight="1" x14ac:dyDescent="0.2">
      <c r="A9441" s="163">
        <v>2023</v>
      </c>
      <c r="B9441" s="163">
        <v>8</v>
      </c>
      <c r="C9441" s="163">
        <v>31</v>
      </c>
      <c r="D9441" s="280">
        <f t="shared" si="1140"/>
        <v>45169</v>
      </c>
      <c r="E9441" s="281">
        <f t="shared" si="1141"/>
        <v>45169</v>
      </c>
      <c r="F9441" s="480"/>
      <c r="G9441" s="221" t="s">
        <v>74</v>
      </c>
      <c r="H9441" s="145" t="str" cm="1">
        <f t="array" ref="H9441">IFERROR(INDEX(INVESTOR_LIST[INVESTOR NAME],MATCH(I9441,INVESTOR_LIST[INVESTOR CODE],0),)," ")</f>
        <v>K.M SAKIB AHMED</v>
      </c>
      <c r="I9441" s="145" t="s">
        <v>552</v>
      </c>
      <c r="J9441" s="163" t="s">
        <v>52</v>
      </c>
      <c r="K9441" s="219"/>
      <c r="L9441" s="219">
        <v>18735.91</v>
      </c>
    </row>
    <row r="9442" spans="1:14" x14ac:dyDescent="0.2">
      <c r="A9442" s="324">
        <v>2023</v>
      </c>
      <c r="B9442" s="324">
        <v>8</v>
      </c>
      <c r="C9442" s="325">
        <v>31</v>
      </c>
      <c r="D9442" s="326">
        <f t="shared" si="1140"/>
        <v>45169</v>
      </c>
      <c r="E9442" s="327">
        <f t="shared" si="1141"/>
        <v>45169</v>
      </c>
      <c r="F9442" s="473" t="s">
        <v>1490</v>
      </c>
      <c r="G9442" s="328" t="s">
        <v>94</v>
      </c>
      <c r="H9442" s="329" t="str" cm="1">
        <f t="array" ref="H9442">IFERROR(INDEX(INVESTOR_LIST[INVESTOR NAME],MATCH(I9442,INVESTOR_LIST[INVESTOR CODE],0),)," ")</f>
        <v xml:space="preserve"> </v>
      </c>
      <c r="I9442" s="329" t="s">
        <v>348</v>
      </c>
      <c r="J9442" s="325" t="s">
        <v>133</v>
      </c>
      <c r="K9442" s="330">
        <v>23763.11</v>
      </c>
      <c r="L9442" s="330"/>
      <c r="M9442" s="160"/>
    </row>
    <row r="9443" spans="1:14" x14ac:dyDescent="0.2">
      <c r="A9443" s="331">
        <v>2023</v>
      </c>
      <c r="B9443" s="331">
        <v>8</v>
      </c>
      <c r="C9443" s="331">
        <v>31</v>
      </c>
      <c r="D9443" s="326">
        <f t="shared" si="1140"/>
        <v>45169</v>
      </c>
      <c r="E9443" s="327">
        <f t="shared" si="1141"/>
        <v>45169</v>
      </c>
      <c r="F9443" s="474"/>
      <c r="G9443" s="332" t="s">
        <v>94</v>
      </c>
      <c r="H9443" s="333" t="str" cm="1">
        <f t="array" ref="H9443">IFERROR(INDEX(INVESTOR_LIST[INVESTOR NAME],MATCH(I9443,INVESTOR_LIST[INVESTOR CODE],0),)," ")</f>
        <v xml:space="preserve"> </v>
      </c>
      <c r="I9443" s="333" t="s">
        <v>348</v>
      </c>
      <c r="J9443" s="331" t="s">
        <v>152</v>
      </c>
      <c r="K9443" s="334"/>
      <c r="L9443" s="334">
        <v>23763.11</v>
      </c>
      <c r="M9443" s="160"/>
      <c r="N9443" s="160"/>
    </row>
    <row r="9444" spans="1:14" x14ac:dyDescent="0.2">
      <c r="A9444" s="324">
        <v>2023</v>
      </c>
      <c r="B9444" s="324">
        <v>8</v>
      </c>
      <c r="C9444" s="325">
        <v>31</v>
      </c>
      <c r="D9444" s="326">
        <f t="shared" si="1140"/>
        <v>45169</v>
      </c>
      <c r="E9444" s="327">
        <f t="shared" si="1141"/>
        <v>45169</v>
      </c>
      <c r="F9444" s="473" t="s">
        <v>1491</v>
      </c>
      <c r="G9444" s="328" t="s">
        <v>94</v>
      </c>
      <c r="H9444" s="329" t="str" cm="1">
        <f t="array" ref="H9444">IFERROR(INDEX(INVESTOR_LIST[INVESTOR NAME],MATCH(I9444,INVESTOR_LIST[INVESTOR CODE],0),)," ")</f>
        <v xml:space="preserve"> </v>
      </c>
      <c r="I9444" s="329" t="s">
        <v>348</v>
      </c>
      <c r="J9444" s="324" t="s">
        <v>133</v>
      </c>
      <c r="K9444" s="330">
        <v>4615.38</v>
      </c>
      <c r="L9444" s="330"/>
      <c r="M9444" s="160"/>
      <c r="N9444" s="160"/>
    </row>
    <row r="9445" spans="1:14" x14ac:dyDescent="0.2">
      <c r="A9445" s="331">
        <v>2023</v>
      </c>
      <c r="B9445" s="331">
        <v>8</v>
      </c>
      <c r="C9445" s="331">
        <v>31</v>
      </c>
      <c r="D9445" s="326">
        <f t="shared" si="1140"/>
        <v>45169</v>
      </c>
      <c r="E9445" s="327">
        <f t="shared" si="1141"/>
        <v>45169</v>
      </c>
      <c r="F9445" s="474"/>
      <c r="G9445" s="332" t="s">
        <v>94</v>
      </c>
      <c r="H9445" s="333" t="str" cm="1">
        <f t="array" ref="H9445">IFERROR(INDEX(INVESTOR_LIST[INVESTOR NAME],MATCH(I9445,INVESTOR_LIST[INVESTOR CODE],0),)," ")</f>
        <v xml:space="preserve"> </v>
      </c>
      <c r="I9445" s="333" t="s">
        <v>348</v>
      </c>
      <c r="J9445" s="331" t="s">
        <v>152</v>
      </c>
      <c r="K9445" s="334"/>
      <c r="L9445" s="334">
        <v>4615.38</v>
      </c>
      <c r="M9445" s="160"/>
    </row>
    <row r="9446" spans="1:14" x14ac:dyDescent="0.2">
      <c r="A9446" s="324">
        <v>2023</v>
      </c>
      <c r="B9446" s="324">
        <v>8</v>
      </c>
      <c r="C9446" s="325">
        <v>31</v>
      </c>
      <c r="D9446" s="326">
        <f t="shared" si="1140"/>
        <v>45169</v>
      </c>
      <c r="E9446" s="327">
        <f t="shared" si="1141"/>
        <v>45169</v>
      </c>
      <c r="F9446" s="473" t="s">
        <v>1531</v>
      </c>
      <c r="G9446" s="328" t="s">
        <v>94</v>
      </c>
      <c r="H9446" s="329" t="str" cm="1">
        <f t="array" ref="H9446">IFERROR(INDEX(INVESTOR_LIST[INVESTOR NAME],MATCH(I9446,INVESTOR_LIST[INVESTOR CODE],0),)," ")</f>
        <v xml:space="preserve"> </v>
      </c>
      <c r="I9446" s="329" t="s">
        <v>348</v>
      </c>
      <c r="J9446" s="324" t="s">
        <v>133</v>
      </c>
      <c r="K9446" s="330">
        <v>23076.92</v>
      </c>
      <c r="L9446" s="330"/>
      <c r="M9446" s="160"/>
    </row>
    <row r="9447" spans="1:14" x14ac:dyDescent="0.2">
      <c r="A9447" s="331">
        <v>2023</v>
      </c>
      <c r="B9447" s="331">
        <v>8</v>
      </c>
      <c r="C9447" s="331">
        <v>31</v>
      </c>
      <c r="D9447" s="326">
        <f t="shared" si="1140"/>
        <v>45169</v>
      </c>
      <c r="E9447" s="327">
        <f t="shared" si="1141"/>
        <v>45169</v>
      </c>
      <c r="F9447" s="474"/>
      <c r="G9447" s="332" t="s">
        <v>94</v>
      </c>
      <c r="H9447" s="333" t="str" cm="1">
        <f t="array" ref="H9447">IFERROR(INDEX(INVESTOR_LIST[INVESTOR NAME],MATCH(I9447,INVESTOR_LIST[INVESTOR CODE],0),)," ")</f>
        <v xml:space="preserve"> </v>
      </c>
      <c r="I9447" s="333" t="s">
        <v>348</v>
      </c>
      <c r="J9447" s="331" t="s">
        <v>152</v>
      </c>
      <c r="K9447" s="334"/>
      <c r="L9447" s="334">
        <v>23076.92</v>
      </c>
      <c r="M9447" s="160"/>
    </row>
    <row r="9448" spans="1:14" x14ac:dyDescent="0.2">
      <c r="A9448" s="238">
        <v>2023</v>
      </c>
      <c r="B9448" s="238">
        <v>8</v>
      </c>
      <c r="C9448" s="238">
        <v>31</v>
      </c>
      <c r="D9448" s="270">
        <f t="shared" si="1140"/>
        <v>45169</v>
      </c>
      <c r="E9448" s="279">
        <f t="shared" si="1141"/>
        <v>45169</v>
      </c>
      <c r="F9448" s="477" t="s">
        <v>347</v>
      </c>
      <c r="G9448" s="239" t="s">
        <v>94</v>
      </c>
      <c r="H9448" s="239" t="str" cm="1">
        <f t="array" ref="H9448">IFERROR(INDEX(INVESTOR_LIST[INVESTOR NAME],MATCH(I9448,INVESTOR_LIST[INVESTOR CODE],0),)," ")</f>
        <v xml:space="preserve"> </v>
      </c>
      <c r="I9448" s="262" t="s">
        <v>348</v>
      </c>
      <c r="J9448" s="240" t="s">
        <v>82</v>
      </c>
      <c r="K9448" s="241">
        <v>89875.530000001192</v>
      </c>
      <c r="L9448" s="241"/>
    </row>
    <row r="9449" spans="1:14" x14ac:dyDescent="0.2">
      <c r="A9449" s="242">
        <v>2023</v>
      </c>
      <c r="B9449" s="242">
        <v>8</v>
      </c>
      <c r="C9449" s="242">
        <v>31</v>
      </c>
      <c r="D9449" s="270">
        <f t="shared" si="1140"/>
        <v>45169</v>
      </c>
      <c r="E9449" s="279">
        <f t="shared" si="1141"/>
        <v>45169</v>
      </c>
      <c r="F9449" s="478"/>
      <c r="G9449" s="243" t="s">
        <v>94</v>
      </c>
      <c r="H9449" s="243" t="str" cm="1">
        <f t="array" ref="H9449">IFERROR(INDEX(INVESTOR_LIST[INVESTOR NAME],MATCH(I9449,INVESTOR_LIST[INVESTOR CODE],0),)," ")</f>
        <v xml:space="preserve"> </v>
      </c>
      <c r="I9449" s="263" t="s">
        <v>348</v>
      </c>
      <c r="J9449" s="244" t="s">
        <v>108</v>
      </c>
      <c r="K9449" s="245"/>
      <c r="L9449" s="245">
        <v>89875.530000001192</v>
      </c>
    </row>
    <row r="9450" spans="1:14" ht="22.5" x14ac:dyDescent="0.2">
      <c r="A9450" s="246">
        <v>2023</v>
      </c>
      <c r="B9450" s="238">
        <v>8</v>
      </c>
      <c r="C9450" s="238">
        <v>31</v>
      </c>
      <c r="D9450" s="270">
        <f t="shared" si="1140"/>
        <v>45169</v>
      </c>
      <c r="E9450" s="279">
        <f t="shared" si="1141"/>
        <v>45169</v>
      </c>
      <c r="F9450" s="482" t="s">
        <v>148</v>
      </c>
      <c r="G9450" s="247" t="s">
        <v>94</v>
      </c>
      <c r="H9450" s="247" t="str" cm="1">
        <f t="array" ref="H9450">IFERROR(INDEX(INVESTOR_LIST[INVESTOR NAME],MATCH(I9450,INVESTOR_LIST[INVESTOR CODE],0),)," ")</f>
        <v xml:space="preserve"> </v>
      </c>
      <c r="I9450" s="248" t="s">
        <v>348</v>
      </c>
      <c r="J9450" s="249" t="s">
        <v>95</v>
      </c>
      <c r="K9450" s="250">
        <v>2747.2527472527472</v>
      </c>
      <c r="L9450" s="241"/>
    </row>
    <row r="9451" spans="1:14" x14ac:dyDescent="0.2">
      <c r="A9451" s="242">
        <v>2023</v>
      </c>
      <c r="B9451" s="242">
        <v>8</v>
      </c>
      <c r="C9451" s="242">
        <v>31</v>
      </c>
      <c r="D9451" s="270">
        <f t="shared" si="1140"/>
        <v>45169</v>
      </c>
      <c r="E9451" s="279">
        <f t="shared" si="1141"/>
        <v>45169</v>
      </c>
      <c r="F9451" s="478"/>
      <c r="G9451" s="243" t="s">
        <v>94</v>
      </c>
      <c r="H9451" s="243" t="str" cm="1">
        <f t="array" ref="H9451">IFERROR(INDEX(INVESTOR_LIST[INVESTOR NAME],MATCH(I9451,INVESTOR_LIST[INVESTOR CODE],0),)," ")</f>
        <v xml:space="preserve"> </v>
      </c>
      <c r="I9451" s="263" t="s">
        <v>348</v>
      </c>
      <c r="J9451" s="244" t="s">
        <v>63</v>
      </c>
      <c r="K9451" s="245"/>
      <c r="L9451" s="245">
        <v>2747.2527472527472</v>
      </c>
    </row>
    <row r="9452" spans="1:14" x14ac:dyDescent="0.2">
      <c r="A9452" s="246">
        <v>2023</v>
      </c>
      <c r="B9452" s="238">
        <v>8</v>
      </c>
      <c r="C9452" s="238">
        <v>31</v>
      </c>
      <c r="D9452" s="270">
        <f t="shared" si="1140"/>
        <v>45169</v>
      </c>
      <c r="E9452" s="279">
        <f t="shared" si="1141"/>
        <v>45169</v>
      </c>
      <c r="F9452" s="482" t="s">
        <v>137</v>
      </c>
      <c r="G9452" s="247" t="s">
        <v>94</v>
      </c>
      <c r="H9452" s="247" t="str" cm="1">
        <f t="array" ref="H9452">IFERROR(INDEX(INVESTOR_LIST[INVESTOR NAME],MATCH(I9452,INVESTOR_LIST[INVESTOR CODE],0),)," ")</f>
        <v xml:space="preserve"> </v>
      </c>
      <c r="I9452" s="248" t="s">
        <v>348</v>
      </c>
      <c r="J9452" s="249" t="s">
        <v>97</v>
      </c>
      <c r="K9452" s="250">
        <v>60692.503996937987</v>
      </c>
      <c r="L9452" s="252"/>
    </row>
    <row r="9453" spans="1:14" x14ac:dyDescent="0.2">
      <c r="A9453" s="242">
        <v>2023</v>
      </c>
      <c r="B9453" s="242">
        <v>8</v>
      </c>
      <c r="C9453" s="242">
        <v>31</v>
      </c>
      <c r="D9453" s="270">
        <f t="shared" si="1140"/>
        <v>45169</v>
      </c>
      <c r="E9453" s="279">
        <f t="shared" si="1141"/>
        <v>45169</v>
      </c>
      <c r="F9453" s="478"/>
      <c r="G9453" s="243" t="s">
        <v>94</v>
      </c>
      <c r="H9453" s="243" t="str" cm="1">
        <f t="array" ref="H9453">IFERROR(INDEX(INVESTOR_LIST[INVESTOR NAME],MATCH(I9453,INVESTOR_LIST[INVESTOR CODE],0),)," ")</f>
        <v xml:space="preserve"> </v>
      </c>
      <c r="I9453" s="263" t="s">
        <v>348</v>
      </c>
      <c r="J9453" s="244" t="s">
        <v>47</v>
      </c>
      <c r="K9453" s="245"/>
      <c r="L9453" s="245">
        <v>60692.503996937987</v>
      </c>
    </row>
    <row r="9454" spans="1:14" x14ac:dyDescent="0.2">
      <c r="A9454" s="246">
        <v>2023</v>
      </c>
      <c r="B9454" s="238">
        <v>8</v>
      </c>
      <c r="C9454" s="238">
        <v>31</v>
      </c>
      <c r="D9454" s="270">
        <f t="shared" si="1140"/>
        <v>45169</v>
      </c>
      <c r="E9454" s="279">
        <f t="shared" si="1141"/>
        <v>45169</v>
      </c>
      <c r="F9454" s="482" t="s">
        <v>138</v>
      </c>
      <c r="G9454" s="247" t="s">
        <v>94</v>
      </c>
      <c r="H9454" s="247" t="str" cm="1">
        <f t="array" ref="H9454">IFERROR(INDEX(INVESTOR_LIST[INVESTOR NAME],MATCH(I9454,INVESTOR_LIST[INVESTOR CODE],0),)," ")</f>
        <v xml:space="preserve"> </v>
      </c>
      <c r="I9454" s="248" t="s">
        <v>348</v>
      </c>
      <c r="J9454" s="249" t="s">
        <v>100</v>
      </c>
      <c r="K9454" s="250">
        <v>3034.6251998468992</v>
      </c>
      <c r="L9454" s="252"/>
    </row>
    <row r="9455" spans="1:14" ht="10.9" customHeight="1" x14ac:dyDescent="0.2">
      <c r="A9455" s="242">
        <v>2023</v>
      </c>
      <c r="B9455" s="242">
        <v>8</v>
      </c>
      <c r="C9455" s="242">
        <v>31</v>
      </c>
      <c r="D9455" s="321">
        <f t="shared" si="1140"/>
        <v>45169</v>
      </c>
      <c r="E9455" s="322">
        <f t="shared" si="1141"/>
        <v>45169</v>
      </c>
      <c r="F9455" s="478"/>
      <c r="G9455" s="243" t="s">
        <v>94</v>
      </c>
      <c r="H9455" s="243" t="str" cm="1">
        <f t="array" ref="H9455">IFERROR(INDEX(INVESTOR_LIST[INVESTOR NAME],MATCH(I9455,INVESTOR_LIST[INVESTOR CODE],0),)," ")</f>
        <v xml:space="preserve"> </v>
      </c>
      <c r="I9455" s="263" t="s">
        <v>348</v>
      </c>
      <c r="J9455" s="244" t="s">
        <v>48</v>
      </c>
      <c r="K9455" s="245"/>
      <c r="L9455" s="245">
        <v>3034.6251998468992</v>
      </c>
    </row>
    <row r="9456" spans="1:14" ht="10.15" customHeight="1" x14ac:dyDescent="0.2">
      <c r="A9456" s="168">
        <v>2023</v>
      </c>
      <c r="B9456" s="168">
        <v>9</v>
      </c>
      <c r="C9456" s="168">
        <v>3</v>
      </c>
      <c r="D9456" s="141">
        <f>DATE(A9456,B9456,C9456)</f>
        <v>45172</v>
      </c>
      <c r="E9456" s="275">
        <f>DATE(A9456,B9456,C9456)</f>
        <v>45172</v>
      </c>
      <c r="F9456" s="479" t="s">
        <v>1310</v>
      </c>
      <c r="G9456" s="220" t="s">
        <v>74</v>
      </c>
      <c r="H9456" s="142" t="str" cm="1">
        <f t="array" ref="H9456">IFERROR(INDEX(INVESTOR_LIST[INVESTOR NAME],MATCH(I9456,INVESTOR_LIST[INVESTOR CODE],0),)," ")</f>
        <v>SUMAN KUMAR KUNDU</v>
      </c>
      <c r="I9456" s="142" t="s">
        <v>632</v>
      </c>
      <c r="J9456" s="168" t="s">
        <v>13</v>
      </c>
      <c r="K9456" s="218">
        <v>25190</v>
      </c>
      <c r="L9456" s="226"/>
    </row>
    <row r="9457" spans="1:12" ht="10.15" customHeight="1" x14ac:dyDescent="0.2">
      <c r="A9457" s="133">
        <v>2023</v>
      </c>
      <c r="B9457" s="133">
        <v>9</v>
      </c>
      <c r="C9457" s="133">
        <v>3</v>
      </c>
      <c r="D9457" s="141">
        <f t="shared" ref="D9457:D9458" si="1142">DATE(A9457,B9457,C9457)</f>
        <v>45172</v>
      </c>
      <c r="E9457" s="275">
        <f t="shared" ref="E9457:E9458" si="1143">DATE(A9457,B9457,C9457)</f>
        <v>45172</v>
      </c>
      <c r="F9457" s="481"/>
      <c r="G9457" s="174" t="s">
        <v>74</v>
      </c>
      <c r="H9457" s="148" t="str" cm="1">
        <f t="array" ref="H9457">IFERROR(INDEX(INVESTOR_LIST[INVESTOR NAME],MATCH(I9457,INVESTOR_LIST[INVESTOR CODE],0),)," ")</f>
        <v>SUMAN KUMAR KUNDU</v>
      </c>
      <c r="I9457" s="148" t="s">
        <v>632</v>
      </c>
      <c r="J9457" s="133" t="s">
        <v>53</v>
      </c>
      <c r="K9457" s="218">
        <v>6418.41</v>
      </c>
      <c r="L9457" s="133"/>
    </row>
    <row r="9458" spans="1:12" ht="10.15" customHeight="1" x14ac:dyDescent="0.2">
      <c r="A9458" s="163">
        <v>2023</v>
      </c>
      <c r="B9458" s="163">
        <v>9</v>
      </c>
      <c r="C9458" s="163">
        <v>3</v>
      </c>
      <c r="D9458" s="280">
        <f t="shared" si="1142"/>
        <v>45172</v>
      </c>
      <c r="E9458" s="281">
        <f t="shared" si="1143"/>
        <v>45172</v>
      </c>
      <c r="F9458" s="480"/>
      <c r="G9458" s="221" t="s">
        <v>74</v>
      </c>
      <c r="H9458" s="145" t="str" cm="1">
        <f t="array" ref="H9458">IFERROR(INDEX(INVESTOR_LIST[INVESTOR NAME],MATCH(I9458,INVESTOR_LIST[INVESTOR CODE],0),)," ")</f>
        <v>SUMAN KUMAR KUNDU</v>
      </c>
      <c r="I9458" s="145" t="s">
        <v>632</v>
      </c>
      <c r="J9458" s="163" t="s">
        <v>52</v>
      </c>
      <c r="K9458" s="219"/>
      <c r="L9458" s="219">
        <v>31608.41</v>
      </c>
    </row>
    <row r="9459" spans="1:12" ht="10.15" customHeight="1" x14ac:dyDescent="0.2">
      <c r="A9459" s="168">
        <v>2023</v>
      </c>
      <c r="B9459" s="168">
        <v>9</v>
      </c>
      <c r="C9459" s="168">
        <v>5</v>
      </c>
      <c r="D9459" s="141">
        <f>DATE(A9459,B9459,C9459)</f>
        <v>45174</v>
      </c>
      <c r="E9459" s="275">
        <f>DATE(A9459,B9459,C9459)</f>
        <v>45174</v>
      </c>
      <c r="F9459" s="479" t="s">
        <v>1310</v>
      </c>
      <c r="G9459" s="220" t="s">
        <v>74</v>
      </c>
      <c r="H9459" s="142" t="str" cm="1">
        <f t="array" ref="H9459">IFERROR(INDEX(INVESTOR_LIST[INVESTOR NAME],MATCH(I9459,INVESTOR_LIST[INVESTOR CODE],0),)," ")</f>
        <v>SYED ASIF HOSSAIN</v>
      </c>
      <c r="I9459" s="142" t="s">
        <v>1154</v>
      </c>
      <c r="J9459" s="168" t="s">
        <v>13</v>
      </c>
      <c r="K9459" s="218">
        <v>88320</v>
      </c>
      <c r="L9459" s="226"/>
    </row>
    <row r="9460" spans="1:12" ht="10.15" customHeight="1" x14ac:dyDescent="0.2">
      <c r="A9460" s="133">
        <v>2023</v>
      </c>
      <c r="B9460" s="133">
        <v>9</v>
      </c>
      <c r="C9460" s="133">
        <v>5</v>
      </c>
      <c r="D9460" s="141">
        <f t="shared" ref="D9460:D9461" si="1144">DATE(A9460,B9460,C9460)</f>
        <v>45174</v>
      </c>
      <c r="E9460" s="275">
        <f t="shared" ref="E9460:E9461" si="1145">DATE(A9460,B9460,C9460)</f>
        <v>45174</v>
      </c>
      <c r="F9460" s="481"/>
      <c r="G9460" s="174" t="s">
        <v>74</v>
      </c>
      <c r="H9460" s="148" t="str" cm="1">
        <f t="array" ref="H9460">IFERROR(INDEX(INVESTOR_LIST[INVESTOR NAME],MATCH(I9460,INVESTOR_LIST[INVESTOR CODE],0),)," ")</f>
        <v>SYED ASIF HOSSAIN</v>
      </c>
      <c r="I9460" s="148" t="s">
        <v>1154</v>
      </c>
      <c r="J9460" s="133" t="s">
        <v>53</v>
      </c>
      <c r="K9460" s="218">
        <v>22503.940000000002</v>
      </c>
      <c r="L9460" s="133"/>
    </row>
    <row r="9461" spans="1:12" ht="10.15" customHeight="1" x14ac:dyDescent="0.2">
      <c r="A9461" s="163">
        <v>2023</v>
      </c>
      <c r="B9461" s="163">
        <v>9</v>
      </c>
      <c r="C9461" s="163">
        <v>5</v>
      </c>
      <c r="D9461" s="280">
        <f t="shared" si="1144"/>
        <v>45174</v>
      </c>
      <c r="E9461" s="281">
        <f t="shared" si="1145"/>
        <v>45174</v>
      </c>
      <c r="F9461" s="480"/>
      <c r="G9461" s="221" t="s">
        <v>74</v>
      </c>
      <c r="H9461" s="145" t="str" cm="1">
        <f t="array" ref="H9461">IFERROR(INDEX(INVESTOR_LIST[INVESTOR NAME],MATCH(I9461,INVESTOR_LIST[INVESTOR CODE],0),)," ")</f>
        <v>SYED ASIF HOSSAIN</v>
      </c>
      <c r="I9461" s="145" t="s">
        <v>1154</v>
      </c>
      <c r="J9461" s="163" t="s">
        <v>52</v>
      </c>
      <c r="K9461" s="219"/>
      <c r="L9461" s="219">
        <v>110823.94</v>
      </c>
    </row>
    <row r="9462" spans="1:12" ht="10.15" customHeight="1" x14ac:dyDescent="0.2">
      <c r="A9462" s="168">
        <v>2023</v>
      </c>
      <c r="B9462" s="168">
        <v>9</v>
      </c>
      <c r="C9462" s="168">
        <v>5</v>
      </c>
      <c r="D9462" s="141">
        <f>DATE(A9462,B9462,C9462)</f>
        <v>45174</v>
      </c>
      <c r="E9462" s="275">
        <f>DATE(A9462,B9462,C9462)</f>
        <v>45174</v>
      </c>
      <c r="F9462" s="479" t="s">
        <v>1310</v>
      </c>
      <c r="G9462" s="220" t="s">
        <v>74</v>
      </c>
      <c r="H9462" s="142" t="str" cm="1">
        <f t="array" ref="H9462">IFERROR(INDEX(INVESTOR_LIST[INVESTOR NAME],MATCH(I9462,INVESTOR_LIST[INVESTOR CODE],0),)," ")</f>
        <v>FARHANA AKHTER</v>
      </c>
      <c r="I9462" s="142" t="s">
        <v>665</v>
      </c>
      <c r="J9462" s="168" t="s">
        <v>13</v>
      </c>
      <c r="K9462" s="218">
        <v>16020</v>
      </c>
      <c r="L9462" s="226"/>
    </row>
    <row r="9463" spans="1:12" ht="10.15" customHeight="1" x14ac:dyDescent="0.2">
      <c r="A9463" s="133">
        <v>2023</v>
      </c>
      <c r="B9463" s="133">
        <v>9</v>
      </c>
      <c r="C9463" s="133">
        <v>5</v>
      </c>
      <c r="D9463" s="141">
        <f t="shared" ref="D9463:D9464" si="1146">DATE(A9463,B9463,C9463)</f>
        <v>45174</v>
      </c>
      <c r="E9463" s="275">
        <f t="shared" ref="E9463:E9464" si="1147">DATE(A9463,B9463,C9463)</f>
        <v>45174</v>
      </c>
      <c r="F9463" s="481"/>
      <c r="G9463" s="174" t="s">
        <v>74</v>
      </c>
      <c r="H9463" s="148" t="str" cm="1">
        <f t="array" ref="H9463">IFERROR(INDEX(INVESTOR_LIST[INVESTOR NAME],MATCH(I9463,INVESTOR_LIST[INVESTOR CODE],0),)," ")</f>
        <v>FARHANA AKHTER</v>
      </c>
      <c r="I9463" s="148" t="s">
        <v>665</v>
      </c>
      <c r="J9463" s="133" t="s">
        <v>53</v>
      </c>
      <c r="K9463" s="218">
        <v>4081.9000000000015</v>
      </c>
      <c r="L9463" s="133"/>
    </row>
    <row r="9464" spans="1:12" ht="10.15" customHeight="1" x14ac:dyDescent="0.2">
      <c r="A9464" s="163">
        <v>2023</v>
      </c>
      <c r="B9464" s="163">
        <v>9</v>
      </c>
      <c r="C9464" s="163">
        <v>5</v>
      </c>
      <c r="D9464" s="280">
        <f t="shared" si="1146"/>
        <v>45174</v>
      </c>
      <c r="E9464" s="281">
        <f t="shared" si="1147"/>
        <v>45174</v>
      </c>
      <c r="F9464" s="480"/>
      <c r="G9464" s="221" t="s">
        <v>74</v>
      </c>
      <c r="H9464" s="145" t="str" cm="1">
        <f t="array" ref="H9464">IFERROR(INDEX(INVESTOR_LIST[INVESTOR NAME],MATCH(I9464,INVESTOR_LIST[INVESTOR CODE],0),)," ")</f>
        <v>FARHANA AKHTER</v>
      </c>
      <c r="I9464" s="145" t="s">
        <v>665</v>
      </c>
      <c r="J9464" s="163" t="s">
        <v>52</v>
      </c>
      <c r="K9464" s="219"/>
      <c r="L9464" s="219">
        <v>20101.900000000001</v>
      </c>
    </row>
    <row r="9465" spans="1:12" ht="10.15" customHeight="1" x14ac:dyDescent="0.2">
      <c r="A9465" s="168">
        <v>2023</v>
      </c>
      <c r="B9465" s="168">
        <v>9</v>
      </c>
      <c r="C9465" s="168">
        <v>5</v>
      </c>
      <c r="D9465" s="141">
        <f>DATE(A9465,B9465,C9465)</f>
        <v>45174</v>
      </c>
      <c r="E9465" s="275">
        <f>DATE(A9465,B9465,C9465)</f>
        <v>45174</v>
      </c>
      <c r="F9465" s="479" t="s">
        <v>1315</v>
      </c>
      <c r="G9465" s="220" t="s">
        <v>74</v>
      </c>
      <c r="H9465" s="142" t="str" cm="1">
        <f t="array" ref="H9465">IFERROR(INDEX(INVESTOR_LIST[INVESTOR NAME],MATCH(I9465,INVESTOR_LIST[INVESTOR CODE],0),)," ")</f>
        <v>MOHAMMAD HABIB RASHID</v>
      </c>
      <c r="I9465" s="142" t="s">
        <v>550</v>
      </c>
      <c r="J9465" s="168" t="s">
        <v>13</v>
      </c>
      <c r="K9465" s="218">
        <v>134960</v>
      </c>
      <c r="L9465" s="226"/>
    </row>
    <row r="9466" spans="1:12" ht="10.15" customHeight="1" x14ac:dyDescent="0.2">
      <c r="A9466" s="133">
        <v>2023</v>
      </c>
      <c r="B9466" s="133">
        <v>9</v>
      </c>
      <c r="C9466" s="133">
        <v>5</v>
      </c>
      <c r="D9466" s="141">
        <f t="shared" ref="D9466:D9470" si="1148">DATE(A9466,B9466,C9466)</f>
        <v>45174</v>
      </c>
      <c r="E9466" s="275">
        <f t="shared" ref="E9466:E9470" si="1149">DATE(A9466,B9466,C9466)</f>
        <v>45174</v>
      </c>
      <c r="F9466" s="481"/>
      <c r="G9466" s="174" t="s">
        <v>74</v>
      </c>
      <c r="H9466" s="148" t="str" cm="1">
        <f t="array" ref="H9466">IFERROR(INDEX(INVESTOR_LIST[INVESTOR NAME],MATCH(I9466,INVESTOR_LIST[INVESTOR CODE],0),)," ")</f>
        <v>MOHAMMAD HABIB RASHID</v>
      </c>
      <c r="I9466" s="148" t="s">
        <v>550</v>
      </c>
      <c r="J9466" s="133" t="s">
        <v>53</v>
      </c>
      <c r="K9466" s="218">
        <v>34387.81</v>
      </c>
      <c r="L9466" s="133"/>
    </row>
    <row r="9467" spans="1:12" ht="10.15" customHeight="1" x14ac:dyDescent="0.2">
      <c r="A9467" s="163">
        <v>2023</v>
      </c>
      <c r="B9467" s="163">
        <v>9</v>
      </c>
      <c r="C9467" s="163">
        <v>5</v>
      </c>
      <c r="D9467" s="280">
        <f t="shared" si="1148"/>
        <v>45174</v>
      </c>
      <c r="E9467" s="281">
        <f t="shared" si="1149"/>
        <v>45174</v>
      </c>
      <c r="F9467" s="480"/>
      <c r="G9467" s="221" t="s">
        <v>74</v>
      </c>
      <c r="H9467" s="145" t="str" cm="1">
        <f t="array" ref="H9467">IFERROR(INDEX(INVESTOR_LIST[INVESTOR NAME],MATCH(I9467,INVESTOR_LIST[INVESTOR CODE],0),)," ")</f>
        <v>MOHAMMAD HABIB RASHID</v>
      </c>
      <c r="I9467" s="145" t="s">
        <v>550</v>
      </c>
      <c r="J9467" s="163" t="s">
        <v>52</v>
      </c>
      <c r="K9467" s="219"/>
      <c r="L9467" s="219">
        <v>169347.81</v>
      </c>
    </row>
    <row r="9468" spans="1:12" ht="10.15" customHeight="1" x14ac:dyDescent="0.2">
      <c r="A9468" s="168">
        <v>2023</v>
      </c>
      <c r="B9468" s="168">
        <v>9</v>
      </c>
      <c r="C9468" s="168">
        <v>5</v>
      </c>
      <c r="D9468" s="141">
        <f t="shared" si="1148"/>
        <v>45174</v>
      </c>
      <c r="E9468" s="275">
        <f t="shared" si="1149"/>
        <v>45174</v>
      </c>
      <c r="F9468" s="479" t="s">
        <v>1319</v>
      </c>
      <c r="G9468" s="220" t="s">
        <v>74</v>
      </c>
      <c r="H9468" s="142" t="str" cm="1">
        <f t="array" ref="H9468">IFERROR(INDEX(INVESTOR_LIST[INVESTOR NAME],MATCH(I9468,INVESTOR_LIST[INVESTOR CODE],0),)," ")</f>
        <v xml:space="preserve"> </v>
      </c>
      <c r="I9468" s="142"/>
      <c r="J9468" s="168" t="s">
        <v>52</v>
      </c>
      <c r="K9468" s="226">
        <v>7500</v>
      </c>
      <c r="L9468" s="226"/>
    </row>
    <row r="9469" spans="1:12" ht="10.15" customHeight="1" x14ac:dyDescent="0.2">
      <c r="A9469" s="133">
        <v>2023</v>
      </c>
      <c r="B9469" s="133">
        <v>9</v>
      </c>
      <c r="C9469" s="133">
        <v>5</v>
      </c>
      <c r="D9469" s="141">
        <f t="shared" si="1148"/>
        <v>45174</v>
      </c>
      <c r="E9469" s="275">
        <f t="shared" si="1149"/>
        <v>45174</v>
      </c>
      <c r="F9469" s="481"/>
      <c r="G9469" s="174" t="s">
        <v>74</v>
      </c>
      <c r="H9469" s="148" t="str" cm="1">
        <f t="array" ref="H9469">IFERROR(INDEX(INVESTOR_LIST[INVESTOR NAME],MATCH(I9469,INVESTOR_LIST[INVESTOR CODE],0),)," ")</f>
        <v xml:space="preserve"> </v>
      </c>
      <c r="J9469" s="133" t="s">
        <v>13</v>
      </c>
      <c r="K9469" s="218"/>
      <c r="L9469" s="218">
        <v>5970</v>
      </c>
    </row>
    <row r="9470" spans="1:12" ht="10.15" customHeight="1" x14ac:dyDescent="0.2">
      <c r="A9470" s="163">
        <v>2023</v>
      </c>
      <c r="B9470" s="163">
        <v>9</v>
      </c>
      <c r="C9470" s="163">
        <v>5</v>
      </c>
      <c r="D9470" s="280">
        <f t="shared" si="1148"/>
        <v>45174</v>
      </c>
      <c r="E9470" s="281">
        <f t="shared" si="1149"/>
        <v>45174</v>
      </c>
      <c r="F9470" s="480"/>
      <c r="G9470" s="221" t="s">
        <v>74</v>
      </c>
      <c r="H9470" s="145" t="str" cm="1">
        <f t="array" ref="H9470">IFERROR(INDEX(INVESTOR_LIST[INVESTOR NAME],MATCH(I9470,INVESTOR_LIST[INVESTOR CODE],0),)," ")</f>
        <v xml:space="preserve"> </v>
      </c>
      <c r="I9470" s="145"/>
      <c r="J9470" s="163" t="s">
        <v>53</v>
      </c>
      <c r="K9470" s="219"/>
      <c r="L9470" s="219">
        <v>1530</v>
      </c>
    </row>
    <row r="9471" spans="1:12" ht="10.15" customHeight="1" x14ac:dyDescent="0.2">
      <c r="A9471" s="168">
        <v>2023</v>
      </c>
      <c r="B9471" s="168">
        <v>9</v>
      </c>
      <c r="C9471" s="168">
        <v>7</v>
      </c>
      <c r="D9471" s="141">
        <f t="shared" ref="D9471:D9492" si="1150">DATE(A9471,B9471,C9471)</f>
        <v>45176</v>
      </c>
      <c r="E9471" s="275">
        <f t="shared" ref="E9471:E9492" si="1151">DATE(A9471,B9471,C9471)</f>
        <v>45176</v>
      </c>
      <c r="F9471" s="479" t="s">
        <v>1319</v>
      </c>
      <c r="G9471" s="220" t="s">
        <v>74</v>
      </c>
      <c r="H9471" s="142" t="str" cm="1">
        <f t="array" ref="H9471">IFERROR(INDEX(INVESTOR_LIST[INVESTOR NAME],MATCH(I9471,INVESTOR_LIST[INVESTOR CODE],0),)," ")</f>
        <v xml:space="preserve"> </v>
      </c>
      <c r="I9471" s="142"/>
      <c r="J9471" s="168" t="s">
        <v>52</v>
      </c>
      <c r="K9471" s="226">
        <v>219000</v>
      </c>
      <c r="L9471" s="226"/>
    </row>
    <row r="9472" spans="1:12" ht="10.15" customHeight="1" x14ac:dyDescent="0.2">
      <c r="A9472" s="133">
        <v>2023</v>
      </c>
      <c r="B9472" s="133">
        <v>9</v>
      </c>
      <c r="C9472" s="133">
        <v>7</v>
      </c>
      <c r="D9472" s="141">
        <f t="shared" si="1150"/>
        <v>45176</v>
      </c>
      <c r="E9472" s="275">
        <f t="shared" si="1151"/>
        <v>45176</v>
      </c>
      <c r="F9472" s="481"/>
      <c r="G9472" s="174" t="s">
        <v>74</v>
      </c>
      <c r="H9472" s="148" t="str" cm="1">
        <f t="array" ref="H9472">IFERROR(INDEX(INVESTOR_LIST[INVESTOR NAME],MATCH(I9472,INVESTOR_LIST[INVESTOR CODE],0),)," ")</f>
        <v xml:space="preserve"> </v>
      </c>
      <c r="J9472" s="133" t="s">
        <v>13</v>
      </c>
      <c r="K9472" s="218"/>
      <c r="L9472" s="218">
        <v>174490</v>
      </c>
    </row>
    <row r="9473" spans="1:14" ht="10.15" customHeight="1" x14ac:dyDescent="0.2">
      <c r="A9473" s="163">
        <v>2023</v>
      </c>
      <c r="B9473" s="163">
        <v>9</v>
      </c>
      <c r="C9473" s="163">
        <v>7</v>
      </c>
      <c r="D9473" s="280">
        <f t="shared" si="1150"/>
        <v>45176</v>
      </c>
      <c r="E9473" s="281">
        <f t="shared" si="1151"/>
        <v>45176</v>
      </c>
      <c r="F9473" s="480"/>
      <c r="G9473" s="221" t="s">
        <v>74</v>
      </c>
      <c r="H9473" s="145" t="str" cm="1">
        <f t="array" ref="H9473">IFERROR(INDEX(INVESTOR_LIST[INVESTOR NAME],MATCH(I9473,INVESTOR_LIST[INVESTOR CODE],0),)," ")</f>
        <v xml:space="preserve"> </v>
      </c>
      <c r="I9473" s="145"/>
      <c r="J9473" s="163" t="s">
        <v>53</v>
      </c>
      <c r="K9473" s="219"/>
      <c r="L9473" s="219">
        <v>44510</v>
      </c>
    </row>
    <row r="9474" spans="1:14" x14ac:dyDescent="0.2">
      <c r="A9474" s="324">
        <v>2023</v>
      </c>
      <c r="B9474" s="324">
        <v>9</v>
      </c>
      <c r="C9474" s="325">
        <v>7</v>
      </c>
      <c r="D9474" s="326">
        <f t="shared" si="1150"/>
        <v>45176</v>
      </c>
      <c r="E9474" s="327">
        <f t="shared" si="1151"/>
        <v>45176</v>
      </c>
      <c r="F9474" s="473" t="s">
        <v>1490</v>
      </c>
      <c r="G9474" s="328" t="s">
        <v>94</v>
      </c>
      <c r="H9474" s="329" t="str" cm="1">
        <f t="array" ref="H9474">IFERROR(INDEX(INVESTOR_LIST[INVESTOR NAME],MATCH(I9474,INVESTOR_LIST[INVESTOR CODE],0),)," ")</f>
        <v xml:space="preserve"> </v>
      </c>
      <c r="I9474" s="329" t="s">
        <v>348</v>
      </c>
      <c r="J9474" s="325" t="s">
        <v>133</v>
      </c>
      <c r="K9474" s="330">
        <v>16189.16</v>
      </c>
      <c r="L9474" s="330"/>
      <c r="M9474" s="160"/>
    </row>
    <row r="9475" spans="1:14" x14ac:dyDescent="0.2">
      <c r="A9475" s="331">
        <v>2023</v>
      </c>
      <c r="B9475" s="331">
        <v>9</v>
      </c>
      <c r="C9475" s="331">
        <v>7</v>
      </c>
      <c r="D9475" s="326">
        <f t="shared" si="1150"/>
        <v>45176</v>
      </c>
      <c r="E9475" s="327">
        <f t="shared" si="1151"/>
        <v>45176</v>
      </c>
      <c r="F9475" s="474"/>
      <c r="G9475" s="332" t="s">
        <v>94</v>
      </c>
      <c r="H9475" s="333" t="str" cm="1">
        <f t="array" ref="H9475">IFERROR(INDEX(INVESTOR_LIST[INVESTOR NAME],MATCH(I9475,INVESTOR_LIST[INVESTOR CODE],0),)," ")</f>
        <v xml:space="preserve"> </v>
      </c>
      <c r="I9475" s="333" t="s">
        <v>348</v>
      </c>
      <c r="J9475" s="331" t="s">
        <v>152</v>
      </c>
      <c r="K9475" s="334"/>
      <c r="L9475" s="334">
        <v>16189.16</v>
      </c>
      <c r="M9475" s="160"/>
      <c r="N9475" s="160"/>
    </row>
    <row r="9476" spans="1:14" x14ac:dyDescent="0.2">
      <c r="A9476" s="324">
        <v>2023</v>
      </c>
      <c r="B9476" s="324">
        <v>9</v>
      </c>
      <c r="C9476" s="325">
        <v>7</v>
      </c>
      <c r="D9476" s="326">
        <f t="shared" si="1150"/>
        <v>45176</v>
      </c>
      <c r="E9476" s="327">
        <f t="shared" si="1151"/>
        <v>45176</v>
      </c>
      <c r="F9476" s="473" t="s">
        <v>1491</v>
      </c>
      <c r="G9476" s="328" t="s">
        <v>94</v>
      </c>
      <c r="H9476" s="329" t="str" cm="1">
        <f t="array" ref="H9476">IFERROR(INDEX(INVESTOR_LIST[INVESTOR NAME],MATCH(I9476,INVESTOR_LIST[INVESTOR CODE],0),)," ")</f>
        <v xml:space="preserve"> </v>
      </c>
      <c r="I9476" s="329" t="s">
        <v>348</v>
      </c>
      <c r="J9476" s="324" t="s">
        <v>133</v>
      </c>
      <c r="K9476" s="330">
        <v>4615.38</v>
      </c>
      <c r="L9476" s="330"/>
      <c r="M9476" s="160"/>
      <c r="N9476" s="160"/>
    </row>
    <row r="9477" spans="1:14" x14ac:dyDescent="0.2">
      <c r="A9477" s="331">
        <v>2023</v>
      </c>
      <c r="B9477" s="331">
        <v>9</v>
      </c>
      <c r="C9477" s="331">
        <v>7</v>
      </c>
      <c r="D9477" s="326">
        <f t="shared" si="1150"/>
        <v>45176</v>
      </c>
      <c r="E9477" s="327">
        <f t="shared" si="1151"/>
        <v>45176</v>
      </c>
      <c r="F9477" s="474"/>
      <c r="G9477" s="332" t="s">
        <v>94</v>
      </c>
      <c r="H9477" s="333" t="str" cm="1">
        <f t="array" ref="H9477">IFERROR(INDEX(INVESTOR_LIST[INVESTOR NAME],MATCH(I9477,INVESTOR_LIST[INVESTOR CODE],0),)," ")</f>
        <v xml:space="preserve"> </v>
      </c>
      <c r="I9477" s="333" t="s">
        <v>348</v>
      </c>
      <c r="J9477" s="331" t="s">
        <v>152</v>
      </c>
      <c r="K9477" s="334"/>
      <c r="L9477" s="334">
        <v>4615.38</v>
      </c>
      <c r="M9477" s="160"/>
    </row>
    <row r="9478" spans="1:14" x14ac:dyDescent="0.2">
      <c r="A9478" s="324">
        <v>2023</v>
      </c>
      <c r="B9478" s="324">
        <v>9</v>
      </c>
      <c r="C9478" s="325">
        <v>7</v>
      </c>
      <c r="D9478" s="326">
        <f t="shared" si="1150"/>
        <v>45176</v>
      </c>
      <c r="E9478" s="327">
        <f t="shared" si="1151"/>
        <v>45176</v>
      </c>
      <c r="F9478" s="473" t="s">
        <v>1531</v>
      </c>
      <c r="G9478" s="328" t="s">
        <v>94</v>
      </c>
      <c r="H9478" s="329" t="str" cm="1">
        <f t="array" ref="H9478">IFERROR(INDEX(INVESTOR_LIST[INVESTOR NAME],MATCH(I9478,INVESTOR_LIST[INVESTOR CODE],0),)," ")</f>
        <v xml:space="preserve"> </v>
      </c>
      <c r="I9478" s="329" t="s">
        <v>348</v>
      </c>
      <c r="J9478" s="324" t="s">
        <v>133</v>
      </c>
      <c r="K9478" s="330">
        <v>23076.92</v>
      </c>
      <c r="L9478" s="330"/>
      <c r="M9478" s="160"/>
    </row>
    <row r="9479" spans="1:14" x14ac:dyDescent="0.2">
      <c r="A9479" s="331">
        <v>2023</v>
      </c>
      <c r="B9479" s="331">
        <v>9</v>
      </c>
      <c r="C9479" s="331">
        <v>7</v>
      </c>
      <c r="D9479" s="326">
        <f t="shared" si="1150"/>
        <v>45176</v>
      </c>
      <c r="E9479" s="327">
        <f t="shared" si="1151"/>
        <v>45176</v>
      </c>
      <c r="F9479" s="474"/>
      <c r="G9479" s="332" t="s">
        <v>94</v>
      </c>
      <c r="H9479" s="333" t="str" cm="1">
        <f t="array" ref="H9479">IFERROR(INDEX(INVESTOR_LIST[INVESTOR NAME],MATCH(I9479,INVESTOR_LIST[INVESTOR CODE],0),)," ")</f>
        <v xml:space="preserve"> </v>
      </c>
      <c r="I9479" s="333" t="s">
        <v>348</v>
      </c>
      <c r="J9479" s="331" t="s">
        <v>152</v>
      </c>
      <c r="K9479" s="334"/>
      <c r="L9479" s="334">
        <v>23076.92</v>
      </c>
      <c r="M9479" s="160"/>
    </row>
    <row r="9480" spans="1:14" x14ac:dyDescent="0.2">
      <c r="A9480" s="238">
        <v>2023</v>
      </c>
      <c r="B9480" s="238">
        <v>9</v>
      </c>
      <c r="C9480" s="238">
        <v>7</v>
      </c>
      <c r="D9480" s="270">
        <f t="shared" si="1150"/>
        <v>45176</v>
      </c>
      <c r="E9480" s="279">
        <f t="shared" si="1151"/>
        <v>45176</v>
      </c>
      <c r="F9480" s="477" t="s">
        <v>347</v>
      </c>
      <c r="G9480" s="239" t="s">
        <v>94</v>
      </c>
      <c r="H9480" s="239" t="str" cm="1">
        <f t="array" ref="H9480">IFERROR(INDEX(INVESTOR_LIST[INVESTOR NAME],MATCH(I9480,INVESTOR_LIST[INVESTOR CODE],0),)," ")</f>
        <v xml:space="preserve"> </v>
      </c>
      <c r="I9480" s="262" t="s">
        <v>348</v>
      </c>
      <c r="J9480" s="240" t="s">
        <v>82</v>
      </c>
      <c r="K9480" s="241">
        <v>133803.07000000775</v>
      </c>
      <c r="L9480" s="241"/>
    </row>
    <row r="9481" spans="1:14" x14ac:dyDescent="0.2">
      <c r="A9481" s="242">
        <v>2023</v>
      </c>
      <c r="B9481" s="242">
        <v>9</v>
      </c>
      <c r="C9481" s="242">
        <v>7</v>
      </c>
      <c r="D9481" s="270">
        <f t="shared" si="1150"/>
        <v>45176</v>
      </c>
      <c r="E9481" s="279">
        <f t="shared" si="1151"/>
        <v>45176</v>
      </c>
      <c r="F9481" s="478"/>
      <c r="G9481" s="243" t="s">
        <v>94</v>
      </c>
      <c r="H9481" s="243" t="str" cm="1">
        <f t="array" ref="H9481">IFERROR(INDEX(INVESTOR_LIST[INVESTOR NAME],MATCH(I9481,INVESTOR_LIST[INVESTOR CODE],0),)," ")</f>
        <v xml:space="preserve"> </v>
      </c>
      <c r="I9481" s="263" t="s">
        <v>348</v>
      </c>
      <c r="J9481" s="244" t="s">
        <v>108</v>
      </c>
      <c r="K9481" s="245"/>
      <c r="L9481" s="245">
        <v>133803.07000000775</v>
      </c>
    </row>
    <row r="9482" spans="1:14" ht="22.5" x14ac:dyDescent="0.2">
      <c r="A9482" s="246">
        <v>2023</v>
      </c>
      <c r="B9482" s="238">
        <v>9</v>
      </c>
      <c r="C9482" s="238">
        <v>7</v>
      </c>
      <c r="D9482" s="270">
        <f t="shared" si="1150"/>
        <v>45176</v>
      </c>
      <c r="E9482" s="279">
        <f t="shared" si="1151"/>
        <v>45176</v>
      </c>
      <c r="F9482" s="482" t="s">
        <v>148</v>
      </c>
      <c r="G9482" s="247" t="s">
        <v>94</v>
      </c>
      <c r="H9482" s="247" t="str" cm="1">
        <f t="array" ref="H9482">IFERROR(INDEX(INVESTOR_LIST[INVESTOR NAME],MATCH(I9482,INVESTOR_LIST[INVESTOR CODE],0),)," ")</f>
        <v xml:space="preserve"> </v>
      </c>
      <c r="I9482" s="248" t="s">
        <v>348</v>
      </c>
      <c r="J9482" s="249" t="s">
        <v>95</v>
      </c>
      <c r="K9482" s="250">
        <v>2747.2527472527472</v>
      </c>
      <c r="L9482" s="241"/>
    </row>
    <row r="9483" spans="1:14" x14ac:dyDescent="0.2">
      <c r="A9483" s="242">
        <v>2023</v>
      </c>
      <c r="B9483" s="242">
        <v>9</v>
      </c>
      <c r="C9483" s="242">
        <v>7</v>
      </c>
      <c r="D9483" s="270">
        <f t="shared" si="1150"/>
        <v>45176</v>
      </c>
      <c r="E9483" s="279">
        <f t="shared" si="1151"/>
        <v>45176</v>
      </c>
      <c r="F9483" s="478"/>
      <c r="G9483" s="243" t="s">
        <v>94</v>
      </c>
      <c r="H9483" s="243" t="str" cm="1">
        <f t="array" ref="H9483">IFERROR(INDEX(INVESTOR_LIST[INVESTOR NAME],MATCH(I9483,INVESTOR_LIST[INVESTOR CODE],0),)," ")</f>
        <v xml:space="preserve"> </v>
      </c>
      <c r="I9483" s="263" t="s">
        <v>348</v>
      </c>
      <c r="J9483" s="244" t="s">
        <v>63</v>
      </c>
      <c r="K9483" s="245"/>
      <c r="L9483" s="245">
        <v>2747.2527472527472</v>
      </c>
    </row>
    <row r="9484" spans="1:14" x14ac:dyDescent="0.2">
      <c r="A9484" s="246">
        <v>2023</v>
      </c>
      <c r="B9484" s="238">
        <v>9</v>
      </c>
      <c r="C9484" s="238">
        <v>7</v>
      </c>
      <c r="D9484" s="270">
        <f t="shared" si="1150"/>
        <v>45176</v>
      </c>
      <c r="E9484" s="279">
        <f t="shared" si="1151"/>
        <v>45176</v>
      </c>
      <c r="F9484" s="482" t="s">
        <v>137</v>
      </c>
      <c r="G9484" s="247" t="s">
        <v>94</v>
      </c>
      <c r="H9484" s="247" t="str" cm="1">
        <f t="array" ref="H9484">IFERROR(INDEX(INVESTOR_LIST[INVESTOR NAME],MATCH(I9484,INVESTOR_LIST[INVESTOR CODE],0),)," ")</f>
        <v xml:space="preserve"> </v>
      </c>
      <c r="I9484" s="248" t="s">
        <v>348</v>
      </c>
      <c r="J9484" s="249" t="s">
        <v>97</v>
      </c>
      <c r="K9484" s="250">
        <v>60589.864980805658</v>
      </c>
      <c r="L9484" s="252"/>
    </row>
    <row r="9485" spans="1:14" x14ac:dyDescent="0.2">
      <c r="A9485" s="242">
        <v>2023</v>
      </c>
      <c r="B9485" s="242">
        <v>9</v>
      </c>
      <c r="C9485" s="242">
        <v>7</v>
      </c>
      <c r="D9485" s="270">
        <f t="shared" si="1150"/>
        <v>45176</v>
      </c>
      <c r="E9485" s="279">
        <f t="shared" si="1151"/>
        <v>45176</v>
      </c>
      <c r="F9485" s="478"/>
      <c r="G9485" s="243" t="s">
        <v>94</v>
      </c>
      <c r="H9485" s="243" t="str" cm="1">
        <f t="array" ref="H9485">IFERROR(INDEX(INVESTOR_LIST[INVESTOR NAME],MATCH(I9485,INVESTOR_LIST[INVESTOR CODE],0),)," ")</f>
        <v xml:space="preserve"> </v>
      </c>
      <c r="I9485" s="263" t="s">
        <v>348</v>
      </c>
      <c r="J9485" s="244" t="s">
        <v>47</v>
      </c>
      <c r="K9485" s="245"/>
      <c r="L9485" s="245">
        <v>60589.864980805658</v>
      </c>
    </row>
    <row r="9486" spans="1:14" x14ac:dyDescent="0.2">
      <c r="A9486" s="246">
        <v>2023</v>
      </c>
      <c r="B9486" s="238">
        <v>9</v>
      </c>
      <c r="C9486" s="238">
        <v>7</v>
      </c>
      <c r="D9486" s="270">
        <f t="shared" si="1150"/>
        <v>45176</v>
      </c>
      <c r="E9486" s="279">
        <f t="shared" si="1151"/>
        <v>45176</v>
      </c>
      <c r="F9486" s="482" t="s">
        <v>138</v>
      </c>
      <c r="G9486" s="247" t="s">
        <v>94</v>
      </c>
      <c r="H9486" s="247" t="str" cm="1">
        <f t="array" ref="H9486">IFERROR(INDEX(INVESTOR_LIST[INVESTOR NAME],MATCH(I9486,INVESTOR_LIST[INVESTOR CODE],0),)," ")</f>
        <v xml:space="preserve"> </v>
      </c>
      <c r="I9486" s="248" t="s">
        <v>348</v>
      </c>
      <c r="J9486" s="249" t="s">
        <v>100</v>
      </c>
      <c r="K9486" s="250">
        <v>3029.493249040283</v>
      </c>
      <c r="L9486" s="252"/>
    </row>
    <row r="9487" spans="1:14" ht="10.9" customHeight="1" x14ac:dyDescent="0.2">
      <c r="A9487" s="242">
        <v>2023</v>
      </c>
      <c r="B9487" s="242">
        <v>9</v>
      </c>
      <c r="C9487" s="242">
        <v>7</v>
      </c>
      <c r="D9487" s="321">
        <f t="shared" si="1150"/>
        <v>45176</v>
      </c>
      <c r="E9487" s="322">
        <f t="shared" si="1151"/>
        <v>45176</v>
      </c>
      <c r="F9487" s="478"/>
      <c r="G9487" s="243" t="s">
        <v>94</v>
      </c>
      <c r="H9487" s="243" t="str" cm="1">
        <f t="array" ref="H9487">IFERROR(INDEX(INVESTOR_LIST[INVESTOR NAME],MATCH(I9487,INVESTOR_LIST[INVESTOR CODE],0),)," ")</f>
        <v xml:space="preserve"> </v>
      </c>
      <c r="I9487" s="263" t="s">
        <v>348</v>
      </c>
      <c r="J9487" s="244" t="s">
        <v>48</v>
      </c>
      <c r="K9487" s="245"/>
      <c r="L9487" s="245">
        <v>3029.493249040283</v>
      </c>
    </row>
    <row r="9488" spans="1:14" ht="10.15" customHeight="1" x14ac:dyDescent="0.2">
      <c r="A9488" s="133">
        <v>2023</v>
      </c>
      <c r="B9488" s="133">
        <v>9</v>
      </c>
      <c r="C9488" s="133">
        <v>10</v>
      </c>
      <c r="D9488" s="141">
        <f t="shared" si="1150"/>
        <v>45179</v>
      </c>
      <c r="E9488" s="275">
        <f t="shared" si="1151"/>
        <v>45179</v>
      </c>
      <c r="F9488" s="479" t="s">
        <v>1744</v>
      </c>
      <c r="G9488" s="220" t="s">
        <v>74</v>
      </c>
      <c r="H9488" s="220"/>
      <c r="I9488" s="142"/>
      <c r="J9488" s="143" t="s">
        <v>96</v>
      </c>
      <c r="K9488" s="226">
        <v>5081875</v>
      </c>
      <c r="L9488" s="226"/>
    </row>
    <row r="9489" spans="1:12" ht="10.15" customHeight="1" x14ac:dyDescent="0.2">
      <c r="A9489" s="133">
        <v>2023</v>
      </c>
      <c r="B9489" s="133">
        <v>9</v>
      </c>
      <c r="C9489" s="133">
        <v>10</v>
      </c>
      <c r="D9489" s="141">
        <f t="shared" si="1150"/>
        <v>45179</v>
      </c>
      <c r="E9489" s="275">
        <f t="shared" si="1151"/>
        <v>45179</v>
      </c>
      <c r="F9489" s="481"/>
      <c r="G9489" s="174" t="s">
        <v>74</v>
      </c>
      <c r="H9489" s="174" t="str" cm="1">
        <f t="array" ref="H9489">IFERROR(INDEX(INVESTOR_LIST[INVESTOR NAME],MATCH(I9489,INVESTOR_LIST[INVESTOR CODE],0),)," ")</f>
        <v xml:space="preserve"> </v>
      </c>
      <c r="I9489" s="148" t="s">
        <v>348</v>
      </c>
      <c r="J9489" s="149" t="s">
        <v>52</v>
      </c>
      <c r="K9489" s="218">
        <v>86931.82</v>
      </c>
      <c r="L9489" s="218"/>
    </row>
    <row r="9490" spans="1:12" ht="10.15" customHeight="1" x14ac:dyDescent="0.2">
      <c r="A9490" s="133">
        <v>2023</v>
      </c>
      <c r="B9490" s="133">
        <v>9</v>
      </c>
      <c r="C9490" s="133">
        <v>10</v>
      </c>
      <c r="D9490" s="141">
        <f t="shared" ref="D9490" si="1152">DATE(A9490,B9490,C9490)</f>
        <v>45179</v>
      </c>
      <c r="E9490" s="275">
        <f t="shared" ref="E9490" si="1153">DATE(A9490,B9490,C9490)</f>
        <v>45179</v>
      </c>
      <c r="F9490" s="481"/>
      <c r="G9490" s="174" t="s">
        <v>74</v>
      </c>
      <c r="H9490" s="174"/>
      <c r="J9490" s="149" t="s">
        <v>61</v>
      </c>
      <c r="K9490" s="218">
        <v>15340.91</v>
      </c>
      <c r="L9490" s="218"/>
    </row>
    <row r="9491" spans="1:12" ht="10.15" customHeight="1" x14ac:dyDescent="0.2">
      <c r="A9491" s="133">
        <v>2023</v>
      </c>
      <c r="B9491" s="133">
        <v>9</v>
      </c>
      <c r="C9491" s="133">
        <v>10</v>
      </c>
      <c r="D9491" s="141">
        <f t="shared" si="1150"/>
        <v>45179</v>
      </c>
      <c r="E9491" s="275">
        <f t="shared" si="1151"/>
        <v>45179</v>
      </c>
      <c r="F9491" s="481"/>
      <c r="G9491" s="174" t="s">
        <v>74</v>
      </c>
      <c r="H9491" s="174" t="str" cm="1">
        <f t="array" ref="H9491">IFERROR(INDEX(INVESTOR_LIST[INVESTOR NAME],MATCH(I9491,INVESTOR_LIST[INVESTOR CODE],0),)," ")</f>
        <v xml:space="preserve"> </v>
      </c>
      <c r="J9491" s="149" t="s">
        <v>133</v>
      </c>
      <c r="K9491" s="218"/>
      <c r="L9491" s="218">
        <v>102272.73</v>
      </c>
    </row>
    <row r="9492" spans="1:12" ht="10.15" customHeight="1" x14ac:dyDescent="0.2">
      <c r="A9492" s="163">
        <v>2023</v>
      </c>
      <c r="B9492" s="163">
        <v>9</v>
      </c>
      <c r="C9492" s="163">
        <v>10</v>
      </c>
      <c r="D9492" s="141">
        <f t="shared" si="1150"/>
        <v>45179</v>
      </c>
      <c r="E9492" s="275">
        <f t="shared" si="1151"/>
        <v>45179</v>
      </c>
      <c r="F9492" s="480"/>
      <c r="G9492" s="221" t="s">
        <v>74</v>
      </c>
      <c r="H9492" s="221"/>
      <c r="I9492" s="145"/>
      <c r="J9492" s="146" t="s">
        <v>96</v>
      </c>
      <c r="K9492" s="219"/>
      <c r="L9492" s="219">
        <v>5081875</v>
      </c>
    </row>
    <row r="9493" spans="1:12" x14ac:dyDescent="0.2">
      <c r="A9493" s="133">
        <v>2023</v>
      </c>
      <c r="B9493" s="133">
        <v>9</v>
      </c>
      <c r="C9493" s="133">
        <v>10</v>
      </c>
      <c r="D9493" s="141">
        <f t="shared" ref="D9493:D9496" si="1154">DATE(A9493,B9493,C9493)</f>
        <v>45179</v>
      </c>
      <c r="E9493" s="275">
        <f t="shared" ref="E9493:E9496" si="1155">DATE(A9493,B9493,C9493)</f>
        <v>45179</v>
      </c>
      <c r="F9493" s="479" t="s">
        <v>1633</v>
      </c>
      <c r="G9493" s="220" t="s">
        <v>74</v>
      </c>
      <c r="H9493" s="220"/>
      <c r="I9493" s="142"/>
      <c r="J9493" s="143" t="s">
        <v>96</v>
      </c>
      <c r="K9493" s="226">
        <v>5097215.91</v>
      </c>
      <c r="L9493" s="226"/>
    </row>
    <row r="9494" spans="1:12" x14ac:dyDescent="0.2">
      <c r="A9494" s="133">
        <v>2023</v>
      </c>
      <c r="B9494" s="133">
        <v>9</v>
      </c>
      <c r="C9494" s="133">
        <v>10</v>
      </c>
      <c r="D9494" s="141">
        <f t="shared" si="1154"/>
        <v>45179</v>
      </c>
      <c r="E9494" s="275">
        <f t="shared" si="1155"/>
        <v>45179</v>
      </c>
      <c r="F9494" s="481"/>
      <c r="G9494" s="174" t="s">
        <v>74</v>
      </c>
      <c r="H9494" s="174" t="str" cm="1">
        <f t="array" ref="H9494">IFERROR(INDEX(INVESTOR_LIST[INVESTOR NAME],MATCH(I9494,INVESTOR_LIST[INVESTOR CODE],0),)," ")</f>
        <v xml:space="preserve"> </v>
      </c>
      <c r="I9494" s="148" t="s">
        <v>348</v>
      </c>
      <c r="J9494" s="149" t="s">
        <v>52</v>
      </c>
      <c r="K9494" s="218">
        <v>86931.82</v>
      </c>
      <c r="L9494" s="218"/>
    </row>
    <row r="9495" spans="1:12" x14ac:dyDescent="0.2">
      <c r="A9495" s="133">
        <v>2023</v>
      </c>
      <c r="B9495" s="133">
        <v>9</v>
      </c>
      <c r="C9495" s="133">
        <v>10</v>
      </c>
      <c r="D9495" s="141">
        <f t="shared" si="1154"/>
        <v>45179</v>
      </c>
      <c r="E9495" s="275">
        <f t="shared" si="1155"/>
        <v>45179</v>
      </c>
      <c r="F9495" s="481"/>
      <c r="G9495" s="174" t="s">
        <v>74</v>
      </c>
      <c r="H9495" s="174" t="str" cm="1">
        <f t="array" ref="H9495">IFERROR(INDEX(INVESTOR_LIST[INVESTOR NAME],MATCH(I9495,INVESTOR_LIST[INVESTOR CODE],0),)," ")</f>
        <v xml:space="preserve"> </v>
      </c>
      <c r="J9495" s="149" t="s">
        <v>133</v>
      </c>
      <c r="K9495" s="218"/>
      <c r="L9495" s="218">
        <v>102272.73</v>
      </c>
    </row>
    <row r="9496" spans="1:12" x14ac:dyDescent="0.2">
      <c r="A9496" s="163">
        <v>2023</v>
      </c>
      <c r="B9496" s="163">
        <v>9</v>
      </c>
      <c r="C9496" s="163">
        <v>10</v>
      </c>
      <c r="D9496" s="141">
        <f t="shared" si="1154"/>
        <v>45179</v>
      </c>
      <c r="E9496" s="275">
        <f t="shared" si="1155"/>
        <v>45179</v>
      </c>
      <c r="F9496" s="480"/>
      <c r="G9496" s="221" t="s">
        <v>74</v>
      </c>
      <c r="H9496" s="221"/>
      <c r="I9496" s="145"/>
      <c r="J9496" s="146" t="s">
        <v>96</v>
      </c>
      <c r="K9496" s="219"/>
      <c r="L9496" s="219">
        <v>5081875</v>
      </c>
    </row>
    <row r="9497" spans="1:12" ht="10.15" customHeight="1" x14ac:dyDescent="0.2">
      <c r="A9497" s="168">
        <v>2023</v>
      </c>
      <c r="B9497" s="168">
        <v>9</v>
      </c>
      <c r="C9497" s="168">
        <v>12</v>
      </c>
      <c r="D9497" s="141">
        <f>DATE(A9497,B9497,C9497)</f>
        <v>45181</v>
      </c>
      <c r="E9497" s="275">
        <f>DATE(A9497,B9497,C9497)</f>
        <v>45181</v>
      </c>
      <c r="F9497" s="479" t="s">
        <v>1315</v>
      </c>
      <c r="G9497" s="220" t="s">
        <v>74</v>
      </c>
      <c r="H9497" s="142" t="str" cm="1">
        <f t="array" ref="H9497">IFERROR(INDEX(INVESTOR_LIST[INVESTOR NAME],MATCH(I9497,INVESTOR_LIST[INVESTOR CODE],0),)," ")</f>
        <v>GOURI TOSH PAUL</v>
      </c>
      <c r="I9497" s="142" t="s">
        <v>819</v>
      </c>
      <c r="J9497" s="168" t="s">
        <v>13</v>
      </c>
      <c r="K9497" s="218">
        <v>1010420</v>
      </c>
      <c r="L9497" s="226"/>
    </row>
    <row r="9498" spans="1:12" ht="10.15" customHeight="1" x14ac:dyDescent="0.2">
      <c r="A9498" s="133">
        <v>2023</v>
      </c>
      <c r="B9498" s="133">
        <v>9</v>
      </c>
      <c r="C9498" s="133">
        <v>12</v>
      </c>
      <c r="D9498" s="141">
        <f t="shared" ref="D9498:D9499" si="1156">DATE(A9498,B9498,C9498)</f>
        <v>45181</v>
      </c>
      <c r="E9498" s="275">
        <f t="shared" ref="E9498:E9499" si="1157">DATE(A9498,B9498,C9498)</f>
        <v>45181</v>
      </c>
      <c r="F9498" s="481"/>
      <c r="G9498" s="174" t="s">
        <v>74</v>
      </c>
      <c r="H9498" s="148" t="str" cm="1">
        <f t="array" ref="H9498">IFERROR(INDEX(INVESTOR_LIST[INVESTOR NAME],MATCH(I9498,INVESTOR_LIST[INVESTOR CODE],0),)," ")</f>
        <v>GOURI TOSH PAUL</v>
      </c>
      <c r="I9498" s="148" t="s">
        <v>819</v>
      </c>
      <c r="J9498" s="133" t="s">
        <v>53</v>
      </c>
      <c r="K9498" s="218">
        <v>256545.6399999999</v>
      </c>
      <c r="L9498" s="133"/>
    </row>
    <row r="9499" spans="1:12" ht="10.15" customHeight="1" x14ac:dyDescent="0.2">
      <c r="A9499" s="163">
        <v>2023</v>
      </c>
      <c r="B9499" s="163">
        <v>9</v>
      </c>
      <c r="C9499" s="163">
        <v>12</v>
      </c>
      <c r="D9499" s="280">
        <f t="shared" si="1156"/>
        <v>45181</v>
      </c>
      <c r="E9499" s="281">
        <f t="shared" si="1157"/>
        <v>45181</v>
      </c>
      <c r="F9499" s="480"/>
      <c r="G9499" s="221" t="s">
        <v>74</v>
      </c>
      <c r="H9499" s="145" t="str" cm="1">
        <f t="array" ref="H9499">IFERROR(INDEX(INVESTOR_LIST[INVESTOR NAME],MATCH(I9499,INVESTOR_LIST[INVESTOR CODE],0),)," ")</f>
        <v>GOURI TOSH PAUL</v>
      </c>
      <c r="I9499" s="145" t="s">
        <v>819</v>
      </c>
      <c r="J9499" s="163" t="s">
        <v>52</v>
      </c>
      <c r="K9499" s="219"/>
      <c r="L9499" s="219">
        <v>1266965.6399999999</v>
      </c>
    </row>
    <row r="9500" spans="1:12" ht="10.15" customHeight="1" x14ac:dyDescent="0.2">
      <c r="A9500" s="168">
        <v>2023</v>
      </c>
      <c r="B9500" s="168">
        <v>9</v>
      </c>
      <c r="C9500" s="168">
        <v>12</v>
      </c>
      <c r="D9500" s="141">
        <f>DATE(A9500,B9500,C9500)</f>
        <v>45181</v>
      </c>
      <c r="E9500" s="275">
        <f>DATE(A9500,B9500,C9500)</f>
        <v>45181</v>
      </c>
      <c r="F9500" s="479" t="s">
        <v>1310</v>
      </c>
      <c r="G9500" s="220" t="s">
        <v>74</v>
      </c>
      <c r="H9500" s="142" t="str" cm="1">
        <f t="array" ref="H9500">IFERROR(INDEX(INVESTOR_LIST[INVESTOR NAME],MATCH(I9500,INVESTOR_LIST[INVESTOR CODE],0),)," ")</f>
        <v>HABIBA CHOWDHURY SHELI</v>
      </c>
      <c r="I9500" s="142" t="s">
        <v>886</v>
      </c>
      <c r="J9500" s="168" t="s">
        <v>13</v>
      </c>
      <c r="K9500" s="218">
        <v>21780</v>
      </c>
      <c r="L9500" s="226"/>
    </row>
    <row r="9501" spans="1:12" ht="10.15" customHeight="1" x14ac:dyDescent="0.2">
      <c r="A9501" s="133">
        <v>2023</v>
      </c>
      <c r="B9501" s="133">
        <v>9</v>
      </c>
      <c r="C9501" s="133">
        <v>12</v>
      </c>
      <c r="D9501" s="141">
        <f t="shared" ref="D9501:D9502" si="1158">DATE(A9501,B9501,C9501)</f>
        <v>45181</v>
      </c>
      <c r="E9501" s="275">
        <f t="shared" ref="E9501:E9502" si="1159">DATE(A9501,B9501,C9501)</f>
        <v>45181</v>
      </c>
      <c r="F9501" s="481"/>
      <c r="G9501" s="174" t="s">
        <v>74</v>
      </c>
      <c r="H9501" s="148" t="str" cm="1">
        <f t="array" ref="H9501">IFERROR(INDEX(INVESTOR_LIST[INVESTOR NAME],MATCH(I9501,INVESTOR_LIST[INVESTOR CODE],0),)," ")</f>
        <v>HABIBA CHOWDHURY SHELI</v>
      </c>
      <c r="I9501" s="148" t="s">
        <v>886</v>
      </c>
      <c r="J9501" s="133" t="s">
        <v>53</v>
      </c>
      <c r="K9501" s="218">
        <v>5529.9399999999987</v>
      </c>
      <c r="L9501" s="133"/>
    </row>
    <row r="9502" spans="1:12" ht="10.15" customHeight="1" x14ac:dyDescent="0.2">
      <c r="A9502" s="163">
        <v>2023</v>
      </c>
      <c r="B9502" s="163">
        <v>9</v>
      </c>
      <c r="C9502" s="163">
        <v>12</v>
      </c>
      <c r="D9502" s="280">
        <f t="shared" si="1158"/>
        <v>45181</v>
      </c>
      <c r="E9502" s="281">
        <f t="shared" si="1159"/>
        <v>45181</v>
      </c>
      <c r="F9502" s="480"/>
      <c r="G9502" s="221" t="s">
        <v>74</v>
      </c>
      <c r="H9502" s="145" t="str" cm="1">
        <f t="array" ref="H9502">IFERROR(INDEX(INVESTOR_LIST[INVESTOR NAME],MATCH(I9502,INVESTOR_LIST[INVESTOR CODE],0),)," ")</f>
        <v>HABIBA CHOWDHURY SHELI</v>
      </c>
      <c r="I9502" s="145" t="s">
        <v>886</v>
      </c>
      <c r="J9502" s="163" t="s">
        <v>52</v>
      </c>
      <c r="K9502" s="219"/>
      <c r="L9502" s="219">
        <v>27309.94</v>
      </c>
    </row>
    <row r="9503" spans="1:12" ht="10.15" customHeight="1" x14ac:dyDescent="0.2">
      <c r="A9503" s="168">
        <v>2023</v>
      </c>
      <c r="B9503" s="168">
        <v>9</v>
      </c>
      <c r="C9503" s="168">
        <v>12</v>
      </c>
      <c r="D9503" s="141">
        <f>DATE(A9503,B9503,C9503)</f>
        <v>45181</v>
      </c>
      <c r="E9503" s="275">
        <f>DATE(A9503,B9503,C9503)</f>
        <v>45181</v>
      </c>
      <c r="F9503" s="479" t="s">
        <v>1315</v>
      </c>
      <c r="G9503" s="220" t="s">
        <v>74</v>
      </c>
      <c r="H9503" s="142" t="str" cm="1">
        <f t="array" ref="H9503">IFERROR(INDEX(INVESTOR_LIST[INVESTOR NAME],MATCH(I9503,INVESTOR_LIST[INVESTOR CODE],0),)," ")</f>
        <v>LILY RANI PAUL</v>
      </c>
      <c r="I9503" s="142" t="s">
        <v>451</v>
      </c>
      <c r="J9503" s="168" t="s">
        <v>13</v>
      </c>
      <c r="K9503" s="218">
        <v>921270</v>
      </c>
      <c r="L9503" s="226"/>
    </row>
    <row r="9504" spans="1:12" ht="10.15" customHeight="1" x14ac:dyDescent="0.2">
      <c r="A9504" s="133">
        <v>2023</v>
      </c>
      <c r="B9504" s="133">
        <v>9</v>
      </c>
      <c r="C9504" s="133">
        <v>12</v>
      </c>
      <c r="D9504" s="141">
        <f t="shared" ref="D9504:D9505" si="1160">DATE(A9504,B9504,C9504)</f>
        <v>45181</v>
      </c>
      <c r="E9504" s="275">
        <f t="shared" ref="E9504:E9505" si="1161">DATE(A9504,B9504,C9504)</f>
        <v>45181</v>
      </c>
      <c r="F9504" s="481"/>
      <c r="G9504" s="174" t="s">
        <v>74</v>
      </c>
      <c r="H9504" s="148" t="str" cm="1">
        <f t="array" ref="H9504">IFERROR(INDEX(INVESTOR_LIST[INVESTOR NAME],MATCH(I9504,INVESTOR_LIST[INVESTOR CODE],0),)," ")</f>
        <v>LILY RANI PAUL</v>
      </c>
      <c r="I9504" s="148" t="s">
        <v>451</v>
      </c>
      <c r="J9504" s="133" t="s">
        <v>53</v>
      </c>
      <c r="K9504" s="218">
        <v>233910.44999999995</v>
      </c>
      <c r="L9504" s="133"/>
    </row>
    <row r="9505" spans="1:14" ht="10.15" customHeight="1" x14ac:dyDescent="0.2">
      <c r="A9505" s="163">
        <v>2023</v>
      </c>
      <c r="B9505" s="163">
        <v>9</v>
      </c>
      <c r="C9505" s="163">
        <v>12</v>
      </c>
      <c r="D9505" s="280">
        <f t="shared" si="1160"/>
        <v>45181</v>
      </c>
      <c r="E9505" s="281">
        <f t="shared" si="1161"/>
        <v>45181</v>
      </c>
      <c r="F9505" s="480"/>
      <c r="G9505" s="221" t="s">
        <v>74</v>
      </c>
      <c r="H9505" s="145" t="str" cm="1">
        <f t="array" ref="H9505">IFERROR(INDEX(INVESTOR_LIST[INVESTOR NAME],MATCH(I9505,INVESTOR_LIST[INVESTOR CODE],0),)," ")</f>
        <v>LILY RANI PAUL</v>
      </c>
      <c r="I9505" s="145" t="s">
        <v>451</v>
      </c>
      <c r="J9505" s="163" t="s">
        <v>52</v>
      </c>
      <c r="K9505" s="219"/>
      <c r="L9505" s="219">
        <v>1155180.45</v>
      </c>
    </row>
    <row r="9506" spans="1:14" ht="10.15" customHeight="1" x14ac:dyDescent="0.2">
      <c r="A9506" s="168">
        <v>2023</v>
      </c>
      <c r="B9506" s="168">
        <v>9</v>
      </c>
      <c r="C9506" s="168">
        <v>13</v>
      </c>
      <c r="D9506" s="141">
        <f>DATE(A9506,B9506,C9506)</f>
        <v>45182</v>
      </c>
      <c r="E9506" s="275">
        <f>DATE(A9506,B9506,C9506)</f>
        <v>45182</v>
      </c>
      <c r="F9506" s="479" t="s">
        <v>1315</v>
      </c>
      <c r="G9506" s="220" t="s">
        <v>74</v>
      </c>
      <c r="H9506" s="142" t="str" cm="1">
        <f t="array" ref="H9506">IFERROR(INDEX(INVESTOR_LIST[INVESTOR NAME],MATCH(I9506,INVESTOR_LIST[INVESTOR CODE],0),)," ")</f>
        <v>MAHMUD ALI ALAMGIR</v>
      </c>
      <c r="I9506" s="142" t="s">
        <v>528</v>
      </c>
      <c r="J9506" s="168" t="s">
        <v>13</v>
      </c>
      <c r="K9506" s="218">
        <v>153490</v>
      </c>
      <c r="L9506" s="226"/>
    </row>
    <row r="9507" spans="1:14" ht="10.15" customHeight="1" x14ac:dyDescent="0.2">
      <c r="A9507" s="133">
        <v>2023</v>
      </c>
      <c r="B9507" s="133">
        <v>9</v>
      </c>
      <c r="C9507" s="133">
        <v>13</v>
      </c>
      <c r="D9507" s="141">
        <f t="shared" ref="D9507:D9545" si="1162">DATE(A9507,B9507,C9507)</f>
        <v>45182</v>
      </c>
      <c r="E9507" s="275">
        <f t="shared" ref="E9507:E9545" si="1163">DATE(A9507,B9507,C9507)</f>
        <v>45182</v>
      </c>
      <c r="F9507" s="481"/>
      <c r="G9507" s="174" t="s">
        <v>74</v>
      </c>
      <c r="H9507" s="148" t="str" cm="1">
        <f t="array" ref="H9507">IFERROR(INDEX(INVESTOR_LIST[INVESTOR NAME],MATCH(I9507,INVESTOR_LIST[INVESTOR CODE],0),)," ")</f>
        <v>MAHMUD ALI ALAMGIR</v>
      </c>
      <c r="I9507" s="148" t="s">
        <v>528</v>
      </c>
      <c r="J9507" s="133" t="s">
        <v>53</v>
      </c>
      <c r="K9507" s="218">
        <v>38971.109999999986</v>
      </c>
      <c r="L9507" s="133"/>
    </row>
    <row r="9508" spans="1:14" ht="10.15" customHeight="1" x14ac:dyDescent="0.2">
      <c r="A9508" s="163">
        <v>2023</v>
      </c>
      <c r="B9508" s="163">
        <v>9</v>
      </c>
      <c r="C9508" s="163">
        <v>13</v>
      </c>
      <c r="D9508" s="280">
        <f t="shared" si="1162"/>
        <v>45182</v>
      </c>
      <c r="E9508" s="281">
        <f t="shared" si="1163"/>
        <v>45182</v>
      </c>
      <c r="F9508" s="480"/>
      <c r="G9508" s="221" t="s">
        <v>74</v>
      </c>
      <c r="H9508" s="145" t="str" cm="1">
        <f t="array" ref="H9508">IFERROR(INDEX(INVESTOR_LIST[INVESTOR NAME],MATCH(I9508,INVESTOR_LIST[INVESTOR CODE],0),)," ")</f>
        <v>MAHMUD ALI ALAMGIR</v>
      </c>
      <c r="I9508" s="145" t="s">
        <v>528</v>
      </c>
      <c r="J9508" s="163" t="s">
        <v>52</v>
      </c>
      <c r="K9508" s="219"/>
      <c r="L9508" s="219">
        <v>192461.11</v>
      </c>
    </row>
    <row r="9509" spans="1:14" x14ac:dyDescent="0.2">
      <c r="A9509" s="133">
        <v>2023</v>
      </c>
      <c r="B9509" s="133">
        <v>9</v>
      </c>
      <c r="C9509" s="133">
        <v>14</v>
      </c>
      <c r="D9509" s="141">
        <f t="shared" si="1162"/>
        <v>45183</v>
      </c>
      <c r="E9509" s="275">
        <f t="shared" si="1163"/>
        <v>45183</v>
      </c>
      <c r="F9509" s="481" t="s">
        <v>982</v>
      </c>
      <c r="G9509" s="174" t="s">
        <v>74</v>
      </c>
      <c r="H9509" s="174" t="str" cm="1">
        <f t="array" ref="H9509">IFERROR(INDEX(INVESTOR_LIST[INVESTOR NAME],MATCH(I9509,INVESTOR_LIST[INVESTOR CODE],0),)," ")</f>
        <v xml:space="preserve"> </v>
      </c>
      <c r="I9509" s="148" t="s">
        <v>348</v>
      </c>
      <c r="J9509" s="149" t="s">
        <v>163</v>
      </c>
      <c r="K9509" s="218">
        <v>5000</v>
      </c>
      <c r="L9509" s="218"/>
    </row>
    <row r="9510" spans="1:14" x14ac:dyDescent="0.2">
      <c r="A9510" s="163">
        <v>2023</v>
      </c>
      <c r="B9510" s="163">
        <v>9</v>
      </c>
      <c r="C9510" s="163">
        <v>14</v>
      </c>
      <c r="D9510" s="141">
        <f t="shared" si="1162"/>
        <v>45183</v>
      </c>
      <c r="E9510" s="275">
        <f t="shared" si="1163"/>
        <v>45183</v>
      </c>
      <c r="F9510" s="480"/>
      <c r="G9510" s="221" t="s">
        <v>74</v>
      </c>
      <c r="H9510" s="221" t="str" cm="1">
        <f t="array" ref="H9510">IFERROR(INDEX(INVESTOR_LIST[INVESTOR NAME],MATCH(I9510,INVESTOR_LIST[INVESTOR CODE],0),)," ")</f>
        <v xml:space="preserve"> </v>
      </c>
      <c r="I9510" s="145" t="s">
        <v>348</v>
      </c>
      <c r="J9510" s="146" t="s">
        <v>52</v>
      </c>
      <c r="K9510" s="219"/>
      <c r="L9510" s="219">
        <v>5000</v>
      </c>
    </row>
    <row r="9511" spans="1:14" ht="10.15" customHeight="1" x14ac:dyDescent="0.2">
      <c r="A9511" s="168">
        <v>2023</v>
      </c>
      <c r="B9511" s="168">
        <v>9</v>
      </c>
      <c r="C9511" s="168">
        <v>14</v>
      </c>
      <c r="D9511" s="141">
        <f>DATE(A9511,B9511,C9511)</f>
        <v>45183</v>
      </c>
      <c r="E9511" s="275">
        <f>DATE(A9511,B9511,C9511)</f>
        <v>45183</v>
      </c>
      <c r="F9511" s="479" t="s">
        <v>1315</v>
      </c>
      <c r="G9511" s="220" t="s">
        <v>74</v>
      </c>
      <c r="H9511" s="142" t="str" cm="1">
        <f t="array" ref="H9511">IFERROR(INDEX(INVESTOR_LIST[INVESTOR NAME],MATCH(I9511,INVESTOR_LIST[INVESTOR CODE],0),)," ")</f>
        <v>MD. TAZUL ISLAM</v>
      </c>
      <c r="I9511" s="142" t="s">
        <v>1364</v>
      </c>
      <c r="J9511" s="168" t="s">
        <v>13</v>
      </c>
      <c r="K9511" s="218">
        <v>411860</v>
      </c>
      <c r="L9511" s="226"/>
    </row>
    <row r="9512" spans="1:14" ht="10.15" customHeight="1" x14ac:dyDescent="0.2">
      <c r="A9512" s="133">
        <v>2023</v>
      </c>
      <c r="B9512" s="133">
        <v>9</v>
      </c>
      <c r="C9512" s="133">
        <v>14</v>
      </c>
      <c r="D9512" s="141">
        <f t="shared" ref="D9512:D9513" si="1164">DATE(A9512,B9512,C9512)</f>
        <v>45183</v>
      </c>
      <c r="E9512" s="275">
        <f t="shared" ref="E9512:E9513" si="1165">DATE(A9512,B9512,C9512)</f>
        <v>45183</v>
      </c>
      <c r="F9512" s="481"/>
      <c r="G9512" s="174" t="s">
        <v>74</v>
      </c>
      <c r="H9512" s="148" t="str" cm="1">
        <f t="array" ref="H9512">IFERROR(INDEX(INVESTOR_LIST[INVESTOR NAME],MATCH(I9512,INVESTOR_LIST[INVESTOR CODE],0),)," ")</f>
        <v>MD. TAZUL ISLAM</v>
      </c>
      <c r="I9512" s="148" t="s">
        <v>1364</v>
      </c>
      <c r="J9512" s="133" t="s">
        <v>53</v>
      </c>
      <c r="K9512" s="218">
        <v>104571.25</v>
      </c>
      <c r="L9512" s="133"/>
    </row>
    <row r="9513" spans="1:14" ht="10.15" customHeight="1" x14ac:dyDescent="0.2">
      <c r="A9513" s="163">
        <v>2023</v>
      </c>
      <c r="B9513" s="163">
        <v>9</v>
      </c>
      <c r="C9513" s="163">
        <v>14</v>
      </c>
      <c r="D9513" s="280">
        <f t="shared" si="1164"/>
        <v>45183</v>
      </c>
      <c r="E9513" s="281">
        <f t="shared" si="1165"/>
        <v>45183</v>
      </c>
      <c r="F9513" s="480"/>
      <c r="G9513" s="221" t="s">
        <v>74</v>
      </c>
      <c r="H9513" s="145" t="str" cm="1">
        <f t="array" ref="H9513">IFERROR(INDEX(INVESTOR_LIST[INVESTOR NAME],MATCH(I9513,INVESTOR_LIST[INVESTOR CODE],0),)," ")</f>
        <v>MD. TAZUL ISLAM</v>
      </c>
      <c r="I9513" s="145" t="s">
        <v>1364</v>
      </c>
      <c r="J9513" s="163" t="s">
        <v>52</v>
      </c>
      <c r="K9513" s="219"/>
      <c r="L9513" s="219">
        <v>516431.25</v>
      </c>
    </row>
    <row r="9514" spans="1:14" x14ac:dyDescent="0.2">
      <c r="A9514" s="324">
        <v>2023</v>
      </c>
      <c r="B9514" s="324">
        <v>9</v>
      </c>
      <c r="C9514" s="325">
        <v>14</v>
      </c>
      <c r="D9514" s="326">
        <f t="shared" si="1162"/>
        <v>45183</v>
      </c>
      <c r="E9514" s="327">
        <f t="shared" si="1163"/>
        <v>45183</v>
      </c>
      <c r="F9514" s="473" t="s">
        <v>1490</v>
      </c>
      <c r="G9514" s="328" t="s">
        <v>94</v>
      </c>
      <c r="H9514" s="329" t="str" cm="1">
        <f t="array" ref="H9514">IFERROR(INDEX(INVESTOR_LIST[INVESTOR NAME],MATCH(I9514,INVESTOR_LIST[INVESTOR CODE],0),)," ")</f>
        <v xml:space="preserve"> </v>
      </c>
      <c r="I9514" s="329" t="s">
        <v>348</v>
      </c>
      <c r="J9514" s="325" t="s">
        <v>133</v>
      </c>
      <c r="K9514" s="330">
        <v>16189.16</v>
      </c>
      <c r="L9514" s="330"/>
      <c r="M9514" s="160"/>
    </row>
    <row r="9515" spans="1:14" x14ac:dyDescent="0.2">
      <c r="A9515" s="331">
        <v>2023</v>
      </c>
      <c r="B9515" s="331">
        <v>9</v>
      </c>
      <c r="C9515" s="331">
        <v>14</v>
      </c>
      <c r="D9515" s="326">
        <f t="shared" si="1162"/>
        <v>45183</v>
      </c>
      <c r="E9515" s="327">
        <f t="shared" si="1163"/>
        <v>45183</v>
      </c>
      <c r="F9515" s="474"/>
      <c r="G9515" s="332" t="s">
        <v>94</v>
      </c>
      <c r="H9515" s="333" t="str" cm="1">
        <f t="array" ref="H9515">IFERROR(INDEX(INVESTOR_LIST[INVESTOR NAME],MATCH(I9515,INVESTOR_LIST[INVESTOR CODE],0),)," ")</f>
        <v xml:space="preserve"> </v>
      </c>
      <c r="I9515" s="333" t="s">
        <v>348</v>
      </c>
      <c r="J9515" s="331" t="s">
        <v>152</v>
      </c>
      <c r="K9515" s="334"/>
      <c r="L9515" s="334">
        <v>16189.16</v>
      </c>
      <c r="M9515" s="160"/>
      <c r="N9515" s="160"/>
    </row>
    <row r="9516" spans="1:14" x14ac:dyDescent="0.2">
      <c r="A9516" s="324">
        <v>2023</v>
      </c>
      <c r="B9516" s="324">
        <v>9</v>
      </c>
      <c r="C9516" s="325">
        <v>14</v>
      </c>
      <c r="D9516" s="326">
        <f t="shared" si="1162"/>
        <v>45183</v>
      </c>
      <c r="E9516" s="327">
        <f t="shared" si="1163"/>
        <v>45183</v>
      </c>
      <c r="F9516" s="473" t="s">
        <v>1491</v>
      </c>
      <c r="G9516" s="328" t="s">
        <v>94</v>
      </c>
      <c r="H9516" s="329" t="str" cm="1">
        <f t="array" ref="H9516">IFERROR(INDEX(INVESTOR_LIST[INVESTOR NAME],MATCH(I9516,INVESTOR_LIST[INVESTOR CODE],0),)," ")</f>
        <v xml:space="preserve"> </v>
      </c>
      <c r="I9516" s="329" t="s">
        <v>348</v>
      </c>
      <c r="J9516" s="324" t="s">
        <v>133</v>
      </c>
      <c r="K9516" s="330">
        <v>4615.38</v>
      </c>
      <c r="L9516" s="330"/>
      <c r="M9516" s="160"/>
      <c r="N9516" s="160"/>
    </row>
    <row r="9517" spans="1:14" x14ac:dyDescent="0.2">
      <c r="A9517" s="331">
        <v>2023</v>
      </c>
      <c r="B9517" s="331">
        <v>9</v>
      </c>
      <c r="C9517" s="331">
        <v>14</v>
      </c>
      <c r="D9517" s="326">
        <f t="shared" si="1162"/>
        <v>45183</v>
      </c>
      <c r="E9517" s="327">
        <f t="shared" si="1163"/>
        <v>45183</v>
      </c>
      <c r="F9517" s="474"/>
      <c r="G9517" s="332" t="s">
        <v>94</v>
      </c>
      <c r="H9517" s="333" t="str" cm="1">
        <f t="array" ref="H9517">IFERROR(INDEX(INVESTOR_LIST[INVESTOR NAME],MATCH(I9517,INVESTOR_LIST[INVESTOR CODE],0),)," ")</f>
        <v xml:space="preserve"> </v>
      </c>
      <c r="I9517" s="333" t="s">
        <v>348</v>
      </c>
      <c r="J9517" s="331" t="s">
        <v>152</v>
      </c>
      <c r="K9517" s="334"/>
      <c r="L9517" s="334">
        <v>4615.38</v>
      </c>
      <c r="M9517" s="160"/>
    </row>
    <row r="9518" spans="1:14" x14ac:dyDescent="0.2">
      <c r="A9518" s="324">
        <v>2023</v>
      </c>
      <c r="B9518" s="324">
        <v>9</v>
      </c>
      <c r="C9518" s="325">
        <v>14</v>
      </c>
      <c r="D9518" s="326">
        <f t="shared" si="1162"/>
        <v>45183</v>
      </c>
      <c r="E9518" s="327">
        <f t="shared" si="1163"/>
        <v>45183</v>
      </c>
      <c r="F9518" s="473" t="s">
        <v>1531</v>
      </c>
      <c r="G9518" s="328" t="s">
        <v>94</v>
      </c>
      <c r="H9518" s="329" t="str" cm="1">
        <f t="array" ref="H9518">IFERROR(INDEX(INVESTOR_LIST[INVESTOR NAME],MATCH(I9518,INVESTOR_LIST[INVESTOR CODE],0),)," ")</f>
        <v xml:space="preserve"> </v>
      </c>
      <c r="I9518" s="329" t="s">
        <v>348</v>
      </c>
      <c r="J9518" s="324" t="s">
        <v>133</v>
      </c>
      <c r="K9518" s="330">
        <v>20000</v>
      </c>
      <c r="L9518" s="330"/>
      <c r="M9518" s="160"/>
    </row>
    <row r="9519" spans="1:14" x14ac:dyDescent="0.2">
      <c r="A9519" s="331">
        <v>2023</v>
      </c>
      <c r="B9519" s="331">
        <v>9</v>
      </c>
      <c r="C9519" s="331">
        <v>14</v>
      </c>
      <c r="D9519" s="326">
        <f t="shared" si="1162"/>
        <v>45183</v>
      </c>
      <c r="E9519" s="327">
        <f t="shared" si="1163"/>
        <v>45183</v>
      </c>
      <c r="F9519" s="474"/>
      <c r="G9519" s="332" t="s">
        <v>94</v>
      </c>
      <c r="H9519" s="333" t="str" cm="1">
        <f t="array" ref="H9519">IFERROR(INDEX(INVESTOR_LIST[INVESTOR NAME],MATCH(I9519,INVESTOR_LIST[INVESTOR CODE],0),)," ")</f>
        <v xml:space="preserve"> </v>
      </c>
      <c r="I9519" s="333" t="s">
        <v>348</v>
      </c>
      <c r="J9519" s="331" t="s">
        <v>152</v>
      </c>
      <c r="K9519" s="334"/>
      <c r="L9519" s="334">
        <v>20000</v>
      </c>
      <c r="M9519" s="160"/>
    </row>
    <row r="9520" spans="1:14" x14ac:dyDescent="0.2">
      <c r="A9520" s="238">
        <v>2023</v>
      </c>
      <c r="B9520" s="238">
        <v>9</v>
      </c>
      <c r="C9520" s="238">
        <v>14</v>
      </c>
      <c r="D9520" s="270">
        <f t="shared" si="1162"/>
        <v>45183</v>
      </c>
      <c r="E9520" s="279">
        <f t="shared" si="1163"/>
        <v>45183</v>
      </c>
      <c r="F9520" s="477" t="s">
        <v>347</v>
      </c>
      <c r="G9520" s="239" t="s">
        <v>94</v>
      </c>
      <c r="H9520" s="239" t="str" cm="1">
        <f t="array" ref="H9520">IFERROR(INDEX(INVESTOR_LIST[INVESTOR NAME],MATCH(I9520,INVESTOR_LIST[INVESTOR CODE],0),)," ")</f>
        <v xml:space="preserve"> </v>
      </c>
      <c r="I9520" s="262" t="s">
        <v>348</v>
      </c>
      <c r="J9520" s="240" t="s">
        <v>82</v>
      </c>
      <c r="K9520" s="241">
        <v>415035.91000001132</v>
      </c>
      <c r="L9520" s="241"/>
    </row>
    <row r="9521" spans="1:12" x14ac:dyDescent="0.2">
      <c r="A9521" s="242">
        <v>2023</v>
      </c>
      <c r="B9521" s="242">
        <v>9</v>
      </c>
      <c r="C9521" s="242">
        <v>14</v>
      </c>
      <c r="D9521" s="270">
        <f t="shared" si="1162"/>
        <v>45183</v>
      </c>
      <c r="E9521" s="279">
        <f t="shared" si="1163"/>
        <v>45183</v>
      </c>
      <c r="F9521" s="478"/>
      <c r="G9521" s="243" t="s">
        <v>94</v>
      </c>
      <c r="H9521" s="243" t="str" cm="1">
        <f t="array" ref="H9521">IFERROR(INDEX(INVESTOR_LIST[INVESTOR NAME],MATCH(I9521,INVESTOR_LIST[INVESTOR CODE],0),)," ")</f>
        <v xml:space="preserve"> </v>
      </c>
      <c r="I9521" s="263" t="s">
        <v>348</v>
      </c>
      <c r="J9521" s="244" t="s">
        <v>108</v>
      </c>
      <c r="K9521" s="245"/>
      <c r="L9521" s="245">
        <v>415035.91000001132</v>
      </c>
    </row>
    <row r="9522" spans="1:12" ht="22.5" x14ac:dyDescent="0.2">
      <c r="A9522" s="246">
        <v>2023</v>
      </c>
      <c r="B9522" s="238">
        <v>9</v>
      </c>
      <c r="C9522" s="238">
        <v>14</v>
      </c>
      <c r="D9522" s="270">
        <f t="shared" si="1162"/>
        <v>45183</v>
      </c>
      <c r="E9522" s="279">
        <f t="shared" si="1163"/>
        <v>45183</v>
      </c>
      <c r="F9522" s="482" t="s">
        <v>148</v>
      </c>
      <c r="G9522" s="247" t="s">
        <v>94</v>
      </c>
      <c r="H9522" s="247" t="str" cm="1">
        <f t="array" ref="H9522">IFERROR(INDEX(INVESTOR_LIST[INVESTOR NAME],MATCH(I9522,INVESTOR_LIST[INVESTOR CODE],0),)," ")</f>
        <v xml:space="preserve"> </v>
      </c>
      <c r="I9522" s="248" t="s">
        <v>348</v>
      </c>
      <c r="J9522" s="249" t="s">
        <v>95</v>
      </c>
      <c r="K9522" s="250">
        <v>2747.2527472527472</v>
      </c>
      <c r="L9522" s="241"/>
    </row>
    <row r="9523" spans="1:12" x14ac:dyDescent="0.2">
      <c r="A9523" s="242">
        <v>2023</v>
      </c>
      <c r="B9523" s="242">
        <v>9</v>
      </c>
      <c r="C9523" s="242">
        <v>14</v>
      </c>
      <c r="D9523" s="270">
        <f t="shared" si="1162"/>
        <v>45183</v>
      </c>
      <c r="E9523" s="279">
        <f t="shared" si="1163"/>
        <v>45183</v>
      </c>
      <c r="F9523" s="478"/>
      <c r="G9523" s="243" t="s">
        <v>94</v>
      </c>
      <c r="H9523" s="243" t="str" cm="1">
        <f t="array" ref="H9523">IFERROR(INDEX(INVESTOR_LIST[INVESTOR NAME],MATCH(I9523,INVESTOR_LIST[INVESTOR CODE],0),)," ")</f>
        <v xml:space="preserve"> </v>
      </c>
      <c r="I9523" s="263" t="s">
        <v>348</v>
      </c>
      <c r="J9523" s="244" t="s">
        <v>63</v>
      </c>
      <c r="K9523" s="245"/>
      <c r="L9523" s="245">
        <v>2747.2527472527472</v>
      </c>
    </row>
    <row r="9524" spans="1:12" x14ac:dyDescent="0.2">
      <c r="A9524" s="246">
        <v>2023</v>
      </c>
      <c r="B9524" s="238">
        <v>9</v>
      </c>
      <c r="C9524" s="238">
        <v>14</v>
      </c>
      <c r="D9524" s="270">
        <f t="shared" si="1162"/>
        <v>45183</v>
      </c>
      <c r="E9524" s="279">
        <f t="shared" si="1163"/>
        <v>45183</v>
      </c>
      <c r="F9524" s="482" t="s">
        <v>137</v>
      </c>
      <c r="G9524" s="247" t="s">
        <v>94</v>
      </c>
      <c r="H9524" s="247" t="str" cm="1">
        <f t="array" ref="H9524">IFERROR(INDEX(INVESTOR_LIST[INVESTOR NAME],MATCH(I9524,INVESTOR_LIST[INVESTOR CODE],0),)," ")</f>
        <v xml:space="preserve"> </v>
      </c>
      <c r="I9524" s="248" t="s">
        <v>348</v>
      </c>
      <c r="J9524" s="249" t="s">
        <v>97</v>
      </c>
      <c r="K9524" s="250">
        <v>64009.039118891385</v>
      </c>
      <c r="L9524" s="252"/>
    </row>
    <row r="9525" spans="1:12" x14ac:dyDescent="0.2">
      <c r="A9525" s="242">
        <v>2023</v>
      </c>
      <c r="B9525" s="242">
        <v>9</v>
      </c>
      <c r="C9525" s="242">
        <v>14</v>
      </c>
      <c r="D9525" s="270">
        <f t="shared" si="1162"/>
        <v>45183</v>
      </c>
      <c r="E9525" s="279">
        <f t="shared" si="1163"/>
        <v>45183</v>
      </c>
      <c r="F9525" s="478"/>
      <c r="G9525" s="243" t="s">
        <v>94</v>
      </c>
      <c r="H9525" s="243" t="str" cm="1">
        <f t="array" ref="H9525">IFERROR(INDEX(INVESTOR_LIST[INVESTOR NAME],MATCH(I9525,INVESTOR_LIST[INVESTOR CODE],0),)," ")</f>
        <v xml:space="preserve"> </v>
      </c>
      <c r="I9525" s="263" t="s">
        <v>348</v>
      </c>
      <c r="J9525" s="244" t="s">
        <v>47</v>
      </c>
      <c r="K9525" s="245"/>
      <c r="L9525" s="245">
        <v>64009.039118891385</v>
      </c>
    </row>
    <row r="9526" spans="1:12" x14ac:dyDescent="0.2">
      <c r="A9526" s="246">
        <v>2023</v>
      </c>
      <c r="B9526" s="238">
        <v>9</v>
      </c>
      <c r="C9526" s="238">
        <v>14</v>
      </c>
      <c r="D9526" s="270">
        <f t="shared" si="1162"/>
        <v>45183</v>
      </c>
      <c r="E9526" s="279">
        <f t="shared" si="1163"/>
        <v>45183</v>
      </c>
      <c r="F9526" s="482" t="s">
        <v>138</v>
      </c>
      <c r="G9526" s="247" t="s">
        <v>94</v>
      </c>
      <c r="H9526" s="247" t="str" cm="1">
        <f t="array" ref="H9526">IFERROR(INDEX(INVESTOR_LIST[INVESTOR NAME],MATCH(I9526,INVESTOR_LIST[INVESTOR CODE],0),)," ")</f>
        <v xml:space="preserve"> </v>
      </c>
      <c r="I9526" s="248" t="s">
        <v>348</v>
      </c>
      <c r="J9526" s="249" t="s">
        <v>100</v>
      </c>
      <c r="K9526" s="250">
        <v>2960.0673405599537</v>
      </c>
      <c r="L9526" s="252"/>
    </row>
    <row r="9527" spans="1:12" ht="10.9" customHeight="1" x14ac:dyDescent="0.2">
      <c r="A9527" s="242">
        <v>2023</v>
      </c>
      <c r="B9527" s="242">
        <v>9</v>
      </c>
      <c r="C9527" s="242">
        <v>14</v>
      </c>
      <c r="D9527" s="321">
        <f t="shared" si="1162"/>
        <v>45183</v>
      </c>
      <c r="E9527" s="322">
        <f t="shared" si="1163"/>
        <v>45183</v>
      </c>
      <c r="F9527" s="478"/>
      <c r="G9527" s="243" t="s">
        <v>94</v>
      </c>
      <c r="H9527" s="243" t="str" cm="1">
        <f t="array" ref="H9527">IFERROR(INDEX(INVESTOR_LIST[INVESTOR NAME],MATCH(I9527,INVESTOR_LIST[INVESTOR CODE],0),)," ")</f>
        <v xml:space="preserve"> </v>
      </c>
      <c r="I9527" s="263" t="s">
        <v>348</v>
      </c>
      <c r="J9527" s="244" t="s">
        <v>48</v>
      </c>
      <c r="K9527" s="245"/>
      <c r="L9527" s="245">
        <v>2960.0673405599537</v>
      </c>
    </row>
    <row r="9528" spans="1:12" ht="10.15" customHeight="1" x14ac:dyDescent="0.2">
      <c r="A9528" s="168">
        <v>2023</v>
      </c>
      <c r="B9528" s="168">
        <v>9</v>
      </c>
      <c r="C9528" s="168">
        <v>17</v>
      </c>
      <c r="D9528" s="141">
        <f>DATE(A9528,B9528,C9528)</f>
        <v>45186</v>
      </c>
      <c r="E9528" s="275">
        <f>DATE(A9528,B9528,C9528)</f>
        <v>45186</v>
      </c>
      <c r="F9528" s="479" t="s">
        <v>1772</v>
      </c>
      <c r="G9528" s="220" t="s">
        <v>74</v>
      </c>
      <c r="H9528" s="142" t="str" cm="1">
        <f t="array" ref="H9528">IFERROR(INDEX(INVESTOR_LIST[INVESTOR NAME],MATCH(I9528,INVESTOR_LIST[INVESTOR CODE],0),)," ")</f>
        <v>MRINMOY GHOSH</v>
      </c>
      <c r="I9528" s="142" t="s">
        <v>380</v>
      </c>
      <c r="J9528" s="168" t="s">
        <v>13</v>
      </c>
      <c r="K9528" s="218">
        <v>114840</v>
      </c>
      <c r="L9528" s="226"/>
    </row>
    <row r="9529" spans="1:12" ht="10.15" customHeight="1" x14ac:dyDescent="0.2">
      <c r="A9529" s="133">
        <v>2023</v>
      </c>
      <c r="B9529" s="133">
        <v>9</v>
      </c>
      <c r="C9529" s="133">
        <v>17</v>
      </c>
      <c r="D9529" s="141">
        <f t="shared" ref="D9529:D9530" si="1166">DATE(A9529,B9529,C9529)</f>
        <v>45186</v>
      </c>
      <c r="E9529" s="275">
        <f t="shared" ref="E9529:E9530" si="1167">DATE(A9529,B9529,C9529)</f>
        <v>45186</v>
      </c>
      <c r="F9529" s="481"/>
      <c r="G9529" s="174" t="s">
        <v>74</v>
      </c>
      <c r="H9529" s="148" t="str" cm="1">
        <f t="array" ref="H9529">IFERROR(INDEX(INVESTOR_LIST[INVESTOR NAME],MATCH(I9529,INVESTOR_LIST[INVESTOR CODE],0),)," ")</f>
        <v>MRINMOY GHOSH</v>
      </c>
      <c r="I9529" s="148" t="s">
        <v>380</v>
      </c>
      <c r="J9529" s="133" t="s">
        <v>53</v>
      </c>
      <c r="K9529" s="218">
        <v>28687.03</v>
      </c>
      <c r="L9529" s="133"/>
    </row>
    <row r="9530" spans="1:12" ht="10.15" customHeight="1" x14ac:dyDescent="0.2">
      <c r="A9530" s="163">
        <v>2023</v>
      </c>
      <c r="B9530" s="163">
        <v>9</v>
      </c>
      <c r="C9530" s="163">
        <v>17</v>
      </c>
      <c r="D9530" s="280">
        <f t="shared" si="1166"/>
        <v>45186</v>
      </c>
      <c r="E9530" s="281">
        <f t="shared" si="1167"/>
        <v>45186</v>
      </c>
      <c r="F9530" s="480"/>
      <c r="G9530" s="221" t="s">
        <v>74</v>
      </c>
      <c r="H9530" s="145" t="str" cm="1">
        <f t="array" ref="H9530">IFERROR(INDEX(INVESTOR_LIST[INVESTOR NAME],MATCH(I9530,INVESTOR_LIST[INVESTOR CODE],0),)," ")</f>
        <v>MRINMOY GHOSH</v>
      </c>
      <c r="I9530" s="145" t="s">
        <v>380</v>
      </c>
      <c r="J9530" s="163" t="s">
        <v>52</v>
      </c>
      <c r="K9530" s="219"/>
      <c r="L9530" s="219">
        <v>143527.03</v>
      </c>
    </row>
    <row r="9531" spans="1:12" ht="10.15" customHeight="1" x14ac:dyDescent="0.2">
      <c r="A9531" s="168">
        <v>2023</v>
      </c>
      <c r="B9531" s="168">
        <v>9</v>
      </c>
      <c r="C9531" s="168">
        <v>17</v>
      </c>
      <c r="D9531" s="141">
        <f>DATE(A9531,B9531,C9531)</f>
        <v>45186</v>
      </c>
      <c r="E9531" s="275">
        <f>DATE(A9531,B9531,C9531)</f>
        <v>45186</v>
      </c>
      <c r="F9531" s="479" t="s">
        <v>1315</v>
      </c>
      <c r="G9531" s="220" t="s">
        <v>74</v>
      </c>
      <c r="H9531" s="142" t="str" cm="1">
        <f t="array" ref="H9531">IFERROR(INDEX(INVESTOR_LIST[INVESTOR NAME],MATCH(I9531,INVESTOR_LIST[INVESTOR CODE],0),)," ")</f>
        <v>BABITA RANI BARMAN</v>
      </c>
      <c r="I9531" s="142" t="s">
        <v>438</v>
      </c>
      <c r="J9531" s="168" t="s">
        <v>13</v>
      </c>
      <c r="K9531" s="218">
        <v>136030</v>
      </c>
      <c r="L9531" s="226"/>
    </row>
    <row r="9532" spans="1:12" ht="10.15" customHeight="1" x14ac:dyDescent="0.2">
      <c r="A9532" s="133">
        <v>2023</v>
      </c>
      <c r="B9532" s="133">
        <v>9</v>
      </c>
      <c r="C9532" s="133">
        <v>17</v>
      </c>
      <c r="D9532" s="141">
        <f t="shared" ref="D9532:D9538" si="1168">DATE(A9532,B9532,C9532)</f>
        <v>45186</v>
      </c>
      <c r="E9532" s="275">
        <f t="shared" ref="E9532:E9538" si="1169">DATE(A9532,B9532,C9532)</f>
        <v>45186</v>
      </c>
      <c r="F9532" s="481"/>
      <c r="G9532" s="174" t="s">
        <v>74</v>
      </c>
      <c r="H9532" s="148" t="str" cm="1">
        <f t="array" ref="H9532">IFERROR(INDEX(INVESTOR_LIST[INVESTOR NAME],MATCH(I9532,INVESTOR_LIST[INVESTOR CODE],0),)," ")</f>
        <v>BABITA RANI BARMAN</v>
      </c>
      <c r="I9532" s="148" t="s">
        <v>438</v>
      </c>
      <c r="J9532" s="133" t="s">
        <v>53</v>
      </c>
      <c r="K9532" s="218">
        <v>33980</v>
      </c>
      <c r="L9532" s="133"/>
    </row>
    <row r="9533" spans="1:12" ht="10.15" customHeight="1" x14ac:dyDescent="0.2">
      <c r="A9533" s="163">
        <v>2023</v>
      </c>
      <c r="B9533" s="163">
        <v>9</v>
      </c>
      <c r="C9533" s="163">
        <v>17</v>
      </c>
      <c r="D9533" s="280">
        <f t="shared" si="1168"/>
        <v>45186</v>
      </c>
      <c r="E9533" s="281">
        <f t="shared" si="1169"/>
        <v>45186</v>
      </c>
      <c r="F9533" s="480"/>
      <c r="G9533" s="221" t="s">
        <v>74</v>
      </c>
      <c r="H9533" s="145" t="str" cm="1">
        <f t="array" ref="H9533">IFERROR(INDEX(INVESTOR_LIST[INVESTOR NAME],MATCH(I9533,INVESTOR_LIST[INVESTOR CODE],0),)," ")</f>
        <v>BABITA RANI BARMAN</v>
      </c>
      <c r="I9533" s="145" t="s">
        <v>438</v>
      </c>
      <c r="J9533" s="163" t="s">
        <v>52</v>
      </c>
      <c r="K9533" s="219"/>
      <c r="L9533" s="219">
        <v>170010</v>
      </c>
    </row>
    <row r="9534" spans="1:12" x14ac:dyDescent="0.2">
      <c r="A9534" s="168">
        <v>2023</v>
      </c>
      <c r="B9534" s="168">
        <v>9</v>
      </c>
      <c r="C9534" s="168">
        <v>18</v>
      </c>
      <c r="D9534" s="141">
        <f t="shared" si="1168"/>
        <v>45187</v>
      </c>
      <c r="E9534" s="275">
        <f t="shared" si="1169"/>
        <v>45187</v>
      </c>
      <c r="F9534" s="479" t="s">
        <v>362</v>
      </c>
      <c r="G9534" s="220" t="s">
        <v>74</v>
      </c>
      <c r="H9534" s="220" t="str" cm="1">
        <f t="array" ref="H9534">IFERROR(INDEX(INVESTOR_LIST[INVESTOR NAME],MATCH(I9534,INVESTOR_LIST[INVESTOR CODE],0),)," ")</f>
        <v xml:space="preserve"> </v>
      </c>
      <c r="I9534" s="142" t="s">
        <v>348</v>
      </c>
      <c r="J9534" s="143" t="s">
        <v>104</v>
      </c>
      <c r="K9534" s="226">
        <v>456.71</v>
      </c>
      <c r="L9534" s="226"/>
    </row>
    <row r="9535" spans="1:12" x14ac:dyDescent="0.2">
      <c r="A9535" s="163">
        <v>2023</v>
      </c>
      <c r="B9535" s="163">
        <v>9</v>
      </c>
      <c r="C9535" s="163">
        <v>18</v>
      </c>
      <c r="D9535" s="141">
        <f t="shared" si="1168"/>
        <v>45187</v>
      </c>
      <c r="E9535" s="275">
        <f t="shared" si="1169"/>
        <v>45187</v>
      </c>
      <c r="F9535" s="480"/>
      <c r="G9535" s="221" t="s">
        <v>74</v>
      </c>
      <c r="H9535" s="221" t="str" cm="1">
        <f t="array" ref="H9535">IFERROR(INDEX(INVESTOR_LIST[INVESTOR NAME],MATCH(I9535,INVESTOR_LIST[INVESTOR CODE],0),)," ")</f>
        <v xml:space="preserve"> </v>
      </c>
      <c r="I9535" s="145" t="s">
        <v>348</v>
      </c>
      <c r="J9535" s="146" t="s">
        <v>52</v>
      </c>
      <c r="K9535" s="219"/>
      <c r="L9535" s="219">
        <v>456.71</v>
      </c>
    </row>
    <row r="9536" spans="1:12" ht="10.15" customHeight="1" x14ac:dyDescent="0.2">
      <c r="A9536" s="168">
        <v>2023</v>
      </c>
      <c r="B9536" s="168">
        <v>9</v>
      </c>
      <c r="C9536" s="168">
        <v>18</v>
      </c>
      <c r="D9536" s="141">
        <f t="shared" si="1168"/>
        <v>45187</v>
      </c>
      <c r="E9536" s="275">
        <f t="shared" si="1169"/>
        <v>45187</v>
      </c>
      <c r="F9536" s="479" t="s">
        <v>1319</v>
      </c>
      <c r="G9536" s="220" t="s">
        <v>74</v>
      </c>
      <c r="H9536" s="142" t="str" cm="1">
        <f t="array" ref="H9536">IFERROR(INDEX(INVESTOR_LIST[INVESTOR NAME],MATCH(I9536,INVESTOR_LIST[INVESTOR CODE],0),)," ")</f>
        <v xml:space="preserve"> </v>
      </c>
      <c r="I9536" s="142"/>
      <c r="J9536" s="168" t="s">
        <v>52</v>
      </c>
      <c r="K9536" s="226">
        <v>20000</v>
      </c>
      <c r="L9536" s="226"/>
    </row>
    <row r="9537" spans="1:17" ht="10.15" customHeight="1" x14ac:dyDescent="0.2">
      <c r="A9537" s="133">
        <v>2023</v>
      </c>
      <c r="B9537" s="133">
        <v>9</v>
      </c>
      <c r="C9537" s="133">
        <v>18</v>
      </c>
      <c r="D9537" s="141">
        <f t="shared" si="1168"/>
        <v>45187</v>
      </c>
      <c r="E9537" s="275">
        <f t="shared" si="1169"/>
        <v>45187</v>
      </c>
      <c r="F9537" s="481"/>
      <c r="G9537" s="174" t="s">
        <v>74</v>
      </c>
      <c r="H9537" s="148" t="str" cm="1">
        <f t="array" ref="H9537">IFERROR(INDEX(INVESTOR_LIST[INVESTOR NAME],MATCH(I9537,INVESTOR_LIST[INVESTOR CODE],0),)," ")</f>
        <v xml:space="preserve"> </v>
      </c>
      <c r="J9537" s="133" t="s">
        <v>13</v>
      </c>
      <c r="K9537" s="218"/>
      <c r="L9537" s="218">
        <v>16000</v>
      </c>
    </row>
    <row r="9538" spans="1:17" ht="10.15" customHeight="1" x14ac:dyDescent="0.2">
      <c r="A9538" s="163">
        <v>2023</v>
      </c>
      <c r="B9538" s="163">
        <v>9</v>
      </c>
      <c r="C9538" s="163">
        <v>18</v>
      </c>
      <c r="D9538" s="280">
        <f t="shared" si="1168"/>
        <v>45187</v>
      </c>
      <c r="E9538" s="281">
        <f t="shared" si="1169"/>
        <v>45187</v>
      </c>
      <c r="F9538" s="480"/>
      <c r="G9538" s="221" t="s">
        <v>74</v>
      </c>
      <c r="H9538" s="145" t="str" cm="1">
        <f t="array" ref="H9538">IFERROR(INDEX(INVESTOR_LIST[INVESTOR NAME],MATCH(I9538,INVESTOR_LIST[INVESTOR CODE],0),)," ")</f>
        <v xml:space="preserve"> </v>
      </c>
      <c r="I9538" s="145"/>
      <c r="J9538" s="163" t="s">
        <v>53</v>
      </c>
      <c r="K9538" s="219"/>
      <c r="L9538" s="219">
        <v>4000</v>
      </c>
    </row>
    <row r="9539" spans="1:17" x14ac:dyDescent="0.2">
      <c r="A9539" s="133">
        <v>2023</v>
      </c>
      <c r="B9539" s="133">
        <v>9</v>
      </c>
      <c r="C9539" s="133">
        <v>19</v>
      </c>
      <c r="D9539" s="141">
        <f t="shared" si="1162"/>
        <v>45188</v>
      </c>
      <c r="E9539" s="275">
        <f t="shared" si="1163"/>
        <v>45188</v>
      </c>
      <c r="F9539" s="481" t="s">
        <v>275</v>
      </c>
      <c r="G9539" s="174" t="s">
        <v>74</v>
      </c>
      <c r="H9539" s="174" t="str" cm="1">
        <f t="array" ref="H9539">IFERROR(INDEX(INVESTOR_LIST[INVESTOR NAME],MATCH(I9539,INVESTOR_LIST[INVESTOR CODE],0),)," ")</f>
        <v xml:space="preserve"> </v>
      </c>
      <c r="I9539" s="148" t="s">
        <v>348</v>
      </c>
      <c r="J9539" s="149" t="s">
        <v>163</v>
      </c>
      <c r="K9539" s="218">
        <v>1575</v>
      </c>
      <c r="L9539" s="218"/>
      <c r="M9539" s="147"/>
      <c r="Q9539" s="133" t="s">
        <v>348</v>
      </c>
    </row>
    <row r="9540" spans="1:17" x14ac:dyDescent="0.2">
      <c r="A9540" s="163">
        <v>2023</v>
      </c>
      <c r="B9540" s="163">
        <v>9</v>
      </c>
      <c r="C9540" s="163">
        <v>19</v>
      </c>
      <c r="D9540" s="141">
        <f t="shared" si="1162"/>
        <v>45188</v>
      </c>
      <c r="E9540" s="275">
        <f t="shared" si="1163"/>
        <v>45188</v>
      </c>
      <c r="F9540" s="480"/>
      <c r="G9540" s="221" t="s">
        <v>74</v>
      </c>
      <c r="H9540" s="221" t="str" cm="1">
        <f t="array" ref="H9540">IFERROR(INDEX(INVESTOR_LIST[INVESTOR NAME],MATCH(I9540,INVESTOR_LIST[INVESTOR CODE],0),)," ")</f>
        <v xml:space="preserve"> </v>
      </c>
      <c r="I9540" s="145"/>
      <c r="J9540" s="146" t="s">
        <v>52</v>
      </c>
      <c r="K9540" s="219"/>
      <c r="L9540" s="219">
        <v>1575</v>
      </c>
      <c r="M9540" s="147"/>
      <c r="Q9540" s="133" t="s">
        <v>348</v>
      </c>
    </row>
    <row r="9541" spans="1:17" ht="10.15" customHeight="1" x14ac:dyDescent="0.2">
      <c r="A9541" s="133">
        <v>2023</v>
      </c>
      <c r="B9541" s="133">
        <v>9</v>
      </c>
      <c r="C9541" s="133">
        <v>19</v>
      </c>
      <c r="D9541" s="141">
        <f t="shared" si="1162"/>
        <v>45188</v>
      </c>
      <c r="E9541" s="275">
        <f t="shared" si="1163"/>
        <v>45188</v>
      </c>
      <c r="F9541" s="479" t="s">
        <v>1741</v>
      </c>
      <c r="G9541" s="220" t="s">
        <v>74</v>
      </c>
      <c r="H9541" s="220"/>
      <c r="I9541" s="142"/>
      <c r="J9541" s="143" t="s">
        <v>96</v>
      </c>
      <c r="K9541" s="226">
        <v>1000000</v>
      </c>
      <c r="L9541" s="226"/>
    </row>
    <row r="9542" spans="1:17" ht="10.15" customHeight="1" x14ac:dyDescent="0.2">
      <c r="A9542" s="133">
        <v>2023</v>
      </c>
      <c r="B9542" s="133">
        <v>9</v>
      </c>
      <c r="C9542" s="133">
        <v>19</v>
      </c>
      <c r="D9542" s="141">
        <f t="shared" si="1162"/>
        <v>45188</v>
      </c>
      <c r="E9542" s="275">
        <f t="shared" si="1163"/>
        <v>45188</v>
      </c>
      <c r="F9542" s="481"/>
      <c r="G9542" s="174" t="s">
        <v>74</v>
      </c>
      <c r="H9542" s="174" t="str" cm="1">
        <f t="array" ref="H9542">IFERROR(INDEX(INVESTOR_LIST[INVESTOR NAME],MATCH(I9542,INVESTOR_LIST[INVESTOR CODE],0),)," ")</f>
        <v xml:space="preserve"> </v>
      </c>
      <c r="I9542" s="148" t="s">
        <v>348</v>
      </c>
      <c r="J9542" s="149" t="s">
        <v>52</v>
      </c>
      <c r="K9542" s="218">
        <v>17000</v>
      </c>
      <c r="L9542" s="218"/>
    </row>
    <row r="9543" spans="1:17" ht="10.15" customHeight="1" x14ac:dyDescent="0.2">
      <c r="A9543" s="133">
        <v>2023</v>
      </c>
      <c r="B9543" s="133">
        <v>9</v>
      </c>
      <c r="C9543" s="133">
        <v>19</v>
      </c>
      <c r="D9543" s="141">
        <f t="shared" si="1162"/>
        <v>45188</v>
      </c>
      <c r="E9543" s="275">
        <f t="shared" si="1163"/>
        <v>45188</v>
      </c>
      <c r="F9543" s="481"/>
      <c r="G9543" s="174" t="s">
        <v>74</v>
      </c>
      <c r="H9543" s="174"/>
      <c r="J9543" s="149" t="s">
        <v>61</v>
      </c>
      <c r="K9543" s="218">
        <v>3000</v>
      </c>
      <c r="L9543" s="218"/>
    </row>
    <row r="9544" spans="1:17" ht="10.15" customHeight="1" x14ac:dyDescent="0.2">
      <c r="A9544" s="133">
        <v>2023</v>
      </c>
      <c r="B9544" s="133">
        <v>9</v>
      </c>
      <c r="C9544" s="133">
        <v>19</v>
      </c>
      <c r="D9544" s="141">
        <f t="shared" si="1162"/>
        <v>45188</v>
      </c>
      <c r="E9544" s="275">
        <f t="shared" si="1163"/>
        <v>45188</v>
      </c>
      <c r="F9544" s="481"/>
      <c r="G9544" s="174" t="s">
        <v>74</v>
      </c>
      <c r="H9544" s="174" t="str" cm="1">
        <f t="array" ref="H9544">IFERROR(INDEX(INVESTOR_LIST[INVESTOR NAME],MATCH(I9544,INVESTOR_LIST[INVESTOR CODE],0),)," ")</f>
        <v xml:space="preserve"> </v>
      </c>
      <c r="J9544" s="149" t="s">
        <v>133</v>
      </c>
      <c r="K9544" s="218"/>
      <c r="L9544" s="218">
        <v>20000</v>
      </c>
    </row>
    <row r="9545" spans="1:17" ht="10.15" customHeight="1" x14ac:dyDescent="0.2">
      <c r="A9545" s="163">
        <v>2023</v>
      </c>
      <c r="B9545" s="163">
        <v>9</v>
      </c>
      <c r="C9545" s="163">
        <v>19</v>
      </c>
      <c r="D9545" s="141">
        <f t="shared" si="1162"/>
        <v>45188</v>
      </c>
      <c r="E9545" s="275">
        <f t="shared" si="1163"/>
        <v>45188</v>
      </c>
      <c r="F9545" s="480"/>
      <c r="G9545" s="221" t="s">
        <v>74</v>
      </c>
      <c r="H9545" s="221"/>
      <c r="I9545" s="145"/>
      <c r="J9545" s="146" t="s">
        <v>96</v>
      </c>
      <c r="K9545" s="219"/>
      <c r="L9545" s="219">
        <v>1000000</v>
      </c>
    </row>
    <row r="9546" spans="1:17" ht="10.15" customHeight="1" x14ac:dyDescent="0.2">
      <c r="A9546" s="133">
        <v>2023</v>
      </c>
      <c r="B9546" s="133">
        <v>9</v>
      </c>
      <c r="C9546" s="133">
        <v>19</v>
      </c>
      <c r="D9546" s="141">
        <f t="shared" ref="D9546:D9550" si="1170">DATE(A9546,B9546,C9546)</f>
        <v>45188</v>
      </c>
      <c r="E9546" s="275">
        <f t="shared" ref="E9546:E9550" si="1171">DATE(A9546,B9546,C9546)</f>
        <v>45188</v>
      </c>
      <c r="F9546" s="479" t="s">
        <v>1742</v>
      </c>
      <c r="G9546" s="220" t="s">
        <v>74</v>
      </c>
      <c r="H9546" s="220"/>
      <c r="I9546" s="142"/>
      <c r="J9546" s="143" t="s">
        <v>96</v>
      </c>
      <c r="K9546" s="226">
        <v>1000000</v>
      </c>
      <c r="L9546" s="226"/>
    </row>
    <row r="9547" spans="1:17" ht="10.15" customHeight="1" x14ac:dyDescent="0.2">
      <c r="A9547" s="133">
        <v>2023</v>
      </c>
      <c r="B9547" s="133">
        <v>9</v>
      </c>
      <c r="C9547" s="133">
        <v>19</v>
      </c>
      <c r="D9547" s="141">
        <f t="shared" si="1170"/>
        <v>45188</v>
      </c>
      <c r="E9547" s="275">
        <f t="shared" si="1171"/>
        <v>45188</v>
      </c>
      <c r="F9547" s="481"/>
      <c r="G9547" s="174" t="s">
        <v>74</v>
      </c>
      <c r="H9547" s="174" t="str" cm="1">
        <f t="array" ref="H9547">IFERROR(INDEX(INVESTOR_LIST[INVESTOR NAME],MATCH(I9547,INVESTOR_LIST[INVESTOR CODE],0),)," ")</f>
        <v xml:space="preserve"> </v>
      </c>
      <c r="I9547" s="148" t="s">
        <v>348</v>
      </c>
      <c r="J9547" s="149" t="s">
        <v>52</v>
      </c>
      <c r="K9547" s="218">
        <v>17000</v>
      </c>
      <c r="L9547" s="218"/>
    </row>
    <row r="9548" spans="1:17" ht="10.15" customHeight="1" x14ac:dyDescent="0.2">
      <c r="A9548" s="133">
        <v>2023</v>
      </c>
      <c r="B9548" s="133">
        <v>9</v>
      </c>
      <c r="C9548" s="133">
        <v>19</v>
      </c>
      <c r="D9548" s="141">
        <f t="shared" si="1170"/>
        <v>45188</v>
      </c>
      <c r="E9548" s="275">
        <f t="shared" si="1171"/>
        <v>45188</v>
      </c>
      <c r="F9548" s="481"/>
      <c r="G9548" s="174" t="s">
        <v>74</v>
      </c>
      <c r="H9548" s="174"/>
      <c r="J9548" s="149" t="s">
        <v>61</v>
      </c>
      <c r="K9548" s="218">
        <v>3000</v>
      </c>
      <c r="L9548" s="218"/>
    </row>
    <row r="9549" spans="1:17" ht="10.15" customHeight="1" x14ac:dyDescent="0.2">
      <c r="A9549" s="133">
        <v>2023</v>
      </c>
      <c r="B9549" s="133">
        <v>9</v>
      </c>
      <c r="C9549" s="133">
        <v>19</v>
      </c>
      <c r="D9549" s="141">
        <f t="shared" si="1170"/>
        <v>45188</v>
      </c>
      <c r="E9549" s="275">
        <f t="shared" si="1171"/>
        <v>45188</v>
      </c>
      <c r="F9549" s="481"/>
      <c r="G9549" s="174" t="s">
        <v>74</v>
      </c>
      <c r="H9549" s="174" t="str" cm="1">
        <f t="array" ref="H9549">IFERROR(INDEX(INVESTOR_LIST[INVESTOR NAME],MATCH(I9549,INVESTOR_LIST[INVESTOR CODE],0),)," ")</f>
        <v xml:space="preserve"> </v>
      </c>
      <c r="J9549" s="149" t="s">
        <v>133</v>
      </c>
      <c r="K9549" s="218"/>
      <c r="L9549" s="218">
        <v>20000</v>
      </c>
    </row>
    <row r="9550" spans="1:17" ht="10.15" customHeight="1" x14ac:dyDescent="0.2">
      <c r="A9550" s="163">
        <v>2023</v>
      </c>
      <c r="B9550" s="163">
        <v>9</v>
      </c>
      <c r="C9550" s="163">
        <v>19</v>
      </c>
      <c r="D9550" s="141">
        <f t="shared" si="1170"/>
        <v>45188</v>
      </c>
      <c r="E9550" s="275">
        <f t="shared" si="1171"/>
        <v>45188</v>
      </c>
      <c r="F9550" s="480"/>
      <c r="G9550" s="221" t="s">
        <v>74</v>
      </c>
      <c r="H9550" s="221"/>
      <c r="I9550" s="145"/>
      <c r="J9550" s="146" t="s">
        <v>96</v>
      </c>
      <c r="K9550" s="219"/>
      <c r="L9550" s="219">
        <v>1000000</v>
      </c>
    </row>
    <row r="9551" spans="1:17" ht="10.15" customHeight="1" x14ac:dyDescent="0.2">
      <c r="A9551" s="133">
        <v>2023</v>
      </c>
      <c r="B9551" s="133">
        <v>9</v>
      </c>
      <c r="C9551" s="133">
        <v>19</v>
      </c>
      <c r="D9551" s="141">
        <f t="shared" ref="D9551:D9574" si="1172">DATE(A9551,B9551,C9551)</f>
        <v>45188</v>
      </c>
      <c r="E9551" s="275">
        <f t="shared" ref="E9551:E9574" si="1173">DATE(A9551,B9551,C9551)</f>
        <v>45188</v>
      </c>
      <c r="F9551" s="479" t="s">
        <v>1743</v>
      </c>
      <c r="G9551" s="220" t="s">
        <v>74</v>
      </c>
      <c r="H9551" s="220"/>
      <c r="I9551" s="142"/>
      <c r="J9551" s="143" t="s">
        <v>96</v>
      </c>
      <c r="K9551" s="226">
        <v>1000000</v>
      </c>
      <c r="L9551" s="226"/>
    </row>
    <row r="9552" spans="1:17" ht="10.15" customHeight="1" x14ac:dyDescent="0.2">
      <c r="A9552" s="133">
        <v>2023</v>
      </c>
      <c r="B9552" s="133">
        <v>9</v>
      </c>
      <c r="C9552" s="133">
        <v>19</v>
      </c>
      <c r="D9552" s="141">
        <f t="shared" si="1172"/>
        <v>45188</v>
      </c>
      <c r="E9552" s="275">
        <f t="shared" si="1173"/>
        <v>45188</v>
      </c>
      <c r="F9552" s="481"/>
      <c r="G9552" s="174" t="s">
        <v>74</v>
      </c>
      <c r="H9552" s="174" t="str" cm="1">
        <f t="array" ref="H9552">IFERROR(INDEX(INVESTOR_LIST[INVESTOR NAME],MATCH(I9552,INVESTOR_LIST[INVESTOR CODE],0),)," ")</f>
        <v xml:space="preserve"> </v>
      </c>
      <c r="I9552" s="148" t="s">
        <v>348</v>
      </c>
      <c r="J9552" s="149" t="s">
        <v>52</v>
      </c>
      <c r="K9552" s="218">
        <v>17000</v>
      </c>
      <c r="L9552" s="218"/>
    </row>
    <row r="9553" spans="1:14" ht="10.15" customHeight="1" x14ac:dyDescent="0.2">
      <c r="A9553" s="133">
        <v>2023</v>
      </c>
      <c r="B9553" s="133">
        <v>9</v>
      </c>
      <c r="C9553" s="133">
        <v>19</v>
      </c>
      <c r="D9553" s="141">
        <f t="shared" si="1172"/>
        <v>45188</v>
      </c>
      <c r="E9553" s="275">
        <f t="shared" si="1173"/>
        <v>45188</v>
      </c>
      <c r="F9553" s="481"/>
      <c r="G9553" s="174" t="s">
        <v>74</v>
      </c>
      <c r="H9553" s="174"/>
      <c r="J9553" s="149" t="s">
        <v>61</v>
      </c>
      <c r="K9553" s="218">
        <v>3000</v>
      </c>
      <c r="L9553" s="218"/>
    </row>
    <row r="9554" spans="1:14" ht="10.15" customHeight="1" x14ac:dyDescent="0.2">
      <c r="A9554" s="133">
        <v>2023</v>
      </c>
      <c r="B9554" s="133">
        <v>9</v>
      </c>
      <c r="C9554" s="133">
        <v>19</v>
      </c>
      <c r="D9554" s="141">
        <f t="shared" si="1172"/>
        <v>45188</v>
      </c>
      <c r="E9554" s="275">
        <f t="shared" si="1173"/>
        <v>45188</v>
      </c>
      <c r="F9554" s="481"/>
      <c r="G9554" s="174" t="s">
        <v>74</v>
      </c>
      <c r="H9554" s="174" t="str" cm="1">
        <f t="array" ref="H9554">IFERROR(INDEX(INVESTOR_LIST[INVESTOR NAME],MATCH(I9554,INVESTOR_LIST[INVESTOR CODE],0),)," ")</f>
        <v xml:space="preserve"> </v>
      </c>
      <c r="J9554" s="149" t="s">
        <v>133</v>
      </c>
      <c r="K9554" s="218"/>
      <c r="L9554" s="218">
        <v>20000</v>
      </c>
    </row>
    <row r="9555" spans="1:14" ht="10.15" customHeight="1" x14ac:dyDescent="0.2">
      <c r="A9555" s="163">
        <v>2023</v>
      </c>
      <c r="B9555" s="163">
        <v>9</v>
      </c>
      <c r="C9555" s="163">
        <v>19</v>
      </c>
      <c r="D9555" s="141">
        <f t="shared" si="1172"/>
        <v>45188</v>
      </c>
      <c r="E9555" s="275">
        <f t="shared" si="1173"/>
        <v>45188</v>
      </c>
      <c r="F9555" s="480"/>
      <c r="G9555" s="221" t="s">
        <v>74</v>
      </c>
      <c r="H9555" s="221"/>
      <c r="I9555" s="145"/>
      <c r="J9555" s="146" t="s">
        <v>96</v>
      </c>
      <c r="K9555" s="219"/>
      <c r="L9555" s="219">
        <v>1000000</v>
      </c>
    </row>
    <row r="9556" spans="1:14" x14ac:dyDescent="0.2">
      <c r="A9556" s="133">
        <v>2023</v>
      </c>
      <c r="B9556" s="168">
        <v>9</v>
      </c>
      <c r="C9556" s="168">
        <v>20</v>
      </c>
      <c r="D9556" s="141">
        <f t="shared" si="1172"/>
        <v>45189</v>
      </c>
      <c r="E9556" s="275">
        <f t="shared" si="1173"/>
        <v>45189</v>
      </c>
      <c r="F9556" s="481" t="s">
        <v>1821</v>
      </c>
      <c r="G9556" s="174" t="s">
        <v>94</v>
      </c>
      <c r="H9556" s="174" t="str" cm="1">
        <f t="array" ref="H9556">IFERROR(INDEX(INVESTOR_LIST[INVESTOR NAME],MATCH(I9556,INVESTOR_LIST[INVESTOR CODE],0),)," ")</f>
        <v xml:space="preserve"> </v>
      </c>
      <c r="I9556" s="148" t="s">
        <v>348</v>
      </c>
      <c r="J9556" s="149" t="s">
        <v>168</v>
      </c>
      <c r="K9556" s="218">
        <v>178500</v>
      </c>
      <c r="L9556" s="218"/>
    </row>
    <row r="9557" spans="1:14" x14ac:dyDescent="0.2">
      <c r="A9557" s="163">
        <v>2023</v>
      </c>
      <c r="B9557" s="163">
        <v>9</v>
      </c>
      <c r="C9557" s="163">
        <v>20</v>
      </c>
      <c r="D9557" s="141">
        <f t="shared" si="1172"/>
        <v>45189</v>
      </c>
      <c r="E9557" s="275">
        <f t="shared" si="1173"/>
        <v>45189</v>
      </c>
      <c r="F9557" s="480"/>
      <c r="G9557" s="221" t="s">
        <v>94</v>
      </c>
      <c r="H9557" s="221" t="str" cm="1">
        <f t="array" ref="H9557">IFERROR(INDEX(INVESTOR_LIST[INVESTOR NAME],MATCH(I9557,INVESTOR_LIST[INVESTOR CODE],0),)," ")</f>
        <v xml:space="preserve"> </v>
      </c>
      <c r="I9557" s="145" t="s">
        <v>348</v>
      </c>
      <c r="J9557" s="146" t="s">
        <v>166</v>
      </c>
      <c r="K9557" s="219"/>
      <c r="L9557" s="219">
        <v>178500</v>
      </c>
    </row>
    <row r="9558" spans="1:14" ht="10.15" customHeight="1" x14ac:dyDescent="0.2">
      <c r="A9558" s="168">
        <v>2023</v>
      </c>
      <c r="B9558" s="168">
        <v>9</v>
      </c>
      <c r="C9558" s="168">
        <v>20</v>
      </c>
      <c r="D9558" s="141">
        <f t="shared" si="1172"/>
        <v>45189</v>
      </c>
      <c r="E9558" s="275">
        <f t="shared" si="1173"/>
        <v>45189</v>
      </c>
      <c r="F9558" s="479" t="s">
        <v>1771</v>
      </c>
      <c r="G9558" s="220" t="s">
        <v>74</v>
      </c>
      <c r="H9558" s="220"/>
      <c r="I9558" s="142"/>
      <c r="J9558" s="143" t="s">
        <v>52</v>
      </c>
      <c r="K9558" s="226">
        <v>5078875</v>
      </c>
      <c r="L9558" s="226"/>
    </row>
    <row r="9559" spans="1:14" ht="10.15" customHeight="1" x14ac:dyDescent="0.2">
      <c r="A9559" s="133">
        <v>2023</v>
      </c>
      <c r="B9559" s="133">
        <v>9</v>
      </c>
      <c r="C9559" s="133">
        <v>20</v>
      </c>
      <c r="D9559" s="141">
        <f t="shared" si="1172"/>
        <v>45189</v>
      </c>
      <c r="E9559" s="275">
        <f t="shared" si="1173"/>
        <v>45189</v>
      </c>
      <c r="F9559" s="481"/>
      <c r="G9559" s="174" t="s">
        <v>74</v>
      </c>
      <c r="H9559" s="174"/>
      <c r="J9559" s="149" t="s">
        <v>61</v>
      </c>
      <c r="K9559" s="218">
        <v>3000</v>
      </c>
      <c r="L9559" s="218"/>
    </row>
    <row r="9560" spans="1:14" ht="10.15" customHeight="1" x14ac:dyDescent="0.2">
      <c r="A9560" s="163">
        <v>2023</v>
      </c>
      <c r="B9560" s="163">
        <v>9</v>
      </c>
      <c r="C9560" s="163">
        <v>20</v>
      </c>
      <c r="D9560" s="280">
        <f t="shared" si="1172"/>
        <v>45189</v>
      </c>
      <c r="E9560" s="281">
        <f t="shared" si="1173"/>
        <v>45189</v>
      </c>
      <c r="F9560" s="480"/>
      <c r="G9560" s="221" t="s">
        <v>74</v>
      </c>
      <c r="H9560" s="221" t="str" cm="1">
        <f t="array" ref="H9560">IFERROR(INDEX(INVESTOR_LIST[INVESTOR NAME],MATCH(I9560,INVESTOR_LIST[INVESTOR CODE],0),)," ")</f>
        <v xml:space="preserve"> </v>
      </c>
      <c r="I9560" s="145" t="s">
        <v>348</v>
      </c>
      <c r="J9560" s="146" t="s">
        <v>96</v>
      </c>
      <c r="K9560" s="219"/>
      <c r="L9560" s="219">
        <v>5081875</v>
      </c>
    </row>
    <row r="9561" spans="1:14" x14ac:dyDescent="0.2">
      <c r="A9561" s="324">
        <v>2023</v>
      </c>
      <c r="B9561" s="324">
        <v>9</v>
      </c>
      <c r="C9561" s="325">
        <v>21</v>
      </c>
      <c r="D9561" s="326">
        <f t="shared" si="1172"/>
        <v>45190</v>
      </c>
      <c r="E9561" s="327">
        <f t="shared" si="1173"/>
        <v>45190</v>
      </c>
      <c r="F9561" s="473" t="s">
        <v>1490</v>
      </c>
      <c r="G9561" s="328" t="s">
        <v>94</v>
      </c>
      <c r="H9561" s="329" t="str" cm="1">
        <f t="array" ref="H9561">IFERROR(INDEX(INVESTOR_LIST[INVESTOR NAME],MATCH(I9561,INVESTOR_LIST[INVESTOR CODE],0),)," ")</f>
        <v xml:space="preserve"> </v>
      </c>
      <c r="I9561" s="329" t="s">
        <v>348</v>
      </c>
      <c r="J9561" s="325" t="s">
        <v>133</v>
      </c>
      <c r="K9561" s="330">
        <v>16189.16</v>
      </c>
      <c r="L9561" s="330"/>
      <c r="M9561" s="160"/>
    </row>
    <row r="9562" spans="1:14" x14ac:dyDescent="0.2">
      <c r="A9562" s="331">
        <v>2023</v>
      </c>
      <c r="B9562" s="331">
        <v>9</v>
      </c>
      <c r="C9562" s="331">
        <v>21</v>
      </c>
      <c r="D9562" s="326">
        <f t="shared" si="1172"/>
        <v>45190</v>
      </c>
      <c r="E9562" s="327">
        <f t="shared" si="1173"/>
        <v>45190</v>
      </c>
      <c r="F9562" s="474"/>
      <c r="G9562" s="332" t="s">
        <v>94</v>
      </c>
      <c r="H9562" s="333" t="str" cm="1">
        <f t="array" ref="H9562">IFERROR(INDEX(INVESTOR_LIST[INVESTOR NAME],MATCH(I9562,INVESTOR_LIST[INVESTOR CODE],0),)," ")</f>
        <v xml:space="preserve"> </v>
      </c>
      <c r="I9562" s="333" t="s">
        <v>348</v>
      </c>
      <c r="J9562" s="331" t="s">
        <v>152</v>
      </c>
      <c r="K9562" s="334"/>
      <c r="L9562" s="334">
        <v>16189.16</v>
      </c>
      <c r="M9562" s="160"/>
      <c r="N9562" s="160"/>
    </row>
    <row r="9563" spans="1:14" x14ac:dyDescent="0.2">
      <c r="A9563" s="324">
        <v>2023</v>
      </c>
      <c r="B9563" s="324">
        <v>9</v>
      </c>
      <c r="C9563" s="325">
        <v>21</v>
      </c>
      <c r="D9563" s="326">
        <f t="shared" si="1172"/>
        <v>45190</v>
      </c>
      <c r="E9563" s="327">
        <f t="shared" si="1173"/>
        <v>45190</v>
      </c>
      <c r="F9563" s="473" t="s">
        <v>1491</v>
      </c>
      <c r="G9563" s="328" t="s">
        <v>94</v>
      </c>
      <c r="H9563" s="329" t="str" cm="1">
        <f t="array" ref="H9563">IFERROR(INDEX(INVESTOR_LIST[INVESTOR NAME],MATCH(I9563,INVESTOR_LIST[INVESTOR CODE],0),)," ")</f>
        <v xml:space="preserve"> </v>
      </c>
      <c r="I9563" s="329" t="s">
        <v>348</v>
      </c>
      <c r="J9563" s="324" t="s">
        <v>133</v>
      </c>
      <c r="K9563" s="330">
        <v>4903.8500000000004</v>
      </c>
      <c r="L9563" s="330"/>
      <c r="M9563" s="160"/>
      <c r="N9563" s="160"/>
    </row>
    <row r="9564" spans="1:14" x14ac:dyDescent="0.2">
      <c r="A9564" s="331">
        <v>2023</v>
      </c>
      <c r="B9564" s="331">
        <v>9</v>
      </c>
      <c r="C9564" s="331">
        <v>21</v>
      </c>
      <c r="D9564" s="326">
        <f t="shared" si="1172"/>
        <v>45190</v>
      </c>
      <c r="E9564" s="327">
        <f t="shared" si="1173"/>
        <v>45190</v>
      </c>
      <c r="F9564" s="474"/>
      <c r="G9564" s="332" t="s">
        <v>94</v>
      </c>
      <c r="H9564" s="333" t="str" cm="1">
        <f t="array" ref="H9564">IFERROR(INDEX(INVESTOR_LIST[INVESTOR NAME],MATCH(I9564,INVESTOR_LIST[INVESTOR CODE],0),)," ")</f>
        <v xml:space="preserve"> </v>
      </c>
      <c r="I9564" s="333" t="s">
        <v>348</v>
      </c>
      <c r="J9564" s="331" t="s">
        <v>152</v>
      </c>
      <c r="K9564" s="334"/>
      <c r="L9564" s="334">
        <v>4903.8500000000004</v>
      </c>
      <c r="M9564" s="160"/>
    </row>
    <row r="9565" spans="1:14" x14ac:dyDescent="0.2">
      <c r="A9565" s="324">
        <v>2023</v>
      </c>
      <c r="B9565" s="324">
        <v>9</v>
      </c>
      <c r="C9565" s="325">
        <v>21</v>
      </c>
      <c r="D9565" s="326">
        <f t="shared" si="1172"/>
        <v>45190</v>
      </c>
      <c r="E9565" s="327">
        <f t="shared" si="1173"/>
        <v>45190</v>
      </c>
      <c r="F9565" s="473" t="s">
        <v>1531</v>
      </c>
      <c r="G9565" s="328" t="s">
        <v>94</v>
      </c>
      <c r="H9565" s="329" t="str" cm="1">
        <f t="array" ref="H9565">IFERROR(INDEX(INVESTOR_LIST[INVESTOR NAME],MATCH(I9565,INVESTOR_LIST[INVESTOR CODE],0),)," ")</f>
        <v xml:space="preserve"> </v>
      </c>
      <c r="I9565" s="329" t="s">
        <v>348</v>
      </c>
      <c r="J9565" s="324" t="s">
        <v>133</v>
      </c>
      <c r="K9565" s="330">
        <v>23333.33</v>
      </c>
      <c r="L9565" s="330"/>
      <c r="M9565" s="160"/>
    </row>
    <row r="9566" spans="1:14" x14ac:dyDescent="0.2">
      <c r="A9566" s="331">
        <v>2023</v>
      </c>
      <c r="B9566" s="331">
        <v>9</v>
      </c>
      <c r="C9566" s="331">
        <v>21</v>
      </c>
      <c r="D9566" s="326">
        <f t="shared" si="1172"/>
        <v>45190</v>
      </c>
      <c r="E9566" s="327">
        <f t="shared" si="1173"/>
        <v>45190</v>
      </c>
      <c r="F9566" s="474"/>
      <c r="G9566" s="332" t="s">
        <v>94</v>
      </c>
      <c r="H9566" s="333" t="str" cm="1">
        <f t="array" ref="H9566">IFERROR(INDEX(INVESTOR_LIST[INVESTOR NAME],MATCH(I9566,INVESTOR_LIST[INVESTOR CODE],0),)," ")</f>
        <v xml:space="preserve"> </v>
      </c>
      <c r="I9566" s="333" t="s">
        <v>348</v>
      </c>
      <c r="J9566" s="331" t="s">
        <v>152</v>
      </c>
      <c r="K9566" s="334"/>
      <c r="L9566" s="334">
        <v>23333.33</v>
      </c>
      <c r="M9566" s="160"/>
    </row>
    <row r="9567" spans="1:14" x14ac:dyDescent="0.2">
      <c r="A9567" s="238">
        <v>2023</v>
      </c>
      <c r="B9567" s="238">
        <v>9</v>
      </c>
      <c r="C9567" s="238">
        <v>21</v>
      </c>
      <c r="D9567" s="270">
        <f t="shared" si="1172"/>
        <v>45190</v>
      </c>
      <c r="E9567" s="279">
        <f t="shared" si="1173"/>
        <v>45190</v>
      </c>
      <c r="F9567" s="477" t="s">
        <v>347</v>
      </c>
      <c r="G9567" s="239" t="s">
        <v>94</v>
      </c>
      <c r="H9567" s="239" t="str" cm="1">
        <f t="array" ref="H9567">IFERROR(INDEX(INVESTOR_LIST[INVESTOR NAME],MATCH(I9567,INVESTOR_LIST[INVESTOR CODE],0),)," ")</f>
        <v xml:space="preserve"> </v>
      </c>
      <c r="I9567" s="262" t="s">
        <v>348</v>
      </c>
      <c r="J9567" s="240" t="s">
        <v>108</v>
      </c>
      <c r="K9567" s="241">
        <v>62229.180000007153</v>
      </c>
      <c r="L9567" s="241"/>
    </row>
    <row r="9568" spans="1:14" x14ac:dyDescent="0.2">
      <c r="A9568" s="242">
        <v>2023</v>
      </c>
      <c r="B9568" s="242">
        <v>9</v>
      </c>
      <c r="C9568" s="242">
        <v>21</v>
      </c>
      <c r="D9568" s="270">
        <f t="shared" si="1172"/>
        <v>45190</v>
      </c>
      <c r="E9568" s="279">
        <f t="shared" si="1173"/>
        <v>45190</v>
      </c>
      <c r="F9568" s="478"/>
      <c r="G9568" s="243" t="s">
        <v>94</v>
      </c>
      <c r="H9568" s="243" t="str" cm="1">
        <f t="array" ref="H9568">IFERROR(INDEX(INVESTOR_LIST[INVESTOR NAME],MATCH(I9568,INVESTOR_LIST[INVESTOR CODE],0),)," ")</f>
        <v xml:space="preserve"> </v>
      </c>
      <c r="I9568" s="263" t="s">
        <v>348</v>
      </c>
      <c r="J9568" s="244" t="s">
        <v>82</v>
      </c>
      <c r="K9568" s="245"/>
      <c r="L9568" s="245">
        <v>62229.180000007153</v>
      </c>
    </row>
    <row r="9569" spans="1:13" ht="22.5" x14ac:dyDescent="0.2">
      <c r="A9569" s="246">
        <v>2023</v>
      </c>
      <c r="B9569" s="238">
        <v>9</v>
      </c>
      <c r="C9569" s="238">
        <v>21</v>
      </c>
      <c r="D9569" s="270">
        <f t="shared" si="1172"/>
        <v>45190</v>
      </c>
      <c r="E9569" s="279">
        <f t="shared" si="1173"/>
        <v>45190</v>
      </c>
      <c r="F9569" s="482" t="s">
        <v>148</v>
      </c>
      <c r="G9569" s="247" t="s">
        <v>94</v>
      </c>
      <c r="H9569" s="247" t="str" cm="1">
        <f t="array" ref="H9569">IFERROR(INDEX(INVESTOR_LIST[INVESTOR NAME],MATCH(I9569,INVESTOR_LIST[INVESTOR CODE],0),)," ")</f>
        <v xml:space="preserve"> </v>
      </c>
      <c r="I9569" s="248" t="s">
        <v>348</v>
      </c>
      <c r="J9569" s="249" t="s">
        <v>95</v>
      </c>
      <c r="K9569" s="250">
        <v>2747.2527472527472</v>
      </c>
      <c r="L9569" s="241"/>
    </row>
    <row r="9570" spans="1:13" x14ac:dyDescent="0.2">
      <c r="A9570" s="242">
        <v>2023</v>
      </c>
      <c r="B9570" s="242">
        <v>9</v>
      </c>
      <c r="C9570" s="242">
        <v>21</v>
      </c>
      <c r="D9570" s="270">
        <f t="shared" si="1172"/>
        <v>45190</v>
      </c>
      <c r="E9570" s="279">
        <f t="shared" si="1173"/>
        <v>45190</v>
      </c>
      <c r="F9570" s="478"/>
      <c r="G9570" s="243" t="s">
        <v>94</v>
      </c>
      <c r="H9570" s="243" t="str" cm="1">
        <f t="array" ref="H9570">IFERROR(INDEX(INVESTOR_LIST[INVESTOR NAME],MATCH(I9570,INVESTOR_LIST[INVESTOR CODE],0),)," ")</f>
        <v xml:space="preserve"> </v>
      </c>
      <c r="I9570" s="263" t="s">
        <v>348</v>
      </c>
      <c r="J9570" s="244" t="s">
        <v>63</v>
      </c>
      <c r="K9570" s="245"/>
      <c r="L9570" s="245">
        <v>2747.2527472527472</v>
      </c>
    </row>
    <row r="9571" spans="1:13" x14ac:dyDescent="0.2">
      <c r="A9571" s="246">
        <v>2023</v>
      </c>
      <c r="B9571" s="238">
        <v>9</v>
      </c>
      <c r="C9571" s="238">
        <v>21</v>
      </c>
      <c r="D9571" s="270">
        <f t="shared" si="1172"/>
        <v>45190</v>
      </c>
      <c r="E9571" s="279">
        <f t="shared" si="1173"/>
        <v>45190</v>
      </c>
      <c r="F9571" s="482" t="s">
        <v>137</v>
      </c>
      <c r="G9571" s="247" t="s">
        <v>94</v>
      </c>
      <c r="H9571" s="247" t="str" cm="1">
        <f t="array" ref="H9571">IFERROR(INDEX(INVESTOR_LIST[INVESTOR NAME],MATCH(I9571,INVESTOR_LIST[INVESTOR CODE],0),)," ")</f>
        <v xml:space="preserve"> </v>
      </c>
      <c r="I9571" s="248" t="s">
        <v>348</v>
      </c>
      <c r="J9571" s="249" t="s">
        <v>97</v>
      </c>
      <c r="K9571" s="250">
        <v>63897.39159996574</v>
      </c>
      <c r="L9571" s="252"/>
    </row>
    <row r="9572" spans="1:13" x14ac:dyDescent="0.2">
      <c r="A9572" s="242">
        <v>2023</v>
      </c>
      <c r="B9572" s="242">
        <v>9</v>
      </c>
      <c r="C9572" s="242">
        <v>21</v>
      </c>
      <c r="D9572" s="270">
        <f t="shared" si="1172"/>
        <v>45190</v>
      </c>
      <c r="E9572" s="279">
        <f t="shared" si="1173"/>
        <v>45190</v>
      </c>
      <c r="F9572" s="478"/>
      <c r="G9572" s="243" t="s">
        <v>94</v>
      </c>
      <c r="H9572" s="243" t="str" cm="1">
        <f t="array" ref="H9572">IFERROR(INDEX(INVESTOR_LIST[INVESTOR NAME],MATCH(I9572,INVESTOR_LIST[INVESTOR CODE],0),)," ")</f>
        <v xml:space="preserve"> </v>
      </c>
      <c r="I9572" s="263" t="s">
        <v>348</v>
      </c>
      <c r="J9572" s="244" t="s">
        <v>47</v>
      </c>
      <c r="K9572" s="245"/>
      <c r="L9572" s="245">
        <v>63897.39159996574</v>
      </c>
    </row>
    <row r="9573" spans="1:13" x14ac:dyDescent="0.2">
      <c r="A9573" s="246">
        <v>2023</v>
      </c>
      <c r="B9573" s="238">
        <v>9</v>
      </c>
      <c r="C9573" s="238">
        <v>21</v>
      </c>
      <c r="D9573" s="270">
        <f t="shared" si="1172"/>
        <v>45190</v>
      </c>
      <c r="E9573" s="279">
        <f t="shared" si="1173"/>
        <v>45190</v>
      </c>
      <c r="F9573" s="482" t="s">
        <v>138</v>
      </c>
      <c r="G9573" s="247" t="s">
        <v>94</v>
      </c>
      <c r="H9573" s="247" t="str" cm="1">
        <f t="array" ref="H9573">IFERROR(INDEX(INVESTOR_LIST[INVESTOR NAME],MATCH(I9573,INVESTOR_LIST[INVESTOR CODE],0),)," ")</f>
        <v xml:space="preserve"> </v>
      </c>
      <c r="I9573" s="248" t="s">
        <v>348</v>
      </c>
      <c r="J9573" s="249" t="s">
        <v>100</v>
      </c>
      <c r="K9573" s="250">
        <v>2954.4849646136718</v>
      </c>
      <c r="L9573" s="252"/>
    </row>
    <row r="9574" spans="1:13" ht="10.9" customHeight="1" x14ac:dyDescent="0.2">
      <c r="A9574" s="242">
        <v>2023</v>
      </c>
      <c r="B9574" s="242">
        <v>9</v>
      </c>
      <c r="C9574" s="242">
        <v>21</v>
      </c>
      <c r="D9574" s="321">
        <f t="shared" si="1172"/>
        <v>45190</v>
      </c>
      <c r="E9574" s="322">
        <f t="shared" si="1173"/>
        <v>45190</v>
      </c>
      <c r="F9574" s="478"/>
      <c r="G9574" s="243" t="s">
        <v>94</v>
      </c>
      <c r="H9574" s="243" t="str" cm="1">
        <f t="array" ref="H9574">IFERROR(INDEX(INVESTOR_LIST[INVESTOR NAME],MATCH(I9574,INVESTOR_LIST[INVESTOR CODE],0),)," ")</f>
        <v xml:space="preserve"> </v>
      </c>
      <c r="I9574" s="263" t="s">
        <v>348</v>
      </c>
      <c r="J9574" s="244" t="s">
        <v>48</v>
      </c>
      <c r="K9574" s="245"/>
      <c r="L9574" s="245">
        <v>2954.4849646136718</v>
      </c>
    </row>
    <row r="9575" spans="1:13" ht="10.15" customHeight="1" x14ac:dyDescent="0.2">
      <c r="A9575" s="168">
        <v>2023</v>
      </c>
      <c r="B9575" s="168">
        <v>9</v>
      </c>
      <c r="C9575" s="168">
        <v>24</v>
      </c>
      <c r="D9575" s="141">
        <f>DATE(A9575,B9575,C9575)</f>
        <v>45193</v>
      </c>
      <c r="E9575" s="275">
        <f>DATE(A9575,B9575,C9575)</f>
        <v>45193</v>
      </c>
      <c r="F9575" s="479" t="s">
        <v>1315</v>
      </c>
      <c r="G9575" s="220" t="s">
        <v>74</v>
      </c>
      <c r="H9575" s="142" t="str" cm="1">
        <f t="array" ref="H9575">IFERROR(INDEX(INVESTOR_LIST[INVESTOR NAME],MATCH(I9575,INVESTOR_LIST[INVESTOR CODE],0),)," ")</f>
        <v>SHIBBIR AHMED</v>
      </c>
      <c r="I9575" s="142" t="s">
        <v>377</v>
      </c>
      <c r="J9575" s="168" t="s">
        <v>13</v>
      </c>
      <c r="K9575" s="218">
        <v>351940</v>
      </c>
      <c r="L9575" s="226"/>
    </row>
    <row r="9576" spans="1:13" ht="10.15" customHeight="1" x14ac:dyDescent="0.2">
      <c r="A9576" s="133">
        <v>2023</v>
      </c>
      <c r="B9576" s="133">
        <v>9</v>
      </c>
      <c r="C9576" s="133">
        <v>24</v>
      </c>
      <c r="D9576" s="141">
        <f t="shared" ref="D9576:D9577" si="1174">DATE(A9576,B9576,C9576)</f>
        <v>45193</v>
      </c>
      <c r="E9576" s="275">
        <f t="shared" ref="E9576:E9577" si="1175">DATE(A9576,B9576,C9576)</f>
        <v>45193</v>
      </c>
      <c r="F9576" s="481"/>
      <c r="G9576" s="174" t="s">
        <v>74</v>
      </c>
      <c r="H9576" s="148" t="str" cm="1">
        <f t="array" ref="H9576">IFERROR(INDEX(INVESTOR_LIST[INVESTOR NAME],MATCH(I9576,INVESTOR_LIST[INVESTOR CODE],0),)," ")</f>
        <v>SHIBBIR AHMED</v>
      </c>
      <c r="I9576" s="148" t="s">
        <v>377</v>
      </c>
      <c r="J9576" s="133" t="s">
        <v>53</v>
      </c>
      <c r="K9576" s="218">
        <v>87914.609999999986</v>
      </c>
      <c r="L9576" s="133"/>
    </row>
    <row r="9577" spans="1:13" ht="10.15" customHeight="1" x14ac:dyDescent="0.2">
      <c r="A9577" s="163">
        <v>2023</v>
      </c>
      <c r="B9577" s="163">
        <v>9</v>
      </c>
      <c r="C9577" s="163">
        <v>24</v>
      </c>
      <c r="D9577" s="280">
        <f t="shared" si="1174"/>
        <v>45193</v>
      </c>
      <c r="E9577" s="281">
        <f t="shared" si="1175"/>
        <v>45193</v>
      </c>
      <c r="F9577" s="480"/>
      <c r="G9577" s="221" t="s">
        <v>74</v>
      </c>
      <c r="H9577" s="145" t="str" cm="1">
        <f t="array" ref="H9577">IFERROR(INDEX(INVESTOR_LIST[INVESTOR NAME],MATCH(I9577,INVESTOR_LIST[INVESTOR CODE],0),)," ")</f>
        <v>SHIBBIR AHMED</v>
      </c>
      <c r="I9577" s="145" t="s">
        <v>377</v>
      </c>
      <c r="J9577" s="163" t="s">
        <v>52</v>
      </c>
      <c r="K9577" s="219"/>
      <c r="L9577" s="219">
        <v>439854.61</v>
      </c>
    </row>
    <row r="9578" spans="1:13" ht="10.15" customHeight="1" x14ac:dyDescent="0.2">
      <c r="A9578" s="168">
        <v>2023</v>
      </c>
      <c r="B9578" s="168">
        <v>9</v>
      </c>
      <c r="C9578" s="168">
        <v>24</v>
      </c>
      <c r="D9578" s="141">
        <f>DATE(A9578,B9578,C9578)</f>
        <v>45193</v>
      </c>
      <c r="E9578" s="275">
        <f>DATE(A9578,B9578,C9578)</f>
        <v>45193</v>
      </c>
      <c r="F9578" s="479" t="s">
        <v>1315</v>
      </c>
      <c r="G9578" s="220" t="s">
        <v>74</v>
      </c>
      <c r="H9578" s="142" t="str" cm="1">
        <f t="array" ref="H9578">IFERROR(INDEX(INVESTOR_LIST[INVESTOR NAME],MATCH(I9578,INVESTOR_LIST[INVESTOR CODE],0),)," ")</f>
        <v>MRIDUL KUMAR DEY</v>
      </c>
      <c r="I9578" s="142" t="s">
        <v>388</v>
      </c>
      <c r="J9578" s="168" t="s">
        <v>13</v>
      </c>
      <c r="K9578" s="218">
        <v>129270</v>
      </c>
      <c r="L9578" s="226"/>
    </row>
    <row r="9579" spans="1:13" ht="10.15" customHeight="1" x14ac:dyDescent="0.2">
      <c r="A9579" s="133">
        <v>2023</v>
      </c>
      <c r="B9579" s="133">
        <v>9</v>
      </c>
      <c r="C9579" s="133">
        <v>24</v>
      </c>
      <c r="D9579" s="141">
        <f t="shared" ref="D9579:D9580" si="1176">DATE(A9579,B9579,C9579)</f>
        <v>45193</v>
      </c>
      <c r="E9579" s="275">
        <f t="shared" ref="E9579:E9580" si="1177">DATE(A9579,B9579,C9579)</f>
        <v>45193</v>
      </c>
      <c r="F9579" s="481"/>
      <c r="G9579" s="174" t="s">
        <v>74</v>
      </c>
      <c r="H9579" s="148" t="str" cm="1">
        <f t="array" ref="H9579">IFERROR(INDEX(INVESTOR_LIST[INVESTOR NAME],MATCH(I9579,INVESTOR_LIST[INVESTOR CODE],0),)," ")</f>
        <v>MRIDUL KUMAR DEY</v>
      </c>
      <c r="I9579" s="148" t="s">
        <v>388</v>
      </c>
      <c r="J9579" s="133" t="s">
        <v>53</v>
      </c>
      <c r="K9579" s="218">
        <v>32291.649999999994</v>
      </c>
      <c r="L9579" s="133"/>
    </row>
    <row r="9580" spans="1:13" ht="10.15" customHeight="1" x14ac:dyDescent="0.2">
      <c r="A9580" s="163">
        <v>2023</v>
      </c>
      <c r="B9580" s="163">
        <v>9</v>
      </c>
      <c r="C9580" s="163">
        <v>24</v>
      </c>
      <c r="D9580" s="280">
        <f t="shared" si="1176"/>
        <v>45193</v>
      </c>
      <c r="E9580" s="281">
        <f t="shared" si="1177"/>
        <v>45193</v>
      </c>
      <c r="F9580" s="480"/>
      <c r="G9580" s="221" t="s">
        <v>74</v>
      </c>
      <c r="H9580" s="145" t="str" cm="1">
        <f t="array" ref="H9580">IFERROR(INDEX(INVESTOR_LIST[INVESTOR NAME],MATCH(I9580,INVESTOR_LIST[INVESTOR CODE],0),)," ")</f>
        <v>MRIDUL KUMAR DEY</v>
      </c>
      <c r="I9580" s="145" t="s">
        <v>388</v>
      </c>
      <c r="J9580" s="163" t="s">
        <v>52</v>
      </c>
      <c r="K9580" s="219"/>
      <c r="L9580" s="219">
        <v>161561.65</v>
      </c>
    </row>
    <row r="9581" spans="1:13" ht="10.15" customHeight="1" x14ac:dyDescent="0.2">
      <c r="A9581" s="168">
        <v>2023</v>
      </c>
      <c r="B9581" s="168">
        <v>9</v>
      </c>
      <c r="C9581" s="168">
        <v>24</v>
      </c>
      <c r="D9581" s="141">
        <f>DATE(A9581,B9581,C9581)</f>
        <v>45193</v>
      </c>
      <c r="E9581" s="275">
        <f>DATE(A9581,B9581,C9581)</f>
        <v>45193</v>
      </c>
      <c r="F9581" s="479" t="s">
        <v>1310</v>
      </c>
      <c r="G9581" s="220" t="s">
        <v>74</v>
      </c>
      <c r="H9581" s="142" t="str" cm="1">
        <f t="array" ref="H9581">IFERROR(INDEX(INVESTOR_LIST[INVESTOR NAME],MATCH(I9581,INVESTOR_LIST[INVESTOR CODE],0),)," ")</f>
        <v>MONIR AHMED</v>
      </c>
      <c r="I9581" s="142" t="s">
        <v>407</v>
      </c>
      <c r="J9581" s="168" t="s">
        <v>13</v>
      </c>
      <c r="K9581" s="218">
        <v>106180</v>
      </c>
      <c r="L9581" s="226"/>
    </row>
    <row r="9582" spans="1:13" ht="10.15" customHeight="1" x14ac:dyDescent="0.2">
      <c r="A9582" s="133">
        <v>2023</v>
      </c>
      <c r="B9582" s="133">
        <v>9</v>
      </c>
      <c r="C9582" s="133">
        <v>24</v>
      </c>
      <c r="D9582" s="141">
        <f t="shared" ref="D9582:D9587" si="1178">DATE(A9582,B9582,C9582)</f>
        <v>45193</v>
      </c>
      <c r="E9582" s="275">
        <f t="shared" ref="E9582:E9587" si="1179">DATE(A9582,B9582,C9582)</f>
        <v>45193</v>
      </c>
      <c r="F9582" s="481"/>
      <c r="G9582" s="174" t="s">
        <v>74</v>
      </c>
      <c r="H9582" s="148" t="str" cm="1">
        <f t="array" ref="H9582">IFERROR(INDEX(INVESTOR_LIST[INVESTOR NAME],MATCH(I9582,INVESTOR_LIST[INVESTOR CODE],0),)," ")</f>
        <v>MONIR AHMED</v>
      </c>
      <c r="I9582" s="148" t="s">
        <v>407</v>
      </c>
      <c r="J9582" s="133" t="s">
        <v>53</v>
      </c>
      <c r="K9582" s="218">
        <v>26523.760000000009</v>
      </c>
      <c r="L9582" s="133"/>
    </row>
    <row r="9583" spans="1:13" ht="10.15" customHeight="1" x14ac:dyDescent="0.2">
      <c r="A9583" s="163">
        <v>2023</v>
      </c>
      <c r="B9583" s="163">
        <v>9</v>
      </c>
      <c r="C9583" s="163">
        <v>24</v>
      </c>
      <c r="D9583" s="280">
        <f t="shared" si="1178"/>
        <v>45193</v>
      </c>
      <c r="E9583" s="281">
        <f t="shared" si="1179"/>
        <v>45193</v>
      </c>
      <c r="F9583" s="480"/>
      <c r="G9583" s="221" t="s">
        <v>74</v>
      </c>
      <c r="H9583" s="145" t="str" cm="1">
        <f t="array" ref="H9583">IFERROR(INDEX(INVESTOR_LIST[INVESTOR NAME],MATCH(I9583,INVESTOR_LIST[INVESTOR CODE],0),)," ")</f>
        <v>MONIR AHMED</v>
      </c>
      <c r="I9583" s="145" t="s">
        <v>407</v>
      </c>
      <c r="J9583" s="163" t="s">
        <v>52</v>
      </c>
      <c r="K9583" s="219"/>
      <c r="L9583" s="219">
        <v>132703.76</v>
      </c>
    </row>
    <row r="9584" spans="1:13" x14ac:dyDescent="0.2">
      <c r="A9584" s="133">
        <v>2023</v>
      </c>
      <c r="B9584" s="133">
        <v>9</v>
      </c>
      <c r="C9584" s="133">
        <v>25</v>
      </c>
      <c r="D9584" s="141">
        <f t="shared" si="1178"/>
        <v>45194</v>
      </c>
      <c r="E9584" s="275">
        <f t="shared" si="1179"/>
        <v>45194</v>
      </c>
      <c r="F9584" s="481" t="s">
        <v>1753</v>
      </c>
      <c r="G9584" s="174" t="s">
        <v>94</v>
      </c>
      <c r="H9584" s="174" t="str" cm="1">
        <f t="array" ref="H9584">IFERROR(INDEX(INVESTOR_LIST[INVESTOR NAME],MATCH(I9584,INVESTOR_LIST[INVESTOR CODE],0),)," ")</f>
        <v xml:space="preserve"> </v>
      </c>
      <c r="J9584" s="149" t="s">
        <v>190</v>
      </c>
      <c r="K9584" s="218">
        <v>272378.83</v>
      </c>
      <c r="L9584" s="218"/>
      <c r="M9584" s="160"/>
    </row>
    <row r="9585" spans="1:13" x14ac:dyDescent="0.2">
      <c r="A9585" s="133">
        <v>2023</v>
      </c>
      <c r="B9585" s="133">
        <v>9</v>
      </c>
      <c r="C9585" s="133">
        <v>25</v>
      </c>
      <c r="D9585" s="141">
        <f t="shared" si="1178"/>
        <v>45194</v>
      </c>
      <c r="E9585" s="275">
        <f t="shared" si="1179"/>
        <v>45194</v>
      </c>
      <c r="F9585" s="481"/>
      <c r="G9585" s="174" t="s">
        <v>94</v>
      </c>
      <c r="H9585" s="174"/>
      <c r="J9585" s="149" t="s">
        <v>80</v>
      </c>
      <c r="K9585" s="218">
        <v>491.17</v>
      </c>
      <c r="L9585" s="218"/>
    </row>
    <row r="9586" spans="1:13" x14ac:dyDescent="0.2">
      <c r="A9586" s="133">
        <v>2023</v>
      </c>
      <c r="B9586" s="133">
        <v>9</v>
      </c>
      <c r="C9586" s="133">
        <v>25</v>
      </c>
      <c r="D9586" s="141">
        <f t="shared" si="1178"/>
        <v>45194</v>
      </c>
      <c r="E9586" s="275">
        <f t="shared" si="1179"/>
        <v>45194</v>
      </c>
      <c r="F9586" s="481"/>
      <c r="G9586" s="174" t="s">
        <v>94</v>
      </c>
      <c r="H9586" s="174" t="str" cm="1">
        <f t="array" ref="H9586">IFERROR(INDEX(INVESTOR_LIST[INVESTOR NAME],MATCH(I9586,INVESTOR_LIST[INVESTOR CODE],0),)," ")</f>
        <v xml:space="preserve"> </v>
      </c>
      <c r="J9586" s="149" t="s">
        <v>191</v>
      </c>
      <c r="K9586" s="218">
        <v>21650.59</v>
      </c>
      <c r="L9586" s="218"/>
    </row>
    <row r="9587" spans="1:13" x14ac:dyDescent="0.2">
      <c r="A9587" s="163">
        <v>2023</v>
      </c>
      <c r="B9587" s="163">
        <v>9</v>
      </c>
      <c r="C9587" s="163">
        <v>25</v>
      </c>
      <c r="D9587" s="280">
        <f t="shared" si="1178"/>
        <v>45194</v>
      </c>
      <c r="E9587" s="281">
        <f t="shared" si="1179"/>
        <v>45194</v>
      </c>
      <c r="F9587" s="480"/>
      <c r="G9587" s="221" t="s">
        <v>94</v>
      </c>
      <c r="H9587" s="145" t="str" cm="1">
        <f t="array" ref="H9587">IFERROR(INDEX(INVESTOR_LIST[INVESTOR NAME],MATCH(I9587,INVESTOR_LIST[INVESTOR CODE],0),)," ")</f>
        <v xml:space="preserve"> </v>
      </c>
      <c r="I9587" s="145"/>
      <c r="J9587" s="163" t="s">
        <v>79</v>
      </c>
      <c r="K9587" s="219"/>
      <c r="L9587" s="219">
        <v>294520.59000000003</v>
      </c>
    </row>
    <row r="9588" spans="1:13" ht="10.15" customHeight="1" x14ac:dyDescent="0.2">
      <c r="A9588" s="168">
        <v>2023</v>
      </c>
      <c r="B9588" s="168">
        <v>9</v>
      </c>
      <c r="C9588" s="168">
        <v>26</v>
      </c>
      <c r="D9588" s="141">
        <f>DATE(A9588,B9588,C9588)</f>
        <v>45195</v>
      </c>
      <c r="E9588" s="275">
        <f>DATE(A9588,B9588,C9588)</f>
        <v>45195</v>
      </c>
      <c r="F9588" s="479" t="s">
        <v>1310</v>
      </c>
      <c r="G9588" s="220" t="s">
        <v>74</v>
      </c>
      <c r="H9588" s="142" t="str" cm="1">
        <f t="array" ref="H9588">IFERROR(INDEX(INVESTOR_LIST[INVESTOR NAME],MATCH(I9588,INVESTOR_LIST[INVESTOR CODE],0),)," ")</f>
        <v>MD. ARIFUL ISLAM</v>
      </c>
      <c r="I9588" s="142" t="s">
        <v>455</v>
      </c>
      <c r="J9588" s="168" t="s">
        <v>13</v>
      </c>
      <c r="K9588" s="218">
        <v>240050</v>
      </c>
      <c r="L9588" s="226"/>
    </row>
    <row r="9589" spans="1:13" ht="10.15" customHeight="1" x14ac:dyDescent="0.2">
      <c r="A9589" s="133">
        <v>2023</v>
      </c>
      <c r="B9589" s="133">
        <v>9</v>
      </c>
      <c r="C9589" s="133">
        <v>26</v>
      </c>
      <c r="D9589" s="141">
        <f t="shared" ref="D9589:D9615" si="1180">DATE(A9589,B9589,C9589)</f>
        <v>45195</v>
      </c>
      <c r="E9589" s="275">
        <f t="shared" ref="E9589:E9615" si="1181">DATE(A9589,B9589,C9589)</f>
        <v>45195</v>
      </c>
      <c r="F9589" s="481"/>
      <c r="G9589" s="174" t="s">
        <v>74</v>
      </c>
      <c r="H9589" s="148" t="str" cm="1">
        <f t="array" ref="H9589">IFERROR(INDEX(INVESTOR_LIST[INVESTOR NAME],MATCH(I9589,INVESTOR_LIST[INVESTOR CODE],0),)," ")</f>
        <v>MD. ARIFUL ISLAM</v>
      </c>
      <c r="I9589" s="148" t="s">
        <v>455</v>
      </c>
      <c r="J9589" s="133" t="s">
        <v>53</v>
      </c>
      <c r="K9589" s="218">
        <v>59964.489999999991</v>
      </c>
      <c r="L9589" s="133"/>
    </row>
    <row r="9590" spans="1:13" ht="10.15" customHeight="1" x14ac:dyDescent="0.2">
      <c r="A9590" s="163">
        <v>2023</v>
      </c>
      <c r="B9590" s="163">
        <v>9</v>
      </c>
      <c r="C9590" s="163">
        <v>26</v>
      </c>
      <c r="D9590" s="280">
        <f t="shared" si="1180"/>
        <v>45195</v>
      </c>
      <c r="E9590" s="281">
        <f t="shared" si="1181"/>
        <v>45195</v>
      </c>
      <c r="F9590" s="480"/>
      <c r="G9590" s="221" t="s">
        <v>74</v>
      </c>
      <c r="H9590" s="145" t="str" cm="1">
        <f t="array" ref="H9590">IFERROR(INDEX(INVESTOR_LIST[INVESTOR NAME],MATCH(I9590,INVESTOR_LIST[INVESTOR CODE],0),)," ")</f>
        <v>MD. ARIFUL ISLAM</v>
      </c>
      <c r="I9590" s="145" t="s">
        <v>455</v>
      </c>
      <c r="J9590" s="163" t="s">
        <v>52</v>
      </c>
      <c r="K9590" s="219"/>
      <c r="L9590" s="219">
        <v>300014.49</v>
      </c>
    </row>
    <row r="9591" spans="1:13" x14ac:dyDescent="0.2">
      <c r="A9591" s="168">
        <v>2023</v>
      </c>
      <c r="B9591" s="168">
        <v>9</v>
      </c>
      <c r="C9591" s="168">
        <v>26</v>
      </c>
      <c r="D9591" s="141">
        <f t="shared" si="1180"/>
        <v>45195</v>
      </c>
      <c r="E9591" s="275">
        <f t="shared" si="1181"/>
        <v>45195</v>
      </c>
      <c r="F9591" s="479" t="s">
        <v>907</v>
      </c>
      <c r="G9591" s="220" t="s">
        <v>74</v>
      </c>
      <c r="H9591" s="220" t="str" cm="1">
        <f t="array" ref="H9591">IFERROR(INDEX(INVESTOR_LIST[INVESTOR NAME],MATCH(I9591,INVESTOR_LIST[INVESTOR CODE],0),)," ")</f>
        <v xml:space="preserve"> </v>
      </c>
      <c r="I9591" s="142" t="s">
        <v>348</v>
      </c>
      <c r="J9591" s="143" t="s">
        <v>104</v>
      </c>
      <c r="K9591" s="226">
        <v>26000</v>
      </c>
      <c r="L9591" s="226"/>
    </row>
    <row r="9592" spans="1:13" x14ac:dyDescent="0.2">
      <c r="A9592" s="163">
        <v>2023</v>
      </c>
      <c r="B9592" s="163">
        <v>9</v>
      </c>
      <c r="C9592" s="163">
        <v>26</v>
      </c>
      <c r="D9592" s="280">
        <f t="shared" si="1180"/>
        <v>45195</v>
      </c>
      <c r="E9592" s="281">
        <f t="shared" si="1181"/>
        <v>45195</v>
      </c>
      <c r="F9592" s="480"/>
      <c r="G9592" s="221" t="s">
        <v>74</v>
      </c>
      <c r="H9592" s="221" t="str" cm="1">
        <f t="array" ref="H9592">IFERROR(INDEX(INVESTOR_LIST[INVESTOR NAME],MATCH(I9592,INVESTOR_LIST[INVESTOR CODE],0),)," ")</f>
        <v xml:space="preserve"> </v>
      </c>
      <c r="I9592" s="145" t="s">
        <v>348</v>
      </c>
      <c r="J9592" s="146" t="s">
        <v>52</v>
      </c>
      <c r="K9592" s="219"/>
      <c r="L9592" s="219">
        <v>26000</v>
      </c>
    </row>
    <row r="9593" spans="1:13" ht="10.15" customHeight="1" x14ac:dyDescent="0.2">
      <c r="A9593" s="168">
        <v>2023</v>
      </c>
      <c r="B9593" s="168">
        <v>9</v>
      </c>
      <c r="C9593" s="168">
        <v>27</v>
      </c>
      <c r="D9593" s="141">
        <f t="shared" si="1180"/>
        <v>45196</v>
      </c>
      <c r="E9593" s="275">
        <f t="shared" si="1181"/>
        <v>45196</v>
      </c>
      <c r="F9593" s="479" t="s">
        <v>1319</v>
      </c>
      <c r="G9593" s="220" t="s">
        <v>74</v>
      </c>
      <c r="H9593" s="142" t="str" cm="1">
        <f t="array" ref="H9593">IFERROR(INDEX(INVESTOR_LIST[INVESTOR NAME],MATCH(I9593,INVESTOR_LIST[INVESTOR CODE],0),)," ")</f>
        <v xml:space="preserve"> </v>
      </c>
      <c r="I9593" s="142"/>
      <c r="J9593" s="168" t="s">
        <v>52</v>
      </c>
      <c r="K9593" s="226">
        <v>343000</v>
      </c>
      <c r="L9593" s="226"/>
    </row>
    <row r="9594" spans="1:13" ht="10.15" customHeight="1" x14ac:dyDescent="0.2">
      <c r="A9594" s="133">
        <v>2023</v>
      </c>
      <c r="B9594" s="133">
        <v>9</v>
      </c>
      <c r="C9594" s="133">
        <v>27</v>
      </c>
      <c r="D9594" s="141">
        <f t="shared" si="1180"/>
        <v>45196</v>
      </c>
      <c r="E9594" s="275">
        <f t="shared" si="1181"/>
        <v>45196</v>
      </c>
      <c r="F9594" s="481"/>
      <c r="G9594" s="174" t="s">
        <v>74</v>
      </c>
      <c r="H9594" s="148" t="str" cm="1">
        <f t="array" ref="H9594">IFERROR(INDEX(INVESTOR_LIST[INVESTOR NAME],MATCH(I9594,INVESTOR_LIST[INVESTOR CODE],0),)," ")</f>
        <v xml:space="preserve"> </v>
      </c>
      <c r="J9594" s="133" t="s">
        <v>13</v>
      </c>
      <c r="K9594" s="218"/>
      <c r="L9594" s="218">
        <v>274410</v>
      </c>
    </row>
    <row r="9595" spans="1:13" ht="10.15" customHeight="1" x14ac:dyDescent="0.2">
      <c r="A9595" s="163">
        <v>2023</v>
      </c>
      <c r="B9595" s="163">
        <v>9</v>
      </c>
      <c r="C9595" s="163">
        <v>27</v>
      </c>
      <c r="D9595" s="280">
        <f t="shared" si="1180"/>
        <v>45196</v>
      </c>
      <c r="E9595" s="281">
        <f t="shared" si="1181"/>
        <v>45196</v>
      </c>
      <c r="F9595" s="480"/>
      <c r="G9595" s="221" t="s">
        <v>74</v>
      </c>
      <c r="H9595" s="145" t="str" cm="1">
        <f t="array" ref="H9595">IFERROR(INDEX(INVESTOR_LIST[INVESTOR NAME],MATCH(I9595,INVESTOR_LIST[INVESTOR CODE],0),)," ")</f>
        <v xml:space="preserve"> </v>
      </c>
      <c r="I9595" s="145"/>
      <c r="J9595" s="163" t="s">
        <v>53</v>
      </c>
      <c r="K9595" s="219"/>
      <c r="L9595" s="219">
        <v>68590</v>
      </c>
    </row>
    <row r="9596" spans="1:13" x14ac:dyDescent="0.2">
      <c r="A9596" s="133">
        <v>2023</v>
      </c>
      <c r="B9596" s="133">
        <v>9</v>
      </c>
      <c r="C9596" s="133">
        <v>27</v>
      </c>
      <c r="D9596" s="141">
        <f t="shared" si="1180"/>
        <v>45196</v>
      </c>
      <c r="E9596" s="275">
        <f t="shared" si="1181"/>
        <v>45196</v>
      </c>
      <c r="F9596" s="481" t="s">
        <v>1753</v>
      </c>
      <c r="G9596" s="174" t="s">
        <v>94</v>
      </c>
      <c r="H9596" s="174" t="str" cm="1">
        <f t="array" ref="H9596">IFERROR(INDEX(INVESTOR_LIST[INVESTOR NAME],MATCH(I9596,INVESTOR_LIST[INVESTOR CODE],0),)," ")</f>
        <v xml:space="preserve"> </v>
      </c>
      <c r="J9596" s="149" t="s">
        <v>190</v>
      </c>
      <c r="K9596" s="218">
        <v>2371266.7400000002</v>
      </c>
      <c r="L9596" s="218"/>
      <c r="M9596" s="160"/>
    </row>
    <row r="9597" spans="1:13" x14ac:dyDescent="0.2">
      <c r="A9597" s="133">
        <v>2023</v>
      </c>
      <c r="B9597" s="133">
        <v>9</v>
      </c>
      <c r="C9597" s="133">
        <v>27</v>
      </c>
      <c r="D9597" s="141">
        <f t="shared" si="1180"/>
        <v>45196</v>
      </c>
      <c r="E9597" s="275">
        <f t="shared" si="1181"/>
        <v>45196</v>
      </c>
      <c r="F9597" s="481"/>
      <c r="G9597" s="174" t="s">
        <v>94</v>
      </c>
      <c r="H9597" s="174"/>
      <c r="J9597" s="149" t="s">
        <v>80</v>
      </c>
      <c r="K9597" s="218">
        <v>4275.96</v>
      </c>
      <c r="L9597" s="218"/>
    </row>
    <row r="9598" spans="1:13" x14ac:dyDescent="0.2">
      <c r="A9598" s="133">
        <v>2023</v>
      </c>
      <c r="B9598" s="133">
        <v>9</v>
      </c>
      <c r="C9598" s="133">
        <v>27</v>
      </c>
      <c r="D9598" s="141">
        <f t="shared" si="1180"/>
        <v>45196</v>
      </c>
      <c r="E9598" s="275">
        <f t="shared" si="1181"/>
        <v>45196</v>
      </c>
      <c r="F9598" s="481"/>
      <c r="G9598" s="174" t="s">
        <v>94</v>
      </c>
      <c r="H9598" s="174" t="str" cm="1">
        <f t="array" ref="H9598">IFERROR(INDEX(INVESTOR_LIST[INVESTOR NAME],MATCH(I9598,INVESTOR_LIST[INVESTOR CODE],0),)," ")</f>
        <v xml:space="preserve"> </v>
      </c>
      <c r="J9598" s="149" t="s">
        <v>191</v>
      </c>
      <c r="K9598" s="218">
        <v>131230.39999999999</v>
      </c>
      <c r="L9598" s="218"/>
    </row>
    <row r="9599" spans="1:13" x14ac:dyDescent="0.2">
      <c r="A9599" s="163">
        <v>2023</v>
      </c>
      <c r="B9599" s="163">
        <v>9</v>
      </c>
      <c r="C9599" s="163">
        <v>27</v>
      </c>
      <c r="D9599" s="280">
        <f t="shared" si="1180"/>
        <v>45196</v>
      </c>
      <c r="E9599" s="281">
        <f t="shared" si="1181"/>
        <v>45196</v>
      </c>
      <c r="F9599" s="480"/>
      <c r="G9599" s="221" t="s">
        <v>94</v>
      </c>
      <c r="H9599" s="145" t="str" cm="1">
        <f t="array" ref="H9599">IFERROR(INDEX(INVESTOR_LIST[INVESTOR NAME],MATCH(I9599,INVESTOR_LIST[INVESTOR CODE],0),)," ")</f>
        <v xml:space="preserve"> </v>
      </c>
      <c r="I9599" s="145"/>
      <c r="J9599" s="163" t="s">
        <v>79</v>
      </c>
      <c r="K9599" s="219"/>
      <c r="L9599" s="219">
        <v>2506773.1</v>
      </c>
    </row>
    <row r="9600" spans="1:13" x14ac:dyDescent="0.2">
      <c r="A9600" s="324">
        <v>2023</v>
      </c>
      <c r="B9600" s="324">
        <v>9</v>
      </c>
      <c r="C9600" s="325">
        <v>27</v>
      </c>
      <c r="D9600" s="326">
        <f t="shared" si="1180"/>
        <v>45196</v>
      </c>
      <c r="E9600" s="327">
        <f t="shared" si="1181"/>
        <v>45196</v>
      </c>
      <c r="F9600" s="473" t="s">
        <v>1490</v>
      </c>
      <c r="G9600" s="328" t="s">
        <v>94</v>
      </c>
      <c r="H9600" s="329" t="str" cm="1">
        <f t="array" ref="H9600">IFERROR(INDEX(INVESTOR_LIST[INVESTOR NAME],MATCH(I9600,INVESTOR_LIST[INVESTOR CODE],0),)," ")</f>
        <v xml:space="preserve"> </v>
      </c>
      <c r="I9600" s="329" t="s">
        <v>348</v>
      </c>
      <c r="J9600" s="325" t="s">
        <v>133</v>
      </c>
      <c r="K9600" s="330">
        <v>16189.16</v>
      </c>
      <c r="L9600" s="330"/>
      <c r="M9600" s="160"/>
    </row>
    <row r="9601" spans="1:14" x14ac:dyDescent="0.2">
      <c r="A9601" s="331">
        <v>2023</v>
      </c>
      <c r="B9601" s="331">
        <v>9</v>
      </c>
      <c r="C9601" s="331">
        <v>27</v>
      </c>
      <c r="D9601" s="326">
        <f t="shared" si="1180"/>
        <v>45196</v>
      </c>
      <c r="E9601" s="327">
        <f t="shared" si="1181"/>
        <v>45196</v>
      </c>
      <c r="F9601" s="474"/>
      <c r="G9601" s="332" t="s">
        <v>94</v>
      </c>
      <c r="H9601" s="333" t="str" cm="1">
        <f t="array" ref="H9601">IFERROR(INDEX(INVESTOR_LIST[INVESTOR NAME],MATCH(I9601,INVESTOR_LIST[INVESTOR CODE],0),)," ")</f>
        <v xml:space="preserve"> </v>
      </c>
      <c r="I9601" s="333" t="s">
        <v>348</v>
      </c>
      <c r="J9601" s="331" t="s">
        <v>152</v>
      </c>
      <c r="K9601" s="334"/>
      <c r="L9601" s="334">
        <v>16189.16</v>
      </c>
      <c r="M9601" s="160"/>
      <c r="N9601" s="160"/>
    </row>
    <row r="9602" spans="1:14" x14ac:dyDescent="0.2">
      <c r="A9602" s="324">
        <v>2023</v>
      </c>
      <c r="B9602" s="324">
        <v>9</v>
      </c>
      <c r="C9602" s="325">
        <v>27</v>
      </c>
      <c r="D9602" s="326">
        <f t="shared" si="1180"/>
        <v>45196</v>
      </c>
      <c r="E9602" s="327">
        <f t="shared" si="1181"/>
        <v>45196</v>
      </c>
      <c r="F9602" s="473" t="s">
        <v>1491</v>
      </c>
      <c r="G9602" s="328" t="s">
        <v>94</v>
      </c>
      <c r="H9602" s="329" t="str" cm="1">
        <f t="array" ref="H9602">IFERROR(INDEX(INVESTOR_LIST[INVESTOR NAME],MATCH(I9602,INVESTOR_LIST[INVESTOR CODE],0),)," ")</f>
        <v xml:space="preserve"> </v>
      </c>
      <c r="I9602" s="329" t="s">
        <v>348</v>
      </c>
      <c r="J9602" s="324" t="s">
        <v>133</v>
      </c>
      <c r="K9602" s="330">
        <v>4903.8500000000004</v>
      </c>
      <c r="L9602" s="330"/>
      <c r="M9602" s="160"/>
      <c r="N9602" s="160"/>
    </row>
    <row r="9603" spans="1:14" x14ac:dyDescent="0.2">
      <c r="A9603" s="331">
        <v>2023</v>
      </c>
      <c r="B9603" s="331">
        <v>9</v>
      </c>
      <c r="C9603" s="331">
        <v>27</v>
      </c>
      <c r="D9603" s="326">
        <f t="shared" si="1180"/>
        <v>45196</v>
      </c>
      <c r="E9603" s="327">
        <f t="shared" si="1181"/>
        <v>45196</v>
      </c>
      <c r="F9603" s="474"/>
      <c r="G9603" s="332" t="s">
        <v>94</v>
      </c>
      <c r="H9603" s="333" t="str" cm="1">
        <f t="array" ref="H9603">IFERROR(INDEX(INVESTOR_LIST[INVESTOR NAME],MATCH(I9603,INVESTOR_LIST[INVESTOR CODE],0),)," ")</f>
        <v xml:space="preserve"> </v>
      </c>
      <c r="I9603" s="333" t="s">
        <v>348</v>
      </c>
      <c r="J9603" s="331" t="s">
        <v>152</v>
      </c>
      <c r="K9603" s="334"/>
      <c r="L9603" s="334">
        <v>4903.8500000000004</v>
      </c>
      <c r="M9603" s="160"/>
    </row>
    <row r="9604" spans="1:14" x14ac:dyDescent="0.2">
      <c r="A9604" s="324">
        <v>2023</v>
      </c>
      <c r="B9604" s="324">
        <v>9</v>
      </c>
      <c r="C9604" s="325">
        <v>27</v>
      </c>
      <c r="D9604" s="326">
        <f t="shared" si="1180"/>
        <v>45196</v>
      </c>
      <c r="E9604" s="327">
        <f t="shared" si="1181"/>
        <v>45196</v>
      </c>
      <c r="F9604" s="473" t="s">
        <v>1531</v>
      </c>
      <c r="G9604" s="328" t="s">
        <v>94</v>
      </c>
      <c r="H9604" s="329" t="str" cm="1">
        <f t="array" ref="H9604">IFERROR(INDEX(INVESTOR_LIST[INVESTOR NAME],MATCH(I9604,INVESTOR_LIST[INVESTOR CODE],0),)," ")</f>
        <v xml:space="preserve"> </v>
      </c>
      <c r="I9604" s="329" t="s">
        <v>348</v>
      </c>
      <c r="J9604" s="324" t="s">
        <v>133</v>
      </c>
      <c r="K9604" s="330">
        <v>23333.33</v>
      </c>
      <c r="L9604" s="330"/>
      <c r="M9604" s="160"/>
    </row>
    <row r="9605" spans="1:14" x14ac:dyDescent="0.2">
      <c r="A9605" s="331">
        <v>2023</v>
      </c>
      <c r="B9605" s="331">
        <v>9</v>
      </c>
      <c r="C9605" s="331">
        <v>27</v>
      </c>
      <c r="D9605" s="326">
        <f t="shared" si="1180"/>
        <v>45196</v>
      </c>
      <c r="E9605" s="327">
        <f t="shared" si="1181"/>
        <v>45196</v>
      </c>
      <c r="F9605" s="474"/>
      <c r="G9605" s="332" t="s">
        <v>94</v>
      </c>
      <c r="H9605" s="333" t="str" cm="1">
        <f t="array" ref="H9605">IFERROR(INDEX(INVESTOR_LIST[INVESTOR NAME],MATCH(I9605,INVESTOR_LIST[INVESTOR CODE],0),)," ")</f>
        <v xml:space="preserve"> </v>
      </c>
      <c r="I9605" s="333" t="s">
        <v>348</v>
      </c>
      <c r="J9605" s="331" t="s">
        <v>152</v>
      </c>
      <c r="K9605" s="334"/>
      <c r="L9605" s="334">
        <v>23333.33</v>
      </c>
      <c r="M9605" s="160"/>
    </row>
    <row r="9606" spans="1:14" x14ac:dyDescent="0.2">
      <c r="A9606" s="238">
        <v>2023</v>
      </c>
      <c r="B9606" s="238">
        <v>9</v>
      </c>
      <c r="C9606" s="238">
        <v>27</v>
      </c>
      <c r="D9606" s="270">
        <f t="shared" si="1180"/>
        <v>45196</v>
      </c>
      <c r="E9606" s="279">
        <f t="shared" si="1181"/>
        <v>45196</v>
      </c>
      <c r="F9606" s="477" t="s">
        <v>347</v>
      </c>
      <c r="G9606" s="239" t="s">
        <v>94</v>
      </c>
      <c r="H9606" s="239" t="str" cm="1">
        <f t="array" ref="H9606">IFERROR(INDEX(INVESTOR_LIST[INVESTOR NAME],MATCH(I9606,INVESTOR_LIST[INVESTOR CODE],0),)," ")</f>
        <v xml:space="preserve"> </v>
      </c>
      <c r="I9606" s="262" t="s">
        <v>348</v>
      </c>
      <c r="J9606" s="240" t="s">
        <v>82</v>
      </c>
      <c r="K9606" s="241">
        <v>233666.61999998987</v>
      </c>
      <c r="L9606" s="241"/>
    </row>
    <row r="9607" spans="1:14" x14ac:dyDescent="0.2">
      <c r="A9607" s="242">
        <v>2023</v>
      </c>
      <c r="B9607" s="242">
        <v>9</v>
      </c>
      <c r="C9607" s="242">
        <v>27</v>
      </c>
      <c r="D9607" s="270">
        <f t="shared" si="1180"/>
        <v>45196</v>
      </c>
      <c r="E9607" s="279">
        <f t="shared" si="1181"/>
        <v>45196</v>
      </c>
      <c r="F9607" s="478"/>
      <c r="G9607" s="243" t="s">
        <v>94</v>
      </c>
      <c r="H9607" s="243" t="str" cm="1">
        <f t="array" ref="H9607">IFERROR(INDEX(INVESTOR_LIST[INVESTOR NAME],MATCH(I9607,INVESTOR_LIST[INVESTOR CODE],0),)," ")</f>
        <v xml:space="preserve"> </v>
      </c>
      <c r="I9607" s="263" t="s">
        <v>348</v>
      </c>
      <c r="J9607" s="244" t="s">
        <v>108</v>
      </c>
      <c r="K9607" s="245"/>
      <c r="L9607" s="245">
        <v>233666.61999998987</v>
      </c>
    </row>
    <row r="9608" spans="1:14" ht="22.5" x14ac:dyDescent="0.2">
      <c r="A9608" s="246">
        <v>2023</v>
      </c>
      <c r="B9608" s="238">
        <v>9</v>
      </c>
      <c r="C9608" s="238">
        <v>27</v>
      </c>
      <c r="D9608" s="270">
        <f t="shared" si="1180"/>
        <v>45196</v>
      </c>
      <c r="E9608" s="279">
        <f t="shared" si="1181"/>
        <v>45196</v>
      </c>
      <c r="F9608" s="482" t="s">
        <v>148</v>
      </c>
      <c r="G9608" s="247" t="s">
        <v>94</v>
      </c>
      <c r="H9608" s="247" t="str" cm="1">
        <f t="array" ref="H9608">IFERROR(INDEX(INVESTOR_LIST[INVESTOR NAME],MATCH(I9608,INVESTOR_LIST[INVESTOR CODE],0),)," ")</f>
        <v xml:space="preserve"> </v>
      </c>
      <c r="I9608" s="248" t="s">
        <v>348</v>
      </c>
      <c r="J9608" s="249" t="s">
        <v>95</v>
      </c>
      <c r="K9608" s="250">
        <v>2747.2527472527472</v>
      </c>
      <c r="L9608" s="241"/>
    </row>
    <row r="9609" spans="1:14" x14ac:dyDescent="0.2">
      <c r="A9609" s="242">
        <v>2023</v>
      </c>
      <c r="B9609" s="242">
        <v>9</v>
      </c>
      <c r="C9609" s="242">
        <v>27</v>
      </c>
      <c r="D9609" s="270">
        <f t="shared" si="1180"/>
        <v>45196</v>
      </c>
      <c r="E9609" s="279">
        <f t="shared" si="1181"/>
        <v>45196</v>
      </c>
      <c r="F9609" s="478"/>
      <c r="G9609" s="243" t="s">
        <v>94</v>
      </c>
      <c r="H9609" s="243" t="str" cm="1">
        <f t="array" ref="H9609">IFERROR(INDEX(INVESTOR_LIST[INVESTOR NAME],MATCH(I9609,INVESTOR_LIST[INVESTOR CODE],0),)," ")</f>
        <v xml:space="preserve"> </v>
      </c>
      <c r="I9609" s="263" t="s">
        <v>348</v>
      </c>
      <c r="J9609" s="244" t="s">
        <v>63</v>
      </c>
      <c r="K9609" s="245"/>
      <c r="L9609" s="245">
        <v>2747.2527472527472</v>
      </c>
    </row>
    <row r="9610" spans="1:14" x14ac:dyDescent="0.2">
      <c r="A9610" s="246">
        <v>2023</v>
      </c>
      <c r="B9610" s="238">
        <v>9</v>
      </c>
      <c r="C9610" s="238">
        <v>27</v>
      </c>
      <c r="D9610" s="270">
        <f t="shared" si="1180"/>
        <v>45196</v>
      </c>
      <c r="E9610" s="279">
        <f t="shared" si="1181"/>
        <v>45196</v>
      </c>
      <c r="F9610" s="482" t="s">
        <v>137</v>
      </c>
      <c r="G9610" s="247" t="s">
        <v>94</v>
      </c>
      <c r="H9610" s="247" t="str" cm="1">
        <f t="array" ref="H9610">IFERROR(INDEX(INVESTOR_LIST[INVESTOR NAME],MATCH(I9610,INVESTOR_LIST[INVESTOR CODE],0),)," ")</f>
        <v xml:space="preserve"> </v>
      </c>
      <c r="I9610" s="248" t="s">
        <v>348</v>
      </c>
      <c r="J9610" s="249" t="s">
        <v>97</v>
      </c>
      <c r="K9610" s="250">
        <v>63462.665173307338</v>
      </c>
      <c r="L9610" s="252"/>
    </row>
    <row r="9611" spans="1:14" x14ac:dyDescent="0.2">
      <c r="A9611" s="242">
        <v>2023</v>
      </c>
      <c r="B9611" s="242">
        <v>9</v>
      </c>
      <c r="C9611" s="242">
        <v>27</v>
      </c>
      <c r="D9611" s="270">
        <f t="shared" si="1180"/>
        <v>45196</v>
      </c>
      <c r="E9611" s="279">
        <f t="shared" si="1181"/>
        <v>45196</v>
      </c>
      <c r="F9611" s="478"/>
      <c r="G9611" s="243" t="s">
        <v>94</v>
      </c>
      <c r="H9611" s="243" t="str" cm="1">
        <f t="array" ref="H9611">IFERROR(INDEX(INVESTOR_LIST[INVESTOR NAME],MATCH(I9611,INVESTOR_LIST[INVESTOR CODE],0),)," ")</f>
        <v xml:space="preserve"> </v>
      </c>
      <c r="I9611" s="263" t="s">
        <v>348</v>
      </c>
      <c r="J9611" s="244" t="s">
        <v>47</v>
      </c>
      <c r="K9611" s="245"/>
      <c r="L9611" s="245">
        <v>63462.665173307338</v>
      </c>
    </row>
    <row r="9612" spans="1:14" x14ac:dyDescent="0.2">
      <c r="A9612" s="246">
        <v>2023</v>
      </c>
      <c r="B9612" s="238">
        <v>9</v>
      </c>
      <c r="C9612" s="238">
        <v>27</v>
      </c>
      <c r="D9612" s="270">
        <f t="shared" si="1180"/>
        <v>45196</v>
      </c>
      <c r="E9612" s="279">
        <f t="shared" si="1181"/>
        <v>45196</v>
      </c>
      <c r="F9612" s="482" t="s">
        <v>138</v>
      </c>
      <c r="G9612" s="247" t="s">
        <v>94</v>
      </c>
      <c r="H9612" s="247" t="str" cm="1">
        <f t="array" ref="H9612">IFERROR(INDEX(INVESTOR_LIST[INVESTOR NAME],MATCH(I9612,INVESTOR_LIST[INVESTOR CODE],0),)," ")</f>
        <v xml:space="preserve"> </v>
      </c>
      <c r="I9612" s="248" t="s">
        <v>348</v>
      </c>
      <c r="J9612" s="249" t="s">
        <v>100</v>
      </c>
      <c r="K9612" s="250">
        <v>2932.7486432807514</v>
      </c>
      <c r="L9612" s="252"/>
    </row>
    <row r="9613" spans="1:14" ht="10.9" customHeight="1" x14ac:dyDescent="0.2">
      <c r="A9613" s="242">
        <v>2023</v>
      </c>
      <c r="B9613" s="242">
        <v>9</v>
      </c>
      <c r="C9613" s="242">
        <v>27</v>
      </c>
      <c r="D9613" s="321">
        <f t="shared" si="1180"/>
        <v>45196</v>
      </c>
      <c r="E9613" s="322">
        <f t="shared" si="1181"/>
        <v>45196</v>
      </c>
      <c r="F9613" s="478"/>
      <c r="G9613" s="243" t="s">
        <v>94</v>
      </c>
      <c r="H9613" s="243" t="str" cm="1">
        <f t="array" ref="H9613">IFERROR(INDEX(INVESTOR_LIST[INVESTOR NAME],MATCH(I9613,INVESTOR_LIST[INVESTOR CODE],0),)," ")</f>
        <v xml:space="preserve"> </v>
      </c>
      <c r="I9613" s="263" t="s">
        <v>348</v>
      </c>
      <c r="J9613" s="244" t="s">
        <v>48</v>
      </c>
      <c r="K9613" s="245"/>
      <c r="L9613" s="245">
        <v>2932.7486432807514</v>
      </c>
    </row>
    <row r="9614" spans="1:14" x14ac:dyDescent="0.2">
      <c r="A9614" s="168">
        <v>2023</v>
      </c>
      <c r="B9614" s="168">
        <v>10</v>
      </c>
      <c r="C9614" s="168">
        <v>3</v>
      </c>
      <c r="D9614" s="141">
        <f t="shared" si="1180"/>
        <v>45202</v>
      </c>
      <c r="E9614" s="275">
        <f t="shared" si="1181"/>
        <v>45202</v>
      </c>
      <c r="F9614" s="479" t="s">
        <v>1757</v>
      </c>
      <c r="G9614" s="220" t="s">
        <v>74</v>
      </c>
      <c r="H9614" s="220" t="str" cm="1">
        <f t="array" ref="H9614">IFERROR(INDEX(INVESTOR_LIST[INVESTOR NAME],MATCH(I9614,INVESTOR_LIST[INVESTOR CODE],0),)," ")</f>
        <v xml:space="preserve"> </v>
      </c>
      <c r="I9614" s="142"/>
      <c r="J9614" s="143" t="s">
        <v>52</v>
      </c>
      <c r="K9614" s="226">
        <v>2643645.5099999998</v>
      </c>
      <c r="L9614" s="226"/>
    </row>
    <row r="9615" spans="1:14" x14ac:dyDescent="0.2">
      <c r="A9615" s="163">
        <v>2023</v>
      </c>
      <c r="B9615" s="163">
        <v>10</v>
      </c>
      <c r="C9615" s="163">
        <v>3</v>
      </c>
      <c r="D9615" s="280">
        <f t="shared" si="1180"/>
        <v>45202</v>
      </c>
      <c r="E9615" s="281">
        <f t="shared" si="1181"/>
        <v>45202</v>
      </c>
      <c r="F9615" s="480"/>
      <c r="G9615" s="221" t="s">
        <v>74</v>
      </c>
      <c r="H9615" s="221" t="str" cm="1">
        <f t="array" ref="H9615">IFERROR(INDEX(INVESTOR_LIST[INVESTOR NAME],MATCH(I9615,INVESTOR_LIST[INVESTOR CODE],0),)," ")</f>
        <v xml:space="preserve"> </v>
      </c>
      <c r="I9615" s="145"/>
      <c r="J9615" s="146" t="s">
        <v>190</v>
      </c>
      <c r="K9615" s="219"/>
      <c r="L9615" s="219">
        <v>2643645.5099999998</v>
      </c>
    </row>
    <row r="9616" spans="1:14" ht="10.15" customHeight="1" x14ac:dyDescent="0.2">
      <c r="A9616" s="168">
        <v>2023</v>
      </c>
      <c r="B9616" s="168">
        <v>10</v>
      </c>
      <c r="C9616" s="168">
        <v>3</v>
      </c>
      <c r="D9616" s="141">
        <f>DATE(A9616,B9616,C9616)</f>
        <v>45202</v>
      </c>
      <c r="E9616" s="275">
        <f>DATE(A9616,B9616,C9616)</f>
        <v>45202</v>
      </c>
      <c r="F9616" s="479" t="s">
        <v>1310</v>
      </c>
      <c r="G9616" s="220" t="s">
        <v>74</v>
      </c>
      <c r="H9616" s="142" t="str" cm="1">
        <f t="array" ref="H9616">IFERROR(INDEX(INVESTOR_LIST[INVESTOR NAME],MATCH(I9616,INVESTOR_LIST[INVESTOR CODE],0),)," ")</f>
        <v>CHAONIKA SAHA</v>
      </c>
      <c r="I9616" s="142" t="s">
        <v>577</v>
      </c>
      <c r="J9616" s="168" t="s">
        <v>13</v>
      </c>
      <c r="K9616" s="218">
        <v>11450</v>
      </c>
      <c r="L9616" s="226"/>
    </row>
    <row r="9617" spans="1:14" ht="10.15" customHeight="1" x14ac:dyDescent="0.2">
      <c r="A9617" s="133">
        <v>2023</v>
      </c>
      <c r="B9617" s="133">
        <v>10</v>
      </c>
      <c r="C9617" s="133">
        <v>3</v>
      </c>
      <c r="D9617" s="141">
        <f t="shared" ref="D9617:D9620" si="1182">DATE(A9617,B9617,C9617)</f>
        <v>45202</v>
      </c>
      <c r="E9617" s="275">
        <f t="shared" ref="E9617:E9620" si="1183">DATE(A9617,B9617,C9617)</f>
        <v>45202</v>
      </c>
      <c r="F9617" s="481"/>
      <c r="G9617" s="174" t="s">
        <v>74</v>
      </c>
      <c r="H9617" s="148" t="str" cm="1">
        <f t="array" ref="H9617">IFERROR(INDEX(INVESTOR_LIST[INVESTOR NAME],MATCH(I9617,INVESTOR_LIST[INVESTOR CODE],0),)," ")</f>
        <v>CHAONIKA SAHA</v>
      </c>
      <c r="I9617" s="148" t="s">
        <v>577</v>
      </c>
      <c r="J9617" s="133" t="s">
        <v>53</v>
      </c>
      <c r="K9617" s="218">
        <v>2818.99</v>
      </c>
      <c r="L9617" s="133"/>
    </row>
    <row r="9618" spans="1:14" ht="10.15" customHeight="1" x14ac:dyDescent="0.2">
      <c r="A9618" s="163">
        <v>2023</v>
      </c>
      <c r="B9618" s="163">
        <v>10</v>
      </c>
      <c r="C9618" s="163">
        <v>3</v>
      </c>
      <c r="D9618" s="280">
        <f t="shared" si="1182"/>
        <v>45202</v>
      </c>
      <c r="E9618" s="281">
        <f t="shared" si="1183"/>
        <v>45202</v>
      </c>
      <c r="F9618" s="480"/>
      <c r="G9618" s="221" t="s">
        <v>74</v>
      </c>
      <c r="H9618" s="145" t="str" cm="1">
        <f t="array" ref="H9618">IFERROR(INDEX(INVESTOR_LIST[INVESTOR NAME],MATCH(I9618,INVESTOR_LIST[INVESTOR CODE],0),)," ")</f>
        <v>CHAONIKA SAHA</v>
      </c>
      <c r="I9618" s="145" t="s">
        <v>577</v>
      </c>
      <c r="J9618" s="163" t="s">
        <v>52</v>
      </c>
      <c r="K9618" s="219"/>
      <c r="L9618" s="219">
        <v>14268.99</v>
      </c>
    </row>
    <row r="9619" spans="1:14" ht="10.15" customHeight="1" x14ac:dyDescent="0.2">
      <c r="A9619" s="168">
        <v>2023</v>
      </c>
      <c r="B9619" s="168">
        <v>10</v>
      </c>
      <c r="C9619" s="168">
        <v>5</v>
      </c>
      <c r="D9619" s="141">
        <f t="shared" si="1182"/>
        <v>45204</v>
      </c>
      <c r="E9619" s="275">
        <f t="shared" si="1183"/>
        <v>45204</v>
      </c>
      <c r="F9619" s="479" t="s">
        <v>1796</v>
      </c>
      <c r="G9619" s="174" t="s">
        <v>74</v>
      </c>
      <c r="H9619" s="148" t="str" cm="1">
        <f t="array" ref="H9619">IFERROR(INDEX(INVESTOR_LIST[INVESTOR NAME],MATCH(I9619,INVESTOR_LIST[INVESTOR CODE],0),)," ")</f>
        <v xml:space="preserve"> </v>
      </c>
      <c r="I9619" s="148" t="s">
        <v>348</v>
      </c>
      <c r="J9619" s="133" t="s">
        <v>47</v>
      </c>
      <c r="K9619" s="172">
        <v>350000</v>
      </c>
    </row>
    <row r="9620" spans="1:14" x14ac:dyDescent="0.2">
      <c r="A9620" s="163">
        <v>2023</v>
      </c>
      <c r="B9620" s="163">
        <v>10</v>
      </c>
      <c r="C9620" s="163">
        <v>5</v>
      </c>
      <c r="D9620" s="280">
        <f t="shared" si="1182"/>
        <v>45204</v>
      </c>
      <c r="E9620" s="281">
        <f t="shared" si="1183"/>
        <v>45204</v>
      </c>
      <c r="F9620" s="480"/>
      <c r="G9620" s="221" t="s">
        <v>74</v>
      </c>
      <c r="H9620" s="145" t="str" cm="1">
        <f t="array" ref="H9620">IFERROR(INDEX(INVESTOR_LIST[INVESTOR NAME],MATCH(I9620,INVESTOR_LIST[INVESTOR CODE],0),)," ")</f>
        <v xml:space="preserve"> </v>
      </c>
      <c r="I9620" s="145" t="s">
        <v>348</v>
      </c>
      <c r="J9620" s="163" t="s">
        <v>52</v>
      </c>
      <c r="K9620" s="219"/>
      <c r="L9620" s="219">
        <v>350000</v>
      </c>
    </row>
    <row r="9621" spans="1:14" ht="10.15" customHeight="1" x14ac:dyDescent="0.2">
      <c r="A9621" s="168">
        <v>2023</v>
      </c>
      <c r="B9621" s="168">
        <v>10</v>
      </c>
      <c r="C9621" s="168">
        <v>5</v>
      </c>
      <c r="D9621" s="141">
        <f>DATE(A9621,B9621,C9621)</f>
        <v>45204</v>
      </c>
      <c r="E9621" s="275">
        <f>DATE(A9621,B9621,C9621)</f>
        <v>45204</v>
      </c>
      <c r="F9621" s="479" t="s">
        <v>1310</v>
      </c>
      <c r="G9621" s="220" t="s">
        <v>74</v>
      </c>
      <c r="H9621" s="142" t="str" cm="1">
        <f t="array" ref="H9621">IFERROR(INDEX(INVESTOR_LIST[INVESTOR NAME],MATCH(I9621,INVESTOR_LIST[INVESTOR CODE],0),)," ")</f>
        <v>ADNAN RASHID</v>
      </c>
      <c r="I9621" s="142" t="s">
        <v>466</v>
      </c>
      <c r="J9621" s="168" t="s">
        <v>13</v>
      </c>
      <c r="K9621" s="218">
        <v>364870</v>
      </c>
      <c r="L9621" s="226"/>
    </row>
    <row r="9622" spans="1:14" ht="10.15" customHeight="1" x14ac:dyDescent="0.2">
      <c r="A9622" s="133">
        <v>2023</v>
      </c>
      <c r="B9622" s="133">
        <v>10</v>
      </c>
      <c r="C9622" s="133">
        <v>5</v>
      </c>
      <c r="D9622" s="141">
        <f t="shared" ref="D9622:D9648" si="1184">DATE(A9622,B9622,C9622)</f>
        <v>45204</v>
      </c>
      <c r="E9622" s="275">
        <f t="shared" ref="E9622:E9648" si="1185">DATE(A9622,B9622,C9622)</f>
        <v>45204</v>
      </c>
      <c r="F9622" s="481"/>
      <c r="G9622" s="174" t="s">
        <v>74</v>
      </c>
      <c r="H9622" s="148" t="str" cm="1">
        <f t="array" ref="H9622">IFERROR(INDEX(INVESTOR_LIST[INVESTOR NAME],MATCH(I9622,INVESTOR_LIST[INVESTOR CODE],0),)," ")</f>
        <v>ADNAN RASHID</v>
      </c>
      <c r="I9622" s="148" t="s">
        <v>466</v>
      </c>
      <c r="J9622" s="133" t="s">
        <v>53</v>
      </c>
      <c r="K9622" s="218">
        <v>89830.989999999991</v>
      </c>
      <c r="L9622" s="133"/>
    </row>
    <row r="9623" spans="1:14" ht="10.15" customHeight="1" x14ac:dyDescent="0.2">
      <c r="A9623" s="163">
        <v>2023</v>
      </c>
      <c r="B9623" s="163">
        <v>10</v>
      </c>
      <c r="C9623" s="163">
        <v>5</v>
      </c>
      <c r="D9623" s="280">
        <f t="shared" si="1184"/>
        <v>45204</v>
      </c>
      <c r="E9623" s="281">
        <f t="shared" si="1185"/>
        <v>45204</v>
      </c>
      <c r="F9623" s="480"/>
      <c r="G9623" s="221" t="s">
        <v>74</v>
      </c>
      <c r="H9623" s="145" t="str" cm="1">
        <f t="array" ref="H9623">IFERROR(INDEX(INVESTOR_LIST[INVESTOR NAME],MATCH(I9623,INVESTOR_LIST[INVESTOR CODE],0),)," ")</f>
        <v>ADNAN RASHID</v>
      </c>
      <c r="I9623" s="145" t="s">
        <v>466</v>
      </c>
      <c r="J9623" s="163" t="s">
        <v>52</v>
      </c>
      <c r="K9623" s="219"/>
      <c r="L9623" s="219">
        <v>454700.99</v>
      </c>
    </row>
    <row r="9624" spans="1:14" x14ac:dyDescent="0.2">
      <c r="A9624" s="324">
        <v>2023</v>
      </c>
      <c r="B9624" s="324">
        <v>10</v>
      </c>
      <c r="C9624" s="325">
        <v>5</v>
      </c>
      <c r="D9624" s="326">
        <f t="shared" si="1184"/>
        <v>45204</v>
      </c>
      <c r="E9624" s="327">
        <f t="shared" si="1185"/>
        <v>45204</v>
      </c>
      <c r="F9624" s="473" t="s">
        <v>1490</v>
      </c>
      <c r="G9624" s="328" t="s">
        <v>94</v>
      </c>
      <c r="H9624" s="329" t="str" cm="1">
        <f t="array" ref="H9624">IFERROR(INDEX(INVESTOR_LIST[INVESTOR NAME],MATCH(I9624,INVESTOR_LIST[INVESTOR CODE],0),)," ")</f>
        <v xml:space="preserve"> </v>
      </c>
      <c r="I9624" s="329" t="s">
        <v>348</v>
      </c>
      <c r="J9624" s="325" t="s">
        <v>133</v>
      </c>
      <c r="K9624" s="330">
        <v>16189.16</v>
      </c>
      <c r="L9624" s="330"/>
      <c r="M9624" s="160"/>
    </row>
    <row r="9625" spans="1:14" x14ac:dyDescent="0.2">
      <c r="A9625" s="331">
        <v>2023</v>
      </c>
      <c r="B9625" s="331">
        <v>10</v>
      </c>
      <c r="C9625" s="331">
        <v>5</v>
      </c>
      <c r="D9625" s="326">
        <f t="shared" si="1184"/>
        <v>45204</v>
      </c>
      <c r="E9625" s="327">
        <f t="shared" si="1185"/>
        <v>45204</v>
      </c>
      <c r="F9625" s="474"/>
      <c r="G9625" s="332" t="s">
        <v>94</v>
      </c>
      <c r="H9625" s="333" t="str" cm="1">
        <f t="array" ref="H9625">IFERROR(INDEX(INVESTOR_LIST[INVESTOR NAME],MATCH(I9625,INVESTOR_LIST[INVESTOR CODE],0),)," ")</f>
        <v xml:space="preserve"> </v>
      </c>
      <c r="I9625" s="333" t="s">
        <v>348</v>
      </c>
      <c r="J9625" s="331" t="s">
        <v>152</v>
      </c>
      <c r="K9625" s="334"/>
      <c r="L9625" s="334">
        <v>16189.16</v>
      </c>
      <c r="M9625" s="160"/>
      <c r="N9625" s="160"/>
    </row>
    <row r="9626" spans="1:14" x14ac:dyDescent="0.2">
      <c r="A9626" s="324">
        <v>2023</v>
      </c>
      <c r="B9626" s="324">
        <v>10</v>
      </c>
      <c r="C9626" s="325">
        <v>5</v>
      </c>
      <c r="D9626" s="326">
        <f t="shared" si="1184"/>
        <v>45204</v>
      </c>
      <c r="E9626" s="327">
        <f t="shared" si="1185"/>
        <v>45204</v>
      </c>
      <c r="F9626" s="473" t="s">
        <v>1491</v>
      </c>
      <c r="G9626" s="328" t="s">
        <v>94</v>
      </c>
      <c r="H9626" s="329" t="str" cm="1">
        <f t="array" ref="H9626">IFERROR(INDEX(INVESTOR_LIST[INVESTOR NAME],MATCH(I9626,INVESTOR_LIST[INVESTOR CODE],0),)," ")</f>
        <v xml:space="preserve"> </v>
      </c>
      <c r="I9626" s="329" t="s">
        <v>348</v>
      </c>
      <c r="J9626" s="324" t="s">
        <v>133</v>
      </c>
      <c r="K9626" s="330">
        <v>4903.8500000000004</v>
      </c>
      <c r="L9626" s="330"/>
      <c r="M9626" s="160"/>
      <c r="N9626" s="160"/>
    </row>
    <row r="9627" spans="1:14" x14ac:dyDescent="0.2">
      <c r="A9627" s="331">
        <v>2023</v>
      </c>
      <c r="B9627" s="331">
        <v>10</v>
      </c>
      <c r="C9627" s="331">
        <v>5</v>
      </c>
      <c r="D9627" s="326">
        <f t="shared" si="1184"/>
        <v>45204</v>
      </c>
      <c r="E9627" s="327">
        <f t="shared" si="1185"/>
        <v>45204</v>
      </c>
      <c r="F9627" s="474"/>
      <c r="G9627" s="332" t="s">
        <v>94</v>
      </c>
      <c r="H9627" s="333" t="str" cm="1">
        <f t="array" ref="H9627">IFERROR(INDEX(INVESTOR_LIST[INVESTOR NAME],MATCH(I9627,INVESTOR_LIST[INVESTOR CODE],0),)," ")</f>
        <v xml:space="preserve"> </v>
      </c>
      <c r="I9627" s="333" t="s">
        <v>348</v>
      </c>
      <c r="J9627" s="331" t="s">
        <v>152</v>
      </c>
      <c r="K9627" s="334"/>
      <c r="L9627" s="334">
        <v>4903.8500000000004</v>
      </c>
      <c r="M9627" s="160"/>
    </row>
    <row r="9628" spans="1:14" x14ac:dyDescent="0.2">
      <c r="A9628" s="324">
        <v>2023</v>
      </c>
      <c r="B9628" s="324">
        <v>10</v>
      </c>
      <c r="C9628" s="325">
        <v>5</v>
      </c>
      <c r="D9628" s="326">
        <f t="shared" si="1184"/>
        <v>45204</v>
      </c>
      <c r="E9628" s="327">
        <f t="shared" si="1185"/>
        <v>45204</v>
      </c>
      <c r="F9628" s="473" t="s">
        <v>1531</v>
      </c>
      <c r="G9628" s="328" t="s">
        <v>94</v>
      </c>
      <c r="H9628" s="329" t="str" cm="1">
        <f t="array" ref="H9628">IFERROR(INDEX(INVESTOR_LIST[INVESTOR NAME],MATCH(I9628,INVESTOR_LIST[INVESTOR CODE],0),)," ")</f>
        <v xml:space="preserve"> </v>
      </c>
      <c r="I9628" s="329" t="s">
        <v>348</v>
      </c>
      <c r="J9628" s="324" t="s">
        <v>133</v>
      </c>
      <c r="K9628" s="330">
        <v>23333.33</v>
      </c>
      <c r="L9628" s="330"/>
      <c r="M9628" s="160"/>
    </row>
    <row r="9629" spans="1:14" x14ac:dyDescent="0.2">
      <c r="A9629" s="331">
        <v>2023</v>
      </c>
      <c r="B9629" s="331">
        <v>10</v>
      </c>
      <c r="C9629" s="331">
        <v>5</v>
      </c>
      <c r="D9629" s="326">
        <f t="shared" si="1184"/>
        <v>45204</v>
      </c>
      <c r="E9629" s="327">
        <f t="shared" si="1185"/>
        <v>45204</v>
      </c>
      <c r="F9629" s="474"/>
      <c r="G9629" s="332" t="s">
        <v>94</v>
      </c>
      <c r="H9629" s="333" t="str" cm="1">
        <f t="array" ref="H9629">IFERROR(INDEX(INVESTOR_LIST[INVESTOR NAME],MATCH(I9629,INVESTOR_LIST[INVESTOR CODE],0),)," ")</f>
        <v xml:space="preserve"> </v>
      </c>
      <c r="I9629" s="333" t="s">
        <v>348</v>
      </c>
      <c r="J9629" s="331" t="s">
        <v>152</v>
      </c>
      <c r="K9629" s="334"/>
      <c r="L9629" s="334">
        <v>23333.33</v>
      </c>
      <c r="M9629" s="160"/>
    </row>
    <row r="9630" spans="1:14" x14ac:dyDescent="0.2">
      <c r="A9630" s="238">
        <v>2023</v>
      </c>
      <c r="B9630" s="238">
        <v>10</v>
      </c>
      <c r="C9630" s="238">
        <v>5</v>
      </c>
      <c r="D9630" s="270">
        <f t="shared" si="1184"/>
        <v>45204</v>
      </c>
      <c r="E9630" s="279">
        <f t="shared" si="1185"/>
        <v>45204</v>
      </c>
      <c r="F9630" s="477" t="s">
        <v>347</v>
      </c>
      <c r="G9630" s="239" t="s">
        <v>94</v>
      </c>
      <c r="H9630" s="239" t="str" cm="1">
        <f t="array" ref="H9630">IFERROR(INDEX(INVESTOR_LIST[INVESTOR NAME],MATCH(I9630,INVESTOR_LIST[INVESTOR CODE],0),)," ")</f>
        <v xml:space="preserve"> </v>
      </c>
      <c r="I9630" s="262" t="s">
        <v>348</v>
      </c>
      <c r="J9630" s="240" t="s">
        <v>108</v>
      </c>
      <c r="K9630" s="241">
        <v>243500</v>
      </c>
      <c r="L9630" s="241"/>
    </row>
    <row r="9631" spans="1:14" x14ac:dyDescent="0.2">
      <c r="A9631" s="242">
        <v>2023</v>
      </c>
      <c r="B9631" s="242">
        <v>10</v>
      </c>
      <c r="C9631" s="242">
        <v>5</v>
      </c>
      <c r="D9631" s="270">
        <f t="shared" si="1184"/>
        <v>45204</v>
      </c>
      <c r="E9631" s="279">
        <f t="shared" si="1185"/>
        <v>45204</v>
      </c>
      <c r="F9631" s="478"/>
      <c r="G9631" s="243" t="s">
        <v>94</v>
      </c>
      <c r="H9631" s="243" t="str" cm="1">
        <f t="array" ref="H9631">IFERROR(INDEX(INVESTOR_LIST[INVESTOR NAME],MATCH(I9631,INVESTOR_LIST[INVESTOR CODE],0),)," ")</f>
        <v xml:space="preserve"> </v>
      </c>
      <c r="I9631" s="263" t="s">
        <v>348</v>
      </c>
      <c r="J9631" s="244" t="s">
        <v>82</v>
      </c>
      <c r="K9631" s="245"/>
      <c r="L9631" s="245">
        <v>243500</v>
      </c>
    </row>
    <row r="9632" spans="1:14" ht="22.5" x14ac:dyDescent="0.2">
      <c r="A9632" s="246">
        <v>2023</v>
      </c>
      <c r="B9632" s="238">
        <v>10</v>
      </c>
      <c r="C9632" s="238">
        <v>5</v>
      </c>
      <c r="D9632" s="270">
        <f t="shared" si="1184"/>
        <v>45204</v>
      </c>
      <c r="E9632" s="279">
        <f t="shared" si="1185"/>
        <v>45204</v>
      </c>
      <c r="F9632" s="482" t="s">
        <v>148</v>
      </c>
      <c r="G9632" s="247" t="s">
        <v>94</v>
      </c>
      <c r="H9632" s="247" t="str" cm="1">
        <f t="array" ref="H9632">IFERROR(INDEX(INVESTOR_LIST[INVESTOR NAME],MATCH(I9632,INVESTOR_LIST[INVESTOR CODE],0),)," ")</f>
        <v xml:space="preserve"> </v>
      </c>
      <c r="I9632" s="248" t="s">
        <v>348</v>
      </c>
      <c r="J9632" s="249" t="s">
        <v>95</v>
      </c>
      <c r="K9632" s="250">
        <v>2747.2527472527472</v>
      </c>
      <c r="L9632" s="241"/>
    </row>
    <row r="9633" spans="1:12" x14ac:dyDescent="0.2">
      <c r="A9633" s="242">
        <v>2023</v>
      </c>
      <c r="B9633" s="242">
        <v>10</v>
      </c>
      <c r="C9633" s="242">
        <v>5</v>
      </c>
      <c r="D9633" s="270">
        <f t="shared" si="1184"/>
        <v>45204</v>
      </c>
      <c r="E9633" s="279">
        <f t="shared" si="1185"/>
        <v>45204</v>
      </c>
      <c r="F9633" s="478"/>
      <c r="G9633" s="243" t="s">
        <v>94</v>
      </c>
      <c r="H9633" s="243" t="str" cm="1">
        <f t="array" ref="H9633">IFERROR(INDEX(INVESTOR_LIST[INVESTOR NAME],MATCH(I9633,INVESTOR_LIST[INVESTOR CODE],0),)," ")</f>
        <v xml:space="preserve"> </v>
      </c>
      <c r="I9633" s="263" t="s">
        <v>348</v>
      </c>
      <c r="J9633" s="244" t="s">
        <v>63</v>
      </c>
      <c r="K9633" s="245"/>
      <c r="L9633" s="245">
        <v>2747.2527472527472</v>
      </c>
    </row>
    <row r="9634" spans="1:12" x14ac:dyDescent="0.2">
      <c r="A9634" s="246">
        <v>2023</v>
      </c>
      <c r="B9634" s="238">
        <v>10</v>
      </c>
      <c r="C9634" s="238">
        <v>5</v>
      </c>
      <c r="D9634" s="270">
        <f t="shared" si="1184"/>
        <v>45204</v>
      </c>
      <c r="E9634" s="279">
        <f t="shared" si="1185"/>
        <v>45204</v>
      </c>
      <c r="F9634" s="482" t="s">
        <v>137</v>
      </c>
      <c r="G9634" s="247" t="s">
        <v>94</v>
      </c>
      <c r="H9634" s="247" t="str" cm="1">
        <f t="array" ref="H9634">IFERROR(INDEX(INVESTOR_LIST[INVESTOR NAME],MATCH(I9634,INVESTOR_LIST[INVESTOR CODE],0),)," ")</f>
        <v xml:space="preserve"> </v>
      </c>
      <c r="I9634" s="248" t="s">
        <v>348</v>
      </c>
      <c r="J9634" s="249" t="s">
        <v>97</v>
      </c>
      <c r="K9634" s="250">
        <v>63380.036238830122</v>
      </c>
      <c r="L9634" s="252"/>
    </row>
    <row r="9635" spans="1:12" x14ac:dyDescent="0.2">
      <c r="A9635" s="242">
        <v>2023</v>
      </c>
      <c r="B9635" s="242">
        <v>10</v>
      </c>
      <c r="C9635" s="242">
        <v>5</v>
      </c>
      <c r="D9635" s="270">
        <f t="shared" si="1184"/>
        <v>45204</v>
      </c>
      <c r="E9635" s="279">
        <f t="shared" si="1185"/>
        <v>45204</v>
      </c>
      <c r="F9635" s="478"/>
      <c r="G9635" s="243" t="s">
        <v>94</v>
      </c>
      <c r="H9635" s="243" t="str" cm="1">
        <f t="array" ref="H9635">IFERROR(INDEX(INVESTOR_LIST[INVESTOR NAME],MATCH(I9635,INVESTOR_LIST[INVESTOR CODE],0),)," ")</f>
        <v xml:space="preserve"> </v>
      </c>
      <c r="I9635" s="263" t="s">
        <v>348</v>
      </c>
      <c r="J9635" s="244" t="s">
        <v>47</v>
      </c>
      <c r="K9635" s="245"/>
      <c r="L9635" s="245">
        <v>63380.036238830122</v>
      </c>
    </row>
    <row r="9636" spans="1:12" x14ac:dyDescent="0.2">
      <c r="A9636" s="246">
        <v>2023</v>
      </c>
      <c r="B9636" s="238">
        <v>10</v>
      </c>
      <c r="C9636" s="238">
        <v>5</v>
      </c>
      <c r="D9636" s="270">
        <f t="shared" si="1184"/>
        <v>45204</v>
      </c>
      <c r="E9636" s="279">
        <f t="shared" si="1185"/>
        <v>45204</v>
      </c>
      <c r="F9636" s="482" t="s">
        <v>138</v>
      </c>
      <c r="G9636" s="247" t="s">
        <v>94</v>
      </c>
      <c r="H9636" s="247" t="str" cm="1">
        <f t="array" ref="H9636">IFERROR(INDEX(INVESTOR_LIST[INVESTOR NAME],MATCH(I9636,INVESTOR_LIST[INVESTOR CODE],0),)," ")</f>
        <v xml:space="preserve"> </v>
      </c>
      <c r="I9636" s="248" t="s">
        <v>348</v>
      </c>
      <c r="J9636" s="249" t="s">
        <v>100</v>
      </c>
      <c r="K9636" s="250">
        <v>2928.617196556891</v>
      </c>
      <c r="L9636" s="252"/>
    </row>
    <row r="9637" spans="1:12" ht="10.9" customHeight="1" x14ac:dyDescent="0.2">
      <c r="A9637" s="242">
        <v>2023</v>
      </c>
      <c r="B9637" s="242">
        <v>10</v>
      </c>
      <c r="C9637" s="242">
        <v>5</v>
      </c>
      <c r="D9637" s="321">
        <f t="shared" si="1184"/>
        <v>45204</v>
      </c>
      <c r="E9637" s="322">
        <f t="shared" si="1185"/>
        <v>45204</v>
      </c>
      <c r="F9637" s="478"/>
      <c r="G9637" s="243" t="s">
        <v>94</v>
      </c>
      <c r="H9637" s="243" t="str" cm="1">
        <f t="array" ref="H9637">IFERROR(INDEX(INVESTOR_LIST[INVESTOR NAME],MATCH(I9637,INVESTOR_LIST[INVESTOR CODE],0),)," ")</f>
        <v xml:space="preserve"> </v>
      </c>
      <c r="I9637" s="263" t="s">
        <v>348</v>
      </c>
      <c r="J9637" s="244" t="s">
        <v>48</v>
      </c>
      <c r="K9637" s="245"/>
      <c r="L9637" s="245">
        <v>2928.617196556891</v>
      </c>
    </row>
    <row r="9638" spans="1:12" ht="10.15" customHeight="1" x14ac:dyDescent="0.2">
      <c r="A9638" s="168">
        <v>2023</v>
      </c>
      <c r="B9638" s="168">
        <v>10</v>
      </c>
      <c r="C9638" s="168">
        <v>5</v>
      </c>
      <c r="D9638" s="141">
        <f t="shared" si="1184"/>
        <v>45204</v>
      </c>
      <c r="E9638" s="275">
        <f t="shared" si="1185"/>
        <v>45204</v>
      </c>
      <c r="F9638" s="479" t="s">
        <v>1319</v>
      </c>
      <c r="G9638" s="220" t="s">
        <v>74</v>
      </c>
      <c r="H9638" s="142" t="str" cm="1">
        <f t="array" ref="H9638">IFERROR(INDEX(INVESTOR_LIST[INVESTOR NAME],MATCH(I9638,INVESTOR_LIST[INVESTOR CODE],0),)," ")</f>
        <v xml:space="preserve"> </v>
      </c>
      <c r="I9638" s="142"/>
      <c r="J9638" s="168" t="s">
        <v>52</v>
      </c>
      <c r="K9638" s="226">
        <v>2500</v>
      </c>
      <c r="L9638" s="226"/>
    </row>
    <row r="9639" spans="1:12" ht="10.15" customHeight="1" x14ac:dyDescent="0.2">
      <c r="A9639" s="133">
        <v>2023</v>
      </c>
      <c r="B9639" s="133">
        <v>10</v>
      </c>
      <c r="C9639" s="133">
        <v>5</v>
      </c>
      <c r="D9639" s="141">
        <f t="shared" si="1184"/>
        <v>45204</v>
      </c>
      <c r="E9639" s="275">
        <f t="shared" si="1185"/>
        <v>45204</v>
      </c>
      <c r="F9639" s="481"/>
      <c r="G9639" s="174" t="s">
        <v>74</v>
      </c>
      <c r="H9639" s="148" t="str" cm="1">
        <f t="array" ref="H9639">IFERROR(INDEX(INVESTOR_LIST[INVESTOR NAME],MATCH(I9639,INVESTOR_LIST[INVESTOR CODE],0),)," ")</f>
        <v xml:space="preserve"> </v>
      </c>
      <c r="J9639" s="133" t="s">
        <v>13</v>
      </c>
      <c r="K9639" s="218"/>
      <c r="L9639" s="218">
        <v>2000</v>
      </c>
    </row>
    <row r="9640" spans="1:12" ht="10.15" customHeight="1" x14ac:dyDescent="0.2">
      <c r="A9640" s="163">
        <v>2023</v>
      </c>
      <c r="B9640" s="163">
        <v>10</v>
      </c>
      <c r="C9640" s="163">
        <v>5</v>
      </c>
      <c r="D9640" s="280">
        <f t="shared" si="1184"/>
        <v>45204</v>
      </c>
      <c r="E9640" s="281">
        <f t="shared" si="1185"/>
        <v>45204</v>
      </c>
      <c r="F9640" s="480"/>
      <c r="G9640" s="221" t="s">
        <v>74</v>
      </c>
      <c r="H9640" s="145" t="str" cm="1">
        <f t="array" ref="H9640">IFERROR(INDEX(INVESTOR_LIST[INVESTOR NAME],MATCH(I9640,INVESTOR_LIST[INVESTOR CODE],0),)," ")</f>
        <v xml:space="preserve"> </v>
      </c>
      <c r="I9640" s="145"/>
      <c r="J9640" s="163" t="s">
        <v>53</v>
      </c>
      <c r="K9640" s="219"/>
      <c r="L9640" s="219">
        <v>500</v>
      </c>
    </row>
    <row r="9641" spans="1:12" ht="10.15" customHeight="1" x14ac:dyDescent="0.2">
      <c r="A9641" s="168">
        <v>2023</v>
      </c>
      <c r="B9641" s="168">
        <v>10</v>
      </c>
      <c r="C9641" s="168">
        <v>8</v>
      </c>
      <c r="D9641" s="141">
        <f t="shared" ref="D9641:D9643" si="1186">DATE(A9641,B9641,C9641)</f>
        <v>45207</v>
      </c>
      <c r="E9641" s="275">
        <f t="shared" ref="E9641:E9643" si="1187">DATE(A9641,B9641,C9641)</f>
        <v>45207</v>
      </c>
      <c r="F9641" s="479" t="s">
        <v>1319</v>
      </c>
      <c r="G9641" s="220" t="s">
        <v>74</v>
      </c>
      <c r="H9641" s="142" t="str" cm="1">
        <f t="array" ref="H9641">IFERROR(INDEX(INVESTOR_LIST[INVESTOR NAME],MATCH(I9641,INVESTOR_LIST[INVESTOR CODE],0),)," ")</f>
        <v xml:space="preserve"> </v>
      </c>
      <c r="I9641" s="142"/>
      <c r="J9641" s="168" t="s">
        <v>52</v>
      </c>
      <c r="K9641" s="226">
        <v>146000</v>
      </c>
      <c r="L9641" s="226"/>
    </row>
    <row r="9642" spans="1:12" ht="10.15" customHeight="1" x14ac:dyDescent="0.2">
      <c r="A9642" s="133">
        <v>2023</v>
      </c>
      <c r="B9642" s="133">
        <v>10</v>
      </c>
      <c r="C9642" s="133">
        <v>8</v>
      </c>
      <c r="D9642" s="141">
        <f t="shared" si="1186"/>
        <v>45207</v>
      </c>
      <c r="E9642" s="275">
        <f t="shared" si="1187"/>
        <v>45207</v>
      </c>
      <c r="F9642" s="481"/>
      <c r="G9642" s="174" t="s">
        <v>74</v>
      </c>
      <c r="H9642" s="148" t="str" cm="1">
        <f t="array" ref="H9642">IFERROR(INDEX(INVESTOR_LIST[INVESTOR NAME],MATCH(I9642,INVESTOR_LIST[INVESTOR CODE],0),)," ")</f>
        <v xml:space="preserve"> </v>
      </c>
      <c r="J9642" s="133" t="s">
        <v>13</v>
      </c>
      <c r="K9642" s="218"/>
      <c r="L9642" s="218">
        <v>116980</v>
      </c>
    </row>
    <row r="9643" spans="1:12" ht="10.15" customHeight="1" x14ac:dyDescent="0.2">
      <c r="A9643" s="163">
        <v>2023</v>
      </c>
      <c r="B9643" s="163">
        <v>10</v>
      </c>
      <c r="C9643" s="163">
        <v>8</v>
      </c>
      <c r="D9643" s="280">
        <f t="shared" si="1186"/>
        <v>45207</v>
      </c>
      <c r="E9643" s="281">
        <f t="shared" si="1187"/>
        <v>45207</v>
      </c>
      <c r="F9643" s="480"/>
      <c r="G9643" s="221" t="s">
        <v>74</v>
      </c>
      <c r="H9643" s="145" t="str" cm="1">
        <f t="array" ref="H9643">IFERROR(INDEX(INVESTOR_LIST[INVESTOR NAME],MATCH(I9643,INVESTOR_LIST[INVESTOR CODE],0),)," ")</f>
        <v xml:space="preserve"> </v>
      </c>
      <c r="I9643" s="145"/>
      <c r="J9643" s="163" t="s">
        <v>53</v>
      </c>
      <c r="K9643" s="219"/>
      <c r="L9643" s="219">
        <v>29020</v>
      </c>
    </row>
    <row r="9644" spans="1:12" ht="10.15" customHeight="1" x14ac:dyDescent="0.2">
      <c r="A9644" s="168">
        <v>2023</v>
      </c>
      <c r="B9644" s="168">
        <v>10</v>
      </c>
      <c r="C9644" s="168">
        <v>8</v>
      </c>
      <c r="D9644" s="141">
        <f t="shared" si="1184"/>
        <v>45207</v>
      </c>
      <c r="E9644" s="275">
        <f t="shared" si="1185"/>
        <v>45207</v>
      </c>
      <c r="F9644" s="479" t="s">
        <v>964</v>
      </c>
      <c r="G9644" s="220" t="s">
        <v>74</v>
      </c>
      <c r="H9644" s="142" t="str" cm="1">
        <f t="array" ref="H9644">IFERROR(INDEX(INVESTOR_LIST[INVESTOR NAME],MATCH(I9644,INVESTOR_LIST[INVESTOR CODE],0),)," ")</f>
        <v xml:space="preserve"> </v>
      </c>
      <c r="I9644" s="142"/>
      <c r="J9644" s="168" t="s">
        <v>52</v>
      </c>
      <c r="K9644" s="226">
        <v>50000</v>
      </c>
      <c r="L9644" s="226"/>
    </row>
    <row r="9645" spans="1:12" ht="10.15" customHeight="1" x14ac:dyDescent="0.2">
      <c r="A9645" s="133">
        <v>2023</v>
      </c>
      <c r="B9645" s="133">
        <v>10</v>
      </c>
      <c r="C9645" s="133">
        <v>8</v>
      </c>
      <c r="D9645" s="141">
        <f t="shared" si="1184"/>
        <v>45207</v>
      </c>
      <c r="E9645" s="275">
        <f t="shared" si="1185"/>
        <v>45207</v>
      </c>
      <c r="F9645" s="481"/>
      <c r="G9645" s="174" t="s">
        <v>74</v>
      </c>
      <c r="H9645" s="148" t="str" cm="1">
        <f t="array" ref="H9645">IFERROR(INDEX(INVESTOR_LIST[INVESTOR NAME],MATCH(I9645,INVESTOR_LIST[INVESTOR CODE],0),)," ")</f>
        <v xml:space="preserve"> </v>
      </c>
      <c r="J9645" s="133" t="s">
        <v>13</v>
      </c>
      <c r="K9645" s="218"/>
      <c r="L9645" s="218">
        <v>40060</v>
      </c>
    </row>
    <row r="9646" spans="1:12" ht="10.15" customHeight="1" x14ac:dyDescent="0.2">
      <c r="A9646" s="163">
        <v>2023</v>
      </c>
      <c r="B9646" s="163">
        <v>10</v>
      </c>
      <c r="C9646" s="163">
        <v>8</v>
      </c>
      <c r="D9646" s="280">
        <f t="shared" si="1184"/>
        <v>45207</v>
      </c>
      <c r="E9646" s="281">
        <f t="shared" si="1185"/>
        <v>45207</v>
      </c>
      <c r="F9646" s="480"/>
      <c r="G9646" s="221" t="s">
        <v>74</v>
      </c>
      <c r="H9646" s="145" t="str" cm="1">
        <f t="array" ref="H9646">IFERROR(INDEX(INVESTOR_LIST[INVESTOR NAME],MATCH(I9646,INVESTOR_LIST[INVESTOR CODE],0),)," ")</f>
        <v xml:space="preserve"> </v>
      </c>
      <c r="I9646" s="145"/>
      <c r="J9646" s="163" t="s">
        <v>53</v>
      </c>
      <c r="K9646" s="219"/>
      <c r="L9646" s="219">
        <v>9940</v>
      </c>
    </row>
    <row r="9647" spans="1:12" x14ac:dyDescent="0.2">
      <c r="A9647" s="133">
        <v>2023</v>
      </c>
      <c r="B9647" s="133">
        <v>10</v>
      </c>
      <c r="C9647" s="168">
        <v>8</v>
      </c>
      <c r="D9647" s="141">
        <f t="shared" si="1184"/>
        <v>45207</v>
      </c>
      <c r="E9647" s="275">
        <f t="shared" si="1185"/>
        <v>45207</v>
      </c>
      <c r="F9647" s="479" t="s">
        <v>77</v>
      </c>
      <c r="G9647" s="174" t="s">
        <v>74</v>
      </c>
      <c r="H9647" s="148" t="str" cm="1">
        <f t="array" ref="H9647">IFERROR(INDEX(INVESTOR_LIST[INVESTOR NAME],MATCH(I9647,INVESTOR_LIST[INVESTOR CODE],0),)," ")</f>
        <v xml:space="preserve"> </v>
      </c>
      <c r="I9647" s="148" t="s">
        <v>348</v>
      </c>
      <c r="J9647" s="133" t="s">
        <v>61</v>
      </c>
      <c r="K9647" s="172">
        <v>10</v>
      </c>
    </row>
    <row r="9648" spans="1:12" x14ac:dyDescent="0.2">
      <c r="A9648" s="163">
        <v>2023</v>
      </c>
      <c r="B9648" s="163">
        <v>10</v>
      </c>
      <c r="C9648" s="163">
        <v>8</v>
      </c>
      <c r="D9648" s="141">
        <f t="shared" si="1184"/>
        <v>45207</v>
      </c>
      <c r="E9648" s="275">
        <f t="shared" si="1185"/>
        <v>45207</v>
      </c>
      <c r="F9648" s="480"/>
      <c r="G9648" s="221" t="s">
        <v>74</v>
      </c>
      <c r="H9648" s="145" t="str" cm="1">
        <f t="array" ref="H9648">IFERROR(INDEX(INVESTOR_LIST[INVESTOR NAME],MATCH(I9648,INVESTOR_LIST[INVESTOR CODE],0),)," ")</f>
        <v xml:space="preserve"> </v>
      </c>
      <c r="I9648" s="145" t="s">
        <v>348</v>
      </c>
      <c r="J9648" s="163" t="s">
        <v>52</v>
      </c>
      <c r="K9648" s="219"/>
      <c r="L9648" s="219">
        <v>10</v>
      </c>
    </row>
    <row r="9649" spans="1:17" x14ac:dyDescent="0.2">
      <c r="A9649" s="168">
        <v>2023</v>
      </c>
      <c r="B9649" s="168">
        <v>10</v>
      </c>
      <c r="C9649" s="168">
        <v>8</v>
      </c>
      <c r="D9649" s="141">
        <f t="shared" ref="D9649:D9659" si="1188">DATE(A9649,B9649,C9649)</f>
        <v>45207</v>
      </c>
      <c r="E9649" s="275">
        <f t="shared" ref="E9649:E9659" si="1189">DATE(A9649,B9649,C9649)</f>
        <v>45207</v>
      </c>
      <c r="F9649" s="479" t="s">
        <v>1797</v>
      </c>
      <c r="G9649" s="220" t="s">
        <v>94</v>
      </c>
      <c r="H9649" s="220" t="str" cm="1">
        <f t="array" ref="H9649">IFERROR(INDEX(INVESTOR_LIST[INVESTOR NAME],MATCH(I9649,INVESTOR_LIST[INVESTOR CODE],0),)," ")</f>
        <v xml:space="preserve"> </v>
      </c>
      <c r="I9649" s="142"/>
      <c r="J9649" s="143" t="s">
        <v>79</v>
      </c>
      <c r="K9649" s="226">
        <v>998000</v>
      </c>
      <c r="L9649" s="226"/>
      <c r="M9649" s="160"/>
    </row>
    <row r="9650" spans="1:17" x14ac:dyDescent="0.2">
      <c r="A9650" s="133">
        <v>2023</v>
      </c>
      <c r="B9650" s="133">
        <v>10</v>
      </c>
      <c r="C9650" s="133">
        <v>8</v>
      </c>
      <c r="D9650" s="141">
        <f t="shared" si="1188"/>
        <v>45207</v>
      </c>
      <c r="E9650" s="275">
        <f t="shared" si="1189"/>
        <v>45207</v>
      </c>
      <c r="F9650" s="481"/>
      <c r="G9650" s="174" t="s">
        <v>94</v>
      </c>
      <c r="H9650" s="174"/>
      <c r="J9650" s="149" t="s">
        <v>80</v>
      </c>
      <c r="K9650" s="218">
        <v>1796.4</v>
      </c>
      <c r="L9650" s="218"/>
    </row>
    <row r="9651" spans="1:17" x14ac:dyDescent="0.2">
      <c r="A9651" s="163">
        <v>2023</v>
      </c>
      <c r="B9651" s="163">
        <v>10</v>
      </c>
      <c r="C9651" s="163">
        <v>8</v>
      </c>
      <c r="D9651" s="280">
        <f t="shared" si="1188"/>
        <v>45207</v>
      </c>
      <c r="E9651" s="281">
        <f t="shared" si="1189"/>
        <v>45207</v>
      </c>
      <c r="F9651" s="480"/>
      <c r="G9651" s="221" t="s">
        <v>94</v>
      </c>
      <c r="H9651" s="221"/>
      <c r="I9651" s="145"/>
      <c r="J9651" s="146" t="s">
        <v>147</v>
      </c>
      <c r="K9651" s="219"/>
      <c r="L9651" s="219">
        <v>999796.4</v>
      </c>
    </row>
    <row r="9652" spans="1:17" x14ac:dyDescent="0.2">
      <c r="A9652" s="168">
        <v>2023</v>
      </c>
      <c r="B9652" s="168">
        <v>10</v>
      </c>
      <c r="C9652" s="168">
        <v>9</v>
      </c>
      <c r="D9652" s="141">
        <f t="shared" si="1188"/>
        <v>45208</v>
      </c>
      <c r="E9652" s="275">
        <f t="shared" si="1189"/>
        <v>45208</v>
      </c>
      <c r="F9652" s="479" t="s">
        <v>1797</v>
      </c>
      <c r="G9652" s="220" t="s">
        <v>94</v>
      </c>
      <c r="H9652" s="220" t="str" cm="1">
        <f t="array" ref="H9652">IFERROR(INDEX(INVESTOR_LIST[INVESTOR NAME],MATCH(I9652,INVESTOR_LIST[INVESTOR CODE],0),)," ")</f>
        <v xml:space="preserve"> </v>
      </c>
      <c r="I9652" s="142"/>
      <c r="J9652" s="143" t="s">
        <v>79</v>
      </c>
      <c r="K9652" s="226">
        <v>497990</v>
      </c>
      <c r="L9652" s="226"/>
      <c r="M9652" s="160"/>
    </row>
    <row r="9653" spans="1:17" x14ac:dyDescent="0.2">
      <c r="A9653" s="133">
        <v>2023</v>
      </c>
      <c r="B9653" s="133">
        <v>10</v>
      </c>
      <c r="C9653" s="133">
        <v>9</v>
      </c>
      <c r="D9653" s="141">
        <f t="shared" si="1188"/>
        <v>45208</v>
      </c>
      <c r="E9653" s="275">
        <f t="shared" si="1189"/>
        <v>45208</v>
      </c>
      <c r="F9653" s="481"/>
      <c r="G9653" s="174" t="s">
        <v>94</v>
      </c>
      <c r="H9653" s="174"/>
      <c r="J9653" s="149" t="s">
        <v>80</v>
      </c>
      <c r="K9653" s="218">
        <v>896.37</v>
      </c>
      <c r="L9653" s="218"/>
    </row>
    <row r="9654" spans="1:17" x14ac:dyDescent="0.2">
      <c r="A9654" s="163">
        <v>2023</v>
      </c>
      <c r="B9654" s="163">
        <v>10</v>
      </c>
      <c r="C9654" s="163">
        <v>9</v>
      </c>
      <c r="D9654" s="280">
        <f t="shared" si="1188"/>
        <v>45208</v>
      </c>
      <c r="E9654" s="281">
        <f t="shared" si="1189"/>
        <v>45208</v>
      </c>
      <c r="F9654" s="480"/>
      <c r="G9654" s="221" t="s">
        <v>94</v>
      </c>
      <c r="H9654" s="221"/>
      <c r="I9654" s="145"/>
      <c r="J9654" s="146" t="s">
        <v>147</v>
      </c>
      <c r="K9654" s="219"/>
      <c r="L9654" s="219">
        <v>498886.37</v>
      </c>
    </row>
    <row r="9655" spans="1:17" x14ac:dyDescent="0.2">
      <c r="A9655" s="133">
        <v>2023</v>
      </c>
      <c r="B9655" s="133">
        <v>10</v>
      </c>
      <c r="C9655" s="168">
        <v>9</v>
      </c>
      <c r="D9655" s="141">
        <f t="shared" si="1188"/>
        <v>45208</v>
      </c>
      <c r="E9655" s="275">
        <f t="shared" si="1189"/>
        <v>45208</v>
      </c>
      <c r="F9655" s="479" t="s">
        <v>1768</v>
      </c>
      <c r="G9655" s="220" t="s">
        <v>74</v>
      </c>
      <c r="H9655" s="220" t="str" cm="1">
        <f t="array" ref="H9655">IFERROR(INDEX(INVESTOR_LIST[INVESTOR NAME],MATCH(I9655,INVESTOR_LIST[INVESTOR CODE],0),)," ")</f>
        <v xml:space="preserve"> </v>
      </c>
      <c r="I9655" s="142"/>
      <c r="J9655" s="143" t="s">
        <v>147</v>
      </c>
      <c r="K9655" s="226">
        <v>498886.37</v>
      </c>
      <c r="L9655" s="226"/>
    </row>
    <row r="9656" spans="1:17" x14ac:dyDescent="0.2">
      <c r="A9656" s="163">
        <v>2023</v>
      </c>
      <c r="B9656" s="163">
        <v>10</v>
      </c>
      <c r="C9656" s="163">
        <v>9</v>
      </c>
      <c r="D9656" s="280">
        <f t="shared" si="1188"/>
        <v>45208</v>
      </c>
      <c r="E9656" s="281">
        <f t="shared" si="1189"/>
        <v>45208</v>
      </c>
      <c r="F9656" s="480"/>
      <c r="G9656" s="221" t="s">
        <v>74</v>
      </c>
      <c r="H9656" s="221" t="str" cm="1">
        <f t="array" ref="H9656">IFERROR(INDEX(INVESTOR_LIST[INVESTOR NAME],MATCH(I9656,INVESTOR_LIST[INVESTOR CODE],0),)," ")</f>
        <v xml:space="preserve"> </v>
      </c>
      <c r="I9656" s="145" t="s">
        <v>348</v>
      </c>
      <c r="J9656" s="146" t="s">
        <v>52</v>
      </c>
      <c r="K9656" s="219"/>
      <c r="L9656" s="219">
        <v>498886.37</v>
      </c>
    </row>
    <row r="9657" spans="1:17" x14ac:dyDescent="0.2">
      <c r="A9657" s="133">
        <v>2023</v>
      </c>
      <c r="B9657" s="133">
        <v>10</v>
      </c>
      <c r="C9657" s="168">
        <v>9</v>
      </c>
      <c r="D9657" s="141">
        <f t="shared" ref="D9657:D9658" si="1190">DATE(A9657,B9657,C9657)</f>
        <v>45208</v>
      </c>
      <c r="E9657" s="275">
        <f t="shared" ref="E9657:E9658" si="1191">DATE(A9657,B9657,C9657)</f>
        <v>45208</v>
      </c>
      <c r="F9657" s="479" t="s">
        <v>1768</v>
      </c>
      <c r="G9657" s="220" t="s">
        <v>74</v>
      </c>
      <c r="H9657" s="220" t="str" cm="1">
        <f t="array" ref="H9657">IFERROR(INDEX(INVESTOR_LIST[INVESTOR NAME],MATCH(I9657,INVESTOR_LIST[INVESTOR CODE],0),)," ")</f>
        <v xml:space="preserve"> </v>
      </c>
      <c r="I9657" s="142"/>
      <c r="J9657" s="143" t="s">
        <v>147</v>
      </c>
      <c r="K9657" s="226">
        <v>999796.4</v>
      </c>
      <c r="L9657" s="226"/>
    </row>
    <row r="9658" spans="1:17" x14ac:dyDescent="0.2">
      <c r="A9658" s="163">
        <v>2023</v>
      </c>
      <c r="B9658" s="163">
        <v>10</v>
      </c>
      <c r="C9658" s="163">
        <v>9</v>
      </c>
      <c r="D9658" s="280">
        <f t="shared" si="1190"/>
        <v>45208</v>
      </c>
      <c r="E9658" s="281">
        <f t="shared" si="1191"/>
        <v>45208</v>
      </c>
      <c r="F9658" s="480"/>
      <c r="G9658" s="221" t="s">
        <v>74</v>
      </c>
      <c r="H9658" s="221" t="str" cm="1">
        <f t="array" ref="H9658">IFERROR(INDEX(INVESTOR_LIST[INVESTOR NAME],MATCH(I9658,INVESTOR_LIST[INVESTOR CODE],0),)," ")</f>
        <v xml:space="preserve"> </v>
      </c>
      <c r="I9658" s="145" t="s">
        <v>348</v>
      </c>
      <c r="J9658" s="146" t="s">
        <v>52</v>
      </c>
      <c r="K9658" s="219"/>
      <c r="L9658" s="219">
        <v>999796.4</v>
      </c>
    </row>
    <row r="9659" spans="1:17" ht="10.15" customHeight="1" x14ac:dyDescent="0.2">
      <c r="A9659" s="168">
        <v>2023</v>
      </c>
      <c r="B9659" s="168">
        <v>10</v>
      </c>
      <c r="C9659" s="168">
        <v>9</v>
      </c>
      <c r="D9659" s="141">
        <f t="shared" si="1188"/>
        <v>45208</v>
      </c>
      <c r="E9659" s="275">
        <f t="shared" si="1189"/>
        <v>45208</v>
      </c>
      <c r="F9659" s="479" t="s">
        <v>1310</v>
      </c>
      <c r="G9659" s="220" t="s">
        <v>74</v>
      </c>
      <c r="H9659" s="142" t="str" cm="1">
        <f t="array" ref="H9659">IFERROR(INDEX(INVESTOR_LIST[INVESTOR NAME],MATCH(I9659,INVESTOR_LIST[INVESTOR CODE],0),)," ")</f>
        <v>SHIHAB MAHMUD</v>
      </c>
      <c r="I9659" s="142" t="s">
        <v>883</v>
      </c>
      <c r="J9659" s="168" t="s">
        <v>13</v>
      </c>
      <c r="K9659" s="218">
        <v>32410</v>
      </c>
      <c r="L9659" s="226"/>
    </row>
    <row r="9660" spans="1:17" ht="10.15" customHeight="1" x14ac:dyDescent="0.2">
      <c r="A9660" s="133">
        <v>2023</v>
      </c>
      <c r="B9660" s="133">
        <v>10</v>
      </c>
      <c r="C9660" s="133">
        <v>9</v>
      </c>
      <c r="D9660" s="141">
        <f t="shared" ref="D9660:D9666" si="1192">DATE(A9660,B9660,C9660)</f>
        <v>45208</v>
      </c>
      <c r="E9660" s="275">
        <f t="shared" ref="E9660:E9666" si="1193">DATE(A9660,B9660,C9660)</f>
        <v>45208</v>
      </c>
      <c r="F9660" s="481"/>
      <c r="G9660" s="174" t="s">
        <v>74</v>
      </c>
      <c r="H9660" s="148" t="str" cm="1">
        <f t="array" ref="H9660">IFERROR(INDEX(INVESTOR_LIST[INVESTOR NAME],MATCH(I9660,INVESTOR_LIST[INVESTOR CODE],0),)," ")</f>
        <v>SHIHAB MAHMUD</v>
      </c>
      <c r="I9660" s="148" t="s">
        <v>883</v>
      </c>
      <c r="J9660" s="133" t="s">
        <v>53</v>
      </c>
      <c r="K9660" s="218">
        <v>8044.1600000000035</v>
      </c>
      <c r="L9660" s="133"/>
    </row>
    <row r="9661" spans="1:17" ht="10.15" customHeight="1" x14ac:dyDescent="0.2">
      <c r="A9661" s="163">
        <v>2023</v>
      </c>
      <c r="B9661" s="163">
        <v>10</v>
      </c>
      <c r="C9661" s="163">
        <v>9</v>
      </c>
      <c r="D9661" s="280">
        <f t="shared" si="1192"/>
        <v>45208</v>
      </c>
      <c r="E9661" s="281">
        <f t="shared" si="1193"/>
        <v>45208</v>
      </c>
      <c r="F9661" s="480"/>
      <c r="G9661" s="221" t="s">
        <v>74</v>
      </c>
      <c r="H9661" s="145" t="str" cm="1">
        <f t="array" ref="H9661">IFERROR(INDEX(INVESTOR_LIST[INVESTOR NAME],MATCH(I9661,INVESTOR_LIST[INVESTOR CODE],0),)," ")</f>
        <v>SHIHAB MAHMUD</v>
      </c>
      <c r="I9661" s="145" t="s">
        <v>883</v>
      </c>
      <c r="J9661" s="163" t="s">
        <v>52</v>
      </c>
      <c r="K9661" s="219"/>
      <c r="L9661" s="219">
        <v>40454.160000000003</v>
      </c>
    </row>
    <row r="9662" spans="1:17" x14ac:dyDescent="0.2">
      <c r="A9662" s="133">
        <v>2023</v>
      </c>
      <c r="B9662" s="133">
        <v>10</v>
      </c>
      <c r="C9662" s="133">
        <v>9</v>
      </c>
      <c r="D9662" s="141">
        <f t="shared" ref="D9662:D9663" si="1194">DATE(A9662,B9662,C9662)</f>
        <v>45208</v>
      </c>
      <c r="E9662" s="275">
        <f t="shared" ref="E9662:E9663" si="1195">DATE(A9662,B9662,C9662)</f>
        <v>45208</v>
      </c>
      <c r="F9662" s="481" t="s">
        <v>1763</v>
      </c>
      <c r="G9662" s="174" t="s">
        <v>74</v>
      </c>
      <c r="H9662" s="174" t="str" cm="1">
        <f t="array" ref="H9662">IFERROR(INDEX(INVESTOR_LIST[INVESTOR NAME],MATCH(I9662,INVESTOR_LIST[INVESTOR CODE],0),)," ")</f>
        <v xml:space="preserve"> </v>
      </c>
      <c r="I9662" s="148" t="s">
        <v>348</v>
      </c>
      <c r="J9662" s="149" t="s">
        <v>1764</v>
      </c>
      <c r="K9662" s="218">
        <v>1910200</v>
      </c>
      <c r="L9662" s="218"/>
      <c r="M9662" s="147"/>
      <c r="Q9662" s="133" t="s">
        <v>348</v>
      </c>
    </row>
    <row r="9663" spans="1:17" x14ac:dyDescent="0.2">
      <c r="A9663" s="163">
        <v>2023</v>
      </c>
      <c r="B9663" s="163">
        <v>10</v>
      </c>
      <c r="C9663" s="163">
        <v>9</v>
      </c>
      <c r="D9663" s="141">
        <f t="shared" si="1194"/>
        <v>45208</v>
      </c>
      <c r="E9663" s="275">
        <f t="shared" si="1195"/>
        <v>45208</v>
      </c>
      <c r="F9663" s="480"/>
      <c r="G9663" s="221" t="s">
        <v>74</v>
      </c>
      <c r="H9663" s="221" t="str" cm="1">
        <f t="array" ref="H9663">IFERROR(INDEX(INVESTOR_LIST[INVESTOR NAME],MATCH(I9663,INVESTOR_LIST[INVESTOR CODE],0),)," ")</f>
        <v xml:space="preserve"> </v>
      </c>
      <c r="I9663" s="145"/>
      <c r="J9663" s="146" t="s">
        <v>52</v>
      </c>
      <c r="K9663" s="219"/>
      <c r="L9663" s="219">
        <v>1910200</v>
      </c>
      <c r="M9663" s="147"/>
      <c r="Q9663" s="133" t="s">
        <v>348</v>
      </c>
    </row>
    <row r="9664" spans="1:17" x14ac:dyDescent="0.2">
      <c r="A9664" s="168">
        <v>2023</v>
      </c>
      <c r="B9664" s="168">
        <v>10</v>
      </c>
      <c r="C9664" s="168">
        <v>10</v>
      </c>
      <c r="D9664" s="141">
        <f t="shared" si="1192"/>
        <v>45209</v>
      </c>
      <c r="E9664" s="275">
        <f t="shared" si="1193"/>
        <v>45209</v>
      </c>
      <c r="F9664" s="479" t="s">
        <v>1797</v>
      </c>
      <c r="G9664" s="220" t="s">
        <v>94</v>
      </c>
      <c r="H9664" s="220" t="str" cm="1">
        <f t="array" ref="H9664">IFERROR(INDEX(INVESTOR_LIST[INVESTOR NAME],MATCH(I9664,INVESTOR_LIST[INVESTOR CODE],0),)," ")</f>
        <v xml:space="preserve"> </v>
      </c>
      <c r="I9664" s="142"/>
      <c r="J9664" s="143" t="s">
        <v>79</v>
      </c>
      <c r="K9664" s="226">
        <v>496000</v>
      </c>
      <c r="L9664" s="226"/>
      <c r="M9664" s="160"/>
    </row>
    <row r="9665" spans="1:14" x14ac:dyDescent="0.2">
      <c r="A9665" s="133">
        <v>2023</v>
      </c>
      <c r="B9665" s="133">
        <v>10</v>
      </c>
      <c r="C9665" s="133">
        <v>10</v>
      </c>
      <c r="D9665" s="141">
        <f t="shared" si="1192"/>
        <v>45209</v>
      </c>
      <c r="E9665" s="275">
        <f t="shared" si="1193"/>
        <v>45209</v>
      </c>
      <c r="F9665" s="481"/>
      <c r="G9665" s="174" t="s">
        <v>94</v>
      </c>
      <c r="H9665" s="174"/>
      <c r="J9665" s="149" t="s">
        <v>80</v>
      </c>
      <c r="K9665" s="218">
        <v>892.79</v>
      </c>
      <c r="L9665" s="218"/>
    </row>
    <row r="9666" spans="1:14" ht="10.9" customHeight="1" x14ac:dyDescent="0.2">
      <c r="A9666" s="163">
        <v>2023</v>
      </c>
      <c r="B9666" s="163">
        <v>10</v>
      </c>
      <c r="C9666" s="163">
        <v>10</v>
      </c>
      <c r="D9666" s="280">
        <f t="shared" si="1192"/>
        <v>45209</v>
      </c>
      <c r="E9666" s="281">
        <f t="shared" si="1193"/>
        <v>45209</v>
      </c>
      <c r="F9666" s="480"/>
      <c r="G9666" s="221" t="s">
        <v>94</v>
      </c>
      <c r="H9666" s="221"/>
      <c r="I9666" s="145"/>
      <c r="J9666" s="146" t="s">
        <v>147</v>
      </c>
      <c r="K9666" s="219"/>
      <c r="L9666" s="219">
        <v>496892.79</v>
      </c>
    </row>
    <row r="9667" spans="1:14" x14ac:dyDescent="0.2">
      <c r="A9667" s="133">
        <v>2023</v>
      </c>
      <c r="B9667" s="133">
        <v>10</v>
      </c>
      <c r="C9667" s="168">
        <v>10</v>
      </c>
      <c r="D9667" s="141">
        <f>DATE(A9667,B9667,C9667)</f>
        <v>45209</v>
      </c>
      <c r="E9667" s="275">
        <f>DATE(A9667,B9667,C9667)</f>
        <v>45209</v>
      </c>
      <c r="F9667" s="479" t="s">
        <v>1768</v>
      </c>
      <c r="G9667" s="220" t="s">
        <v>74</v>
      </c>
      <c r="H9667" s="220" t="str" cm="1">
        <f t="array" ref="H9667">IFERROR(INDEX(INVESTOR_LIST[INVESTOR NAME],MATCH(I9667,INVESTOR_LIST[INVESTOR CODE],0),)," ")</f>
        <v xml:space="preserve"> </v>
      </c>
      <c r="I9667" s="142"/>
      <c r="J9667" s="143" t="s">
        <v>147</v>
      </c>
      <c r="K9667" s="226">
        <v>496892.79</v>
      </c>
      <c r="L9667" s="226"/>
    </row>
    <row r="9668" spans="1:14" x14ac:dyDescent="0.2">
      <c r="A9668" s="163">
        <v>2023</v>
      </c>
      <c r="B9668" s="163">
        <v>10</v>
      </c>
      <c r="C9668" s="163">
        <v>10</v>
      </c>
      <c r="D9668" s="280">
        <f>DATE(A9668,B9668,C9668)</f>
        <v>45209</v>
      </c>
      <c r="E9668" s="281">
        <f>DATE(A9668,B9668,C9668)</f>
        <v>45209</v>
      </c>
      <c r="F9668" s="480"/>
      <c r="G9668" s="221" t="s">
        <v>74</v>
      </c>
      <c r="H9668" s="221" t="str" cm="1">
        <f t="array" ref="H9668">IFERROR(INDEX(INVESTOR_LIST[INVESTOR NAME],MATCH(I9668,INVESTOR_LIST[INVESTOR CODE],0),)," ")</f>
        <v xml:space="preserve"> </v>
      </c>
      <c r="I9668" s="145" t="s">
        <v>348</v>
      </c>
      <c r="J9668" s="146" t="s">
        <v>52</v>
      </c>
      <c r="K9668" s="219"/>
      <c r="L9668" s="219">
        <v>496892.79</v>
      </c>
    </row>
    <row r="9669" spans="1:14" ht="10.15" customHeight="1" x14ac:dyDescent="0.2">
      <c r="A9669" s="168">
        <v>2023</v>
      </c>
      <c r="B9669" s="168">
        <v>10</v>
      </c>
      <c r="C9669" s="168">
        <v>10</v>
      </c>
      <c r="D9669" s="141">
        <f t="shared" ref="D9669:D9692" si="1196">DATE(A9669,B9669,C9669)</f>
        <v>45209</v>
      </c>
      <c r="E9669" s="275">
        <f t="shared" ref="E9669:E9692" si="1197">DATE(A9669,B9669,C9669)</f>
        <v>45209</v>
      </c>
      <c r="F9669" s="479" t="s">
        <v>1310</v>
      </c>
      <c r="G9669" s="220" t="s">
        <v>74</v>
      </c>
      <c r="H9669" s="142" t="str" cm="1">
        <f t="array" ref="H9669">IFERROR(INDEX(INVESTOR_LIST[INVESTOR NAME],MATCH(I9669,INVESTOR_LIST[INVESTOR CODE],0),)," ")</f>
        <v>BACKBONE</v>
      </c>
      <c r="I9669" s="142" t="s">
        <v>690</v>
      </c>
      <c r="J9669" s="168" t="s">
        <v>13</v>
      </c>
      <c r="K9669" s="218">
        <v>45520</v>
      </c>
      <c r="L9669" s="226"/>
    </row>
    <row r="9670" spans="1:14" ht="10.15" customHeight="1" x14ac:dyDescent="0.2">
      <c r="A9670" s="133">
        <v>2023</v>
      </c>
      <c r="B9670" s="133">
        <v>10</v>
      </c>
      <c r="C9670" s="133">
        <v>10</v>
      </c>
      <c r="D9670" s="141">
        <f t="shared" si="1196"/>
        <v>45209</v>
      </c>
      <c r="E9670" s="275">
        <f t="shared" si="1197"/>
        <v>45209</v>
      </c>
      <c r="F9670" s="481"/>
      <c r="G9670" s="174" t="s">
        <v>74</v>
      </c>
      <c r="H9670" s="148" t="str" cm="1">
        <f t="array" ref="H9670">IFERROR(INDEX(INVESTOR_LIST[INVESTOR NAME],MATCH(I9670,INVESTOR_LIST[INVESTOR CODE],0),)," ")</f>
        <v>BACKBONE</v>
      </c>
      <c r="I9670" s="148" t="s">
        <v>690</v>
      </c>
      <c r="J9670" s="133" t="s">
        <v>53</v>
      </c>
      <c r="K9670" s="218">
        <v>11298.059999999998</v>
      </c>
      <c r="L9670" s="133"/>
    </row>
    <row r="9671" spans="1:14" ht="10.15" customHeight="1" x14ac:dyDescent="0.2">
      <c r="A9671" s="163">
        <v>2023</v>
      </c>
      <c r="B9671" s="163">
        <v>10</v>
      </c>
      <c r="C9671" s="163">
        <v>10</v>
      </c>
      <c r="D9671" s="280">
        <f t="shared" si="1196"/>
        <v>45209</v>
      </c>
      <c r="E9671" s="281">
        <f t="shared" si="1197"/>
        <v>45209</v>
      </c>
      <c r="F9671" s="480"/>
      <c r="G9671" s="221" t="s">
        <v>74</v>
      </c>
      <c r="H9671" s="145" t="str" cm="1">
        <f t="array" ref="H9671">IFERROR(INDEX(INVESTOR_LIST[INVESTOR NAME],MATCH(I9671,INVESTOR_LIST[INVESTOR CODE],0),)," ")</f>
        <v>BACKBONE</v>
      </c>
      <c r="I9671" s="145" t="s">
        <v>690</v>
      </c>
      <c r="J9671" s="163" t="s">
        <v>52</v>
      </c>
      <c r="K9671" s="219"/>
      <c r="L9671" s="219">
        <v>56818.06</v>
      </c>
    </row>
    <row r="9672" spans="1:14" x14ac:dyDescent="0.2">
      <c r="A9672" s="324">
        <v>2023</v>
      </c>
      <c r="B9672" s="324">
        <v>10</v>
      </c>
      <c r="C9672" s="325">
        <v>12</v>
      </c>
      <c r="D9672" s="326">
        <f t="shared" si="1196"/>
        <v>45211</v>
      </c>
      <c r="E9672" s="327">
        <f t="shared" si="1197"/>
        <v>45211</v>
      </c>
      <c r="F9672" s="473" t="s">
        <v>1490</v>
      </c>
      <c r="G9672" s="328" t="s">
        <v>94</v>
      </c>
      <c r="H9672" s="329" t="str" cm="1">
        <f t="array" ref="H9672">IFERROR(INDEX(INVESTOR_LIST[INVESTOR NAME],MATCH(I9672,INVESTOR_LIST[INVESTOR CODE],0),)," ")</f>
        <v xml:space="preserve"> </v>
      </c>
      <c r="I9672" s="329" t="s">
        <v>348</v>
      </c>
      <c r="J9672" s="325" t="s">
        <v>133</v>
      </c>
      <c r="K9672" s="330">
        <v>16189.16</v>
      </c>
      <c r="L9672" s="330"/>
      <c r="M9672" s="160"/>
    </row>
    <row r="9673" spans="1:14" x14ac:dyDescent="0.2">
      <c r="A9673" s="331">
        <v>2023</v>
      </c>
      <c r="B9673" s="331">
        <v>10</v>
      </c>
      <c r="C9673" s="331">
        <v>12</v>
      </c>
      <c r="D9673" s="326">
        <f t="shared" si="1196"/>
        <v>45211</v>
      </c>
      <c r="E9673" s="327">
        <f t="shared" si="1197"/>
        <v>45211</v>
      </c>
      <c r="F9673" s="474"/>
      <c r="G9673" s="332" t="s">
        <v>94</v>
      </c>
      <c r="H9673" s="333" t="str" cm="1">
        <f t="array" ref="H9673">IFERROR(INDEX(INVESTOR_LIST[INVESTOR NAME],MATCH(I9673,INVESTOR_LIST[INVESTOR CODE],0),)," ")</f>
        <v xml:space="preserve"> </v>
      </c>
      <c r="I9673" s="333" t="s">
        <v>348</v>
      </c>
      <c r="J9673" s="331" t="s">
        <v>152</v>
      </c>
      <c r="K9673" s="334"/>
      <c r="L9673" s="334">
        <v>16189.16</v>
      </c>
      <c r="M9673" s="160"/>
      <c r="N9673" s="160"/>
    </row>
    <row r="9674" spans="1:14" x14ac:dyDescent="0.2">
      <c r="A9674" s="324">
        <v>2023</v>
      </c>
      <c r="B9674" s="324">
        <v>10</v>
      </c>
      <c r="C9674" s="325">
        <v>12</v>
      </c>
      <c r="D9674" s="326">
        <f t="shared" si="1196"/>
        <v>45211</v>
      </c>
      <c r="E9674" s="327">
        <f t="shared" si="1197"/>
        <v>45211</v>
      </c>
      <c r="F9674" s="473" t="s">
        <v>1491</v>
      </c>
      <c r="G9674" s="328" t="s">
        <v>94</v>
      </c>
      <c r="H9674" s="329" t="str" cm="1">
        <f t="array" ref="H9674">IFERROR(INDEX(INVESTOR_LIST[INVESTOR NAME],MATCH(I9674,INVESTOR_LIST[INVESTOR CODE],0),)," ")</f>
        <v xml:space="preserve"> </v>
      </c>
      <c r="I9674" s="329" t="s">
        <v>348</v>
      </c>
      <c r="J9674" s="324" t="s">
        <v>133</v>
      </c>
      <c r="K9674" s="330">
        <v>4903.8500000000004</v>
      </c>
      <c r="L9674" s="330"/>
      <c r="M9674" s="160"/>
      <c r="N9674" s="160"/>
    </row>
    <row r="9675" spans="1:14" x14ac:dyDescent="0.2">
      <c r="A9675" s="331">
        <v>2023</v>
      </c>
      <c r="B9675" s="331">
        <v>10</v>
      </c>
      <c r="C9675" s="331">
        <v>12</v>
      </c>
      <c r="D9675" s="326">
        <f t="shared" si="1196"/>
        <v>45211</v>
      </c>
      <c r="E9675" s="327">
        <f t="shared" si="1197"/>
        <v>45211</v>
      </c>
      <c r="F9675" s="474"/>
      <c r="G9675" s="332" t="s">
        <v>94</v>
      </c>
      <c r="H9675" s="333" t="str" cm="1">
        <f t="array" ref="H9675">IFERROR(INDEX(INVESTOR_LIST[INVESTOR NAME],MATCH(I9675,INVESTOR_LIST[INVESTOR CODE],0),)," ")</f>
        <v xml:space="preserve"> </v>
      </c>
      <c r="I9675" s="333" t="s">
        <v>348</v>
      </c>
      <c r="J9675" s="331" t="s">
        <v>152</v>
      </c>
      <c r="K9675" s="334"/>
      <c r="L9675" s="334">
        <v>4903.8500000000004</v>
      </c>
      <c r="M9675" s="160"/>
    </row>
    <row r="9676" spans="1:14" x14ac:dyDescent="0.2">
      <c r="A9676" s="324">
        <v>2023</v>
      </c>
      <c r="B9676" s="324">
        <v>10</v>
      </c>
      <c r="C9676" s="325">
        <v>12</v>
      </c>
      <c r="D9676" s="326">
        <f t="shared" si="1196"/>
        <v>45211</v>
      </c>
      <c r="E9676" s="327">
        <f t="shared" si="1197"/>
        <v>45211</v>
      </c>
      <c r="F9676" s="473" t="s">
        <v>1531</v>
      </c>
      <c r="G9676" s="328" t="s">
        <v>94</v>
      </c>
      <c r="H9676" s="329" t="str" cm="1">
        <f t="array" ref="H9676">IFERROR(INDEX(INVESTOR_LIST[INVESTOR NAME],MATCH(I9676,INVESTOR_LIST[INVESTOR CODE],0),)," ")</f>
        <v xml:space="preserve"> </v>
      </c>
      <c r="I9676" s="329" t="s">
        <v>348</v>
      </c>
      <c r="J9676" s="324" t="s">
        <v>133</v>
      </c>
      <c r="K9676" s="330">
        <v>23333.33</v>
      </c>
      <c r="L9676" s="330"/>
      <c r="M9676" s="160"/>
    </row>
    <row r="9677" spans="1:14" x14ac:dyDescent="0.2">
      <c r="A9677" s="331">
        <v>2023</v>
      </c>
      <c r="B9677" s="331">
        <v>10</v>
      </c>
      <c r="C9677" s="331">
        <v>12</v>
      </c>
      <c r="D9677" s="326">
        <f t="shared" si="1196"/>
        <v>45211</v>
      </c>
      <c r="E9677" s="327">
        <f t="shared" si="1197"/>
        <v>45211</v>
      </c>
      <c r="F9677" s="474"/>
      <c r="G9677" s="332" t="s">
        <v>94</v>
      </c>
      <c r="H9677" s="333" t="str" cm="1">
        <f t="array" ref="H9677">IFERROR(INDEX(INVESTOR_LIST[INVESTOR NAME],MATCH(I9677,INVESTOR_LIST[INVESTOR CODE],0),)," ")</f>
        <v xml:space="preserve"> </v>
      </c>
      <c r="I9677" s="333" t="s">
        <v>348</v>
      </c>
      <c r="J9677" s="331" t="s">
        <v>152</v>
      </c>
      <c r="K9677" s="334"/>
      <c r="L9677" s="334">
        <v>23333.33</v>
      </c>
      <c r="M9677" s="160"/>
    </row>
    <row r="9678" spans="1:14" x14ac:dyDescent="0.2">
      <c r="A9678" s="238">
        <v>2023</v>
      </c>
      <c r="B9678" s="238">
        <v>10</v>
      </c>
      <c r="C9678" s="238">
        <v>12</v>
      </c>
      <c r="D9678" s="270">
        <f t="shared" si="1196"/>
        <v>45211</v>
      </c>
      <c r="E9678" s="279">
        <f t="shared" si="1197"/>
        <v>45211</v>
      </c>
      <c r="F9678" s="477" t="s">
        <v>347</v>
      </c>
      <c r="G9678" s="239" t="s">
        <v>94</v>
      </c>
      <c r="H9678" s="239" t="str" cm="1">
        <f t="array" ref="H9678">IFERROR(INDEX(INVESTOR_LIST[INVESTOR NAME],MATCH(I9678,INVESTOR_LIST[INVESTOR CODE],0),)," ")</f>
        <v xml:space="preserve"> </v>
      </c>
      <c r="I9678" s="262" t="s">
        <v>348</v>
      </c>
      <c r="J9678" s="240" t="s">
        <v>82</v>
      </c>
      <c r="K9678" s="241">
        <v>77542.229999989271</v>
      </c>
      <c r="L9678" s="241"/>
    </row>
    <row r="9679" spans="1:14" x14ac:dyDescent="0.2">
      <c r="A9679" s="242">
        <v>2023</v>
      </c>
      <c r="B9679" s="242">
        <v>10</v>
      </c>
      <c r="C9679" s="242">
        <v>12</v>
      </c>
      <c r="D9679" s="270">
        <f t="shared" si="1196"/>
        <v>45211</v>
      </c>
      <c r="E9679" s="279">
        <f t="shared" si="1197"/>
        <v>45211</v>
      </c>
      <c r="F9679" s="478"/>
      <c r="G9679" s="243" t="s">
        <v>94</v>
      </c>
      <c r="H9679" s="243" t="str" cm="1">
        <f t="array" ref="H9679">IFERROR(INDEX(INVESTOR_LIST[INVESTOR NAME],MATCH(I9679,INVESTOR_LIST[INVESTOR CODE],0),)," ")</f>
        <v xml:space="preserve"> </v>
      </c>
      <c r="I9679" s="263" t="s">
        <v>348</v>
      </c>
      <c r="J9679" s="244" t="s">
        <v>108</v>
      </c>
      <c r="K9679" s="245"/>
      <c r="L9679" s="245">
        <v>77542.229999989271</v>
      </c>
    </row>
    <row r="9680" spans="1:14" ht="22.5" x14ac:dyDescent="0.2">
      <c r="A9680" s="246">
        <v>2023</v>
      </c>
      <c r="B9680" s="238">
        <v>10</v>
      </c>
      <c r="C9680" s="238">
        <v>12</v>
      </c>
      <c r="D9680" s="270">
        <f t="shared" si="1196"/>
        <v>45211</v>
      </c>
      <c r="E9680" s="279">
        <f t="shared" si="1197"/>
        <v>45211</v>
      </c>
      <c r="F9680" s="482" t="s">
        <v>148</v>
      </c>
      <c r="G9680" s="247" t="s">
        <v>94</v>
      </c>
      <c r="H9680" s="247" t="str" cm="1">
        <f t="array" ref="H9680">IFERROR(INDEX(INVESTOR_LIST[INVESTOR NAME],MATCH(I9680,INVESTOR_LIST[INVESTOR CODE],0),)," ")</f>
        <v xml:space="preserve"> </v>
      </c>
      <c r="I9680" s="248" t="s">
        <v>348</v>
      </c>
      <c r="J9680" s="249" t="s">
        <v>95</v>
      </c>
      <c r="K9680" s="250">
        <v>2747.2527472527472</v>
      </c>
      <c r="L9680" s="241"/>
    </row>
    <row r="9681" spans="1:17" x14ac:dyDescent="0.2">
      <c r="A9681" s="242">
        <v>2023</v>
      </c>
      <c r="B9681" s="242">
        <v>10</v>
      </c>
      <c r="C9681" s="242">
        <v>12</v>
      </c>
      <c r="D9681" s="270">
        <f t="shared" si="1196"/>
        <v>45211</v>
      </c>
      <c r="E9681" s="279">
        <f t="shared" si="1197"/>
        <v>45211</v>
      </c>
      <c r="F9681" s="478"/>
      <c r="G9681" s="243" t="s">
        <v>94</v>
      </c>
      <c r="H9681" s="243" t="str" cm="1">
        <f t="array" ref="H9681">IFERROR(INDEX(INVESTOR_LIST[INVESTOR NAME],MATCH(I9681,INVESTOR_LIST[INVESTOR CODE],0),)," ")</f>
        <v xml:space="preserve"> </v>
      </c>
      <c r="I9681" s="263" t="s">
        <v>348</v>
      </c>
      <c r="J9681" s="244" t="s">
        <v>63</v>
      </c>
      <c r="K9681" s="245"/>
      <c r="L9681" s="245">
        <v>2747.2527472527472</v>
      </c>
    </row>
    <row r="9682" spans="1:17" x14ac:dyDescent="0.2">
      <c r="A9682" s="246">
        <v>2023</v>
      </c>
      <c r="B9682" s="238">
        <v>10</v>
      </c>
      <c r="C9682" s="238">
        <v>12</v>
      </c>
      <c r="D9682" s="270">
        <f t="shared" si="1196"/>
        <v>45211</v>
      </c>
      <c r="E9682" s="279">
        <f t="shared" si="1197"/>
        <v>45211</v>
      </c>
      <c r="F9682" s="482" t="s">
        <v>137</v>
      </c>
      <c r="G9682" s="247" t="s">
        <v>94</v>
      </c>
      <c r="H9682" s="247" t="str" cm="1">
        <f t="array" ref="H9682">IFERROR(INDEX(INVESTOR_LIST[INVESTOR NAME],MATCH(I9682,INVESTOR_LIST[INVESTOR CODE],0),)," ")</f>
        <v xml:space="preserve"> </v>
      </c>
      <c r="I9682" s="248" t="s">
        <v>348</v>
      </c>
      <c r="J9682" s="249" t="s">
        <v>97</v>
      </c>
      <c r="K9682" s="250">
        <v>63375.086461008403</v>
      </c>
      <c r="L9682" s="252"/>
    </row>
    <row r="9683" spans="1:17" x14ac:dyDescent="0.2">
      <c r="A9683" s="242">
        <v>2023</v>
      </c>
      <c r="B9683" s="242">
        <v>10</v>
      </c>
      <c r="C9683" s="242">
        <v>12</v>
      </c>
      <c r="D9683" s="270">
        <f t="shared" si="1196"/>
        <v>45211</v>
      </c>
      <c r="E9683" s="279">
        <f t="shared" si="1197"/>
        <v>45211</v>
      </c>
      <c r="F9683" s="478"/>
      <c r="G9683" s="243" t="s">
        <v>94</v>
      </c>
      <c r="H9683" s="243" t="str" cm="1">
        <f t="array" ref="H9683">IFERROR(INDEX(INVESTOR_LIST[INVESTOR NAME],MATCH(I9683,INVESTOR_LIST[INVESTOR CODE],0),)," ")</f>
        <v xml:space="preserve"> </v>
      </c>
      <c r="I9683" s="263" t="s">
        <v>348</v>
      </c>
      <c r="J9683" s="244" t="s">
        <v>47</v>
      </c>
      <c r="K9683" s="245"/>
      <c r="L9683" s="245">
        <v>63375.086461008403</v>
      </c>
    </row>
    <row r="9684" spans="1:17" x14ac:dyDescent="0.2">
      <c r="A9684" s="246">
        <v>2023</v>
      </c>
      <c r="B9684" s="238">
        <v>10</v>
      </c>
      <c r="C9684" s="238">
        <v>12</v>
      </c>
      <c r="D9684" s="270">
        <f t="shared" si="1196"/>
        <v>45211</v>
      </c>
      <c r="E9684" s="279">
        <f t="shared" si="1197"/>
        <v>45211</v>
      </c>
      <c r="F9684" s="482" t="s">
        <v>138</v>
      </c>
      <c r="G9684" s="247" t="s">
        <v>94</v>
      </c>
      <c r="H9684" s="247" t="str" cm="1">
        <f t="array" ref="H9684">IFERROR(INDEX(INVESTOR_LIST[INVESTOR NAME],MATCH(I9684,INVESTOR_LIST[INVESTOR CODE],0),)," ")</f>
        <v xml:space="preserve"> </v>
      </c>
      <c r="I9684" s="248" t="s">
        <v>348</v>
      </c>
      <c r="J9684" s="249" t="s">
        <v>100</v>
      </c>
      <c r="K9684" s="250">
        <v>2928.3697076658045</v>
      </c>
      <c r="L9684" s="252"/>
    </row>
    <row r="9685" spans="1:17" ht="10.9" customHeight="1" x14ac:dyDescent="0.2">
      <c r="A9685" s="242">
        <v>2023</v>
      </c>
      <c r="B9685" s="242">
        <v>10</v>
      </c>
      <c r="C9685" s="242">
        <v>12</v>
      </c>
      <c r="D9685" s="321">
        <f t="shared" si="1196"/>
        <v>45211</v>
      </c>
      <c r="E9685" s="322">
        <f t="shared" si="1197"/>
        <v>45211</v>
      </c>
      <c r="F9685" s="478"/>
      <c r="G9685" s="243" t="s">
        <v>94</v>
      </c>
      <c r="H9685" s="243" t="str" cm="1">
        <f t="array" ref="H9685">IFERROR(INDEX(INVESTOR_LIST[INVESTOR NAME],MATCH(I9685,INVESTOR_LIST[INVESTOR CODE],0),)," ")</f>
        <v xml:space="preserve"> </v>
      </c>
      <c r="I9685" s="263" t="s">
        <v>348</v>
      </c>
      <c r="J9685" s="244" t="s">
        <v>48</v>
      </c>
      <c r="K9685" s="245"/>
      <c r="L9685" s="245">
        <v>2928.3697076658045</v>
      </c>
    </row>
    <row r="9686" spans="1:17" ht="10.15" customHeight="1" x14ac:dyDescent="0.2">
      <c r="A9686" s="168">
        <v>2023</v>
      </c>
      <c r="B9686" s="168">
        <v>10</v>
      </c>
      <c r="C9686" s="168">
        <v>16</v>
      </c>
      <c r="D9686" s="141">
        <f>DATE(A9686,B9686,C9686)</f>
        <v>45215</v>
      </c>
      <c r="E9686" s="275">
        <f>DATE(A9686,B9686,C9686)</f>
        <v>45215</v>
      </c>
      <c r="F9686" s="479" t="s">
        <v>1319</v>
      </c>
      <c r="G9686" s="220" t="s">
        <v>74</v>
      </c>
      <c r="H9686" s="142" t="str" cm="1">
        <f t="array" ref="H9686">IFERROR(INDEX(INVESTOR_LIST[INVESTOR NAME],MATCH(I9686,INVESTOR_LIST[INVESTOR CODE],0),)," ")</f>
        <v xml:space="preserve"> </v>
      </c>
      <c r="I9686" s="142"/>
      <c r="J9686" s="168" t="s">
        <v>52</v>
      </c>
      <c r="K9686" s="226">
        <v>20000</v>
      </c>
      <c r="L9686" s="226"/>
    </row>
    <row r="9687" spans="1:17" ht="10.15" customHeight="1" x14ac:dyDescent="0.2">
      <c r="A9687" s="133">
        <v>2023</v>
      </c>
      <c r="B9687" s="133">
        <v>10</v>
      </c>
      <c r="C9687" s="133">
        <v>16</v>
      </c>
      <c r="D9687" s="141">
        <f>DATE(A9687,B9687,C9687)</f>
        <v>45215</v>
      </c>
      <c r="E9687" s="275">
        <f>DATE(A9687,B9687,C9687)</f>
        <v>45215</v>
      </c>
      <c r="F9687" s="481"/>
      <c r="G9687" s="174" t="s">
        <v>74</v>
      </c>
      <c r="H9687" s="148" t="str" cm="1">
        <f t="array" ref="H9687">IFERROR(INDEX(INVESTOR_LIST[INVESTOR NAME],MATCH(I9687,INVESTOR_LIST[INVESTOR CODE],0),)," ")</f>
        <v xml:space="preserve"> </v>
      </c>
      <c r="J9687" s="133" t="s">
        <v>13</v>
      </c>
      <c r="K9687" s="218"/>
      <c r="L9687" s="218">
        <v>16020</v>
      </c>
    </row>
    <row r="9688" spans="1:17" ht="10.15" customHeight="1" x14ac:dyDescent="0.2">
      <c r="A9688" s="163">
        <v>2023</v>
      </c>
      <c r="B9688" s="163">
        <v>10</v>
      </c>
      <c r="C9688" s="163">
        <v>16</v>
      </c>
      <c r="D9688" s="280">
        <f>DATE(A9688,B9688,C9688)</f>
        <v>45215</v>
      </c>
      <c r="E9688" s="281">
        <f>DATE(A9688,B9688,C9688)</f>
        <v>45215</v>
      </c>
      <c r="F9688" s="480"/>
      <c r="G9688" s="221" t="s">
        <v>74</v>
      </c>
      <c r="H9688" s="145" t="str" cm="1">
        <f t="array" ref="H9688">IFERROR(INDEX(INVESTOR_LIST[INVESTOR NAME],MATCH(I9688,INVESTOR_LIST[INVESTOR CODE],0),)," ")</f>
        <v xml:space="preserve"> </v>
      </c>
      <c r="I9688" s="145"/>
      <c r="J9688" s="163" t="s">
        <v>53</v>
      </c>
      <c r="K9688" s="219"/>
      <c r="L9688" s="219">
        <v>3980</v>
      </c>
    </row>
    <row r="9689" spans="1:17" x14ac:dyDescent="0.2">
      <c r="A9689" s="133">
        <v>2023</v>
      </c>
      <c r="B9689" s="133">
        <v>10</v>
      </c>
      <c r="C9689" s="133">
        <v>17</v>
      </c>
      <c r="D9689" s="141">
        <f t="shared" si="1196"/>
        <v>45216</v>
      </c>
      <c r="E9689" s="275">
        <f t="shared" si="1197"/>
        <v>45216</v>
      </c>
      <c r="F9689" s="481" t="s">
        <v>275</v>
      </c>
      <c r="G9689" s="174" t="s">
        <v>74</v>
      </c>
      <c r="H9689" s="174" t="str" cm="1">
        <f t="array" ref="H9689">IFERROR(INDEX(INVESTOR_LIST[INVESTOR NAME],MATCH(I9689,INVESTOR_LIST[INVESTOR CODE],0),)," ")</f>
        <v xml:space="preserve"> </v>
      </c>
      <c r="I9689" s="148" t="s">
        <v>348</v>
      </c>
      <c r="J9689" s="149" t="s">
        <v>163</v>
      </c>
      <c r="K9689" s="218">
        <v>1575</v>
      </c>
      <c r="L9689" s="218"/>
      <c r="M9689" s="147"/>
      <c r="Q9689" s="133" t="s">
        <v>348</v>
      </c>
    </row>
    <row r="9690" spans="1:17" x14ac:dyDescent="0.2">
      <c r="A9690" s="163">
        <v>2023</v>
      </c>
      <c r="B9690" s="163">
        <v>10</v>
      </c>
      <c r="C9690" s="163">
        <v>17</v>
      </c>
      <c r="D9690" s="141">
        <f t="shared" si="1196"/>
        <v>45216</v>
      </c>
      <c r="E9690" s="275">
        <f t="shared" si="1197"/>
        <v>45216</v>
      </c>
      <c r="F9690" s="480"/>
      <c r="G9690" s="221" t="s">
        <v>74</v>
      </c>
      <c r="H9690" s="221" t="str" cm="1">
        <f t="array" ref="H9690">IFERROR(INDEX(INVESTOR_LIST[INVESTOR NAME],MATCH(I9690,INVESTOR_LIST[INVESTOR CODE],0),)," ")</f>
        <v xml:space="preserve"> </v>
      </c>
      <c r="I9690" s="145"/>
      <c r="J9690" s="146" t="s">
        <v>52</v>
      </c>
      <c r="K9690" s="219"/>
      <c r="L9690" s="219">
        <v>1575</v>
      </c>
      <c r="M9690" s="147"/>
      <c r="Q9690" s="133" t="s">
        <v>348</v>
      </c>
    </row>
    <row r="9691" spans="1:17" x14ac:dyDescent="0.2">
      <c r="A9691" s="133">
        <v>2023</v>
      </c>
      <c r="B9691" s="133">
        <v>10</v>
      </c>
      <c r="C9691" s="133">
        <v>18</v>
      </c>
      <c r="D9691" s="141">
        <f t="shared" si="1196"/>
        <v>45217</v>
      </c>
      <c r="E9691" s="275">
        <f t="shared" si="1197"/>
        <v>45217</v>
      </c>
      <c r="F9691" s="481" t="s">
        <v>982</v>
      </c>
      <c r="G9691" s="174" t="s">
        <v>74</v>
      </c>
      <c r="H9691" s="174" t="str" cm="1">
        <f t="array" ref="H9691">IFERROR(INDEX(INVESTOR_LIST[INVESTOR NAME],MATCH(I9691,INVESTOR_LIST[INVESTOR CODE],0),)," ")</f>
        <v xml:space="preserve"> </v>
      </c>
      <c r="I9691" s="148" t="s">
        <v>348</v>
      </c>
      <c r="J9691" s="149" t="s">
        <v>163</v>
      </c>
      <c r="K9691" s="218">
        <v>3750</v>
      </c>
      <c r="L9691" s="218"/>
    </row>
    <row r="9692" spans="1:17" x14ac:dyDescent="0.2">
      <c r="A9692" s="163">
        <v>2023</v>
      </c>
      <c r="B9692" s="163">
        <v>10</v>
      </c>
      <c r="C9692" s="163">
        <v>18</v>
      </c>
      <c r="D9692" s="141">
        <f t="shared" si="1196"/>
        <v>45217</v>
      </c>
      <c r="E9692" s="275">
        <f t="shared" si="1197"/>
        <v>45217</v>
      </c>
      <c r="F9692" s="480"/>
      <c r="G9692" s="221" t="s">
        <v>74</v>
      </c>
      <c r="H9692" s="221" t="str" cm="1">
        <f t="array" ref="H9692">IFERROR(INDEX(INVESTOR_LIST[INVESTOR NAME],MATCH(I9692,INVESTOR_LIST[INVESTOR CODE],0),)," ")</f>
        <v xml:space="preserve"> </v>
      </c>
      <c r="I9692" s="145" t="s">
        <v>348</v>
      </c>
      <c r="J9692" s="146" t="s">
        <v>52</v>
      </c>
      <c r="K9692" s="219"/>
      <c r="L9692" s="219">
        <v>3750</v>
      </c>
    </row>
    <row r="9693" spans="1:17" ht="10.15" customHeight="1" x14ac:dyDescent="0.2">
      <c r="A9693" s="168">
        <v>2023</v>
      </c>
      <c r="B9693" s="168">
        <v>10</v>
      </c>
      <c r="C9693" s="168">
        <v>18</v>
      </c>
      <c r="D9693" s="141">
        <f t="shared" ref="D9693:D9719" si="1198">DATE(A9693,B9693,C9693)</f>
        <v>45217</v>
      </c>
      <c r="E9693" s="275">
        <f t="shared" ref="E9693:E9719" si="1199">DATE(A9693,B9693,C9693)</f>
        <v>45217</v>
      </c>
      <c r="F9693" s="479" t="s">
        <v>1310</v>
      </c>
      <c r="G9693" s="220" t="s">
        <v>74</v>
      </c>
      <c r="H9693" s="142" t="str" cm="1">
        <f t="array" ref="H9693">IFERROR(INDEX(INVESTOR_LIST[INVESTOR NAME],MATCH(I9693,INVESTOR_LIST[INVESTOR CODE],0),)," ")</f>
        <v>MD. NIAZ MURSHED</v>
      </c>
      <c r="I9693" s="142" t="s">
        <v>646</v>
      </c>
      <c r="J9693" s="168" t="s">
        <v>13</v>
      </c>
      <c r="K9693" s="218">
        <v>160240</v>
      </c>
      <c r="L9693" s="226"/>
    </row>
    <row r="9694" spans="1:17" ht="10.15" customHeight="1" x14ac:dyDescent="0.2">
      <c r="A9694" s="133">
        <v>2023</v>
      </c>
      <c r="B9694" s="133">
        <v>10</v>
      </c>
      <c r="C9694" s="133">
        <v>18</v>
      </c>
      <c r="D9694" s="141">
        <f t="shared" si="1198"/>
        <v>45217</v>
      </c>
      <c r="E9694" s="275">
        <f t="shared" si="1199"/>
        <v>45217</v>
      </c>
      <c r="F9694" s="481"/>
      <c r="G9694" s="174" t="s">
        <v>74</v>
      </c>
      <c r="H9694" s="148" t="str" cm="1">
        <f t="array" ref="H9694">IFERROR(INDEX(INVESTOR_LIST[INVESTOR NAME],MATCH(I9694,INVESTOR_LIST[INVESTOR CODE],0),)," ")</f>
        <v>MD. NIAZ MURSHED</v>
      </c>
      <c r="I9694" s="148" t="s">
        <v>646</v>
      </c>
      <c r="J9694" s="133" t="s">
        <v>53</v>
      </c>
      <c r="K9694" s="218">
        <v>39771.570000000007</v>
      </c>
      <c r="L9694" s="133"/>
    </row>
    <row r="9695" spans="1:17" ht="10.15" customHeight="1" x14ac:dyDescent="0.2">
      <c r="A9695" s="163">
        <v>2023</v>
      </c>
      <c r="B9695" s="163">
        <v>10</v>
      </c>
      <c r="C9695" s="163">
        <v>18</v>
      </c>
      <c r="D9695" s="280">
        <f t="shared" si="1198"/>
        <v>45217</v>
      </c>
      <c r="E9695" s="281">
        <f t="shared" si="1199"/>
        <v>45217</v>
      </c>
      <c r="F9695" s="480"/>
      <c r="G9695" s="221" t="s">
        <v>74</v>
      </c>
      <c r="H9695" s="145" t="str" cm="1">
        <f t="array" ref="H9695">IFERROR(INDEX(INVESTOR_LIST[INVESTOR NAME],MATCH(I9695,INVESTOR_LIST[INVESTOR CODE],0),)," ")</f>
        <v>MD. NIAZ MURSHED</v>
      </c>
      <c r="I9695" s="145" t="s">
        <v>646</v>
      </c>
      <c r="J9695" s="163" t="s">
        <v>52</v>
      </c>
      <c r="K9695" s="219"/>
      <c r="L9695" s="219">
        <v>200011.57</v>
      </c>
    </row>
    <row r="9696" spans="1:17" x14ac:dyDescent="0.2">
      <c r="A9696" s="324">
        <v>2023</v>
      </c>
      <c r="B9696" s="324">
        <v>10</v>
      </c>
      <c r="C9696" s="325">
        <v>19</v>
      </c>
      <c r="D9696" s="326">
        <f t="shared" si="1198"/>
        <v>45218</v>
      </c>
      <c r="E9696" s="327">
        <f t="shared" si="1199"/>
        <v>45218</v>
      </c>
      <c r="F9696" s="473" t="s">
        <v>1490</v>
      </c>
      <c r="G9696" s="328" t="s">
        <v>94</v>
      </c>
      <c r="H9696" s="329" t="str" cm="1">
        <f t="array" ref="H9696">IFERROR(INDEX(INVESTOR_LIST[INVESTOR NAME],MATCH(I9696,INVESTOR_LIST[INVESTOR CODE],0),)," ")</f>
        <v xml:space="preserve"> </v>
      </c>
      <c r="I9696" s="329" t="s">
        <v>348</v>
      </c>
      <c r="J9696" s="325" t="s">
        <v>133</v>
      </c>
      <c r="K9696" s="330">
        <v>16858.240000000002</v>
      </c>
      <c r="L9696" s="330"/>
      <c r="M9696" s="160"/>
    </row>
    <row r="9697" spans="1:14" x14ac:dyDescent="0.2">
      <c r="A9697" s="331">
        <v>2023</v>
      </c>
      <c r="B9697" s="331">
        <v>10</v>
      </c>
      <c r="C9697" s="331">
        <v>19</v>
      </c>
      <c r="D9697" s="326">
        <f t="shared" si="1198"/>
        <v>45218</v>
      </c>
      <c r="E9697" s="327">
        <f t="shared" si="1199"/>
        <v>45218</v>
      </c>
      <c r="F9697" s="474"/>
      <c r="G9697" s="332" t="s">
        <v>94</v>
      </c>
      <c r="H9697" s="333" t="str" cm="1">
        <f t="array" ref="H9697">IFERROR(INDEX(INVESTOR_LIST[INVESTOR NAME],MATCH(I9697,INVESTOR_LIST[INVESTOR CODE],0),)," ")</f>
        <v xml:space="preserve"> </v>
      </c>
      <c r="I9697" s="333" t="s">
        <v>348</v>
      </c>
      <c r="J9697" s="331" t="s">
        <v>152</v>
      </c>
      <c r="K9697" s="334"/>
      <c r="L9697" s="334">
        <v>16858.240000000002</v>
      </c>
      <c r="M9697" s="160"/>
      <c r="N9697" s="160"/>
    </row>
    <row r="9698" spans="1:14" x14ac:dyDescent="0.2">
      <c r="A9698" s="324">
        <v>2023</v>
      </c>
      <c r="B9698" s="324">
        <v>10</v>
      </c>
      <c r="C9698" s="325">
        <v>19</v>
      </c>
      <c r="D9698" s="326">
        <f t="shared" si="1198"/>
        <v>45218</v>
      </c>
      <c r="E9698" s="327">
        <f t="shared" si="1199"/>
        <v>45218</v>
      </c>
      <c r="F9698" s="473" t="s">
        <v>1491</v>
      </c>
      <c r="G9698" s="328" t="s">
        <v>94</v>
      </c>
      <c r="H9698" s="329" t="str" cm="1">
        <f t="array" ref="H9698">IFERROR(INDEX(INVESTOR_LIST[INVESTOR NAME],MATCH(I9698,INVESTOR_LIST[INVESTOR CODE],0),)," ")</f>
        <v xml:space="preserve"> </v>
      </c>
      <c r="I9698" s="329" t="s">
        <v>348</v>
      </c>
      <c r="J9698" s="324" t="s">
        <v>133</v>
      </c>
      <c r="K9698" s="330">
        <v>4903.8500000000004</v>
      </c>
      <c r="L9698" s="330"/>
      <c r="M9698" s="160"/>
      <c r="N9698" s="160"/>
    </row>
    <row r="9699" spans="1:14" x14ac:dyDescent="0.2">
      <c r="A9699" s="331">
        <v>2023</v>
      </c>
      <c r="B9699" s="331">
        <v>10</v>
      </c>
      <c r="C9699" s="331">
        <v>19</v>
      </c>
      <c r="D9699" s="326">
        <f t="shared" si="1198"/>
        <v>45218</v>
      </c>
      <c r="E9699" s="327">
        <f t="shared" si="1199"/>
        <v>45218</v>
      </c>
      <c r="F9699" s="474"/>
      <c r="G9699" s="332" t="s">
        <v>94</v>
      </c>
      <c r="H9699" s="333" t="str" cm="1">
        <f t="array" ref="H9699">IFERROR(INDEX(INVESTOR_LIST[INVESTOR NAME],MATCH(I9699,INVESTOR_LIST[INVESTOR CODE],0),)," ")</f>
        <v xml:space="preserve"> </v>
      </c>
      <c r="I9699" s="333" t="s">
        <v>348</v>
      </c>
      <c r="J9699" s="331" t="s">
        <v>152</v>
      </c>
      <c r="K9699" s="334"/>
      <c r="L9699" s="334">
        <v>4903.8500000000004</v>
      </c>
      <c r="M9699" s="160"/>
    </row>
    <row r="9700" spans="1:14" x14ac:dyDescent="0.2">
      <c r="A9700" s="324">
        <v>2023</v>
      </c>
      <c r="B9700" s="324">
        <v>10</v>
      </c>
      <c r="C9700" s="325">
        <v>19</v>
      </c>
      <c r="D9700" s="326">
        <f t="shared" si="1198"/>
        <v>45218</v>
      </c>
      <c r="E9700" s="327">
        <f t="shared" si="1199"/>
        <v>45218</v>
      </c>
      <c r="F9700" s="473" t="s">
        <v>1531</v>
      </c>
      <c r="G9700" s="328" t="s">
        <v>94</v>
      </c>
      <c r="H9700" s="329" t="str" cm="1">
        <f t="array" ref="H9700">IFERROR(INDEX(INVESTOR_LIST[INVESTOR NAME],MATCH(I9700,INVESTOR_LIST[INVESTOR CODE],0),)," ")</f>
        <v xml:space="preserve"> </v>
      </c>
      <c r="I9700" s="329" t="s">
        <v>348</v>
      </c>
      <c r="J9700" s="324" t="s">
        <v>133</v>
      </c>
      <c r="K9700" s="330">
        <v>21025.64</v>
      </c>
      <c r="L9700" s="330"/>
      <c r="M9700" s="160"/>
    </row>
    <row r="9701" spans="1:14" x14ac:dyDescent="0.2">
      <c r="A9701" s="331">
        <v>2023</v>
      </c>
      <c r="B9701" s="331">
        <v>10</v>
      </c>
      <c r="C9701" s="331">
        <v>19</v>
      </c>
      <c r="D9701" s="326">
        <f t="shared" si="1198"/>
        <v>45218</v>
      </c>
      <c r="E9701" s="327">
        <f t="shared" si="1199"/>
        <v>45218</v>
      </c>
      <c r="F9701" s="474"/>
      <c r="G9701" s="332" t="s">
        <v>94</v>
      </c>
      <c r="H9701" s="333" t="str" cm="1">
        <f t="array" ref="H9701">IFERROR(INDEX(INVESTOR_LIST[INVESTOR NAME],MATCH(I9701,INVESTOR_LIST[INVESTOR CODE],0),)," ")</f>
        <v xml:space="preserve"> </v>
      </c>
      <c r="I9701" s="333" t="s">
        <v>348</v>
      </c>
      <c r="J9701" s="331" t="s">
        <v>152</v>
      </c>
      <c r="K9701" s="334"/>
      <c r="L9701" s="334">
        <v>21025.64</v>
      </c>
      <c r="M9701" s="160"/>
    </row>
    <row r="9702" spans="1:14" x14ac:dyDescent="0.2">
      <c r="A9702" s="343">
        <v>2023</v>
      </c>
      <c r="B9702" s="343">
        <v>10</v>
      </c>
      <c r="C9702" s="343">
        <v>19</v>
      </c>
      <c r="D9702" s="344">
        <f t="shared" si="1198"/>
        <v>45218</v>
      </c>
      <c r="E9702" s="345">
        <f t="shared" si="1199"/>
        <v>45218</v>
      </c>
      <c r="F9702" s="483" t="s">
        <v>1813</v>
      </c>
      <c r="G9702" s="350" t="s">
        <v>94</v>
      </c>
      <c r="H9702" s="350" t="str" cm="1">
        <f t="array" ref="H9702">IFERROR(INDEX(INVESTOR_LIST[INVESTOR NAME],MATCH(I9702,INVESTOR_LIST[INVESTOR CODE],0),)," ")</f>
        <v xml:space="preserve"> </v>
      </c>
      <c r="I9702" s="352" t="s">
        <v>348</v>
      </c>
      <c r="J9702" s="353" t="s">
        <v>1798</v>
      </c>
      <c r="K9702" s="354">
        <v>6738</v>
      </c>
      <c r="L9702" s="354"/>
    </row>
    <row r="9703" spans="1:14" x14ac:dyDescent="0.2">
      <c r="A9703" s="346">
        <v>2023</v>
      </c>
      <c r="B9703" s="346">
        <v>10</v>
      </c>
      <c r="C9703" s="346">
        <v>19</v>
      </c>
      <c r="D9703" s="344">
        <f t="shared" si="1198"/>
        <v>45218</v>
      </c>
      <c r="E9703" s="345">
        <f t="shared" si="1199"/>
        <v>45218</v>
      </c>
      <c r="F9703" s="484"/>
      <c r="G9703" s="347" t="s">
        <v>94</v>
      </c>
      <c r="H9703" s="347" t="str" cm="1">
        <f t="array" ref="H9703">IFERROR(INDEX(INVESTOR_LIST[INVESTOR NAME],MATCH(I9703,INVESTOR_LIST[INVESTOR CODE],0),)," ")</f>
        <v xml:space="preserve"> </v>
      </c>
      <c r="I9703" s="348" t="s">
        <v>348</v>
      </c>
      <c r="J9703" s="355" t="s">
        <v>1807</v>
      </c>
      <c r="K9703" s="349"/>
      <c r="L9703" s="349">
        <v>6738</v>
      </c>
    </row>
    <row r="9704" spans="1:14" x14ac:dyDescent="0.2">
      <c r="A9704" s="238">
        <v>2023</v>
      </c>
      <c r="B9704" s="238">
        <v>10</v>
      </c>
      <c r="C9704" s="238">
        <v>19</v>
      </c>
      <c r="D9704" s="270">
        <f t="shared" si="1198"/>
        <v>45218</v>
      </c>
      <c r="E9704" s="279">
        <f t="shared" si="1199"/>
        <v>45218</v>
      </c>
      <c r="F9704" s="477" t="s">
        <v>347</v>
      </c>
      <c r="G9704" s="239" t="s">
        <v>94</v>
      </c>
      <c r="H9704" s="239" t="str" cm="1">
        <f t="array" ref="H9704">IFERROR(INDEX(INVESTOR_LIST[INVESTOR NAME],MATCH(I9704,INVESTOR_LIST[INVESTOR CODE],0),)," ")</f>
        <v xml:space="preserve"> </v>
      </c>
      <c r="I9704" s="262" t="s">
        <v>348</v>
      </c>
      <c r="J9704" s="240" t="s">
        <v>82</v>
      </c>
      <c r="K9704" s="241">
        <v>25352.510000020266</v>
      </c>
      <c r="L9704" s="241"/>
    </row>
    <row r="9705" spans="1:14" x14ac:dyDescent="0.2">
      <c r="A9705" s="242">
        <v>2023</v>
      </c>
      <c r="B9705" s="242">
        <v>10</v>
      </c>
      <c r="C9705" s="242">
        <v>19</v>
      </c>
      <c r="D9705" s="270">
        <f t="shared" si="1198"/>
        <v>45218</v>
      </c>
      <c r="E9705" s="279">
        <f t="shared" si="1199"/>
        <v>45218</v>
      </c>
      <c r="F9705" s="478"/>
      <c r="G9705" s="243" t="s">
        <v>94</v>
      </c>
      <c r="H9705" s="243" t="str" cm="1">
        <f t="array" ref="H9705">IFERROR(INDEX(INVESTOR_LIST[INVESTOR NAME],MATCH(I9705,INVESTOR_LIST[INVESTOR CODE],0),)," ")</f>
        <v xml:space="preserve"> </v>
      </c>
      <c r="I9705" s="263" t="s">
        <v>348</v>
      </c>
      <c r="J9705" s="244" t="s">
        <v>108</v>
      </c>
      <c r="K9705" s="245"/>
      <c r="L9705" s="245">
        <v>25352.510000020266</v>
      </c>
    </row>
    <row r="9706" spans="1:14" ht="22.5" x14ac:dyDescent="0.2">
      <c r="A9706" s="246">
        <v>2023</v>
      </c>
      <c r="B9706" s="238">
        <v>10</v>
      </c>
      <c r="C9706" s="238">
        <v>19</v>
      </c>
      <c r="D9706" s="270">
        <f t="shared" si="1198"/>
        <v>45218</v>
      </c>
      <c r="E9706" s="279">
        <f t="shared" si="1199"/>
        <v>45218</v>
      </c>
      <c r="F9706" s="482" t="s">
        <v>148</v>
      </c>
      <c r="G9706" s="247" t="s">
        <v>94</v>
      </c>
      <c r="H9706" s="247" t="str" cm="1">
        <f t="array" ref="H9706">IFERROR(INDEX(INVESTOR_LIST[INVESTOR NAME],MATCH(I9706,INVESTOR_LIST[INVESTOR CODE],0),)," ")</f>
        <v xml:space="preserve"> </v>
      </c>
      <c r="I9706" s="248" t="s">
        <v>348</v>
      </c>
      <c r="J9706" s="249" t="s">
        <v>95</v>
      </c>
      <c r="K9706" s="250">
        <v>2747.2527472527472</v>
      </c>
      <c r="L9706" s="241"/>
    </row>
    <row r="9707" spans="1:14" x14ac:dyDescent="0.2">
      <c r="A9707" s="242">
        <v>2023</v>
      </c>
      <c r="B9707" s="242">
        <v>10</v>
      </c>
      <c r="C9707" s="242">
        <v>19</v>
      </c>
      <c r="D9707" s="270">
        <f t="shared" si="1198"/>
        <v>45218</v>
      </c>
      <c r="E9707" s="279">
        <f t="shared" si="1199"/>
        <v>45218</v>
      </c>
      <c r="F9707" s="478"/>
      <c r="G9707" s="243" t="s">
        <v>94</v>
      </c>
      <c r="H9707" s="243" t="str" cm="1">
        <f t="array" ref="H9707">IFERROR(INDEX(INVESTOR_LIST[INVESTOR NAME],MATCH(I9707,INVESTOR_LIST[INVESTOR CODE],0),)," ")</f>
        <v xml:space="preserve"> </v>
      </c>
      <c r="I9707" s="263" t="s">
        <v>348</v>
      </c>
      <c r="J9707" s="244" t="s">
        <v>63</v>
      </c>
      <c r="K9707" s="245"/>
      <c r="L9707" s="245">
        <v>2747.2527472527472</v>
      </c>
    </row>
    <row r="9708" spans="1:14" x14ac:dyDescent="0.2">
      <c r="A9708" s="246">
        <v>2023</v>
      </c>
      <c r="B9708" s="238">
        <v>10</v>
      </c>
      <c r="C9708" s="238">
        <v>19</v>
      </c>
      <c r="D9708" s="270">
        <f t="shared" si="1198"/>
        <v>45218</v>
      </c>
      <c r="E9708" s="279">
        <f t="shared" si="1199"/>
        <v>45218</v>
      </c>
      <c r="F9708" s="482" t="s">
        <v>137</v>
      </c>
      <c r="G9708" s="247" t="s">
        <v>94</v>
      </c>
      <c r="H9708" s="247" t="str" cm="1">
        <f t="array" ref="H9708">IFERROR(INDEX(INVESTOR_LIST[INVESTOR NAME],MATCH(I9708,INVESTOR_LIST[INVESTOR CODE],0),)," ")</f>
        <v xml:space="preserve"> </v>
      </c>
      <c r="I9708" s="248" t="s">
        <v>348</v>
      </c>
      <c r="J9708" s="249" t="s">
        <v>97</v>
      </c>
      <c r="K9708" s="250">
        <v>63267.676252863959</v>
      </c>
      <c r="L9708" s="252"/>
    </row>
    <row r="9709" spans="1:14" x14ac:dyDescent="0.2">
      <c r="A9709" s="242">
        <v>2023</v>
      </c>
      <c r="B9709" s="242">
        <v>10</v>
      </c>
      <c r="C9709" s="242">
        <v>19</v>
      </c>
      <c r="D9709" s="270">
        <f t="shared" si="1198"/>
        <v>45218</v>
      </c>
      <c r="E9709" s="279">
        <f t="shared" si="1199"/>
        <v>45218</v>
      </c>
      <c r="F9709" s="478"/>
      <c r="G9709" s="243" t="s">
        <v>94</v>
      </c>
      <c r="H9709" s="243" t="str" cm="1">
        <f t="array" ref="H9709">IFERROR(INDEX(INVESTOR_LIST[INVESTOR NAME],MATCH(I9709,INVESTOR_LIST[INVESTOR CODE],0),)," ")</f>
        <v xml:space="preserve"> </v>
      </c>
      <c r="I9709" s="263" t="s">
        <v>348</v>
      </c>
      <c r="J9709" s="244" t="s">
        <v>47</v>
      </c>
      <c r="K9709" s="245"/>
      <c r="L9709" s="245">
        <v>63267.676252863959</v>
      </c>
    </row>
    <row r="9710" spans="1:14" x14ac:dyDescent="0.2">
      <c r="A9710" s="246">
        <v>2023</v>
      </c>
      <c r="B9710" s="238">
        <v>10</v>
      </c>
      <c r="C9710" s="238">
        <v>19</v>
      </c>
      <c r="D9710" s="270">
        <f t="shared" si="1198"/>
        <v>45218</v>
      </c>
      <c r="E9710" s="279">
        <f t="shared" si="1199"/>
        <v>45218</v>
      </c>
      <c r="F9710" s="482" t="s">
        <v>138</v>
      </c>
      <c r="G9710" s="247" t="s">
        <v>94</v>
      </c>
      <c r="H9710" s="247" t="str" cm="1">
        <f t="array" ref="H9710">IFERROR(INDEX(INVESTOR_LIST[INVESTOR NAME],MATCH(I9710,INVESTOR_LIST[INVESTOR CODE],0),)," ")</f>
        <v xml:space="preserve"> </v>
      </c>
      <c r="I9710" s="248" t="s">
        <v>348</v>
      </c>
      <c r="J9710" s="249" t="s">
        <v>100</v>
      </c>
      <c r="K9710" s="250">
        <v>2922.9991972585826</v>
      </c>
      <c r="L9710" s="252"/>
    </row>
    <row r="9711" spans="1:14" ht="10.9" customHeight="1" x14ac:dyDescent="0.2">
      <c r="A9711" s="242">
        <v>2023</v>
      </c>
      <c r="B9711" s="242">
        <v>10</v>
      </c>
      <c r="C9711" s="242">
        <v>19</v>
      </c>
      <c r="D9711" s="321">
        <f t="shared" si="1198"/>
        <v>45218</v>
      </c>
      <c r="E9711" s="322">
        <f t="shared" si="1199"/>
        <v>45218</v>
      </c>
      <c r="F9711" s="478"/>
      <c r="G9711" s="243" t="s">
        <v>94</v>
      </c>
      <c r="H9711" s="243" t="str" cm="1">
        <f t="array" ref="H9711">IFERROR(INDEX(INVESTOR_LIST[INVESTOR NAME],MATCH(I9711,INVESTOR_LIST[INVESTOR CODE],0),)," ")</f>
        <v xml:space="preserve"> </v>
      </c>
      <c r="I9711" s="263" t="s">
        <v>348</v>
      </c>
      <c r="J9711" s="244" t="s">
        <v>48</v>
      </c>
      <c r="K9711" s="245"/>
      <c r="L9711" s="245">
        <v>2922.9991972585826</v>
      </c>
    </row>
    <row r="9712" spans="1:14" x14ac:dyDescent="0.2">
      <c r="A9712" s="168">
        <v>2023</v>
      </c>
      <c r="B9712" s="168">
        <v>10</v>
      </c>
      <c r="C9712" s="168">
        <v>22</v>
      </c>
      <c r="D9712" s="141">
        <f t="shared" si="1198"/>
        <v>45221</v>
      </c>
      <c r="E9712" s="275">
        <f t="shared" si="1199"/>
        <v>45221</v>
      </c>
      <c r="F9712" s="479" t="s">
        <v>362</v>
      </c>
      <c r="G9712" s="220" t="s">
        <v>74</v>
      </c>
      <c r="H9712" s="220" t="str" cm="1">
        <f t="array" ref="H9712">IFERROR(INDEX(INVESTOR_LIST[INVESTOR NAME],MATCH(I9712,INVESTOR_LIST[INVESTOR CODE],0),)," ")</f>
        <v xml:space="preserve"> </v>
      </c>
      <c r="I9712" s="142" t="s">
        <v>348</v>
      </c>
      <c r="J9712" s="143" t="s">
        <v>104</v>
      </c>
      <c r="K9712" s="226">
        <v>328.37</v>
      </c>
      <c r="L9712" s="226"/>
    </row>
    <row r="9713" spans="1:13" x14ac:dyDescent="0.2">
      <c r="A9713" s="163">
        <v>2023</v>
      </c>
      <c r="B9713" s="163">
        <v>10</v>
      </c>
      <c r="C9713" s="163">
        <v>22</v>
      </c>
      <c r="D9713" s="141">
        <f t="shared" si="1198"/>
        <v>45221</v>
      </c>
      <c r="E9713" s="275">
        <f t="shared" si="1199"/>
        <v>45221</v>
      </c>
      <c r="F9713" s="480"/>
      <c r="G9713" s="221" t="s">
        <v>74</v>
      </c>
      <c r="H9713" s="221" t="str" cm="1">
        <f t="array" ref="H9713">IFERROR(INDEX(INVESTOR_LIST[INVESTOR NAME],MATCH(I9713,INVESTOR_LIST[INVESTOR CODE],0),)," ")</f>
        <v xml:space="preserve"> </v>
      </c>
      <c r="I9713" s="145" t="s">
        <v>348</v>
      </c>
      <c r="J9713" s="146" t="s">
        <v>52</v>
      </c>
      <c r="K9713" s="219"/>
      <c r="L9713" s="219">
        <v>328.37</v>
      </c>
    </row>
    <row r="9714" spans="1:13" x14ac:dyDescent="0.2">
      <c r="A9714" s="133">
        <v>2023</v>
      </c>
      <c r="B9714" s="133">
        <v>10</v>
      </c>
      <c r="C9714" s="133">
        <v>23</v>
      </c>
      <c r="D9714" s="141">
        <f t="shared" si="1198"/>
        <v>45222</v>
      </c>
      <c r="E9714" s="275">
        <f t="shared" si="1199"/>
        <v>45222</v>
      </c>
      <c r="F9714" s="481" t="s">
        <v>1753</v>
      </c>
      <c r="G9714" s="174" t="s">
        <v>94</v>
      </c>
      <c r="H9714" s="174" t="str" cm="1">
        <f t="array" ref="H9714">IFERROR(INDEX(INVESTOR_LIST[INVESTOR NAME],MATCH(I9714,INVESTOR_LIST[INVESTOR CODE],0),)," ")</f>
        <v xml:space="preserve"> </v>
      </c>
      <c r="J9714" s="149" t="s">
        <v>190</v>
      </c>
      <c r="K9714" s="218">
        <v>1049485.5</v>
      </c>
      <c r="L9714" s="218"/>
      <c r="M9714" s="160"/>
    </row>
    <row r="9715" spans="1:13" x14ac:dyDescent="0.2">
      <c r="A9715" s="133">
        <v>2023</v>
      </c>
      <c r="B9715" s="133">
        <v>10</v>
      </c>
      <c r="C9715" s="133">
        <v>23</v>
      </c>
      <c r="D9715" s="141">
        <f t="shared" si="1198"/>
        <v>45222</v>
      </c>
      <c r="E9715" s="275">
        <f t="shared" si="1199"/>
        <v>45222</v>
      </c>
      <c r="F9715" s="481"/>
      <c r="G9715" s="174" t="s">
        <v>94</v>
      </c>
      <c r="H9715" s="174"/>
      <c r="J9715" s="149" t="s">
        <v>80</v>
      </c>
      <c r="K9715" s="218">
        <v>1892.5</v>
      </c>
      <c r="L9715" s="218"/>
    </row>
    <row r="9716" spans="1:13" x14ac:dyDescent="0.2">
      <c r="A9716" s="133">
        <v>2023</v>
      </c>
      <c r="B9716" s="133">
        <v>10</v>
      </c>
      <c r="C9716" s="133">
        <v>23</v>
      </c>
      <c r="D9716" s="141">
        <f t="shared" si="1198"/>
        <v>45222</v>
      </c>
      <c r="E9716" s="275">
        <f t="shared" si="1199"/>
        <v>45222</v>
      </c>
      <c r="F9716" s="481"/>
      <c r="G9716" s="174" t="s">
        <v>94</v>
      </c>
      <c r="H9716" s="174" t="str" cm="1">
        <f t="array" ref="H9716">IFERROR(INDEX(INVESTOR_LIST[INVESTOR NAME],MATCH(I9716,INVESTOR_LIST[INVESTOR CODE],0),)," ")</f>
        <v xml:space="preserve"> </v>
      </c>
      <c r="J9716" s="149" t="s">
        <v>191</v>
      </c>
      <c r="K9716" s="218">
        <v>81393.5</v>
      </c>
      <c r="L9716" s="218"/>
    </row>
    <row r="9717" spans="1:13" x14ac:dyDescent="0.2">
      <c r="A9717" s="163">
        <v>2023</v>
      </c>
      <c r="B9717" s="163">
        <v>10</v>
      </c>
      <c r="C9717" s="163">
        <v>23</v>
      </c>
      <c r="D9717" s="280">
        <f t="shared" si="1198"/>
        <v>45222</v>
      </c>
      <c r="E9717" s="281">
        <f t="shared" si="1199"/>
        <v>45222</v>
      </c>
      <c r="F9717" s="480"/>
      <c r="G9717" s="221" t="s">
        <v>94</v>
      </c>
      <c r="H9717" s="145" t="str" cm="1">
        <f t="array" ref="H9717">IFERROR(INDEX(INVESTOR_LIST[INVESTOR NAME],MATCH(I9717,INVESTOR_LIST[INVESTOR CODE],0),)," ")</f>
        <v xml:space="preserve"> </v>
      </c>
      <c r="I9717" s="145"/>
      <c r="J9717" s="163" t="s">
        <v>79</v>
      </c>
      <c r="K9717" s="219"/>
      <c r="L9717" s="219">
        <v>1132771.5</v>
      </c>
    </row>
    <row r="9718" spans="1:13" ht="10.15" customHeight="1" x14ac:dyDescent="0.2">
      <c r="A9718" s="168">
        <v>2023</v>
      </c>
      <c r="B9718" s="168">
        <v>10</v>
      </c>
      <c r="C9718" s="168">
        <v>25</v>
      </c>
      <c r="D9718" s="141">
        <f t="shared" si="1198"/>
        <v>45224</v>
      </c>
      <c r="E9718" s="275">
        <f t="shared" si="1199"/>
        <v>45224</v>
      </c>
      <c r="F9718" s="479" t="s">
        <v>1796</v>
      </c>
      <c r="G9718" s="174" t="s">
        <v>74</v>
      </c>
      <c r="H9718" s="148" t="str" cm="1">
        <f t="array" ref="H9718">IFERROR(INDEX(INVESTOR_LIST[INVESTOR NAME],MATCH(I9718,INVESTOR_LIST[INVESTOR CODE],0),)," ")</f>
        <v xml:space="preserve"> </v>
      </c>
      <c r="I9718" s="148" t="s">
        <v>348</v>
      </c>
      <c r="J9718" s="133" t="s">
        <v>47</v>
      </c>
      <c r="K9718" s="172">
        <v>1199985</v>
      </c>
    </row>
    <row r="9719" spans="1:13" x14ac:dyDescent="0.2">
      <c r="A9719" s="163">
        <v>2023</v>
      </c>
      <c r="B9719" s="163">
        <v>10</v>
      </c>
      <c r="C9719" s="163">
        <v>25</v>
      </c>
      <c r="D9719" s="280">
        <f t="shared" si="1198"/>
        <v>45224</v>
      </c>
      <c r="E9719" s="281">
        <f t="shared" si="1199"/>
        <v>45224</v>
      </c>
      <c r="F9719" s="480"/>
      <c r="G9719" s="221" t="s">
        <v>74</v>
      </c>
      <c r="H9719" s="145" t="str" cm="1">
        <f t="array" ref="H9719">IFERROR(INDEX(INVESTOR_LIST[INVESTOR NAME],MATCH(I9719,INVESTOR_LIST[INVESTOR CODE],0),)," ")</f>
        <v xml:space="preserve"> </v>
      </c>
      <c r="I9719" s="145" t="s">
        <v>348</v>
      </c>
      <c r="J9719" s="163" t="s">
        <v>52</v>
      </c>
      <c r="K9719" s="219"/>
      <c r="L9719" s="219">
        <v>1199985</v>
      </c>
    </row>
    <row r="9720" spans="1:13" ht="10.15" customHeight="1" x14ac:dyDescent="0.2">
      <c r="A9720" s="168">
        <v>2023</v>
      </c>
      <c r="B9720" s="168">
        <v>10</v>
      </c>
      <c r="C9720" s="168">
        <v>25</v>
      </c>
      <c r="D9720" s="141">
        <f t="shared" ref="D9720:D9729" si="1200">DATE(A9720,B9720,C9720)</f>
        <v>45224</v>
      </c>
      <c r="E9720" s="275">
        <f t="shared" ref="E9720:E9729" si="1201">DATE(A9720,B9720,C9720)</f>
        <v>45224</v>
      </c>
      <c r="F9720" s="479" t="s">
        <v>1370</v>
      </c>
      <c r="G9720" s="220" t="s">
        <v>74</v>
      </c>
      <c r="H9720" s="142" t="str" cm="1">
        <f t="array" ref="H9720">IFERROR(INDEX(INVESTOR_LIST[INVESTOR NAME],MATCH(I9720,INVESTOR_LIST[INVESTOR CODE],0),)," ")</f>
        <v>MOHAMMAD NASIR HOSSAIN</v>
      </c>
      <c r="I9720" s="142" t="s">
        <v>624</v>
      </c>
      <c r="J9720" s="168" t="s">
        <v>13</v>
      </c>
      <c r="K9720" s="218">
        <v>337550</v>
      </c>
      <c r="L9720" s="226"/>
    </row>
    <row r="9721" spans="1:13" ht="10.15" customHeight="1" x14ac:dyDescent="0.2">
      <c r="A9721" s="133">
        <v>2023</v>
      </c>
      <c r="B9721" s="133">
        <v>10</v>
      </c>
      <c r="C9721" s="133">
        <v>25</v>
      </c>
      <c r="D9721" s="141">
        <f t="shared" si="1200"/>
        <v>45224</v>
      </c>
      <c r="E9721" s="275">
        <f t="shared" si="1201"/>
        <v>45224</v>
      </c>
      <c r="F9721" s="481"/>
      <c r="G9721" s="174" t="s">
        <v>74</v>
      </c>
      <c r="H9721" s="148" t="str" cm="1">
        <f t="array" ref="H9721">IFERROR(INDEX(INVESTOR_LIST[INVESTOR NAME],MATCH(I9721,INVESTOR_LIST[INVESTOR CODE],0),)," ")</f>
        <v>MOHAMMAD NASIR HOSSAIN</v>
      </c>
      <c r="I9721" s="148" t="s">
        <v>624</v>
      </c>
      <c r="J9721" s="133" t="s">
        <v>53</v>
      </c>
      <c r="K9721" s="218">
        <v>83239.83</v>
      </c>
      <c r="L9721" s="133"/>
    </row>
    <row r="9722" spans="1:13" ht="10.15" customHeight="1" x14ac:dyDescent="0.2">
      <c r="A9722" s="163">
        <v>2023</v>
      </c>
      <c r="B9722" s="163">
        <v>10</v>
      </c>
      <c r="C9722" s="163">
        <v>25</v>
      </c>
      <c r="D9722" s="280">
        <f t="shared" si="1200"/>
        <v>45224</v>
      </c>
      <c r="E9722" s="281">
        <f t="shared" si="1201"/>
        <v>45224</v>
      </c>
      <c r="F9722" s="480"/>
      <c r="G9722" s="221" t="s">
        <v>74</v>
      </c>
      <c r="H9722" s="145" t="str" cm="1">
        <f t="array" ref="H9722">IFERROR(INDEX(INVESTOR_LIST[INVESTOR NAME],MATCH(I9722,INVESTOR_LIST[INVESTOR CODE],0),)," ")</f>
        <v>MOHAMMAD NASIR HOSSAIN</v>
      </c>
      <c r="I9722" s="145" t="s">
        <v>624</v>
      </c>
      <c r="J9722" s="163" t="s">
        <v>52</v>
      </c>
      <c r="K9722" s="219"/>
      <c r="L9722" s="219">
        <v>420789.83</v>
      </c>
    </row>
    <row r="9723" spans="1:13" x14ac:dyDescent="0.2">
      <c r="A9723" s="168">
        <v>2023</v>
      </c>
      <c r="B9723" s="168">
        <v>10</v>
      </c>
      <c r="C9723" s="168">
        <v>26</v>
      </c>
      <c r="D9723" s="141">
        <f t="shared" si="1200"/>
        <v>45225</v>
      </c>
      <c r="E9723" s="275">
        <f t="shared" si="1201"/>
        <v>45225</v>
      </c>
      <c r="F9723" s="479" t="s">
        <v>1797</v>
      </c>
      <c r="G9723" s="220" t="s">
        <v>94</v>
      </c>
      <c r="H9723" s="220" t="str" cm="1">
        <f t="array" ref="H9723">IFERROR(INDEX(INVESTOR_LIST[INVESTOR NAME],MATCH(I9723,INVESTOR_LIST[INVESTOR CODE],0),)," ")</f>
        <v xml:space="preserve"> </v>
      </c>
      <c r="I9723" s="142"/>
      <c r="J9723" s="143" t="s">
        <v>79</v>
      </c>
      <c r="K9723" s="226">
        <v>494300</v>
      </c>
      <c r="L9723" s="226"/>
      <c r="M9723" s="160"/>
    </row>
    <row r="9724" spans="1:13" x14ac:dyDescent="0.2">
      <c r="A9724" s="133">
        <v>2023</v>
      </c>
      <c r="B9724" s="133">
        <v>10</v>
      </c>
      <c r="C9724" s="133">
        <v>26</v>
      </c>
      <c r="D9724" s="141">
        <f t="shared" si="1200"/>
        <v>45225</v>
      </c>
      <c r="E9724" s="275">
        <f t="shared" si="1201"/>
        <v>45225</v>
      </c>
      <c r="F9724" s="481"/>
      <c r="G9724" s="174" t="s">
        <v>94</v>
      </c>
      <c r="H9724" s="174"/>
      <c r="J9724" s="149" t="s">
        <v>80</v>
      </c>
      <c r="K9724" s="218">
        <v>889.76</v>
      </c>
      <c r="L9724" s="218"/>
    </row>
    <row r="9725" spans="1:13" ht="10.9" customHeight="1" x14ac:dyDescent="0.2">
      <c r="A9725" s="163">
        <v>2023</v>
      </c>
      <c r="B9725" s="163">
        <v>10</v>
      </c>
      <c r="C9725" s="163">
        <v>26</v>
      </c>
      <c r="D9725" s="280">
        <f t="shared" si="1200"/>
        <v>45225</v>
      </c>
      <c r="E9725" s="281">
        <f t="shared" si="1201"/>
        <v>45225</v>
      </c>
      <c r="F9725" s="480"/>
      <c r="G9725" s="221" t="s">
        <v>94</v>
      </c>
      <c r="H9725" s="221"/>
      <c r="I9725" s="145"/>
      <c r="J9725" s="146" t="s">
        <v>147</v>
      </c>
      <c r="K9725" s="219"/>
      <c r="L9725" s="219">
        <v>495189.76000000001</v>
      </c>
    </row>
    <row r="9726" spans="1:13" ht="10.15" customHeight="1" x14ac:dyDescent="0.2">
      <c r="A9726" s="168">
        <v>2023</v>
      </c>
      <c r="B9726" s="168">
        <v>10</v>
      </c>
      <c r="C9726" s="168">
        <v>26</v>
      </c>
      <c r="D9726" s="141">
        <f t="shared" si="1200"/>
        <v>45225</v>
      </c>
      <c r="E9726" s="275">
        <f t="shared" si="1201"/>
        <v>45225</v>
      </c>
      <c r="F9726" s="479" t="s">
        <v>1818</v>
      </c>
      <c r="G9726" s="220" t="s">
        <v>74</v>
      </c>
      <c r="H9726" s="220"/>
      <c r="I9726" s="142"/>
      <c r="J9726" s="143" t="s">
        <v>52</v>
      </c>
      <c r="K9726" s="226">
        <v>1024000</v>
      </c>
      <c r="L9726" s="226"/>
    </row>
    <row r="9727" spans="1:13" ht="10.15" customHeight="1" x14ac:dyDescent="0.2">
      <c r="A9727" s="133">
        <v>2023</v>
      </c>
      <c r="B9727" s="133">
        <v>10</v>
      </c>
      <c r="C9727" s="133">
        <v>26</v>
      </c>
      <c r="D9727" s="141">
        <f t="shared" ref="D9727" si="1202">DATE(A9727,B9727,C9727)</f>
        <v>45225</v>
      </c>
      <c r="E9727" s="275">
        <f t="shared" ref="E9727" si="1203">DATE(A9727,B9727,C9727)</f>
        <v>45225</v>
      </c>
      <c r="F9727" s="481"/>
      <c r="G9727" s="174" t="s">
        <v>74</v>
      </c>
      <c r="H9727" s="174"/>
      <c r="J9727" s="149" t="s">
        <v>61</v>
      </c>
      <c r="K9727" s="218">
        <v>2666.67</v>
      </c>
      <c r="L9727" s="218"/>
    </row>
    <row r="9728" spans="1:13" ht="10.15" customHeight="1" x14ac:dyDescent="0.2">
      <c r="A9728" s="133">
        <v>2023</v>
      </c>
      <c r="B9728" s="133">
        <v>10</v>
      </c>
      <c r="C9728" s="133">
        <v>26</v>
      </c>
      <c r="D9728" s="141">
        <f t="shared" si="1200"/>
        <v>45225</v>
      </c>
      <c r="E9728" s="275">
        <f t="shared" si="1201"/>
        <v>45225</v>
      </c>
      <c r="F9728" s="481"/>
      <c r="G9728" s="174" t="s">
        <v>74</v>
      </c>
      <c r="H9728" s="174"/>
      <c r="J9728" s="133" t="s">
        <v>133</v>
      </c>
      <c r="K9728" s="218"/>
      <c r="L9728" s="218">
        <v>26666.67</v>
      </c>
    </row>
    <row r="9729" spans="1:14" ht="10.15" customHeight="1" x14ac:dyDescent="0.2">
      <c r="A9729" s="163">
        <v>2023</v>
      </c>
      <c r="B9729" s="163">
        <v>10</v>
      </c>
      <c r="C9729" s="163">
        <v>26</v>
      </c>
      <c r="D9729" s="280">
        <f t="shared" si="1200"/>
        <v>45225</v>
      </c>
      <c r="E9729" s="281">
        <f t="shared" si="1201"/>
        <v>45225</v>
      </c>
      <c r="F9729" s="480"/>
      <c r="G9729" s="221" t="s">
        <v>74</v>
      </c>
      <c r="H9729" s="221" t="str" cm="1">
        <f t="array" ref="H9729">IFERROR(INDEX(INVESTOR_LIST[INVESTOR NAME],MATCH(I9729,INVESTOR_LIST[INVESTOR CODE],0),)," ")</f>
        <v xml:space="preserve"> </v>
      </c>
      <c r="I9729" s="145" t="s">
        <v>348</v>
      </c>
      <c r="J9729" s="146" t="s">
        <v>96</v>
      </c>
      <c r="K9729" s="219"/>
      <c r="L9729" s="219">
        <v>1000000</v>
      </c>
    </row>
    <row r="9730" spans="1:14" x14ac:dyDescent="0.2">
      <c r="A9730" s="168">
        <v>2023</v>
      </c>
      <c r="B9730" s="168">
        <v>10</v>
      </c>
      <c r="C9730" s="168">
        <v>26</v>
      </c>
      <c r="D9730" s="141">
        <f t="shared" ref="D9730:D9754" si="1204">DATE(A9730,B9730,C9730)</f>
        <v>45225</v>
      </c>
      <c r="E9730" s="275">
        <f t="shared" ref="E9730:E9754" si="1205">DATE(A9730,B9730,C9730)</f>
        <v>45225</v>
      </c>
      <c r="F9730" s="479" t="s">
        <v>1819</v>
      </c>
      <c r="G9730" s="220" t="s">
        <v>74</v>
      </c>
      <c r="H9730" s="220"/>
      <c r="I9730" s="142"/>
      <c r="J9730" s="143" t="s">
        <v>52</v>
      </c>
      <c r="K9730" s="226">
        <v>1024000</v>
      </c>
      <c r="L9730" s="226"/>
    </row>
    <row r="9731" spans="1:14" x14ac:dyDescent="0.2">
      <c r="A9731" s="133">
        <v>2023</v>
      </c>
      <c r="B9731" s="133">
        <v>10</v>
      </c>
      <c r="C9731" s="133">
        <v>26</v>
      </c>
      <c r="D9731" s="141">
        <f t="shared" si="1204"/>
        <v>45225</v>
      </c>
      <c r="E9731" s="275">
        <f t="shared" si="1205"/>
        <v>45225</v>
      </c>
      <c r="F9731" s="481"/>
      <c r="G9731" s="174" t="s">
        <v>74</v>
      </c>
      <c r="H9731" s="174"/>
      <c r="J9731" s="149" t="s">
        <v>61</v>
      </c>
      <c r="K9731" s="218">
        <v>2666.67</v>
      </c>
      <c r="L9731" s="218"/>
    </row>
    <row r="9732" spans="1:14" x14ac:dyDescent="0.2">
      <c r="A9732" s="133">
        <v>2023</v>
      </c>
      <c r="B9732" s="133">
        <v>10</v>
      </c>
      <c r="C9732" s="133">
        <v>26</v>
      </c>
      <c r="D9732" s="141">
        <f t="shared" si="1204"/>
        <v>45225</v>
      </c>
      <c r="E9732" s="275">
        <f t="shared" si="1205"/>
        <v>45225</v>
      </c>
      <c r="F9732" s="481"/>
      <c r="G9732" s="174" t="s">
        <v>74</v>
      </c>
      <c r="H9732" s="174"/>
      <c r="J9732" s="133" t="s">
        <v>133</v>
      </c>
      <c r="K9732" s="218"/>
      <c r="L9732" s="218">
        <v>26666.67</v>
      </c>
    </row>
    <row r="9733" spans="1:14" x14ac:dyDescent="0.2">
      <c r="A9733" s="163">
        <v>2023</v>
      </c>
      <c r="B9733" s="163">
        <v>10</v>
      </c>
      <c r="C9733" s="163">
        <v>26</v>
      </c>
      <c r="D9733" s="280">
        <f t="shared" si="1204"/>
        <v>45225</v>
      </c>
      <c r="E9733" s="281">
        <f t="shared" si="1205"/>
        <v>45225</v>
      </c>
      <c r="F9733" s="480"/>
      <c r="G9733" s="221" t="s">
        <v>74</v>
      </c>
      <c r="H9733" s="221" t="str" cm="1">
        <f t="array" ref="H9733">IFERROR(INDEX(INVESTOR_LIST[INVESTOR NAME],MATCH(I9733,INVESTOR_LIST[INVESTOR CODE],0),)," ")</f>
        <v xml:space="preserve"> </v>
      </c>
      <c r="I9733" s="145" t="s">
        <v>348</v>
      </c>
      <c r="J9733" s="146" t="s">
        <v>96</v>
      </c>
      <c r="K9733" s="219"/>
      <c r="L9733" s="219">
        <v>1000000</v>
      </c>
    </row>
    <row r="9734" spans="1:14" x14ac:dyDescent="0.2">
      <c r="A9734" s="324">
        <v>2023</v>
      </c>
      <c r="B9734" s="324">
        <v>10</v>
      </c>
      <c r="C9734" s="325">
        <v>26</v>
      </c>
      <c r="D9734" s="326">
        <f t="shared" si="1204"/>
        <v>45225</v>
      </c>
      <c r="E9734" s="327">
        <f t="shared" si="1205"/>
        <v>45225</v>
      </c>
      <c r="F9734" s="473" t="s">
        <v>1490</v>
      </c>
      <c r="G9734" s="328" t="s">
        <v>94</v>
      </c>
      <c r="H9734" s="329" t="str" cm="1">
        <f t="array" ref="H9734">IFERROR(INDEX(INVESTOR_LIST[INVESTOR NAME],MATCH(I9734,INVESTOR_LIST[INVESTOR CODE],0),)," ")</f>
        <v xml:space="preserve"> </v>
      </c>
      <c r="I9734" s="329" t="s">
        <v>348</v>
      </c>
      <c r="J9734" s="325" t="s">
        <v>133</v>
      </c>
      <c r="K9734" s="330">
        <v>16858.240000000002</v>
      </c>
      <c r="L9734" s="330"/>
      <c r="M9734" s="160"/>
    </row>
    <row r="9735" spans="1:14" x14ac:dyDescent="0.2">
      <c r="A9735" s="331">
        <v>2023</v>
      </c>
      <c r="B9735" s="331">
        <v>10</v>
      </c>
      <c r="C9735" s="331">
        <v>26</v>
      </c>
      <c r="D9735" s="326">
        <f t="shared" si="1204"/>
        <v>45225</v>
      </c>
      <c r="E9735" s="327">
        <f t="shared" si="1205"/>
        <v>45225</v>
      </c>
      <c r="F9735" s="474"/>
      <c r="G9735" s="332" t="s">
        <v>94</v>
      </c>
      <c r="H9735" s="333" t="str" cm="1">
        <f t="array" ref="H9735">IFERROR(INDEX(INVESTOR_LIST[INVESTOR NAME],MATCH(I9735,INVESTOR_LIST[INVESTOR CODE],0),)," ")</f>
        <v xml:space="preserve"> </v>
      </c>
      <c r="I9735" s="333" t="s">
        <v>348</v>
      </c>
      <c r="J9735" s="331" t="s">
        <v>152</v>
      </c>
      <c r="K9735" s="334"/>
      <c r="L9735" s="334">
        <v>16858.240000000002</v>
      </c>
      <c r="M9735" s="160"/>
      <c r="N9735" s="160"/>
    </row>
    <row r="9736" spans="1:14" x14ac:dyDescent="0.2">
      <c r="A9736" s="324">
        <v>2023</v>
      </c>
      <c r="B9736" s="324">
        <v>10</v>
      </c>
      <c r="C9736" s="325">
        <v>26</v>
      </c>
      <c r="D9736" s="326">
        <f t="shared" si="1204"/>
        <v>45225</v>
      </c>
      <c r="E9736" s="327">
        <f t="shared" si="1205"/>
        <v>45225</v>
      </c>
      <c r="F9736" s="473" t="s">
        <v>1491</v>
      </c>
      <c r="G9736" s="328" t="s">
        <v>94</v>
      </c>
      <c r="H9736" s="329" t="str" cm="1">
        <f t="array" ref="H9736">IFERROR(INDEX(INVESTOR_LIST[INVESTOR NAME],MATCH(I9736,INVESTOR_LIST[INVESTOR CODE],0),)," ")</f>
        <v xml:space="preserve"> </v>
      </c>
      <c r="I9736" s="329" t="s">
        <v>348</v>
      </c>
      <c r="J9736" s="324" t="s">
        <v>133</v>
      </c>
      <c r="K9736" s="330">
        <v>4903.8500000000004</v>
      </c>
      <c r="L9736" s="330"/>
      <c r="M9736" s="160"/>
      <c r="N9736" s="160"/>
    </row>
    <row r="9737" spans="1:14" x14ac:dyDescent="0.2">
      <c r="A9737" s="331">
        <v>2023</v>
      </c>
      <c r="B9737" s="331">
        <v>10</v>
      </c>
      <c r="C9737" s="331">
        <v>26</v>
      </c>
      <c r="D9737" s="326">
        <f t="shared" si="1204"/>
        <v>45225</v>
      </c>
      <c r="E9737" s="327">
        <f t="shared" si="1205"/>
        <v>45225</v>
      </c>
      <c r="F9737" s="474"/>
      <c r="G9737" s="332" t="s">
        <v>94</v>
      </c>
      <c r="H9737" s="333" t="str" cm="1">
        <f t="array" ref="H9737">IFERROR(INDEX(INVESTOR_LIST[INVESTOR NAME],MATCH(I9737,INVESTOR_LIST[INVESTOR CODE],0),)," ")</f>
        <v xml:space="preserve"> </v>
      </c>
      <c r="I9737" s="333" t="s">
        <v>348</v>
      </c>
      <c r="J9737" s="331" t="s">
        <v>152</v>
      </c>
      <c r="K9737" s="334"/>
      <c r="L9737" s="334">
        <v>4903.8500000000004</v>
      </c>
      <c r="M9737" s="160"/>
    </row>
    <row r="9738" spans="1:14" x14ac:dyDescent="0.2">
      <c r="A9738" s="324">
        <v>2023</v>
      </c>
      <c r="B9738" s="324">
        <v>10</v>
      </c>
      <c r="C9738" s="325">
        <v>26</v>
      </c>
      <c r="D9738" s="326">
        <f t="shared" si="1204"/>
        <v>45225</v>
      </c>
      <c r="E9738" s="327">
        <f t="shared" si="1205"/>
        <v>45225</v>
      </c>
      <c r="F9738" s="473" t="s">
        <v>1531</v>
      </c>
      <c r="G9738" s="328" t="s">
        <v>94</v>
      </c>
      <c r="H9738" s="329" t="str" cm="1">
        <f t="array" ref="H9738">IFERROR(INDEX(INVESTOR_LIST[INVESTOR NAME],MATCH(I9738,INVESTOR_LIST[INVESTOR CODE],0),)," ")</f>
        <v xml:space="preserve"> </v>
      </c>
      <c r="I9738" s="329" t="s">
        <v>348</v>
      </c>
      <c r="J9738" s="324" t="s">
        <v>133</v>
      </c>
      <c r="K9738" s="330">
        <v>21025.64</v>
      </c>
      <c r="L9738" s="330"/>
      <c r="M9738" s="160"/>
    </row>
    <row r="9739" spans="1:14" x14ac:dyDescent="0.2">
      <c r="A9739" s="331">
        <v>2023</v>
      </c>
      <c r="B9739" s="331">
        <v>10</v>
      </c>
      <c r="C9739" s="331">
        <v>26</v>
      </c>
      <c r="D9739" s="326">
        <f t="shared" si="1204"/>
        <v>45225</v>
      </c>
      <c r="E9739" s="327">
        <f t="shared" si="1205"/>
        <v>45225</v>
      </c>
      <c r="F9739" s="474"/>
      <c r="G9739" s="332" t="s">
        <v>94</v>
      </c>
      <c r="H9739" s="333" t="str" cm="1">
        <f t="array" ref="H9739">IFERROR(INDEX(INVESTOR_LIST[INVESTOR NAME],MATCH(I9739,INVESTOR_LIST[INVESTOR CODE],0),)," ")</f>
        <v xml:space="preserve"> </v>
      </c>
      <c r="I9739" s="333" t="s">
        <v>348</v>
      </c>
      <c r="J9739" s="331" t="s">
        <v>152</v>
      </c>
      <c r="K9739" s="334"/>
      <c r="L9739" s="334">
        <v>21025.64</v>
      </c>
      <c r="M9739" s="160"/>
    </row>
    <row r="9740" spans="1:14" x14ac:dyDescent="0.2">
      <c r="A9740" s="343">
        <v>2023</v>
      </c>
      <c r="B9740" s="343">
        <v>10</v>
      </c>
      <c r="C9740" s="343">
        <v>26</v>
      </c>
      <c r="D9740" s="344">
        <f t="shared" si="1204"/>
        <v>45225</v>
      </c>
      <c r="E9740" s="345">
        <f t="shared" si="1205"/>
        <v>45225</v>
      </c>
      <c r="F9740" s="483" t="s">
        <v>1813</v>
      </c>
      <c r="G9740" s="350" t="s">
        <v>94</v>
      </c>
      <c r="H9740" s="350" t="str" cm="1">
        <f t="array" ref="H9740">IFERROR(INDEX(INVESTOR_LIST[INVESTOR NAME],MATCH(I9740,INVESTOR_LIST[INVESTOR CODE],0),)," ")</f>
        <v xml:space="preserve"> </v>
      </c>
      <c r="I9740" s="352" t="s">
        <v>348</v>
      </c>
      <c r="J9740" s="353" t="s">
        <v>1798</v>
      </c>
      <c r="K9740" s="354">
        <v>4594</v>
      </c>
      <c r="L9740" s="354"/>
    </row>
    <row r="9741" spans="1:14" x14ac:dyDescent="0.2">
      <c r="A9741" s="346">
        <v>2023</v>
      </c>
      <c r="B9741" s="346">
        <v>10</v>
      </c>
      <c r="C9741" s="346">
        <v>26</v>
      </c>
      <c r="D9741" s="344">
        <f t="shared" si="1204"/>
        <v>45225</v>
      </c>
      <c r="E9741" s="345">
        <f t="shared" si="1205"/>
        <v>45225</v>
      </c>
      <c r="F9741" s="484"/>
      <c r="G9741" s="347" t="s">
        <v>94</v>
      </c>
      <c r="H9741" s="347" t="str" cm="1">
        <f t="array" ref="H9741">IFERROR(INDEX(INVESTOR_LIST[INVESTOR NAME],MATCH(I9741,INVESTOR_LIST[INVESTOR CODE],0),)," ")</f>
        <v xml:space="preserve"> </v>
      </c>
      <c r="I9741" s="348" t="s">
        <v>348</v>
      </c>
      <c r="J9741" s="355" t="s">
        <v>1807</v>
      </c>
      <c r="K9741" s="349"/>
      <c r="L9741" s="349">
        <v>4594</v>
      </c>
    </row>
    <row r="9742" spans="1:14" x14ac:dyDescent="0.2">
      <c r="A9742" s="238">
        <v>2023</v>
      </c>
      <c r="B9742" s="238">
        <v>10</v>
      </c>
      <c r="C9742" s="238">
        <v>26</v>
      </c>
      <c r="D9742" s="270">
        <f t="shared" si="1204"/>
        <v>45225</v>
      </c>
      <c r="E9742" s="279">
        <f t="shared" si="1205"/>
        <v>45225</v>
      </c>
      <c r="F9742" s="477" t="s">
        <v>347</v>
      </c>
      <c r="G9742" s="239" t="s">
        <v>94</v>
      </c>
      <c r="H9742" s="239" t="str" cm="1">
        <f t="array" ref="H9742">IFERROR(INDEX(INVESTOR_LIST[INVESTOR NAME],MATCH(I9742,INVESTOR_LIST[INVESTOR CODE],0),)," ")</f>
        <v xml:space="preserve"> </v>
      </c>
      <c r="I9742" s="262" t="s">
        <v>348</v>
      </c>
      <c r="J9742" s="240" t="s">
        <v>82</v>
      </c>
      <c r="K9742" s="241">
        <v>30149.759999975562</v>
      </c>
      <c r="L9742" s="241"/>
    </row>
    <row r="9743" spans="1:14" x14ac:dyDescent="0.2">
      <c r="A9743" s="242">
        <v>2023</v>
      </c>
      <c r="B9743" s="242">
        <v>10</v>
      </c>
      <c r="C9743" s="242">
        <v>26</v>
      </c>
      <c r="D9743" s="270">
        <f t="shared" si="1204"/>
        <v>45225</v>
      </c>
      <c r="E9743" s="279">
        <f t="shared" si="1205"/>
        <v>45225</v>
      </c>
      <c r="F9743" s="478"/>
      <c r="G9743" s="243" t="s">
        <v>94</v>
      </c>
      <c r="H9743" s="243" t="str" cm="1">
        <f t="array" ref="H9743">IFERROR(INDEX(INVESTOR_LIST[INVESTOR NAME],MATCH(I9743,INVESTOR_LIST[INVESTOR CODE],0),)," ")</f>
        <v xml:space="preserve"> </v>
      </c>
      <c r="I9743" s="263" t="s">
        <v>348</v>
      </c>
      <c r="J9743" s="244" t="s">
        <v>108</v>
      </c>
      <c r="K9743" s="245"/>
      <c r="L9743" s="245">
        <v>30149.759999975562</v>
      </c>
    </row>
    <row r="9744" spans="1:14" ht="22.5" x14ac:dyDescent="0.2">
      <c r="A9744" s="246">
        <v>2023</v>
      </c>
      <c r="B9744" s="238">
        <v>10</v>
      </c>
      <c r="C9744" s="238">
        <v>26</v>
      </c>
      <c r="D9744" s="270">
        <f t="shared" si="1204"/>
        <v>45225</v>
      </c>
      <c r="E9744" s="279">
        <f t="shared" si="1205"/>
        <v>45225</v>
      </c>
      <c r="F9744" s="482" t="s">
        <v>148</v>
      </c>
      <c r="G9744" s="247" t="s">
        <v>94</v>
      </c>
      <c r="H9744" s="247" t="str" cm="1">
        <f t="array" ref="H9744">IFERROR(INDEX(INVESTOR_LIST[INVESTOR NAME],MATCH(I9744,INVESTOR_LIST[INVESTOR CODE],0),)," ")</f>
        <v xml:space="preserve"> </v>
      </c>
      <c r="I9744" s="248" t="s">
        <v>348</v>
      </c>
      <c r="J9744" s="249" t="s">
        <v>95</v>
      </c>
      <c r="K9744" s="250">
        <v>2747.2527472527472</v>
      </c>
      <c r="L9744" s="241"/>
    </row>
    <row r="9745" spans="1:12" x14ac:dyDescent="0.2">
      <c r="A9745" s="242">
        <v>2023</v>
      </c>
      <c r="B9745" s="242">
        <v>10</v>
      </c>
      <c r="C9745" s="242">
        <v>26</v>
      </c>
      <c r="D9745" s="270">
        <f t="shared" si="1204"/>
        <v>45225</v>
      </c>
      <c r="E9745" s="279">
        <f t="shared" si="1205"/>
        <v>45225</v>
      </c>
      <c r="F9745" s="478"/>
      <c r="G9745" s="243" t="s">
        <v>94</v>
      </c>
      <c r="H9745" s="243" t="str" cm="1">
        <f t="array" ref="H9745">IFERROR(INDEX(INVESTOR_LIST[INVESTOR NAME],MATCH(I9745,INVESTOR_LIST[INVESTOR CODE],0),)," ")</f>
        <v xml:space="preserve"> </v>
      </c>
      <c r="I9745" s="263" t="s">
        <v>348</v>
      </c>
      <c r="J9745" s="244" t="s">
        <v>63</v>
      </c>
      <c r="K9745" s="245"/>
      <c r="L9745" s="245">
        <v>2747.2527472527472</v>
      </c>
    </row>
    <row r="9746" spans="1:12" x14ac:dyDescent="0.2">
      <c r="A9746" s="246">
        <v>2023</v>
      </c>
      <c r="B9746" s="238">
        <v>10</v>
      </c>
      <c r="C9746" s="238">
        <v>26</v>
      </c>
      <c r="D9746" s="270">
        <f t="shared" si="1204"/>
        <v>45225</v>
      </c>
      <c r="E9746" s="279">
        <f t="shared" si="1205"/>
        <v>45225</v>
      </c>
      <c r="F9746" s="482" t="s">
        <v>137</v>
      </c>
      <c r="G9746" s="247" t="s">
        <v>94</v>
      </c>
      <c r="H9746" s="247" t="str" cm="1">
        <f t="array" ref="H9746">IFERROR(INDEX(INVESTOR_LIST[INVESTOR NAME],MATCH(I9746,INVESTOR_LIST[INVESTOR CODE],0),)," ")</f>
        <v xml:space="preserve"> </v>
      </c>
      <c r="I9746" s="248" t="s">
        <v>348</v>
      </c>
      <c r="J9746" s="249" t="s">
        <v>97</v>
      </c>
      <c r="K9746" s="250">
        <v>63053.334452984054</v>
      </c>
      <c r="L9746" s="252"/>
    </row>
    <row r="9747" spans="1:12" x14ac:dyDescent="0.2">
      <c r="A9747" s="242">
        <v>2023</v>
      </c>
      <c r="B9747" s="242">
        <v>10</v>
      </c>
      <c r="C9747" s="242">
        <v>26</v>
      </c>
      <c r="D9747" s="270">
        <f t="shared" si="1204"/>
        <v>45225</v>
      </c>
      <c r="E9747" s="279">
        <f t="shared" si="1205"/>
        <v>45225</v>
      </c>
      <c r="F9747" s="478"/>
      <c r="G9747" s="243" t="s">
        <v>94</v>
      </c>
      <c r="H9747" s="243" t="str" cm="1">
        <f t="array" ref="H9747">IFERROR(INDEX(INVESTOR_LIST[INVESTOR NAME],MATCH(I9747,INVESTOR_LIST[INVESTOR CODE],0),)," ")</f>
        <v xml:space="preserve"> </v>
      </c>
      <c r="I9747" s="263" t="s">
        <v>348</v>
      </c>
      <c r="J9747" s="244" t="s">
        <v>47</v>
      </c>
      <c r="K9747" s="245"/>
      <c r="L9747" s="245">
        <v>63053.334452984054</v>
      </c>
    </row>
    <row r="9748" spans="1:12" x14ac:dyDescent="0.2">
      <c r="A9748" s="246">
        <v>2023</v>
      </c>
      <c r="B9748" s="238">
        <v>10</v>
      </c>
      <c r="C9748" s="238">
        <v>26</v>
      </c>
      <c r="D9748" s="270">
        <f t="shared" si="1204"/>
        <v>45225</v>
      </c>
      <c r="E9748" s="279">
        <f t="shared" si="1205"/>
        <v>45225</v>
      </c>
      <c r="F9748" s="482" t="s">
        <v>138</v>
      </c>
      <c r="G9748" s="247" t="s">
        <v>94</v>
      </c>
      <c r="H9748" s="247" t="str" cm="1">
        <f t="array" ref="H9748">IFERROR(INDEX(INVESTOR_LIST[INVESTOR NAME],MATCH(I9748,INVESTOR_LIST[INVESTOR CODE],0),)," ")</f>
        <v xml:space="preserve"> </v>
      </c>
      <c r="I9748" s="248" t="s">
        <v>348</v>
      </c>
      <c r="J9748" s="249" t="s">
        <v>100</v>
      </c>
      <c r="K9748" s="250">
        <v>2912.2821072645875</v>
      </c>
      <c r="L9748" s="252"/>
    </row>
    <row r="9749" spans="1:12" ht="10.5" customHeight="1" x14ac:dyDescent="0.2">
      <c r="A9749" s="242">
        <v>2023</v>
      </c>
      <c r="B9749" s="242">
        <v>10</v>
      </c>
      <c r="C9749" s="242">
        <v>26</v>
      </c>
      <c r="D9749" s="321">
        <f t="shared" si="1204"/>
        <v>45225</v>
      </c>
      <c r="E9749" s="322">
        <f t="shared" si="1205"/>
        <v>45225</v>
      </c>
      <c r="F9749" s="478"/>
      <c r="G9749" s="243" t="s">
        <v>94</v>
      </c>
      <c r="H9749" s="243" t="str" cm="1">
        <f t="array" ref="H9749">IFERROR(INDEX(INVESTOR_LIST[INVESTOR NAME],MATCH(I9749,INVESTOR_LIST[INVESTOR CODE],0),)," ")</f>
        <v xml:space="preserve"> </v>
      </c>
      <c r="I9749" s="263" t="s">
        <v>348</v>
      </c>
      <c r="J9749" s="244" t="s">
        <v>48</v>
      </c>
      <c r="K9749" s="245"/>
      <c r="L9749" s="245">
        <v>2912.2821072645875</v>
      </c>
    </row>
    <row r="9750" spans="1:12" ht="10.15" customHeight="1" x14ac:dyDescent="0.2">
      <c r="A9750" s="168">
        <v>2023</v>
      </c>
      <c r="B9750" s="168">
        <v>10</v>
      </c>
      <c r="C9750" s="168">
        <v>29</v>
      </c>
      <c r="D9750" s="141">
        <f>DATE(A9750,B9750,C9750)</f>
        <v>45228</v>
      </c>
      <c r="E9750" s="275">
        <f>DATE(A9750,B9750,C9750)</f>
        <v>45228</v>
      </c>
      <c r="F9750" s="479" t="s">
        <v>1319</v>
      </c>
      <c r="G9750" s="220" t="s">
        <v>74</v>
      </c>
      <c r="H9750" s="142" t="str" cm="1">
        <f t="array" ref="H9750">IFERROR(INDEX(INVESTOR_LIST[INVESTOR NAME],MATCH(I9750,INVESTOR_LIST[INVESTOR CODE],0),)," ")</f>
        <v xml:space="preserve"> </v>
      </c>
      <c r="I9750" s="142"/>
      <c r="J9750" s="168" t="s">
        <v>52</v>
      </c>
      <c r="K9750" s="226">
        <v>212000</v>
      </c>
      <c r="L9750" s="226"/>
    </row>
    <row r="9751" spans="1:12" ht="10.15" customHeight="1" x14ac:dyDescent="0.2">
      <c r="A9751" s="133">
        <v>2023</v>
      </c>
      <c r="B9751" s="133">
        <v>10</v>
      </c>
      <c r="C9751" s="133">
        <v>29</v>
      </c>
      <c r="D9751" s="141">
        <f>DATE(A9751,B9751,C9751)</f>
        <v>45228</v>
      </c>
      <c r="E9751" s="275">
        <f>DATE(A9751,B9751,C9751)</f>
        <v>45228</v>
      </c>
      <c r="F9751" s="481"/>
      <c r="G9751" s="174" t="s">
        <v>74</v>
      </c>
      <c r="H9751" s="148" t="str" cm="1">
        <f t="array" ref="H9751">IFERROR(INDEX(INVESTOR_LIST[INVESTOR NAME],MATCH(I9751,INVESTOR_LIST[INVESTOR CODE],0),)," ")</f>
        <v xml:space="preserve"> </v>
      </c>
      <c r="J9751" s="133" t="s">
        <v>13</v>
      </c>
      <c r="K9751" s="218"/>
      <c r="L9751" s="218">
        <v>170180</v>
      </c>
    </row>
    <row r="9752" spans="1:12" ht="10.15" customHeight="1" x14ac:dyDescent="0.2">
      <c r="A9752" s="163">
        <v>2023</v>
      </c>
      <c r="B9752" s="163">
        <v>10</v>
      </c>
      <c r="C9752" s="163">
        <v>29</v>
      </c>
      <c r="D9752" s="280">
        <f>DATE(A9752,B9752,C9752)</f>
        <v>45228</v>
      </c>
      <c r="E9752" s="281">
        <f>DATE(A9752,B9752,C9752)</f>
        <v>45228</v>
      </c>
      <c r="F9752" s="480"/>
      <c r="G9752" s="221" t="s">
        <v>74</v>
      </c>
      <c r="H9752" s="145" t="str" cm="1">
        <f t="array" ref="H9752">IFERROR(INDEX(INVESTOR_LIST[INVESTOR NAME],MATCH(I9752,INVESTOR_LIST[INVESTOR CODE],0),)," ")</f>
        <v xml:space="preserve"> </v>
      </c>
      <c r="I9752" s="145"/>
      <c r="J9752" s="163" t="s">
        <v>53</v>
      </c>
      <c r="K9752" s="219"/>
      <c r="L9752" s="219">
        <v>41820</v>
      </c>
    </row>
    <row r="9753" spans="1:12" x14ac:dyDescent="0.2">
      <c r="A9753" s="168">
        <v>2023</v>
      </c>
      <c r="B9753" s="168">
        <v>10</v>
      </c>
      <c r="C9753" s="168">
        <v>29</v>
      </c>
      <c r="D9753" s="141">
        <f t="shared" si="1204"/>
        <v>45228</v>
      </c>
      <c r="E9753" s="275">
        <f t="shared" si="1205"/>
        <v>45228</v>
      </c>
      <c r="F9753" s="479" t="s">
        <v>1757</v>
      </c>
      <c r="G9753" s="220" t="s">
        <v>74</v>
      </c>
      <c r="H9753" s="220" t="str" cm="1">
        <f t="array" ref="H9753">IFERROR(INDEX(INVESTOR_LIST[INVESTOR NAME],MATCH(I9753,INVESTOR_LIST[INVESTOR CODE],0),)," ")</f>
        <v xml:space="preserve"> </v>
      </c>
      <c r="I9753" s="142"/>
      <c r="J9753" s="143" t="s">
        <v>52</v>
      </c>
      <c r="K9753" s="226">
        <v>1049485.5</v>
      </c>
      <c r="L9753" s="226"/>
    </row>
    <row r="9754" spans="1:12" x14ac:dyDescent="0.2">
      <c r="A9754" s="163">
        <v>2023</v>
      </c>
      <c r="B9754" s="163">
        <v>10</v>
      </c>
      <c r="C9754" s="163">
        <v>29</v>
      </c>
      <c r="D9754" s="280">
        <f t="shared" si="1204"/>
        <v>45228</v>
      </c>
      <c r="E9754" s="281">
        <f t="shared" si="1205"/>
        <v>45228</v>
      </c>
      <c r="F9754" s="480"/>
      <c r="G9754" s="221" t="s">
        <v>74</v>
      </c>
      <c r="H9754" s="221" t="str" cm="1">
        <f t="array" ref="H9754">IFERROR(INDEX(INVESTOR_LIST[INVESTOR NAME],MATCH(I9754,INVESTOR_LIST[INVESTOR CODE],0),)," ")</f>
        <v xml:space="preserve"> </v>
      </c>
      <c r="I9754" s="145"/>
      <c r="J9754" s="146" t="s">
        <v>190</v>
      </c>
      <c r="K9754" s="219"/>
      <c r="L9754" s="219">
        <v>1049485.5</v>
      </c>
    </row>
    <row r="9755" spans="1:12" x14ac:dyDescent="0.2">
      <c r="A9755" s="133">
        <v>2023</v>
      </c>
      <c r="B9755" s="133">
        <v>10</v>
      </c>
      <c r="C9755" s="168">
        <v>31</v>
      </c>
      <c r="D9755" s="141">
        <f>DATE(A9755,B9755,C9755)</f>
        <v>45230</v>
      </c>
      <c r="E9755" s="275">
        <f>DATE(A9755,B9755,C9755)</f>
        <v>45230</v>
      </c>
      <c r="F9755" s="479" t="s">
        <v>1768</v>
      </c>
      <c r="G9755" s="220" t="s">
        <v>74</v>
      </c>
      <c r="H9755" s="220" t="str" cm="1">
        <f t="array" ref="H9755">IFERROR(INDEX(INVESTOR_LIST[INVESTOR NAME],MATCH(I9755,INVESTOR_LIST[INVESTOR CODE],0),)," ")</f>
        <v xml:space="preserve"> </v>
      </c>
      <c r="I9755" s="142"/>
      <c r="J9755" s="143" t="s">
        <v>147</v>
      </c>
      <c r="K9755" s="226">
        <v>495189.76000000001</v>
      </c>
      <c r="L9755" s="226"/>
    </row>
    <row r="9756" spans="1:12" x14ac:dyDescent="0.2">
      <c r="A9756" s="163">
        <v>2023</v>
      </c>
      <c r="B9756" s="163">
        <v>10</v>
      </c>
      <c r="C9756" s="163">
        <v>31</v>
      </c>
      <c r="D9756" s="280">
        <f>DATE(A9756,B9756,C9756)</f>
        <v>45230</v>
      </c>
      <c r="E9756" s="281">
        <f>DATE(A9756,B9756,C9756)</f>
        <v>45230</v>
      </c>
      <c r="F9756" s="480"/>
      <c r="G9756" s="221" t="s">
        <v>74</v>
      </c>
      <c r="H9756" s="221" t="str" cm="1">
        <f t="array" ref="H9756">IFERROR(INDEX(INVESTOR_LIST[INVESTOR NAME],MATCH(I9756,INVESTOR_LIST[INVESTOR CODE],0),)," ")</f>
        <v xml:space="preserve"> </v>
      </c>
      <c r="I9756" s="145" t="s">
        <v>348</v>
      </c>
      <c r="J9756" s="146" t="s">
        <v>52</v>
      </c>
      <c r="K9756" s="219"/>
      <c r="L9756" s="219">
        <v>495189.76000000001</v>
      </c>
    </row>
    <row r="9757" spans="1:12" ht="10.15" customHeight="1" x14ac:dyDescent="0.2">
      <c r="A9757" s="168">
        <v>2023</v>
      </c>
      <c r="B9757" s="168">
        <v>10</v>
      </c>
      <c r="C9757" s="168">
        <v>31</v>
      </c>
      <c r="D9757" s="141">
        <f t="shared" ref="D9757:D9761" si="1206">DATE(A9757,B9757,C9757)</f>
        <v>45230</v>
      </c>
      <c r="E9757" s="275">
        <f t="shared" ref="E9757:E9761" si="1207">DATE(A9757,B9757,C9757)</f>
        <v>45230</v>
      </c>
      <c r="F9757" s="479" t="s">
        <v>1796</v>
      </c>
      <c r="G9757" s="174" t="s">
        <v>74</v>
      </c>
      <c r="H9757" s="148" t="str" cm="1">
        <f t="array" ref="H9757">IFERROR(INDEX(INVESTOR_LIST[INVESTOR NAME],MATCH(I9757,INVESTOR_LIST[INVESTOR CODE],0),)," ")</f>
        <v xml:space="preserve"> </v>
      </c>
      <c r="I9757" s="148" t="s">
        <v>348</v>
      </c>
      <c r="J9757" s="133" t="s">
        <v>47</v>
      </c>
      <c r="K9757" s="172">
        <v>100000</v>
      </c>
    </row>
    <row r="9758" spans="1:12" x14ac:dyDescent="0.2">
      <c r="A9758" s="163">
        <v>2023</v>
      </c>
      <c r="B9758" s="163">
        <v>10</v>
      </c>
      <c r="C9758" s="163">
        <v>31</v>
      </c>
      <c r="D9758" s="280">
        <f t="shared" si="1206"/>
        <v>45230</v>
      </c>
      <c r="E9758" s="281">
        <f t="shared" si="1207"/>
        <v>45230</v>
      </c>
      <c r="F9758" s="480"/>
      <c r="G9758" s="221" t="s">
        <v>74</v>
      </c>
      <c r="H9758" s="145" t="str" cm="1">
        <f t="array" ref="H9758">IFERROR(INDEX(INVESTOR_LIST[INVESTOR NAME],MATCH(I9758,INVESTOR_LIST[INVESTOR CODE],0),)," ")</f>
        <v xml:space="preserve"> </v>
      </c>
      <c r="I9758" s="145" t="s">
        <v>348</v>
      </c>
      <c r="J9758" s="163" t="s">
        <v>52</v>
      </c>
      <c r="K9758" s="219"/>
      <c r="L9758" s="219">
        <v>100000</v>
      </c>
    </row>
    <row r="9759" spans="1:12" ht="10.15" customHeight="1" x14ac:dyDescent="0.2">
      <c r="A9759" s="168">
        <v>2023</v>
      </c>
      <c r="B9759" s="168">
        <v>10</v>
      </c>
      <c r="C9759" s="168">
        <v>31</v>
      </c>
      <c r="D9759" s="141">
        <f t="shared" si="1206"/>
        <v>45230</v>
      </c>
      <c r="E9759" s="275">
        <f t="shared" si="1207"/>
        <v>45230</v>
      </c>
      <c r="F9759" s="479" t="s">
        <v>965</v>
      </c>
      <c r="G9759" s="220" t="s">
        <v>74</v>
      </c>
      <c r="H9759" s="142" t="str" cm="1">
        <f t="array" ref="H9759">IFERROR(INDEX(INVESTOR_LIST[INVESTOR NAME],MATCH(I9759,INVESTOR_LIST[INVESTOR CODE],0),)," ")</f>
        <v>MD. BABUL MIAH</v>
      </c>
      <c r="I9759" s="142" t="s">
        <v>1375</v>
      </c>
      <c r="J9759" s="168" t="s">
        <v>13</v>
      </c>
      <c r="K9759" s="218">
        <v>82480</v>
      </c>
      <c r="L9759" s="226"/>
    </row>
    <row r="9760" spans="1:12" ht="10.15" customHeight="1" x14ac:dyDescent="0.2">
      <c r="A9760" s="133">
        <v>2023</v>
      </c>
      <c r="B9760" s="133">
        <v>10</v>
      </c>
      <c r="C9760" s="133">
        <v>31</v>
      </c>
      <c r="D9760" s="141">
        <f t="shared" si="1206"/>
        <v>45230</v>
      </c>
      <c r="E9760" s="275">
        <f t="shared" si="1207"/>
        <v>45230</v>
      </c>
      <c r="F9760" s="481"/>
      <c r="G9760" s="174" t="s">
        <v>74</v>
      </c>
      <c r="H9760" s="148" t="str" cm="1">
        <f t="array" ref="H9760">IFERROR(INDEX(INVESTOR_LIST[INVESTOR NAME],MATCH(I9760,INVESTOR_LIST[INVESTOR CODE],0),)," ")</f>
        <v>MD. BABUL MIAH</v>
      </c>
      <c r="I9760" s="148" t="s">
        <v>1375</v>
      </c>
      <c r="J9760" s="133" t="s">
        <v>53</v>
      </c>
      <c r="K9760" s="218">
        <v>20240.589999999997</v>
      </c>
      <c r="L9760" s="133"/>
    </row>
    <row r="9761" spans="1:14" ht="10.15" customHeight="1" x14ac:dyDescent="0.2">
      <c r="A9761" s="163">
        <v>2023</v>
      </c>
      <c r="B9761" s="163">
        <v>10</v>
      </c>
      <c r="C9761" s="163">
        <v>31</v>
      </c>
      <c r="D9761" s="280">
        <f t="shared" si="1206"/>
        <v>45230</v>
      </c>
      <c r="E9761" s="281">
        <f t="shared" si="1207"/>
        <v>45230</v>
      </c>
      <c r="F9761" s="480"/>
      <c r="G9761" s="221" t="s">
        <v>74</v>
      </c>
      <c r="H9761" s="145" t="str" cm="1">
        <f t="array" ref="H9761">IFERROR(INDEX(INVESTOR_LIST[INVESTOR NAME],MATCH(I9761,INVESTOR_LIST[INVESTOR CODE],0),)," ")</f>
        <v>MD. BABUL MIAH</v>
      </c>
      <c r="I9761" s="145" t="s">
        <v>1375</v>
      </c>
      <c r="J9761" s="163" t="s">
        <v>52</v>
      </c>
      <c r="K9761" s="219"/>
      <c r="L9761" s="219">
        <v>102720.59</v>
      </c>
    </row>
    <row r="9762" spans="1:14" ht="10.15" customHeight="1" x14ac:dyDescent="0.2">
      <c r="A9762" s="168">
        <v>2023</v>
      </c>
      <c r="B9762" s="168">
        <v>10</v>
      </c>
      <c r="C9762" s="168">
        <v>31</v>
      </c>
      <c r="D9762" s="141">
        <f t="shared" ref="D9762:D9764" si="1208">DATE(A9762,B9762,C9762)</f>
        <v>45230</v>
      </c>
      <c r="E9762" s="275">
        <f t="shared" ref="E9762:E9764" si="1209">DATE(A9762,B9762,C9762)</f>
        <v>45230</v>
      </c>
      <c r="F9762" s="479" t="s">
        <v>965</v>
      </c>
      <c r="G9762" s="220" t="s">
        <v>74</v>
      </c>
      <c r="H9762" s="142" t="str" cm="1">
        <f t="array" ref="H9762">IFERROR(INDEX(INVESTOR_LIST[INVESTOR NAME],MATCH(I9762,INVESTOR_LIST[INVESTOR CODE],0),)," ")</f>
        <v>MD. MANAZIR KABIR</v>
      </c>
      <c r="I9762" s="142" t="s">
        <v>492</v>
      </c>
      <c r="J9762" s="168" t="s">
        <v>13</v>
      </c>
      <c r="K9762" s="218">
        <v>156980</v>
      </c>
      <c r="L9762" s="226"/>
    </row>
    <row r="9763" spans="1:14" ht="10.15" customHeight="1" x14ac:dyDescent="0.2">
      <c r="A9763" s="133">
        <v>2023</v>
      </c>
      <c r="B9763" s="133">
        <v>10</v>
      </c>
      <c r="C9763" s="133">
        <v>31</v>
      </c>
      <c r="D9763" s="141">
        <f t="shared" si="1208"/>
        <v>45230</v>
      </c>
      <c r="E9763" s="275">
        <f t="shared" si="1209"/>
        <v>45230</v>
      </c>
      <c r="F9763" s="481"/>
      <c r="G9763" s="174" t="s">
        <v>74</v>
      </c>
      <c r="H9763" s="148" t="str" cm="1">
        <f t="array" ref="H9763">IFERROR(INDEX(INVESTOR_LIST[INVESTOR NAME],MATCH(I9763,INVESTOR_LIST[INVESTOR CODE],0),)," ")</f>
        <v>MD. MANAZIR KABIR</v>
      </c>
      <c r="I9763" s="148" t="s">
        <v>492</v>
      </c>
      <c r="J9763" s="133" t="s">
        <v>53</v>
      </c>
      <c r="K9763" s="218">
        <v>38522.890000000014</v>
      </c>
      <c r="L9763" s="133"/>
    </row>
    <row r="9764" spans="1:14" ht="10.15" customHeight="1" x14ac:dyDescent="0.2">
      <c r="A9764" s="163">
        <v>2023</v>
      </c>
      <c r="B9764" s="163">
        <v>10</v>
      </c>
      <c r="C9764" s="163">
        <v>31</v>
      </c>
      <c r="D9764" s="280">
        <f t="shared" si="1208"/>
        <v>45230</v>
      </c>
      <c r="E9764" s="281">
        <f t="shared" si="1209"/>
        <v>45230</v>
      </c>
      <c r="F9764" s="480"/>
      <c r="G9764" s="221" t="s">
        <v>74</v>
      </c>
      <c r="H9764" s="145" t="str" cm="1">
        <f t="array" ref="H9764">IFERROR(INDEX(INVESTOR_LIST[INVESTOR NAME],MATCH(I9764,INVESTOR_LIST[INVESTOR CODE],0),)," ")</f>
        <v>MD. MANAZIR KABIR</v>
      </c>
      <c r="I9764" s="145" t="s">
        <v>492</v>
      </c>
      <c r="J9764" s="163" t="s">
        <v>52</v>
      </c>
      <c r="K9764" s="219"/>
      <c r="L9764" s="219">
        <v>195502.89</v>
      </c>
    </row>
    <row r="9765" spans="1:14" ht="10.15" customHeight="1" x14ac:dyDescent="0.2">
      <c r="A9765" s="168">
        <v>2023</v>
      </c>
      <c r="B9765" s="168">
        <v>10</v>
      </c>
      <c r="C9765" s="168">
        <v>31</v>
      </c>
      <c r="D9765" s="141">
        <f t="shared" ref="D9765:D9788" si="1210">DATE(A9765,B9765,C9765)</f>
        <v>45230</v>
      </c>
      <c r="E9765" s="275">
        <f t="shared" ref="E9765:E9788" si="1211">DATE(A9765,B9765,C9765)</f>
        <v>45230</v>
      </c>
      <c r="F9765" s="479" t="s">
        <v>1310</v>
      </c>
      <c r="G9765" s="220" t="s">
        <v>74</v>
      </c>
      <c r="H9765" s="142" t="str" cm="1">
        <f t="array" ref="H9765">IFERROR(INDEX(INVESTOR_LIST[INVESTOR NAME],MATCH(I9765,INVESTOR_LIST[INVESTOR CODE],0),)," ")</f>
        <v>MD MIZANUR RAHMAN</v>
      </c>
      <c r="I9765" s="142" t="s">
        <v>482</v>
      </c>
      <c r="J9765" s="168" t="s">
        <v>13</v>
      </c>
      <c r="K9765" s="218">
        <v>80300</v>
      </c>
      <c r="L9765" s="226"/>
    </row>
    <row r="9766" spans="1:14" ht="10.15" customHeight="1" x14ac:dyDescent="0.2">
      <c r="A9766" s="133">
        <v>2023</v>
      </c>
      <c r="B9766" s="133">
        <v>10</v>
      </c>
      <c r="C9766" s="133">
        <v>31</v>
      </c>
      <c r="D9766" s="141">
        <f t="shared" si="1210"/>
        <v>45230</v>
      </c>
      <c r="E9766" s="275">
        <f t="shared" si="1211"/>
        <v>45230</v>
      </c>
      <c r="F9766" s="481"/>
      <c r="G9766" s="174" t="s">
        <v>74</v>
      </c>
      <c r="H9766" s="148" t="str" cm="1">
        <f t="array" ref="H9766">IFERROR(INDEX(INVESTOR_LIST[INVESTOR NAME],MATCH(I9766,INVESTOR_LIST[INVESTOR CODE],0),)," ")</f>
        <v>MD MIZANUR RAHMAN</v>
      </c>
      <c r="I9766" s="148" t="s">
        <v>482</v>
      </c>
      <c r="J9766" s="133" t="s">
        <v>53</v>
      </c>
      <c r="K9766" s="218">
        <v>19705.619999999995</v>
      </c>
      <c r="L9766" s="133"/>
    </row>
    <row r="9767" spans="1:14" ht="10.15" customHeight="1" x14ac:dyDescent="0.2">
      <c r="A9767" s="163">
        <v>2023</v>
      </c>
      <c r="B9767" s="163">
        <v>10</v>
      </c>
      <c r="C9767" s="163">
        <v>31</v>
      </c>
      <c r="D9767" s="280">
        <f t="shared" si="1210"/>
        <v>45230</v>
      </c>
      <c r="E9767" s="281">
        <f t="shared" si="1211"/>
        <v>45230</v>
      </c>
      <c r="F9767" s="480"/>
      <c r="G9767" s="221" t="s">
        <v>74</v>
      </c>
      <c r="H9767" s="145" t="str" cm="1">
        <f t="array" ref="H9767">IFERROR(INDEX(INVESTOR_LIST[INVESTOR NAME],MATCH(I9767,INVESTOR_LIST[INVESTOR CODE],0),)," ")</f>
        <v>MD MIZANUR RAHMAN</v>
      </c>
      <c r="I9767" s="145" t="s">
        <v>482</v>
      </c>
      <c r="J9767" s="163" t="s">
        <v>52</v>
      </c>
      <c r="K9767" s="219"/>
      <c r="L9767" s="219">
        <v>100005.62</v>
      </c>
    </row>
    <row r="9768" spans="1:14" ht="10.15" customHeight="1" x14ac:dyDescent="0.2">
      <c r="A9768" s="168">
        <v>2023</v>
      </c>
      <c r="B9768" s="168">
        <v>11</v>
      </c>
      <c r="C9768" s="168">
        <v>2</v>
      </c>
      <c r="D9768" s="141">
        <f t="shared" si="1210"/>
        <v>45232</v>
      </c>
      <c r="E9768" s="275">
        <f t="shared" si="1211"/>
        <v>45232</v>
      </c>
      <c r="F9768" s="479" t="s">
        <v>965</v>
      </c>
      <c r="G9768" s="220" t="s">
        <v>74</v>
      </c>
      <c r="H9768" s="142" t="str" cm="1">
        <f t="array" ref="H9768">IFERROR(INDEX(INVESTOR_LIST[INVESTOR NAME],MATCH(I9768,INVESTOR_LIST[INVESTOR CODE],0),)," ")</f>
        <v>HASIB MUSTABSIR</v>
      </c>
      <c r="I9768" s="142" t="s">
        <v>521</v>
      </c>
      <c r="J9768" s="168" t="s">
        <v>13</v>
      </c>
      <c r="K9768" s="218">
        <v>1605910</v>
      </c>
      <c r="L9768" s="226"/>
    </row>
    <row r="9769" spans="1:14" ht="10.15" customHeight="1" x14ac:dyDescent="0.2">
      <c r="A9769" s="133">
        <v>2023</v>
      </c>
      <c r="B9769" s="133">
        <v>11</v>
      </c>
      <c r="C9769" s="133">
        <v>2</v>
      </c>
      <c r="D9769" s="141">
        <f t="shared" si="1210"/>
        <v>45232</v>
      </c>
      <c r="E9769" s="275">
        <f t="shared" si="1211"/>
        <v>45232</v>
      </c>
      <c r="F9769" s="481"/>
      <c r="G9769" s="174" t="s">
        <v>74</v>
      </c>
      <c r="H9769" s="148" t="str" cm="1">
        <f t="array" ref="H9769">IFERROR(INDEX(INVESTOR_LIST[INVESTOR NAME],MATCH(I9769,INVESTOR_LIST[INVESTOR CODE],0),)," ")</f>
        <v>HASIB MUSTABSIR</v>
      </c>
      <c r="I9769" s="148" t="s">
        <v>521</v>
      </c>
      <c r="J9769" s="133" t="s">
        <v>53</v>
      </c>
      <c r="K9769" s="218">
        <v>394090</v>
      </c>
      <c r="L9769" s="133"/>
    </row>
    <row r="9770" spans="1:14" ht="10.15" customHeight="1" x14ac:dyDescent="0.2">
      <c r="A9770" s="163">
        <v>2023</v>
      </c>
      <c r="B9770" s="163">
        <v>11</v>
      </c>
      <c r="C9770" s="163">
        <v>2</v>
      </c>
      <c r="D9770" s="280">
        <f t="shared" si="1210"/>
        <v>45232</v>
      </c>
      <c r="E9770" s="281">
        <f t="shared" si="1211"/>
        <v>45232</v>
      </c>
      <c r="F9770" s="480"/>
      <c r="G9770" s="221" t="s">
        <v>74</v>
      </c>
      <c r="H9770" s="145" t="str" cm="1">
        <f t="array" ref="H9770">IFERROR(INDEX(INVESTOR_LIST[INVESTOR NAME],MATCH(I9770,INVESTOR_LIST[INVESTOR CODE],0),)," ")</f>
        <v>HASIB MUSTABSIR</v>
      </c>
      <c r="I9770" s="145" t="s">
        <v>521</v>
      </c>
      <c r="J9770" s="163" t="s">
        <v>52</v>
      </c>
      <c r="K9770" s="219"/>
      <c r="L9770" s="219">
        <v>2000000</v>
      </c>
    </row>
    <row r="9771" spans="1:14" x14ac:dyDescent="0.2">
      <c r="A9771" s="133">
        <v>2023</v>
      </c>
      <c r="B9771" s="133">
        <v>11</v>
      </c>
      <c r="C9771" s="168">
        <v>2</v>
      </c>
      <c r="D9771" s="141">
        <f t="shared" si="1210"/>
        <v>45232</v>
      </c>
      <c r="E9771" s="275">
        <f t="shared" si="1211"/>
        <v>45232</v>
      </c>
      <c r="F9771" s="479" t="s">
        <v>77</v>
      </c>
      <c r="G9771" s="174" t="s">
        <v>74</v>
      </c>
      <c r="H9771" s="148" t="str" cm="1">
        <f t="array" ref="H9771">IFERROR(INDEX(INVESTOR_LIST[INVESTOR NAME],MATCH(I9771,INVESTOR_LIST[INVESTOR CODE],0),)," ")</f>
        <v xml:space="preserve"> </v>
      </c>
      <c r="I9771" s="148" t="s">
        <v>348</v>
      </c>
      <c r="J9771" s="133" t="s">
        <v>61</v>
      </c>
      <c r="K9771" s="172">
        <v>100</v>
      </c>
    </row>
    <row r="9772" spans="1:14" x14ac:dyDescent="0.2">
      <c r="A9772" s="163">
        <v>2023</v>
      </c>
      <c r="B9772" s="163">
        <v>11</v>
      </c>
      <c r="C9772" s="163">
        <v>2</v>
      </c>
      <c r="D9772" s="141">
        <f t="shared" si="1210"/>
        <v>45232</v>
      </c>
      <c r="E9772" s="275">
        <f t="shared" si="1211"/>
        <v>45232</v>
      </c>
      <c r="F9772" s="480"/>
      <c r="G9772" s="221" t="s">
        <v>74</v>
      </c>
      <c r="H9772" s="145" t="str" cm="1">
        <f t="array" ref="H9772">IFERROR(INDEX(INVESTOR_LIST[INVESTOR NAME],MATCH(I9772,INVESTOR_LIST[INVESTOR CODE],0),)," ")</f>
        <v xml:space="preserve"> </v>
      </c>
      <c r="I9772" s="145" t="s">
        <v>348</v>
      </c>
      <c r="J9772" s="163" t="s">
        <v>52</v>
      </c>
      <c r="K9772" s="219"/>
      <c r="L9772" s="219">
        <v>100</v>
      </c>
    </row>
    <row r="9773" spans="1:14" x14ac:dyDescent="0.2">
      <c r="A9773" s="324">
        <v>2023</v>
      </c>
      <c r="B9773" s="324">
        <v>11</v>
      </c>
      <c r="C9773" s="325">
        <v>2</v>
      </c>
      <c r="D9773" s="326">
        <f t="shared" si="1210"/>
        <v>45232</v>
      </c>
      <c r="E9773" s="327">
        <f t="shared" si="1211"/>
        <v>45232</v>
      </c>
      <c r="F9773" s="473" t="s">
        <v>1490</v>
      </c>
      <c r="G9773" s="328" t="s">
        <v>94</v>
      </c>
      <c r="H9773" s="329" t="str" cm="1">
        <f t="array" ref="H9773">IFERROR(INDEX(INVESTOR_LIST[INVESTOR NAME],MATCH(I9773,INVESTOR_LIST[INVESTOR CODE],0),)," ")</f>
        <v xml:space="preserve"> </v>
      </c>
      <c r="I9773" s="329" t="s">
        <v>348</v>
      </c>
      <c r="J9773" s="325" t="s">
        <v>133</v>
      </c>
      <c r="K9773" s="330">
        <v>16858.240000000002</v>
      </c>
      <c r="L9773" s="330"/>
      <c r="M9773" s="160"/>
    </row>
    <row r="9774" spans="1:14" x14ac:dyDescent="0.2">
      <c r="A9774" s="331">
        <v>2023</v>
      </c>
      <c r="B9774" s="331">
        <v>11</v>
      </c>
      <c r="C9774" s="331">
        <v>2</v>
      </c>
      <c r="D9774" s="326">
        <f t="shared" si="1210"/>
        <v>45232</v>
      </c>
      <c r="E9774" s="327">
        <f t="shared" si="1211"/>
        <v>45232</v>
      </c>
      <c r="F9774" s="474"/>
      <c r="G9774" s="332" t="s">
        <v>94</v>
      </c>
      <c r="H9774" s="333" t="str" cm="1">
        <f t="array" ref="H9774">IFERROR(INDEX(INVESTOR_LIST[INVESTOR NAME],MATCH(I9774,INVESTOR_LIST[INVESTOR CODE],0),)," ")</f>
        <v xml:space="preserve"> </v>
      </c>
      <c r="I9774" s="333" t="s">
        <v>348</v>
      </c>
      <c r="J9774" s="331" t="s">
        <v>152</v>
      </c>
      <c r="K9774" s="334"/>
      <c r="L9774" s="334">
        <v>16858.240000000002</v>
      </c>
      <c r="M9774" s="160"/>
      <c r="N9774" s="160"/>
    </row>
    <row r="9775" spans="1:14" x14ac:dyDescent="0.2">
      <c r="A9775" s="324">
        <v>2023</v>
      </c>
      <c r="B9775" s="324">
        <v>11</v>
      </c>
      <c r="C9775" s="325">
        <v>2</v>
      </c>
      <c r="D9775" s="326">
        <f t="shared" si="1210"/>
        <v>45232</v>
      </c>
      <c r="E9775" s="327">
        <f t="shared" si="1211"/>
        <v>45232</v>
      </c>
      <c r="F9775" s="473" t="s">
        <v>1491</v>
      </c>
      <c r="G9775" s="328" t="s">
        <v>94</v>
      </c>
      <c r="H9775" s="329" t="str" cm="1">
        <f t="array" ref="H9775">IFERROR(INDEX(INVESTOR_LIST[INVESTOR NAME],MATCH(I9775,INVESTOR_LIST[INVESTOR CODE],0),)," ")</f>
        <v xml:space="preserve"> </v>
      </c>
      <c r="I9775" s="329" t="s">
        <v>348</v>
      </c>
      <c r="J9775" s="324" t="s">
        <v>133</v>
      </c>
      <c r="K9775" s="330">
        <v>4903.8500000000004</v>
      </c>
      <c r="L9775" s="330"/>
      <c r="M9775" s="160"/>
      <c r="N9775" s="160"/>
    </row>
    <row r="9776" spans="1:14" x14ac:dyDescent="0.2">
      <c r="A9776" s="331">
        <v>2023</v>
      </c>
      <c r="B9776" s="331">
        <v>11</v>
      </c>
      <c r="C9776" s="331">
        <v>2</v>
      </c>
      <c r="D9776" s="326">
        <f t="shared" si="1210"/>
        <v>45232</v>
      </c>
      <c r="E9776" s="327">
        <f t="shared" si="1211"/>
        <v>45232</v>
      </c>
      <c r="F9776" s="474"/>
      <c r="G9776" s="332" t="s">
        <v>94</v>
      </c>
      <c r="H9776" s="333" t="str" cm="1">
        <f t="array" ref="H9776">IFERROR(INDEX(INVESTOR_LIST[INVESTOR NAME],MATCH(I9776,INVESTOR_LIST[INVESTOR CODE],0),)," ")</f>
        <v xml:space="preserve"> </v>
      </c>
      <c r="I9776" s="333" t="s">
        <v>348</v>
      </c>
      <c r="J9776" s="331" t="s">
        <v>152</v>
      </c>
      <c r="K9776" s="334"/>
      <c r="L9776" s="334">
        <v>4903.8500000000004</v>
      </c>
      <c r="M9776" s="160"/>
    </row>
    <row r="9777" spans="1:13" x14ac:dyDescent="0.2">
      <c r="A9777" s="324">
        <v>2023</v>
      </c>
      <c r="B9777" s="324">
        <v>11</v>
      </c>
      <c r="C9777" s="325">
        <v>2</v>
      </c>
      <c r="D9777" s="326">
        <f t="shared" si="1210"/>
        <v>45232</v>
      </c>
      <c r="E9777" s="327">
        <f t="shared" si="1211"/>
        <v>45232</v>
      </c>
      <c r="F9777" s="473" t="s">
        <v>1531</v>
      </c>
      <c r="G9777" s="328" t="s">
        <v>94</v>
      </c>
      <c r="H9777" s="329" t="str" cm="1">
        <f t="array" ref="H9777">IFERROR(INDEX(INVESTOR_LIST[INVESTOR NAME],MATCH(I9777,INVESTOR_LIST[INVESTOR CODE],0),)," ")</f>
        <v xml:space="preserve"> </v>
      </c>
      <c r="I9777" s="329" t="s">
        <v>348</v>
      </c>
      <c r="J9777" s="324" t="s">
        <v>133</v>
      </c>
      <c r="K9777" s="330">
        <v>14871.79</v>
      </c>
      <c r="L9777" s="330"/>
      <c r="M9777" s="160"/>
    </row>
    <row r="9778" spans="1:13" x14ac:dyDescent="0.2">
      <c r="A9778" s="331">
        <v>2023</v>
      </c>
      <c r="B9778" s="331">
        <v>11</v>
      </c>
      <c r="C9778" s="331">
        <v>2</v>
      </c>
      <c r="D9778" s="326">
        <f t="shared" si="1210"/>
        <v>45232</v>
      </c>
      <c r="E9778" s="327">
        <f t="shared" si="1211"/>
        <v>45232</v>
      </c>
      <c r="F9778" s="474"/>
      <c r="G9778" s="332" t="s">
        <v>94</v>
      </c>
      <c r="H9778" s="333" t="str" cm="1">
        <f t="array" ref="H9778">IFERROR(INDEX(INVESTOR_LIST[INVESTOR NAME],MATCH(I9778,INVESTOR_LIST[INVESTOR CODE],0),)," ")</f>
        <v xml:space="preserve"> </v>
      </c>
      <c r="I9778" s="333" t="s">
        <v>348</v>
      </c>
      <c r="J9778" s="331" t="s">
        <v>152</v>
      </c>
      <c r="K9778" s="334"/>
      <c r="L9778" s="334">
        <v>14871.79</v>
      </c>
      <c r="M9778" s="160"/>
    </row>
    <row r="9779" spans="1:13" x14ac:dyDescent="0.2">
      <c r="A9779" s="343">
        <v>2023</v>
      </c>
      <c r="B9779" s="343">
        <v>11</v>
      </c>
      <c r="C9779" s="343">
        <v>2</v>
      </c>
      <c r="D9779" s="344">
        <f t="shared" si="1210"/>
        <v>45232</v>
      </c>
      <c r="E9779" s="345">
        <f t="shared" si="1211"/>
        <v>45232</v>
      </c>
      <c r="F9779" s="483" t="s">
        <v>1813</v>
      </c>
      <c r="G9779" s="350" t="s">
        <v>94</v>
      </c>
      <c r="H9779" s="350" t="str" cm="1">
        <f t="array" ref="H9779">IFERROR(INDEX(INVESTOR_LIST[INVESTOR NAME],MATCH(I9779,INVESTOR_LIST[INVESTOR CODE],0),)," ")</f>
        <v xml:space="preserve"> </v>
      </c>
      <c r="I9779" s="352" t="s">
        <v>348</v>
      </c>
      <c r="J9779" s="353" t="s">
        <v>1798</v>
      </c>
      <c r="K9779" s="354">
        <v>2548</v>
      </c>
      <c r="L9779" s="354"/>
    </row>
    <row r="9780" spans="1:13" x14ac:dyDescent="0.2">
      <c r="A9780" s="346">
        <v>2023</v>
      </c>
      <c r="B9780" s="346">
        <v>11</v>
      </c>
      <c r="C9780" s="346">
        <v>2</v>
      </c>
      <c r="D9780" s="344">
        <f t="shared" si="1210"/>
        <v>45232</v>
      </c>
      <c r="E9780" s="345">
        <f t="shared" si="1211"/>
        <v>45232</v>
      </c>
      <c r="F9780" s="484"/>
      <c r="G9780" s="347" t="s">
        <v>94</v>
      </c>
      <c r="H9780" s="347" t="str" cm="1">
        <f t="array" ref="H9780">IFERROR(INDEX(INVESTOR_LIST[INVESTOR NAME],MATCH(I9780,INVESTOR_LIST[INVESTOR CODE],0),)," ")</f>
        <v xml:space="preserve"> </v>
      </c>
      <c r="I9780" s="348" t="s">
        <v>348</v>
      </c>
      <c r="J9780" s="355" t="s">
        <v>1807</v>
      </c>
      <c r="K9780" s="349"/>
      <c r="L9780" s="349">
        <v>2548</v>
      </c>
    </row>
    <row r="9781" spans="1:13" x14ac:dyDescent="0.2">
      <c r="A9781" s="238">
        <v>2023</v>
      </c>
      <c r="B9781" s="238">
        <v>11</v>
      </c>
      <c r="C9781" s="238">
        <v>2</v>
      </c>
      <c r="D9781" s="270">
        <f t="shared" si="1210"/>
        <v>45232</v>
      </c>
      <c r="E9781" s="279">
        <f t="shared" si="1211"/>
        <v>45232</v>
      </c>
      <c r="F9781" s="477" t="s">
        <v>347</v>
      </c>
      <c r="G9781" s="239" t="s">
        <v>94</v>
      </c>
      <c r="H9781" s="239" t="str" cm="1">
        <f t="array" ref="H9781">IFERROR(INDEX(INVESTOR_LIST[INVESTOR NAME],MATCH(I9781,INVESTOR_LIST[INVESTOR CODE],0),)," ")</f>
        <v xml:space="preserve"> </v>
      </c>
      <c r="I9781" s="262" t="s">
        <v>348</v>
      </c>
      <c r="J9781" s="240" t="s">
        <v>82</v>
      </c>
      <c r="K9781" s="241">
        <v>44434.830000013113</v>
      </c>
      <c r="L9781" s="241"/>
    </row>
    <row r="9782" spans="1:13" x14ac:dyDescent="0.2">
      <c r="A9782" s="242">
        <v>2023</v>
      </c>
      <c r="B9782" s="242">
        <v>11</v>
      </c>
      <c r="C9782" s="242">
        <v>2</v>
      </c>
      <c r="D9782" s="270">
        <f t="shared" si="1210"/>
        <v>45232</v>
      </c>
      <c r="E9782" s="279">
        <f t="shared" si="1211"/>
        <v>45232</v>
      </c>
      <c r="F9782" s="478"/>
      <c r="G9782" s="243" t="s">
        <v>94</v>
      </c>
      <c r="H9782" s="243" t="str" cm="1">
        <f t="array" ref="H9782">IFERROR(INDEX(INVESTOR_LIST[INVESTOR NAME],MATCH(I9782,INVESTOR_LIST[INVESTOR CODE],0),)," ")</f>
        <v xml:space="preserve"> </v>
      </c>
      <c r="I9782" s="263" t="s">
        <v>348</v>
      </c>
      <c r="J9782" s="244" t="s">
        <v>108</v>
      </c>
      <c r="K9782" s="245"/>
      <c r="L9782" s="245">
        <v>44434.830000013113</v>
      </c>
    </row>
    <row r="9783" spans="1:13" ht="22.5" x14ac:dyDescent="0.2">
      <c r="A9783" s="246">
        <v>2023</v>
      </c>
      <c r="B9783" s="238">
        <v>11</v>
      </c>
      <c r="C9783" s="238">
        <v>2</v>
      </c>
      <c r="D9783" s="270">
        <f t="shared" si="1210"/>
        <v>45232</v>
      </c>
      <c r="E9783" s="279">
        <f t="shared" si="1211"/>
        <v>45232</v>
      </c>
      <c r="F9783" s="482" t="s">
        <v>148</v>
      </c>
      <c r="G9783" s="247" t="s">
        <v>94</v>
      </c>
      <c r="H9783" s="247" t="str" cm="1">
        <f t="array" ref="H9783">IFERROR(INDEX(INVESTOR_LIST[INVESTOR NAME],MATCH(I9783,INVESTOR_LIST[INVESTOR CODE],0),)," ")</f>
        <v xml:space="preserve"> </v>
      </c>
      <c r="I9783" s="248" t="s">
        <v>348</v>
      </c>
      <c r="J9783" s="249" t="s">
        <v>95</v>
      </c>
      <c r="K9783" s="250">
        <v>2747.2527472527472</v>
      </c>
      <c r="L9783" s="241"/>
    </row>
    <row r="9784" spans="1:13" x14ac:dyDescent="0.2">
      <c r="A9784" s="242">
        <v>2023</v>
      </c>
      <c r="B9784" s="242">
        <v>11</v>
      </c>
      <c r="C9784" s="242">
        <v>2</v>
      </c>
      <c r="D9784" s="270">
        <f t="shared" si="1210"/>
        <v>45232</v>
      </c>
      <c r="E9784" s="279">
        <f t="shared" si="1211"/>
        <v>45232</v>
      </c>
      <c r="F9784" s="478"/>
      <c r="G9784" s="243" t="s">
        <v>94</v>
      </c>
      <c r="H9784" s="243" t="str" cm="1">
        <f t="array" ref="H9784">IFERROR(INDEX(INVESTOR_LIST[INVESTOR NAME],MATCH(I9784,INVESTOR_LIST[INVESTOR CODE],0),)," ")</f>
        <v xml:space="preserve"> </v>
      </c>
      <c r="I9784" s="263" t="s">
        <v>348</v>
      </c>
      <c r="J9784" s="244" t="s">
        <v>63</v>
      </c>
      <c r="K9784" s="245"/>
      <c r="L9784" s="245">
        <v>2747.2527472527472</v>
      </c>
    </row>
    <row r="9785" spans="1:13" x14ac:dyDescent="0.2">
      <c r="A9785" s="246">
        <v>2023</v>
      </c>
      <c r="B9785" s="238">
        <v>11</v>
      </c>
      <c r="C9785" s="238">
        <v>2</v>
      </c>
      <c r="D9785" s="270">
        <f t="shared" si="1210"/>
        <v>45232</v>
      </c>
      <c r="E9785" s="279">
        <f t="shared" si="1211"/>
        <v>45232</v>
      </c>
      <c r="F9785" s="482" t="s">
        <v>137</v>
      </c>
      <c r="G9785" s="247" t="s">
        <v>94</v>
      </c>
      <c r="H9785" s="247" t="str" cm="1">
        <f t="array" ref="H9785">IFERROR(INDEX(INVESTOR_LIST[INVESTOR NAME],MATCH(I9785,INVESTOR_LIST[INVESTOR CODE],0),)," ")</f>
        <v xml:space="preserve"> </v>
      </c>
      <c r="I9785" s="248" t="s">
        <v>348</v>
      </c>
      <c r="J9785" s="249" t="s">
        <v>97</v>
      </c>
      <c r="K9785" s="250">
        <v>62195.369742858384</v>
      </c>
      <c r="L9785" s="252"/>
    </row>
    <row r="9786" spans="1:13" x14ac:dyDescent="0.2">
      <c r="A9786" s="242">
        <v>2023</v>
      </c>
      <c r="B9786" s="242">
        <v>11</v>
      </c>
      <c r="C9786" s="242">
        <v>2</v>
      </c>
      <c r="D9786" s="270">
        <f t="shared" si="1210"/>
        <v>45232</v>
      </c>
      <c r="E9786" s="279">
        <f t="shared" si="1211"/>
        <v>45232</v>
      </c>
      <c r="F9786" s="478"/>
      <c r="G9786" s="243" t="s">
        <v>94</v>
      </c>
      <c r="H9786" s="243" t="str" cm="1">
        <f t="array" ref="H9786">IFERROR(INDEX(INVESTOR_LIST[INVESTOR NAME],MATCH(I9786,INVESTOR_LIST[INVESTOR CODE],0),)," ")</f>
        <v xml:space="preserve"> </v>
      </c>
      <c r="I9786" s="263" t="s">
        <v>348</v>
      </c>
      <c r="J9786" s="244" t="s">
        <v>47</v>
      </c>
      <c r="K9786" s="245"/>
      <c r="L9786" s="245">
        <v>62195.369742858384</v>
      </c>
    </row>
    <row r="9787" spans="1:13" x14ac:dyDescent="0.2">
      <c r="A9787" s="246">
        <v>2023</v>
      </c>
      <c r="B9787" s="238">
        <v>11</v>
      </c>
      <c r="C9787" s="238">
        <v>2</v>
      </c>
      <c r="D9787" s="270">
        <f t="shared" si="1210"/>
        <v>45232</v>
      </c>
      <c r="E9787" s="279">
        <f t="shared" si="1211"/>
        <v>45232</v>
      </c>
      <c r="F9787" s="482" t="s">
        <v>138</v>
      </c>
      <c r="G9787" s="247" t="s">
        <v>94</v>
      </c>
      <c r="H9787" s="247" t="str" cm="1">
        <f t="array" ref="H9787">IFERROR(INDEX(INVESTOR_LIST[INVESTOR NAME],MATCH(I9787,INVESTOR_LIST[INVESTOR CODE],0),)," ")</f>
        <v xml:space="preserve"> </v>
      </c>
      <c r="I9787" s="248" t="s">
        <v>348</v>
      </c>
      <c r="J9787" s="249" t="s">
        <v>100</v>
      </c>
      <c r="K9787" s="250">
        <v>2869.3838717583039</v>
      </c>
      <c r="L9787" s="252"/>
    </row>
    <row r="9788" spans="1:13" ht="10.9" customHeight="1" x14ac:dyDescent="0.2">
      <c r="A9788" s="242">
        <v>2023</v>
      </c>
      <c r="B9788" s="242">
        <v>11</v>
      </c>
      <c r="C9788" s="242">
        <v>2</v>
      </c>
      <c r="D9788" s="321">
        <f t="shared" si="1210"/>
        <v>45232</v>
      </c>
      <c r="E9788" s="322">
        <f t="shared" si="1211"/>
        <v>45232</v>
      </c>
      <c r="F9788" s="478"/>
      <c r="G9788" s="243" t="s">
        <v>94</v>
      </c>
      <c r="H9788" s="243" t="str" cm="1">
        <f t="array" ref="H9788">IFERROR(INDEX(INVESTOR_LIST[INVESTOR NAME],MATCH(I9788,INVESTOR_LIST[INVESTOR CODE],0),)," ")</f>
        <v xml:space="preserve"> </v>
      </c>
      <c r="I9788" s="263" t="s">
        <v>348</v>
      </c>
      <c r="J9788" s="244" t="s">
        <v>48</v>
      </c>
      <c r="K9788" s="245"/>
      <c r="L9788" s="245">
        <v>2869.3838717583039</v>
      </c>
    </row>
    <row r="9789" spans="1:13" ht="10.15" customHeight="1" x14ac:dyDescent="0.2">
      <c r="A9789" s="168">
        <v>2023</v>
      </c>
      <c r="B9789" s="168">
        <v>11</v>
      </c>
      <c r="C9789" s="168">
        <v>5</v>
      </c>
      <c r="D9789" s="141">
        <f t="shared" ref="D9789:D9794" si="1212">DATE(A9789,B9789,C9789)</f>
        <v>45235</v>
      </c>
      <c r="E9789" s="275">
        <f t="shared" ref="E9789:E9794" si="1213">DATE(A9789,B9789,C9789)</f>
        <v>45235</v>
      </c>
      <c r="F9789" s="479" t="s">
        <v>1319</v>
      </c>
      <c r="G9789" s="220" t="s">
        <v>74</v>
      </c>
      <c r="H9789" s="142" t="str" cm="1">
        <f t="array" ref="H9789">IFERROR(INDEX(INVESTOR_LIST[INVESTOR NAME],MATCH(I9789,INVESTOR_LIST[INVESTOR CODE],0),)," ")</f>
        <v xml:space="preserve"> </v>
      </c>
      <c r="I9789" s="142"/>
      <c r="J9789" s="168" t="s">
        <v>52</v>
      </c>
      <c r="K9789" s="226">
        <v>2500</v>
      </c>
      <c r="L9789" s="226"/>
    </row>
    <row r="9790" spans="1:13" ht="10.15" customHeight="1" x14ac:dyDescent="0.2">
      <c r="A9790" s="133">
        <v>2023</v>
      </c>
      <c r="B9790" s="133">
        <v>11</v>
      </c>
      <c r="C9790" s="133">
        <v>5</v>
      </c>
      <c r="D9790" s="141">
        <f t="shared" si="1212"/>
        <v>45235</v>
      </c>
      <c r="E9790" s="275">
        <f t="shared" si="1213"/>
        <v>45235</v>
      </c>
      <c r="F9790" s="481"/>
      <c r="G9790" s="174" t="s">
        <v>74</v>
      </c>
      <c r="H9790" s="148" t="str" cm="1">
        <f t="array" ref="H9790">IFERROR(INDEX(INVESTOR_LIST[INVESTOR NAME],MATCH(I9790,INVESTOR_LIST[INVESTOR CODE],0),)," ")</f>
        <v xml:space="preserve"> </v>
      </c>
      <c r="J9790" s="133" t="s">
        <v>13</v>
      </c>
      <c r="K9790" s="218"/>
      <c r="L9790" s="218">
        <v>2010</v>
      </c>
    </row>
    <row r="9791" spans="1:13" x14ac:dyDescent="0.2">
      <c r="A9791" s="163">
        <v>2023</v>
      </c>
      <c r="B9791" s="163">
        <v>11</v>
      </c>
      <c r="C9791" s="163">
        <v>5</v>
      </c>
      <c r="D9791" s="280">
        <f t="shared" si="1212"/>
        <v>45235</v>
      </c>
      <c r="E9791" s="281">
        <f t="shared" si="1213"/>
        <v>45235</v>
      </c>
      <c r="F9791" s="480"/>
      <c r="G9791" s="221" t="s">
        <v>74</v>
      </c>
      <c r="H9791" s="145" t="str" cm="1">
        <f t="array" ref="H9791">IFERROR(INDEX(INVESTOR_LIST[INVESTOR NAME],MATCH(I9791,INVESTOR_LIST[INVESTOR CODE],0),)," ")</f>
        <v xml:space="preserve"> </v>
      </c>
      <c r="I9791" s="145"/>
      <c r="J9791" s="163" t="s">
        <v>53</v>
      </c>
      <c r="K9791" s="219"/>
      <c r="L9791" s="219">
        <v>490</v>
      </c>
    </row>
    <row r="9792" spans="1:13" x14ac:dyDescent="0.2">
      <c r="A9792" s="168">
        <v>2023</v>
      </c>
      <c r="B9792" s="168">
        <v>11</v>
      </c>
      <c r="C9792" s="168">
        <v>6</v>
      </c>
      <c r="D9792" s="141">
        <f t="shared" si="1212"/>
        <v>45236</v>
      </c>
      <c r="E9792" s="275">
        <f t="shared" si="1213"/>
        <v>45236</v>
      </c>
      <c r="F9792" s="479" t="s">
        <v>1319</v>
      </c>
      <c r="G9792" s="220" t="s">
        <v>74</v>
      </c>
      <c r="H9792" s="142" t="str" cm="1">
        <f t="array" ref="H9792">IFERROR(INDEX(INVESTOR_LIST[INVESTOR NAME],MATCH(I9792,INVESTOR_LIST[INVESTOR CODE],0),)," ")</f>
        <v xml:space="preserve"> </v>
      </c>
      <c r="I9792" s="142"/>
      <c r="J9792" s="168" t="s">
        <v>52</v>
      </c>
      <c r="K9792" s="226">
        <v>105000</v>
      </c>
      <c r="L9792" s="226"/>
    </row>
    <row r="9793" spans="1:13" x14ac:dyDescent="0.2">
      <c r="A9793" s="133">
        <v>2023</v>
      </c>
      <c r="B9793" s="133">
        <v>11</v>
      </c>
      <c r="C9793" s="133">
        <v>6</v>
      </c>
      <c r="D9793" s="141">
        <f t="shared" si="1212"/>
        <v>45236</v>
      </c>
      <c r="E9793" s="275">
        <f t="shared" si="1213"/>
        <v>45236</v>
      </c>
      <c r="F9793" s="481"/>
      <c r="G9793" s="174" t="s">
        <v>74</v>
      </c>
      <c r="H9793" s="148" t="str" cm="1">
        <f t="array" ref="H9793">IFERROR(INDEX(INVESTOR_LIST[INVESTOR NAME],MATCH(I9793,INVESTOR_LIST[INVESTOR CODE],0),)," ")</f>
        <v xml:space="preserve"> </v>
      </c>
      <c r="J9793" s="133" t="s">
        <v>13</v>
      </c>
      <c r="K9793" s="218"/>
      <c r="L9793" s="218">
        <v>84360</v>
      </c>
    </row>
    <row r="9794" spans="1:13" x14ac:dyDescent="0.2">
      <c r="A9794" s="163">
        <v>2023</v>
      </c>
      <c r="B9794" s="163">
        <v>11</v>
      </c>
      <c r="C9794" s="163">
        <v>6</v>
      </c>
      <c r="D9794" s="280">
        <f t="shared" si="1212"/>
        <v>45236</v>
      </c>
      <c r="E9794" s="281">
        <f t="shared" si="1213"/>
        <v>45236</v>
      </c>
      <c r="F9794" s="480"/>
      <c r="G9794" s="221" t="s">
        <v>74</v>
      </c>
      <c r="H9794" s="145" t="str" cm="1">
        <f t="array" ref="H9794">IFERROR(INDEX(INVESTOR_LIST[INVESTOR NAME],MATCH(I9794,INVESTOR_LIST[INVESTOR CODE],0),)," ")</f>
        <v xml:space="preserve"> </v>
      </c>
      <c r="I9794" s="145"/>
      <c r="J9794" s="163" t="s">
        <v>53</v>
      </c>
      <c r="K9794" s="219"/>
      <c r="L9794" s="219">
        <v>20640</v>
      </c>
    </row>
    <row r="9795" spans="1:13" ht="10.15" customHeight="1" x14ac:dyDescent="0.2">
      <c r="A9795" s="168">
        <v>2023</v>
      </c>
      <c r="B9795" s="168">
        <v>11</v>
      </c>
      <c r="C9795" s="168">
        <v>6</v>
      </c>
      <c r="D9795" s="141">
        <f t="shared" ref="D9795:D9801" si="1214">DATE(A9795,B9795,C9795)</f>
        <v>45236</v>
      </c>
      <c r="E9795" s="275">
        <f t="shared" ref="E9795:E9801" si="1215">DATE(A9795,B9795,C9795)</f>
        <v>45236</v>
      </c>
      <c r="F9795" s="479" t="s">
        <v>1310</v>
      </c>
      <c r="G9795" s="220" t="s">
        <v>74</v>
      </c>
      <c r="H9795" s="142" t="str" cm="1">
        <f t="array" ref="H9795">IFERROR(INDEX(INVESTOR_LIST[INVESTOR NAME],MATCH(I9795,INVESTOR_LIST[INVESTOR CODE],0),)," ")</f>
        <v>RIZIA SULTANA AND MOFAZZAL MAMUN KHAN</v>
      </c>
      <c r="I9795" s="142" t="s">
        <v>590</v>
      </c>
      <c r="J9795" s="168" t="s">
        <v>13</v>
      </c>
      <c r="K9795" s="218">
        <v>28490</v>
      </c>
      <c r="L9795" s="226"/>
    </row>
    <row r="9796" spans="1:13" ht="10.15" customHeight="1" x14ac:dyDescent="0.2">
      <c r="A9796" s="133">
        <v>2023</v>
      </c>
      <c r="B9796" s="133">
        <v>11</v>
      </c>
      <c r="C9796" s="133">
        <v>6</v>
      </c>
      <c r="D9796" s="141">
        <f t="shared" si="1214"/>
        <v>45236</v>
      </c>
      <c r="E9796" s="275">
        <f t="shared" si="1215"/>
        <v>45236</v>
      </c>
      <c r="F9796" s="481"/>
      <c r="G9796" s="174" t="s">
        <v>74</v>
      </c>
      <c r="H9796" s="148" t="str" cm="1">
        <f t="array" ref="H9796">IFERROR(INDEX(INVESTOR_LIST[INVESTOR NAME],MATCH(I9796,INVESTOR_LIST[INVESTOR CODE],0),)," ")</f>
        <v>RIZIA SULTANA AND MOFAZZAL MAMUN KHAN</v>
      </c>
      <c r="I9796" s="148" t="s">
        <v>590</v>
      </c>
      <c r="J9796" s="133" t="s">
        <v>53</v>
      </c>
      <c r="K9796" s="218">
        <v>6980.0500000000029</v>
      </c>
      <c r="L9796" s="133"/>
    </row>
    <row r="9797" spans="1:13" ht="10.15" customHeight="1" x14ac:dyDescent="0.2">
      <c r="A9797" s="163">
        <v>2023</v>
      </c>
      <c r="B9797" s="163">
        <v>11</v>
      </c>
      <c r="C9797" s="163">
        <v>6</v>
      </c>
      <c r="D9797" s="280">
        <f t="shared" si="1214"/>
        <v>45236</v>
      </c>
      <c r="E9797" s="281">
        <f t="shared" si="1215"/>
        <v>45236</v>
      </c>
      <c r="F9797" s="480"/>
      <c r="G9797" s="221" t="s">
        <v>74</v>
      </c>
      <c r="H9797" s="145" t="str" cm="1">
        <f t="array" ref="H9797">IFERROR(INDEX(INVESTOR_LIST[INVESTOR NAME],MATCH(I9797,INVESTOR_LIST[INVESTOR CODE],0),)," ")</f>
        <v>RIZIA SULTANA AND MOFAZZAL MAMUN KHAN</v>
      </c>
      <c r="I9797" s="145" t="s">
        <v>590</v>
      </c>
      <c r="J9797" s="163" t="s">
        <v>52</v>
      </c>
      <c r="K9797" s="219"/>
      <c r="L9797" s="219">
        <v>35470.050000000003</v>
      </c>
    </row>
    <row r="9798" spans="1:13" x14ac:dyDescent="0.2">
      <c r="A9798" s="133">
        <v>2023</v>
      </c>
      <c r="B9798" s="133">
        <v>11</v>
      </c>
      <c r="C9798" s="133">
        <v>6</v>
      </c>
      <c r="D9798" s="141">
        <f t="shared" si="1214"/>
        <v>45236</v>
      </c>
      <c r="E9798" s="275">
        <f t="shared" si="1215"/>
        <v>45236</v>
      </c>
      <c r="F9798" s="481" t="s">
        <v>1753</v>
      </c>
      <c r="G9798" s="174" t="s">
        <v>94</v>
      </c>
      <c r="H9798" s="174" t="str" cm="1">
        <f t="array" ref="H9798">IFERROR(INDEX(INVESTOR_LIST[INVESTOR NAME],MATCH(I9798,INVESTOR_LIST[INVESTOR CODE],0),)," ")</f>
        <v xml:space="preserve"> </v>
      </c>
      <c r="J9798" s="149" t="s">
        <v>190</v>
      </c>
      <c r="K9798" s="218">
        <v>1053101.02</v>
      </c>
      <c r="L9798" s="218"/>
      <c r="M9798" s="160"/>
    </row>
    <row r="9799" spans="1:13" x14ac:dyDescent="0.2">
      <c r="A9799" s="133">
        <v>2023</v>
      </c>
      <c r="B9799" s="133">
        <v>11</v>
      </c>
      <c r="C9799" s="133">
        <v>6</v>
      </c>
      <c r="D9799" s="141">
        <f t="shared" si="1214"/>
        <v>45236</v>
      </c>
      <c r="E9799" s="275">
        <f t="shared" si="1215"/>
        <v>45236</v>
      </c>
      <c r="F9799" s="481"/>
      <c r="G9799" s="174" t="s">
        <v>94</v>
      </c>
      <c r="H9799" s="174"/>
      <c r="J9799" s="149" t="s">
        <v>80</v>
      </c>
      <c r="K9799" s="218">
        <v>1898.98</v>
      </c>
      <c r="L9799" s="218"/>
    </row>
    <row r="9800" spans="1:13" x14ac:dyDescent="0.2">
      <c r="A9800" s="133">
        <v>2023</v>
      </c>
      <c r="B9800" s="133">
        <v>11</v>
      </c>
      <c r="C9800" s="133">
        <v>6</v>
      </c>
      <c r="D9800" s="141">
        <f t="shared" si="1214"/>
        <v>45236</v>
      </c>
      <c r="E9800" s="275">
        <f t="shared" si="1215"/>
        <v>45236</v>
      </c>
      <c r="F9800" s="481"/>
      <c r="G9800" s="174" t="s">
        <v>94</v>
      </c>
      <c r="H9800" s="174" t="str" cm="1">
        <f t="array" ref="H9800">IFERROR(INDEX(INVESTOR_LIST[INVESTOR NAME],MATCH(I9800,INVESTOR_LIST[INVESTOR CODE],0),)," ")</f>
        <v xml:space="preserve"> </v>
      </c>
      <c r="J9800" s="149" t="s">
        <v>191</v>
      </c>
      <c r="K9800" s="218">
        <v>77771.5</v>
      </c>
      <c r="L9800" s="218"/>
    </row>
    <row r="9801" spans="1:13" x14ac:dyDescent="0.2">
      <c r="A9801" s="163">
        <v>2023</v>
      </c>
      <c r="B9801" s="163">
        <v>11</v>
      </c>
      <c r="C9801" s="163">
        <v>6</v>
      </c>
      <c r="D9801" s="280">
        <f t="shared" si="1214"/>
        <v>45236</v>
      </c>
      <c r="E9801" s="281">
        <f t="shared" si="1215"/>
        <v>45236</v>
      </c>
      <c r="F9801" s="480"/>
      <c r="G9801" s="221" t="s">
        <v>94</v>
      </c>
      <c r="H9801" s="145" t="str" cm="1">
        <f t="array" ref="H9801">IFERROR(INDEX(INVESTOR_LIST[INVESTOR NAME],MATCH(I9801,INVESTOR_LIST[INVESTOR CODE],0),)," ")</f>
        <v xml:space="preserve"> </v>
      </c>
      <c r="I9801" s="145"/>
      <c r="J9801" s="163" t="s">
        <v>79</v>
      </c>
      <c r="K9801" s="219"/>
      <c r="L9801" s="219">
        <v>1132771.5</v>
      </c>
    </row>
    <row r="9802" spans="1:13" ht="10.15" customHeight="1" x14ac:dyDescent="0.2">
      <c r="A9802" s="168">
        <v>2023</v>
      </c>
      <c r="B9802" s="168">
        <v>11</v>
      </c>
      <c r="C9802" s="168">
        <v>7</v>
      </c>
      <c r="D9802" s="141">
        <f t="shared" ref="D9802:D9812" si="1216">DATE(A9802,B9802,C9802)</f>
        <v>45237</v>
      </c>
      <c r="E9802" s="275">
        <f t="shared" ref="E9802:E9812" si="1217">DATE(A9802,B9802,C9802)</f>
        <v>45237</v>
      </c>
      <c r="F9802" s="479" t="s">
        <v>1820</v>
      </c>
      <c r="G9802" s="220" t="s">
        <v>74</v>
      </c>
      <c r="H9802" s="142" t="str" cm="1">
        <f t="array" ref="H9802">IFERROR(INDEX(INVESTOR_LIST[INVESTOR NAME],MATCH(I9802,INVESTOR_LIST[INVESTOR CODE],0),)," ")</f>
        <v>MD. ARIFUL ISLAM</v>
      </c>
      <c r="I9802" s="142" t="s">
        <v>455</v>
      </c>
      <c r="J9802" s="168" t="s">
        <v>13</v>
      </c>
      <c r="K9802" s="218">
        <v>334870</v>
      </c>
      <c r="L9802" s="226"/>
    </row>
    <row r="9803" spans="1:13" ht="10.15" customHeight="1" x14ac:dyDescent="0.2">
      <c r="A9803" s="133">
        <v>2023</v>
      </c>
      <c r="B9803" s="133">
        <v>11</v>
      </c>
      <c r="C9803" s="133">
        <v>7</v>
      </c>
      <c r="D9803" s="141">
        <f t="shared" si="1216"/>
        <v>45237</v>
      </c>
      <c r="E9803" s="275">
        <f t="shared" si="1217"/>
        <v>45237</v>
      </c>
      <c r="F9803" s="481"/>
      <c r="G9803" s="174" t="s">
        <v>74</v>
      </c>
      <c r="H9803" s="148" t="str" cm="1">
        <f t="array" ref="H9803">IFERROR(INDEX(INVESTOR_LIST[INVESTOR NAME],MATCH(I9803,INVESTOR_LIST[INVESTOR CODE],0),)," ")</f>
        <v>MD. ARIFUL ISLAM</v>
      </c>
      <c r="I9803" s="148" t="s">
        <v>455</v>
      </c>
      <c r="J9803" s="133" t="s">
        <v>53</v>
      </c>
      <c r="K9803" s="218">
        <v>82043.149999999994</v>
      </c>
      <c r="L9803" s="133"/>
    </row>
    <row r="9804" spans="1:13" ht="10.15" customHeight="1" x14ac:dyDescent="0.2">
      <c r="A9804" s="163">
        <v>2023</v>
      </c>
      <c r="B9804" s="163">
        <v>11</v>
      </c>
      <c r="C9804" s="163">
        <v>7</v>
      </c>
      <c r="D9804" s="280">
        <f t="shared" si="1216"/>
        <v>45237</v>
      </c>
      <c r="E9804" s="281">
        <f t="shared" si="1217"/>
        <v>45237</v>
      </c>
      <c r="F9804" s="480"/>
      <c r="G9804" s="221" t="s">
        <v>74</v>
      </c>
      <c r="H9804" s="145" t="str" cm="1">
        <f t="array" ref="H9804">IFERROR(INDEX(INVESTOR_LIST[INVESTOR NAME],MATCH(I9804,INVESTOR_LIST[INVESTOR CODE],0),)," ")</f>
        <v>MD. ARIFUL ISLAM</v>
      </c>
      <c r="I9804" s="145" t="s">
        <v>455</v>
      </c>
      <c r="J9804" s="163" t="s">
        <v>52</v>
      </c>
      <c r="K9804" s="219"/>
      <c r="L9804" s="219">
        <v>416913.15</v>
      </c>
    </row>
    <row r="9805" spans="1:13" x14ac:dyDescent="0.2">
      <c r="A9805" s="168">
        <v>2023</v>
      </c>
      <c r="B9805" s="168">
        <v>11</v>
      </c>
      <c r="C9805" s="168">
        <v>7</v>
      </c>
      <c r="D9805" s="280">
        <f t="shared" si="1216"/>
        <v>45237</v>
      </c>
      <c r="E9805" s="281">
        <f t="shared" si="1217"/>
        <v>45237</v>
      </c>
      <c r="F9805" s="479" t="s">
        <v>1822</v>
      </c>
      <c r="G9805" s="220" t="s">
        <v>74</v>
      </c>
      <c r="H9805" s="220" t="str" cm="1">
        <f t="array" ref="H9805">IFERROR(INDEX(INVESTOR_LIST[INVESTOR NAME],MATCH(I9805,INVESTOR_LIST[INVESTOR CODE],0),)," ")</f>
        <v xml:space="preserve"> </v>
      </c>
      <c r="I9805" s="142" t="s">
        <v>348</v>
      </c>
      <c r="J9805" s="143" t="s">
        <v>52</v>
      </c>
      <c r="K9805" s="226">
        <v>151725</v>
      </c>
      <c r="L9805" s="226"/>
      <c r="M9805" s="160"/>
    </row>
    <row r="9806" spans="1:13" x14ac:dyDescent="0.2">
      <c r="A9806" s="163">
        <v>2023</v>
      </c>
      <c r="B9806" s="163">
        <v>11</v>
      </c>
      <c r="C9806" s="163">
        <v>7</v>
      </c>
      <c r="D9806" s="144">
        <f t="shared" si="1216"/>
        <v>45237</v>
      </c>
      <c r="E9806" s="313">
        <f t="shared" si="1217"/>
        <v>45237</v>
      </c>
      <c r="F9806" s="480"/>
      <c r="G9806" s="221" t="s">
        <v>74</v>
      </c>
      <c r="H9806" s="221"/>
      <c r="I9806" s="145"/>
      <c r="J9806" s="146" t="s">
        <v>168</v>
      </c>
      <c r="K9806" s="219"/>
      <c r="L9806" s="219">
        <v>151725</v>
      </c>
      <c r="M9806" s="176"/>
    </row>
    <row r="9807" spans="1:13" ht="10.15" customHeight="1" x14ac:dyDescent="0.2">
      <c r="A9807" s="168">
        <v>2023</v>
      </c>
      <c r="B9807" s="168">
        <v>11</v>
      </c>
      <c r="C9807" s="168">
        <v>7</v>
      </c>
      <c r="D9807" s="141">
        <f t="shared" si="1216"/>
        <v>45237</v>
      </c>
      <c r="E9807" s="275">
        <f t="shared" si="1217"/>
        <v>45237</v>
      </c>
      <c r="F9807" s="479" t="s">
        <v>1796</v>
      </c>
      <c r="G9807" s="174" t="s">
        <v>74</v>
      </c>
      <c r="H9807" s="148" t="str" cm="1">
        <f t="array" ref="H9807">IFERROR(INDEX(INVESTOR_LIST[INVESTOR NAME],MATCH(I9807,INVESTOR_LIST[INVESTOR CODE],0),)," ")</f>
        <v xml:space="preserve"> </v>
      </c>
      <c r="I9807" s="148" t="s">
        <v>348</v>
      </c>
      <c r="J9807" s="133" t="s">
        <v>47</v>
      </c>
      <c r="K9807" s="172">
        <v>250000</v>
      </c>
    </row>
    <row r="9808" spans="1:13" x14ac:dyDescent="0.2">
      <c r="A9808" s="163">
        <v>2023</v>
      </c>
      <c r="B9808" s="163">
        <v>11</v>
      </c>
      <c r="C9808" s="163">
        <v>7</v>
      </c>
      <c r="D9808" s="280">
        <f t="shared" si="1216"/>
        <v>45237</v>
      </c>
      <c r="E9808" s="281">
        <f t="shared" si="1217"/>
        <v>45237</v>
      </c>
      <c r="F9808" s="480"/>
      <c r="G9808" s="221" t="s">
        <v>74</v>
      </c>
      <c r="H9808" s="145" t="str" cm="1">
        <f t="array" ref="H9808">IFERROR(INDEX(INVESTOR_LIST[INVESTOR NAME],MATCH(I9808,INVESTOR_LIST[INVESTOR CODE],0),)," ")</f>
        <v xml:space="preserve"> </v>
      </c>
      <c r="I9808" s="145" t="s">
        <v>348</v>
      </c>
      <c r="J9808" s="163" t="s">
        <v>52</v>
      </c>
      <c r="K9808" s="219"/>
      <c r="L9808" s="219">
        <v>250000</v>
      </c>
    </row>
    <row r="9809" spans="1:14" x14ac:dyDescent="0.2">
      <c r="A9809" s="133">
        <v>2023</v>
      </c>
      <c r="B9809" s="133">
        <v>11</v>
      </c>
      <c r="C9809" s="133">
        <v>8</v>
      </c>
      <c r="D9809" s="141">
        <f t="shared" si="1216"/>
        <v>45238</v>
      </c>
      <c r="E9809" s="275">
        <f t="shared" si="1217"/>
        <v>45238</v>
      </c>
      <c r="F9809" s="481" t="s">
        <v>1753</v>
      </c>
      <c r="G9809" s="174" t="s">
        <v>94</v>
      </c>
      <c r="H9809" s="174" t="str" cm="1">
        <f t="array" ref="H9809">IFERROR(INDEX(INVESTOR_LIST[INVESTOR NAME],MATCH(I9809,INVESTOR_LIST[INVESTOR CODE],0),)," ")</f>
        <v xml:space="preserve"> </v>
      </c>
      <c r="J9809" s="149" t="s">
        <v>190</v>
      </c>
      <c r="K9809" s="218">
        <v>73575.3</v>
      </c>
      <c r="L9809" s="218"/>
      <c r="M9809" s="160"/>
    </row>
    <row r="9810" spans="1:14" x14ac:dyDescent="0.2">
      <c r="A9810" s="133">
        <v>2023</v>
      </c>
      <c r="B9810" s="133">
        <v>11</v>
      </c>
      <c r="C9810" s="133">
        <v>8</v>
      </c>
      <c r="D9810" s="141">
        <f t="shared" si="1216"/>
        <v>45238</v>
      </c>
      <c r="E9810" s="275">
        <f t="shared" si="1217"/>
        <v>45238</v>
      </c>
      <c r="F9810" s="481"/>
      <c r="G9810" s="174" t="s">
        <v>94</v>
      </c>
      <c r="H9810" s="174"/>
      <c r="J9810" s="149" t="s">
        <v>80</v>
      </c>
      <c r="K9810" s="218">
        <v>132.69999999999999</v>
      </c>
      <c r="L9810" s="218"/>
    </row>
    <row r="9811" spans="1:14" x14ac:dyDescent="0.2">
      <c r="A9811" s="133">
        <v>2023</v>
      </c>
      <c r="B9811" s="133">
        <v>11</v>
      </c>
      <c r="C9811" s="133">
        <v>8</v>
      </c>
      <c r="D9811" s="141">
        <f t="shared" si="1216"/>
        <v>45238</v>
      </c>
      <c r="E9811" s="275">
        <f t="shared" si="1217"/>
        <v>45238</v>
      </c>
      <c r="F9811" s="481"/>
      <c r="G9811" s="174" t="s">
        <v>94</v>
      </c>
      <c r="H9811" s="174" t="str" cm="1">
        <f t="array" ref="H9811">IFERROR(INDEX(INVESTOR_LIST[INVESTOR NAME],MATCH(I9811,INVESTOR_LIST[INVESTOR CODE],0),)," ")</f>
        <v xml:space="preserve"> </v>
      </c>
      <c r="J9811" s="149" t="s">
        <v>191</v>
      </c>
      <c r="K9811" s="218"/>
      <c r="L9811" s="218">
        <v>3501.69</v>
      </c>
    </row>
    <row r="9812" spans="1:14" x14ac:dyDescent="0.2">
      <c r="A9812" s="163">
        <v>2023</v>
      </c>
      <c r="B9812" s="163">
        <v>11</v>
      </c>
      <c r="C9812" s="163">
        <v>8</v>
      </c>
      <c r="D9812" s="280">
        <f t="shared" si="1216"/>
        <v>45238</v>
      </c>
      <c r="E9812" s="281">
        <f t="shared" si="1217"/>
        <v>45238</v>
      </c>
      <c r="F9812" s="480"/>
      <c r="G9812" s="221" t="s">
        <v>94</v>
      </c>
      <c r="H9812" s="145" t="str" cm="1">
        <f t="array" ref="H9812">IFERROR(INDEX(INVESTOR_LIST[INVESTOR NAME],MATCH(I9812,INVESTOR_LIST[INVESTOR CODE],0),)," ")</f>
        <v xml:space="preserve"> </v>
      </c>
      <c r="I9812" s="145"/>
      <c r="J9812" s="163" t="s">
        <v>79</v>
      </c>
      <c r="K9812" s="219"/>
      <c r="L9812" s="219">
        <v>70206.31</v>
      </c>
    </row>
    <row r="9813" spans="1:14" ht="10.15" customHeight="1" x14ac:dyDescent="0.2">
      <c r="A9813" s="168">
        <v>2023</v>
      </c>
      <c r="B9813" s="168">
        <v>11</v>
      </c>
      <c r="C9813" s="168">
        <v>9</v>
      </c>
      <c r="D9813" s="141">
        <f t="shared" ref="D9813:D9836" si="1218">DATE(A9813,B9813,C9813)</f>
        <v>45239</v>
      </c>
      <c r="E9813" s="275">
        <f t="shared" ref="E9813:E9836" si="1219">DATE(A9813,B9813,C9813)</f>
        <v>45239</v>
      </c>
      <c r="F9813" s="479" t="s">
        <v>1796</v>
      </c>
      <c r="G9813" s="174" t="s">
        <v>74</v>
      </c>
      <c r="H9813" s="148" t="str" cm="1">
        <f t="array" ref="H9813">IFERROR(INDEX(INVESTOR_LIST[INVESTOR NAME],MATCH(I9813,INVESTOR_LIST[INVESTOR CODE],0),)," ")</f>
        <v xml:space="preserve"> </v>
      </c>
      <c r="I9813" s="148" t="s">
        <v>348</v>
      </c>
      <c r="J9813" s="133" t="s">
        <v>47</v>
      </c>
      <c r="K9813" s="172">
        <v>100000</v>
      </c>
    </row>
    <row r="9814" spans="1:14" x14ac:dyDescent="0.2">
      <c r="A9814" s="163">
        <v>2023</v>
      </c>
      <c r="B9814" s="163">
        <v>11</v>
      </c>
      <c r="C9814" s="163">
        <v>9</v>
      </c>
      <c r="D9814" s="280">
        <f t="shared" si="1218"/>
        <v>45239</v>
      </c>
      <c r="E9814" s="281">
        <f t="shared" si="1219"/>
        <v>45239</v>
      </c>
      <c r="F9814" s="480"/>
      <c r="G9814" s="221" t="s">
        <v>74</v>
      </c>
      <c r="H9814" s="145" t="str" cm="1">
        <f t="array" ref="H9814">IFERROR(INDEX(INVESTOR_LIST[INVESTOR NAME],MATCH(I9814,INVESTOR_LIST[INVESTOR CODE],0),)," ")</f>
        <v xml:space="preserve"> </v>
      </c>
      <c r="I9814" s="145" t="s">
        <v>348</v>
      </c>
      <c r="J9814" s="163" t="s">
        <v>52</v>
      </c>
      <c r="K9814" s="219"/>
      <c r="L9814" s="219">
        <v>100000</v>
      </c>
    </row>
    <row r="9815" spans="1:14" x14ac:dyDescent="0.2">
      <c r="A9815" s="133">
        <v>2023</v>
      </c>
      <c r="B9815" s="133">
        <v>11</v>
      </c>
      <c r="C9815" s="133">
        <v>9</v>
      </c>
      <c r="D9815" s="141">
        <f t="shared" si="1218"/>
        <v>45239</v>
      </c>
      <c r="E9815" s="275">
        <f t="shared" si="1219"/>
        <v>45239</v>
      </c>
      <c r="F9815" s="481" t="s">
        <v>1753</v>
      </c>
      <c r="G9815" s="174" t="s">
        <v>94</v>
      </c>
      <c r="H9815" s="174" t="str" cm="1">
        <f t="array" ref="H9815">IFERROR(INDEX(INVESTOR_LIST[INVESTOR NAME],MATCH(I9815,INVESTOR_LIST[INVESTOR CODE],0),)," ")</f>
        <v xml:space="preserve"> </v>
      </c>
      <c r="J9815" s="149" t="s">
        <v>190</v>
      </c>
      <c r="K9815" s="218">
        <v>415758.22</v>
      </c>
      <c r="L9815" s="218"/>
      <c r="M9815" s="160"/>
    </row>
    <row r="9816" spans="1:14" x14ac:dyDescent="0.2">
      <c r="A9816" s="133">
        <v>2023</v>
      </c>
      <c r="B9816" s="133">
        <v>11</v>
      </c>
      <c r="C9816" s="133">
        <v>9</v>
      </c>
      <c r="D9816" s="141">
        <f t="shared" si="1218"/>
        <v>45239</v>
      </c>
      <c r="E9816" s="275">
        <f t="shared" si="1219"/>
        <v>45239</v>
      </c>
      <c r="F9816" s="481"/>
      <c r="G9816" s="174" t="s">
        <v>94</v>
      </c>
      <c r="H9816" s="174"/>
      <c r="J9816" s="149" t="s">
        <v>80</v>
      </c>
      <c r="K9816" s="218">
        <v>749.68</v>
      </c>
      <c r="L9816" s="218"/>
    </row>
    <row r="9817" spans="1:14" x14ac:dyDescent="0.2">
      <c r="A9817" s="133">
        <v>2023</v>
      </c>
      <c r="B9817" s="133">
        <v>11</v>
      </c>
      <c r="C9817" s="133">
        <v>9</v>
      </c>
      <c r="D9817" s="141">
        <f t="shared" si="1218"/>
        <v>45239</v>
      </c>
      <c r="E9817" s="275">
        <f t="shared" si="1219"/>
        <v>45239</v>
      </c>
      <c r="F9817" s="481"/>
      <c r="G9817" s="174" t="s">
        <v>94</v>
      </c>
      <c r="H9817" s="174" t="str" cm="1">
        <f t="array" ref="H9817">IFERROR(INDEX(INVESTOR_LIST[INVESTOR NAME],MATCH(I9817,INVESTOR_LIST[INVESTOR CODE],0),)," ")</f>
        <v xml:space="preserve"> </v>
      </c>
      <c r="J9817" s="149" t="s">
        <v>191</v>
      </c>
      <c r="K9817" s="218"/>
      <c r="L9817" s="218">
        <v>18672.150000000001</v>
      </c>
    </row>
    <row r="9818" spans="1:14" x14ac:dyDescent="0.2">
      <c r="A9818" s="163">
        <v>2023</v>
      </c>
      <c r="B9818" s="163">
        <v>11</v>
      </c>
      <c r="C9818" s="163">
        <v>9</v>
      </c>
      <c r="D9818" s="280">
        <f t="shared" si="1218"/>
        <v>45239</v>
      </c>
      <c r="E9818" s="281">
        <f t="shared" si="1219"/>
        <v>45239</v>
      </c>
      <c r="F9818" s="480"/>
      <c r="G9818" s="221" t="s">
        <v>94</v>
      </c>
      <c r="H9818" s="145" t="str" cm="1">
        <f t="array" ref="H9818">IFERROR(INDEX(INVESTOR_LIST[INVESTOR NAME],MATCH(I9818,INVESTOR_LIST[INVESTOR CODE],0),)," ")</f>
        <v xml:space="preserve"> </v>
      </c>
      <c r="I9818" s="145"/>
      <c r="J9818" s="163" t="s">
        <v>79</v>
      </c>
      <c r="K9818" s="219"/>
      <c r="L9818" s="219">
        <v>397835.75</v>
      </c>
    </row>
    <row r="9819" spans="1:14" x14ac:dyDescent="0.2">
      <c r="A9819" s="168">
        <v>2023</v>
      </c>
      <c r="B9819" s="168">
        <v>11</v>
      </c>
      <c r="C9819" s="168">
        <v>9</v>
      </c>
      <c r="D9819" s="141">
        <f t="shared" si="1218"/>
        <v>45239</v>
      </c>
      <c r="E9819" s="275">
        <f t="shared" si="1219"/>
        <v>45239</v>
      </c>
      <c r="F9819" s="479" t="s">
        <v>1757</v>
      </c>
      <c r="G9819" s="220" t="s">
        <v>74</v>
      </c>
      <c r="H9819" s="220" t="str" cm="1">
        <f t="array" ref="H9819">IFERROR(INDEX(INVESTOR_LIST[INVESTOR NAME],MATCH(I9819,INVESTOR_LIST[INVESTOR CODE],0),)," ")</f>
        <v xml:space="preserve"> </v>
      </c>
      <c r="I9819" s="142"/>
      <c r="J9819" s="143" t="s">
        <v>52</v>
      </c>
      <c r="K9819" s="226">
        <v>1053101.02</v>
      </c>
      <c r="L9819" s="226"/>
    </row>
    <row r="9820" spans="1:14" x14ac:dyDescent="0.2">
      <c r="A9820" s="163">
        <v>2023</v>
      </c>
      <c r="B9820" s="163">
        <v>11</v>
      </c>
      <c r="C9820" s="163">
        <v>9</v>
      </c>
      <c r="D9820" s="280">
        <f t="shared" si="1218"/>
        <v>45239</v>
      </c>
      <c r="E9820" s="281">
        <f t="shared" si="1219"/>
        <v>45239</v>
      </c>
      <c r="F9820" s="480"/>
      <c r="G9820" s="221" t="s">
        <v>74</v>
      </c>
      <c r="H9820" s="221" t="str" cm="1">
        <f t="array" ref="H9820">IFERROR(INDEX(INVESTOR_LIST[INVESTOR NAME],MATCH(I9820,INVESTOR_LIST[INVESTOR CODE],0),)," ")</f>
        <v xml:space="preserve"> </v>
      </c>
      <c r="I9820" s="145"/>
      <c r="J9820" s="146" t="s">
        <v>190</v>
      </c>
      <c r="K9820" s="219"/>
      <c r="L9820" s="219">
        <v>1053101.02</v>
      </c>
    </row>
    <row r="9821" spans="1:14" x14ac:dyDescent="0.2">
      <c r="A9821" s="324">
        <v>2023</v>
      </c>
      <c r="B9821" s="324">
        <v>11</v>
      </c>
      <c r="C9821" s="325">
        <v>9</v>
      </c>
      <c r="D9821" s="326">
        <f t="shared" si="1218"/>
        <v>45239</v>
      </c>
      <c r="E9821" s="327">
        <f t="shared" si="1219"/>
        <v>45239</v>
      </c>
      <c r="F9821" s="473" t="s">
        <v>1490</v>
      </c>
      <c r="G9821" s="328" t="s">
        <v>94</v>
      </c>
      <c r="H9821" s="329" t="str" cm="1">
        <f t="array" ref="H9821">IFERROR(INDEX(INVESTOR_LIST[INVESTOR NAME],MATCH(I9821,INVESTOR_LIST[INVESTOR CODE],0),)," ")</f>
        <v xml:space="preserve"> </v>
      </c>
      <c r="I9821" s="329" t="s">
        <v>348</v>
      </c>
      <c r="J9821" s="325" t="s">
        <v>133</v>
      </c>
      <c r="K9821" s="330">
        <v>16858.240000000002</v>
      </c>
      <c r="L9821" s="330"/>
      <c r="M9821" s="160"/>
    </row>
    <row r="9822" spans="1:14" x14ac:dyDescent="0.2">
      <c r="A9822" s="331">
        <v>2023</v>
      </c>
      <c r="B9822" s="331">
        <v>11</v>
      </c>
      <c r="C9822" s="331">
        <v>9</v>
      </c>
      <c r="D9822" s="326">
        <f t="shared" si="1218"/>
        <v>45239</v>
      </c>
      <c r="E9822" s="327">
        <f t="shared" si="1219"/>
        <v>45239</v>
      </c>
      <c r="F9822" s="474"/>
      <c r="G9822" s="332" t="s">
        <v>94</v>
      </c>
      <c r="H9822" s="333" t="str" cm="1">
        <f t="array" ref="H9822">IFERROR(INDEX(INVESTOR_LIST[INVESTOR NAME],MATCH(I9822,INVESTOR_LIST[INVESTOR CODE],0),)," ")</f>
        <v xml:space="preserve"> </v>
      </c>
      <c r="I9822" s="333" t="s">
        <v>348</v>
      </c>
      <c r="J9822" s="331" t="s">
        <v>152</v>
      </c>
      <c r="K9822" s="334"/>
      <c r="L9822" s="334">
        <v>16858.240000000002</v>
      </c>
      <c r="M9822" s="160"/>
      <c r="N9822" s="160"/>
    </row>
    <row r="9823" spans="1:14" x14ac:dyDescent="0.2">
      <c r="A9823" s="324">
        <v>2023</v>
      </c>
      <c r="B9823" s="324">
        <v>11</v>
      </c>
      <c r="C9823" s="325">
        <v>9</v>
      </c>
      <c r="D9823" s="326">
        <f t="shared" si="1218"/>
        <v>45239</v>
      </c>
      <c r="E9823" s="327">
        <f t="shared" si="1219"/>
        <v>45239</v>
      </c>
      <c r="F9823" s="473" t="s">
        <v>1491</v>
      </c>
      <c r="G9823" s="328" t="s">
        <v>94</v>
      </c>
      <c r="H9823" s="329" t="str" cm="1">
        <f t="array" ref="H9823">IFERROR(INDEX(INVESTOR_LIST[INVESTOR NAME],MATCH(I9823,INVESTOR_LIST[INVESTOR CODE],0),)," ")</f>
        <v xml:space="preserve"> </v>
      </c>
      <c r="I9823" s="329" t="s">
        <v>348</v>
      </c>
      <c r="J9823" s="324" t="s">
        <v>133</v>
      </c>
      <c r="K9823" s="330">
        <v>4903.8500000000004</v>
      </c>
      <c r="L9823" s="330"/>
      <c r="M9823" s="160"/>
      <c r="N9823" s="160"/>
    </row>
    <row r="9824" spans="1:14" x14ac:dyDescent="0.2">
      <c r="A9824" s="331">
        <v>2023</v>
      </c>
      <c r="B9824" s="331">
        <v>11</v>
      </c>
      <c r="C9824" s="331">
        <v>9</v>
      </c>
      <c r="D9824" s="326">
        <f t="shared" si="1218"/>
        <v>45239</v>
      </c>
      <c r="E9824" s="327">
        <f t="shared" si="1219"/>
        <v>45239</v>
      </c>
      <c r="F9824" s="474"/>
      <c r="G9824" s="332" t="s">
        <v>94</v>
      </c>
      <c r="H9824" s="333" t="str" cm="1">
        <f t="array" ref="H9824">IFERROR(INDEX(INVESTOR_LIST[INVESTOR NAME],MATCH(I9824,INVESTOR_LIST[INVESTOR CODE],0),)," ")</f>
        <v xml:space="preserve"> </v>
      </c>
      <c r="I9824" s="333" t="s">
        <v>348</v>
      </c>
      <c r="J9824" s="331" t="s">
        <v>152</v>
      </c>
      <c r="K9824" s="334"/>
      <c r="L9824" s="334">
        <v>4903.8500000000004</v>
      </c>
      <c r="M9824" s="160"/>
    </row>
    <row r="9825" spans="1:13" x14ac:dyDescent="0.2">
      <c r="A9825" s="324">
        <v>2023</v>
      </c>
      <c r="B9825" s="324">
        <v>11</v>
      </c>
      <c r="C9825" s="325">
        <v>9</v>
      </c>
      <c r="D9825" s="326">
        <f t="shared" si="1218"/>
        <v>45239</v>
      </c>
      <c r="E9825" s="327">
        <f t="shared" si="1219"/>
        <v>45239</v>
      </c>
      <c r="F9825" s="473" t="s">
        <v>1531</v>
      </c>
      <c r="G9825" s="328" t="s">
        <v>94</v>
      </c>
      <c r="H9825" s="329" t="str" cm="1">
        <f t="array" ref="H9825">IFERROR(INDEX(INVESTOR_LIST[INVESTOR NAME],MATCH(I9825,INVESTOR_LIST[INVESTOR CODE],0),)," ")</f>
        <v xml:space="preserve"> </v>
      </c>
      <c r="I9825" s="329" t="s">
        <v>348</v>
      </c>
      <c r="J9825" s="324" t="s">
        <v>133</v>
      </c>
      <c r="K9825" s="330">
        <v>14871.79</v>
      </c>
      <c r="L9825" s="330"/>
      <c r="M9825" s="160"/>
    </row>
    <row r="9826" spans="1:13" x14ac:dyDescent="0.2">
      <c r="A9826" s="331">
        <v>2023</v>
      </c>
      <c r="B9826" s="331">
        <v>11</v>
      </c>
      <c r="C9826" s="331">
        <v>9</v>
      </c>
      <c r="D9826" s="326">
        <f t="shared" si="1218"/>
        <v>45239</v>
      </c>
      <c r="E9826" s="327">
        <f t="shared" si="1219"/>
        <v>45239</v>
      </c>
      <c r="F9826" s="474"/>
      <c r="G9826" s="332" t="s">
        <v>94</v>
      </c>
      <c r="H9826" s="333" t="str" cm="1">
        <f t="array" ref="H9826">IFERROR(INDEX(INVESTOR_LIST[INVESTOR NAME],MATCH(I9826,INVESTOR_LIST[INVESTOR CODE],0),)," ")</f>
        <v xml:space="preserve"> </v>
      </c>
      <c r="I9826" s="333" t="s">
        <v>348</v>
      </c>
      <c r="J9826" s="331" t="s">
        <v>152</v>
      </c>
      <c r="K9826" s="334"/>
      <c r="L9826" s="334">
        <v>14871.79</v>
      </c>
      <c r="M9826" s="160"/>
    </row>
    <row r="9827" spans="1:13" x14ac:dyDescent="0.2">
      <c r="A9827" s="343">
        <v>2023</v>
      </c>
      <c r="B9827" s="343">
        <v>11</v>
      </c>
      <c r="C9827" s="343">
        <v>9</v>
      </c>
      <c r="D9827" s="344">
        <f t="shared" si="1218"/>
        <v>45239</v>
      </c>
      <c r="E9827" s="345">
        <f t="shared" si="1219"/>
        <v>45239</v>
      </c>
      <c r="F9827" s="483" t="s">
        <v>1813</v>
      </c>
      <c r="G9827" s="350" t="s">
        <v>94</v>
      </c>
      <c r="H9827" s="350" t="str" cm="1">
        <f t="array" ref="H9827">IFERROR(INDEX(INVESTOR_LIST[INVESTOR NAME],MATCH(I9827,INVESTOR_LIST[INVESTOR CODE],0),)," ")</f>
        <v xml:space="preserve"> </v>
      </c>
      <c r="I9827" s="352" t="s">
        <v>348</v>
      </c>
      <c r="J9827" s="353" t="s">
        <v>1798</v>
      </c>
      <c r="K9827" s="354">
        <v>6078</v>
      </c>
      <c r="L9827" s="354"/>
    </row>
    <row r="9828" spans="1:13" x14ac:dyDescent="0.2">
      <c r="A9828" s="346">
        <v>2023</v>
      </c>
      <c r="B9828" s="346">
        <v>11</v>
      </c>
      <c r="C9828" s="346">
        <v>9</v>
      </c>
      <c r="D9828" s="344">
        <f t="shared" si="1218"/>
        <v>45239</v>
      </c>
      <c r="E9828" s="345">
        <f t="shared" si="1219"/>
        <v>45239</v>
      </c>
      <c r="F9828" s="484"/>
      <c r="G9828" s="347" t="s">
        <v>94</v>
      </c>
      <c r="H9828" s="347" t="str" cm="1">
        <f t="array" ref="H9828">IFERROR(INDEX(INVESTOR_LIST[INVESTOR NAME],MATCH(I9828,INVESTOR_LIST[INVESTOR CODE],0),)," ")</f>
        <v xml:space="preserve"> </v>
      </c>
      <c r="I9828" s="348" t="s">
        <v>348</v>
      </c>
      <c r="J9828" s="355" t="s">
        <v>1807</v>
      </c>
      <c r="K9828" s="349"/>
      <c r="L9828" s="349">
        <v>6078</v>
      </c>
    </row>
    <row r="9829" spans="1:13" x14ac:dyDescent="0.2">
      <c r="A9829" s="238">
        <v>2023</v>
      </c>
      <c r="B9829" s="238">
        <v>11</v>
      </c>
      <c r="C9829" s="238">
        <v>9</v>
      </c>
      <c r="D9829" s="270">
        <f t="shared" si="1218"/>
        <v>45239</v>
      </c>
      <c r="E9829" s="279">
        <f t="shared" si="1219"/>
        <v>45239</v>
      </c>
      <c r="F9829" s="477" t="s">
        <v>347</v>
      </c>
      <c r="G9829" s="239" t="s">
        <v>94</v>
      </c>
      <c r="H9829" s="239" t="str" cm="1">
        <f t="array" ref="H9829">IFERROR(INDEX(INVESTOR_LIST[INVESTOR NAME],MATCH(I9829,INVESTOR_LIST[INVESTOR CODE],0),)," ")</f>
        <v xml:space="preserve"> </v>
      </c>
      <c r="I9829" s="262" t="s">
        <v>348</v>
      </c>
      <c r="J9829" s="240" t="s">
        <v>82</v>
      </c>
      <c r="K9829" s="241">
        <v>76695.75</v>
      </c>
      <c r="L9829" s="241"/>
    </row>
    <row r="9830" spans="1:13" x14ac:dyDescent="0.2">
      <c r="A9830" s="242">
        <v>2023</v>
      </c>
      <c r="B9830" s="242">
        <v>11</v>
      </c>
      <c r="C9830" s="242">
        <v>9</v>
      </c>
      <c r="D9830" s="270">
        <f t="shared" si="1218"/>
        <v>45239</v>
      </c>
      <c r="E9830" s="279">
        <f t="shared" si="1219"/>
        <v>45239</v>
      </c>
      <c r="F9830" s="478"/>
      <c r="G9830" s="243" t="s">
        <v>94</v>
      </c>
      <c r="H9830" s="243" t="str" cm="1">
        <f t="array" ref="H9830">IFERROR(INDEX(INVESTOR_LIST[INVESTOR NAME],MATCH(I9830,INVESTOR_LIST[INVESTOR CODE],0),)," ")</f>
        <v xml:space="preserve"> </v>
      </c>
      <c r="I9830" s="263" t="s">
        <v>348</v>
      </c>
      <c r="J9830" s="244" t="s">
        <v>108</v>
      </c>
      <c r="K9830" s="245"/>
      <c r="L9830" s="245">
        <v>76695.75</v>
      </c>
    </row>
    <row r="9831" spans="1:13" ht="22.5" x14ac:dyDescent="0.2">
      <c r="A9831" s="246">
        <v>2023</v>
      </c>
      <c r="B9831" s="238">
        <v>11</v>
      </c>
      <c r="C9831" s="238">
        <v>9</v>
      </c>
      <c r="D9831" s="270">
        <f t="shared" si="1218"/>
        <v>45239</v>
      </c>
      <c r="E9831" s="279">
        <f t="shared" si="1219"/>
        <v>45239</v>
      </c>
      <c r="F9831" s="482" t="s">
        <v>148</v>
      </c>
      <c r="G9831" s="247" t="s">
        <v>94</v>
      </c>
      <c r="H9831" s="247" t="str" cm="1">
        <f t="array" ref="H9831">IFERROR(INDEX(INVESTOR_LIST[INVESTOR NAME],MATCH(I9831,INVESTOR_LIST[INVESTOR CODE],0),)," ")</f>
        <v xml:space="preserve"> </v>
      </c>
      <c r="I9831" s="248" t="s">
        <v>348</v>
      </c>
      <c r="J9831" s="249" t="s">
        <v>95</v>
      </c>
      <c r="K9831" s="250">
        <v>2747.2527472527472</v>
      </c>
      <c r="L9831" s="241"/>
    </row>
    <row r="9832" spans="1:13" x14ac:dyDescent="0.2">
      <c r="A9832" s="242">
        <v>2023</v>
      </c>
      <c r="B9832" s="242">
        <v>11</v>
      </c>
      <c r="C9832" s="242">
        <v>9</v>
      </c>
      <c r="D9832" s="270">
        <f t="shared" si="1218"/>
        <v>45239</v>
      </c>
      <c r="E9832" s="279">
        <f t="shared" si="1219"/>
        <v>45239</v>
      </c>
      <c r="F9832" s="478"/>
      <c r="G9832" s="243" t="s">
        <v>94</v>
      </c>
      <c r="H9832" s="243" t="str" cm="1">
        <f t="array" ref="H9832">IFERROR(INDEX(INVESTOR_LIST[INVESTOR NAME],MATCH(I9832,INVESTOR_LIST[INVESTOR CODE],0),)," ")</f>
        <v xml:space="preserve"> </v>
      </c>
      <c r="I9832" s="263" t="s">
        <v>348</v>
      </c>
      <c r="J9832" s="244" t="s">
        <v>63</v>
      </c>
      <c r="K9832" s="245"/>
      <c r="L9832" s="245">
        <v>2747.2527472527472</v>
      </c>
    </row>
    <row r="9833" spans="1:13" x14ac:dyDescent="0.2">
      <c r="A9833" s="246">
        <v>2023</v>
      </c>
      <c r="B9833" s="238">
        <v>11</v>
      </c>
      <c r="C9833" s="238">
        <v>9</v>
      </c>
      <c r="D9833" s="270">
        <f t="shared" si="1218"/>
        <v>45239</v>
      </c>
      <c r="E9833" s="279">
        <f t="shared" si="1219"/>
        <v>45239</v>
      </c>
      <c r="F9833" s="482" t="s">
        <v>137</v>
      </c>
      <c r="G9833" s="247" t="s">
        <v>94</v>
      </c>
      <c r="H9833" s="247" t="str" cm="1">
        <f t="array" ref="H9833">IFERROR(INDEX(INVESTOR_LIST[INVESTOR NAME],MATCH(I9833,INVESTOR_LIST[INVESTOR CODE],0),)," ")</f>
        <v xml:space="preserve"> </v>
      </c>
      <c r="I9833" s="248" t="s">
        <v>348</v>
      </c>
      <c r="J9833" s="249" t="s">
        <v>97</v>
      </c>
      <c r="K9833" s="250">
        <v>62064.924305796128</v>
      </c>
      <c r="L9833" s="252"/>
    </row>
    <row r="9834" spans="1:13" x14ac:dyDescent="0.2">
      <c r="A9834" s="242">
        <v>2023</v>
      </c>
      <c r="B9834" s="242">
        <v>11</v>
      </c>
      <c r="C9834" s="242">
        <v>9</v>
      </c>
      <c r="D9834" s="270">
        <f t="shared" si="1218"/>
        <v>45239</v>
      </c>
      <c r="E9834" s="279">
        <f t="shared" si="1219"/>
        <v>45239</v>
      </c>
      <c r="F9834" s="478"/>
      <c r="G9834" s="243" t="s">
        <v>94</v>
      </c>
      <c r="H9834" s="243" t="str" cm="1">
        <f t="array" ref="H9834">IFERROR(INDEX(INVESTOR_LIST[INVESTOR NAME],MATCH(I9834,INVESTOR_LIST[INVESTOR CODE],0),)," ")</f>
        <v xml:space="preserve"> </v>
      </c>
      <c r="I9834" s="263" t="s">
        <v>348</v>
      </c>
      <c r="J9834" s="244" t="s">
        <v>47</v>
      </c>
      <c r="K9834" s="245"/>
      <c r="L9834" s="245">
        <v>62064.924305796128</v>
      </c>
    </row>
    <row r="9835" spans="1:13" x14ac:dyDescent="0.2">
      <c r="A9835" s="246">
        <v>2023</v>
      </c>
      <c r="B9835" s="238">
        <v>11</v>
      </c>
      <c r="C9835" s="238">
        <v>9</v>
      </c>
      <c r="D9835" s="270">
        <f t="shared" si="1218"/>
        <v>45239</v>
      </c>
      <c r="E9835" s="279">
        <f t="shared" si="1219"/>
        <v>45239</v>
      </c>
      <c r="F9835" s="482" t="s">
        <v>138</v>
      </c>
      <c r="G9835" s="247" t="s">
        <v>94</v>
      </c>
      <c r="H9835" s="247" t="str" cm="1">
        <f t="array" ref="H9835">IFERROR(INDEX(INVESTOR_LIST[INVESTOR NAME],MATCH(I9835,INVESTOR_LIST[INVESTOR CODE],0),)," ")</f>
        <v xml:space="preserve"> </v>
      </c>
      <c r="I9835" s="248" t="s">
        <v>348</v>
      </c>
      <c r="J9835" s="249" t="s">
        <v>100</v>
      </c>
      <c r="K9835" s="250">
        <v>2862.8615999051913</v>
      </c>
      <c r="L9835" s="252"/>
    </row>
    <row r="9836" spans="1:13" x14ac:dyDescent="0.2">
      <c r="A9836" s="242">
        <v>2023</v>
      </c>
      <c r="B9836" s="242">
        <v>11</v>
      </c>
      <c r="C9836" s="242">
        <v>9</v>
      </c>
      <c r="D9836" s="321">
        <f t="shared" si="1218"/>
        <v>45239</v>
      </c>
      <c r="E9836" s="322">
        <f t="shared" si="1219"/>
        <v>45239</v>
      </c>
      <c r="F9836" s="478"/>
      <c r="G9836" s="243" t="s">
        <v>94</v>
      </c>
      <c r="H9836" s="243" t="str" cm="1">
        <f t="array" ref="H9836">IFERROR(INDEX(INVESTOR_LIST[INVESTOR NAME],MATCH(I9836,INVESTOR_LIST[INVESTOR CODE],0),)," ")</f>
        <v xml:space="preserve"> </v>
      </c>
      <c r="I9836" s="263" t="s">
        <v>348</v>
      </c>
      <c r="J9836" s="244" t="s">
        <v>48</v>
      </c>
      <c r="K9836" s="245"/>
      <c r="L9836" s="245">
        <v>2862.8615999051913</v>
      </c>
    </row>
    <row r="9837" spans="1:13" x14ac:dyDescent="0.2">
      <c r="A9837" s="168">
        <v>2023</v>
      </c>
      <c r="B9837" s="168">
        <v>11</v>
      </c>
      <c r="C9837" s="168">
        <v>9</v>
      </c>
      <c r="D9837" s="141">
        <f t="shared" ref="D9837:D9843" si="1220">DATE(A9837,B9837,C9837)</f>
        <v>45239</v>
      </c>
      <c r="E9837" s="275">
        <f t="shared" ref="E9837:E9843" si="1221">DATE(A9837,B9837,C9837)</f>
        <v>45239</v>
      </c>
      <c r="F9837" s="479" t="s">
        <v>1757</v>
      </c>
      <c r="G9837" s="220" t="s">
        <v>74</v>
      </c>
      <c r="H9837" s="220" t="str" cm="1">
        <f t="array" ref="H9837">IFERROR(INDEX(INVESTOR_LIST[INVESTOR NAME],MATCH(I9837,INVESTOR_LIST[INVESTOR CODE],0),)," ")</f>
        <v xml:space="preserve"> </v>
      </c>
      <c r="I9837" s="142"/>
      <c r="J9837" s="143" t="s">
        <v>52</v>
      </c>
      <c r="K9837" s="226">
        <v>73575.3</v>
      </c>
      <c r="L9837" s="226"/>
    </row>
    <row r="9838" spans="1:13" x14ac:dyDescent="0.2">
      <c r="A9838" s="163">
        <v>2023</v>
      </c>
      <c r="B9838" s="163">
        <v>11</v>
      </c>
      <c r="C9838" s="163">
        <v>9</v>
      </c>
      <c r="D9838" s="280">
        <f t="shared" si="1220"/>
        <v>45239</v>
      </c>
      <c r="E9838" s="281">
        <f t="shared" si="1221"/>
        <v>45239</v>
      </c>
      <c r="F9838" s="480"/>
      <c r="G9838" s="221" t="s">
        <v>74</v>
      </c>
      <c r="H9838" s="221" t="str" cm="1">
        <f t="array" ref="H9838">IFERROR(INDEX(INVESTOR_LIST[INVESTOR NAME],MATCH(I9838,INVESTOR_LIST[INVESTOR CODE],0),)," ")</f>
        <v xml:space="preserve"> </v>
      </c>
      <c r="I9838" s="145"/>
      <c r="J9838" s="146" t="s">
        <v>190</v>
      </c>
      <c r="K9838" s="219"/>
      <c r="L9838" s="219">
        <v>73575.3</v>
      </c>
    </row>
    <row r="9839" spans="1:13" x14ac:dyDescent="0.2">
      <c r="A9839" s="133">
        <v>2023</v>
      </c>
      <c r="B9839" s="168">
        <v>11</v>
      </c>
      <c r="C9839" s="168">
        <v>12</v>
      </c>
      <c r="D9839" s="141">
        <f t="shared" si="1220"/>
        <v>45242</v>
      </c>
      <c r="E9839" s="275">
        <f t="shared" si="1221"/>
        <v>45242</v>
      </c>
      <c r="F9839" s="481" t="s">
        <v>1825</v>
      </c>
      <c r="G9839" s="174" t="s">
        <v>94</v>
      </c>
      <c r="H9839" s="174" t="str" cm="1">
        <f t="array" ref="H9839">IFERROR(INDEX(INVESTOR_LIST[INVESTOR NAME],MATCH(I9839,INVESTOR_LIST[INVESTOR CODE],0),)," ")</f>
        <v xml:space="preserve"> </v>
      </c>
      <c r="I9839" s="148" t="s">
        <v>348</v>
      </c>
      <c r="J9839" s="149" t="s">
        <v>168</v>
      </c>
      <c r="K9839" s="218">
        <v>52468.75</v>
      </c>
      <c r="L9839" s="218"/>
    </row>
    <row r="9840" spans="1:13" x14ac:dyDescent="0.2">
      <c r="A9840" s="163">
        <v>2023</v>
      </c>
      <c r="B9840" s="163">
        <v>11</v>
      </c>
      <c r="C9840" s="163">
        <v>12</v>
      </c>
      <c r="D9840" s="141">
        <f t="shared" si="1220"/>
        <v>45242</v>
      </c>
      <c r="E9840" s="275">
        <f t="shared" si="1221"/>
        <v>45242</v>
      </c>
      <c r="F9840" s="480"/>
      <c r="G9840" s="221" t="s">
        <v>94</v>
      </c>
      <c r="H9840" s="221" t="str" cm="1">
        <f t="array" ref="H9840">IFERROR(INDEX(INVESTOR_LIST[INVESTOR NAME],MATCH(I9840,INVESTOR_LIST[INVESTOR CODE],0),)," ")</f>
        <v xml:space="preserve"> </v>
      </c>
      <c r="I9840" s="145" t="s">
        <v>348</v>
      </c>
      <c r="J9840" s="146" t="s">
        <v>166</v>
      </c>
      <c r="K9840" s="219"/>
      <c r="L9840" s="219">
        <v>52468.75</v>
      </c>
    </row>
    <row r="9841" spans="1:12" ht="45" x14ac:dyDescent="0.2">
      <c r="A9841" s="168">
        <v>2023</v>
      </c>
      <c r="B9841" s="168">
        <v>11</v>
      </c>
      <c r="C9841" s="168">
        <v>13</v>
      </c>
      <c r="D9841" s="141">
        <f t="shared" si="1220"/>
        <v>45243</v>
      </c>
      <c r="E9841" s="275">
        <f t="shared" si="1221"/>
        <v>45243</v>
      </c>
      <c r="F9841" s="479" t="s">
        <v>1310</v>
      </c>
      <c r="G9841" s="220" t="s">
        <v>74</v>
      </c>
      <c r="H9841" s="142" t="str" cm="1">
        <f t="array" ref="H9841">IFERROR(INDEX(INVESTOR_LIST[INVESTOR NAME],MATCH(I9841,INVESTOR_LIST[INVESTOR CODE],0),)," ")</f>
        <v>MD MIZANUR RAHMAN</v>
      </c>
      <c r="I9841" s="142" t="s">
        <v>482</v>
      </c>
      <c r="J9841" s="168" t="s">
        <v>13</v>
      </c>
      <c r="K9841" s="218">
        <v>40160</v>
      </c>
      <c r="L9841" s="226"/>
    </row>
    <row r="9842" spans="1:12" ht="45" x14ac:dyDescent="0.2">
      <c r="A9842" s="133">
        <v>2023</v>
      </c>
      <c r="B9842" s="133">
        <v>11</v>
      </c>
      <c r="C9842" s="133">
        <v>13</v>
      </c>
      <c r="D9842" s="141">
        <f t="shared" si="1220"/>
        <v>45243</v>
      </c>
      <c r="E9842" s="275">
        <f t="shared" si="1221"/>
        <v>45243</v>
      </c>
      <c r="F9842" s="481"/>
      <c r="G9842" s="174" t="s">
        <v>74</v>
      </c>
      <c r="H9842" s="148" t="str" cm="1">
        <f t="array" ref="H9842">IFERROR(INDEX(INVESTOR_LIST[INVESTOR NAME],MATCH(I9842,INVESTOR_LIST[INVESTOR CODE],0),)," ")</f>
        <v>MD MIZANUR RAHMAN</v>
      </c>
      <c r="I9842" s="148" t="s">
        <v>482</v>
      </c>
      <c r="J9842" s="133" t="s">
        <v>53</v>
      </c>
      <c r="K9842" s="218">
        <v>9840</v>
      </c>
      <c r="L9842" s="133"/>
    </row>
    <row r="9843" spans="1:12" ht="45" x14ac:dyDescent="0.2">
      <c r="A9843" s="163">
        <v>2023</v>
      </c>
      <c r="B9843" s="163">
        <v>11</v>
      </c>
      <c r="C9843" s="163">
        <v>13</v>
      </c>
      <c r="D9843" s="280">
        <f t="shared" si="1220"/>
        <v>45243</v>
      </c>
      <c r="E9843" s="281">
        <f t="shared" si="1221"/>
        <v>45243</v>
      </c>
      <c r="F9843" s="480"/>
      <c r="G9843" s="221" t="s">
        <v>74</v>
      </c>
      <c r="H9843" s="145" t="str" cm="1">
        <f t="array" ref="H9843">IFERROR(INDEX(INVESTOR_LIST[INVESTOR NAME],MATCH(I9843,INVESTOR_LIST[INVESTOR CODE],0),)," ")</f>
        <v>MD MIZANUR RAHMAN</v>
      </c>
      <c r="I9843" s="145" t="s">
        <v>482</v>
      </c>
      <c r="J9843" s="163" t="s">
        <v>52</v>
      </c>
      <c r="K9843" s="219"/>
      <c r="L9843" s="219">
        <v>50000</v>
      </c>
    </row>
    <row r="9844" spans="1:12" ht="33.75" x14ac:dyDescent="0.2">
      <c r="A9844" s="168">
        <v>2023</v>
      </c>
      <c r="B9844" s="168">
        <v>11</v>
      </c>
      <c r="C9844" s="168">
        <v>13</v>
      </c>
      <c r="D9844" s="141">
        <f t="shared" ref="D9844:D9846" si="1222">DATE(A9844,B9844,C9844)</f>
        <v>45243</v>
      </c>
      <c r="E9844" s="275">
        <f t="shared" ref="E9844:E9846" si="1223">DATE(A9844,B9844,C9844)</f>
        <v>45243</v>
      </c>
      <c r="F9844" s="479" t="s">
        <v>1310</v>
      </c>
      <c r="G9844" s="220" t="s">
        <v>74</v>
      </c>
      <c r="H9844" s="142" t="str" cm="1">
        <f t="array" ref="H9844">IFERROR(INDEX(INVESTOR_LIST[INVESTOR NAME],MATCH(I9844,INVESTOR_LIST[INVESTOR CODE],0),)," ")</f>
        <v>MAYA RANI SAHA</v>
      </c>
      <c r="I9844" s="142" t="s">
        <v>456</v>
      </c>
      <c r="J9844" s="168" t="s">
        <v>13</v>
      </c>
      <c r="K9844" s="218">
        <v>570170</v>
      </c>
      <c r="L9844" s="226"/>
    </row>
    <row r="9845" spans="1:12" ht="33.75" x14ac:dyDescent="0.2">
      <c r="A9845" s="133">
        <v>2023</v>
      </c>
      <c r="B9845" s="133">
        <v>11</v>
      </c>
      <c r="C9845" s="133">
        <v>13</v>
      </c>
      <c r="D9845" s="141">
        <f t="shared" si="1222"/>
        <v>45243</v>
      </c>
      <c r="E9845" s="275">
        <f t="shared" si="1223"/>
        <v>45243</v>
      </c>
      <c r="F9845" s="481"/>
      <c r="G9845" s="174" t="s">
        <v>74</v>
      </c>
      <c r="H9845" s="148" t="str" cm="1">
        <f t="array" ref="H9845">IFERROR(INDEX(INVESTOR_LIST[INVESTOR NAME],MATCH(I9845,INVESTOR_LIST[INVESTOR CODE],0),)," ")</f>
        <v>MAYA RANI SAHA</v>
      </c>
      <c r="I9845" s="148" t="s">
        <v>456</v>
      </c>
      <c r="J9845" s="133" t="s">
        <v>53</v>
      </c>
      <c r="K9845" s="218">
        <v>139691.65000000002</v>
      </c>
      <c r="L9845" s="133"/>
    </row>
    <row r="9846" spans="1:12" ht="33.75" x14ac:dyDescent="0.2">
      <c r="A9846" s="163">
        <v>2023</v>
      </c>
      <c r="B9846" s="163">
        <v>11</v>
      </c>
      <c r="C9846" s="163">
        <v>13</v>
      </c>
      <c r="D9846" s="280">
        <f t="shared" si="1222"/>
        <v>45243</v>
      </c>
      <c r="E9846" s="281">
        <f t="shared" si="1223"/>
        <v>45243</v>
      </c>
      <c r="F9846" s="480"/>
      <c r="G9846" s="221" t="s">
        <v>74</v>
      </c>
      <c r="H9846" s="145" t="str" cm="1">
        <f t="array" ref="H9846">IFERROR(INDEX(INVESTOR_LIST[INVESTOR NAME],MATCH(I9846,INVESTOR_LIST[INVESTOR CODE],0),)," ")</f>
        <v>MAYA RANI SAHA</v>
      </c>
      <c r="I9846" s="145" t="s">
        <v>456</v>
      </c>
      <c r="J9846" s="163" t="s">
        <v>52</v>
      </c>
      <c r="K9846" s="219"/>
      <c r="L9846" s="219">
        <v>709861.65</v>
      </c>
    </row>
    <row r="9847" spans="1:12" ht="22.5" x14ac:dyDescent="0.2">
      <c r="A9847" s="168">
        <v>2023</v>
      </c>
      <c r="B9847" s="168">
        <v>11</v>
      </c>
      <c r="C9847" s="168">
        <v>13</v>
      </c>
      <c r="D9847" s="141">
        <f t="shared" ref="D9847:D9849" si="1224">DATE(A9847,B9847,C9847)</f>
        <v>45243</v>
      </c>
      <c r="E9847" s="275">
        <f t="shared" ref="E9847:E9849" si="1225">DATE(A9847,B9847,C9847)</f>
        <v>45243</v>
      </c>
      <c r="F9847" s="479" t="s">
        <v>1310</v>
      </c>
      <c r="G9847" s="220" t="s">
        <v>74</v>
      </c>
      <c r="H9847" s="142" t="str" cm="1">
        <f t="array" ref="H9847">IFERROR(INDEX(INVESTOR_LIST[INVESTOR NAME],MATCH(I9847,INVESTOR_LIST[INVESTOR CODE],0),)," ")</f>
        <v>MINHAJ UDDIN</v>
      </c>
      <c r="I9847" s="142" t="s">
        <v>390</v>
      </c>
      <c r="J9847" s="168" t="s">
        <v>13</v>
      </c>
      <c r="K9847" s="218">
        <v>130840</v>
      </c>
      <c r="L9847" s="226"/>
    </row>
    <row r="9848" spans="1:12" ht="22.5" x14ac:dyDescent="0.2">
      <c r="A9848" s="133">
        <v>2023</v>
      </c>
      <c r="B9848" s="133">
        <v>11</v>
      </c>
      <c r="C9848" s="133">
        <v>13</v>
      </c>
      <c r="D9848" s="141">
        <f t="shared" si="1224"/>
        <v>45243</v>
      </c>
      <c r="E9848" s="275">
        <f t="shared" si="1225"/>
        <v>45243</v>
      </c>
      <c r="F9848" s="481"/>
      <c r="G9848" s="174" t="s">
        <v>74</v>
      </c>
      <c r="H9848" s="148" t="str" cm="1">
        <f t="array" ref="H9848">IFERROR(INDEX(INVESTOR_LIST[INVESTOR NAME],MATCH(I9848,INVESTOR_LIST[INVESTOR CODE],0),)," ")</f>
        <v>MINHAJ UDDIN</v>
      </c>
      <c r="I9848" s="148" t="s">
        <v>390</v>
      </c>
      <c r="J9848" s="133" t="s">
        <v>53</v>
      </c>
      <c r="K9848" s="218">
        <v>32055.799999999988</v>
      </c>
      <c r="L9848" s="133"/>
    </row>
    <row r="9849" spans="1:12" ht="22.5" x14ac:dyDescent="0.2">
      <c r="A9849" s="163">
        <v>2023</v>
      </c>
      <c r="B9849" s="163">
        <v>11</v>
      </c>
      <c r="C9849" s="163">
        <v>13</v>
      </c>
      <c r="D9849" s="280">
        <f t="shared" si="1224"/>
        <v>45243</v>
      </c>
      <c r="E9849" s="281">
        <f t="shared" si="1225"/>
        <v>45243</v>
      </c>
      <c r="F9849" s="480"/>
      <c r="G9849" s="221" t="s">
        <v>74</v>
      </c>
      <c r="H9849" s="145" t="str" cm="1">
        <f t="array" ref="H9849">IFERROR(INDEX(INVESTOR_LIST[INVESTOR NAME],MATCH(I9849,INVESTOR_LIST[INVESTOR CODE],0),)," ")</f>
        <v>MINHAJ UDDIN</v>
      </c>
      <c r="I9849" s="145" t="s">
        <v>390</v>
      </c>
      <c r="J9849" s="163" t="s">
        <v>52</v>
      </c>
      <c r="K9849" s="219"/>
      <c r="L9849" s="219">
        <v>162895.79999999999</v>
      </c>
    </row>
    <row r="9850" spans="1:12" ht="22.5" x14ac:dyDescent="0.2">
      <c r="A9850" s="168">
        <v>2023</v>
      </c>
      <c r="B9850" s="168">
        <v>11</v>
      </c>
      <c r="C9850" s="168">
        <v>13</v>
      </c>
      <c r="D9850" s="141">
        <f t="shared" ref="D9850:D9868" si="1226">DATE(A9850,B9850,C9850)</f>
        <v>45243</v>
      </c>
      <c r="E9850" s="275">
        <f t="shared" ref="E9850:E9868" si="1227">DATE(A9850,B9850,C9850)</f>
        <v>45243</v>
      </c>
      <c r="F9850" s="479" t="s">
        <v>1315</v>
      </c>
      <c r="G9850" s="220" t="s">
        <v>74</v>
      </c>
      <c r="H9850" s="142" t="str" cm="1">
        <f t="array" ref="H9850">IFERROR(INDEX(INVESTOR_LIST[INVESTOR NAME],MATCH(I9850,INVESTOR_LIST[INVESTOR CODE],0),)," ")</f>
        <v>FARDINA HAFIZ</v>
      </c>
      <c r="I9850" s="142" t="s">
        <v>420</v>
      </c>
      <c r="J9850" s="168" t="s">
        <v>13</v>
      </c>
      <c r="K9850" s="218">
        <v>240410</v>
      </c>
      <c r="L9850" s="226"/>
    </row>
    <row r="9851" spans="1:12" ht="22.5" x14ac:dyDescent="0.2">
      <c r="A9851" s="133">
        <v>2023</v>
      </c>
      <c r="B9851" s="133">
        <v>11</v>
      </c>
      <c r="C9851" s="133">
        <v>13</v>
      </c>
      <c r="D9851" s="141">
        <f t="shared" si="1226"/>
        <v>45243</v>
      </c>
      <c r="E9851" s="275">
        <f t="shared" si="1227"/>
        <v>45243</v>
      </c>
      <c r="F9851" s="481"/>
      <c r="G9851" s="174" t="s">
        <v>74</v>
      </c>
      <c r="H9851" s="148" t="str" cm="1">
        <f t="array" ref="H9851">IFERROR(INDEX(INVESTOR_LIST[INVESTOR NAME],MATCH(I9851,INVESTOR_LIST[INVESTOR CODE],0),)," ")</f>
        <v>FARDINA HAFIZ</v>
      </c>
      <c r="I9851" s="148" t="s">
        <v>420</v>
      </c>
      <c r="J9851" s="133" t="s">
        <v>53</v>
      </c>
      <c r="K9851" s="218">
        <v>58900.450000000012</v>
      </c>
      <c r="L9851" s="133"/>
    </row>
    <row r="9852" spans="1:12" ht="22.5" x14ac:dyDescent="0.2">
      <c r="A9852" s="163">
        <v>2023</v>
      </c>
      <c r="B9852" s="163">
        <v>11</v>
      </c>
      <c r="C9852" s="163">
        <v>13</v>
      </c>
      <c r="D9852" s="280">
        <f t="shared" si="1226"/>
        <v>45243</v>
      </c>
      <c r="E9852" s="281">
        <f t="shared" si="1227"/>
        <v>45243</v>
      </c>
      <c r="F9852" s="480"/>
      <c r="G9852" s="221" t="s">
        <v>74</v>
      </c>
      <c r="H9852" s="145" t="str" cm="1">
        <f t="array" ref="H9852">IFERROR(INDEX(INVESTOR_LIST[INVESTOR NAME],MATCH(I9852,INVESTOR_LIST[INVESTOR CODE],0),)," ")</f>
        <v>FARDINA HAFIZ</v>
      </c>
      <c r="I9852" s="145" t="s">
        <v>420</v>
      </c>
      <c r="J9852" s="163" t="s">
        <v>52</v>
      </c>
      <c r="K9852" s="219"/>
      <c r="L9852" s="219">
        <v>299310.45</v>
      </c>
    </row>
    <row r="9853" spans="1:12" x14ac:dyDescent="0.2">
      <c r="A9853" s="133">
        <v>2023</v>
      </c>
      <c r="B9853" s="133">
        <v>11</v>
      </c>
      <c r="C9853" s="168">
        <v>13</v>
      </c>
      <c r="D9853" s="141">
        <f t="shared" si="1226"/>
        <v>45243</v>
      </c>
      <c r="E9853" s="275">
        <f t="shared" si="1227"/>
        <v>45243</v>
      </c>
      <c r="F9853" s="479" t="s">
        <v>77</v>
      </c>
      <c r="G9853" s="174" t="s">
        <v>74</v>
      </c>
      <c r="H9853" s="148" t="str" cm="1">
        <f t="array" ref="H9853">IFERROR(INDEX(INVESTOR_LIST[INVESTOR NAME],MATCH(I9853,INVESTOR_LIST[INVESTOR CODE],0),)," ")</f>
        <v xml:space="preserve"> </v>
      </c>
      <c r="I9853" s="148" t="s">
        <v>348</v>
      </c>
      <c r="J9853" s="133" t="s">
        <v>61</v>
      </c>
      <c r="K9853" s="172">
        <v>58</v>
      </c>
    </row>
    <row r="9854" spans="1:12" x14ac:dyDescent="0.2">
      <c r="A9854" s="163">
        <v>2023</v>
      </c>
      <c r="B9854" s="163">
        <v>11</v>
      </c>
      <c r="C9854" s="163">
        <v>13</v>
      </c>
      <c r="D9854" s="280">
        <f t="shared" si="1226"/>
        <v>45243</v>
      </c>
      <c r="E9854" s="281">
        <f t="shared" si="1227"/>
        <v>45243</v>
      </c>
      <c r="F9854" s="480"/>
      <c r="G9854" s="221" t="s">
        <v>74</v>
      </c>
      <c r="H9854" s="145" t="str" cm="1">
        <f t="array" ref="H9854">IFERROR(INDEX(INVESTOR_LIST[INVESTOR NAME],MATCH(I9854,INVESTOR_LIST[INVESTOR CODE],0),)," ")</f>
        <v xml:space="preserve"> </v>
      </c>
      <c r="I9854" s="145" t="s">
        <v>348</v>
      </c>
      <c r="J9854" s="163" t="s">
        <v>52</v>
      </c>
      <c r="K9854" s="219"/>
      <c r="L9854" s="219">
        <v>58</v>
      </c>
    </row>
    <row r="9855" spans="1:12" x14ac:dyDescent="0.2">
      <c r="A9855" s="168">
        <v>2023</v>
      </c>
      <c r="B9855" s="168">
        <v>11</v>
      </c>
      <c r="C9855" s="168">
        <v>13</v>
      </c>
      <c r="D9855" s="141">
        <f t="shared" si="1226"/>
        <v>45243</v>
      </c>
      <c r="E9855" s="275">
        <f t="shared" si="1227"/>
        <v>45243</v>
      </c>
      <c r="F9855" s="479" t="s">
        <v>362</v>
      </c>
      <c r="G9855" s="220" t="s">
        <v>74</v>
      </c>
      <c r="H9855" s="220" t="str" cm="1">
        <f t="array" ref="H9855">IFERROR(INDEX(INVESTOR_LIST[INVESTOR NAME],MATCH(I9855,INVESTOR_LIST[INVESTOR CODE],0),)," ")</f>
        <v xml:space="preserve"> </v>
      </c>
      <c r="I9855" s="142" t="s">
        <v>348</v>
      </c>
      <c r="J9855" s="143" t="s">
        <v>104</v>
      </c>
      <c r="K9855" s="226">
        <v>441.07</v>
      </c>
      <c r="L9855" s="226"/>
    </row>
    <row r="9856" spans="1:12" x14ac:dyDescent="0.2">
      <c r="A9856" s="163">
        <v>2023</v>
      </c>
      <c r="B9856" s="163">
        <v>11</v>
      </c>
      <c r="C9856" s="163">
        <v>13</v>
      </c>
      <c r="D9856" s="141">
        <f t="shared" si="1226"/>
        <v>45243</v>
      </c>
      <c r="E9856" s="275">
        <f t="shared" si="1227"/>
        <v>45243</v>
      </c>
      <c r="F9856" s="480"/>
      <c r="G9856" s="221" t="s">
        <v>74</v>
      </c>
      <c r="H9856" s="221" t="str" cm="1">
        <f t="array" ref="H9856">IFERROR(INDEX(INVESTOR_LIST[INVESTOR NAME],MATCH(I9856,INVESTOR_LIST[INVESTOR CODE],0),)," ")</f>
        <v xml:space="preserve"> </v>
      </c>
      <c r="I9856" s="145" t="s">
        <v>348</v>
      </c>
      <c r="J9856" s="146" t="s">
        <v>52</v>
      </c>
      <c r="K9856" s="219"/>
      <c r="L9856" s="219">
        <v>441.07</v>
      </c>
    </row>
    <row r="9857" spans="1:12" x14ac:dyDescent="0.2">
      <c r="A9857" s="168">
        <v>2023</v>
      </c>
      <c r="B9857" s="168">
        <v>11</v>
      </c>
      <c r="C9857" s="168">
        <v>13</v>
      </c>
      <c r="D9857" s="141">
        <f t="shared" si="1226"/>
        <v>45243</v>
      </c>
      <c r="E9857" s="275">
        <f t="shared" si="1227"/>
        <v>45243</v>
      </c>
      <c r="F9857" s="479" t="s">
        <v>1757</v>
      </c>
      <c r="G9857" s="220" t="s">
        <v>74</v>
      </c>
      <c r="H9857" s="220" t="str" cm="1">
        <f t="array" ref="H9857">IFERROR(INDEX(INVESTOR_LIST[INVESTOR NAME],MATCH(I9857,INVESTOR_LIST[INVESTOR CODE],0),)," ")</f>
        <v xml:space="preserve"> </v>
      </c>
      <c r="I9857" s="142"/>
      <c r="J9857" s="143" t="s">
        <v>52</v>
      </c>
      <c r="K9857" s="226">
        <v>415758.22</v>
      </c>
      <c r="L9857" s="226"/>
    </row>
    <row r="9858" spans="1:12" x14ac:dyDescent="0.2">
      <c r="A9858" s="163">
        <v>2023</v>
      </c>
      <c r="B9858" s="163">
        <v>11</v>
      </c>
      <c r="C9858" s="163">
        <v>13</v>
      </c>
      <c r="D9858" s="280">
        <f t="shared" si="1226"/>
        <v>45243</v>
      </c>
      <c r="E9858" s="281">
        <f t="shared" si="1227"/>
        <v>45243</v>
      </c>
      <c r="F9858" s="480"/>
      <c r="G9858" s="221" t="s">
        <v>74</v>
      </c>
      <c r="H9858" s="221" t="str" cm="1">
        <f t="array" ref="H9858">IFERROR(INDEX(INVESTOR_LIST[INVESTOR NAME],MATCH(I9858,INVESTOR_LIST[INVESTOR CODE],0),)," ")</f>
        <v xml:space="preserve"> </v>
      </c>
      <c r="I9858" s="145"/>
      <c r="J9858" s="146" t="s">
        <v>190</v>
      </c>
      <c r="K9858" s="219"/>
      <c r="L9858" s="219">
        <v>415758.22</v>
      </c>
    </row>
    <row r="9859" spans="1:12" ht="22.5" x14ac:dyDescent="0.2">
      <c r="A9859" s="168">
        <v>2023</v>
      </c>
      <c r="B9859" s="168">
        <v>11</v>
      </c>
      <c r="C9859" s="168">
        <v>14</v>
      </c>
      <c r="D9859" s="141">
        <f t="shared" si="1226"/>
        <v>45244</v>
      </c>
      <c r="E9859" s="275">
        <f t="shared" si="1227"/>
        <v>45244</v>
      </c>
      <c r="F9859" s="479" t="s">
        <v>1310</v>
      </c>
      <c r="G9859" s="220" t="s">
        <v>74</v>
      </c>
      <c r="H9859" s="142" t="str" cm="1">
        <f t="array" ref="H9859">IFERROR(INDEX(INVESTOR_LIST[INVESTOR NAME],MATCH(I9859,INVESTOR_LIST[INVESTOR CODE],0),)," ")</f>
        <v>BACKBONE</v>
      </c>
      <c r="I9859" s="142" t="s">
        <v>690</v>
      </c>
      <c r="J9859" s="168" t="s">
        <v>13</v>
      </c>
      <c r="K9859" s="218">
        <v>1610</v>
      </c>
      <c r="L9859" s="226"/>
    </row>
    <row r="9860" spans="1:12" ht="22.5" x14ac:dyDescent="0.2">
      <c r="A9860" s="133">
        <v>2023</v>
      </c>
      <c r="B9860" s="133">
        <v>11</v>
      </c>
      <c r="C9860" s="133">
        <v>14</v>
      </c>
      <c r="D9860" s="141">
        <f t="shared" si="1226"/>
        <v>45244</v>
      </c>
      <c r="E9860" s="275">
        <f t="shared" si="1227"/>
        <v>45244</v>
      </c>
      <c r="F9860" s="481"/>
      <c r="G9860" s="174" t="s">
        <v>74</v>
      </c>
      <c r="H9860" s="148" t="str" cm="1">
        <f t="array" ref="H9860">IFERROR(INDEX(INVESTOR_LIST[INVESTOR NAME],MATCH(I9860,INVESTOR_LIST[INVESTOR CODE],0),)," ")</f>
        <v>BACKBONE</v>
      </c>
      <c r="I9860" s="148" t="s">
        <v>690</v>
      </c>
      <c r="J9860" s="133" t="s">
        <v>53</v>
      </c>
      <c r="K9860" s="218">
        <v>394.45000000000005</v>
      </c>
      <c r="L9860" s="133"/>
    </row>
    <row r="9861" spans="1:12" ht="22.5" x14ac:dyDescent="0.2">
      <c r="A9861" s="163">
        <v>2023</v>
      </c>
      <c r="B9861" s="163">
        <v>11</v>
      </c>
      <c r="C9861" s="163">
        <v>14</v>
      </c>
      <c r="D9861" s="280">
        <f t="shared" si="1226"/>
        <v>45244</v>
      </c>
      <c r="E9861" s="281">
        <f t="shared" si="1227"/>
        <v>45244</v>
      </c>
      <c r="F9861" s="480"/>
      <c r="G9861" s="221" t="s">
        <v>74</v>
      </c>
      <c r="H9861" s="145" t="str" cm="1">
        <f t="array" ref="H9861">IFERROR(INDEX(INVESTOR_LIST[INVESTOR NAME],MATCH(I9861,INVESTOR_LIST[INVESTOR CODE],0),)," ")</f>
        <v>BACKBONE</v>
      </c>
      <c r="I9861" s="145" t="s">
        <v>690</v>
      </c>
      <c r="J9861" s="163" t="s">
        <v>52</v>
      </c>
      <c r="K9861" s="219"/>
      <c r="L9861" s="219">
        <v>2004.45</v>
      </c>
    </row>
    <row r="9862" spans="1:12" x14ac:dyDescent="0.2">
      <c r="A9862" s="168">
        <v>2023</v>
      </c>
      <c r="B9862" s="168">
        <v>11</v>
      </c>
      <c r="C9862" s="168">
        <v>15</v>
      </c>
      <c r="D9862" s="141">
        <f t="shared" si="1226"/>
        <v>45245</v>
      </c>
      <c r="E9862" s="275">
        <f t="shared" si="1227"/>
        <v>45245</v>
      </c>
      <c r="F9862" s="479" t="s">
        <v>1319</v>
      </c>
      <c r="G9862" s="220" t="s">
        <v>74</v>
      </c>
      <c r="H9862" s="142" t="str" cm="1">
        <f t="array" ref="H9862">IFERROR(INDEX(INVESTOR_LIST[INVESTOR NAME],MATCH(I9862,INVESTOR_LIST[INVESTOR CODE],0),)," ")</f>
        <v xml:space="preserve"> </v>
      </c>
      <c r="I9862" s="142"/>
      <c r="J9862" s="168" t="s">
        <v>52</v>
      </c>
      <c r="K9862" s="226">
        <v>15000</v>
      </c>
      <c r="L9862" s="226"/>
    </row>
    <row r="9863" spans="1:12" x14ac:dyDescent="0.2">
      <c r="A9863" s="133">
        <v>2023</v>
      </c>
      <c r="B9863" s="133">
        <v>11</v>
      </c>
      <c r="C9863" s="133">
        <v>15</v>
      </c>
      <c r="D9863" s="141">
        <f t="shared" si="1226"/>
        <v>45245</v>
      </c>
      <c r="E9863" s="275">
        <f t="shared" si="1227"/>
        <v>45245</v>
      </c>
      <c r="F9863" s="481"/>
      <c r="G9863" s="174" t="s">
        <v>74</v>
      </c>
      <c r="H9863" s="148" t="str" cm="1">
        <f t="array" ref="H9863">IFERROR(INDEX(INVESTOR_LIST[INVESTOR NAME],MATCH(I9863,INVESTOR_LIST[INVESTOR CODE],0),)," ")</f>
        <v xml:space="preserve"> </v>
      </c>
      <c r="J9863" s="133" t="s">
        <v>13</v>
      </c>
      <c r="K9863" s="218"/>
      <c r="L9863" s="218">
        <v>12060</v>
      </c>
    </row>
    <row r="9864" spans="1:12" x14ac:dyDescent="0.2">
      <c r="A9864" s="163">
        <v>2023</v>
      </c>
      <c r="B9864" s="163">
        <v>11</v>
      </c>
      <c r="C9864" s="163">
        <v>15</v>
      </c>
      <c r="D9864" s="280">
        <f t="shared" si="1226"/>
        <v>45245</v>
      </c>
      <c r="E9864" s="281">
        <f t="shared" si="1227"/>
        <v>45245</v>
      </c>
      <c r="F9864" s="480"/>
      <c r="G9864" s="221" t="s">
        <v>74</v>
      </c>
      <c r="H9864" s="145" t="str" cm="1">
        <f t="array" ref="H9864">IFERROR(INDEX(INVESTOR_LIST[INVESTOR NAME],MATCH(I9864,INVESTOR_LIST[INVESTOR CODE],0),)," ")</f>
        <v xml:space="preserve"> </v>
      </c>
      <c r="I9864" s="145"/>
      <c r="J9864" s="163" t="s">
        <v>53</v>
      </c>
      <c r="K9864" s="219"/>
      <c r="L9864" s="219">
        <v>2940</v>
      </c>
    </row>
    <row r="9865" spans="1:12" x14ac:dyDescent="0.2">
      <c r="A9865" s="168">
        <v>2023</v>
      </c>
      <c r="B9865" s="168">
        <v>11</v>
      </c>
      <c r="C9865" s="168">
        <v>15</v>
      </c>
      <c r="D9865" s="141">
        <f t="shared" si="1226"/>
        <v>45245</v>
      </c>
      <c r="E9865" s="275">
        <f t="shared" si="1227"/>
        <v>45245</v>
      </c>
      <c r="F9865" s="479" t="s">
        <v>1823</v>
      </c>
      <c r="G9865" s="220" t="s">
        <v>74</v>
      </c>
      <c r="H9865" s="220"/>
      <c r="I9865" s="142"/>
      <c r="J9865" s="143" t="s">
        <v>52</v>
      </c>
      <c r="K9865" s="226">
        <v>1024833.33</v>
      </c>
      <c r="L9865" s="226"/>
    </row>
    <row r="9866" spans="1:12" x14ac:dyDescent="0.2">
      <c r="A9866" s="133">
        <v>2023</v>
      </c>
      <c r="B9866" s="133">
        <v>11</v>
      </c>
      <c r="C9866" s="133">
        <v>15</v>
      </c>
      <c r="D9866" s="141">
        <f t="shared" si="1226"/>
        <v>45245</v>
      </c>
      <c r="E9866" s="275">
        <f t="shared" si="1227"/>
        <v>45245</v>
      </c>
      <c r="F9866" s="481"/>
      <c r="G9866" s="174" t="s">
        <v>74</v>
      </c>
      <c r="H9866" s="174"/>
      <c r="J9866" s="149" t="s">
        <v>61</v>
      </c>
      <c r="K9866" s="218">
        <v>3000</v>
      </c>
      <c r="L9866" s="218"/>
    </row>
    <row r="9867" spans="1:12" x14ac:dyDescent="0.2">
      <c r="A9867" s="133">
        <v>2023</v>
      </c>
      <c r="B9867" s="133">
        <v>11</v>
      </c>
      <c r="C9867" s="133">
        <v>15</v>
      </c>
      <c r="D9867" s="141">
        <f t="shared" si="1226"/>
        <v>45245</v>
      </c>
      <c r="E9867" s="275">
        <f t="shared" si="1227"/>
        <v>45245</v>
      </c>
      <c r="F9867" s="481"/>
      <c r="G9867" s="174" t="s">
        <v>74</v>
      </c>
      <c r="H9867" s="174"/>
      <c r="J9867" s="133" t="s">
        <v>133</v>
      </c>
      <c r="K9867" s="218"/>
      <c r="L9867" s="218">
        <v>27833.33</v>
      </c>
    </row>
    <row r="9868" spans="1:12" x14ac:dyDescent="0.2">
      <c r="A9868" s="163">
        <v>2023</v>
      </c>
      <c r="B9868" s="163">
        <v>11</v>
      </c>
      <c r="C9868" s="163">
        <v>15</v>
      </c>
      <c r="D9868" s="280">
        <f t="shared" si="1226"/>
        <v>45245</v>
      </c>
      <c r="E9868" s="281">
        <f t="shared" si="1227"/>
        <v>45245</v>
      </c>
      <c r="F9868" s="480"/>
      <c r="G9868" s="221" t="s">
        <v>74</v>
      </c>
      <c r="H9868" s="221" t="str" cm="1">
        <f t="array" ref="H9868">IFERROR(INDEX(INVESTOR_LIST[INVESTOR NAME],MATCH(I9868,INVESTOR_LIST[INVESTOR CODE],0),)," ")</f>
        <v xml:space="preserve"> </v>
      </c>
      <c r="I9868" s="145" t="s">
        <v>348</v>
      </c>
      <c r="J9868" s="146" t="s">
        <v>96</v>
      </c>
      <c r="K9868" s="219"/>
      <c r="L9868" s="219">
        <v>1000000</v>
      </c>
    </row>
    <row r="9869" spans="1:12" x14ac:dyDescent="0.2">
      <c r="A9869" s="168">
        <v>2023</v>
      </c>
      <c r="B9869" s="168">
        <v>11</v>
      </c>
      <c r="C9869" s="168">
        <v>15</v>
      </c>
      <c r="D9869" s="141">
        <f t="shared" ref="D9869:D9890" si="1228">DATE(A9869,B9869,C9869)</f>
        <v>45245</v>
      </c>
      <c r="E9869" s="275">
        <f t="shared" ref="E9869:E9890" si="1229">DATE(A9869,B9869,C9869)</f>
        <v>45245</v>
      </c>
      <c r="F9869" s="479" t="s">
        <v>1824</v>
      </c>
      <c r="G9869" s="220" t="s">
        <v>74</v>
      </c>
      <c r="H9869" s="220"/>
      <c r="I9869" s="142"/>
      <c r="J9869" s="143" t="s">
        <v>52</v>
      </c>
      <c r="K9869" s="226">
        <v>4108333.33</v>
      </c>
      <c r="L9869" s="226"/>
    </row>
    <row r="9870" spans="1:12" x14ac:dyDescent="0.2">
      <c r="A9870" s="133">
        <v>2023</v>
      </c>
      <c r="B9870" s="133">
        <v>11</v>
      </c>
      <c r="C9870" s="133">
        <v>15</v>
      </c>
      <c r="D9870" s="141">
        <f t="shared" si="1228"/>
        <v>45245</v>
      </c>
      <c r="E9870" s="275">
        <f t="shared" si="1229"/>
        <v>45245</v>
      </c>
      <c r="F9870" s="481"/>
      <c r="G9870" s="174" t="s">
        <v>74</v>
      </c>
      <c r="H9870" s="174"/>
      <c r="J9870" s="149" t="s">
        <v>61</v>
      </c>
      <c r="K9870" s="218">
        <v>3000</v>
      </c>
      <c r="L9870" s="218"/>
    </row>
    <row r="9871" spans="1:12" x14ac:dyDescent="0.2">
      <c r="A9871" s="133">
        <v>2023</v>
      </c>
      <c r="B9871" s="133">
        <v>11</v>
      </c>
      <c r="C9871" s="133">
        <v>15</v>
      </c>
      <c r="D9871" s="141">
        <f t="shared" si="1228"/>
        <v>45245</v>
      </c>
      <c r="E9871" s="275">
        <f t="shared" si="1229"/>
        <v>45245</v>
      </c>
      <c r="F9871" s="481"/>
      <c r="G9871" s="174" t="s">
        <v>74</v>
      </c>
      <c r="H9871" s="174"/>
      <c r="J9871" s="133" t="s">
        <v>133</v>
      </c>
      <c r="K9871" s="218"/>
      <c r="L9871" s="218">
        <v>111333.33</v>
      </c>
    </row>
    <row r="9872" spans="1:12" x14ac:dyDescent="0.2">
      <c r="A9872" s="163">
        <v>2023</v>
      </c>
      <c r="B9872" s="163">
        <v>11</v>
      </c>
      <c r="C9872" s="163">
        <v>15</v>
      </c>
      <c r="D9872" s="280">
        <f t="shared" si="1228"/>
        <v>45245</v>
      </c>
      <c r="E9872" s="281">
        <f t="shared" si="1229"/>
        <v>45245</v>
      </c>
      <c r="F9872" s="480"/>
      <c r="G9872" s="221" t="s">
        <v>74</v>
      </c>
      <c r="H9872" s="221" t="str" cm="1">
        <f t="array" ref="H9872">IFERROR(INDEX(INVESTOR_LIST[INVESTOR NAME],MATCH(I9872,INVESTOR_LIST[INVESTOR CODE],0),)," ")</f>
        <v xml:space="preserve"> </v>
      </c>
      <c r="I9872" s="145" t="s">
        <v>348</v>
      </c>
      <c r="J9872" s="146" t="s">
        <v>96</v>
      </c>
      <c r="K9872" s="219"/>
      <c r="L9872" s="219">
        <v>4000000</v>
      </c>
    </row>
    <row r="9873" spans="1:13" x14ac:dyDescent="0.2">
      <c r="A9873" s="133">
        <v>2023</v>
      </c>
      <c r="B9873" s="168">
        <v>11</v>
      </c>
      <c r="C9873" s="168">
        <v>16</v>
      </c>
      <c r="D9873" s="141">
        <f t="shared" si="1228"/>
        <v>45246</v>
      </c>
      <c r="E9873" s="275">
        <f t="shared" si="1229"/>
        <v>45246</v>
      </c>
      <c r="F9873" s="481" t="s">
        <v>1826</v>
      </c>
      <c r="G9873" s="174" t="s">
        <v>94</v>
      </c>
      <c r="H9873" s="174" t="str" cm="1">
        <f t="array" ref="H9873">IFERROR(INDEX(INVESTOR_LIST[INVESTOR NAME],MATCH(I9873,INVESTOR_LIST[INVESTOR CODE],0),)," ")</f>
        <v xml:space="preserve"> </v>
      </c>
      <c r="I9873" s="148" t="s">
        <v>348</v>
      </c>
      <c r="J9873" s="149" t="s">
        <v>168</v>
      </c>
      <c r="K9873" s="218">
        <v>157500</v>
      </c>
      <c r="L9873" s="218"/>
    </row>
    <row r="9874" spans="1:13" x14ac:dyDescent="0.2">
      <c r="A9874" s="163">
        <v>2023</v>
      </c>
      <c r="B9874" s="163">
        <v>11</v>
      </c>
      <c r="C9874" s="163">
        <v>16</v>
      </c>
      <c r="D9874" s="141">
        <f t="shared" si="1228"/>
        <v>45246</v>
      </c>
      <c r="E9874" s="275">
        <f t="shared" si="1229"/>
        <v>45246</v>
      </c>
      <c r="F9874" s="480"/>
      <c r="G9874" s="221" t="s">
        <v>94</v>
      </c>
      <c r="H9874" s="221" t="str" cm="1">
        <f t="array" ref="H9874">IFERROR(INDEX(INVESTOR_LIST[INVESTOR NAME],MATCH(I9874,INVESTOR_LIST[INVESTOR CODE],0),)," ")</f>
        <v xml:space="preserve"> </v>
      </c>
      <c r="I9874" s="145" t="s">
        <v>348</v>
      </c>
      <c r="J9874" s="146" t="s">
        <v>166</v>
      </c>
      <c r="K9874" s="219"/>
      <c r="L9874" s="219">
        <v>157500</v>
      </c>
    </row>
    <row r="9875" spans="1:13" x14ac:dyDescent="0.2">
      <c r="A9875" s="324">
        <v>2023</v>
      </c>
      <c r="B9875" s="324">
        <v>11</v>
      </c>
      <c r="C9875" s="325">
        <v>16</v>
      </c>
      <c r="D9875" s="326">
        <f t="shared" si="1228"/>
        <v>45246</v>
      </c>
      <c r="E9875" s="327">
        <f t="shared" si="1229"/>
        <v>45246</v>
      </c>
      <c r="F9875" s="473" t="s">
        <v>1490</v>
      </c>
      <c r="G9875" s="328" t="s">
        <v>94</v>
      </c>
      <c r="H9875" s="329" t="str" cm="1">
        <f t="array" ref="H9875">IFERROR(INDEX(INVESTOR_LIST[INVESTOR NAME],MATCH(I9875,INVESTOR_LIST[INVESTOR CODE],0),)," ")</f>
        <v xml:space="preserve"> </v>
      </c>
      <c r="I9875" s="329" t="s">
        <v>348</v>
      </c>
      <c r="J9875" s="325" t="s">
        <v>133</v>
      </c>
      <c r="K9875" s="330">
        <v>8160.3185096153848</v>
      </c>
      <c r="L9875" s="330"/>
    </row>
    <row r="9876" spans="1:13" x14ac:dyDescent="0.2">
      <c r="A9876" s="331">
        <v>2023</v>
      </c>
      <c r="B9876" s="331">
        <v>11</v>
      </c>
      <c r="C9876" s="331">
        <v>16</v>
      </c>
      <c r="D9876" s="326">
        <f t="shared" si="1228"/>
        <v>45246</v>
      </c>
      <c r="E9876" s="327">
        <f t="shared" si="1229"/>
        <v>45246</v>
      </c>
      <c r="F9876" s="474"/>
      <c r="G9876" s="332" t="s">
        <v>94</v>
      </c>
      <c r="H9876" s="333" t="str" cm="1">
        <f t="array" ref="H9876">IFERROR(INDEX(INVESTOR_LIST[INVESTOR NAME],MATCH(I9876,INVESTOR_LIST[INVESTOR CODE],0),)," ")</f>
        <v xml:space="preserve"> </v>
      </c>
      <c r="I9876" s="333" t="s">
        <v>348</v>
      </c>
      <c r="J9876" s="331" t="s">
        <v>152</v>
      </c>
      <c r="K9876" s="334"/>
      <c r="L9876" s="334">
        <v>8160.3185096153848</v>
      </c>
    </row>
    <row r="9877" spans="1:13" x14ac:dyDescent="0.2">
      <c r="A9877" s="324">
        <v>2023</v>
      </c>
      <c r="B9877" s="324">
        <v>11</v>
      </c>
      <c r="C9877" s="325">
        <v>16</v>
      </c>
      <c r="D9877" s="326">
        <f t="shared" si="1228"/>
        <v>45246</v>
      </c>
      <c r="E9877" s="327">
        <f t="shared" si="1229"/>
        <v>45246</v>
      </c>
      <c r="F9877" s="473" t="s">
        <v>1491</v>
      </c>
      <c r="G9877" s="328" t="s">
        <v>94</v>
      </c>
      <c r="H9877" s="329" t="str" cm="1">
        <f t="array" ref="H9877">IFERROR(INDEX(INVESTOR_LIST[INVESTOR NAME],MATCH(I9877,INVESTOR_LIST[INVESTOR CODE],0),)," ")</f>
        <v xml:space="preserve"> </v>
      </c>
      <c r="I9877" s="329" t="s">
        <v>348</v>
      </c>
      <c r="J9877" s="324" t="s">
        <v>133</v>
      </c>
      <c r="K9877" s="330">
        <v>3341.3500000000004</v>
      </c>
      <c r="L9877" s="330"/>
    </row>
    <row r="9878" spans="1:13" x14ac:dyDescent="0.2">
      <c r="A9878" s="331">
        <v>2023</v>
      </c>
      <c r="B9878" s="331">
        <v>11</v>
      </c>
      <c r="C9878" s="331">
        <v>16</v>
      </c>
      <c r="D9878" s="326">
        <f t="shared" si="1228"/>
        <v>45246</v>
      </c>
      <c r="E9878" s="327">
        <f t="shared" si="1229"/>
        <v>45246</v>
      </c>
      <c r="F9878" s="474"/>
      <c r="G9878" s="332" t="s">
        <v>94</v>
      </c>
      <c r="H9878" s="333" t="str" cm="1">
        <f t="array" ref="H9878">IFERROR(INDEX(INVESTOR_LIST[INVESTOR NAME],MATCH(I9878,INVESTOR_LIST[INVESTOR CODE],0),)," ")</f>
        <v xml:space="preserve"> </v>
      </c>
      <c r="I9878" s="333" t="s">
        <v>348</v>
      </c>
      <c r="J9878" s="331" t="s">
        <v>152</v>
      </c>
      <c r="K9878" s="334"/>
      <c r="L9878" s="334">
        <v>3341.3500000000004</v>
      </c>
    </row>
    <row r="9879" spans="1:13" x14ac:dyDescent="0.2">
      <c r="A9879" s="324">
        <v>2023</v>
      </c>
      <c r="B9879" s="324">
        <v>11</v>
      </c>
      <c r="C9879" s="325">
        <v>16</v>
      </c>
      <c r="D9879" s="326">
        <f t="shared" si="1228"/>
        <v>45246</v>
      </c>
      <c r="E9879" s="327">
        <f t="shared" si="1229"/>
        <v>45246</v>
      </c>
      <c r="F9879" s="473" t="s">
        <v>1531</v>
      </c>
      <c r="G9879" s="328" t="s">
        <v>94</v>
      </c>
      <c r="H9879" s="329" t="str" cm="1">
        <f t="array" ref="H9879">IFERROR(INDEX(INVESTOR_LIST[INVESTOR NAME],MATCH(I9879,INVESTOR_LIST[INVESTOR CODE],0),)," ")</f>
        <v xml:space="preserve"> </v>
      </c>
      <c r="I9879" s="329" t="s">
        <v>348</v>
      </c>
      <c r="J9879" s="324" t="s">
        <v>133</v>
      </c>
      <c r="K9879" s="330">
        <v>1538.4615384615386</v>
      </c>
      <c r="L9879" s="330"/>
    </row>
    <row r="9880" spans="1:13" x14ac:dyDescent="0.2">
      <c r="A9880" s="331">
        <v>2023</v>
      </c>
      <c r="B9880" s="331">
        <v>11</v>
      </c>
      <c r="C9880" s="331">
        <v>16</v>
      </c>
      <c r="D9880" s="326">
        <f t="shared" si="1228"/>
        <v>45246</v>
      </c>
      <c r="E9880" s="327">
        <f t="shared" si="1229"/>
        <v>45246</v>
      </c>
      <c r="F9880" s="474"/>
      <c r="G9880" s="332" t="s">
        <v>94</v>
      </c>
      <c r="H9880" s="333" t="str" cm="1">
        <f t="array" ref="H9880">IFERROR(INDEX(INVESTOR_LIST[INVESTOR NAME],MATCH(I9880,INVESTOR_LIST[INVESTOR CODE],0),)," ")</f>
        <v xml:space="preserve"> </v>
      </c>
      <c r="I9880" s="333" t="s">
        <v>348</v>
      </c>
      <c r="J9880" s="331" t="s">
        <v>152</v>
      </c>
      <c r="K9880" s="334"/>
      <c r="L9880" s="334">
        <v>1538.4615384615386</v>
      </c>
      <c r="M9880" s="160"/>
    </row>
    <row r="9881" spans="1:13" x14ac:dyDescent="0.2">
      <c r="A9881" s="343">
        <v>2023</v>
      </c>
      <c r="B9881" s="343">
        <v>11</v>
      </c>
      <c r="C9881" s="343">
        <v>16</v>
      </c>
      <c r="D9881" s="344">
        <f t="shared" si="1228"/>
        <v>45246</v>
      </c>
      <c r="E9881" s="345">
        <f t="shared" si="1229"/>
        <v>45246</v>
      </c>
      <c r="F9881" s="483" t="s">
        <v>1813</v>
      </c>
      <c r="G9881" s="350" t="s">
        <v>94</v>
      </c>
      <c r="H9881" s="350" t="str" cm="1">
        <f t="array" ref="H9881">IFERROR(INDEX(INVESTOR_LIST[INVESTOR NAME],MATCH(I9881,INVESTOR_LIST[INVESTOR CODE],0),)," ")</f>
        <v xml:space="preserve"> </v>
      </c>
      <c r="I9881" s="352" t="s">
        <v>348</v>
      </c>
      <c r="J9881" s="353" t="s">
        <v>1798</v>
      </c>
      <c r="K9881" s="354">
        <v>1894</v>
      </c>
      <c r="L9881" s="354"/>
    </row>
    <row r="9882" spans="1:13" x14ac:dyDescent="0.2">
      <c r="A9882" s="346">
        <v>2023</v>
      </c>
      <c r="B9882" s="346">
        <v>11</v>
      </c>
      <c r="C9882" s="346">
        <v>16</v>
      </c>
      <c r="D9882" s="344">
        <f t="shared" si="1228"/>
        <v>45246</v>
      </c>
      <c r="E9882" s="345">
        <f t="shared" si="1229"/>
        <v>45246</v>
      </c>
      <c r="F9882" s="484"/>
      <c r="G9882" s="347" t="s">
        <v>94</v>
      </c>
      <c r="H9882" s="347" t="str" cm="1">
        <f t="array" ref="H9882">IFERROR(INDEX(INVESTOR_LIST[INVESTOR NAME],MATCH(I9882,INVESTOR_LIST[INVESTOR CODE],0),)," ")</f>
        <v xml:space="preserve"> </v>
      </c>
      <c r="I9882" s="348" t="s">
        <v>348</v>
      </c>
      <c r="J9882" s="355" t="s">
        <v>1807</v>
      </c>
      <c r="K9882" s="349"/>
      <c r="L9882" s="349">
        <v>1894</v>
      </c>
    </row>
    <row r="9883" spans="1:13" x14ac:dyDescent="0.2">
      <c r="A9883" s="238">
        <v>2023</v>
      </c>
      <c r="B9883" s="238">
        <v>11</v>
      </c>
      <c r="C9883" s="238">
        <v>16</v>
      </c>
      <c r="D9883" s="270">
        <f t="shared" si="1228"/>
        <v>45246</v>
      </c>
      <c r="E9883" s="279">
        <f t="shared" si="1229"/>
        <v>45246</v>
      </c>
      <c r="F9883" s="477" t="s">
        <v>347</v>
      </c>
      <c r="G9883" s="239" t="s">
        <v>94</v>
      </c>
      <c r="H9883" s="239" t="str" cm="1">
        <f t="array" ref="H9883">IFERROR(INDEX(INVESTOR_LIST[INVESTOR NAME],MATCH(I9883,INVESTOR_LIST[INVESTOR CODE],0),)," ")</f>
        <v xml:space="preserve"> </v>
      </c>
      <c r="I9883" s="262" t="s">
        <v>348</v>
      </c>
      <c r="J9883" s="240" t="s">
        <v>82</v>
      </c>
      <c r="K9883" s="241">
        <v>279822.32999999821</v>
      </c>
      <c r="L9883" s="241"/>
    </row>
    <row r="9884" spans="1:13" x14ac:dyDescent="0.2">
      <c r="A9884" s="242">
        <v>2023</v>
      </c>
      <c r="B9884" s="242">
        <v>11</v>
      </c>
      <c r="C9884" s="242">
        <v>16</v>
      </c>
      <c r="D9884" s="270">
        <f t="shared" si="1228"/>
        <v>45246</v>
      </c>
      <c r="E9884" s="279">
        <f t="shared" si="1229"/>
        <v>45246</v>
      </c>
      <c r="F9884" s="478"/>
      <c r="G9884" s="243" t="s">
        <v>94</v>
      </c>
      <c r="H9884" s="243" t="str" cm="1">
        <f t="array" ref="H9884">IFERROR(INDEX(INVESTOR_LIST[INVESTOR NAME],MATCH(I9884,INVESTOR_LIST[INVESTOR CODE],0),)," ")</f>
        <v xml:space="preserve"> </v>
      </c>
      <c r="I9884" s="263" t="s">
        <v>348</v>
      </c>
      <c r="J9884" s="244" t="s">
        <v>108</v>
      </c>
      <c r="K9884" s="245"/>
      <c r="L9884" s="245">
        <v>279822.32999999821</v>
      </c>
    </row>
    <row r="9885" spans="1:13" ht="22.5" x14ac:dyDescent="0.2">
      <c r="A9885" s="246">
        <v>2023</v>
      </c>
      <c r="B9885" s="238">
        <v>11</v>
      </c>
      <c r="C9885" s="238">
        <v>16</v>
      </c>
      <c r="D9885" s="270">
        <f t="shared" si="1228"/>
        <v>45246</v>
      </c>
      <c r="E9885" s="279">
        <f t="shared" si="1229"/>
        <v>45246</v>
      </c>
      <c r="F9885" s="482" t="s">
        <v>148</v>
      </c>
      <c r="G9885" s="247" t="s">
        <v>94</v>
      </c>
      <c r="H9885" s="247" t="str" cm="1">
        <f t="array" ref="H9885">IFERROR(INDEX(INVESTOR_LIST[INVESTOR NAME],MATCH(I9885,INVESTOR_LIST[INVESTOR CODE],0),)," ")</f>
        <v xml:space="preserve"> </v>
      </c>
      <c r="I9885" s="248" t="s">
        <v>348</v>
      </c>
      <c r="J9885" s="249" t="s">
        <v>95</v>
      </c>
      <c r="K9885" s="250">
        <v>2747.2527472527472</v>
      </c>
      <c r="L9885" s="241"/>
    </row>
    <row r="9886" spans="1:13" x14ac:dyDescent="0.2">
      <c r="A9886" s="242">
        <v>2023</v>
      </c>
      <c r="B9886" s="242">
        <v>11</v>
      </c>
      <c r="C9886" s="242">
        <v>16</v>
      </c>
      <c r="D9886" s="270">
        <f t="shared" si="1228"/>
        <v>45246</v>
      </c>
      <c r="E9886" s="279">
        <f t="shared" si="1229"/>
        <v>45246</v>
      </c>
      <c r="F9886" s="478"/>
      <c r="G9886" s="243" t="s">
        <v>94</v>
      </c>
      <c r="H9886" s="243" t="str" cm="1">
        <f t="array" ref="H9886">IFERROR(INDEX(INVESTOR_LIST[INVESTOR NAME],MATCH(I9886,INVESTOR_LIST[INVESTOR CODE],0),)," ")</f>
        <v xml:space="preserve"> </v>
      </c>
      <c r="I9886" s="263" t="s">
        <v>348</v>
      </c>
      <c r="J9886" s="244" t="s">
        <v>63</v>
      </c>
      <c r="K9886" s="245"/>
      <c r="L9886" s="245">
        <v>2747.2527472527472</v>
      </c>
    </row>
    <row r="9887" spans="1:13" x14ac:dyDescent="0.2">
      <c r="A9887" s="246">
        <v>2023</v>
      </c>
      <c r="B9887" s="238">
        <v>11</v>
      </c>
      <c r="C9887" s="238">
        <v>16</v>
      </c>
      <c r="D9887" s="270">
        <f t="shared" si="1228"/>
        <v>45246</v>
      </c>
      <c r="E9887" s="279">
        <f t="shared" si="1229"/>
        <v>45246</v>
      </c>
      <c r="F9887" s="482" t="s">
        <v>137</v>
      </c>
      <c r="G9887" s="247" t="s">
        <v>94</v>
      </c>
      <c r="H9887" s="247" t="str" cm="1">
        <f t="array" ref="H9887">IFERROR(INDEX(INVESTOR_LIST[INVESTOR NAME],MATCH(I9887,INVESTOR_LIST[INVESTOR CODE],0),)," ")</f>
        <v xml:space="preserve"> </v>
      </c>
      <c r="I9887" s="248" t="s">
        <v>348</v>
      </c>
      <c r="J9887" s="249" t="s">
        <v>97</v>
      </c>
      <c r="K9887" s="250">
        <v>61550.846087101956</v>
      </c>
      <c r="L9887" s="252"/>
    </row>
    <row r="9888" spans="1:13" x14ac:dyDescent="0.2">
      <c r="A9888" s="242">
        <v>2023</v>
      </c>
      <c r="B9888" s="242">
        <v>11</v>
      </c>
      <c r="C9888" s="242">
        <v>16</v>
      </c>
      <c r="D9888" s="270">
        <f t="shared" si="1228"/>
        <v>45246</v>
      </c>
      <c r="E9888" s="279">
        <f t="shared" si="1229"/>
        <v>45246</v>
      </c>
      <c r="F9888" s="478"/>
      <c r="G9888" s="243" t="s">
        <v>94</v>
      </c>
      <c r="H9888" s="243" t="str" cm="1">
        <f t="array" ref="H9888">IFERROR(INDEX(INVESTOR_LIST[INVESTOR NAME],MATCH(I9888,INVESTOR_LIST[INVESTOR CODE],0),)," ")</f>
        <v xml:space="preserve"> </v>
      </c>
      <c r="I9888" s="263" t="s">
        <v>348</v>
      </c>
      <c r="J9888" s="244" t="s">
        <v>47</v>
      </c>
      <c r="K9888" s="245"/>
      <c r="L9888" s="245">
        <v>61550.846087101956</v>
      </c>
    </row>
    <row r="9889" spans="1:14" x14ac:dyDescent="0.2">
      <c r="A9889" s="246">
        <v>2023</v>
      </c>
      <c r="B9889" s="238">
        <v>11</v>
      </c>
      <c r="C9889" s="238">
        <v>16</v>
      </c>
      <c r="D9889" s="270">
        <f t="shared" si="1228"/>
        <v>45246</v>
      </c>
      <c r="E9889" s="279">
        <f t="shared" si="1229"/>
        <v>45246</v>
      </c>
      <c r="F9889" s="482" t="s">
        <v>138</v>
      </c>
      <c r="G9889" s="247" t="s">
        <v>94</v>
      </c>
      <c r="H9889" s="247" t="str" cm="1">
        <f t="array" ref="H9889">IFERROR(INDEX(INVESTOR_LIST[INVESTOR NAME],MATCH(I9889,INVESTOR_LIST[INVESTOR CODE],0),)," ")</f>
        <v xml:space="preserve"> </v>
      </c>
      <c r="I9889" s="248" t="s">
        <v>348</v>
      </c>
      <c r="J9889" s="249" t="s">
        <v>100</v>
      </c>
      <c r="K9889" s="250">
        <v>2837.157688970482</v>
      </c>
      <c r="L9889" s="252"/>
    </row>
    <row r="9890" spans="1:14" x14ac:dyDescent="0.2">
      <c r="A9890" s="242">
        <v>2023</v>
      </c>
      <c r="B9890" s="242">
        <v>11</v>
      </c>
      <c r="C9890" s="242">
        <v>16</v>
      </c>
      <c r="D9890" s="321">
        <f t="shared" si="1228"/>
        <v>45246</v>
      </c>
      <c r="E9890" s="322">
        <f t="shared" si="1229"/>
        <v>45246</v>
      </c>
      <c r="F9890" s="478"/>
      <c r="G9890" s="243" t="s">
        <v>94</v>
      </c>
      <c r="H9890" s="243" t="str" cm="1">
        <f t="array" ref="H9890">IFERROR(INDEX(INVESTOR_LIST[INVESTOR NAME],MATCH(I9890,INVESTOR_LIST[INVESTOR CODE],0),)," ")</f>
        <v xml:space="preserve"> </v>
      </c>
      <c r="I9890" s="263" t="s">
        <v>348</v>
      </c>
      <c r="J9890" s="244" t="s">
        <v>48</v>
      </c>
      <c r="K9890" s="245"/>
      <c r="L9890" s="245">
        <v>2837.157688970482</v>
      </c>
    </row>
    <row r="9891" spans="1:14" x14ac:dyDescent="0.2">
      <c r="A9891" s="168">
        <v>2023</v>
      </c>
      <c r="B9891" s="168">
        <v>11</v>
      </c>
      <c r="C9891" s="168">
        <v>19</v>
      </c>
      <c r="D9891" s="141">
        <f t="shared" ref="D9891:D9894" si="1230">DATE(A9891,B9891,C9891)</f>
        <v>45249</v>
      </c>
      <c r="E9891" s="275">
        <f t="shared" ref="E9891:E9894" si="1231">DATE(A9891,B9891,C9891)</f>
        <v>45249</v>
      </c>
      <c r="F9891" s="479" t="s">
        <v>1832</v>
      </c>
      <c r="G9891" s="220" t="s">
        <v>74</v>
      </c>
      <c r="H9891" s="220"/>
      <c r="I9891" s="142"/>
      <c r="J9891" s="143" t="s">
        <v>52</v>
      </c>
      <c r="K9891" s="226">
        <v>1016062</v>
      </c>
      <c r="L9891" s="226"/>
    </row>
    <row r="9892" spans="1:14" x14ac:dyDescent="0.2">
      <c r="A9892" s="133">
        <v>2023</v>
      </c>
      <c r="B9892" s="133">
        <v>11</v>
      </c>
      <c r="C9892" s="133">
        <v>19</v>
      </c>
      <c r="D9892" s="141">
        <f t="shared" si="1230"/>
        <v>45249</v>
      </c>
      <c r="E9892" s="275">
        <f t="shared" si="1231"/>
        <v>45249</v>
      </c>
      <c r="F9892" s="481"/>
      <c r="G9892" s="174" t="s">
        <v>74</v>
      </c>
      <c r="H9892" s="174"/>
      <c r="J9892" s="149" t="s">
        <v>61</v>
      </c>
      <c r="K9892" s="218">
        <v>3938</v>
      </c>
      <c r="L9892" s="218"/>
    </row>
    <row r="9893" spans="1:14" x14ac:dyDescent="0.2">
      <c r="A9893" s="133">
        <v>2023</v>
      </c>
      <c r="B9893" s="133">
        <v>11</v>
      </c>
      <c r="C9893" s="133">
        <v>19</v>
      </c>
      <c r="D9893" s="141">
        <f t="shared" si="1230"/>
        <v>45249</v>
      </c>
      <c r="E9893" s="275">
        <f t="shared" si="1231"/>
        <v>45249</v>
      </c>
      <c r="F9893" s="481"/>
      <c r="G9893" s="174" t="s">
        <v>74</v>
      </c>
      <c r="H9893" s="174"/>
      <c r="J9893" s="133" t="s">
        <v>133</v>
      </c>
      <c r="K9893" s="218"/>
      <c r="L9893" s="218">
        <v>20000</v>
      </c>
      <c r="N9893" s="160"/>
    </row>
    <row r="9894" spans="1:14" x14ac:dyDescent="0.2">
      <c r="A9894" s="163">
        <v>2023</v>
      </c>
      <c r="B9894" s="163">
        <v>11</v>
      </c>
      <c r="C9894" s="163">
        <v>19</v>
      </c>
      <c r="D9894" s="280">
        <f t="shared" si="1230"/>
        <v>45249</v>
      </c>
      <c r="E9894" s="281">
        <f t="shared" si="1231"/>
        <v>45249</v>
      </c>
      <c r="F9894" s="480"/>
      <c r="G9894" s="221" t="s">
        <v>74</v>
      </c>
      <c r="H9894" s="221" t="str" cm="1">
        <f t="array" ref="H9894">IFERROR(INDEX(INVESTOR_LIST[INVESTOR NAME],MATCH(I9894,INVESTOR_LIST[INVESTOR CODE],0),)," ")</f>
        <v xml:space="preserve"> </v>
      </c>
      <c r="I9894" s="145" t="s">
        <v>348</v>
      </c>
      <c r="J9894" s="146" t="s">
        <v>96</v>
      </c>
      <c r="K9894" s="219"/>
      <c r="L9894" s="219">
        <v>1000000</v>
      </c>
    </row>
    <row r="9895" spans="1:14" x14ac:dyDescent="0.2">
      <c r="A9895" s="168">
        <v>2023</v>
      </c>
      <c r="B9895" s="168">
        <v>11</v>
      </c>
      <c r="C9895" s="168">
        <v>19</v>
      </c>
      <c r="D9895" s="141">
        <f t="shared" ref="D9895:D9908" si="1232">DATE(A9895,B9895,C9895)</f>
        <v>45249</v>
      </c>
      <c r="E9895" s="275">
        <f t="shared" ref="E9895:E9908" si="1233">DATE(A9895,B9895,C9895)</f>
        <v>45249</v>
      </c>
      <c r="F9895" s="479" t="s">
        <v>1827</v>
      </c>
      <c r="G9895" s="220" t="s">
        <v>74</v>
      </c>
      <c r="H9895" s="220"/>
      <c r="I9895" s="142"/>
      <c r="J9895" s="143" t="s">
        <v>52</v>
      </c>
      <c r="K9895" s="226">
        <v>8192000</v>
      </c>
      <c r="L9895" s="226"/>
    </row>
    <row r="9896" spans="1:14" x14ac:dyDescent="0.2">
      <c r="A9896" s="133">
        <v>2023</v>
      </c>
      <c r="B9896" s="133">
        <v>11</v>
      </c>
      <c r="C9896" s="133">
        <v>19</v>
      </c>
      <c r="D9896" s="141">
        <f t="shared" si="1232"/>
        <v>45249</v>
      </c>
      <c r="E9896" s="275">
        <f t="shared" si="1233"/>
        <v>45249</v>
      </c>
      <c r="F9896" s="481"/>
      <c r="G9896" s="174" t="s">
        <v>74</v>
      </c>
      <c r="H9896" s="174"/>
      <c r="J9896" s="149" t="s">
        <v>61</v>
      </c>
      <c r="K9896" s="218">
        <v>21333.33</v>
      </c>
      <c r="L9896" s="218"/>
    </row>
    <row r="9897" spans="1:14" x14ac:dyDescent="0.2">
      <c r="A9897" s="133">
        <v>2023</v>
      </c>
      <c r="B9897" s="133">
        <v>11</v>
      </c>
      <c r="C9897" s="133">
        <v>19</v>
      </c>
      <c r="D9897" s="141">
        <f t="shared" si="1232"/>
        <v>45249</v>
      </c>
      <c r="E9897" s="275">
        <f t="shared" si="1233"/>
        <v>45249</v>
      </c>
      <c r="F9897" s="481"/>
      <c r="G9897" s="174" t="s">
        <v>74</v>
      </c>
      <c r="H9897" s="174"/>
      <c r="J9897" s="133" t="s">
        <v>133</v>
      </c>
      <c r="K9897" s="218"/>
      <c r="L9897" s="218">
        <v>213333.33</v>
      </c>
      <c r="N9897" s="160"/>
    </row>
    <row r="9898" spans="1:14" x14ac:dyDescent="0.2">
      <c r="A9898" s="163">
        <v>2023</v>
      </c>
      <c r="B9898" s="163">
        <v>11</v>
      </c>
      <c r="C9898" s="163">
        <v>19</v>
      </c>
      <c r="D9898" s="280">
        <f t="shared" si="1232"/>
        <v>45249</v>
      </c>
      <c r="E9898" s="281">
        <f t="shared" si="1233"/>
        <v>45249</v>
      </c>
      <c r="F9898" s="480"/>
      <c r="G9898" s="221" t="s">
        <v>74</v>
      </c>
      <c r="H9898" s="221" t="str" cm="1">
        <f t="array" ref="H9898">IFERROR(INDEX(INVESTOR_LIST[INVESTOR NAME],MATCH(I9898,INVESTOR_LIST[INVESTOR CODE],0),)," ")</f>
        <v xml:space="preserve"> </v>
      </c>
      <c r="I9898" s="145" t="s">
        <v>348</v>
      </c>
      <c r="J9898" s="146" t="s">
        <v>96</v>
      </c>
      <c r="K9898" s="219"/>
      <c r="L9898" s="219">
        <v>8000000</v>
      </c>
    </row>
    <row r="9899" spans="1:14" x14ac:dyDescent="0.2">
      <c r="A9899" s="133">
        <v>2023</v>
      </c>
      <c r="B9899" s="133">
        <v>11</v>
      </c>
      <c r="C9899" s="168">
        <v>19</v>
      </c>
      <c r="D9899" s="141">
        <f t="shared" si="1232"/>
        <v>45249</v>
      </c>
      <c r="E9899" s="275">
        <f t="shared" si="1233"/>
        <v>45249</v>
      </c>
      <c r="F9899" s="479" t="s">
        <v>77</v>
      </c>
      <c r="G9899" s="174" t="s">
        <v>74</v>
      </c>
      <c r="H9899" s="148" t="str" cm="1">
        <f t="array" ref="H9899">IFERROR(INDEX(INVESTOR_LIST[INVESTOR NAME],MATCH(I9899,INVESTOR_LIST[INVESTOR CODE],0),)," ")</f>
        <v xml:space="preserve"> </v>
      </c>
      <c r="I9899" s="148" t="s">
        <v>348</v>
      </c>
      <c r="J9899" s="133" t="s">
        <v>61</v>
      </c>
      <c r="K9899" s="370">
        <v>24.994998633861499</v>
      </c>
      <c r="L9899" s="370"/>
    </row>
    <row r="9900" spans="1:14" x14ac:dyDescent="0.2">
      <c r="A9900" s="163">
        <v>2023</v>
      </c>
      <c r="B9900" s="163">
        <v>11</v>
      </c>
      <c r="C9900" s="163">
        <v>19</v>
      </c>
      <c r="D9900" s="280">
        <f t="shared" si="1232"/>
        <v>45249</v>
      </c>
      <c r="E9900" s="281">
        <f t="shared" si="1233"/>
        <v>45249</v>
      </c>
      <c r="F9900" s="480"/>
      <c r="G9900" s="221" t="s">
        <v>74</v>
      </c>
      <c r="H9900" s="145" t="str" cm="1">
        <f t="array" ref="H9900">IFERROR(INDEX(INVESTOR_LIST[INVESTOR NAME],MATCH(I9900,INVESTOR_LIST[INVESTOR CODE],0),)," ")</f>
        <v xml:space="preserve"> </v>
      </c>
      <c r="I9900" s="145" t="s">
        <v>348</v>
      </c>
      <c r="J9900" s="163" t="s">
        <v>52</v>
      </c>
      <c r="K9900" s="371"/>
      <c r="L9900" s="371">
        <v>24.994998633861499</v>
      </c>
    </row>
    <row r="9901" spans="1:14" x14ac:dyDescent="0.2">
      <c r="A9901" s="133">
        <v>2023</v>
      </c>
      <c r="B9901" s="133">
        <v>11</v>
      </c>
      <c r="C9901" s="133">
        <v>19</v>
      </c>
      <c r="D9901" s="141">
        <f t="shared" si="1232"/>
        <v>45249</v>
      </c>
      <c r="E9901" s="275">
        <f t="shared" si="1233"/>
        <v>45249</v>
      </c>
      <c r="F9901" s="481" t="s">
        <v>1753</v>
      </c>
      <c r="G9901" s="174" t="s">
        <v>94</v>
      </c>
      <c r="H9901" s="174" t="str" cm="1">
        <f t="array" ref="H9901">IFERROR(INDEX(INVESTOR_LIST[INVESTOR NAME],MATCH(I9901,INVESTOR_LIST[INVESTOR CODE],0),)," ")</f>
        <v xml:space="preserve"> </v>
      </c>
      <c r="J9901" s="149" t="s">
        <v>190</v>
      </c>
      <c r="K9901" s="218">
        <v>9742.43</v>
      </c>
      <c r="L9901" s="218"/>
      <c r="M9901" s="160"/>
    </row>
    <row r="9902" spans="1:14" x14ac:dyDescent="0.2">
      <c r="A9902" s="133">
        <v>2023</v>
      </c>
      <c r="B9902" s="133">
        <v>11</v>
      </c>
      <c r="C9902" s="133">
        <v>19</v>
      </c>
      <c r="D9902" s="141">
        <f t="shared" si="1232"/>
        <v>45249</v>
      </c>
      <c r="E9902" s="275">
        <f t="shared" si="1233"/>
        <v>45249</v>
      </c>
      <c r="F9902" s="481"/>
      <c r="G9902" s="174" t="s">
        <v>94</v>
      </c>
      <c r="H9902" s="174"/>
      <c r="J9902" s="149" t="s">
        <v>80</v>
      </c>
      <c r="K9902" s="218">
        <v>17.57</v>
      </c>
      <c r="L9902" s="218"/>
    </row>
    <row r="9903" spans="1:14" x14ac:dyDescent="0.2">
      <c r="A9903" s="133">
        <v>2023</v>
      </c>
      <c r="B9903" s="133">
        <v>11</v>
      </c>
      <c r="C9903" s="133">
        <v>19</v>
      </c>
      <c r="D9903" s="141">
        <f t="shared" si="1232"/>
        <v>45249</v>
      </c>
      <c r="E9903" s="275">
        <f t="shared" si="1233"/>
        <v>45249</v>
      </c>
      <c r="F9903" s="481"/>
      <c r="G9903" s="174" t="s">
        <v>94</v>
      </c>
      <c r="H9903" s="174" t="str" cm="1">
        <f t="array" ref="H9903">IFERROR(INDEX(INVESTOR_LIST[INVESTOR NAME],MATCH(I9903,INVESTOR_LIST[INVESTOR CODE],0),)," ")</f>
        <v xml:space="preserve"> </v>
      </c>
      <c r="J9903" s="149" t="s">
        <v>191</v>
      </c>
      <c r="K9903" s="218"/>
      <c r="L9903" s="218">
        <v>399.16</v>
      </c>
    </row>
    <row r="9904" spans="1:14" x14ac:dyDescent="0.2">
      <c r="A9904" s="163">
        <v>2023</v>
      </c>
      <c r="B9904" s="163">
        <v>11</v>
      </c>
      <c r="C9904" s="163">
        <v>19</v>
      </c>
      <c r="D9904" s="280">
        <f t="shared" si="1232"/>
        <v>45249</v>
      </c>
      <c r="E9904" s="281">
        <f t="shared" si="1233"/>
        <v>45249</v>
      </c>
      <c r="F9904" s="480"/>
      <c r="G9904" s="221" t="s">
        <v>94</v>
      </c>
      <c r="H9904" s="145" t="str" cm="1">
        <f t="array" ref="H9904">IFERROR(INDEX(INVESTOR_LIST[INVESTOR NAME],MATCH(I9904,INVESTOR_LIST[INVESTOR CODE],0),)," ")</f>
        <v xml:space="preserve"> </v>
      </c>
      <c r="I9904" s="145"/>
      <c r="J9904" s="163" t="s">
        <v>79</v>
      </c>
      <c r="K9904" s="219"/>
      <c r="L9904" s="219">
        <v>9360.84</v>
      </c>
    </row>
    <row r="9905" spans="1:17" x14ac:dyDescent="0.2">
      <c r="A9905" s="133">
        <v>2023</v>
      </c>
      <c r="B9905" s="133">
        <v>11</v>
      </c>
      <c r="C9905" s="133">
        <v>20</v>
      </c>
      <c r="D9905" s="141">
        <f t="shared" si="1232"/>
        <v>45250</v>
      </c>
      <c r="E9905" s="275">
        <f t="shared" si="1233"/>
        <v>45250</v>
      </c>
      <c r="F9905" s="481" t="s">
        <v>1829</v>
      </c>
      <c r="G9905" s="174" t="s">
        <v>74</v>
      </c>
      <c r="H9905" s="174" t="str" cm="1">
        <f t="array" ref="H9905">IFERROR(INDEX(INVESTOR_LIST[INVESTOR NAME],MATCH(I9905,INVESTOR_LIST[INVESTOR CODE],0),)," ")</f>
        <v xml:space="preserve"> </v>
      </c>
      <c r="I9905" s="148" t="s">
        <v>348</v>
      </c>
      <c r="J9905" s="149" t="s">
        <v>1764</v>
      </c>
      <c r="K9905" s="218">
        <v>4877310</v>
      </c>
      <c r="L9905" s="218"/>
      <c r="M9905" s="147"/>
      <c r="Q9905" s="133" t="s">
        <v>348</v>
      </c>
    </row>
    <row r="9906" spans="1:17" x14ac:dyDescent="0.2">
      <c r="A9906" s="163">
        <v>2023</v>
      </c>
      <c r="B9906" s="163">
        <v>11</v>
      </c>
      <c r="C9906" s="163">
        <v>20</v>
      </c>
      <c r="D9906" s="141">
        <f t="shared" si="1232"/>
        <v>45250</v>
      </c>
      <c r="E9906" s="275">
        <f t="shared" si="1233"/>
        <v>45250</v>
      </c>
      <c r="F9906" s="480"/>
      <c r="G9906" s="221" t="s">
        <v>74</v>
      </c>
      <c r="H9906" s="221" t="str" cm="1">
        <f t="array" ref="H9906">IFERROR(INDEX(INVESTOR_LIST[INVESTOR NAME],MATCH(I9906,INVESTOR_LIST[INVESTOR CODE],0),)," ")</f>
        <v xml:space="preserve"> </v>
      </c>
      <c r="I9906" s="145"/>
      <c r="J9906" s="146" t="s">
        <v>52</v>
      </c>
      <c r="K9906" s="219"/>
      <c r="L9906" s="219">
        <v>4877310</v>
      </c>
      <c r="M9906" s="147"/>
      <c r="Q9906" s="133" t="s">
        <v>348</v>
      </c>
    </row>
    <row r="9907" spans="1:17" x14ac:dyDescent="0.2">
      <c r="A9907" s="133">
        <v>2023</v>
      </c>
      <c r="B9907" s="133">
        <v>11</v>
      </c>
      <c r="C9907" s="133">
        <v>20</v>
      </c>
      <c r="D9907" s="141">
        <f t="shared" si="1232"/>
        <v>45250</v>
      </c>
      <c r="E9907" s="275">
        <f t="shared" si="1233"/>
        <v>45250</v>
      </c>
      <c r="F9907" s="481" t="s">
        <v>275</v>
      </c>
      <c r="G9907" s="174" t="s">
        <v>74</v>
      </c>
      <c r="H9907" s="174" t="str" cm="1">
        <f t="array" ref="H9907">IFERROR(INDEX(INVESTOR_LIST[INVESTOR NAME],MATCH(I9907,INVESTOR_LIST[INVESTOR CODE],0),)," ")</f>
        <v xml:space="preserve"> </v>
      </c>
      <c r="I9907" s="148" t="s">
        <v>348</v>
      </c>
      <c r="J9907" s="149" t="s">
        <v>163</v>
      </c>
      <c r="K9907" s="218">
        <v>1575</v>
      </c>
      <c r="L9907" s="218"/>
      <c r="M9907" s="147"/>
      <c r="Q9907" s="133" t="s">
        <v>348</v>
      </c>
    </row>
    <row r="9908" spans="1:17" x14ac:dyDescent="0.2">
      <c r="A9908" s="163">
        <v>2023</v>
      </c>
      <c r="B9908" s="163">
        <v>11</v>
      </c>
      <c r="C9908" s="163">
        <v>20</v>
      </c>
      <c r="D9908" s="141">
        <f t="shared" si="1232"/>
        <v>45250</v>
      </c>
      <c r="E9908" s="275">
        <f t="shared" si="1233"/>
        <v>45250</v>
      </c>
      <c r="F9908" s="480"/>
      <c r="G9908" s="221" t="s">
        <v>74</v>
      </c>
      <c r="H9908" s="221" t="str" cm="1">
        <f t="array" ref="H9908">IFERROR(INDEX(INVESTOR_LIST[INVESTOR NAME],MATCH(I9908,INVESTOR_LIST[INVESTOR CODE],0),)," ")</f>
        <v xml:space="preserve"> </v>
      </c>
      <c r="I9908" s="145"/>
      <c r="J9908" s="146" t="s">
        <v>52</v>
      </c>
      <c r="K9908" s="219"/>
      <c r="L9908" s="219">
        <v>1575</v>
      </c>
      <c r="M9908" s="147"/>
      <c r="Q9908" s="133" t="s">
        <v>348</v>
      </c>
    </row>
    <row r="9909" spans="1:17" ht="33.75" x14ac:dyDescent="0.2">
      <c r="A9909" s="168">
        <v>2023</v>
      </c>
      <c r="B9909" s="168">
        <v>11</v>
      </c>
      <c r="C9909" s="168">
        <v>20</v>
      </c>
      <c r="D9909" s="141">
        <f t="shared" ref="D9909:D9915" si="1234">DATE(A9909,B9909,C9909)</f>
        <v>45250</v>
      </c>
      <c r="E9909" s="275">
        <f t="shared" ref="E9909:E9915" si="1235">DATE(A9909,B9909,C9909)</f>
        <v>45250</v>
      </c>
      <c r="F9909" s="479" t="s">
        <v>1310</v>
      </c>
      <c r="G9909" s="220" t="s">
        <v>74</v>
      </c>
      <c r="H9909" s="142" t="str" cm="1">
        <f t="array" ref="H9909">IFERROR(INDEX(INVESTOR_LIST[INVESTOR NAME],MATCH(I9909,INVESTOR_LIST[INVESTOR CODE],0),)," ")</f>
        <v>SHAIKH MD. ABU HASAN</v>
      </c>
      <c r="I9909" s="142" t="s">
        <v>1297</v>
      </c>
      <c r="J9909" s="168" t="s">
        <v>13</v>
      </c>
      <c r="K9909" s="218">
        <v>34340</v>
      </c>
      <c r="L9909" s="226"/>
    </row>
    <row r="9910" spans="1:17" ht="33.75" x14ac:dyDescent="0.2">
      <c r="A9910" s="133">
        <v>2023</v>
      </c>
      <c r="B9910" s="133">
        <v>11</v>
      </c>
      <c r="C9910" s="133">
        <v>20</v>
      </c>
      <c r="D9910" s="141">
        <f t="shared" si="1234"/>
        <v>45250</v>
      </c>
      <c r="E9910" s="275">
        <f t="shared" si="1235"/>
        <v>45250</v>
      </c>
      <c r="F9910" s="481"/>
      <c r="G9910" s="174" t="s">
        <v>74</v>
      </c>
      <c r="H9910" s="148" t="str" cm="1">
        <f t="array" ref="H9910">IFERROR(INDEX(INVESTOR_LIST[INVESTOR NAME],MATCH(I9910,INVESTOR_LIST[INVESTOR CODE],0),)," ")</f>
        <v>SHAIKH MD. ABU HASAN</v>
      </c>
      <c r="I9910" s="148" t="s">
        <v>1297</v>
      </c>
      <c r="J9910" s="133" t="s">
        <v>53</v>
      </c>
      <c r="K9910" s="218">
        <v>8378.9599999999991</v>
      </c>
      <c r="L9910" s="133"/>
    </row>
    <row r="9911" spans="1:17" ht="33.75" x14ac:dyDescent="0.2">
      <c r="A9911" s="163">
        <v>2023</v>
      </c>
      <c r="B9911" s="163">
        <v>11</v>
      </c>
      <c r="C9911" s="163">
        <v>20</v>
      </c>
      <c r="D9911" s="280">
        <f t="shared" si="1234"/>
        <v>45250</v>
      </c>
      <c r="E9911" s="281">
        <f t="shared" si="1235"/>
        <v>45250</v>
      </c>
      <c r="F9911" s="480"/>
      <c r="G9911" s="221" t="s">
        <v>74</v>
      </c>
      <c r="H9911" s="145" t="str" cm="1">
        <f t="array" ref="H9911">IFERROR(INDEX(INVESTOR_LIST[INVESTOR NAME],MATCH(I9911,INVESTOR_LIST[INVESTOR CODE],0),)," ")</f>
        <v>SHAIKH MD. ABU HASAN</v>
      </c>
      <c r="I9911" s="145" t="s">
        <v>1297</v>
      </c>
      <c r="J9911" s="163" t="s">
        <v>52</v>
      </c>
      <c r="K9911" s="219"/>
      <c r="L9911" s="219">
        <v>42718.96</v>
      </c>
    </row>
    <row r="9912" spans="1:17" x14ac:dyDescent="0.2">
      <c r="A9912" s="133">
        <v>2023</v>
      </c>
      <c r="B9912" s="133">
        <v>11</v>
      </c>
      <c r="C9912" s="133">
        <v>22</v>
      </c>
      <c r="D9912" s="141">
        <f t="shared" si="1234"/>
        <v>45252</v>
      </c>
      <c r="E9912" s="275">
        <f t="shared" si="1235"/>
        <v>45252</v>
      </c>
      <c r="F9912" s="481" t="s">
        <v>1753</v>
      </c>
      <c r="G9912" s="174" t="s">
        <v>94</v>
      </c>
      <c r="H9912" s="174" t="str" cm="1">
        <f t="array" ref="H9912">IFERROR(INDEX(INVESTOR_LIST[INVESTOR NAME],MATCH(I9912,INVESTOR_LIST[INVESTOR CODE],0),)," ")</f>
        <v xml:space="preserve"> </v>
      </c>
      <c r="J9912" s="149" t="s">
        <v>190</v>
      </c>
      <c r="K9912" s="218">
        <v>120857.07</v>
      </c>
      <c r="L9912" s="218"/>
      <c r="M9912" s="160"/>
    </row>
    <row r="9913" spans="1:17" x14ac:dyDescent="0.2">
      <c r="A9913" s="133">
        <v>2023</v>
      </c>
      <c r="B9913" s="133">
        <v>11</v>
      </c>
      <c r="C9913" s="133">
        <v>22</v>
      </c>
      <c r="D9913" s="141">
        <f t="shared" si="1234"/>
        <v>45252</v>
      </c>
      <c r="E9913" s="275">
        <f t="shared" si="1235"/>
        <v>45252</v>
      </c>
      <c r="F9913" s="481"/>
      <c r="G9913" s="174" t="s">
        <v>94</v>
      </c>
      <c r="H9913" s="174"/>
      <c r="J9913" s="149" t="s">
        <v>80</v>
      </c>
      <c r="K9913" s="218">
        <v>217.93</v>
      </c>
      <c r="L9913" s="218"/>
    </row>
    <row r="9914" spans="1:17" x14ac:dyDescent="0.2">
      <c r="A9914" s="133">
        <v>2023</v>
      </c>
      <c r="B9914" s="133">
        <v>11</v>
      </c>
      <c r="C9914" s="133">
        <v>22</v>
      </c>
      <c r="D9914" s="141">
        <f t="shared" si="1234"/>
        <v>45252</v>
      </c>
      <c r="E9914" s="275">
        <f t="shared" si="1235"/>
        <v>45252</v>
      </c>
      <c r="F9914" s="481"/>
      <c r="G9914" s="174" t="s">
        <v>94</v>
      </c>
      <c r="H9914" s="174" t="str" cm="1">
        <f t="array" ref="H9914">IFERROR(INDEX(INVESTOR_LIST[INVESTOR NAME],MATCH(I9914,INVESTOR_LIST[INVESTOR CODE],0),)," ")</f>
        <v xml:space="preserve"> </v>
      </c>
      <c r="J9914" s="149" t="s">
        <v>191</v>
      </c>
      <c r="K9914" s="218"/>
      <c r="L9914" s="218">
        <v>4064.49</v>
      </c>
    </row>
    <row r="9915" spans="1:17" x14ac:dyDescent="0.2">
      <c r="A9915" s="163">
        <v>2023</v>
      </c>
      <c r="B9915" s="163">
        <v>11</v>
      </c>
      <c r="C9915" s="163">
        <v>22</v>
      </c>
      <c r="D9915" s="280">
        <f t="shared" si="1234"/>
        <v>45252</v>
      </c>
      <c r="E9915" s="281">
        <f t="shared" si="1235"/>
        <v>45252</v>
      </c>
      <c r="F9915" s="480"/>
      <c r="G9915" s="221" t="s">
        <v>94</v>
      </c>
      <c r="H9915" s="145" t="str" cm="1">
        <f t="array" ref="H9915">IFERROR(INDEX(INVESTOR_LIST[INVESTOR NAME],MATCH(I9915,INVESTOR_LIST[INVESTOR CODE],0),)," ")</f>
        <v xml:space="preserve"> </v>
      </c>
      <c r="I9915" s="145"/>
      <c r="J9915" s="163" t="s">
        <v>79</v>
      </c>
      <c r="K9915" s="219"/>
      <c r="L9915" s="219">
        <v>117010.51</v>
      </c>
    </row>
    <row r="9916" spans="1:17" ht="45" x14ac:dyDescent="0.2">
      <c r="A9916" s="168">
        <v>2023</v>
      </c>
      <c r="B9916" s="168">
        <v>11</v>
      </c>
      <c r="C9916" s="168">
        <v>23</v>
      </c>
      <c r="D9916" s="141">
        <f>DATE(A9916,B9916,C9916)</f>
        <v>45253</v>
      </c>
      <c r="E9916" s="275">
        <f>DATE(A9916,B9916,C9916)</f>
        <v>45253</v>
      </c>
      <c r="F9916" s="479" t="s">
        <v>1310</v>
      </c>
      <c r="G9916" s="220" t="s">
        <v>74</v>
      </c>
      <c r="H9916" s="142" t="str" cm="1">
        <f t="array" ref="H9916">IFERROR(INDEX(INVESTOR_LIST[INVESTOR NAME],MATCH(I9916,INVESTOR_LIST[INVESTOR CODE],0),)," ")</f>
        <v>FAHIM AHASAN CHOUDHURY</v>
      </c>
      <c r="I9916" s="142" t="s">
        <v>634</v>
      </c>
      <c r="J9916" s="168" t="s">
        <v>13</v>
      </c>
      <c r="K9916" s="218">
        <v>24050</v>
      </c>
      <c r="L9916" s="226"/>
    </row>
    <row r="9917" spans="1:17" ht="45" x14ac:dyDescent="0.2">
      <c r="A9917" s="133">
        <v>2023</v>
      </c>
      <c r="B9917" s="133">
        <v>11</v>
      </c>
      <c r="C9917" s="133">
        <v>23</v>
      </c>
      <c r="D9917" s="141">
        <f>DATE(A9917,B9917,C9917)</f>
        <v>45253</v>
      </c>
      <c r="E9917" s="275">
        <f>DATE(A9917,B9917,C9917)</f>
        <v>45253</v>
      </c>
      <c r="F9917" s="481"/>
      <c r="G9917" s="174" t="s">
        <v>74</v>
      </c>
      <c r="H9917" s="148" t="str" cm="1">
        <f t="array" ref="H9917">IFERROR(INDEX(INVESTOR_LIST[INVESTOR NAME],MATCH(I9917,INVESTOR_LIST[INVESTOR CODE],0),)," ")</f>
        <v>FAHIM AHASAN CHOUDHURY</v>
      </c>
      <c r="I9917" s="148" t="s">
        <v>634</v>
      </c>
      <c r="J9917" s="133" t="s">
        <v>53</v>
      </c>
      <c r="K9917" s="218">
        <v>5868.2000000000007</v>
      </c>
      <c r="L9917" s="133"/>
    </row>
    <row r="9918" spans="1:17" ht="45" x14ac:dyDescent="0.2">
      <c r="A9918" s="163">
        <v>2023</v>
      </c>
      <c r="B9918" s="163">
        <v>11</v>
      </c>
      <c r="C9918" s="163">
        <v>23</v>
      </c>
      <c r="D9918" s="280">
        <f>DATE(A9918,B9918,C9918)</f>
        <v>45253</v>
      </c>
      <c r="E9918" s="281">
        <f>DATE(A9918,B9918,C9918)</f>
        <v>45253</v>
      </c>
      <c r="F9918" s="480"/>
      <c r="G9918" s="221" t="s">
        <v>74</v>
      </c>
      <c r="H9918" s="145" t="str" cm="1">
        <f t="array" ref="H9918">IFERROR(INDEX(INVESTOR_LIST[INVESTOR NAME],MATCH(I9918,INVESTOR_LIST[INVESTOR CODE],0),)," ")</f>
        <v>FAHIM AHASAN CHOUDHURY</v>
      </c>
      <c r="I9918" s="145" t="s">
        <v>634</v>
      </c>
      <c r="J9918" s="163" t="s">
        <v>52</v>
      </c>
      <c r="K9918" s="219"/>
      <c r="L9918" s="219">
        <v>29918.2</v>
      </c>
    </row>
    <row r="9919" spans="1:17" ht="33.75" x14ac:dyDescent="0.2">
      <c r="A9919" s="168">
        <v>2023</v>
      </c>
      <c r="B9919" s="168">
        <v>11</v>
      </c>
      <c r="C9919" s="168">
        <v>22</v>
      </c>
      <c r="D9919" s="141">
        <f t="shared" ref="D9919:D9921" si="1236">DATE(A9919,B9919,C9919)</f>
        <v>45252</v>
      </c>
      <c r="E9919" s="275">
        <f t="shared" ref="E9919:E9921" si="1237">DATE(A9919,B9919,C9919)</f>
        <v>45252</v>
      </c>
      <c r="F9919" s="479" t="s">
        <v>1828</v>
      </c>
      <c r="G9919" s="220" t="s">
        <v>74</v>
      </c>
      <c r="H9919" s="142" t="str" cm="1">
        <f t="array" ref="H9919">IFERROR(INDEX(INVESTOR_LIST[INVESTOR NAME],MATCH(I9919,INVESTOR_LIST[INVESTOR CODE],0),)," ")</f>
        <v>MIDLAND BANK LIMITED</v>
      </c>
      <c r="I9919" s="142" t="s">
        <v>561</v>
      </c>
      <c r="J9919" s="168" t="s">
        <v>13</v>
      </c>
      <c r="K9919" s="218">
        <v>3670000</v>
      </c>
      <c r="L9919" s="226"/>
    </row>
    <row r="9920" spans="1:17" ht="33.75" x14ac:dyDescent="0.2">
      <c r="A9920" s="133">
        <v>2023</v>
      </c>
      <c r="B9920" s="133">
        <v>11</v>
      </c>
      <c r="C9920" s="133">
        <v>22</v>
      </c>
      <c r="D9920" s="141">
        <f t="shared" si="1236"/>
        <v>45252</v>
      </c>
      <c r="E9920" s="275">
        <f t="shared" si="1237"/>
        <v>45252</v>
      </c>
      <c r="F9920" s="481"/>
      <c r="G9920" s="174" t="s">
        <v>74</v>
      </c>
      <c r="H9920" s="148" t="str" cm="1">
        <f t="array" ref="H9920">IFERROR(INDEX(INVESTOR_LIST[INVESTOR NAME],MATCH(I9920,INVESTOR_LIST[INVESTOR CODE],0),)," ")</f>
        <v>MIDLAND BANK LIMITED</v>
      </c>
      <c r="I9920" s="148" t="s">
        <v>561</v>
      </c>
      <c r="J9920" s="133" t="s">
        <v>53</v>
      </c>
      <c r="K9920" s="218">
        <v>895480</v>
      </c>
      <c r="L9920" s="133"/>
    </row>
    <row r="9921" spans="1:13" ht="33.75" x14ac:dyDescent="0.2">
      <c r="A9921" s="163">
        <v>2023</v>
      </c>
      <c r="B9921" s="163">
        <v>11</v>
      </c>
      <c r="C9921" s="163">
        <v>22</v>
      </c>
      <c r="D9921" s="280">
        <f t="shared" si="1236"/>
        <v>45252</v>
      </c>
      <c r="E9921" s="281">
        <f t="shared" si="1237"/>
        <v>45252</v>
      </c>
      <c r="F9921" s="480"/>
      <c r="G9921" s="221" t="s">
        <v>74</v>
      </c>
      <c r="H9921" s="145" t="str" cm="1">
        <f t="array" ref="H9921">IFERROR(INDEX(INVESTOR_LIST[INVESTOR NAME],MATCH(I9921,INVESTOR_LIST[INVESTOR CODE],0),)," ")</f>
        <v>MIDLAND BANK LIMITED</v>
      </c>
      <c r="I9921" s="145" t="s">
        <v>561</v>
      </c>
      <c r="J9921" s="163" t="s">
        <v>52</v>
      </c>
      <c r="K9921" s="219"/>
      <c r="L9921" s="219">
        <v>4565480</v>
      </c>
    </row>
    <row r="9922" spans="1:13" ht="11.25" customHeight="1" x14ac:dyDescent="0.2">
      <c r="A9922" s="168">
        <v>2023</v>
      </c>
      <c r="B9922" s="168">
        <v>11</v>
      </c>
      <c r="C9922" s="168">
        <v>23</v>
      </c>
      <c r="D9922" s="141">
        <f t="shared" ref="D9922:D9949" si="1238">DATE(A9922,B9922,C9922)</f>
        <v>45253</v>
      </c>
      <c r="E9922" s="275">
        <f t="shared" ref="E9922:E9949" si="1239">DATE(A9922,B9922,C9922)</f>
        <v>45253</v>
      </c>
      <c r="F9922" s="479" t="s">
        <v>1828</v>
      </c>
      <c r="G9922" s="220" t="s">
        <v>74</v>
      </c>
      <c r="H9922" s="142" t="str" cm="1">
        <f t="array" ref="H9922">IFERROR(INDEX(INVESTOR_LIST[INVESTOR NAME],MATCH(I9922,INVESTOR_LIST[INVESTOR CODE],0),)," ")</f>
        <v>SANDHANI ASSET MANAGEMENT LIMITED</v>
      </c>
      <c r="I9922" s="142" t="s">
        <v>1464</v>
      </c>
      <c r="J9922" s="168" t="s">
        <v>13</v>
      </c>
      <c r="K9922" s="218">
        <v>1273510</v>
      </c>
      <c r="L9922" s="226"/>
    </row>
    <row r="9923" spans="1:13" ht="11.25" customHeight="1" x14ac:dyDescent="0.2">
      <c r="A9923" s="133">
        <v>2023</v>
      </c>
      <c r="B9923" s="133">
        <v>11</v>
      </c>
      <c r="C9923" s="133">
        <v>23</v>
      </c>
      <c r="D9923" s="141">
        <f t="shared" si="1238"/>
        <v>45253</v>
      </c>
      <c r="E9923" s="275">
        <f t="shared" si="1239"/>
        <v>45253</v>
      </c>
      <c r="F9923" s="481"/>
      <c r="G9923" s="174" t="s">
        <v>74</v>
      </c>
      <c r="H9923" s="148" t="str" cm="1">
        <f t="array" ref="H9923">IFERROR(INDEX(INVESTOR_LIST[INVESTOR NAME],MATCH(I9923,INVESTOR_LIST[INVESTOR CODE],0),)," ")</f>
        <v>SANDHANI ASSET MANAGEMENT LIMITED</v>
      </c>
      <c r="I9923" s="148" t="s">
        <v>1464</v>
      </c>
      <c r="J9923" s="133" t="s">
        <v>53</v>
      </c>
      <c r="K9923" s="218">
        <v>310736.43999999994</v>
      </c>
      <c r="L9923" s="133"/>
    </row>
    <row r="9924" spans="1:13" ht="11.25" customHeight="1" x14ac:dyDescent="0.2">
      <c r="A9924" s="163">
        <v>2023</v>
      </c>
      <c r="B9924" s="163">
        <v>11</v>
      </c>
      <c r="C9924" s="163">
        <v>23</v>
      </c>
      <c r="D9924" s="280">
        <f t="shared" si="1238"/>
        <v>45253</v>
      </c>
      <c r="E9924" s="281">
        <f t="shared" si="1239"/>
        <v>45253</v>
      </c>
      <c r="F9924" s="480"/>
      <c r="G9924" s="221" t="s">
        <v>74</v>
      </c>
      <c r="H9924" s="145" t="str" cm="1">
        <f t="array" ref="H9924">IFERROR(INDEX(INVESTOR_LIST[INVESTOR NAME],MATCH(I9924,INVESTOR_LIST[INVESTOR CODE],0),)," ")</f>
        <v>SANDHANI ASSET MANAGEMENT LIMITED</v>
      </c>
      <c r="I9924" s="145" t="s">
        <v>1464</v>
      </c>
      <c r="J9924" s="163" t="s">
        <v>52</v>
      </c>
      <c r="K9924" s="219"/>
      <c r="L9924" s="219">
        <v>1584246.44</v>
      </c>
    </row>
    <row r="9925" spans="1:13" x14ac:dyDescent="0.2">
      <c r="A9925" s="133">
        <v>2023</v>
      </c>
      <c r="B9925" s="133">
        <v>11</v>
      </c>
      <c r="C9925" s="133">
        <v>23</v>
      </c>
      <c r="D9925" s="141">
        <f t="shared" si="1238"/>
        <v>45253</v>
      </c>
      <c r="E9925" s="275">
        <f t="shared" si="1239"/>
        <v>45253</v>
      </c>
      <c r="F9925" s="481" t="s">
        <v>1753</v>
      </c>
      <c r="G9925" s="174" t="s">
        <v>94</v>
      </c>
      <c r="H9925" s="174" t="str" cm="1">
        <f t="array" ref="H9925">IFERROR(INDEX(INVESTOR_LIST[INVESTOR NAME],MATCH(I9925,INVESTOR_LIST[INVESTOR CODE],0),)," ")</f>
        <v xml:space="preserve"> </v>
      </c>
      <c r="J9925" s="149" t="s">
        <v>190</v>
      </c>
      <c r="K9925" s="218">
        <v>553525.34</v>
      </c>
      <c r="L9925" s="218"/>
      <c r="M9925" s="160"/>
    </row>
    <row r="9926" spans="1:13" x14ac:dyDescent="0.2">
      <c r="A9926" s="133">
        <v>2023</v>
      </c>
      <c r="B9926" s="133">
        <v>11</v>
      </c>
      <c r="C9926" s="133">
        <v>23</v>
      </c>
      <c r="D9926" s="141">
        <f t="shared" si="1238"/>
        <v>45253</v>
      </c>
      <c r="E9926" s="275">
        <f t="shared" si="1239"/>
        <v>45253</v>
      </c>
      <c r="F9926" s="481"/>
      <c r="G9926" s="174" t="s">
        <v>94</v>
      </c>
      <c r="H9926" s="174"/>
      <c r="J9926" s="149" t="s">
        <v>80</v>
      </c>
      <c r="K9926" s="218">
        <v>998.16</v>
      </c>
      <c r="L9926" s="218"/>
    </row>
    <row r="9927" spans="1:13" x14ac:dyDescent="0.2">
      <c r="A9927" s="133">
        <v>2023</v>
      </c>
      <c r="B9927" s="133">
        <v>11</v>
      </c>
      <c r="C9927" s="133">
        <v>23</v>
      </c>
      <c r="D9927" s="141">
        <f t="shared" si="1238"/>
        <v>45253</v>
      </c>
      <c r="E9927" s="275">
        <f t="shared" si="1239"/>
        <v>45253</v>
      </c>
      <c r="F9927" s="481"/>
      <c r="G9927" s="174" t="s">
        <v>94</v>
      </c>
      <c r="H9927" s="174" t="str" cm="1">
        <f t="array" ref="H9927">IFERROR(INDEX(INVESTOR_LIST[INVESTOR NAME],MATCH(I9927,INVESTOR_LIST[INVESTOR CODE],0),)," ")</f>
        <v xml:space="preserve"> </v>
      </c>
      <c r="J9927" s="149" t="s">
        <v>191</v>
      </c>
      <c r="K9927" s="218"/>
      <c r="L9927" s="218">
        <v>18615.34</v>
      </c>
    </row>
    <row r="9928" spans="1:13" x14ac:dyDescent="0.2">
      <c r="A9928" s="163">
        <v>2023</v>
      </c>
      <c r="B9928" s="163">
        <v>11</v>
      </c>
      <c r="C9928" s="163">
        <v>23</v>
      </c>
      <c r="D9928" s="280">
        <f t="shared" si="1238"/>
        <v>45253</v>
      </c>
      <c r="E9928" s="281">
        <f t="shared" si="1239"/>
        <v>45253</v>
      </c>
      <c r="F9928" s="480"/>
      <c r="G9928" s="221" t="s">
        <v>94</v>
      </c>
      <c r="H9928" s="145" t="str" cm="1">
        <f t="array" ref="H9928">IFERROR(INDEX(INVESTOR_LIST[INVESTOR NAME],MATCH(I9928,INVESTOR_LIST[INVESTOR CODE],0),)," ")</f>
        <v xml:space="preserve"> </v>
      </c>
      <c r="I9928" s="145"/>
      <c r="J9928" s="163" t="s">
        <v>79</v>
      </c>
      <c r="K9928" s="219"/>
      <c r="L9928" s="219">
        <v>535908.16</v>
      </c>
    </row>
    <row r="9929" spans="1:13" x14ac:dyDescent="0.2">
      <c r="A9929" s="324">
        <v>2023</v>
      </c>
      <c r="B9929" s="324">
        <v>11</v>
      </c>
      <c r="C9929" s="325">
        <v>23</v>
      </c>
      <c r="D9929" s="326">
        <f t="shared" si="1238"/>
        <v>45253</v>
      </c>
      <c r="E9929" s="327">
        <f t="shared" si="1239"/>
        <v>45253</v>
      </c>
      <c r="F9929" s="473" t="s">
        <v>1490</v>
      </c>
      <c r="G9929" s="328" t="s">
        <v>94</v>
      </c>
      <c r="H9929" s="329" t="str" cm="1">
        <f t="array" ref="H9929">IFERROR(INDEX(INVESTOR_LIST[INVESTOR NAME],MATCH(I9929,INVESTOR_LIST[INVESTOR CODE],0),)," ")</f>
        <v xml:space="preserve"> </v>
      </c>
      <c r="I9929" s="329" t="s">
        <v>348</v>
      </c>
      <c r="J9929" s="325" t="s">
        <v>133</v>
      </c>
      <c r="K9929" s="330">
        <v>8160.3185096153848</v>
      </c>
      <c r="L9929" s="330"/>
    </row>
    <row r="9930" spans="1:13" x14ac:dyDescent="0.2">
      <c r="A9930" s="331">
        <v>2023</v>
      </c>
      <c r="B9930" s="331">
        <v>11</v>
      </c>
      <c r="C9930" s="331">
        <v>23</v>
      </c>
      <c r="D9930" s="326">
        <f t="shared" si="1238"/>
        <v>45253</v>
      </c>
      <c r="E9930" s="327">
        <f t="shared" si="1239"/>
        <v>45253</v>
      </c>
      <c r="F9930" s="474"/>
      <c r="G9930" s="332" t="s">
        <v>94</v>
      </c>
      <c r="H9930" s="333" t="str" cm="1">
        <f t="array" ref="H9930">IFERROR(INDEX(INVESTOR_LIST[INVESTOR NAME],MATCH(I9930,INVESTOR_LIST[INVESTOR CODE],0),)," ")</f>
        <v xml:space="preserve"> </v>
      </c>
      <c r="I9930" s="333" t="s">
        <v>348</v>
      </c>
      <c r="J9930" s="331" t="s">
        <v>152</v>
      </c>
      <c r="K9930" s="334"/>
      <c r="L9930" s="334">
        <v>8160.3185096153848</v>
      </c>
    </row>
    <row r="9931" spans="1:13" x14ac:dyDescent="0.2">
      <c r="A9931" s="324">
        <v>2023</v>
      </c>
      <c r="B9931" s="324">
        <v>11</v>
      </c>
      <c r="C9931" s="325">
        <v>23</v>
      </c>
      <c r="D9931" s="326">
        <f t="shared" si="1238"/>
        <v>45253</v>
      </c>
      <c r="E9931" s="327">
        <f t="shared" si="1239"/>
        <v>45253</v>
      </c>
      <c r="F9931" s="473" t="s">
        <v>1491</v>
      </c>
      <c r="G9931" s="328" t="s">
        <v>94</v>
      </c>
      <c r="H9931" s="329" t="str" cm="1">
        <f t="array" ref="H9931">IFERROR(INDEX(INVESTOR_LIST[INVESTOR NAME],MATCH(I9931,INVESTOR_LIST[INVESTOR CODE],0),)," ")</f>
        <v xml:space="preserve"> </v>
      </c>
      <c r="I9931" s="329" t="s">
        <v>348</v>
      </c>
      <c r="J9931" s="324" t="s">
        <v>133</v>
      </c>
      <c r="K9931" s="330">
        <v>784.35624999831998</v>
      </c>
      <c r="L9931" s="330"/>
    </row>
    <row r="9932" spans="1:13" x14ac:dyDescent="0.2">
      <c r="A9932" s="331">
        <v>2023</v>
      </c>
      <c r="B9932" s="331">
        <v>11</v>
      </c>
      <c r="C9932" s="331">
        <v>23</v>
      </c>
      <c r="D9932" s="326">
        <f t="shared" si="1238"/>
        <v>45253</v>
      </c>
      <c r="E9932" s="327">
        <f t="shared" si="1239"/>
        <v>45253</v>
      </c>
      <c r="F9932" s="474"/>
      <c r="G9932" s="332" t="s">
        <v>94</v>
      </c>
      <c r="H9932" s="333" t="str" cm="1">
        <f t="array" ref="H9932">IFERROR(INDEX(INVESTOR_LIST[INVESTOR NAME],MATCH(I9932,INVESTOR_LIST[INVESTOR CODE],0),)," ")</f>
        <v xml:space="preserve"> </v>
      </c>
      <c r="I9932" s="333" t="s">
        <v>348</v>
      </c>
      <c r="J9932" s="331" t="s">
        <v>152</v>
      </c>
      <c r="K9932" s="334"/>
      <c r="L9932" s="334">
        <v>784.35624999831998</v>
      </c>
    </row>
    <row r="9933" spans="1:13" x14ac:dyDescent="0.2">
      <c r="A9933" s="343">
        <v>2023</v>
      </c>
      <c r="B9933" s="343">
        <v>11</v>
      </c>
      <c r="C9933" s="343">
        <v>23</v>
      </c>
      <c r="D9933" s="344">
        <f t="shared" si="1238"/>
        <v>45253</v>
      </c>
      <c r="E9933" s="345">
        <f t="shared" si="1239"/>
        <v>45253</v>
      </c>
      <c r="F9933" s="483" t="s">
        <v>1813</v>
      </c>
      <c r="G9933" s="350" t="s">
        <v>94</v>
      </c>
      <c r="H9933" s="350" t="str" cm="1">
        <f t="array" ref="H9933">IFERROR(INDEX(INVESTOR_LIST[INVESTOR NAME],MATCH(I9933,INVESTOR_LIST[INVESTOR CODE],0),)," ")</f>
        <v xml:space="preserve"> </v>
      </c>
      <c r="I9933" s="352" t="s">
        <v>348</v>
      </c>
      <c r="J9933" s="353" t="s">
        <v>1798</v>
      </c>
      <c r="K9933" s="354">
        <v>5342</v>
      </c>
      <c r="L9933" s="354"/>
    </row>
    <row r="9934" spans="1:13" x14ac:dyDescent="0.2">
      <c r="A9934" s="346">
        <v>2023</v>
      </c>
      <c r="B9934" s="346">
        <v>11</v>
      </c>
      <c r="C9934" s="346">
        <v>23</v>
      </c>
      <c r="D9934" s="344">
        <f t="shared" si="1238"/>
        <v>45253</v>
      </c>
      <c r="E9934" s="345">
        <f t="shared" si="1239"/>
        <v>45253</v>
      </c>
      <c r="F9934" s="484"/>
      <c r="G9934" s="347" t="s">
        <v>94</v>
      </c>
      <c r="H9934" s="347" t="str" cm="1">
        <f t="array" ref="H9934">IFERROR(INDEX(INVESTOR_LIST[INVESTOR NAME],MATCH(I9934,INVESTOR_LIST[INVESTOR CODE],0),)," ")</f>
        <v xml:space="preserve"> </v>
      </c>
      <c r="I9934" s="348" t="s">
        <v>348</v>
      </c>
      <c r="J9934" s="355" t="s">
        <v>1807</v>
      </c>
      <c r="K9934" s="349"/>
      <c r="L9934" s="349">
        <v>5342</v>
      </c>
    </row>
    <row r="9935" spans="1:13" x14ac:dyDescent="0.2">
      <c r="A9935" s="238">
        <v>2023</v>
      </c>
      <c r="B9935" s="238">
        <v>11</v>
      </c>
      <c r="C9935" s="238">
        <v>23</v>
      </c>
      <c r="D9935" s="270">
        <f t="shared" si="1238"/>
        <v>45253</v>
      </c>
      <c r="E9935" s="279">
        <f t="shared" si="1239"/>
        <v>45253</v>
      </c>
      <c r="F9935" s="477" t="s">
        <v>347</v>
      </c>
      <c r="G9935" s="239" t="s">
        <v>94</v>
      </c>
      <c r="H9935" s="239" t="str" cm="1">
        <f t="array" ref="H9935">IFERROR(INDEX(INVESTOR_LIST[INVESTOR NAME],MATCH(I9935,INVESTOR_LIST[INVESTOR CODE],0),)," ")</f>
        <v xml:space="preserve"> </v>
      </c>
      <c r="I9935" s="262" t="s">
        <v>348</v>
      </c>
      <c r="J9935" s="240" t="s">
        <v>82</v>
      </c>
      <c r="K9935" s="241">
        <v>289504.90999999642</v>
      </c>
      <c r="L9935" s="241"/>
    </row>
    <row r="9936" spans="1:13" x14ac:dyDescent="0.2">
      <c r="A9936" s="242">
        <v>2023</v>
      </c>
      <c r="B9936" s="242">
        <v>11</v>
      </c>
      <c r="C9936" s="242">
        <v>23</v>
      </c>
      <c r="D9936" s="270">
        <f t="shared" si="1238"/>
        <v>45253</v>
      </c>
      <c r="E9936" s="279">
        <f t="shared" si="1239"/>
        <v>45253</v>
      </c>
      <c r="F9936" s="478"/>
      <c r="G9936" s="243" t="s">
        <v>94</v>
      </c>
      <c r="H9936" s="243" t="str" cm="1">
        <f t="array" ref="H9936">IFERROR(INDEX(INVESTOR_LIST[INVESTOR NAME],MATCH(I9936,INVESTOR_LIST[INVESTOR CODE],0),)," ")</f>
        <v xml:space="preserve"> </v>
      </c>
      <c r="I9936" s="263" t="s">
        <v>348</v>
      </c>
      <c r="J9936" s="244" t="s">
        <v>108</v>
      </c>
      <c r="K9936" s="245"/>
      <c r="L9936" s="245">
        <v>289504.90999999642</v>
      </c>
    </row>
    <row r="9937" spans="1:17" ht="22.5" x14ac:dyDescent="0.2">
      <c r="A9937" s="246">
        <v>2023</v>
      </c>
      <c r="B9937" s="238">
        <v>11</v>
      </c>
      <c r="C9937" s="238">
        <v>23</v>
      </c>
      <c r="D9937" s="270">
        <f t="shared" si="1238"/>
        <v>45253</v>
      </c>
      <c r="E9937" s="279">
        <f t="shared" si="1239"/>
        <v>45253</v>
      </c>
      <c r="F9937" s="482" t="s">
        <v>148</v>
      </c>
      <c r="G9937" s="247" t="s">
        <v>94</v>
      </c>
      <c r="H9937" s="247" t="str" cm="1">
        <f t="array" ref="H9937">IFERROR(INDEX(INVESTOR_LIST[INVESTOR NAME],MATCH(I9937,INVESTOR_LIST[INVESTOR CODE],0),)," ")</f>
        <v xml:space="preserve"> </v>
      </c>
      <c r="I9937" s="248" t="s">
        <v>348</v>
      </c>
      <c r="J9937" s="249" t="s">
        <v>95</v>
      </c>
      <c r="K9937" s="250">
        <v>2747.2527472527472</v>
      </c>
      <c r="L9937" s="241"/>
    </row>
    <row r="9938" spans="1:17" x14ac:dyDescent="0.2">
      <c r="A9938" s="242">
        <v>2023</v>
      </c>
      <c r="B9938" s="242">
        <v>11</v>
      </c>
      <c r="C9938" s="242">
        <v>23</v>
      </c>
      <c r="D9938" s="270">
        <f t="shared" si="1238"/>
        <v>45253</v>
      </c>
      <c r="E9938" s="279">
        <f t="shared" si="1239"/>
        <v>45253</v>
      </c>
      <c r="F9938" s="478"/>
      <c r="G9938" s="243" t="s">
        <v>94</v>
      </c>
      <c r="H9938" s="243" t="str" cm="1">
        <f t="array" ref="H9938">IFERROR(INDEX(INVESTOR_LIST[INVESTOR NAME],MATCH(I9938,INVESTOR_LIST[INVESTOR CODE],0),)," ")</f>
        <v xml:space="preserve"> </v>
      </c>
      <c r="I9938" s="263" t="s">
        <v>348</v>
      </c>
      <c r="J9938" s="244" t="s">
        <v>63</v>
      </c>
      <c r="K9938" s="245"/>
      <c r="L9938" s="245">
        <v>2747.2527472527472</v>
      </c>
    </row>
    <row r="9939" spans="1:17" x14ac:dyDescent="0.2">
      <c r="A9939" s="246">
        <v>2023</v>
      </c>
      <c r="B9939" s="238">
        <v>11</v>
      </c>
      <c r="C9939" s="238">
        <v>23</v>
      </c>
      <c r="D9939" s="270">
        <f t="shared" si="1238"/>
        <v>45253</v>
      </c>
      <c r="E9939" s="279">
        <f t="shared" si="1239"/>
        <v>45253</v>
      </c>
      <c r="F9939" s="482" t="s">
        <v>137</v>
      </c>
      <c r="G9939" s="247" t="s">
        <v>94</v>
      </c>
      <c r="H9939" s="247" t="str" cm="1">
        <f t="array" ref="H9939">IFERROR(INDEX(INVESTOR_LIST[INVESTOR NAME],MATCH(I9939,INVESTOR_LIST[INVESTOR CODE],0),)," ")</f>
        <v xml:space="preserve"> </v>
      </c>
      <c r="I9939" s="248" t="s">
        <v>348</v>
      </c>
      <c r="J9939" s="249" t="s">
        <v>97</v>
      </c>
      <c r="K9939" s="250">
        <v>59023.980030173596</v>
      </c>
      <c r="L9939" s="252"/>
    </row>
    <row r="9940" spans="1:17" x14ac:dyDescent="0.2">
      <c r="A9940" s="242">
        <v>2023</v>
      </c>
      <c r="B9940" s="242">
        <v>11</v>
      </c>
      <c r="C9940" s="242">
        <v>23</v>
      </c>
      <c r="D9940" s="270">
        <f t="shared" si="1238"/>
        <v>45253</v>
      </c>
      <c r="E9940" s="279">
        <f t="shared" si="1239"/>
        <v>45253</v>
      </c>
      <c r="F9940" s="478"/>
      <c r="G9940" s="243" t="s">
        <v>94</v>
      </c>
      <c r="H9940" s="243" t="str" cm="1">
        <f t="array" ref="H9940">IFERROR(INDEX(INVESTOR_LIST[INVESTOR NAME],MATCH(I9940,INVESTOR_LIST[INVESTOR CODE],0),)," ")</f>
        <v xml:space="preserve"> </v>
      </c>
      <c r="I9940" s="263" t="s">
        <v>348</v>
      </c>
      <c r="J9940" s="244" t="s">
        <v>47</v>
      </c>
      <c r="K9940" s="245"/>
      <c r="L9940" s="245">
        <v>59023.980030173596</v>
      </c>
    </row>
    <row r="9941" spans="1:17" x14ac:dyDescent="0.2">
      <c r="A9941" s="246">
        <v>2023</v>
      </c>
      <c r="B9941" s="238">
        <v>11</v>
      </c>
      <c r="C9941" s="238">
        <v>23</v>
      </c>
      <c r="D9941" s="270">
        <f t="shared" si="1238"/>
        <v>45253</v>
      </c>
      <c r="E9941" s="279">
        <f t="shared" si="1239"/>
        <v>45253</v>
      </c>
      <c r="F9941" s="482" t="s">
        <v>138</v>
      </c>
      <c r="G9941" s="247" t="s">
        <v>94</v>
      </c>
      <c r="H9941" s="247" t="str" cm="1">
        <f t="array" ref="H9941">IFERROR(INDEX(INVESTOR_LIST[INVESTOR NAME],MATCH(I9941,INVESTOR_LIST[INVESTOR CODE],0),)," ")</f>
        <v xml:space="preserve"> </v>
      </c>
      <c r="I9941" s="248" t="s">
        <v>348</v>
      </c>
      <c r="J9941" s="249" t="s">
        <v>100</v>
      </c>
      <c r="K9941" s="250">
        <v>2710.8143861240646</v>
      </c>
      <c r="L9941" s="252"/>
    </row>
    <row r="9942" spans="1:17" x14ac:dyDescent="0.2">
      <c r="A9942" s="242">
        <v>2023</v>
      </c>
      <c r="B9942" s="242">
        <v>11</v>
      </c>
      <c r="C9942" s="242">
        <v>23</v>
      </c>
      <c r="D9942" s="321">
        <f t="shared" si="1238"/>
        <v>45253</v>
      </c>
      <c r="E9942" s="322">
        <f t="shared" si="1239"/>
        <v>45253</v>
      </c>
      <c r="F9942" s="478"/>
      <c r="G9942" s="243" t="s">
        <v>94</v>
      </c>
      <c r="H9942" s="243" t="str" cm="1">
        <f t="array" ref="H9942">IFERROR(INDEX(INVESTOR_LIST[INVESTOR NAME],MATCH(I9942,INVESTOR_LIST[INVESTOR CODE],0),)," ")</f>
        <v xml:space="preserve"> </v>
      </c>
      <c r="I9942" s="263" t="s">
        <v>348</v>
      </c>
      <c r="J9942" s="244" t="s">
        <v>48</v>
      </c>
      <c r="K9942" s="245"/>
      <c r="L9942" s="245">
        <v>2710.8143861240646</v>
      </c>
    </row>
    <row r="9943" spans="1:17" x14ac:dyDescent="0.2">
      <c r="A9943" s="168">
        <v>2023</v>
      </c>
      <c r="B9943" s="168">
        <v>11</v>
      </c>
      <c r="C9943" s="168">
        <v>26</v>
      </c>
      <c r="D9943" s="141">
        <f t="shared" si="1238"/>
        <v>45256</v>
      </c>
      <c r="E9943" s="275">
        <f t="shared" si="1239"/>
        <v>45256</v>
      </c>
      <c r="F9943" s="479" t="s">
        <v>1319</v>
      </c>
      <c r="G9943" s="220" t="s">
        <v>74</v>
      </c>
      <c r="H9943" s="142" t="str" cm="1">
        <f t="array" ref="H9943">IFERROR(INDEX(INVESTOR_LIST[INVESTOR NAME],MATCH(I9943,INVESTOR_LIST[INVESTOR CODE],0),)," ")</f>
        <v xml:space="preserve"> </v>
      </c>
      <c r="I9943" s="142"/>
      <c r="J9943" s="168" t="s">
        <v>52</v>
      </c>
      <c r="K9943" s="226">
        <v>108000</v>
      </c>
      <c r="L9943" s="226"/>
    </row>
    <row r="9944" spans="1:17" x14ac:dyDescent="0.2">
      <c r="A9944" s="133">
        <v>2023</v>
      </c>
      <c r="B9944" s="133">
        <v>11</v>
      </c>
      <c r="C9944" s="133">
        <v>26</v>
      </c>
      <c r="D9944" s="141">
        <f t="shared" si="1238"/>
        <v>45256</v>
      </c>
      <c r="E9944" s="275">
        <f t="shared" si="1239"/>
        <v>45256</v>
      </c>
      <c r="F9944" s="481"/>
      <c r="G9944" s="174" t="s">
        <v>74</v>
      </c>
      <c r="H9944" s="148" t="str" cm="1">
        <f t="array" ref="H9944">IFERROR(INDEX(INVESTOR_LIST[INVESTOR NAME],MATCH(I9944,INVESTOR_LIST[INVESTOR CODE],0),)," ")</f>
        <v xml:space="preserve"> </v>
      </c>
      <c r="J9944" s="133" t="s">
        <v>13</v>
      </c>
      <c r="K9944" s="218"/>
      <c r="L9944" s="218">
        <v>87050</v>
      </c>
    </row>
    <row r="9945" spans="1:17" x14ac:dyDescent="0.2">
      <c r="A9945" s="163">
        <v>2023</v>
      </c>
      <c r="B9945" s="163">
        <v>11</v>
      </c>
      <c r="C9945" s="163">
        <v>26</v>
      </c>
      <c r="D9945" s="280">
        <f t="shared" si="1238"/>
        <v>45256</v>
      </c>
      <c r="E9945" s="281">
        <f t="shared" si="1239"/>
        <v>45256</v>
      </c>
      <c r="F9945" s="480"/>
      <c r="G9945" s="221" t="s">
        <v>74</v>
      </c>
      <c r="H9945" s="145" t="str" cm="1">
        <f t="array" ref="H9945">IFERROR(INDEX(INVESTOR_LIST[INVESTOR NAME],MATCH(I9945,INVESTOR_LIST[INVESTOR CODE],0),)," ")</f>
        <v xml:space="preserve"> </v>
      </c>
      <c r="I9945" s="145"/>
      <c r="J9945" s="163" t="s">
        <v>53</v>
      </c>
      <c r="K9945" s="219"/>
      <c r="L9945" s="219">
        <v>20950</v>
      </c>
    </row>
    <row r="9946" spans="1:17" x14ac:dyDescent="0.2">
      <c r="A9946" s="168">
        <v>2023</v>
      </c>
      <c r="B9946" s="168">
        <v>11</v>
      </c>
      <c r="C9946" s="168">
        <v>26</v>
      </c>
      <c r="D9946" s="141">
        <f t="shared" si="1238"/>
        <v>45256</v>
      </c>
      <c r="E9946" s="275">
        <f t="shared" si="1239"/>
        <v>45256</v>
      </c>
      <c r="F9946" s="479" t="s">
        <v>1757</v>
      </c>
      <c r="G9946" s="220" t="s">
        <v>74</v>
      </c>
      <c r="H9946" s="220" t="str" cm="1">
        <f t="array" ref="H9946">IFERROR(INDEX(INVESTOR_LIST[INVESTOR NAME],MATCH(I9946,INVESTOR_LIST[INVESTOR CODE],0),)," ")</f>
        <v xml:space="preserve"> </v>
      </c>
      <c r="I9946" s="142"/>
      <c r="J9946" s="143" t="s">
        <v>52</v>
      </c>
      <c r="K9946" s="226">
        <v>9742.43</v>
      </c>
      <c r="L9946" s="226"/>
    </row>
    <row r="9947" spans="1:17" x14ac:dyDescent="0.2">
      <c r="A9947" s="163">
        <v>2023</v>
      </c>
      <c r="B9947" s="163">
        <v>11</v>
      </c>
      <c r="C9947" s="163">
        <v>26</v>
      </c>
      <c r="D9947" s="280">
        <f t="shared" si="1238"/>
        <v>45256</v>
      </c>
      <c r="E9947" s="281">
        <f t="shared" si="1239"/>
        <v>45256</v>
      </c>
      <c r="F9947" s="480"/>
      <c r="G9947" s="221" t="s">
        <v>74</v>
      </c>
      <c r="H9947" s="221" t="str" cm="1">
        <f t="array" ref="H9947">IFERROR(INDEX(INVESTOR_LIST[INVESTOR NAME],MATCH(I9947,INVESTOR_LIST[INVESTOR CODE],0),)," ")</f>
        <v xml:space="preserve"> </v>
      </c>
      <c r="I9947" s="145"/>
      <c r="J9947" s="146" t="s">
        <v>190</v>
      </c>
      <c r="K9947" s="219"/>
      <c r="L9947" s="219">
        <v>9742.43</v>
      </c>
    </row>
    <row r="9948" spans="1:17" x14ac:dyDescent="0.2">
      <c r="A9948" s="133">
        <v>2023</v>
      </c>
      <c r="B9948" s="133">
        <v>11</v>
      </c>
      <c r="C9948" s="133">
        <v>26</v>
      </c>
      <c r="D9948" s="141">
        <f t="shared" si="1238"/>
        <v>45256</v>
      </c>
      <c r="E9948" s="275">
        <f t="shared" si="1239"/>
        <v>45256</v>
      </c>
      <c r="F9948" s="481" t="s">
        <v>1830</v>
      </c>
      <c r="G9948" s="174" t="s">
        <v>74</v>
      </c>
      <c r="H9948" s="174" t="str" cm="1">
        <f t="array" ref="H9948">IFERROR(INDEX(INVESTOR_LIST[INVESTOR NAME],MATCH(I9948,INVESTOR_LIST[INVESTOR CODE],0),)," ")</f>
        <v xml:space="preserve"> </v>
      </c>
      <c r="I9948" s="148" t="s">
        <v>348</v>
      </c>
      <c r="J9948" s="149" t="s">
        <v>1764</v>
      </c>
      <c r="K9948" s="218">
        <v>2989062</v>
      </c>
      <c r="L9948" s="218"/>
      <c r="M9948" s="147"/>
      <c r="Q9948" s="133" t="s">
        <v>348</v>
      </c>
    </row>
    <row r="9949" spans="1:17" x14ac:dyDescent="0.2">
      <c r="A9949" s="163">
        <v>2023</v>
      </c>
      <c r="B9949" s="163">
        <v>11</v>
      </c>
      <c r="C9949" s="163">
        <v>26</v>
      </c>
      <c r="D9949" s="141">
        <f t="shared" si="1238"/>
        <v>45256</v>
      </c>
      <c r="E9949" s="275">
        <f t="shared" si="1239"/>
        <v>45256</v>
      </c>
      <c r="F9949" s="480"/>
      <c r="G9949" s="221" t="s">
        <v>74</v>
      </c>
      <c r="H9949" s="221" t="str" cm="1">
        <f t="array" ref="H9949">IFERROR(INDEX(INVESTOR_LIST[INVESTOR NAME],MATCH(I9949,INVESTOR_LIST[INVESTOR CODE],0),)," ")</f>
        <v xml:space="preserve"> </v>
      </c>
      <c r="I9949" s="145"/>
      <c r="J9949" s="146" t="s">
        <v>52</v>
      </c>
      <c r="K9949" s="219"/>
      <c r="L9949" s="219">
        <v>2989062</v>
      </c>
      <c r="M9949" s="147"/>
      <c r="Q9949" s="133" t="s">
        <v>348</v>
      </c>
    </row>
    <row r="9950" spans="1:17" x14ac:dyDescent="0.2">
      <c r="A9950" s="133">
        <v>2023</v>
      </c>
      <c r="B9950" s="133">
        <v>11</v>
      </c>
      <c r="C9950" s="133">
        <v>26</v>
      </c>
      <c r="D9950" s="141">
        <f t="shared" ref="D9950:D9953" si="1240">DATE(A9950,B9950,C9950)</f>
        <v>45256</v>
      </c>
      <c r="E9950" s="275">
        <f t="shared" ref="E9950:E9953" si="1241">DATE(A9950,B9950,C9950)</f>
        <v>45256</v>
      </c>
      <c r="F9950" s="481" t="s">
        <v>1753</v>
      </c>
      <c r="G9950" s="174" t="s">
        <v>94</v>
      </c>
      <c r="H9950" s="174" t="str" cm="1">
        <f t="array" ref="H9950">IFERROR(INDEX(INVESTOR_LIST[INVESTOR NAME],MATCH(I9950,INVESTOR_LIST[INVESTOR CODE],0),)," ")</f>
        <v xml:space="preserve"> </v>
      </c>
      <c r="J9950" s="149" t="s">
        <v>190</v>
      </c>
      <c r="K9950" s="218">
        <v>898895.07</v>
      </c>
      <c r="L9950" s="218"/>
      <c r="M9950" s="160"/>
    </row>
    <row r="9951" spans="1:17" x14ac:dyDescent="0.2">
      <c r="A9951" s="133">
        <v>2023</v>
      </c>
      <c r="B9951" s="133">
        <v>11</v>
      </c>
      <c r="C9951" s="133">
        <v>26</v>
      </c>
      <c r="D9951" s="141">
        <f t="shared" si="1240"/>
        <v>45256</v>
      </c>
      <c r="E9951" s="275">
        <f t="shared" si="1241"/>
        <v>45256</v>
      </c>
      <c r="F9951" s="481"/>
      <c r="G9951" s="174" t="s">
        <v>94</v>
      </c>
      <c r="H9951" s="174"/>
      <c r="J9951" s="149" t="s">
        <v>80</v>
      </c>
      <c r="K9951" s="218">
        <v>1620.93</v>
      </c>
      <c r="L9951" s="218"/>
      <c r="N9951" s="264"/>
    </row>
    <row r="9952" spans="1:17" x14ac:dyDescent="0.2">
      <c r="A9952" s="133">
        <v>2023</v>
      </c>
      <c r="B9952" s="133">
        <v>11</v>
      </c>
      <c r="C9952" s="133">
        <v>26</v>
      </c>
      <c r="D9952" s="141">
        <f t="shared" si="1240"/>
        <v>45256</v>
      </c>
      <c r="E9952" s="275">
        <f t="shared" si="1241"/>
        <v>45256</v>
      </c>
      <c r="F9952" s="481"/>
      <c r="G9952" s="174" t="s">
        <v>94</v>
      </c>
      <c r="H9952" s="174" t="str" cm="1">
        <f t="array" ref="H9952">IFERROR(INDEX(INVESTOR_LIST[INVESTOR NAME],MATCH(I9952,INVESTOR_LIST[INVESTOR CODE],0),)," ")</f>
        <v xml:space="preserve"> </v>
      </c>
      <c r="J9952" s="149" t="s">
        <v>191</v>
      </c>
      <c r="K9952" s="218"/>
      <c r="L9952" s="218">
        <v>25277.35</v>
      </c>
      <c r="N9952" s="264"/>
    </row>
    <row r="9953" spans="1:14" x14ac:dyDescent="0.2">
      <c r="A9953" s="163">
        <v>2023</v>
      </c>
      <c r="B9953" s="163">
        <v>11</v>
      </c>
      <c r="C9953" s="163">
        <v>26</v>
      </c>
      <c r="D9953" s="280">
        <f t="shared" si="1240"/>
        <v>45256</v>
      </c>
      <c r="E9953" s="281">
        <f t="shared" si="1241"/>
        <v>45256</v>
      </c>
      <c r="F9953" s="480"/>
      <c r="G9953" s="221" t="s">
        <v>94</v>
      </c>
      <c r="H9953" s="145" t="str" cm="1">
        <f t="array" ref="H9953">IFERROR(INDEX(INVESTOR_LIST[INVESTOR NAME],MATCH(I9953,INVESTOR_LIST[INVESTOR CODE],0),)," ")</f>
        <v xml:space="preserve"> </v>
      </c>
      <c r="I9953" s="145"/>
      <c r="J9953" s="163" t="s">
        <v>79</v>
      </c>
      <c r="K9953" s="219"/>
      <c r="L9953" s="219">
        <v>875238.65</v>
      </c>
    </row>
    <row r="9954" spans="1:14" x14ac:dyDescent="0.2">
      <c r="A9954" s="133">
        <v>2023</v>
      </c>
      <c r="B9954" s="133">
        <v>11</v>
      </c>
      <c r="C9954" s="133">
        <v>27</v>
      </c>
      <c r="D9954" s="141">
        <f t="shared" ref="D9954:D9959" si="1242">DATE(A9954,B9954,C9954)</f>
        <v>45257</v>
      </c>
      <c r="E9954" s="275">
        <f t="shared" ref="E9954:E9959" si="1243">DATE(A9954,B9954,C9954)</f>
        <v>45257</v>
      </c>
      <c r="F9954" s="481" t="s">
        <v>1753</v>
      </c>
      <c r="G9954" s="174" t="s">
        <v>94</v>
      </c>
      <c r="H9954" s="174" t="str" cm="1">
        <f t="array" ref="H9954">IFERROR(INDEX(INVESTOR_LIST[INVESTOR NAME],MATCH(I9954,INVESTOR_LIST[INVESTOR CODE],0),)," ")</f>
        <v xml:space="preserve"> </v>
      </c>
      <c r="J9954" s="149" t="s">
        <v>190</v>
      </c>
      <c r="K9954" s="218">
        <v>87017.09</v>
      </c>
      <c r="L9954" s="218"/>
      <c r="M9954" s="160"/>
    </row>
    <row r="9955" spans="1:14" x14ac:dyDescent="0.2">
      <c r="A9955" s="133">
        <v>2023</v>
      </c>
      <c r="B9955" s="133">
        <v>11</v>
      </c>
      <c r="C9955" s="133">
        <v>27</v>
      </c>
      <c r="D9955" s="141">
        <f t="shared" si="1242"/>
        <v>45257</v>
      </c>
      <c r="E9955" s="275">
        <f t="shared" si="1243"/>
        <v>45257</v>
      </c>
      <c r="F9955" s="481"/>
      <c r="G9955" s="174" t="s">
        <v>94</v>
      </c>
      <c r="H9955" s="174"/>
      <c r="J9955" s="149" t="s">
        <v>80</v>
      </c>
      <c r="K9955" s="218">
        <v>156.91</v>
      </c>
      <c r="L9955" s="218"/>
      <c r="N9955" s="264"/>
    </row>
    <row r="9956" spans="1:14" x14ac:dyDescent="0.2">
      <c r="A9956" s="133">
        <v>2023</v>
      </c>
      <c r="B9956" s="133">
        <v>11</v>
      </c>
      <c r="C9956" s="133">
        <v>27</v>
      </c>
      <c r="D9956" s="141">
        <f t="shared" si="1242"/>
        <v>45257</v>
      </c>
      <c r="E9956" s="275">
        <f t="shared" si="1243"/>
        <v>45257</v>
      </c>
      <c r="F9956" s="481"/>
      <c r="G9956" s="174" t="s">
        <v>94</v>
      </c>
      <c r="H9956" s="174" t="str" cm="1">
        <f t="array" ref="H9956">IFERROR(INDEX(INVESTOR_LIST[INVESTOR NAME],MATCH(I9956,INVESTOR_LIST[INVESTOR CODE],0),)," ")</f>
        <v xml:space="preserve"> </v>
      </c>
      <c r="J9956" s="149" t="s">
        <v>191</v>
      </c>
      <c r="K9956" s="218"/>
      <c r="L9956" s="218">
        <v>2926.43</v>
      </c>
      <c r="N9956" s="264"/>
    </row>
    <row r="9957" spans="1:14" x14ac:dyDescent="0.2">
      <c r="A9957" s="163">
        <v>2023</v>
      </c>
      <c r="B9957" s="163">
        <v>11</v>
      </c>
      <c r="C9957" s="163">
        <v>27</v>
      </c>
      <c r="D9957" s="280">
        <f t="shared" si="1242"/>
        <v>45257</v>
      </c>
      <c r="E9957" s="281">
        <f t="shared" si="1243"/>
        <v>45257</v>
      </c>
      <c r="F9957" s="480"/>
      <c r="G9957" s="221" t="s">
        <v>94</v>
      </c>
      <c r="H9957" s="145" t="str" cm="1">
        <f t="array" ref="H9957">IFERROR(INDEX(INVESTOR_LIST[INVESTOR NAME],MATCH(I9957,INVESTOR_LIST[INVESTOR CODE],0),)," ")</f>
        <v xml:space="preserve"> </v>
      </c>
      <c r="I9957" s="145"/>
      <c r="J9957" s="163" t="s">
        <v>79</v>
      </c>
      <c r="K9957" s="219"/>
      <c r="L9957" s="219">
        <v>84247.57</v>
      </c>
      <c r="N9957" s="264"/>
    </row>
    <row r="9958" spans="1:14" x14ac:dyDescent="0.2">
      <c r="A9958" s="168">
        <v>2023</v>
      </c>
      <c r="B9958" s="168">
        <v>11</v>
      </c>
      <c r="C9958" s="168">
        <v>26</v>
      </c>
      <c r="D9958" s="141">
        <f t="shared" si="1242"/>
        <v>45256</v>
      </c>
      <c r="E9958" s="275">
        <f t="shared" si="1243"/>
        <v>45256</v>
      </c>
      <c r="F9958" s="479" t="s">
        <v>1757</v>
      </c>
      <c r="G9958" s="220" t="s">
        <v>74</v>
      </c>
      <c r="H9958" s="220" t="str" cm="1">
        <f t="array" ref="H9958">IFERROR(INDEX(INVESTOR_LIST[INVESTOR NAME],MATCH(I9958,INVESTOR_LIST[INVESTOR CODE],0),)," ")</f>
        <v xml:space="preserve"> </v>
      </c>
      <c r="I9958" s="142"/>
      <c r="J9958" s="143" t="s">
        <v>52</v>
      </c>
      <c r="K9958" s="226">
        <v>120857.06</v>
      </c>
      <c r="L9958" s="226"/>
      <c r="N9958" s="264"/>
    </row>
    <row r="9959" spans="1:14" x14ac:dyDescent="0.2">
      <c r="A9959" s="163">
        <v>2023</v>
      </c>
      <c r="B9959" s="163">
        <v>11</v>
      </c>
      <c r="C9959" s="163">
        <v>26</v>
      </c>
      <c r="D9959" s="280">
        <f t="shared" si="1242"/>
        <v>45256</v>
      </c>
      <c r="E9959" s="281">
        <f t="shared" si="1243"/>
        <v>45256</v>
      </c>
      <c r="F9959" s="480"/>
      <c r="G9959" s="221" t="s">
        <v>74</v>
      </c>
      <c r="H9959" s="221" t="str" cm="1">
        <f t="array" ref="H9959">IFERROR(INDEX(INVESTOR_LIST[INVESTOR NAME],MATCH(I9959,INVESTOR_LIST[INVESTOR CODE],0),)," ")</f>
        <v xml:space="preserve"> </v>
      </c>
      <c r="I9959" s="145"/>
      <c r="J9959" s="146" t="s">
        <v>190</v>
      </c>
      <c r="K9959" s="219"/>
      <c r="L9959" s="219">
        <v>120857.06</v>
      </c>
      <c r="N9959" s="264"/>
    </row>
    <row r="9960" spans="1:14" x14ac:dyDescent="0.2">
      <c r="A9960" s="168">
        <v>2023</v>
      </c>
      <c r="B9960" s="168">
        <v>11</v>
      </c>
      <c r="C9960" s="168">
        <v>28</v>
      </c>
      <c r="D9960" s="141">
        <f t="shared" ref="D9960:D9979" si="1244">DATE(A9960,B9960,C9960)</f>
        <v>45258</v>
      </c>
      <c r="E9960" s="275">
        <f t="shared" ref="E9960:E9979" si="1245">DATE(A9960,B9960,C9960)</f>
        <v>45258</v>
      </c>
      <c r="F9960" s="479" t="s">
        <v>1757</v>
      </c>
      <c r="G9960" s="220" t="s">
        <v>74</v>
      </c>
      <c r="H9960" s="220" t="str" cm="1">
        <f t="array" ref="H9960">IFERROR(INDEX(INVESTOR_LIST[INVESTOR NAME],MATCH(I9960,INVESTOR_LIST[INVESTOR CODE],0),)," ")</f>
        <v xml:space="preserve"> </v>
      </c>
      <c r="I9960" s="142"/>
      <c r="J9960" s="143" t="s">
        <v>52</v>
      </c>
      <c r="K9960" s="226">
        <v>1452420.43</v>
      </c>
      <c r="L9960" s="226"/>
    </row>
    <row r="9961" spans="1:14" x14ac:dyDescent="0.2">
      <c r="A9961" s="163">
        <v>2023</v>
      </c>
      <c r="B9961" s="163">
        <v>11</v>
      </c>
      <c r="C9961" s="163">
        <v>28</v>
      </c>
      <c r="D9961" s="280">
        <f t="shared" si="1244"/>
        <v>45258</v>
      </c>
      <c r="E9961" s="281">
        <f t="shared" si="1245"/>
        <v>45258</v>
      </c>
      <c r="F9961" s="480"/>
      <c r="G9961" s="221" t="s">
        <v>74</v>
      </c>
      <c r="H9961" s="221" t="str" cm="1">
        <f t="array" ref="H9961">IFERROR(INDEX(INVESTOR_LIST[INVESTOR NAME],MATCH(I9961,INVESTOR_LIST[INVESTOR CODE],0),)," ")</f>
        <v xml:space="preserve"> </v>
      </c>
      <c r="I9961" s="145"/>
      <c r="J9961" s="146" t="s">
        <v>190</v>
      </c>
      <c r="K9961" s="219"/>
      <c r="L9961" s="219">
        <v>1452420.43</v>
      </c>
    </row>
    <row r="9962" spans="1:14" x14ac:dyDescent="0.2">
      <c r="A9962" s="168">
        <v>2023</v>
      </c>
      <c r="B9962" s="168">
        <v>11</v>
      </c>
      <c r="C9962" s="168">
        <v>28</v>
      </c>
      <c r="D9962" s="141">
        <f t="shared" si="1244"/>
        <v>45258</v>
      </c>
      <c r="E9962" s="275">
        <f t="shared" si="1245"/>
        <v>45258</v>
      </c>
      <c r="F9962" s="479" t="s">
        <v>1833</v>
      </c>
      <c r="G9962" s="220" t="s">
        <v>74</v>
      </c>
      <c r="H9962" s="220"/>
      <c r="I9962" s="142"/>
      <c r="J9962" s="143" t="s">
        <v>52</v>
      </c>
      <c r="K9962" s="226">
        <v>36000</v>
      </c>
      <c r="L9962" s="226"/>
    </row>
    <row r="9963" spans="1:14" x14ac:dyDescent="0.2">
      <c r="A9963" s="133">
        <v>2023</v>
      </c>
      <c r="B9963" s="133">
        <v>11</v>
      </c>
      <c r="C9963" s="133">
        <v>28</v>
      </c>
      <c r="D9963" s="141">
        <f t="shared" ref="D9963" si="1246">DATE(A9963,B9963,C9963)</f>
        <v>45258</v>
      </c>
      <c r="E9963" s="275">
        <f t="shared" ref="E9963" si="1247">DATE(A9963,B9963,C9963)</f>
        <v>45258</v>
      </c>
      <c r="F9963" s="481"/>
      <c r="G9963" s="174" t="s">
        <v>74</v>
      </c>
      <c r="H9963" s="174"/>
      <c r="J9963" s="149" t="s">
        <v>61</v>
      </c>
      <c r="K9963" s="218">
        <v>4000</v>
      </c>
      <c r="L9963" s="218"/>
    </row>
    <row r="9964" spans="1:14" x14ac:dyDescent="0.2">
      <c r="A9964" s="163">
        <v>2023</v>
      </c>
      <c r="B9964" s="163">
        <v>11</v>
      </c>
      <c r="C9964" s="163">
        <v>28</v>
      </c>
      <c r="D9964" s="280">
        <f t="shared" si="1244"/>
        <v>45258</v>
      </c>
      <c r="E9964" s="281">
        <f t="shared" si="1245"/>
        <v>45258</v>
      </c>
      <c r="F9964" s="480"/>
      <c r="G9964" s="221" t="s">
        <v>74</v>
      </c>
      <c r="H9964" s="221" t="str" cm="1">
        <f t="array" ref="H9964">IFERROR(INDEX(INVESTOR_LIST[INVESTOR NAME],MATCH(I9964,INVESTOR_LIST[INVESTOR CODE],0),)," ")</f>
        <v xml:space="preserve"> </v>
      </c>
      <c r="I9964" s="145" t="s">
        <v>348</v>
      </c>
      <c r="J9964" s="146" t="s">
        <v>133</v>
      </c>
      <c r="K9964" s="219"/>
      <c r="L9964" s="219">
        <v>40000</v>
      </c>
    </row>
    <row r="9965" spans="1:14" x14ac:dyDescent="0.2">
      <c r="A9965" s="168">
        <v>2023</v>
      </c>
      <c r="B9965" s="168">
        <v>11</v>
      </c>
      <c r="C9965" s="168">
        <v>28</v>
      </c>
      <c r="D9965" s="141">
        <f t="shared" ref="D9965:D9969" si="1248">DATE(A9965,B9965,C9965)</f>
        <v>45258</v>
      </c>
      <c r="E9965" s="275">
        <f t="shared" ref="E9965:E9969" si="1249">DATE(A9965,B9965,C9965)</f>
        <v>45258</v>
      </c>
      <c r="F9965" s="479" t="s">
        <v>1833</v>
      </c>
      <c r="G9965" s="220" t="s">
        <v>74</v>
      </c>
      <c r="H9965" s="220"/>
      <c r="I9965" s="142"/>
      <c r="J9965" s="143" t="s">
        <v>52</v>
      </c>
      <c r="K9965" s="226">
        <v>36000</v>
      </c>
      <c r="L9965" s="226"/>
    </row>
    <row r="9966" spans="1:14" x14ac:dyDescent="0.2">
      <c r="A9966" s="133">
        <v>2023</v>
      </c>
      <c r="B9966" s="133">
        <v>11</v>
      </c>
      <c r="C9966" s="133">
        <v>28</v>
      </c>
      <c r="D9966" s="141">
        <f t="shared" si="1248"/>
        <v>45258</v>
      </c>
      <c r="E9966" s="275">
        <f t="shared" si="1249"/>
        <v>45258</v>
      </c>
      <c r="F9966" s="481"/>
      <c r="G9966" s="174" t="s">
        <v>74</v>
      </c>
      <c r="H9966" s="174"/>
      <c r="J9966" s="149" t="s">
        <v>61</v>
      </c>
      <c r="K9966" s="218">
        <v>4000</v>
      </c>
      <c r="L9966" s="218"/>
    </row>
    <row r="9967" spans="1:14" x14ac:dyDescent="0.2">
      <c r="A9967" s="163">
        <v>2023</v>
      </c>
      <c r="B9967" s="163">
        <v>11</v>
      </c>
      <c r="C9967" s="163">
        <v>28</v>
      </c>
      <c r="D9967" s="280">
        <f t="shared" si="1248"/>
        <v>45258</v>
      </c>
      <c r="E9967" s="281">
        <f t="shared" si="1249"/>
        <v>45258</v>
      </c>
      <c r="F9967" s="480"/>
      <c r="G9967" s="221" t="s">
        <v>74</v>
      </c>
      <c r="H9967" s="221" t="str" cm="1">
        <f t="array" ref="H9967">IFERROR(INDEX(INVESTOR_LIST[INVESTOR NAME],MATCH(I9967,INVESTOR_LIST[INVESTOR CODE],0),)," ")</f>
        <v xml:space="preserve"> </v>
      </c>
      <c r="I9967" s="145" t="s">
        <v>348</v>
      </c>
      <c r="J9967" s="146" t="s">
        <v>133</v>
      </c>
      <c r="K9967" s="219"/>
      <c r="L9967" s="219">
        <v>40000</v>
      </c>
    </row>
    <row r="9968" spans="1:14" x14ac:dyDescent="0.2">
      <c r="A9968" s="168">
        <v>2023</v>
      </c>
      <c r="B9968" s="168">
        <v>11</v>
      </c>
      <c r="C9968" s="168">
        <v>29</v>
      </c>
      <c r="D9968" s="141">
        <f t="shared" si="1248"/>
        <v>45259</v>
      </c>
      <c r="E9968" s="275">
        <f t="shared" si="1249"/>
        <v>45259</v>
      </c>
      <c r="F9968" s="479" t="s">
        <v>1757</v>
      </c>
      <c r="G9968" s="220" t="s">
        <v>74</v>
      </c>
      <c r="H9968" s="220" t="str" cm="1">
        <f t="array" ref="H9968">IFERROR(INDEX(INVESTOR_LIST[INVESTOR NAME],MATCH(I9968,INVESTOR_LIST[INVESTOR CODE],0),)," ")</f>
        <v xml:space="preserve"> </v>
      </c>
      <c r="I9968" s="142"/>
      <c r="J9968" s="143" t="s">
        <v>52</v>
      </c>
      <c r="K9968" s="226">
        <v>87017.09</v>
      </c>
      <c r="L9968" s="226"/>
    </row>
    <row r="9969" spans="1:14" x14ac:dyDescent="0.2">
      <c r="A9969" s="163">
        <v>2023</v>
      </c>
      <c r="B9969" s="163">
        <v>11</v>
      </c>
      <c r="C9969" s="163">
        <v>29</v>
      </c>
      <c r="D9969" s="280">
        <f t="shared" si="1248"/>
        <v>45259</v>
      </c>
      <c r="E9969" s="281">
        <f t="shared" si="1249"/>
        <v>45259</v>
      </c>
      <c r="F9969" s="480"/>
      <c r="G9969" s="221" t="s">
        <v>74</v>
      </c>
      <c r="H9969" s="221" t="str" cm="1">
        <f t="array" ref="H9969">IFERROR(INDEX(INVESTOR_LIST[INVESTOR NAME],MATCH(I9969,INVESTOR_LIST[INVESTOR CODE],0),)," ")</f>
        <v xml:space="preserve"> </v>
      </c>
      <c r="I9969" s="145"/>
      <c r="J9969" s="146" t="s">
        <v>190</v>
      </c>
      <c r="K9969" s="219"/>
      <c r="L9969" s="219">
        <v>87017.09</v>
      </c>
    </row>
    <row r="9970" spans="1:14" x14ac:dyDescent="0.2">
      <c r="A9970" s="168">
        <v>2023</v>
      </c>
      <c r="B9970" s="133">
        <v>11</v>
      </c>
      <c r="C9970" s="133">
        <v>29</v>
      </c>
      <c r="D9970" s="141">
        <f t="shared" si="1244"/>
        <v>45259</v>
      </c>
      <c r="E9970" s="275">
        <f t="shared" si="1245"/>
        <v>45259</v>
      </c>
      <c r="F9970" s="479" t="s">
        <v>1831</v>
      </c>
      <c r="G9970" s="220" t="s">
        <v>74</v>
      </c>
      <c r="H9970" s="220" t="str" cm="1">
        <f t="array" ref="H9970">IFERROR(INDEX(INVESTOR_LIST[INVESTOR NAME],MATCH(I9970,INVESTOR_LIST[INVESTOR CODE],0),)," ")</f>
        <v xml:space="preserve"> </v>
      </c>
      <c r="I9970" s="142" t="s">
        <v>348</v>
      </c>
      <c r="J9970" s="143" t="s">
        <v>184</v>
      </c>
      <c r="K9970" s="226">
        <v>2400000</v>
      </c>
      <c r="L9970" s="226"/>
    </row>
    <row r="9971" spans="1:14" x14ac:dyDescent="0.2">
      <c r="A9971" s="133">
        <v>2023</v>
      </c>
      <c r="B9971" s="133">
        <v>11</v>
      </c>
      <c r="C9971" s="133">
        <v>29</v>
      </c>
      <c r="D9971" s="141">
        <f t="shared" si="1244"/>
        <v>45259</v>
      </c>
      <c r="E9971" s="275">
        <f t="shared" si="1245"/>
        <v>45259</v>
      </c>
      <c r="F9971" s="481"/>
      <c r="G9971" s="174" t="s">
        <v>74</v>
      </c>
      <c r="H9971" s="174"/>
      <c r="J9971" s="149" t="s">
        <v>61</v>
      </c>
      <c r="K9971" s="218">
        <v>115</v>
      </c>
      <c r="L9971" s="218"/>
    </row>
    <row r="9972" spans="1:14" x14ac:dyDescent="0.2">
      <c r="A9972" s="163">
        <v>2023</v>
      </c>
      <c r="B9972" s="163">
        <v>11</v>
      </c>
      <c r="C9972" s="163">
        <v>29</v>
      </c>
      <c r="D9972" s="280">
        <f t="shared" si="1244"/>
        <v>45259</v>
      </c>
      <c r="E9972" s="281">
        <f t="shared" si="1245"/>
        <v>45259</v>
      </c>
      <c r="F9972" s="480"/>
      <c r="G9972" s="221" t="s">
        <v>74</v>
      </c>
      <c r="H9972" s="221" t="str" cm="1">
        <f t="array" ref="H9972">IFERROR(INDEX(INVESTOR_LIST[INVESTOR NAME],MATCH(I9972,INVESTOR_LIST[INVESTOR CODE],0),)," ")</f>
        <v xml:space="preserve"> </v>
      </c>
      <c r="I9972" s="145" t="s">
        <v>348</v>
      </c>
      <c r="J9972" s="146" t="s">
        <v>52</v>
      </c>
      <c r="K9972" s="219"/>
      <c r="L9972" s="219">
        <v>2400115</v>
      </c>
    </row>
    <row r="9973" spans="1:14" ht="11.25" customHeight="1" x14ac:dyDescent="0.2">
      <c r="A9973" s="168">
        <v>2023</v>
      </c>
      <c r="B9973" s="168">
        <v>11</v>
      </c>
      <c r="C9973" s="168">
        <v>29</v>
      </c>
      <c r="D9973" s="141">
        <f t="shared" si="1244"/>
        <v>45259</v>
      </c>
      <c r="E9973" s="275">
        <f t="shared" si="1245"/>
        <v>45259</v>
      </c>
      <c r="F9973" s="479" t="s">
        <v>1828</v>
      </c>
      <c r="G9973" s="220" t="s">
        <v>74</v>
      </c>
      <c r="H9973" s="142" t="str" cm="1">
        <f t="array" ref="H9973">IFERROR(INDEX(INVESTOR_LIST[INVESTOR NAME],MATCH(I9973,INVESTOR_LIST[INVESTOR CODE],0),)," ")</f>
        <v>EKUSH WEALTH MANAGEMENT LIMITED EMPLOYEES CONTRIBUTORY PROVIDENT FUND</v>
      </c>
      <c r="I9973" s="142" t="s">
        <v>1299</v>
      </c>
      <c r="J9973" s="168" t="s">
        <v>13</v>
      </c>
      <c r="K9973" s="218">
        <v>213220</v>
      </c>
      <c r="L9973" s="226"/>
    </row>
    <row r="9974" spans="1:14" ht="11.25" customHeight="1" x14ac:dyDescent="0.2">
      <c r="A9974" s="133">
        <v>2023</v>
      </c>
      <c r="B9974" s="133">
        <v>11</v>
      </c>
      <c r="C9974" s="133">
        <v>29</v>
      </c>
      <c r="D9974" s="141">
        <f t="shared" si="1244"/>
        <v>45259</v>
      </c>
      <c r="E9974" s="275">
        <f t="shared" si="1245"/>
        <v>45259</v>
      </c>
      <c r="F9974" s="481"/>
      <c r="G9974" s="174" t="s">
        <v>74</v>
      </c>
      <c r="H9974" s="148" t="str" cm="1">
        <f t="array" ref="H9974">IFERROR(INDEX(INVESTOR_LIST[INVESTOR NAME],MATCH(I9974,INVESTOR_LIST[INVESTOR CODE],0),)," ")</f>
        <v>EKUSH WEALTH MANAGEMENT LIMITED EMPLOYEES CONTRIBUTORY PROVIDENT FUND</v>
      </c>
      <c r="I9974" s="148" t="s">
        <v>1299</v>
      </c>
      <c r="J9974" s="133" t="s">
        <v>53</v>
      </c>
      <c r="K9974" s="218">
        <v>51380</v>
      </c>
      <c r="L9974" s="133"/>
    </row>
    <row r="9975" spans="1:14" ht="11.25" customHeight="1" x14ac:dyDescent="0.2">
      <c r="A9975" s="163">
        <v>2023</v>
      </c>
      <c r="B9975" s="163">
        <v>11</v>
      </c>
      <c r="C9975" s="163">
        <v>29</v>
      </c>
      <c r="D9975" s="280">
        <f t="shared" si="1244"/>
        <v>45259</v>
      </c>
      <c r="E9975" s="281">
        <f t="shared" si="1245"/>
        <v>45259</v>
      </c>
      <c r="F9975" s="480"/>
      <c r="G9975" s="221" t="s">
        <v>74</v>
      </c>
      <c r="H9975" s="145" t="str" cm="1">
        <f t="array" ref="H9975">IFERROR(INDEX(INVESTOR_LIST[INVESTOR NAME],MATCH(I9975,INVESTOR_LIST[INVESTOR CODE],0),)," ")</f>
        <v>EKUSH WEALTH MANAGEMENT LIMITED EMPLOYEES CONTRIBUTORY PROVIDENT FUND</v>
      </c>
      <c r="I9975" s="145" t="s">
        <v>1299</v>
      </c>
      <c r="J9975" s="163" t="s">
        <v>52</v>
      </c>
      <c r="K9975" s="219"/>
      <c r="L9975" s="219">
        <v>264600</v>
      </c>
    </row>
    <row r="9976" spans="1:14" x14ac:dyDescent="0.2">
      <c r="A9976" s="133">
        <v>2023</v>
      </c>
      <c r="B9976" s="133">
        <v>11</v>
      </c>
      <c r="C9976" s="133">
        <v>29</v>
      </c>
      <c r="D9976" s="141">
        <f t="shared" si="1244"/>
        <v>45259</v>
      </c>
      <c r="E9976" s="275">
        <f t="shared" si="1245"/>
        <v>45259</v>
      </c>
      <c r="F9976" s="481" t="s">
        <v>1753</v>
      </c>
      <c r="G9976" s="174" t="s">
        <v>94</v>
      </c>
      <c r="H9976" s="174" t="str" cm="1">
        <f t="array" ref="H9976">IFERROR(INDEX(INVESTOR_LIST[INVESTOR NAME],MATCH(I9976,INVESTOR_LIST[INVESTOR CODE],0),)," ")</f>
        <v xml:space="preserve"> </v>
      </c>
      <c r="J9976" s="149" t="s">
        <v>190</v>
      </c>
      <c r="K9976" s="218">
        <v>1208570.6499999999</v>
      </c>
      <c r="L9976" s="218"/>
      <c r="M9976" s="160"/>
    </row>
    <row r="9977" spans="1:14" x14ac:dyDescent="0.2">
      <c r="A9977" s="133">
        <v>2023</v>
      </c>
      <c r="B9977" s="133">
        <v>11</v>
      </c>
      <c r="C9977" s="133">
        <v>29</v>
      </c>
      <c r="D9977" s="141">
        <f t="shared" si="1244"/>
        <v>45259</v>
      </c>
      <c r="E9977" s="275">
        <f t="shared" si="1245"/>
        <v>45259</v>
      </c>
      <c r="F9977" s="481"/>
      <c r="G9977" s="174" t="s">
        <v>94</v>
      </c>
      <c r="H9977" s="174"/>
      <c r="J9977" s="149" t="s">
        <v>80</v>
      </c>
      <c r="K9977" s="218">
        <v>2179.35</v>
      </c>
      <c r="L9977" s="218"/>
      <c r="N9977" s="264"/>
    </row>
    <row r="9978" spans="1:14" x14ac:dyDescent="0.2">
      <c r="A9978" s="133">
        <v>2023</v>
      </c>
      <c r="B9978" s="133">
        <v>11</v>
      </c>
      <c r="C9978" s="133">
        <v>29</v>
      </c>
      <c r="D9978" s="141">
        <f t="shared" si="1244"/>
        <v>45259</v>
      </c>
      <c r="E9978" s="275">
        <f t="shared" si="1245"/>
        <v>45259</v>
      </c>
      <c r="F9978" s="481"/>
      <c r="G9978" s="174" t="s">
        <v>94</v>
      </c>
      <c r="H9978" s="174" t="str" cm="1">
        <f t="array" ref="H9978">IFERROR(INDEX(INVESTOR_LIST[INVESTOR NAME],MATCH(I9978,INVESTOR_LIST[INVESTOR CODE],0),)," ")</f>
        <v xml:space="preserve"> </v>
      </c>
      <c r="J9978" s="149" t="s">
        <v>191</v>
      </c>
      <c r="K9978" s="218"/>
      <c r="L9978" s="218">
        <v>40644.85</v>
      </c>
      <c r="N9978" s="264"/>
    </row>
    <row r="9979" spans="1:14" x14ac:dyDescent="0.2">
      <c r="A9979" s="163">
        <v>2023</v>
      </c>
      <c r="B9979" s="163">
        <v>11</v>
      </c>
      <c r="C9979" s="163">
        <v>29</v>
      </c>
      <c r="D9979" s="280">
        <f t="shared" si="1244"/>
        <v>45259</v>
      </c>
      <c r="E9979" s="281">
        <f t="shared" si="1245"/>
        <v>45259</v>
      </c>
      <c r="F9979" s="480"/>
      <c r="G9979" s="221" t="s">
        <v>94</v>
      </c>
      <c r="H9979" s="145" t="str" cm="1">
        <f t="array" ref="H9979">IFERROR(INDEX(INVESTOR_LIST[INVESTOR NAME],MATCH(I9979,INVESTOR_LIST[INVESTOR CODE],0),)," ")</f>
        <v xml:space="preserve"> </v>
      </c>
      <c r="I9979" s="145"/>
      <c r="J9979" s="163" t="s">
        <v>79</v>
      </c>
      <c r="K9979" s="219"/>
      <c r="L9979" s="219">
        <v>1170105.1499999999</v>
      </c>
      <c r="N9979" s="264"/>
    </row>
    <row r="9980" spans="1:14" ht="11.25" customHeight="1" x14ac:dyDescent="0.2">
      <c r="A9980" s="168">
        <v>2023</v>
      </c>
      <c r="B9980" s="168">
        <v>11</v>
      </c>
      <c r="C9980" s="168">
        <v>30</v>
      </c>
      <c r="D9980" s="141">
        <f t="shared" ref="D9980:D10012" si="1250">DATE(A9980,B9980,C9980)</f>
        <v>45260</v>
      </c>
      <c r="E9980" s="275">
        <f t="shared" ref="E9980:E10012" si="1251">DATE(A9980,B9980,C9980)</f>
        <v>45260</v>
      </c>
      <c r="F9980" s="479" t="s">
        <v>1310</v>
      </c>
      <c r="G9980" s="220" t="s">
        <v>74</v>
      </c>
      <c r="H9980" s="142" t="str" cm="1">
        <f t="array" ref="H9980">IFERROR(INDEX(INVESTOR_LIST[INVESTOR NAME],MATCH(I9980,INVESTOR_LIST[INVESTOR CODE],0),)," ")</f>
        <v xml:space="preserve"> </v>
      </c>
      <c r="I9980" s="142"/>
      <c r="J9980" s="168" t="s">
        <v>13</v>
      </c>
      <c r="K9980" s="218">
        <v>53790</v>
      </c>
      <c r="L9980" s="226"/>
    </row>
    <row r="9981" spans="1:14" ht="11.25" customHeight="1" x14ac:dyDescent="0.2">
      <c r="A9981" s="133">
        <v>2023</v>
      </c>
      <c r="B9981" s="133">
        <v>11</v>
      </c>
      <c r="C9981" s="133">
        <v>30</v>
      </c>
      <c r="D9981" s="141">
        <f t="shared" si="1250"/>
        <v>45260</v>
      </c>
      <c r="E9981" s="275">
        <f t="shared" si="1251"/>
        <v>45260</v>
      </c>
      <c r="F9981" s="481"/>
      <c r="G9981" s="174" t="s">
        <v>74</v>
      </c>
      <c r="H9981" s="148" t="str" cm="1">
        <f t="array" ref="H9981">IFERROR(INDEX(INVESTOR_LIST[INVESTOR NAME],MATCH(I9981,INVESTOR_LIST[INVESTOR CODE],0),)," ")</f>
        <v xml:space="preserve"> </v>
      </c>
      <c r="J9981" s="133" t="s">
        <v>53</v>
      </c>
      <c r="K9981" s="218">
        <v>12963.39</v>
      </c>
      <c r="L9981" s="133"/>
    </row>
    <row r="9982" spans="1:14" ht="11.25" customHeight="1" x14ac:dyDescent="0.2">
      <c r="A9982" s="163">
        <v>2023</v>
      </c>
      <c r="B9982" s="163">
        <v>11</v>
      </c>
      <c r="C9982" s="163">
        <v>30</v>
      </c>
      <c r="D9982" s="280">
        <f t="shared" si="1250"/>
        <v>45260</v>
      </c>
      <c r="E9982" s="281">
        <f t="shared" si="1251"/>
        <v>45260</v>
      </c>
      <c r="F9982" s="480"/>
      <c r="G9982" s="221" t="s">
        <v>74</v>
      </c>
      <c r="H9982" s="145" t="str" cm="1">
        <f t="array" ref="H9982">IFERROR(INDEX(INVESTOR_LIST[INVESTOR NAME],MATCH(I9982,INVESTOR_LIST[INVESTOR CODE],0),)," ")</f>
        <v xml:space="preserve"> </v>
      </c>
      <c r="I9982" s="145"/>
      <c r="J9982" s="163" t="s">
        <v>52</v>
      </c>
      <c r="K9982" s="219"/>
      <c r="L9982" s="219">
        <v>66753.39</v>
      </c>
    </row>
    <row r="9983" spans="1:14" x14ac:dyDescent="0.2">
      <c r="A9983" s="133">
        <v>2023</v>
      </c>
      <c r="B9983" s="133">
        <v>11</v>
      </c>
      <c r="C9983" s="133">
        <v>30</v>
      </c>
      <c r="D9983" s="141">
        <f t="shared" si="1250"/>
        <v>45260</v>
      </c>
      <c r="E9983" s="275">
        <f t="shared" si="1251"/>
        <v>45260</v>
      </c>
      <c r="F9983" s="481" t="s">
        <v>1753</v>
      </c>
      <c r="G9983" s="174" t="s">
        <v>94</v>
      </c>
      <c r="H9983" s="174" t="str" cm="1">
        <f t="array" ref="H9983">IFERROR(INDEX(INVESTOR_LIST[INVESTOR NAME],MATCH(I9983,INVESTOR_LIST[INVESTOR CODE],0),)," ")</f>
        <v xml:space="preserve"> </v>
      </c>
      <c r="J9983" s="149" t="s">
        <v>190</v>
      </c>
      <c r="K9983" s="218">
        <v>2417141.2999999998</v>
      </c>
      <c r="L9983" s="218"/>
      <c r="M9983" s="160"/>
    </row>
    <row r="9984" spans="1:14" x14ac:dyDescent="0.2">
      <c r="A9984" s="133">
        <v>2023</v>
      </c>
      <c r="B9984" s="133">
        <v>11</v>
      </c>
      <c r="C9984" s="133">
        <v>30</v>
      </c>
      <c r="D9984" s="141">
        <f t="shared" si="1250"/>
        <v>45260</v>
      </c>
      <c r="E9984" s="275">
        <f t="shared" si="1251"/>
        <v>45260</v>
      </c>
      <c r="F9984" s="481"/>
      <c r="G9984" s="174" t="s">
        <v>94</v>
      </c>
      <c r="H9984" s="174"/>
      <c r="J9984" s="149" t="s">
        <v>80</v>
      </c>
      <c r="K9984" s="218">
        <v>4358.7</v>
      </c>
      <c r="L9984" s="218"/>
      <c r="N9984" s="264"/>
    </row>
    <row r="9985" spans="1:14" x14ac:dyDescent="0.2">
      <c r="A9985" s="133">
        <v>2023</v>
      </c>
      <c r="B9985" s="133">
        <v>11</v>
      </c>
      <c r="C9985" s="133">
        <v>30</v>
      </c>
      <c r="D9985" s="141">
        <f t="shared" si="1250"/>
        <v>45260</v>
      </c>
      <c r="E9985" s="275">
        <f t="shared" si="1251"/>
        <v>45260</v>
      </c>
      <c r="F9985" s="481"/>
      <c r="G9985" s="174" t="s">
        <v>94</v>
      </c>
      <c r="H9985" s="174" t="str" cm="1">
        <f t="array" ref="H9985">IFERROR(INDEX(INVESTOR_LIST[INVESTOR NAME],MATCH(I9985,INVESTOR_LIST[INVESTOR CODE],0),)," ")</f>
        <v xml:space="preserve"> </v>
      </c>
      <c r="J9985" s="149" t="s">
        <v>191</v>
      </c>
      <c r="K9985" s="218"/>
      <c r="L9985" s="218">
        <v>81289.710000000006</v>
      </c>
      <c r="N9985" s="264"/>
    </row>
    <row r="9986" spans="1:14" x14ac:dyDescent="0.2">
      <c r="A9986" s="163">
        <v>2023</v>
      </c>
      <c r="B9986" s="163">
        <v>11</v>
      </c>
      <c r="C9986" s="163">
        <v>30</v>
      </c>
      <c r="D9986" s="280">
        <f t="shared" si="1250"/>
        <v>45260</v>
      </c>
      <c r="E9986" s="281">
        <f t="shared" si="1251"/>
        <v>45260</v>
      </c>
      <c r="F9986" s="480"/>
      <c r="G9986" s="221" t="s">
        <v>94</v>
      </c>
      <c r="H9986" s="145" t="str" cm="1">
        <f t="array" ref="H9986">IFERROR(INDEX(INVESTOR_LIST[INVESTOR NAME],MATCH(I9986,INVESTOR_LIST[INVESTOR CODE],0),)," ")</f>
        <v xml:space="preserve"> </v>
      </c>
      <c r="I9986" s="145"/>
      <c r="J9986" s="163" t="s">
        <v>79</v>
      </c>
      <c r="K9986" s="219"/>
      <c r="L9986" s="219">
        <v>2340210.29</v>
      </c>
      <c r="N9986" s="264"/>
    </row>
    <row r="9987" spans="1:14" x14ac:dyDescent="0.2">
      <c r="A9987" s="343">
        <v>2023</v>
      </c>
      <c r="B9987" s="343">
        <v>11</v>
      </c>
      <c r="C9987" s="343">
        <v>30</v>
      </c>
      <c r="D9987" s="344">
        <f t="shared" si="1250"/>
        <v>45260</v>
      </c>
      <c r="E9987" s="345">
        <f t="shared" si="1251"/>
        <v>45260</v>
      </c>
      <c r="F9987" s="483" t="s">
        <v>1813</v>
      </c>
      <c r="G9987" s="350" t="s">
        <v>94</v>
      </c>
      <c r="H9987" s="350" t="str" cm="1">
        <f t="array" ref="H9987">IFERROR(INDEX(INVESTOR_LIST[INVESTOR NAME],MATCH(I9987,INVESTOR_LIST[INVESTOR CODE],0),)," ")</f>
        <v xml:space="preserve"> </v>
      </c>
      <c r="I9987" s="352" t="s">
        <v>348</v>
      </c>
      <c r="J9987" s="353" t="s">
        <v>1798</v>
      </c>
      <c r="K9987" s="354">
        <v>16136</v>
      </c>
      <c r="L9987" s="354"/>
    </row>
    <row r="9988" spans="1:14" x14ac:dyDescent="0.2">
      <c r="A9988" s="346">
        <v>2023</v>
      </c>
      <c r="B9988" s="346">
        <v>11</v>
      </c>
      <c r="C9988" s="346">
        <v>30</v>
      </c>
      <c r="D9988" s="344">
        <f t="shared" si="1250"/>
        <v>45260</v>
      </c>
      <c r="E9988" s="345">
        <f t="shared" si="1251"/>
        <v>45260</v>
      </c>
      <c r="F9988" s="484"/>
      <c r="G9988" s="347" t="s">
        <v>94</v>
      </c>
      <c r="H9988" s="347" t="str" cm="1">
        <f t="array" ref="H9988">IFERROR(INDEX(INVESTOR_LIST[INVESTOR NAME],MATCH(I9988,INVESTOR_LIST[INVESTOR CODE],0),)," ")</f>
        <v xml:space="preserve"> </v>
      </c>
      <c r="I9988" s="348" t="s">
        <v>348</v>
      </c>
      <c r="J9988" s="355" t="s">
        <v>1807</v>
      </c>
      <c r="K9988" s="349"/>
      <c r="L9988" s="349">
        <v>16136</v>
      </c>
    </row>
    <row r="9989" spans="1:14" x14ac:dyDescent="0.2">
      <c r="A9989" s="238">
        <v>2023</v>
      </c>
      <c r="B9989" s="238">
        <v>11</v>
      </c>
      <c r="C9989" s="238">
        <v>30</v>
      </c>
      <c r="D9989" s="270">
        <f t="shared" si="1250"/>
        <v>45260</v>
      </c>
      <c r="E9989" s="279">
        <f t="shared" si="1251"/>
        <v>45260</v>
      </c>
      <c r="F9989" s="477" t="s">
        <v>347</v>
      </c>
      <c r="G9989" s="239" t="s">
        <v>94</v>
      </c>
      <c r="H9989" s="239" t="str" cm="1">
        <f t="array" ref="H9989">IFERROR(INDEX(INVESTOR_LIST[INVESTOR NAME],MATCH(I9989,INVESTOR_LIST[INVESTOR CODE],0),)," ")</f>
        <v xml:space="preserve"> </v>
      </c>
      <c r="I9989" s="262" t="s">
        <v>348</v>
      </c>
      <c r="J9989" s="240" t="s">
        <v>82</v>
      </c>
      <c r="K9989" s="241">
        <v>143947.17000000179</v>
      </c>
      <c r="L9989" s="241"/>
    </row>
    <row r="9990" spans="1:14" x14ac:dyDescent="0.2">
      <c r="A9990" s="242">
        <v>2023</v>
      </c>
      <c r="B9990" s="242">
        <v>11</v>
      </c>
      <c r="C9990" s="242">
        <v>30</v>
      </c>
      <c r="D9990" s="270">
        <f t="shared" si="1250"/>
        <v>45260</v>
      </c>
      <c r="E9990" s="279">
        <f t="shared" si="1251"/>
        <v>45260</v>
      </c>
      <c r="F9990" s="478"/>
      <c r="G9990" s="243" t="s">
        <v>94</v>
      </c>
      <c r="H9990" s="243" t="str" cm="1">
        <f t="array" ref="H9990">IFERROR(INDEX(INVESTOR_LIST[INVESTOR NAME],MATCH(I9990,INVESTOR_LIST[INVESTOR CODE],0),)," ")</f>
        <v xml:space="preserve"> </v>
      </c>
      <c r="I9990" s="263" t="s">
        <v>348</v>
      </c>
      <c r="J9990" s="244" t="s">
        <v>108</v>
      </c>
      <c r="K9990" s="245"/>
      <c r="L9990" s="245">
        <v>143947.17000000179</v>
      </c>
    </row>
    <row r="9991" spans="1:14" ht="22.5" x14ac:dyDescent="0.2">
      <c r="A9991" s="246">
        <v>2023</v>
      </c>
      <c r="B9991" s="238">
        <v>11</v>
      </c>
      <c r="C9991" s="238">
        <v>30</v>
      </c>
      <c r="D9991" s="270">
        <f t="shared" si="1250"/>
        <v>45260</v>
      </c>
      <c r="E9991" s="279">
        <f t="shared" si="1251"/>
        <v>45260</v>
      </c>
      <c r="F9991" s="482" t="s">
        <v>148</v>
      </c>
      <c r="G9991" s="247" t="s">
        <v>94</v>
      </c>
      <c r="H9991" s="247" t="str" cm="1">
        <f t="array" ref="H9991">IFERROR(INDEX(INVESTOR_LIST[INVESTOR NAME],MATCH(I9991,INVESTOR_LIST[INVESTOR CODE],0),)," ")</f>
        <v xml:space="preserve"> </v>
      </c>
      <c r="I9991" s="248" t="s">
        <v>348</v>
      </c>
      <c r="J9991" s="249" t="s">
        <v>95</v>
      </c>
      <c r="K9991" s="250">
        <v>2747.2527472527472</v>
      </c>
      <c r="L9991" s="241"/>
    </row>
    <row r="9992" spans="1:14" x14ac:dyDescent="0.2">
      <c r="A9992" s="242">
        <v>2023</v>
      </c>
      <c r="B9992" s="242">
        <v>11</v>
      </c>
      <c r="C9992" s="242">
        <v>30</v>
      </c>
      <c r="D9992" s="270">
        <f t="shared" si="1250"/>
        <v>45260</v>
      </c>
      <c r="E9992" s="279">
        <f t="shared" si="1251"/>
        <v>45260</v>
      </c>
      <c r="F9992" s="478"/>
      <c r="G9992" s="243" t="s">
        <v>94</v>
      </c>
      <c r="H9992" s="243" t="str" cm="1">
        <f t="array" ref="H9992">IFERROR(INDEX(INVESTOR_LIST[INVESTOR NAME],MATCH(I9992,INVESTOR_LIST[INVESTOR CODE],0),)," ")</f>
        <v xml:space="preserve"> </v>
      </c>
      <c r="I9992" s="263" t="s">
        <v>348</v>
      </c>
      <c r="J9992" s="244" t="s">
        <v>63</v>
      </c>
      <c r="K9992" s="245"/>
      <c r="L9992" s="245">
        <v>2747.2527472527472</v>
      </c>
    </row>
    <row r="9993" spans="1:14" x14ac:dyDescent="0.2">
      <c r="A9993" s="246">
        <v>2023</v>
      </c>
      <c r="B9993" s="238">
        <v>11</v>
      </c>
      <c r="C9993" s="238">
        <v>30</v>
      </c>
      <c r="D9993" s="270">
        <f t="shared" si="1250"/>
        <v>45260</v>
      </c>
      <c r="E9993" s="279">
        <f t="shared" si="1251"/>
        <v>45260</v>
      </c>
      <c r="F9993" s="482" t="s">
        <v>137</v>
      </c>
      <c r="G9993" s="247" t="s">
        <v>94</v>
      </c>
      <c r="H9993" s="247" t="str" cm="1">
        <f t="array" ref="H9993">IFERROR(INDEX(INVESTOR_LIST[INVESTOR NAME],MATCH(I9993,INVESTOR_LIST[INVESTOR CODE],0),)," ")</f>
        <v xml:space="preserve"> </v>
      </c>
      <c r="I9993" s="248" t="s">
        <v>348</v>
      </c>
      <c r="J9993" s="249" t="s">
        <v>97</v>
      </c>
      <c r="K9993" s="250">
        <v>58922.192784537474</v>
      </c>
      <c r="L9993" s="252"/>
    </row>
    <row r="9994" spans="1:14" x14ac:dyDescent="0.2">
      <c r="A9994" s="242">
        <v>2023</v>
      </c>
      <c r="B9994" s="242">
        <v>11</v>
      </c>
      <c r="C9994" s="242">
        <v>30</v>
      </c>
      <c r="D9994" s="270">
        <f t="shared" si="1250"/>
        <v>45260</v>
      </c>
      <c r="E9994" s="279">
        <f t="shared" si="1251"/>
        <v>45260</v>
      </c>
      <c r="F9994" s="478"/>
      <c r="G9994" s="243" t="s">
        <v>94</v>
      </c>
      <c r="H9994" s="243" t="str" cm="1">
        <f t="array" ref="H9994">IFERROR(INDEX(INVESTOR_LIST[INVESTOR NAME],MATCH(I9994,INVESTOR_LIST[INVESTOR CODE],0),)," ")</f>
        <v xml:space="preserve"> </v>
      </c>
      <c r="I9994" s="263" t="s">
        <v>348</v>
      </c>
      <c r="J9994" s="244" t="s">
        <v>47</v>
      </c>
      <c r="K9994" s="245"/>
      <c r="L9994" s="245">
        <v>58922.192784537474</v>
      </c>
    </row>
    <row r="9995" spans="1:14" x14ac:dyDescent="0.2">
      <c r="A9995" s="246">
        <v>2023</v>
      </c>
      <c r="B9995" s="238">
        <v>11</v>
      </c>
      <c r="C9995" s="238">
        <v>30</v>
      </c>
      <c r="D9995" s="270">
        <f t="shared" si="1250"/>
        <v>45260</v>
      </c>
      <c r="E9995" s="279">
        <f t="shared" si="1251"/>
        <v>45260</v>
      </c>
      <c r="F9995" s="482" t="s">
        <v>138</v>
      </c>
      <c r="G9995" s="247" t="s">
        <v>94</v>
      </c>
      <c r="H9995" s="247" t="str" cm="1">
        <f t="array" ref="H9995">IFERROR(INDEX(INVESTOR_LIST[INVESTOR NAME],MATCH(I9995,INVESTOR_LIST[INVESTOR CODE],0),)," ")</f>
        <v xml:space="preserve"> </v>
      </c>
      <c r="I9995" s="248" t="s">
        <v>348</v>
      </c>
      <c r="J9995" s="249" t="s">
        <v>100</v>
      </c>
      <c r="K9995" s="250">
        <v>2705.7250238422575</v>
      </c>
      <c r="L9995" s="252"/>
    </row>
    <row r="9996" spans="1:14" x14ac:dyDescent="0.2">
      <c r="A9996" s="242">
        <v>2023</v>
      </c>
      <c r="B9996" s="242">
        <v>11</v>
      </c>
      <c r="C9996" s="242">
        <v>30</v>
      </c>
      <c r="D9996" s="321">
        <f t="shared" si="1250"/>
        <v>45260</v>
      </c>
      <c r="E9996" s="322">
        <f t="shared" si="1251"/>
        <v>45260</v>
      </c>
      <c r="F9996" s="478"/>
      <c r="G9996" s="243" t="s">
        <v>94</v>
      </c>
      <c r="H9996" s="243" t="str" cm="1">
        <f t="array" ref="H9996">IFERROR(INDEX(INVESTOR_LIST[INVESTOR NAME],MATCH(I9996,INVESTOR_LIST[INVESTOR CODE],0),)," ")</f>
        <v xml:space="preserve"> </v>
      </c>
      <c r="I9996" s="263" t="s">
        <v>348</v>
      </c>
      <c r="J9996" s="244" t="s">
        <v>48</v>
      </c>
      <c r="K9996" s="245"/>
      <c r="L9996" s="245">
        <v>2705.7250238422575</v>
      </c>
    </row>
    <row r="9997" spans="1:14" x14ac:dyDescent="0.2">
      <c r="A9997" s="133">
        <v>2023</v>
      </c>
      <c r="B9997" s="133">
        <v>12</v>
      </c>
      <c r="C9997" s="168">
        <v>1</v>
      </c>
      <c r="D9997" s="141">
        <f t="shared" ref="D9997:D9998" si="1252">DATE(A9997,B9997,C9997)</f>
        <v>45261</v>
      </c>
      <c r="E9997" s="275">
        <f t="shared" ref="E9997:E9998" si="1253">DATE(A9997,B9997,C9997)</f>
        <v>45261</v>
      </c>
      <c r="F9997" s="479" t="s">
        <v>1838</v>
      </c>
      <c r="G9997" s="174" t="s">
        <v>94</v>
      </c>
      <c r="H9997" s="148" t="str" cm="1">
        <f t="array" ref="H9997">IFERROR(INDEX(INVESTOR_LIST[INVESTOR NAME],MATCH(I9997,INVESTOR_LIST[INVESTOR CODE],0),)," ")</f>
        <v xml:space="preserve"> </v>
      </c>
      <c r="I9997" s="148" t="s">
        <v>348</v>
      </c>
      <c r="J9997" s="133" t="s">
        <v>133</v>
      </c>
      <c r="K9997" s="172">
        <v>23100</v>
      </c>
    </row>
    <row r="9998" spans="1:14" x14ac:dyDescent="0.2">
      <c r="A9998" s="163">
        <v>2023</v>
      </c>
      <c r="B9998" s="163">
        <v>12</v>
      </c>
      <c r="C9998" s="163">
        <v>1</v>
      </c>
      <c r="D9998" s="141">
        <f t="shared" si="1252"/>
        <v>45261</v>
      </c>
      <c r="E9998" s="275">
        <f t="shared" si="1253"/>
        <v>45261</v>
      </c>
      <c r="F9998" s="480"/>
      <c r="G9998" s="221" t="s">
        <v>94</v>
      </c>
      <c r="H9998" s="145" t="str" cm="1">
        <f t="array" ref="H9998">IFERROR(INDEX(INVESTOR_LIST[INVESTOR NAME],MATCH(I9998,INVESTOR_LIST[INVESTOR CODE],0),)," ")</f>
        <v xml:space="preserve"> </v>
      </c>
      <c r="I9998" s="145" t="s">
        <v>348</v>
      </c>
      <c r="J9998" s="163" t="s">
        <v>152</v>
      </c>
      <c r="K9998" s="219"/>
      <c r="L9998" s="219">
        <v>23100</v>
      </c>
    </row>
    <row r="9999" spans="1:14" x14ac:dyDescent="0.2">
      <c r="A9999" s="168">
        <v>2023</v>
      </c>
      <c r="B9999" s="168">
        <v>12</v>
      </c>
      <c r="C9999" s="168">
        <v>3</v>
      </c>
      <c r="D9999" s="141">
        <f t="shared" si="1250"/>
        <v>45263</v>
      </c>
      <c r="E9999" s="275">
        <f t="shared" si="1251"/>
        <v>45263</v>
      </c>
      <c r="F9999" s="479" t="s">
        <v>1834</v>
      </c>
      <c r="G9999" s="220" t="s">
        <v>74</v>
      </c>
      <c r="H9999" s="220"/>
      <c r="I9999" s="142"/>
      <c r="J9999" s="143" t="s">
        <v>52</v>
      </c>
      <c r="K9999" s="226">
        <v>5202531.75</v>
      </c>
      <c r="L9999" s="226"/>
    </row>
    <row r="10000" spans="1:14" x14ac:dyDescent="0.2">
      <c r="A10000" s="133">
        <v>2023</v>
      </c>
      <c r="B10000" s="133">
        <v>12</v>
      </c>
      <c r="C10000" s="133">
        <v>3</v>
      </c>
      <c r="D10000" s="141">
        <f t="shared" si="1250"/>
        <v>45263</v>
      </c>
      <c r="E10000" s="275">
        <f t="shared" si="1251"/>
        <v>45263</v>
      </c>
      <c r="F10000" s="481"/>
      <c r="G10000" s="174" t="s">
        <v>74</v>
      </c>
      <c r="H10000" s="174"/>
      <c r="J10000" s="149" t="s">
        <v>61</v>
      </c>
      <c r="K10000" s="218">
        <v>3000</v>
      </c>
      <c r="L10000" s="218"/>
    </row>
    <row r="10001" spans="1:17" x14ac:dyDescent="0.2">
      <c r="A10001" s="133">
        <v>2023</v>
      </c>
      <c r="B10001" s="133">
        <v>12</v>
      </c>
      <c r="C10001" s="133">
        <v>3</v>
      </c>
      <c r="D10001" s="141">
        <f t="shared" si="1250"/>
        <v>45263</v>
      </c>
      <c r="E10001" s="275">
        <f t="shared" si="1251"/>
        <v>45263</v>
      </c>
      <c r="F10001" s="481"/>
      <c r="G10001" s="174" t="s">
        <v>74</v>
      </c>
      <c r="H10001" s="174"/>
      <c r="J10001" s="133" t="s">
        <v>133</v>
      </c>
      <c r="K10001" s="218"/>
      <c r="L10001" s="218">
        <v>108315.84</v>
      </c>
      <c r="N10001" s="160"/>
    </row>
    <row r="10002" spans="1:17" x14ac:dyDescent="0.2">
      <c r="A10002" s="163">
        <v>2023</v>
      </c>
      <c r="B10002" s="163">
        <v>12</v>
      </c>
      <c r="C10002" s="163">
        <v>3</v>
      </c>
      <c r="D10002" s="280">
        <f t="shared" si="1250"/>
        <v>45263</v>
      </c>
      <c r="E10002" s="281">
        <f t="shared" si="1251"/>
        <v>45263</v>
      </c>
      <c r="F10002" s="480"/>
      <c r="G10002" s="221" t="s">
        <v>74</v>
      </c>
      <c r="H10002" s="221" t="str" cm="1">
        <f t="array" ref="H10002">IFERROR(INDEX(INVESTOR_LIST[INVESTOR NAME],MATCH(I10002,INVESTOR_LIST[INVESTOR CODE],0),)," ")</f>
        <v xml:space="preserve"> </v>
      </c>
      <c r="I10002" s="145" t="s">
        <v>348</v>
      </c>
      <c r="J10002" s="146" t="s">
        <v>96</v>
      </c>
      <c r="K10002" s="219"/>
      <c r="L10002" s="219">
        <v>5097215.91</v>
      </c>
    </row>
    <row r="10003" spans="1:17" x14ac:dyDescent="0.2">
      <c r="A10003" s="168">
        <v>2023</v>
      </c>
      <c r="B10003" s="168">
        <v>12</v>
      </c>
      <c r="C10003" s="168">
        <v>3</v>
      </c>
      <c r="D10003" s="141">
        <f t="shared" si="1250"/>
        <v>45263</v>
      </c>
      <c r="E10003" s="275">
        <f t="shared" si="1251"/>
        <v>45263</v>
      </c>
      <c r="F10003" s="479" t="s">
        <v>1757</v>
      </c>
      <c r="G10003" s="220" t="s">
        <v>74</v>
      </c>
      <c r="H10003" s="220" t="str" cm="1">
        <f t="array" ref="H10003">IFERROR(INDEX(INVESTOR_LIST[INVESTOR NAME],MATCH(I10003,INVESTOR_LIST[INVESTOR CODE],0),)," ")</f>
        <v xml:space="preserve"> </v>
      </c>
      <c r="I10003" s="142"/>
      <c r="J10003" s="143" t="s">
        <v>52</v>
      </c>
      <c r="K10003" s="226">
        <v>1208570.6499999999</v>
      </c>
      <c r="L10003" s="226"/>
    </row>
    <row r="10004" spans="1:17" x14ac:dyDescent="0.2">
      <c r="A10004" s="163">
        <v>2023</v>
      </c>
      <c r="B10004" s="163">
        <v>12</v>
      </c>
      <c r="C10004" s="163">
        <v>3</v>
      </c>
      <c r="D10004" s="280">
        <f t="shared" si="1250"/>
        <v>45263</v>
      </c>
      <c r="E10004" s="281">
        <f t="shared" si="1251"/>
        <v>45263</v>
      </c>
      <c r="F10004" s="480"/>
      <c r="G10004" s="221" t="s">
        <v>74</v>
      </c>
      <c r="H10004" s="221" t="str" cm="1">
        <f t="array" ref="H10004">IFERROR(INDEX(INVESTOR_LIST[INVESTOR NAME],MATCH(I10004,INVESTOR_LIST[INVESTOR CODE],0),)," ")</f>
        <v xml:space="preserve"> </v>
      </c>
      <c r="I10004" s="145"/>
      <c r="J10004" s="146" t="s">
        <v>190</v>
      </c>
      <c r="K10004" s="219"/>
      <c r="L10004" s="219">
        <v>1208570.6499999999</v>
      </c>
    </row>
    <row r="10005" spans="1:17" x14ac:dyDescent="0.2">
      <c r="A10005" s="133">
        <v>2023</v>
      </c>
      <c r="B10005" s="168">
        <v>12</v>
      </c>
      <c r="C10005" s="168">
        <v>3</v>
      </c>
      <c r="D10005" s="141">
        <f t="shared" si="1250"/>
        <v>45263</v>
      </c>
      <c r="E10005" s="275">
        <f t="shared" si="1251"/>
        <v>45263</v>
      </c>
      <c r="F10005" s="481" t="s">
        <v>982</v>
      </c>
      <c r="G10005" s="174" t="s">
        <v>74</v>
      </c>
      <c r="H10005" s="174" t="str" cm="1">
        <f t="array" ref="H10005">IFERROR(INDEX(INVESTOR_LIST[INVESTOR NAME],MATCH(I10005,INVESTOR_LIST[INVESTOR CODE],0),)," ")</f>
        <v xml:space="preserve"> </v>
      </c>
      <c r="I10005" s="148" t="s">
        <v>348</v>
      </c>
      <c r="J10005" s="149" t="s">
        <v>163</v>
      </c>
      <c r="K10005" s="218">
        <v>6250</v>
      </c>
      <c r="L10005" s="218"/>
    </row>
    <row r="10006" spans="1:17" x14ac:dyDescent="0.2">
      <c r="A10006" s="163">
        <v>2023</v>
      </c>
      <c r="B10006" s="163">
        <v>12</v>
      </c>
      <c r="C10006" s="163">
        <v>3</v>
      </c>
      <c r="D10006" s="280">
        <f t="shared" si="1250"/>
        <v>45263</v>
      </c>
      <c r="E10006" s="281">
        <f t="shared" si="1251"/>
        <v>45263</v>
      </c>
      <c r="F10006" s="480"/>
      <c r="G10006" s="221" t="s">
        <v>74</v>
      </c>
      <c r="H10006" s="221" t="str" cm="1">
        <f t="array" ref="H10006">IFERROR(INDEX(INVESTOR_LIST[INVESTOR NAME],MATCH(I10006,INVESTOR_LIST[INVESTOR CODE],0),)," ")</f>
        <v xml:space="preserve"> </v>
      </c>
      <c r="I10006" s="145" t="s">
        <v>348</v>
      </c>
      <c r="J10006" s="146" t="s">
        <v>52</v>
      </c>
      <c r="K10006" s="219"/>
      <c r="L10006" s="219">
        <v>6250</v>
      </c>
    </row>
    <row r="10007" spans="1:17" x14ac:dyDescent="0.2">
      <c r="A10007" s="133">
        <v>2023</v>
      </c>
      <c r="B10007" s="133">
        <v>12</v>
      </c>
      <c r="C10007" s="133">
        <v>4</v>
      </c>
      <c r="D10007" s="141">
        <f t="shared" si="1250"/>
        <v>45264</v>
      </c>
      <c r="E10007" s="275">
        <f t="shared" si="1251"/>
        <v>45264</v>
      </c>
      <c r="F10007" s="481" t="s">
        <v>1753</v>
      </c>
      <c r="G10007" s="174" t="s">
        <v>94</v>
      </c>
      <c r="H10007" s="174" t="str" cm="1">
        <f t="array" ref="H10007">IFERROR(INDEX(INVESTOR_LIST[INVESTOR NAME],MATCH(I10007,INVESTOR_LIST[INVESTOR CODE],0),)," ")</f>
        <v xml:space="preserve"> </v>
      </c>
      <c r="J10007" s="149" t="s">
        <v>190</v>
      </c>
      <c r="K10007" s="218">
        <v>29083.55</v>
      </c>
      <c r="L10007" s="218"/>
      <c r="M10007" s="160"/>
    </row>
    <row r="10008" spans="1:17" x14ac:dyDescent="0.2">
      <c r="A10008" s="133">
        <v>2023</v>
      </c>
      <c r="B10008" s="133">
        <v>12</v>
      </c>
      <c r="C10008" s="133">
        <v>4</v>
      </c>
      <c r="D10008" s="141">
        <f t="shared" si="1250"/>
        <v>45264</v>
      </c>
      <c r="E10008" s="275">
        <f t="shared" si="1251"/>
        <v>45264</v>
      </c>
      <c r="F10008" s="481"/>
      <c r="G10008" s="174" t="s">
        <v>94</v>
      </c>
      <c r="H10008" s="174"/>
      <c r="J10008" s="149" t="s">
        <v>80</v>
      </c>
      <c r="K10008" s="218">
        <v>52.45</v>
      </c>
      <c r="L10008" s="218"/>
      <c r="N10008" s="264"/>
    </row>
    <row r="10009" spans="1:17" x14ac:dyDescent="0.2">
      <c r="A10009" s="133">
        <v>2023</v>
      </c>
      <c r="B10009" s="133">
        <v>12</v>
      </c>
      <c r="C10009" s="133">
        <v>4</v>
      </c>
      <c r="D10009" s="141">
        <f t="shared" si="1250"/>
        <v>45264</v>
      </c>
      <c r="E10009" s="275">
        <f t="shared" si="1251"/>
        <v>45264</v>
      </c>
      <c r="F10009" s="481"/>
      <c r="G10009" s="174" t="s">
        <v>94</v>
      </c>
      <c r="H10009" s="174" t="str" cm="1">
        <f t="array" ref="H10009">IFERROR(INDEX(INVESTOR_LIST[INVESTOR NAME],MATCH(I10009,INVESTOR_LIST[INVESTOR CODE],0),)," ")</f>
        <v xml:space="preserve"> </v>
      </c>
      <c r="J10009" s="149" t="s">
        <v>191</v>
      </c>
      <c r="K10009" s="218"/>
      <c r="L10009" s="218">
        <v>1053.48</v>
      </c>
      <c r="N10009" s="264"/>
    </row>
    <row r="10010" spans="1:17" x14ac:dyDescent="0.2">
      <c r="A10010" s="163">
        <v>2023</v>
      </c>
      <c r="B10010" s="163">
        <v>12</v>
      </c>
      <c r="C10010" s="163">
        <v>4</v>
      </c>
      <c r="D10010" s="280">
        <f t="shared" si="1250"/>
        <v>45264</v>
      </c>
      <c r="E10010" s="281">
        <f t="shared" si="1251"/>
        <v>45264</v>
      </c>
      <c r="F10010" s="480"/>
      <c r="G10010" s="221" t="s">
        <v>94</v>
      </c>
      <c r="H10010" s="145" t="str" cm="1">
        <f t="array" ref="H10010">IFERROR(INDEX(INVESTOR_LIST[INVESTOR NAME],MATCH(I10010,INVESTOR_LIST[INVESTOR CODE],0),)," ")</f>
        <v xml:space="preserve"> </v>
      </c>
      <c r="I10010" s="145"/>
      <c r="J10010" s="163" t="s">
        <v>79</v>
      </c>
      <c r="K10010" s="219"/>
      <c r="L10010" s="219">
        <v>28082.52</v>
      </c>
      <c r="N10010" s="264"/>
    </row>
    <row r="10011" spans="1:17" x14ac:dyDescent="0.2">
      <c r="A10011" s="133">
        <v>2023</v>
      </c>
      <c r="B10011" s="133">
        <v>12</v>
      </c>
      <c r="C10011" s="133">
        <v>4</v>
      </c>
      <c r="D10011" s="141">
        <f t="shared" si="1250"/>
        <v>45264</v>
      </c>
      <c r="E10011" s="275">
        <f t="shared" si="1251"/>
        <v>45264</v>
      </c>
      <c r="F10011" s="481" t="s">
        <v>1835</v>
      </c>
      <c r="G10011" s="174" t="s">
        <v>74</v>
      </c>
      <c r="H10011" s="174" t="str" cm="1">
        <f t="array" ref="H10011">IFERROR(INDEX(INVESTOR_LIST[INVESTOR NAME],MATCH(I10011,INVESTOR_LIST[INVESTOR CODE],0),)," ")</f>
        <v xml:space="preserve"> </v>
      </c>
      <c r="I10011" s="148" t="s">
        <v>348</v>
      </c>
      <c r="J10011" s="149" t="s">
        <v>1764</v>
      </c>
      <c r="K10011" s="218">
        <v>2825333.7</v>
      </c>
      <c r="L10011" s="218"/>
      <c r="M10011" s="147"/>
      <c r="Q10011" s="133" t="s">
        <v>348</v>
      </c>
    </row>
    <row r="10012" spans="1:17" x14ac:dyDescent="0.2">
      <c r="A10012" s="163">
        <v>2023</v>
      </c>
      <c r="B10012" s="163">
        <v>12</v>
      </c>
      <c r="C10012" s="163">
        <v>4</v>
      </c>
      <c r="D10012" s="280">
        <f t="shared" si="1250"/>
        <v>45264</v>
      </c>
      <c r="E10012" s="281">
        <f t="shared" si="1251"/>
        <v>45264</v>
      </c>
      <c r="F10012" s="480"/>
      <c r="G10012" s="221" t="s">
        <v>74</v>
      </c>
      <c r="H10012" s="221" t="str" cm="1">
        <f t="array" ref="H10012">IFERROR(INDEX(INVESTOR_LIST[INVESTOR NAME],MATCH(I10012,INVESTOR_LIST[INVESTOR CODE],0),)," ")</f>
        <v xml:space="preserve"> </v>
      </c>
      <c r="I10012" s="145"/>
      <c r="J10012" s="146" t="s">
        <v>52</v>
      </c>
      <c r="K10012" s="219"/>
      <c r="L10012" s="219">
        <v>2825333.7</v>
      </c>
      <c r="M10012" s="147"/>
      <c r="Q10012" s="133" t="s">
        <v>348</v>
      </c>
    </row>
    <row r="10013" spans="1:17" ht="11.25" customHeight="1" x14ac:dyDescent="0.2">
      <c r="A10013" s="168">
        <v>2023</v>
      </c>
      <c r="B10013" s="168">
        <v>12</v>
      </c>
      <c r="C10013" s="168">
        <v>4</v>
      </c>
      <c r="D10013" s="141">
        <f t="shared" ref="D10013:D10020" si="1254">DATE(A10013,B10013,C10013)</f>
        <v>45264</v>
      </c>
      <c r="E10013" s="275">
        <f t="shared" ref="E10013:E10020" si="1255">DATE(A10013,B10013,C10013)</f>
        <v>45264</v>
      </c>
      <c r="F10013" s="479" t="s">
        <v>1310</v>
      </c>
      <c r="G10013" s="220" t="s">
        <v>74</v>
      </c>
      <c r="H10013" s="142" t="str" cm="1">
        <f t="array" ref="H10013">IFERROR(INDEX(INVESTOR_LIST[INVESTOR NAME],MATCH(I10013,INVESTOR_LIST[INVESTOR CODE],0),)," ")</f>
        <v>UNMESH RAY HIMEL</v>
      </c>
      <c r="I10013" s="142" t="s">
        <v>905</v>
      </c>
      <c r="J10013" s="168" t="s">
        <v>13</v>
      </c>
      <c r="K10013" s="218">
        <v>19960</v>
      </c>
      <c r="L10013" s="226"/>
    </row>
    <row r="10014" spans="1:17" ht="11.25" customHeight="1" x14ac:dyDescent="0.2">
      <c r="A10014" s="133">
        <v>2023</v>
      </c>
      <c r="B10014" s="133">
        <v>12</v>
      </c>
      <c r="C10014" s="133">
        <v>4</v>
      </c>
      <c r="D10014" s="141">
        <f t="shared" si="1254"/>
        <v>45264</v>
      </c>
      <c r="E10014" s="275">
        <f t="shared" si="1255"/>
        <v>45264</v>
      </c>
      <c r="F10014" s="481"/>
      <c r="G10014" s="174" t="s">
        <v>74</v>
      </c>
      <c r="H10014" s="148" t="str" cm="1">
        <f t="array" ref="H10014">IFERROR(INDEX(INVESTOR_LIST[INVESTOR NAME],MATCH(I10014,INVESTOR_LIST[INVESTOR CODE],0),)," ")</f>
        <v>UNMESH RAY HIMEL</v>
      </c>
      <c r="I10014" s="148" t="s">
        <v>905</v>
      </c>
      <c r="J10014" s="133" t="s">
        <v>53</v>
      </c>
      <c r="K10014" s="218">
        <v>4802.380000000001</v>
      </c>
      <c r="L10014" s="133"/>
    </row>
    <row r="10015" spans="1:17" ht="11.25" customHeight="1" x14ac:dyDescent="0.2">
      <c r="A10015" s="163">
        <v>2023</v>
      </c>
      <c r="B10015" s="163">
        <v>12</v>
      </c>
      <c r="C10015" s="163">
        <v>4</v>
      </c>
      <c r="D10015" s="280">
        <f t="shared" si="1254"/>
        <v>45264</v>
      </c>
      <c r="E10015" s="281">
        <f t="shared" si="1255"/>
        <v>45264</v>
      </c>
      <c r="F10015" s="480"/>
      <c r="G10015" s="221" t="s">
        <v>74</v>
      </c>
      <c r="H10015" s="145" t="str" cm="1">
        <f t="array" ref="H10015">IFERROR(INDEX(INVESTOR_LIST[INVESTOR NAME],MATCH(I10015,INVESTOR_LIST[INVESTOR CODE],0),)," ")</f>
        <v>UNMESH RAY HIMEL</v>
      </c>
      <c r="I10015" s="145" t="s">
        <v>905</v>
      </c>
      <c r="J10015" s="163" t="s">
        <v>52</v>
      </c>
      <c r="K10015" s="219"/>
      <c r="L10015" s="219">
        <v>24762.38</v>
      </c>
    </row>
    <row r="10016" spans="1:17" x14ac:dyDescent="0.2">
      <c r="A10016" s="168">
        <v>2023</v>
      </c>
      <c r="B10016" s="168">
        <v>12</v>
      </c>
      <c r="C10016" s="168">
        <v>4</v>
      </c>
      <c r="D10016" s="141">
        <f t="shared" si="1254"/>
        <v>45264</v>
      </c>
      <c r="E10016" s="275">
        <f t="shared" si="1255"/>
        <v>45264</v>
      </c>
      <c r="F10016" s="479" t="s">
        <v>1757</v>
      </c>
      <c r="G10016" s="220" t="s">
        <v>74</v>
      </c>
      <c r="H10016" s="220" t="str" cm="1">
        <f t="array" ref="H10016">IFERROR(INDEX(INVESTOR_LIST[INVESTOR NAME],MATCH(I10016,INVESTOR_LIST[INVESTOR CODE],0),)," ")</f>
        <v xml:space="preserve"> </v>
      </c>
      <c r="I10016" s="142"/>
      <c r="J10016" s="143" t="s">
        <v>52</v>
      </c>
      <c r="K10016" s="226">
        <v>2417141.2999999998</v>
      </c>
      <c r="L10016" s="226"/>
    </row>
    <row r="10017" spans="1:14" x14ac:dyDescent="0.2">
      <c r="A10017" s="163">
        <v>2023</v>
      </c>
      <c r="B10017" s="163">
        <v>12</v>
      </c>
      <c r="C10017" s="163">
        <v>4</v>
      </c>
      <c r="D10017" s="280">
        <f t="shared" si="1254"/>
        <v>45264</v>
      </c>
      <c r="E10017" s="281">
        <f t="shared" si="1255"/>
        <v>45264</v>
      </c>
      <c r="F10017" s="480"/>
      <c r="G10017" s="221" t="s">
        <v>74</v>
      </c>
      <c r="H10017" s="221" t="str" cm="1">
        <f t="array" ref="H10017">IFERROR(INDEX(INVESTOR_LIST[INVESTOR NAME],MATCH(I10017,INVESTOR_LIST[INVESTOR CODE],0),)," ")</f>
        <v xml:space="preserve"> </v>
      </c>
      <c r="I10017" s="145"/>
      <c r="J10017" s="146" t="s">
        <v>190</v>
      </c>
      <c r="K10017" s="219"/>
      <c r="L10017" s="219">
        <v>2417141.2999999998</v>
      </c>
    </row>
    <row r="10018" spans="1:14" x14ac:dyDescent="0.2">
      <c r="A10018" s="168">
        <v>2023</v>
      </c>
      <c r="B10018" s="168">
        <v>12</v>
      </c>
      <c r="C10018" s="168">
        <v>4</v>
      </c>
      <c r="D10018" s="141">
        <f t="shared" si="1254"/>
        <v>45264</v>
      </c>
      <c r="E10018" s="275">
        <f t="shared" si="1255"/>
        <v>45264</v>
      </c>
      <c r="F10018" s="479" t="s">
        <v>1836</v>
      </c>
      <c r="G10018" s="220" t="s">
        <v>74</v>
      </c>
      <c r="H10018" s="220"/>
      <c r="I10018" s="142"/>
      <c r="J10018" s="143" t="s">
        <v>52</v>
      </c>
      <c r="K10018" s="226">
        <v>2011550</v>
      </c>
      <c r="L10018" s="226"/>
      <c r="N10018" s="160"/>
    </row>
    <row r="10019" spans="1:14" x14ac:dyDescent="0.2">
      <c r="A10019" s="133">
        <v>2023</v>
      </c>
      <c r="B10019" s="133">
        <v>12</v>
      </c>
      <c r="C10019" s="133">
        <v>4</v>
      </c>
      <c r="D10019" s="141">
        <f t="shared" si="1254"/>
        <v>45264</v>
      </c>
      <c r="E10019" s="275">
        <f t="shared" si="1255"/>
        <v>45264</v>
      </c>
      <c r="F10019" s="481"/>
      <c r="G10019" s="174" t="s">
        <v>74</v>
      </c>
      <c r="H10019" s="174"/>
      <c r="J10019" s="133" t="s">
        <v>133</v>
      </c>
      <c r="K10019" s="218"/>
      <c r="L10019" s="218">
        <v>11550</v>
      </c>
      <c r="N10019" s="160"/>
    </row>
    <row r="10020" spans="1:14" x14ac:dyDescent="0.2">
      <c r="A10020" s="163">
        <v>2023</v>
      </c>
      <c r="B10020" s="163">
        <v>12</v>
      </c>
      <c r="C10020" s="163">
        <v>4</v>
      </c>
      <c r="D10020" s="280">
        <f t="shared" si="1254"/>
        <v>45264</v>
      </c>
      <c r="E10020" s="281">
        <f t="shared" si="1255"/>
        <v>45264</v>
      </c>
      <c r="F10020" s="480"/>
      <c r="G10020" s="221" t="s">
        <v>74</v>
      </c>
      <c r="H10020" s="221" t="str" cm="1">
        <f t="array" ref="H10020">IFERROR(INDEX(INVESTOR_LIST[INVESTOR NAME],MATCH(I10020,INVESTOR_LIST[INVESTOR CODE],0),)," ")</f>
        <v xml:space="preserve"> </v>
      </c>
      <c r="I10020" s="145" t="s">
        <v>348</v>
      </c>
      <c r="J10020" s="146" t="s">
        <v>96</v>
      </c>
      <c r="K10020" s="219"/>
      <c r="L10020" s="219">
        <v>2000000</v>
      </c>
      <c r="M10020" s="160"/>
      <c r="N10020" s="160"/>
    </row>
    <row r="10021" spans="1:14" x14ac:dyDescent="0.2">
      <c r="A10021" s="168">
        <v>2023</v>
      </c>
      <c r="B10021" s="168">
        <v>12</v>
      </c>
      <c r="C10021" s="168">
        <v>4</v>
      </c>
      <c r="D10021" s="141">
        <f t="shared" ref="D10021:D10025" si="1256">DATE(A10021,B10021,C10021)</f>
        <v>45264</v>
      </c>
      <c r="E10021" s="275">
        <f t="shared" ref="E10021:E10025" si="1257">DATE(A10021,B10021,C10021)</f>
        <v>45264</v>
      </c>
      <c r="F10021" s="479" t="s">
        <v>1837</v>
      </c>
      <c r="G10021" s="220" t="s">
        <v>74</v>
      </c>
      <c r="H10021" s="220"/>
      <c r="I10021" s="142"/>
      <c r="J10021" s="143" t="s">
        <v>52</v>
      </c>
      <c r="K10021" s="226">
        <v>2011550</v>
      </c>
      <c r="L10021" s="226"/>
      <c r="N10021" s="160"/>
    </row>
    <row r="10022" spans="1:14" x14ac:dyDescent="0.2">
      <c r="A10022" s="133">
        <v>2023</v>
      </c>
      <c r="B10022" s="133">
        <v>12</v>
      </c>
      <c r="C10022" s="133">
        <v>4</v>
      </c>
      <c r="D10022" s="141">
        <f t="shared" si="1256"/>
        <v>45264</v>
      </c>
      <c r="E10022" s="275">
        <f t="shared" si="1257"/>
        <v>45264</v>
      </c>
      <c r="F10022" s="481"/>
      <c r="G10022" s="174" t="s">
        <v>74</v>
      </c>
      <c r="H10022" s="174"/>
      <c r="J10022" s="133" t="s">
        <v>133</v>
      </c>
      <c r="K10022" s="218"/>
      <c r="L10022" s="218">
        <v>11550</v>
      </c>
      <c r="N10022" s="160"/>
    </row>
    <row r="10023" spans="1:14" x14ac:dyDescent="0.2">
      <c r="A10023" s="163">
        <v>2023</v>
      </c>
      <c r="B10023" s="163">
        <v>12</v>
      </c>
      <c r="C10023" s="163">
        <v>4</v>
      </c>
      <c r="D10023" s="280">
        <f t="shared" si="1256"/>
        <v>45264</v>
      </c>
      <c r="E10023" s="281">
        <f t="shared" si="1257"/>
        <v>45264</v>
      </c>
      <c r="F10023" s="480"/>
      <c r="G10023" s="221" t="s">
        <v>74</v>
      </c>
      <c r="H10023" s="221" t="str" cm="1">
        <f t="array" ref="H10023">IFERROR(INDEX(INVESTOR_LIST[INVESTOR NAME],MATCH(I10023,INVESTOR_LIST[INVESTOR CODE],0),)," ")</f>
        <v xml:space="preserve"> </v>
      </c>
      <c r="I10023" s="145" t="s">
        <v>348</v>
      </c>
      <c r="J10023" s="146" t="s">
        <v>96</v>
      </c>
      <c r="K10023" s="219"/>
      <c r="L10023" s="219">
        <v>2000000</v>
      </c>
      <c r="M10023" s="160"/>
      <c r="N10023" s="160"/>
    </row>
    <row r="10024" spans="1:14" x14ac:dyDescent="0.2">
      <c r="A10024" s="168">
        <v>2023</v>
      </c>
      <c r="B10024" s="168">
        <v>12</v>
      </c>
      <c r="C10024" s="168">
        <v>5</v>
      </c>
      <c r="D10024" s="141">
        <f t="shared" si="1256"/>
        <v>45265</v>
      </c>
      <c r="E10024" s="275">
        <f t="shared" si="1257"/>
        <v>45265</v>
      </c>
      <c r="F10024" s="479" t="s">
        <v>1839</v>
      </c>
      <c r="G10024" s="220" t="s">
        <v>74</v>
      </c>
      <c r="H10024" s="220" t="str" cm="1">
        <f t="array" ref="H10024">IFERROR(INDEX(INVESTOR_LIST[INVESTOR NAME],MATCH(I10024,INVESTOR_LIST[INVESTOR CODE],0),)," ")</f>
        <v xml:space="preserve"> </v>
      </c>
      <c r="I10024" s="142"/>
      <c r="J10024" s="143" t="s">
        <v>52</v>
      </c>
      <c r="K10024" s="226">
        <v>9000</v>
      </c>
      <c r="L10024" s="226"/>
    </row>
    <row r="10025" spans="1:14" x14ac:dyDescent="0.2">
      <c r="A10025" s="163">
        <v>2023</v>
      </c>
      <c r="B10025" s="163">
        <v>12</v>
      </c>
      <c r="C10025" s="163">
        <v>5</v>
      </c>
      <c r="D10025" s="280">
        <f t="shared" si="1256"/>
        <v>45265</v>
      </c>
      <c r="E10025" s="281">
        <f t="shared" si="1257"/>
        <v>45265</v>
      </c>
      <c r="F10025" s="480"/>
      <c r="G10025" s="221" t="s">
        <v>74</v>
      </c>
      <c r="H10025" s="221" t="str" cm="1">
        <f t="array" ref="H10025">IFERROR(INDEX(INVESTOR_LIST[INVESTOR NAME],MATCH(I10025,INVESTOR_LIST[INVESTOR CODE],0),)," ")</f>
        <v xml:space="preserve"> </v>
      </c>
      <c r="I10025" s="145"/>
      <c r="J10025" s="146" t="s">
        <v>61</v>
      </c>
      <c r="K10025" s="219"/>
      <c r="L10025" s="219">
        <v>9000</v>
      </c>
    </row>
    <row r="10026" spans="1:14" ht="11.25" customHeight="1" x14ac:dyDescent="0.2">
      <c r="A10026" s="168">
        <v>2023</v>
      </c>
      <c r="B10026" s="168">
        <v>12</v>
      </c>
      <c r="C10026" s="168">
        <v>5</v>
      </c>
      <c r="D10026" s="141">
        <f t="shared" ref="D10026:D10067" si="1258">DATE(A10026,B10026,C10026)</f>
        <v>45265</v>
      </c>
      <c r="E10026" s="275">
        <f t="shared" ref="E10026:E10067" si="1259">DATE(A10026,B10026,C10026)</f>
        <v>45265</v>
      </c>
      <c r="F10026" s="479" t="s">
        <v>1310</v>
      </c>
      <c r="G10026" s="220" t="s">
        <v>74</v>
      </c>
      <c r="H10026" s="142" t="str" cm="1">
        <f t="array" ref="H10026">IFERROR(INDEX(INVESTOR_LIST[INVESTOR NAME],MATCH(I10026,INVESTOR_LIST[INVESTOR CODE],0),)," ")</f>
        <v>IFTAKHAR AHMED</v>
      </c>
      <c r="I10026" s="142" t="s">
        <v>613</v>
      </c>
      <c r="J10026" s="168" t="s">
        <v>13</v>
      </c>
      <c r="K10026" s="218">
        <v>52770</v>
      </c>
      <c r="L10026" s="226"/>
    </row>
    <row r="10027" spans="1:14" ht="11.25" customHeight="1" x14ac:dyDescent="0.2">
      <c r="A10027" s="133">
        <v>2023</v>
      </c>
      <c r="B10027" s="133">
        <v>12</v>
      </c>
      <c r="C10027" s="133">
        <v>5</v>
      </c>
      <c r="D10027" s="141">
        <f t="shared" si="1258"/>
        <v>45265</v>
      </c>
      <c r="E10027" s="275">
        <f t="shared" si="1259"/>
        <v>45265</v>
      </c>
      <c r="F10027" s="481"/>
      <c r="G10027" s="174" t="s">
        <v>74</v>
      </c>
      <c r="H10027" s="148" t="str" cm="1">
        <f t="array" ref="H10027">IFERROR(INDEX(INVESTOR_LIST[INVESTOR NAME],MATCH(I10027,INVESTOR_LIST[INVESTOR CODE],0),)," ")</f>
        <v>IFTAKHAR AHMED</v>
      </c>
      <c r="I10027" s="148" t="s">
        <v>613</v>
      </c>
      <c r="J10027" s="133" t="s">
        <v>53</v>
      </c>
      <c r="K10027" s="218">
        <v>12696.46</v>
      </c>
      <c r="L10027" s="133"/>
    </row>
    <row r="10028" spans="1:14" ht="11.25" customHeight="1" x14ac:dyDescent="0.2">
      <c r="A10028" s="163">
        <v>2023</v>
      </c>
      <c r="B10028" s="163">
        <v>12</v>
      </c>
      <c r="C10028" s="163">
        <v>5</v>
      </c>
      <c r="D10028" s="280">
        <f t="shared" si="1258"/>
        <v>45265</v>
      </c>
      <c r="E10028" s="281">
        <f t="shared" si="1259"/>
        <v>45265</v>
      </c>
      <c r="F10028" s="480"/>
      <c r="G10028" s="221" t="s">
        <v>74</v>
      </c>
      <c r="H10028" s="145" t="str" cm="1">
        <f t="array" ref="H10028">IFERROR(INDEX(INVESTOR_LIST[INVESTOR NAME],MATCH(I10028,INVESTOR_LIST[INVESTOR CODE],0),)," ")</f>
        <v>IFTAKHAR AHMED</v>
      </c>
      <c r="I10028" s="145" t="s">
        <v>613</v>
      </c>
      <c r="J10028" s="163" t="s">
        <v>52</v>
      </c>
      <c r="K10028" s="219"/>
      <c r="L10028" s="219">
        <v>65466.46</v>
      </c>
    </row>
    <row r="10029" spans="1:14" x14ac:dyDescent="0.2">
      <c r="A10029" s="168">
        <v>2023</v>
      </c>
      <c r="B10029" s="168">
        <v>12</v>
      </c>
      <c r="C10029" s="168">
        <v>5</v>
      </c>
      <c r="D10029" s="141">
        <f t="shared" si="1258"/>
        <v>45265</v>
      </c>
      <c r="E10029" s="275">
        <f t="shared" si="1259"/>
        <v>45265</v>
      </c>
      <c r="F10029" s="479" t="s">
        <v>1319</v>
      </c>
      <c r="G10029" s="220" t="s">
        <v>74</v>
      </c>
      <c r="H10029" s="142" t="str" cm="1">
        <f t="array" ref="H10029">IFERROR(INDEX(INVESTOR_LIST[INVESTOR NAME],MATCH(I10029,INVESTOR_LIST[INVESTOR CODE],0),)," ")</f>
        <v xml:space="preserve"> </v>
      </c>
      <c r="I10029" s="142"/>
      <c r="J10029" s="168" t="s">
        <v>52</v>
      </c>
      <c r="K10029" s="226">
        <v>101500</v>
      </c>
      <c r="L10029" s="226"/>
    </row>
    <row r="10030" spans="1:14" x14ac:dyDescent="0.2">
      <c r="A10030" s="133">
        <v>2023</v>
      </c>
      <c r="B10030" s="133">
        <v>12</v>
      </c>
      <c r="C10030" s="133">
        <v>5</v>
      </c>
      <c r="D10030" s="141">
        <f t="shared" si="1258"/>
        <v>45265</v>
      </c>
      <c r="E10030" s="275">
        <f t="shared" si="1259"/>
        <v>45265</v>
      </c>
      <c r="F10030" s="481"/>
      <c r="G10030" s="174" t="s">
        <v>74</v>
      </c>
      <c r="H10030" s="148" t="str" cm="1">
        <f t="array" ref="H10030">IFERROR(INDEX(INVESTOR_LIST[INVESTOR NAME],MATCH(I10030,INVESTOR_LIST[INVESTOR CODE],0),)," ")</f>
        <v xml:space="preserve"> </v>
      </c>
      <c r="J10030" s="133" t="s">
        <v>13</v>
      </c>
      <c r="K10030" s="218"/>
      <c r="L10030" s="218">
        <v>81810</v>
      </c>
    </row>
    <row r="10031" spans="1:14" x14ac:dyDescent="0.2">
      <c r="A10031" s="163">
        <v>2023</v>
      </c>
      <c r="B10031" s="163">
        <v>12</v>
      </c>
      <c r="C10031" s="163">
        <v>5</v>
      </c>
      <c r="D10031" s="280">
        <f t="shared" si="1258"/>
        <v>45265</v>
      </c>
      <c r="E10031" s="281">
        <f t="shared" si="1259"/>
        <v>45265</v>
      </c>
      <c r="F10031" s="480"/>
      <c r="G10031" s="221" t="s">
        <v>74</v>
      </c>
      <c r="H10031" s="145" t="str" cm="1">
        <f t="array" ref="H10031">IFERROR(INDEX(INVESTOR_LIST[INVESTOR NAME],MATCH(I10031,INVESTOR_LIST[INVESTOR CODE],0),)," ")</f>
        <v xml:space="preserve"> </v>
      </c>
      <c r="I10031" s="145"/>
      <c r="J10031" s="163" t="s">
        <v>53</v>
      </c>
      <c r="K10031" s="219"/>
      <c r="L10031" s="219">
        <v>19690</v>
      </c>
    </row>
    <row r="10032" spans="1:14" x14ac:dyDescent="0.2">
      <c r="A10032" s="133">
        <v>2023</v>
      </c>
      <c r="B10032" s="133">
        <v>12</v>
      </c>
      <c r="C10032" s="133">
        <v>6</v>
      </c>
      <c r="D10032" s="141">
        <f t="shared" si="1258"/>
        <v>45266</v>
      </c>
      <c r="E10032" s="275">
        <f t="shared" si="1259"/>
        <v>45266</v>
      </c>
      <c r="F10032" s="481" t="s">
        <v>1753</v>
      </c>
      <c r="G10032" s="174" t="s">
        <v>94</v>
      </c>
      <c r="H10032" s="174" t="str" cm="1">
        <f t="array" ref="H10032">IFERROR(INDEX(INVESTOR_LIST[INVESTOR NAME],MATCH(I10032,INVESTOR_LIST[INVESTOR CODE],0),)," ")</f>
        <v xml:space="preserve"> </v>
      </c>
      <c r="J10032" s="149" t="s">
        <v>190</v>
      </c>
      <c r="K10032" s="218">
        <v>1040623.51</v>
      </c>
      <c r="L10032" s="218"/>
      <c r="M10032" s="160"/>
    </row>
    <row r="10033" spans="1:14" x14ac:dyDescent="0.2">
      <c r="A10033" s="133">
        <v>2023</v>
      </c>
      <c r="B10033" s="133">
        <v>12</v>
      </c>
      <c r="C10033" s="133">
        <v>6</v>
      </c>
      <c r="D10033" s="141">
        <f t="shared" si="1258"/>
        <v>45266</v>
      </c>
      <c r="E10033" s="275">
        <f t="shared" si="1259"/>
        <v>45266</v>
      </c>
      <c r="F10033" s="481"/>
      <c r="G10033" s="174" t="s">
        <v>94</v>
      </c>
      <c r="H10033" s="174"/>
      <c r="J10033" s="149" t="s">
        <v>80</v>
      </c>
      <c r="K10033" s="218">
        <v>1876.49</v>
      </c>
      <c r="L10033" s="218"/>
      <c r="N10033" s="264"/>
    </row>
    <row r="10034" spans="1:14" x14ac:dyDescent="0.2">
      <c r="A10034" s="133">
        <v>2023</v>
      </c>
      <c r="B10034" s="133">
        <v>12</v>
      </c>
      <c r="C10034" s="133">
        <v>6</v>
      </c>
      <c r="D10034" s="141">
        <f t="shared" si="1258"/>
        <v>45266</v>
      </c>
      <c r="E10034" s="275">
        <f t="shared" si="1259"/>
        <v>45266</v>
      </c>
      <c r="F10034" s="481"/>
      <c r="G10034" s="174" t="s">
        <v>94</v>
      </c>
      <c r="H10034" s="174" t="str" cm="1">
        <f t="array" ref="H10034">IFERROR(INDEX(INVESTOR_LIST[INVESTOR NAME],MATCH(I10034,INVESTOR_LIST[INVESTOR CODE],0),)," ")</f>
        <v xml:space="preserve"> </v>
      </c>
      <c r="J10034" s="149" t="s">
        <v>191</v>
      </c>
      <c r="K10034" s="218">
        <v>90271.5</v>
      </c>
      <c r="L10034" s="218"/>
      <c r="N10034" s="264"/>
    </row>
    <row r="10035" spans="1:14" x14ac:dyDescent="0.2">
      <c r="A10035" s="163">
        <v>2023</v>
      </c>
      <c r="B10035" s="163">
        <v>12</v>
      </c>
      <c r="C10035" s="163">
        <v>6</v>
      </c>
      <c r="D10035" s="280">
        <f t="shared" si="1258"/>
        <v>45266</v>
      </c>
      <c r="E10035" s="281">
        <f t="shared" si="1259"/>
        <v>45266</v>
      </c>
      <c r="F10035" s="480"/>
      <c r="G10035" s="221" t="s">
        <v>94</v>
      </c>
      <c r="H10035" s="145" t="str" cm="1">
        <f t="array" ref="H10035">IFERROR(INDEX(INVESTOR_LIST[INVESTOR NAME],MATCH(I10035,INVESTOR_LIST[INVESTOR CODE],0),)," ")</f>
        <v xml:space="preserve"> </v>
      </c>
      <c r="I10035" s="145"/>
      <c r="J10035" s="163" t="s">
        <v>79</v>
      </c>
      <c r="K10035" s="219"/>
      <c r="L10035" s="219">
        <v>1132771.5</v>
      </c>
      <c r="N10035" s="264"/>
    </row>
    <row r="10036" spans="1:14" ht="11.25" customHeight="1" x14ac:dyDescent="0.2">
      <c r="A10036" s="168">
        <v>2023</v>
      </c>
      <c r="B10036" s="168">
        <v>12</v>
      </c>
      <c r="C10036" s="168">
        <v>6</v>
      </c>
      <c r="D10036" s="141">
        <f t="shared" ref="D10036:D10038" si="1260">DATE(A10036,B10036,C10036)</f>
        <v>45266</v>
      </c>
      <c r="E10036" s="275">
        <f t="shared" ref="E10036:E10038" si="1261">DATE(A10036,B10036,C10036)</f>
        <v>45266</v>
      </c>
      <c r="F10036" s="479" t="s">
        <v>965</v>
      </c>
      <c r="G10036" s="220" t="s">
        <v>74</v>
      </c>
      <c r="H10036" s="142" t="str" cm="1">
        <f t="array" ref="H10036">IFERROR(INDEX(INVESTOR_LIST[INVESTOR NAME],MATCH(I10036,INVESTOR_LIST[INVESTOR CODE],0),)," ")</f>
        <v>MOHAMMAD ABDUL HANNAN</v>
      </c>
      <c r="I10036" s="142" t="s">
        <v>501</v>
      </c>
      <c r="J10036" s="168" t="s">
        <v>13</v>
      </c>
      <c r="K10036" s="218">
        <v>237750</v>
      </c>
      <c r="L10036" s="226"/>
    </row>
    <row r="10037" spans="1:14" ht="11.25" customHeight="1" x14ac:dyDescent="0.2">
      <c r="A10037" s="133">
        <v>2023</v>
      </c>
      <c r="B10037" s="133">
        <v>12</v>
      </c>
      <c r="C10037" s="133">
        <v>6</v>
      </c>
      <c r="D10037" s="141">
        <f t="shared" si="1260"/>
        <v>45266</v>
      </c>
      <c r="E10037" s="275">
        <f t="shared" si="1261"/>
        <v>45266</v>
      </c>
      <c r="F10037" s="481"/>
      <c r="G10037" s="174" t="s">
        <v>74</v>
      </c>
      <c r="H10037" s="148" t="str" cm="1">
        <f t="array" ref="H10037">IFERROR(INDEX(INVESTOR_LIST[INVESTOR NAME],MATCH(I10037,INVESTOR_LIST[INVESTOR CODE],0),)," ")</f>
        <v>MOHAMMAD ABDUL HANNAN</v>
      </c>
      <c r="I10037" s="148" t="s">
        <v>501</v>
      </c>
      <c r="J10037" s="133" t="s">
        <v>53</v>
      </c>
      <c r="K10037" s="218">
        <v>57202.650000000023</v>
      </c>
      <c r="L10037" s="133"/>
    </row>
    <row r="10038" spans="1:14" ht="11.25" customHeight="1" x14ac:dyDescent="0.2">
      <c r="A10038" s="163">
        <v>2023</v>
      </c>
      <c r="B10038" s="163">
        <v>12</v>
      </c>
      <c r="C10038" s="163">
        <v>6</v>
      </c>
      <c r="D10038" s="280">
        <f t="shared" si="1260"/>
        <v>45266</v>
      </c>
      <c r="E10038" s="281">
        <f t="shared" si="1261"/>
        <v>45266</v>
      </c>
      <c r="F10038" s="480"/>
      <c r="G10038" s="221" t="s">
        <v>74</v>
      </c>
      <c r="H10038" s="145" t="str" cm="1">
        <f t="array" ref="H10038">IFERROR(INDEX(INVESTOR_LIST[INVESTOR NAME],MATCH(I10038,INVESTOR_LIST[INVESTOR CODE],0),)," ")</f>
        <v>MOHAMMAD ABDUL HANNAN</v>
      </c>
      <c r="I10038" s="145" t="s">
        <v>501</v>
      </c>
      <c r="J10038" s="163" t="s">
        <v>52</v>
      </c>
      <c r="K10038" s="219"/>
      <c r="L10038" s="219">
        <v>294952.65000000002</v>
      </c>
    </row>
    <row r="10039" spans="1:14" ht="11.25" customHeight="1" x14ac:dyDescent="0.2">
      <c r="A10039" s="168">
        <v>2023</v>
      </c>
      <c r="B10039" s="168">
        <v>12</v>
      </c>
      <c r="C10039" s="168">
        <v>6</v>
      </c>
      <c r="D10039" s="141">
        <f t="shared" ref="D10039:D10041" si="1262">DATE(A10039,B10039,C10039)</f>
        <v>45266</v>
      </c>
      <c r="E10039" s="275">
        <f t="shared" ref="E10039:E10041" si="1263">DATE(A10039,B10039,C10039)</f>
        <v>45266</v>
      </c>
      <c r="F10039" s="479" t="s">
        <v>965</v>
      </c>
      <c r="G10039" s="220" t="s">
        <v>74</v>
      </c>
      <c r="H10039" s="142" t="str" cm="1">
        <f t="array" ref="H10039">IFERROR(INDEX(INVESTOR_LIST[INVESTOR NAME],MATCH(I10039,INVESTOR_LIST[INVESTOR CODE],0),)," ")</f>
        <v>MOHAMMAD ABDUL HANNAN</v>
      </c>
      <c r="I10039" s="142" t="s">
        <v>501</v>
      </c>
      <c r="J10039" s="168" t="s">
        <v>13</v>
      </c>
      <c r="K10039" s="218">
        <v>162250</v>
      </c>
      <c r="L10039" s="226"/>
    </row>
    <row r="10040" spans="1:14" ht="11.25" customHeight="1" x14ac:dyDescent="0.2">
      <c r="A10040" s="133">
        <v>2023</v>
      </c>
      <c r="B10040" s="133">
        <v>12</v>
      </c>
      <c r="C10040" s="133">
        <v>6</v>
      </c>
      <c r="D10040" s="141">
        <f t="shared" si="1262"/>
        <v>45266</v>
      </c>
      <c r="E10040" s="275">
        <f t="shared" si="1263"/>
        <v>45266</v>
      </c>
      <c r="F10040" s="481"/>
      <c r="G10040" s="174" t="s">
        <v>74</v>
      </c>
      <c r="H10040" s="148" t="str" cm="1">
        <f t="array" ref="H10040">IFERROR(INDEX(INVESTOR_LIST[INVESTOR NAME],MATCH(I10040,INVESTOR_LIST[INVESTOR CODE],0),)," ")</f>
        <v>MOHAMMAD ABDUL HANNAN</v>
      </c>
      <c r="I10040" s="148" t="s">
        <v>501</v>
      </c>
      <c r="J10040" s="133" t="s">
        <v>53</v>
      </c>
      <c r="K10040" s="218">
        <v>39037.350000000006</v>
      </c>
      <c r="L10040" s="133"/>
    </row>
    <row r="10041" spans="1:14" ht="11.25" customHeight="1" x14ac:dyDescent="0.2">
      <c r="A10041" s="163">
        <v>2023</v>
      </c>
      <c r="B10041" s="163">
        <v>12</v>
      </c>
      <c r="C10041" s="163">
        <v>6</v>
      </c>
      <c r="D10041" s="280">
        <f t="shared" si="1262"/>
        <v>45266</v>
      </c>
      <c r="E10041" s="281">
        <f t="shared" si="1263"/>
        <v>45266</v>
      </c>
      <c r="F10041" s="480"/>
      <c r="G10041" s="221" t="s">
        <v>74</v>
      </c>
      <c r="H10041" s="145" t="str" cm="1">
        <f t="array" ref="H10041">IFERROR(INDEX(INVESTOR_LIST[INVESTOR NAME],MATCH(I10041,INVESTOR_LIST[INVESTOR CODE],0),)," ")</f>
        <v>MOHAMMAD ABDUL HANNAN</v>
      </c>
      <c r="I10041" s="145" t="s">
        <v>501</v>
      </c>
      <c r="J10041" s="163" t="s">
        <v>52</v>
      </c>
      <c r="K10041" s="219"/>
      <c r="L10041" s="219">
        <v>201287.35</v>
      </c>
    </row>
    <row r="10042" spans="1:14" x14ac:dyDescent="0.2">
      <c r="A10042" s="168">
        <v>2023</v>
      </c>
      <c r="B10042" s="168">
        <v>12</v>
      </c>
      <c r="C10042" s="168">
        <v>7</v>
      </c>
      <c r="D10042" s="141">
        <f t="shared" si="1258"/>
        <v>45267</v>
      </c>
      <c r="E10042" s="275">
        <f t="shared" si="1259"/>
        <v>45267</v>
      </c>
      <c r="F10042" s="479" t="s">
        <v>1757</v>
      </c>
      <c r="G10042" s="220" t="s">
        <v>74</v>
      </c>
      <c r="H10042" s="220" t="str" cm="1">
        <f t="array" ref="H10042">IFERROR(INDEX(INVESTOR_LIST[INVESTOR NAME],MATCH(I10042,INVESTOR_LIST[INVESTOR CODE],0),)," ")</f>
        <v xml:space="preserve"> </v>
      </c>
      <c r="I10042" s="142"/>
      <c r="J10042" s="143" t="s">
        <v>52</v>
      </c>
      <c r="K10042" s="226">
        <v>29083.55</v>
      </c>
      <c r="L10042" s="226"/>
    </row>
    <row r="10043" spans="1:14" x14ac:dyDescent="0.2">
      <c r="A10043" s="163">
        <v>2023</v>
      </c>
      <c r="B10043" s="163">
        <v>12</v>
      </c>
      <c r="C10043" s="163">
        <v>7</v>
      </c>
      <c r="D10043" s="280">
        <f>DATE(A10043,B10043,C10043)</f>
        <v>45267</v>
      </c>
      <c r="E10043" s="281">
        <f>DATE(A10043,B10043,C10043)</f>
        <v>45267</v>
      </c>
      <c r="F10043" s="480"/>
      <c r="G10043" s="221" t="s">
        <v>74</v>
      </c>
      <c r="H10043" s="221" t="str" cm="1">
        <f t="array" ref="H10043">IFERROR(INDEX(INVESTOR_LIST[INVESTOR NAME],MATCH(I10043,INVESTOR_LIST[INVESTOR CODE],0),)," ")</f>
        <v xml:space="preserve"> </v>
      </c>
      <c r="I10043" s="145"/>
      <c r="J10043" s="146" t="s">
        <v>190</v>
      </c>
      <c r="K10043" s="219"/>
      <c r="L10043" s="219">
        <v>29083.55</v>
      </c>
    </row>
    <row r="10044" spans="1:14" x14ac:dyDescent="0.2">
      <c r="A10044" s="343">
        <v>2023</v>
      </c>
      <c r="B10044" s="343">
        <v>12</v>
      </c>
      <c r="C10044" s="343">
        <v>7</v>
      </c>
      <c r="D10044" s="344">
        <f t="shared" si="1258"/>
        <v>45267</v>
      </c>
      <c r="E10044" s="345">
        <f t="shared" si="1259"/>
        <v>45267</v>
      </c>
      <c r="F10044" s="483" t="s">
        <v>1813</v>
      </c>
      <c r="G10044" s="350" t="s">
        <v>94</v>
      </c>
      <c r="H10044" s="350" t="str" cm="1">
        <f t="array" ref="H10044">IFERROR(INDEX(INVESTOR_LIST[INVESTOR NAME],MATCH(I10044,INVESTOR_LIST[INVESTOR CODE],0),)," ")</f>
        <v xml:space="preserve"> </v>
      </c>
      <c r="I10044" s="352" t="s">
        <v>348</v>
      </c>
      <c r="J10044" s="353" t="s">
        <v>1798</v>
      </c>
      <c r="K10044" s="354">
        <v>10572.300000000745</v>
      </c>
      <c r="L10044" s="354"/>
    </row>
    <row r="10045" spans="1:14" x14ac:dyDescent="0.2">
      <c r="A10045" s="346">
        <v>2023</v>
      </c>
      <c r="B10045" s="346">
        <v>12</v>
      </c>
      <c r="C10045" s="346">
        <v>7</v>
      </c>
      <c r="D10045" s="344">
        <f t="shared" si="1258"/>
        <v>45267</v>
      </c>
      <c r="E10045" s="345">
        <f t="shared" si="1259"/>
        <v>45267</v>
      </c>
      <c r="F10045" s="484"/>
      <c r="G10045" s="347" t="s">
        <v>94</v>
      </c>
      <c r="H10045" s="347" t="str" cm="1">
        <f t="array" ref="H10045">IFERROR(INDEX(INVESTOR_LIST[INVESTOR NAME],MATCH(I10045,INVESTOR_LIST[INVESTOR CODE],0),)," ")</f>
        <v xml:space="preserve"> </v>
      </c>
      <c r="I10045" s="348" t="s">
        <v>348</v>
      </c>
      <c r="J10045" s="355" t="s">
        <v>1807</v>
      </c>
      <c r="K10045" s="349"/>
      <c r="L10045" s="349">
        <v>10572.300000000745</v>
      </c>
    </row>
    <row r="10046" spans="1:14" x14ac:dyDescent="0.2">
      <c r="A10046" s="238">
        <v>2023</v>
      </c>
      <c r="B10046" s="238">
        <v>12</v>
      </c>
      <c r="C10046" s="238">
        <v>7</v>
      </c>
      <c r="D10046" s="270">
        <f t="shared" si="1258"/>
        <v>45267</v>
      </c>
      <c r="E10046" s="279">
        <f t="shared" si="1259"/>
        <v>45267</v>
      </c>
      <c r="F10046" s="477" t="s">
        <v>347</v>
      </c>
      <c r="G10046" s="239" t="s">
        <v>94</v>
      </c>
      <c r="H10046" s="239" t="str" cm="1">
        <f t="array" ref="H10046">IFERROR(INDEX(INVESTOR_LIST[INVESTOR NAME],MATCH(I10046,INVESTOR_LIST[INVESTOR CODE],0),)," ")</f>
        <v xml:space="preserve"> </v>
      </c>
      <c r="I10046" s="262" t="s">
        <v>348</v>
      </c>
      <c r="J10046" s="240" t="s">
        <v>108</v>
      </c>
      <c r="K10046" s="241">
        <v>340182.69999998808</v>
      </c>
      <c r="L10046" s="241"/>
    </row>
    <row r="10047" spans="1:14" x14ac:dyDescent="0.2">
      <c r="A10047" s="242">
        <v>2023</v>
      </c>
      <c r="B10047" s="242">
        <v>12</v>
      </c>
      <c r="C10047" s="242">
        <v>7</v>
      </c>
      <c r="D10047" s="270">
        <f t="shared" si="1258"/>
        <v>45267</v>
      </c>
      <c r="E10047" s="279">
        <f t="shared" si="1259"/>
        <v>45267</v>
      </c>
      <c r="F10047" s="478"/>
      <c r="G10047" s="243" t="s">
        <v>94</v>
      </c>
      <c r="H10047" s="243" t="str" cm="1">
        <f t="array" ref="H10047">IFERROR(INDEX(INVESTOR_LIST[INVESTOR NAME],MATCH(I10047,INVESTOR_LIST[INVESTOR CODE],0),)," ")</f>
        <v xml:space="preserve"> </v>
      </c>
      <c r="I10047" s="263" t="s">
        <v>348</v>
      </c>
      <c r="J10047" s="244" t="s">
        <v>82</v>
      </c>
      <c r="K10047" s="245"/>
      <c r="L10047" s="245">
        <v>340182.69999998808</v>
      </c>
    </row>
    <row r="10048" spans="1:14" ht="22.5" x14ac:dyDescent="0.2">
      <c r="A10048" s="246">
        <v>2023</v>
      </c>
      <c r="B10048" s="238">
        <v>12</v>
      </c>
      <c r="C10048" s="238">
        <v>7</v>
      </c>
      <c r="D10048" s="270">
        <f t="shared" si="1258"/>
        <v>45267</v>
      </c>
      <c r="E10048" s="279">
        <f t="shared" si="1259"/>
        <v>45267</v>
      </c>
      <c r="F10048" s="482" t="s">
        <v>148</v>
      </c>
      <c r="G10048" s="247" t="s">
        <v>94</v>
      </c>
      <c r="H10048" s="247" t="str" cm="1">
        <f t="array" ref="H10048">IFERROR(INDEX(INVESTOR_LIST[INVESTOR NAME],MATCH(I10048,INVESTOR_LIST[INVESTOR CODE],0),)," ")</f>
        <v xml:space="preserve"> </v>
      </c>
      <c r="I10048" s="248" t="s">
        <v>348</v>
      </c>
      <c r="J10048" s="249" t="s">
        <v>95</v>
      </c>
      <c r="K10048" s="250">
        <v>2747.2527472527472</v>
      </c>
      <c r="L10048" s="241"/>
    </row>
    <row r="10049" spans="1:17" x14ac:dyDescent="0.2">
      <c r="A10049" s="242">
        <v>2023</v>
      </c>
      <c r="B10049" s="242">
        <v>12</v>
      </c>
      <c r="C10049" s="242">
        <v>7</v>
      </c>
      <c r="D10049" s="270">
        <f t="shared" si="1258"/>
        <v>45267</v>
      </c>
      <c r="E10049" s="279">
        <f t="shared" si="1259"/>
        <v>45267</v>
      </c>
      <c r="F10049" s="478"/>
      <c r="G10049" s="243" t="s">
        <v>94</v>
      </c>
      <c r="H10049" s="243" t="str" cm="1">
        <f t="array" ref="H10049">IFERROR(INDEX(INVESTOR_LIST[INVESTOR NAME],MATCH(I10049,INVESTOR_LIST[INVESTOR CODE],0),)," ")</f>
        <v xml:space="preserve"> </v>
      </c>
      <c r="I10049" s="263" t="s">
        <v>348</v>
      </c>
      <c r="J10049" s="244" t="s">
        <v>63</v>
      </c>
      <c r="K10049" s="245"/>
      <c r="L10049" s="245">
        <v>2747.2527472527472</v>
      </c>
    </row>
    <row r="10050" spans="1:17" x14ac:dyDescent="0.2">
      <c r="A10050" s="246">
        <v>2023</v>
      </c>
      <c r="B10050" s="238">
        <v>12</v>
      </c>
      <c r="C10050" s="238">
        <v>7</v>
      </c>
      <c r="D10050" s="270">
        <f t="shared" si="1258"/>
        <v>45267</v>
      </c>
      <c r="E10050" s="279">
        <f t="shared" si="1259"/>
        <v>45267</v>
      </c>
      <c r="F10050" s="482" t="s">
        <v>137</v>
      </c>
      <c r="G10050" s="247" t="s">
        <v>94</v>
      </c>
      <c r="H10050" s="247" t="str" cm="1">
        <f t="array" ref="H10050">IFERROR(INDEX(INVESTOR_LIST[INVESTOR NAME],MATCH(I10050,INVESTOR_LIST[INVESTOR CODE],0),)," ")</f>
        <v xml:space="preserve"> </v>
      </c>
      <c r="I10050" s="248" t="s">
        <v>348</v>
      </c>
      <c r="J10050" s="249" t="s">
        <v>97</v>
      </c>
      <c r="K10050" s="250">
        <v>58828.189123358527</v>
      </c>
      <c r="L10050" s="252"/>
    </row>
    <row r="10051" spans="1:17" x14ac:dyDescent="0.2">
      <c r="A10051" s="242">
        <v>2023</v>
      </c>
      <c r="B10051" s="242">
        <v>12</v>
      </c>
      <c r="C10051" s="242">
        <v>7</v>
      </c>
      <c r="D10051" s="270">
        <f t="shared" si="1258"/>
        <v>45267</v>
      </c>
      <c r="E10051" s="279">
        <f t="shared" si="1259"/>
        <v>45267</v>
      </c>
      <c r="F10051" s="478"/>
      <c r="G10051" s="243" t="s">
        <v>94</v>
      </c>
      <c r="H10051" s="243" t="str" cm="1">
        <f t="array" ref="H10051">IFERROR(INDEX(INVESTOR_LIST[INVESTOR NAME],MATCH(I10051,INVESTOR_LIST[INVESTOR CODE],0),)," ")</f>
        <v xml:space="preserve"> </v>
      </c>
      <c r="I10051" s="263" t="s">
        <v>348</v>
      </c>
      <c r="J10051" s="244" t="s">
        <v>47</v>
      </c>
      <c r="K10051" s="245"/>
      <c r="L10051" s="245">
        <v>58828.189123358527</v>
      </c>
    </row>
    <row r="10052" spans="1:17" x14ac:dyDescent="0.2">
      <c r="A10052" s="246">
        <v>2023</v>
      </c>
      <c r="B10052" s="238">
        <v>12</v>
      </c>
      <c r="C10052" s="238">
        <v>7</v>
      </c>
      <c r="D10052" s="270">
        <f t="shared" si="1258"/>
        <v>45267</v>
      </c>
      <c r="E10052" s="279">
        <f t="shared" si="1259"/>
        <v>45267</v>
      </c>
      <c r="F10052" s="482" t="s">
        <v>138</v>
      </c>
      <c r="G10052" s="247" t="s">
        <v>94</v>
      </c>
      <c r="H10052" s="247" t="str" cm="1">
        <f t="array" ref="H10052">IFERROR(INDEX(INVESTOR_LIST[INVESTOR NAME],MATCH(I10052,INVESTOR_LIST[INVESTOR CODE],0),)," ")</f>
        <v xml:space="preserve"> </v>
      </c>
      <c r="I10052" s="248" t="s">
        <v>348</v>
      </c>
      <c r="J10052" s="249" t="s">
        <v>100</v>
      </c>
      <c r="K10052" s="250">
        <v>2701.0248407833105</v>
      </c>
      <c r="L10052" s="252"/>
    </row>
    <row r="10053" spans="1:17" x14ac:dyDescent="0.2">
      <c r="A10053" s="242">
        <v>2023</v>
      </c>
      <c r="B10053" s="242">
        <v>12</v>
      </c>
      <c r="C10053" s="242">
        <v>7</v>
      </c>
      <c r="D10053" s="321">
        <f t="shared" si="1258"/>
        <v>45267</v>
      </c>
      <c r="E10053" s="322">
        <f t="shared" si="1259"/>
        <v>45267</v>
      </c>
      <c r="F10053" s="478"/>
      <c r="G10053" s="243" t="s">
        <v>94</v>
      </c>
      <c r="H10053" s="243" t="str" cm="1">
        <f t="array" ref="H10053">IFERROR(INDEX(INVESTOR_LIST[INVESTOR NAME],MATCH(I10053,INVESTOR_LIST[INVESTOR CODE],0),)," ")</f>
        <v xml:space="preserve"> </v>
      </c>
      <c r="I10053" s="263" t="s">
        <v>348</v>
      </c>
      <c r="J10053" s="244" t="s">
        <v>48</v>
      </c>
      <c r="K10053" s="245"/>
      <c r="L10053" s="245">
        <v>2701.0248407833105</v>
      </c>
    </row>
    <row r="10054" spans="1:17" x14ac:dyDescent="0.2">
      <c r="A10054" s="168">
        <v>2023</v>
      </c>
      <c r="B10054" s="168">
        <v>12</v>
      </c>
      <c r="C10054" s="168">
        <v>10</v>
      </c>
      <c r="D10054" s="141">
        <f t="shared" ref="D10054:D10056" si="1264">DATE(A10054,B10054,C10054)</f>
        <v>45270</v>
      </c>
      <c r="E10054" s="275">
        <f t="shared" ref="E10054:E10056" si="1265">DATE(A10054,B10054,C10054)</f>
        <v>45270</v>
      </c>
      <c r="F10054" s="479" t="s">
        <v>1319</v>
      </c>
      <c r="G10054" s="220" t="s">
        <v>74</v>
      </c>
      <c r="H10054" s="142" t="str" cm="1">
        <f t="array" ref="H10054">IFERROR(INDEX(INVESTOR_LIST[INVESTOR NAME],MATCH(I10054,INVESTOR_LIST[INVESTOR CODE],0),)," ")</f>
        <v xml:space="preserve"> </v>
      </c>
      <c r="I10054" s="142"/>
      <c r="J10054" s="168" t="s">
        <v>52</v>
      </c>
      <c r="K10054" s="226">
        <v>5000</v>
      </c>
      <c r="L10054" s="226"/>
    </row>
    <row r="10055" spans="1:17" x14ac:dyDescent="0.2">
      <c r="A10055" s="133">
        <v>2023</v>
      </c>
      <c r="B10055" s="133">
        <v>12</v>
      </c>
      <c r="C10055" s="133">
        <v>10</v>
      </c>
      <c r="D10055" s="141">
        <f t="shared" si="1264"/>
        <v>45270</v>
      </c>
      <c r="E10055" s="275">
        <f t="shared" si="1265"/>
        <v>45270</v>
      </c>
      <c r="F10055" s="481"/>
      <c r="G10055" s="174" t="s">
        <v>74</v>
      </c>
      <c r="H10055" s="148" t="str" cm="1">
        <f t="array" ref="H10055">IFERROR(INDEX(INVESTOR_LIST[INVESTOR NAME],MATCH(I10055,INVESTOR_LIST[INVESTOR CODE],0),)," ")</f>
        <v xml:space="preserve"> </v>
      </c>
      <c r="J10055" s="133" t="s">
        <v>13</v>
      </c>
      <c r="K10055" s="218"/>
      <c r="L10055" s="218">
        <v>4020</v>
      </c>
    </row>
    <row r="10056" spans="1:17" x14ac:dyDescent="0.2">
      <c r="A10056" s="163">
        <v>2023</v>
      </c>
      <c r="B10056" s="163">
        <v>12</v>
      </c>
      <c r="C10056" s="163">
        <v>10</v>
      </c>
      <c r="D10056" s="280">
        <f t="shared" si="1264"/>
        <v>45270</v>
      </c>
      <c r="E10056" s="281">
        <f t="shared" si="1265"/>
        <v>45270</v>
      </c>
      <c r="F10056" s="480"/>
      <c r="G10056" s="221" t="s">
        <v>74</v>
      </c>
      <c r="H10056" s="145" t="str" cm="1">
        <f t="array" ref="H10056">IFERROR(INDEX(INVESTOR_LIST[INVESTOR NAME],MATCH(I10056,INVESTOR_LIST[INVESTOR CODE],0),)," ")</f>
        <v xml:space="preserve"> </v>
      </c>
      <c r="I10056" s="145"/>
      <c r="J10056" s="163" t="s">
        <v>53</v>
      </c>
      <c r="K10056" s="219"/>
      <c r="L10056" s="219">
        <v>980</v>
      </c>
    </row>
    <row r="10057" spans="1:17" ht="11.25" customHeight="1" x14ac:dyDescent="0.2">
      <c r="A10057" s="168">
        <v>2023</v>
      </c>
      <c r="B10057" s="168">
        <v>12</v>
      </c>
      <c r="C10057" s="168">
        <v>10</v>
      </c>
      <c r="D10057" s="141">
        <f t="shared" si="1258"/>
        <v>45270</v>
      </c>
      <c r="E10057" s="275">
        <f t="shared" si="1259"/>
        <v>45270</v>
      </c>
      <c r="F10057" s="479" t="s">
        <v>1315</v>
      </c>
      <c r="G10057" s="220" t="s">
        <v>74</v>
      </c>
      <c r="H10057" s="142" t="str" cm="1">
        <f t="array" ref="H10057">IFERROR(INDEX(INVESTOR_LIST[INVESTOR NAME],MATCH(I10057,INVESTOR_LIST[INVESTOR CODE],0),)," ")</f>
        <v>MUMINUL ALAM</v>
      </c>
      <c r="I10057" s="142" t="s">
        <v>628</v>
      </c>
      <c r="J10057" s="168" t="s">
        <v>13</v>
      </c>
      <c r="K10057" s="218">
        <v>40230</v>
      </c>
      <c r="L10057" s="226"/>
    </row>
    <row r="10058" spans="1:17" ht="11.25" customHeight="1" x14ac:dyDescent="0.2">
      <c r="A10058" s="133">
        <v>2023</v>
      </c>
      <c r="B10058" s="133">
        <v>12</v>
      </c>
      <c r="C10058" s="133">
        <v>10</v>
      </c>
      <c r="D10058" s="141">
        <f t="shared" si="1258"/>
        <v>45270</v>
      </c>
      <c r="E10058" s="275">
        <f t="shared" si="1259"/>
        <v>45270</v>
      </c>
      <c r="F10058" s="481"/>
      <c r="G10058" s="174" t="s">
        <v>74</v>
      </c>
      <c r="H10058" s="148" t="str" cm="1">
        <f t="array" ref="H10058">IFERROR(INDEX(INVESTOR_LIST[INVESTOR NAME],MATCH(I10058,INVESTOR_LIST[INVESTOR CODE],0),)," ")</f>
        <v>MUMINUL ALAM</v>
      </c>
      <c r="I10058" s="148" t="s">
        <v>628</v>
      </c>
      <c r="J10058" s="133" t="s">
        <v>53</v>
      </c>
      <c r="K10058" s="218">
        <v>9770</v>
      </c>
      <c r="L10058" s="133"/>
    </row>
    <row r="10059" spans="1:17" ht="11.25" customHeight="1" x14ac:dyDescent="0.2">
      <c r="A10059" s="163">
        <v>2023</v>
      </c>
      <c r="B10059" s="163">
        <v>12</v>
      </c>
      <c r="C10059" s="163">
        <v>10</v>
      </c>
      <c r="D10059" s="280">
        <f t="shared" si="1258"/>
        <v>45270</v>
      </c>
      <c r="E10059" s="281">
        <f t="shared" si="1259"/>
        <v>45270</v>
      </c>
      <c r="F10059" s="480"/>
      <c r="G10059" s="221" t="s">
        <v>74</v>
      </c>
      <c r="H10059" s="145" t="str" cm="1">
        <f t="array" ref="H10059">IFERROR(INDEX(INVESTOR_LIST[INVESTOR NAME],MATCH(I10059,INVESTOR_LIST[INVESTOR CODE],0),)," ")</f>
        <v>MUMINUL ALAM</v>
      </c>
      <c r="I10059" s="145" t="s">
        <v>628</v>
      </c>
      <c r="J10059" s="163" t="s">
        <v>52</v>
      </c>
      <c r="K10059" s="219"/>
      <c r="L10059" s="219">
        <v>50000</v>
      </c>
    </row>
    <row r="10060" spans="1:17" x14ac:dyDescent="0.2">
      <c r="A10060" s="133">
        <v>2023</v>
      </c>
      <c r="B10060" s="133">
        <v>12</v>
      </c>
      <c r="C10060" s="133">
        <v>10</v>
      </c>
      <c r="D10060" s="141">
        <f t="shared" si="1258"/>
        <v>45270</v>
      </c>
      <c r="E10060" s="275">
        <f t="shared" si="1259"/>
        <v>45270</v>
      </c>
      <c r="F10060" s="481" t="s">
        <v>1840</v>
      </c>
      <c r="G10060" s="174" t="s">
        <v>74</v>
      </c>
      <c r="H10060" s="174" t="str" cm="1">
        <f t="array" ref="H10060">IFERROR(INDEX(INVESTOR_LIST[INVESTOR NAME],MATCH(I10060,INVESTOR_LIST[INVESTOR CODE],0),)," ")</f>
        <v xml:space="preserve"> </v>
      </c>
      <c r="I10060" s="148" t="s">
        <v>348</v>
      </c>
      <c r="J10060" s="149" t="s">
        <v>52</v>
      </c>
      <c r="K10060" s="218">
        <v>3000000</v>
      </c>
      <c r="L10060" s="218"/>
      <c r="M10060" s="147"/>
      <c r="Q10060" s="133" t="s">
        <v>348</v>
      </c>
    </row>
    <row r="10061" spans="1:17" x14ac:dyDescent="0.2">
      <c r="A10061" s="133">
        <v>2023</v>
      </c>
      <c r="B10061" s="133">
        <v>12</v>
      </c>
      <c r="C10061" s="133">
        <v>10</v>
      </c>
      <c r="D10061" s="141">
        <f t="shared" ref="D10061" si="1266">DATE(A10061,B10061,C10061)</f>
        <v>45270</v>
      </c>
      <c r="E10061" s="275">
        <f t="shared" ref="E10061" si="1267">DATE(A10061,B10061,C10061)</f>
        <v>45270</v>
      </c>
      <c r="F10061" s="481"/>
      <c r="G10061" s="174" t="s">
        <v>74</v>
      </c>
      <c r="H10061" s="174"/>
      <c r="J10061" s="149" t="s">
        <v>1809</v>
      </c>
      <c r="K10061" s="218"/>
      <c r="L10061" s="218">
        <v>10938</v>
      </c>
      <c r="M10061" s="147"/>
    </row>
    <row r="10062" spans="1:17" x14ac:dyDescent="0.2">
      <c r="A10062" s="163">
        <v>2023</v>
      </c>
      <c r="B10062" s="163">
        <v>12</v>
      </c>
      <c r="C10062" s="163">
        <v>10</v>
      </c>
      <c r="D10062" s="280">
        <f t="shared" si="1258"/>
        <v>45270</v>
      </c>
      <c r="E10062" s="281">
        <f t="shared" si="1259"/>
        <v>45270</v>
      </c>
      <c r="F10062" s="480"/>
      <c r="G10062" s="221" t="s">
        <v>74</v>
      </c>
      <c r="H10062" s="221" t="str" cm="1">
        <f t="array" ref="H10062">IFERROR(INDEX(INVESTOR_LIST[INVESTOR NAME],MATCH(I10062,INVESTOR_LIST[INVESTOR CODE],0),)," ")</f>
        <v xml:space="preserve"> </v>
      </c>
      <c r="I10062" s="145"/>
      <c r="J10062" s="146" t="s">
        <v>1764</v>
      </c>
      <c r="K10062" s="219"/>
      <c r="L10062" s="219">
        <v>2989062</v>
      </c>
      <c r="M10062" s="147"/>
      <c r="Q10062" s="133" t="s">
        <v>348</v>
      </c>
    </row>
    <row r="10063" spans="1:17" x14ac:dyDescent="0.2">
      <c r="A10063" s="168">
        <v>2023</v>
      </c>
      <c r="B10063" s="133">
        <v>12</v>
      </c>
      <c r="C10063" s="133">
        <v>11</v>
      </c>
      <c r="D10063" s="141">
        <f t="shared" si="1258"/>
        <v>45271</v>
      </c>
      <c r="E10063" s="275">
        <f t="shared" si="1259"/>
        <v>45271</v>
      </c>
      <c r="F10063" s="479" t="s">
        <v>1841</v>
      </c>
      <c r="G10063" s="220" t="s">
        <v>74</v>
      </c>
      <c r="H10063" s="220" t="str" cm="1">
        <f t="array" ref="H10063">IFERROR(INDEX(INVESTOR_LIST[INVESTOR NAME],MATCH(I10063,INVESTOR_LIST[INVESTOR CODE],0),)," ")</f>
        <v xml:space="preserve"> </v>
      </c>
      <c r="I10063" s="142" t="s">
        <v>348</v>
      </c>
      <c r="J10063" s="143" t="s">
        <v>79</v>
      </c>
      <c r="K10063" s="226">
        <v>36950</v>
      </c>
      <c r="L10063" s="226"/>
    </row>
    <row r="10064" spans="1:17" x14ac:dyDescent="0.2">
      <c r="A10064" s="133">
        <v>2023</v>
      </c>
      <c r="B10064" s="133">
        <v>12</v>
      </c>
      <c r="C10064" s="133">
        <v>11</v>
      </c>
      <c r="D10064" s="141">
        <f t="shared" si="1258"/>
        <v>45271</v>
      </c>
      <c r="E10064" s="275">
        <f t="shared" si="1259"/>
        <v>45271</v>
      </c>
      <c r="F10064" s="481"/>
      <c r="G10064" s="174" t="s">
        <v>74</v>
      </c>
      <c r="H10064" s="174"/>
      <c r="J10064" s="149" t="s">
        <v>52</v>
      </c>
      <c r="K10064" s="218">
        <v>2363050</v>
      </c>
      <c r="L10064" s="218"/>
    </row>
    <row r="10065" spans="1:17" x14ac:dyDescent="0.2">
      <c r="A10065" s="163">
        <v>2023</v>
      </c>
      <c r="B10065" s="163">
        <v>12</v>
      </c>
      <c r="C10065" s="163">
        <v>11</v>
      </c>
      <c r="D10065" s="280">
        <f t="shared" si="1258"/>
        <v>45271</v>
      </c>
      <c r="E10065" s="281">
        <f t="shared" si="1259"/>
        <v>45271</v>
      </c>
      <c r="F10065" s="480"/>
      <c r="G10065" s="221" t="s">
        <v>74</v>
      </c>
      <c r="H10065" s="221" t="str" cm="1">
        <f t="array" ref="H10065">IFERROR(INDEX(INVESTOR_LIST[INVESTOR NAME],MATCH(I10065,INVESTOR_LIST[INVESTOR CODE],0),)," ")</f>
        <v xml:space="preserve"> </v>
      </c>
      <c r="I10065" s="145" t="s">
        <v>348</v>
      </c>
      <c r="J10065" s="146" t="s">
        <v>184</v>
      </c>
      <c r="K10065" s="219"/>
      <c r="L10065" s="219">
        <v>2400000</v>
      </c>
    </row>
    <row r="10066" spans="1:17" x14ac:dyDescent="0.2">
      <c r="A10066" s="133">
        <v>2023</v>
      </c>
      <c r="B10066" s="133">
        <v>12</v>
      </c>
      <c r="C10066" s="133">
        <v>11</v>
      </c>
      <c r="D10066" s="141">
        <f t="shared" si="1258"/>
        <v>45271</v>
      </c>
      <c r="E10066" s="275">
        <f t="shared" si="1259"/>
        <v>45271</v>
      </c>
      <c r="F10066" s="481" t="s">
        <v>1842</v>
      </c>
      <c r="G10066" s="174" t="s">
        <v>74</v>
      </c>
      <c r="H10066" s="174" t="str" cm="1">
        <f t="array" ref="H10066">IFERROR(INDEX(INVESTOR_LIST[INVESTOR NAME],MATCH(I10066,INVESTOR_LIST[INVESTOR CODE],0),)," ")</f>
        <v xml:space="preserve"> </v>
      </c>
      <c r="I10066" s="148" t="s">
        <v>348</v>
      </c>
      <c r="J10066" s="149" t="s">
        <v>1764</v>
      </c>
      <c r="K10066" s="218">
        <v>5839842</v>
      </c>
      <c r="L10066" s="218"/>
      <c r="M10066" s="147"/>
      <c r="Q10066" s="133" t="s">
        <v>348</v>
      </c>
    </row>
    <row r="10067" spans="1:17" x14ac:dyDescent="0.2">
      <c r="A10067" s="163">
        <v>2023</v>
      </c>
      <c r="B10067" s="163">
        <v>12</v>
      </c>
      <c r="C10067" s="163">
        <v>11</v>
      </c>
      <c r="D10067" s="280">
        <f t="shared" si="1258"/>
        <v>45271</v>
      </c>
      <c r="E10067" s="281">
        <f t="shared" si="1259"/>
        <v>45271</v>
      </c>
      <c r="F10067" s="480"/>
      <c r="G10067" s="221" t="s">
        <v>74</v>
      </c>
      <c r="H10067" s="221" t="str" cm="1">
        <f t="array" ref="H10067">IFERROR(INDEX(INVESTOR_LIST[INVESTOR NAME],MATCH(I10067,INVESTOR_LIST[INVESTOR CODE],0),)," ")</f>
        <v xml:space="preserve"> </v>
      </c>
      <c r="I10067" s="145"/>
      <c r="J10067" s="146" t="s">
        <v>52</v>
      </c>
      <c r="K10067" s="219"/>
      <c r="L10067" s="219">
        <v>5839842</v>
      </c>
      <c r="M10067" s="147"/>
      <c r="Q10067" s="133" t="s">
        <v>348</v>
      </c>
    </row>
    <row r="10068" spans="1:17" x14ac:dyDescent="0.2">
      <c r="A10068" s="133">
        <v>2023</v>
      </c>
      <c r="B10068" s="133">
        <v>12</v>
      </c>
      <c r="C10068" s="133">
        <v>11</v>
      </c>
      <c r="D10068" s="141">
        <f t="shared" ref="D10068:D10072" si="1268">DATE(A10068,B10068,C10068)</f>
        <v>45271</v>
      </c>
      <c r="E10068" s="275">
        <f t="shared" ref="E10068:E10072" si="1269">DATE(A10068,B10068,C10068)</f>
        <v>45271</v>
      </c>
      <c r="F10068" s="481" t="s">
        <v>1842</v>
      </c>
      <c r="G10068" s="174" t="s">
        <v>74</v>
      </c>
      <c r="H10068" s="174" t="str" cm="1">
        <f t="array" ref="H10068">IFERROR(INDEX(INVESTOR_LIST[INVESTOR NAME],MATCH(I10068,INVESTOR_LIST[INVESTOR CODE],0),)," ")</f>
        <v xml:space="preserve"> </v>
      </c>
      <c r="I10068" s="148" t="s">
        <v>348</v>
      </c>
      <c r="J10068" s="149" t="s">
        <v>1764</v>
      </c>
      <c r="K10068" s="218">
        <v>2920632</v>
      </c>
      <c r="L10068" s="218"/>
      <c r="M10068" s="147"/>
      <c r="Q10068" s="133" t="s">
        <v>348</v>
      </c>
    </row>
    <row r="10069" spans="1:17" x14ac:dyDescent="0.2">
      <c r="A10069" s="163">
        <v>2023</v>
      </c>
      <c r="B10069" s="163">
        <v>12</v>
      </c>
      <c r="C10069" s="163">
        <v>11</v>
      </c>
      <c r="D10069" s="280">
        <f t="shared" si="1268"/>
        <v>45271</v>
      </c>
      <c r="E10069" s="281">
        <f t="shared" si="1269"/>
        <v>45271</v>
      </c>
      <c r="F10069" s="480"/>
      <c r="G10069" s="221" t="s">
        <v>74</v>
      </c>
      <c r="H10069" s="221" t="str" cm="1">
        <f t="array" ref="H10069">IFERROR(INDEX(INVESTOR_LIST[INVESTOR NAME],MATCH(I10069,INVESTOR_LIST[INVESTOR CODE],0),)," ")</f>
        <v xml:space="preserve"> </v>
      </c>
      <c r="I10069" s="145"/>
      <c r="J10069" s="146" t="s">
        <v>52</v>
      </c>
      <c r="K10069" s="219"/>
      <c r="L10069" s="219">
        <v>2920632</v>
      </c>
      <c r="M10069" s="147"/>
      <c r="Q10069" s="133" t="s">
        <v>348</v>
      </c>
    </row>
    <row r="10070" spans="1:17" x14ac:dyDescent="0.2">
      <c r="A10070" s="133">
        <v>2023</v>
      </c>
      <c r="B10070" s="133">
        <v>12</v>
      </c>
      <c r="C10070" s="133">
        <v>11</v>
      </c>
      <c r="D10070" s="141">
        <f t="shared" si="1268"/>
        <v>45271</v>
      </c>
      <c r="E10070" s="275">
        <f t="shared" si="1269"/>
        <v>45271</v>
      </c>
      <c r="F10070" s="481" t="s">
        <v>1843</v>
      </c>
      <c r="G10070" s="174" t="s">
        <v>74</v>
      </c>
      <c r="H10070" s="174" t="str" cm="1">
        <f t="array" ref="H10070">IFERROR(INDEX(INVESTOR_LIST[INVESTOR NAME],MATCH(I10070,INVESTOR_LIST[INVESTOR CODE],0),)," ")</f>
        <v xml:space="preserve"> </v>
      </c>
      <c r="I10070" s="148" t="s">
        <v>348</v>
      </c>
      <c r="J10070" s="149" t="s">
        <v>52</v>
      </c>
      <c r="K10070" s="218">
        <v>5839842</v>
      </c>
      <c r="L10070" s="218"/>
      <c r="M10070" s="147"/>
      <c r="Q10070" s="133" t="s">
        <v>348</v>
      </c>
    </row>
    <row r="10071" spans="1:17" x14ac:dyDescent="0.2">
      <c r="A10071" s="163">
        <v>2023</v>
      </c>
      <c r="B10071" s="163">
        <v>12</v>
      </c>
      <c r="C10071" s="163">
        <v>11</v>
      </c>
      <c r="D10071" s="280">
        <f t="shared" si="1268"/>
        <v>45271</v>
      </c>
      <c r="E10071" s="281">
        <f t="shared" si="1269"/>
        <v>45271</v>
      </c>
      <c r="F10071" s="480"/>
      <c r="G10071" s="221" t="s">
        <v>74</v>
      </c>
      <c r="H10071" s="221" t="str" cm="1">
        <f t="array" ref="H10071">IFERROR(INDEX(INVESTOR_LIST[INVESTOR NAME],MATCH(I10071,INVESTOR_LIST[INVESTOR CODE],0),)," ")</f>
        <v xml:space="preserve"> </v>
      </c>
      <c r="I10071" s="145"/>
      <c r="J10071" s="146" t="s">
        <v>1764</v>
      </c>
      <c r="K10071" s="219"/>
      <c r="L10071" s="219">
        <v>5839842</v>
      </c>
      <c r="M10071" s="147"/>
      <c r="Q10071" s="133" t="s">
        <v>348</v>
      </c>
    </row>
    <row r="10072" spans="1:17" x14ac:dyDescent="0.2">
      <c r="A10072" s="168">
        <v>2023</v>
      </c>
      <c r="B10072" s="168">
        <v>12</v>
      </c>
      <c r="C10072" s="168">
        <v>11</v>
      </c>
      <c r="D10072" s="141">
        <f t="shared" si="1268"/>
        <v>45271</v>
      </c>
      <c r="E10072" s="275">
        <f t="shared" si="1269"/>
        <v>45271</v>
      </c>
      <c r="F10072" s="479" t="s">
        <v>1757</v>
      </c>
      <c r="G10072" s="220" t="s">
        <v>74</v>
      </c>
      <c r="H10072" s="220" t="str" cm="1">
        <f t="array" ref="H10072">IFERROR(INDEX(INVESTOR_LIST[INVESTOR NAME],MATCH(I10072,INVESTOR_LIST[INVESTOR CODE],0),)," ")</f>
        <v xml:space="preserve"> </v>
      </c>
      <c r="I10072" s="142"/>
      <c r="J10072" s="143" t="s">
        <v>52</v>
      </c>
      <c r="K10072" s="226">
        <v>1040623.51</v>
      </c>
      <c r="L10072" s="226"/>
    </row>
    <row r="10073" spans="1:17" x14ac:dyDescent="0.2">
      <c r="A10073" s="163">
        <v>2023</v>
      </c>
      <c r="B10073" s="163">
        <v>12</v>
      </c>
      <c r="C10073" s="163">
        <v>11</v>
      </c>
      <c r="D10073" s="280">
        <f>DATE(A10073,B10073,C10073)</f>
        <v>45271</v>
      </c>
      <c r="E10073" s="281">
        <f>DATE(A10073,B10073,C10073)</f>
        <v>45271</v>
      </c>
      <c r="F10073" s="480"/>
      <c r="G10073" s="221" t="s">
        <v>74</v>
      </c>
      <c r="H10073" s="221" t="str" cm="1">
        <f t="array" ref="H10073">IFERROR(INDEX(INVESTOR_LIST[INVESTOR NAME],MATCH(I10073,INVESTOR_LIST[INVESTOR CODE],0),)," ")</f>
        <v xml:space="preserve"> </v>
      </c>
      <c r="I10073" s="145"/>
      <c r="J10073" s="146" t="s">
        <v>190</v>
      </c>
      <c r="K10073" s="219"/>
      <c r="L10073" s="219">
        <v>1040623.51</v>
      </c>
    </row>
    <row r="10074" spans="1:17" x14ac:dyDescent="0.2">
      <c r="A10074" s="133">
        <v>2023</v>
      </c>
      <c r="B10074" s="133">
        <v>12</v>
      </c>
      <c r="C10074" s="133">
        <v>11</v>
      </c>
      <c r="D10074" s="141">
        <f t="shared" ref="D10074:D10077" si="1270">DATE(A10074,B10074,C10074)</f>
        <v>45271</v>
      </c>
      <c r="E10074" s="275">
        <f t="shared" ref="E10074:E10077" si="1271">DATE(A10074,B10074,C10074)</f>
        <v>45271</v>
      </c>
      <c r="F10074" s="481" t="s">
        <v>1753</v>
      </c>
      <c r="G10074" s="174" t="s">
        <v>94</v>
      </c>
      <c r="H10074" s="174" t="str" cm="1">
        <f t="array" ref="H10074">IFERROR(INDEX(INVESTOR_LIST[INVESTOR NAME],MATCH(I10074,INVESTOR_LIST[INVESTOR CODE],0),)," ")</f>
        <v xml:space="preserve"> </v>
      </c>
      <c r="J10074" s="149" t="s">
        <v>190</v>
      </c>
      <c r="K10074" s="218">
        <v>116866.05</v>
      </c>
      <c r="L10074" s="218"/>
      <c r="M10074" s="160"/>
    </row>
    <row r="10075" spans="1:17" x14ac:dyDescent="0.2">
      <c r="A10075" s="133">
        <v>2023</v>
      </c>
      <c r="B10075" s="133">
        <v>12</v>
      </c>
      <c r="C10075" s="133">
        <v>11</v>
      </c>
      <c r="D10075" s="141">
        <f t="shared" si="1270"/>
        <v>45271</v>
      </c>
      <c r="E10075" s="275">
        <f t="shared" si="1271"/>
        <v>45271</v>
      </c>
      <c r="F10075" s="481"/>
      <c r="G10075" s="174" t="s">
        <v>94</v>
      </c>
      <c r="H10075" s="174"/>
      <c r="J10075" s="149" t="s">
        <v>80</v>
      </c>
      <c r="K10075" s="218">
        <v>210.75</v>
      </c>
      <c r="L10075" s="218"/>
      <c r="N10075" s="264"/>
    </row>
    <row r="10076" spans="1:17" x14ac:dyDescent="0.2">
      <c r="A10076" s="133">
        <v>2023</v>
      </c>
      <c r="B10076" s="133">
        <v>12</v>
      </c>
      <c r="C10076" s="133">
        <v>11</v>
      </c>
      <c r="D10076" s="141">
        <f t="shared" si="1270"/>
        <v>45271</v>
      </c>
      <c r="E10076" s="275">
        <f t="shared" si="1271"/>
        <v>45271</v>
      </c>
      <c r="F10076" s="481"/>
      <c r="G10076" s="174" t="s">
        <v>94</v>
      </c>
      <c r="H10076" s="174" t="str" cm="1">
        <f t="array" ref="H10076">IFERROR(INDEX(INVESTOR_LIST[INVESTOR NAME],MATCH(I10076,INVESTOR_LIST[INVESTOR CODE],0),)," ")</f>
        <v xml:space="preserve"> </v>
      </c>
      <c r="J10076" s="149" t="s">
        <v>191</v>
      </c>
      <c r="K10076" s="218"/>
      <c r="L10076" s="218">
        <v>4746.71</v>
      </c>
      <c r="N10076" s="264"/>
    </row>
    <row r="10077" spans="1:17" x14ac:dyDescent="0.2">
      <c r="A10077" s="163">
        <v>2023</v>
      </c>
      <c r="B10077" s="163">
        <v>12</v>
      </c>
      <c r="C10077" s="163">
        <v>11</v>
      </c>
      <c r="D10077" s="280">
        <f t="shared" si="1270"/>
        <v>45271</v>
      </c>
      <c r="E10077" s="281">
        <f t="shared" si="1271"/>
        <v>45271</v>
      </c>
      <c r="F10077" s="480"/>
      <c r="G10077" s="221" t="s">
        <v>94</v>
      </c>
      <c r="H10077" s="145" t="str" cm="1">
        <f t="array" ref="H10077">IFERROR(INDEX(INVESTOR_LIST[INVESTOR NAME],MATCH(I10077,INVESTOR_LIST[INVESTOR CODE],0),)," ")</f>
        <v xml:space="preserve"> </v>
      </c>
      <c r="I10077" s="145"/>
      <c r="J10077" s="163" t="s">
        <v>79</v>
      </c>
      <c r="K10077" s="219"/>
      <c r="L10077" s="219">
        <v>112330.09</v>
      </c>
      <c r="N10077" s="264"/>
    </row>
    <row r="10078" spans="1:17" x14ac:dyDescent="0.2">
      <c r="A10078" s="133">
        <v>2023</v>
      </c>
      <c r="B10078" s="133">
        <v>12</v>
      </c>
      <c r="C10078" s="133">
        <v>12</v>
      </c>
      <c r="D10078" s="141">
        <f t="shared" ref="D10078:D10081" si="1272">DATE(A10078,B10078,C10078)</f>
        <v>45272</v>
      </c>
      <c r="E10078" s="275">
        <f t="shared" ref="E10078:E10081" si="1273">DATE(A10078,B10078,C10078)</f>
        <v>45272</v>
      </c>
      <c r="F10078" s="481" t="s">
        <v>1753</v>
      </c>
      <c r="G10078" s="174" t="s">
        <v>94</v>
      </c>
      <c r="H10078" s="174" t="str" cm="1">
        <f t="array" ref="H10078">IFERROR(INDEX(INVESTOR_LIST[INVESTOR NAME],MATCH(I10078,INVESTOR_LIST[INVESTOR CODE],0),)," ")</f>
        <v xml:space="preserve"> </v>
      </c>
      <c r="J10078" s="149" t="s">
        <v>190</v>
      </c>
      <c r="K10078" s="218">
        <v>1216805.8</v>
      </c>
      <c r="L10078" s="218"/>
      <c r="M10078" s="160"/>
    </row>
    <row r="10079" spans="1:17" x14ac:dyDescent="0.2">
      <c r="A10079" s="133">
        <v>2023</v>
      </c>
      <c r="B10079" s="133">
        <v>12</v>
      </c>
      <c r="C10079" s="133">
        <v>12</v>
      </c>
      <c r="D10079" s="141">
        <f t="shared" si="1272"/>
        <v>45272</v>
      </c>
      <c r="E10079" s="275">
        <f t="shared" si="1273"/>
        <v>45272</v>
      </c>
      <c r="F10079" s="481"/>
      <c r="G10079" s="174" t="s">
        <v>94</v>
      </c>
      <c r="H10079" s="174"/>
      <c r="J10079" s="149" t="s">
        <v>80</v>
      </c>
      <c r="K10079" s="218">
        <v>2194.1999999999998</v>
      </c>
      <c r="L10079" s="218"/>
      <c r="N10079" s="264"/>
    </row>
    <row r="10080" spans="1:17" x14ac:dyDescent="0.2">
      <c r="A10080" s="133">
        <v>2023</v>
      </c>
      <c r="B10080" s="133">
        <v>12</v>
      </c>
      <c r="C10080" s="133">
        <v>12</v>
      </c>
      <c r="D10080" s="141">
        <f t="shared" si="1272"/>
        <v>45272</v>
      </c>
      <c r="E10080" s="275">
        <f t="shared" si="1273"/>
        <v>45272</v>
      </c>
      <c r="F10080" s="481"/>
      <c r="G10080" s="174" t="s">
        <v>94</v>
      </c>
      <c r="H10080" s="174" t="str" cm="1">
        <f t="array" ref="H10080">IFERROR(INDEX(INVESTOR_LIST[INVESTOR NAME],MATCH(I10080,INVESTOR_LIST[INVESTOR CODE],0),)," ")</f>
        <v xml:space="preserve"> </v>
      </c>
      <c r="J10080" s="149" t="s">
        <v>191</v>
      </c>
      <c r="K10080" s="218"/>
      <c r="L10080" s="218">
        <v>48894.85</v>
      </c>
      <c r="N10080" s="264"/>
    </row>
    <row r="10081" spans="1:14" x14ac:dyDescent="0.2">
      <c r="A10081" s="163">
        <v>2023</v>
      </c>
      <c r="B10081" s="163">
        <v>12</v>
      </c>
      <c r="C10081" s="163">
        <v>12</v>
      </c>
      <c r="D10081" s="280">
        <f t="shared" si="1272"/>
        <v>45272</v>
      </c>
      <c r="E10081" s="281">
        <f t="shared" si="1273"/>
        <v>45272</v>
      </c>
      <c r="F10081" s="480"/>
      <c r="G10081" s="221" t="s">
        <v>94</v>
      </c>
      <c r="H10081" s="145" t="str" cm="1">
        <f t="array" ref="H10081">IFERROR(INDEX(INVESTOR_LIST[INVESTOR NAME],MATCH(I10081,INVESTOR_LIST[INVESTOR CODE],0),)," ")</f>
        <v xml:space="preserve"> </v>
      </c>
      <c r="I10081" s="145"/>
      <c r="J10081" s="163" t="s">
        <v>79</v>
      </c>
      <c r="K10081" s="219"/>
      <c r="L10081" s="219">
        <v>1170105.1499999999</v>
      </c>
      <c r="N10081" s="264"/>
    </row>
    <row r="10082" spans="1:14" x14ac:dyDescent="0.2">
      <c r="A10082" s="133">
        <v>2023</v>
      </c>
      <c r="B10082" s="133">
        <v>12</v>
      </c>
      <c r="C10082" s="133">
        <v>13</v>
      </c>
      <c r="D10082" s="141">
        <f t="shared" ref="D10082:D10086" si="1274">DATE(A10082,B10082,C10082)</f>
        <v>45273</v>
      </c>
      <c r="E10082" s="275">
        <f t="shared" ref="E10082:E10086" si="1275">DATE(A10082,B10082,C10082)</f>
        <v>45273</v>
      </c>
      <c r="F10082" s="481" t="s">
        <v>1753</v>
      </c>
      <c r="G10082" s="174" t="s">
        <v>94</v>
      </c>
      <c r="H10082" s="174" t="str" cm="1">
        <f t="array" ref="H10082">IFERROR(INDEX(INVESTOR_LIST[INVESTOR NAME],MATCH(I10082,INVESTOR_LIST[INVESTOR CODE],0),)," ")</f>
        <v xml:space="preserve"> </v>
      </c>
      <c r="J10082" s="149" t="s">
        <v>190</v>
      </c>
      <c r="K10082" s="218">
        <v>3678859.42</v>
      </c>
      <c r="L10082" s="218"/>
      <c r="M10082" s="160"/>
    </row>
    <row r="10083" spans="1:14" x14ac:dyDescent="0.2">
      <c r="A10083" s="133">
        <v>2023</v>
      </c>
      <c r="B10083" s="133">
        <v>12</v>
      </c>
      <c r="C10083" s="133">
        <v>13</v>
      </c>
      <c r="D10083" s="141">
        <f t="shared" si="1274"/>
        <v>45273</v>
      </c>
      <c r="E10083" s="275">
        <f t="shared" si="1275"/>
        <v>45273</v>
      </c>
      <c r="F10083" s="481"/>
      <c r="G10083" s="174" t="s">
        <v>94</v>
      </c>
      <c r="H10083" s="174"/>
      <c r="J10083" s="149" t="s">
        <v>80</v>
      </c>
      <c r="K10083" s="218">
        <v>6633.88</v>
      </c>
      <c r="L10083" s="218"/>
      <c r="M10083" s="264"/>
      <c r="N10083" s="264"/>
    </row>
    <row r="10084" spans="1:14" x14ac:dyDescent="0.2">
      <c r="A10084" s="133">
        <v>2023</v>
      </c>
      <c r="B10084" s="133">
        <v>12</v>
      </c>
      <c r="C10084" s="133">
        <v>13</v>
      </c>
      <c r="D10084" s="141">
        <f t="shared" si="1274"/>
        <v>45273</v>
      </c>
      <c r="E10084" s="275">
        <f t="shared" si="1275"/>
        <v>45273</v>
      </c>
      <c r="F10084" s="481"/>
      <c r="G10084" s="174" t="s">
        <v>94</v>
      </c>
      <c r="H10084" s="174" t="str" cm="1">
        <f t="array" ref="H10084">IFERROR(INDEX(INVESTOR_LIST[INVESTOR NAME],MATCH(I10084,INVESTOR_LIST[INVESTOR CODE],0),)," ")</f>
        <v xml:space="preserve"> </v>
      </c>
      <c r="J10084" s="149" t="s">
        <v>191</v>
      </c>
      <c r="K10084" s="218"/>
      <c r="L10084" s="218">
        <v>100169.26</v>
      </c>
      <c r="N10084" s="264"/>
    </row>
    <row r="10085" spans="1:14" x14ac:dyDescent="0.2">
      <c r="A10085" s="163">
        <v>2023</v>
      </c>
      <c r="B10085" s="163">
        <v>12</v>
      </c>
      <c r="C10085" s="163">
        <v>13</v>
      </c>
      <c r="D10085" s="280">
        <f t="shared" si="1274"/>
        <v>45273</v>
      </c>
      <c r="E10085" s="281">
        <f t="shared" si="1275"/>
        <v>45273</v>
      </c>
      <c r="F10085" s="480"/>
      <c r="G10085" s="221" t="s">
        <v>94</v>
      </c>
      <c r="H10085" s="145" t="str" cm="1">
        <f t="array" ref="H10085">IFERROR(INDEX(INVESTOR_LIST[INVESTOR NAME],MATCH(I10085,INVESTOR_LIST[INVESTOR CODE],0),)," ")</f>
        <v xml:space="preserve"> </v>
      </c>
      <c r="I10085" s="145"/>
      <c r="J10085" s="163" t="s">
        <v>79</v>
      </c>
      <c r="K10085" s="219"/>
      <c r="L10085" s="219">
        <v>3585324.04</v>
      </c>
      <c r="N10085" s="264"/>
    </row>
    <row r="10086" spans="1:14" x14ac:dyDescent="0.2">
      <c r="A10086" s="168">
        <v>2023</v>
      </c>
      <c r="B10086" s="168">
        <v>12</v>
      </c>
      <c r="C10086" s="168">
        <v>13</v>
      </c>
      <c r="D10086" s="141">
        <f t="shared" si="1274"/>
        <v>45273</v>
      </c>
      <c r="E10086" s="275">
        <f t="shared" si="1275"/>
        <v>45273</v>
      </c>
      <c r="F10086" s="479" t="s">
        <v>1757</v>
      </c>
      <c r="G10086" s="220" t="s">
        <v>74</v>
      </c>
      <c r="H10086" s="220" t="str" cm="1">
        <f t="array" ref="H10086">IFERROR(INDEX(INVESTOR_LIST[INVESTOR NAME],MATCH(I10086,INVESTOR_LIST[INVESTOR CODE],0),)," ")</f>
        <v xml:space="preserve"> </v>
      </c>
      <c r="I10086" s="142"/>
      <c r="J10086" s="143" t="s">
        <v>52</v>
      </c>
      <c r="K10086" s="226">
        <v>116866.05</v>
      </c>
      <c r="L10086" s="226"/>
    </row>
    <row r="10087" spans="1:14" x14ac:dyDescent="0.2">
      <c r="A10087" s="163">
        <v>2023</v>
      </c>
      <c r="B10087" s="163">
        <v>12</v>
      </c>
      <c r="C10087" s="163">
        <v>13</v>
      </c>
      <c r="D10087" s="280">
        <f>DATE(A10087,B10087,C10087)</f>
        <v>45273</v>
      </c>
      <c r="E10087" s="281">
        <f>DATE(A10087,B10087,C10087)</f>
        <v>45273</v>
      </c>
      <c r="F10087" s="480"/>
      <c r="G10087" s="221" t="s">
        <v>74</v>
      </c>
      <c r="H10087" s="221" t="str" cm="1">
        <f t="array" ref="H10087">IFERROR(INDEX(INVESTOR_LIST[INVESTOR NAME],MATCH(I10087,INVESTOR_LIST[INVESTOR CODE],0),)," ")</f>
        <v xml:space="preserve"> </v>
      </c>
      <c r="I10087" s="145"/>
      <c r="J10087" s="146" t="s">
        <v>190</v>
      </c>
      <c r="K10087" s="219"/>
      <c r="L10087" s="219">
        <v>116866.05</v>
      </c>
    </row>
    <row r="10088" spans="1:14" x14ac:dyDescent="0.2">
      <c r="A10088" s="133">
        <v>2023</v>
      </c>
      <c r="B10088" s="133">
        <v>12</v>
      </c>
      <c r="C10088" s="133">
        <v>14</v>
      </c>
      <c r="D10088" s="141">
        <f t="shared" ref="D10088:D10105" si="1276">DATE(A10088,B10088,C10088)</f>
        <v>45274</v>
      </c>
      <c r="E10088" s="275">
        <f t="shared" ref="E10088:E10105" si="1277">DATE(A10088,B10088,C10088)</f>
        <v>45274</v>
      </c>
      <c r="F10088" s="481" t="s">
        <v>1753</v>
      </c>
      <c r="G10088" s="174" t="s">
        <v>94</v>
      </c>
      <c r="H10088" s="174" t="str" cm="1">
        <f t="array" ref="H10088">IFERROR(INDEX(INVESTOR_LIST[INVESTOR NAME],MATCH(I10088,INVESTOR_LIST[INVESTOR CODE],0),)," ")</f>
        <v xml:space="preserve"> </v>
      </c>
      <c r="J10088" s="149" t="s">
        <v>190</v>
      </c>
      <c r="K10088" s="218">
        <v>1034703.77</v>
      </c>
      <c r="L10088" s="218"/>
      <c r="M10088" s="160"/>
    </row>
    <row r="10089" spans="1:14" x14ac:dyDescent="0.2">
      <c r="A10089" s="133">
        <v>2023</v>
      </c>
      <c r="B10089" s="133">
        <v>12</v>
      </c>
      <c r="C10089" s="133">
        <v>14</v>
      </c>
      <c r="D10089" s="141">
        <f t="shared" si="1276"/>
        <v>45274</v>
      </c>
      <c r="E10089" s="275">
        <f t="shared" si="1277"/>
        <v>45274</v>
      </c>
      <c r="F10089" s="481"/>
      <c r="G10089" s="174" t="s">
        <v>94</v>
      </c>
      <c r="H10089" s="174"/>
      <c r="J10089" s="149" t="s">
        <v>80</v>
      </c>
      <c r="K10089" s="218">
        <v>1865.83</v>
      </c>
      <c r="L10089" s="218"/>
      <c r="M10089" s="264"/>
      <c r="N10089" s="264"/>
    </row>
    <row r="10090" spans="1:14" x14ac:dyDescent="0.2">
      <c r="A10090" s="133">
        <v>2023</v>
      </c>
      <c r="B10090" s="133">
        <v>12</v>
      </c>
      <c r="C10090" s="133">
        <v>14</v>
      </c>
      <c r="D10090" s="141">
        <f t="shared" si="1276"/>
        <v>45274</v>
      </c>
      <c r="E10090" s="275">
        <f t="shared" si="1277"/>
        <v>45274</v>
      </c>
      <c r="F10090" s="481"/>
      <c r="G10090" s="174" t="s">
        <v>94</v>
      </c>
      <c r="H10090" s="174" t="str" cm="1">
        <f t="array" ref="H10090">IFERROR(INDEX(INVESTOR_LIST[INVESTOR NAME],MATCH(I10090,INVESTOR_LIST[INVESTOR CODE],0),)," ")</f>
        <v xml:space="preserve"> </v>
      </c>
      <c r="J10090" s="149" t="s">
        <v>191</v>
      </c>
      <c r="K10090" s="218"/>
      <c r="L10090" s="218">
        <v>63042.12</v>
      </c>
      <c r="N10090" s="264"/>
    </row>
    <row r="10091" spans="1:14" x14ac:dyDescent="0.2">
      <c r="A10091" s="163">
        <v>2023</v>
      </c>
      <c r="B10091" s="163">
        <v>12</v>
      </c>
      <c r="C10091" s="163">
        <v>14</v>
      </c>
      <c r="D10091" s="280">
        <f t="shared" si="1276"/>
        <v>45274</v>
      </c>
      <c r="E10091" s="281">
        <f t="shared" si="1277"/>
        <v>45274</v>
      </c>
      <c r="F10091" s="480"/>
      <c r="G10091" s="221" t="s">
        <v>94</v>
      </c>
      <c r="H10091" s="145" t="str" cm="1">
        <f t="array" ref="H10091">IFERROR(INDEX(INVESTOR_LIST[INVESTOR NAME],MATCH(I10091,INVESTOR_LIST[INVESTOR CODE],0),)," ")</f>
        <v xml:space="preserve"> </v>
      </c>
      <c r="I10091" s="145"/>
      <c r="J10091" s="163" t="s">
        <v>79</v>
      </c>
      <c r="K10091" s="219"/>
      <c r="L10091" s="219">
        <v>973527.48</v>
      </c>
      <c r="N10091" s="264"/>
    </row>
    <row r="10092" spans="1:14" x14ac:dyDescent="0.2">
      <c r="A10092" s="343">
        <v>2023</v>
      </c>
      <c r="B10092" s="343">
        <v>12</v>
      </c>
      <c r="C10092" s="343">
        <v>14</v>
      </c>
      <c r="D10092" s="344">
        <f t="shared" si="1276"/>
        <v>45274</v>
      </c>
      <c r="E10092" s="345">
        <f t="shared" si="1277"/>
        <v>45274</v>
      </c>
      <c r="F10092" s="483" t="s">
        <v>1813</v>
      </c>
      <c r="G10092" s="350" t="s">
        <v>94</v>
      </c>
      <c r="H10092" s="350" t="str" cm="1">
        <f t="array" ref="H10092">IFERROR(INDEX(INVESTOR_LIST[INVESTOR NAME],MATCH(I10092,INVESTOR_LIST[INVESTOR CODE],0),)," ")</f>
        <v xml:space="preserve"> </v>
      </c>
      <c r="I10092" s="352" t="s">
        <v>348</v>
      </c>
      <c r="J10092" s="353" t="s">
        <v>1798</v>
      </c>
      <c r="K10092" s="354">
        <v>12764.599999999627</v>
      </c>
      <c r="L10092" s="354"/>
    </row>
    <row r="10093" spans="1:14" x14ac:dyDescent="0.2">
      <c r="A10093" s="346">
        <v>2023</v>
      </c>
      <c r="B10093" s="346">
        <v>12</v>
      </c>
      <c r="C10093" s="346">
        <v>14</v>
      </c>
      <c r="D10093" s="344">
        <f t="shared" si="1276"/>
        <v>45274</v>
      </c>
      <c r="E10093" s="345">
        <f t="shared" si="1277"/>
        <v>45274</v>
      </c>
      <c r="F10093" s="484"/>
      <c r="G10093" s="347" t="s">
        <v>94</v>
      </c>
      <c r="H10093" s="347" t="str" cm="1">
        <f t="array" ref="H10093">IFERROR(INDEX(INVESTOR_LIST[INVESTOR NAME],MATCH(I10093,INVESTOR_LIST[INVESTOR CODE],0),)," ")</f>
        <v xml:space="preserve"> </v>
      </c>
      <c r="I10093" s="348" t="s">
        <v>348</v>
      </c>
      <c r="J10093" s="355" t="s">
        <v>1807</v>
      </c>
      <c r="K10093" s="349"/>
      <c r="L10093" s="349">
        <v>12764.599999999627</v>
      </c>
    </row>
    <row r="10094" spans="1:14" x14ac:dyDescent="0.2">
      <c r="A10094" s="238">
        <v>2023</v>
      </c>
      <c r="B10094" s="238">
        <v>12</v>
      </c>
      <c r="C10094" s="238">
        <v>14</v>
      </c>
      <c r="D10094" s="270">
        <f t="shared" si="1276"/>
        <v>45274</v>
      </c>
      <c r="E10094" s="279">
        <f t="shared" si="1277"/>
        <v>45274</v>
      </c>
      <c r="F10094" s="477" t="s">
        <v>347</v>
      </c>
      <c r="G10094" s="239" t="s">
        <v>94</v>
      </c>
      <c r="H10094" s="239" t="str" cm="1">
        <f t="array" ref="H10094">IFERROR(INDEX(INVESTOR_LIST[INVESTOR NAME],MATCH(I10094,INVESTOR_LIST[INVESTOR CODE],0),)," ")</f>
        <v xml:space="preserve"> </v>
      </c>
      <c r="I10094" s="262" t="s">
        <v>348</v>
      </c>
      <c r="J10094" s="240" t="s">
        <v>108</v>
      </c>
      <c r="K10094" s="241">
        <v>121191.49000000954</v>
      </c>
      <c r="L10094" s="241"/>
    </row>
    <row r="10095" spans="1:14" x14ac:dyDescent="0.2">
      <c r="A10095" s="242">
        <v>2023</v>
      </c>
      <c r="B10095" s="242">
        <v>12</v>
      </c>
      <c r="C10095" s="242">
        <v>14</v>
      </c>
      <c r="D10095" s="270">
        <f t="shared" si="1276"/>
        <v>45274</v>
      </c>
      <c r="E10095" s="279">
        <f t="shared" si="1277"/>
        <v>45274</v>
      </c>
      <c r="F10095" s="478"/>
      <c r="G10095" s="243" t="s">
        <v>94</v>
      </c>
      <c r="H10095" s="243" t="str" cm="1">
        <f t="array" ref="H10095">IFERROR(INDEX(INVESTOR_LIST[INVESTOR NAME],MATCH(I10095,INVESTOR_LIST[INVESTOR CODE],0),)," ")</f>
        <v xml:space="preserve"> </v>
      </c>
      <c r="I10095" s="263" t="s">
        <v>348</v>
      </c>
      <c r="J10095" s="244" t="s">
        <v>82</v>
      </c>
      <c r="K10095" s="245"/>
      <c r="L10095" s="245">
        <v>121191.49000000954</v>
      </c>
    </row>
    <row r="10096" spans="1:14" ht="22.5" x14ac:dyDescent="0.2">
      <c r="A10096" s="246">
        <v>2023</v>
      </c>
      <c r="B10096" s="238">
        <v>12</v>
      </c>
      <c r="C10096" s="238">
        <v>14</v>
      </c>
      <c r="D10096" s="270">
        <f t="shared" si="1276"/>
        <v>45274</v>
      </c>
      <c r="E10096" s="279">
        <f t="shared" si="1277"/>
        <v>45274</v>
      </c>
      <c r="F10096" s="482" t="s">
        <v>148</v>
      </c>
      <c r="G10096" s="247" t="s">
        <v>94</v>
      </c>
      <c r="H10096" s="247" t="str" cm="1">
        <f t="array" ref="H10096">IFERROR(INDEX(INVESTOR_LIST[INVESTOR NAME],MATCH(I10096,INVESTOR_LIST[INVESTOR CODE],0),)," ")</f>
        <v xml:space="preserve"> </v>
      </c>
      <c r="I10096" s="248" t="s">
        <v>348</v>
      </c>
      <c r="J10096" s="249" t="s">
        <v>95</v>
      </c>
      <c r="K10096" s="250">
        <v>2747.2527472527472</v>
      </c>
      <c r="L10096" s="241"/>
    </row>
    <row r="10097" spans="1:17" x14ac:dyDescent="0.2">
      <c r="A10097" s="242">
        <v>2023</v>
      </c>
      <c r="B10097" s="242">
        <v>12</v>
      </c>
      <c r="C10097" s="242">
        <v>14</v>
      </c>
      <c r="D10097" s="270">
        <f t="shared" si="1276"/>
        <v>45274</v>
      </c>
      <c r="E10097" s="279">
        <f t="shared" si="1277"/>
        <v>45274</v>
      </c>
      <c r="F10097" s="478"/>
      <c r="G10097" s="243" t="s">
        <v>94</v>
      </c>
      <c r="H10097" s="243" t="str" cm="1">
        <f t="array" ref="H10097">IFERROR(INDEX(INVESTOR_LIST[INVESTOR NAME],MATCH(I10097,INVESTOR_LIST[INVESTOR CODE],0),)," ")</f>
        <v xml:space="preserve"> </v>
      </c>
      <c r="I10097" s="263" t="s">
        <v>348</v>
      </c>
      <c r="J10097" s="244" t="s">
        <v>63</v>
      </c>
      <c r="K10097" s="245"/>
      <c r="L10097" s="245">
        <v>2747.2527472527472</v>
      </c>
    </row>
    <row r="10098" spans="1:17" x14ac:dyDescent="0.2">
      <c r="A10098" s="246">
        <v>2023</v>
      </c>
      <c r="B10098" s="238">
        <v>12</v>
      </c>
      <c r="C10098" s="238">
        <v>14</v>
      </c>
      <c r="D10098" s="270">
        <f t="shared" si="1276"/>
        <v>45274</v>
      </c>
      <c r="E10098" s="279">
        <f t="shared" si="1277"/>
        <v>45274</v>
      </c>
      <c r="F10098" s="482" t="s">
        <v>137</v>
      </c>
      <c r="G10098" s="247" t="s">
        <v>94</v>
      </c>
      <c r="H10098" s="247" t="str" cm="1">
        <f t="array" ref="H10098">IFERROR(INDEX(INVESTOR_LIST[INVESTOR NAME],MATCH(I10098,INVESTOR_LIST[INVESTOR CODE],0),)," ")</f>
        <v xml:space="preserve"> </v>
      </c>
      <c r="I10098" s="248" t="s">
        <v>348</v>
      </c>
      <c r="J10098" s="249" t="s">
        <v>97</v>
      </c>
      <c r="K10098" s="250">
        <v>58912.346488565672</v>
      </c>
      <c r="L10098" s="252"/>
    </row>
    <row r="10099" spans="1:17" x14ac:dyDescent="0.2">
      <c r="A10099" s="242">
        <v>2023</v>
      </c>
      <c r="B10099" s="242">
        <v>12</v>
      </c>
      <c r="C10099" s="242">
        <v>14</v>
      </c>
      <c r="D10099" s="270">
        <f t="shared" si="1276"/>
        <v>45274</v>
      </c>
      <c r="E10099" s="279">
        <f t="shared" si="1277"/>
        <v>45274</v>
      </c>
      <c r="F10099" s="478"/>
      <c r="G10099" s="243" t="s">
        <v>94</v>
      </c>
      <c r="H10099" s="243" t="str" cm="1">
        <f t="array" ref="H10099">IFERROR(INDEX(INVESTOR_LIST[INVESTOR NAME],MATCH(I10099,INVESTOR_LIST[INVESTOR CODE],0),)," ")</f>
        <v xml:space="preserve"> </v>
      </c>
      <c r="I10099" s="263" t="s">
        <v>348</v>
      </c>
      <c r="J10099" s="244" t="s">
        <v>47</v>
      </c>
      <c r="K10099" s="245"/>
      <c r="L10099" s="245">
        <v>58912.346488565672</v>
      </c>
    </row>
    <row r="10100" spans="1:17" x14ac:dyDescent="0.2">
      <c r="A10100" s="246">
        <v>2023</v>
      </c>
      <c r="B10100" s="238">
        <v>12</v>
      </c>
      <c r="C10100" s="238">
        <v>14</v>
      </c>
      <c r="D10100" s="270">
        <f t="shared" si="1276"/>
        <v>45274</v>
      </c>
      <c r="E10100" s="279">
        <f t="shared" si="1277"/>
        <v>45274</v>
      </c>
      <c r="F10100" s="482" t="s">
        <v>138</v>
      </c>
      <c r="G10100" s="247" t="s">
        <v>94</v>
      </c>
      <c r="H10100" s="247" t="str" cm="1">
        <f t="array" ref="H10100">IFERROR(INDEX(INVESTOR_LIST[INVESTOR NAME],MATCH(I10100,INVESTOR_LIST[INVESTOR CODE],0),)," ")</f>
        <v xml:space="preserve"> </v>
      </c>
      <c r="I10100" s="248" t="s">
        <v>348</v>
      </c>
      <c r="J10100" s="249" t="s">
        <v>100</v>
      </c>
      <c r="K10100" s="250">
        <v>2705.2327090436684</v>
      </c>
      <c r="L10100" s="252"/>
    </row>
    <row r="10101" spans="1:17" x14ac:dyDescent="0.2">
      <c r="A10101" s="242">
        <v>2023</v>
      </c>
      <c r="B10101" s="242">
        <v>12</v>
      </c>
      <c r="C10101" s="242">
        <v>14</v>
      </c>
      <c r="D10101" s="321">
        <f t="shared" si="1276"/>
        <v>45274</v>
      </c>
      <c r="E10101" s="322">
        <f t="shared" si="1277"/>
        <v>45274</v>
      </c>
      <c r="F10101" s="478"/>
      <c r="G10101" s="243" t="s">
        <v>94</v>
      </c>
      <c r="H10101" s="243" t="str" cm="1">
        <f t="array" ref="H10101">IFERROR(INDEX(INVESTOR_LIST[INVESTOR NAME],MATCH(I10101,INVESTOR_LIST[INVESTOR CODE],0),)," ")</f>
        <v xml:space="preserve"> </v>
      </c>
      <c r="I10101" s="263" t="s">
        <v>348</v>
      </c>
      <c r="J10101" s="244" t="s">
        <v>48</v>
      </c>
      <c r="K10101" s="245"/>
      <c r="L10101" s="245">
        <v>2705.2327090436684</v>
      </c>
    </row>
    <row r="10102" spans="1:17" x14ac:dyDescent="0.2">
      <c r="A10102" s="168">
        <v>2023</v>
      </c>
      <c r="B10102" s="168">
        <v>12</v>
      </c>
      <c r="C10102" s="168">
        <v>17</v>
      </c>
      <c r="D10102" s="141">
        <f t="shared" si="1276"/>
        <v>45277</v>
      </c>
      <c r="E10102" s="275">
        <f t="shared" si="1277"/>
        <v>45277</v>
      </c>
      <c r="F10102" s="479" t="s">
        <v>1319</v>
      </c>
      <c r="G10102" s="220" t="s">
        <v>74</v>
      </c>
      <c r="H10102" s="142" t="str" cm="1">
        <f t="array" ref="H10102">IFERROR(INDEX(INVESTOR_LIST[INVESTOR NAME],MATCH(I10102,INVESTOR_LIST[INVESTOR CODE],0),)," ")</f>
        <v xml:space="preserve"> </v>
      </c>
      <c r="I10102" s="142"/>
      <c r="J10102" s="168" t="s">
        <v>52</v>
      </c>
      <c r="K10102" s="226">
        <v>17000</v>
      </c>
      <c r="L10102" s="226"/>
    </row>
    <row r="10103" spans="1:17" x14ac:dyDescent="0.2">
      <c r="A10103" s="133">
        <v>2023</v>
      </c>
      <c r="B10103" s="133">
        <v>12</v>
      </c>
      <c r="C10103" s="133">
        <v>17</v>
      </c>
      <c r="D10103" s="141">
        <f t="shared" si="1276"/>
        <v>45277</v>
      </c>
      <c r="E10103" s="275">
        <f t="shared" si="1277"/>
        <v>45277</v>
      </c>
      <c r="F10103" s="481"/>
      <c r="G10103" s="174" t="s">
        <v>74</v>
      </c>
      <c r="H10103" s="148" t="str" cm="1">
        <f t="array" ref="H10103">IFERROR(INDEX(INVESTOR_LIST[INVESTOR NAME],MATCH(I10103,INVESTOR_LIST[INVESTOR CODE],0),)," ")</f>
        <v xml:space="preserve"> </v>
      </c>
      <c r="J10103" s="133" t="s">
        <v>13</v>
      </c>
      <c r="K10103" s="218"/>
      <c r="L10103" s="218">
        <v>13670</v>
      </c>
    </row>
    <row r="10104" spans="1:17" x14ac:dyDescent="0.2">
      <c r="A10104" s="163">
        <v>2023</v>
      </c>
      <c r="B10104" s="163">
        <v>12</v>
      </c>
      <c r="C10104" s="163">
        <v>17</v>
      </c>
      <c r="D10104" s="280">
        <f t="shared" si="1276"/>
        <v>45277</v>
      </c>
      <c r="E10104" s="281">
        <f t="shared" si="1277"/>
        <v>45277</v>
      </c>
      <c r="F10104" s="480"/>
      <c r="G10104" s="221" t="s">
        <v>74</v>
      </c>
      <c r="H10104" s="145" t="str" cm="1">
        <f t="array" ref="H10104">IFERROR(INDEX(INVESTOR_LIST[INVESTOR NAME],MATCH(I10104,INVESTOR_LIST[INVESTOR CODE],0),)," ")</f>
        <v xml:space="preserve"> </v>
      </c>
      <c r="I10104" s="145"/>
      <c r="J10104" s="163" t="s">
        <v>53</v>
      </c>
      <c r="K10104" s="219"/>
      <c r="L10104" s="219">
        <v>3330</v>
      </c>
    </row>
    <row r="10105" spans="1:17" x14ac:dyDescent="0.2">
      <c r="A10105" s="168">
        <v>2023</v>
      </c>
      <c r="B10105" s="168">
        <v>12</v>
      </c>
      <c r="C10105" s="168">
        <v>17</v>
      </c>
      <c r="D10105" s="141">
        <f t="shared" si="1276"/>
        <v>45277</v>
      </c>
      <c r="E10105" s="275">
        <f t="shared" si="1277"/>
        <v>45277</v>
      </c>
      <c r="F10105" s="479" t="s">
        <v>1757</v>
      </c>
      <c r="G10105" s="220" t="s">
        <v>74</v>
      </c>
      <c r="H10105" s="220" t="str" cm="1">
        <f t="array" ref="H10105">IFERROR(INDEX(INVESTOR_LIST[INVESTOR NAME],MATCH(I10105,INVESTOR_LIST[INVESTOR CODE],0),)," ")</f>
        <v xml:space="preserve"> </v>
      </c>
      <c r="I10105" s="142"/>
      <c r="J10105" s="143" t="s">
        <v>52</v>
      </c>
      <c r="K10105" s="226">
        <v>1216805.8</v>
      </c>
      <c r="L10105" s="226"/>
    </row>
    <row r="10106" spans="1:17" x14ac:dyDescent="0.2">
      <c r="A10106" s="163">
        <v>2023</v>
      </c>
      <c r="B10106" s="163">
        <v>12</v>
      </c>
      <c r="C10106" s="163">
        <v>17</v>
      </c>
      <c r="D10106" s="280">
        <f>DATE(A10106,B10106,C10106)</f>
        <v>45277</v>
      </c>
      <c r="E10106" s="281">
        <f>DATE(A10106,B10106,C10106)</f>
        <v>45277</v>
      </c>
      <c r="F10106" s="480"/>
      <c r="G10106" s="221" t="s">
        <v>74</v>
      </c>
      <c r="H10106" s="221" t="str" cm="1">
        <f t="array" ref="H10106">IFERROR(INDEX(INVESTOR_LIST[INVESTOR NAME],MATCH(I10106,INVESTOR_LIST[INVESTOR CODE],0),)," ")</f>
        <v xml:space="preserve"> </v>
      </c>
      <c r="I10106" s="145"/>
      <c r="J10106" s="146" t="s">
        <v>190</v>
      </c>
      <c r="K10106" s="219"/>
      <c r="L10106" s="219">
        <v>1216805.8</v>
      </c>
    </row>
    <row r="10107" spans="1:17" x14ac:dyDescent="0.2">
      <c r="A10107" s="133">
        <v>2023</v>
      </c>
      <c r="B10107" s="133">
        <v>12</v>
      </c>
      <c r="C10107" s="133">
        <v>18</v>
      </c>
      <c r="D10107" s="141">
        <f t="shared" ref="D10107:D10113" si="1278">DATE(A10107,B10107,C10107)</f>
        <v>45278</v>
      </c>
      <c r="E10107" s="275">
        <f t="shared" ref="E10107:E10113" si="1279">DATE(A10107,B10107,C10107)</f>
        <v>45278</v>
      </c>
      <c r="F10107" s="481" t="s">
        <v>1844</v>
      </c>
      <c r="G10107" s="174" t="s">
        <v>74</v>
      </c>
      <c r="H10107" s="174" t="str" cm="1">
        <f t="array" ref="H10107">IFERROR(INDEX(INVESTOR_LIST[INVESTOR NAME],MATCH(I10107,INVESTOR_LIST[INVESTOR CODE],0),)," ")</f>
        <v xml:space="preserve"> </v>
      </c>
      <c r="I10107" s="148" t="s">
        <v>348</v>
      </c>
      <c r="J10107" s="149" t="s">
        <v>1764</v>
      </c>
      <c r="K10107" s="218">
        <v>4865355</v>
      </c>
      <c r="L10107" s="218"/>
      <c r="M10107" s="147"/>
      <c r="Q10107" s="133" t="s">
        <v>348</v>
      </c>
    </row>
    <row r="10108" spans="1:17" x14ac:dyDescent="0.2">
      <c r="A10108" s="163">
        <v>2023</v>
      </c>
      <c r="B10108" s="163">
        <v>12</v>
      </c>
      <c r="C10108" s="163">
        <v>18</v>
      </c>
      <c r="D10108" s="280">
        <f t="shared" si="1278"/>
        <v>45278</v>
      </c>
      <c r="E10108" s="281">
        <f t="shared" si="1279"/>
        <v>45278</v>
      </c>
      <c r="F10108" s="480"/>
      <c r="G10108" s="221" t="s">
        <v>74</v>
      </c>
      <c r="H10108" s="221" t="str" cm="1">
        <f t="array" ref="H10108">IFERROR(INDEX(INVESTOR_LIST[INVESTOR NAME],MATCH(I10108,INVESTOR_LIST[INVESTOR CODE],0),)," ")</f>
        <v xml:space="preserve"> </v>
      </c>
      <c r="I10108" s="145"/>
      <c r="J10108" s="146" t="s">
        <v>52</v>
      </c>
      <c r="K10108" s="219"/>
      <c r="L10108" s="219">
        <v>4865355</v>
      </c>
      <c r="M10108" s="147"/>
      <c r="Q10108" s="133" t="s">
        <v>348</v>
      </c>
    </row>
    <row r="10109" spans="1:17" x14ac:dyDescent="0.2">
      <c r="A10109" s="133">
        <v>2023</v>
      </c>
      <c r="B10109" s="133">
        <v>12</v>
      </c>
      <c r="C10109" s="133">
        <v>18</v>
      </c>
      <c r="D10109" s="141">
        <f t="shared" si="1278"/>
        <v>45278</v>
      </c>
      <c r="E10109" s="275">
        <f t="shared" si="1279"/>
        <v>45278</v>
      </c>
      <c r="F10109" s="481" t="s">
        <v>1844</v>
      </c>
      <c r="G10109" s="174" t="s">
        <v>74</v>
      </c>
      <c r="H10109" s="174" t="str" cm="1">
        <f t="array" ref="H10109">IFERROR(INDEX(INVESTOR_LIST[INVESTOR NAME],MATCH(I10109,INVESTOR_LIST[INVESTOR CODE],0),)," ")</f>
        <v xml:space="preserve"> </v>
      </c>
      <c r="I10109" s="148" t="s">
        <v>348</v>
      </c>
      <c r="J10109" s="149" t="s">
        <v>1764</v>
      </c>
      <c r="K10109" s="218">
        <v>4866135</v>
      </c>
      <c r="L10109" s="218"/>
      <c r="M10109" s="147"/>
      <c r="Q10109" s="133" t="s">
        <v>348</v>
      </c>
    </row>
    <row r="10110" spans="1:17" x14ac:dyDescent="0.2">
      <c r="A10110" s="163">
        <v>2023</v>
      </c>
      <c r="B10110" s="163">
        <v>12</v>
      </c>
      <c r="C10110" s="163">
        <v>18</v>
      </c>
      <c r="D10110" s="280">
        <f t="shared" si="1278"/>
        <v>45278</v>
      </c>
      <c r="E10110" s="281">
        <f t="shared" si="1279"/>
        <v>45278</v>
      </c>
      <c r="F10110" s="480"/>
      <c r="G10110" s="221" t="s">
        <v>74</v>
      </c>
      <c r="H10110" s="221" t="str" cm="1">
        <f t="array" ref="H10110">IFERROR(INDEX(INVESTOR_LIST[INVESTOR NAME],MATCH(I10110,INVESTOR_LIST[INVESTOR CODE],0),)," ")</f>
        <v xml:space="preserve"> </v>
      </c>
      <c r="I10110" s="145"/>
      <c r="J10110" s="146" t="s">
        <v>52</v>
      </c>
      <c r="K10110" s="219"/>
      <c r="L10110" s="219">
        <v>4866135</v>
      </c>
      <c r="M10110" s="147"/>
      <c r="Q10110" s="133" t="s">
        <v>348</v>
      </c>
    </row>
    <row r="10111" spans="1:17" ht="11.25" customHeight="1" x14ac:dyDescent="0.2">
      <c r="A10111" s="168">
        <v>2023</v>
      </c>
      <c r="B10111" s="168">
        <v>12</v>
      </c>
      <c r="C10111" s="168">
        <v>18</v>
      </c>
      <c r="D10111" s="141">
        <f t="shared" si="1278"/>
        <v>45278</v>
      </c>
      <c r="E10111" s="275">
        <f t="shared" si="1279"/>
        <v>45278</v>
      </c>
      <c r="F10111" s="479" t="s">
        <v>1310</v>
      </c>
      <c r="G10111" s="220" t="s">
        <v>74</v>
      </c>
      <c r="H10111" s="142" t="str" cm="1">
        <f t="array" ref="H10111">IFERROR(INDEX(INVESTOR_LIST[INVESTOR NAME],MATCH(I10111,INVESTOR_LIST[INVESTOR CODE],0),)," ")</f>
        <v>MOHAMMAD MOHIBUL ISLAM</v>
      </c>
      <c r="I10111" s="142" t="s">
        <v>481</v>
      </c>
      <c r="J10111" s="168" t="s">
        <v>13</v>
      </c>
      <c r="K10111" s="218">
        <v>142170</v>
      </c>
      <c r="L10111" s="226"/>
    </row>
    <row r="10112" spans="1:17" ht="11.25" customHeight="1" x14ac:dyDescent="0.2">
      <c r="A10112" s="133">
        <v>2023</v>
      </c>
      <c r="B10112" s="133">
        <v>12</v>
      </c>
      <c r="C10112" s="133">
        <v>18</v>
      </c>
      <c r="D10112" s="141">
        <f t="shared" si="1278"/>
        <v>45278</v>
      </c>
      <c r="E10112" s="275">
        <f t="shared" si="1279"/>
        <v>45278</v>
      </c>
      <c r="F10112" s="481"/>
      <c r="G10112" s="174" t="s">
        <v>74</v>
      </c>
      <c r="H10112" s="148" t="str" cm="1">
        <f t="array" ref="H10112">IFERROR(INDEX(INVESTOR_LIST[INVESTOR NAME],MATCH(I10112,INVESTOR_LIST[INVESTOR CODE],0),)," ")</f>
        <v>MOHAMMAD MOHIBUL ISLAM</v>
      </c>
      <c r="I10112" s="148" t="s">
        <v>481</v>
      </c>
      <c r="J10112" s="133" t="s">
        <v>53</v>
      </c>
      <c r="K10112" s="218">
        <v>34845.869999999995</v>
      </c>
      <c r="L10112" s="133"/>
    </row>
    <row r="10113" spans="1:17" ht="11.25" customHeight="1" x14ac:dyDescent="0.2">
      <c r="A10113" s="163">
        <v>2023</v>
      </c>
      <c r="B10113" s="163">
        <v>12</v>
      </c>
      <c r="C10113" s="163">
        <v>18</v>
      </c>
      <c r="D10113" s="280">
        <f t="shared" si="1278"/>
        <v>45278</v>
      </c>
      <c r="E10113" s="281">
        <f t="shared" si="1279"/>
        <v>45278</v>
      </c>
      <c r="F10113" s="480"/>
      <c r="G10113" s="221" t="s">
        <v>74</v>
      </c>
      <c r="H10113" s="145" t="str" cm="1">
        <f t="array" ref="H10113">IFERROR(INDEX(INVESTOR_LIST[INVESTOR NAME],MATCH(I10113,INVESTOR_LIST[INVESTOR CODE],0),)," ")</f>
        <v>MOHAMMAD MOHIBUL ISLAM</v>
      </c>
      <c r="I10113" s="145" t="s">
        <v>481</v>
      </c>
      <c r="J10113" s="163" t="s">
        <v>52</v>
      </c>
      <c r="K10113" s="219"/>
      <c r="L10113" s="219">
        <v>177015.87</v>
      </c>
    </row>
    <row r="10114" spans="1:17" ht="11.25" customHeight="1" x14ac:dyDescent="0.2">
      <c r="A10114" s="168">
        <v>2023</v>
      </c>
      <c r="B10114" s="168">
        <v>12</v>
      </c>
      <c r="C10114" s="168">
        <v>18</v>
      </c>
      <c r="D10114" s="141">
        <f t="shared" ref="D10114:D10118" si="1280">DATE(A10114,B10114,C10114)</f>
        <v>45278</v>
      </c>
      <c r="E10114" s="275">
        <f t="shared" ref="E10114:E10118" si="1281">DATE(A10114,B10114,C10114)</f>
        <v>45278</v>
      </c>
      <c r="F10114" s="479" t="s">
        <v>1448</v>
      </c>
      <c r="G10114" s="220" t="s">
        <v>74</v>
      </c>
      <c r="H10114" s="142" t="str" cm="1">
        <f t="array" ref="H10114">IFERROR(INDEX(INVESTOR_LIST[INVESTOR NAME],MATCH(I10114,INVESTOR_LIST[INVESTOR CODE],0),)," ")</f>
        <v>ISTIAK AHMED PROBAL</v>
      </c>
      <c r="I10114" s="142" t="s">
        <v>497</v>
      </c>
      <c r="J10114" s="168" t="s">
        <v>13</v>
      </c>
      <c r="K10114" s="218">
        <v>440290</v>
      </c>
      <c r="L10114" s="226"/>
    </row>
    <row r="10115" spans="1:17" ht="11.25" customHeight="1" x14ac:dyDescent="0.2">
      <c r="A10115" s="133">
        <v>2023</v>
      </c>
      <c r="B10115" s="133">
        <v>12</v>
      </c>
      <c r="C10115" s="133">
        <v>18</v>
      </c>
      <c r="D10115" s="141">
        <f t="shared" si="1280"/>
        <v>45278</v>
      </c>
      <c r="E10115" s="275">
        <f t="shared" si="1281"/>
        <v>45278</v>
      </c>
      <c r="F10115" s="481"/>
      <c r="G10115" s="174" t="s">
        <v>74</v>
      </c>
      <c r="H10115" s="148" t="str" cm="1">
        <f t="array" ref="H10115">IFERROR(INDEX(INVESTOR_LIST[INVESTOR NAME],MATCH(I10115,INVESTOR_LIST[INVESTOR CODE],0),)," ")</f>
        <v>ISTIAK AHMED PROBAL</v>
      </c>
      <c r="I10115" s="148" t="s">
        <v>497</v>
      </c>
      <c r="J10115" s="133" t="s">
        <v>53</v>
      </c>
      <c r="K10115" s="218">
        <v>107915.08</v>
      </c>
      <c r="L10115" s="133"/>
    </row>
    <row r="10116" spans="1:17" ht="11.25" customHeight="1" x14ac:dyDescent="0.2">
      <c r="A10116" s="163">
        <v>2023</v>
      </c>
      <c r="B10116" s="163">
        <v>12</v>
      </c>
      <c r="C10116" s="163">
        <v>18</v>
      </c>
      <c r="D10116" s="280">
        <f t="shared" si="1280"/>
        <v>45278</v>
      </c>
      <c r="E10116" s="281">
        <f t="shared" si="1281"/>
        <v>45278</v>
      </c>
      <c r="F10116" s="480"/>
      <c r="G10116" s="221" t="s">
        <v>74</v>
      </c>
      <c r="H10116" s="145" t="str" cm="1">
        <f t="array" ref="H10116">IFERROR(INDEX(INVESTOR_LIST[INVESTOR NAME],MATCH(I10116,INVESTOR_LIST[INVESTOR CODE],0),)," ")</f>
        <v>ISTIAK AHMED PROBAL</v>
      </c>
      <c r="I10116" s="145" t="s">
        <v>497</v>
      </c>
      <c r="J10116" s="163" t="s">
        <v>52</v>
      </c>
      <c r="K10116" s="219"/>
      <c r="L10116" s="219">
        <v>548205.07999999996</v>
      </c>
    </row>
    <row r="10117" spans="1:17" x14ac:dyDescent="0.2">
      <c r="A10117" s="168">
        <v>2023</v>
      </c>
      <c r="B10117" s="168">
        <v>12</v>
      </c>
      <c r="C10117" s="168">
        <v>19</v>
      </c>
      <c r="D10117" s="141">
        <f t="shared" si="1280"/>
        <v>45279</v>
      </c>
      <c r="E10117" s="275">
        <f t="shared" si="1281"/>
        <v>45279</v>
      </c>
      <c r="F10117" s="479" t="s">
        <v>1845</v>
      </c>
      <c r="G10117" s="220" t="s">
        <v>74</v>
      </c>
      <c r="H10117" s="220"/>
      <c r="I10117" s="142"/>
      <c r="J10117" s="143" t="s">
        <v>52</v>
      </c>
      <c r="K10117" s="226">
        <v>21250</v>
      </c>
      <c r="L10117" s="226"/>
      <c r="N10117" s="160"/>
    </row>
    <row r="10118" spans="1:17" x14ac:dyDescent="0.2">
      <c r="A10118" s="163">
        <v>2023</v>
      </c>
      <c r="B10118" s="163">
        <v>12</v>
      </c>
      <c r="C10118" s="163">
        <v>19</v>
      </c>
      <c r="D10118" s="280">
        <f t="shared" si="1280"/>
        <v>45279</v>
      </c>
      <c r="E10118" s="281">
        <f t="shared" si="1281"/>
        <v>45279</v>
      </c>
      <c r="F10118" s="480"/>
      <c r="G10118" s="221" t="s">
        <v>74</v>
      </c>
      <c r="H10118" s="221"/>
      <c r="I10118" s="145"/>
      <c r="J10118" s="163" t="s">
        <v>133</v>
      </c>
      <c r="K10118" s="219"/>
      <c r="L10118" s="219">
        <v>21250</v>
      </c>
      <c r="N10118" s="160"/>
    </row>
    <row r="10119" spans="1:17" ht="11.25" customHeight="1" x14ac:dyDescent="0.2">
      <c r="A10119" s="168">
        <v>2023</v>
      </c>
      <c r="B10119" s="168">
        <v>12</v>
      </c>
      <c r="C10119" s="168">
        <v>19</v>
      </c>
      <c r="D10119" s="141">
        <f t="shared" ref="D10119:D10121" si="1282">DATE(A10119,B10119,C10119)</f>
        <v>45279</v>
      </c>
      <c r="E10119" s="275">
        <f t="shared" ref="E10119:E10121" si="1283">DATE(A10119,B10119,C10119)</f>
        <v>45279</v>
      </c>
      <c r="F10119" s="479" t="s">
        <v>1847</v>
      </c>
      <c r="G10119" s="220" t="s">
        <v>74</v>
      </c>
      <c r="H10119" s="220"/>
      <c r="I10119" s="142"/>
      <c r="J10119" s="143" t="s">
        <v>52</v>
      </c>
      <c r="K10119" s="226">
        <v>18125</v>
      </c>
      <c r="L10119" s="226"/>
      <c r="N10119" s="160"/>
    </row>
    <row r="10120" spans="1:17" ht="11.25" customHeight="1" x14ac:dyDescent="0.2">
      <c r="A10120" s="133">
        <v>2023</v>
      </c>
      <c r="B10120" s="133">
        <v>12</v>
      </c>
      <c r="C10120" s="133">
        <v>19</v>
      </c>
      <c r="D10120" s="141">
        <f t="shared" ref="D10120" si="1284">DATE(A10120,B10120,C10120)</f>
        <v>45279</v>
      </c>
      <c r="E10120" s="275">
        <f t="shared" ref="E10120" si="1285">DATE(A10120,B10120,C10120)</f>
        <v>45279</v>
      </c>
      <c r="F10120" s="481"/>
      <c r="G10120" s="174" t="s">
        <v>74</v>
      </c>
      <c r="H10120" s="174"/>
      <c r="J10120" s="149" t="s">
        <v>133</v>
      </c>
      <c r="K10120" s="218">
        <v>3125</v>
      </c>
      <c r="L10120" s="218"/>
      <c r="N10120" s="160"/>
    </row>
    <row r="10121" spans="1:17" x14ac:dyDescent="0.2">
      <c r="A10121" s="163">
        <v>2023</v>
      </c>
      <c r="B10121" s="163">
        <v>12</v>
      </c>
      <c r="C10121" s="163">
        <v>19</v>
      </c>
      <c r="D10121" s="280">
        <f t="shared" si="1282"/>
        <v>45279</v>
      </c>
      <c r="E10121" s="281">
        <f t="shared" si="1283"/>
        <v>45279</v>
      </c>
      <c r="F10121" s="480"/>
      <c r="G10121" s="221" t="s">
        <v>74</v>
      </c>
      <c r="H10121" s="221"/>
      <c r="I10121" s="145"/>
      <c r="J10121" s="163" t="s">
        <v>133</v>
      </c>
      <c r="K10121" s="219"/>
      <c r="L10121" s="219">
        <v>21250</v>
      </c>
      <c r="N10121" s="160"/>
    </row>
    <row r="10122" spans="1:17" ht="11.25" customHeight="1" x14ac:dyDescent="0.2">
      <c r="A10122" s="168">
        <v>2023</v>
      </c>
      <c r="B10122" s="168">
        <v>12</v>
      </c>
      <c r="C10122" s="168">
        <v>19</v>
      </c>
      <c r="D10122" s="141">
        <f t="shared" ref="D10122:D10123" si="1286">DATE(A10122,B10122,C10122)</f>
        <v>45279</v>
      </c>
      <c r="E10122" s="275">
        <f t="shared" ref="E10122:E10123" si="1287">DATE(A10122,B10122,C10122)</f>
        <v>45279</v>
      </c>
      <c r="F10122" s="479" t="s">
        <v>1846</v>
      </c>
      <c r="G10122" s="220" t="s">
        <v>74</v>
      </c>
      <c r="H10122" s="220"/>
      <c r="I10122" s="142"/>
      <c r="J10122" s="143" t="s">
        <v>52</v>
      </c>
      <c r="K10122" s="226">
        <v>21250</v>
      </c>
      <c r="L10122" s="226"/>
      <c r="N10122" s="160"/>
    </row>
    <row r="10123" spans="1:17" x14ac:dyDescent="0.2">
      <c r="A10123" s="163">
        <v>2023</v>
      </c>
      <c r="B10123" s="163">
        <v>12</v>
      </c>
      <c r="C10123" s="163">
        <v>19</v>
      </c>
      <c r="D10123" s="280">
        <f t="shared" si="1286"/>
        <v>45279</v>
      </c>
      <c r="E10123" s="281">
        <f t="shared" si="1287"/>
        <v>45279</v>
      </c>
      <c r="F10123" s="480"/>
      <c r="G10123" s="221" t="s">
        <v>74</v>
      </c>
      <c r="H10123" s="221"/>
      <c r="I10123" s="145"/>
      <c r="J10123" s="163" t="s">
        <v>133</v>
      </c>
      <c r="K10123" s="219"/>
      <c r="L10123" s="219">
        <v>21250</v>
      </c>
      <c r="N10123" s="160"/>
    </row>
    <row r="10124" spans="1:17" x14ac:dyDescent="0.2">
      <c r="A10124" s="133">
        <v>2023</v>
      </c>
      <c r="B10124" s="133">
        <v>12</v>
      </c>
      <c r="C10124" s="133">
        <v>19</v>
      </c>
      <c r="D10124" s="141">
        <f>DATE(A10124,B10124,C10124)</f>
        <v>45279</v>
      </c>
      <c r="E10124" s="275">
        <f>DATE(A10124,B10124,C10124)</f>
        <v>45279</v>
      </c>
      <c r="F10124" s="481" t="s">
        <v>1848</v>
      </c>
      <c r="G10124" s="174" t="s">
        <v>74</v>
      </c>
      <c r="H10124" s="174" t="str" cm="1">
        <f t="array" ref="H10124">IFERROR(INDEX(INVESTOR_LIST[INVESTOR NAME],MATCH(I10124,INVESTOR_LIST[INVESTOR CODE],0),)," ")</f>
        <v xml:space="preserve"> </v>
      </c>
      <c r="I10124" s="148" t="s">
        <v>348</v>
      </c>
      <c r="J10124" s="149" t="s">
        <v>52</v>
      </c>
      <c r="K10124" s="218">
        <v>4866940</v>
      </c>
      <c r="L10124" s="218"/>
      <c r="M10124" s="147"/>
      <c r="Q10124" s="133" t="s">
        <v>348</v>
      </c>
    </row>
    <row r="10125" spans="1:17" x14ac:dyDescent="0.2">
      <c r="A10125" s="133">
        <v>2023</v>
      </c>
      <c r="B10125" s="133">
        <v>12</v>
      </c>
      <c r="C10125" s="133">
        <v>19</v>
      </c>
      <c r="D10125" s="141">
        <f t="shared" ref="D10125" si="1288">DATE(A10125,B10125,C10125)</f>
        <v>45279</v>
      </c>
      <c r="E10125" s="275">
        <f t="shared" ref="E10125" si="1289">DATE(A10125,B10125,C10125)</f>
        <v>45279</v>
      </c>
      <c r="F10125" s="481"/>
      <c r="G10125" s="174" t="s">
        <v>74</v>
      </c>
      <c r="H10125" s="174"/>
      <c r="J10125" s="149" t="s">
        <v>1809</v>
      </c>
      <c r="K10125" s="218"/>
      <c r="L10125" s="218">
        <v>1585</v>
      </c>
      <c r="M10125" s="147"/>
    </row>
    <row r="10126" spans="1:17" x14ac:dyDescent="0.2">
      <c r="A10126" s="163">
        <v>2023</v>
      </c>
      <c r="B10126" s="163">
        <v>12</v>
      </c>
      <c r="C10126" s="163">
        <v>19</v>
      </c>
      <c r="D10126" s="280">
        <f>DATE(A10126,B10126,C10126)</f>
        <v>45279</v>
      </c>
      <c r="E10126" s="281">
        <f>DATE(A10126,B10126,C10126)</f>
        <v>45279</v>
      </c>
      <c r="F10126" s="480"/>
      <c r="G10126" s="221" t="s">
        <v>74</v>
      </c>
      <c r="H10126" s="221" t="str" cm="1">
        <f t="array" ref="H10126">IFERROR(INDEX(INVESTOR_LIST[INVESTOR NAME],MATCH(I10126,INVESTOR_LIST[INVESTOR CODE],0),)," ")</f>
        <v xml:space="preserve"> </v>
      </c>
      <c r="I10126" s="145"/>
      <c r="J10126" s="146" t="s">
        <v>1764</v>
      </c>
      <c r="K10126" s="219"/>
      <c r="L10126" s="219">
        <v>4865355</v>
      </c>
      <c r="M10126" s="147"/>
      <c r="Q10126" s="133" t="s">
        <v>348</v>
      </c>
    </row>
    <row r="10127" spans="1:17" ht="11.25" customHeight="1" x14ac:dyDescent="0.2">
      <c r="A10127" s="133">
        <v>2023</v>
      </c>
      <c r="B10127" s="133">
        <v>12</v>
      </c>
      <c r="C10127" s="133">
        <v>19</v>
      </c>
      <c r="D10127" s="141">
        <f>DATE(A10127,B10127,C10127)</f>
        <v>45279</v>
      </c>
      <c r="E10127" s="275">
        <f>DATE(A10127,B10127,C10127)</f>
        <v>45279</v>
      </c>
      <c r="F10127" s="481" t="s">
        <v>1848</v>
      </c>
      <c r="G10127" s="174" t="s">
        <v>74</v>
      </c>
      <c r="H10127" s="174" t="str" cm="1">
        <f t="array" ref="H10127">IFERROR(INDEX(INVESTOR_LIST[INVESTOR NAME],MATCH(I10127,INVESTOR_LIST[INVESTOR CODE],0),)," ")</f>
        <v xml:space="preserve"> </v>
      </c>
      <c r="I10127" s="148" t="s">
        <v>348</v>
      </c>
      <c r="J10127" s="149" t="s">
        <v>52</v>
      </c>
      <c r="K10127" s="218">
        <v>4866940</v>
      </c>
      <c r="L10127" s="218"/>
      <c r="M10127" s="147"/>
      <c r="Q10127" s="133" t="s">
        <v>348</v>
      </c>
    </row>
    <row r="10128" spans="1:17" x14ac:dyDescent="0.2">
      <c r="A10128" s="133">
        <v>2023</v>
      </c>
      <c r="B10128" s="133">
        <v>12</v>
      </c>
      <c r="C10128" s="133">
        <v>19</v>
      </c>
      <c r="D10128" s="141">
        <f t="shared" ref="D10128" si="1290">DATE(A10128,B10128,C10128)</f>
        <v>45279</v>
      </c>
      <c r="E10128" s="275">
        <f t="shared" ref="E10128" si="1291">DATE(A10128,B10128,C10128)</f>
        <v>45279</v>
      </c>
      <c r="F10128" s="481"/>
      <c r="G10128" s="174" t="s">
        <v>74</v>
      </c>
      <c r="H10128" s="174"/>
      <c r="J10128" s="149" t="s">
        <v>1809</v>
      </c>
      <c r="K10128" s="218"/>
      <c r="L10128" s="218">
        <v>805</v>
      </c>
      <c r="M10128" s="147"/>
    </row>
    <row r="10129" spans="1:17" x14ac:dyDescent="0.2">
      <c r="A10129" s="163">
        <v>2023</v>
      </c>
      <c r="B10129" s="163">
        <v>12</v>
      </c>
      <c r="C10129" s="163">
        <v>19</v>
      </c>
      <c r="D10129" s="280">
        <f>DATE(A10129,B10129,C10129)</f>
        <v>45279</v>
      </c>
      <c r="E10129" s="281">
        <f>DATE(A10129,B10129,C10129)</f>
        <v>45279</v>
      </c>
      <c r="F10129" s="480"/>
      <c r="G10129" s="221" t="s">
        <v>74</v>
      </c>
      <c r="H10129" s="221" t="str" cm="1">
        <f t="array" ref="H10129">IFERROR(INDEX(INVESTOR_LIST[INVESTOR NAME],MATCH(I10129,INVESTOR_LIST[INVESTOR CODE],0),)," ")</f>
        <v xml:space="preserve"> </v>
      </c>
      <c r="I10129" s="145"/>
      <c r="J10129" s="146" t="s">
        <v>1764</v>
      </c>
      <c r="K10129" s="219"/>
      <c r="L10129" s="219">
        <v>4866135</v>
      </c>
      <c r="M10129" s="147"/>
      <c r="Q10129" s="133" t="s">
        <v>348</v>
      </c>
    </row>
    <row r="10130" spans="1:17" x14ac:dyDescent="0.2">
      <c r="A10130" s="168">
        <v>2023</v>
      </c>
      <c r="B10130" s="168">
        <v>12</v>
      </c>
      <c r="C10130" s="168">
        <v>19</v>
      </c>
      <c r="D10130" s="141">
        <f t="shared" ref="D10130:D10135" si="1292">DATE(A10130,B10130,C10130)</f>
        <v>45279</v>
      </c>
      <c r="E10130" s="275">
        <f t="shared" ref="E10130:E10135" si="1293">DATE(A10130,B10130,C10130)</f>
        <v>45279</v>
      </c>
      <c r="F10130" s="479" t="s">
        <v>362</v>
      </c>
      <c r="G10130" s="220" t="s">
        <v>74</v>
      </c>
      <c r="H10130" s="220" t="str" cm="1">
        <f t="array" ref="H10130">IFERROR(INDEX(INVESTOR_LIST[INVESTOR NAME],MATCH(I10130,INVESTOR_LIST[INVESTOR CODE],0),)," ")</f>
        <v xml:space="preserve"> </v>
      </c>
      <c r="I10130" s="142" t="s">
        <v>348</v>
      </c>
      <c r="J10130" s="143" t="s">
        <v>104</v>
      </c>
      <c r="K10130" s="226">
        <v>856.88</v>
      </c>
      <c r="L10130" s="226"/>
    </row>
    <row r="10131" spans="1:17" x14ac:dyDescent="0.2">
      <c r="A10131" s="163">
        <v>2023</v>
      </c>
      <c r="B10131" s="163">
        <v>12</v>
      </c>
      <c r="C10131" s="163">
        <v>19</v>
      </c>
      <c r="D10131" s="141">
        <f t="shared" si="1292"/>
        <v>45279</v>
      </c>
      <c r="E10131" s="275">
        <f t="shared" si="1293"/>
        <v>45279</v>
      </c>
      <c r="F10131" s="480"/>
      <c r="G10131" s="221" t="s">
        <v>74</v>
      </c>
      <c r="H10131" s="221" t="str" cm="1">
        <f t="array" ref="H10131">IFERROR(INDEX(INVESTOR_LIST[INVESTOR NAME],MATCH(I10131,INVESTOR_LIST[INVESTOR CODE],0),)," ")</f>
        <v xml:space="preserve"> </v>
      </c>
      <c r="I10131" s="145" t="s">
        <v>348</v>
      </c>
      <c r="J10131" s="146" t="s">
        <v>52</v>
      </c>
      <c r="K10131" s="219"/>
      <c r="L10131" s="219">
        <v>856.88</v>
      </c>
    </row>
    <row r="10132" spans="1:17" x14ac:dyDescent="0.2">
      <c r="A10132" s="133">
        <v>2023</v>
      </c>
      <c r="B10132" s="133">
        <v>12</v>
      </c>
      <c r="C10132" s="133">
        <v>19</v>
      </c>
      <c r="D10132" s="141">
        <f t="shared" si="1292"/>
        <v>45279</v>
      </c>
      <c r="E10132" s="275">
        <f t="shared" si="1293"/>
        <v>45279</v>
      </c>
      <c r="F10132" s="481" t="s">
        <v>1753</v>
      </c>
      <c r="G10132" s="174" t="s">
        <v>94</v>
      </c>
      <c r="H10132" s="174" t="str" cm="1">
        <f t="array" ref="H10132">IFERROR(INDEX(INVESTOR_LIST[INVESTOR NAME],MATCH(I10132,INVESTOR_LIST[INVESTOR CODE],0),)," ")</f>
        <v xml:space="preserve"> </v>
      </c>
      <c r="J10132" s="149" t="s">
        <v>190</v>
      </c>
      <c r="K10132" s="218">
        <v>1047111.8</v>
      </c>
      <c r="L10132" s="218"/>
      <c r="M10132" s="160"/>
    </row>
    <row r="10133" spans="1:17" x14ac:dyDescent="0.2">
      <c r="A10133" s="133">
        <v>2023</v>
      </c>
      <c r="B10133" s="133">
        <v>12</v>
      </c>
      <c r="C10133" s="133">
        <v>19</v>
      </c>
      <c r="D10133" s="141">
        <f t="shared" si="1292"/>
        <v>45279</v>
      </c>
      <c r="E10133" s="275">
        <f t="shared" si="1293"/>
        <v>45279</v>
      </c>
      <c r="F10133" s="481"/>
      <c r="G10133" s="174" t="s">
        <v>94</v>
      </c>
      <c r="H10133" s="174"/>
      <c r="J10133" s="149" t="s">
        <v>80</v>
      </c>
      <c r="K10133" s="218">
        <v>1888.2</v>
      </c>
      <c r="L10133" s="218"/>
      <c r="N10133" s="264"/>
    </row>
    <row r="10134" spans="1:17" x14ac:dyDescent="0.2">
      <c r="A10134" s="133">
        <v>2023</v>
      </c>
      <c r="B10134" s="133">
        <v>12</v>
      </c>
      <c r="C10134" s="133">
        <v>19</v>
      </c>
      <c r="D10134" s="141">
        <f t="shared" si="1292"/>
        <v>45279</v>
      </c>
      <c r="E10134" s="275">
        <f t="shared" si="1293"/>
        <v>45279</v>
      </c>
      <c r="F10134" s="481"/>
      <c r="G10134" s="174" t="s">
        <v>94</v>
      </c>
      <c r="H10134" s="174" t="str" cm="1">
        <f t="array" ref="H10134">IFERROR(INDEX(INVESTOR_LIST[INVESTOR NAME],MATCH(I10134,INVESTOR_LIST[INVESTOR CODE],0),)," ")</f>
        <v xml:space="preserve"> </v>
      </c>
      <c r="J10134" s="149" t="s">
        <v>191</v>
      </c>
      <c r="K10134" s="218">
        <v>83771.5</v>
      </c>
      <c r="L10134" s="218"/>
      <c r="N10134" s="264"/>
    </row>
    <row r="10135" spans="1:17" x14ac:dyDescent="0.2">
      <c r="A10135" s="163">
        <v>2023</v>
      </c>
      <c r="B10135" s="163">
        <v>12</v>
      </c>
      <c r="C10135" s="163">
        <v>19</v>
      </c>
      <c r="D10135" s="280">
        <f t="shared" si="1292"/>
        <v>45279</v>
      </c>
      <c r="E10135" s="281">
        <f t="shared" si="1293"/>
        <v>45279</v>
      </c>
      <c r="F10135" s="480"/>
      <c r="G10135" s="221" t="s">
        <v>94</v>
      </c>
      <c r="H10135" s="145" t="str" cm="1">
        <f t="array" ref="H10135">IFERROR(INDEX(INVESTOR_LIST[INVESTOR NAME],MATCH(I10135,INVESTOR_LIST[INVESTOR CODE],0),)," ")</f>
        <v xml:space="preserve"> </v>
      </c>
      <c r="I10135" s="145"/>
      <c r="J10135" s="163" t="s">
        <v>79</v>
      </c>
      <c r="K10135" s="219"/>
      <c r="L10135" s="219">
        <v>1132771.5</v>
      </c>
      <c r="N10135" s="264"/>
    </row>
    <row r="10136" spans="1:17" x14ac:dyDescent="0.2">
      <c r="A10136" s="133">
        <v>2023</v>
      </c>
      <c r="B10136" s="133">
        <v>12</v>
      </c>
      <c r="C10136" s="133">
        <v>20</v>
      </c>
      <c r="D10136" s="141">
        <f t="shared" ref="D10136:D10138" si="1294">DATE(A10136,B10136,C10136)</f>
        <v>45280</v>
      </c>
      <c r="E10136" s="275">
        <f t="shared" ref="E10136:E10138" si="1295">DATE(A10136,B10136,C10136)</f>
        <v>45280</v>
      </c>
      <c r="F10136" s="481" t="s">
        <v>275</v>
      </c>
      <c r="G10136" s="174" t="s">
        <v>74</v>
      </c>
      <c r="H10136" s="174" t="str" cm="1">
        <f t="array" ref="H10136">IFERROR(INDEX(INVESTOR_LIST[INVESTOR NAME],MATCH(I10136,INVESTOR_LIST[INVESTOR CODE],0),)," ")</f>
        <v xml:space="preserve"> </v>
      </c>
      <c r="I10136" s="148" t="s">
        <v>348</v>
      </c>
      <c r="J10136" s="149" t="s">
        <v>163</v>
      </c>
      <c r="K10136" s="218">
        <v>1575</v>
      </c>
      <c r="L10136" s="218"/>
      <c r="M10136" s="147"/>
      <c r="Q10136" s="133" t="s">
        <v>348</v>
      </c>
    </row>
    <row r="10137" spans="1:17" x14ac:dyDescent="0.2">
      <c r="A10137" s="163">
        <v>2023</v>
      </c>
      <c r="B10137" s="163">
        <v>12</v>
      </c>
      <c r="C10137" s="163">
        <v>20</v>
      </c>
      <c r="D10137" s="141">
        <f t="shared" si="1294"/>
        <v>45280</v>
      </c>
      <c r="E10137" s="275">
        <f t="shared" si="1295"/>
        <v>45280</v>
      </c>
      <c r="F10137" s="480"/>
      <c r="G10137" s="221" t="s">
        <v>74</v>
      </c>
      <c r="H10137" s="221" t="str" cm="1">
        <f t="array" ref="H10137">IFERROR(INDEX(INVESTOR_LIST[INVESTOR NAME],MATCH(I10137,INVESTOR_LIST[INVESTOR CODE],0),)," ")</f>
        <v xml:space="preserve"> </v>
      </c>
      <c r="I10137" s="145"/>
      <c r="J10137" s="146" t="s">
        <v>52</v>
      </c>
      <c r="K10137" s="219"/>
      <c r="L10137" s="219">
        <v>1575</v>
      </c>
      <c r="M10137" s="147"/>
      <c r="Q10137" s="133" t="s">
        <v>348</v>
      </c>
    </row>
    <row r="10138" spans="1:17" x14ac:dyDescent="0.2">
      <c r="A10138" s="168">
        <v>2023</v>
      </c>
      <c r="B10138" s="168">
        <v>12</v>
      </c>
      <c r="C10138" s="168">
        <v>20</v>
      </c>
      <c r="D10138" s="141">
        <f t="shared" si="1294"/>
        <v>45280</v>
      </c>
      <c r="E10138" s="275">
        <f t="shared" si="1295"/>
        <v>45280</v>
      </c>
      <c r="F10138" s="479" t="s">
        <v>1757</v>
      </c>
      <c r="G10138" s="220" t="s">
        <v>74</v>
      </c>
      <c r="H10138" s="220" t="str" cm="1">
        <f t="array" ref="H10138">IFERROR(INDEX(INVESTOR_LIST[INVESTOR NAME],MATCH(I10138,INVESTOR_LIST[INVESTOR CODE],0),)," ")</f>
        <v xml:space="preserve"> </v>
      </c>
      <c r="I10138" s="142"/>
      <c r="J10138" s="143" t="s">
        <v>52</v>
      </c>
      <c r="K10138" s="226">
        <v>3678859.42</v>
      </c>
      <c r="L10138" s="226"/>
    </row>
    <row r="10139" spans="1:17" x14ac:dyDescent="0.2">
      <c r="A10139" s="163">
        <v>2023</v>
      </c>
      <c r="B10139" s="163">
        <v>12</v>
      </c>
      <c r="C10139" s="163">
        <v>20</v>
      </c>
      <c r="D10139" s="280">
        <f>DATE(A10139,B10139,C10139)</f>
        <v>45280</v>
      </c>
      <c r="E10139" s="281">
        <f>DATE(A10139,B10139,C10139)</f>
        <v>45280</v>
      </c>
      <c r="F10139" s="480"/>
      <c r="G10139" s="221" t="s">
        <v>74</v>
      </c>
      <c r="H10139" s="221" t="str" cm="1">
        <f t="array" ref="H10139">IFERROR(INDEX(INVESTOR_LIST[INVESTOR NAME],MATCH(I10139,INVESTOR_LIST[INVESTOR CODE],0),)," ")</f>
        <v xml:space="preserve"> </v>
      </c>
      <c r="I10139" s="145"/>
      <c r="J10139" s="146" t="s">
        <v>190</v>
      </c>
      <c r="K10139" s="219"/>
      <c r="L10139" s="219">
        <v>3678859.42</v>
      </c>
    </row>
    <row r="10140" spans="1:17" x14ac:dyDescent="0.2">
      <c r="A10140" s="168">
        <v>2023</v>
      </c>
      <c r="B10140" s="168">
        <v>12</v>
      </c>
      <c r="C10140" s="168">
        <v>20</v>
      </c>
      <c r="D10140" s="141">
        <f t="shared" ref="D10140" si="1296">DATE(A10140,B10140,C10140)</f>
        <v>45280</v>
      </c>
      <c r="E10140" s="275">
        <f t="shared" ref="E10140" si="1297">DATE(A10140,B10140,C10140)</f>
        <v>45280</v>
      </c>
      <c r="F10140" s="479" t="s">
        <v>1757</v>
      </c>
      <c r="G10140" s="220" t="s">
        <v>74</v>
      </c>
      <c r="H10140" s="220" t="str" cm="1">
        <f t="array" ref="H10140">IFERROR(INDEX(INVESTOR_LIST[INVESTOR NAME],MATCH(I10140,INVESTOR_LIST[INVESTOR CODE],0),)," ")</f>
        <v xml:space="preserve"> </v>
      </c>
      <c r="I10140" s="142"/>
      <c r="J10140" s="143" t="s">
        <v>52</v>
      </c>
      <c r="K10140" s="226">
        <v>1034703.77</v>
      </c>
      <c r="L10140" s="226"/>
    </row>
    <row r="10141" spans="1:17" x14ac:dyDescent="0.2">
      <c r="A10141" s="163">
        <v>2023</v>
      </c>
      <c r="B10141" s="163">
        <v>12</v>
      </c>
      <c r="C10141" s="163">
        <v>20</v>
      </c>
      <c r="D10141" s="280">
        <f>DATE(A10141,B10141,C10141)</f>
        <v>45280</v>
      </c>
      <c r="E10141" s="281">
        <f>DATE(A10141,B10141,C10141)</f>
        <v>45280</v>
      </c>
      <c r="F10141" s="480"/>
      <c r="G10141" s="221" t="s">
        <v>74</v>
      </c>
      <c r="H10141" s="221" t="str" cm="1">
        <f t="array" ref="H10141">IFERROR(INDEX(INVESTOR_LIST[INVESTOR NAME],MATCH(I10141,INVESTOR_LIST[INVESTOR CODE],0),)," ")</f>
        <v xml:space="preserve"> </v>
      </c>
      <c r="I10141" s="145"/>
      <c r="J10141" s="146" t="s">
        <v>190</v>
      </c>
      <c r="K10141" s="219"/>
      <c r="L10141" s="219">
        <v>1034703.77</v>
      </c>
    </row>
    <row r="10142" spans="1:17" ht="11.25" customHeight="1" x14ac:dyDescent="0.2">
      <c r="A10142" s="168">
        <v>2023</v>
      </c>
      <c r="B10142" s="168">
        <v>12</v>
      </c>
      <c r="C10142" s="168">
        <v>19</v>
      </c>
      <c r="D10142" s="141">
        <f t="shared" ref="D10142:D10144" si="1298">DATE(A10142,B10142,C10142)</f>
        <v>45279</v>
      </c>
      <c r="E10142" s="275">
        <f t="shared" ref="E10142:E10144" si="1299">DATE(A10142,B10142,C10142)</f>
        <v>45279</v>
      </c>
      <c r="F10142" s="479" t="s">
        <v>1310</v>
      </c>
      <c r="G10142" s="220" t="s">
        <v>74</v>
      </c>
      <c r="H10142" s="142" t="str" cm="1">
        <f t="array" ref="H10142">IFERROR(INDEX(INVESTOR_LIST[INVESTOR NAME],MATCH(I10142,INVESTOR_LIST[INVESTOR CODE],0),)," ")</f>
        <v>AHMED FARUK</v>
      </c>
      <c r="I10142" s="142" t="s">
        <v>1455</v>
      </c>
      <c r="J10142" s="168" t="s">
        <v>13</v>
      </c>
      <c r="K10142" s="218">
        <v>53380</v>
      </c>
      <c r="L10142" s="226"/>
    </row>
    <row r="10143" spans="1:17" ht="11.25" customHeight="1" x14ac:dyDescent="0.2">
      <c r="A10143" s="133">
        <v>2023</v>
      </c>
      <c r="B10143" s="133">
        <v>12</v>
      </c>
      <c r="C10143" s="133">
        <v>19</v>
      </c>
      <c r="D10143" s="141">
        <f t="shared" si="1298"/>
        <v>45279</v>
      </c>
      <c r="E10143" s="275">
        <f t="shared" si="1299"/>
        <v>45279</v>
      </c>
      <c r="F10143" s="481"/>
      <c r="G10143" s="174" t="s">
        <v>74</v>
      </c>
      <c r="H10143" s="148" t="str" cm="1">
        <f t="array" ref="H10143">IFERROR(INDEX(INVESTOR_LIST[INVESTOR NAME],MATCH(I10143,INVESTOR_LIST[INVESTOR CODE],0),)," ")</f>
        <v>AHMED FARUK</v>
      </c>
      <c r="I10143" s="148" t="s">
        <v>1455</v>
      </c>
      <c r="J10143" s="133" t="s">
        <v>53</v>
      </c>
      <c r="K10143" s="218">
        <v>13083.440000000002</v>
      </c>
      <c r="L10143" s="133"/>
    </row>
    <row r="10144" spans="1:17" ht="11.25" customHeight="1" x14ac:dyDescent="0.2">
      <c r="A10144" s="163">
        <v>2023</v>
      </c>
      <c r="B10144" s="163">
        <v>12</v>
      </c>
      <c r="C10144" s="163">
        <v>19</v>
      </c>
      <c r="D10144" s="280">
        <f t="shared" si="1298"/>
        <v>45279</v>
      </c>
      <c r="E10144" s="281">
        <f t="shared" si="1299"/>
        <v>45279</v>
      </c>
      <c r="F10144" s="480"/>
      <c r="G10144" s="221" t="s">
        <v>74</v>
      </c>
      <c r="H10144" s="145" t="str" cm="1">
        <f t="array" ref="H10144">IFERROR(INDEX(INVESTOR_LIST[INVESTOR NAME],MATCH(I10144,INVESTOR_LIST[INVESTOR CODE],0),)," ")</f>
        <v>AHMED FARUK</v>
      </c>
      <c r="I10144" s="145" t="s">
        <v>1455</v>
      </c>
      <c r="J10144" s="163" t="s">
        <v>52</v>
      </c>
      <c r="K10144" s="219"/>
      <c r="L10144" s="219">
        <v>66463.44</v>
      </c>
    </row>
    <row r="10145" spans="1:14" ht="11.25" customHeight="1" x14ac:dyDescent="0.2">
      <c r="A10145" s="168">
        <v>2023</v>
      </c>
      <c r="B10145" s="168">
        <v>12</v>
      </c>
      <c r="C10145" s="168">
        <v>20</v>
      </c>
      <c r="D10145" s="141">
        <f t="shared" ref="D10145:D10147" si="1300">DATE(A10145,B10145,C10145)</f>
        <v>45280</v>
      </c>
      <c r="E10145" s="275">
        <f t="shared" ref="E10145:E10147" si="1301">DATE(A10145,B10145,C10145)</f>
        <v>45280</v>
      </c>
      <c r="F10145" s="479" t="s">
        <v>1849</v>
      </c>
      <c r="G10145" s="220" t="s">
        <v>74</v>
      </c>
      <c r="H10145" s="142" t="str" cm="1">
        <f t="array" ref="H10145">IFERROR(INDEX(INVESTOR_LIST[INVESTOR NAME],MATCH(I10145,INVESTOR_LIST[INVESTOR CODE],0),)," ")</f>
        <v>AHMED FARUK</v>
      </c>
      <c r="I10145" s="142" t="s">
        <v>1455</v>
      </c>
      <c r="J10145" s="168" t="s">
        <v>52</v>
      </c>
      <c r="K10145" s="218">
        <v>66463.44</v>
      </c>
      <c r="L10145" s="226"/>
    </row>
    <row r="10146" spans="1:14" ht="11.25" customHeight="1" x14ac:dyDescent="0.2">
      <c r="A10146" s="133">
        <v>2023</v>
      </c>
      <c r="B10146" s="133">
        <v>12</v>
      </c>
      <c r="C10146" s="133">
        <v>20</v>
      </c>
      <c r="D10146" s="141">
        <f t="shared" si="1300"/>
        <v>45280</v>
      </c>
      <c r="E10146" s="275">
        <f t="shared" si="1301"/>
        <v>45280</v>
      </c>
      <c r="F10146" s="481"/>
      <c r="G10146" s="174" t="s">
        <v>74</v>
      </c>
      <c r="H10146" s="148" t="str" cm="1">
        <f t="array" ref="H10146">IFERROR(INDEX(INVESTOR_LIST[INVESTOR NAME],MATCH(I10146,INVESTOR_LIST[INVESTOR CODE],0),)," ")</f>
        <v>AHMED FARUK</v>
      </c>
      <c r="I10146" s="148" t="s">
        <v>1455</v>
      </c>
      <c r="J10146" s="133" t="s">
        <v>13</v>
      </c>
      <c r="K10146" s="218"/>
      <c r="L10146" s="218">
        <v>53380</v>
      </c>
    </row>
    <row r="10147" spans="1:14" ht="11.25" customHeight="1" x14ac:dyDescent="0.2">
      <c r="A10147" s="163">
        <v>2023</v>
      </c>
      <c r="B10147" s="163">
        <v>12</v>
      </c>
      <c r="C10147" s="163">
        <v>20</v>
      </c>
      <c r="D10147" s="280">
        <f t="shared" si="1300"/>
        <v>45280</v>
      </c>
      <c r="E10147" s="281">
        <f t="shared" si="1301"/>
        <v>45280</v>
      </c>
      <c r="F10147" s="480"/>
      <c r="G10147" s="221" t="s">
        <v>74</v>
      </c>
      <c r="H10147" s="145" t="str" cm="1">
        <f t="array" ref="H10147">IFERROR(INDEX(INVESTOR_LIST[INVESTOR NAME],MATCH(I10147,INVESTOR_LIST[INVESTOR CODE],0),)," ")</f>
        <v>AHMED FARUK</v>
      </c>
      <c r="I10147" s="145" t="s">
        <v>1455</v>
      </c>
      <c r="J10147" s="163" t="s">
        <v>53</v>
      </c>
      <c r="K10147" s="219"/>
      <c r="L10147" s="219">
        <v>13083.440000000002</v>
      </c>
    </row>
    <row r="10148" spans="1:14" ht="11.25" customHeight="1" x14ac:dyDescent="0.2">
      <c r="A10148" s="168">
        <v>2023</v>
      </c>
      <c r="B10148" s="168">
        <v>12</v>
      </c>
      <c r="C10148" s="168">
        <v>21</v>
      </c>
      <c r="D10148" s="141">
        <f t="shared" ref="D10148:D10175" si="1302">DATE(A10148,B10148,C10148)</f>
        <v>45281</v>
      </c>
      <c r="E10148" s="275">
        <f t="shared" ref="E10148:E10175" si="1303">DATE(A10148,B10148,C10148)</f>
        <v>45281</v>
      </c>
      <c r="F10148" s="479" t="s">
        <v>1448</v>
      </c>
      <c r="G10148" s="220" t="s">
        <v>74</v>
      </c>
      <c r="H10148" s="142" t="str" cm="1">
        <f t="array" ref="H10148">IFERROR(INDEX(INVESTOR_LIST[INVESTOR NAME],MATCH(I10148,INVESTOR_LIST[INVESTOR CODE],0),)," ")</f>
        <v>MUMINUL ALAM</v>
      </c>
      <c r="I10148" s="142" t="s">
        <v>628</v>
      </c>
      <c r="J10148" s="168" t="s">
        <v>13</v>
      </c>
      <c r="K10148" s="218">
        <v>125840</v>
      </c>
      <c r="L10148" s="226"/>
    </row>
    <row r="10149" spans="1:14" ht="11.25" customHeight="1" x14ac:dyDescent="0.2">
      <c r="A10149" s="133">
        <v>2023</v>
      </c>
      <c r="B10149" s="133">
        <v>12</v>
      </c>
      <c r="C10149" s="133">
        <v>21</v>
      </c>
      <c r="D10149" s="141">
        <f t="shared" si="1302"/>
        <v>45281</v>
      </c>
      <c r="E10149" s="275">
        <f t="shared" si="1303"/>
        <v>45281</v>
      </c>
      <c r="F10149" s="481"/>
      <c r="G10149" s="174" t="s">
        <v>74</v>
      </c>
      <c r="H10149" s="148" t="str" cm="1">
        <f t="array" ref="H10149">IFERROR(INDEX(INVESTOR_LIST[INVESTOR NAME],MATCH(I10149,INVESTOR_LIST[INVESTOR CODE],0),)," ")</f>
        <v>MUMINUL ALAM</v>
      </c>
      <c r="I10149" s="148" t="s">
        <v>628</v>
      </c>
      <c r="J10149" s="133" t="s">
        <v>53</v>
      </c>
      <c r="K10149" s="218">
        <v>30843.383999999998</v>
      </c>
      <c r="L10149" s="133"/>
    </row>
    <row r="10150" spans="1:14" ht="11.25" customHeight="1" x14ac:dyDescent="0.2">
      <c r="A10150" s="163">
        <v>2023</v>
      </c>
      <c r="B10150" s="163">
        <v>12</v>
      </c>
      <c r="C10150" s="163">
        <v>21</v>
      </c>
      <c r="D10150" s="280">
        <f t="shared" si="1302"/>
        <v>45281</v>
      </c>
      <c r="E10150" s="281">
        <f t="shared" si="1303"/>
        <v>45281</v>
      </c>
      <c r="F10150" s="480"/>
      <c r="G10150" s="221" t="s">
        <v>74</v>
      </c>
      <c r="H10150" s="145" t="str" cm="1">
        <f t="array" ref="H10150">IFERROR(INDEX(INVESTOR_LIST[INVESTOR NAME],MATCH(I10150,INVESTOR_LIST[INVESTOR CODE],0),)," ")</f>
        <v>MUMINUL ALAM</v>
      </c>
      <c r="I10150" s="145" t="s">
        <v>628</v>
      </c>
      <c r="J10150" s="163" t="s">
        <v>52</v>
      </c>
      <c r="K10150" s="219"/>
      <c r="L10150" s="219">
        <v>156683.38399999999</v>
      </c>
    </row>
    <row r="10151" spans="1:14" ht="11.25" customHeight="1" x14ac:dyDescent="0.2">
      <c r="A10151" s="168">
        <v>2023</v>
      </c>
      <c r="B10151" s="168">
        <v>12</v>
      </c>
      <c r="C10151" s="168">
        <v>21</v>
      </c>
      <c r="D10151" s="141">
        <f t="shared" si="1302"/>
        <v>45281</v>
      </c>
      <c r="E10151" s="275">
        <f t="shared" si="1303"/>
        <v>45281</v>
      </c>
      <c r="F10151" s="479" t="s">
        <v>1310</v>
      </c>
      <c r="G10151" s="220" t="s">
        <v>74</v>
      </c>
      <c r="H10151" s="142" t="str" cm="1">
        <f t="array" ref="H10151">IFERROR(INDEX(INVESTOR_LIST[INVESTOR NAME],MATCH(I10151,INVESTOR_LIST[INVESTOR CODE],0),)," ")</f>
        <v>MD TOFIQUL ISLAM CHOWDHURY</v>
      </c>
      <c r="I10151" s="142" t="s">
        <v>631</v>
      </c>
      <c r="J10151" s="168" t="s">
        <v>13</v>
      </c>
      <c r="K10151" s="218">
        <v>51870</v>
      </c>
      <c r="L10151" s="226"/>
    </row>
    <row r="10152" spans="1:14" ht="11.25" customHeight="1" x14ac:dyDescent="0.2">
      <c r="A10152" s="133">
        <v>2023</v>
      </c>
      <c r="B10152" s="133">
        <v>12</v>
      </c>
      <c r="C10152" s="133">
        <v>21</v>
      </c>
      <c r="D10152" s="141">
        <f t="shared" si="1302"/>
        <v>45281</v>
      </c>
      <c r="E10152" s="275">
        <f t="shared" si="1303"/>
        <v>45281</v>
      </c>
      <c r="F10152" s="481"/>
      <c r="G10152" s="174" t="s">
        <v>74</v>
      </c>
      <c r="H10152" s="148" t="str" cm="1">
        <f t="array" ref="H10152">IFERROR(INDEX(INVESTOR_LIST[INVESTOR NAME],MATCH(I10152,INVESTOR_LIST[INVESTOR CODE],0),)," ")</f>
        <v>MD TOFIQUL ISLAM CHOWDHURY</v>
      </c>
      <c r="I10152" s="148" t="s">
        <v>631</v>
      </c>
      <c r="J10152" s="133" t="s">
        <v>53</v>
      </c>
      <c r="K10152" s="218">
        <v>12713.339999999997</v>
      </c>
      <c r="L10152" s="133"/>
    </row>
    <row r="10153" spans="1:14" ht="11.25" customHeight="1" x14ac:dyDescent="0.2">
      <c r="A10153" s="163">
        <v>2023</v>
      </c>
      <c r="B10153" s="163">
        <v>12</v>
      </c>
      <c r="C10153" s="163">
        <v>21</v>
      </c>
      <c r="D10153" s="280">
        <f t="shared" si="1302"/>
        <v>45281</v>
      </c>
      <c r="E10153" s="281">
        <f t="shared" si="1303"/>
        <v>45281</v>
      </c>
      <c r="F10153" s="480"/>
      <c r="G10153" s="221" t="s">
        <v>74</v>
      </c>
      <c r="H10153" s="145" t="str" cm="1">
        <f t="array" ref="H10153">IFERROR(INDEX(INVESTOR_LIST[INVESTOR NAME],MATCH(I10153,INVESTOR_LIST[INVESTOR CODE],0),)," ")</f>
        <v>MD TOFIQUL ISLAM CHOWDHURY</v>
      </c>
      <c r="I10153" s="145" t="s">
        <v>631</v>
      </c>
      <c r="J10153" s="163" t="s">
        <v>52</v>
      </c>
      <c r="K10153" s="219"/>
      <c r="L10153" s="219">
        <v>64583.34</v>
      </c>
    </row>
    <row r="10154" spans="1:14" ht="11.25" customHeight="1" x14ac:dyDescent="0.2">
      <c r="A10154" s="168">
        <v>2023</v>
      </c>
      <c r="B10154" s="168">
        <v>12</v>
      </c>
      <c r="C10154" s="168">
        <v>21</v>
      </c>
      <c r="D10154" s="141">
        <f t="shared" si="1302"/>
        <v>45281</v>
      </c>
      <c r="E10154" s="275">
        <f t="shared" si="1303"/>
        <v>45281</v>
      </c>
      <c r="F10154" s="479" t="s">
        <v>1310</v>
      </c>
      <c r="G10154" s="220" t="s">
        <v>74</v>
      </c>
      <c r="H10154" s="142" t="str" cm="1">
        <f t="array" ref="H10154">IFERROR(INDEX(INVESTOR_LIST[INVESTOR NAME],MATCH(I10154,INVESTOR_LIST[INVESTOR CODE],0),)," ")</f>
        <v>AHMED FARUK</v>
      </c>
      <c r="I10154" s="142" t="s">
        <v>1455</v>
      </c>
      <c r="J10154" s="168" t="s">
        <v>13</v>
      </c>
      <c r="K10154" s="218">
        <v>53380</v>
      </c>
      <c r="L10154" s="226"/>
    </row>
    <row r="10155" spans="1:14" ht="11.25" customHeight="1" x14ac:dyDescent="0.2">
      <c r="A10155" s="133">
        <v>2023</v>
      </c>
      <c r="B10155" s="133">
        <v>12</v>
      </c>
      <c r="C10155" s="133">
        <v>21</v>
      </c>
      <c r="D10155" s="141">
        <f t="shared" si="1302"/>
        <v>45281</v>
      </c>
      <c r="E10155" s="275">
        <f t="shared" si="1303"/>
        <v>45281</v>
      </c>
      <c r="F10155" s="481"/>
      <c r="G10155" s="174" t="s">
        <v>74</v>
      </c>
      <c r="H10155" s="148" t="str" cm="1">
        <f t="array" ref="H10155">IFERROR(INDEX(INVESTOR_LIST[INVESTOR NAME],MATCH(I10155,INVESTOR_LIST[INVESTOR CODE],0),)," ")</f>
        <v>AHMED FARUK</v>
      </c>
      <c r="I10155" s="148" t="s">
        <v>1455</v>
      </c>
      <c r="J10155" s="133" t="s">
        <v>53</v>
      </c>
      <c r="K10155" s="218">
        <v>13083.440000000002</v>
      </c>
      <c r="L10155" s="133"/>
    </row>
    <row r="10156" spans="1:14" ht="11.25" customHeight="1" x14ac:dyDescent="0.2">
      <c r="A10156" s="163">
        <v>2023</v>
      </c>
      <c r="B10156" s="163">
        <v>12</v>
      </c>
      <c r="C10156" s="163">
        <v>21</v>
      </c>
      <c r="D10156" s="280">
        <f t="shared" si="1302"/>
        <v>45281</v>
      </c>
      <c r="E10156" s="281">
        <f t="shared" si="1303"/>
        <v>45281</v>
      </c>
      <c r="F10156" s="480"/>
      <c r="G10156" s="221" t="s">
        <v>74</v>
      </c>
      <c r="H10156" s="145" t="str" cm="1">
        <f t="array" ref="H10156">IFERROR(INDEX(INVESTOR_LIST[INVESTOR NAME],MATCH(I10156,INVESTOR_LIST[INVESTOR CODE],0),)," ")</f>
        <v>AHMED FARUK</v>
      </c>
      <c r="I10156" s="145" t="s">
        <v>1455</v>
      </c>
      <c r="J10156" s="163" t="s">
        <v>52</v>
      </c>
      <c r="K10156" s="219"/>
      <c r="L10156" s="219">
        <v>66463.44</v>
      </c>
    </row>
    <row r="10157" spans="1:14" x14ac:dyDescent="0.2">
      <c r="A10157" s="133">
        <v>2023</v>
      </c>
      <c r="B10157" s="133">
        <v>12</v>
      </c>
      <c r="C10157" s="133">
        <v>21</v>
      </c>
      <c r="D10157" s="141">
        <f t="shared" si="1302"/>
        <v>45281</v>
      </c>
      <c r="E10157" s="275">
        <f t="shared" si="1303"/>
        <v>45281</v>
      </c>
      <c r="F10157" s="481" t="s">
        <v>1753</v>
      </c>
      <c r="G10157" s="174" t="s">
        <v>94</v>
      </c>
      <c r="H10157" s="174" t="str" cm="1">
        <f t="array" ref="H10157">IFERROR(INDEX(INVESTOR_LIST[INVESTOR NAME],MATCH(I10157,INVESTOR_LIST[INVESTOR CODE],0),)," ")</f>
        <v xml:space="preserve"> </v>
      </c>
      <c r="J10157" s="149" t="s">
        <v>190</v>
      </c>
      <c r="K10157" s="218">
        <v>223002.87</v>
      </c>
      <c r="L10157" s="218"/>
      <c r="M10157" s="160"/>
    </row>
    <row r="10158" spans="1:14" x14ac:dyDescent="0.2">
      <c r="A10158" s="133">
        <v>2023</v>
      </c>
      <c r="B10158" s="133">
        <v>12</v>
      </c>
      <c r="C10158" s="133">
        <v>21</v>
      </c>
      <c r="D10158" s="141">
        <f t="shared" si="1302"/>
        <v>45281</v>
      </c>
      <c r="E10158" s="275">
        <f t="shared" si="1303"/>
        <v>45281</v>
      </c>
      <c r="F10158" s="481"/>
      <c r="G10158" s="174" t="s">
        <v>94</v>
      </c>
      <c r="H10158" s="174"/>
      <c r="J10158" s="149" t="s">
        <v>80</v>
      </c>
      <c r="K10158" s="218">
        <v>402.13</v>
      </c>
      <c r="L10158" s="218"/>
      <c r="N10158" s="264"/>
    </row>
    <row r="10159" spans="1:14" x14ac:dyDescent="0.2">
      <c r="A10159" s="133">
        <v>2023</v>
      </c>
      <c r="B10159" s="133">
        <v>12</v>
      </c>
      <c r="C10159" s="133">
        <v>21</v>
      </c>
      <c r="D10159" s="141">
        <f t="shared" si="1302"/>
        <v>45281</v>
      </c>
      <c r="E10159" s="275">
        <f t="shared" si="1303"/>
        <v>45281</v>
      </c>
      <c r="F10159" s="481"/>
      <c r="G10159" s="174" t="s">
        <v>94</v>
      </c>
      <c r="H10159" s="174" t="str" cm="1">
        <f t="array" ref="H10159">IFERROR(INDEX(INVESTOR_LIST[INVESTOR NAME],MATCH(I10159,INVESTOR_LIST[INVESTOR CODE],0),)," ")</f>
        <v xml:space="preserve"> </v>
      </c>
      <c r="J10159" s="149" t="s">
        <v>191</v>
      </c>
      <c r="K10159" s="218"/>
      <c r="L10159" s="218">
        <v>10445.86</v>
      </c>
      <c r="N10159" s="264"/>
    </row>
    <row r="10160" spans="1:14" x14ac:dyDescent="0.2">
      <c r="A10160" s="163">
        <v>2023</v>
      </c>
      <c r="B10160" s="163">
        <v>12</v>
      </c>
      <c r="C10160" s="163">
        <v>21</v>
      </c>
      <c r="D10160" s="280">
        <f t="shared" si="1302"/>
        <v>45281</v>
      </c>
      <c r="E10160" s="281">
        <f t="shared" si="1303"/>
        <v>45281</v>
      </c>
      <c r="F10160" s="480"/>
      <c r="G10160" s="221" t="s">
        <v>94</v>
      </c>
      <c r="H10160" s="145" t="str" cm="1">
        <f t="array" ref="H10160">IFERROR(INDEX(INVESTOR_LIST[INVESTOR NAME],MATCH(I10160,INVESTOR_LIST[INVESTOR CODE],0),)," ")</f>
        <v xml:space="preserve"> </v>
      </c>
      <c r="I10160" s="145"/>
      <c r="J10160" s="163" t="s">
        <v>79</v>
      </c>
      <c r="K10160" s="219"/>
      <c r="L10160" s="219">
        <v>212959.14</v>
      </c>
      <c r="N10160" s="264"/>
    </row>
    <row r="10161" spans="1:14" x14ac:dyDescent="0.2">
      <c r="A10161" s="168">
        <v>2023</v>
      </c>
      <c r="B10161" s="168">
        <v>12</v>
      </c>
      <c r="C10161" s="168">
        <v>21</v>
      </c>
      <c r="D10161" s="141">
        <f t="shared" si="1302"/>
        <v>45281</v>
      </c>
      <c r="E10161" s="275">
        <f t="shared" si="1303"/>
        <v>45281</v>
      </c>
      <c r="F10161" s="479" t="s">
        <v>1757</v>
      </c>
      <c r="G10161" s="220" t="s">
        <v>74</v>
      </c>
      <c r="H10161" s="220" t="str" cm="1">
        <f t="array" ref="H10161">IFERROR(INDEX(INVESTOR_LIST[INVESTOR NAME],MATCH(I10161,INVESTOR_LIST[INVESTOR CODE],0),)," ")</f>
        <v xml:space="preserve"> </v>
      </c>
      <c r="I10161" s="142"/>
      <c r="J10161" s="143" t="s">
        <v>52</v>
      </c>
      <c r="K10161" s="226">
        <v>1047111.8</v>
      </c>
      <c r="L10161" s="226"/>
    </row>
    <row r="10162" spans="1:14" x14ac:dyDescent="0.2">
      <c r="A10162" s="163">
        <v>2023</v>
      </c>
      <c r="B10162" s="163">
        <v>12</v>
      </c>
      <c r="C10162" s="163">
        <v>21</v>
      </c>
      <c r="D10162" s="280">
        <f>DATE(A10162,B10162,C10162)</f>
        <v>45281</v>
      </c>
      <c r="E10162" s="281">
        <f>DATE(A10162,B10162,C10162)</f>
        <v>45281</v>
      </c>
      <c r="F10162" s="480"/>
      <c r="G10162" s="221" t="s">
        <v>74</v>
      </c>
      <c r="H10162" s="221" t="str" cm="1">
        <f t="array" ref="H10162">IFERROR(INDEX(INVESTOR_LIST[INVESTOR NAME],MATCH(I10162,INVESTOR_LIST[INVESTOR CODE],0),)," ")</f>
        <v xml:space="preserve"> </v>
      </c>
      <c r="I10162" s="145"/>
      <c r="J10162" s="146" t="s">
        <v>190</v>
      </c>
      <c r="K10162" s="219"/>
      <c r="L10162" s="219">
        <v>1047111.8</v>
      </c>
    </row>
    <row r="10163" spans="1:14" x14ac:dyDescent="0.2">
      <c r="A10163" s="343">
        <v>2023</v>
      </c>
      <c r="B10163" s="343">
        <v>12</v>
      </c>
      <c r="C10163" s="343">
        <v>21</v>
      </c>
      <c r="D10163" s="344">
        <f t="shared" si="1302"/>
        <v>45281</v>
      </c>
      <c r="E10163" s="345">
        <f t="shared" si="1303"/>
        <v>45281</v>
      </c>
      <c r="F10163" s="483" t="s">
        <v>1813</v>
      </c>
      <c r="G10163" s="350" t="s">
        <v>94</v>
      </c>
      <c r="H10163" s="350" t="str" cm="1">
        <f t="array" ref="H10163">IFERROR(INDEX(INVESTOR_LIST[INVESTOR NAME],MATCH(I10163,INVESTOR_LIST[INVESTOR CODE],0),)," ")</f>
        <v xml:space="preserve"> </v>
      </c>
      <c r="I10163" s="352" t="s">
        <v>348</v>
      </c>
      <c r="J10163" s="353" t="s">
        <v>1798</v>
      </c>
      <c r="K10163" s="354">
        <v>29208.599999999627</v>
      </c>
      <c r="L10163" s="354"/>
    </row>
    <row r="10164" spans="1:14" x14ac:dyDescent="0.2">
      <c r="A10164" s="346">
        <v>2023</v>
      </c>
      <c r="B10164" s="346">
        <v>12</v>
      </c>
      <c r="C10164" s="346">
        <v>21</v>
      </c>
      <c r="D10164" s="344">
        <f t="shared" si="1302"/>
        <v>45281</v>
      </c>
      <c r="E10164" s="345">
        <f t="shared" si="1303"/>
        <v>45281</v>
      </c>
      <c r="F10164" s="484"/>
      <c r="G10164" s="347" t="s">
        <v>94</v>
      </c>
      <c r="H10164" s="347" t="str" cm="1">
        <f t="array" ref="H10164">IFERROR(INDEX(INVESTOR_LIST[INVESTOR NAME],MATCH(I10164,INVESTOR_LIST[INVESTOR CODE],0),)," ")</f>
        <v xml:space="preserve"> </v>
      </c>
      <c r="I10164" s="348" t="s">
        <v>348</v>
      </c>
      <c r="J10164" s="355" t="s">
        <v>1807</v>
      </c>
      <c r="K10164" s="349"/>
      <c r="L10164" s="349">
        <v>29208.599999999627</v>
      </c>
    </row>
    <row r="10165" spans="1:14" x14ac:dyDescent="0.2">
      <c r="A10165" s="238">
        <v>2023</v>
      </c>
      <c r="B10165" s="238">
        <v>12</v>
      </c>
      <c r="C10165" s="238">
        <v>21</v>
      </c>
      <c r="D10165" s="270">
        <f t="shared" si="1302"/>
        <v>45281</v>
      </c>
      <c r="E10165" s="279">
        <f t="shared" si="1303"/>
        <v>45281</v>
      </c>
      <c r="F10165" s="477" t="s">
        <v>347</v>
      </c>
      <c r="G10165" s="239" t="s">
        <v>94</v>
      </c>
      <c r="H10165" s="239" t="str" cm="1">
        <f t="array" ref="H10165">IFERROR(INDEX(INVESTOR_LIST[INVESTOR NAME],MATCH(I10165,INVESTOR_LIST[INVESTOR CODE],0),)," ")</f>
        <v xml:space="preserve"> </v>
      </c>
      <c r="I10165" s="262" t="s">
        <v>348</v>
      </c>
      <c r="J10165" s="240" t="s">
        <v>82</v>
      </c>
      <c r="K10165" s="241">
        <v>87241.180000007153</v>
      </c>
      <c r="L10165" s="241"/>
    </row>
    <row r="10166" spans="1:14" x14ac:dyDescent="0.2">
      <c r="A10166" s="242">
        <v>2023</v>
      </c>
      <c r="B10166" s="242">
        <v>12</v>
      </c>
      <c r="C10166" s="242">
        <v>21</v>
      </c>
      <c r="D10166" s="270">
        <f t="shared" si="1302"/>
        <v>45281</v>
      </c>
      <c r="E10166" s="279">
        <f t="shared" si="1303"/>
        <v>45281</v>
      </c>
      <c r="F10166" s="478"/>
      <c r="G10166" s="243" t="s">
        <v>94</v>
      </c>
      <c r="H10166" s="243" t="str" cm="1">
        <f t="array" ref="H10166">IFERROR(INDEX(INVESTOR_LIST[INVESTOR NAME],MATCH(I10166,INVESTOR_LIST[INVESTOR CODE],0),)," ")</f>
        <v xml:space="preserve"> </v>
      </c>
      <c r="I10166" s="263" t="s">
        <v>348</v>
      </c>
      <c r="J10166" s="244" t="s">
        <v>108</v>
      </c>
      <c r="K10166" s="245"/>
      <c r="L10166" s="245">
        <v>87241.180000007153</v>
      </c>
    </row>
    <row r="10167" spans="1:14" ht="22.5" x14ac:dyDescent="0.2">
      <c r="A10167" s="246">
        <v>2023</v>
      </c>
      <c r="B10167" s="238">
        <v>12</v>
      </c>
      <c r="C10167" s="238">
        <v>21</v>
      </c>
      <c r="D10167" s="270">
        <f t="shared" si="1302"/>
        <v>45281</v>
      </c>
      <c r="E10167" s="279">
        <f t="shared" si="1303"/>
        <v>45281</v>
      </c>
      <c r="F10167" s="482" t="s">
        <v>148</v>
      </c>
      <c r="G10167" s="247" t="s">
        <v>94</v>
      </c>
      <c r="H10167" s="247" t="str" cm="1">
        <f t="array" ref="H10167">IFERROR(INDEX(INVESTOR_LIST[INVESTOR NAME],MATCH(I10167,INVESTOR_LIST[INVESTOR CODE],0),)," ")</f>
        <v xml:space="preserve"> </v>
      </c>
      <c r="I10167" s="248" t="s">
        <v>348</v>
      </c>
      <c r="J10167" s="249" t="s">
        <v>95</v>
      </c>
      <c r="K10167" s="250">
        <v>2747.2527472527472</v>
      </c>
      <c r="L10167" s="241"/>
    </row>
    <row r="10168" spans="1:14" x14ac:dyDescent="0.2">
      <c r="A10168" s="242">
        <v>2023</v>
      </c>
      <c r="B10168" s="242">
        <v>12</v>
      </c>
      <c r="C10168" s="242">
        <v>21</v>
      </c>
      <c r="D10168" s="270">
        <f t="shared" si="1302"/>
        <v>45281</v>
      </c>
      <c r="E10168" s="279">
        <f t="shared" si="1303"/>
        <v>45281</v>
      </c>
      <c r="F10168" s="478"/>
      <c r="G10168" s="243" t="s">
        <v>94</v>
      </c>
      <c r="H10168" s="243" t="str" cm="1">
        <f t="array" ref="H10168">IFERROR(INDEX(INVESTOR_LIST[INVESTOR NAME],MATCH(I10168,INVESTOR_LIST[INVESTOR CODE],0),)," ")</f>
        <v xml:space="preserve"> </v>
      </c>
      <c r="I10168" s="263" t="s">
        <v>348</v>
      </c>
      <c r="J10168" s="244" t="s">
        <v>63</v>
      </c>
      <c r="K10168" s="245"/>
      <c r="L10168" s="245">
        <v>2747.2527472527472</v>
      </c>
    </row>
    <row r="10169" spans="1:14" x14ac:dyDescent="0.2">
      <c r="A10169" s="246">
        <v>2023</v>
      </c>
      <c r="B10169" s="238">
        <v>12</v>
      </c>
      <c r="C10169" s="238">
        <v>21</v>
      </c>
      <c r="D10169" s="270">
        <f t="shared" si="1302"/>
        <v>45281</v>
      </c>
      <c r="E10169" s="279">
        <f t="shared" si="1303"/>
        <v>45281</v>
      </c>
      <c r="F10169" s="482" t="s">
        <v>137</v>
      </c>
      <c r="G10169" s="247" t="s">
        <v>94</v>
      </c>
      <c r="H10169" s="247" t="str" cm="1">
        <f t="array" ref="H10169">IFERROR(INDEX(INVESTOR_LIST[INVESTOR NAME],MATCH(I10169,INVESTOR_LIST[INVESTOR CODE],0),)," ")</f>
        <v xml:space="preserve"> </v>
      </c>
      <c r="I10169" s="248" t="s">
        <v>348</v>
      </c>
      <c r="J10169" s="249" t="s">
        <v>97</v>
      </c>
      <c r="K10169" s="250">
        <v>58451.911363202264</v>
      </c>
      <c r="L10169" s="252"/>
    </row>
    <row r="10170" spans="1:14" x14ac:dyDescent="0.2">
      <c r="A10170" s="242">
        <v>2023</v>
      </c>
      <c r="B10170" s="242">
        <v>12</v>
      </c>
      <c r="C10170" s="242">
        <v>21</v>
      </c>
      <c r="D10170" s="270">
        <f t="shared" si="1302"/>
        <v>45281</v>
      </c>
      <c r="E10170" s="279">
        <f t="shared" si="1303"/>
        <v>45281</v>
      </c>
      <c r="F10170" s="478"/>
      <c r="G10170" s="243" t="s">
        <v>94</v>
      </c>
      <c r="H10170" s="243" t="str" cm="1">
        <f t="array" ref="H10170">IFERROR(INDEX(INVESTOR_LIST[INVESTOR NAME],MATCH(I10170,INVESTOR_LIST[INVESTOR CODE],0),)," ")</f>
        <v xml:space="preserve"> </v>
      </c>
      <c r="I10170" s="263" t="s">
        <v>348</v>
      </c>
      <c r="J10170" s="244" t="s">
        <v>47</v>
      </c>
      <c r="K10170" s="245"/>
      <c r="L10170" s="245">
        <v>58451.911363202264</v>
      </c>
    </row>
    <row r="10171" spans="1:14" x14ac:dyDescent="0.2">
      <c r="A10171" s="246">
        <v>2023</v>
      </c>
      <c r="B10171" s="238">
        <v>12</v>
      </c>
      <c r="C10171" s="238">
        <v>21</v>
      </c>
      <c r="D10171" s="270">
        <f t="shared" si="1302"/>
        <v>45281</v>
      </c>
      <c r="E10171" s="279">
        <f t="shared" si="1303"/>
        <v>45281</v>
      </c>
      <c r="F10171" s="482" t="s">
        <v>138</v>
      </c>
      <c r="G10171" s="247" t="s">
        <v>94</v>
      </c>
      <c r="H10171" s="247" t="str" cm="1">
        <f t="array" ref="H10171">IFERROR(INDEX(INVESTOR_LIST[INVESTOR NAME],MATCH(I10171,INVESTOR_LIST[INVESTOR CODE],0),)," ")</f>
        <v xml:space="preserve"> </v>
      </c>
      <c r="I10171" s="248" t="s">
        <v>348</v>
      </c>
      <c r="J10171" s="249" t="s">
        <v>100</v>
      </c>
      <c r="K10171" s="250">
        <v>2682.2109527754978</v>
      </c>
      <c r="L10171" s="252"/>
    </row>
    <row r="10172" spans="1:14" x14ac:dyDescent="0.2">
      <c r="A10172" s="242">
        <v>2023</v>
      </c>
      <c r="B10172" s="242">
        <v>12</v>
      </c>
      <c r="C10172" s="242">
        <v>21</v>
      </c>
      <c r="D10172" s="321">
        <f t="shared" si="1302"/>
        <v>45281</v>
      </c>
      <c r="E10172" s="322">
        <f t="shared" si="1303"/>
        <v>45281</v>
      </c>
      <c r="F10172" s="478"/>
      <c r="G10172" s="243" t="s">
        <v>94</v>
      </c>
      <c r="H10172" s="243" t="str" cm="1">
        <f t="array" ref="H10172">IFERROR(INDEX(INVESTOR_LIST[INVESTOR NAME],MATCH(I10172,INVESTOR_LIST[INVESTOR CODE],0),)," ")</f>
        <v xml:space="preserve"> </v>
      </c>
      <c r="I10172" s="263" t="s">
        <v>348</v>
      </c>
      <c r="J10172" s="244" t="s">
        <v>48</v>
      </c>
      <c r="K10172" s="245"/>
      <c r="L10172" s="245">
        <v>2682.2109527754978</v>
      </c>
    </row>
    <row r="10173" spans="1:14" ht="11.25" customHeight="1" x14ac:dyDescent="0.2">
      <c r="A10173" s="168">
        <v>2023</v>
      </c>
      <c r="B10173" s="168">
        <v>12</v>
      </c>
      <c r="C10173" s="168">
        <v>24</v>
      </c>
      <c r="D10173" s="141">
        <f t="shared" si="1302"/>
        <v>45284</v>
      </c>
      <c r="E10173" s="275">
        <f t="shared" si="1303"/>
        <v>45284</v>
      </c>
      <c r="F10173" s="479" t="s">
        <v>1850</v>
      </c>
      <c r="G10173" s="220" t="s">
        <v>74</v>
      </c>
      <c r="H10173" s="220"/>
      <c r="I10173" s="142"/>
      <c r="J10173" s="143" t="s">
        <v>52</v>
      </c>
      <c r="K10173" s="226">
        <v>999500</v>
      </c>
      <c r="L10173" s="226"/>
      <c r="N10173" s="160"/>
    </row>
    <row r="10174" spans="1:14" ht="11.25" customHeight="1" x14ac:dyDescent="0.2">
      <c r="A10174" s="133">
        <v>2023</v>
      </c>
      <c r="B10174" s="133">
        <v>12</v>
      </c>
      <c r="C10174" s="133">
        <v>24</v>
      </c>
      <c r="D10174" s="141">
        <f t="shared" ref="D10174" si="1304">DATE(A10174,B10174,C10174)</f>
        <v>45284</v>
      </c>
      <c r="E10174" s="275">
        <f t="shared" ref="E10174" si="1305">DATE(A10174,B10174,C10174)</f>
        <v>45284</v>
      </c>
      <c r="F10174" s="481"/>
      <c r="G10174" s="174" t="s">
        <v>74</v>
      </c>
      <c r="H10174" s="174"/>
      <c r="J10174" s="149" t="s">
        <v>61</v>
      </c>
      <c r="K10174" s="218">
        <v>500</v>
      </c>
      <c r="L10174" s="218"/>
      <c r="N10174" s="160"/>
    </row>
    <row r="10175" spans="1:14" x14ac:dyDescent="0.2">
      <c r="A10175" s="163">
        <v>2023</v>
      </c>
      <c r="B10175" s="163">
        <v>12</v>
      </c>
      <c r="C10175" s="163">
        <v>24</v>
      </c>
      <c r="D10175" s="280">
        <f t="shared" si="1302"/>
        <v>45284</v>
      </c>
      <c r="E10175" s="281">
        <f t="shared" si="1303"/>
        <v>45284</v>
      </c>
      <c r="F10175" s="480"/>
      <c r="G10175" s="221" t="s">
        <v>74</v>
      </c>
      <c r="H10175" s="221"/>
      <c r="I10175" s="145"/>
      <c r="J10175" s="163" t="s">
        <v>96</v>
      </c>
      <c r="K10175" s="219"/>
      <c r="L10175" s="219">
        <v>1000000</v>
      </c>
      <c r="N10175" s="160"/>
    </row>
    <row r="10176" spans="1:14" ht="11.25" customHeight="1" x14ac:dyDescent="0.2">
      <c r="A10176" s="168">
        <v>2023</v>
      </c>
      <c r="B10176" s="168">
        <v>12</v>
      </c>
      <c r="C10176" s="168">
        <v>24</v>
      </c>
      <c r="D10176" s="141">
        <f t="shared" ref="D10176:D10178" si="1306">DATE(A10176,B10176,C10176)</f>
        <v>45284</v>
      </c>
      <c r="E10176" s="275">
        <f t="shared" ref="E10176:E10178" si="1307">DATE(A10176,B10176,C10176)</f>
        <v>45284</v>
      </c>
      <c r="F10176" s="479" t="s">
        <v>1851</v>
      </c>
      <c r="G10176" s="220" t="s">
        <v>74</v>
      </c>
      <c r="H10176" s="220"/>
      <c r="I10176" s="142"/>
      <c r="J10176" s="143" t="s">
        <v>52</v>
      </c>
      <c r="K10176" s="226">
        <v>999500</v>
      </c>
      <c r="L10176" s="226"/>
      <c r="N10176" s="160"/>
    </row>
    <row r="10177" spans="1:17" ht="11.25" customHeight="1" x14ac:dyDescent="0.2">
      <c r="A10177" s="133">
        <v>2023</v>
      </c>
      <c r="B10177" s="133">
        <v>12</v>
      </c>
      <c r="C10177" s="133">
        <v>24</v>
      </c>
      <c r="D10177" s="141">
        <f t="shared" si="1306"/>
        <v>45284</v>
      </c>
      <c r="E10177" s="275">
        <f t="shared" si="1307"/>
        <v>45284</v>
      </c>
      <c r="F10177" s="481"/>
      <c r="G10177" s="174" t="s">
        <v>74</v>
      </c>
      <c r="H10177" s="174"/>
      <c r="J10177" s="149" t="s">
        <v>61</v>
      </c>
      <c r="K10177" s="218">
        <v>500</v>
      </c>
      <c r="L10177" s="218"/>
      <c r="N10177" s="160"/>
    </row>
    <row r="10178" spans="1:17" x14ac:dyDescent="0.2">
      <c r="A10178" s="163">
        <v>2023</v>
      </c>
      <c r="B10178" s="163">
        <v>12</v>
      </c>
      <c r="C10178" s="163">
        <v>24</v>
      </c>
      <c r="D10178" s="280">
        <f t="shared" si="1306"/>
        <v>45284</v>
      </c>
      <c r="E10178" s="281">
        <f t="shared" si="1307"/>
        <v>45284</v>
      </c>
      <c r="F10178" s="480"/>
      <c r="G10178" s="221" t="s">
        <v>74</v>
      </c>
      <c r="H10178" s="221"/>
      <c r="I10178" s="145"/>
      <c r="J10178" s="163" t="s">
        <v>96</v>
      </c>
      <c r="K10178" s="219"/>
      <c r="L10178" s="219">
        <v>1000000</v>
      </c>
      <c r="N10178" s="160"/>
    </row>
    <row r="10179" spans="1:17" ht="11.25" customHeight="1" x14ac:dyDescent="0.2">
      <c r="A10179" s="168">
        <v>2023</v>
      </c>
      <c r="B10179" s="168">
        <v>12</v>
      </c>
      <c r="C10179" s="168">
        <v>24</v>
      </c>
      <c r="D10179" s="141">
        <f t="shared" ref="D10179:D10196" si="1308">DATE(A10179,B10179,C10179)</f>
        <v>45284</v>
      </c>
      <c r="E10179" s="275">
        <f t="shared" ref="E10179:E10196" si="1309">DATE(A10179,B10179,C10179)</f>
        <v>45284</v>
      </c>
      <c r="F10179" s="479" t="s">
        <v>1852</v>
      </c>
      <c r="G10179" s="220" t="s">
        <v>74</v>
      </c>
      <c r="H10179" s="220"/>
      <c r="I10179" s="142"/>
      <c r="J10179" s="143" t="s">
        <v>52</v>
      </c>
      <c r="K10179" s="226">
        <v>999500</v>
      </c>
      <c r="L10179" s="226"/>
      <c r="N10179" s="160"/>
    </row>
    <row r="10180" spans="1:17" ht="11.25" customHeight="1" x14ac:dyDescent="0.2">
      <c r="A10180" s="133">
        <v>2023</v>
      </c>
      <c r="B10180" s="133">
        <v>12</v>
      </c>
      <c r="C10180" s="133">
        <v>24</v>
      </c>
      <c r="D10180" s="141">
        <f t="shared" si="1308"/>
        <v>45284</v>
      </c>
      <c r="E10180" s="275">
        <f t="shared" si="1309"/>
        <v>45284</v>
      </c>
      <c r="F10180" s="481"/>
      <c r="G10180" s="174" t="s">
        <v>74</v>
      </c>
      <c r="H10180" s="174"/>
      <c r="J10180" s="149" t="s">
        <v>61</v>
      </c>
      <c r="K10180" s="218">
        <v>500</v>
      </c>
      <c r="L10180" s="218"/>
      <c r="N10180" s="160"/>
    </row>
    <row r="10181" spans="1:17" x14ac:dyDescent="0.2">
      <c r="A10181" s="163">
        <v>2023</v>
      </c>
      <c r="B10181" s="163">
        <v>12</v>
      </c>
      <c r="C10181" s="163">
        <v>24</v>
      </c>
      <c r="D10181" s="280">
        <f t="shared" si="1308"/>
        <v>45284</v>
      </c>
      <c r="E10181" s="281">
        <f t="shared" si="1309"/>
        <v>45284</v>
      </c>
      <c r="F10181" s="480"/>
      <c r="G10181" s="221" t="s">
        <v>74</v>
      </c>
      <c r="H10181" s="221"/>
      <c r="I10181" s="145"/>
      <c r="J10181" s="163" t="s">
        <v>96</v>
      </c>
      <c r="K10181" s="219"/>
      <c r="L10181" s="219">
        <v>1000000</v>
      </c>
      <c r="N10181" s="160"/>
    </row>
    <row r="10182" spans="1:17" x14ac:dyDescent="0.2">
      <c r="A10182" s="133">
        <v>2023</v>
      </c>
      <c r="B10182" s="133">
        <v>12</v>
      </c>
      <c r="C10182" s="133">
        <v>26</v>
      </c>
      <c r="D10182" s="141">
        <f t="shared" si="1308"/>
        <v>45286</v>
      </c>
      <c r="E10182" s="275">
        <f t="shared" si="1309"/>
        <v>45286</v>
      </c>
      <c r="F10182" s="481" t="s">
        <v>1753</v>
      </c>
      <c r="G10182" s="174" t="s">
        <v>94</v>
      </c>
      <c r="H10182" s="174" t="str" cm="1">
        <f t="array" ref="H10182">IFERROR(INDEX(INVESTOR_LIST[INVESTOR NAME],MATCH(I10182,INVESTOR_LIST[INVESTOR CODE],0),)," ")</f>
        <v xml:space="preserve"> </v>
      </c>
      <c r="J10182" s="149" t="s">
        <v>190</v>
      </c>
      <c r="K10182" s="218">
        <v>1274708.99</v>
      </c>
      <c r="L10182" s="218"/>
      <c r="M10182" s="160"/>
    </row>
    <row r="10183" spans="1:17" x14ac:dyDescent="0.2">
      <c r="A10183" s="133">
        <v>2023</v>
      </c>
      <c r="B10183" s="133">
        <v>12</v>
      </c>
      <c r="C10183" s="133">
        <v>26</v>
      </c>
      <c r="D10183" s="141">
        <f t="shared" si="1308"/>
        <v>45286</v>
      </c>
      <c r="E10183" s="275">
        <f t="shared" si="1309"/>
        <v>45286</v>
      </c>
      <c r="F10183" s="481"/>
      <c r="G10183" s="174" t="s">
        <v>94</v>
      </c>
      <c r="H10183" s="174"/>
      <c r="J10183" s="149" t="s">
        <v>80</v>
      </c>
      <c r="K10183" s="218">
        <v>2298.61</v>
      </c>
      <c r="L10183" s="218"/>
      <c r="N10183" s="264"/>
    </row>
    <row r="10184" spans="1:17" x14ac:dyDescent="0.2">
      <c r="A10184" s="133">
        <v>2023</v>
      </c>
      <c r="B10184" s="133">
        <v>12</v>
      </c>
      <c r="C10184" s="133">
        <v>26</v>
      </c>
      <c r="D10184" s="141">
        <f t="shared" si="1308"/>
        <v>45286</v>
      </c>
      <c r="E10184" s="275">
        <f t="shared" si="1309"/>
        <v>45286</v>
      </c>
      <c r="F10184" s="481"/>
      <c r="G10184" s="174" t="s">
        <v>94</v>
      </c>
      <c r="H10184" s="174" t="str" cm="1">
        <f t="array" ref="H10184">IFERROR(INDEX(INVESTOR_LIST[INVESTOR NAME],MATCH(I10184,INVESTOR_LIST[INVESTOR CODE],0),)," ")</f>
        <v xml:space="preserve"> </v>
      </c>
      <c r="J10184" s="149" t="s">
        <v>191</v>
      </c>
      <c r="K10184" s="218"/>
      <c r="L10184" s="218">
        <v>67118.880000000005</v>
      </c>
      <c r="N10184" s="264"/>
    </row>
    <row r="10185" spans="1:17" x14ac:dyDescent="0.2">
      <c r="A10185" s="163">
        <v>2023</v>
      </c>
      <c r="B10185" s="163">
        <v>12</v>
      </c>
      <c r="C10185" s="163">
        <v>26</v>
      </c>
      <c r="D10185" s="280">
        <f t="shared" si="1308"/>
        <v>45286</v>
      </c>
      <c r="E10185" s="281">
        <f t="shared" si="1309"/>
        <v>45286</v>
      </c>
      <c r="F10185" s="480"/>
      <c r="G10185" s="221" t="s">
        <v>94</v>
      </c>
      <c r="H10185" s="145" t="str" cm="1">
        <f t="array" ref="H10185">IFERROR(INDEX(INVESTOR_LIST[INVESTOR NAME],MATCH(I10185,INVESTOR_LIST[INVESTOR CODE],0),)," ")</f>
        <v xml:space="preserve"> </v>
      </c>
      <c r="I10185" s="145"/>
      <c r="J10185" s="163" t="s">
        <v>79</v>
      </c>
      <c r="K10185" s="219"/>
      <c r="L10185" s="219">
        <v>1209888.72</v>
      </c>
      <c r="N10185" s="264"/>
    </row>
    <row r="10186" spans="1:17" x14ac:dyDescent="0.2">
      <c r="A10186" s="133">
        <v>2023</v>
      </c>
      <c r="B10186" s="133">
        <v>12</v>
      </c>
      <c r="C10186" s="133">
        <v>26</v>
      </c>
      <c r="D10186" s="141">
        <f t="shared" si="1308"/>
        <v>45286</v>
      </c>
      <c r="E10186" s="275">
        <f t="shared" si="1309"/>
        <v>45286</v>
      </c>
      <c r="F10186" s="481" t="s">
        <v>1853</v>
      </c>
      <c r="G10186" s="174" t="s">
        <v>74</v>
      </c>
      <c r="H10186" s="174" t="str" cm="1">
        <f t="array" ref="H10186">IFERROR(INDEX(INVESTOR_LIST[INVESTOR NAME],MATCH(I10186,INVESTOR_LIST[INVESTOR CODE],0),)," ")</f>
        <v xml:space="preserve"> </v>
      </c>
      <c r="I10186" s="148" t="s">
        <v>348</v>
      </c>
      <c r="J10186" s="149" t="s">
        <v>1764</v>
      </c>
      <c r="K10186" s="218">
        <v>4378824</v>
      </c>
      <c r="L10186" s="218"/>
      <c r="M10186" s="147"/>
      <c r="Q10186" s="133" t="s">
        <v>348</v>
      </c>
    </row>
    <row r="10187" spans="1:17" x14ac:dyDescent="0.2">
      <c r="A10187" s="163">
        <v>2023</v>
      </c>
      <c r="B10187" s="163">
        <v>12</v>
      </c>
      <c r="C10187" s="163">
        <v>26</v>
      </c>
      <c r="D10187" s="280">
        <f t="shared" si="1308"/>
        <v>45286</v>
      </c>
      <c r="E10187" s="281">
        <f t="shared" si="1309"/>
        <v>45286</v>
      </c>
      <c r="F10187" s="480"/>
      <c r="G10187" s="221" t="s">
        <v>74</v>
      </c>
      <c r="H10187" s="221" t="str" cm="1">
        <f t="array" ref="H10187">IFERROR(INDEX(INVESTOR_LIST[INVESTOR NAME],MATCH(I10187,INVESTOR_LIST[INVESTOR CODE],0),)," ")</f>
        <v xml:space="preserve"> </v>
      </c>
      <c r="I10187" s="145"/>
      <c r="J10187" s="146" t="s">
        <v>52</v>
      </c>
      <c r="K10187" s="219"/>
      <c r="L10187" s="219">
        <v>4378824</v>
      </c>
      <c r="M10187" s="147"/>
      <c r="Q10187" s="133" t="s">
        <v>348</v>
      </c>
    </row>
    <row r="10188" spans="1:17" x14ac:dyDescent="0.2">
      <c r="A10188" s="133">
        <v>2023</v>
      </c>
      <c r="B10188" s="168">
        <v>12</v>
      </c>
      <c r="C10188" s="168">
        <v>26</v>
      </c>
      <c r="D10188" s="141">
        <f t="shared" si="1308"/>
        <v>45286</v>
      </c>
      <c r="E10188" s="275">
        <f t="shared" si="1309"/>
        <v>45286</v>
      </c>
      <c r="F10188" s="481" t="s">
        <v>982</v>
      </c>
      <c r="G10188" s="174" t="s">
        <v>74</v>
      </c>
      <c r="H10188" s="174" t="str" cm="1">
        <f t="array" ref="H10188">IFERROR(INDEX(INVESTOR_LIST[INVESTOR NAME],MATCH(I10188,INVESTOR_LIST[INVESTOR CODE],0),)," ")</f>
        <v xml:space="preserve"> </v>
      </c>
      <c r="I10188" s="148" t="s">
        <v>348</v>
      </c>
      <c r="J10188" s="149" t="s">
        <v>163</v>
      </c>
      <c r="K10188" s="218">
        <v>5000</v>
      </c>
      <c r="L10188" s="218"/>
    </row>
    <row r="10189" spans="1:17" x14ac:dyDescent="0.2">
      <c r="A10189" s="163">
        <v>2023</v>
      </c>
      <c r="B10189" s="163">
        <v>12</v>
      </c>
      <c r="C10189" s="163">
        <v>26</v>
      </c>
      <c r="D10189" s="280">
        <f t="shared" si="1308"/>
        <v>45286</v>
      </c>
      <c r="E10189" s="281">
        <f t="shared" si="1309"/>
        <v>45286</v>
      </c>
      <c r="F10189" s="480"/>
      <c r="G10189" s="221" t="s">
        <v>74</v>
      </c>
      <c r="H10189" s="221" t="str" cm="1">
        <f t="array" ref="H10189">IFERROR(INDEX(INVESTOR_LIST[INVESTOR NAME],MATCH(I10189,INVESTOR_LIST[INVESTOR CODE],0),)," ")</f>
        <v xml:space="preserve"> </v>
      </c>
      <c r="I10189" s="145" t="s">
        <v>348</v>
      </c>
      <c r="J10189" s="146" t="s">
        <v>52</v>
      </c>
      <c r="K10189" s="219"/>
      <c r="L10189" s="219">
        <v>5000</v>
      </c>
    </row>
    <row r="10190" spans="1:17" x14ac:dyDescent="0.2">
      <c r="A10190" s="168">
        <v>2023</v>
      </c>
      <c r="B10190" s="168">
        <v>12</v>
      </c>
      <c r="C10190" s="168">
        <v>26</v>
      </c>
      <c r="D10190" s="141">
        <f t="shared" si="1308"/>
        <v>45286</v>
      </c>
      <c r="E10190" s="275">
        <f t="shared" si="1309"/>
        <v>45286</v>
      </c>
      <c r="F10190" s="479" t="s">
        <v>1319</v>
      </c>
      <c r="G10190" s="220" t="s">
        <v>74</v>
      </c>
      <c r="H10190" s="142" t="str" cm="1">
        <f t="array" ref="H10190">IFERROR(INDEX(INVESTOR_LIST[INVESTOR NAME],MATCH(I10190,INVESTOR_LIST[INVESTOR CODE],0),)," ")</f>
        <v xml:space="preserve"> </v>
      </c>
      <c r="I10190" s="142"/>
      <c r="J10190" s="168" t="s">
        <v>52</v>
      </c>
      <c r="K10190" s="226">
        <v>167000</v>
      </c>
      <c r="L10190" s="226"/>
    </row>
    <row r="10191" spans="1:17" x14ac:dyDescent="0.2">
      <c r="A10191" s="133">
        <v>2023</v>
      </c>
      <c r="B10191" s="133">
        <v>12</v>
      </c>
      <c r="C10191" s="133">
        <v>26</v>
      </c>
      <c r="D10191" s="141">
        <f t="shared" si="1308"/>
        <v>45286</v>
      </c>
      <c r="E10191" s="275">
        <f t="shared" si="1309"/>
        <v>45286</v>
      </c>
      <c r="F10191" s="481"/>
      <c r="G10191" s="174" t="s">
        <v>74</v>
      </c>
      <c r="H10191" s="148" t="str" cm="1">
        <f t="array" ref="H10191">IFERROR(INDEX(INVESTOR_LIST[INVESTOR NAME],MATCH(I10191,INVESTOR_LIST[INVESTOR CODE],0),)," ")</f>
        <v xml:space="preserve"> </v>
      </c>
      <c r="J10191" s="133" t="s">
        <v>13</v>
      </c>
      <c r="K10191" s="218"/>
      <c r="L10191" s="218">
        <v>134300</v>
      </c>
    </row>
    <row r="10192" spans="1:17" x14ac:dyDescent="0.2">
      <c r="A10192" s="163">
        <v>2023</v>
      </c>
      <c r="B10192" s="163">
        <v>12</v>
      </c>
      <c r="C10192" s="163">
        <v>26</v>
      </c>
      <c r="D10192" s="280">
        <f t="shared" si="1308"/>
        <v>45286</v>
      </c>
      <c r="E10192" s="281">
        <f t="shared" si="1309"/>
        <v>45286</v>
      </c>
      <c r="F10192" s="480"/>
      <c r="G10192" s="221" t="s">
        <v>74</v>
      </c>
      <c r="H10192" s="145" t="str" cm="1">
        <f t="array" ref="H10192">IFERROR(INDEX(INVESTOR_LIST[INVESTOR NAME],MATCH(I10192,INVESTOR_LIST[INVESTOR CODE],0),)," ")</f>
        <v xml:space="preserve"> </v>
      </c>
      <c r="I10192" s="145"/>
      <c r="J10192" s="163" t="s">
        <v>53</v>
      </c>
      <c r="K10192" s="219"/>
      <c r="L10192" s="219">
        <v>32700</v>
      </c>
    </row>
    <row r="10193" spans="1:17" x14ac:dyDescent="0.2">
      <c r="A10193" s="168">
        <v>2023</v>
      </c>
      <c r="B10193" s="133">
        <v>12</v>
      </c>
      <c r="C10193" s="133">
        <v>27</v>
      </c>
      <c r="D10193" s="141">
        <f t="shared" si="1308"/>
        <v>45287</v>
      </c>
      <c r="E10193" s="275">
        <f t="shared" si="1309"/>
        <v>45287</v>
      </c>
      <c r="F10193" s="479" t="s">
        <v>1888</v>
      </c>
      <c r="G10193" s="220" t="s">
        <v>74</v>
      </c>
      <c r="H10193" s="220" t="str" cm="1">
        <f t="array" ref="H10193">IFERROR(INDEX(INVESTOR_LIST[INVESTOR NAME],MATCH(I10193,INVESTOR_LIST[INVESTOR CODE],0),)," ")</f>
        <v xml:space="preserve"> </v>
      </c>
      <c r="I10193" s="142" t="s">
        <v>348</v>
      </c>
      <c r="J10193" s="143" t="s">
        <v>184</v>
      </c>
      <c r="K10193" s="226">
        <v>680000</v>
      </c>
      <c r="L10193" s="226"/>
    </row>
    <row r="10194" spans="1:17" x14ac:dyDescent="0.2">
      <c r="A10194" s="133">
        <v>2023</v>
      </c>
      <c r="B10194" s="133">
        <v>12</v>
      </c>
      <c r="C10194" s="133">
        <v>27</v>
      </c>
      <c r="D10194" s="141">
        <f t="shared" ref="D10194" si="1310">DATE(A10194,B10194,C10194)</f>
        <v>45287</v>
      </c>
      <c r="E10194" s="275">
        <f t="shared" ref="E10194" si="1311">DATE(A10194,B10194,C10194)</f>
        <v>45287</v>
      </c>
      <c r="F10194" s="481"/>
      <c r="G10194" s="174" t="s">
        <v>74</v>
      </c>
      <c r="H10194" s="174"/>
      <c r="J10194" s="149" t="s">
        <v>185</v>
      </c>
      <c r="K10194" s="218">
        <v>3000</v>
      </c>
      <c r="L10194" s="218"/>
    </row>
    <row r="10195" spans="1:17" x14ac:dyDescent="0.2">
      <c r="A10195" s="133">
        <v>2023</v>
      </c>
      <c r="B10195" s="133">
        <v>12</v>
      </c>
      <c r="C10195" s="133">
        <v>27</v>
      </c>
      <c r="D10195" s="141">
        <f t="shared" si="1308"/>
        <v>45287</v>
      </c>
      <c r="E10195" s="275">
        <f t="shared" si="1309"/>
        <v>45287</v>
      </c>
      <c r="F10195" s="481"/>
      <c r="G10195" s="174" t="s">
        <v>74</v>
      </c>
      <c r="H10195" s="174"/>
      <c r="J10195" s="149" t="s">
        <v>61</v>
      </c>
      <c r="K10195" s="218">
        <v>115</v>
      </c>
      <c r="L10195" s="218"/>
    </row>
    <row r="10196" spans="1:17" x14ac:dyDescent="0.2">
      <c r="A10196" s="163">
        <v>2023</v>
      </c>
      <c r="B10196" s="163">
        <v>12</v>
      </c>
      <c r="C10196" s="163">
        <v>27</v>
      </c>
      <c r="D10196" s="280">
        <f t="shared" si="1308"/>
        <v>45287</v>
      </c>
      <c r="E10196" s="281">
        <f t="shared" si="1309"/>
        <v>45287</v>
      </c>
      <c r="F10196" s="480"/>
      <c r="G10196" s="221" t="s">
        <v>74</v>
      </c>
      <c r="H10196" s="221" t="str" cm="1">
        <f t="array" ref="H10196">IFERROR(INDEX(INVESTOR_LIST[INVESTOR NAME],MATCH(I10196,INVESTOR_LIST[INVESTOR CODE],0),)," ")</f>
        <v xml:space="preserve"> </v>
      </c>
      <c r="I10196" s="145" t="s">
        <v>348</v>
      </c>
      <c r="J10196" s="146" t="s">
        <v>52</v>
      </c>
      <c r="K10196" s="219"/>
      <c r="L10196" s="219">
        <v>683115</v>
      </c>
    </row>
    <row r="10197" spans="1:17" ht="11.25" customHeight="1" x14ac:dyDescent="0.2">
      <c r="A10197" s="133">
        <v>2023</v>
      </c>
      <c r="B10197" s="133">
        <v>12</v>
      </c>
      <c r="C10197" s="133">
        <v>27</v>
      </c>
      <c r="D10197" s="141">
        <f>DATE(A10197,B10197,C10197)</f>
        <v>45287</v>
      </c>
      <c r="E10197" s="275">
        <f>DATE(A10197,B10197,C10197)</f>
        <v>45287</v>
      </c>
      <c r="F10197" s="481" t="s">
        <v>1854</v>
      </c>
      <c r="G10197" s="174" t="s">
        <v>74</v>
      </c>
      <c r="H10197" s="174" t="str" cm="1">
        <f t="array" ref="H10197">IFERROR(INDEX(INVESTOR_LIST[INVESTOR NAME],MATCH(I10197,INVESTOR_LIST[INVESTOR CODE],0),)," ")</f>
        <v xml:space="preserve"> </v>
      </c>
      <c r="I10197" s="148" t="s">
        <v>348</v>
      </c>
      <c r="J10197" s="149" t="s">
        <v>52</v>
      </c>
      <c r="K10197" s="218">
        <v>4380246</v>
      </c>
      <c r="L10197" s="218"/>
      <c r="M10197" s="147"/>
      <c r="Q10197" s="133" t="s">
        <v>348</v>
      </c>
    </row>
    <row r="10198" spans="1:17" x14ac:dyDescent="0.2">
      <c r="A10198" s="133">
        <v>2023</v>
      </c>
      <c r="B10198" s="133">
        <v>12</v>
      </c>
      <c r="C10198" s="133">
        <v>27</v>
      </c>
      <c r="D10198" s="141">
        <f t="shared" ref="D10198" si="1312">DATE(A10198,B10198,C10198)</f>
        <v>45287</v>
      </c>
      <c r="E10198" s="275">
        <f t="shared" ref="E10198" si="1313">DATE(A10198,B10198,C10198)</f>
        <v>45287</v>
      </c>
      <c r="F10198" s="481"/>
      <c r="G10198" s="174" t="s">
        <v>74</v>
      </c>
      <c r="H10198" s="174"/>
      <c r="J10198" s="149" t="s">
        <v>1809</v>
      </c>
      <c r="K10198" s="218"/>
      <c r="L10198" s="218">
        <v>1422</v>
      </c>
      <c r="M10198" s="147"/>
    </row>
    <row r="10199" spans="1:17" x14ac:dyDescent="0.2">
      <c r="A10199" s="163">
        <v>2023</v>
      </c>
      <c r="B10199" s="163">
        <v>12</v>
      </c>
      <c r="C10199" s="163">
        <v>27</v>
      </c>
      <c r="D10199" s="280">
        <f>DATE(A10199,B10199,C10199)</f>
        <v>45287</v>
      </c>
      <c r="E10199" s="281">
        <f>DATE(A10199,B10199,C10199)</f>
        <v>45287</v>
      </c>
      <c r="F10199" s="480"/>
      <c r="G10199" s="221" t="s">
        <v>74</v>
      </c>
      <c r="H10199" s="221" t="str" cm="1">
        <f t="array" ref="H10199">IFERROR(INDEX(INVESTOR_LIST[INVESTOR NAME],MATCH(I10199,INVESTOR_LIST[INVESTOR CODE],0),)," ")</f>
        <v xml:space="preserve"> </v>
      </c>
      <c r="I10199" s="145"/>
      <c r="J10199" s="146" t="s">
        <v>1764</v>
      </c>
      <c r="K10199" s="219"/>
      <c r="L10199" s="219">
        <v>4378824</v>
      </c>
      <c r="M10199" s="147"/>
      <c r="Q10199" s="133" t="s">
        <v>348</v>
      </c>
    </row>
    <row r="10200" spans="1:17" x14ac:dyDescent="0.2">
      <c r="A10200" s="133">
        <v>2023</v>
      </c>
      <c r="B10200" s="168">
        <v>12</v>
      </c>
      <c r="C10200" s="168">
        <v>28</v>
      </c>
      <c r="D10200" s="141">
        <f t="shared" ref="D10200:D10221" si="1314">DATE(A10200,B10200,C10200)</f>
        <v>45288</v>
      </c>
      <c r="E10200" s="275">
        <f t="shared" ref="E10200:E10221" si="1315">DATE(A10200,B10200,C10200)</f>
        <v>45288</v>
      </c>
      <c r="F10200" s="481" t="s">
        <v>1855</v>
      </c>
      <c r="G10200" s="174" t="s">
        <v>74</v>
      </c>
      <c r="H10200" s="174" t="str" cm="1">
        <f t="array" ref="H10200">IFERROR(INDEX(INVESTOR_LIST[INVESTOR NAME],MATCH(I10200,INVESTOR_LIST[INVESTOR CODE],0),)," ")</f>
        <v xml:space="preserve"> </v>
      </c>
      <c r="I10200" s="148" t="s">
        <v>348</v>
      </c>
      <c r="J10200" s="149" t="s">
        <v>168</v>
      </c>
      <c r="K10200" s="218">
        <v>17.829999999999998</v>
      </c>
      <c r="L10200" s="218"/>
    </row>
    <row r="10201" spans="1:17" x14ac:dyDescent="0.2">
      <c r="A10201" s="133">
        <v>2023</v>
      </c>
      <c r="B10201" s="133">
        <v>12</v>
      </c>
      <c r="C10201" s="133">
        <v>28</v>
      </c>
      <c r="D10201" s="141">
        <f t="shared" ref="D10201:D10202" si="1316">DATE(A10201,B10201,C10201)</f>
        <v>45288</v>
      </c>
      <c r="E10201" s="275">
        <f t="shared" ref="E10201:E10202" si="1317">DATE(A10201,B10201,C10201)</f>
        <v>45288</v>
      </c>
      <c r="F10201" s="481"/>
      <c r="G10201" s="174" t="s">
        <v>74</v>
      </c>
      <c r="H10201" s="174"/>
      <c r="J10201" s="149" t="s">
        <v>166</v>
      </c>
      <c r="K10201" s="218"/>
      <c r="L10201" s="218">
        <v>17.829999999999998</v>
      </c>
    </row>
    <row r="10202" spans="1:17" x14ac:dyDescent="0.2">
      <c r="A10202" s="133">
        <v>2023</v>
      </c>
      <c r="B10202" s="133">
        <v>12</v>
      </c>
      <c r="C10202" s="133">
        <v>28</v>
      </c>
      <c r="D10202" s="141">
        <f t="shared" si="1316"/>
        <v>45288</v>
      </c>
      <c r="E10202" s="275">
        <f t="shared" si="1317"/>
        <v>45288</v>
      </c>
      <c r="F10202" s="481"/>
      <c r="G10202" s="174" t="s">
        <v>74</v>
      </c>
      <c r="H10202" s="174"/>
      <c r="J10202" s="149" t="s">
        <v>52</v>
      </c>
      <c r="K10202" s="218">
        <v>17.829999999999998</v>
      </c>
      <c r="L10202" s="218"/>
    </row>
    <row r="10203" spans="1:17" x14ac:dyDescent="0.2">
      <c r="A10203" s="163">
        <v>2023</v>
      </c>
      <c r="B10203" s="163">
        <v>12</v>
      </c>
      <c r="C10203" s="163">
        <v>28</v>
      </c>
      <c r="D10203" s="280">
        <f t="shared" si="1314"/>
        <v>45288</v>
      </c>
      <c r="E10203" s="281">
        <f t="shared" si="1315"/>
        <v>45288</v>
      </c>
      <c r="F10203" s="480"/>
      <c r="G10203" s="221" t="s">
        <v>74</v>
      </c>
      <c r="H10203" s="221" t="str" cm="1">
        <f t="array" ref="H10203">IFERROR(INDEX(INVESTOR_LIST[INVESTOR NAME],MATCH(I10203,INVESTOR_LIST[INVESTOR CODE],0),)," ")</f>
        <v xml:space="preserve"> </v>
      </c>
      <c r="I10203" s="145" t="s">
        <v>348</v>
      </c>
      <c r="J10203" s="146" t="s">
        <v>168</v>
      </c>
      <c r="K10203" s="219"/>
      <c r="L10203" s="219">
        <v>17.829999999999998</v>
      </c>
    </row>
    <row r="10204" spans="1:17" x14ac:dyDescent="0.2">
      <c r="A10204" s="133">
        <v>2023</v>
      </c>
      <c r="B10204" s="133">
        <v>12</v>
      </c>
      <c r="C10204" s="168">
        <v>28</v>
      </c>
      <c r="D10204" s="141">
        <f t="shared" si="1314"/>
        <v>45288</v>
      </c>
      <c r="E10204" s="275">
        <f t="shared" si="1315"/>
        <v>45288</v>
      </c>
      <c r="F10204" s="479" t="s">
        <v>77</v>
      </c>
      <c r="G10204" s="174" t="s">
        <v>74</v>
      </c>
      <c r="H10204" s="148" t="str" cm="1">
        <f t="array" ref="H10204">IFERROR(INDEX(INVESTOR_LIST[INVESTOR NAME],MATCH(I10204,INVESTOR_LIST[INVESTOR CODE],0),)," ")</f>
        <v xml:space="preserve"> </v>
      </c>
      <c r="I10204" s="148" t="s">
        <v>348</v>
      </c>
      <c r="J10204" s="133" t="s">
        <v>61</v>
      </c>
      <c r="K10204" s="172">
        <v>100</v>
      </c>
    </row>
    <row r="10205" spans="1:17" x14ac:dyDescent="0.2">
      <c r="A10205" s="163">
        <v>2023</v>
      </c>
      <c r="B10205" s="163">
        <v>12</v>
      </c>
      <c r="C10205" s="163">
        <v>28</v>
      </c>
      <c r="D10205" s="280">
        <f t="shared" si="1314"/>
        <v>45288</v>
      </c>
      <c r="E10205" s="281">
        <f t="shared" si="1315"/>
        <v>45288</v>
      </c>
      <c r="F10205" s="480"/>
      <c r="G10205" s="221" t="s">
        <v>74</v>
      </c>
      <c r="H10205" s="145" t="str" cm="1">
        <f t="array" ref="H10205">IFERROR(INDEX(INVESTOR_LIST[INVESTOR NAME],MATCH(I10205,INVESTOR_LIST[INVESTOR CODE],0),)," ")</f>
        <v xml:space="preserve"> </v>
      </c>
      <c r="I10205" s="145" t="s">
        <v>348</v>
      </c>
      <c r="J10205" s="163" t="s">
        <v>52</v>
      </c>
      <c r="K10205" s="219"/>
      <c r="L10205" s="219">
        <v>100</v>
      </c>
    </row>
    <row r="10206" spans="1:17" x14ac:dyDescent="0.2">
      <c r="A10206" s="133">
        <v>2023</v>
      </c>
      <c r="B10206" s="133">
        <v>12</v>
      </c>
      <c r="C10206" s="133">
        <v>28</v>
      </c>
      <c r="D10206" s="141">
        <f t="shared" si="1314"/>
        <v>45288</v>
      </c>
      <c r="E10206" s="275">
        <f t="shared" si="1315"/>
        <v>45288</v>
      </c>
      <c r="F10206" s="481" t="s">
        <v>1753</v>
      </c>
      <c r="G10206" s="174" t="s">
        <v>94</v>
      </c>
      <c r="H10206" s="174" t="str" cm="1">
        <f t="array" ref="H10206">IFERROR(INDEX(INVESTOR_LIST[INVESTOR NAME],MATCH(I10206,INVESTOR_LIST[INVESTOR CODE],0),)," ")</f>
        <v xml:space="preserve"> </v>
      </c>
      <c r="J10206" s="149" t="s">
        <v>190</v>
      </c>
      <c r="K10206" s="218">
        <v>2546970.4300000002</v>
      </c>
      <c r="L10206" s="218"/>
      <c r="M10206" s="160"/>
    </row>
    <row r="10207" spans="1:17" x14ac:dyDescent="0.2">
      <c r="A10207" s="133">
        <v>2023</v>
      </c>
      <c r="B10207" s="133">
        <v>12</v>
      </c>
      <c r="C10207" s="133">
        <v>28</v>
      </c>
      <c r="D10207" s="141">
        <f t="shared" si="1314"/>
        <v>45288</v>
      </c>
      <c r="E10207" s="275">
        <f t="shared" si="1315"/>
        <v>45288</v>
      </c>
      <c r="F10207" s="481"/>
      <c r="G10207" s="174" t="s">
        <v>94</v>
      </c>
      <c r="H10207" s="174"/>
      <c r="J10207" s="149" t="s">
        <v>80</v>
      </c>
      <c r="K10207" s="218">
        <v>4592.87</v>
      </c>
      <c r="L10207" s="218"/>
      <c r="N10207" s="264"/>
    </row>
    <row r="10208" spans="1:17" x14ac:dyDescent="0.2">
      <c r="A10208" s="133">
        <v>2023</v>
      </c>
      <c r="B10208" s="133">
        <v>12</v>
      </c>
      <c r="C10208" s="133">
        <v>28</v>
      </c>
      <c r="D10208" s="141">
        <f t="shared" si="1314"/>
        <v>45288</v>
      </c>
      <c r="E10208" s="275">
        <f t="shared" si="1315"/>
        <v>45288</v>
      </c>
      <c r="F10208" s="481"/>
      <c r="G10208" s="174" t="s">
        <v>94</v>
      </c>
      <c r="H10208" s="174" t="str" cm="1">
        <f t="array" ref="H10208">IFERROR(INDEX(INVESTOR_LIST[INVESTOR NAME],MATCH(I10208,INVESTOR_LIST[INVESTOR CODE],0),)," ")</f>
        <v xml:space="preserve"> </v>
      </c>
      <c r="J10208" s="149" t="s">
        <v>191</v>
      </c>
      <c r="K10208" s="218"/>
      <c r="L10208" s="218">
        <v>134126.07</v>
      </c>
      <c r="N10208" s="264"/>
    </row>
    <row r="10209" spans="1:14" x14ac:dyDescent="0.2">
      <c r="A10209" s="163">
        <v>2023</v>
      </c>
      <c r="B10209" s="163">
        <v>12</v>
      </c>
      <c r="C10209" s="163">
        <v>28</v>
      </c>
      <c r="D10209" s="280">
        <f t="shared" si="1314"/>
        <v>45288</v>
      </c>
      <c r="E10209" s="281">
        <f t="shared" si="1315"/>
        <v>45288</v>
      </c>
      <c r="F10209" s="480"/>
      <c r="G10209" s="221" t="s">
        <v>94</v>
      </c>
      <c r="H10209" s="145" t="str" cm="1">
        <f t="array" ref="H10209">IFERROR(INDEX(INVESTOR_LIST[INVESTOR NAME],MATCH(I10209,INVESTOR_LIST[INVESTOR CODE],0),)," ")</f>
        <v xml:space="preserve"> </v>
      </c>
      <c r="I10209" s="145"/>
      <c r="J10209" s="163" t="s">
        <v>79</v>
      </c>
      <c r="K10209" s="219"/>
      <c r="L10209" s="219">
        <v>2417437.23</v>
      </c>
      <c r="N10209" s="264"/>
    </row>
    <row r="10210" spans="1:14" x14ac:dyDescent="0.2">
      <c r="A10210" s="343">
        <v>2023</v>
      </c>
      <c r="B10210" s="343">
        <v>12</v>
      </c>
      <c r="C10210" s="343">
        <v>28</v>
      </c>
      <c r="D10210" s="344">
        <f t="shared" si="1314"/>
        <v>45288</v>
      </c>
      <c r="E10210" s="345">
        <f t="shared" si="1315"/>
        <v>45288</v>
      </c>
      <c r="F10210" s="483" t="s">
        <v>1813</v>
      </c>
      <c r="G10210" s="350" t="s">
        <v>94</v>
      </c>
      <c r="H10210" s="350" t="str" cm="1">
        <f t="array" ref="H10210">IFERROR(INDEX(INVESTOR_LIST[INVESTOR NAME],MATCH(I10210,INVESTOR_LIST[INVESTOR CODE],0),)," ")</f>
        <v xml:space="preserve"> </v>
      </c>
      <c r="I10210" s="352" t="s">
        <v>348</v>
      </c>
      <c r="J10210" s="353" t="s">
        <v>1798</v>
      </c>
      <c r="K10210" s="354">
        <v>30893.399999996647</v>
      </c>
      <c r="L10210" s="354"/>
    </row>
    <row r="10211" spans="1:14" x14ac:dyDescent="0.2">
      <c r="A10211" s="346">
        <v>2023</v>
      </c>
      <c r="B10211" s="346">
        <v>12</v>
      </c>
      <c r="C10211" s="346">
        <v>28</v>
      </c>
      <c r="D10211" s="344">
        <f t="shared" si="1314"/>
        <v>45288</v>
      </c>
      <c r="E10211" s="345">
        <f t="shared" si="1315"/>
        <v>45288</v>
      </c>
      <c r="F10211" s="484"/>
      <c r="G10211" s="347" t="s">
        <v>94</v>
      </c>
      <c r="H10211" s="347" t="str" cm="1">
        <f t="array" ref="H10211">IFERROR(INDEX(INVESTOR_LIST[INVESTOR NAME],MATCH(I10211,INVESTOR_LIST[INVESTOR CODE],0),)," ")</f>
        <v xml:space="preserve"> </v>
      </c>
      <c r="I10211" s="348" t="s">
        <v>348</v>
      </c>
      <c r="J10211" s="355" t="s">
        <v>1807</v>
      </c>
      <c r="K10211" s="349"/>
      <c r="L10211" s="349">
        <v>30893.399999996647</v>
      </c>
    </row>
    <row r="10212" spans="1:14" x14ac:dyDescent="0.2">
      <c r="A10212" s="238">
        <v>2023</v>
      </c>
      <c r="B10212" s="238">
        <v>12</v>
      </c>
      <c r="C10212" s="238">
        <v>28</v>
      </c>
      <c r="D10212" s="270">
        <f t="shared" si="1314"/>
        <v>45288</v>
      </c>
      <c r="E10212" s="279">
        <f t="shared" si="1315"/>
        <v>45288</v>
      </c>
      <c r="F10212" s="477" t="s">
        <v>347</v>
      </c>
      <c r="G10212" s="239" t="s">
        <v>94</v>
      </c>
      <c r="H10212" s="239" t="str" cm="1">
        <f t="array" ref="H10212">IFERROR(INDEX(INVESTOR_LIST[INVESTOR NAME],MATCH(I10212,INVESTOR_LIST[INVESTOR CODE],0),)," ")</f>
        <v xml:space="preserve"> </v>
      </c>
      <c r="I10212" s="262" t="s">
        <v>348</v>
      </c>
      <c r="J10212" s="240" t="s">
        <v>82</v>
      </c>
      <c r="K10212" s="241">
        <v>109450.13000002503</v>
      </c>
      <c r="L10212" s="241"/>
    </row>
    <row r="10213" spans="1:14" x14ac:dyDescent="0.2">
      <c r="A10213" s="242">
        <v>2023</v>
      </c>
      <c r="B10213" s="242">
        <v>12</v>
      </c>
      <c r="C10213" s="242">
        <v>28</v>
      </c>
      <c r="D10213" s="270">
        <f t="shared" si="1314"/>
        <v>45288</v>
      </c>
      <c r="E10213" s="279">
        <f t="shared" si="1315"/>
        <v>45288</v>
      </c>
      <c r="F10213" s="478"/>
      <c r="G10213" s="243" t="s">
        <v>94</v>
      </c>
      <c r="H10213" s="243" t="str" cm="1">
        <f t="array" ref="H10213">IFERROR(INDEX(INVESTOR_LIST[INVESTOR NAME],MATCH(I10213,INVESTOR_LIST[INVESTOR CODE],0),)," ")</f>
        <v xml:space="preserve"> </v>
      </c>
      <c r="I10213" s="263" t="s">
        <v>348</v>
      </c>
      <c r="J10213" s="244" t="s">
        <v>108</v>
      </c>
      <c r="K10213" s="245"/>
      <c r="L10213" s="245">
        <v>109450.13000002503</v>
      </c>
    </row>
    <row r="10214" spans="1:14" ht="22.5" x14ac:dyDescent="0.2">
      <c r="A10214" s="246">
        <v>2023</v>
      </c>
      <c r="B10214" s="238">
        <v>12</v>
      </c>
      <c r="C10214" s="238">
        <v>28</v>
      </c>
      <c r="D10214" s="270">
        <f t="shared" si="1314"/>
        <v>45288</v>
      </c>
      <c r="E10214" s="279">
        <f t="shared" si="1315"/>
        <v>45288</v>
      </c>
      <c r="F10214" s="482" t="s">
        <v>148</v>
      </c>
      <c r="G10214" s="247" t="s">
        <v>94</v>
      </c>
      <c r="H10214" s="247" t="str" cm="1">
        <f t="array" ref="H10214">IFERROR(INDEX(INVESTOR_LIST[INVESTOR NAME],MATCH(I10214,INVESTOR_LIST[INVESTOR CODE],0),)," ")</f>
        <v xml:space="preserve"> </v>
      </c>
      <c r="I10214" s="248" t="s">
        <v>348</v>
      </c>
      <c r="J10214" s="249" t="s">
        <v>95</v>
      </c>
      <c r="K10214" s="250">
        <v>2747.2527472527472</v>
      </c>
      <c r="L10214" s="241"/>
    </row>
    <row r="10215" spans="1:14" x14ac:dyDescent="0.2">
      <c r="A10215" s="242">
        <v>2023</v>
      </c>
      <c r="B10215" s="242">
        <v>12</v>
      </c>
      <c r="C10215" s="242">
        <v>28</v>
      </c>
      <c r="D10215" s="270">
        <f t="shared" si="1314"/>
        <v>45288</v>
      </c>
      <c r="E10215" s="279">
        <f t="shared" si="1315"/>
        <v>45288</v>
      </c>
      <c r="F10215" s="478"/>
      <c r="G10215" s="243" t="s">
        <v>94</v>
      </c>
      <c r="H10215" s="243" t="str" cm="1">
        <f t="array" ref="H10215">IFERROR(INDEX(INVESTOR_LIST[INVESTOR NAME],MATCH(I10215,INVESTOR_LIST[INVESTOR CODE],0),)," ")</f>
        <v xml:space="preserve"> </v>
      </c>
      <c r="I10215" s="263" t="s">
        <v>348</v>
      </c>
      <c r="J10215" s="244" t="s">
        <v>63</v>
      </c>
      <c r="K10215" s="245"/>
      <c r="L10215" s="245">
        <v>2747.2527472527472</v>
      </c>
    </row>
    <row r="10216" spans="1:14" x14ac:dyDescent="0.2">
      <c r="A10216" s="246">
        <v>2023</v>
      </c>
      <c r="B10216" s="238">
        <v>12</v>
      </c>
      <c r="C10216" s="238">
        <v>28</v>
      </c>
      <c r="D10216" s="270">
        <f t="shared" si="1314"/>
        <v>45288</v>
      </c>
      <c r="E10216" s="279">
        <f t="shared" si="1315"/>
        <v>45288</v>
      </c>
      <c r="F10216" s="482" t="s">
        <v>137</v>
      </c>
      <c r="G10216" s="247" t="s">
        <v>94</v>
      </c>
      <c r="H10216" s="247" t="str" cm="1">
        <f t="array" ref="H10216">IFERROR(INDEX(INVESTOR_LIST[INVESTOR NAME],MATCH(I10216,INVESTOR_LIST[INVESTOR CODE],0),)," ")</f>
        <v xml:space="preserve"> </v>
      </c>
      <c r="I10216" s="248" t="s">
        <v>348</v>
      </c>
      <c r="J10216" s="249" t="s">
        <v>97</v>
      </c>
      <c r="K10216" s="250">
        <v>58534.128761254869</v>
      </c>
      <c r="L10216" s="252"/>
    </row>
    <row r="10217" spans="1:14" x14ac:dyDescent="0.2">
      <c r="A10217" s="242">
        <v>2023</v>
      </c>
      <c r="B10217" s="242">
        <v>12</v>
      </c>
      <c r="C10217" s="242">
        <v>28</v>
      </c>
      <c r="D10217" s="270">
        <f t="shared" si="1314"/>
        <v>45288</v>
      </c>
      <c r="E10217" s="279">
        <f t="shared" si="1315"/>
        <v>45288</v>
      </c>
      <c r="F10217" s="478"/>
      <c r="G10217" s="243" t="s">
        <v>94</v>
      </c>
      <c r="H10217" s="243" t="str" cm="1">
        <f t="array" ref="H10217">IFERROR(INDEX(INVESTOR_LIST[INVESTOR NAME],MATCH(I10217,INVESTOR_LIST[INVESTOR CODE],0),)," ")</f>
        <v xml:space="preserve"> </v>
      </c>
      <c r="I10217" s="263" t="s">
        <v>348</v>
      </c>
      <c r="J10217" s="244" t="s">
        <v>47</v>
      </c>
      <c r="K10217" s="245"/>
      <c r="L10217" s="245">
        <v>58534.128761254869</v>
      </c>
    </row>
    <row r="10218" spans="1:14" x14ac:dyDescent="0.2">
      <c r="A10218" s="246">
        <v>2023</v>
      </c>
      <c r="B10218" s="238">
        <v>12</v>
      </c>
      <c r="C10218" s="238">
        <v>28</v>
      </c>
      <c r="D10218" s="270">
        <f t="shared" si="1314"/>
        <v>45288</v>
      </c>
      <c r="E10218" s="279">
        <f t="shared" si="1315"/>
        <v>45288</v>
      </c>
      <c r="F10218" s="482" t="s">
        <v>138</v>
      </c>
      <c r="G10218" s="247" t="s">
        <v>94</v>
      </c>
      <c r="H10218" s="247" t="str" cm="1">
        <f t="array" ref="H10218">IFERROR(INDEX(INVESTOR_LIST[INVESTOR NAME],MATCH(I10218,INVESTOR_LIST[INVESTOR CODE],0),)," ")</f>
        <v xml:space="preserve"> </v>
      </c>
      <c r="I10218" s="248" t="s">
        <v>348</v>
      </c>
      <c r="J10218" s="249" t="s">
        <v>100</v>
      </c>
      <c r="K10218" s="250">
        <v>2686.3218226781278</v>
      </c>
      <c r="L10218" s="252"/>
    </row>
    <row r="10219" spans="1:14" x14ac:dyDescent="0.2">
      <c r="A10219" s="242">
        <v>2023</v>
      </c>
      <c r="B10219" s="242">
        <v>12</v>
      </c>
      <c r="C10219" s="242">
        <v>28</v>
      </c>
      <c r="D10219" s="321">
        <f t="shared" si="1314"/>
        <v>45288</v>
      </c>
      <c r="E10219" s="322">
        <f t="shared" si="1315"/>
        <v>45288</v>
      </c>
      <c r="F10219" s="478"/>
      <c r="G10219" s="243" t="s">
        <v>94</v>
      </c>
      <c r="H10219" s="243" t="str" cm="1">
        <f t="array" ref="H10219">IFERROR(INDEX(INVESTOR_LIST[INVESTOR NAME],MATCH(I10219,INVESTOR_LIST[INVESTOR CODE],0),)," ")</f>
        <v xml:space="preserve"> </v>
      </c>
      <c r="I10219" s="263" t="s">
        <v>348</v>
      </c>
      <c r="J10219" s="244" t="s">
        <v>48</v>
      </c>
      <c r="K10219" s="245"/>
      <c r="L10219" s="245">
        <v>2686.3218226781278</v>
      </c>
    </row>
    <row r="10220" spans="1:14" x14ac:dyDescent="0.2">
      <c r="A10220" s="133">
        <v>2023</v>
      </c>
      <c r="B10220" s="133">
        <v>12</v>
      </c>
      <c r="C10220" s="168">
        <v>28</v>
      </c>
      <c r="D10220" s="141">
        <f t="shared" si="1314"/>
        <v>45288</v>
      </c>
      <c r="E10220" s="275">
        <f t="shared" si="1315"/>
        <v>45288</v>
      </c>
      <c r="F10220" s="479" t="s">
        <v>1867</v>
      </c>
      <c r="G10220" s="174" t="s">
        <v>74</v>
      </c>
      <c r="H10220" s="148" t="str" cm="1">
        <f t="array" ref="H10220">IFERROR(INDEX(INVESTOR_LIST[INVESTOR NAME],MATCH(I10220,INVESTOR_LIST[INVESTOR CODE],0),)," ")</f>
        <v xml:space="preserve"> </v>
      </c>
      <c r="I10220" s="148" t="s">
        <v>348</v>
      </c>
      <c r="J10220" s="133" t="s">
        <v>61</v>
      </c>
      <c r="K10220" s="172">
        <v>345</v>
      </c>
    </row>
    <row r="10221" spans="1:14" x14ac:dyDescent="0.2">
      <c r="A10221" s="163">
        <v>2023</v>
      </c>
      <c r="B10221" s="163">
        <v>12</v>
      </c>
      <c r="C10221" s="163">
        <v>28</v>
      </c>
      <c r="D10221" s="141">
        <f t="shared" si="1314"/>
        <v>45288</v>
      </c>
      <c r="E10221" s="275">
        <f t="shared" si="1315"/>
        <v>45288</v>
      </c>
      <c r="F10221" s="480"/>
      <c r="G10221" s="221" t="s">
        <v>74</v>
      </c>
      <c r="H10221" s="145" t="str" cm="1">
        <f t="array" ref="H10221">IFERROR(INDEX(INVESTOR_LIST[INVESTOR NAME],MATCH(I10221,INVESTOR_LIST[INVESTOR CODE],0),)," ")</f>
        <v xml:space="preserve"> </v>
      </c>
      <c r="I10221" s="145" t="s">
        <v>348</v>
      </c>
      <c r="J10221" s="163" t="s">
        <v>52</v>
      </c>
      <c r="K10221" s="219"/>
      <c r="L10221" s="219">
        <v>345</v>
      </c>
    </row>
    <row r="10222" spans="1:14" x14ac:dyDescent="0.2">
      <c r="A10222" s="133">
        <v>2023</v>
      </c>
      <c r="B10222" s="133">
        <v>12</v>
      </c>
      <c r="C10222" s="168">
        <v>28</v>
      </c>
      <c r="D10222" s="141">
        <f t="shared" ref="D10222:D10223" si="1318">DATE(A10222,B10222,C10222)</f>
        <v>45288</v>
      </c>
      <c r="E10222" s="275">
        <f t="shared" ref="E10222:E10223" si="1319">DATE(A10222,B10222,C10222)</f>
        <v>45288</v>
      </c>
      <c r="F10222" s="479" t="s">
        <v>1871</v>
      </c>
      <c r="G10222" s="174" t="s">
        <v>74</v>
      </c>
      <c r="H10222" s="148" t="str" cm="1">
        <f t="array" ref="H10222">IFERROR(INDEX(INVESTOR_LIST[INVESTOR NAME],MATCH(I10222,INVESTOR_LIST[INVESTOR CODE],0),)," ")</f>
        <v xml:space="preserve"> </v>
      </c>
      <c r="I10222" s="148" t="s">
        <v>348</v>
      </c>
      <c r="J10222" s="133" t="s">
        <v>61</v>
      </c>
      <c r="K10222" s="172">
        <v>345</v>
      </c>
    </row>
    <row r="10223" spans="1:14" x14ac:dyDescent="0.2">
      <c r="A10223" s="163">
        <v>2023</v>
      </c>
      <c r="B10223" s="163">
        <v>12</v>
      </c>
      <c r="C10223" s="163">
        <v>28</v>
      </c>
      <c r="D10223" s="141">
        <f t="shared" si="1318"/>
        <v>45288</v>
      </c>
      <c r="E10223" s="275">
        <f t="shared" si="1319"/>
        <v>45288</v>
      </c>
      <c r="F10223" s="480"/>
      <c r="G10223" s="221" t="s">
        <v>74</v>
      </c>
      <c r="H10223" s="145" t="str" cm="1">
        <f t="array" ref="H10223">IFERROR(INDEX(INVESTOR_LIST[INVESTOR NAME],MATCH(I10223,INVESTOR_LIST[INVESTOR CODE],0),)," ")</f>
        <v xml:space="preserve"> </v>
      </c>
      <c r="I10223" s="145" t="s">
        <v>348</v>
      </c>
      <c r="J10223" s="163" t="s">
        <v>52</v>
      </c>
      <c r="K10223" s="219"/>
      <c r="L10223" s="219">
        <v>345</v>
      </c>
    </row>
    <row r="10224" spans="1:14" x14ac:dyDescent="0.2">
      <c r="A10224" s="133">
        <v>2023</v>
      </c>
      <c r="B10224" s="133">
        <v>12</v>
      </c>
      <c r="C10224" s="168">
        <v>30</v>
      </c>
      <c r="D10224" s="141">
        <f>DATE(A10224,B10224,C10224)</f>
        <v>45290</v>
      </c>
      <c r="E10224" s="275">
        <f>DATE(A10224,B10224,C10224)</f>
        <v>45290</v>
      </c>
      <c r="F10224" s="479" t="s">
        <v>1865</v>
      </c>
      <c r="G10224" s="174" t="s">
        <v>74</v>
      </c>
      <c r="H10224" s="148" t="str" cm="1">
        <f t="array" ref="H10224">IFERROR(INDEX(INVESTOR_LIST[INVESTOR NAME],MATCH(I10224,INVESTOR_LIST[INVESTOR CODE],0),)," ")</f>
        <v xml:space="preserve"> </v>
      </c>
      <c r="I10224" s="148" t="s">
        <v>348</v>
      </c>
      <c r="J10224" s="133" t="s">
        <v>52</v>
      </c>
      <c r="K10224" s="172">
        <v>148233</v>
      </c>
    </row>
    <row r="10225" spans="1:12" x14ac:dyDescent="0.2">
      <c r="A10225" s="163">
        <v>2023</v>
      </c>
      <c r="B10225" s="163">
        <v>12</v>
      </c>
      <c r="C10225" s="163">
        <v>30</v>
      </c>
      <c r="D10225" s="141">
        <f>DATE(A10225,B10225,C10225)</f>
        <v>45290</v>
      </c>
      <c r="E10225" s="275">
        <f>DATE(A10225,B10225,C10225)</f>
        <v>45290</v>
      </c>
      <c r="F10225" s="480"/>
      <c r="G10225" s="221" t="s">
        <v>74</v>
      </c>
      <c r="H10225" s="145" t="str" cm="1">
        <f t="array" ref="H10225">IFERROR(INDEX(INVESTOR_LIST[INVESTOR NAME],MATCH(I10225,INVESTOR_LIST[INVESTOR CODE],0),)," ")</f>
        <v xml:space="preserve"> </v>
      </c>
      <c r="I10225" s="145" t="s">
        <v>348</v>
      </c>
      <c r="J10225" s="163" t="s">
        <v>60</v>
      </c>
      <c r="K10225" s="219"/>
      <c r="L10225" s="219">
        <v>148233</v>
      </c>
    </row>
    <row r="10226" spans="1:12" x14ac:dyDescent="0.2">
      <c r="A10226" s="133">
        <v>2023</v>
      </c>
      <c r="B10226" s="133">
        <v>12</v>
      </c>
      <c r="C10226" s="168">
        <v>30</v>
      </c>
      <c r="D10226" s="141">
        <f t="shared" ref="D10226:D10227" si="1320">DATE(A10226,B10226,C10226)</f>
        <v>45290</v>
      </c>
      <c r="E10226" s="275">
        <f t="shared" ref="E10226:E10227" si="1321">DATE(A10226,B10226,C10226)</f>
        <v>45290</v>
      </c>
      <c r="F10226" s="479" t="s">
        <v>1866</v>
      </c>
      <c r="G10226" s="174" t="s">
        <v>74</v>
      </c>
      <c r="H10226" s="148" t="str" cm="1">
        <f t="array" ref="H10226">IFERROR(INDEX(INVESTOR_LIST[INVESTOR NAME],MATCH(I10226,INVESTOR_LIST[INVESTOR CODE],0),)," ")</f>
        <v xml:space="preserve"> </v>
      </c>
      <c r="I10226" s="148" t="s">
        <v>348</v>
      </c>
      <c r="J10226" s="133" t="s">
        <v>61</v>
      </c>
      <c r="K10226" s="172">
        <v>15000</v>
      </c>
    </row>
    <row r="10227" spans="1:12" x14ac:dyDescent="0.2">
      <c r="A10227" s="163">
        <v>2023</v>
      </c>
      <c r="B10227" s="163">
        <v>12</v>
      </c>
      <c r="C10227" s="163">
        <v>30</v>
      </c>
      <c r="D10227" s="141">
        <f t="shared" si="1320"/>
        <v>45290</v>
      </c>
      <c r="E10227" s="275">
        <f t="shared" si="1321"/>
        <v>45290</v>
      </c>
      <c r="F10227" s="480"/>
      <c r="G10227" s="221" t="s">
        <v>74</v>
      </c>
      <c r="H10227" s="145" t="str" cm="1">
        <f t="array" ref="H10227">IFERROR(INDEX(INVESTOR_LIST[INVESTOR NAME],MATCH(I10227,INVESTOR_LIST[INVESTOR CODE],0),)," ")</f>
        <v xml:space="preserve"> </v>
      </c>
      <c r="I10227" s="145" t="s">
        <v>348</v>
      </c>
      <c r="J10227" s="163" t="s">
        <v>52</v>
      </c>
      <c r="K10227" s="219"/>
      <c r="L10227" s="219">
        <v>15000</v>
      </c>
    </row>
    <row r="10228" spans="1:12" x14ac:dyDescent="0.2">
      <c r="A10228" s="133">
        <v>2023</v>
      </c>
      <c r="B10228" s="133">
        <v>12</v>
      </c>
      <c r="C10228" s="168">
        <v>30</v>
      </c>
      <c r="D10228" s="141">
        <f>DATE(A10228,B10228,C10228)</f>
        <v>45290</v>
      </c>
      <c r="E10228" s="275">
        <f>DATE(A10228,B10228,C10228)</f>
        <v>45290</v>
      </c>
      <c r="F10228" s="479" t="s">
        <v>1865</v>
      </c>
      <c r="G10228" s="174" t="s">
        <v>74</v>
      </c>
      <c r="H10228" s="148" t="str" cm="1">
        <f t="array" ref="H10228">IFERROR(INDEX(INVESTOR_LIST[INVESTOR NAME],MATCH(I10228,INVESTOR_LIST[INVESTOR CODE],0),)," ")</f>
        <v xml:space="preserve"> </v>
      </c>
      <c r="I10228" s="148" t="s">
        <v>348</v>
      </c>
      <c r="J10228" s="133" t="s">
        <v>52</v>
      </c>
      <c r="K10228" s="172">
        <v>11385</v>
      </c>
    </row>
    <row r="10229" spans="1:12" x14ac:dyDescent="0.2">
      <c r="A10229" s="163">
        <v>2023</v>
      </c>
      <c r="B10229" s="163">
        <v>12</v>
      </c>
      <c r="C10229" s="163">
        <v>30</v>
      </c>
      <c r="D10229" s="141">
        <f>DATE(A10229,B10229,C10229)</f>
        <v>45290</v>
      </c>
      <c r="E10229" s="275">
        <f>DATE(A10229,B10229,C10229)</f>
        <v>45290</v>
      </c>
      <c r="F10229" s="480"/>
      <c r="G10229" s="221" t="s">
        <v>74</v>
      </c>
      <c r="H10229" s="145" t="str" cm="1">
        <f t="array" ref="H10229">IFERROR(INDEX(INVESTOR_LIST[INVESTOR NAME],MATCH(I10229,INVESTOR_LIST[INVESTOR CODE],0),)," ")</f>
        <v xml:space="preserve"> </v>
      </c>
      <c r="I10229" s="145" t="s">
        <v>348</v>
      </c>
      <c r="J10229" s="163" t="s">
        <v>60</v>
      </c>
      <c r="K10229" s="219"/>
      <c r="L10229" s="219">
        <v>11385</v>
      </c>
    </row>
    <row r="10230" spans="1:12" x14ac:dyDescent="0.2">
      <c r="A10230" s="133">
        <v>2023</v>
      </c>
      <c r="B10230" s="133">
        <v>12</v>
      </c>
      <c r="C10230" s="168">
        <v>28</v>
      </c>
      <c r="D10230" s="141">
        <f t="shared" ref="D10230:D10231" si="1322">DATE(A10230,B10230,C10230)</f>
        <v>45288</v>
      </c>
      <c r="E10230" s="275">
        <f t="shared" ref="E10230:E10231" si="1323">DATE(A10230,B10230,C10230)</f>
        <v>45288</v>
      </c>
      <c r="F10230" s="479" t="s">
        <v>1867</v>
      </c>
      <c r="G10230" s="174" t="s">
        <v>74</v>
      </c>
      <c r="H10230" s="148" t="str" cm="1">
        <f t="array" ref="H10230">IFERROR(INDEX(INVESTOR_LIST[INVESTOR NAME],MATCH(I10230,INVESTOR_LIST[INVESTOR CODE],0),)," ")</f>
        <v xml:space="preserve"> </v>
      </c>
      <c r="I10230" s="148" t="s">
        <v>348</v>
      </c>
      <c r="J10230" s="133" t="s">
        <v>61</v>
      </c>
      <c r="K10230" s="172">
        <v>575</v>
      </c>
    </row>
    <row r="10231" spans="1:12" x14ac:dyDescent="0.2">
      <c r="A10231" s="163">
        <v>2023</v>
      </c>
      <c r="B10231" s="163">
        <v>12</v>
      </c>
      <c r="C10231" s="163">
        <v>28</v>
      </c>
      <c r="D10231" s="141">
        <f t="shared" si="1322"/>
        <v>45288</v>
      </c>
      <c r="E10231" s="275">
        <f t="shared" si="1323"/>
        <v>45288</v>
      </c>
      <c r="F10231" s="480"/>
      <c r="G10231" s="221" t="s">
        <v>74</v>
      </c>
      <c r="H10231" s="145" t="str" cm="1">
        <f t="array" ref="H10231">IFERROR(INDEX(INVESTOR_LIST[INVESTOR NAME],MATCH(I10231,INVESTOR_LIST[INVESTOR CODE],0),)," ")</f>
        <v xml:space="preserve"> </v>
      </c>
      <c r="I10231" s="145" t="s">
        <v>348</v>
      </c>
      <c r="J10231" s="163" t="s">
        <v>52</v>
      </c>
      <c r="K10231" s="219"/>
      <c r="L10231" s="219">
        <v>575</v>
      </c>
    </row>
    <row r="10232" spans="1:12" x14ac:dyDescent="0.2">
      <c r="A10232" s="133">
        <v>2023</v>
      </c>
      <c r="B10232" s="133">
        <v>12</v>
      </c>
      <c r="C10232" s="168">
        <v>28</v>
      </c>
      <c r="D10232" s="141">
        <f>DATE(A10232,B10232,C10232)</f>
        <v>45288</v>
      </c>
      <c r="E10232" s="275">
        <f>DATE(A10232,B10232,C10232)</f>
        <v>45288</v>
      </c>
      <c r="F10232" s="479" t="s">
        <v>1865</v>
      </c>
      <c r="G10232" s="174" t="s">
        <v>74</v>
      </c>
      <c r="H10232" s="148" t="str" cm="1">
        <f t="array" ref="H10232">IFERROR(INDEX(INVESTOR_LIST[INVESTOR NAME],MATCH(I10232,INVESTOR_LIST[INVESTOR CODE],0),)," ")</f>
        <v xml:space="preserve"> </v>
      </c>
      <c r="I10232" s="148" t="s">
        <v>348</v>
      </c>
      <c r="J10232" s="133" t="s">
        <v>52</v>
      </c>
      <c r="K10232" s="172">
        <v>23390</v>
      </c>
    </row>
    <row r="10233" spans="1:12" x14ac:dyDescent="0.2">
      <c r="A10233" s="163">
        <v>2023</v>
      </c>
      <c r="B10233" s="163">
        <v>12</v>
      </c>
      <c r="C10233" s="163">
        <v>28</v>
      </c>
      <c r="D10233" s="141">
        <f>DATE(A10233,B10233,C10233)</f>
        <v>45288</v>
      </c>
      <c r="E10233" s="275">
        <f>DATE(A10233,B10233,C10233)</f>
        <v>45288</v>
      </c>
      <c r="F10233" s="480"/>
      <c r="G10233" s="221" t="s">
        <v>74</v>
      </c>
      <c r="H10233" s="145" t="str" cm="1">
        <f t="array" ref="H10233">IFERROR(INDEX(INVESTOR_LIST[INVESTOR NAME],MATCH(I10233,INVESTOR_LIST[INVESTOR CODE],0),)," ")</f>
        <v xml:space="preserve"> </v>
      </c>
      <c r="I10233" s="145" t="s">
        <v>348</v>
      </c>
      <c r="J10233" s="163" t="s">
        <v>60</v>
      </c>
      <c r="K10233" s="219"/>
      <c r="L10233" s="219">
        <v>23390</v>
      </c>
    </row>
    <row r="10234" spans="1:12" x14ac:dyDescent="0.2">
      <c r="A10234" s="133">
        <v>2023</v>
      </c>
      <c r="B10234" s="133">
        <v>12</v>
      </c>
      <c r="C10234" s="168">
        <v>30</v>
      </c>
      <c r="D10234" s="141">
        <f t="shared" ref="D10234:D10235" si="1324">DATE(A10234,B10234,C10234)</f>
        <v>45290</v>
      </c>
      <c r="E10234" s="275">
        <f t="shared" ref="E10234:E10235" si="1325">DATE(A10234,B10234,C10234)</f>
        <v>45290</v>
      </c>
      <c r="F10234" s="479" t="s">
        <v>1866</v>
      </c>
      <c r="G10234" s="174" t="s">
        <v>74</v>
      </c>
      <c r="H10234" s="148" t="str" cm="1">
        <f t="array" ref="H10234">IFERROR(INDEX(INVESTOR_LIST[INVESTOR NAME],MATCH(I10234,INVESTOR_LIST[INVESTOR CODE],0),)," ")</f>
        <v xml:space="preserve"> </v>
      </c>
      <c r="I10234" s="148" t="s">
        <v>348</v>
      </c>
      <c r="J10234" s="133" t="s">
        <v>61</v>
      </c>
      <c r="K10234" s="172">
        <v>3000</v>
      </c>
    </row>
    <row r="10235" spans="1:12" x14ac:dyDescent="0.2">
      <c r="A10235" s="163">
        <v>2023</v>
      </c>
      <c r="B10235" s="163">
        <v>12</v>
      </c>
      <c r="C10235" s="163">
        <v>30</v>
      </c>
      <c r="D10235" s="141">
        <f t="shared" si="1324"/>
        <v>45290</v>
      </c>
      <c r="E10235" s="275">
        <f t="shared" si="1325"/>
        <v>45290</v>
      </c>
      <c r="F10235" s="480"/>
      <c r="G10235" s="221" t="s">
        <v>74</v>
      </c>
      <c r="H10235" s="145" t="str" cm="1">
        <f t="array" ref="H10235">IFERROR(INDEX(INVESTOR_LIST[INVESTOR NAME],MATCH(I10235,INVESTOR_LIST[INVESTOR CODE],0),)," ")</f>
        <v xml:space="preserve"> </v>
      </c>
      <c r="I10235" s="145" t="s">
        <v>348</v>
      </c>
      <c r="J10235" s="163" t="s">
        <v>52</v>
      </c>
      <c r="K10235" s="219"/>
      <c r="L10235" s="219">
        <v>3000</v>
      </c>
    </row>
    <row r="10236" spans="1:12" x14ac:dyDescent="0.2">
      <c r="A10236" s="133">
        <v>2023</v>
      </c>
      <c r="B10236" s="133">
        <v>12</v>
      </c>
      <c r="C10236" s="168">
        <v>30</v>
      </c>
      <c r="D10236" s="141">
        <f t="shared" ref="D10236:D10241" si="1326">DATE(A10236,B10236,C10236)</f>
        <v>45290</v>
      </c>
      <c r="E10236" s="275">
        <f t="shared" ref="E10236:E10241" si="1327">DATE(A10236,B10236,C10236)</f>
        <v>45290</v>
      </c>
      <c r="F10236" s="479" t="s">
        <v>1865</v>
      </c>
      <c r="G10236" s="174" t="s">
        <v>74</v>
      </c>
      <c r="H10236" s="148" t="str" cm="1">
        <f t="array" ref="H10236">IFERROR(INDEX(INVESTOR_LIST[INVESTOR NAME],MATCH(I10236,INVESTOR_LIST[INVESTOR CODE],0),)," ")</f>
        <v xml:space="preserve"> </v>
      </c>
      <c r="I10236" s="148" t="s">
        <v>348</v>
      </c>
      <c r="J10236" s="133" t="s">
        <v>52</v>
      </c>
      <c r="K10236" s="172">
        <v>412</v>
      </c>
    </row>
    <row r="10237" spans="1:12" x14ac:dyDescent="0.2">
      <c r="A10237" s="163">
        <v>2023</v>
      </c>
      <c r="B10237" s="163">
        <v>12</v>
      </c>
      <c r="C10237" s="163">
        <v>30</v>
      </c>
      <c r="D10237" s="141">
        <f t="shared" si="1326"/>
        <v>45290</v>
      </c>
      <c r="E10237" s="275">
        <f t="shared" si="1327"/>
        <v>45290</v>
      </c>
      <c r="F10237" s="480"/>
      <c r="G10237" s="221" t="s">
        <v>74</v>
      </c>
      <c r="H10237" s="145" t="str" cm="1">
        <f t="array" ref="H10237">IFERROR(INDEX(INVESTOR_LIST[INVESTOR NAME],MATCH(I10237,INVESTOR_LIST[INVESTOR CODE],0),)," ")</f>
        <v xml:space="preserve"> </v>
      </c>
      <c r="I10237" s="145" t="s">
        <v>348</v>
      </c>
      <c r="J10237" s="163" t="s">
        <v>60</v>
      </c>
      <c r="K10237" s="219"/>
      <c r="L10237" s="219">
        <v>412</v>
      </c>
    </row>
    <row r="10238" spans="1:12" x14ac:dyDescent="0.2">
      <c r="A10238" s="133">
        <v>2023</v>
      </c>
      <c r="B10238" s="133">
        <v>12</v>
      </c>
      <c r="C10238" s="168">
        <v>31</v>
      </c>
      <c r="D10238" s="141">
        <f t="shared" si="1326"/>
        <v>45291</v>
      </c>
      <c r="E10238" s="275">
        <f t="shared" si="1327"/>
        <v>45291</v>
      </c>
      <c r="F10238" s="479" t="s">
        <v>1747</v>
      </c>
      <c r="G10238" s="174" t="s">
        <v>74</v>
      </c>
      <c r="H10238" s="148" t="str" cm="1">
        <f t="array" ref="H10238">IFERROR(INDEX(INVESTOR_LIST[INVESTOR NAME],MATCH(I10238,INVESTOR_LIST[INVESTOR CODE],0),)," ")</f>
        <v xml:space="preserve"> </v>
      </c>
      <c r="I10238" s="148" t="s">
        <v>348</v>
      </c>
      <c r="J10238" s="133" t="s">
        <v>52</v>
      </c>
      <c r="K10238" s="172">
        <v>8957.7099999999991</v>
      </c>
    </row>
    <row r="10239" spans="1:12" x14ac:dyDescent="0.2">
      <c r="A10239" s="163">
        <v>2023</v>
      </c>
      <c r="B10239" s="163">
        <v>12</v>
      </c>
      <c r="C10239" s="163">
        <v>31</v>
      </c>
      <c r="D10239" s="141">
        <f t="shared" si="1326"/>
        <v>45291</v>
      </c>
      <c r="E10239" s="275">
        <f t="shared" si="1327"/>
        <v>45291</v>
      </c>
      <c r="F10239" s="480"/>
      <c r="G10239" s="221" t="s">
        <v>74</v>
      </c>
      <c r="H10239" s="145" t="str" cm="1">
        <f t="array" ref="H10239">IFERROR(INDEX(INVESTOR_LIST[INVESTOR NAME],MATCH(I10239,INVESTOR_LIST[INVESTOR CODE],0),)," ")</f>
        <v xml:space="preserve"> </v>
      </c>
      <c r="I10239" s="145" t="s">
        <v>348</v>
      </c>
      <c r="J10239" s="163" t="s">
        <v>60</v>
      </c>
      <c r="K10239" s="219"/>
      <c r="L10239" s="219">
        <v>8957.7099999999991</v>
      </c>
    </row>
    <row r="10240" spans="1:12" x14ac:dyDescent="0.2">
      <c r="A10240" s="133">
        <v>2023</v>
      </c>
      <c r="B10240" s="133">
        <v>12</v>
      </c>
      <c r="C10240" s="168">
        <v>31</v>
      </c>
      <c r="D10240" s="141">
        <f t="shared" si="1326"/>
        <v>45291</v>
      </c>
      <c r="E10240" s="275">
        <f t="shared" si="1327"/>
        <v>45291</v>
      </c>
      <c r="F10240" s="479" t="s">
        <v>1747</v>
      </c>
      <c r="G10240" s="174" t="s">
        <v>74</v>
      </c>
      <c r="H10240" s="148" t="str" cm="1">
        <f t="array" ref="H10240">IFERROR(INDEX(INVESTOR_LIST[INVESTOR NAME],MATCH(I10240,INVESTOR_LIST[INVESTOR CODE],0),)," ")</f>
        <v xml:space="preserve"> </v>
      </c>
      <c r="I10240" s="148" t="s">
        <v>348</v>
      </c>
      <c r="J10240" s="133" t="s">
        <v>52</v>
      </c>
      <c r="K10240" s="172">
        <v>506.42</v>
      </c>
    </row>
    <row r="10241" spans="1:12" x14ac:dyDescent="0.2">
      <c r="A10241" s="163">
        <v>2023</v>
      </c>
      <c r="B10241" s="163">
        <v>12</v>
      </c>
      <c r="C10241" s="163">
        <v>31</v>
      </c>
      <c r="D10241" s="141">
        <f t="shared" si="1326"/>
        <v>45291</v>
      </c>
      <c r="E10241" s="275">
        <f t="shared" si="1327"/>
        <v>45291</v>
      </c>
      <c r="F10241" s="480"/>
      <c r="G10241" s="221" t="s">
        <v>74</v>
      </c>
      <c r="H10241" s="145" t="str" cm="1">
        <f t="array" ref="H10241">IFERROR(INDEX(INVESTOR_LIST[INVESTOR NAME],MATCH(I10241,INVESTOR_LIST[INVESTOR CODE],0),)," ")</f>
        <v xml:space="preserve"> </v>
      </c>
      <c r="I10241" s="145" t="s">
        <v>348</v>
      </c>
      <c r="J10241" s="163" t="s">
        <v>60</v>
      </c>
      <c r="K10241" s="219"/>
      <c r="L10241" s="219">
        <v>506.42</v>
      </c>
    </row>
    <row r="10242" spans="1:12" x14ac:dyDescent="0.2">
      <c r="A10242" s="133">
        <v>2023</v>
      </c>
      <c r="B10242" s="133">
        <v>12</v>
      </c>
      <c r="C10242" s="168">
        <v>28</v>
      </c>
      <c r="D10242" s="141">
        <f>DATE(A10242,B10242,C10242)</f>
        <v>45288</v>
      </c>
      <c r="E10242" s="275">
        <f>DATE(A10242,B10242,C10242)</f>
        <v>45288</v>
      </c>
      <c r="F10242" s="479" t="s">
        <v>1872</v>
      </c>
      <c r="G10242" s="174" t="s">
        <v>74</v>
      </c>
      <c r="H10242" s="148" t="str" cm="1">
        <f t="array" ref="H10242">IFERROR(INDEX(INVESTOR_LIST[INVESTOR NAME],MATCH(I10242,INVESTOR_LIST[INVESTOR CODE],0),)," ")</f>
        <v xml:space="preserve"> </v>
      </c>
      <c r="I10242" s="148" t="s">
        <v>348</v>
      </c>
      <c r="J10242" s="133" t="s">
        <v>52</v>
      </c>
      <c r="K10242" s="172">
        <v>16931.5</v>
      </c>
    </row>
    <row r="10243" spans="1:12" x14ac:dyDescent="0.2">
      <c r="A10243" s="163">
        <v>2023</v>
      </c>
      <c r="B10243" s="163">
        <v>12</v>
      </c>
      <c r="C10243" s="163">
        <v>28</v>
      </c>
      <c r="D10243" s="141">
        <f>DATE(A10243,B10243,C10243)</f>
        <v>45288</v>
      </c>
      <c r="E10243" s="275">
        <f>DATE(A10243,B10243,C10243)</f>
        <v>45288</v>
      </c>
      <c r="F10243" s="480"/>
      <c r="G10243" s="221" t="s">
        <v>74</v>
      </c>
      <c r="H10243" s="145" t="str" cm="1">
        <f t="array" ref="H10243">IFERROR(INDEX(INVESTOR_LIST[INVESTOR NAME],MATCH(I10243,INVESTOR_LIST[INVESTOR CODE],0),)," ")</f>
        <v xml:space="preserve"> </v>
      </c>
      <c r="I10243" s="145" t="s">
        <v>348</v>
      </c>
      <c r="J10243" s="163" t="s">
        <v>60</v>
      </c>
      <c r="K10243" s="219"/>
      <c r="L10243" s="219">
        <v>16931.5</v>
      </c>
    </row>
    <row r="10244" spans="1:12" x14ac:dyDescent="0.2">
      <c r="A10244" s="133">
        <v>2023</v>
      </c>
      <c r="B10244" s="133">
        <v>12</v>
      </c>
      <c r="C10244" s="168">
        <v>28</v>
      </c>
      <c r="D10244" s="141">
        <f t="shared" ref="D10244:D10245" si="1328">DATE(A10244,B10244,C10244)</f>
        <v>45288</v>
      </c>
      <c r="E10244" s="275">
        <f t="shared" ref="E10244:E10245" si="1329">DATE(A10244,B10244,C10244)</f>
        <v>45288</v>
      </c>
      <c r="F10244" s="479" t="s">
        <v>1873</v>
      </c>
      <c r="G10244" s="174" t="s">
        <v>74</v>
      </c>
      <c r="H10244" s="148" t="str" cm="1">
        <f t="array" ref="H10244">IFERROR(INDEX(INVESTOR_LIST[INVESTOR NAME],MATCH(I10244,INVESTOR_LIST[INVESTOR CODE],0),)," ")</f>
        <v xml:space="preserve"> </v>
      </c>
      <c r="I10244" s="148" t="s">
        <v>348</v>
      </c>
      <c r="J10244" s="133" t="s">
        <v>61</v>
      </c>
      <c r="K10244" s="172">
        <v>3000</v>
      </c>
    </row>
    <row r="10245" spans="1:12" x14ac:dyDescent="0.2">
      <c r="A10245" s="163">
        <v>2023</v>
      </c>
      <c r="B10245" s="163">
        <v>12</v>
      </c>
      <c r="C10245" s="163">
        <v>28</v>
      </c>
      <c r="D10245" s="141">
        <f t="shared" si="1328"/>
        <v>45288</v>
      </c>
      <c r="E10245" s="275">
        <f t="shared" si="1329"/>
        <v>45288</v>
      </c>
      <c r="F10245" s="480"/>
      <c r="G10245" s="221" t="s">
        <v>74</v>
      </c>
      <c r="H10245" s="145" t="str" cm="1">
        <f t="array" ref="H10245">IFERROR(INDEX(INVESTOR_LIST[INVESTOR NAME],MATCH(I10245,INVESTOR_LIST[INVESTOR CODE],0),)," ")</f>
        <v xml:space="preserve"> </v>
      </c>
      <c r="I10245" s="145" t="s">
        <v>348</v>
      </c>
      <c r="J10245" s="163" t="s">
        <v>52</v>
      </c>
      <c r="K10245" s="219"/>
      <c r="L10245" s="219">
        <v>3000</v>
      </c>
    </row>
    <row r="10246" spans="1:12" x14ac:dyDescent="0.2">
      <c r="A10246" s="133">
        <v>2023</v>
      </c>
      <c r="B10246" s="133">
        <v>12</v>
      </c>
      <c r="C10246" s="168">
        <v>28</v>
      </c>
      <c r="D10246" s="141">
        <f t="shared" ref="D10246:D10247" si="1330">DATE(A10246,B10246,C10246)</f>
        <v>45288</v>
      </c>
      <c r="E10246" s="275">
        <f t="shared" ref="E10246:E10247" si="1331">DATE(A10246,B10246,C10246)</f>
        <v>45288</v>
      </c>
      <c r="F10246" s="479" t="s">
        <v>1874</v>
      </c>
      <c r="G10246" s="174" t="s">
        <v>74</v>
      </c>
      <c r="H10246" s="148" t="str" cm="1">
        <f t="array" ref="H10246">IFERROR(INDEX(INVESTOR_LIST[INVESTOR NAME],MATCH(I10246,INVESTOR_LIST[INVESTOR CODE],0),)," ")</f>
        <v xml:space="preserve"> </v>
      </c>
      <c r="I10246" s="148" t="s">
        <v>348</v>
      </c>
      <c r="J10246" s="133" t="s">
        <v>61</v>
      </c>
      <c r="K10246" s="172">
        <v>250</v>
      </c>
    </row>
    <row r="10247" spans="1:12" x14ac:dyDescent="0.2">
      <c r="A10247" s="163">
        <v>2023</v>
      </c>
      <c r="B10247" s="163">
        <v>12</v>
      </c>
      <c r="C10247" s="163">
        <v>28</v>
      </c>
      <c r="D10247" s="141">
        <f t="shared" si="1330"/>
        <v>45288</v>
      </c>
      <c r="E10247" s="275">
        <f t="shared" si="1331"/>
        <v>45288</v>
      </c>
      <c r="F10247" s="480"/>
      <c r="G10247" s="221" t="s">
        <v>74</v>
      </c>
      <c r="H10247" s="145" t="str" cm="1">
        <f t="array" ref="H10247">IFERROR(INDEX(INVESTOR_LIST[INVESTOR NAME],MATCH(I10247,INVESTOR_LIST[INVESTOR CODE],0),)," ")</f>
        <v xml:space="preserve"> </v>
      </c>
      <c r="I10247" s="145" t="s">
        <v>348</v>
      </c>
      <c r="J10247" s="163" t="s">
        <v>52</v>
      </c>
      <c r="K10247" s="219"/>
      <c r="L10247" s="219">
        <v>250</v>
      </c>
    </row>
    <row r="10248" spans="1:12" x14ac:dyDescent="0.2">
      <c r="A10248" s="133">
        <v>2023</v>
      </c>
      <c r="B10248" s="133">
        <v>12</v>
      </c>
      <c r="C10248" s="168">
        <v>28</v>
      </c>
      <c r="D10248" s="141">
        <f t="shared" ref="D10248:D10249" si="1332">DATE(A10248,B10248,C10248)</f>
        <v>45288</v>
      </c>
      <c r="E10248" s="275">
        <f t="shared" ref="E10248:E10249" si="1333">DATE(A10248,B10248,C10248)</f>
        <v>45288</v>
      </c>
      <c r="F10248" s="479" t="s">
        <v>1875</v>
      </c>
      <c r="G10248" s="174" t="s">
        <v>74</v>
      </c>
      <c r="H10248" s="148" t="str" cm="1">
        <f t="array" ref="H10248">IFERROR(INDEX(INVESTOR_LIST[INVESTOR NAME],MATCH(I10248,INVESTOR_LIST[INVESTOR CODE],0),)," ")</f>
        <v xml:space="preserve"> </v>
      </c>
      <c r="I10248" s="148" t="s">
        <v>348</v>
      </c>
      <c r="J10248" s="133" t="s">
        <v>61</v>
      </c>
      <c r="K10248" s="172">
        <v>846.58</v>
      </c>
    </row>
    <row r="10249" spans="1:12" x14ac:dyDescent="0.2">
      <c r="A10249" s="163">
        <v>2023</v>
      </c>
      <c r="B10249" s="163">
        <v>12</v>
      </c>
      <c r="C10249" s="163">
        <v>28</v>
      </c>
      <c r="D10249" s="141">
        <f t="shared" si="1332"/>
        <v>45288</v>
      </c>
      <c r="E10249" s="275">
        <f t="shared" si="1333"/>
        <v>45288</v>
      </c>
      <c r="F10249" s="480"/>
      <c r="G10249" s="221" t="s">
        <v>74</v>
      </c>
      <c r="H10249" s="145" t="str" cm="1">
        <f t="array" ref="H10249">IFERROR(INDEX(INVESTOR_LIST[INVESTOR NAME],MATCH(I10249,INVESTOR_LIST[INVESTOR CODE],0),)," ")</f>
        <v xml:space="preserve"> </v>
      </c>
      <c r="I10249" s="145" t="s">
        <v>348</v>
      </c>
      <c r="J10249" s="163" t="s">
        <v>52</v>
      </c>
      <c r="K10249" s="219"/>
      <c r="L10249" s="219">
        <v>846.58</v>
      </c>
    </row>
    <row r="10250" spans="1:12" x14ac:dyDescent="0.2">
      <c r="A10250" s="133">
        <v>2023</v>
      </c>
      <c r="B10250" s="133">
        <v>12</v>
      </c>
      <c r="C10250" s="168">
        <v>28</v>
      </c>
      <c r="D10250" s="141">
        <f t="shared" ref="D10250:D10251" si="1334">DATE(A10250,B10250,C10250)</f>
        <v>45288</v>
      </c>
      <c r="E10250" s="275">
        <f t="shared" ref="E10250:E10251" si="1335">DATE(A10250,B10250,C10250)</f>
        <v>45288</v>
      </c>
      <c r="F10250" s="479" t="s">
        <v>1875</v>
      </c>
      <c r="G10250" s="174" t="s">
        <v>74</v>
      </c>
      <c r="H10250" s="148" t="str" cm="1">
        <f t="array" ref="H10250">IFERROR(INDEX(INVESTOR_LIST[INVESTOR NAME],MATCH(I10250,INVESTOR_LIST[INVESTOR CODE],0),)," ")</f>
        <v xml:space="preserve"> </v>
      </c>
      <c r="I10250" s="148" t="s">
        <v>348</v>
      </c>
      <c r="J10250" s="133" t="s">
        <v>61</v>
      </c>
      <c r="K10250" s="172">
        <v>37.5</v>
      </c>
    </row>
    <row r="10251" spans="1:12" x14ac:dyDescent="0.2">
      <c r="A10251" s="163">
        <v>2023</v>
      </c>
      <c r="B10251" s="163">
        <v>12</v>
      </c>
      <c r="C10251" s="163">
        <v>28</v>
      </c>
      <c r="D10251" s="141">
        <f t="shared" si="1334"/>
        <v>45288</v>
      </c>
      <c r="E10251" s="275">
        <f t="shared" si="1335"/>
        <v>45288</v>
      </c>
      <c r="F10251" s="480"/>
      <c r="G10251" s="221" t="s">
        <v>74</v>
      </c>
      <c r="H10251" s="145" t="str" cm="1">
        <f t="array" ref="H10251">IFERROR(INDEX(INVESTOR_LIST[INVESTOR NAME],MATCH(I10251,INVESTOR_LIST[INVESTOR CODE],0),)," ")</f>
        <v xml:space="preserve"> </v>
      </c>
      <c r="I10251" s="145" t="s">
        <v>348</v>
      </c>
      <c r="J10251" s="163" t="s">
        <v>52</v>
      </c>
      <c r="K10251" s="219"/>
      <c r="L10251" s="219">
        <v>37.5</v>
      </c>
    </row>
    <row r="10252" spans="1:12" x14ac:dyDescent="0.2">
      <c r="A10252" s="133">
        <v>2023</v>
      </c>
      <c r="B10252" s="133">
        <v>12</v>
      </c>
      <c r="C10252" s="168">
        <v>28</v>
      </c>
      <c r="D10252" s="141">
        <f>DATE(A10252,B10252,C10252)</f>
        <v>45288</v>
      </c>
      <c r="E10252" s="275">
        <f>DATE(A10252,B10252,C10252)</f>
        <v>45288</v>
      </c>
      <c r="F10252" s="479" t="s">
        <v>1876</v>
      </c>
      <c r="G10252" s="174" t="s">
        <v>74</v>
      </c>
      <c r="H10252" s="148" t="str" cm="1">
        <f t="array" ref="H10252">IFERROR(INDEX(INVESTOR_LIST[INVESTOR NAME],MATCH(I10252,INVESTOR_LIST[INVESTOR CODE],0),)," ")</f>
        <v xml:space="preserve"> </v>
      </c>
      <c r="I10252" s="148" t="s">
        <v>348</v>
      </c>
      <c r="J10252" s="133" t="s">
        <v>52</v>
      </c>
      <c r="K10252" s="172">
        <v>32.090000000000003</v>
      </c>
    </row>
    <row r="10253" spans="1:12" x14ac:dyDescent="0.2">
      <c r="A10253" s="163">
        <v>2023</v>
      </c>
      <c r="B10253" s="163">
        <v>12</v>
      </c>
      <c r="C10253" s="163">
        <v>28</v>
      </c>
      <c r="D10253" s="141">
        <f>DATE(A10253,B10253,C10253)</f>
        <v>45288</v>
      </c>
      <c r="E10253" s="275">
        <f>DATE(A10253,B10253,C10253)</f>
        <v>45288</v>
      </c>
      <c r="F10253" s="480"/>
      <c r="G10253" s="221" t="s">
        <v>74</v>
      </c>
      <c r="H10253" s="145" t="str" cm="1">
        <f t="array" ref="H10253">IFERROR(INDEX(INVESTOR_LIST[INVESTOR NAME],MATCH(I10253,INVESTOR_LIST[INVESTOR CODE],0),)," ")</f>
        <v xml:space="preserve"> </v>
      </c>
      <c r="I10253" s="145" t="s">
        <v>348</v>
      </c>
      <c r="J10253" s="163" t="s">
        <v>60</v>
      </c>
      <c r="K10253" s="219"/>
      <c r="L10253" s="219">
        <v>32.090000000000003</v>
      </c>
    </row>
    <row r="10254" spans="1:12" x14ac:dyDescent="0.2">
      <c r="A10254" s="133">
        <v>2023</v>
      </c>
      <c r="B10254" s="133">
        <v>12</v>
      </c>
      <c r="C10254" s="168">
        <v>28</v>
      </c>
      <c r="D10254" s="141">
        <f t="shared" ref="D10254:D10259" si="1336">DATE(A10254,B10254,C10254)</f>
        <v>45288</v>
      </c>
      <c r="E10254" s="275">
        <f t="shared" ref="E10254:E10259" si="1337">DATE(A10254,B10254,C10254)</f>
        <v>45288</v>
      </c>
      <c r="F10254" s="479" t="s">
        <v>1879</v>
      </c>
      <c r="G10254" s="174" t="s">
        <v>74</v>
      </c>
      <c r="H10254" s="148" t="str" cm="1">
        <f t="array" ref="H10254">IFERROR(INDEX(INVESTOR_LIST[INVESTOR NAME],MATCH(I10254,INVESTOR_LIST[INVESTOR CODE],0),)," ")</f>
        <v xml:space="preserve"> </v>
      </c>
      <c r="I10254" s="148" t="s">
        <v>348</v>
      </c>
      <c r="J10254" s="133" t="s">
        <v>61</v>
      </c>
      <c r="K10254" s="172">
        <v>4.8099999999999996</v>
      </c>
    </row>
    <row r="10255" spans="1:12" x14ac:dyDescent="0.2">
      <c r="A10255" s="163">
        <v>2023</v>
      </c>
      <c r="B10255" s="163">
        <v>12</v>
      </c>
      <c r="C10255" s="163">
        <v>28</v>
      </c>
      <c r="D10255" s="141">
        <f t="shared" si="1336"/>
        <v>45288</v>
      </c>
      <c r="E10255" s="275">
        <f t="shared" si="1337"/>
        <v>45288</v>
      </c>
      <c r="F10255" s="480"/>
      <c r="G10255" s="221" t="s">
        <v>74</v>
      </c>
      <c r="H10255" s="145" t="str" cm="1">
        <f t="array" ref="H10255">IFERROR(INDEX(INVESTOR_LIST[INVESTOR NAME],MATCH(I10255,INVESTOR_LIST[INVESTOR CODE],0),)," ")</f>
        <v xml:space="preserve"> </v>
      </c>
      <c r="I10255" s="145" t="s">
        <v>348</v>
      </c>
      <c r="J10255" s="163" t="s">
        <v>52</v>
      </c>
      <c r="K10255" s="219"/>
      <c r="L10255" s="219">
        <v>4.8099999999999996</v>
      </c>
    </row>
    <row r="10256" spans="1:12" x14ac:dyDescent="0.2">
      <c r="A10256" s="133">
        <v>2023</v>
      </c>
      <c r="B10256" s="133">
        <v>12</v>
      </c>
      <c r="C10256" s="168">
        <v>24</v>
      </c>
      <c r="D10256" s="141">
        <f t="shared" si="1336"/>
        <v>45284</v>
      </c>
      <c r="E10256" s="275">
        <f t="shared" si="1337"/>
        <v>45284</v>
      </c>
      <c r="F10256" s="479" t="s">
        <v>1878</v>
      </c>
      <c r="G10256" s="174" t="s">
        <v>74</v>
      </c>
      <c r="H10256" s="148" t="str" cm="1">
        <f t="array" ref="H10256">IFERROR(INDEX(INVESTOR_LIST[INVESTOR NAME],MATCH(I10256,INVESTOR_LIST[INVESTOR CODE],0),)," ")</f>
        <v xml:space="preserve"> </v>
      </c>
      <c r="I10256" s="148" t="s">
        <v>348</v>
      </c>
      <c r="J10256" s="133" t="s">
        <v>61</v>
      </c>
      <c r="K10256" s="172">
        <v>575</v>
      </c>
    </row>
    <row r="10257" spans="1:12" x14ac:dyDescent="0.2">
      <c r="A10257" s="163">
        <v>2023</v>
      </c>
      <c r="B10257" s="163">
        <v>12</v>
      </c>
      <c r="C10257" s="163">
        <v>24</v>
      </c>
      <c r="D10257" s="141">
        <f t="shared" si="1336"/>
        <v>45284</v>
      </c>
      <c r="E10257" s="275">
        <f t="shared" si="1337"/>
        <v>45284</v>
      </c>
      <c r="F10257" s="480"/>
      <c r="G10257" s="221" t="s">
        <v>74</v>
      </c>
      <c r="H10257" s="145" t="str" cm="1">
        <f t="array" ref="H10257">IFERROR(INDEX(INVESTOR_LIST[INVESTOR NAME],MATCH(I10257,INVESTOR_LIST[INVESTOR CODE],0),)," ")</f>
        <v xml:space="preserve"> </v>
      </c>
      <c r="I10257" s="145" t="s">
        <v>348</v>
      </c>
      <c r="J10257" s="163" t="s">
        <v>52</v>
      </c>
      <c r="K10257" s="219"/>
      <c r="L10257" s="219">
        <v>575</v>
      </c>
    </row>
    <row r="10258" spans="1:12" x14ac:dyDescent="0.2">
      <c r="A10258" s="133">
        <v>2023</v>
      </c>
      <c r="B10258" s="133">
        <v>12</v>
      </c>
      <c r="C10258" s="168">
        <v>24</v>
      </c>
      <c r="D10258" s="141">
        <f t="shared" si="1336"/>
        <v>45284</v>
      </c>
      <c r="E10258" s="275">
        <f t="shared" si="1337"/>
        <v>45284</v>
      </c>
      <c r="F10258" s="479" t="s">
        <v>1877</v>
      </c>
      <c r="G10258" s="174" t="s">
        <v>74</v>
      </c>
      <c r="H10258" s="148" t="str" cm="1">
        <f t="array" ref="H10258">IFERROR(INDEX(INVESTOR_LIST[INVESTOR NAME],MATCH(I10258,INVESTOR_LIST[INVESTOR CODE],0),)," ")</f>
        <v xml:space="preserve"> </v>
      </c>
      <c r="I10258" s="148" t="s">
        <v>348</v>
      </c>
      <c r="J10258" s="133" t="s">
        <v>61</v>
      </c>
      <c r="K10258" s="172">
        <v>345</v>
      </c>
    </row>
    <row r="10259" spans="1:12" x14ac:dyDescent="0.2">
      <c r="A10259" s="163">
        <v>2023</v>
      </c>
      <c r="B10259" s="163">
        <v>12</v>
      </c>
      <c r="C10259" s="163">
        <v>24</v>
      </c>
      <c r="D10259" s="141">
        <f t="shared" si="1336"/>
        <v>45284</v>
      </c>
      <c r="E10259" s="275">
        <f t="shared" si="1337"/>
        <v>45284</v>
      </c>
      <c r="F10259" s="480"/>
      <c r="G10259" s="221" t="s">
        <v>74</v>
      </c>
      <c r="H10259" s="145" t="str" cm="1">
        <f t="array" ref="H10259">IFERROR(INDEX(INVESTOR_LIST[INVESTOR NAME],MATCH(I10259,INVESTOR_LIST[INVESTOR CODE],0),)," ")</f>
        <v xml:space="preserve"> </v>
      </c>
      <c r="I10259" s="145" t="s">
        <v>348</v>
      </c>
      <c r="J10259" s="163" t="s">
        <v>52</v>
      </c>
      <c r="K10259" s="219"/>
      <c r="L10259" s="219">
        <v>345</v>
      </c>
    </row>
    <row r="10260" spans="1:12" x14ac:dyDescent="0.2">
      <c r="A10260" s="133">
        <v>2023</v>
      </c>
      <c r="B10260" s="133">
        <v>12</v>
      </c>
      <c r="C10260" s="168">
        <v>28</v>
      </c>
      <c r="D10260" s="141">
        <f>DATE(A10260,B10260,C10260)</f>
        <v>45288</v>
      </c>
      <c r="E10260" s="275">
        <f>DATE(A10260,B10260,C10260)</f>
        <v>45288</v>
      </c>
      <c r="F10260" s="479" t="s">
        <v>1881</v>
      </c>
      <c r="G10260" s="174" t="s">
        <v>74</v>
      </c>
      <c r="H10260" s="148" t="str" cm="1">
        <f t="array" ref="H10260">IFERROR(INDEX(INVESTOR_LIST[INVESTOR NAME],MATCH(I10260,INVESTOR_LIST[INVESTOR CODE],0),)," ")</f>
        <v xml:space="preserve"> </v>
      </c>
      <c r="I10260" s="148" t="s">
        <v>348</v>
      </c>
      <c r="J10260" s="133" t="s">
        <v>52</v>
      </c>
    </row>
    <row r="10261" spans="1:12" x14ac:dyDescent="0.2">
      <c r="A10261" s="163">
        <v>2023</v>
      </c>
      <c r="B10261" s="163">
        <v>12</v>
      </c>
      <c r="C10261" s="163">
        <v>28</v>
      </c>
      <c r="D10261" s="141">
        <f>DATE(A10261,B10261,C10261)</f>
        <v>45288</v>
      </c>
      <c r="E10261" s="275">
        <f>DATE(A10261,B10261,C10261)</f>
        <v>45288</v>
      </c>
      <c r="F10261" s="480"/>
      <c r="G10261" s="221" t="s">
        <v>74</v>
      </c>
      <c r="H10261" s="145" t="str" cm="1">
        <f t="array" ref="H10261">IFERROR(INDEX(INVESTOR_LIST[INVESTOR NAME],MATCH(I10261,INVESTOR_LIST[INVESTOR CODE],0),)," ")</f>
        <v xml:space="preserve"> </v>
      </c>
      <c r="I10261" s="145" t="s">
        <v>348</v>
      </c>
      <c r="J10261" s="163" t="s">
        <v>60</v>
      </c>
      <c r="K10261" s="219"/>
      <c r="L10261" s="219"/>
    </row>
    <row r="10262" spans="1:12" x14ac:dyDescent="0.2">
      <c r="A10262" s="133">
        <v>2023</v>
      </c>
      <c r="B10262" s="133">
        <v>12</v>
      </c>
      <c r="C10262" s="168">
        <v>30</v>
      </c>
      <c r="D10262" s="141">
        <f t="shared" ref="D10262:D10267" si="1338">DATE(A10262,B10262,C10262)</f>
        <v>45290</v>
      </c>
      <c r="E10262" s="275">
        <f t="shared" ref="E10262:E10267" si="1339">DATE(A10262,B10262,C10262)</f>
        <v>45290</v>
      </c>
      <c r="F10262" s="479" t="s">
        <v>1882</v>
      </c>
      <c r="G10262" s="174" t="s">
        <v>74</v>
      </c>
      <c r="H10262" s="148" t="str" cm="1">
        <f t="array" ref="H10262">IFERROR(INDEX(INVESTOR_LIST[INVESTOR NAME],MATCH(I10262,INVESTOR_LIST[INVESTOR CODE],0),)," ")</f>
        <v xml:space="preserve"> </v>
      </c>
      <c r="I10262" s="148" t="s">
        <v>348</v>
      </c>
      <c r="J10262" s="133" t="s">
        <v>61</v>
      </c>
      <c r="K10262" s="172">
        <v>75</v>
      </c>
    </row>
    <row r="10263" spans="1:12" x14ac:dyDescent="0.2">
      <c r="A10263" s="163">
        <v>2023</v>
      </c>
      <c r="B10263" s="163">
        <v>12</v>
      </c>
      <c r="C10263" s="163">
        <v>30</v>
      </c>
      <c r="D10263" s="141">
        <f t="shared" si="1338"/>
        <v>45290</v>
      </c>
      <c r="E10263" s="275">
        <f t="shared" si="1339"/>
        <v>45290</v>
      </c>
      <c r="F10263" s="480"/>
      <c r="G10263" s="221" t="s">
        <v>74</v>
      </c>
      <c r="H10263" s="145" t="str" cm="1">
        <f t="array" ref="H10263">IFERROR(INDEX(INVESTOR_LIST[INVESTOR NAME],MATCH(I10263,INVESTOR_LIST[INVESTOR CODE],0),)," ")</f>
        <v xml:space="preserve"> </v>
      </c>
      <c r="I10263" s="145" t="s">
        <v>348</v>
      </c>
      <c r="J10263" s="163" t="s">
        <v>52</v>
      </c>
      <c r="K10263" s="219"/>
      <c r="L10263" s="219">
        <v>75</v>
      </c>
    </row>
    <row r="10264" spans="1:12" x14ac:dyDescent="0.2">
      <c r="A10264" s="133">
        <v>2023</v>
      </c>
      <c r="B10264" s="133">
        <v>12</v>
      </c>
      <c r="C10264" s="168">
        <v>30</v>
      </c>
      <c r="D10264" s="141">
        <f t="shared" si="1338"/>
        <v>45290</v>
      </c>
      <c r="E10264" s="275">
        <f t="shared" si="1339"/>
        <v>45290</v>
      </c>
      <c r="F10264" s="479" t="s">
        <v>1880</v>
      </c>
      <c r="G10264" s="174" t="s">
        <v>74</v>
      </c>
      <c r="H10264" s="148" t="str" cm="1">
        <f t="array" ref="H10264">IFERROR(INDEX(INVESTOR_LIST[INVESTOR NAME],MATCH(I10264,INVESTOR_LIST[INVESTOR CODE],0),)," ")</f>
        <v xml:space="preserve"> </v>
      </c>
      <c r="I10264" s="148" t="s">
        <v>348</v>
      </c>
      <c r="J10264" s="133" t="s">
        <v>61</v>
      </c>
      <c r="K10264" s="172">
        <v>500</v>
      </c>
    </row>
    <row r="10265" spans="1:12" x14ac:dyDescent="0.2">
      <c r="A10265" s="163">
        <v>2023</v>
      </c>
      <c r="B10265" s="163">
        <v>12</v>
      </c>
      <c r="C10265" s="163">
        <v>30</v>
      </c>
      <c r="D10265" s="141">
        <f t="shared" si="1338"/>
        <v>45290</v>
      </c>
      <c r="E10265" s="275">
        <f t="shared" si="1339"/>
        <v>45290</v>
      </c>
      <c r="F10265" s="480"/>
      <c r="G10265" s="221" t="s">
        <v>74</v>
      </c>
      <c r="H10265" s="145" t="str" cm="1">
        <f t="array" ref="H10265">IFERROR(INDEX(INVESTOR_LIST[INVESTOR NAME],MATCH(I10265,INVESTOR_LIST[INVESTOR CODE],0),)," ")</f>
        <v xml:space="preserve"> </v>
      </c>
      <c r="I10265" s="145" t="s">
        <v>348</v>
      </c>
      <c r="J10265" s="163" t="s">
        <v>52</v>
      </c>
      <c r="K10265" s="219"/>
      <c r="L10265" s="219">
        <v>500</v>
      </c>
    </row>
    <row r="10266" spans="1:12" x14ac:dyDescent="0.2">
      <c r="A10266" s="133">
        <v>2023</v>
      </c>
      <c r="B10266" s="133">
        <v>12</v>
      </c>
      <c r="C10266" s="168">
        <v>30</v>
      </c>
      <c r="D10266" s="141">
        <f t="shared" si="1338"/>
        <v>45290</v>
      </c>
      <c r="E10266" s="275">
        <f t="shared" si="1339"/>
        <v>45290</v>
      </c>
      <c r="F10266" s="479" t="s">
        <v>1877</v>
      </c>
      <c r="G10266" s="174" t="s">
        <v>74</v>
      </c>
      <c r="H10266" s="148" t="str" cm="1">
        <f t="array" ref="H10266">IFERROR(INDEX(INVESTOR_LIST[INVESTOR NAME],MATCH(I10266,INVESTOR_LIST[INVESTOR CODE],0),)," ")</f>
        <v xml:space="preserve"> </v>
      </c>
      <c r="I10266" s="148" t="s">
        <v>348</v>
      </c>
      <c r="J10266" s="133" t="s">
        <v>61</v>
      </c>
      <c r="K10266" s="172">
        <v>230</v>
      </c>
    </row>
    <row r="10267" spans="1:12" x14ac:dyDescent="0.2">
      <c r="A10267" s="163">
        <v>2023</v>
      </c>
      <c r="B10267" s="163">
        <v>12</v>
      </c>
      <c r="C10267" s="163">
        <v>30</v>
      </c>
      <c r="D10267" s="141">
        <f t="shared" si="1338"/>
        <v>45290</v>
      </c>
      <c r="E10267" s="275">
        <f t="shared" si="1339"/>
        <v>45290</v>
      </c>
      <c r="F10267" s="480"/>
      <c r="G10267" s="221" t="s">
        <v>74</v>
      </c>
      <c r="H10267" s="145" t="str" cm="1">
        <f t="array" ref="H10267">IFERROR(INDEX(INVESTOR_LIST[INVESTOR NAME],MATCH(I10267,INVESTOR_LIST[INVESTOR CODE],0),)," ")</f>
        <v xml:space="preserve"> </v>
      </c>
      <c r="I10267" s="145" t="s">
        <v>348</v>
      </c>
      <c r="J10267" s="163" t="s">
        <v>52</v>
      </c>
      <c r="K10267" s="219"/>
      <c r="L10267" s="219">
        <v>230</v>
      </c>
    </row>
    <row r="10268" spans="1:12" x14ac:dyDescent="0.2">
      <c r="A10268" s="133">
        <v>2023</v>
      </c>
      <c r="B10268" s="133">
        <v>12</v>
      </c>
      <c r="C10268" s="168">
        <v>31</v>
      </c>
      <c r="D10268" s="141">
        <f>DATE(A10268,B10268,C10268)</f>
        <v>45291</v>
      </c>
      <c r="E10268" s="275">
        <f>DATE(A10268,B10268,C10268)</f>
        <v>45291</v>
      </c>
      <c r="F10268" s="479" t="s">
        <v>1881</v>
      </c>
      <c r="G10268" s="174" t="s">
        <v>74</v>
      </c>
      <c r="H10268" s="148" t="str" cm="1">
        <f t="array" ref="H10268">IFERROR(INDEX(INVESTOR_LIST[INVESTOR NAME],MATCH(I10268,INVESTOR_LIST[INVESTOR CODE],0),)," ")</f>
        <v xml:space="preserve"> </v>
      </c>
      <c r="I10268" s="148" t="s">
        <v>348</v>
      </c>
      <c r="J10268" s="133" t="s">
        <v>52</v>
      </c>
      <c r="K10268" s="172">
        <v>19565.47</v>
      </c>
    </row>
    <row r="10269" spans="1:12" x14ac:dyDescent="0.2">
      <c r="A10269" s="163">
        <v>2023</v>
      </c>
      <c r="B10269" s="163">
        <v>12</v>
      </c>
      <c r="C10269" s="163">
        <v>31</v>
      </c>
      <c r="D10269" s="141">
        <f>DATE(A10269,B10269,C10269)</f>
        <v>45291</v>
      </c>
      <c r="E10269" s="275">
        <f>DATE(A10269,B10269,C10269)</f>
        <v>45291</v>
      </c>
      <c r="F10269" s="480"/>
      <c r="G10269" s="221" t="s">
        <v>74</v>
      </c>
      <c r="H10269" s="145" t="str" cm="1">
        <f t="array" ref="H10269">IFERROR(INDEX(INVESTOR_LIST[INVESTOR NAME],MATCH(I10269,INVESTOR_LIST[INVESTOR CODE],0),)," ")</f>
        <v xml:space="preserve"> </v>
      </c>
      <c r="I10269" s="145" t="s">
        <v>348</v>
      </c>
      <c r="J10269" s="163" t="s">
        <v>60</v>
      </c>
      <c r="K10269" s="219"/>
      <c r="L10269" s="219">
        <v>19565.47</v>
      </c>
    </row>
    <row r="10270" spans="1:12" x14ac:dyDescent="0.2">
      <c r="A10270" s="133">
        <v>2023</v>
      </c>
      <c r="B10270" s="133">
        <v>12</v>
      </c>
      <c r="C10270" s="168">
        <v>31</v>
      </c>
      <c r="D10270" s="141">
        <f t="shared" ref="D10270:D10271" si="1340">DATE(A10270,B10270,C10270)</f>
        <v>45291</v>
      </c>
      <c r="E10270" s="275">
        <f t="shared" ref="E10270:E10271" si="1341">DATE(A10270,B10270,C10270)</f>
        <v>45291</v>
      </c>
      <c r="F10270" s="479" t="s">
        <v>1882</v>
      </c>
      <c r="G10270" s="174" t="s">
        <v>74</v>
      </c>
      <c r="H10270" s="148" t="str" cm="1">
        <f t="array" ref="H10270">IFERROR(INDEX(INVESTOR_LIST[INVESTOR NAME],MATCH(I10270,INVESTOR_LIST[INVESTOR CODE],0),)," ")</f>
        <v xml:space="preserve"> </v>
      </c>
      <c r="I10270" s="148" t="s">
        <v>348</v>
      </c>
      <c r="J10270" s="133" t="s">
        <v>61</v>
      </c>
      <c r="K10270" s="172">
        <v>20870</v>
      </c>
    </row>
    <row r="10271" spans="1:12" x14ac:dyDescent="0.2">
      <c r="A10271" s="163">
        <v>2023</v>
      </c>
      <c r="B10271" s="163">
        <v>12</v>
      </c>
      <c r="C10271" s="163">
        <v>31</v>
      </c>
      <c r="D10271" s="141">
        <f t="shared" si="1340"/>
        <v>45291</v>
      </c>
      <c r="E10271" s="275">
        <f t="shared" si="1341"/>
        <v>45291</v>
      </c>
      <c r="F10271" s="480"/>
      <c r="G10271" s="221" t="s">
        <v>74</v>
      </c>
      <c r="H10271" s="145" t="str" cm="1">
        <f t="array" ref="H10271">IFERROR(INDEX(INVESTOR_LIST[INVESTOR NAME],MATCH(I10271,INVESTOR_LIST[INVESTOR CODE],0),)," ")</f>
        <v xml:space="preserve"> </v>
      </c>
      <c r="I10271" s="145" t="s">
        <v>348</v>
      </c>
      <c r="J10271" s="163" t="s">
        <v>52</v>
      </c>
      <c r="K10271" s="219"/>
      <c r="L10271" s="219">
        <v>20870</v>
      </c>
    </row>
    <row r="10272" spans="1:12" x14ac:dyDescent="0.2">
      <c r="A10272" s="133">
        <v>2023</v>
      </c>
      <c r="B10272" s="133">
        <v>12</v>
      </c>
      <c r="C10272" s="168">
        <v>31</v>
      </c>
      <c r="D10272" s="141">
        <f>DATE(A10272,B10272,C10272)</f>
        <v>45291</v>
      </c>
      <c r="E10272" s="275">
        <f>DATE(A10272,B10272,C10272)</f>
        <v>45291</v>
      </c>
      <c r="F10272" s="479" t="s">
        <v>973</v>
      </c>
      <c r="G10272" s="174" t="s">
        <v>94</v>
      </c>
      <c r="H10272" s="148" t="str" cm="1">
        <f t="array" ref="H10272">IFERROR(INDEX(INVESTOR_LIST[INVESTOR NAME],MATCH(I10272,INVESTOR_LIST[INVESTOR CODE],0),)," ")</f>
        <v xml:space="preserve"> </v>
      </c>
      <c r="I10272" s="148" t="s">
        <v>348</v>
      </c>
      <c r="J10272" s="133" t="s">
        <v>103</v>
      </c>
      <c r="K10272" s="172">
        <v>40000</v>
      </c>
    </row>
    <row r="10273" spans="1:14" x14ac:dyDescent="0.2">
      <c r="A10273" s="163">
        <v>2023</v>
      </c>
      <c r="B10273" s="163">
        <v>12</v>
      </c>
      <c r="C10273" s="163">
        <v>31</v>
      </c>
      <c r="D10273" s="280">
        <f>DATE(A10273,B10273,C10273)</f>
        <v>45291</v>
      </c>
      <c r="E10273" s="281">
        <f>DATE(A10273,B10273,C10273)</f>
        <v>45291</v>
      </c>
      <c r="F10273" s="480"/>
      <c r="G10273" s="221" t="s">
        <v>94</v>
      </c>
      <c r="H10273" s="145" t="str" cm="1">
        <f t="array" ref="H10273">IFERROR(INDEX(INVESTOR_LIST[INVESTOR NAME],MATCH(I10273,INVESTOR_LIST[INVESTOR CODE],0),)," ")</f>
        <v xml:space="preserve"> </v>
      </c>
      <c r="I10273" s="145" t="s">
        <v>348</v>
      </c>
      <c r="J10273" s="163" t="s">
        <v>50</v>
      </c>
      <c r="K10273" s="219"/>
      <c r="L10273" s="219">
        <v>40000</v>
      </c>
    </row>
    <row r="10274" spans="1:14" x14ac:dyDescent="0.2">
      <c r="A10274" s="343">
        <v>2023</v>
      </c>
      <c r="B10274" s="343">
        <v>12</v>
      </c>
      <c r="C10274" s="343">
        <v>31</v>
      </c>
      <c r="D10274" s="344">
        <f t="shared" ref="D10274:D10294" si="1342">DATE(A10274,B10274,C10274)</f>
        <v>45291</v>
      </c>
      <c r="E10274" s="345">
        <f t="shared" ref="E10274:E10294" si="1343">DATE(A10274,B10274,C10274)</f>
        <v>45291</v>
      </c>
      <c r="F10274" s="483" t="s">
        <v>1813</v>
      </c>
      <c r="G10274" s="350" t="s">
        <v>94</v>
      </c>
      <c r="H10274" s="350" t="str" cm="1">
        <f t="array" ref="H10274">IFERROR(INDEX(INVESTOR_LIST[INVESTOR NAME],MATCH(I10274,INVESTOR_LIST[INVESTOR CODE],0),)," ")</f>
        <v xml:space="preserve"> </v>
      </c>
      <c r="I10274" s="352" t="s">
        <v>348</v>
      </c>
      <c r="J10274" s="353" t="s">
        <v>1798</v>
      </c>
      <c r="K10274" s="354">
        <v>13333.300000000745</v>
      </c>
      <c r="L10274" s="354"/>
    </row>
    <row r="10275" spans="1:14" x14ac:dyDescent="0.2">
      <c r="A10275" s="346">
        <v>2023</v>
      </c>
      <c r="B10275" s="346">
        <v>12</v>
      </c>
      <c r="C10275" s="346">
        <v>31</v>
      </c>
      <c r="D10275" s="344">
        <f t="shared" si="1342"/>
        <v>45291</v>
      </c>
      <c r="E10275" s="345">
        <f t="shared" si="1343"/>
        <v>45291</v>
      </c>
      <c r="F10275" s="484"/>
      <c r="G10275" s="347" t="s">
        <v>94</v>
      </c>
      <c r="H10275" s="347" t="str" cm="1">
        <f t="array" ref="H10275">IFERROR(INDEX(INVESTOR_LIST[INVESTOR NAME],MATCH(I10275,INVESTOR_LIST[INVESTOR CODE],0),)," ")</f>
        <v xml:space="preserve"> </v>
      </c>
      <c r="I10275" s="348" t="s">
        <v>348</v>
      </c>
      <c r="J10275" s="355" t="s">
        <v>1807</v>
      </c>
      <c r="K10275" s="349"/>
      <c r="L10275" s="349">
        <v>13333.300000000745</v>
      </c>
    </row>
    <row r="10276" spans="1:14" x14ac:dyDescent="0.2">
      <c r="A10276" s="238">
        <v>2023</v>
      </c>
      <c r="B10276" s="238">
        <v>12</v>
      </c>
      <c r="C10276" s="238">
        <v>31</v>
      </c>
      <c r="D10276" s="270">
        <f t="shared" si="1342"/>
        <v>45291</v>
      </c>
      <c r="E10276" s="279">
        <f t="shared" si="1343"/>
        <v>45291</v>
      </c>
      <c r="F10276" s="477" t="s">
        <v>347</v>
      </c>
      <c r="G10276" s="239" t="s">
        <v>94</v>
      </c>
      <c r="H10276" s="239" t="str" cm="1">
        <f t="array" ref="H10276">IFERROR(INDEX(INVESTOR_LIST[INVESTOR NAME],MATCH(I10276,INVESTOR_LIST[INVESTOR CODE],0),)," ")</f>
        <v xml:space="preserve"> </v>
      </c>
      <c r="I10276" s="262" t="s">
        <v>348</v>
      </c>
      <c r="J10276" s="240" t="s">
        <v>108</v>
      </c>
      <c r="K10276" s="241">
        <v>83191.79999999702</v>
      </c>
      <c r="L10276" s="241"/>
    </row>
    <row r="10277" spans="1:14" x14ac:dyDescent="0.2">
      <c r="A10277" s="242">
        <v>2023</v>
      </c>
      <c r="B10277" s="242">
        <v>12</v>
      </c>
      <c r="C10277" s="242">
        <v>31</v>
      </c>
      <c r="D10277" s="270">
        <f t="shared" si="1342"/>
        <v>45291</v>
      </c>
      <c r="E10277" s="279">
        <f t="shared" si="1343"/>
        <v>45291</v>
      </c>
      <c r="F10277" s="478"/>
      <c r="G10277" s="243" t="s">
        <v>94</v>
      </c>
      <c r="H10277" s="243" t="str" cm="1">
        <f t="array" ref="H10277">IFERROR(INDEX(INVESTOR_LIST[INVESTOR NAME],MATCH(I10277,INVESTOR_LIST[INVESTOR CODE],0),)," ")</f>
        <v xml:space="preserve"> </v>
      </c>
      <c r="I10277" s="263" t="s">
        <v>348</v>
      </c>
      <c r="J10277" s="244" t="s">
        <v>82</v>
      </c>
      <c r="K10277" s="245"/>
      <c r="L10277" s="245">
        <v>83191.79999999702</v>
      </c>
    </row>
    <row r="10278" spans="1:14" ht="22.5" x14ac:dyDescent="0.2">
      <c r="A10278" s="246">
        <v>2023</v>
      </c>
      <c r="B10278" s="238">
        <v>12</v>
      </c>
      <c r="C10278" s="238">
        <v>31</v>
      </c>
      <c r="D10278" s="270">
        <f t="shared" si="1342"/>
        <v>45291</v>
      </c>
      <c r="E10278" s="279">
        <f t="shared" si="1343"/>
        <v>45291</v>
      </c>
      <c r="F10278" s="482" t="s">
        <v>148</v>
      </c>
      <c r="G10278" s="247" t="s">
        <v>94</v>
      </c>
      <c r="H10278" s="247" t="str" cm="1">
        <f t="array" ref="H10278">IFERROR(INDEX(INVESTOR_LIST[INVESTOR NAME],MATCH(I10278,INVESTOR_LIST[INVESTOR CODE],0),)," ")</f>
        <v xml:space="preserve"> </v>
      </c>
      <c r="I10278" s="248" t="s">
        <v>348</v>
      </c>
      <c r="J10278" s="249" t="s">
        <v>95</v>
      </c>
      <c r="K10278" s="250">
        <v>915.75091575091574</v>
      </c>
      <c r="L10278" s="241"/>
      <c r="N10278" s="160"/>
    </row>
    <row r="10279" spans="1:14" x14ac:dyDescent="0.2">
      <c r="A10279" s="242">
        <v>2023</v>
      </c>
      <c r="B10279" s="242">
        <v>12</v>
      </c>
      <c r="C10279" s="242">
        <v>31</v>
      </c>
      <c r="D10279" s="270">
        <f t="shared" si="1342"/>
        <v>45291</v>
      </c>
      <c r="E10279" s="279">
        <f t="shared" si="1343"/>
        <v>45291</v>
      </c>
      <c r="F10279" s="478"/>
      <c r="G10279" s="243" t="s">
        <v>94</v>
      </c>
      <c r="H10279" s="243" t="str" cm="1">
        <f t="array" ref="H10279">IFERROR(INDEX(INVESTOR_LIST[INVESTOR NAME],MATCH(I10279,INVESTOR_LIST[INVESTOR CODE],0),)," ")</f>
        <v xml:space="preserve"> </v>
      </c>
      <c r="I10279" s="263" t="s">
        <v>348</v>
      </c>
      <c r="J10279" s="244" t="s">
        <v>63</v>
      </c>
      <c r="K10279" s="245"/>
      <c r="L10279" s="245">
        <v>915.75091575091574</v>
      </c>
      <c r="N10279" s="160"/>
    </row>
    <row r="10280" spans="1:14" x14ac:dyDescent="0.2">
      <c r="A10280" s="246">
        <v>2023</v>
      </c>
      <c r="B10280" s="238">
        <v>12</v>
      </c>
      <c r="C10280" s="238">
        <v>31</v>
      </c>
      <c r="D10280" s="270">
        <f t="shared" si="1342"/>
        <v>45291</v>
      </c>
      <c r="E10280" s="279">
        <f t="shared" si="1343"/>
        <v>45291</v>
      </c>
      <c r="F10280" s="482" t="s">
        <v>137</v>
      </c>
      <c r="G10280" s="247" t="s">
        <v>94</v>
      </c>
      <c r="H10280" s="247" t="str" cm="1">
        <f t="array" ref="H10280">IFERROR(INDEX(INVESTOR_LIST[INVESTOR NAME],MATCH(I10280,INVESTOR_LIST[INVESTOR CODE],0),)," ")</f>
        <v xml:space="preserve"> </v>
      </c>
      <c r="I10280" s="248" t="s">
        <v>348</v>
      </c>
      <c r="J10280" s="249" t="s">
        <v>97</v>
      </c>
      <c r="K10280" s="250">
        <v>19533.536087299082</v>
      </c>
      <c r="L10280" s="252"/>
      <c r="N10280" s="160"/>
    </row>
    <row r="10281" spans="1:14" x14ac:dyDescent="0.2">
      <c r="A10281" s="242">
        <v>2023</v>
      </c>
      <c r="B10281" s="242">
        <v>12</v>
      </c>
      <c r="C10281" s="242">
        <v>31</v>
      </c>
      <c r="D10281" s="270">
        <f t="shared" si="1342"/>
        <v>45291</v>
      </c>
      <c r="E10281" s="279">
        <f t="shared" si="1343"/>
        <v>45291</v>
      </c>
      <c r="F10281" s="478"/>
      <c r="G10281" s="243" t="s">
        <v>94</v>
      </c>
      <c r="H10281" s="243" t="str" cm="1">
        <f t="array" ref="H10281">IFERROR(INDEX(INVESTOR_LIST[INVESTOR NAME],MATCH(I10281,INVESTOR_LIST[INVESTOR CODE],0),)," ")</f>
        <v xml:space="preserve"> </v>
      </c>
      <c r="I10281" s="263" t="s">
        <v>348</v>
      </c>
      <c r="J10281" s="244" t="s">
        <v>47</v>
      </c>
      <c r="K10281" s="245"/>
      <c r="L10281" s="245">
        <v>19533.536087299082</v>
      </c>
    </row>
    <row r="10282" spans="1:14" x14ac:dyDescent="0.2">
      <c r="A10282" s="246">
        <v>2023</v>
      </c>
      <c r="B10282" s="238">
        <v>12</v>
      </c>
      <c r="C10282" s="238">
        <v>31</v>
      </c>
      <c r="D10282" s="270">
        <f t="shared" si="1342"/>
        <v>45291</v>
      </c>
      <c r="E10282" s="279">
        <f t="shared" si="1343"/>
        <v>45291</v>
      </c>
      <c r="F10282" s="482" t="s">
        <v>138</v>
      </c>
      <c r="G10282" s="247" t="s">
        <v>94</v>
      </c>
      <c r="H10282" s="247" t="str" cm="1">
        <f t="array" ref="H10282">IFERROR(INDEX(INVESTOR_LIST[INVESTOR NAME],MATCH(I10282,INVESTOR_LIST[INVESTOR CODE],0),)," ")</f>
        <v xml:space="preserve"> </v>
      </c>
      <c r="I10282" s="248" t="s">
        <v>348</v>
      </c>
      <c r="J10282" s="249" t="s">
        <v>100</v>
      </c>
      <c r="K10282" s="250">
        <v>896.54859923674894</v>
      </c>
      <c r="L10282" s="252"/>
    </row>
    <row r="10283" spans="1:14" x14ac:dyDescent="0.2">
      <c r="A10283" s="242">
        <v>2023</v>
      </c>
      <c r="B10283" s="242">
        <v>12</v>
      </c>
      <c r="C10283" s="242">
        <v>31</v>
      </c>
      <c r="D10283" s="321">
        <f t="shared" si="1342"/>
        <v>45291</v>
      </c>
      <c r="E10283" s="322">
        <f t="shared" si="1343"/>
        <v>45291</v>
      </c>
      <c r="F10283" s="478"/>
      <c r="G10283" s="243" t="s">
        <v>94</v>
      </c>
      <c r="H10283" s="243" t="str" cm="1">
        <f t="array" ref="H10283">IFERROR(INDEX(INVESTOR_LIST[INVESTOR NAME],MATCH(I10283,INVESTOR_LIST[INVESTOR CODE],0),)," ")</f>
        <v xml:space="preserve"> </v>
      </c>
      <c r="I10283" s="263" t="s">
        <v>348</v>
      </c>
      <c r="J10283" s="244" t="s">
        <v>48</v>
      </c>
      <c r="K10283" s="245"/>
      <c r="L10283" s="245">
        <v>896.54859923674894</v>
      </c>
    </row>
    <row r="10284" spans="1:14" x14ac:dyDescent="0.2">
      <c r="A10284" s="133">
        <v>2024</v>
      </c>
      <c r="B10284" s="133">
        <v>1</v>
      </c>
      <c r="C10284" s="133">
        <v>1</v>
      </c>
      <c r="D10284" s="141">
        <f>DATE(A10284,B10284,C10284)</f>
        <v>45292</v>
      </c>
      <c r="E10284" s="275">
        <f>DATE(A10284,B10284,C10284)</f>
        <v>45292</v>
      </c>
      <c r="F10284" s="479" t="s">
        <v>1892</v>
      </c>
      <c r="G10284" s="174" t="s">
        <v>94</v>
      </c>
      <c r="H10284" s="174" t="str" cm="1">
        <f t="array" ref="H10284">IFERROR(INDEX(INVESTOR_LIST[INVESTOR NAME],MATCH(I10284,INVESTOR_LIST[INVESTOR CODE],0),)," ")</f>
        <v xml:space="preserve"> </v>
      </c>
      <c r="I10284" s="148" t="s">
        <v>348</v>
      </c>
      <c r="J10284" s="149" t="s">
        <v>359</v>
      </c>
      <c r="K10284" s="218">
        <v>2806559.5</v>
      </c>
      <c r="L10284" s="218"/>
      <c r="M10284" s="336"/>
    </row>
    <row r="10285" spans="1:14" x14ac:dyDescent="0.2">
      <c r="A10285" s="163">
        <v>2024</v>
      </c>
      <c r="B10285" s="163">
        <v>1</v>
      </c>
      <c r="C10285" s="163">
        <v>1</v>
      </c>
      <c r="D10285" s="280">
        <f>DATE(A10285,B10285,C10285)</f>
        <v>45292</v>
      </c>
      <c r="E10285" s="281">
        <f>DATE(A10285,B10285,C10285)</f>
        <v>45292</v>
      </c>
      <c r="F10285" s="480"/>
      <c r="G10285" s="221" t="s">
        <v>94</v>
      </c>
      <c r="H10285" s="221" t="str" cm="1">
        <f t="array" ref="H10285">IFERROR(INDEX(INVESTOR_LIST[INVESTOR NAME],MATCH(I10285,INVESTOR_LIST[INVESTOR CODE],0),)," ")</f>
        <v xml:space="preserve"> </v>
      </c>
      <c r="I10285" s="145" t="s">
        <v>348</v>
      </c>
      <c r="J10285" s="146" t="s">
        <v>358</v>
      </c>
      <c r="K10285" s="219"/>
      <c r="L10285" s="219">
        <v>2806559.5</v>
      </c>
      <c r="N10285" s="160"/>
    </row>
    <row r="10286" spans="1:14" x14ac:dyDescent="0.2">
      <c r="A10286" s="133">
        <v>2024</v>
      </c>
      <c r="B10286" s="133">
        <v>1</v>
      </c>
      <c r="C10286" s="168">
        <v>1</v>
      </c>
      <c r="D10286" s="141">
        <f t="shared" si="1342"/>
        <v>45292</v>
      </c>
      <c r="E10286" s="275">
        <f t="shared" si="1343"/>
        <v>45292</v>
      </c>
      <c r="F10286" s="479" t="s">
        <v>1883</v>
      </c>
      <c r="G10286" s="174" t="s">
        <v>74</v>
      </c>
      <c r="H10286" s="148" t="str" cm="1">
        <f t="array" ref="H10286">IFERROR(INDEX(INVESTOR_LIST[INVESTOR NAME],MATCH(I10286,INVESTOR_LIST[INVESTOR CODE],0),)," ")</f>
        <v xml:space="preserve"> </v>
      </c>
      <c r="I10286" s="148" t="s">
        <v>348</v>
      </c>
      <c r="J10286" s="133" t="s">
        <v>61</v>
      </c>
      <c r="K10286" s="172">
        <v>345</v>
      </c>
    </row>
    <row r="10287" spans="1:14" x14ac:dyDescent="0.2">
      <c r="A10287" s="163">
        <v>2024</v>
      </c>
      <c r="B10287" s="163">
        <v>1</v>
      </c>
      <c r="C10287" s="163">
        <v>1</v>
      </c>
      <c r="D10287" s="141">
        <f t="shared" si="1342"/>
        <v>45292</v>
      </c>
      <c r="E10287" s="275">
        <f t="shared" si="1343"/>
        <v>45292</v>
      </c>
      <c r="F10287" s="480"/>
      <c r="G10287" s="221" t="s">
        <v>74</v>
      </c>
      <c r="H10287" s="145" t="str" cm="1">
        <f t="array" ref="H10287">IFERROR(INDEX(INVESTOR_LIST[INVESTOR NAME],MATCH(I10287,INVESTOR_LIST[INVESTOR CODE],0),)," ")</f>
        <v xml:space="preserve"> </v>
      </c>
      <c r="I10287" s="145" t="s">
        <v>348</v>
      </c>
      <c r="J10287" s="163" t="s">
        <v>52</v>
      </c>
      <c r="K10287" s="219"/>
      <c r="L10287" s="219">
        <v>345</v>
      </c>
    </row>
    <row r="10288" spans="1:14" x14ac:dyDescent="0.2">
      <c r="A10288" s="133">
        <v>2024</v>
      </c>
      <c r="B10288" s="133">
        <v>1</v>
      </c>
      <c r="C10288" s="168">
        <v>2</v>
      </c>
      <c r="D10288" s="141">
        <f>DATE(A10288,B10288,C10288)</f>
        <v>45293</v>
      </c>
      <c r="E10288" s="275">
        <f>DATE(A10288,B10288,C10288)</f>
        <v>45293</v>
      </c>
      <c r="F10288" s="479" t="s">
        <v>1884</v>
      </c>
      <c r="G10288" s="174" t="s">
        <v>74</v>
      </c>
      <c r="H10288" s="148" t="str" cm="1">
        <f t="array" ref="H10288">IFERROR(INDEX(INVESTOR_LIST[INVESTOR NAME],MATCH(I10288,INVESTOR_LIST[INVESTOR CODE],0),)," ")</f>
        <v xml:space="preserve"> </v>
      </c>
      <c r="I10288" s="148" t="s">
        <v>348</v>
      </c>
      <c r="J10288" s="133" t="s">
        <v>61</v>
      </c>
      <c r="K10288" s="172">
        <v>3000</v>
      </c>
    </row>
    <row r="10289" spans="1:13" x14ac:dyDescent="0.2">
      <c r="A10289" s="163">
        <v>2024</v>
      </c>
      <c r="B10289" s="163">
        <v>1</v>
      </c>
      <c r="C10289" s="163">
        <v>2</v>
      </c>
      <c r="D10289" s="141">
        <f>DATE(A10289,B10289,C10289)</f>
        <v>45293</v>
      </c>
      <c r="E10289" s="275">
        <f>DATE(A10289,B10289,C10289)</f>
        <v>45293</v>
      </c>
      <c r="F10289" s="480"/>
      <c r="G10289" s="221" t="s">
        <v>74</v>
      </c>
      <c r="H10289" s="145" t="str" cm="1">
        <f t="array" ref="H10289">IFERROR(INDEX(INVESTOR_LIST[INVESTOR NAME],MATCH(I10289,INVESTOR_LIST[INVESTOR CODE],0),)," ")</f>
        <v xml:space="preserve"> </v>
      </c>
      <c r="I10289" s="145" t="s">
        <v>348</v>
      </c>
      <c r="J10289" s="163" t="s">
        <v>52</v>
      </c>
      <c r="K10289" s="219"/>
      <c r="L10289" s="219">
        <v>3000</v>
      </c>
    </row>
    <row r="10290" spans="1:13" x14ac:dyDescent="0.2">
      <c r="A10290" s="133">
        <v>2024</v>
      </c>
      <c r="B10290" s="133">
        <v>1</v>
      </c>
      <c r="C10290" s="168">
        <v>1</v>
      </c>
      <c r="D10290" s="141">
        <f t="shared" ref="D10290:D10291" si="1344">DATE(A10290,B10290,C10290)</f>
        <v>45292</v>
      </c>
      <c r="E10290" s="275">
        <f t="shared" ref="E10290:E10291" si="1345">DATE(A10290,B10290,C10290)</f>
        <v>45292</v>
      </c>
      <c r="F10290" s="479" t="s">
        <v>1883</v>
      </c>
      <c r="G10290" s="174" t="s">
        <v>74</v>
      </c>
      <c r="H10290" s="148" t="str" cm="1">
        <f t="array" ref="H10290">IFERROR(INDEX(INVESTOR_LIST[INVESTOR NAME],MATCH(I10290,INVESTOR_LIST[INVESTOR CODE],0),)," ")</f>
        <v xml:space="preserve"> </v>
      </c>
      <c r="I10290" s="148" t="s">
        <v>348</v>
      </c>
      <c r="J10290" s="133" t="s">
        <v>61</v>
      </c>
      <c r="K10290" s="172">
        <v>345</v>
      </c>
    </row>
    <row r="10291" spans="1:13" x14ac:dyDescent="0.2">
      <c r="A10291" s="163">
        <v>2024</v>
      </c>
      <c r="B10291" s="163">
        <v>1</v>
      </c>
      <c r="C10291" s="163">
        <v>1</v>
      </c>
      <c r="D10291" s="141">
        <f t="shared" si="1344"/>
        <v>45292</v>
      </c>
      <c r="E10291" s="275">
        <f t="shared" si="1345"/>
        <v>45292</v>
      </c>
      <c r="F10291" s="480"/>
      <c r="G10291" s="221" t="s">
        <v>74</v>
      </c>
      <c r="H10291" s="145" t="str" cm="1">
        <f t="array" ref="H10291">IFERROR(INDEX(INVESTOR_LIST[INVESTOR NAME],MATCH(I10291,INVESTOR_LIST[INVESTOR CODE],0),)," ")</f>
        <v xml:space="preserve"> </v>
      </c>
      <c r="I10291" s="145" t="s">
        <v>348</v>
      </c>
      <c r="J10291" s="163" t="s">
        <v>52</v>
      </c>
      <c r="K10291" s="219"/>
      <c r="L10291" s="219">
        <v>345</v>
      </c>
    </row>
    <row r="10292" spans="1:13" x14ac:dyDescent="0.2">
      <c r="A10292" s="133">
        <v>2024</v>
      </c>
      <c r="B10292" s="133">
        <v>1</v>
      </c>
      <c r="C10292" s="168">
        <v>2</v>
      </c>
      <c r="D10292" s="141">
        <f>DATE(A10292,B10292,C10292)</f>
        <v>45293</v>
      </c>
      <c r="E10292" s="275">
        <f>DATE(A10292,B10292,C10292)</f>
        <v>45293</v>
      </c>
      <c r="F10292" s="479" t="s">
        <v>1884</v>
      </c>
      <c r="G10292" s="174" t="s">
        <v>74</v>
      </c>
      <c r="H10292" s="148" t="str" cm="1">
        <f t="array" ref="H10292">IFERROR(INDEX(INVESTOR_LIST[INVESTOR NAME],MATCH(I10292,INVESTOR_LIST[INVESTOR CODE],0),)," ")</f>
        <v xml:space="preserve"> </v>
      </c>
      <c r="I10292" s="148" t="s">
        <v>348</v>
      </c>
      <c r="J10292" s="133" t="s">
        <v>61</v>
      </c>
      <c r="K10292" s="172">
        <v>3000</v>
      </c>
    </row>
    <row r="10293" spans="1:13" x14ac:dyDescent="0.2">
      <c r="A10293" s="163">
        <v>2024</v>
      </c>
      <c r="B10293" s="163">
        <v>1</v>
      </c>
      <c r="C10293" s="163">
        <v>2</v>
      </c>
      <c r="D10293" s="141">
        <f>DATE(A10293,B10293,C10293)</f>
        <v>45293</v>
      </c>
      <c r="E10293" s="275">
        <f>DATE(A10293,B10293,C10293)</f>
        <v>45293</v>
      </c>
      <c r="F10293" s="480"/>
      <c r="G10293" s="221" t="s">
        <v>74</v>
      </c>
      <c r="H10293" s="145" t="str" cm="1">
        <f t="array" ref="H10293">IFERROR(INDEX(INVESTOR_LIST[INVESTOR NAME],MATCH(I10293,INVESTOR_LIST[INVESTOR CODE],0),)," ")</f>
        <v xml:space="preserve"> </v>
      </c>
      <c r="I10293" s="145" t="s">
        <v>348</v>
      </c>
      <c r="J10293" s="163" t="s">
        <v>52</v>
      </c>
      <c r="K10293" s="219"/>
      <c r="L10293" s="219">
        <v>3000</v>
      </c>
    </row>
    <row r="10294" spans="1:13" x14ac:dyDescent="0.2">
      <c r="A10294" s="168">
        <v>2024</v>
      </c>
      <c r="B10294" s="168">
        <v>1</v>
      </c>
      <c r="C10294" s="168">
        <v>1</v>
      </c>
      <c r="D10294" s="141">
        <f t="shared" si="1342"/>
        <v>45292</v>
      </c>
      <c r="E10294" s="275">
        <f t="shared" si="1343"/>
        <v>45292</v>
      </c>
      <c r="F10294" s="479" t="s">
        <v>1757</v>
      </c>
      <c r="G10294" s="220" t="s">
        <v>74</v>
      </c>
      <c r="H10294" s="220" t="str" cm="1">
        <f t="array" ref="H10294">IFERROR(INDEX(INVESTOR_LIST[INVESTOR NAME],MATCH(I10294,INVESTOR_LIST[INVESTOR CODE],0),)," ")</f>
        <v xml:space="preserve"> </v>
      </c>
      <c r="I10294" s="142"/>
      <c r="J10294" s="143" t="s">
        <v>52</v>
      </c>
      <c r="K10294" s="226">
        <v>1497711.86</v>
      </c>
      <c r="L10294" s="226"/>
    </row>
    <row r="10295" spans="1:13" x14ac:dyDescent="0.2">
      <c r="A10295" s="163">
        <v>2024</v>
      </c>
      <c r="B10295" s="163">
        <v>1</v>
      </c>
      <c r="C10295" s="163">
        <v>1</v>
      </c>
      <c r="D10295" s="280">
        <f>DATE(A10295,B10295,C10295)</f>
        <v>45292</v>
      </c>
      <c r="E10295" s="281">
        <f>DATE(A10295,B10295,C10295)</f>
        <v>45292</v>
      </c>
      <c r="F10295" s="480"/>
      <c r="G10295" s="221" t="s">
        <v>74</v>
      </c>
      <c r="H10295" s="221" t="str" cm="1">
        <f t="array" ref="H10295">IFERROR(INDEX(INVESTOR_LIST[INVESTOR NAME],MATCH(I10295,INVESTOR_LIST[INVESTOR CODE],0),)," ")</f>
        <v xml:space="preserve"> </v>
      </c>
      <c r="I10295" s="145"/>
      <c r="J10295" s="146" t="s">
        <v>190</v>
      </c>
      <c r="K10295" s="219"/>
      <c r="L10295" s="219">
        <v>1497711.86</v>
      </c>
    </row>
    <row r="10296" spans="1:13" x14ac:dyDescent="0.2">
      <c r="A10296" s="168">
        <v>2024</v>
      </c>
      <c r="B10296" s="168">
        <v>1</v>
      </c>
      <c r="C10296" s="168">
        <v>2</v>
      </c>
      <c r="D10296" s="141">
        <f t="shared" ref="D10296" si="1346">DATE(A10296,B10296,C10296)</f>
        <v>45293</v>
      </c>
      <c r="E10296" s="275">
        <f t="shared" ref="E10296" si="1347">DATE(A10296,B10296,C10296)</f>
        <v>45293</v>
      </c>
      <c r="F10296" s="479" t="s">
        <v>1757</v>
      </c>
      <c r="G10296" s="220" t="s">
        <v>74</v>
      </c>
      <c r="H10296" s="220" t="str" cm="1">
        <f t="array" ref="H10296">IFERROR(INDEX(INVESTOR_LIST[INVESTOR NAME],MATCH(I10296,INVESTOR_LIST[INVESTOR CODE],0),)," ")</f>
        <v xml:space="preserve"> </v>
      </c>
      <c r="I10296" s="142"/>
      <c r="J10296" s="143" t="s">
        <v>52</v>
      </c>
      <c r="K10296" s="226">
        <v>2546970.48</v>
      </c>
      <c r="L10296" s="226"/>
    </row>
    <row r="10297" spans="1:13" ht="10.5" customHeight="1" x14ac:dyDescent="0.2">
      <c r="A10297" s="163">
        <v>2024</v>
      </c>
      <c r="B10297" s="163">
        <v>1</v>
      </c>
      <c r="C10297" s="163">
        <v>2</v>
      </c>
      <c r="D10297" s="280">
        <f>DATE(A10297,B10297,C10297)</f>
        <v>45293</v>
      </c>
      <c r="E10297" s="281">
        <f>DATE(A10297,B10297,C10297)</f>
        <v>45293</v>
      </c>
      <c r="F10297" s="480"/>
      <c r="G10297" s="221" t="s">
        <v>74</v>
      </c>
      <c r="H10297" s="221" t="str" cm="1">
        <f t="array" ref="H10297">IFERROR(INDEX(INVESTOR_LIST[INVESTOR NAME],MATCH(I10297,INVESTOR_LIST[INVESTOR CODE],0),)," ")</f>
        <v xml:space="preserve"> </v>
      </c>
      <c r="I10297" s="145"/>
      <c r="J10297" s="146" t="s">
        <v>190</v>
      </c>
      <c r="K10297" s="219"/>
      <c r="L10297" s="219">
        <v>2546970.48</v>
      </c>
    </row>
    <row r="10298" spans="1:13" ht="22.5" x14ac:dyDescent="0.2">
      <c r="A10298" s="168">
        <v>2024</v>
      </c>
      <c r="B10298" s="168">
        <v>1</v>
      </c>
      <c r="C10298" s="168">
        <v>2</v>
      </c>
      <c r="D10298" s="141">
        <f t="shared" ref="D10298:D10300" si="1348">DATE(A10298,B10298,C10298)</f>
        <v>45293</v>
      </c>
      <c r="E10298" s="275">
        <f t="shared" ref="E10298:E10300" si="1349">DATE(A10298,B10298,C10298)</f>
        <v>45293</v>
      </c>
      <c r="F10298" s="479" t="s">
        <v>966</v>
      </c>
      <c r="G10298" s="220" t="s">
        <v>94</v>
      </c>
      <c r="H10298" s="220" t="str" cm="1">
        <f t="array" ref="H10298">IFERROR(INDEX(INVESTOR_LIST[INVESTOR NAME],MATCH(I10298,INVESTOR_LIST[INVESTOR CODE],0),)," ")</f>
        <v>SHAHRIN ANWAR</v>
      </c>
      <c r="I10298" s="142" t="s">
        <v>627</v>
      </c>
      <c r="J10298" s="310" t="s">
        <v>358</v>
      </c>
      <c r="K10298" s="226">
        <v>764.5</v>
      </c>
      <c r="L10298" s="226"/>
    </row>
    <row r="10299" spans="1:13" ht="22.5" x14ac:dyDescent="0.2">
      <c r="A10299" s="133">
        <v>2024</v>
      </c>
      <c r="B10299" s="133">
        <v>1</v>
      </c>
      <c r="C10299" s="133">
        <v>2</v>
      </c>
      <c r="D10299" s="147">
        <f t="shared" si="1348"/>
        <v>45293</v>
      </c>
      <c r="E10299" s="311">
        <f t="shared" si="1349"/>
        <v>45293</v>
      </c>
      <c r="F10299" s="481"/>
      <c r="G10299" s="174" t="s">
        <v>94</v>
      </c>
      <c r="H10299" s="174" t="str" cm="1">
        <f t="array" ref="H10299">IFERROR(INDEX(INVESTOR_LIST[INVESTOR NAME],MATCH(I10299,INVESTOR_LIST[INVESTOR CODE],0),)," ")</f>
        <v>SHAHRIN ANWAR</v>
      </c>
      <c r="I10299" s="148" t="s">
        <v>627</v>
      </c>
      <c r="J10299" s="312" t="s">
        <v>13</v>
      </c>
      <c r="K10299" s="218"/>
      <c r="L10299" s="218">
        <v>610</v>
      </c>
    </row>
    <row r="10300" spans="1:13" ht="22.5" x14ac:dyDescent="0.2">
      <c r="A10300" s="133">
        <v>2024</v>
      </c>
      <c r="B10300" s="133">
        <v>1</v>
      </c>
      <c r="C10300" s="133">
        <v>2</v>
      </c>
      <c r="D10300" s="147">
        <f t="shared" si="1348"/>
        <v>45293</v>
      </c>
      <c r="E10300" s="311">
        <f t="shared" si="1349"/>
        <v>45293</v>
      </c>
      <c r="F10300" s="481"/>
      <c r="G10300" s="174" t="s">
        <v>94</v>
      </c>
      <c r="H10300" s="174" t="str" cm="1">
        <f t="array" ref="H10300">IFERROR(INDEX(INVESTOR_LIST[INVESTOR NAME],MATCH(I10300,INVESTOR_LIST[INVESTOR CODE],0),)," ")</f>
        <v>SHAHRIN ANWAR</v>
      </c>
      <c r="I10300" s="148" t="s">
        <v>627</v>
      </c>
      <c r="J10300" s="312" t="s">
        <v>53</v>
      </c>
      <c r="K10300" s="219"/>
      <c r="L10300" s="218">
        <v>154.5</v>
      </c>
    </row>
    <row r="10301" spans="1:13" ht="11.25" customHeight="1" x14ac:dyDescent="0.2">
      <c r="A10301" s="168">
        <v>2024</v>
      </c>
      <c r="B10301" s="168">
        <v>1</v>
      </c>
      <c r="C10301" s="168">
        <v>2</v>
      </c>
      <c r="D10301" s="141">
        <f t="shared" ref="D10301:D10307" si="1350">DATE(A10301,B10301,C10301)</f>
        <v>45293</v>
      </c>
      <c r="E10301" s="275">
        <f t="shared" ref="E10301:E10307" si="1351">DATE(A10301,B10301,C10301)</f>
        <v>45293</v>
      </c>
      <c r="F10301" s="479" t="s">
        <v>1448</v>
      </c>
      <c r="G10301" s="220" t="s">
        <v>74</v>
      </c>
      <c r="H10301" s="142" t="str" cm="1">
        <f t="array" ref="H10301">IFERROR(INDEX(INVESTOR_LIST[INVESTOR NAME],MATCH(I10301,INVESTOR_LIST[INVESTOR CODE],0),)," ")</f>
        <v>SHAHRIN ANWAR</v>
      </c>
      <c r="I10301" s="142" t="s">
        <v>627</v>
      </c>
      <c r="J10301" s="168" t="s">
        <v>13</v>
      </c>
      <c r="K10301" s="218">
        <v>31190</v>
      </c>
      <c r="L10301" s="226"/>
    </row>
    <row r="10302" spans="1:13" ht="11.25" customHeight="1" x14ac:dyDescent="0.2">
      <c r="A10302" s="133">
        <v>2024</v>
      </c>
      <c r="B10302" s="133">
        <v>1</v>
      </c>
      <c r="C10302" s="133">
        <v>2</v>
      </c>
      <c r="D10302" s="141">
        <f t="shared" si="1350"/>
        <v>45293</v>
      </c>
      <c r="E10302" s="275">
        <f t="shared" si="1351"/>
        <v>45293</v>
      </c>
      <c r="F10302" s="481"/>
      <c r="G10302" s="174" t="s">
        <v>74</v>
      </c>
      <c r="H10302" s="148" t="str" cm="1">
        <f t="array" ref="H10302">IFERROR(INDEX(INVESTOR_LIST[INVESTOR NAME],MATCH(I10302,INVESTOR_LIST[INVESTOR CODE],0),)," ")</f>
        <v>SHAHRIN ANWAR</v>
      </c>
      <c r="I10302" s="148" t="s">
        <v>627</v>
      </c>
      <c r="J10302" s="133" t="s">
        <v>53</v>
      </c>
      <c r="K10302" s="218">
        <v>6885.16</v>
      </c>
      <c r="L10302" s="133"/>
    </row>
    <row r="10303" spans="1:13" ht="11.25" customHeight="1" x14ac:dyDescent="0.2">
      <c r="A10303" s="163">
        <v>2024</v>
      </c>
      <c r="B10303" s="163">
        <v>1</v>
      </c>
      <c r="C10303" s="163">
        <v>2</v>
      </c>
      <c r="D10303" s="280">
        <f t="shared" si="1350"/>
        <v>45293</v>
      </c>
      <c r="E10303" s="281">
        <f t="shared" si="1351"/>
        <v>45293</v>
      </c>
      <c r="F10303" s="480"/>
      <c r="G10303" s="221" t="s">
        <v>74</v>
      </c>
      <c r="H10303" s="145" t="str" cm="1">
        <f t="array" ref="H10303">IFERROR(INDEX(INVESTOR_LIST[INVESTOR NAME],MATCH(I10303,INVESTOR_LIST[INVESTOR CODE],0),)," ")</f>
        <v>SHAHRIN ANWAR</v>
      </c>
      <c r="I10303" s="145" t="s">
        <v>627</v>
      </c>
      <c r="J10303" s="163" t="s">
        <v>52</v>
      </c>
      <c r="K10303" s="219"/>
      <c r="L10303" s="219">
        <v>38075.160000000003</v>
      </c>
    </row>
    <row r="10304" spans="1:13" x14ac:dyDescent="0.2">
      <c r="A10304" s="133">
        <v>2024</v>
      </c>
      <c r="B10304" s="133">
        <v>1</v>
      </c>
      <c r="C10304" s="133">
        <v>3</v>
      </c>
      <c r="D10304" s="141">
        <f t="shared" si="1350"/>
        <v>45294</v>
      </c>
      <c r="E10304" s="275">
        <f t="shared" si="1351"/>
        <v>45294</v>
      </c>
      <c r="F10304" s="481" t="s">
        <v>1753</v>
      </c>
      <c r="G10304" s="174" t="s">
        <v>94</v>
      </c>
      <c r="H10304" s="174" t="str" cm="1">
        <f t="array" ref="H10304">IFERROR(INDEX(INVESTOR_LIST[INVESTOR NAME],MATCH(I10304,INVESTOR_LIST[INVESTOR CODE],0),)," ")</f>
        <v xml:space="preserve"> </v>
      </c>
      <c r="J10304" s="149" t="s">
        <v>190</v>
      </c>
      <c r="K10304" s="218">
        <v>2014914.02</v>
      </c>
      <c r="L10304" s="218"/>
      <c r="M10304" s="160"/>
    </row>
    <row r="10305" spans="1:14" x14ac:dyDescent="0.2">
      <c r="A10305" s="133">
        <v>2024</v>
      </c>
      <c r="B10305" s="133">
        <v>1</v>
      </c>
      <c r="C10305" s="133">
        <v>3</v>
      </c>
      <c r="D10305" s="141">
        <f t="shared" si="1350"/>
        <v>45294</v>
      </c>
      <c r="E10305" s="275">
        <f t="shared" si="1351"/>
        <v>45294</v>
      </c>
      <c r="F10305" s="481"/>
      <c r="G10305" s="174" t="s">
        <v>94</v>
      </c>
      <c r="H10305" s="174"/>
      <c r="J10305" s="149" t="s">
        <v>80</v>
      </c>
      <c r="K10305" s="218">
        <v>3633.38</v>
      </c>
      <c r="L10305" s="218"/>
      <c r="N10305" s="264"/>
    </row>
    <row r="10306" spans="1:14" x14ac:dyDescent="0.2">
      <c r="A10306" s="133">
        <v>2024</v>
      </c>
      <c r="B10306" s="133">
        <v>1</v>
      </c>
      <c r="C10306" s="133">
        <v>3</v>
      </c>
      <c r="D10306" s="141">
        <f t="shared" si="1350"/>
        <v>45294</v>
      </c>
      <c r="E10306" s="275">
        <f t="shared" si="1351"/>
        <v>45294</v>
      </c>
      <c r="F10306" s="481"/>
      <c r="G10306" s="174" t="s">
        <v>94</v>
      </c>
      <c r="H10306" s="174" t="str" cm="1">
        <f t="array" ref="H10306">IFERROR(INDEX(INVESTOR_LIST[INVESTOR NAME],MATCH(I10306,INVESTOR_LIST[INVESTOR CODE],0),)," ")</f>
        <v xml:space="preserve"> </v>
      </c>
      <c r="J10306" s="149" t="s">
        <v>191</v>
      </c>
      <c r="K10306" s="218"/>
      <c r="L10306" s="218">
        <v>24700.38</v>
      </c>
      <c r="N10306" s="264"/>
    </row>
    <row r="10307" spans="1:14" x14ac:dyDescent="0.2">
      <c r="A10307" s="163">
        <v>2024</v>
      </c>
      <c r="B10307" s="163">
        <v>1</v>
      </c>
      <c r="C10307" s="163">
        <v>3</v>
      </c>
      <c r="D10307" s="280">
        <f t="shared" si="1350"/>
        <v>45294</v>
      </c>
      <c r="E10307" s="281">
        <f t="shared" si="1351"/>
        <v>45294</v>
      </c>
      <c r="F10307" s="480"/>
      <c r="G10307" s="221" t="s">
        <v>94</v>
      </c>
      <c r="H10307" s="145" t="str" cm="1">
        <f t="array" ref="H10307">IFERROR(INDEX(INVESTOR_LIST[INVESTOR NAME],MATCH(I10307,INVESTOR_LIST[INVESTOR CODE],0),)," ")</f>
        <v xml:space="preserve"> </v>
      </c>
      <c r="I10307" s="145"/>
      <c r="J10307" s="163" t="s">
        <v>79</v>
      </c>
      <c r="K10307" s="219"/>
      <c r="L10307" s="219">
        <v>1993847.02</v>
      </c>
      <c r="N10307" s="264"/>
    </row>
    <row r="10308" spans="1:14" x14ac:dyDescent="0.2">
      <c r="A10308" s="133">
        <v>2024</v>
      </c>
      <c r="B10308" s="133">
        <v>1</v>
      </c>
      <c r="C10308" s="133">
        <v>4</v>
      </c>
      <c r="D10308" s="141">
        <f t="shared" ref="D10308:D10346" si="1352">DATE(A10308,B10308,C10308)</f>
        <v>45295</v>
      </c>
      <c r="E10308" s="275">
        <f t="shared" ref="E10308:E10346" si="1353">DATE(A10308,B10308,C10308)</f>
        <v>45295</v>
      </c>
      <c r="F10308" s="481" t="s">
        <v>1753</v>
      </c>
      <c r="G10308" s="174" t="s">
        <v>94</v>
      </c>
      <c r="H10308" s="174" t="str" cm="1">
        <f t="array" ref="H10308">IFERROR(INDEX(INVESTOR_LIST[INVESTOR NAME],MATCH(I10308,INVESTOR_LIST[INVESTOR CODE],0),)," ")</f>
        <v xml:space="preserve"> </v>
      </c>
      <c r="J10308" s="149" t="s">
        <v>190</v>
      </c>
      <c r="K10308" s="218">
        <v>1231179.8700000001</v>
      </c>
      <c r="L10308" s="218"/>
      <c r="M10308" s="160"/>
    </row>
    <row r="10309" spans="1:14" x14ac:dyDescent="0.2">
      <c r="A10309" s="133">
        <v>2024</v>
      </c>
      <c r="B10309" s="133">
        <v>1</v>
      </c>
      <c r="C10309" s="133">
        <v>4</v>
      </c>
      <c r="D10309" s="141">
        <f t="shared" si="1352"/>
        <v>45295</v>
      </c>
      <c r="E10309" s="275">
        <f t="shared" si="1353"/>
        <v>45295</v>
      </c>
      <c r="F10309" s="481"/>
      <c r="G10309" s="174" t="s">
        <v>94</v>
      </c>
      <c r="H10309" s="174"/>
      <c r="J10309" s="149" t="s">
        <v>80</v>
      </c>
      <c r="K10309" s="218">
        <v>2220.13</v>
      </c>
      <c r="L10309" s="218"/>
      <c r="N10309" s="264"/>
    </row>
    <row r="10310" spans="1:14" x14ac:dyDescent="0.2">
      <c r="A10310" s="133">
        <v>2024</v>
      </c>
      <c r="B10310" s="133">
        <v>1</v>
      </c>
      <c r="C10310" s="133">
        <v>4</v>
      </c>
      <c r="D10310" s="141">
        <f t="shared" si="1352"/>
        <v>45295</v>
      </c>
      <c r="E10310" s="275">
        <f t="shared" si="1353"/>
        <v>45295</v>
      </c>
      <c r="F10310" s="481"/>
      <c r="G10310" s="174" t="s">
        <v>94</v>
      </c>
      <c r="H10310" s="174" t="str" cm="1">
        <f t="array" ref="H10310">IFERROR(INDEX(INVESTOR_LIST[INVESTOR NAME],MATCH(I10310,INVESTOR_LIST[INVESTOR CODE],0),)," ")</f>
        <v xml:space="preserve"> </v>
      </c>
      <c r="J10310" s="149" t="s">
        <v>191</v>
      </c>
      <c r="K10310" s="218"/>
      <c r="L10310" s="218">
        <v>63294.85</v>
      </c>
      <c r="N10310" s="264"/>
    </row>
    <row r="10311" spans="1:14" x14ac:dyDescent="0.2">
      <c r="A10311" s="163">
        <v>2024</v>
      </c>
      <c r="B10311" s="163">
        <v>1</v>
      </c>
      <c r="C10311" s="163">
        <v>4</v>
      </c>
      <c r="D10311" s="280">
        <f t="shared" si="1352"/>
        <v>45295</v>
      </c>
      <c r="E10311" s="281">
        <f t="shared" si="1353"/>
        <v>45295</v>
      </c>
      <c r="F10311" s="480"/>
      <c r="G10311" s="221" t="s">
        <v>94</v>
      </c>
      <c r="H10311" s="145" t="str" cm="1">
        <f t="array" ref="H10311">IFERROR(INDEX(INVESTOR_LIST[INVESTOR NAME],MATCH(I10311,INVESTOR_LIST[INVESTOR CODE],0),)," ")</f>
        <v xml:space="preserve"> </v>
      </c>
      <c r="I10311" s="145"/>
      <c r="J10311" s="163" t="s">
        <v>79</v>
      </c>
      <c r="K10311" s="219"/>
      <c r="L10311" s="219">
        <v>1170105.1499999999</v>
      </c>
      <c r="N10311" s="264"/>
    </row>
    <row r="10312" spans="1:14" x14ac:dyDescent="0.2">
      <c r="A10312" s="133">
        <v>2024</v>
      </c>
      <c r="B10312" s="133">
        <v>1</v>
      </c>
      <c r="C10312" s="168">
        <v>4</v>
      </c>
      <c r="D10312" s="141">
        <f t="shared" si="1352"/>
        <v>45295</v>
      </c>
      <c r="E10312" s="275">
        <f t="shared" si="1353"/>
        <v>45295</v>
      </c>
      <c r="F10312" s="479" t="s">
        <v>1883</v>
      </c>
      <c r="G10312" s="174" t="s">
        <v>74</v>
      </c>
      <c r="H10312" s="148" t="str" cm="1">
        <f t="array" ref="H10312">IFERROR(INDEX(INVESTOR_LIST[INVESTOR NAME],MATCH(I10312,INVESTOR_LIST[INVESTOR CODE],0),)," ")</f>
        <v xml:space="preserve"> </v>
      </c>
      <c r="I10312" s="148" t="s">
        <v>348</v>
      </c>
      <c r="J10312" s="133" t="s">
        <v>61</v>
      </c>
      <c r="K10312" s="172">
        <v>115</v>
      </c>
    </row>
    <row r="10313" spans="1:14" x14ac:dyDescent="0.2">
      <c r="A10313" s="163">
        <v>2024</v>
      </c>
      <c r="B10313" s="163">
        <v>1</v>
      </c>
      <c r="C10313" s="163">
        <v>4</v>
      </c>
      <c r="D10313" s="141">
        <f t="shared" si="1352"/>
        <v>45295</v>
      </c>
      <c r="E10313" s="275">
        <f t="shared" si="1353"/>
        <v>45295</v>
      </c>
      <c r="F10313" s="480"/>
      <c r="G10313" s="221" t="s">
        <v>74</v>
      </c>
      <c r="H10313" s="145" t="str" cm="1">
        <f t="array" ref="H10313">IFERROR(INDEX(INVESTOR_LIST[INVESTOR NAME],MATCH(I10313,INVESTOR_LIST[INVESTOR CODE],0),)," ")</f>
        <v xml:space="preserve"> </v>
      </c>
      <c r="I10313" s="145" t="s">
        <v>348</v>
      </c>
      <c r="J10313" s="163" t="s">
        <v>52</v>
      </c>
      <c r="K10313" s="219"/>
      <c r="L10313" s="219">
        <v>115</v>
      </c>
    </row>
    <row r="10314" spans="1:14" x14ac:dyDescent="0.2">
      <c r="A10314" s="133">
        <v>2024</v>
      </c>
      <c r="B10314" s="133">
        <v>1</v>
      </c>
      <c r="C10314" s="168">
        <v>4</v>
      </c>
      <c r="D10314" s="141">
        <f t="shared" ref="D10314:D10315" si="1354">DATE(A10314,B10314,C10314)</f>
        <v>45295</v>
      </c>
      <c r="E10314" s="275">
        <f t="shared" ref="E10314:E10315" si="1355">DATE(A10314,B10314,C10314)</f>
        <v>45295</v>
      </c>
      <c r="F10314" s="479" t="s">
        <v>1883</v>
      </c>
      <c r="G10314" s="174" t="s">
        <v>74</v>
      </c>
      <c r="H10314" s="148" t="str" cm="1">
        <f t="array" ref="H10314">IFERROR(INDEX(INVESTOR_LIST[INVESTOR NAME],MATCH(I10314,INVESTOR_LIST[INVESTOR CODE],0),)," ")</f>
        <v xml:space="preserve"> </v>
      </c>
      <c r="I10314" s="148" t="s">
        <v>348</v>
      </c>
      <c r="J10314" s="133" t="s">
        <v>61</v>
      </c>
      <c r="K10314" s="172">
        <v>115</v>
      </c>
    </row>
    <row r="10315" spans="1:14" x14ac:dyDescent="0.2">
      <c r="A10315" s="163">
        <v>2024</v>
      </c>
      <c r="B10315" s="163">
        <v>1</v>
      </c>
      <c r="C10315" s="163">
        <v>4</v>
      </c>
      <c r="D10315" s="141">
        <f t="shared" si="1354"/>
        <v>45295</v>
      </c>
      <c r="E10315" s="275">
        <f t="shared" si="1355"/>
        <v>45295</v>
      </c>
      <c r="F10315" s="480"/>
      <c r="G10315" s="221" t="s">
        <v>74</v>
      </c>
      <c r="H10315" s="145" t="str" cm="1">
        <f t="array" ref="H10315">IFERROR(INDEX(INVESTOR_LIST[INVESTOR NAME],MATCH(I10315,INVESTOR_LIST[INVESTOR CODE],0),)," ")</f>
        <v xml:space="preserve"> </v>
      </c>
      <c r="I10315" s="145" t="s">
        <v>348</v>
      </c>
      <c r="J10315" s="163" t="s">
        <v>52</v>
      </c>
      <c r="K10315" s="219"/>
      <c r="L10315" s="219">
        <v>115</v>
      </c>
    </row>
    <row r="10316" spans="1:14" x14ac:dyDescent="0.2">
      <c r="A10316" s="133">
        <v>2024</v>
      </c>
      <c r="B10316" s="133">
        <v>1</v>
      </c>
      <c r="C10316" s="168">
        <v>4</v>
      </c>
      <c r="D10316" s="141">
        <f t="shared" ref="D10316:D10317" si="1356">DATE(A10316,B10316,C10316)</f>
        <v>45295</v>
      </c>
      <c r="E10316" s="275">
        <f t="shared" ref="E10316:E10317" si="1357">DATE(A10316,B10316,C10316)</f>
        <v>45295</v>
      </c>
      <c r="F10316" s="479" t="s">
        <v>1887</v>
      </c>
      <c r="G10316" s="174" t="s">
        <v>74</v>
      </c>
      <c r="H10316" s="148" t="str" cm="1">
        <f t="array" ref="H10316">IFERROR(INDEX(INVESTOR_LIST[INVESTOR NAME],MATCH(I10316,INVESTOR_LIST[INVESTOR CODE],0),)," ")</f>
        <v xml:space="preserve"> </v>
      </c>
      <c r="I10316" s="148" t="s">
        <v>348</v>
      </c>
      <c r="J10316" s="133" t="s">
        <v>61</v>
      </c>
      <c r="K10316" s="172">
        <v>115</v>
      </c>
    </row>
    <row r="10317" spans="1:14" x14ac:dyDescent="0.2">
      <c r="A10317" s="163">
        <v>2024</v>
      </c>
      <c r="B10317" s="163">
        <v>1</v>
      </c>
      <c r="C10317" s="163">
        <v>4</v>
      </c>
      <c r="D10317" s="141">
        <f t="shared" si="1356"/>
        <v>45295</v>
      </c>
      <c r="E10317" s="275">
        <f t="shared" si="1357"/>
        <v>45295</v>
      </c>
      <c r="F10317" s="480"/>
      <c r="G10317" s="221" t="s">
        <v>74</v>
      </c>
      <c r="H10317" s="145" t="str" cm="1">
        <f t="array" ref="H10317">IFERROR(INDEX(INVESTOR_LIST[INVESTOR NAME],MATCH(I10317,INVESTOR_LIST[INVESTOR CODE],0),)," ")</f>
        <v xml:space="preserve"> </v>
      </c>
      <c r="I10317" s="145" t="s">
        <v>348</v>
      </c>
      <c r="J10317" s="163" t="s">
        <v>52</v>
      </c>
      <c r="K10317" s="219"/>
      <c r="L10317" s="219">
        <v>115</v>
      </c>
    </row>
    <row r="10318" spans="1:14" x14ac:dyDescent="0.2">
      <c r="A10318" s="133">
        <v>2024</v>
      </c>
      <c r="B10318" s="133">
        <v>1</v>
      </c>
      <c r="C10318" s="168">
        <v>4</v>
      </c>
      <c r="D10318" s="141">
        <f t="shared" ref="D10318:D10321" si="1358">DATE(A10318,B10318,C10318)</f>
        <v>45295</v>
      </c>
      <c r="E10318" s="275">
        <f t="shared" ref="E10318:E10321" si="1359">DATE(A10318,B10318,C10318)</f>
        <v>45295</v>
      </c>
      <c r="F10318" s="479" t="s">
        <v>1887</v>
      </c>
      <c r="G10318" s="174" t="s">
        <v>74</v>
      </c>
      <c r="H10318" s="148" t="str" cm="1">
        <f t="array" ref="H10318">IFERROR(INDEX(INVESTOR_LIST[INVESTOR NAME],MATCH(I10318,INVESTOR_LIST[INVESTOR CODE],0),)," ")</f>
        <v xml:space="preserve"> </v>
      </c>
      <c r="I10318" s="148" t="s">
        <v>348</v>
      </c>
      <c r="J10318" s="133" t="s">
        <v>61</v>
      </c>
      <c r="K10318" s="172">
        <v>115</v>
      </c>
    </row>
    <row r="10319" spans="1:14" x14ac:dyDescent="0.2">
      <c r="A10319" s="163">
        <v>2024</v>
      </c>
      <c r="B10319" s="163">
        <v>1</v>
      </c>
      <c r="C10319" s="163">
        <v>4</v>
      </c>
      <c r="D10319" s="141">
        <f t="shared" si="1358"/>
        <v>45295</v>
      </c>
      <c r="E10319" s="275">
        <f t="shared" si="1359"/>
        <v>45295</v>
      </c>
      <c r="F10319" s="480"/>
      <c r="G10319" s="221" t="s">
        <v>74</v>
      </c>
      <c r="H10319" s="145" t="str" cm="1">
        <f t="array" ref="H10319">IFERROR(INDEX(INVESTOR_LIST[INVESTOR NAME],MATCH(I10319,INVESTOR_LIST[INVESTOR CODE],0),)," ")</f>
        <v xml:space="preserve"> </v>
      </c>
      <c r="I10319" s="145" t="s">
        <v>348</v>
      </c>
      <c r="J10319" s="163" t="s">
        <v>52</v>
      </c>
      <c r="K10319" s="219"/>
      <c r="L10319" s="219">
        <v>115</v>
      </c>
    </row>
    <row r="10320" spans="1:14" x14ac:dyDescent="0.2">
      <c r="A10320" s="133">
        <v>2024</v>
      </c>
      <c r="B10320" s="133">
        <v>1</v>
      </c>
      <c r="C10320" s="168">
        <v>4</v>
      </c>
      <c r="D10320" s="141">
        <f t="shared" si="1358"/>
        <v>45295</v>
      </c>
      <c r="E10320" s="275">
        <f t="shared" si="1359"/>
        <v>45295</v>
      </c>
      <c r="F10320" s="479" t="s">
        <v>1882</v>
      </c>
      <c r="G10320" s="174" t="s">
        <v>74</v>
      </c>
      <c r="H10320" s="148" t="str" cm="1">
        <f t="array" ref="H10320">IFERROR(INDEX(INVESTOR_LIST[INVESTOR NAME],MATCH(I10320,INVESTOR_LIST[INVESTOR CODE],0),)," ")</f>
        <v xml:space="preserve"> </v>
      </c>
      <c r="I10320" s="148" t="s">
        <v>348</v>
      </c>
      <c r="J10320" s="133" t="s">
        <v>61</v>
      </c>
      <c r="K10320" s="172">
        <v>1380</v>
      </c>
    </row>
    <row r="10321" spans="1:12" x14ac:dyDescent="0.2">
      <c r="A10321" s="163">
        <v>2024</v>
      </c>
      <c r="B10321" s="163">
        <v>1</v>
      </c>
      <c r="C10321" s="163">
        <v>4</v>
      </c>
      <c r="D10321" s="141">
        <f t="shared" si="1358"/>
        <v>45295</v>
      </c>
      <c r="E10321" s="275">
        <f t="shared" si="1359"/>
        <v>45295</v>
      </c>
      <c r="F10321" s="480"/>
      <c r="G10321" s="221" t="s">
        <v>74</v>
      </c>
      <c r="H10321" s="145" t="str" cm="1">
        <f t="array" ref="H10321">IFERROR(INDEX(INVESTOR_LIST[INVESTOR NAME],MATCH(I10321,INVESTOR_LIST[INVESTOR CODE],0),)," ")</f>
        <v xml:space="preserve"> </v>
      </c>
      <c r="I10321" s="145" t="s">
        <v>348</v>
      </c>
      <c r="J10321" s="163" t="s">
        <v>52</v>
      </c>
      <c r="K10321" s="219"/>
      <c r="L10321" s="219">
        <v>1380</v>
      </c>
    </row>
    <row r="10322" spans="1:12" x14ac:dyDescent="0.2">
      <c r="A10322" s="343">
        <v>2024</v>
      </c>
      <c r="B10322" s="343">
        <v>1</v>
      </c>
      <c r="C10322" s="343">
        <v>4</v>
      </c>
      <c r="D10322" s="344">
        <f t="shared" si="1352"/>
        <v>45295</v>
      </c>
      <c r="E10322" s="345">
        <f t="shared" si="1353"/>
        <v>45295</v>
      </c>
      <c r="F10322" s="483" t="s">
        <v>1813</v>
      </c>
      <c r="G10322" s="350" t="s">
        <v>94</v>
      </c>
      <c r="H10322" s="350" t="str" cm="1">
        <f t="array" ref="H10322">IFERROR(INDEX(INVESTOR_LIST[INVESTOR NAME],MATCH(I10322,INVESTOR_LIST[INVESTOR CODE],0),)," ")</f>
        <v xml:space="preserve"> </v>
      </c>
      <c r="I10322" s="352" t="s">
        <v>348</v>
      </c>
      <c r="J10322" s="353" t="s">
        <v>1798</v>
      </c>
      <c r="K10322" s="354">
        <v>17707.400000000373</v>
      </c>
      <c r="L10322" s="354"/>
    </row>
    <row r="10323" spans="1:12" x14ac:dyDescent="0.2">
      <c r="A10323" s="346">
        <v>2024</v>
      </c>
      <c r="B10323" s="346">
        <v>1</v>
      </c>
      <c r="C10323" s="346">
        <v>4</v>
      </c>
      <c r="D10323" s="344">
        <f t="shared" si="1352"/>
        <v>45295</v>
      </c>
      <c r="E10323" s="345">
        <f t="shared" si="1353"/>
        <v>45295</v>
      </c>
      <c r="F10323" s="484"/>
      <c r="G10323" s="347" t="s">
        <v>94</v>
      </c>
      <c r="H10323" s="347" t="str" cm="1">
        <f t="array" ref="H10323">IFERROR(INDEX(INVESTOR_LIST[INVESTOR NAME],MATCH(I10323,INVESTOR_LIST[INVESTOR CODE],0),)," ")</f>
        <v xml:space="preserve"> </v>
      </c>
      <c r="I10323" s="348" t="s">
        <v>348</v>
      </c>
      <c r="J10323" s="355" t="s">
        <v>1807</v>
      </c>
      <c r="K10323" s="349"/>
      <c r="L10323" s="349">
        <v>17707.400000000373</v>
      </c>
    </row>
    <row r="10324" spans="1:12" x14ac:dyDescent="0.2">
      <c r="A10324" s="238">
        <v>2024</v>
      </c>
      <c r="B10324" s="238">
        <v>1</v>
      </c>
      <c r="C10324" s="238">
        <v>4</v>
      </c>
      <c r="D10324" s="270">
        <f t="shared" si="1352"/>
        <v>45295</v>
      </c>
      <c r="E10324" s="279">
        <f t="shared" si="1353"/>
        <v>45295</v>
      </c>
      <c r="F10324" s="477" t="s">
        <v>347</v>
      </c>
      <c r="G10324" s="239" t="s">
        <v>94</v>
      </c>
      <c r="H10324" s="239" t="str" cm="1">
        <f t="array" ref="H10324">IFERROR(INDEX(INVESTOR_LIST[INVESTOR NAME],MATCH(I10324,INVESTOR_LIST[INVESTOR CODE],0),)," ")</f>
        <v xml:space="preserve"> </v>
      </c>
      <c r="I10324" s="262" t="s">
        <v>348</v>
      </c>
      <c r="J10324" s="240" t="s">
        <v>108</v>
      </c>
      <c r="K10324" s="241">
        <v>55616.459999844432</v>
      </c>
      <c r="L10324" s="241"/>
    </row>
    <row r="10325" spans="1:12" x14ac:dyDescent="0.2">
      <c r="A10325" s="242">
        <v>2024</v>
      </c>
      <c r="B10325" s="242">
        <v>1</v>
      </c>
      <c r="C10325" s="242">
        <v>4</v>
      </c>
      <c r="D10325" s="270">
        <f t="shared" si="1352"/>
        <v>45295</v>
      </c>
      <c r="E10325" s="279">
        <f t="shared" si="1353"/>
        <v>45295</v>
      </c>
      <c r="F10325" s="478"/>
      <c r="G10325" s="243" t="s">
        <v>94</v>
      </c>
      <c r="H10325" s="243" t="str" cm="1">
        <f t="array" ref="H10325">IFERROR(INDEX(INVESTOR_LIST[INVESTOR NAME],MATCH(I10325,INVESTOR_LIST[INVESTOR CODE],0),)," ")</f>
        <v xml:space="preserve"> </v>
      </c>
      <c r="I10325" s="263" t="s">
        <v>348</v>
      </c>
      <c r="J10325" s="244" t="s">
        <v>82</v>
      </c>
      <c r="K10325" s="245"/>
      <c r="L10325" s="245">
        <v>55616.459999844432</v>
      </c>
    </row>
    <row r="10326" spans="1:12" ht="22.5" x14ac:dyDescent="0.2">
      <c r="A10326" s="246">
        <v>2024</v>
      </c>
      <c r="B10326" s="238">
        <v>1</v>
      </c>
      <c r="C10326" s="238">
        <v>4</v>
      </c>
      <c r="D10326" s="270">
        <f t="shared" si="1352"/>
        <v>45295</v>
      </c>
      <c r="E10326" s="279">
        <f t="shared" si="1353"/>
        <v>45295</v>
      </c>
      <c r="F10326" s="482" t="s">
        <v>148</v>
      </c>
      <c r="G10326" s="247" t="s">
        <v>94</v>
      </c>
      <c r="H10326" s="247" t="str" cm="1">
        <f t="array" ref="H10326">IFERROR(INDEX(INVESTOR_LIST[INVESTOR NAME],MATCH(I10326,INVESTOR_LIST[INVESTOR CODE],0),)," ")</f>
        <v xml:space="preserve"> </v>
      </c>
      <c r="I10326" s="248" t="s">
        <v>348</v>
      </c>
      <c r="J10326" s="249" t="s">
        <v>95</v>
      </c>
      <c r="K10326" s="250">
        <v>1831.5018315018315</v>
      </c>
      <c r="L10326" s="241"/>
    </row>
    <row r="10327" spans="1:12" x14ac:dyDescent="0.2">
      <c r="A10327" s="242">
        <v>2024</v>
      </c>
      <c r="B10327" s="242">
        <v>1</v>
      </c>
      <c r="C10327" s="242">
        <v>4</v>
      </c>
      <c r="D10327" s="270">
        <f t="shared" si="1352"/>
        <v>45295</v>
      </c>
      <c r="E10327" s="279">
        <f t="shared" si="1353"/>
        <v>45295</v>
      </c>
      <c r="F10327" s="478"/>
      <c r="G10327" s="243" t="s">
        <v>94</v>
      </c>
      <c r="H10327" s="243" t="str" cm="1">
        <f t="array" ref="H10327">IFERROR(INDEX(INVESTOR_LIST[INVESTOR NAME],MATCH(I10327,INVESTOR_LIST[INVESTOR CODE],0),)," ")</f>
        <v xml:space="preserve"> </v>
      </c>
      <c r="I10327" s="263" t="s">
        <v>348</v>
      </c>
      <c r="J10327" s="244" t="s">
        <v>63</v>
      </c>
      <c r="K10327" s="245"/>
      <c r="L10327" s="245">
        <v>1831.5018315018315</v>
      </c>
    </row>
    <row r="10328" spans="1:12" x14ac:dyDescent="0.2">
      <c r="A10328" s="246">
        <v>2024</v>
      </c>
      <c r="B10328" s="238">
        <v>1</v>
      </c>
      <c r="C10328" s="238">
        <v>4</v>
      </c>
      <c r="D10328" s="270">
        <f t="shared" si="1352"/>
        <v>45295</v>
      </c>
      <c r="E10328" s="279">
        <f t="shared" si="1353"/>
        <v>45295</v>
      </c>
      <c r="F10328" s="482" t="s">
        <v>137</v>
      </c>
      <c r="G10328" s="247" t="s">
        <v>94</v>
      </c>
      <c r="H10328" s="247" t="str" cm="1">
        <f t="array" ref="H10328">IFERROR(INDEX(INVESTOR_LIST[INVESTOR NAME],MATCH(I10328,INVESTOR_LIST[INVESTOR CODE],0),)," ")</f>
        <v xml:space="preserve"> </v>
      </c>
      <c r="I10328" s="248" t="s">
        <v>348</v>
      </c>
      <c r="J10328" s="249" t="s">
        <v>97</v>
      </c>
      <c r="K10328" s="250">
        <v>39101.439303212566</v>
      </c>
      <c r="L10328" s="252"/>
    </row>
    <row r="10329" spans="1:12" x14ac:dyDescent="0.2">
      <c r="A10329" s="242">
        <v>2024</v>
      </c>
      <c r="B10329" s="242">
        <v>1</v>
      </c>
      <c r="C10329" s="242">
        <v>4</v>
      </c>
      <c r="D10329" s="270">
        <f t="shared" si="1352"/>
        <v>45295</v>
      </c>
      <c r="E10329" s="279">
        <f t="shared" si="1353"/>
        <v>45295</v>
      </c>
      <c r="F10329" s="478"/>
      <c r="G10329" s="243" t="s">
        <v>94</v>
      </c>
      <c r="H10329" s="243" t="str" cm="1">
        <f t="array" ref="H10329">IFERROR(INDEX(INVESTOR_LIST[INVESTOR NAME],MATCH(I10329,INVESTOR_LIST[INVESTOR CODE],0),)," ")</f>
        <v xml:space="preserve"> </v>
      </c>
      <c r="I10329" s="263" t="s">
        <v>348</v>
      </c>
      <c r="J10329" s="244" t="s">
        <v>47</v>
      </c>
      <c r="K10329" s="245"/>
      <c r="L10329" s="245">
        <v>39101.439303212566</v>
      </c>
    </row>
    <row r="10330" spans="1:12" x14ac:dyDescent="0.2">
      <c r="A10330" s="246">
        <v>2024</v>
      </c>
      <c r="B10330" s="238">
        <v>1</v>
      </c>
      <c r="C10330" s="238">
        <v>4</v>
      </c>
      <c r="D10330" s="270">
        <f t="shared" si="1352"/>
        <v>45295</v>
      </c>
      <c r="E10330" s="279">
        <f t="shared" si="1353"/>
        <v>45295</v>
      </c>
      <c r="F10330" s="482" t="s">
        <v>138</v>
      </c>
      <c r="G10330" s="247" t="s">
        <v>94</v>
      </c>
      <c r="H10330" s="247" t="str" cm="1">
        <f t="array" ref="H10330">IFERROR(INDEX(INVESTOR_LIST[INVESTOR NAME],MATCH(I10330,INVESTOR_LIST[INVESTOR CODE],0),)," ")</f>
        <v xml:space="preserve"> </v>
      </c>
      <c r="I10330" s="248" t="s">
        <v>348</v>
      </c>
      <c r="J10330" s="249" t="s">
        <v>100</v>
      </c>
      <c r="K10330" s="250">
        <v>1794.8155549042185</v>
      </c>
      <c r="L10330" s="252"/>
    </row>
    <row r="10331" spans="1:12" x14ac:dyDescent="0.2">
      <c r="A10331" s="242">
        <v>2024</v>
      </c>
      <c r="B10331" s="242">
        <v>1</v>
      </c>
      <c r="C10331" s="242">
        <v>4</v>
      </c>
      <c r="D10331" s="321">
        <f t="shared" si="1352"/>
        <v>45295</v>
      </c>
      <c r="E10331" s="322">
        <f t="shared" si="1353"/>
        <v>45295</v>
      </c>
      <c r="F10331" s="478"/>
      <c r="G10331" s="243" t="s">
        <v>94</v>
      </c>
      <c r="H10331" s="243" t="str" cm="1">
        <f t="array" ref="H10331">IFERROR(INDEX(INVESTOR_LIST[INVESTOR NAME],MATCH(I10331,INVESTOR_LIST[INVESTOR CODE],0),)," ")</f>
        <v xml:space="preserve"> </v>
      </c>
      <c r="I10331" s="263" t="s">
        <v>348</v>
      </c>
      <c r="J10331" s="244" t="s">
        <v>48</v>
      </c>
      <c r="K10331" s="245"/>
      <c r="L10331" s="245">
        <v>1794.8155549042185</v>
      </c>
    </row>
    <row r="10332" spans="1:12" x14ac:dyDescent="0.2">
      <c r="A10332" s="168">
        <v>2024</v>
      </c>
      <c r="B10332" s="168">
        <v>1</v>
      </c>
      <c r="C10332" s="168">
        <v>5</v>
      </c>
      <c r="D10332" s="141">
        <f t="shared" ref="D10332:D10334" si="1360">DATE(A10332,B10332,C10332)</f>
        <v>45296</v>
      </c>
      <c r="E10332" s="275">
        <f t="shared" ref="E10332:E10334" si="1361">DATE(A10332,B10332,C10332)</f>
        <v>45296</v>
      </c>
      <c r="F10332" s="479" t="s">
        <v>1319</v>
      </c>
      <c r="G10332" s="220" t="s">
        <v>74</v>
      </c>
      <c r="H10332" s="142" t="str" cm="1">
        <f t="array" ref="H10332">IFERROR(INDEX(INVESTOR_LIST[INVESTOR NAME],MATCH(I10332,INVESTOR_LIST[INVESTOR CODE],0),)," ")</f>
        <v xml:space="preserve"> </v>
      </c>
      <c r="I10332" s="142"/>
      <c r="J10332" s="168" t="s">
        <v>52</v>
      </c>
      <c r="K10332" s="226">
        <v>2500</v>
      </c>
      <c r="L10332" s="226"/>
    </row>
    <row r="10333" spans="1:12" x14ac:dyDescent="0.2">
      <c r="A10333" s="133">
        <v>2024</v>
      </c>
      <c r="B10333" s="133">
        <v>1</v>
      </c>
      <c r="C10333" s="133">
        <v>5</v>
      </c>
      <c r="D10333" s="141">
        <f t="shared" si="1360"/>
        <v>45296</v>
      </c>
      <c r="E10333" s="275">
        <f t="shared" si="1361"/>
        <v>45296</v>
      </c>
      <c r="F10333" s="481"/>
      <c r="G10333" s="174" t="s">
        <v>74</v>
      </c>
      <c r="H10333" s="148" t="str" cm="1">
        <f t="array" ref="H10333">IFERROR(INDEX(INVESTOR_LIST[INVESTOR NAME],MATCH(I10333,INVESTOR_LIST[INVESTOR CODE],0),)," ")</f>
        <v xml:space="preserve"> </v>
      </c>
      <c r="J10333" s="133" t="s">
        <v>13</v>
      </c>
      <c r="K10333" s="218"/>
      <c r="L10333" s="218">
        <v>2010</v>
      </c>
    </row>
    <row r="10334" spans="1:12" x14ac:dyDescent="0.2">
      <c r="A10334" s="163">
        <v>2024</v>
      </c>
      <c r="B10334" s="163">
        <v>1</v>
      </c>
      <c r="C10334" s="163">
        <v>5</v>
      </c>
      <c r="D10334" s="280">
        <f t="shared" si="1360"/>
        <v>45296</v>
      </c>
      <c r="E10334" s="281">
        <f t="shared" si="1361"/>
        <v>45296</v>
      </c>
      <c r="F10334" s="480"/>
      <c r="G10334" s="221" t="s">
        <v>74</v>
      </c>
      <c r="H10334" s="145" t="str" cm="1">
        <f t="array" ref="H10334">IFERROR(INDEX(INVESTOR_LIST[INVESTOR NAME],MATCH(I10334,INVESTOR_LIST[INVESTOR CODE],0),)," ")</f>
        <v xml:space="preserve"> </v>
      </c>
      <c r="I10334" s="145"/>
      <c r="J10334" s="163" t="s">
        <v>53</v>
      </c>
      <c r="K10334" s="219"/>
      <c r="L10334" s="219">
        <v>490</v>
      </c>
    </row>
    <row r="10335" spans="1:12" x14ac:dyDescent="0.2">
      <c r="A10335" s="168">
        <v>2024</v>
      </c>
      <c r="B10335" s="168">
        <v>1</v>
      </c>
      <c r="C10335" s="168">
        <v>8</v>
      </c>
      <c r="D10335" s="141">
        <f t="shared" si="1352"/>
        <v>45299</v>
      </c>
      <c r="E10335" s="275">
        <f t="shared" si="1353"/>
        <v>45299</v>
      </c>
      <c r="F10335" s="479" t="s">
        <v>1319</v>
      </c>
      <c r="G10335" s="220" t="s">
        <v>74</v>
      </c>
      <c r="H10335" s="142" t="str" cm="1">
        <f t="array" ref="H10335">IFERROR(INDEX(INVESTOR_LIST[INVESTOR NAME],MATCH(I10335,INVESTOR_LIST[INVESTOR CODE],0),)," ")</f>
        <v xml:space="preserve"> </v>
      </c>
      <c r="I10335" s="142"/>
      <c r="J10335" s="168" t="s">
        <v>52</v>
      </c>
      <c r="K10335" s="226">
        <v>78000</v>
      </c>
      <c r="L10335" s="226"/>
    </row>
    <row r="10336" spans="1:12" x14ac:dyDescent="0.2">
      <c r="A10336" s="133">
        <v>2024</v>
      </c>
      <c r="B10336" s="133">
        <v>1</v>
      </c>
      <c r="C10336" s="133">
        <v>8</v>
      </c>
      <c r="D10336" s="141">
        <f t="shared" si="1352"/>
        <v>45299</v>
      </c>
      <c r="E10336" s="275">
        <f t="shared" si="1353"/>
        <v>45299</v>
      </c>
      <c r="F10336" s="481"/>
      <c r="G10336" s="174" t="s">
        <v>74</v>
      </c>
      <c r="H10336" s="148" t="str" cm="1">
        <f t="array" ref="H10336">IFERROR(INDEX(INVESTOR_LIST[INVESTOR NAME],MATCH(I10336,INVESTOR_LIST[INVESTOR CODE],0),)," ")</f>
        <v xml:space="preserve"> </v>
      </c>
      <c r="J10336" s="133" t="s">
        <v>13</v>
      </c>
      <c r="K10336" s="218"/>
      <c r="L10336" s="218">
        <v>62720</v>
      </c>
    </row>
    <row r="10337" spans="1:14" x14ac:dyDescent="0.2">
      <c r="A10337" s="163">
        <v>2024</v>
      </c>
      <c r="B10337" s="163">
        <v>1</v>
      </c>
      <c r="C10337" s="163">
        <v>8</v>
      </c>
      <c r="D10337" s="280">
        <f t="shared" si="1352"/>
        <v>45299</v>
      </c>
      <c r="E10337" s="281">
        <f t="shared" si="1353"/>
        <v>45299</v>
      </c>
      <c r="F10337" s="480"/>
      <c r="G10337" s="221" t="s">
        <v>74</v>
      </c>
      <c r="H10337" s="145" t="str" cm="1">
        <f t="array" ref="H10337">IFERROR(INDEX(INVESTOR_LIST[INVESTOR NAME],MATCH(I10337,INVESTOR_LIST[INVESTOR CODE],0),)," ")</f>
        <v xml:space="preserve"> </v>
      </c>
      <c r="I10337" s="145"/>
      <c r="J10337" s="163" t="s">
        <v>53</v>
      </c>
      <c r="K10337" s="219"/>
      <c r="L10337" s="219">
        <v>15280</v>
      </c>
    </row>
    <row r="10338" spans="1:14" x14ac:dyDescent="0.2">
      <c r="A10338" s="133">
        <v>2024</v>
      </c>
      <c r="B10338" s="168">
        <v>1</v>
      </c>
      <c r="C10338" s="168">
        <v>8</v>
      </c>
      <c r="D10338" s="141">
        <f t="shared" si="1352"/>
        <v>45299</v>
      </c>
      <c r="E10338" s="275">
        <f t="shared" si="1353"/>
        <v>45299</v>
      </c>
      <c r="F10338" s="481" t="s">
        <v>1885</v>
      </c>
      <c r="G10338" s="174" t="s">
        <v>94</v>
      </c>
      <c r="H10338" s="174" t="str" cm="1">
        <f t="array" ref="H10338">IFERROR(INDEX(INVESTOR_LIST[INVESTOR NAME],MATCH(I10338,INVESTOR_LIST[INVESTOR CODE],0),)," ")</f>
        <v xml:space="preserve"> </v>
      </c>
      <c r="I10338" s="148" t="s">
        <v>348</v>
      </c>
      <c r="J10338" s="149" t="s">
        <v>52</v>
      </c>
      <c r="K10338" s="218">
        <v>52468.75</v>
      </c>
      <c r="L10338" s="218"/>
    </row>
    <row r="10339" spans="1:14" x14ac:dyDescent="0.2">
      <c r="A10339" s="163">
        <v>2024</v>
      </c>
      <c r="B10339" s="163">
        <v>1</v>
      </c>
      <c r="C10339" s="163">
        <v>8</v>
      </c>
      <c r="D10339" s="141">
        <f t="shared" si="1352"/>
        <v>45299</v>
      </c>
      <c r="E10339" s="275">
        <f t="shared" si="1353"/>
        <v>45299</v>
      </c>
      <c r="F10339" s="480"/>
      <c r="G10339" s="221" t="s">
        <v>94</v>
      </c>
      <c r="H10339" s="221" t="str" cm="1">
        <f t="array" ref="H10339">IFERROR(INDEX(INVESTOR_LIST[INVESTOR NAME],MATCH(I10339,INVESTOR_LIST[INVESTOR CODE],0),)," ")</f>
        <v xml:space="preserve"> </v>
      </c>
      <c r="I10339" s="145" t="s">
        <v>348</v>
      </c>
      <c r="J10339" s="146" t="s">
        <v>168</v>
      </c>
      <c r="K10339" s="219"/>
      <c r="L10339" s="219">
        <v>52468.75</v>
      </c>
    </row>
    <row r="10340" spans="1:14" x14ac:dyDescent="0.2">
      <c r="A10340" s="133">
        <v>2024</v>
      </c>
      <c r="B10340" s="133">
        <v>1</v>
      </c>
      <c r="C10340" s="133">
        <v>8</v>
      </c>
      <c r="D10340" s="141">
        <f t="shared" ref="D10340:D10343" si="1362">DATE(A10340,B10340,C10340)</f>
        <v>45299</v>
      </c>
      <c r="E10340" s="275">
        <f t="shared" ref="E10340:E10343" si="1363">DATE(A10340,B10340,C10340)</f>
        <v>45299</v>
      </c>
      <c r="F10340" s="481" t="s">
        <v>1753</v>
      </c>
      <c r="G10340" s="174" t="s">
        <v>94</v>
      </c>
      <c r="H10340" s="174" t="str" cm="1">
        <f t="array" ref="H10340">IFERROR(INDEX(INVESTOR_LIST[INVESTOR NAME],MATCH(I10340,INVESTOR_LIST[INVESTOR CODE],0),)," ")</f>
        <v xml:space="preserve"> </v>
      </c>
      <c r="J10340" s="149" t="s">
        <v>190</v>
      </c>
      <c r="K10340" s="218">
        <v>1466755.09</v>
      </c>
      <c r="L10340" s="218"/>
      <c r="M10340" s="160"/>
    </row>
    <row r="10341" spans="1:14" x14ac:dyDescent="0.2">
      <c r="A10341" s="133">
        <v>2024</v>
      </c>
      <c r="B10341" s="133">
        <v>1</v>
      </c>
      <c r="C10341" s="133">
        <v>8</v>
      </c>
      <c r="D10341" s="141">
        <f t="shared" si="1362"/>
        <v>45299</v>
      </c>
      <c r="E10341" s="275">
        <f t="shared" si="1363"/>
        <v>45299</v>
      </c>
      <c r="F10341" s="481"/>
      <c r="G10341" s="174" t="s">
        <v>94</v>
      </c>
      <c r="H10341" s="174"/>
      <c r="J10341" s="149" t="s">
        <v>80</v>
      </c>
      <c r="K10341" s="218">
        <v>2644.91</v>
      </c>
      <c r="L10341" s="218"/>
      <c r="N10341" s="264"/>
    </row>
    <row r="10342" spans="1:14" x14ac:dyDescent="0.2">
      <c r="A10342" s="133">
        <v>2024</v>
      </c>
      <c r="B10342" s="133">
        <v>1</v>
      </c>
      <c r="C10342" s="133">
        <v>8</v>
      </c>
      <c r="D10342" s="141">
        <f t="shared" si="1362"/>
        <v>45299</v>
      </c>
      <c r="E10342" s="275">
        <f t="shared" si="1363"/>
        <v>45299</v>
      </c>
      <c r="F10342" s="481"/>
      <c r="G10342" s="174" t="s">
        <v>94</v>
      </c>
      <c r="H10342" s="174" t="str" cm="1">
        <f t="array" ref="H10342">IFERROR(INDEX(INVESTOR_LIST[INVESTOR NAME],MATCH(I10342,INVESTOR_LIST[INVESTOR CODE],0),)," ")</f>
        <v xml:space="preserve"> </v>
      </c>
      <c r="J10342" s="149" t="s">
        <v>191</v>
      </c>
      <c r="K10342" s="218"/>
      <c r="L10342" s="218">
        <v>91016.14</v>
      </c>
      <c r="N10342" s="264"/>
    </row>
    <row r="10343" spans="1:14" x14ac:dyDescent="0.2">
      <c r="A10343" s="163">
        <v>2024</v>
      </c>
      <c r="B10343" s="163">
        <v>1</v>
      </c>
      <c r="C10343" s="163">
        <v>8</v>
      </c>
      <c r="D10343" s="280">
        <f t="shared" si="1362"/>
        <v>45299</v>
      </c>
      <c r="E10343" s="281">
        <f t="shared" si="1363"/>
        <v>45299</v>
      </c>
      <c r="F10343" s="480"/>
      <c r="G10343" s="221" t="s">
        <v>94</v>
      </c>
      <c r="H10343" s="145" t="str" cm="1">
        <f t="array" ref="H10343">IFERROR(INDEX(INVESTOR_LIST[INVESTOR NAME],MATCH(I10343,INVESTOR_LIST[INVESTOR CODE],0),)," ")</f>
        <v xml:space="preserve"> </v>
      </c>
      <c r="I10343" s="145"/>
      <c r="J10343" s="163" t="s">
        <v>79</v>
      </c>
      <c r="K10343" s="219"/>
      <c r="L10343" s="219">
        <v>1378383.86</v>
      </c>
      <c r="N10343" s="264"/>
    </row>
    <row r="10344" spans="1:14" x14ac:dyDescent="0.2">
      <c r="A10344" s="133">
        <v>2024</v>
      </c>
      <c r="B10344" s="168">
        <v>1</v>
      </c>
      <c r="C10344" s="168">
        <v>9</v>
      </c>
      <c r="D10344" s="141">
        <f t="shared" si="1352"/>
        <v>45300</v>
      </c>
      <c r="E10344" s="275">
        <f t="shared" si="1353"/>
        <v>45300</v>
      </c>
      <c r="F10344" s="481" t="s">
        <v>1886</v>
      </c>
      <c r="G10344" s="174" t="s">
        <v>94</v>
      </c>
      <c r="H10344" s="174" t="str" cm="1">
        <f t="array" ref="H10344">IFERROR(INDEX(INVESTOR_LIST[INVESTOR NAME],MATCH(I10344,INVESTOR_LIST[INVESTOR CODE],0),)," ")</f>
        <v xml:space="preserve"> </v>
      </c>
      <c r="I10344" s="148" t="s">
        <v>348</v>
      </c>
      <c r="J10344" s="149" t="s">
        <v>52</v>
      </c>
      <c r="K10344" s="218">
        <v>157500</v>
      </c>
      <c r="L10344" s="218"/>
    </row>
    <row r="10345" spans="1:14" x14ac:dyDescent="0.2">
      <c r="A10345" s="163">
        <v>2024</v>
      </c>
      <c r="B10345" s="163">
        <v>1</v>
      </c>
      <c r="C10345" s="163">
        <v>9</v>
      </c>
      <c r="D10345" s="141">
        <f t="shared" si="1352"/>
        <v>45300</v>
      </c>
      <c r="E10345" s="275">
        <f t="shared" si="1353"/>
        <v>45300</v>
      </c>
      <c r="F10345" s="480"/>
      <c r="G10345" s="221" t="s">
        <v>94</v>
      </c>
      <c r="H10345" s="221" t="str" cm="1">
        <f t="array" ref="H10345">IFERROR(INDEX(INVESTOR_LIST[INVESTOR NAME],MATCH(I10345,INVESTOR_LIST[INVESTOR CODE],0),)," ")</f>
        <v xml:space="preserve"> </v>
      </c>
      <c r="I10345" s="145" t="s">
        <v>348</v>
      </c>
      <c r="J10345" s="146" t="s">
        <v>168</v>
      </c>
      <c r="K10345" s="219"/>
      <c r="L10345" s="219">
        <v>157500</v>
      </c>
    </row>
    <row r="10346" spans="1:14" x14ac:dyDescent="0.2">
      <c r="A10346" s="168">
        <v>2024</v>
      </c>
      <c r="B10346" s="168">
        <v>1</v>
      </c>
      <c r="C10346" s="168">
        <v>9</v>
      </c>
      <c r="D10346" s="141">
        <f t="shared" si="1352"/>
        <v>45300</v>
      </c>
      <c r="E10346" s="275">
        <f t="shared" si="1353"/>
        <v>45300</v>
      </c>
      <c r="F10346" s="479" t="s">
        <v>1757</v>
      </c>
      <c r="G10346" s="220" t="s">
        <v>74</v>
      </c>
      <c r="H10346" s="220" t="str" cm="1">
        <f t="array" ref="H10346">IFERROR(INDEX(INVESTOR_LIST[INVESTOR NAME],MATCH(I10346,INVESTOR_LIST[INVESTOR CODE],0),)," ")</f>
        <v xml:space="preserve"> </v>
      </c>
      <c r="I10346" s="142"/>
      <c r="J10346" s="143" t="s">
        <v>52</v>
      </c>
      <c r="K10346" s="226">
        <v>2014914.02</v>
      </c>
      <c r="L10346" s="226"/>
    </row>
    <row r="10347" spans="1:14" ht="10.5" customHeight="1" x14ac:dyDescent="0.2">
      <c r="A10347" s="163">
        <v>2024</v>
      </c>
      <c r="B10347" s="163">
        <v>1</v>
      </c>
      <c r="C10347" s="163">
        <v>9</v>
      </c>
      <c r="D10347" s="280">
        <f>DATE(A10347,B10347,C10347)</f>
        <v>45300</v>
      </c>
      <c r="E10347" s="281">
        <f>DATE(A10347,B10347,C10347)</f>
        <v>45300</v>
      </c>
      <c r="F10347" s="480"/>
      <c r="G10347" s="221" t="s">
        <v>74</v>
      </c>
      <c r="H10347" s="221" t="str" cm="1">
        <f t="array" ref="H10347">IFERROR(INDEX(INVESTOR_LIST[INVESTOR NAME],MATCH(I10347,INVESTOR_LIST[INVESTOR CODE],0),)," ")</f>
        <v xml:space="preserve"> </v>
      </c>
      <c r="I10347" s="145"/>
      <c r="J10347" s="146" t="s">
        <v>190</v>
      </c>
      <c r="K10347" s="219"/>
      <c r="L10347" s="219">
        <v>2014914.02</v>
      </c>
    </row>
    <row r="10348" spans="1:14" x14ac:dyDescent="0.2">
      <c r="A10348" s="168">
        <v>2024</v>
      </c>
      <c r="B10348" s="168">
        <v>1</v>
      </c>
      <c r="C10348" s="168">
        <v>9</v>
      </c>
      <c r="D10348" s="141">
        <f t="shared" ref="D10348" si="1364">DATE(A10348,B10348,C10348)</f>
        <v>45300</v>
      </c>
      <c r="E10348" s="275">
        <f t="shared" ref="E10348" si="1365">DATE(A10348,B10348,C10348)</f>
        <v>45300</v>
      </c>
      <c r="F10348" s="479" t="s">
        <v>1757</v>
      </c>
      <c r="G10348" s="220" t="s">
        <v>74</v>
      </c>
      <c r="H10348" s="220" t="str" cm="1">
        <f t="array" ref="H10348">IFERROR(INDEX(INVESTOR_LIST[INVESTOR NAME],MATCH(I10348,INVESTOR_LIST[INVESTOR CODE],0),)," ")</f>
        <v xml:space="preserve"> </v>
      </c>
      <c r="I10348" s="142"/>
      <c r="J10348" s="143" t="s">
        <v>52</v>
      </c>
      <c r="K10348" s="226">
        <v>1231179.8700000001</v>
      </c>
      <c r="L10348" s="226"/>
    </row>
    <row r="10349" spans="1:14" ht="10.5" customHeight="1" x14ac:dyDescent="0.2">
      <c r="A10349" s="163">
        <v>2024</v>
      </c>
      <c r="B10349" s="163">
        <v>1</v>
      </c>
      <c r="C10349" s="163">
        <v>9</v>
      </c>
      <c r="D10349" s="280">
        <f>DATE(A10349,B10349,C10349)</f>
        <v>45300</v>
      </c>
      <c r="E10349" s="281">
        <f>DATE(A10349,B10349,C10349)</f>
        <v>45300</v>
      </c>
      <c r="F10349" s="480"/>
      <c r="G10349" s="221" t="s">
        <v>74</v>
      </c>
      <c r="H10349" s="221" t="str" cm="1">
        <f t="array" ref="H10349">IFERROR(INDEX(INVESTOR_LIST[INVESTOR NAME],MATCH(I10349,INVESTOR_LIST[INVESTOR CODE],0),)," ")</f>
        <v xml:space="preserve"> </v>
      </c>
      <c r="I10349" s="145"/>
      <c r="J10349" s="146" t="s">
        <v>190</v>
      </c>
      <c r="K10349" s="219"/>
      <c r="L10349" s="219">
        <v>1231179.8700000001</v>
      </c>
    </row>
    <row r="10350" spans="1:14" ht="33.75" x14ac:dyDescent="0.2">
      <c r="A10350" s="168">
        <v>2024</v>
      </c>
      <c r="B10350" s="168">
        <v>1</v>
      </c>
      <c r="C10350" s="168">
        <v>9</v>
      </c>
      <c r="D10350" s="141">
        <f t="shared" ref="D10350:D10352" si="1366">DATE(A10350,B10350,C10350)</f>
        <v>45300</v>
      </c>
      <c r="E10350" s="275">
        <f t="shared" ref="E10350:E10352" si="1367">DATE(A10350,B10350,C10350)</f>
        <v>45300</v>
      </c>
      <c r="F10350" s="479" t="s">
        <v>966</v>
      </c>
      <c r="G10350" s="220" t="s">
        <v>94</v>
      </c>
      <c r="H10350" s="220" t="str" cm="1">
        <f t="array" ref="H10350">IFERROR(INDEX(INVESTOR_LIST[INVESTOR NAME],MATCH(I10350,INVESTOR_LIST[INVESTOR CODE],0),)," ")</f>
        <v>UNMESH RAY HIMEL</v>
      </c>
      <c r="I10350" s="142" t="s">
        <v>905</v>
      </c>
      <c r="J10350" s="310" t="s">
        <v>358</v>
      </c>
      <c r="K10350" s="226">
        <v>20.25</v>
      </c>
      <c r="L10350" s="226"/>
    </row>
    <row r="10351" spans="1:14" ht="33.75" x14ac:dyDescent="0.2">
      <c r="A10351" s="133">
        <v>2024</v>
      </c>
      <c r="B10351" s="133">
        <v>1</v>
      </c>
      <c r="C10351" s="133">
        <v>9</v>
      </c>
      <c r="D10351" s="147">
        <f t="shared" si="1366"/>
        <v>45300</v>
      </c>
      <c r="E10351" s="311">
        <f t="shared" si="1367"/>
        <v>45300</v>
      </c>
      <c r="F10351" s="481"/>
      <c r="G10351" s="174" t="s">
        <v>94</v>
      </c>
      <c r="H10351" s="174" t="str" cm="1">
        <f t="array" ref="H10351">IFERROR(INDEX(INVESTOR_LIST[INVESTOR NAME],MATCH(I10351,INVESTOR_LIST[INVESTOR CODE],0),)," ")</f>
        <v>UNMESH RAY HIMEL</v>
      </c>
      <c r="I10351" s="148" t="s">
        <v>905</v>
      </c>
      <c r="J10351" s="312" t="s">
        <v>13</v>
      </c>
      <c r="K10351" s="218"/>
      <c r="L10351" s="218">
        <v>20</v>
      </c>
    </row>
    <row r="10352" spans="1:14" ht="33.75" x14ac:dyDescent="0.2">
      <c r="A10352" s="133">
        <v>2024</v>
      </c>
      <c r="B10352" s="163">
        <v>1</v>
      </c>
      <c r="C10352" s="163">
        <v>9</v>
      </c>
      <c r="D10352" s="147">
        <f t="shared" si="1366"/>
        <v>45300</v>
      </c>
      <c r="E10352" s="311">
        <f t="shared" si="1367"/>
        <v>45300</v>
      </c>
      <c r="F10352" s="481"/>
      <c r="G10352" s="174" t="s">
        <v>94</v>
      </c>
      <c r="H10352" s="174" t="str" cm="1">
        <f t="array" ref="H10352">IFERROR(INDEX(INVESTOR_LIST[INVESTOR NAME],MATCH(I10352,INVESTOR_LIST[INVESTOR CODE],0),)," ")</f>
        <v>UNMESH RAY HIMEL</v>
      </c>
      <c r="I10352" s="148" t="s">
        <v>905</v>
      </c>
      <c r="J10352" s="312" t="s">
        <v>53</v>
      </c>
      <c r="K10352" s="219"/>
      <c r="L10352" s="218">
        <v>0.25</v>
      </c>
    </row>
    <row r="10353" spans="1:14" ht="11.25" customHeight="1" x14ac:dyDescent="0.2">
      <c r="A10353" s="168">
        <v>2024</v>
      </c>
      <c r="B10353" s="168">
        <v>1</v>
      </c>
      <c r="C10353" s="168">
        <v>9</v>
      </c>
      <c r="D10353" s="141">
        <f t="shared" ref="D10353:D10355" si="1368">DATE(A10353,B10353,C10353)</f>
        <v>45300</v>
      </c>
      <c r="E10353" s="275">
        <f t="shared" ref="E10353:E10355" si="1369">DATE(A10353,B10353,C10353)</f>
        <v>45300</v>
      </c>
      <c r="F10353" s="479" t="s">
        <v>1310</v>
      </c>
      <c r="G10353" s="220" t="s">
        <v>74</v>
      </c>
      <c r="H10353" s="142" t="str" cm="1">
        <f t="array" ref="H10353">IFERROR(INDEX(INVESTOR_LIST[INVESTOR NAME],MATCH(I10353,INVESTOR_LIST[INVESTOR CODE],0),)," ")</f>
        <v>UNMESH RAY HIMEL</v>
      </c>
      <c r="I10353" s="142" t="s">
        <v>905</v>
      </c>
      <c r="J10353" s="168" t="s">
        <v>13</v>
      </c>
      <c r="K10353" s="218">
        <v>1630</v>
      </c>
      <c r="L10353" s="226"/>
    </row>
    <row r="10354" spans="1:14" ht="11.25" customHeight="1" x14ac:dyDescent="0.2">
      <c r="A10354" s="133">
        <v>2024</v>
      </c>
      <c r="B10354" s="133">
        <v>1</v>
      </c>
      <c r="C10354" s="133">
        <v>9</v>
      </c>
      <c r="D10354" s="141">
        <f t="shared" si="1368"/>
        <v>45300</v>
      </c>
      <c r="E10354" s="275">
        <f t="shared" si="1369"/>
        <v>45300</v>
      </c>
      <c r="F10354" s="481"/>
      <c r="G10354" s="174" t="s">
        <v>74</v>
      </c>
      <c r="H10354" s="148" t="str" cm="1">
        <f t="array" ref="H10354">IFERROR(INDEX(INVESTOR_LIST[INVESTOR NAME],MATCH(I10354,INVESTOR_LIST[INVESTOR CODE],0),)," ")</f>
        <v>UNMESH RAY HIMEL</v>
      </c>
      <c r="I10354" s="148" t="s">
        <v>905</v>
      </c>
      <c r="J10354" s="133" t="s">
        <v>53</v>
      </c>
      <c r="K10354" s="218">
        <v>377.48</v>
      </c>
      <c r="L10354" s="133"/>
    </row>
    <row r="10355" spans="1:14" ht="11.25" customHeight="1" x14ac:dyDescent="0.2">
      <c r="A10355" s="163">
        <v>2024</v>
      </c>
      <c r="B10355" s="163">
        <v>1</v>
      </c>
      <c r="C10355" s="163">
        <v>9</v>
      </c>
      <c r="D10355" s="280">
        <f t="shared" si="1368"/>
        <v>45300</v>
      </c>
      <c r="E10355" s="281">
        <f t="shared" si="1369"/>
        <v>45300</v>
      </c>
      <c r="F10355" s="480"/>
      <c r="G10355" s="221" t="s">
        <v>74</v>
      </c>
      <c r="H10355" s="145" t="str" cm="1">
        <f t="array" ref="H10355">IFERROR(INDEX(INVESTOR_LIST[INVESTOR NAME],MATCH(I10355,INVESTOR_LIST[INVESTOR CODE],0),)," ")</f>
        <v>UNMESH RAY HIMEL</v>
      </c>
      <c r="I10355" s="145" t="s">
        <v>905</v>
      </c>
      <c r="J10355" s="163" t="s">
        <v>52</v>
      </c>
      <c r="K10355" s="219"/>
      <c r="L10355" s="219">
        <v>2007.48</v>
      </c>
    </row>
    <row r="10356" spans="1:14" x14ac:dyDescent="0.2">
      <c r="A10356" s="168">
        <v>2024</v>
      </c>
      <c r="B10356" s="168">
        <v>1</v>
      </c>
      <c r="C10356" s="168">
        <v>10</v>
      </c>
      <c r="D10356" s="141">
        <f t="shared" ref="D10356" si="1370">DATE(A10356,B10356,C10356)</f>
        <v>45301</v>
      </c>
      <c r="E10356" s="275">
        <f t="shared" ref="E10356" si="1371">DATE(A10356,B10356,C10356)</f>
        <v>45301</v>
      </c>
      <c r="F10356" s="479" t="s">
        <v>1757</v>
      </c>
      <c r="G10356" s="220" t="s">
        <v>74</v>
      </c>
      <c r="H10356" s="220" t="str" cm="1">
        <f t="array" ref="H10356">IFERROR(INDEX(INVESTOR_LIST[INVESTOR NAME],MATCH(I10356,INVESTOR_LIST[INVESTOR CODE],0),)," ")</f>
        <v xml:space="preserve"> </v>
      </c>
      <c r="I10356" s="142"/>
      <c r="J10356" s="143" t="s">
        <v>52</v>
      </c>
      <c r="K10356" s="226">
        <v>1466755.09</v>
      </c>
      <c r="L10356" s="226"/>
    </row>
    <row r="10357" spans="1:14" ht="10.5" customHeight="1" x14ac:dyDescent="0.2">
      <c r="A10357" s="163">
        <v>2024</v>
      </c>
      <c r="B10357" s="163">
        <v>1</v>
      </c>
      <c r="C10357" s="163">
        <v>10</v>
      </c>
      <c r="D10357" s="280">
        <f>DATE(A10357,B10357,C10357)</f>
        <v>45301</v>
      </c>
      <c r="E10357" s="281">
        <f>DATE(A10357,B10357,C10357)</f>
        <v>45301</v>
      </c>
      <c r="F10357" s="480"/>
      <c r="G10357" s="221" t="s">
        <v>74</v>
      </c>
      <c r="H10357" s="221" t="str" cm="1">
        <f t="array" ref="H10357">IFERROR(INDEX(INVESTOR_LIST[INVESTOR NAME],MATCH(I10357,INVESTOR_LIST[INVESTOR CODE],0),)," ")</f>
        <v xml:space="preserve"> </v>
      </c>
      <c r="I10357" s="145"/>
      <c r="J10357" s="146" t="s">
        <v>190</v>
      </c>
      <c r="K10357" s="219"/>
      <c r="L10357" s="219">
        <v>1466755.09</v>
      </c>
    </row>
    <row r="10358" spans="1:14" x14ac:dyDescent="0.2">
      <c r="A10358" s="133">
        <v>2024</v>
      </c>
      <c r="B10358" s="133">
        <v>1</v>
      </c>
      <c r="C10358" s="133">
        <v>10</v>
      </c>
      <c r="D10358" s="141">
        <f t="shared" ref="D10358:D10378" si="1372">DATE(A10358,B10358,C10358)</f>
        <v>45301</v>
      </c>
      <c r="E10358" s="275">
        <f t="shared" ref="E10358:E10378" si="1373">DATE(A10358,B10358,C10358)</f>
        <v>45301</v>
      </c>
      <c r="F10358" s="481" t="s">
        <v>1753</v>
      </c>
      <c r="G10358" s="174" t="s">
        <v>94</v>
      </c>
      <c r="H10358" s="174" t="str" cm="1">
        <f t="array" ref="H10358">IFERROR(INDEX(INVESTOR_LIST[INVESTOR NAME],MATCH(I10358,INVESTOR_LIST[INVESTOR CODE],0),)," ")</f>
        <v xml:space="preserve"> </v>
      </c>
      <c r="J10358" s="149" t="s">
        <v>190</v>
      </c>
      <c r="K10358" s="218">
        <v>701534.96</v>
      </c>
      <c r="L10358" s="218"/>
      <c r="M10358" s="160"/>
    </row>
    <row r="10359" spans="1:14" x14ac:dyDescent="0.2">
      <c r="A10359" s="133">
        <v>2024</v>
      </c>
      <c r="B10359" s="133">
        <v>1</v>
      </c>
      <c r="C10359" s="133">
        <v>10</v>
      </c>
      <c r="D10359" s="141">
        <f t="shared" si="1372"/>
        <v>45301</v>
      </c>
      <c r="E10359" s="275">
        <f t="shared" si="1373"/>
        <v>45301</v>
      </c>
      <c r="F10359" s="481"/>
      <c r="G10359" s="174" t="s">
        <v>94</v>
      </c>
      <c r="H10359" s="174"/>
      <c r="J10359" s="149" t="s">
        <v>80</v>
      </c>
      <c r="K10359" s="218">
        <v>1265.04</v>
      </c>
      <c r="L10359" s="218"/>
      <c r="N10359" s="264"/>
    </row>
    <row r="10360" spans="1:14" x14ac:dyDescent="0.2">
      <c r="A10360" s="133">
        <v>2024</v>
      </c>
      <c r="B10360" s="133">
        <v>1</v>
      </c>
      <c r="C10360" s="133">
        <v>10</v>
      </c>
      <c r="D10360" s="141">
        <f t="shared" si="1372"/>
        <v>45301</v>
      </c>
      <c r="E10360" s="275">
        <f t="shared" si="1373"/>
        <v>45301</v>
      </c>
      <c r="F10360" s="481"/>
      <c r="G10360" s="174" t="s">
        <v>94</v>
      </c>
      <c r="H10360" s="174" t="str" cm="1">
        <f t="array" ref="H10360">IFERROR(INDEX(INVESTOR_LIST[INVESTOR NAME],MATCH(I10360,INVESTOR_LIST[INVESTOR CODE],0),)," ")</f>
        <v xml:space="preserve"> </v>
      </c>
      <c r="J10360" s="149" t="s">
        <v>191</v>
      </c>
      <c r="K10360" s="218"/>
      <c r="L10360" s="218">
        <v>47541.120000000003</v>
      </c>
      <c r="N10360" s="264"/>
    </row>
    <row r="10361" spans="1:14" x14ac:dyDescent="0.2">
      <c r="A10361" s="163">
        <v>2024</v>
      </c>
      <c r="B10361" s="163">
        <v>1</v>
      </c>
      <c r="C10361" s="163">
        <v>10</v>
      </c>
      <c r="D10361" s="280">
        <f t="shared" si="1372"/>
        <v>45301</v>
      </c>
      <c r="E10361" s="281">
        <f t="shared" si="1373"/>
        <v>45301</v>
      </c>
      <c r="F10361" s="480"/>
      <c r="G10361" s="221" t="s">
        <v>94</v>
      </c>
      <c r="H10361" s="145" t="str" cm="1">
        <f t="array" ref="H10361">IFERROR(INDEX(INVESTOR_LIST[INVESTOR NAME],MATCH(I10361,INVESTOR_LIST[INVESTOR CODE],0),)," ")</f>
        <v xml:space="preserve"> </v>
      </c>
      <c r="I10361" s="145"/>
      <c r="J10361" s="163" t="s">
        <v>79</v>
      </c>
      <c r="K10361" s="219"/>
      <c r="L10361" s="219">
        <v>655258.88</v>
      </c>
      <c r="N10361" s="264"/>
    </row>
    <row r="10362" spans="1:14" ht="11.25" customHeight="1" x14ac:dyDescent="0.2">
      <c r="A10362" s="168">
        <v>2024</v>
      </c>
      <c r="B10362" s="168">
        <v>1</v>
      </c>
      <c r="C10362" s="168">
        <v>11</v>
      </c>
      <c r="D10362" s="141">
        <f t="shared" si="1372"/>
        <v>45302</v>
      </c>
      <c r="E10362" s="275">
        <f t="shared" si="1373"/>
        <v>45302</v>
      </c>
      <c r="F10362" s="479" t="s">
        <v>1310</v>
      </c>
      <c r="G10362" s="220" t="s">
        <v>74</v>
      </c>
      <c r="H10362" s="142" t="str" cm="1">
        <f t="array" ref="H10362">IFERROR(INDEX(INVESTOR_LIST[INVESTOR NAME],MATCH(I10362,INVESTOR_LIST[INVESTOR CODE],0),)," ")</f>
        <v>MD. MARUF SIKDER</v>
      </c>
      <c r="I10362" s="142" t="s">
        <v>807</v>
      </c>
      <c r="J10362" s="168" t="s">
        <v>13</v>
      </c>
      <c r="K10362" s="218">
        <v>96480</v>
      </c>
      <c r="L10362" s="226"/>
    </row>
    <row r="10363" spans="1:14" ht="11.25" customHeight="1" x14ac:dyDescent="0.2">
      <c r="A10363" s="133">
        <v>2024</v>
      </c>
      <c r="B10363" s="133">
        <v>1</v>
      </c>
      <c r="C10363" s="133">
        <v>11</v>
      </c>
      <c r="D10363" s="141">
        <f t="shared" si="1372"/>
        <v>45302</v>
      </c>
      <c r="E10363" s="275">
        <f t="shared" si="1373"/>
        <v>45302</v>
      </c>
      <c r="F10363" s="481"/>
      <c r="G10363" s="174" t="s">
        <v>74</v>
      </c>
      <c r="H10363" s="148" t="str" cm="1">
        <f t="array" ref="H10363">IFERROR(INDEX(INVESTOR_LIST[INVESTOR NAME],MATCH(I10363,INVESTOR_LIST[INVESTOR CODE],0),)," ")</f>
        <v>MD. MARUF SIKDER</v>
      </c>
      <c r="I10363" s="148" t="s">
        <v>807</v>
      </c>
      <c r="J10363" s="133" t="s">
        <v>53</v>
      </c>
      <c r="K10363" s="218">
        <v>23520</v>
      </c>
      <c r="L10363" s="133"/>
    </row>
    <row r="10364" spans="1:14" ht="11.25" customHeight="1" x14ac:dyDescent="0.2">
      <c r="A10364" s="163">
        <v>2024</v>
      </c>
      <c r="B10364" s="163">
        <v>1</v>
      </c>
      <c r="C10364" s="163">
        <v>11</v>
      </c>
      <c r="D10364" s="280">
        <f t="shared" si="1372"/>
        <v>45302</v>
      </c>
      <c r="E10364" s="281">
        <f t="shared" si="1373"/>
        <v>45302</v>
      </c>
      <c r="F10364" s="480"/>
      <c r="G10364" s="221" t="s">
        <v>74</v>
      </c>
      <c r="H10364" s="145" t="str" cm="1">
        <f t="array" ref="H10364">IFERROR(INDEX(INVESTOR_LIST[INVESTOR NAME],MATCH(I10364,INVESTOR_LIST[INVESTOR CODE],0),)," ")</f>
        <v>MD. MARUF SIKDER</v>
      </c>
      <c r="I10364" s="145" t="s">
        <v>807</v>
      </c>
      <c r="J10364" s="163" t="s">
        <v>52</v>
      </c>
      <c r="K10364" s="219"/>
      <c r="L10364" s="219">
        <v>120000</v>
      </c>
    </row>
    <row r="10365" spans="1:14" x14ac:dyDescent="0.2">
      <c r="A10365" s="343">
        <v>2024</v>
      </c>
      <c r="B10365" s="343">
        <v>1</v>
      </c>
      <c r="C10365" s="343">
        <v>11</v>
      </c>
      <c r="D10365" s="344">
        <f t="shared" si="1372"/>
        <v>45302</v>
      </c>
      <c r="E10365" s="345">
        <f t="shared" si="1373"/>
        <v>45302</v>
      </c>
      <c r="F10365" s="483" t="s">
        <v>1813</v>
      </c>
      <c r="G10365" s="350" t="s">
        <v>94</v>
      </c>
      <c r="H10365" s="350" t="str" cm="1">
        <f t="array" ref="H10365">IFERROR(INDEX(INVESTOR_LIST[INVESTOR NAME],MATCH(I10365,INVESTOR_LIST[INVESTOR CODE],0),)," ")</f>
        <v xml:space="preserve"> </v>
      </c>
      <c r="I10365" s="352" t="s">
        <v>348</v>
      </c>
      <c r="J10365" s="353" t="s">
        <v>1798</v>
      </c>
      <c r="K10365" s="354">
        <v>30968.89999999851</v>
      </c>
      <c r="L10365" s="354"/>
    </row>
    <row r="10366" spans="1:14" x14ac:dyDescent="0.2">
      <c r="A10366" s="346">
        <v>2024</v>
      </c>
      <c r="B10366" s="346">
        <v>1</v>
      </c>
      <c r="C10366" s="346">
        <v>11</v>
      </c>
      <c r="D10366" s="344">
        <f t="shared" si="1372"/>
        <v>45302</v>
      </c>
      <c r="E10366" s="345">
        <f t="shared" si="1373"/>
        <v>45302</v>
      </c>
      <c r="F10366" s="484"/>
      <c r="G10366" s="347" t="s">
        <v>94</v>
      </c>
      <c r="H10366" s="347" t="str" cm="1">
        <f t="array" ref="H10366">IFERROR(INDEX(INVESTOR_LIST[INVESTOR NAME],MATCH(I10366,INVESTOR_LIST[INVESTOR CODE],0),)," ")</f>
        <v xml:space="preserve"> </v>
      </c>
      <c r="I10366" s="348" t="s">
        <v>348</v>
      </c>
      <c r="J10366" s="355" t="s">
        <v>1807</v>
      </c>
      <c r="K10366" s="349"/>
      <c r="L10366" s="349">
        <v>30968.89999999851</v>
      </c>
    </row>
    <row r="10367" spans="1:14" x14ac:dyDescent="0.2">
      <c r="A10367" s="238">
        <v>2024</v>
      </c>
      <c r="B10367" s="238">
        <v>1</v>
      </c>
      <c r="C10367" s="238">
        <v>11</v>
      </c>
      <c r="D10367" s="270">
        <f t="shared" si="1372"/>
        <v>45302</v>
      </c>
      <c r="E10367" s="279">
        <f t="shared" si="1373"/>
        <v>45302</v>
      </c>
      <c r="F10367" s="477" t="s">
        <v>347</v>
      </c>
      <c r="G10367" s="239" t="s">
        <v>94</v>
      </c>
      <c r="H10367" s="239" t="str" cm="1">
        <f t="array" ref="H10367">IFERROR(INDEX(INVESTOR_LIST[INVESTOR NAME],MATCH(I10367,INVESTOR_LIST[INVESTOR CODE],0),)," ")</f>
        <v xml:space="preserve"> </v>
      </c>
      <c r="I10367" s="262" t="s">
        <v>348</v>
      </c>
      <c r="J10367" s="240" t="s">
        <v>82</v>
      </c>
      <c r="K10367" s="241">
        <v>132882.53000001609</v>
      </c>
      <c r="L10367" s="241"/>
    </row>
    <row r="10368" spans="1:14" x14ac:dyDescent="0.2">
      <c r="A10368" s="242">
        <v>2024</v>
      </c>
      <c r="B10368" s="242">
        <v>1</v>
      </c>
      <c r="C10368" s="242">
        <v>11</v>
      </c>
      <c r="D10368" s="270">
        <f t="shared" si="1372"/>
        <v>45302</v>
      </c>
      <c r="E10368" s="279">
        <f t="shared" si="1373"/>
        <v>45302</v>
      </c>
      <c r="F10368" s="478"/>
      <c r="G10368" s="243" t="s">
        <v>94</v>
      </c>
      <c r="H10368" s="243" t="str" cm="1">
        <f t="array" ref="H10368">IFERROR(INDEX(INVESTOR_LIST[INVESTOR NAME],MATCH(I10368,INVESTOR_LIST[INVESTOR CODE],0),)," ")</f>
        <v xml:space="preserve"> </v>
      </c>
      <c r="I10368" s="263" t="s">
        <v>348</v>
      </c>
      <c r="J10368" s="244" t="s">
        <v>108</v>
      </c>
      <c r="K10368" s="245"/>
      <c r="L10368" s="245">
        <v>132882.53000001609</v>
      </c>
    </row>
    <row r="10369" spans="1:14" ht="22.5" x14ac:dyDescent="0.2">
      <c r="A10369" s="246">
        <v>2024</v>
      </c>
      <c r="B10369" s="238">
        <v>1</v>
      </c>
      <c r="C10369" s="238">
        <v>11</v>
      </c>
      <c r="D10369" s="270">
        <f t="shared" si="1372"/>
        <v>45302</v>
      </c>
      <c r="E10369" s="279">
        <f t="shared" si="1373"/>
        <v>45302</v>
      </c>
      <c r="F10369" s="482" t="s">
        <v>148</v>
      </c>
      <c r="G10369" s="247" t="s">
        <v>94</v>
      </c>
      <c r="H10369" s="247" t="str" cm="1">
        <f t="array" ref="H10369">IFERROR(INDEX(INVESTOR_LIST[INVESTOR NAME],MATCH(I10369,INVESTOR_LIST[INVESTOR CODE],0),)," ")</f>
        <v xml:space="preserve"> </v>
      </c>
      <c r="I10369" s="248" t="s">
        <v>348</v>
      </c>
      <c r="J10369" s="249" t="s">
        <v>95</v>
      </c>
      <c r="K10369" s="250">
        <v>2747.2527472527472</v>
      </c>
      <c r="L10369" s="241"/>
    </row>
    <row r="10370" spans="1:14" x14ac:dyDescent="0.2">
      <c r="A10370" s="242">
        <v>2024</v>
      </c>
      <c r="B10370" s="242">
        <v>1</v>
      </c>
      <c r="C10370" s="242">
        <v>11</v>
      </c>
      <c r="D10370" s="270">
        <f t="shared" si="1372"/>
        <v>45302</v>
      </c>
      <c r="E10370" s="279">
        <f t="shared" si="1373"/>
        <v>45302</v>
      </c>
      <c r="F10370" s="478"/>
      <c r="G10370" s="243" t="s">
        <v>94</v>
      </c>
      <c r="H10370" s="243" t="str" cm="1">
        <f t="array" ref="H10370">IFERROR(INDEX(INVESTOR_LIST[INVESTOR NAME],MATCH(I10370,INVESTOR_LIST[INVESTOR CODE],0),)," ")</f>
        <v xml:space="preserve"> </v>
      </c>
      <c r="I10370" s="263" t="s">
        <v>348</v>
      </c>
      <c r="J10370" s="244" t="s">
        <v>63</v>
      </c>
      <c r="K10370" s="245"/>
      <c r="L10370" s="245">
        <v>2747.2527472527472</v>
      </c>
    </row>
    <row r="10371" spans="1:14" x14ac:dyDescent="0.2">
      <c r="A10371" s="246">
        <v>2024</v>
      </c>
      <c r="B10371" s="238">
        <v>1</v>
      </c>
      <c r="C10371" s="238">
        <v>11</v>
      </c>
      <c r="D10371" s="270">
        <f t="shared" si="1372"/>
        <v>45302</v>
      </c>
      <c r="E10371" s="279">
        <f t="shared" si="1373"/>
        <v>45302</v>
      </c>
      <c r="F10371" s="482" t="s">
        <v>137</v>
      </c>
      <c r="G10371" s="247" t="s">
        <v>94</v>
      </c>
      <c r="H10371" s="247" t="str" cm="1">
        <f t="array" ref="H10371">IFERROR(INDEX(INVESTOR_LIST[INVESTOR NAME],MATCH(I10371,INVESTOR_LIST[INVESTOR CODE],0),)," ")</f>
        <v xml:space="preserve"> </v>
      </c>
      <c r="I10371" s="248" t="s">
        <v>348</v>
      </c>
      <c r="J10371" s="249" t="s">
        <v>97</v>
      </c>
      <c r="K10371" s="250">
        <v>58614.990176400257</v>
      </c>
      <c r="L10371" s="252"/>
    </row>
    <row r="10372" spans="1:14" x14ac:dyDescent="0.2">
      <c r="A10372" s="242">
        <v>2024</v>
      </c>
      <c r="B10372" s="242">
        <v>1</v>
      </c>
      <c r="C10372" s="242">
        <v>11</v>
      </c>
      <c r="D10372" s="270">
        <f t="shared" si="1372"/>
        <v>45302</v>
      </c>
      <c r="E10372" s="279">
        <f t="shared" si="1373"/>
        <v>45302</v>
      </c>
      <c r="F10372" s="478"/>
      <c r="G10372" s="243" t="s">
        <v>94</v>
      </c>
      <c r="H10372" s="243" t="str" cm="1">
        <f t="array" ref="H10372">IFERROR(INDEX(INVESTOR_LIST[INVESTOR NAME],MATCH(I10372,INVESTOR_LIST[INVESTOR CODE],0),)," ")</f>
        <v xml:space="preserve"> </v>
      </c>
      <c r="I10372" s="263" t="s">
        <v>348</v>
      </c>
      <c r="J10372" s="244" t="s">
        <v>47</v>
      </c>
      <c r="K10372" s="245"/>
      <c r="L10372" s="245">
        <v>58614.990176400257</v>
      </c>
    </row>
    <row r="10373" spans="1:14" x14ac:dyDescent="0.2">
      <c r="A10373" s="246">
        <v>2024</v>
      </c>
      <c r="B10373" s="238">
        <v>1</v>
      </c>
      <c r="C10373" s="238">
        <v>11</v>
      </c>
      <c r="D10373" s="270">
        <f t="shared" si="1372"/>
        <v>45302</v>
      </c>
      <c r="E10373" s="279">
        <f t="shared" si="1373"/>
        <v>45302</v>
      </c>
      <c r="F10373" s="482" t="s">
        <v>138</v>
      </c>
      <c r="G10373" s="247" t="s">
        <v>94</v>
      </c>
      <c r="H10373" s="247" t="str" cm="1">
        <f t="array" ref="H10373">IFERROR(INDEX(INVESTOR_LIST[INVESTOR NAME],MATCH(I10373,INVESTOR_LIST[INVESTOR CODE],0),)," ")</f>
        <v xml:space="preserve"> </v>
      </c>
      <c r="I10373" s="248" t="s">
        <v>348</v>
      </c>
      <c r="J10373" s="249" t="s">
        <v>100</v>
      </c>
      <c r="K10373" s="250">
        <v>2690.3648934353978</v>
      </c>
      <c r="L10373" s="252"/>
    </row>
    <row r="10374" spans="1:14" x14ac:dyDescent="0.2">
      <c r="A10374" s="242">
        <v>2024</v>
      </c>
      <c r="B10374" s="242">
        <v>1</v>
      </c>
      <c r="C10374" s="242">
        <v>11</v>
      </c>
      <c r="D10374" s="321">
        <f t="shared" si="1372"/>
        <v>45302</v>
      </c>
      <c r="E10374" s="322">
        <f t="shared" si="1373"/>
        <v>45302</v>
      </c>
      <c r="F10374" s="478"/>
      <c r="G10374" s="243" t="s">
        <v>94</v>
      </c>
      <c r="H10374" s="243" t="str" cm="1">
        <f t="array" ref="H10374">IFERROR(INDEX(INVESTOR_LIST[INVESTOR NAME],MATCH(I10374,INVESTOR_LIST[INVESTOR CODE],0),)," ")</f>
        <v xml:space="preserve"> </v>
      </c>
      <c r="I10374" s="263" t="s">
        <v>348</v>
      </c>
      <c r="J10374" s="244" t="s">
        <v>48</v>
      </c>
      <c r="K10374" s="245"/>
      <c r="L10374" s="245">
        <v>2690.3648934353978</v>
      </c>
    </row>
    <row r="10375" spans="1:14" x14ac:dyDescent="0.2">
      <c r="A10375" s="168">
        <v>2024</v>
      </c>
      <c r="B10375" s="133">
        <v>1</v>
      </c>
      <c r="C10375" s="133">
        <v>14</v>
      </c>
      <c r="D10375" s="141">
        <f t="shared" si="1372"/>
        <v>45305</v>
      </c>
      <c r="E10375" s="275">
        <f t="shared" si="1373"/>
        <v>45305</v>
      </c>
      <c r="F10375" s="479" t="s">
        <v>1889</v>
      </c>
      <c r="G10375" s="220" t="s">
        <v>74</v>
      </c>
      <c r="H10375" s="220" t="str" cm="1">
        <f t="array" ref="H10375">IFERROR(INDEX(INVESTOR_LIST[INVESTOR NAME],MATCH(I10375,INVESTOR_LIST[INVESTOR CODE],0),)," ")</f>
        <v xml:space="preserve"> </v>
      </c>
      <c r="I10375" s="142" t="s">
        <v>348</v>
      </c>
      <c r="J10375" s="143" t="s">
        <v>79</v>
      </c>
      <c r="K10375" s="226">
        <v>74720</v>
      </c>
      <c r="L10375" s="226"/>
    </row>
    <row r="10376" spans="1:14" x14ac:dyDescent="0.2">
      <c r="A10376" s="133">
        <v>2024</v>
      </c>
      <c r="B10376" s="133">
        <v>1</v>
      </c>
      <c r="C10376" s="133">
        <v>14</v>
      </c>
      <c r="D10376" s="141">
        <f t="shared" si="1372"/>
        <v>45305</v>
      </c>
      <c r="E10376" s="275">
        <f t="shared" si="1373"/>
        <v>45305</v>
      </c>
      <c r="F10376" s="481"/>
      <c r="G10376" s="174" t="s">
        <v>74</v>
      </c>
      <c r="H10376" s="174"/>
      <c r="J10376" s="149" t="s">
        <v>52</v>
      </c>
      <c r="K10376" s="218">
        <v>605280</v>
      </c>
      <c r="L10376" s="218"/>
    </row>
    <row r="10377" spans="1:14" x14ac:dyDescent="0.2">
      <c r="A10377" s="163">
        <v>2024</v>
      </c>
      <c r="B10377" s="163">
        <v>1</v>
      </c>
      <c r="C10377" s="163">
        <v>14</v>
      </c>
      <c r="D10377" s="280">
        <f t="shared" si="1372"/>
        <v>45305</v>
      </c>
      <c r="E10377" s="281">
        <f t="shared" si="1373"/>
        <v>45305</v>
      </c>
      <c r="F10377" s="480"/>
      <c r="G10377" s="221" t="s">
        <v>74</v>
      </c>
      <c r="H10377" s="221" t="str" cm="1">
        <f t="array" ref="H10377">IFERROR(INDEX(INVESTOR_LIST[INVESTOR NAME],MATCH(I10377,INVESTOR_LIST[INVESTOR CODE],0),)," ")</f>
        <v xml:space="preserve"> </v>
      </c>
      <c r="I10377" s="145" t="s">
        <v>348</v>
      </c>
      <c r="J10377" s="146" t="s">
        <v>184</v>
      </c>
      <c r="K10377" s="219"/>
      <c r="L10377" s="219">
        <v>680000</v>
      </c>
    </row>
    <row r="10378" spans="1:14" x14ac:dyDescent="0.2">
      <c r="A10378" s="168">
        <v>2024</v>
      </c>
      <c r="B10378" s="168">
        <v>1</v>
      </c>
      <c r="C10378" s="168">
        <v>14</v>
      </c>
      <c r="D10378" s="141">
        <f t="shared" si="1372"/>
        <v>45305</v>
      </c>
      <c r="E10378" s="275">
        <f t="shared" si="1373"/>
        <v>45305</v>
      </c>
      <c r="F10378" s="479" t="s">
        <v>1757</v>
      </c>
      <c r="G10378" s="220" t="s">
        <v>74</v>
      </c>
      <c r="H10378" s="220" t="str" cm="1">
        <f t="array" ref="H10378">IFERROR(INDEX(INVESTOR_LIST[INVESTOR NAME],MATCH(I10378,INVESTOR_LIST[INVESTOR CODE],0),)," ")</f>
        <v xml:space="preserve"> </v>
      </c>
      <c r="I10378" s="142"/>
      <c r="J10378" s="143" t="s">
        <v>52</v>
      </c>
      <c r="K10378" s="226">
        <v>701534.96</v>
      </c>
      <c r="L10378" s="226"/>
    </row>
    <row r="10379" spans="1:14" ht="10.5" customHeight="1" x14ac:dyDescent="0.2">
      <c r="A10379" s="163">
        <v>2024</v>
      </c>
      <c r="B10379" s="163">
        <v>1</v>
      </c>
      <c r="C10379" s="163">
        <v>14</v>
      </c>
      <c r="D10379" s="280">
        <f>DATE(A10379,B10379,C10379)</f>
        <v>45305</v>
      </c>
      <c r="E10379" s="281">
        <f>DATE(A10379,B10379,C10379)</f>
        <v>45305</v>
      </c>
      <c r="F10379" s="480"/>
      <c r="G10379" s="221" t="s">
        <v>74</v>
      </c>
      <c r="H10379" s="221" t="str" cm="1">
        <f t="array" ref="H10379">IFERROR(INDEX(INVESTOR_LIST[INVESTOR NAME],MATCH(I10379,INVESTOR_LIST[INVESTOR CODE],0),)," ")</f>
        <v xml:space="preserve"> </v>
      </c>
      <c r="I10379" s="145"/>
      <c r="J10379" s="146" t="s">
        <v>190</v>
      </c>
      <c r="K10379" s="219"/>
      <c r="L10379" s="219">
        <v>701534.96</v>
      </c>
    </row>
    <row r="10380" spans="1:14" x14ac:dyDescent="0.2">
      <c r="A10380" s="133">
        <v>2024</v>
      </c>
      <c r="B10380" s="133">
        <v>1</v>
      </c>
      <c r="C10380" s="133">
        <v>14</v>
      </c>
      <c r="D10380" s="141">
        <f t="shared" ref="D10380:D10392" si="1374">DATE(A10380,B10380,C10380)</f>
        <v>45305</v>
      </c>
      <c r="E10380" s="275">
        <f t="shared" ref="E10380:E10392" si="1375">DATE(A10380,B10380,C10380)</f>
        <v>45305</v>
      </c>
      <c r="F10380" s="481" t="s">
        <v>1753</v>
      </c>
      <c r="G10380" s="174" t="s">
        <v>94</v>
      </c>
      <c r="H10380" s="174" t="str" cm="1">
        <f t="array" ref="H10380">IFERROR(INDEX(INVESTOR_LIST[INVESTOR NAME],MATCH(I10380,INVESTOR_LIST[INVESTOR CODE],0),)," ")</f>
        <v xml:space="preserve"> </v>
      </c>
      <c r="J10380" s="149" t="s">
        <v>190</v>
      </c>
      <c r="K10380" s="218">
        <v>557834.09</v>
      </c>
      <c r="L10380" s="218"/>
      <c r="M10380" s="160"/>
    </row>
    <row r="10381" spans="1:14" x14ac:dyDescent="0.2">
      <c r="A10381" s="133">
        <v>2024</v>
      </c>
      <c r="B10381" s="133">
        <v>1</v>
      </c>
      <c r="C10381" s="133">
        <v>14</v>
      </c>
      <c r="D10381" s="141">
        <f t="shared" si="1374"/>
        <v>45305</v>
      </c>
      <c r="E10381" s="275">
        <f t="shared" si="1375"/>
        <v>45305</v>
      </c>
      <c r="F10381" s="481"/>
      <c r="G10381" s="174" t="s">
        <v>94</v>
      </c>
      <c r="H10381" s="174"/>
      <c r="J10381" s="149" t="s">
        <v>80</v>
      </c>
      <c r="K10381" s="218">
        <v>1005.91</v>
      </c>
      <c r="L10381" s="218"/>
      <c r="N10381" s="264"/>
    </row>
    <row r="10382" spans="1:14" x14ac:dyDescent="0.2">
      <c r="A10382" s="133">
        <v>2024</v>
      </c>
      <c r="B10382" s="133">
        <v>1</v>
      </c>
      <c r="C10382" s="133">
        <v>14</v>
      </c>
      <c r="D10382" s="141">
        <f t="shared" si="1374"/>
        <v>45305</v>
      </c>
      <c r="E10382" s="275">
        <f t="shared" si="1375"/>
        <v>45305</v>
      </c>
      <c r="F10382" s="481"/>
      <c r="G10382" s="174" t="s">
        <v>94</v>
      </c>
      <c r="H10382" s="174" t="str" cm="1">
        <f t="array" ref="H10382">IFERROR(INDEX(INVESTOR_LIST[INVESTOR NAME],MATCH(I10382,INVESTOR_LIST[INVESTOR CODE],0),)," ")</f>
        <v xml:space="preserve"> </v>
      </c>
      <c r="J10382" s="149" t="s">
        <v>191</v>
      </c>
      <c r="K10382" s="218"/>
      <c r="L10382" s="218">
        <v>41653.53</v>
      </c>
      <c r="N10382" s="264"/>
    </row>
    <row r="10383" spans="1:14" x14ac:dyDescent="0.2">
      <c r="A10383" s="163">
        <v>2024</v>
      </c>
      <c r="B10383" s="163">
        <v>1</v>
      </c>
      <c r="C10383" s="163">
        <v>14</v>
      </c>
      <c r="D10383" s="280">
        <f t="shared" si="1374"/>
        <v>45305</v>
      </c>
      <c r="E10383" s="281">
        <f t="shared" si="1375"/>
        <v>45305</v>
      </c>
      <c r="F10383" s="480"/>
      <c r="G10383" s="221" t="s">
        <v>94</v>
      </c>
      <c r="H10383" s="145" t="str" cm="1">
        <f t="array" ref="H10383">IFERROR(INDEX(INVESTOR_LIST[INVESTOR NAME],MATCH(I10383,INVESTOR_LIST[INVESTOR CODE],0),)," ")</f>
        <v xml:space="preserve"> </v>
      </c>
      <c r="I10383" s="145"/>
      <c r="J10383" s="163" t="s">
        <v>79</v>
      </c>
      <c r="K10383" s="219"/>
      <c r="L10383" s="219">
        <v>517186.47</v>
      </c>
      <c r="N10383" s="264"/>
    </row>
    <row r="10384" spans="1:14" x14ac:dyDescent="0.2">
      <c r="A10384" s="168">
        <v>2024</v>
      </c>
      <c r="B10384" s="168">
        <v>1</v>
      </c>
      <c r="C10384" s="168">
        <v>14</v>
      </c>
      <c r="D10384" s="141">
        <f t="shared" si="1374"/>
        <v>45305</v>
      </c>
      <c r="E10384" s="275">
        <f t="shared" si="1375"/>
        <v>45305</v>
      </c>
      <c r="F10384" s="479" t="s">
        <v>966</v>
      </c>
      <c r="G10384" s="220" t="s">
        <v>94</v>
      </c>
      <c r="H10384" s="220" t="str" cm="1">
        <f t="array" ref="H10384">IFERROR(INDEX(INVESTOR_LIST[INVESTOR NAME],MATCH(I10384,INVESTOR_LIST[INVESTOR CODE],0),)," ")</f>
        <v xml:space="preserve"> </v>
      </c>
      <c r="I10384" s="142"/>
      <c r="J10384" s="310" t="s">
        <v>358</v>
      </c>
      <c r="K10384" s="226">
        <v>5630.75</v>
      </c>
      <c r="L10384" s="226"/>
    </row>
    <row r="10385" spans="1:12" x14ac:dyDescent="0.2">
      <c r="A10385" s="133">
        <v>2024</v>
      </c>
      <c r="B10385" s="133">
        <v>1</v>
      </c>
      <c r="C10385" s="133">
        <v>14</v>
      </c>
      <c r="D10385" s="147">
        <f t="shared" si="1374"/>
        <v>45305</v>
      </c>
      <c r="E10385" s="311">
        <f t="shared" si="1375"/>
        <v>45305</v>
      </c>
      <c r="F10385" s="481"/>
      <c r="G10385" s="174" t="s">
        <v>94</v>
      </c>
      <c r="H10385" s="174" t="str" cm="1">
        <f t="array" ref="H10385">IFERROR(INDEX(INVESTOR_LIST[INVESTOR NAME],MATCH(I10385,INVESTOR_LIST[INVESTOR CODE],0),)," ")</f>
        <v xml:space="preserve"> </v>
      </c>
      <c r="J10385" s="312" t="s">
        <v>13</v>
      </c>
      <c r="K10385" s="218"/>
      <c r="L10385" s="218">
        <v>4520</v>
      </c>
    </row>
    <row r="10386" spans="1:12" x14ac:dyDescent="0.2">
      <c r="A10386" s="133">
        <v>2024</v>
      </c>
      <c r="B10386" s="133">
        <v>1</v>
      </c>
      <c r="C10386" s="133">
        <v>14</v>
      </c>
      <c r="D10386" s="147">
        <f t="shared" si="1374"/>
        <v>45305</v>
      </c>
      <c r="E10386" s="311">
        <f t="shared" si="1375"/>
        <v>45305</v>
      </c>
      <c r="F10386" s="481"/>
      <c r="G10386" s="174" t="s">
        <v>94</v>
      </c>
      <c r="H10386" s="174" t="str" cm="1">
        <f t="array" ref="H10386">IFERROR(INDEX(INVESTOR_LIST[INVESTOR NAME],MATCH(I10386,INVESTOR_LIST[INVESTOR CODE],0),)," ")</f>
        <v xml:space="preserve"> </v>
      </c>
      <c r="J10386" s="312" t="s">
        <v>53</v>
      </c>
      <c r="K10386" s="219"/>
      <c r="L10386" s="218">
        <v>1110.75</v>
      </c>
    </row>
    <row r="10387" spans="1:12" ht="11.25" customHeight="1" x14ac:dyDescent="0.2">
      <c r="A10387" s="168">
        <v>2024</v>
      </c>
      <c r="B10387" s="168">
        <v>1</v>
      </c>
      <c r="C10387" s="168">
        <v>14</v>
      </c>
      <c r="D10387" s="141">
        <f t="shared" si="1374"/>
        <v>45305</v>
      </c>
      <c r="E10387" s="275">
        <f t="shared" si="1375"/>
        <v>45305</v>
      </c>
      <c r="F10387" s="479" t="s">
        <v>965</v>
      </c>
      <c r="G10387" s="220" t="s">
        <v>74</v>
      </c>
      <c r="H10387" s="142" t="str" cm="1">
        <f t="array" ref="H10387">IFERROR(INDEX(INVESTOR_LIST[INVESTOR NAME],MATCH(I10387,INVESTOR_LIST[INVESTOR CODE],0),)," ")</f>
        <v>MD. WALIULLAH. SWADESH RANJAN SAHA &amp; MD. MIZZNUR RAHMAN</v>
      </c>
      <c r="I10387" s="142" t="s">
        <v>748</v>
      </c>
      <c r="J10387" s="168" t="s">
        <v>13</v>
      </c>
      <c r="K10387" s="218">
        <v>229750</v>
      </c>
      <c r="L10387" s="226"/>
    </row>
    <row r="10388" spans="1:12" ht="11.25" customHeight="1" x14ac:dyDescent="0.2">
      <c r="A10388" s="133">
        <v>2024</v>
      </c>
      <c r="B10388" s="133">
        <v>1</v>
      </c>
      <c r="C10388" s="133">
        <v>14</v>
      </c>
      <c r="D10388" s="141">
        <f t="shared" si="1374"/>
        <v>45305</v>
      </c>
      <c r="E10388" s="275">
        <f t="shared" si="1375"/>
        <v>45305</v>
      </c>
      <c r="F10388" s="481"/>
      <c r="G10388" s="174" t="s">
        <v>74</v>
      </c>
      <c r="H10388" s="148" t="str" cm="1">
        <f t="array" ref="H10388">IFERROR(INDEX(INVESTOR_LIST[INVESTOR NAME],MATCH(I10388,INVESTOR_LIST[INVESTOR CODE],0),)," ")</f>
        <v>MD. WALIULLAH. SWADESH RANJAN SAHA &amp; MD. MIZZNUR RAHMAN</v>
      </c>
      <c r="I10388" s="148" t="s">
        <v>748</v>
      </c>
      <c r="J10388" s="133" t="s">
        <v>53</v>
      </c>
      <c r="K10388" s="218">
        <v>50954.15</v>
      </c>
      <c r="L10388" s="133"/>
    </row>
    <row r="10389" spans="1:12" ht="11.25" customHeight="1" x14ac:dyDescent="0.2">
      <c r="A10389" s="163">
        <v>2024</v>
      </c>
      <c r="B10389" s="163">
        <v>1</v>
      </c>
      <c r="C10389" s="163">
        <v>14</v>
      </c>
      <c r="D10389" s="280">
        <f t="shared" si="1374"/>
        <v>45305</v>
      </c>
      <c r="E10389" s="281">
        <f t="shared" si="1375"/>
        <v>45305</v>
      </c>
      <c r="F10389" s="480"/>
      <c r="G10389" s="221" t="s">
        <v>74</v>
      </c>
      <c r="H10389" s="145" t="str" cm="1">
        <f t="array" ref="H10389">IFERROR(INDEX(INVESTOR_LIST[INVESTOR NAME],MATCH(I10389,INVESTOR_LIST[INVESTOR CODE],0),)," ")</f>
        <v>MD. WALIULLAH. SWADESH RANJAN SAHA &amp; MD. MIZZNUR RAHMAN</v>
      </c>
      <c r="I10389" s="145" t="s">
        <v>748</v>
      </c>
      <c r="J10389" s="163" t="s">
        <v>52</v>
      </c>
      <c r="K10389" s="219"/>
      <c r="L10389" s="219">
        <v>280704.15000000002</v>
      </c>
    </row>
    <row r="10390" spans="1:12" ht="33.75" x14ac:dyDescent="0.2">
      <c r="A10390" s="168">
        <v>2024</v>
      </c>
      <c r="B10390" s="168">
        <v>1</v>
      </c>
      <c r="C10390" s="168">
        <v>14</v>
      </c>
      <c r="D10390" s="141">
        <f t="shared" si="1374"/>
        <v>45305</v>
      </c>
      <c r="E10390" s="275">
        <f t="shared" si="1375"/>
        <v>45305</v>
      </c>
      <c r="F10390" s="479" t="s">
        <v>966</v>
      </c>
      <c r="G10390" s="220" t="s">
        <v>94</v>
      </c>
      <c r="H10390" s="220" t="str" cm="1">
        <f t="array" ref="H10390">IFERROR(INDEX(INVESTOR_LIST[INVESTOR NAME],MATCH(I10390,INVESTOR_LIST[INVESTOR CODE],0),)," ")</f>
        <v>BENOZEER AHMED</v>
      </c>
      <c r="I10390" s="142" t="s">
        <v>851</v>
      </c>
      <c r="J10390" s="310" t="s">
        <v>358</v>
      </c>
      <c r="K10390" s="226">
        <v>301</v>
      </c>
      <c r="L10390" s="226"/>
    </row>
    <row r="10391" spans="1:12" ht="33.75" x14ac:dyDescent="0.2">
      <c r="A10391" s="133">
        <v>2024</v>
      </c>
      <c r="B10391" s="133">
        <v>1</v>
      </c>
      <c r="C10391" s="133">
        <v>14</v>
      </c>
      <c r="D10391" s="147">
        <f t="shared" si="1374"/>
        <v>45305</v>
      </c>
      <c r="E10391" s="311">
        <f t="shared" si="1375"/>
        <v>45305</v>
      </c>
      <c r="F10391" s="481"/>
      <c r="G10391" s="174" t="s">
        <v>94</v>
      </c>
      <c r="H10391" s="174" t="str" cm="1">
        <f t="array" ref="H10391">IFERROR(INDEX(INVESTOR_LIST[INVESTOR NAME],MATCH(I10391,INVESTOR_LIST[INVESTOR CODE],0),)," ")</f>
        <v>BENOZEER AHMED</v>
      </c>
      <c r="I10391" s="148" t="s">
        <v>851</v>
      </c>
      <c r="J10391" s="312" t="s">
        <v>13</v>
      </c>
      <c r="K10391" s="218"/>
      <c r="L10391" s="218">
        <v>240</v>
      </c>
    </row>
    <row r="10392" spans="1:12" ht="33.75" x14ac:dyDescent="0.2">
      <c r="A10392" s="133">
        <v>2024</v>
      </c>
      <c r="B10392" s="163">
        <v>1</v>
      </c>
      <c r="C10392" s="163">
        <v>14</v>
      </c>
      <c r="D10392" s="147">
        <f t="shared" si="1374"/>
        <v>45305</v>
      </c>
      <c r="E10392" s="311">
        <f t="shared" si="1375"/>
        <v>45305</v>
      </c>
      <c r="F10392" s="481"/>
      <c r="G10392" s="174" t="s">
        <v>94</v>
      </c>
      <c r="H10392" s="174" t="str" cm="1">
        <f t="array" ref="H10392">IFERROR(INDEX(INVESTOR_LIST[INVESTOR NAME],MATCH(I10392,INVESTOR_LIST[INVESTOR CODE],0),)," ")</f>
        <v>BENOZEER AHMED</v>
      </c>
      <c r="I10392" s="148" t="s">
        <v>851</v>
      </c>
      <c r="J10392" s="312" t="s">
        <v>53</v>
      </c>
      <c r="K10392" s="219"/>
      <c r="L10392" s="218">
        <v>61</v>
      </c>
    </row>
    <row r="10393" spans="1:12" ht="11.25" customHeight="1" x14ac:dyDescent="0.2">
      <c r="A10393" s="168">
        <v>2024</v>
      </c>
      <c r="B10393" s="168">
        <v>1</v>
      </c>
      <c r="C10393" s="168">
        <v>14</v>
      </c>
      <c r="D10393" s="141">
        <f t="shared" ref="D10393:D10400" si="1376">DATE(A10393,B10393,C10393)</f>
        <v>45305</v>
      </c>
      <c r="E10393" s="275">
        <f t="shared" ref="E10393:E10400" si="1377">DATE(A10393,B10393,C10393)</f>
        <v>45305</v>
      </c>
      <c r="F10393" s="479" t="s">
        <v>1310</v>
      </c>
      <c r="G10393" s="220" t="s">
        <v>74</v>
      </c>
      <c r="H10393" s="142" t="str" cm="1">
        <f t="array" ref="H10393">IFERROR(INDEX(INVESTOR_LIST[INVESTOR NAME],MATCH(I10393,INVESTOR_LIST[INVESTOR CODE],0),)," ")</f>
        <v>BENOZEER AHMED</v>
      </c>
      <c r="I10393" s="142" t="s">
        <v>851</v>
      </c>
      <c r="J10393" s="168" t="s">
        <v>13</v>
      </c>
      <c r="K10393" s="218">
        <v>12280</v>
      </c>
      <c r="L10393" s="226"/>
    </row>
    <row r="10394" spans="1:12" ht="11.25" customHeight="1" x14ac:dyDescent="0.2">
      <c r="A10394" s="133">
        <v>2024</v>
      </c>
      <c r="B10394" s="133">
        <v>1</v>
      </c>
      <c r="C10394" s="133">
        <v>14</v>
      </c>
      <c r="D10394" s="141">
        <f t="shared" si="1376"/>
        <v>45305</v>
      </c>
      <c r="E10394" s="275">
        <f t="shared" si="1377"/>
        <v>45305</v>
      </c>
      <c r="F10394" s="481"/>
      <c r="G10394" s="174" t="s">
        <v>74</v>
      </c>
      <c r="H10394" s="148" t="str" cm="1">
        <f t="array" ref="H10394">IFERROR(INDEX(INVESTOR_LIST[INVESTOR NAME],MATCH(I10394,INVESTOR_LIST[INVESTOR CODE],0),)," ")</f>
        <v>BENOZEER AHMED</v>
      </c>
      <c r="I10394" s="148" t="s">
        <v>851</v>
      </c>
      <c r="J10394" s="133" t="s">
        <v>53</v>
      </c>
      <c r="K10394" s="218">
        <v>2725.45</v>
      </c>
      <c r="L10394" s="133"/>
    </row>
    <row r="10395" spans="1:12" ht="11.25" customHeight="1" x14ac:dyDescent="0.2">
      <c r="A10395" s="163">
        <v>2024</v>
      </c>
      <c r="B10395" s="163">
        <v>1</v>
      </c>
      <c r="C10395" s="163">
        <v>14</v>
      </c>
      <c r="D10395" s="280">
        <f t="shared" si="1376"/>
        <v>45305</v>
      </c>
      <c r="E10395" s="281">
        <f t="shared" si="1377"/>
        <v>45305</v>
      </c>
      <c r="F10395" s="480"/>
      <c r="G10395" s="221" t="s">
        <v>74</v>
      </c>
      <c r="H10395" s="145" t="str" cm="1">
        <f t="array" ref="H10395">IFERROR(INDEX(INVESTOR_LIST[INVESTOR NAME],MATCH(I10395,INVESTOR_LIST[INVESTOR CODE],0),)," ")</f>
        <v>BENOZEER AHMED</v>
      </c>
      <c r="I10395" s="145" t="s">
        <v>851</v>
      </c>
      <c r="J10395" s="163" t="s">
        <v>52</v>
      </c>
      <c r="K10395" s="219"/>
      <c r="L10395" s="219">
        <v>15005.45</v>
      </c>
    </row>
    <row r="10396" spans="1:12" x14ac:dyDescent="0.2">
      <c r="A10396" s="168">
        <v>2024</v>
      </c>
      <c r="B10396" s="168">
        <v>1</v>
      </c>
      <c r="C10396" s="168">
        <v>15</v>
      </c>
      <c r="D10396" s="141">
        <f t="shared" si="1376"/>
        <v>45306</v>
      </c>
      <c r="E10396" s="275">
        <f t="shared" si="1377"/>
        <v>45306</v>
      </c>
      <c r="F10396" s="479" t="s">
        <v>1319</v>
      </c>
      <c r="G10396" s="220" t="s">
        <v>74</v>
      </c>
      <c r="H10396" s="142" t="str" cm="1">
        <f t="array" ref="H10396">IFERROR(INDEX(INVESTOR_LIST[INVESTOR NAME],MATCH(I10396,INVESTOR_LIST[INVESTOR CODE],0),)," ")</f>
        <v xml:space="preserve"> </v>
      </c>
      <c r="I10396" s="142"/>
      <c r="J10396" s="168" t="s">
        <v>52</v>
      </c>
      <c r="K10396" s="226">
        <v>12000</v>
      </c>
      <c r="L10396" s="226"/>
    </row>
    <row r="10397" spans="1:12" x14ac:dyDescent="0.2">
      <c r="A10397" s="133">
        <v>2024</v>
      </c>
      <c r="B10397" s="133">
        <v>1</v>
      </c>
      <c r="C10397" s="133">
        <v>15</v>
      </c>
      <c r="D10397" s="141">
        <f t="shared" si="1376"/>
        <v>45306</v>
      </c>
      <c r="E10397" s="275">
        <f t="shared" si="1377"/>
        <v>45306</v>
      </c>
      <c r="F10397" s="481"/>
      <c r="G10397" s="174" t="s">
        <v>74</v>
      </c>
      <c r="H10397" s="148" t="str" cm="1">
        <f t="array" ref="H10397">IFERROR(INDEX(INVESTOR_LIST[INVESTOR NAME],MATCH(I10397,INVESTOR_LIST[INVESTOR CODE],0),)," ")</f>
        <v xml:space="preserve"> </v>
      </c>
      <c r="J10397" s="133" t="s">
        <v>13</v>
      </c>
      <c r="K10397" s="218"/>
      <c r="L10397" s="218">
        <v>9620</v>
      </c>
    </row>
    <row r="10398" spans="1:12" x14ac:dyDescent="0.2">
      <c r="A10398" s="163">
        <v>2024</v>
      </c>
      <c r="B10398" s="163">
        <v>1</v>
      </c>
      <c r="C10398" s="163">
        <v>15</v>
      </c>
      <c r="D10398" s="280">
        <f t="shared" si="1376"/>
        <v>45306</v>
      </c>
      <c r="E10398" s="281">
        <f t="shared" si="1377"/>
        <v>45306</v>
      </c>
      <c r="F10398" s="480"/>
      <c r="G10398" s="221" t="s">
        <v>74</v>
      </c>
      <c r="H10398" s="145" t="str" cm="1">
        <f t="array" ref="H10398">IFERROR(INDEX(INVESTOR_LIST[INVESTOR NAME],MATCH(I10398,INVESTOR_LIST[INVESTOR CODE],0),)," ")</f>
        <v xml:space="preserve"> </v>
      </c>
      <c r="I10398" s="145"/>
      <c r="J10398" s="163" t="s">
        <v>53</v>
      </c>
      <c r="K10398" s="219"/>
      <c r="L10398" s="219">
        <v>2380</v>
      </c>
    </row>
    <row r="10399" spans="1:12" x14ac:dyDescent="0.2">
      <c r="A10399" s="133">
        <v>2024</v>
      </c>
      <c r="B10399" s="168">
        <v>1</v>
      </c>
      <c r="C10399" s="168">
        <v>16</v>
      </c>
      <c r="D10399" s="141">
        <f t="shared" si="1376"/>
        <v>45307</v>
      </c>
      <c r="E10399" s="275">
        <f t="shared" si="1377"/>
        <v>45307</v>
      </c>
      <c r="F10399" s="481" t="s">
        <v>2022</v>
      </c>
      <c r="G10399" s="174" t="s">
        <v>94</v>
      </c>
      <c r="H10399" s="174" t="str" cm="1">
        <f t="array" ref="H10399">IFERROR(INDEX(INVESTOR_LIST[INVESTOR NAME],MATCH(I10399,INVESTOR_LIST[INVESTOR CODE],0),)," ")</f>
        <v xml:space="preserve"> </v>
      </c>
      <c r="I10399" s="148" t="s">
        <v>348</v>
      </c>
      <c r="J10399" s="149" t="s">
        <v>168</v>
      </c>
      <c r="K10399" s="218">
        <v>54000</v>
      </c>
      <c r="L10399" s="218"/>
    </row>
    <row r="10400" spans="1:12" x14ac:dyDescent="0.2">
      <c r="A10400" s="163">
        <v>2024</v>
      </c>
      <c r="B10400" s="163">
        <v>1</v>
      </c>
      <c r="C10400" s="163">
        <v>16</v>
      </c>
      <c r="D10400" s="141">
        <f t="shared" si="1376"/>
        <v>45307</v>
      </c>
      <c r="E10400" s="275">
        <f t="shared" si="1377"/>
        <v>45307</v>
      </c>
      <c r="F10400" s="480"/>
      <c r="G10400" s="221" t="s">
        <v>94</v>
      </c>
      <c r="H10400" s="221" t="str" cm="1">
        <f t="array" ref="H10400">IFERROR(INDEX(INVESTOR_LIST[INVESTOR NAME],MATCH(I10400,INVESTOR_LIST[INVESTOR CODE],0),)," ")</f>
        <v xml:space="preserve"> </v>
      </c>
      <c r="I10400" s="145" t="s">
        <v>348</v>
      </c>
      <c r="J10400" s="146" t="s">
        <v>166</v>
      </c>
      <c r="K10400" s="219"/>
      <c r="L10400" s="219">
        <v>54000</v>
      </c>
    </row>
    <row r="10401" spans="1:14" x14ac:dyDescent="0.2">
      <c r="A10401" s="133">
        <v>2024</v>
      </c>
      <c r="B10401" s="168">
        <v>1</v>
      </c>
      <c r="C10401" s="168">
        <v>16</v>
      </c>
      <c r="D10401" s="141">
        <f t="shared" ref="D10401:D10409" si="1378">DATE(A10401,B10401,C10401)</f>
        <v>45307</v>
      </c>
      <c r="E10401" s="275">
        <f t="shared" ref="E10401:E10409" si="1379">DATE(A10401,B10401,C10401)</f>
        <v>45307</v>
      </c>
      <c r="F10401" s="481" t="s">
        <v>1890</v>
      </c>
      <c r="G10401" s="174" t="s">
        <v>94</v>
      </c>
      <c r="H10401" s="174" t="str" cm="1">
        <f t="array" ref="H10401">IFERROR(INDEX(INVESTOR_LIST[INVESTOR NAME],MATCH(I10401,INVESTOR_LIST[INVESTOR CODE],0),)," ")</f>
        <v xml:space="preserve"> </v>
      </c>
      <c r="I10401" s="148" t="s">
        <v>348</v>
      </c>
      <c r="J10401" s="149" t="s">
        <v>52</v>
      </c>
      <c r="K10401" s="218">
        <v>54000</v>
      </c>
      <c r="L10401" s="218"/>
    </row>
    <row r="10402" spans="1:14" x14ac:dyDescent="0.2">
      <c r="A10402" s="163">
        <v>2024</v>
      </c>
      <c r="B10402" s="163">
        <v>1</v>
      </c>
      <c r="C10402" s="163">
        <v>16</v>
      </c>
      <c r="D10402" s="141">
        <f t="shared" si="1378"/>
        <v>45307</v>
      </c>
      <c r="E10402" s="275">
        <f t="shared" si="1379"/>
        <v>45307</v>
      </c>
      <c r="F10402" s="480"/>
      <c r="G10402" s="221" t="s">
        <v>94</v>
      </c>
      <c r="H10402" s="221" t="str" cm="1">
        <f t="array" ref="H10402">IFERROR(INDEX(INVESTOR_LIST[INVESTOR NAME],MATCH(I10402,INVESTOR_LIST[INVESTOR CODE],0),)," ")</f>
        <v xml:space="preserve"> </v>
      </c>
      <c r="I10402" s="145" t="s">
        <v>348</v>
      </c>
      <c r="J10402" s="146" t="s">
        <v>168</v>
      </c>
      <c r="K10402" s="219"/>
      <c r="L10402" s="219">
        <v>54000</v>
      </c>
    </row>
    <row r="10403" spans="1:14" x14ac:dyDescent="0.2">
      <c r="A10403" s="133">
        <v>2024</v>
      </c>
      <c r="B10403" s="168">
        <v>1</v>
      </c>
      <c r="C10403" s="168">
        <v>16</v>
      </c>
      <c r="D10403" s="141">
        <f t="shared" si="1378"/>
        <v>45307</v>
      </c>
      <c r="E10403" s="275">
        <f t="shared" si="1379"/>
        <v>45307</v>
      </c>
      <c r="F10403" s="481" t="s">
        <v>982</v>
      </c>
      <c r="G10403" s="174" t="s">
        <v>74</v>
      </c>
      <c r="H10403" s="174" t="str" cm="1">
        <f t="array" ref="H10403">IFERROR(INDEX(INVESTOR_LIST[INVESTOR NAME],MATCH(I10403,INVESTOR_LIST[INVESTOR CODE],0),)," ")</f>
        <v xml:space="preserve"> </v>
      </c>
      <c r="I10403" s="148" t="s">
        <v>348</v>
      </c>
      <c r="J10403" s="149" t="s">
        <v>163</v>
      </c>
      <c r="K10403" s="218">
        <v>6250</v>
      </c>
      <c r="L10403" s="218"/>
    </row>
    <row r="10404" spans="1:14" x14ac:dyDescent="0.2">
      <c r="A10404" s="163">
        <v>2024</v>
      </c>
      <c r="B10404" s="163">
        <v>1</v>
      </c>
      <c r="C10404" s="163">
        <v>16</v>
      </c>
      <c r="D10404" s="280">
        <f t="shared" si="1378"/>
        <v>45307</v>
      </c>
      <c r="E10404" s="281">
        <f t="shared" si="1379"/>
        <v>45307</v>
      </c>
      <c r="F10404" s="480"/>
      <c r="G10404" s="221" t="s">
        <v>74</v>
      </c>
      <c r="H10404" s="221" t="str" cm="1">
        <f t="array" ref="H10404">IFERROR(INDEX(INVESTOR_LIST[INVESTOR NAME],MATCH(I10404,INVESTOR_LIST[INVESTOR CODE],0),)," ")</f>
        <v xml:space="preserve"> </v>
      </c>
      <c r="I10404" s="145" t="s">
        <v>348</v>
      </c>
      <c r="J10404" s="146" t="s">
        <v>52</v>
      </c>
      <c r="K10404" s="219"/>
      <c r="L10404" s="219">
        <v>6250</v>
      </c>
    </row>
    <row r="10405" spans="1:14" x14ac:dyDescent="0.2">
      <c r="A10405" s="133">
        <v>2024</v>
      </c>
      <c r="B10405" s="133">
        <v>1</v>
      </c>
      <c r="C10405" s="133">
        <v>17</v>
      </c>
      <c r="D10405" s="141">
        <f t="shared" si="1378"/>
        <v>45308</v>
      </c>
      <c r="E10405" s="275">
        <f t="shared" si="1379"/>
        <v>45308</v>
      </c>
      <c r="F10405" s="481" t="s">
        <v>1753</v>
      </c>
      <c r="G10405" s="174" t="s">
        <v>94</v>
      </c>
      <c r="H10405" s="174" t="str" cm="1">
        <f t="array" ref="H10405">IFERROR(INDEX(INVESTOR_LIST[INVESTOR NAME],MATCH(I10405,INVESTOR_LIST[INVESTOR CODE],0),)," ")</f>
        <v xml:space="preserve"> </v>
      </c>
      <c r="J10405" s="149" t="s">
        <v>190</v>
      </c>
      <c r="K10405" s="218">
        <v>255539.20000000001</v>
      </c>
      <c r="L10405" s="218"/>
      <c r="M10405" s="160"/>
    </row>
    <row r="10406" spans="1:14" x14ac:dyDescent="0.2">
      <c r="A10406" s="133">
        <v>2024</v>
      </c>
      <c r="B10406" s="133">
        <v>1</v>
      </c>
      <c r="C10406" s="133">
        <v>17</v>
      </c>
      <c r="D10406" s="141">
        <f t="shared" si="1378"/>
        <v>45308</v>
      </c>
      <c r="E10406" s="275">
        <f t="shared" si="1379"/>
        <v>45308</v>
      </c>
      <c r="F10406" s="481"/>
      <c r="G10406" s="174" t="s">
        <v>94</v>
      </c>
      <c r="H10406" s="174"/>
      <c r="J10406" s="149" t="s">
        <v>80</v>
      </c>
      <c r="K10406" s="218">
        <v>460.8</v>
      </c>
      <c r="L10406" s="218"/>
      <c r="N10406" s="264"/>
    </row>
    <row r="10407" spans="1:14" x14ac:dyDescent="0.2">
      <c r="A10407" s="133">
        <v>2024</v>
      </c>
      <c r="B10407" s="133">
        <v>1</v>
      </c>
      <c r="C10407" s="133">
        <v>17</v>
      </c>
      <c r="D10407" s="141">
        <f t="shared" si="1378"/>
        <v>45308</v>
      </c>
      <c r="E10407" s="275">
        <f t="shared" si="1379"/>
        <v>45308</v>
      </c>
      <c r="F10407" s="481"/>
      <c r="G10407" s="174" t="s">
        <v>94</v>
      </c>
      <c r="H10407" s="174" t="str" cm="1">
        <f t="array" ref="H10407">IFERROR(INDEX(INVESTOR_LIST[INVESTOR NAME],MATCH(I10407,INVESTOR_LIST[INVESTOR CODE],0),)," ")</f>
        <v xml:space="preserve"> </v>
      </c>
      <c r="J10407" s="149" t="s">
        <v>191</v>
      </c>
      <c r="K10407" s="218"/>
      <c r="L10407" s="218">
        <v>21978.97</v>
      </c>
      <c r="N10407" s="264"/>
    </row>
    <row r="10408" spans="1:14" x14ac:dyDescent="0.2">
      <c r="A10408" s="163">
        <v>2024</v>
      </c>
      <c r="B10408" s="163">
        <v>1</v>
      </c>
      <c r="C10408" s="163">
        <v>17</v>
      </c>
      <c r="D10408" s="280">
        <f t="shared" si="1378"/>
        <v>45308</v>
      </c>
      <c r="E10408" s="281">
        <f t="shared" si="1379"/>
        <v>45308</v>
      </c>
      <c r="F10408" s="480"/>
      <c r="G10408" s="221" t="s">
        <v>94</v>
      </c>
      <c r="H10408" s="145" t="str" cm="1">
        <f t="array" ref="H10408">IFERROR(INDEX(INVESTOR_LIST[INVESTOR NAME],MATCH(I10408,INVESTOR_LIST[INVESTOR CODE],0),)," ")</f>
        <v xml:space="preserve"> </v>
      </c>
      <c r="I10408" s="145"/>
      <c r="J10408" s="163" t="s">
        <v>79</v>
      </c>
      <c r="K10408" s="219"/>
      <c r="L10408" s="219">
        <v>234021.03</v>
      </c>
      <c r="N10408" s="264"/>
    </row>
    <row r="10409" spans="1:14" x14ac:dyDescent="0.2">
      <c r="A10409" s="168">
        <v>2024</v>
      </c>
      <c r="B10409" s="168">
        <v>1</v>
      </c>
      <c r="C10409" s="168">
        <v>17</v>
      </c>
      <c r="D10409" s="141">
        <f t="shared" si="1378"/>
        <v>45308</v>
      </c>
      <c r="E10409" s="275">
        <f t="shared" si="1379"/>
        <v>45308</v>
      </c>
      <c r="F10409" s="479" t="s">
        <v>1757</v>
      </c>
      <c r="G10409" s="220" t="s">
        <v>74</v>
      </c>
      <c r="H10409" s="220" t="str" cm="1">
        <f t="array" ref="H10409">IFERROR(INDEX(INVESTOR_LIST[INVESTOR NAME],MATCH(I10409,INVESTOR_LIST[INVESTOR CODE],0),)," ")</f>
        <v xml:space="preserve"> </v>
      </c>
      <c r="I10409" s="142"/>
      <c r="J10409" s="143" t="s">
        <v>52</v>
      </c>
      <c r="K10409" s="226">
        <v>557834.09</v>
      </c>
      <c r="L10409" s="226"/>
    </row>
    <row r="10410" spans="1:14" ht="10.5" customHeight="1" x14ac:dyDescent="0.2">
      <c r="A10410" s="163">
        <v>2024</v>
      </c>
      <c r="B10410" s="163">
        <v>1</v>
      </c>
      <c r="C10410" s="163">
        <v>17</v>
      </c>
      <c r="D10410" s="280">
        <f>DATE(A10410,B10410,C10410)</f>
        <v>45308</v>
      </c>
      <c r="E10410" s="281">
        <f>DATE(A10410,B10410,C10410)</f>
        <v>45308</v>
      </c>
      <c r="F10410" s="480"/>
      <c r="G10410" s="221" t="s">
        <v>74</v>
      </c>
      <c r="H10410" s="221" t="str" cm="1">
        <f t="array" ref="H10410">IFERROR(INDEX(INVESTOR_LIST[INVESTOR NAME],MATCH(I10410,INVESTOR_LIST[INVESTOR CODE],0),)," ")</f>
        <v xml:space="preserve"> </v>
      </c>
      <c r="I10410" s="145"/>
      <c r="J10410" s="146" t="s">
        <v>190</v>
      </c>
      <c r="K10410" s="219"/>
      <c r="L10410" s="219">
        <v>557834.09</v>
      </c>
    </row>
    <row r="10411" spans="1:14" ht="11.25" customHeight="1" x14ac:dyDescent="0.2">
      <c r="A10411" s="168">
        <v>2024</v>
      </c>
      <c r="B10411" s="168">
        <v>1</v>
      </c>
      <c r="C10411" s="168">
        <v>17</v>
      </c>
      <c r="D10411" s="141">
        <f t="shared" ref="D10411:D10413" si="1380">DATE(A10411,B10411,C10411)</f>
        <v>45308</v>
      </c>
      <c r="E10411" s="275">
        <f t="shared" ref="E10411:E10413" si="1381">DATE(A10411,B10411,C10411)</f>
        <v>45308</v>
      </c>
      <c r="F10411" s="479" t="s">
        <v>1310</v>
      </c>
      <c r="G10411" s="220" t="s">
        <v>74</v>
      </c>
      <c r="H10411" s="142" t="str" cm="1">
        <f t="array" ref="H10411">IFERROR(INDEX(INVESTOR_LIST[INVESTOR NAME],MATCH(I10411,INVESTOR_LIST[INVESTOR CODE],0),)," ")</f>
        <v>SYED FAZLE RABBY</v>
      </c>
      <c r="I10411" s="142" t="s">
        <v>427</v>
      </c>
      <c r="J10411" s="168" t="s">
        <v>13</v>
      </c>
      <c r="K10411" s="218">
        <v>139120</v>
      </c>
      <c r="L10411" s="226"/>
    </row>
    <row r="10412" spans="1:14" ht="11.25" customHeight="1" x14ac:dyDescent="0.2">
      <c r="A10412" s="133">
        <v>2024</v>
      </c>
      <c r="B10412" s="133">
        <v>1</v>
      </c>
      <c r="C10412" s="133">
        <v>17</v>
      </c>
      <c r="D10412" s="141">
        <f t="shared" si="1380"/>
        <v>45308</v>
      </c>
      <c r="E10412" s="275">
        <f t="shared" si="1381"/>
        <v>45308</v>
      </c>
      <c r="F10412" s="481"/>
      <c r="G10412" s="174" t="s">
        <v>74</v>
      </c>
      <c r="H10412" s="148" t="str" cm="1">
        <f t="array" ref="H10412">IFERROR(INDEX(INVESTOR_LIST[INVESTOR NAME],MATCH(I10412,INVESTOR_LIST[INVESTOR CODE],0),)," ")</f>
        <v>SYED FAZLE RABBY</v>
      </c>
      <c r="I10412" s="148" t="s">
        <v>427</v>
      </c>
      <c r="J10412" s="133" t="s">
        <v>53</v>
      </c>
      <c r="K10412" s="218">
        <v>34262.760000000009</v>
      </c>
      <c r="L10412" s="133"/>
    </row>
    <row r="10413" spans="1:14" ht="11.25" customHeight="1" x14ac:dyDescent="0.2">
      <c r="A10413" s="163">
        <v>2024</v>
      </c>
      <c r="B10413" s="163">
        <v>1</v>
      </c>
      <c r="C10413" s="163">
        <v>17</v>
      </c>
      <c r="D10413" s="280">
        <f t="shared" si="1380"/>
        <v>45308</v>
      </c>
      <c r="E10413" s="281">
        <f t="shared" si="1381"/>
        <v>45308</v>
      </c>
      <c r="F10413" s="480"/>
      <c r="G10413" s="221" t="s">
        <v>74</v>
      </c>
      <c r="H10413" s="145" t="str" cm="1">
        <f t="array" ref="H10413">IFERROR(INDEX(INVESTOR_LIST[INVESTOR NAME],MATCH(I10413,INVESTOR_LIST[INVESTOR CODE],0),)," ")</f>
        <v>SYED FAZLE RABBY</v>
      </c>
      <c r="I10413" s="145" t="s">
        <v>427</v>
      </c>
      <c r="J10413" s="163" t="s">
        <v>52</v>
      </c>
      <c r="K10413" s="219"/>
      <c r="L10413" s="219">
        <v>173382.76</v>
      </c>
    </row>
    <row r="10414" spans="1:14" ht="11.25" customHeight="1" x14ac:dyDescent="0.2">
      <c r="A10414" s="168">
        <v>2024</v>
      </c>
      <c r="B10414" s="168">
        <v>1</v>
      </c>
      <c r="C10414" s="168">
        <v>18</v>
      </c>
      <c r="D10414" s="141">
        <f t="shared" ref="D10414:D10433" si="1382">DATE(A10414,B10414,C10414)</f>
        <v>45309</v>
      </c>
      <c r="E10414" s="275">
        <f t="shared" ref="E10414:E10433" si="1383">DATE(A10414,B10414,C10414)</f>
        <v>45309</v>
      </c>
      <c r="F10414" s="479" t="s">
        <v>1448</v>
      </c>
      <c r="G10414" s="220" t="s">
        <v>74</v>
      </c>
      <c r="H10414" s="142" t="str" cm="1">
        <f t="array" ref="H10414">IFERROR(INDEX(INVESTOR_LIST[INVESTOR NAME],MATCH(I10414,INVESTOR_LIST[INVESTOR CODE],0),)," ")</f>
        <v>MD KAMAL HOSSAIN</v>
      </c>
      <c r="I10414" s="142" t="s">
        <v>723</v>
      </c>
      <c r="J10414" s="168" t="s">
        <v>13</v>
      </c>
      <c r="K10414" s="218">
        <v>163510</v>
      </c>
      <c r="L10414" s="226"/>
    </row>
    <row r="10415" spans="1:14" ht="11.25" customHeight="1" x14ac:dyDescent="0.2">
      <c r="A10415" s="133">
        <v>2024</v>
      </c>
      <c r="B10415" s="133">
        <v>1</v>
      </c>
      <c r="C10415" s="133">
        <v>18</v>
      </c>
      <c r="D10415" s="141">
        <f t="shared" si="1382"/>
        <v>45309</v>
      </c>
      <c r="E10415" s="275">
        <f t="shared" si="1383"/>
        <v>45309</v>
      </c>
      <c r="F10415" s="481"/>
      <c r="G10415" s="174" t="s">
        <v>74</v>
      </c>
      <c r="H10415" s="148" t="str" cm="1">
        <f t="array" ref="H10415">IFERROR(INDEX(INVESTOR_LIST[INVESTOR NAME],MATCH(I10415,INVESTOR_LIST[INVESTOR CODE],0),)," ")</f>
        <v>MD KAMAL HOSSAIN</v>
      </c>
      <c r="I10415" s="148" t="s">
        <v>723</v>
      </c>
      <c r="J10415" s="133" t="s">
        <v>53</v>
      </c>
      <c r="K10415" s="218">
        <v>40269.019999999997</v>
      </c>
      <c r="L10415" s="133"/>
    </row>
    <row r="10416" spans="1:14" ht="11.25" customHeight="1" x14ac:dyDescent="0.2">
      <c r="A10416" s="163">
        <v>2024</v>
      </c>
      <c r="B10416" s="163">
        <v>1</v>
      </c>
      <c r="C10416" s="163">
        <v>18</v>
      </c>
      <c r="D10416" s="280">
        <f t="shared" si="1382"/>
        <v>45309</v>
      </c>
      <c r="E10416" s="281">
        <f t="shared" si="1383"/>
        <v>45309</v>
      </c>
      <c r="F10416" s="480"/>
      <c r="G10416" s="221" t="s">
        <v>74</v>
      </c>
      <c r="H10416" s="145" t="str" cm="1">
        <f t="array" ref="H10416">IFERROR(INDEX(INVESTOR_LIST[INVESTOR NAME],MATCH(I10416,INVESTOR_LIST[INVESTOR CODE],0),)," ")</f>
        <v>MD KAMAL HOSSAIN</v>
      </c>
      <c r="I10416" s="145" t="s">
        <v>723</v>
      </c>
      <c r="J10416" s="163" t="s">
        <v>52</v>
      </c>
      <c r="K10416" s="219"/>
      <c r="L10416" s="219">
        <v>203779.02</v>
      </c>
    </row>
    <row r="10417" spans="1:17" x14ac:dyDescent="0.2">
      <c r="A10417" s="133">
        <v>2024</v>
      </c>
      <c r="B10417" s="133">
        <v>1</v>
      </c>
      <c r="C10417" s="133">
        <v>18</v>
      </c>
      <c r="D10417" s="141">
        <f t="shared" si="1382"/>
        <v>45309</v>
      </c>
      <c r="E10417" s="275">
        <f t="shared" si="1383"/>
        <v>45309</v>
      </c>
      <c r="F10417" s="481" t="s">
        <v>275</v>
      </c>
      <c r="G10417" s="174" t="s">
        <v>74</v>
      </c>
      <c r="H10417" s="174" t="str" cm="1">
        <f t="array" ref="H10417">IFERROR(INDEX(INVESTOR_LIST[INVESTOR NAME],MATCH(I10417,INVESTOR_LIST[INVESTOR CODE],0),)," ")</f>
        <v xml:space="preserve"> </v>
      </c>
      <c r="I10417" s="148" t="s">
        <v>348</v>
      </c>
      <c r="J10417" s="149" t="s">
        <v>163</v>
      </c>
      <c r="K10417" s="218">
        <v>1575</v>
      </c>
      <c r="L10417" s="218"/>
      <c r="M10417" s="147"/>
      <c r="Q10417" s="133" t="s">
        <v>348</v>
      </c>
    </row>
    <row r="10418" spans="1:17" x14ac:dyDescent="0.2">
      <c r="A10418" s="163">
        <v>2024</v>
      </c>
      <c r="B10418" s="163">
        <v>1</v>
      </c>
      <c r="C10418" s="163">
        <v>18</v>
      </c>
      <c r="D10418" s="141">
        <f t="shared" si="1382"/>
        <v>45309</v>
      </c>
      <c r="E10418" s="275">
        <f t="shared" si="1383"/>
        <v>45309</v>
      </c>
      <c r="F10418" s="480"/>
      <c r="G10418" s="221" t="s">
        <v>74</v>
      </c>
      <c r="H10418" s="221" t="str" cm="1">
        <f t="array" ref="H10418">IFERROR(INDEX(INVESTOR_LIST[INVESTOR NAME],MATCH(I10418,INVESTOR_LIST[INVESTOR CODE],0),)," ")</f>
        <v xml:space="preserve"> </v>
      </c>
      <c r="I10418" s="145"/>
      <c r="J10418" s="146" t="s">
        <v>52</v>
      </c>
      <c r="K10418" s="219"/>
      <c r="L10418" s="219">
        <v>1575</v>
      </c>
      <c r="M10418" s="147"/>
      <c r="Q10418" s="133" t="s">
        <v>348</v>
      </c>
    </row>
    <row r="10419" spans="1:17" x14ac:dyDescent="0.2">
      <c r="A10419" s="343">
        <v>2024</v>
      </c>
      <c r="B10419" s="343">
        <v>1</v>
      </c>
      <c r="C10419" s="343">
        <v>18</v>
      </c>
      <c r="D10419" s="344">
        <f t="shared" si="1382"/>
        <v>45309</v>
      </c>
      <c r="E10419" s="345">
        <f t="shared" si="1383"/>
        <v>45309</v>
      </c>
      <c r="F10419" s="483" t="s">
        <v>1813</v>
      </c>
      <c r="G10419" s="350" t="s">
        <v>94</v>
      </c>
      <c r="H10419" s="350" t="str" cm="1">
        <f t="array" ref="H10419">IFERROR(INDEX(INVESTOR_LIST[INVESTOR NAME],MATCH(I10419,INVESTOR_LIST[INVESTOR CODE],0),)," ")</f>
        <v xml:space="preserve"> </v>
      </c>
      <c r="I10419" s="352" t="s">
        <v>348</v>
      </c>
      <c r="J10419" s="353" t="s">
        <v>1798</v>
      </c>
      <c r="K10419" s="354">
        <v>27764</v>
      </c>
      <c r="L10419" s="354"/>
    </row>
    <row r="10420" spans="1:17" x14ac:dyDescent="0.2">
      <c r="A10420" s="346">
        <v>2024</v>
      </c>
      <c r="B10420" s="346">
        <v>1</v>
      </c>
      <c r="C10420" s="346">
        <v>18</v>
      </c>
      <c r="D10420" s="344">
        <f t="shared" si="1382"/>
        <v>45309</v>
      </c>
      <c r="E10420" s="345">
        <f t="shared" si="1383"/>
        <v>45309</v>
      </c>
      <c r="F10420" s="484"/>
      <c r="G10420" s="347" t="s">
        <v>94</v>
      </c>
      <c r="H10420" s="347" t="str" cm="1">
        <f t="array" ref="H10420">IFERROR(INDEX(INVESTOR_LIST[INVESTOR NAME],MATCH(I10420,INVESTOR_LIST[INVESTOR CODE],0),)," ")</f>
        <v xml:space="preserve"> </v>
      </c>
      <c r="I10420" s="348" t="s">
        <v>348</v>
      </c>
      <c r="J10420" s="355" t="s">
        <v>1807</v>
      </c>
      <c r="K10420" s="349"/>
      <c r="L10420" s="349">
        <v>27764</v>
      </c>
    </row>
    <row r="10421" spans="1:17" x14ac:dyDescent="0.2">
      <c r="A10421" s="238">
        <v>2024</v>
      </c>
      <c r="B10421" s="238">
        <v>1</v>
      </c>
      <c r="C10421" s="238">
        <v>18</v>
      </c>
      <c r="D10421" s="270">
        <f t="shared" si="1382"/>
        <v>45309</v>
      </c>
      <c r="E10421" s="279">
        <f t="shared" si="1383"/>
        <v>45309</v>
      </c>
      <c r="F10421" s="477" t="s">
        <v>347</v>
      </c>
      <c r="G10421" s="239" t="s">
        <v>94</v>
      </c>
      <c r="H10421" s="239" t="str" cm="1">
        <f t="array" ref="H10421">IFERROR(INDEX(INVESTOR_LIST[INVESTOR NAME],MATCH(I10421,INVESTOR_LIST[INVESTOR CODE],0),)," ")</f>
        <v xml:space="preserve"> </v>
      </c>
      <c r="I10421" s="262" t="s">
        <v>348</v>
      </c>
      <c r="J10421" s="240" t="s">
        <v>108</v>
      </c>
      <c r="K10421" s="241">
        <v>25479.910000011325</v>
      </c>
      <c r="L10421" s="241"/>
    </row>
    <row r="10422" spans="1:17" x14ac:dyDescent="0.2">
      <c r="A10422" s="242">
        <v>2024</v>
      </c>
      <c r="B10422" s="242">
        <v>1</v>
      </c>
      <c r="C10422" s="242">
        <v>18</v>
      </c>
      <c r="D10422" s="270">
        <f t="shared" si="1382"/>
        <v>45309</v>
      </c>
      <c r="E10422" s="279">
        <f t="shared" si="1383"/>
        <v>45309</v>
      </c>
      <c r="F10422" s="478"/>
      <c r="G10422" s="243" t="s">
        <v>94</v>
      </c>
      <c r="H10422" s="243" t="str" cm="1">
        <f t="array" ref="H10422">IFERROR(INDEX(INVESTOR_LIST[INVESTOR NAME],MATCH(I10422,INVESTOR_LIST[INVESTOR CODE],0),)," ")</f>
        <v xml:space="preserve"> </v>
      </c>
      <c r="I10422" s="263" t="s">
        <v>348</v>
      </c>
      <c r="J10422" s="244" t="s">
        <v>82</v>
      </c>
      <c r="K10422" s="245"/>
      <c r="L10422" s="245">
        <v>25479.910000011325</v>
      </c>
    </row>
    <row r="10423" spans="1:17" ht="22.5" x14ac:dyDescent="0.2">
      <c r="A10423" s="246">
        <v>2024</v>
      </c>
      <c r="B10423" s="238">
        <v>1</v>
      </c>
      <c r="C10423" s="238">
        <v>18</v>
      </c>
      <c r="D10423" s="270">
        <f t="shared" si="1382"/>
        <v>45309</v>
      </c>
      <c r="E10423" s="279">
        <f t="shared" si="1383"/>
        <v>45309</v>
      </c>
      <c r="F10423" s="482" t="s">
        <v>148</v>
      </c>
      <c r="G10423" s="247" t="s">
        <v>94</v>
      </c>
      <c r="H10423" s="247" t="str" cm="1">
        <f t="array" ref="H10423">IFERROR(INDEX(INVESTOR_LIST[INVESTOR NAME],MATCH(I10423,INVESTOR_LIST[INVESTOR CODE],0),)," ")</f>
        <v xml:space="preserve"> </v>
      </c>
      <c r="I10423" s="248" t="s">
        <v>348</v>
      </c>
      <c r="J10423" s="249" t="s">
        <v>95</v>
      </c>
      <c r="K10423" s="250">
        <v>2747.2527472527472</v>
      </c>
      <c r="L10423" s="241"/>
    </row>
    <row r="10424" spans="1:17" x14ac:dyDescent="0.2">
      <c r="A10424" s="242">
        <v>2024</v>
      </c>
      <c r="B10424" s="242">
        <v>1</v>
      </c>
      <c r="C10424" s="242">
        <v>18</v>
      </c>
      <c r="D10424" s="270">
        <f t="shared" si="1382"/>
        <v>45309</v>
      </c>
      <c r="E10424" s="279">
        <f t="shared" si="1383"/>
        <v>45309</v>
      </c>
      <c r="F10424" s="478"/>
      <c r="G10424" s="243" t="s">
        <v>94</v>
      </c>
      <c r="H10424" s="243" t="str" cm="1">
        <f t="array" ref="H10424">IFERROR(INDEX(INVESTOR_LIST[INVESTOR NAME],MATCH(I10424,INVESTOR_LIST[INVESTOR CODE],0),)," ")</f>
        <v xml:space="preserve"> </v>
      </c>
      <c r="I10424" s="263" t="s">
        <v>348</v>
      </c>
      <c r="J10424" s="244" t="s">
        <v>63</v>
      </c>
      <c r="K10424" s="245"/>
      <c r="L10424" s="245">
        <v>2747.2527472527472</v>
      </c>
    </row>
    <row r="10425" spans="1:17" x14ac:dyDescent="0.2">
      <c r="A10425" s="246">
        <v>2024</v>
      </c>
      <c r="B10425" s="238">
        <v>1</v>
      </c>
      <c r="C10425" s="238">
        <v>18</v>
      </c>
      <c r="D10425" s="270">
        <f t="shared" si="1382"/>
        <v>45309</v>
      </c>
      <c r="E10425" s="279">
        <f t="shared" si="1383"/>
        <v>45309</v>
      </c>
      <c r="F10425" s="482" t="s">
        <v>137</v>
      </c>
      <c r="G10425" s="247" t="s">
        <v>94</v>
      </c>
      <c r="H10425" s="247" t="str" cm="1">
        <f t="array" ref="H10425">IFERROR(INDEX(INVESTOR_LIST[INVESTOR NAME],MATCH(I10425,INVESTOR_LIST[INVESTOR CODE],0),)," ")</f>
        <v xml:space="preserve"> </v>
      </c>
      <c r="I10425" s="248" t="s">
        <v>348</v>
      </c>
      <c r="J10425" s="249" t="s">
        <v>97</v>
      </c>
      <c r="K10425" s="250">
        <v>58398.92699262446</v>
      </c>
      <c r="L10425" s="252"/>
    </row>
    <row r="10426" spans="1:17" x14ac:dyDescent="0.2">
      <c r="A10426" s="242">
        <v>2024</v>
      </c>
      <c r="B10426" s="242">
        <v>1</v>
      </c>
      <c r="C10426" s="242">
        <v>18</v>
      </c>
      <c r="D10426" s="270">
        <f t="shared" si="1382"/>
        <v>45309</v>
      </c>
      <c r="E10426" s="279">
        <f t="shared" si="1383"/>
        <v>45309</v>
      </c>
      <c r="F10426" s="478"/>
      <c r="G10426" s="243" t="s">
        <v>94</v>
      </c>
      <c r="H10426" s="243" t="str" cm="1">
        <f t="array" ref="H10426">IFERROR(INDEX(INVESTOR_LIST[INVESTOR NAME],MATCH(I10426,INVESTOR_LIST[INVESTOR CODE],0),)," ")</f>
        <v xml:space="preserve"> </v>
      </c>
      <c r="I10426" s="263" t="s">
        <v>348</v>
      </c>
      <c r="J10426" s="244" t="s">
        <v>47</v>
      </c>
      <c r="K10426" s="245"/>
      <c r="L10426" s="245">
        <v>58398.92699262446</v>
      </c>
    </row>
    <row r="10427" spans="1:17" x14ac:dyDescent="0.2">
      <c r="A10427" s="246">
        <v>2024</v>
      </c>
      <c r="B10427" s="238">
        <v>1</v>
      </c>
      <c r="C10427" s="238">
        <v>18</v>
      </c>
      <c r="D10427" s="270">
        <f t="shared" si="1382"/>
        <v>45309</v>
      </c>
      <c r="E10427" s="279">
        <f t="shared" si="1383"/>
        <v>45309</v>
      </c>
      <c r="F10427" s="482" t="s">
        <v>138</v>
      </c>
      <c r="G10427" s="247" t="s">
        <v>94</v>
      </c>
      <c r="H10427" s="247" t="str" cm="1">
        <f t="array" ref="H10427">IFERROR(INDEX(INVESTOR_LIST[INVESTOR NAME],MATCH(I10427,INVESTOR_LIST[INVESTOR CODE],0),)," ")</f>
        <v xml:space="preserve"> </v>
      </c>
      <c r="I10427" s="248" t="s">
        <v>348</v>
      </c>
      <c r="J10427" s="249" t="s">
        <v>100</v>
      </c>
      <c r="K10427" s="250">
        <v>2679.5617342466076</v>
      </c>
      <c r="L10427" s="252"/>
    </row>
    <row r="10428" spans="1:17" x14ac:dyDescent="0.2">
      <c r="A10428" s="242">
        <v>2024</v>
      </c>
      <c r="B10428" s="242">
        <v>1</v>
      </c>
      <c r="C10428" s="242">
        <v>18</v>
      </c>
      <c r="D10428" s="321">
        <f t="shared" si="1382"/>
        <v>45309</v>
      </c>
      <c r="E10428" s="322">
        <f t="shared" si="1383"/>
        <v>45309</v>
      </c>
      <c r="F10428" s="478"/>
      <c r="G10428" s="243" t="s">
        <v>94</v>
      </c>
      <c r="H10428" s="243" t="str" cm="1">
        <f t="array" ref="H10428">IFERROR(INDEX(INVESTOR_LIST[INVESTOR NAME],MATCH(I10428,INVESTOR_LIST[INVESTOR CODE],0),)," ")</f>
        <v xml:space="preserve"> </v>
      </c>
      <c r="I10428" s="263" t="s">
        <v>348</v>
      </c>
      <c r="J10428" s="244" t="s">
        <v>48</v>
      </c>
      <c r="K10428" s="245"/>
      <c r="L10428" s="245">
        <v>2679.5617342466076</v>
      </c>
    </row>
    <row r="10429" spans="1:17" x14ac:dyDescent="0.2">
      <c r="A10429" s="133">
        <v>2024</v>
      </c>
      <c r="B10429" s="133">
        <v>1</v>
      </c>
      <c r="C10429" s="133">
        <v>21</v>
      </c>
      <c r="D10429" s="141">
        <f t="shared" si="1382"/>
        <v>45312</v>
      </c>
      <c r="E10429" s="275">
        <f t="shared" si="1383"/>
        <v>45312</v>
      </c>
      <c r="F10429" s="481" t="s">
        <v>1753</v>
      </c>
      <c r="G10429" s="174" t="s">
        <v>94</v>
      </c>
      <c r="H10429" s="174" t="str" cm="1">
        <f t="array" ref="H10429">IFERROR(INDEX(INVESTOR_LIST[INVESTOR NAME],MATCH(I10429,INVESTOR_LIST[INVESTOR CODE],0),)," ")</f>
        <v xml:space="preserve"> </v>
      </c>
      <c r="J10429" s="149" t="s">
        <v>190</v>
      </c>
      <c r="K10429" s="218">
        <v>513074.79</v>
      </c>
      <c r="L10429" s="218"/>
      <c r="M10429" s="160"/>
    </row>
    <row r="10430" spans="1:17" x14ac:dyDescent="0.2">
      <c r="A10430" s="133">
        <v>2024</v>
      </c>
      <c r="B10430" s="133">
        <v>1</v>
      </c>
      <c r="C10430" s="133">
        <v>21</v>
      </c>
      <c r="D10430" s="141">
        <f t="shared" si="1382"/>
        <v>45312</v>
      </c>
      <c r="E10430" s="275">
        <f t="shared" si="1383"/>
        <v>45312</v>
      </c>
      <c r="F10430" s="481"/>
      <c r="G10430" s="174" t="s">
        <v>94</v>
      </c>
      <c r="H10430" s="174"/>
      <c r="J10430" s="149" t="s">
        <v>80</v>
      </c>
      <c r="K10430" s="218">
        <v>925.21</v>
      </c>
      <c r="L10430" s="218"/>
      <c r="N10430" s="264"/>
    </row>
    <row r="10431" spans="1:17" x14ac:dyDescent="0.2">
      <c r="A10431" s="133">
        <v>2024</v>
      </c>
      <c r="B10431" s="133">
        <v>1</v>
      </c>
      <c r="C10431" s="133">
        <v>21</v>
      </c>
      <c r="D10431" s="141">
        <f t="shared" si="1382"/>
        <v>45312</v>
      </c>
      <c r="E10431" s="275">
        <f t="shared" si="1383"/>
        <v>45312</v>
      </c>
      <c r="F10431" s="481"/>
      <c r="G10431" s="174" t="s">
        <v>94</v>
      </c>
      <c r="H10431" s="174" t="str" cm="1">
        <f t="array" ref="H10431">IFERROR(INDEX(INVESTOR_LIST[INVESTOR NAME],MATCH(I10431,INVESTOR_LIST[INVESTOR CODE],0),)," ")</f>
        <v xml:space="preserve"> </v>
      </c>
      <c r="J10431" s="149" t="s">
        <v>191</v>
      </c>
      <c r="K10431" s="218"/>
      <c r="L10431" s="218">
        <v>45957.94</v>
      </c>
      <c r="N10431" s="264"/>
    </row>
    <row r="10432" spans="1:17" x14ac:dyDescent="0.2">
      <c r="A10432" s="163">
        <v>2024</v>
      </c>
      <c r="B10432" s="163">
        <v>1</v>
      </c>
      <c r="C10432" s="163">
        <v>21</v>
      </c>
      <c r="D10432" s="280">
        <f t="shared" si="1382"/>
        <v>45312</v>
      </c>
      <c r="E10432" s="281">
        <f t="shared" si="1383"/>
        <v>45312</v>
      </c>
      <c r="F10432" s="480"/>
      <c r="G10432" s="221" t="s">
        <v>94</v>
      </c>
      <c r="H10432" s="145" t="str" cm="1">
        <f t="array" ref="H10432">IFERROR(INDEX(INVESTOR_LIST[INVESTOR NAME],MATCH(I10432,INVESTOR_LIST[INVESTOR CODE],0),)," ")</f>
        <v xml:space="preserve"> </v>
      </c>
      <c r="I10432" s="145"/>
      <c r="J10432" s="163" t="s">
        <v>79</v>
      </c>
      <c r="K10432" s="219"/>
      <c r="L10432" s="219">
        <v>468042.06</v>
      </c>
      <c r="N10432" s="264"/>
    </row>
    <row r="10433" spans="1:14" x14ac:dyDescent="0.2">
      <c r="A10433" s="168">
        <v>2024</v>
      </c>
      <c r="B10433" s="168">
        <v>1</v>
      </c>
      <c r="C10433" s="168">
        <v>22</v>
      </c>
      <c r="D10433" s="141">
        <f t="shared" si="1382"/>
        <v>45313</v>
      </c>
      <c r="E10433" s="275">
        <f t="shared" si="1383"/>
        <v>45313</v>
      </c>
      <c r="F10433" s="479" t="s">
        <v>1757</v>
      </c>
      <c r="G10433" s="220" t="s">
        <v>74</v>
      </c>
      <c r="H10433" s="220" t="str" cm="1">
        <f t="array" ref="H10433">IFERROR(INDEX(INVESTOR_LIST[INVESTOR NAME],MATCH(I10433,INVESTOR_LIST[INVESTOR CODE],0),)," ")</f>
        <v xml:space="preserve"> </v>
      </c>
      <c r="I10433" s="142"/>
      <c r="J10433" s="143" t="s">
        <v>52</v>
      </c>
      <c r="K10433" s="226">
        <v>255539.20000000001</v>
      </c>
      <c r="L10433" s="226"/>
    </row>
    <row r="10434" spans="1:14" ht="10.5" customHeight="1" x14ac:dyDescent="0.2">
      <c r="A10434" s="163">
        <v>2024</v>
      </c>
      <c r="B10434" s="163">
        <v>1</v>
      </c>
      <c r="C10434" s="163">
        <v>22</v>
      </c>
      <c r="D10434" s="280">
        <f>DATE(A10434,B10434,C10434)</f>
        <v>45313</v>
      </c>
      <c r="E10434" s="281">
        <f>DATE(A10434,B10434,C10434)</f>
        <v>45313</v>
      </c>
      <c r="F10434" s="480"/>
      <c r="G10434" s="221" t="s">
        <v>74</v>
      </c>
      <c r="H10434" s="221" t="str" cm="1">
        <f t="array" ref="H10434">IFERROR(INDEX(INVESTOR_LIST[INVESTOR NAME],MATCH(I10434,INVESTOR_LIST[INVESTOR CODE],0),)," ")</f>
        <v xml:space="preserve"> </v>
      </c>
      <c r="I10434" s="145"/>
      <c r="J10434" s="146" t="s">
        <v>190</v>
      </c>
      <c r="K10434" s="219"/>
      <c r="L10434" s="219">
        <v>255539.20000000001</v>
      </c>
    </row>
    <row r="10435" spans="1:14" x14ac:dyDescent="0.2">
      <c r="A10435" s="133">
        <v>2024</v>
      </c>
      <c r="B10435" s="133">
        <v>1</v>
      </c>
      <c r="C10435" s="133">
        <v>22</v>
      </c>
      <c r="D10435" s="141">
        <f t="shared" ref="D10435:D10440" si="1384">DATE(A10435,B10435,C10435)</f>
        <v>45313</v>
      </c>
      <c r="E10435" s="275">
        <f t="shared" ref="E10435:E10440" si="1385">DATE(A10435,B10435,C10435)</f>
        <v>45313</v>
      </c>
      <c r="F10435" s="481" t="s">
        <v>1753</v>
      </c>
      <c r="G10435" s="174" t="s">
        <v>94</v>
      </c>
      <c r="H10435" s="174" t="str" cm="1">
        <f t="array" ref="H10435">IFERROR(INDEX(INVESTOR_LIST[INVESTOR NAME],MATCH(I10435,INVESTOR_LIST[INVESTOR CODE],0),)," ")</f>
        <v xml:space="preserve"> </v>
      </c>
      <c r="J10435" s="149" t="s">
        <v>190</v>
      </c>
      <c r="K10435" s="218">
        <v>259032.91</v>
      </c>
      <c r="L10435" s="218"/>
      <c r="M10435" s="160"/>
    </row>
    <row r="10436" spans="1:14" x14ac:dyDescent="0.2">
      <c r="A10436" s="133">
        <v>2024</v>
      </c>
      <c r="B10436" s="133">
        <v>1</v>
      </c>
      <c r="C10436" s="133">
        <v>22</v>
      </c>
      <c r="D10436" s="141">
        <f t="shared" si="1384"/>
        <v>45313</v>
      </c>
      <c r="E10436" s="275">
        <f t="shared" si="1385"/>
        <v>45313</v>
      </c>
      <c r="F10436" s="481"/>
      <c r="G10436" s="174" t="s">
        <v>94</v>
      </c>
      <c r="H10436" s="174"/>
      <c r="J10436" s="149" t="s">
        <v>80</v>
      </c>
      <c r="K10436" s="218">
        <v>467.09</v>
      </c>
      <c r="L10436" s="218"/>
      <c r="N10436" s="264"/>
    </row>
    <row r="10437" spans="1:14" x14ac:dyDescent="0.2">
      <c r="A10437" s="133">
        <v>2024</v>
      </c>
      <c r="B10437" s="133">
        <v>1</v>
      </c>
      <c r="C10437" s="133">
        <v>22</v>
      </c>
      <c r="D10437" s="141">
        <f t="shared" si="1384"/>
        <v>45313</v>
      </c>
      <c r="E10437" s="275">
        <f t="shared" si="1385"/>
        <v>45313</v>
      </c>
      <c r="F10437" s="481"/>
      <c r="G10437" s="174" t="s">
        <v>94</v>
      </c>
      <c r="H10437" s="174" t="str" cm="1">
        <f t="array" ref="H10437">IFERROR(INDEX(INVESTOR_LIST[INVESTOR NAME],MATCH(I10437,INVESTOR_LIST[INVESTOR CODE],0),)," ")</f>
        <v xml:space="preserve"> </v>
      </c>
      <c r="J10437" s="149" t="s">
        <v>191</v>
      </c>
      <c r="K10437" s="218"/>
      <c r="L10437" s="218">
        <v>25478.97</v>
      </c>
      <c r="N10437" s="264"/>
    </row>
    <row r="10438" spans="1:14" x14ac:dyDescent="0.2">
      <c r="A10438" s="163">
        <v>2024</v>
      </c>
      <c r="B10438" s="163">
        <v>1</v>
      </c>
      <c r="C10438" s="163">
        <v>22</v>
      </c>
      <c r="D10438" s="280">
        <f t="shared" si="1384"/>
        <v>45313</v>
      </c>
      <c r="E10438" s="281">
        <f t="shared" si="1385"/>
        <v>45313</v>
      </c>
      <c r="F10438" s="480"/>
      <c r="G10438" s="221" t="s">
        <v>94</v>
      </c>
      <c r="H10438" s="145" t="str" cm="1">
        <f t="array" ref="H10438">IFERROR(INDEX(INVESTOR_LIST[INVESTOR NAME],MATCH(I10438,INVESTOR_LIST[INVESTOR CODE],0),)," ")</f>
        <v xml:space="preserve"> </v>
      </c>
      <c r="I10438" s="145"/>
      <c r="J10438" s="163" t="s">
        <v>79</v>
      </c>
      <c r="K10438" s="219"/>
      <c r="L10438" s="219">
        <v>234021.03</v>
      </c>
      <c r="N10438" s="264"/>
    </row>
    <row r="10439" spans="1:14" x14ac:dyDescent="0.2">
      <c r="A10439" s="168">
        <v>2024</v>
      </c>
      <c r="B10439" s="168">
        <v>1</v>
      </c>
      <c r="C10439" s="168">
        <v>22</v>
      </c>
      <c r="D10439" s="141">
        <f t="shared" si="1384"/>
        <v>45313</v>
      </c>
      <c r="E10439" s="275">
        <f t="shared" si="1385"/>
        <v>45313</v>
      </c>
      <c r="F10439" s="479" t="s">
        <v>362</v>
      </c>
      <c r="G10439" s="220" t="s">
        <v>74</v>
      </c>
      <c r="H10439" s="220" t="str" cm="1">
        <f t="array" ref="H10439">IFERROR(INDEX(INVESTOR_LIST[INVESTOR NAME],MATCH(I10439,INVESTOR_LIST[INVESTOR CODE],0),)," ")</f>
        <v xml:space="preserve"> </v>
      </c>
      <c r="I10439" s="142" t="s">
        <v>348</v>
      </c>
      <c r="J10439" s="143" t="s">
        <v>104</v>
      </c>
      <c r="K10439" s="226">
        <v>1531.46</v>
      </c>
      <c r="L10439" s="226"/>
    </row>
    <row r="10440" spans="1:14" x14ac:dyDescent="0.2">
      <c r="A10440" s="163">
        <v>2024</v>
      </c>
      <c r="B10440" s="163">
        <v>1</v>
      </c>
      <c r="C10440" s="163">
        <v>22</v>
      </c>
      <c r="D10440" s="141">
        <f t="shared" si="1384"/>
        <v>45313</v>
      </c>
      <c r="E10440" s="275">
        <f t="shared" si="1385"/>
        <v>45313</v>
      </c>
      <c r="F10440" s="480"/>
      <c r="G10440" s="221" t="s">
        <v>74</v>
      </c>
      <c r="H10440" s="221" t="str" cm="1">
        <f t="array" ref="H10440">IFERROR(INDEX(INVESTOR_LIST[INVESTOR NAME],MATCH(I10440,INVESTOR_LIST[INVESTOR CODE],0),)," ")</f>
        <v xml:space="preserve"> </v>
      </c>
      <c r="I10440" s="145" t="s">
        <v>348</v>
      </c>
      <c r="J10440" s="146" t="s">
        <v>52</v>
      </c>
      <c r="K10440" s="219"/>
      <c r="L10440" s="219">
        <v>1531.46</v>
      </c>
    </row>
    <row r="10441" spans="1:14" x14ac:dyDescent="0.2">
      <c r="A10441" s="133">
        <v>2024</v>
      </c>
      <c r="B10441" s="133">
        <v>1</v>
      </c>
      <c r="C10441" s="133">
        <v>23</v>
      </c>
      <c r="D10441" s="141">
        <f t="shared" ref="D10441:D10449" si="1386">DATE(A10441,B10441,C10441)</f>
        <v>45314</v>
      </c>
      <c r="E10441" s="275">
        <f t="shared" ref="E10441:E10449" si="1387">DATE(A10441,B10441,C10441)</f>
        <v>45314</v>
      </c>
      <c r="F10441" s="481" t="s">
        <v>1753</v>
      </c>
      <c r="G10441" s="174" t="s">
        <v>94</v>
      </c>
      <c r="H10441" s="174" t="str" cm="1">
        <f t="array" ref="H10441">IFERROR(INDEX(INVESTOR_LIST[INVESTOR NAME],MATCH(I10441,INVESTOR_LIST[INVESTOR CODE],0),)," ")</f>
        <v xml:space="preserve"> </v>
      </c>
      <c r="J10441" s="149" t="s">
        <v>190</v>
      </c>
      <c r="K10441" s="218">
        <v>262027.5</v>
      </c>
      <c r="L10441" s="218"/>
      <c r="M10441" s="160"/>
    </row>
    <row r="10442" spans="1:14" x14ac:dyDescent="0.2">
      <c r="A10442" s="133">
        <v>2024</v>
      </c>
      <c r="B10442" s="133">
        <v>1</v>
      </c>
      <c r="C10442" s="133">
        <v>23</v>
      </c>
      <c r="D10442" s="141">
        <f t="shared" si="1386"/>
        <v>45314</v>
      </c>
      <c r="E10442" s="275">
        <f t="shared" si="1387"/>
        <v>45314</v>
      </c>
      <c r="F10442" s="481"/>
      <c r="G10442" s="174" t="s">
        <v>94</v>
      </c>
      <c r="H10442" s="174"/>
      <c r="J10442" s="149" t="s">
        <v>80</v>
      </c>
      <c r="K10442" s="218">
        <v>472.5</v>
      </c>
      <c r="L10442" s="218"/>
      <c r="N10442" s="264"/>
    </row>
    <row r="10443" spans="1:14" x14ac:dyDescent="0.2">
      <c r="A10443" s="133">
        <v>2024</v>
      </c>
      <c r="B10443" s="133">
        <v>1</v>
      </c>
      <c r="C10443" s="133">
        <v>23</v>
      </c>
      <c r="D10443" s="141">
        <f t="shared" si="1386"/>
        <v>45314</v>
      </c>
      <c r="E10443" s="275">
        <f t="shared" si="1387"/>
        <v>45314</v>
      </c>
      <c r="F10443" s="481"/>
      <c r="G10443" s="174" t="s">
        <v>94</v>
      </c>
      <c r="H10443" s="174" t="str" cm="1">
        <f t="array" ref="H10443">IFERROR(INDEX(INVESTOR_LIST[INVESTOR NAME],MATCH(I10443,INVESTOR_LIST[INVESTOR CODE],0),)," ")</f>
        <v xml:space="preserve"> </v>
      </c>
      <c r="J10443" s="149" t="s">
        <v>191</v>
      </c>
      <c r="K10443" s="218"/>
      <c r="L10443" s="218">
        <v>28478.97</v>
      </c>
      <c r="N10443" s="264"/>
    </row>
    <row r="10444" spans="1:14" x14ac:dyDescent="0.2">
      <c r="A10444" s="163">
        <v>2024</v>
      </c>
      <c r="B10444" s="163">
        <v>1</v>
      </c>
      <c r="C10444" s="163">
        <v>23</v>
      </c>
      <c r="D10444" s="280">
        <f t="shared" si="1386"/>
        <v>45314</v>
      </c>
      <c r="E10444" s="281">
        <f t="shared" si="1387"/>
        <v>45314</v>
      </c>
      <c r="F10444" s="480"/>
      <c r="G10444" s="221" t="s">
        <v>94</v>
      </c>
      <c r="H10444" s="145" t="str" cm="1">
        <f t="array" ref="H10444">IFERROR(INDEX(INVESTOR_LIST[INVESTOR NAME],MATCH(I10444,INVESTOR_LIST[INVESTOR CODE],0),)," ")</f>
        <v xml:space="preserve"> </v>
      </c>
      <c r="I10444" s="145"/>
      <c r="J10444" s="163" t="s">
        <v>79</v>
      </c>
      <c r="K10444" s="219"/>
      <c r="L10444" s="219">
        <v>234021.03</v>
      </c>
      <c r="N10444" s="264"/>
    </row>
    <row r="10445" spans="1:14" ht="11.25" customHeight="1" x14ac:dyDescent="0.2">
      <c r="A10445" s="168">
        <v>2024</v>
      </c>
      <c r="B10445" s="168">
        <v>1</v>
      </c>
      <c r="C10445" s="168">
        <v>23</v>
      </c>
      <c r="D10445" s="141">
        <f t="shared" si="1386"/>
        <v>45314</v>
      </c>
      <c r="E10445" s="275">
        <f t="shared" si="1387"/>
        <v>45314</v>
      </c>
      <c r="F10445" s="479" t="s">
        <v>1310</v>
      </c>
      <c r="G10445" s="220" t="s">
        <v>74</v>
      </c>
      <c r="H10445" s="142" t="str" cm="1">
        <f t="array" ref="H10445">IFERROR(INDEX(INVESTOR_LIST[INVESTOR NAME],MATCH(I10445,INVESTOR_LIST[INVESTOR CODE],0),)," ")</f>
        <v>REZAUR RAHMAN</v>
      </c>
      <c r="I10445" s="142" t="s">
        <v>1291</v>
      </c>
      <c r="J10445" s="168" t="s">
        <v>13</v>
      </c>
      <c r="K10445" s="218">
        <v>91800</v>
      </c>
      <c r="L10445" s="226"/>
    </row>
    <row r="10446" spans="1:14" ht="11.25" customHeight="1" x14ac:dyDescent="0.2">
      <c r="A10446" s="133">
        <v>2024</v>
      </c>
      <c r="B10446" s="133">
        <v>1</v>
      </c>
      <c r="C10446" s="133">
        <v>23</v>
      </c>
      <c r="D10446" s="141">
        <f t="shared" si="1386"/>
        <v>45314</v>
      </c>
      <c r="E10446" s="275">
        <f t="shared" si="1387"/>
        <v>45314</v>
      </c>
      <c r="F10446" s="481"/>
      <c r="G10446" s="174" t="s">
        <v>74</v>
      </c>
      <c r="H10446" s="148" t="str" cm="1">
        <f t="array" ref="H10446">IFERROR(INDEX(INVESTOR_LIST[INVESTOR NAME],MATCH(I10446,INVESTOR_LIST[INVESTOR CODE],0),)," ")</f>
        <v>REZAUR RAHMAN</v>
      </c>
      <c r="I10446" s="148" t="s">
        <v>1291</v>
      </c>
      <c r="J10446" s="133" t="s">
        <v>53</v>
      </c>
      <c r="K10446" s="218">
        <v>22693.460000000006</v>
      </c>
      <c r="L10446" s="133"/>
    </row>
    <row r="10447" spans="1:14" ht="11.25" customHeight="1" x14ac:dyDescent="0.2">
      <c r="A10447" s="163">
        <v>2024</v>
      </c>
      <c r="B10447" s="163">
        <v>1</v>
      </c>
      <c r="C10447" s="163">
        <v>23</v>
      </c>
      <c r="D10447" s="280">
        <f t="shared" si="1386"/>
        <v>45314</v>
      </c>
      <c r="E10447" s="281">
        <f t="shared" si="1387"/>
        <v>45314</v>
      </c>
      <c r="F10447" s="480"/>
      <c r="G10447" s="221" t="s">
        <v>74</v>
      </c>
      <c r="H10447" s="145" t="str" cm="1">
        <f t="array" ref="H10447">IFERROR(INDEX(INVESTOR_LIST[INVESTOR NAME],MATCH(I10447,INVESTOR_LIST[INVESTOR CODE],0),)," ")</f>
        <v>REZAUR RAHMAN</v>
      </c>
      <c r="I10447" s="145" t="s">
        <v>1291</v>
      </c>
      <c r="J10447" s="163" t="s">
        <v>52</v>
      </c>
      <c r="K10447" s="219"/>
      <c r="L10447" s="219">
        <v>114493.46</v>
      </c>
    </row>
    <row r="10448" spans="1:14" x14ac:dyDescent="0.2">
      <c r="A10448" s="133">
        <v>2024</v>
      </c>
      <c r="B10448" s="133">
        <v>1</v>
      </c>
      <c r="C10448" s="168">
        <v>23</v>
      </c>
      <c r="D10448" s="141">
        <f t="shared" si="1386"/>
        <v>45314</v>
      </c>
      <c r="E10448" s="275">
        <f t="shared" si="1387"/>
        <v>45314</v>
      </c>
      <c r="F10448" s="479" t="s">
        <v>1887</v>
      </c>
      <c r="G10448" s="174" t="s">
        <v>74</v>
      </c>
      <c r="H10448" s="148" t="str" cm="1">
        <f t="array" ref="H10448">IFERROR(INDEX(INVESTOR_LIST[INVESTOR NAME],MATCH(I10448,INVESTOR_LIST[INVESTOR CODE],0),)," ")</f>
        <v xml:space="preserve"> </v>
      </c>
      <c r="I10448" s="148" t="s">
        <v>348</v>
      </c>
      <c r="J10448" s="133" t="s">
        <v>61</v>
      </c>
      <c r="K10448" s="172">
        <v>58</v>
      </c>
    </row>
    <row r="10449" spans="1:14" x14ac:dyDescent="0.2">
      <c r="A10449" s="163">
        <v>2024</v>
      </c>
      <c r="B10449" s="163">
        <v>1</v>
      </c>
      <c r="C10449" s="163">
        <v>23</v>
      </c>
      <c r="D10449" s="141">
        <f t="shared" si="1386"/>
        <v>45314</v>
      </c>
      <c r="E10449" s="275">
        <f t="shared" si="1387"/>
        <v>45314</v>
      </c>
      <c r="F10449" s="480"/>
      <c r="G10449" s="221" t="s">
        <v>74</v>
      </c>
      <c r="H10449" s="145" t="str" cm="1">
        <f t="array" ref="H10449">IFERROR(INDEX(INVESTOR_LIST[INVESTOR NAME],MATCH(I10449,INVESTOR_LIST[INVESTOR CODE],0),)," ")</f>
        <v xml:space="preserve"> </v>
      </c>
      <c r="I10449" s="145" t="s">
        <v>348</v>
      </c>
      <c r="J10449" s="163" t="s">
        <v>52</v>
      </c>
      <c r="K10449" s="219"/>
      <c r="L10449" s="219">
        <v>58</v>
      </c>
    </row>
    <row r="10450" spans="1:14" x14ac:dyDescent="0.2">
      <c r="A10450" s="133">
        <v>2024</v>
      </c>
      <c r="B10450" s="133">
        <v>1</v>
      </c>
      <c r="C10450" s="168">
        <v>23</v>
      </c>
      <c r="D10450" s="141">
        <f t="shared" ref="D10450:D10451" si="1388">DATE(A10450,B10450,C10450)</f>
        <v>45314</v>
      </c>
      <c r="E10450" s="275">
        <f t="shared" ref="E10450:E10451" si="1389">DATE(A10450,B10450,C10450)</f>
        <v>45314</v>
      </c>
      <c r="F10450" s="479" t="s">
        <v>1883</v>
      </c>
      <c r="G10450" s="174" t="s">
        <v>74</v>
      </c>
      <c r="H10450" s="148" t="str" cm="1">
        <f t="array" ref="H10450">IFERROR(INDEX(INVESTOR_LIST[INVESTOR NAME],MATCH(I10450,INVESTOR_LIST[INVESTOR CODE],0),)," ")</f>
        <v xml:space="preserve"> </v>
      </c>
      <c r="I10450" s="148" t="s">
        <v>348</v>
      </c>
      <c r="J10450" s="133" t="s">
        <v>61</v>
      </c>
      <c r="K10450" s="172">
        <v>230</v>
      </c>
    </row>
    <row r="10451" spans="1:14" x14ac:dyDescent="0.2">
      <c r="A10451" s="163">
        <v>2024</v>
      </c>
      <c r="B10451" s="163">
        <v>1</v>
      </c>
      <c r="C10451" s="163">
        <v>23</v>
      </c>
      <c r="D10451" s="141">
        <f t="shared" si="1388"/>
        <v>45314</v>
      </c>
      <c r="E10451" s="275">
        <f t="shared" si="1389"/>
        <v>45314</v>
      </c>
      <c r="F10451" s="480"/>
      <c r="G10451" s="221" t="s">
        <v>74</v>
      </c>
      <c r="H10451" s="145" t="str" cm="1">
        <f t="array" ref="H10451">IFERROR(INDEX(INVESTOR_LIST[INVESTOR NAME],MATCH(I10451,INVESTOR_LIST[INVESTOR CODE],0),)," ")</f>
        <v xml:space="preserve"> </v>
      </c>
      <c r="I10451" s="145" t="s">
        <v>348</v>
      </c>
      <c r="J10451" s="163" t="s">
        <v>52</v>
      </c>
      <c r="K10451" s="219"/>
      <c r="L10451" s="219">
        <v>230</v>
      </c>
    </row>
    <row r="10452" spans="1:14" x14ac:dyDescent="0.2">
      <c r="A10452" s="133">
        <v>2024</v>
      </c>
      <c r="B10452" s="133">
        <v>1</v>
      </c>
      <c r="C10452" s="168">
        <v>23</v>
      </c>
      <c r="D10452" s="141">
        <f t="shared" ref="D10452:D10481" si="1390">DATE(A10452,B10452,C10452)</f>
        <v>45314</v>
      </c>
      <c r="E10452" s="275">
        <f t="shared" ref="E10452:E10481" si="1391">DATE(A10452,B10452,C10452)</f>
        <v>45314</v>
      </c>
      <c r="F10452" s="479" t="s">
        <v>1883</v>
      </c>
      <c r="G10452" s="174" t="s">
        <v>74</v>
      </c>
      <c r="H10452" s="148" t="str" cm="1">
        <f t="array" ref="H10452">IFERROR(INDEX(INVESTOR_LIST[INVESTOR NAME],MATCH(I10452,INVESTOR_LIST[INVESTOR CODE],0),)," ")</f>
        <v xml:space="preserve"> </v>
      </c>
      <c r="I10452" s="148" t="s">
        <v>348</v>
      </c>
      <c r="J10452" s="133" t="s">
        <v>61</v>
      </c>
      <c r="K10452" s="172">
        <v>230</v>
      </c>
    </row>
    <row r="10453" spans="1:14" x14ac:dyDescent="0.2">
      <c r="A10453" s="163">
        <v>2024</v>
      </c>
      <c r="B10453" s="163">
        <v>1</v>
      </c>
      <c r="C10453" s="163">
        <v>23</v>
      </c>
      <c r="D10453" s="141">
        <f t="shared" si="1390"/>
        <v>45314</v>
      </c>
      <c r="E10453" s="275">
        <f t="shared" si="1391"/>
        <v>45314</v>
      </c>
      <c r="F10453" s="480"/>
      <c r="G10453" s="221" t="s">
        <v>74</v>
      </c>
      <c r="H10453" s="145" t="str" cm="1">
        <f t="array" ref="H10453">IFERROR(INDEX(INVESTOR_LIST[INVESTOR NAME],MATCH(I10453,INVESTOR_LIST[INVESTOR CODE],0),)," ")</f>
        <v xml:space="preserve"> </v>
      </c>
      <c r="I10453" s="145" t="s">
        <v>348</v>
      </c>
      <c r="J10453" s="163" t="s">
        <v>52</v>
      </c>
      <c r="K10453" s="219"/>
      <c r="L10453" s="219">
        <v>230</v>
      </c>
    </row>
    <row r="10454" spans="1:14" x14ac:dyDescent="0.2">
      <c r="A10454" s="133">
        <v>2024</v>
      </c>
      <c r="B10454" s="133">
        <v>1</v>
      </c>
      <c r="C10454" s="133">
        <v>24</v>
      </c>
      <c r="D10454" s="141">
        <f t="shared" si="1390"/>
        <v>45315</v>
      </c>
      <c r="E10454" s="275">
        <f t="shared" si="1391"/>
        <v>45315</v>
      </c>
      <c r="F10454" s="481" t="s">
        <v>1753</v>
      </c>
      <c r="G10454" s="174" t="s">
        <v>94</v>
      </c>
      <c r="H10454" s="174" t="str" cm="1">
        <f t="array" ref="H10454">IFERROR(INDEX(INVESTOR_LIST[INVESTOR NAME],MATCH(I10454,INVESTOR_LIST[INVESTOR CODE],0),)," ")</f>
        <v xml:space="preserve"> </v>
      </c>
      <c r="J10454" s="149" t="s">
        <v>190</v>
      </c>
      <c r="K10454" s="218">
        <v>107822.07</v>
      </c>
      <c r="L10454" s="218"/>
      <c r="M10454" s="160"/>
    </row>
    <row r="10455" spans="1:14" x14ac:dyDescent="0.2">
      <c r="A10455" s="133">
        <v>2024</v>
      </c>
      <c r="B10455" s="133">
        <v>1</v>
      </c>
      <c r="C10455" s="133">
        <v>24</v>
      </c>
      <c r="D10455" s="141">
        <f t="shared" si="1390"/>
        <v>45315</v>
      </c>
      <c r="E10455" s="275">
        <f t="shared" si="1391"/>
        <v>45315</v>
      </c>
      <c r="F10455" s="481"/>
      <c r="G10455" s="174" t="s">
        <v>94</v>
      </c>
      <c r="H10455" s="174"/>
      <c r="J10455" s="149" t="s">
        <v>80</v>
      </c>
      <c r="K10455" s="218">
        <v>194.43</v>
      </c>
      <c r="L10455" s="218"/>
      <c r="N10455" s="264"/>
    </row>
    <row r="10456" spans="1:14" x14ac:dyDescent="0.2">
      <c r="A10456" s="133">
        <v>2024</v>
      </c>
      <c r="B10456" s="133">
        <v>1</v>
      </c>
      <c r="C10456" s="133">
        <v>24</v>
      </c>
      <c r="D10456" s="141">
        <f t="shared" si="1390"/>
        <v>45315</v>
      </c>
      <c r="E10456" s="275">
        <f t="shared" si="1391"/>
        <v>45315</v>
      </c>
      <c r="F10456" s="481"/>
      <c r="G10456" s="174" t="s">
        <v>94</v>
      </c>
      <c r="H10456" s="174" t="str" cm="1">
        <f t="array" ref="H10456">IFERROR(INDEX(INVESTOR_LIST[INVESTOR NAME],MATCH(I10456,INVESTOR_LIST[INVESTOR CODE],0),)," ")</f>
        <v xml:space="preserve"> </v>
      </c>
      <c r="J10456" s="149" t="s">
        <v>191</v>
      </c>
      <c r="K10456" s="218"/>
      <c r="L10456" s="218">
        <v>71066.5</v>
      </c>
      <c r="N10456" s="264"/>
    </row>
    <row r="10457" spans="1:14" x14ac:dyDescent="0.2">
      <c r="A10457" s="163">
        <v>2024</v>
      </c>
      <c r="B10457" s="163">
        <v>1</v>
      </c>
      <c r="C10457" s="163">
        <v>24</v>
      </c>
      <c r="D10457" s="280">
        <f t="shared" si="1390"/>
        <v>45315</v>
      </c>
      <c r="E10457" s="281">
        <f t="shared" si="1391"/>
        <v>45315</v>
      </c>
      <c r="F10457" s="480"/>
      <c r="G10457" s="221" t="s">
        <v>94</v>
      </c>
      <c r="H10457" s="145" t="str" cm="1">
        <f t="array" ref="H10457">IFERROR(INDEX(INVESTOR_LIST[INVESTOR NAME],MATCH(I10457,INVESTOR_LIST[INVESTOR CODE],0),)," ")</f>
        <v xml:space="preserve"> </v>
      </c>
      <c r="I10457" s="145"/>
      <c r="J10457" s="163" t="s">
        <v>79</v>
      </c>
      <c r="K10457" s="219"/>
      <c r="L10457" s="219">
        <v>36950</v>
      </c>
      <c r="N10457" s="264"/>
    </row>
    <row r="10458" spans="1:14" x14ac:dyDescent="0.2">
      <c r="A10458" s="133">
        <v>2024</v>
      </c>
      <c r="B10458" s="133">
        <v>1</v>
      </c>
      <c r="C10458" s="133">
        <v>25</v>
      </c>
      <c r="D10458" s="141">
        <f t="shared" si="1390"/>
        <v>45316</v>
      </c>
      <c r="E10458" s="275">
        <f t="shared" si="1391"/>
        <v>45316</v>
      </c>
      <c r="F10458" s="481" t="s">
        <v>1767</v>
      </c>
      <c r="G10458" s="174" t="s">
        <v>94</v>
      </c>
      <c r="H10458" s="174" t="str" cm="1">
        <f t="array" ref="H10458">IFERROR(INDEX(INVESTOR_LIST[INVESTOR NAME],MATCH(I10458,INVESTOR_LIST[INVESTOR CODE],0),)," ")</f>
        <v xml:space="preserve"> </v>
      </c>
      <c r="J10458" s="149" t="s">
        <v>79</v>
      </c>
      <c r="K10458" s="218">
        <v>189000</v>
      </c>
      <c r="L10458" s="218"/>
      <c r="M10458" s="160"/>
    </row>
    <row r="10459" spans="1:14" x14ac:dyDescent="0.2">
      <c r="A10459" s="133">
        <v>2024</v>
      </c>
      <c r="B10459" s="133">
        <v>1</v>
      </c>
      <c r="C10459" s="133">
        <v>25</v>
      </c>
      <c r="D10459" s="141">
        <f t="shared" si="1390"/>
        <v>45316</v>
      </c>
      <c r="E10459" s="275">
        <f t="shared" si="1391"/>
        <v>45316</v>
      </c>
      <c r="F10459" s="481"/>
      <c r="G10459" s="174" t="s">
        <v>94</v>
      </c>
      <c r="H10459" s="174"/>
      <c r="J10459" s="149" t="s">
        <v>80</v>
      </c>
      <c r="K10459" s="218">
        <v>10794.810000000001</v>
      </c>
      <c r="L10459" s="218"/>
    </row>
    <row r="10460" spans="1:14" x14ac:dyDescent="0.2">
      <c r="A10460" s="133">
        <v>2024</v>
      </c>
      <c r="B10460" s="133">
        <v>1</v>
      </c>
      <c r="C10460" s="133">
        <v>25</v>
      </c>
      <c r="D10460" s="141">
        <f t="shared" si="1390"/>
        <v>45316</v>
      </c>
      <c r="E10460" s="275">
        <f t="shared" si="1391"/>
        <v>45316</v>
      </c>
      <c r="F10460" s="481"/>
      <c r="G10460" s="174" t="s">
        <v>94</v>
      </c>
      <c r="H10460" s="174"/>
      <c r="J10460" s="149" t="s">
        <v>190</v>
      </c>
      <c r="K10460" s="218">
        <v>5608322.29</v>
      </c>
      <c r="L10460" s="218"/>
    </row>
    <row r="10461" spans="1:14" x14ac:dyDescent="0.2">
      <c r="A10461" s="133">
        <v>2024</v>
      </c>
      <c r="B10461" s="133">
        <v>1</v>
      </c>
      <c r="C10461" s="133">
        <v>25</v>
      </c>
      <c r="D10461" s="141">
        <f t="shared" si="1390"/>
        <v>45316</v>
      </c>
      <c r="E10461" s="275">
        <f t="shared" si="1391"/>
        <v>45316</v>
      </c>
      <c r="F10461" s="481"/>
      <c r="G10461" s="174" t="s">
        <v>94</v>
      </c>
      <c r="H10461" s="174" t="str" cm="1">
        <f t="array" ref="H10461">IFERROR(INDEX(INVESTOR_LIST[INVESTOR NAME],MATCH(I10461,INVESTOR_LIST[INVESTOR CODE],0),)," ")</f>
        <v xml:space="preserve"> </v>
      </c>
      <c r="J10461" s="149" t="s">
        <v>191</v>
      </c>
      <c r="K10461" s="218">
        <v>1362891.23</v>
      </c>
      <c r="L10461" s="218"/>
    </row>
    <row r="10462" spans="1:14" x14ac:dyDescent="0.2">
      <c r="A10462" s="163">
        <v>2024</v>
      </c>
      <c r="B10462" s="163">
        <v>1</v>
      </c>
      <c r="C10462" s="163">
        <v>25</v>
      </c>
      <c r="D10462" s="280">
        <f t="shared" si="1390"/>
        <v>45316</v>
      </c>
      <c r="E10462" s="281">
        <f t="shared" si="1391"/>
        <v>45316</v>
      </c>
      <c r="F10462" s="480"/>
      <c r="G10462" s="221" t="s">
        <v>94</v>
      </c>
      <c r="H10462" s="145" t="str" cm="1">
        <f t="array" ref="H10462">IFERROR(INDEX(INVESTOR_LIST[INVESTOR NAME],MATCH(I10462,INVESTOR_LIST[INVESTOR CODE],0),)," ")</f>
        <v xml:space="preserve"> </v>
      </c>
      <c r="I10462" s="145"/>
      <c r="J10462" s="163" t="s">
        <v>79</v>
      </c>
      <c r="K10462" s="219"/>
      <c r="L10462" s="219">
        <v>7171008.3300000001</v>
      </c>
    </row>
    <row r="10463" spans="1:14" x14ac:dyDescent="0.2">
      <c r="A10463" s="168">
        <v>2024</v>
      </c>
      <c r="B10463" s="168">
        <v>1</v>
      </c>
      <c r="C10463" s="168">
        <v>25</v>
      </c>
      <c r="D10463" s="141">
        <f t="shared" ref="D10463" si="1392">DATE(A10463,B10463,C10463)</f>
        <v>45316</v>
      </c>
      <c r="E10463" s="275">
        <f t="shared" ref="E10463" si="1393">DATE(A10463,B10463,C10463)</f>
        <v>45316</v>
      </c>
      <c r="F10463" s="479" t="s">
        <v>1757</v>
      </c>
      <c r="G10463" s="220" t="s">
        <v>74</v>
      </c>
      <c r="H10463" s="220" t="str" cm="1">
        <f t="array" ref="H10463">IFERROR(INDEX(INVESTOR_LIST[INVESTOR NAME],MATCH(I10463,INVESTOR_LIST[INVESTOR CODE],0),)," ")</f>
        <v xml:space="preserve"> </v>
      </c>
      <c r="I10463" s="142"/>
      <c r="J10463" s="143" t="s">
        <v>52</v>
      </c>
      <c r="K10463" s="226">
        <v>513074.79</v>
      </c>
      <c r="L10463" s="226"/>
    </row>
    <row r="10464" spans="1:14" ht="10.5" customHeight="1" x14ac:dyDescent="0.2">
      <c r="A10464" s="163">
        <v>2024</v>
      </c>
      <c r="B10464" s="163">
        <v>1</v>
      </c>
      <c r="C10464" s="163">
        <v>25</v>
      </c>
      <c r="D10464" s="280">
        <f>DATE(A10464,B10464,C10464)</f>
        <v>45316</v>
      </c>
      <c r="E10464" s="281">
        <f>DATE(A10464,B10464,C10464)</f>
        <v>45316</v>
      </c>
      <c r="F10464" s="480"/>
      <c r="G10464" s="221" t="s">
        <v>74</v>
      </c>
      <c r="H10464" s="221" t="str" cm="1">
        <f t="array" ref="H10464">IFERROR(INDEX(INVESTOR_LIST[INVESTOR NAME],MATCH(I10464,INVESTOR_LIST[INVESTOR CODE],0),)," ")</f>
        <v xml:space="preserve"> </v>
      </c>
      <c r="I10464" s="145"/>
      <c r="J10464" s="146" t="s">
        <v>190</v>
      </c>
      <c r="K10464" s="219"/>
      <c r="L10464" s="219">
        <v>513074.79</v>
      </c>
    </row>
    <row r="10465" spans="1:12" x14ac:dyDescent="0.2">
      <c r="A10465" s="168">
        <v>2024</v>
      </c>
      <c r="B10465" s="168">
        <v>1</v>
      </c>
      <c r="C10465" s="168">
        <v>25</v>
      </c>
      <c r="D10465" s="141">
        <f t="shared" ref="D10465" si="1394">DATE(A10465,B10465,C10465)</f>
        <v>45316</v>
      </c>
      <c r="E10465" s="275">
        <f t="shared" ref="E10465" si="1395">DATE(A10465,B10465,C10465)</f>
        <v>45316</v>
      </c>
      <c r="F10465" s="479" t="s">
        <v>1757</v>
      </c>
      <c r="G10465" s="220" t="s">
        <v>74</v>
      </c>
      <c r="H10465" s="220" t="str" cm="1">
        <f t="array" ref="H10465">IFERROR(INDEX(INVESTOR_LIST[INVESTOR NAME],MATCH(I10465,INVESTOR_LIST[INVESTOR CODE],0),)," ")</f>
        <v xml:space="preserve"> </v>
      </c>
      <c r="I10465" s="142"/>
      <c r="J10465" s="143" t="s">
        <v>52</v>
      </c>
      <c r="K10465" s="226">
        <v>259032.91</v>
      </c>
      <c r="L10465" s="226"/>
    </row>
    <row r="10466" spans="1:12" ht="10.5" customHeight="1" x14ac:dyDescent="0.2">
      <c r="A10466" s="163">
        <v>2024</v>
      </c>
      <c r="B10466" s="163">
        <v>1</v>
      </c>
      <c r="C10466" s="163">
        <v>25</v>
      </c>
      <c r="D10466" s="280">
        <f>DATE(A10466,B10466,C10466)</f>
        <v>45316</v>
      </c>
      <c r="E10466" s="281">
        <f>DATE(A10466,B10466,C10466)</f>
        <v>45316</v>
      </c>
      <c r="F10466" s="480"/>
      <c r="G10466" s="221" t="s">
        <v>74</v>
      </c>
      <c r="H10466" s="221" t="str" cm="1">
        <f t="array" ref="H10466">IFERROR(INDEX(INVESTOR_LIST[INVESTOR NAME],MATCH(I10466,INVESTOR_LIST[INVESTOR CODE],0),)," ")</f>
        <v xml:space="preserve"> </v>
      </c>
      <c r="I10466" s="145"/>
      <c r="J10466" s="146" t="s">
        <v>190</v>
      </c>
      <c r="K10466" s="219"/>
      <c r="L10466" s="219">
        <v>259032.91</v>
      </c>
    </row>
    <row r="10467" spans="1:12" x14ac:dyDescent="0.2">
      <c r="A10467" s="168">
        <v>2024</v>
      </c>
      <c r="B10467" s="168">
        <v>1</v>
      </c>
      <c r="C10467" s="168">
        <v>25</v>
      </c>
      <c r="D10467" s="141">
        <f t="shared" ref="D10467" si="1396">DATE(A10467,B10467,C10467)</f>
        <v>45316</v>
      </c>
      <c r="E10467" s="275">
        <f t="shared" ref="E10467" si="1397">DATE(A10467,B10467,C10467)</f>
        <v>45316</v>
      </c>
      <c r="F10467" s="479" t="s">
        <v>1757</v>
      </c>
      <c r="G10467" s="220" t="s">
        <v>74</v>
      </c>
      <c r="H10467" s="220" t="str" cm="1">
        <f t="array" ref="H10467">IFERROR(INDEX(INVESTOR_LIST[INVESTOR NAME],MATCH(I10467,INVESTOR_LIST[INVESTOR CODE],0),)," ")</f>
        <v xml:space="preserve"> </v>
      </c>
      <c r="I10467" s="142"/>
      <c r="J10467" s="143" t="s">
        <v>52</v>
      </c>
      <c r="K10467" s="226">
        <v>262027.5</v>
      </c>
      <c r="L10467" s="226"/>
    </row>
    <row r="10468" spans="1:12" ht="10.5" customHeight="1" x14ac:dyDescent="0.2">
      <c r="A10468" s="163">
        <v>2024</v>
      </c>
      <c r="B10468" s="163">
        <v>1</v>
      </c>
      <c r="C10468" s="163">
        <v>25</v>
      </c>
      <c r="D10468" s="280">
        <f>DATE(A10468,B10468,C10468)</f>
        <v>45316</v>
      </c>
      <c r="E10468" s="281">
        <f>DATE(A10468,B10468,C10468)</f>
        <v>45316</v>
      </c>
      <c r="F10468" s="480"/>
      <c r="G10468" s="221" t="s">
        <v>74</v>
      </c>
      <c r="H10468" s="221" t="str" cm="1">
        <f t="array" ref="H10468">IFERROR(INDEX(INVESTOR_LIST[INVESTOR NAME],MATCH(I10468,INVESTOR_LIST[INVESTOR CODE],0),)," ")</f>
        <v xml:space="preserve"> </v>
      </c>
      <c r="I10468" s="145"/>
      <c r="J10468" s="146" t="s">
        <v>190</v>
      </c>
      <c r="K10468" s="219"/>
      <c r="L10468" s="219">
        <v>262027.5</v>
      </c>
    </row>
    <row r="10469" spans="1:12" x14ac:dyDescent="0.2">
      <c r="A10469" s="343">
        <v>2024</v>
      </c>
      <c r="B10469" s="343">
        <v>1</v>
      </c>
      <c r="C10469" s="343">
        <v>25</v>
      </c>
      <c r="D10469" s="344">
        <f t="shared" si="1390"/>
        <v>45316</v>
      </c>
      <c r="E10469" s="345">
        <f t="shared" si="1391"/>
        <v>45316</v>
      </c>
      <c r="F10469" s="483" t="s">
        <v>1813</v>
      </c>
      <c r="G10469" s="350" t="s">
        <v>94</v>
      </c>
      <c r="H10469" s="350" t="str" cm="1">
        <f t="array" ref="H10469">IFERROR(INDEX(INVESTOR_LIST[INVESTOR NAME],MATCH(I10469,INVESTOR_LIST[INVESTOR CODE],0),)," ")</f>
        <v xml:space="preserve"> </v>
      </c>
      <c r="I10469" s="352" t="s">
        <v>348</v>
      </c>
      <c r="J10469" s="353" t="s">
        <v>1798</v>
      </c>
      <c r="K10469" s="354">
        <v>30360.400000000373</v>
      </c>
      <c r="L10469" s="354"/>
    </row>
    <row r="10470" spans="1:12" x14ac:dyDescent="0.2">
      <c r="A10470" s="346">
        <v>2024</v>
      </c>
      <c r="B10470" s="346">
        <v>1</v>
      </c>
      <c r="C10470" s="346">
        <v>25</v>
      </c>
      <c r="D10470" s="344">
        <f t="shared" si="1390"/>
        <v>45316</v>
      </c>
      <c r="E10470" s="345">
        <f t="shared" si="1391"/>
        <v>45316</v>
      </c>
      <c r="F10470" s="484"/>
      <c r="G10470" s="347" t="s">
        <v>94</v>
      </c>
      <c r="H10470" s="347" t="str" cm="1">
        <f t="array" ref="H10470">IFERROR(INDEX(INVESTOR_LIST[INVESTOR NAME],MATCH(I10470,INVESTOR_LIST[INVESTOR CODE],0),)," ")</f>
        <v xml:space="preserve"> </v>
      </c>
      <c r="I10470" s="348" t="s">
        <v>348</v>
      </c>
      <c r="J10470" s="355" t="s">
        <v>1807</v>
      </c>
      <c r="K10470" s="349"/>
      <c r="L10470" s="349">
        <v>30360.400000000373</v>
      </c>
    </row>
    <row r="10471" spans="1:12" x14ac:dyDescent="0.2">
      <c r="A10471" s="238">
        <v>2024</v>
      </c>
      <c r="B10471" s="238">
        <v>1</v>
      </c>
      <c r="C10471" s="238">
        <v>25</v>
      </c>
      <c r="D10471" s="270">
        <f t="shared" si="1390"/>
        <v>45316</v>
      </c>
      <c r="E10471" s="279">
        <f t="shared" si="1391"/>
        <v>45316</v>
      </c>
      <c r="F10471" s="477" t="s">
        <v>347</v>
      </c>
      <c r="G10471" s="239" t="s">
        <v>94</v>
      </c>
      <c r="H10471" s="239" t="str" cm="1">
        <f t="array" ref="H10471">IFERROR(INDEX(INVESTOR_LIST[INVESTOR NAME],MATCH(I10471,INVESTOR_LIST[INVESTOR CODE],0),)," ")</f>
        <v xml:space="preserve"> </v>
      </c>
      <c r="I10471" s="262" t="s">
        <v>348</v>
      </c>
      <c r="J10471" s="240" t="s">
        <v>82</v>
      </c>
      <c r="K10471" s="241">
        <v>967103.37999999523</v>
      </c>
      <c r="L10471" s="241"/>
    </row>
    <row r="10472" spans="1:12" x14ac:dyDescent="0.2">
      <c r="A10472" s="242">
        <v>2024</v>
      </c>
      <c r="B10472" s="242">
        <v>1</v>
      </c>
      <c r="C10472" s="242">
        <v>25</v>
      </c>
      <c r="D10472" s="270">
        <f t="shared" si="1390"/>
        <v>45316</v>
      </c>
      <c r="E10472" s="279">
        <f t="shared" si="1391"/>
        <v>45316</v>
      </c>
      <c r="F10472" s="478"/>
      <c r="G10472" s="243" t="s">
        <v>94</v>
      </c>
      <c r="H10472" s="243" t="str" cm="1">
        <f t="array" ref="H10472">IFERROR(INDEX(INVESTOR_LIST[INVESTOR NAME],MATCH(I10472,INVESTOR_LIST[INVESTOR CODE],0),)," ")</f>
        <v xml:space="preserve"> </v>
      </c>
      <c r="I10472" s="263" t="s">
        <v>348</v>
      </c>
      <c r="J10472" s="244" t="s">
        <v>108</v>
      </c>
      <c r="K10472" s="245"/>
      <c r="L10472" s="245">
        <v>967103.37999999523</v>
      </c>
    </row>
    <row r="10473" spans="1:12" ht="22.5" x14ac:dyDescent="0.2">
      <c r="A10473" s="246">
        <v>2024</v>
      </c>
      <c r="B10473" s="238">
        <v>1</v>
      </c>
      <c r="C10473" s="238">
        <v>25</v>
      </c>
      <c r="D10473" s="270">
        <f t="shared" si="1390"/>
        <v>45316</v>
      </c>
      <c r="E10473" s="279">
        <f t="shared" si="1391"/>
        <v>45316</v>
      </c>
      <c r="F10473" s="482" t="s">
        <v>148</v>
      </c>
      <c r="G10473" s="247" t="s">
        <v>94</v>
      </c>
      <c r="H10473" s="247" t="str" cm="1">
        <f t="array" ref="H10473">IFERROR(INDEX(INVESTOR_LIST[INVESTOR NAME],MATCH(I10473,INVESTOR_LIST[INVESTOR CODE],0),)," ")</f>
        <v xml:space="preserve"> </v>
      </c>
      <c r="I10473" s="248" t="s">
        <v>348</v>
      </c>
      <c r="J10473" s="249" t="s">
        <v>95</v>
      </c>
      <c r="K10473" s="250">
        <v>2747.2527472527472</v>
      </c>
      <c r="L10473" s="241"/>
    </row>
    <row r="10474" spans="1:12" x14ac:dyDescent="0.2">
      <c r="A10474" s="242">
        <v>2024</v>
      </c>
      <c r="B10474" s="242">
        <v>1</v>
      </c>
      <c r="C10474" s="242">
        <v>25</v>
      </c>
      <c r="D10474" s="270">
        <f t="shared" si="1390"/>
        <v>45316</v>
      </c>
      <c r="E10474" s="279">
        <f t="shared" si="1391"/>
        <v>45316</v>
      </c>
      <c r="F10474" s="478"/>
      <c r="G10474" s="243" t="s">
        <v>94</v>
      </c>
      <c r="H10474" s="243" t="str" cm="1">
        <f t="array" ref="H10474">IFERROR(INDEX(INVESTOR_LIST[INVESTOR NAME],MATCH(I10474,INVESTOR_LIST[INVESTOR CODE],0),)," ")</f>
        <v xml:space="preserve"> </v>
      </c>
      <c r="I10474" s="263" t="s">
        <v>348</v>
      </c>
      <c r="J10474" s="244" t="s">
        <v>63</v>
      </c>
      <c r="K10474" s="245"/>
      <c r="L10474" s="245">
        <v>2747.2527472527472</v>
      </c>
    </row>
    <row r="10475" spans="1:12" x14ac:dyDescent="0.2">
      <c r="A10475" s="246">
        <v>2024</v>
      </c>
      <c r="B10475" s="238">
        <v>1</v>
      </c>
      <c r="C10475" s="238">
        <v>25</v>
      </c>
      <c r="D10475" s="270">
        <f t="shared" si="1390"/>
        <v>45316</v>
      </c>
      <c r="E10475" s="279">
        <f t="shared" si="1391"/>
        <v>45316</v>
      </c>
      <c r="F10475" s="482" t="s">
        <v>137</v>
      </c>
      <c r="G10475" s="247" t="s">
        <v>94</v>
      </c>
      <c r="H10475" s="247" t="str" cm="1">
        <f t="array" ref="H10475">IFERROR(INDEX(INVESTOR_LIST[INVESTOR NAME],MATCH(I10475,INVESTOR_LIST[INVESTOR CODE],0),)," ")</f>
        <v xml:space="preserve"> </v>
      </c>
      <c r="I10475" s="248" t="s">
        <v>348</v>
      </c>
      <c r="J10475" s="249" t="s">
        <v>97</v>
      </c>
      <c r="K10475" s="250">
        <v>58033.09255359594</v>
      </c>
      <c r="L10475" s="252"/>
    </row>
    <row r="10476" spans="1:12" x14ac:dyDescent="0.2">
      <c r="A10476" s="242">
        <v>2024</v>
      </c>
      <c r="B10476" s="242">
        <v>1</v>
      </c>
      <c r="C10476" s="242">
        <v>25</v>
      </c>
      <c r="D10476" s="270">
        <f t="shared" si="1390"/>
        <v>45316</v>
      </c>
      <c r="E10476" s="279">
        <f t="shared" si="1391"/>
        <v>45316</v>
      </c>
      <c r="F10476" s="478"/>
      <c r="G10476" s="243" t="s">
        <v>94</v>
      </c>
      <c r="H10476" s="243" t="str" cm="1">
        <f t="array" ref="H10476">IFERROR(INDEX(INVESTOR_LIST[INVESTOR NAME],MATCH(I10476,INVESTOR_LIST[INVESTOR CODE],0),)," ")</f>
        <v xml:space="preserve"> </v>
      </c>
      <c r="I10476" s="263" t="s">
        <v>348</v>
      </c>
      <c r="J10476" s="244" t="s">
        <v>47</v>
      </c>
      <c r="K10476" s="245"/>
      <c r="L10476" s="245">
        <v>58033.09255359594</v>
      </c>
    </row>
    <row r="10477" spans="1:12" x14ac:dyDescent="0.2">
      <c r="A10477" s="246">
        <v>2024</v>
      </c>
      <c r="B10477" s="238">
        <v>1</v>
      </c>
      <c r="C10477" s="238">
        <v>25</v>
      </c>
      <c r="D10477" s="270">
        <f t="shared" si="1390"/>
        <v>45316</v>
      </c>
      <c r="E10477" s="279">
        <f t="shared" si="1391"/>
        <v>45316</v>
      </c>
      <c r="F10477" s="482" t="s">
        <v>138</v>
      </c>
      <c r="G10477" s="247" t="s">
        <v>94</v>
      </c>
      <c r="H10477" s="247" t="str" cm="1">
        <f t="array" ref="H10477">IFERROR(INDEX(INVESTOR_LIST[INVESTOR NAME],MATCH(I10477,INVESTOR_LIST[INVESTOR CODE],0),)," ")</f>
        <v xml:space="preserve"> </v>
      </c>
      <c r="I10477" s="248" t="s">
        <v>348</v>
      </c>
      <c r="J10477" s="249" t="s">
        <v>100</v>
      </c>
      <c r="K10477" s="250">
        <v>2661.2700122951819</v>
      </c>
      <c r="L10477" s="252"/>
    </row>
    <row r="10478" spans="1:12" x14ac:dyDescent="0.2">
      <c r="A10478" s="242">
        <v>2024</v>
      </c>
      <c r="B10478" s="242">
        <v>1</v>
      </c>
      <c r="C10478" s="242">
        <v>25</v>
      </c>
      <c r="D10478" s="321">
        <f t="shared" si="1390"/>
        <v>45316</v>
      </c>
      <c r="E10478" s="322">
        <f t="shared" si="1391"/>
        <v>45316</v>
      </c>
      <c r="F10478" s="478"/>
      <c r="G10478" s="243" t="s">
        <v>94</v>
      </c>
      <c r="H10478" s="243" t="str" cm="1">
        <f t="array" ref="H10478">IFERROR(INDEX(INVESTOR_LIST[INVESTOR NAME],MATCH(I10478,INVESTOR_LIST[INVESTOR CODE],0),)," ")</f>
        <v xml:space="preserve"> </v>
      </c>
      <c r="I10478" s="263" t="s">
        <v>348</v>
      </c>
      <c r="J10478" s="244" t="s">
        <v>48</v>
      </c>
      <c r="K10478" s="245"/>
      <c r="L10478" s="245">
        <v>2661.2700122951819</v>
      </c>
    </row>
    <row r="10479" spans="1:12" x14ac:dyDescent="0.2">
      <c r="A10479" s="133">
        <v>2024</v>
      </c>
      <c r="B10479" s="133">
        <v>1</v>
      </c>
      <c r="C10479" s="168">
        <v>28</v>
      </c>
      <c r="D10479" s="141">
        <f t="shared" si="1390"/>
        <v>45319</v>
      </c>
      <c r="E10479" s="275">
        <f t="shared" si="1391"/>
        <v>45319</v>
      </c>
      <c r="F10479" s="479" t="s">
        <v>1882</v>
      </c>
      <c r="G10479" s="174" t="s">
        <v>74</v>
      </c>
      <c r="H10479" s="148" t="str" cm="1">
        <f t="array" ref="H10479">IFERROR(INDEX(INVESTOR_LIST[INVESTOR NAME],MATCH(I10479,INVESTOR_LIST[INVESTOR CODE],0),)," ")</f>
        <v xml:space="preserve"> </v>
      </c>
      <c r="I10479" s="148" t="s">
        <v>348</v>
      </c>
      <c r="J10479" s="133" t="s">
        <v>61</v>
      </c>
      <c r="K10479" s="172">
        <v>100</v>
      </c>
    </row>
    <row r="10480" spans="1:12" x14ac:dyDescent="0.2">
      <c r="A10480" s="163">
        <v>2024</v>
      </c>
      <c r="B10480" s="163">
        <v>1</v>
      </c>
      <c r="C10480" s="163">
        <v>28</v>
      </c>
      <c r="D10480" s="141">
        <f t="shared" si="1390"/>
        <v>45319</v>
      </c>
      <c r="E10480" s="275">
        <f t="shared" si="1391"/>
        <v>45319</v>
      </c>
      <c r="F10480" s="480"/>
      <c r="G10480" s="221" t="s">
        <v>74</v>
      </c>
      <c r="H10480" s="145" t="str" cm="1">
        <f t="array" ref="H10480">IFERROR(INDEX(INVESTOR_LIST[INVESTOR NAME],MATCH(I10480,INVESTOR_LIST[INVESTOR CODE],0),)," ")</f>
        <v xml:space="preserve"> </v>
      </c>
      <c r="I10480" s="145" t="s">
        <v>348</v>
      </c>
      <c r="J10480" s="163" t="s">
        <v>52</v>
      </c>
      <c r="K10480" s="219"/>
      <c r="L10480" s="219">
        <v>100</v>
      </c>
    </row>
    <row r="10481" spans="1:12" x14ac:dyDescent="0.2">
      <c r="A10481" s="168">
        <v>2024</v>
      </c>
      <c r="B10481" s="168">
        <v>1</v>
      </c>
      <c r="C10481" s="168">
        <v>28</v>
      </c>
      <c r="D10481" s="141">
        <f t="shared" si="1390"/>
        <v>45319</v>
      </c>
      <c r="E10481" s="275">
        <f t="shared" si="1391"/>
        <v>45319</v>
      </c>
      <c r="F10481" s="479" t="s">
        <v>1757</v>
      </c>
      <c r="G10481" s="220" t="s">
        <v>74</v>
      </c>
      <c r="H10481" s="220" t="str" cm="1">
        <f t="array" ref="H10481">IFERROR(INDEX(INVESTOR_LIST[INVESTOR NAME],MATCH(I10481,INVESTOR_LIST[INVESTOR CODE],0),)," ")</f>
        <v xml:space="preserve"> </v>
      </c>
      <c r="I10481" s="142"/>
      <c r="J10481" s="143" t="s">
        <v>52</v>
      </c>
      <c r="K10481" s="226">
        <v>107822.07</v>
      </c>
      <c r="L10481" s="226"/>
    </row>
    <row r="10482" spans="1:12" ht="10.5" customHeight="1" x14ac:dyDescent="0.2">
      <c r="A10482" s="163">
        <v>2024</v>
      </c>
      <c r="B10482" s="163">
        <v>1</v>
      </c>
      <c r="C10482" s="163">
        <v>28</v>
      </c>
      <c r="D10482" s="280">
        <f>DATE(A10482,B10482,C10482)</f>
        <v>45319</v>
      </c>
      <c r="E10482" s="281">
        <f>DATE(A10482,B10482,C10482)</f>
        <v>45319</v>
      </c>
      <c r="F10482" s="480"/>
      <c r="G10482" s="221" t="s">
        <v>74</v>
      </c>
      <c r="H10482" s="221" t="str" cm="1">
        <f t="array" ref="H10482">IFERROR(INDEX(INVESTOR_LIST[INVESTOR NAME],MATCH(I10482,INVESTOR_LIST[INVESTOR CODE],0),)," ")</f>
        <v xml:space="preserve"> </v>
      </c>
      <c r="I10482" s="145"/>
      <c r="J10482" s="146" t="s">
        <v>190</v>
      </c>
      <c r="K10482" s="219"/>
      <c r="L10482" s="219">
        <v>107822.07</v>
      </c>
    </row>
    <row r="10483" spans="1:12" x14ac:dyDescent="0.2">
      <c r="A10483" s="168">
        <v>2024</v>
      </c>
      <c r="B10483" s="168">
        <v>1</v>
      </c>
      <c r="C10483" s="168">
        <v>28</v>
      </c>
      <c r="D10483" s="141">
        <f t="shared" ref="D10483:D10485" si="1398">DATE(A10483,B10483,C10483)</f>
        <v>45319</v>
      </c>
      <c r="E10483" s="275">
        <f t="shared" ref="E10483:E10485" si="1399">DATE(A10483,B10483,C10483)</f>
        <v>45319</v>
      </c>
      <c r="F10483" s="479" t="s">
        <v>1319</v>
      </c>
      <c r="G10483" s="220" t="s">
        <v>74</v>
      </c>
      <c r="H10483" s="142" t="str" cm="1">
        <f t="array" ref="H10483">IFERROR(INDEX(INVESTOR_LIST[INVESTOR NAME],MATCH(I10483,INVESTOR_LIST[INVESTOR CODE],0),)," ")</f>
        <v xml:space="preserve"> </v>
      </c>
      <c r="I10483" s="142"/>
      <c r="J10483" s="168" t="s">
        <v>52</v>
      </c>
      <c r="K10483" s="226">
        <v>157000</v>
      </c>
      <c r="L10483" s="226"/>
    </row>
    <row r="10484" spans="1:12" x14ac:dyDescent="0.2">
      <c r="A10484" s="133">
        <v>2024</v>
      </c>
      <c r="B10484" s="133">
        <v>1</v>
      </c>
      <c r="C10484" s="133">
        <v>28</v>
      </c>
      <c r="D10484" s="141">
        <f t="shared" si="1398"/>
        <v>45319</v>
      </c>
      <c r="E10484" s="275">
        <f t="shared" si="1399"/>
        <v>45319</v>
      </c>
      <c r="F10484" s="481"/>
      <c r="G10484" s="174" t="s">
        <v>74</v>
      </c>
      <c r="H10484" s="148" t="str" cm="1">
        <f t="array" ref="H10484">IFERROR(INDEX(INVESTOR_LIST[INVESTOR NAME],MATCH(I10484,INVESTOR_LIST[INVESTOR CODE],0),)," ")</f>
        <v xml:space="preserve"> </v>
      </c>
      <c r="J10484" s="133" t="s">
        <v>13</v>
      </c>
      <c r="K10484" s="218"/>
      <c r="L10484" s="218">
        <v>126630</v>
      </c>
    </row>
    <row r="10485" spans="1:12" x14ac:dyDescent="0.2">
      <c r="A10485" s="163">
        <v>2024</v>
      </c>
      <c r="B10485" s="163">
        <v>1</v>
      </c>
      <c r="C10485" s="163">
        <v>28</v>
      </c>
      <c r="D10485" s="280">
        <f t="shared" si="1398"/>
        <v>45319</v>
      </c>
      <c r="E10485" s="281">
        <f t="shared" si="1399"/>
        <v>45319</v>
      </c>
      <c r="F10485" s="480"/>
      <c r="G10485" s="221" t="s">
        <v>74</v>
      </c>
      <c r="H10485" s="145" t="str" cm="1">
        <f t="array" ref="H10485">IFERROR(INDEX(INVESTOR_LIST[INVESTOR NAME],MATCH(I10485,INVESTOR_LIST[INVESTOR CODE],0),)," ")</f>
        <v xml:space="preserve"> </v>
      </c>
      <c r="I10485" s="145"/>
      <c r="J10485" s="163" t="s">
        <v>53</v>
      </c>
      <c r="K10485" s="219"/>
      <c r="L10485" s="219">
        <v>30370</v>
      </c>
    </row>
    <row r="10486" spans="1:12" x14ac:dyDescent="0.2">
      <c r="A10486" s="168">
        <v>2024</v>
      </c>
      <c r="B10486" s="168">
        <v>1</v>
      </c>
      <c r="C10486" s="168">
        <v>30</v>
      </c>
      <c r="D10486" s="141">
        <f t="shared" ref="D10486" si="1400">DATE(A10486,B10486,C10486)</f>
        <v>45321</v>
      </c>
      <c r="E10486" s="275">
        <f t="shared" ref="E10486" si="1401">DATE(A10486,B10486,C10486)</f>
        <v>45321</v>
      </c>
      <c r="F10486" s="479" t="s">
        <v>1757</v>
      </c>
      <c r="G10486" s="220" t="s">
        <v>74</v>
      </c>
      <c r="H10486" s="220" t="str" cm="1">
        <f t="array" ref="H10486">IFERROR(INDEX(INVESTOR_LIST[INVESTOR NAME],MATCH(I10486,INVESTOR_LIST[INVESTOR CODE],0),)," ")</f>
        <v xml:space="preserve"> </v>
      </c>
      <c r="I10486" s="142"/>
      <c r="J10486" s="143" t="s">
        <v>52</v>
      </c>
      <c r="K10486" s="226">
        <v>5608322.29</v>
      </c>
      <c r="L10486" s="226"/>
    </row>
    <row r="10487" spans="1:12" ht="10.5" customHeight="1" x14ac:dyDescent="0.2">
      <c r="A10487" s="163">
        <v>2024</v>
      </c>
      <c r="B10487" s="163">
        <v>1</v>
      </c>
      <c r="C10487" s="163">
        <v>30</v>
      </c>
      <c r="D10487" s="280">
        <f>DATE(A10487,B10487,C10487)</f>
        <v>45321</v>
      </c>
      <c r="E10487" s="281">
        <f>DATE(A10487,B10487,C10487)</f>
        <v>45321</v>
      </c>
      <c r="F10487" s="480"/>
      <c r="G10487" s="221" t="s">
        <v>74</v>
      </c>
      <c r="H10487" s="221" t="str" cm="1">
        <f t="array" ref="H10487">IFERROR(INDEX(INVESTOR_LIST[INVESTOR NAME],MATCH(I10487,INVESTOR_LIST[INVESTOR CODE],0),)," ")</f>
        <v xml:space="preserve"> </v>
      </c>
      <c r="I10487" s="145"/>
      <c r="J10487" s="146" t="s">
        <v>190</v>
      </c>
      <c r="K10487" s="219"/>
      <c r="L10487" s="219">
        <v>5608322.29</v>
      </c>
    </row>
    <row r="10488" spans="1:12" x14ac:dyDescent="0.2">
      <c r="A10488" s="343">
        <v>2024</v>
      </c>
      <c r="B10488" s="343">
        <v>2</v>
      </c>
      <c r="C10488" s="343">
        <v>1</v>
      </c>
      <c r="D10488" s="344">
        <f t="shared" ref="D10488:D10512" si="1402">DATE(A10488,B10488,C10488)</f>
        <v>45323</v>
      </c>
      <c r="E10488" s="345">
        <f t="shared" ref="E10488:E10512" si="1403">DATE(A10488,B10488,C10488)</f>
        <v>45323</v>
      </c>
      <c r="F10488" s="483" t="s">
        <v>1813</v>
      </c>
      <c r="G10488" s="350" t="s">
        <v>94</v>
      </c>
      <c r="H10488" s="350" t="str" cm="1">
        <f t="array" ref="H10488">IFERROR(INDEX(INVESTOR_LIST[INVESTOR NAME],MATCH(I10488,INVESTOR_LIST[INVESTOR CODE],0),)," ")</f>
        <v xml:space="preserve"> </v>
      </c>
      <c r="I10488" s="352" t="s">
        <v>348</v>
      </c>
      <c r="J10488" s="353" t="s">
        <v>1798</v>
      </c>
      <c r="K10488" s="354">
        <v>30788.599999999627</v>
      </c>
      <c r="L10488" s="354"/>
    </row>
    <row r="10489" spans="1:12" x14ac:dyDescent="0.2">
      <c r="A10489" s="346">
        <v>2024</v>
      </c>
      <c r="B10489" s="346">
        <v>2</v>
      </c>
      <c r="C10489" s="346">
        <v>1</v>
      </c>
      <c r="D10489" s="344">
        <f t="shared" si="1402"/>
        <v>45323</v>
      </c>
      <c r="E10489" s="345">
        <f t="shared" si="1403"/>
        <v>45323</v>
      </c>
      <c r="F10489" s="484"/>
      <c r="G10489" s="347" t="s">
        <v>94</v>
      </c>
      <c r="H10489" s="347" t="str" cm="1">
        <f t="array" ref="H10489">IFERROR(INDEX(INVESTOR_LIST[INVESTOR NAME],MATCH(I10489,INVESTOR_LIST[INVESTOR CODE],0),)," ")</f>
        <v xml:space="preserve"> </v>
      </c>
      <c r="I10489" s="348" t="s">
        <v>348</v>
      </c>
      <c r="J10489" s="355" t="s">
        <v>1807</v>
      </c>
      <c r="K10489" s="349"/>
      <c r="L10489" s="349">
        <v>30788.599999999627</v>
      </c>
    </row>
    <row r="10490" spans="1:12" x14ac:dyDescent="0.2">
      <c r="A10490" s="238">
        <v>2024</v>
      </c>
      <c r="B10490" s="238">
        <v>2</v>
      </c>
      <c r="C10490" s="238">
        <v>1</v>
      </c>
      <c r="D10490" s="270">
        <f t="shared" si="1402"/>
        <v>45323</v>
      </c>
      <c r="E10490" s="279">
        <f t="shared" si="1403"/>
        <v>45323</v>
      </c>
      <c r="F10490" s="477" t="s">
        <v>347</v>
      </c>
      <c r="G10490" s="239" t="s">
        <v>94</v>
      </c>
      <c r="H10490" s="239" t="str" cm="1">
        <f t="array" ref="H10490">IFERROR(INDEX(INVESTOR_LIST[INVESTOR NAME],MATCH(I10490,INVESTOR_LIST[INVESTOR CODE],0),)," ")</f>
        <v xml:space="preserve"> </v>
      </c>
      <c r="I10490" s="262" t="s">
        <v>348</v>
      </c>
      <c r="J10490" s="240" t="s">
        <v>108</v>
      </c>
      <c r="K10490" s="241">
        <v>1276697.0899999887</v>
      </c>
      <c r="L10490" s="241"/>
    </row>
    <row r="10491" spans="1:12" x14ac:dyDescent="0.2">
      <c r="A10491" s="242">
        <v>2024</v>
      </c>
      <c r="B10491" s="242">
        <v>2</v>
      </c>
      <c r="C10491" s="242">
        <v>1</v>
      </c>
      <c r="D10491" s="270">
        <f t="shared" si="1402"/>
        <v>45323</v>
      </c>
      <c r="E10491" s="279">
        <f t="shared" si="1403"/>
        <v>45323</v>
      </c>
      <c r="F10491" s="478"/>
      <c r="G10491" s="243" t="s">
        <v>94</v>
      </c>
      <c r="H10491" s="243" t="str" cm="1">
        <f t="array" ref="H10491">IFERROR(INDEX(INVESTOR_LIST[INVESTOR NAME],MATCH(I10491,INVESTOR_LIST[INVESTOR CODE],0),)," ")</f>
        <v xml:space="preserve"> </v>
      </c>
      <c r="I10491" s="263" t="s">
        <v>348</v>
      </c>
      <c r="J10491" s="244" t="s">
        <v>82</v>
      </c>
      <c r="K10491" s="245"/>
      <c r="L10491" s="245">
        <v>1276697.0899999887</v>
      </c>
    </row>
    <row r="10492" spans="1:12" ht="22.5" x14ac:dyDescent="0.2">
      <c r="A10492" s="246">
        <v>2024</v>
      </c>
      <c r="B10492" s="238">
        <v>2</v>
      </c>
      <c r="C10492" s="238">
        <v>1</v>
      </c>
      <c r="D10492" s="270">
        <f t="shared" si="1402"/>
        <v>45323</v>
      </c>
      <c r="E10492" s="279">
        <f t="shared" si="1403"/>
        <v>45323</v>
      </c>
      <c r="F10492" s="482" t="s">
        <v>148</v>
      </c>
      <c r="G10492" s="247" t="s">
        <v>94</v>
      </c>
      <c r="H10492" s="247" t="str" cm="1">
        <f t="array" ref="H10492">IFERROR(INDEX(INVESTOR_LIST[INVESTOR NAME],MATCH(I10492,INVESTOR_LIST[INVESTOR CODE],0),)," ")</f>
        <v xml:space="preserve"> </v>
      </c>
      <c r="I10492" s="248" t="s">
        <v>348</v>
      </c>
      <c r="J10492" s="249" t="s">
        <v>95</v>
      </c>
      <c r="K10492" s="250">
        <v>2747.2527472527472</v>
      </c>
      <c r="L10492" s="241"/>
    </row>
    <row r="10493" spans="1:12" x14ac:dyDescent="0.2">
      <c r="A10493" s="242">
        <v>2024</v>
      </c>
      <c r="B10493" s="242">
        <v>2</v>
      </c>
      <c r="C10493" s="242">
        <v>1</v>
      </c>
      <c r="D10493" s="270">
        <f t="shared" si="1402"/>
        <v>45323</v>
      </c>
      <c r="E10493" s="279">
        <f t="shared" si="1403"/>
        <v>45323</v>
      </c>
      <c r="F10493" s="478"/>
      <c r="G10493" s="243" t="s">
        <v>94</v>
      </c>
      <c r="H10493" s="243" t="str" cm="1">
        <f t="array" ref="H10493">IFERROR(INDEX(INVESTOR_LIST[INVESTOR NAME],MATCH(I10493,INVESTOR_LIST[INVESTOR CODE],0),)," ")</f>
        <v xml:space="preserve"> </v>
      </c>
      <c r="I10493" s="263" t="s">
        <v>348</v>
      </c>
      <c r="J10493" s="244" t="s">
        <v>63</v>
      </c>
      <c r="K10493" s="245"/>
      <c r="L10493" s="245">
        <v>2747.2527472527472</v>
      </c>
    </row>
    <row r="10494" spans="1:12" x14ac:dyDescent="0.2">
      <c r="A10494" s="246">
        <v>2024</v>
      </c>
      <c r="B10494" s="238">
        <v>2</v>
      </c>
      <c r="C10494" s="238">
        <v>1</v>
      </c>
      <c r="D10494" s="270">
        <f t="shared" si="1402"/>
        <v>45323</v>
      </c>
      <c r="E10494" s="279">
        <f t="shared" si="1403"/>
        <v>45323</v>
      </c>
      <c r="F10494" s="482" t="s">
        <v>137</v>
      </c>
      <c r="G10494" s="247" t="s">
        <v>94</v>
      </c>
      <c r="H10494" s="247" t="str" cm="1">
        <f t="array" ref="H10494">IFERROR(INDEX(INVESTOR_LIST[INVESTOR NAME],MATCH(I10494,INVESTOR_LIST[INVESTOR CODE],0),)," ")</f>
        <v xml:space="preserve"> </v>
      </c>
      <c r="I10494" s="248" t="s">
        <v>348</v>
      </c>
      <c r="J10494" s="249" t="s">
        <v>97</v>
      </c>
      <c r="K10494" s="250">
        <v>58019.185811047369</v>
      </c>
      <c r="L10494" s="252"/>
    </row>
    <row r="10495" spans="1:12" x14ac:dyDescent="0.2">
      <c r="A10495" s="242">
        <v>2024</v>
      </c>
      <c r="B10495" s="242">
        <v>2</v>
      </c>
      <c r="C10495" s="242">
        <v>1</v>
      </c>
      <c r="D10495" s="270">
        <f t="shared" si="1402"/>
        <v>45323</v>
      </c>
      <c r="E10495" s="279">
        <f t="shared" si="1403"/>
        <v>45323</v>
      </c>
      <c r="F10495" s="478"/>
      <c r="G10495" s="243" t="s">
        <v>94</v>
      </c>
      <c r="H10495" s="243" t="str" cm="1">
        <f t="array" ref="H10495">IFERROR(INDEX(INVESTOR_LIST[INVESTOR NAME],MATCH(I10495,INVESTOR_LIST[INVESTOR CODE],0),)," ")</f>
        <v xml:space="preserve"> </v>
      </c>
      <c r="I10495" s="263" t="s">
        <v>348</v>
      </c>
      <c r="J10495" s="244" t="s">
        <v>47</v>
      </c>
      <c r="K10495" s="245"/>
      <c r="L10495" s="245">
        <v>58019.185811047369</v>
      </c>
    </row>
    <row r="10496" spans="1:12" x14ac:dyDescent="0.2">
      <c r="A10496" s="246">
        <v>2024</v>
      </c>
      <c r="B10496" s="238">
        <v>2</v>
      </c>
      <c r="C10496" s="238">
        <v>1</v>
      </c>
      <c r="D10496" s="270">
        <f t="shared" si="1402"/>
        <v>45323</v>
      </c>
      <c r="E10496" s="279">
        <f t="shared" si="1403"/>
        <v>45323</v>
      </c>
      <c r="F10496" s="482" t="s">
        <v>138</v>
      </c>
      <c r="G10496" s="247" t="s">
        <v>94</v>
      </c>
      <c r="H10496" s="247" t="str" cm="1">
        <f t="array" ref="H10496">IFERROR(INDEX(INVESTOR_LIST[INVESTOR NAME],MATCH(I10496,INVESTOR_LIST[INVESTOR CODE],0),)," ")</f>
        <v xml:space="preserve"> </v>
      </c>
      <c r="I10496" s="248" t="s">
        <v>348</v>
      </c>
      <c r="J10496" s="249" t="s">
        <v>100</v>
      </c>
      <c r="K10496" s="250">
        <v>2660.574675167753</v>
      </c>
      <c r="L10496" s="252"/>
    </row>
    <row r="10497" spans="1:17" x14ac:dyDescent="0.2">
      <c r="A10497" s="242">
        <v>2024</v>
      </c>
      <c r="B10497" s="242">
        <v>2</v>
      </c>
      <c r="C10497" s="242">
        <v>1</v>
      </c>
      <c r="D10497" s="321">
        <f t="shared" si="1402"/>
        <v>45323</v>
      </c>
      <c r="E10497" s="322">
        <f t="shared" si="1403"/>
        <v>45323</v>
      </c>
      <c r="F10497" s="478"/>
      <c r="G10497" s="243" t="s">
        <v>94</v>
      </c>
      <c r="H10497" s="243" t="str" cm="1">
        <f t="array" ref="H10497">IFERROR(INDEX(INVESTOR_LIST[INVESTOR NAME],MATCH(I10497,INVESTOR_LIST[INVESTOR CODE],0),)," ")</f>
        <v xml:space="preserve"> </v>
      </c>
      <c r="I10497" s="263" t="s">
        <v>348</v>
      </c>
      <c r="J10497" s="244" t="s">
        <v>48</v>
      </c>
      <c r="K10497" s="245"/>
      <c r="L10497" s="245">
        <v>2660.574675167753</v>
      </c>
    </row>
    <row r="10498" spans="1:17" x14ac:dyDescent="0.2">
      <c r="A10498" s="133">
        <v>2024</v>
      </c>
      <c r="B10498" s="133">
        <v>2</v>
      </c>
      <c r="C10498" s="133">
        <v>4</v>
      </c>
      <c r="D10498" s="141">
        <f t="shared" si="1402"/>
        <v>45326</v>
      </c>
      <c r="E10498" s="275">
        <f t="shared" si="1403"/>
        <v>45326</v>
      </c>
      <c r="F10498" s="481" t="s">
        <v>1753</v>
      </c>
      <c r="G10498" s="174" t="s">
        <v>94</v>
      </c>
      <c r="H10498" s="174" t="str" cm="1">
        <f t="array" ref="H10498">IFERROR(INDEX(INVESTOR_LIST[INVESTOR NAME],MATCH(I10498,INVESTOR_LIST[INVESTOR CODE],0),)," ")</f>
        <v xml:space="preserve"> </v>
      </c>
      <c r="J10498" s="149" t="s">
        <v>190</v>
      </c>
      <c r="K10498" s="218">
        <v>862085.44</v>
      </c>
      <c r="L10498" s="218"/>
      <c r="M10498" s="160"/>
    </row>
    <row r="10499" spans="1:17" x14ac:dyDescent="0.2">
      <c r="A10499" s="133">
        <v>2024</v>
      </c>
      <c r="B10499" s="133">
        <v>2</v>
      </c>
      <c r="C10499" s="133">
        <v>4</v>
      </c>
      <c r="D10499" s="141">
        <f t="shared" si="1402"/>
        <v>45326</v>
      </c>
      <c r="E10499" s="275">
        <f t="shared" si="1403"/>
        <v>45326</v>
      </c>
      <c r="F10499" s="481"/>
      <c r="G10499" s="174" t="s">
        <v>94</v>
      </c>
      <c r="H10499" s="174"/>
      <c r="J10499" s="149" t="s">
        <v>80</v>
      </c>
      <c r="K10499" s="218">
        <v>1554.56</v>
      </c>
      <c r="L10499" s="218"/>
      <c r="N10499" s="264"/>
    </row>
    <row r="10500" spans="1:17" x14ac:dyDescent="0.2">
      <c r="A10500" s="133">
        <v>2024</v>
      </c>
      <c r="B10500" s="133">
        <v>2</v>
      </c>
      <c r="C10500" s="133">
        <v>4</v>
      </c>
      <c r="D10500" s="141">
        <f t="shared" si="1402"/>
        <v>45326</v>
      </c>
      <c r="E10500" s="275">
        <f t="shared" si="1403"/>
        <v>45326</v>
      </c>
      <c r="F10500" s="481"/>
      <c r="G10500" s="174" t="s">
        <v>94</v>
      </c>
      <c r="H10500" s="174" t="str" cm="1">
        <f t="array" ref="H10500">IFERROR(INDEX(INVESTOR_LIST[INVESTOR NAME],MATCH(I10500,INVESTOR_LIST[INVESTOR CODE],0),)," ")</f>
        <v xml:space="preserve"> </v>
      </c>
      <c r="J10500" s="149" t="s">
        <v>191</v>
      </c>
      <c r="K10500" s="218">
        <v>61229.599999999999</v>
      </c>
      <c r="L10500" s="218"/>
      <c r="N10500" s="264"/>
    </row>
    <row r="10501" spans="1:17" x14ac:dyDescent="0.2">
      <c r="A10501" s="163">
        <v>2024</v>
      </c>
      <c r="B10501" s="163">
        <v>2</v>
      </c>
      <c r="C10501" s="163">
        <v>4</v>
      </c>
      <c r="D10501" s="280">
        <f t="shared" si="1402"/>
        <v>45326</v>
      </c>
      <c r="E10501" s="281">
        <f t="shared" si="1403"/>
        <v>45326</v>
      </c>
      <c r="F10501" s="480"/>
      <c r="G10501" s="221" t="s">
        <v>94</v>
      </c>
      <c r="H10501" s="145" t="str" cm="1">
        <f t="array" ref="H10501">IFERROR(INDEX(INVESTOR_LIST[INVESTOR NAME],MATCH(I10501,INVESTOR_LIST[INVESTOR CODE],0),)," ")</f>
        <v xml:space="preserve"> </v>
      </c>
      <c r="I10501" s="145"/>
      <c r="J10501" s="163" t="s">
        <v>79</v>
      </c>
      <c r="K10501" s="219"/>
      <c r="L10501" s="219">
        <v>924869.6</v>
      </c>
      <c r="N10501" s="264"/>
    </row>
    <row r="10502" spans="1:17" ht="33.75" x14ac:dyDescent="0.2">
      <c r="A10502" s="168">
        <v>2024</v>
      </c>
      <c r="B10502" s="168">
        <v>2</v>
      </c>
      <c r="C10502" s="168">
        <v>4</v>
      </c>
      <c r="D10502" s="141">
        <f t="shared" si="1402"/>
        <v>45326</v>
      </c>
      <c r="E10502" s="275">
        <f t="shared" si="1403"/>
        <v>45326</v>
      </c>
      <c r="F10502" s="479" t="s">
        <v>966</v>
      </c>
      <c r="G10502" s="220" t="s">
        <v>94</v>
      </c>
      <c r="H10502" s="220" t="str" cm="1">
        <f t="array" ref="H10502">IFERROR(INDEX(INVESTOR_LIST[INVESTOR NAME],MATCH(I10502,INVESTOR_LIST[INVESTOR CODE],0),)," ")</f>
        <v>MD. ZAHIRUL ISLAM</v>
      </c>
      <c r="I10502" s="142" t="s">
        <v>832</v>
      </c>
      <c r="J10502" s="310" t="s">
        <v>358</v>
      </c>
      <c r="K10502" s="226">
        <v>3750</v>
      </c>
      <c r="L10502" s="226"/>
    </row>
    <row r="10503" spans="1:17" ht="33.75" x14ac:dyDescent="0.2">
      <c r="A10503" s="133">
        <v>2024</v>
      </c>
      <c r="B10503" s="133">
        <v>2</v>
      </c>
      <c r="C10503" s="133">
        <v>4</v>
      </c>
      <c r="D10503" s="147">
        <f t="shared" si="1402"/>
        <v>45326</v>
      </c>
      <c r="E10503" s="311">
        <f t="shared" si="1403"/>
        <v>45326</v>
      </c>
      <c r="F10503" s="481"/>
      <c r="G10503" s="174" t="s">
        <v>94</v>
      </c>
      <c r="H10503" s="174" t="str" cm="1">
        <f t="array" ref="H10503">IFERROR(INDEX(INVESTOR_LIST[INVESTOR NAME],MATCH(I10503,INVESTOR_LIST[INVESTOR CODE],0),)," ")</f>
        <v>MD. ZAHIRUL ISLAM</v>
      </c>
      <c r="I10503" s="148" t="s">
        <v>832</v>
      </c>
      <c r="J10503" s="312" t="s">
        <v>13</v>
      </c>
      <c r="K10503" s="218"/>
      <c r="L10503" s="218">
        <v>3010</v>
      </c>
    </row>
    <row r="10504" spans="1:17" ht="33.75" x14ac:dyDescent="0.2">
      <c r="A10504" s="133">
        <v>2024</v>
      </c>
      <c r="B10504" s="163">
        <v>2</v>
      </c>
      <c r="C10504" s="163">
        <v>4</v>
      </c>
      <c r="D10504" s="147">
        <f t="shared" si="1402"/>
        <v>45326</v>
      </c>
      <c r="E10504" s="311">
        <f t="shared" si="1403"/>
        <v>45326</v>
      </c>
      <c r="F10504" s="481"/>
      <c r="G10504" s="174" t="s">
        <v>94</v>
      </c>
      <c r="H10504" s="174" t="str" cm="1">
        <f t="array" ref="H10504">IFERROR(INDEX(INVESTOR_LIST[INVESTOR NAME],MATCH(I10504,INVESTOR_LIST[INVESTOR CODE],0),)," ")</f>
        <v>MD. ZAHIRUL ISLAM</v>
      </c>
      <c r="I10504" s="148" t="s">
        <v>832</v>
      </c>
      <c r="J10504" s="312" t="s">
        <v>53</v>
      </c>
      <c r="K10504" s="219"/>
      <c r="L10504" s="218">
        <v>740</v>
      </c>
    </row>
    <row r="10505" spans="1:17" ht="11.25" customHeight="1" x14ac:dyDescent="0.2">
      <c r="A10505" s="168">
        <v>2024</v>
      </c>
      <c r="B10505" s="168">
        <v>2</v>
      </c>
      <c r="C10505" s="168">
        <v>4</v>
      </c>
      <c r="D10505" s="141">
        <f t="shared" si="1402"/>
        <v>45326</v>
      </c>
      <c r="E10505" s="275">
        <f t="shared" si="1403"/>
        <v>45326</v>
      </c>
      <c r="F10505" s="479" t="s">
        <v>965</v>
      </c>
      <c r="G10505" s="220" t="s">
        <v>74</v>
      </c>
      <c r="H10505" s="142" t="str" cm="1">
        <f t="array" ref="H10505">IFERROR(INDEX(INVESTOR_LIST[INVESTOR NAME],MATCH(I10505,INVESTOR_LIST[INVESTOR CODE],0),)," ")</f>
        <v>MD. ZAHIRUL ISLAM</v>
      </c>
      <c r="I10505" s="142" t="s">
        <v>832</v>
      </c>
      <c r="J10505" s="168" t="s">
        <v>13</v>
      </c>
      <c r="K10505" s="218">
        <v>153010</v>
      </c>
      <c r="L10505" s="226"/>
    </row>
    <row r="10506" spans="1:17" ht="11.25" customHeight="1" x14ac:dyDescent="0.2">
      <c r="A10506" s="133">
        <v>2024</v>
      </c>
      <c r="B10506" s="133">
        <v>2</v>
      </c>
      <c r="C10506" s="133">
        <v>4</v>
      </c>
      <c r="D10506" s="141">
        <f t="shared" si="1402"/>
        <v>45326</v>
      </c>
      <c r="E10506" s="275">
        <f t="shared" si="1403"/>
        <v>45326</v>
      </c>
      <c r="F10506" s="481"/>
      <c r="G10506" s="174" t="s">
        <v>74</v>
      </c>
      <c r="H10506" s="148" t="str" cm="1">
        <f t="array" ref="H10506">IFERROR(INDEX(INVESTOR_LIST[INVESTOR NAME],MATCH(I10506,INVESTOR_LIST[INVESTOR CODE],0),)," ")</f>
        <v>MD. ZAHIRUL ISLAM</v>
      </c>
      <c r="I10506" s="148" t="s">
        <v>832</v>
      </c>
      <c r="J10506" s="133" t="s">
        <v>53</v>
      </c>
      <c r="K10506" s="218">
        <v>32780</v>
      </c>
      <c r="L10506" s="133"/>
    </row>
    <row r="10507" spans="1:17" ht="11.25" customHeight="1" x14ac:dyDescent="0.2">
      <c r="A10507" s="163">
        <v>2024</v>
      </c>
      <c r="B10507" s="163">
        <v>2</v>
      </c>
      <c r="C10507" s="163">
        <v>4</v>
      </c>
      <c r="D10507" s="280">
        <f t="shared" si="1402"/>
        <v>45326</v>
      </c>
      <c r="E10507" s="281">
        <f t="shared" si="1403"/>
        <v>45326</v>
      </c>
      <c r="F10507" s="480"/>
      <c r="G10507" s="221" t="s">
        <v>74</v>
      </c>
      <c r="H10507" s="145" t="str" cm="1">
        <f t="array" ref="H10507">IFERROR(INDEX(INVESTOR_LIST[INVESTOR NAME],MATCH(I10507,INVESTOR_LIST[INVESTOR CODE],0),)," ")</f>
        <v>MD. ZAHIRUL ISLAM</v>
      </c>
      <c r="I10507" s="145" t="s">
        <v>832</v>
      </c>
      <c r="J10507" s="163" t="s">
        <v>52</v>
      </c>
      <c r="K10507" s="219"/>
      <c r="L10507" s="219">
        <v>185790</v>
      </c>
    </row>
    <row r="10508" spans="1:17" x14ac:dyDescent="0.2">
      <c r="A10508" s="168">
        <v>2024</v>
      </c>
      <c r="B10508" s="168">
        <v>2</v>
      </c>
      <c r="C10508" s="168">
        <v>5</v>
      </c>
      <c r="D10508" s="141">
        <f t="shared" si="1402"/>
        <v>45327</v>
      </c>
      <c r="E10508" s="275">
        <f t="shared" si="1403"/>
        <v>45327</v>
      </c>
      <c r="F10508" s="479" t="s">
        <v>1319</v>
      </c>
      <c r="G10508" s="220" t="s">
        <v>74</v>
      </c>
      <c r="H10508" s="142" t="str" cm="1">
        <f t="array" ref="H10508">IFERROR(INDEX(INVESTOR_LIST[INVESTOR NAME],MATCH(I10508,INVESTOR_LIST[INVESTOR CODE],0),)," ")</f>
        <v xml:space="preserve"> </v>
      </c>
      <c r="I10508" s="142"/>
      <c r="J10508" s="168" t="s">
        <v>52</v>
      </c>
      <c r="K10508" s="226">
        <v>75500</v>
      </c>
      <c r="L10508" s="226"/>
    </row>
    <row r="10509" spans="1:17" x14ac:dyDescent="0.2">
      <c r="A10509" s="133">
        <v>2024</v>
      </c>
      <c r="B10509" s="133">
        <v>2</v>
      </c>
      <c r="C10509" s="133">
        <v>5</v>
      </c>
      <c r="D10509" s="141">
        <f t="shared" si="1402"/>
        <v>45327</v>
      </c>
      <c r="E10509" s="275">
        <f t="shared" si="1403"/>
        <v>45327</v>
      </c>
      <c r="F10509" s="481"/>
      <c r="G10509" s="174" t="s">
        <v>74</v>
      </c>
      <c r="H10509" s="148" t="str" cm="1">
        <f t="array" ref="H10509">IFERROR(INDEX(INVESTOR_LIST[INVESTOR NAME],MATCH(I10509,INVESTOR_LIST[INVESTOR CODE],0),)," ")</f>
        <v xml:space="preserve"> </v>
      </c>
      <c r="J10509" s="133" t="s">
        <v>13</v>
      </c>
      <c r="K10509" s="218"/>
      <c r="L10509" s="218">
        <v>60940</v>
      </c>
    </row>
    <row r="10510" spans="1:17" x14ac:dyDescent="0.2">
      <c r="A10510" s="163">
        <v>2024</v>
      </c>
      <c r="B10510" s="163">
        <v>2</v>
      </c>
      <c r="C10510" s="163">
        <v>5</v>
      </c>
      <c r="D10510" s="280">
        <f t="shared" si="1402"/>
        <v>45327</v>
      </c>
      <c r="E10510" s="281">
        <f t="shared" si="1403"/>
        <v>45327</v>
      </c>
      <c r="F10510" s="480"/>
      <c r="G10510" s="221" t="s">
        <v>74</v>
      </c>
      <c r="H10510" s="145" t="str" cm="1">
        <f t="array" ref="H10510">IFERROR(INDEX(INVESTOR_LIST[INVESTOR NAME],MATCH(I10510,INVESTOR_LIST[INVESTOR CODE],0),)," ")</f>
        <v xml:space="preserve"> </v>
      </c>
      <c r="I10510" s="145"/>
      <c r="J10510" s="163" t="s">
        <v>53</v>
      </c>
      <c r="K10510" s="219"/>
      <c r="L10510" s="219">
        <v>14560</v>
      </c>
    </row>
    <row r="10511" spans="1:17" x14ac:dyDescent="0.2">
      <c r="A10511" s="133">
        <v>2024</v>
      </c>
      <c r="B10511" s="133">
        <v>2</v>
      </c>
      <c r="C10511" s="133">
        <v>5</v>
      </c>
      <c r="D10511" s="141">
        <f t="shared" si="1402"/>
        <v>45327</v>
      </c>
      <c r="E10511" s="275">
        <f t="shared" si="1403"/>
        <v>45327</v>
      </c>
      <c r="F10511" s="481" t="s">
        <v>1891</v>
      </c>
      <c r="G10511" s="174" t="s">
        <v>74</v>
      </c>
      <c r="H10511" s="174" t="str" cm="1">
        <f t="array" ref="H10511">IFERROR(INDEX(INVESTOR_LIST[INVESTOR NAME],MATCH(I10511,INVESTOR_LIST[INVESTOR CODE],0),)," ")</f>
        <v xml:space="preserve"> </v>
      </c>
      <c r="I10511" s="148" t="s">
        <v>348</v>
      </c>
      <c r="J10511" s="149" t="s">
        <v>1764</v>
      </c>
      <c r="K10511" s="218">
        <v>14587860</v>
      </c>
      <c r="L10511" s="218"/>
      <c r="M10511" s="147"/>
      <c r="Q10511" s="133" t="s">
        <v>348</v>
      </c>
    </row>
    <row r="10512" spans="1:17" x14ac:dyDescent="0.2">
      <c r="A10512" s="163">
        <v>2024</v>
      </c>
      <c r="B10512" s="163">
        <v>2</v>
      </c>
      <c r="C10512" s="163">
        <v>5</v>
      </c>
      <c r="D10512" s="280">
        <f t="shared" si="1402"/>
        <v>45327</v>
      </c>
      <c r="E10512" s="281">
        <f t="shared" si="1403"/>
        <v>45327</v>
      </c>
      <c r="F10512" s="480"/>
      <c r="G10512" s="221" t="s">
        <v>74</v>
      </c>
      <c r="H10512" s="221" t="str" cm="1">
        <f t="array" ref="H10512">IFERROR(INDEX(INVESTOR_LIST[INVESTOR NAME],MATCH(I10512,INVESTOR_LIST[INVESTOR CODE],0),)," ")</f>
        <v xml:space="preserve"> </v>
      </c>
      <c r="I10512" s="145"/>
      <c r="J10512" s="146" t="s">
        <v>52</v>
      </c>
      <c r="K10512" s="219"/>
      <c r="L10512" s="219">
        <v>14587860</v>
      </c>
      <c r="M10512" s="147"/>
      <c r="Q10512" s="133" t="s">
        <v>348</v>
      </c>
    </row>
    <row r="10513" spans="1:17" x14ac:dyDescent="0.2">
      <c r="A10513" s="133">
        <v>2024</v>
      </c>
      <c r="B10513" s="133">
        <v>2</v>
      </c>
      <c r="C10513" s="133">
        <v>5</v>
      </c>
      <c r="D10513" s="141">
        <f t="shared" ref="D10513:D10517" si="1404">DATE(A10513,B10513,C10513)</f>
        <v>45327</v>
      </c>
      <c r="E10513" s="275">
        <f t="shared" ref="E10513:E10517" si="1405">DATE(A10513,B10513,C10513)</f>
        <v>45327</v>
      </c>
      <c r="F10513" s="481" t="s">
        <v>1891</v>
      </c>
      <c r="G10513" s="174" t="s">
        <v>74</v>
      </c>
      <c r="H10513" s="174" t="str" cm="1">
        <f t="array" ref="H10513">IFERROR(INDEX(INVESTOR_LIST[INVESTOR NAME],MATCH(I10513,INVESTOR_LIST[INVESTOR CODE],0),)," ")</f>
        <v xml:space="preserve"> </v>
      </c>
      <c r="I10513" s="148" t="s">
        <v>348</v>
      </c>
      <c r="J10513" s="149" t="s">
        <v>1764</v>
      </c>
      <c r="K10513" s="218">
        <v>14587230</v>
      </c>
      <c r="L10513" s="218"/>
      <c r="M10513" s="147"/>
      <c r="Q10513" s="133" t="s">
        <v>348</v>
      </c>
    </row>
    <row r="10514" spans="1:17" x14ac:dyDescent="0.2">
      <c r="A10514" s="163">
        <v>2024</v>
      </c>
      <c r="B10514" s="163">
        <v>2</v>
      </c>
      <c r="C10514" s="163">
        <v>5</v>
      </c>
      <c r="D10514" s="280">
        <f t="shared" si="1404"/>
        <v>45327</v>
      </c>
      <c r="E10514" s="281">
        <f t="shared" si="1405"/>
        <v>45327</v>
      </c>
      <c r="F10514" s="480"/>
      <c r="G10514" s="221" t="s">
        <v>74</v>
      </c>
      <c r="H10514" s="221" t="str" cm="1">
        <f t="array" ref="H10514">IFERROR(INDEX(INVESTOR_LIST[INVESTOR NAME],MATCH(I10514,INVESTOR_LIST[INVESTOR CODE],0),)," ")</f>
        <v xml:space="preserve"> </v>
      </c>
      <c r="I10514" s="145"/>
      <c r="J10514" s="146" t="s">
        <v>52</v>
      </c>
      <c r="K10514" s="219"/>
      <c r="L10514" s="219">
        <v>14587230</v>
      </c>
      <c r="M10514" s="147"/>
      <c r="Q10514" s="133" t="s">
        <v>348</v>
      </c>
    </row>
    <row r="10515" spans="1:17" x14ac:dyDescent="0.2">
      <c r="A10515" s="168">
        <v>2024</v>
      </c>
      <c r="B10515" s="168">
        <v>2</v>
      </c>
      <c r="C10515" s="168">
        <v>5</v>
      </c>
      <c r="D10515" s="141">
        <f t="shared" si="1404"/>
        <v>45327</v>
      </c>
      <c r="E10515" s="275">
        <f t="shared" si="1405"/>
        <v>45327</v>
      </c>
      <c r="F10515" s="479" t="s">
        <v>1797</v>
      </c>
      <c r="G10515" s="220" t="s">
        <v>94</v>
      </c>
      <c r="H10515" s="220" t="str" cm="1">
        <f t="array" ref="H10515">IFERROR(INDEX(INVESTOR_LIST[INVESTOR NAME],MATCH(I10515,INVESTOR_LIST[INVESTOR CODE],0),)," ")</f>
        <v xml:space="preserve"> </v>
      </c>
      <c r="I10515" s="142"/>
      <c r="J10515" s="143" t="s">
        <v>79</v>
      </c>
      <c r="K10515" s="226">
        <v>780000</v>
      </c>
      <c r="L10515" s="226"/>
      <c r="M10515" s="160"/>
    </row>
    <row r="10516" spans="1:17" x14ac:dyDescent="0.2">
      <c r="A10516" s="133">
        <v>2024</v>
      </c>
      <c r="B10516" s="133">
        <v>2</v>
      </c>
      <c r="C10516" s="133">
        <v>5</v>
      </c>
      <c r="D10516" s="141">
        <f t="shared" si="1404"/>
        <v>45327</v>
      </c>
      <c r="E10516" s="275">
        <f t="shared" si="1405"/>
        <v>45327</v>
      </c>
      <c r="F10516" s="481"/>
      <c r="G10516" s="174" t="s">
        <v>94</v>
      </c>
      <c r="H10516" s="174"/>
      <c r="J10516" s="149" t="s">
        <v>80</v>
      </c>
      <c r="K10516" s="218">
        <v>1404.01</v>
      </c>
      <c r="L10516" s="218"/>
    </row>
    <row r="10517" spans="1:17" ht="10.9" customHeight="1" x14ac:dyDescent="0.2">
      <c r="A10517" s="163">
        <v>2024</v>
      </c>
      <c r="B10517" s="163">
        <v>2</v>
      </c>
      <c r="C10517" s="163">
        <v>5</v>
      </c>
      <c r="D10517" s="280">
        <f t="shared" si="1404"/>
        <v>45327</v>
      </c>
      <c r="E10517" s="281">
        <f t="shared" si="1405"/>
        <v>45327</v>
      </c>
      <c r="F10517" s="480"/>
      <c r="G10517" s="221" t="s">
        <v>94</v>
      </c>
      <c r="H10517" s="221"/>
      <c r="I10517" s="145"/>
      <c r="J10517" s="146" t="s">
        <v>147</v>
      </c>
      <c r="K10517" s="219"/>
      <c r="L10517" s="219">
        <v>781404.01</v>
      </c>
    </row>
    <row r="10518" spans="1:17" x14ac:dyDescent="0.2">
      <c r="A10518" s="168">
        <v>2024</v>
      </c>
      <c r="B10518" s="168">
        <v>2</v>
      </c>
      <c r="C10518" s="168">
        <v>6</v>
      </c>
      <c r="D10518" s="141">
        <f t="shared" ref="D10518:D10520" si="1406">DATE(A10518,B10518,C10518)</f>
        <v>45328</v>
      </c>
      <c r="E10518" s="275">
        <f t="shared" ref="E10518:E10520" si="1407">DATE(A10518,B10518,C10518)</f>
        <v>45328</v>
      </c>
      <c r="F10518" s="479" t="s">
        <v>1797</v>
      </c>
      <c r="G10518" s="220" t="s">
        <v>94</v>
      </c>
      <c r="H10518" s="220" t="str" cm="1">
        <f t="array" ref="H10518">IFERROR(INDEX(INVESTOR_LIST[INVESTOR NAME],MATCH(I10518,INVESTOR_LIST[INVESTOR CODE],0),)," ")</f>
        <v xml:space="preserve"> </v>
      </c>
      <c r="I10518" s="142"/>
      <c r="J10518" s="143" t="s">
        <v>79</v>
      </c>
      <c r="K10518" s="226">
        <v>982500</v>
      </c>
      <c r="L10518" s="226"/>
      <c r="M10518" s="160"/>
    </row>
    <row r="10519" spans="1:17" x14ac:dyDescent="0.2">
      <c r="A10519" s="133">
        <v>2024</v>
      </c>
      <c r="B10519" s="133">
        <v>2</v>
      </c>
      <c r="C10519" s="133">
        <v>6</v>
      </c>
      <c r="D10519" s="141">
        <f t="shared" si="1406"/>
        <v>45328</v>
      </c>
      <c r="E10519" s="275">
        <f t="shared" si="1407"/>
        <v>45328</v>
      </c>
      <c r="F10519" s="481"/>
      <c r="G10519" s="174" t="s">
        <v>94</v>
      </c>
      <c r="H10519" s="174"/>
      <c r="J10519" s="149" t="s">
        <v>80</v>
      </c>
      <c r="K10519" s="218">
        <v>1768.5</v>
      </c>
      <c r="L10519" s="218"/>
    </row>
    <row r="10520" spans="1:17" ht="10.5" customHeight="1" x14ac:dyDescent="0.2">
      <c r="A10520" s="163">
        <v>2024</v>
      </c>
      <c r="B10520" s="163">
        <v>2</v>
      </c>
      <c r="C10520" s="163">
        <v>6</v>
      </c>
      <c r="D10520" s="280">
        <f t="shared" si="1406"/>
        <v>45328</v>
      </c>
      <c r="E10520" s="281">
        <f t="shared" si="1407"/>
        <v>45328</v>
      </c>
      <c r="F10520" s="480"/>
      <c r="G10520" s="221" t="s">
        <v>94</v>
      </c>
      <c r="H10520" s="221"/>
      <c r="I10520" s="145"/>
      <c r="J10520" s="146" t="s">
        <v>147</v>
      </c>
      <c r="K10520" s="219"/>
      <c r="L10520" s="219">
        <v>984268.5</v>
      </c>
    </row>
    <row r="10521" spans="1:17" x14ac:dyDescent="0.2">
      <c r="A10521" s="133">
        <v>2024</v>
      </c>
      <c r="B10521" s="133">
        <v>2</v>
      </c>
      <c r="C10521" s="168">
        <v>6</v>
      </c>
      <c r="D10521" s="141">
        <f>DATE(A10521,B10521,C10521)</f>
        <v>45328</v>
      </c>
      <c r="E10521" s="275">
        <f>DATE(A10521,B10521,C10521)</f>
        <v>45328</v>
      </c>
      <c r="F10521" s="479" t="s">
        <v>1768</v>
      </c>
      <c r="G10521" s="220" t="s">
        <v>74</v>
      </c>
      <c r="H10521" s="220" t="str" cm="1">
        <f t="array" ref="H10521">IFERROR(INDEX(INVESTOR_LIST[INVESTOR NAME],MATCH(I10521,INVESTOR_LIST[INVESTOR CODE],0),)," ")</f>
        <v xml:space="preserve"> </v>
      </c>
      <c r="I10521" s="142"/>
      <c r="J10521" s="143" t="s">
        <v>147</v>
      </c>
      <c r="K10521" s="226">
        <v>984268.5</v>
      </c>
      <c r="L10521" s="226"/>
    </row>
    <row r="10522" spans="1:17" x14ac:dyDescent="0.2">
      <c r="A10522" s="163">
        <v>2024</v>
      </c>
      <c r="B10522" s="163">
        <v>2</v>
      </c>
      <c r="C10522" s="163">
        <v>6</v>
      </c>
      <c r="D10522" s="280">
        <f>DATE(A10522,B10522,C10522)</f>
        <v>45328</v>
      </c>
      <c r="E10522" s="281">
        <f>DATE(A10522,B10522,C10522)</f>
        <v>45328</v>
      </c>
      <c r="F10522" s="480"/>
      <c r="G10522" s="221" t="s">
        <v>74</v>
      </c>
      <c r="H10522" s="221" t="str" cm="1">
        <f t="array" ref="H10522">IFERROR(INDEX(INVESTOR_LIST[INVESTOR NAME],MATCH(I10522,INVESTOR_LIST[INVESTOR CODE],0),)," ")</f>
        <v xml:space="preserve"> </v>
      </c>
      <c r="I10522" s="145" t="s">
        <v>348</v>
      </c>
      <c r="J10522" s="146" t="s">
        <v>52</v>
      </c>
      <c r="K10522" s="219"/>
      <c r="L10522" s="219">
        <v>984268.5</v>
      </c>
    </row>
    <row r="10523" spans="1:17" x14ac:dyDescent="0.2">
      <c r="A10523" s="133">
        <v>2024</v>
      </c>
      <c r="B10523" s="133">
        <v>2</v>
      </c>
      <c r="C10523" s="168">
        <v>6</v>
      </c>
      <c r="D10523" s="141">
        <f>DATE(A10523,B10523,C10523)</f>
        <v>45328</v>
      </c>
      <c r="E10523" s="275">
        <f>DATE(A10523,B10523,C10523)</f>
        <v>45328</v>
      </c>
      <c r="F10523" s="479" t="s">
        <v>1768</v>
      </c>
      <c r="G10523" s="220" t="s">
        <v>74</v>
      </c>
      <c r="H10523" s="220" t="str" cm="1">
        <f t="array" ref="H10523">IFERROR(INDEX(INVESTOR_LIST[INVESTOR NAME],MATCH(I10523,INVESTOR_LIST[INVESTOR CODE],0),)," ")</f>
        <v xml:space="preserve"> </v>
      </c>
      <c r="I10523" s="142"/>
      <c r="J10523" s="143" t="s">
        <v>147</v>
      </c>
      <c r="K10523" s="226">
        <v>781404.01</v>
      </c>
      <c r="L10523" s="226"/>
    </row>
    <row r="10524" spans="1:17" x14ac:dyDescent="0.2">
      <c r="A10524" s="163">
        <v>2024</v>
      </c>
      <c r="B10524" s="163">
        <v>2</v>
      </c>
      <c r="C10524" s="163">
        <v>6</v>
      </c>
      <c r="D10524" s="280">
        <f>DATE(A10524,B10524,C10524)</f>
        <v>45328</v>
      </c>
      <c r="E10524" s="281">
        <f>DATE(A10524,B10524,C10524)</f>
        <v>45328</v>
      </c>
      <c r="F10524" s="480"/>
      <c r="G10524" s="221" t="s">
        <v>74</v>
      </c>
      <c r="H10524" s="221" t="str" cm="1">
        <f t="array" ref="H10524">IFERROR(INDEX(INVESTOR_LIST[INVESTOR NAME],MATCH(I10524,INVESTOR_LIST[INVESTOR CODE],0),)," ")</f>
        <v xml:space="preserve"> </v>
      </c>
      <c r="I10524" s="145" t="s">
        <v>348</v>
      </c>
      <c r="J10524" s="146" t="s">
        <v>52</v>
      </c>
      <c r="K10524" s="219"/>
      <c r="L10524" s="219">
        <v>781404.01</v>
      </c>
    </row>
    <row r="10525" spans="1:17" x14ac:dyDescent="0.2">
      <c r="A10525" s="168">
        <v>2024</v>
      </c>
      <c r="B10525" s="168">
        <v>2</v>
      </c>
      <c r="C10525" s="168">
        <v>8</v>
      </c>
      <c r="D10525" s="141">
        <f t="shared" ref="D10525" si="1408">DATE(A10525,B10525,C10525)</f>
        <v>45330</v>
      </c>
      <c r="E10525" s="275">
        <f t="shared" ref="E10525" si="1409">DATE(A10525,B10525,C10525)</f>
        <v>45330</v>
      </c>
      <c r="F10525" s="479" t="s">
        <v>1757</v>
      </c>
      <c r="G10525" s="220" t="s">
        <v>74</v>
      </c>
      <c r="H10525" s="220" t="str" cm="1">
        <f t="array" ref="H10525">IFERROR(INDEX(INVESTOR_LIST[INVESTOR NAME],MATCH(I10525,INVESTOR_LIST[INVESTOR CODE],0),)," ")</f>
        <v xml:space="preserve"> </v>
      </c>
      <c r="I10525" s="142"/>
      <c r="J10525" s="143" t="s">
        <v>52</v>
      </c>
      <c r="K10525" s="226">
        <v>862085.44</v>
      </c>
      <c r="L10525" s="226"/>
    </row>
    <row r="10526" spans="1:17" ht="10.5" customHeight="1" x14ac:dyDescent="0.2">
      <c r="A10526" s="163">
        <v>2024</v>
      </c>
      <c r="B10526" s="163">
        <v>2</v>
      </c>
      <c r="C10526" s="163">
        <v>8</v>
      </c>
      <c r="D10526" s="280">
        <f>DATE(A10526,B10526,C10526)</f>
        <v>45330</v>
      </c>
      <c r="E10526" s="281">
        <f>DATE(A10526,B10526,C10526)</f>
        <v>45330</v>
      </c>
      <c r="F10526" s="480"/>
      <c r="G10526" s="221" t="s">
        <v>74</v>
      </c>
      <c r="H10526" s="221" t="str" cm="1">
        <f t="array" ref="H10526">IFERROR(INDEX(INVESTOR_LIST[INVESTOR NAME],MATCH(I10526,INVESTOR_LIST[INVESTOR CODE],0),)," ")</f>
        <v xml:space="preserve"> </v>
      </c>
      <c r="I10526" s="145"/>
      <c r="J10526" s="146" t="s">
        <v>190</v>
      </c>
      <c r="K10526" s="219"/>
      <c r="L10526" s="219">
        <v>862085.44</v>
      </c>
    </row>
    <row r="10527" spans="1:17" x14ac:dyDescent="0.2">
      <c r="A10527" s="133">
        <v>2024</v>
      </c>
      <c r="B10527" s="133">
        <v>2</v>
      </c>
      <c r="C10527" s="133">
        <v>8</v>
      </c>
      <c r="D10527" s="141">
        <f t="shared" ref="D10527:D10543" si="1410">DATE(A10527,B10527,C10527)</f>
        <v>45330</v>
      </c>
      <c r="E10527" s="275">
        <f t="shared" ref="E10527:E10543" si="1411">DATE(A10527,B10527,C10527)</f>
        <v>45330</v>
      </c>
      <c r="F10527" s="481" t="s">
        <v>1753</v>
      </c>
      <c r="G10527" s="174" t="s">
        <v>94</v>
      </c>
      <c r="H10527" s="174" t="str" cm="1">
        <f t="array" ref="H10527">IFERROR(INDEX(INVESTOR_LIST[INVESTOR NAME],MATCH(I10527,INVESTOR_LIST[INVESTOR CODE],0),)," ")</f>
        <v xml:space="preserve"> </v>
      </c>
      <c r="J10527" s="149" t="s">
        <v>190</v>
      </c>
      <c r="K10527" s="218">
        <v>8548584.8000000007</v>
      </c>
      <c r="L10527" s="218"/>
      <c r="M10527" s="160"/>
    </row>
    <row r="10528" spans="1:17" x14ac:dyDescent="0.2">
      <c r="A10528" s="133">
        <v>2024</v>
      </c>
      <c r="B10528" s="133">
        <v>2</v>
      </c>
      <c r="C10528" s="133">
        <v>8</v>
      </c>
      <c r="D10528" s="141">
        <f t="shared" si="1410"/>
        <v>45330</v>
      </c>
      <c r="E10528" s="275">
        <f t="shared" si="1411"/>
        <v>45330</v>
      </c>
      <c r="F10528" s="481"/>
      <c r="G10528" s="174" t="s">
        <v>94</v>
      </c>
      <c r="H10528" s="174"/>
      <c r="J10528" s="149" t="s">
        <v>80</v>
      </c>
      <c r="K10528" s="218">
        <v>15415.2</v>
      </c>
      <c r="L10528" s="218"/>
      <c r="N10528" s="264"/>
    </row>
    <row r="10529" spans="1:14" x14ac:dyDescent="0.2">
      <c r="A10529" s="133">
        <v>2024</v>
      </c>
      <c r="B10529" s="133">
        <v>2</v>
      </c>
      <c r="C10529" s="133">
        <v>8</v>
      </c>
      <c r="D10529" s="141">
        <f t="shared" si="1410"/>
        <v>45330</v>
      </c>
      <c r="E10529" s="275">
        <f t="shared" si="1411"/>
        <v>45330</v>
      </c>
      <c r="F10529" s="481"/>
      <c r="G10529" s="174" t="s">
        <v>94</v>
      </c>
      <c r="H10529" s="174" t="str" cm="1">
        <f t="array" ref="H10529">IFERROR(INDEX(INVESTOR_LIST[INVESTOR NAME],MATCH(I10529,INVESTOR_LIST[INVESTOR CODE],0),)," ")</f>
        <v xml:space="preserve"> </v>
      </c>
      <c r="J10529" s="149" t="s">
        <v>191</v>
      </c>
      <c r="K10529" s="218">
        <v>217345.74</v>
      </c>
      <c r="L10529" s="218"/>
      <c r="N10529" s="264"/>
    </row>
    <row r="10530" spans="1:14" x14ac:dyDescent="0.2">
      <c r="A10530" s="163">
        <v>2024</v>
      </c>
      <c r="B10530" s="163">
        <v>2</v>
      </c>
      <c r="C10530" s="163">
        <v>8</v>
      </c>
      <c r="D10530" s="280">
        <f t="shared" si="1410"/>
        <v>45330</v>
      </c>
      <c r="E10530" s="281">
        <f t="shared" si="1411"/>
        <v>45330</v>
      </c>
      <c r="F10530" s="480"/>
      <c r="G10530" s="221" t="s">
        <v>94</v>
      </c>
      <c r="H10530" s="145" t="str" cm="1">
        <f t="array" ref="H10530">IFERROR(INDEX(INVESTOR_LIST[INVESTOR NAME],MATCH(I10530,INVESTOR_LIST[INVESTOR CODE],0),)," ")</f>
        <v xml:space="preserve"> </v>
      </c>
      <c r="I10530" s="145"/>
      <c r="J10530" s="163" t="s">
        <v>79</v>
      </c>
      <c r="K10530" s="219"/>
      <c r="L10530" s="219">
        <v>8781345.7400000002</v>
      </c>
      <c r="N10530" s="264"/>
    </row>
    <row r="10531" spans="1:14" x14ac:dyDescent="0.2">
      <c r="A10531" s="343">
        <v>2024</v>
      </c>
      <c r="B10531" s="343">
        <v>2</v>
      </c>
      <c r="C10531" s="343">
        <v>8</v>
      </c>
      <c r="D10531" s="344">
        <f t="shared" si="1410"/>
        <v>45330</v>
      </c>
      <c r="E10531" s="345">
        <f t="shared" si="1411"/>
        <v>45330</v>
      </c>
      <c r="F10531" s="483" t="s">
        <v>1813</v>
      </c>
      <c r="G10531" s="350" t="s">
        <v>94</v>
      </c>
      <c r="H10531" s="350" t="str" cm="1">
        <f t="array" ref="H10531">IFERROR(INDEX(INVESTOR_LIST[INVESTOR NAME],MATCH(I10531,INVESTOR_LIST[INVESTOR CODE],0),)," ")</f>
        <v xml:space="preserve"> </v>
      </c>
      <c r="I10531" s="352" t="s">
        <v>348</v>
      </c>
      <c r="J10531" s="353" t="s">
        <v>1798</v>
      </c>
      <c r="K10531" s="354">
        <v>59418.800000000745</v>
      </c>
      <c r="L10531" s="354"/>
    </row>
    <row r="10532" spans="1:14" x14ac:dyDescent="0.2">
      <c r="A10532" s="346">
        <v>2024</v>
      </c>
      <c r="B10532" s="346">
        <v>2</v>
      </c>
      <c r="C10532" s="346">
        <v>8</v>
      </c>
      <c r="D10532" s="344">
        <f t="shared" si="1410"/>
        <v>45330</v>
      </c>
      <c r="E10532" s="345">
        <f t="shared" si="1411"/>
        <v>45330</v>
      </c>
      <c r="F10532" s="484"/>
      <c r="G10532" s="347" t="s">
        <v>94</v>
      </c>
      <c r="H10532" s="347" t="str" cm="1">
        <f t="array" ref="H10532">IFERROR(INDEX(INVESTOR_LIST[INVESTOR NAME],MATCH(I10532,INVESTOR_LIST[INVESTOR CODE],0),)," ")</f>
        <v xml:space="preserve"> </v>
      </c>
      <c r="I10532" s="348" t="s">
        <v>348</v>
      </c>
      <c r="J10532" s="355" t="s">
        <v>1807</v>
      </c>
      <c r="K10532" s="349"/>
      <c r="L10532" s="349">
        <v>59418.800000000745</v>
      </c>
    </row>
    <row r="10533" spans="1:14" x14ac:dyDescent="0.2">
      <c r="A10533" s="238">
        <v>2024</v>
      </c>
      <c r="B10533" s="238">
        <v>2</v>
      </c>
      <c r="C10533" s="238">
        <v>8</v>
      </c>
      <c r="D10533" s="270">
        <f t="shared" si="1410"/>
        <v>45330</v>
      </c>
      <c r="E10533" s="279">
        <f t="shared" si="1411"/>
        <v>45330</v>
      </c>
      <c r="F10533" s="477" t="s">
        <v>347</v>
      </c>
      <c r="G10533" s="239" t="s">
        <v>94</v>
      </c>
      <c r="H10533" s="239" t="str" cm="1">
        <f t="array" ref="H10533">IFERROR(INDEX(INVESTOR_LIST[INVESTOR NAME],MATCH(I10533,INVESTOR_LIST[INVESTOR CODE],0),)," ")</f>
        <v xml:space="preserve"> </v>
      </c>
      <c r="I10533" s="262" t="s">
        <v>348</v>
      </c>
      <c r="J10533" s="240" t="s">
        <v>82</v>
      </c>
      <c r="K10533" s="241">
        <v>165914.15000000596</v>
      </c>
      <c r="L10533" s="241"/>
    </row>
    <row r="10534" spans="1:14" x14ac:dyDescent="0.2">
      <c r="A10534" s="242">
        <v>2024</v>
      </c>
      <c r="B10534" s="242">
        <v>2</v>
      </c>
      <c r="C10534" s="242">
        <v>8</v>
      </c>
      <c r="D10534" s="270">
        <f t="shared" si="1410"/>
        <v>45330</v>
      </c>
      <c r="E10534" s="279">
        <f t="shared" si="1411"/>
        <v>45330</v>
      </c>
      <c r="F10534" s="478"/>
      <c r="G10534" s="243" t="s">
        <v>94</v>
      </c>
      <c r="H10534" s="243" t="str" cm="1">
        <f t="array" ref="H10534">IFERROR(INDEX(INVESTOR_LIST[INVESTOR NAME],MATCH(I10534,INVESTOR_LIST[INVESTOR CODE],0),)," ")</f>
        <v xml:space="preserve"> </v>
      </c>
      <c r="I10534" s="263" t="s">
        <v>348</v>
      </c>
      <c r="J10534" s="244" t="s">
        <v>108</v>
      </c>
      <c r="K10534" s="245"/>
      <c r="L10534" s="245">
        <v>165914.15000000596</v>
      </c>
    </row>
    <row r="10535" spans="1:14" ht="22.5" x14ac:dyDescent="0.2">
      <c r="A10535" s="246">
        <v>2024</v>
      </c>
      <c r="B10535" s="238">
        <v>2</v>
      </c>
      <c r="C10535" s="238">
        <v>8</v>
      </c>
      <c r="D10535" s="270">
        <f t="shared" si="1410"/>
        <v>45330</v>
      </c>
      <c r="E10535" s="279">
        <f t="shared" si="1411"/>
        <v>45330</v>
      </c>
      <c r="F10535" s="482" t="s">
        <v>148</v>
      </c>
      <c r="G10535" s="247" t="s">
        <v>94</v>
      </c>
      <c r="H10535" s="247" t="str" cm="1">
        <f t="array" ref="H10535">IFERROR(INDEX(INVESTOR_LIST[INVESTOR NAME],MATCH(I10535,INVESTOR_LIST[INVESTOR CODE],0),)," ")</f>
        <v xml:space="preserve"> </v>
      </c>
      <c r="I10535" s="248" t="s">
        <v>348</v>
      </c>
      <c r="J10535" s="249" t="s">
        <v>95</v>
      </c>
      <c r="K10535" s="250">
        <v>2747.2527472527472</v>
      </c>
      <c r="L10535" s="241"/>
    </row>
    <row r="10536" spans="1:14" x14ac:dyDescent="0.2">
      <c r="A10536" s="242">
        <v>2024</v>
      </c>
      <c r="B10536" s="242">
        <v>2</v>
      </c>
      <c r="C10536" s="242">
        <v>8</v>
      </c>
      <c r="D10536" s="270">
        <f t="shared" si="1410"/>
        <v>45330</v>
      </c>
      <c r="E10536" s="279">
        <f t="shared" si="1411"/>
        <v>45330</v>
      </c>
      <c r="F10536" s="478"/>
      <c r="G10536" s="243" t="s">
        <v>94</v>
      </c>
      <c r="H10536" s="243" t="str" cm="1">
        <f t="array" ref="H10536">IFERROR(INDEX(INVESTOR_LIST[INVESTOR NAME],MATCH(I10536,INVESTOR_LIST[INVESTOR CODE],0),)," ")</f>
        <v xml:space="preserve"> </v>
      </c>
      <c r="I10536" s="263" t="s">
        <v>348</v>
      </c>
      <c r="J10536" s="244" t="s">
        <v>63</v>
      </c>
      <c r="K10536" s="245"/>
      <c r="L10536" s="245">
        <v>2747.2527472527472</v>
      </c>
    </row>
    <row r="10537" spans="1:14" x14ac:dyDescent="0.2">
      <c r="A10537" s="246">
        <v>2024</v>
      </c>
      <c r="B10537" s="238">
        <v>2</v>
      </c>
      <c r="C10537" s="238">
        <v>8</v>
      </c>
      <c r="D10537" s="270">
        <f t="shared" si="1410"/>
        <v>45330</v>
      </c>
      <c r="E10537" s="279">
        <f t="shared" si="1411"/>
        <v>45330</v>
      </c>
      <c r="F10537" s="482" t="s">
        <v>137</v>
      </c>
      <c r="G10537" s="247" t="s">
        <v>94</v>
      </c>
      <c r="H10537" s="247" t="str" cm="1">
        <f t="array" ref="H10537">IFERROR(INDEX(INVESTOR_LIST[INVESTOR NAME],MATCH(I10537,INVESTOR_LIST[INVESTOR CODE],0),)," ")</f>
        <v xml:space="preserve"> </v>
      </c>
      <c r="I10537" s="248" t="s">
        <v>348</v>
      </c>
      <c r="J10537" s="249" t="s">
        <v>97</v>
      </c>
      <c r="K10537" s="250">
        <v>57820.921058001084</v>
      </c>
      <c r="L10537" s="252"/>
    </row>
    <row r="10538" spans="1:14" x14ac:dyDescent="0.2">
      <c r="A10538" s="242">
        <v>2024</v>
      </c>
      <c r="B10538" s="242">
        <v>2</v>
      </c>
      <c r="C10538" s="242">
        <v>8</v>
      </c>
      <c r="D10538" s="270">
        <f t="shared" si="1410"/>
        <v>45330</v>
      </c>
      <c r="E10538" s="279">
        <f t="shared" si="1411"/>
        <v>45330</v>
      </c>
      <c r="F10538" s="478"/>
      <c r="G10538" s="243" t="s">
        <v>94</v>
      </c>
      <c r="H10538" s="243" t="str" cm="1">
        <f t="array" ref="H10538">IFERROR(INDEX(INVESTOR_LIST[INVESTOR NAME],MATCH(I10538,INVESTOR_LIST[INVESTOR CODE],0),)," ")</f>
        <v xml:space="preserve"> </v>
      </c>
      <c r="I10538" s="263" t="s">
        <v>348</v>
      </c>
      <c r="J10538" s="244" t="s">
        <v>47</v>
      </c>
      <c r="K10538" s="245"/>
      <c r="L10538" s="245">
        <v>57820.921058001084</v>
      </c>
    </row>
    <row r="10539" spans="1:14" x14ac:dyDescent="0.2">
      <c r="A10539" s="246">
        <v>2024</v>
      </c>
      <c r="B10539" s="238">
        <v>2</v>
      </c>
      <c r="C10539" s="238">
        <v>8</v>
      </c>
      <c r="D10539" s="270">
        <f t="shared" si="1410"/>
        <v>45330</v>
      </c>
      <c r="E10539" s="279">
        <f t="shared" si="1411"/>
        <v>45330</v>
      </c>
      <c r="F10539" s="482" t="s">
        <v>138</v>
      </c>
      <c r="G10539" s="247" t="s">
        <v>94</v>
      </c>
      <c r="H10539" s="247" t="str" cm="1">
        <f t="array" ref="H10539">IFERROR(INDEX(INVESTOR_LIST[INVESTOR NAME],MATCH(I10539,INVESTOR_LIST[INVESTOR CODE],0),)," ")</f>
        <v xml:space="preserve"> </v>
      </c>
      <c r="I10539" s="248" t="s">
        <v>348</v>
      </c>
      <c r="J10539" s="249" t="s">
        <v>100</v>
      </c>
      <c r="K10539" s="250">
        <v>2650.6614375154386</v>
      </c>
      <c r="L10539" s="252"/>
    </row>
    <row r="10540" spans="1:14" x14ac:dyDescent="0.2">
      <c r="A10540" s="242">
        <v>2024</v>
      </c>
      <c r="B10540" s="242">
        <v>2</v>
      </c>
      <c r="C10540" s="242">
        <v>8</v>
      </c>
      <c r="D10540" s="321">
        <f t="shared" si="1410"/>
        <v>45330</v>
      </c>
      <c r="E10540" s="322">
        <f t="shared" si="1411"/>
        <v>45330</v>
      </c>
      <c r="F10540" s="478"/>
      <c r="G10540" s="243" t="s">
        <v>94</v>
      </c>
      <c r="H10540" s="243" t="str" cm="1">
        <f t="array" ref="H10540">IFERROR(INDEX(INVESTOR_LIST[INVESTOR NAME],MATCH(I10540,INVESTOR_LIST[INVESTOR CODE],0),)," ")</f>
        <v xml:space="preserve"> </v>
      </c>
      <c r="I10540" s="263" t="s">
        <v>348</v>
      </c>
      <c r="J10540" s="244" t="s">
        <v>48</v>
      </c>
      <c r="K10540" s="245"/>
      <c r="L10540" s="245">
        <v>2650.6614375154386</v>
      </c>
    </row>
    <row r="10541" spans="1:14" ht="11.25" customHeight="1" x14ac:dyDescent="0.2">
      <c r="A10541" s="168">
        <v>2024</v>
      </c>
      <c r="B10541" s="168">
        <v>2</v>
      </c>
      <c r="C10541" s="168">
        <v>11</v>
      </c>
      <c r="D10541" s="141">
        <f t="shared" si="1410"/>
        <v>45333</v>
      </c>
      <c r="E10541" s="275">
        <f t="shared" si="1411"/>
        <v>45333</v>
      </c>
      <c r="F10541" s="479" t="s">
        <v>1310</v>
      </c>
      <c r="G10541" s="220" t="s">
        <v>74</v>
      </c>
      <c r="H10541" s="142" t="str" cm="1">
        <f t="array" ref="H10541">IFERROR(INDEX(INVESTOR_LIST[INVESTOR NAME],MATCH(I10541,INVESTOR_LIST[INVESTOR CODE],0),)," ")</f>
        <v>ZUBAYER SARWAR</v>
      </c>
      <c r="I10541" s="142" t="s">
        <v>658</v>
      </c>
      <c r="J10541" s="168" t="s">
        <v>13</v>
      </c>
      <c r="K10541" s="218">
        <v>51940</v>
      </c>
      <c r="L10541" s="226"/>
    </row>
    <row r="10542" spans="1:14" ht="11.25" customHeight="1" x14ac:dyDescent="0.2">
      <c r="A10542" s="133">
        <v>2024</v>
      </c>
      <c r="B10542" s="133">
        <v>2</v>
      </c>
      <c r="C10542" s="133">
        <v>11</v>
      </c>
      <c r="D10542" s="141">
        <f t="shared" si="1410"/>
        <v>45333</v>
      </c>
      <c r="E10542" s="275">
        <f t="shared" si="1411"/>
        <v>45333</v>
      </c>
      <c r="F10542" s="481"/>
      <c r="G10542" s="174" t="s">
        <v>74</v>
      </c>
      <c r="H10542" s="148" t="str" cm="1">
        <f t="array" ref="H10542">IFERROR(INDEX(INVESTOR_LIST[INVESTOR NAME],MATCH(I10542,INVESTOR_LIST[INVESTOR CODE],0),)," ")</f>
        <v>ZUBAYER SARWAR</v>
      </c>
      <c r="I10542" s="148" t="s">
        <v>658</v>
      </c>
      <c r="J10542" s="133" t="s">
        <v>53</v>
      </c>
      <c r="K10542" s="218">
        <v>12180.169999999998</v>
      </c>
      <c r="L10542" s="133"/>
    </row>
    <row r="10543" spans="1:14" ht="11.25" customHeight="1" x14ac:dyDescent="0.2">
      <c r="A10543" s="163">
        <v>2024</v>
      </c>
      <c r="B10543" s="163">
        <v>2</v>
      </c>
      <c r="C10543" s="163">
        <v>11</v>
      </c>
      <c r="D10543" s="280">
        <f t="shared" si="1410"/>
        <v>45333</v>
      </c>
      <c r="E10543" s="281">
        <f t="shared" si="1411"/>
        <v>45333</v>
      </c>
      <c r="F10543" s="480"/>
      <c r="G10543" s="221" t="s">
        <v>74</v>
      </c>
      <c r="H10543" s="145" t="str" cm="1">
        <f t="array" ref="H10543">IFERROR(INDEX(INVESTOR_LIST[INVESTOR NAME],MATCH(I10543,INVESTOR_LIST[INVESTOR CODE],0),)," ")</f>
        <v>ZUBAYER SARWAR</v>
      </c>
      <c r="I10543" s="145" t="s">
        <v>658</v>
      </c>
      <c r="J10543" s="163" t="s">
        <v>52</v>
      </c>
      <c r="K10543" s="219"/>
      <c r="L10543" s="219">
        <v>64120.17</v>
      </c>
    </row>
    <row r="10544" spans="1:14" ht="11.25" customHeight="1" x14ac:dyDescent="0.2">
      <c r="A10544" s="168">
        <v>2024</v>
      </c>
      <c r="B10544" s="168">
        <v>2</v>
      </c>
      <c r="C10544" s="168">
        <v>12</v>
      </c>
      <c r="D10544" s="141">
        <f t="shared" ref="D10544:D10546" si="1412">DATE(A10544,B10544,C10544)</f>
        <v>45334</v>
      </c>
      <c r="E10544" s="275">
        <f t="shared" ref="E10544:E10546" si="1413">DATE(A10544,B10544,C10544)</f>
        <v>45334</v>
      </c>
      <c r="F10544" s="479" t="s">
        <v>965</v>
      </c>
      <c r="G10544" s="220" t="s">
        <v>74</v>
      </c>
      <c r="H10544" s="142" t="str" cm="1">
        <f t="array" ref="H10544">IFERROR(INDEX(INVESTOR_LIST[INVESTOR NAME],MATCH(I10544,INVESTOR_LIST[INVESTOR CODE],0),)," ")</f>
        <v>MOHAMMAD MARUFUR RAHMAN SIKDER</v>
      </c>
      <c r="I10544" s="142" t="s">
        <v>529</v>
      </c>
      <c r="J10544" s="168" t="s">
        <v>13</v>
      </c>
      <c r="K10544" s="218">
        <v>199400</v>
      </c>
      <c r="L10544" s="226"/>
    </row>
    <row r="10545" spans="1:14" ht="11.25" customHeight="1" x14ac:dyDescent="0.2">
      <c r="A10545" s="133">
        <v>2024</v>
      </c>
      <c r="B10545" s="133">
        <v>2</v>
      </c>
      <c r="C10545" s="133">
        <v>12</v>
      </c>
      <c r="D10545" s="141">
        <f t="shared" si="1412"/>
        <v>45334</v>
      </c>
      <c r="E10545" s="275">
        <f t="shared" si="1413"/>
        <v>45334</v>
      </c>
      <c r="F10545" s="481"/>
      <c r="G10545" s="174" t="s">
        <v>74</v>
      </c>
      <c r="H10545" s="148" t="str" cm="1">
        <f t="array" ref="H10545">IFERROR(INDEX(INVESTOR_LIST[INVESTOR NAME],MATCH(I10545,INVESTOR_LIST[INVESTOR CODE],0),)," ")</f>
        <v>MOHAMMAD MARUFUR RAHMAN SIKDER</v>
      </c>
      <c r="I10545" s="148" t="s">
        <v>529</v>
      </c>
      <c r="J10545" s="133" t="s">
        <v>53</v>
      </c>
      <c r="K10545" s="218">
        <v>46742.079999999987</v>
      </c>
      <c r="L10545" s="133"/>
    </row>
    <row r="10546" spans="1:14" ht="11.25" customHeight="1" x14ac:dyDescent="0.2">
      <c r="A10546" s="163">
        <v>2024</v>
      </c>
      <c r="B10546" s="163">
        <v>2</v>
      </c>
      <c r="C10546" s="163">
        <v>12</v>
      </c>
      <c r="D10546" s="280">
        <f t="shared" si="1412"/>
        <v>45334</v>
      </c>
      <c r="E10546" s="281">
        <f t="shared" si="1413"/>
        <v>45334</v>
      </c>
      <c r="F10546" s="480"/>
      <c r="G10546" s="221" t="s">
        <v>74</v>
      </c>
      <c r="H10546" s="145" t="str" cm="1">
        <f t="array" ref="H10546">IFERROR(INDEX(INVESTOR_LIST[INVESTOR NAME],MATCH(I10546,INVESTOR_LIST[INVESTOR CODE],0),)," ")</f>
        <v>MOHAMMAD MARUFUR RAHMAN SIKDER</v>
      </c>
      <c r="I10546" s="145" t="s">
        <v>529</v>
      </c>
      <c r="J10546" s="163" t="s">
        <v>52</v>
      </c>
      <c r="K10546" s="219"/>
      <c r="L10546" s="219">
        <v>246142.07999999999</v>
      </c>
    </row>
    <row r="10547" spans="1:14" ht="11.25" customHeight="1" x14ac:dyDescent="0.2">
      <c r="A10547" s="168">
        <v>2024</v>
      </c>
      <c r="B10547" s="168">
        <v>2</v>
      </c>
      <c r="C10547" s="168">
        <v>12</v>
      </c>
      <c r="D10547" s="141">
        <f t="shared" ref="D10547:D10558" si="1414">DATE(A10547,B10547,C10547)</f>
        <v>45334</v>
      </c>
      <c r="E10547" s="275">
        <f t="shared" ref="E10547:E10558" si="1415">DATE(A10547,B10547,C10547)</f>
        <v>45334</v>
      </c>
      <c r="F10547" s="479" t="s">
        <v>965</v>
      </c>
      <c r="G10547" s="220" t="s">
        <v>74</v>
      </c>
      <c r="H10547" s="142" t="str" cm="1">
        <f t="array" ref="H10547">IFERROR(INDEX(INVESTOR_LIST[INVESTOR NAME],MATCH(I10547,INVESTOR_LIST[INVESTOR CODE],0),)," ")</f>
        <v>UCIL EMPLOYEES' PROVIDENT FUND</v>
      </c>
      <c r="I10547" s="142" t="s">
        <v>385</v>
      </c>
      <c r="J10547" s="168" t="s">
        <v>13</v>
      </c>
      <c r="K10547" s="218">
        <v>470000</v>
      </c>
      <c r="L10547" s="226"/>
    </row>
    <row r="10548" spans="1:14" ht="11.25" customHeight="1" x14ac:dyDescent="0.2">
      <c r="A10548" s="133">
        <v>2024</v>
      </c>
      <c r="B10548" s="133">
        <v>2</v>
      </c>
      <c r="C10548" s="133">
        <v>12</v>
      </c>
      <c r="D10548" s="141">
        <f t="shared" si="1414"/>
        <v>45334</v>
      </c>
      <c r="E10548" s="275">
        <f t="shared" si="1415"/>
        <v>45334</v>
      </c>
      <c r="F10548" s="481"/>
      <c r="G10548" s="174" t="s">
        <v>74</v>
      </c>
      <c r="H10548" s="148" t="str" cm="1">
        <f t="array" ref="H10548">IFERROR(INDEX(INVESTOR_LIST[INVESTOR NAME],MATCH(I10548,INVESTOR_LIST[INVESTOR CODE],0),)," ")</f>
        <v>UCIL EMPLOYEES' PROVIDENT FUND</v>
      </c>
      <c r="I10548" s="148" t="s">
        <v>385</v>
      </c>
      <c r="J10548" s="133" t="s">
        <v>53</v>
      </c>
      <c r="K10548" s="218">
        <v>110168</v>
      </c>
      <c r="L10548" s="133"/>
    </row>
    <row r="10549" spans="1:14" ht="11.25" customHeight="1" x14ac:dyDescent="0.2">
      <c r="A10549" s="163">
        <v>2024</v>
      </c>
      <c r="B10549" s="163">
        <v>2</v>
      </c>
      <c r="C10549" s="163">
        <v>12</v>
      </c>
      <c r="D10549" s="280">
        <f t="shared" si="1414"/>
        <v>45334</v>
      </c>
      <c r="E10549" s="281">
        <f t="shared" si="1415"/>
        <v>45334</v>
      </c>
      <c r="F10549" s="480"/>
      <c r="G10549" s="221" t="s">
        <v>74</v>
      </c>
      <c r="H10549" s="145" t="str" cm="1">
        <f t="array" ref="H10549">IFERROR(INDEX(INVESTOR_LIST[INVESTOR NAME],MATCH(I10549,INVESTOR_LIST[INVESTOR CODE],0),)," ")</f>
        <v>UCIL EMPLOYEES' PROVIDENT FUND</v>
      </c>
      <c r="I10549" s="145" t="s">
        <v>385</v>
      </c>
      <c r="J10549" s="163" t="s">
        <v>52</v>
      </c>
      <c r="K10549" s="219"/>
      <c r="L10549" s="219">
        <v>580168</v>
      </c>
    </row>
    <row r="10550" spans="1:14" x14ac:dyDescent="0.2">
      <c r="A10550" s="133">
        <v>2024</v>
      </c>
      <c r="B10550" s="133">
        <v>2</v>
      </c>
      <c r="C10550" s="133">
        <v>12</v>
      </c>
      <c r="D10550" s="141">
        <f t="shared" si="1414"/>
        <v>45334</v>
      </c>
      <c r="E10550" s="275">
        <f t="shared" si="1415"/>
        <v>45334</v>
      </c>
      <c r="F10550" s="481" t="s">
        <v>1753</v>
      </c>
      <c r="G10550" s="174" t="s">
        <v>94</v>
      </c>
      <c r="H10550" s="174" t="str" cm="1">
        <f t="array" ref="H10550">IFERROR(INDEX(INVESTOR_LIST[INVESTOR NAME],MATCH(I10550,INVESTOR_LIST[INVESTOR CODE],0),)," ")</f>
        <v xml:space="preserve"> </v>
      </c>
      <c r="J10550" s="149" t="s">
        <v>190</v>
      </c>
      <c r="K10550" s="218">
        <v>394339.01</v>
      </c>
      <c r="L10550" s="218"/>
      <c r="M10550" s="160"/>
    </row>
    <row r="10551" spans="1:14" x14ac:dyDescent="0.2">
      <c r="A10551" s="133">
        <v>2024</v>
      </c>
      <c r="B10551" s="133">
        <v>2</v>
      </c>
      <c r="C10551" s="133">
        <v>12</v>
      </c>
      <c r="D10551" s="141">
        <f t="shared" si="1414"/>
        <v>45334</v>
      </c>
      <c r="E10551" s="275">
        <f t="shared" si="1415"/>
        <v>45334</v>
      </c>
      <c r="F10551" s="481"/>
      <c r="G10551" s="174" t="s">
        <v>94</v>
      </c>
      <c r="H10551" s="174"/>
      <c r="J10551" s="149" t="s">
        <v>80</v>
      </c>
      <c r="K10551" s="218">
        <v>711.09</v>
      </c>
      <c r="L10551" s="218"/>
      <c r="N10551" s="264"/>
    </row>
    <row r="10552" spans="1:14" x14ac:dyDescent="0.2">
      <c r="A10552" s="133">
        <v>2024</v>
      </c>
      <c r="B10552" s="133">
        <v>2</v>
      </c>
      <c r="C10552" s="133">
        <v>12</v>
      </c>
      <c r="D10552" s="141">
        <f t="shared" si="1414"/>
        <v>45334</v>
      </c>
      <c r="E10552" s="275">
        <f t="shared" si="1415"/>
        <v>45334</v>
      </c>
      <c r="F10552" s="481"/>
      <c r="G10552" s="174" t="s">
        <v>94</v>
      </c>
      <c r="H10552" s="174" t="str" cm="1">
        <f t="array" ref="H10552">IFERROR(INDEX(INVESTOR_LIST[INVESTOR NAME],MATCH(I10552,INVESTOR_LIST[INVESTOR CODE],0),)," ")</f>
        <v xml:space="preserve"> </v>
      </c>
      <c r="J10552" s="149" t="s">
        <v>191</v>
      </c>
      <c r="K10552" s="218">
        <v>38528.85</v>
      </c>
      <c r="L10552" s="218"/>
      <c r="N10552" s="264"/>
    </row>
    <row r="10553" spans="1:14" x14ac:dyDescent="0.2">
      <c r="A10553" s="163">
        <v>2024</v>
      </c>
      <c r="B10553" s="163">
        <v>2</v>
      </c>
      <c r="C10553" s="163">
        <v>12</v>
      </c>
      <c r="D10553" s="280">
        <f t="shared" si="1414"/>
        <v>45334</v>
      </c>
      <c r="E10553" s="281">
        <f t="shared" si="1415"/>
        <v>45334</v>
      </c>
      <c r="F10553" s="480"/>
      <c r="G10553" s="221" t="s">
        <v>94</v>
      </c>
      <c r="H10553" s="145" t="str" cm="1">
        <f t="array" ref="H10553">IFERROR(INDEX(INVESTOR_LIST[INVESTOR NAME],MATCH(I10553,INVESTOR_LIST[INVESTOR CODE],0),)," ")</f>
        <v xml:space="preserve"> </v>
      </c>
      <c r="I10553" s="145"/>
      <c r="J10553" s="163" t="s">
        <v>79</v>
      </c>
      <c r="K10553" s="219"/>
      <c r="L10553" s="219">
        <v>433578.95</v>
      </c>
      <c r="N10553" s="264"/>
    </row>
    <row r="10554" spans="1:14" x14ac:dyDescent="0.2">
      <c r="A10554" s="168">
        <v>2024</v>
      </c>
      <c r="B10554" s="168">
        <v>2</v>
      </c>
      <c r="C10554" s="168">
        <v>12</v>
      </c>
      <c r="D10554" s="141">
        <f t="shared" si="1414"/>
        <v>45334</v>
      </c>
      <c r="E10554" s="275">
        <f t="shared" si="1415"/>
        <v>45334</v>
      </c>
      <c r="F10554" s="479" t="s">
        <v>1757</v>
      </c>
      <c r="G10554" s="220" t="s">
        <v>74</v>
      </c>
      <c r="H10554" s="220" t="str" cm="1">
        <f t="array" ref="H10554">IFERROR(INDEX(INVESTOR_LIST[INVESTOR NAME],MATCH(I10554,INVESTOR_LIST[INVESTOR CODE],0),)," ")</f>
        <v xml:space="preserve"> </v>
      </c>
      <c r="I10554" s="142"/>
      <c r="J10554" s="143" t="s">
        <v>52</v>
      </c>
      <c r="K10554" s="226">
        <v>8548584.8000000007</v>
      </c>
      <c r="L10554" s="226"/>
    </row>
    <row r="10555" spans="1:14" ht="10.5" customHeight="1" x14ac:dyDescent="0.2">
      <c r="A10555" s="163">
        <v>2024</v>
      </c>
      <c r="B10555" s="163">
        <v>2</v>
      </c>
      <c r="C10555" s="163">
        <v>12</v>
      </c>
      <c r="D10555" s="280">
        <f>DATE(A10555,B10555,C10555)</f>
        <v>45334</v>
      </c>
      <c r="E10555" s="281">
        <f>DATE(A10555,B10555,C10555)</f>
        <v>45334</v>
      </c>
      <c r="F10555" s="480"/>
      <c r="G10555" s="221" t="s">
        <v>74</v>
      </c>
      <c r="H10555" s="221" t="str" cm="1">
        <f t="array" ref="H10555">IFERROR(INDEX(INVESTOR_LIST[INVESTOR NAME],MATCH(I10555,INVESTOR_LIST[INVESTOR CODE],0),)," ")</f>
        <v xml:space="preserve"> </v>
      </c>
      <c r="I10555" s="145"/>
      <c r="J10555" s="146" t="s">
        <v>190</v>
      </c>
      <c r="K10555" s="219"/>
      <c r="L10555" s="219">
        <v>8548584.8000000007</v>
      </c>
    </row>
    <row r="10556" spans="1:14" x14ac:dyDescent="0.2">
      <c r="A10556" s="168">
        <v>2024</v>
      </c>
      <c r="B10556" s="168">
        <v>2</v>
      </c>
      <c r="C10556" s="168">
        <v>13</v>
      </c>
      <c r="D10556" s="141">
        <f t="shared" si="1414"/>
        <v>45335</v>
      </c>
      <c r="E10556" s="275">
        <f t="shared" si="1415"/>
        <v>45335</v>
      </c>
      <c r="F10556" s="479" t="s">
        <v>1797</v>
      </c>
      <c r="G10556" s="220" t="s">
        <v>94</v>
      </c>
      <c r="H10556" s="220" t="str" cm="1">
        <f t="array" ref="H10556">IFERROR(INDEX(INVESTOR_LIST[INVESTOR NAME],MATCH(I10556,INVESTOR_LIST[INVESTOR CODE],0),)," ")</f>
        <v xml:space="preserve"> </v>
      </c>
      <c r="I10556" s="142"/>
      <c r="J10556" s="143" t="s">
        <v>79</v>
      </c>
      <c r="K10556" s="226">
        <v>1100791.2</v>
      </c>
      <c r="L10556" s="226"/>
      <c r="M10556" s="160"/>
    </row>
    <row r="10557" spans="1:14" x14ac:dyDescent="0.2">
      <c r="A10557" s="133">
        <v>2024</v>
      </c>
      <c r="B10557" s="133">
        <v>2</v>
      </c>
      <c r="C10557" s="133">
        <v>13</v>
      </c>
      <c r="D10557" s="141">
        <f t="shared" si="1414"/>
        <v>45335</v>
      </c>
      <c r="E10557" s="275">
        <f t="shared" si="1415"/>
        <v>45335</v>
      </c>
      <c r="F10557" s="481"/>
      <c r="G10557" s="174" t="s">
        <v>94</v>
      </c>
      <c r="H10557" s="174"/>
      <c r="J10557" s="149" t="s">
        <v>80</v>
      </c>
      <c r="K10557" s="218">
        <v>1981.43</v>
      </c>
      <c r="L10557" s="218"/>
    </row>
    <row r="10558" spans="1:14" ht="10.9" customHeight="1" x14ac:dyDescent="0.2">
      <c r="A10558" s="163">
        <v>2024</v>
      </c>
      <c r="B10558" s="163">
        <v>2</v>
      </c>
      <c r="C10558" s="163">
        <v>13</v>
      </c>
      <c r="D10558" s="280">
        <f t="shared" si="1414"/>
        <v>45335</v>
      </c>
      <c r="E10558" s="281">
        <f t="shared" si="1415"/>
        <v>45335</v>
      </c>
      <c r="F10558" s="480"/>
      <c r="G10558" s="221" t="s">
        <v>94</v>
      </c>
      <c r="H10558" s="221"/>
      <c r="I10558" s="145"/>
      <c r="J10558" s="146" t="s">
        <v>147</v>
      </c>
      <c r="K10558" s="219"/>
      <c r="L10558" s="219">
        <v>1102772.6299999999</v>
      </c>
    </row>
    <row r="10559" spans="1:14" x14ac:dyDescent="0.2">
      <c r="A10559" s="168">
        <v>2024</v>
      </c>
      <c r="B10559" s="168">
        <v>2</v>
      </c>
      <c r="C10559" s="168">
        <v>14</v>
      </c>
      <c r="D10559" s="141">
        <f t="shared" ref="D10559:D10571" si="1416">DATE(A10559,B10559,C10559)</f>
        <v>45336</v>
      </c>
      <c r="E10559" s="275">
        <f t="shared" ref="E10559:E10571" si="1417">DATE(A10559,B10559,C10559)</f>
        <v>45336</v>
      </c>
      <c r="F10559" s="479" t="s">
        <v>1797</v>
      </c>
      <c r="G10559" s="220" t="s">
        <v>94</v>
      </c>
      <c r="H10559" s="220" t="str" cm="1">
        <f t="array" ref="H10559">IFERROR(INDEX(INVESTOR_LIST[INVESTOR NAME],MATCH(I10559,INVESTOR_LIST[INVESTOR CODE],0),)," ")</f>
        <v xml:space="preserve"> </v>
      </c>
      <c r="I10559" s="142"/>
      <c r="J10559" s="143" t="s">
        <v>79</v>
      </c>
      <c r="K10559" s="226">
        <v>886000</v>
      </c>
      <c r="L10559" s="226"/>
      <c r="M10559" s="160"/>
    </row>
    <row r="10560" spans="1:14" x14ac:dyDescent="0.2">
      <c r="A10560" s="133">
        <v>2024</v>
      </c>
      <c r="B10560" s="133">
        <v>2</v>
      </c>
      <c r="C10560" s="133">
        <v>14</v>
      </c>
      <c r="D10560" s="141">
        <f t="shared" si="1416"/>
        <v>45336</v>
      </c>
      <c r="E10560" s="275">
        <f t="shared" si="1417"/>
        <v>45336</v>
      </c>
      <c r="F10560" s="481"/>
      <c r="G10560" s="174" t="s">
        <v>94</v>
      </c>
      <c r="H10560" s="174"/>
      <c r="J10560" s="149" t="s">
        <v>80</v>
      </c>
      <c r="K10560" s="218">
        <v>1594.83</v>
      </c>
      <c r="L10560" s="218"/>
    </row>
    <row r="10561" spans="1:13" ht="10.9" customHeight="1" x14ac:dyDescent="0.2">
      <c r="A10561" s="163">
        <v>2024</v>
      </c>
      <c r="B10561" s="163">
        <v>2</v>
      </c>
      <c r="C10561" s="163">
        <v>14</v>
      </c>
      <c r="D10561" s="280">
        <f t="shared" si="1416"/>
        <v>45336</v>
      </c>
      <c r="E10561" s="281">
        <f t="shared" si="1417"/>
        <v>45336</v>
      </c>
      <c r="F10561" s="480"/>
      <c r="G10561" s="221" t="s">
        <v>94</v>
      </c>
      <c r="H10561" s="221"/>
      <c r="I10561" s="145"/>
      <c r="J10561" s="146" t="s">
        <v>147</v>
      </c>
      <c r="K10561" s="219"/>
      <c r="L10561" s="219">
        <v>887594.83</v>
      </c>
    </row>
    <row r="10562" spans="1:13" x14ac:dyDescent="0.2">
      <c r="A10562" s="168">
        <v>2024</v>
      </c>
      <c r="B10562" s="133">
        <v>2</v>
      </c>
      <c r="C10562" s="133">
        <v>14</v>
      </c>
      <c r="D10562" s="141">
        <f t="shared" si="1416"/>
        <v>45336</v>
      </c>
      <c r="E10562" s="275">
        <f t="shared" si="1417"/>
        <v>45336</v>
      </c>
      <c r="F10562" s="479" t="s">
        <v>1896</v>
      </c>
      <c r="G10562" s="220" t="s">
        <v>74</v>
      </c>
      <c r="H10562" s="220" t="str" cm="1">
        <f t="array" ref="H10562">IFERROR(INDEX(INVESTOR_LIST[INVESTOR NAME],MATCH(I10562,INVESTOR_LIST[INVESTOR CODE],0),)," ")</f>
        <v xml:space="preserve"> </v>
      </c>
      <c r="I10562" s="142" t="s">
        <v>348</v>
      </c>
      <c r="J10562" s="143" t="s">
        <v>184</v>
      </c>
      <c r="K10562" s="226">
        <v>2400000</v>
      </c>
      <c r="L10562" s="226"/>
    </row>
    <row r="10563" spans="1:13" x14ac:dyDescent="0.2">
      <c r="A10563" s="133">
        <v>2024</v>
      </c>
      <c r="B10563" s="133">
        <v>2</v>
      </c>
      <c r="C10563" s="133">
        <v>14</v>
      </c>
      <c r="D10563" s="141">
        <f t="shared" si="1416"/>
        <v>45336</v>
      </c>
      <c r="E10563" s="275">
        <f t="shared" si="1417"/>
        <v>45336</v>
      </c>
      <c r="F10563" s="481"/>
      <c r="G10563" s="174" t="s">
        <v>74</v>
      </c>
      <c r="H10563" s="174"/>
      <c r="J10563" s="149" t="s">
        <v>61</v>
      </c>
      <c r="K10563" s="218">
        <v>115</v>
      </c>
      <c r="L10563" s="218"/>
    </row>
    <row r="10564" spans="1:13" x14ac:dyDescent="0.2">
      <c r="A10564" s="163">
        <v>2024</v>
      </c>
      <c r="B10564" s="163">
        <v>2</v>
      </c>
      <c r="C10564" s="163">
        <v>14</v>
      </c>
      <c r="D10564" s="280">
        <f t="shared" si="1416"/>
        <v>45336</v>
      </c>
      <c r="E10564" s="281">
        <f t="shared" si="1417"/>
        <v>45336</v>
      </c>
      <c r="F10564" s="480"/>
      <c r="G10564" s="221" t="s">
        <v>74</v>
      </c>
      <c r="H10564" s="221" t="str" cm="1">
        <f t="array" ref="H10564">IFERROR(INDEX(INVESTOR_LIST[INVESTOR NAME],MATCH(I10564,INVESTOR_LIST[INVESTOR CODE],0),)," ")</f>
        <v xml:space="preserve"> </v>
      </c>
      <c r="I10564" s="145" t="s">
        <v>348</v>
      </c>
      <c r="J10564" s="146" t="s">
        <v>52</v>
      </c>
      <c r="K10564" s="219"/>
      <c r="L10564" s="219">
        <v>2400115</v>
      </c>
    </row>
    <row r="10565" spans="1:13" x14ac:dyDescent="0.2">
      <c r="A10565" s="133">
        <v>2024</v>
      </c>
      <c r="B10565" s="133">
        <v>2</v>
      </c>
      <c r="C10565" s="133">
        <v>15</v>
      </c>
      <c r="D10565" s="141">
        <f t="shared" si="1416"/>
        <v>45337</v>
      </c>
      <c r="E10565" s="275">
        <f t="shared" si="1417"/>
        <v>45337</v>
      </c>
      <c r="F10565" s="481" t="s">
        <v>1767</v>
      </c>
      <c r="G10565" s="174" t="s">
        <v>94</v>
      </c>
      <c r="H10565" s="174" t="str" cm="1">
        <f t="array" ref="H10565">IFERROR(INDEX(INVESTOR_LIST[INVESTOR NAME],MATCH(I10565,INVESTOR_LIST[INVESTOR CODE],0),)," ")</f>
        <v xml:space="preserve"> </v>
      </c>
      <c r="J10565" s="149" t="s">
        <v>79</v>
      </c>
      <c r="K10565" s="218">
        <v>353000</v>
      </c>
      <c r="L10565" s="218"/>
      <c r="M10565" s="160"/>
    </row>
    <row r="10566" spans="1:13" x14ac:dyDescent="0.2">
      <c r="A10566" s="133">
        <v>2024</v>
      </c>
      <c r="B10566" s="133">
        <v>2</v>
      </c>
      <c r="C10566" s="133">
        <v>15</v>
      </c>
      <c r="D10566" s="141">
        <f t="shared" si="1416"/>
        <v>45337</v>
      </c>
      <c r="E10566" s="275">
        <f t="shared" si="1417"/>
        <v>45337</v>
      </c>
      <c r="F10566" s="481"/>
      <c r="G10566" s="174" t="s">
        <v>94</v>
      </c>
      <c r="H10566" s="174"/>
      <c r="J10566" s="149" t="s">
        <v>80</v>
      </c>
      <c r="K10566" s="218">
        <v>1298.94</v>
      </c>
      <c r="L10566" s="133"/>
    </row>
    <row r="10567" spans="1:13" x14ac:dyDescent="0.2">
      <c r="A10567" s="133">
        <v>2024</v>
      </c>
      <c r="B10567" s="133">
        <v>2</v>
      </c>
      <c r="C10567" s="133">
        <v>15</v>
      </c>
      <c r="D10567" s="141">
        <f t="shared" ref="D10567" si="1418">DATE(A10567,B10567,C10567)</f>
        <v>45337</v>
      </c>
      <c r="E10567" s="275">
        <f t="shared" ref="E10567" si="1419">DATE(A10567,B10567,C10567)</f>
        <v>45337</v>
      </c>
      <c r="F10567" s="481"/>
      <c r="G10567" s="174" t="s">
        <v>94</v>
      </c>
      <c r="H10567" s="174"/>
      <c r="J10567" s="149" t="s">
        <v>147</v>
      </c>
      <c r="K10567" s="218"/>
      <c r="L10567" s="264">
        <v>353635.4</v>
      </c>
    </row>
    <row r="10568" spans="1:13" x14ac:dyDescent="0.2">
      <c r="A10568" s="133">
        <v>2024</v>
      </c>
      <c r="B10568" s="133">
        <v>2</v>
      </c>
      <c r="C10568" s="133">
        <v>15</v>
      </c>
      <c r="D10568" s="141">
        <f t="shared" si="1416"/>
        <v>45337</v>
      </c>
      <c r="E10568" s="275">
        <f t="shared" si="1417"/>
        <v>45337</v>
      </c>
      <c r="F10568" s="481"/>
      <c r="G10568" s="174" t="s">
        <v>94</v>
      </c>
      <c r="H10568" s="174"/>
      <c r="J10568" s="149" t="s">
        <v>190</v>
      </c>
      <c r="K10568" s="218">
        <v>367706.06</v>
      </c>
      <c r="L10568" s="218"/>
    </row>
    <row r="10569" spans="1:13" x14ac:dyDescent="0.2">
      <c r="A10569" s="133">
        <v>2024</v>
      </c>
      <c r="B10569" s="133">
        <v>2</v>
      </c>
      <c r="C10569" s="133">
        <v>15</v>
      </c>
      <c r="D10569" s="141">
        <f t="shared" si="1416"/>
        <v>45337</v>
      </c>
      <c r="E10569" s="275">
        <f t="shared" si="1417"/>
        <v>45337</v>
      </c>
      <c r="F10569" s="481"/>
      <c r="G10569" s="174" t="s">
        <v>94</v>
      </c>
      <c r="H10569" s="174" t="str" cm="1">
        <f t="array" ref="H10569">IFERROR(INDEX(INVESTOR_LIST[INVESTOR NAME],MATCH(I10569,INVESTOR_LIST[INVESTOR CODE],0),)," ")</f>
        <v xml:space="preserve"> </v>
      </c>
      <c r="J10569" s="149" t="s">
        <v>191</v>
      </c>
      <c r="K10569" s="218"/>
      <c r="L10569" s="218">
        <v>293649.59999999998</v>
      </c>
    </row>
    <row r="10570" spans="1:13" x14ac:dyDescent="0.2">
      <c r="A10570" s="163">
        <v>2024</v>
      </c>
      <c r="B10570" s="163">
        <v>2</v>
      </c>
      <c r="C10570" s="163">
        <v>15</v>
      </c>
      <c r="D10570" s="280">
        <f t="shared" si="1416"/>
        <v>45337</v>
      </c>
      <c r="E10570" s="281">
        <f t="shared" si="1417"/>
        <v>45337</v>
      </c>
      <c r="F10570" s="480"/>
      <c r="G10570" s="221" t="s">
        <v>94</v>
      </c>
      <c r="H10570" s="145" t="str" cm="1">
        <f t="array" ref="H10570">IFERROR(INDEX(INVESTOR_LIST[INVESTOR NAME],MATCH(I10570,INVESTOR_LIST[INVESTOR CODE],0),)," ")</f>
        <v xml:space="preserve"> </v>
      </c>
      <c r="I10570" s="145"/>
      <c r="J10570" s="163" t="s">
        <v>79</v>
      </c>
      <c r="K10570" s="219"/>
      <c r="L10570" s="219">
        <v>74720</v>
      </c>
    </row>
    <row r="10571" spans="1:13" x14ac:dyDescent="0.2">
      <c r="A10571" s="168">
        <v>2024</v>
      </c>
      <c r="B10571" s="168">
        <v>2</v>
      </c>
      <c r="C10571" s="168">
        <v>15</v>
      </c>
      <c r="D10571" s="141">
        <f t="shared" si="1416"/>
        <v>45337</v>
      </c>
      <c r="E10571" s="275">
        <f t="shared" si="1417"/>
        <v>45337</v>
      </c>
      <c r="F10571" s="479" t="s">
        <v>1757</v>
      </c>
      <c r="G10571" s="220" t="s">
        <v>74</v>
      </c>
      <c r="H10571" s="220" t="str" cm="1">
        <f t="array" ref="H10571">IFERROR(INDEX(INVESTOR_LIST[INVESTOR NAME],MATCH(I10571,INVESTOR_LIST[INVESTOR CODE],0),)," ")</f>
        <v xml:space="preserve"> </v>
      </c>
      <c r="I10571" s="142"/>
      <c r="J10571" s="143" t="s">
        <v>52</v>
      </c>
      <c r="K10571" s="226">
        <v>394339.01</v>
      </c>
      <c r="L10571" s="226"/>
    </row>
    <row r="10572" spans="1:13" ht="10.5" customHeight="1" x14ac:dyDescent="0.2">
      <c r="A10572" s="163">
        <v>2024</v>
      </c>
      <c r="B10572" s="163">
        <v>2</v>
      </c>
      <c r="C10572" s="163">
        <v>15</v>
      </c>
      <c r="D10572" s="280">
        <f>DATE(A10572,B10572,C10572)</f>
        <v>45337</v>
      </c>
      <c r="E10572" s="281">
        <f>DATE(A10572,B10572,C10572)</f>
        <v>45337</v>
      </c>
      <c r="F10572" s="480"/>
      <c r="G10572" s="221" t="s">
        <v>74</v>
      </c>
      <c r="H10572" s="221" t="str" cm="1">
        <f t="array" ref="H10572">IFERROR(INDEX(INVESTOR_LIST[INVESTOR NAME],MATCH(I10572,INVESTOR_LIST[INVESTOR CODE],0),)," ")</f>
        <v xml:space="preserve"> </v>
      </c>
      <c r="I10572" s="145"/>
      <c r="J10572" s="146" t="s">
        <v>190</v>
      </c>
      <c r="K10572" s="219"/>
      <c r="L10572" s="219">
        <v>394339.01</v>
      </c>
    </row>
    <row r="10573" spans="1:13" x14ac:dyDescent="0.2">
      <c r="A10573" s="133">
        <v>2024</v>
      </c>
      <c r="B10573" s="133">
        <v>2</v>
      </c>
      <c r="C10573" s="168">
        <v>15</v>
      </c>
      <c r="D10573" s="141">
        <f>DATE(A10573,B10573,C10573)</f>
        <v>45337</v>
      </c>
      <c r="E10573" s="275">
        <f>DATE(A10573,B10573,C10573)</f>
        <v>45337</v>
      </c>
      <c r="F10573" s="479" t="s">
        <v>1768</v>
      </c>
      <c r="G10573" s="220" t="s">
        <v>74</v>
      </c>
      <c r="H10573" s="220" t="str" cm="1">
        <f t="array" ref="H10573">IFERROR(INDEX(INVESTOR_LIST[INVESTOR NAME],MATCH(I10573,INVESTOR_LIST[INVESTOR CODE],0),)," ")</f>
        <v xml:space="preserve"> </v>
      </c>
      <c r="I10573" s="142"/>
      <c r="J10573" s="143" t="s">
        <v>147</v>
      </c>
      <c r="K10573" s="226">
        <v>887594.83</v>
      </c>
      <c r="L10573" s="226"/>
    </row>
    <row r="10574" spans="1:13" x14ac:dyDescent="0.2">
      <c r="A10574" s="163">
        <v>2024</v>
      </c>
      <c r="B10574" s="163">
        <v>2</v>
      </c>
      <c r="C10574" s="163">
        <v>15</v>
      </c>
      <c r="D10574" s="280">
        <f>DATE(A10574,B10574,C10574)</f>
        <v>45337</v>
      </c>
      <c r="E10574" s="281">
        <f>DATE(A10574,B10574,C10574)</f>
        <v>45337</v>
      </c>
      <c r="F10574" s="480"/>
      <c r="G10574" s="221" t="s">
        <v>74</v>
      </c>
      <c r="H10574" s="221" t="str" cm="1">
        <f t="array" ref="H10574">IFERROR(INDEX(INVESTOR_LIST[INVESTOR NAME],MATCH(I10574,INVESTOR_LIST[INVESTOR CODE],0),)," ")</f>
        <v xml:space="preserve"> </v>
      </c>
      <c r="I10574" s="145" t="s">
        <v>348</v>
      </c>
      <c r="J10574" s="146" t="s">
        <v>52</v>
      </c>
      <c r="K10574" s="219"/>
      <c r="L10574" s="219">
        <v>887594.83</v>
      </c>
    </row>
    <row r="10575" spans="1:13" x14ac:dyDescent="0.2">
      <c r="A10575" s="133">
        <v>2024</v>
      </c>
      <c r="B10575" s="133">
        <v>2</v>
      </c>
      <c r="C10575" s="168">
        <v>15</v>
      </c>
      <c r="D10575" s="141">
        <f>DATE(A10575,B10575,C10575)</f>
        <v>45337</v>
      </c>
      <c r="E10575" s="275">
        <f>DATE(A10575,B10575,C10575)</f>
        <v>45337</v>
      </c>
      <c r="F10575" s="479" t="s">
        <v>1768</v>
      </c>
      <c r="G10575" s="220" t="s">
        <v>74</v>
      </c>
      <c r="H10575" s="220" t="str" cm="1">
        <f t="array" ref="H10575">IFERROR(INDEX(INVESTOR_LIST[INVESTOR NAME],MATCH(I10575,INVESTOR_LIST[INVESTOR CODE],0),)," ")</f>
        <v xml:space="preserve"> </v>
      </c>
      <c r="I10575" s="142"/>
      <c r="J10575" s="143" t="s">
        <v>147</v>
      </c>
      <c r="K10575" s="226">
        <v>1102772.6299999999</v>
      </c>
      <c r="L10575" s="226"/>
    </row>
    <row r="10576" spans="1:13" x14ac:dyDescent="0.2">
      <c r="A10576" s="163">
        <v>2024</v>
      </c>
      <c r="B10576" s="163">
        <v>2</v>
      </c>
      <c r="C10576" s="163">
        <v>15</v>
      </c>
      <c r="D10576" s="280">
        <f>DATE(A10576,B10576,C10576)</f>
        <v>45337</v>
      </c>
      <c r="E10576" s="281">
        <f>DATE(A10576,B10576,C10576)</f>
        <v>45337</v>
      </c>
      <c r="F10576" s="480"/>
      <c r="G10576" s="221" t="s">
        <v>74</v>
      </c>
      <c r="H10576" s="221" t="str" cm="1">
        <f t="array" ref="H10576">IFERROR(INDEX(INVESTOR_LIST[INVESTOR NAME],MATCH(I10576,INVESTOR_LIST[INVESTOR CODE],0),)," ")</f>
        <v xml:space="preserve"> </v>
      </c>
      <c r="I10576" s="145" t="s">
        <v>348</v>
      </c>
      <c r="J10576" s="146" t="s">
        <v>52</v>
      </c>
      <c r="K10576" s="219"/>
      <c r="L10576" s="219">
        <v>1102772.6299999999</v>
      </c>
    </row>
    <row r="10577" spans="1:12" ht="11.25" customHeight="1" x14ac:dyDescent="0.2">
      <c r="A10577" s="168">
        <v>2024</v>
      </c>
      <c r="B10577" s="168">
        <v>2</v>
      </c>
      <c r="C10577" s="168">
        <v>15</v>
      </c>
      <c r="D10577" s="141">
        <f t="shared" ref="D10577:D10579" si="1420">DATE(A10577,B10577,C10577)</f>
        <v>45337</v>
      </c>
      <c r="E10577" s="275">
        <f t="shared" ref="E10577:E10579" si="1421">DATE(A10577,B10577,C10577)</f>
        <v>45337</v>
      </c>
      <c r="F10577" s="479" t="s">
        <v>1310</v>
      </c>
      <c r="G10577" s="220" t="s">
        <v>74</v>
      </c>
      <c r="H10577" s="142" t="str" cm="1">
        <f t="array" ref="H10577">IFERROR(INDEX(INVESTOR_LIST[INVESTOR NAME],MATCH(I10577,INVESTOR_LIST[INVESTOR CODE],0),)," ")</f>
        <v>NAZNIN AKTER</v>
      </c>
      <c r="I10577" s="142" t="s">
        <v>654</v>
      </c>
      <c r="J10577" s="168" t="s">
        <v>13</v>
      </c>
      <c r="K10577" s="218">
        <v>122090</v>
      </c>
      <c r="L10577" s="226"/>
    </row>
    <row r="10578" spans="1:12" ht="11.25" customHeight="1" x14ac:dyDescent="0.2">
      <c r="A10578" s="133">
        <v>2024</v>
      </c>
      <c r="B10578" s="133">
        <v>2</v>
      </c>
      <c r="C10578" s="133">
        <v>15</v>
      </c>
      <c r="D10578" s="141">
        <f t="shared" si="1420"/>
        <v>45337</v>
      </c>
      <c r="E10578" s="275">
        <f t="shared" si="1421"/>
        <v>45337</v>
      </c>
      <c r="F10578" s="481"/>
      <c r="G10578" s="174" t="s">
        <v>74</v>
      </c>
      <c r="H10578" s="148" t="str" cm="1">
        <f t="array" ref="H10578">IFERROR(INDEX(INVESTOR_LIST[INVESTOR NAME],MATCH(I10578,INVESTOR_LIST[INVESTOR CODE],0),)," ")</f>
        <v>NAZNIN AKTER</v>
      </c>
      <c r="I10578" s="148" t="s">
        <v>654</v>
      </c>
      <c r="J10578" s="133" t="s">
        <v>53</v>
      </c>
      <c r="K10578" s="218">
        <v>28614.440000000002</v>
      </c>
      <c r="L10578" s="133"/>
    </row>
    <row r="10579" spans="1:12" ht="11.25" customHeight="1" x14ac:dyDescent="0.2">
      <c r="A10579" s="163">
        <v>2024</v>
      </c>
      <c r="B10579" s="163">
        <v>2</v>
      </c>
      <c r="C10579" s="163">
        <v>15</v>
      </c>
      <c r="D10579" s="280">
        <f t="shared" si="1420"/>
        <v>45337</v>
      </c>
      <c r="E10579" s="281">
        <f t="shared" si="1421"/>
        <v>45337</v>
      </c>
      <c r="F10579" s="480"/>
      <c r="G10579" s="221" t="s">
        <v>74</v>
      </c>
      <c r="H10579" s="145" t="str" cm="1">
        <f t="array" ref="H10579">IFERROR(INDEX(INVESTOR_LIST[INVESTOR NAME],MATCH(I10579,INVESTOR_LIST[INVESTOR CODE],0),)," ")</f>
        <v>NAZNIN AKTER</v>
      </c>
      <c r="I10579" s="145" t="s">
        <v>654</v>
      </c>
      <c r="J10579" s="163" t="s">
        <v>52</v>
      </c>
      <c r="K10579" s="219"/>
      <c r="L10579" s="219">
        <v>150704.44</v>
      </c>
    </row>
    <row r="10580" spans="1:12" ht="11.25" customHeight="1" x14ac:dyDescent="0.2">
      <c r="A10580" s="168">
        <v>2024</v>
      </c>
      <c r="B10580" s="168">
        <v>2</v>
      </c>
      <c r="C10580" s="168">
        <v>15</v>
      </c>
      <c r="D10580" s="141">
        <f t="shared" ref="D10580:D10600" si="1422">DATE(A10580,B10580,C10580)</f>
        <v>45337</v>
      </c>
      <c r="E10580" s="275">
        <f t="shared" ref="E10580:E10600" si="1423">DATE(A10580,B10580,C10580)</f>
        <v>45337</v>
      </c>
      <c r="F10580" s="479" t="s">
        <v>965</v>
      </c>
      <c r="G10580" s="220" t="s">
        <v>74</v>
      </c>
      <c r="H10580" s="142" t="str" cm="1">
        <f t="array" ref="H10580">IFERROR(INDEX(INVESTOR_LIST[INVESTOR NAME],MATCH(I10580,INVESTOR_LIST[INVESTOR CODE],0),)," ")</f>
        <v>SIDDHARTHA SANKAR MALLICK</v>
      </c>
      <c r="I10580" s="142" t="s">
        <v>1414</v>
      </c>
      <c r="J10580" s="168" t="s">
        <v>13</v>
      </c>
      <c r="K10580" s="218">
        <v>56400</v>
      </c>
      <c r="L10580" s="226"/>
    </row>
    <row r="10581" spans="1:12" ht="11.25" customHeight="1" x14ac:dyDescent="0.2">
      <c r="A10581" s="133">
        <v>2024</v>
      </c>
      <c r="B10581" s="133">
        <v>2</v>
      </c>
      <c r="C10581" s="133">
        <v>15</v>
      </c>
      <c r="D10581" s="141">
        <f t="shared" si="1422"/>
        <v>45337</v>
      </c>
      <c r="E10581" s="275">
        <f t="shared" si="1423"/>
        <v>45337</v>
      </c>
      <c r="F10581" s="481"/>
      <c r="G10581" s="174" t="s">
        <v>74</v>
      </c>
      <c r="H10581" s="148" t="str" cm="1">
        <f t="array" ref="H10581">IFERROR(INDEX(INVESTOR_LIST[INVESTOR NAME],MATCH(I10581,INVESTOR_LIST[INVESTOR CODE],0),)," ")</f>
        <v>SIDDHARTHA SANKAR MALLICK</v>
      </c>
      <c r="I10581" s="148" t="s">
        <v>1414</v>
      </c>
      <c r="J10581" s="133" t="s">
        <v>53</v>
      </c>
      <c r="K10581" s="218">
        <v>13220.160000000003</v>
      </c>
      <c r="L10581" s="133"/>
    </row>
    <row r="10582" spans="1:12" ht="11.25" customHeight="1" x14ac:dyDescent="0.2">
      <c r="A10582" s="163">
        <v>2024</v>
      </c>
      <c r="B10582" s="163">
        <v>2</v>
      </c>
      <c r="C10582" s="163">
        <v>15</v>
      </c>
      <c r="D10582" s="280">
        <f t="shared" si="1422"/>
        <v>45337</v>
      </c>
      <c r="E10582" s="281">
        <f t="shared" si="1423"/>
        <v>45337</v>
      </c>
      <c r="F10582" s="480"/>
      <c r="G10582" s="221" t="s">
        <v>74</v>
      </c>
      <c r="H10582" s="145" t="str" cm="1">
        <f t="array" ref="H10582">IFERROR(INDEX(INVESTOR_LIST[INVESTOR NAME],MATCH(I10582,INVESTOR_LIST[INVESTOR CODE],0),)," ")</f>
        <v>SIDDHARTHA SANKAR MALLICK</v>
      </c>
      <c r="I10582" s="145" t="s">
        <v>1414</v>
      </c>
      <c r="J10582" s="163" t="s">
        <v>52</v>
      </c>
      <c r="K10582" s="219"/>
      <c r="L10582" s="219">
        <v>69620.160000000003</v>
      </c>
    </row>
    <row r="10583" spans="1:12" x14ac:dyDescent="0.2">
      <c r="A10583" s="168">
        <v>2024</v>
      </c>
      <c r="B10583" s="168">
        <v>2</v>
      </c>
      <c r="C10583" s="168">
        <v>15</v>
      </c>
      <c r="D10583" s="141">
        <f t="shared" si="1422"/>
        <v>45337</v>
      </c>
      <c r="E10583" s="275">
        <f t="shared" si="1423"/>
        <v>45337</v>
      </c>
      <c r="F10583" s="479" t="s">
        <v>1319</v>
      </c>
      <c r="G10583" s="220" t="s">
        <v>74</v>
      </c>
      <c r="H10583" s="142" t="str" cm="1">
        <f t="array" ref="H10583">IFERROR(INDEX(INVESTOR_LIST[INVESTOR NAME],MATCH(I10583,INVESTOR_LIST[INVESTOR CODE],0),)," ")</f>
        <v xml:space="preserve"> </v>
      </c>
      <c r="I10583" s="142"/>
      <c r="J10583" s="168" t="s">
        <v>52</v>
      </c>
      <c r="K10583" s="226">
        <v>12000</v>
      </c>
      <c r="L10583" s="226"/>
    </row>
    <row r="10584" spans="1:12" x14ac:dyDescent="0.2">
      <c r="A10584" s="133">
        <v>2024</v>
      </c>
      <c r="B10584" s="133">
        <v>2</v>
      </c>
      <c r="C10584" s="133">
        <v>15</v>
      </c>
      <c r="D10584" s="141">
        <f t="shared" si="1422"/>
        <v>45337</v>
      </c>
      <c r="E10584" s="275">
        <f t="shared" si="1423"/>
        <v>45337</v>
      </c>
      <c r="F10584" s="481"/>
      <c r="G10584" s="174" t="s">
        <v>74</v>
      </c>
      <c r="H10584" s="148" t="str" cm="1">
        <f t="array" ref="H10584">IFERROR(INDEX(INVESTOR_LIST[INVESTOR NAME],MATCH(I10584,INVESTOR_LIST[INVESTOR CODE],0),)," ")</f>
        <v xml:space="preserve"> </v>
      </c>
      <c r="J10584" s="133" t="s">
        <v>13</v>
      </c>
      <c r="K10584" s="218"/>
      <c r="L10584" s="218">
        <v>9720</v>
      </c>
    </row>
    <row r="10585" spans="1:12" x14ac:dyDescent="0.2">
      <c r="A10585" s="163">
        <v>2024</v>
      </c>
      <c r="B10585" s="163">
        <v>2</v>
      </c>
      <c r="C10585" s="163">
        <v>15</v>
      </c>
      <c r="D10585" s="280">
        <f t="shared" si="1422"/>
        <v>45337</v>
      </c>
      <c r="E10585" s="281">
        <f t="shared" si="1423"/>
        <v>45337</v>
      </c>
      <c r="F10585" s="480"/>
      <c r="G10585" s="221" t="s">
        <v>74</v>
      </c>
      <c r="H10585" s="145" t="str" cm="1">
        <f t="array" ref="H10585">IFERROR(INDEX(INVESTOR_LIST[INVESTOR NAME],MATCH(I10585,INVESTOR_LIST[INVESTOR CODE],0),)," ")</f>
        <v xml:space="preserve"> </v>
      </c>
      <c r="I10585" s="145"/>
      <c r="J10585" s="163" t="s">
        <v>53</v>
      </c>
      <c r="K10585" s="219"/>
      <c r="L10585" s="219">
        <v>2280</v>
      </c>
    </row>
    <row r="10586" spans="1:12" x14ac:dyDescent="0.2">
      <c r="A10586" s="343">
        <v>2024</v>
      </c>
      <c r="B10586" s="343">
        <v>2</v>
      </c>
      <c r="C10586" s="343">
        <v>15</v>
      </c>
      <c r="D10586" s="344">
        <f t="shared" si="1422"/>
        <v>45337</v>
      </c>
      <c r="E10586" s="345">
        <f t="shared" si="1423"/>
        <v>45337</v>
      </c>
      <c r="F10586" s="483" t="s">
        <v>1813</v>
      </c>
      <c r="G10586" s="350" t="s">
        <v>94</v>
      </c>
      <c r="H10586" s="350" t="str" cm="1">
        <f t="array" ref="H10586">IFERROR(INDEX(INVESTOR_LIST[INVESTOR NAME],MATCH(I10586,INVESTOR_LIST[INVESTOR CODE],0),)," ")</f>
        <v xml:space="preserve"> </v>
      </c>
      <c r="I10586" s="352" t="s">
        <v>348</v>
      </c>
      <c r="J10586" s="353" t="s">
        <v>1798</v>
      </c>
      <c r="K10586" s="354">
        <v>98196.10000000149</v>
      </c>
      <c r="L10586" s="354"/>
    </row>
    <row r="10587" spans="1:12" x14ac:dyDescent="0.2">
      <c r="A10587" s="346">
        <v>2024</v>
      </c>
      <c r="B10587" s="346">
        <v>2</v>
      </c>
      <c r="C10587" s="346">
        <v>15</v>
      </c>
      <c r="D10587" s="344">
        <f t="shared" si="1422"/>
        <v>45337</v>
      </c>
      <c r="E10587" s="345">
        <f t="shared" si="1423"/>
        <v>45337</v>
      </c>
      <c r="F10587" s="484"/>
      <c r="G10587" s="347" t="s">
        <v>94</v>
      </c>
      <c r="H10587" s="347" t="str" cm="1">
        <f t="array" ref="H10587">IFERROR(INDEX(INVESTOR_LIST[INVESTOR NAME],MATCH(I10587,INVESTOR_LIST[INVESTOR CODE],0),)," ")</f>
        <v xml:space="preserve"> </v>
      </c>
      <c r="I10587" s="348" t="s">
        <v>348</v>
      </c>
      <c r="J10587" s="355" t="s">
        <v>1807</v>
      </c>
      <c r="K10587" s="349"/>
      <c r="L10587" s="349">
        <v>98196.10000000149</v>
      </c>
    </row>
    <row r="10588" spans="1:12" x14ac:dyDescent="0.2">
      <c r="A10588" s="238">
        <v>2024</v>
      </c>
      <c r="B10588" s="238">
        <v>2</v>
      </c>
      <c r="C10588" s="238">
        <v>15</v>
      </c>
      <c r="D10588" s="270">
        <f t="shared" si="1422"/>
        <v>45337</v>
      </c>
      <c r="E10588" s="279">
        <f t="shared" si="1423"/>
        <v>45337</v>
      </c>
      <c r="F10588" s="477" t="s">
        <v>347</v>
      </c>
      <c r="G10588" s="239" t="s">
        <v>94</v>
      </c>
      <c r="H10588" s="239" t="str" cm="1">
        <f t="array" ref="H10588">IFERROR(INDEX(INVESTOR_LIST[INVESTOR NAME],MATCH(I10588,INVESTOR_LIST[INVESTOR CODE],0),)," ")</f>
        <v xml:space="preserve"> </v>
      </c>
      <c r="I10588" s="262" t="s">
        <v>348</v>
      </c>
      <c r="J10588" s="240" t="s">
        <v>108</v>
      </c>
      <c r="K10588" s="241">
        <v>2513911.4300000221</v>
      </c>
      <c r="L10588" s="241"/>
    </row>
    <row r="10589" spans="1:12" x14ac:dyDescent="0.2">
      <c r="A10589" s="242">
        <v>2024</v>
      </c>
      <c r="B10589" s="242">
        <v>2</v>
      </c>
      <c r="C10589" s="242">
        <v>15</v>
      </c>
      <c r="D10589" s="270">
        <f t="shared" si="1422"/>
        <v>45337</v>
      </c>
      <c r="E10589" s="279">
        <f t="shared" si="1423"/>
        <v>45337</v>
      </c>
      <c r="F10589" s="478"/>
      <c r="G10589" s="243" t="s">
        <v>94</v>
      </c>
      <c r="H10589" s="243" t="str" cm="1">
        <f t="array" ref="H10589">IFERROR(INDEX(INVESTOR_LIST[INVESTOR NAME],MATCH(I10589,INVESTOR_LIST[INVESTOR CODE],0),)," ")</f>
        <v xml:space="preserve"> </v>
      </c>
      <c r="I10589" s="263" t="s">
        <v>348</v>
      </c>
      <c r="J10589" s="244" t="s">
        <v>82</v>
      </c>
      <c r="K10589" s="245"/>
      <c r="L10589" s="245">
        <v>2513911.4300000221</v>
      </c>
    </row>
    <row r="10590" spans="1:12" ht="22.5" x14ac:dyDescent="0.2">
      <c r="A10590" s="246">
        <v>2024</v>
      </c>
      <c r="B10590" s="238">
        <v>2</v>
      </c>
      <c r="C10590" s="238">
        <v>15</v>
      </c>
      <c r="D10590" s="270">
        <f t="shared" si="1422"/>
        <v>45337</v>
      </c>
      <c r="E10590" s="279">
        <f t="shared" si="1423"/>
        <v>45337</v>
      </c>
      <c r="F10590" s="482" t="s">
        <v>148</v>
      </c>
      <c r="G10590" s="247" t="s">
        <v>94</v>
      </c>
      <c r="H10590" s="247" t="str" cm="1">
        <f t="array" ref="H10590">IFERROR(INDEX(INVESTOR_LIST[INVESTOR NAME],MATCH(I10590,INVESTOR_LIST[INVESTOR CODE],0),)," ")</f>
        <v xml:space="preserve"> </v>
      </c>
      <c r="I10590" s="248" t="s">
        <v>348</v>
      </c>
      <c r="J10590" s="249" t="s">
        <v>95</v>
      </c>
      <c r="K10590" s="250">
        <v>2747.2527472527472</v>
      </c>
      <c r="L10590" s="241"/>
    </row>
    <row r="10591" spans="1:12" x14ac:dyDescent="0.2">
      <c r="A10591" s="242">
        <v>2024</v>
      </c>
      <c r="B10591" s="242">
        <v>2</v>
      </c>
      <c r="C10591" s="242">
        <v>15</v>
      </c>
      <c r="D10591" s="270">
        <f t="shared" si="1422"/>
        <v>45337</v>
      </c>
      <c r="E10591" s="279">
        <f t="shared" si="1423"/>
        <v>45337</v>
      </c>
      <c r="F10591" s="478"/>
      <c r="G10591" s="243" t="s">
        <v>94</v>
      </c>
      <c r="H10591" s="243" t="str" cm="1">
        <f t="array" ref="H10591">IFERROR(INDEX(INVESTOR_LIST[INVESTOR NAME],MATCH(I10591,INVESTOR_LIST[INVESTOR CODE],0),)," ")</f>
        <v xml:space="preserve"> </v>
      </c>
      <c r="I10591" s="263" t="s">
        <v>348</v>
      </c>
      <c r="J10591" s="244" t="s">
        <v>63</v>
      </c>
      <c r="K10591" s="245"/>
      <c r="L10591" s="245">
        <v>2747.2527472527472</v>
      </c>
    </row>
    <row r="10592" spans="1:12" x14ac:dyDescent="0.2">
      <c r="A10592" s="246">
        <v>2024</v>
      </c>
      <c r="B10592" s="238">
        <v>2</v>
      </c>
      <c r="C10592" s="238">
        <v>15</v>
      </c>
      <c r="D10592" s="270">
        <f t="shared" si="1422"/>
        <v>45337</v>
      </c>
      <c r="E10592" s="279">
        <f t="shared" si="1423"/>
        <v>45337</v>
      </c>
      <c r="F10592" s="482" t="s">
        <v>137</v>
      </c>
      <c r="G10592" s="247" t="s">
        <v>94</v>
      </c>
      <c r="H10592" s="247" t="str" cm="1">
        <f t="array" ref="H10592">IFERROR(INDEX(INVESTOR_LIST[INVESTOR NAME],MATCH(I10592,INVESTOR_LIST[INVESTOR CODE],0),)," ")</f>
        <v xml:space="preserve"> </v>
      </c>
      <c r="I10592" s="248" t="s">
        <v>348</v>
      </c>
      <c r="J10592" s="249" t="s">
        <v>97</v>
      </c>
      <c r="K10592" s="250">
        <v>58445.665265506672</v>
      </c>
      <c r="L10592" s="252"/>
    </row>
    <row r="10593" spans="1:17" x14ac:dyDescent="0.2">
      <c r="A10593" s="242">
        <v>2024</v>
      </c>
      <c r="B10593" s="242">
        <v>2</v>
      </c>
      <c r="C10593" s="242">
        <v>15</v>
      </c>
      <c r="D10593" s="270">
        <f t="shared" si="1422"/>
        <v>45337</v>
      </c>
      <c r="E10593" s="279">
        <f t="shared" si="1423"/>
        <v>45337</v>
      </c>
      <c r="F10593" s="478"/>
      <c r="G10593" s="243" t="s">
        <v>94</v>
      </c>
      <c r="H10593" s="243" t="str" cm="1">
        <f t="array" ref="H10593">IFERROR(INDEX(INVESTOR_LIST[INVESTOR NAME],MATCH(I10593,INVESTOR_LIST[INVESTOR CODE],0),)," ")</f>
        <v xml:space="preserve"> </v>
      </c>
      <c r="I10593" s="263" t="s">
        <v>348</v>
      </c>
      <c r="J10593" s="244" t="s">
        <v>47</v>
      </c>
      <c r="K10593" s="245"/>
      <c r="L10593" s="245">
        <v>58445.665265506672</v>
      </c>
    </row>
    <row r="10594" spans="1:17" x14ac:dyDescent="0.2">
      <c r="A10594" s="246">
        <v>2024</v>
      </c>
      <c r="B10594" s="238">
        <v>2</v>
      </c>
      <c r="C10594" s="238">
        <v>15</v>
      </c>
      <c r="D10594" s="270">
        <f t="shared" si="1422"/>
        <v>45337</v>
      </c>
      <c r="E10594" s="279">
        <f t="shared" si="1423"/>
        <v>45337</v>
      </c>
      <c r="F10594" s="482" t="s">
        <v>138</v>
      </c>
      <c r="G10594" s="247" t="s">
        <v>94</v>
      </c>
      <c r="H10594" s="247" t="str" cm="1">
        <f t="array" ref="H10594">IFERROR(INDEX(INVESTOR_LIST[INVESTOR NAME],MATCH(I10594,INVESTOR_LIST[INVESTOR CODE],0),)," ")</f>
        <v xml:space="preserve"> </v>
      </c>
      <c r="I10594" s="248" t="s">
        <v>348</v>
      </c>
      <c r="J10594" s="249" t="s">
        <v>100</v>
      </c>
      <c r="K10594" s="250">
        <v>2681.8986478907177</v>
      </c>
      <c r="L10594" s="252"/>
    </row>
    <row r="10595" spans="1:17" x14ac:dyDescent="0.2">
      <c r="A10595" s="242">
        <v>2024</v>
      </c>
      <c r="B10595" s="242">
        <v>2</v>
      </c>
      <c r="C10595" s="242">
        <v>15</v>
      </c>
      <c r="D10595" s="321">
        <f t="shared" si="1422"/>
        <v>45337</v>
      </c>
      <c r="E10595" s="322">
        <f t="shared" si="1423"/>
        <v>45337</v>
      </c>
      <c r="F10595" s="478"/>
      <c r="G10595" s="243" t="s">
        <v>94</v>
      </c>
      <c r="H10595" s="243" t="str" cm="1">
        <f t="array" ref="H10595">IFERROR(INDEX(INVESTOR_LIST[INVESTOR NAME],MATCH(I10595,INVESTOR_LIST[INVESTOR CODE],0),)," ")</f>
        <v xml:space="preserve"> </v>
      </c>
      <c r="I10595" s="263" t="s">
        <v>348</v>
      </c>
      <c r="J10595" s="244" t="s">
        <v>48</v>
      </c>
      <c r="K10595" s="245"/>
      <c r="L10595" s="245">
        <v>2681.8986478907177</v>
      </c>
    </row>
    <row r="10596" spans="1:17" x14ac:dyDescent="0.2">
      <c r="A10596" s="168">
        <v>2024</v>
      </c>
      <c r="B10596" s="168">
        <v>2</v>
      </c>
      <c r="C10596" s="168">
        <v>18</v>
      </c>
      <c r="D10596" s="141">
        <f t="shared" si="1422"/>
        <v>45340</v>
      </c>
      <c r="E10596" s="275">
        <f t="shared" si="1423"/>
        <v>45340</v>
      </c>
      <c r="F10596" s="479" t="s">
        <v>1797</v>
      </c>
      <c r="G10596" s="220" t="s">
        <v>94</v>
      </c>
      <c r="H10596" s="220" t="str" cm="1">
        <f t="array" ref="H10596">IFERROR(INDEX(INVESTOR_LIST[INVESTOR NAME],MATCH(I10596,INVESTOR_LIST[INVESTOR CODE],0),)," ")</f>
        <v xml:space="preserve"> </v>
      </c>
      <c r="I10596" s="142"/>
      <c r="J10596" s="143" t="s">
        <v>79</v>
      </c>
      <c r="K10596" s="226">
        <v>350600</v>
      </c>
      <c r="L10596" s="226"/>
      <c r="M10596" s="160"/>
    </row>
    <row r="10597" spans="1:17" x14ac:dyDescent="0.2">
      <c r="A10597" s="133">
        <v>2024</v>
      </c>
      <c r="B10597" s="133">
        <v>2</v>
      </c>
      <c r="C10597" s="133">
        <v>18</v>
      </c>
      <c r="D10597" s="141">
        <f t="shared" si="1422"/>
        <v>45340</v>
      </c>
      <c r="E10597" s="275">
        <f t="shared" si="1423"/>
        <v>45340</v>
      </c>
      <c r="F10597" s="481"/>
      <c r="G10597" s="174" t="s">
        <v>94</v>
      </c>
      <c r="H10597" s="174"/>
      <c r="J10597" s="149" t="s">
        <v>80</v>
      </c>
      <c r="K10597" s="218">
        <v>631.08000000000004</v>
      </c>
      <c r="L10597" s="218"/>
    </row>
    <row r="10598" spans="1:17" ht="10.9" customHeight="1" x14ac:dyDescent="0.2">
      <c r="A10598" s="163">
        <v>2024</v>
      </c>
      <c r="B10598" s="163">
        <v>2</v>
      </c>
      <c r="C10598" s="163">
        <v>18</v>
      </c>
      <c r="D10598" s="280">
        <f t="shared" si="1422"/>
        <v>45340</v>
      </c>
      <c r="E10598" s="281">
        <f t="shared" si="1423"/>
        <v>45340</v>
      </c>
      <c r="F10598" s="480"/>
      <c r="G10598" s="221" t="s">
        <v>94</v>
      </c>
      <c r="H10598" s="221"/>
      <c r="I10598" s="145"/>
      <c r="J10598" s="146" t="s">
        <v>147</v>
      </c>
      <c r="K10598" s="219"/>
      <c r="L10598" s="219">
        <v>351231.08</v>
      </c>
    </row>
    <row r="10599" spans="1:17" x14ac:dyDescent="0.2">
      <c r="A10599" s="168">
        <v>2024</v>
      </c>
      <c r="B10599" s="168">
        <v>2</v>
      </c>
      <c r="C10599" s="168">
        <v>18</v>
      </c>
      <c r="D10599" s="141">
        <f t="shared" si="1422"/>
        <v>45340</v>
      </c>
      <c r="E10599" s="275">
        <f t="shared" si="1423"/>
        <v>45340</v>
      </c>
      <c r="F10599" s="479" t="s">
        <v>362</v>
      </c>
      <c r="G10599" s="220" t="s">
        <v>74</v>
      </c>
      <c r="H10599" s="220" t="str" cm="1">
        <f t="array" ref="H10599">IFERROR(INDEX(INVESTOR_LIST[INVESTOR NAME],MATCH(I10599,INVESTOR_LIST[INVESTOR CODE],0),)," ")</f>
        <v xml:space="preserve"> </v>
      </c>
      <c r="I10599" s="142" t="s">
        <v>348</v>
      </c>
      <c r="J10599" s="143" t="s">
        <v>104</v>
      </c>
      <c r="K10599" s="226">
        <v>1662.88</v>
      </c>
      <c r="L10599" s="226"/>
    </row>
    <row r="10600" spans="1:17" x14ac:dyDescent="0.2">
      <c r="A10600" s="163">
        <v>2024</v>
      </c>
      <c r="B10600" s="163">
        <v>2</v>
      </c>
      <c r="C10600" s="163">
        <v>18</v>
      </c>
      <c r="D10600" s="141">
        <f t="shared" si="1422"/>
        <v>45340</v>
      </c>
      <c r="E10600" s="275">
        <f t="shared" si="1423"/>
        <v>45340</v>
      </c>
      <c r="F10600" s="480"/>
      <c r="G10600" s="221" t="s">
        <v>74</v>
      </c>
      <c r="H10600" s="221" t="str" cm="1">
        <f t="array" ref="H10600">IFERROR(INDEX(INVESTOR_LIST[INVESTOR NAME],MATCH(I10600,INVESTOR_LIST[INVESTOR CODE],0),)," ")</f>
        <v xml:space="preserve"> </v>
      </c>
      <c r="I10600" s="145" t="s">
        <v>348</v>
      </c>
      <c r="J10600" s="146" t="s">
        <v>52</v>
      </c>
      <c r="K10600" s="219"/>
      <c r="L10600" s="219">
        <v>1662.88</v>
      </c>
    </row>
    <row r="10601" spans="1:17" x14ac:dyDescent="0.2">
      <c r="A10601" s="133">
        <v>2024</v>
      </c>
      <c r="B10601" s="133">
        <v>2</v>
      </c>
      <c r="C10601" s="168">
        <v>19</v>
      </c>
      <c r="D10601" s="141">
        <f>DATE(A10601,B10601,C10601)</f>
        <v>45341</v>
      </c>
      <c r="E10601" s="275">
        <f>DATE(A10601,B10601,C10601)</f>
        <v>45341</v>
      </c>
      <c r="F10601" s="479" t="s">
        <v>1768</v>
      </c>
      <c r="G10601" s="220" t="s">
        <v>74</v>
      </c>
      <c r="H10601" s="220" t="str" cm="1">
        <f t="array" ref="H10601">IFERROR(INDEX(INVESTOR_LIST[INVESTOR NAME],MATCH(I10601,INVESTOR_LIST[INVESTOR CODE],0),)," ")</f>
        <v xml:space="preserve"> </v>
      </c>
      <c r="I10601" s="142"/>
      <c r="J10601" s="143" t="s">
        <v>147</v>
      </c>
      <c r="K10601" s="226">
        <v>351231.08</v>
      </c>
      <c r="L10601" s="226"/>
    </row>
    <row r="10602" spans="1:17" x14ac:dyDescent="0.2">
      <c r="A10602" s="163">
        <v>2024</v>
      </c>
      <c r="B10602" s="163">
        <v>2</v>
      </c>
      <c r="C10602" s="163">
        <v>19</v>
      </c>
      <c r="D10602" s="280">
        <f>DATE(A10602,B10602,C10602)</f>
        <v>45341</v>
      </c>
      <c r="E10602" s="281">
        <f>DATE(A10602,B10602,C10602)</f>
        <v>45341</v>
      </c>
      <c r="F10602" s="480"/>
      <c r="G10602" s="221" t="s">
        <v>74</v>
      </c>
      <c r="H10602" s="221" t="str" cm="1">
        <f t="array" ref="H10602">IFERROR(INDEX(INVESTOR_LIST[INVESTOR NAME],MATCH(I10602,INVESTOR_LIST[INVESTOR CODE],0),)," ")</f>
        <v xml:space="preserve"> </v>
      </c>
      <c r="I10602" s="145" t="s">
        <v>348</v>
      </c>
      <c r="J10602" s="146" t="s">
        <v>52</v>
      </c>
      <c r="K10602" s="219"/>
      <c r="L10602" s="219">
        <v>351231.08</v>
      </c>
    </row>
    <row r="10603" spans="1:17" ht="11.25" customHeight="1" x14ac:dyDescent="0.2">
      <c r="A10603" s="133">
        <v>2024</v>
      </c>
      <c r="B10603" s="133">
        <v>2</v>
      </c>
      <c r="C10603" s="133">
        <v>19</v>
      </c>
      <c r="D10603" s="141">
        <f>DATE(A10603,B10603,C10603)</f>
        <v>45341</v>
      </c>
      <c r="E10603" s="275">
        <f>DATE(A10603,B10603,C10603)</f>
        <v>45341</v>
      </c>
      <c r="F10603" s="481" t="s">
        <v>1893</v>
      </c>
      <c r="G10603" s="174" t="s">
        <v>74</v>
      </c>
      <c r="H10603" s="174" t="str" cm="1">
        <f t="array" ref="H10603">IFERROR(INDEX(INVESTOR_LIST[INVESTOR NAME],MATCH(I10603,INVESTOR_LIST[INVESTOR CODE],0),)," ")</f>
        <v xml:space="preserve"> </v>
      </c>
      <c r="I10603" s="148" t="s">
        <v>348</v>
      </c>
      <c r="J10603" s="149" t="s">
        <v>52</v>
      </c>
      <c r="K10603" s="218">
        <v>5000000</v>
      </c>
      <c r="L10603" s="218"/>
      <c r="M10603" s="147"/>
      <c r="Q10603" s="133" t="s">
        <v>348</v>
      </c>
    </row>
    <row r="10604" spans="1:17" x14ac:dyDescent="0.2">
      <c r="A10604" s="133">
        <v>2024</v>
      </c>
      <c r="B10604" s="133">
        <v>2</v>
      </c>
      <c r="C10604" s="133">
        <v>19</v>
      </c>
      <c r="D10604" s="141">
        <f t="shared" ref="D10604" si="1424">DATE(A10604,B10604,C10604)</f>
        <v>45341</v>
      </c>
      <c r="E10604" s="275">
        <f t="shared" ref="E10604" si="1425">DATE(A10604,B10604,C10604)</f>
        <v>45341</v>
      </c>
      <c r="F10604" s="481"/>
      <c r="G10604" s="174" t="s">
        <v>74</v>
      </c>
      <c r="H10604" s="174"/>
      <c r="J10604" s="149" t="s">
        <v>1809</v>
      </c>
      <c r="K10604" s="218"/>
      <c r="L10604" s="218">
        <v>122690</v>
      </c>
      <c r="M10604" s="147"/>
    </row>
    <row r="10605" spans="1:17" x14ac:dyDescent="0.2">
      <c r="A10605" s="163">
        <v>2024</v>
      </c>
      <c r="B10605" s="163">
        <v>2</v>
      </c>
      <c r="C10605" s="163">
        <v>19</v>
      </c>
      <c r="D10605" s="280">
        <f>DATE(A10605,B10605,C10605)</f>
        <v>45341</v>
      </c>
      <c r="E10605" s="281">
        <f>DATE(A10605,B10605,C10605)</f>
        <v>45341</v>
      </c>
      <c r="F10605" s="480"/>
      <c r="G10605" s="221" t="s">
        <v>74</v>
      </c>
      <c r="H10605" s="221" t="str" cm="1">
        <f t="array" ref="H10605">IFERROR(INDEX(INVESTOR_LIST[INVESTOR NAME],MATCH(I10605,INVESTOR_LIST[INVESTOR CODE],0),)," ")</f>
        <v xml:space="preserve"> </v>
      </c>
      <c r="I10605" s="145"/>
      <c r="J10605" s="146" t="s">
        <v>1764</v>
      </c>
      <c r="K10605" s="219"/>
      <c r="L10605" s="219">
        <v>4877310</v>
      </c>
      <c r="M10605" s="147"/>
      <c r="Q10605" s="133" t="s">
        <v>348</v>
      </c>
    </row>
    <row r="10606" spans="1:17" x14ac:dyDescent="0.2">
      <c r="A10606" s="168">
        <v>2024</v>
      </c>
      <c r="B10606" s="168">
        <v>2</v>
      </c>
      <c r="C10606" s="168">
        <v>19</v>
      </c>
      <c r="D10606" s="141">
        <f t="shared" ref="D10606" si="1426">DATE(A10606,B10606,C10606)</f>
        <v>45341</v>
      </c>
      <c r="E10606" s="275">
        <f t="shared" ref="E10606" si="1427">DATE(A10606,B10606,C10606)</f>
        <v>45341</v>
      </c>
      <c r="F10606" s="479" t="s">
        <v>1757</v>
      </c>
      <c r="G10606" s="220" t="s">
        <v>74</v>
      </c>
      <c r="H10606" s="220" t="str" cm="1">
        <f t="array" ref="H10606">IFERROR(INDEX(INVESTOR_LIST[INVESTOR NAME],MATCH(I10606,INVESTOR_LIST[INVESTOR CODE],0),)," ")</f>
        <v xml:space="preserve"> </v>
      </c>
      <c r="I10606" s="142"/>
      <c r="J10606" s="143" t="s">
        <v>52</v>
      </c>
      <c r="K10606" s="226">
        <v>367706.06</v>
      </c>
      <c r="L10606" s="226"/>
    </row>
    <row r="10607" spans="1:17" ht="10.5" customHeight="1" x14ac:dyDescent="0.2">
      <c r="A10607" s="163">
        <v>2024</v>
      </c>
      <c r="B10607" s="163">
        <v>2</v>
      </c>
      <c r="C10607" s="163">
        <v>19</v>
      </c>
      <c r="D10607" s="280">
        <f>DATE(A10607,B10607,C10607)</f>
        <v>45341</v>
      </c>
      <c r="E10607" s="281">
        <f>DATE(A10607,B10607,C10607)</f>
        <v>45341</v>
      </c>
      <c r="F10607" s="480"/>
      <c r="G10607" s="221" t="s">
        <v>74</v>
      </c>
      <c r="H10607" s="221" t="str" cm="1">
        <f t="array" ref="H10607">IFERROR(INDEX(INVESTOR_LIST[INVESTOR NAME],MATCH(I10607,INVESTOR_LIST[INVESTOR CODE],0),)," ")</f>
        <v xml:space="preserve"> </v>
      </c>
      <c r="I10607" s="145"/>
      <c r="J10607" s="146" t="s">
        <v>190</v>
      </c>
      <c r="K10607" s="219"/>
      <c r="L10607" s="219">
        <v>367706.06</v>
      </c>
    </row>
    <row r="10608" spans="1:17" x14ac:dyDescent="0.2">
      <c r="A10608" s="133">
        <v>2024</v>
      </c>
      <c r="B10608" s="168">
        <v>2</v>
      </c>
      <c r="C10608" s="168">
        <v>20</v>
      </c>
      <c r="D10608" s="141">
        <f t="shared" ref="D10608:D10671" si="1428">DATE(A10608,B10608,C10608)</f>
        <v>45342</v>
      </c>
      <c r="E10608" s="275">
        <f t="shared" ref="E10608:E10671" si="1429">DATE(A10608,B10608,C10608)</f>
        <v>45342</v>
      </c>
      <c r="F10608" s="481" t="s">
        <v>275</v>
      </c>
      <c r="G10608" s="174" t="s">
        <v>74</v>
      </c>
      <c r="H10608" s="174" t="str" cm="1">
        <f t="array" ref="H10608">IFERROR(INDEX(INVESTOR_LIST[INVESTOR NAME],MATCH(I10608,INVESTOR_LIST[INVESTOR CODE],0),)," ")</f>
        <v xml:space="preserve"> </v>
      </c>
      <c r="I10608" s="148" t="s">
        <v>348</v>
      </c>
      <c r="J10608" s="149" t="s">
        <v>163</v>
      </c>
      <c r="K10608" s="218">
        <v>1575</v>
      </c>
      <c r="L10608" s="218"/>
      <c r="M10608" s="147"/>
      <c r="Q10608" s="133" t="s">
        <v>348</v>
      </c>
    </row>
    <row r="10609" spans="1:17" x14ac:dyDescent="0.2">
      <c r="A10609" s="133">
        <v>2024</v>
      </c>
      <c r="B10609" s="133">
        <v>2</v>
      </c>
      <c r="C10609" s="133">
        <v>20</v>
      </c>
      <c r="D10609" s="141">
        <f t="shared" ref="D10609" si="1430">DATE(A10609,B10609,C10609)</f>
        <v>45342</v>
      </c>
      <c r="E10609" s="275">
        <f t="shared" ref="E10609" si="1431">DATE(A10609,B10609,C10609)</f>
        <v>45342</v>
      </c>
      <c r="F10609" s="481"/>
      <c r="G10609" s="174" t="s">
        <v>74</v>
      </c>
      <c r="H10609" s="174"/>
      <c r="J10609" s="149" t="s">
        <v>1907</v>
      </c>
      <c r="K10609" s="218"/>
      <c r="L10609" s="218">
        <v>150</v>
      </c>
      <c r="M10609" s="147"/>
    </row>
    <row r="10610" spans="1:17" x14ac:dyDescent="0.2">
      <c r="A10610" s="163">
        <v>2024</v>
      </c>
      <c r="B10610" s="163">
        <v>2</v>
      </c>
      <c r="C10610" s="163">
        <v>20</v>
      </c>
      <c r="D10610" s="280">
        <f t="shared" si="1428"/>
        <v>45342</v>
      </c>
      <c r="E10610" s="281">
        <f t="shared" si="1429"/>
        <v>45342</v>
      </c>
      <c r="F10610" s="480"/>
      <c r="G10610" s="221" t="s">
        <v>74</v>
      </c>
      <c r="H10610" s="221" t="str" cm="1">
        <f t="array" ref="H10610">IFERROR(INDEX(INVESTOR_LIST[INVESTOR NAME],MATCH(I10610,INVESTOR_LIST[INVESTOR CODE],0),)," ")</f>
        <v xml:space="preserve"> </v>
      </c>
      <c r="I10610" s="145"/>
      <c r="J10610" s="146" t="s">
        <v>52</v>
      </c>
      <c r="K10610" s="219"/>
      <c r="L10610" s="219">
        <v>1350</v>
      </c>
      <c r="M10610" s="147"/>
      <c r="Q10610" s="133" t="s">
        <v>348</v>
      </c>
    </row>
    <row r="10611" spans="1:17" ht="11.25" customHeight="1" x14ac:dyDescent="0.2">
      <c r="A10611" s="168">
        <v>2024</v>
      </c>
      <c r="B10611" s="168">
        <v>2</v>
      </c>
      <c r="C10611" s="133">
        <v>22</v>
      </c>
      <c r="D10611" s="141">
        <f>DATE(A10611,B10611,C10611)</f>
        <v>45344</v>
      </c>
      <c r="E10611" s="275">
        <f>DATE(A10611,B10611,C10611)</f>
        <v>45344</v>
      </c>
      <c r="F10611" s="479" t="s">
        <v>1902</v>
      </c>
      <c r="G10611" s="220" t="s">
        <v>74</v>
      </c>
      <c r="H10611" s="142" t="str" cm="1">
        <f t="array" ref="H10611">IFERROR(INDEX(INVESTOR_LIST[INVESTOR NAME],MATCH(I10611,INVESTOR_LIST[INVESTOR CODE],0),)," ")</f>
        <v>REZAUR RAHMAN</v>
      </c>
      <c r="I10611" s="142" t="s">
        <v>1291</v>
      </c>
      <c r="J10611" s="168" t="s">
        <v>358</v>
      </c>
      <c r="K10611" s="226">
        <v>2341.25</v>
      </c>
      <c r="L10611" s="226"/>
    </row>
    <row r="10612" spans="1:17" x14ac:dyDescent="0.2">
      <c r="A10612" s="133">
        <v>2024</v>
      </c>
      <c r="B10612" s="133">
        <v>2</v>
      </c>
      <c r="C10612" s="133">
        <v>22</v>
      </c>
      <c r="D10612" s="141">
        <f t="shared" ref="D10612:D10614" si="1432">DATE(A10612,B10612,C10612)</f>
        <v>45344</v>
      </c>
      <c r="E10612" s="275">
        <f t="shared" ref="E10612:E10614" si="1433">DATE(A10612,B10612,C10612)</f>
        <v>45344</v>
      </c>
      <c r="F10612" s="481"/>
      <c r="G10612" s="174" t="s">
        <v>74</v>
      </c>
      <c r="I10612" s="148" t="s">
        <v>1291</v>
      </c>
      <c r="J10612" s="133" t="s">
        <v>534</v>
      </c>
      <c r="K10612" s="218"/>
      <c r="L10612" s="218">
        <v>234.13</v>
      </c>
    </row>
    <row r="10613" spans="1:17" x14ac:dyDescent="0.2">
      <c r="A10613" s="133">
        <v>2024</v>
      </c>
      <c r="B10613" s="133">
        <v>2</v>
      </c>
      <c r="C10613" s="133">
        <v>22</v>
      </c>
      <c r="D10613" s="141">
        <f t="shared" ref="D10613" si="1434">DATE(A10613,B10613,C10613)</f>
        <v>45344</v>
      </c>
      <c r="E10613" s="275">
        <f t="shared" ref="E10613" si="1435">DATE(A10613,B10613,C10613)</f>
        <v>45344</v>
      </c>
      <c r="F10613" s="481"/>
      <c r="G10613" s="174" t="s">
        <v>74</v>
      </c>
      <c r="I10613" s="148" t="s">
        <v>1291</v>
      </c>
      <c r="J10613" s="133" t="s">
        <v>52</v>
      </c>
      <c r="K10613" s="218"/>
      <c r="L10613" s="218">
        <v>2341.25</v>
      </c>
    </row>
    <row r="10614" spans="1:17" x14ac:dyDescent="0.2">
      <c r="A10614" s="133">
        <v>2024</v>
      </c>
      <c r="B10614" s="133">
        <v>2</v>
      </c>
      <c r="C10614" s="133">
        <v>22</v>
      </c>
      <c r="D10614" s="141">
        <f t="shared" si="1432"/>
        <v>45344</v>
      </c>
      <c r="E10614" s="275">
        <f t="shared" si="1433"/>
        <v>45344</v>
      </c>
      <c r="F10614" s="481"/>
      <c r="G10614" s="174" t="s">
        <v>74</v>
      </c>
      <c r="I10614" s="148" t="s">
        <v>1291</v>
      </c>
      <c r="J10614" s="133" t="s">
        <v>52</v>
      </c>
      <c r="K10614" s="218"/>
      <c r="L10614" s="218">
        <v>12000.76</v>
      </c>
    </row>
    <row r="10615" spans="1:17" ht="22.5" x14ac:dyDescent="0.2">
      <c r="A10615" s="133">
        <v>2024</v>
      </c>
      <c r="B10615" s="133">
        <v>2</v>
      </c>
      <c r="C10615" s="133">
        <v>22</v>
      </c>
      <c r="D10615" s="141">
        <f>DATE(A10615,B10615,C10615)</f>
        <v>45344</v>
      </c>
      <c r="E10615" s="275">
        <f>DATE(A10615,B10615,C10615)</f>
        <v>45344</v>
      </c>
      <c r="F10615" s="481"/>
      <c r="G10615" s="174" t="s">
        <v>74</v>
      </c>
      <c r="H10615" s="148" t="str" cm="1">
        <f t="array" ref="H10615">IFERROR(INDEX(INVESTOR_LIST[INVESTOR NAME],MATCH(I10615,INVESTOR_LIST[INVESTOR CODE],0),)," ")</f>
        <v>REZAUR RAHMAN</v>
      </c>
      <c r="I10615" s="148" t="s">
        <v>1291</v>
      </c>
      <c r="J10615" s="133" t="s">
        <v>13</v>
      </c>
      <c r="K10615" s="218">
        <v>9910</v>
      </c>
      <c r="L10615" s="218"/>
    </row>
    <row r="10616" spans="1:17" ht="22.5" x14ac:dyDescent="0.2">
      <c r="A10616" s="163">
        <v>2024</v>
      </c>
      <c r="B10616" s="163">
        <v>2</v>
      </c>
      <c r="C10616" s="163">
        <v>22</v>
      </c>
      <c r="D10616" s="141">
        <f>DATE(A10616,B10616,C10616)</f>
        <v>45344</v>
      </c>
      <c r="E10616" s="275">
        <f>DATE(A10616,B10616,C10616)</f>
        <v>45344</v>
      </c>
      <c r="F10616" s="480"/>
      <c r="G10616" s="221" t="s">
        <v>74</v>
      </c>
      <c r="H10616" s="145" t="str" cm="1">
        <f t="array" ref="H10616">IFERROR(INDEX(INVESTOR_LIST[INVESTOR NAME],MATCH(I10616,INVESTOR_LIST[INVESTOR CODE],0),)," ")</f>
        <v>REZAUR RAHMAN</v>
      </c>
      <c r="I10616" s="145" t="s">
        <v>1291</v>
      </c>
      <c r="J10616" s="163" t="s">
        <v>53</v>
      </c>
      <c r="K10616" s="219">
        <v>2324.89</v>
      </c>
      <c r="L10616" s="219"/>
    </row>
    <row r="10617" spans="1:17" ht="33.75" x14ac:dyDescent="0.2">
      <c r="A10617" s="168">
        <v>2024</v>
      </c>
      <c r="B10617" s="168">
        <v>2</v>
      </c>
      <c r="C10617" s="133">
        <v>22</v>
      </c>
      <c r="D10617" s="141">
        <f>DATE(A10617,B10617,C10617)</f>
        <v>45344</v>
      </c>
      <c r="E10617" s="275">
        <f>DATE(A10617,B10617,C10617)</f>
        <v>45344</v>
      </c>
      <c r="F10617" s="479" t="s">
        <v>1902</v>
      </c>
      <c r="G10617" s="220" t="s">
        <v>74</v>
      </c>
      <c r="H10617" s="142" t="str" cm="1">
        <f t="array" ref="H10617">IFERROR(INDEX(INVESTOR_LIST[INVESTOR NAME],MATCH(I10617,INVESTOR_LIST[INVESTOR CODE],0),)," ")</f>
        <v>MD. MARUF SIKDER</v>
      </c>
      <c r="I10617" s="142" t="s">
        <v>807</v>
      </c>
      <c r="J10617" s="168" t="s">
        <v>358</v>
      </c>
      <c r="K10617" s="226">
        <v>3076</v>
      </c>
      <c r="L10617" s="226"/>
    </row>
    <row r="10618" spans="1:17" x14ac:dyDescent="0.2">
      <c r="A10618" s="133">
        <v>2024</v>
      </c>
      <c r="B10618" s="133">
        <v>2</v>
      </c>
      <c r="C10618" s="133">
        <v>22</v>
      </c>
      <c r="D10618" s="141">
        <f t="shared" ref="D10618:D10620" si="1436">DATE(A10618,B10618,C10618)</f>
        <v>45344</v>
      </c>
      <c r="E10618" s="275">
        <f t="shared" ref="E10618:E10620" si="1437">DATE(A10618,B10618,C10618)</f>
        <v>45344</v>
      </c>
      <c r="F10618" s="481"/>
      <c r="G10618" s="174" t="s">
        <v>74</v>
      </c>
      <c r="I10618" s="148" t="s">
        <v>807</v>
      </c>
      <c r="J10618" s="133" t="s">
        <v>534</v>
      </c>
      <c r="K10618" s="218"/>
      <c r="L10618" s="218">
        <v>461.4</v>
      </c>
    </row>
    <row r="10619" spans="1:17" x14ac:dyDescent="0.2">
      <c r="A10619" s="133">
        <v>2024</v>
      </c>
      <c r="B10619" s="133">
        <v>2</v>
      </c>
      <c r="C10619" s="133">
        <v>22</v>
      </c>
      <c r="D10619" s="141">
        <f t="shared" ref="D10619" si="1438">DATE(A10619,B10619,C10619)</f>
        <v>45344</v>
      </c>
      <c r="E10619" s="275">
        <f t="shared" ref="E10619" si="1439">DATE(A10619,B10619,C10619)</f>
        <v>45344</v>
      </c>
      <c r="F10619" s="481"/>
      <c r="G10619" s="174" t="s">
        <v>74</v>
      </c>
      <c r="I10619" s="148" t="s">
        <v>807</v>
      </c>
      <c r="J10619" s="133" t="s">
        <v>52</v>
      </c>
      <c r="K10619" s="218"/>
      <c r="L10619" s="218">
        <v>2614.6</v>
      </c>
    </row>
    <row r="10620" spans="1:17" x14ac:dyDescent="0.2">
      <c r="A10620" s="133">
        <v>2024</v>
      </c>
      <c r="B10620" s="133">
        <v>2</v>
      </c>
      <c r="C10620" s="133">
        <v>22</v>
      </c>
      <c r="D10620" s="141">
        <f t="shared" si="1436"/>
        <v>45344</v>
      </c>
      <c r="E10620" s="275">
        <f t="shared" si="1437"/>
        <v>45344</v>
      </c>
      <c r="F10620" s="481"/>
      <c r="G10620" s="174" t="s">
        <v>74</v>
      </c>
      <c r="I10620" s="148" t="s">
        <v>807</v>
      </c>
      <c r="J10620" s="133" t="s">
        <v>52</v>
      </c>
      <c r="K10620" s="218"/>
      <c r="L10620" s="218">
        <v>37778.76</v>
      </c>
    </row>
    <row r="10621" spans="1:17" ht="33.75" x14ac:dyDescent="0.2">
      <c r="A10621" s="133">
        <v>2024</v>
      </c>
      <c r="B10621" s="133">
        <v>2</v>
      </c>
      <c r="C10621" s="133">
        <v>22</v>
      </c>
      <c r="D10621" s="141">
        <f>DATE(A10621,B10621,C10621)</f>
        <v>45344</v>
      </c>
      <c r="E10621" s="275">
        <f>DATE(A10621,B10621,C10621)</f>
        <v>45344</v>
      </c>
      <c r="F10621" s="481"/>
      <c r="G10621" s="174" t="s">
        <v>74</v>
      </c>
      <c r="H10621" s="148" t="str" cm="1">
        <f t="array" ref="H10621">IFERROR(INDEX(INVESTOR_LIST[INVESTOR NAME],MATCH(I10621,INVESTOR_LIST[INVESTOR CODE],0),)," ")</f>
        <v>MD. MARUF SIKDER</v>
      </c>
      <c r="I10621" s="148" t="s">
        <v>807</v>
      </c>
      <c r="J10621" s="133" t="s">
        <v>13</v>
      </c>
      <c r="K10621" s="218">
        <v>30600</v>
      </c>
      <c r="L10621" s="218"/>
    </row>
    <row r="10622" spans="1:17" ht="33.75" x14ac:dyDescent="0.2">
      <c r="A10622" s="163">
        <v>2024</v>
      </c>
      <c r="B10622" s="163">
        <v>2</v>
      </c>
      <c r="C10622" s="163">
        <v>22</v>
      </c>
      <c r="D10622" s="141">
        <f>DATE(A10622,B10622,C10622)</f>
        <v>45344</v>
      </c>
      <c r="E10622" s="275">
        <f>DATE(A10622,B10622,C10622)</f>
        <v>45344</v>
      </c>
      <c r="F10622" s="480"/>
      <c r="G10622" s="221" t="s">
        <v>74</v>
      </c>
      <c r="H10622" s="145" t="str" cm="1">
        <f t="array" ref="H10622">IFERROR(INDEX(INVESTOR_LIST[INVESTOR NAME],MATCH(I10622,INVESTOR_LIST[INVESTOR CODE],0),)," ")</f>
        <v>MD. MARUF SIKDER</v>
      </c>
      <c r="I10622" s="145" t="s">
        <v>807</v>
      </c>
      <c r="J10622" s="163" t="s">
        <v>53</v>
      </c>
      <c r="K10622" s="219">
        <v>7178.76</v>
      </c>
      <c r="L10622" s="219"/>
    </row>
    <row r="10623" spans="1:17" x14ac:dyDescent="0.2">
      <c r="A10623" s="343">
        <v>2024</v>
      </c>
      <c r="B10623" s="343">
        <v>2</v>
      </c>
      <c r="C10623" s="343">
        <v>22</v>
      </c>
      <c r="D10623" s="344">
        <f t="shared" si="1428"/>
        <v>45344</v>
      </c>
      <c r="E10623" s="345">
        <f t="shared" si="1429"/>
        <v>45344</v>
      </c>
      <c r="F10623" s="483" t="s">
        <v>1813</v>
      </c>
      <c r="G10623" s="350" t="s">
        <v>94</v>
      </c>
      <c r="H10623" s="350" t="str" cm="1">
        <f t="array" ref="H10623">IFERROR(INDEX(INVESTOR_LIST[INVESTOR NAME],MATCH(I10623,INVESTOR_LIST[INVESTOR CODE],0),)," ")</f>
        <v xml:space="preserve"> </v>
      </c>
      <c r="I10623" s="352" t="s">
        <v>348</v>
      </c>
      <c r="J10623" s="353" t="s">
        <v>1807</v>
      </c>
      <c r="K10623" s="354">
        <v>29401.5</v>
      </c>
      <c r="L10623" s="354"/>
    </row>
    <row r="10624" spans="1:17" x14ac:dyDescent="0.2">
      <c r="A10624" s="346">
        <v>2024</v>
      </c>
      <c r="B10624" s="346">
        <v>2</v>
      </c>
      <c r="C10624" s="346">
        <v>22</v>
      </c>
      <c r="D10624" s="344">
        <f t="shared" si="1428"/>
        <v>45344</v>
      </c>
      <c r="E10624" s="345">
        <f t="shared" si="1429"/>
        <v>45344</v>
      </c>
      <c r="F10624" s="484"/>
      <c r="G10624" s="347" t="s">
        <v>94</v>
      </c>
      <c r="H10624" s="347" t="str" cm="1">
        <f t="array" ref="H10624">IFERROR(INDEX(INVESTOR_LIST[INVESTOR NAME],MATCH(I10624,INVESTOR_LIST[INVESTOR CODE],0),)," ")</f>
        <v xml:space="preserve"> </v>
      </c>
      <c r="I10624" s="348" t="s">
        <v>348</v>
      </c>
      <c r="J10624" s="355" t="s">
        <v>1798</v>
      </c>
      <c r="K10624" s="349"/>
      <c r="L10624" s="349">
        <v>29401.5</v>
      </c>
    </row>
    <row r="10625" spans="1:13" x14ac:dyDescent="0.2">
      <c r="A10625" s="238">
        <v>2024</v>
      </c>
      <c r="B10625" s="238">
        <v>2</v>
      </c>
      <c r="C10625" s="238">
        <v>22</v>
      </c>
      <c r="D10625" s="270">
        <f t="shared" si="1428"/>
        <v>45344</v>
      </c>
      <c r="E10625" s="279">
        <f t="shared" si="1429"/>
        <v>45344</v>
      </c>
      <c r="F10625" s="477" t="s">
        <v>347</v>
      </c>
      <c r="G10625" s="239" t="s">
        <v>94</v>
      </c>
      <c r="H10625" s="239" t="str" cm="1">
        <f t="array" ref="H10625">IFERROR(INDEX(INVESTOR_LIST[INVESTOR NAME],MATCH(I10625,INVESTOR_LIST[INVESTOR CODE],0),)," ")</f>
        <v xml:space="preserve"> </v>
      </c>
      <c r="I10625" s="262" t="s">
        <v>348</v>
      </c>
      <c r="J10625" s="240" t="s">
        <v>108</v>
      </c>
      <c r="K10625" s="241">
        <v>89826.75</v>
      </c>
      <c r="L10625" s="241"/>
    </row>
    <row r="10626" spans="1:13" x14ac:dyDescent="0.2">
      <c r="A10626" s="242">
        <v>2024</v>
      </c>
      <c r="B10626" s="242">
        <v>2</v>
      </c>
      <c r="C10626" s="242">
        <v>22</v>
      </c>
      <c r="D10626" s="270">
        <f t="shared" si="1428"/>
        <v>45344</v>
      </c>
      <c r="E10626" s="279">
        <f t="shared" si="1429"/>
        <v>45344</v>
      </c>
      <c r="F10626" s="478"/>
      <c r="G10626" s="243" t="s">
        <v>94</v>
      </c>
      <c r="H10626" s="243" t="str" cm="1">
        <f t="array" ref="H10626">IFERROR(INDEX(INVESTOR_LIST[INVESTOR NAME],MATCH(I10626,INVESTOR_LIST[INVESTOR CODE],0),)," ")</f>
        <v xml:space="preserve"> </v>
      </c>
      <c r="I10626" s="263" t="s">
        <v>348</v>
      </c>
      <c r="J10626" s="244" t="s">
        <v>82</v>
      </c>
      <c r="K10626" s="245"/>
      <c r="L10626" s="245">
        <v>89826.75</v>
      </c>
    </row>
    <row r="10627" spans="1:13" ht="22.5" x14ac:dyDescent="0.2">
      <c r="A10627" s="246">
        <v>2024</v>
      </c>
      <c r="B10627" s="238">
        <v>2</v>
      </c>
      <c r="C10627" s="238">
        <v>22</v>
      </c>
      <c r="D10627" s="270">
        <f t="shared" si="1428"/>
        <v>45344</v>
      </c>
      <c r="E10627" s="279">
        <f t="shared" si="1429"/>
        <v>45344</v>
      </c>
      <c r="F10627" s="482" t="s">
        <v>148</v>
      </c>
      <c r="G10627" s="247" t="s">
        <v>94</v>
      </c>
      <c r="H10627" s="247" t="str" cm="1">
        <f t="array" ref="H10627">IFERROR(INDEX(INVESTOR_LIST[INVESTOR NAME],MATCH(I10627,INVESTOR_LIST[INVESTOR CODE],0),)," ")</f>
        <v xml:space="preserve"> </v>
      </c>
      <c r="I10627" s="248" t="s">
        <v>348</v>
      </c>
      <c r="J10627" s="249" t="s">
        <v>95</v>
      </c>
      <c r="K10627" s="250">
        <v>2747.2527472527472</v>
      </c>
      <c r="L10627" s="241"/>
    </row>
    <row r="10628" spans="1:13" x14ac:dyDescent="0.2">
      <c r="A10628" s="242">
        <v>2024</v>
      </c>
      <c r="B10628" s="242">
        <v>2</v>
      </c>
      <c r="C10628" s="242">
        <v>22</v>
      </c>
      <c r="D10628" s="270">
        <f t="shared" si="1428"/>
        <v>45344</v>
      </c>
      <c r="E10628" s="279">
        <f t="shared" si="1429"/>
        <v>45344</v>
      </c>
      <c r="F10628" s="478"/>
      <c r="G10628" s="243" t="s">
        <v>94</v>
      </c>
      <c r="H10628" s="243" t="str" cm="1">
        <f t="array" ref="H10628">IFERROR(INDEX(INVESTOR_LIST[INVESTOR NAME],MATCH(I10628,INVESTOR_LIST[INVESTOR CODE],0),)," ")</f>
        <v xml:space="preserve"> </v>
      </c>
      <c r="I10628" s="263" t="s">
        <v>348</v>
      </c>
      <c r="J10628" s="244" t="s">
        <v>63</v>
      </c>
      <c r="K10628" s="245"/>
      <c r="L10628" s="245">
        <v>2747.2527472527472</v>
      </c>
    </row>
    <row r="10629" spans="1:13" x14ac:dyDescent="0.2">
      <c r="A10629" s="246">
        <v>2024</v>
      </c>
      <c r="B10629" s="238">
        <v>2</v>
      </c>
      <c r="C10629" s="238">
        <v>22</v>
      </c>
      <c r="D10629" s="270">
        <f t="shared" si="1428"/>
        <v>45344</v>
      </c>
      <c r="E10629" s="279">
        <f t="shared" si="1429"/>
        <v>45344</v>
      </c>
      <c r="F10629" s="482" t="s">
        <v>137</v>
      </c>
      <c r="G10629" s="247" t="s">
        <v>94</v>
      </c>
      <c r="H10629" s="247" t="str" cm="1">
        <f t="array" ref="H10629">IFERROR(INDEX(INVESTOR_LIST[INVESTOR NAME],MATCH(I10629,INVESTOR_LIST[INVESTOR CODE],0),)," ")</f>
        <v xml:space="preserve"> </v>
      </c>
      <c r="I10629" s="248" t="s">
        <v>348</v>
      </c>
      <c r="J10629" s="249" t="s">
        <v>97</v>
      </c>
      <c r="K10629" s="250">
        <v>57433.344234192096</v>
      </c>
      <c r="L10629" s="252"/>
    </row>
    <row r="10630" spans="1:13" x14ac:dyDescent="0.2">
      <c r="A10630" s="242">
        <v>2024</v>
      </c>
      <c r="B10630" s="242">
        <v>2</v>
      </c>
      <c r="C10630" s="242">
        <v>22</v>
      </c>
      <c r="D10630" s="270">
        <f t="shared" si="1428"/>
        <v>45344</v>
      </c>
      <c r="E10630" s="279">
        <f t="shared" si="1429"/>
        <v>45344</v>
      </c>
      <c r="F10630" s="478"/>
      <c r="G10630" s="243" t="s">
        <v>94</v>
      </c>
      <c r="H10630" s="243" t="str" cm="1">
        <f t="array" ref="H10630">IFERROR(INDEX(INVESTOR_LIST[INVESTOR NAME],MATCH(I10630,INVESTOR_LIST[INVESTOR CODE],0),)," ")</f>
        <v xml:space="preserve"> </v>
      </c>
      <c r="I10630" s="263" t="s">
        <v>348</v>
      </c>
      <c r="J10630" s="244" t="s">
        <v>47</v>
      </c>
      <c r="K10630" s="245"/>
      <c r="L10630" s="245">
        <v>57433.344234192096</v>
      </c>
    </row>
    <row r="10631" spans="1:13" x14ac:dyDescent="0.2">
      <c r="A10631" s="246">
        <v>2024</v>
      </c>
      <c r="B10631" s="238">
        <v>2</v>
      </c>
      <c r="C10631" s="238">
        <v>22</v>
      </c>
      <c r="D10631" s="270">
        <f t="shared" si="1428"/>
        <v>45344</v>
      </c>
      <c r="E10631" s="279">
        <f t="shared" si="1429"/>
        <v>45344</v>
      </c>
      <c r="F10631" s="482" t="s">
        <v>138</v>
      </c>
      <c r="G10631" s="247" t="s">
        <v>94</v>
      </c>
      <c r="H10631" s="247" t="str" cm="1">
        <f t="array" ref="H10631">IFERROR(INDEX(INVESTOR_LIST[INVESTOR NAME],MATCH(I10631,INVESTOR_LIST[INVESTOR CODE],0),)," ")</f>
        <v xml:space="preserve"> </v>
      </c>
      <c r="I10631" s="248" t="s">
        <v>348</v>
      </c>
      <c r="J10631" s="249" t="s">
        <v>100</v>
      </c>
      <c r="K10631" s="250">
        <v>2631.2825963249898</v>
      </c>
      <c r="L10631" s="252"/>
    </row>
    <row r="10632" spans="1:13" x14ac:dyDescent="0.2">
      <c r="A10632" s="242">
        <v>2024</v>
      </c>
      <c r="B10632" s="242">
        <v>2</v>
      </c>
      <c r="C10632" s="242">
        <v>22</v>
      </c>
      <c r="D10632" s="321">
        <f t="shared" si="1428"/>
        <v>45344</v>
      </c>
      <c r="E10632" s="322">
        <f t="shared" si="1429"/>
        <v>45344</v>
      </c>
      <c r="F10632" s="478"/>
      <c r="G10632" s="243" t="s">
        <v>94</v>
      </c>
      <c r="H10632" s="243" t="str" cm="1">
        <f t="array" ref="H10632">IFERROR(INDEX(INVESTOR_LIST[INVESTOR NAME],MATCH(I10632,INVESTOR_LIST[INVESTOR CODE],0),)," ")</f>
        <v xml:space="preserve"> </v>
      </c>
      <c r="I10632" s="263" t="s">
        <v>348</v>
      </c>
      <c r="J10632" s="244" t="s">
        <v>48</v>
      </c>
      <c r="K10632" s="245"/>
      <c r="L10632" s="245">
        <v>2631.2825963249898</v>
      </c>
    </row>
    <row r="10633" spans="1:13" x14ac:dyDescent="0.2">
      <c r="A10633" s="168">
        <v>2024</v>
      </c>
      <c r="B10633" s="168">
        <v>2</v>
      </c>
      <c r="C10633" s="168">
        <v>25</v>
      </c>
      <c r="D10633" s="141">
        <f t="shared" si="1428"/>
        <v>45347</v>
      </c>
      <c r="E10633" s="275">
        <f t="shared" si="1429"/>
        <v>45347</v>
      </c>
      <c r="F10633" s="479" t="s">
        <v>1898</v>
      </c>
      <c r="G10633" s="220" t="s">
        <v>74</v>
      </c>
      <c r="H10633" s="142" t="str" cm="1">
        <f t="array" ref="H10633">IFERROR(INDEX(INVESTOR_LIST[INVESTOR NAME],MATCH(I10633,INVESTOR_LIST[INVESTOR CODE],0),)," ")</f>
        <v xml:space="preserve"> </v>
      </c>
      <c r="I10633" s="142"/>
      <c r="J10633" s="168" t="s">
        <v>52</v>
      </c>
      <c r="K10633" s="226">
        <v>50000</v>
      </c>
      <c r="L10633" s="226"/>
    </row>
    <row r="10634" spans="1:13" x14ac:dyDescent="0.2">
      <c r="A10634" s="133">
        <v>2024</v>
      </c>
      <c r="B10634" s="133">
        <v>2</v>
      </c>
      <c r="C10634" s="133">
        <v>25</v>
      </c>
      <c r="D10634" s="141">
        <f t="shared" si="1428"/>
        <v>45347</v>
      </c>
      <c r="E10634" s="275">
        <f t="shared" si="1429"/>
        <v>45347</v>
      </c>
      <c r="F10634" s="481"/>
      <c r="G10634" s="174" t="s">
        <v>74</v>
      </c>
      <c r="H10634" s="148" t="str" cm="1">
        <f t="array" ref="H10634">IFERROR(INDEX(INVESTOR_LIST[INVESTOR NAME],MATCH(I10634,INVESTOR_LIST[INVESTOR CODE],0),)," ")</f>
        <v xml:space="preserve"> </v>
      </c>
      <c r="J10634" s="133" t="s">
        <v>13</v>
      </c>
      <c r="K10634" s="218"/>
      <c r="L10634" s="218">
        <v>40470</v>
      </c>
    </row>
    <row r="10635" spans="1:13" x14ac:dyDescent="0.2">
      <c r="A10635" s="163">
        <v>2024</v>
      </c>
      <c r="B10635" s="163">
        <v>2</v>
      </c>
      <c r="C10635" s="163">
        <v>25</v>
      </c>
      <c r="D10635" s="280">
        <f t="shared" si="1428"/>
        <v>45347</v>
      </c>
      <c r="E10635" s="281">
        <f t="shared" si="1429"/>
        <v>45347</v>
      </c>
      <c r="F10635" s="480"/>
      <c r="G10635" s="221" t="s">
        <v>74</v>
      </c>
      <c r="H10635" s="145" t="str" cm="1">
        <f t="array" ref="H10635">IFERROR(INDEX(INVESTOR_LIST[INVESTOR NAME],MATCH(I10635,INVESTOR_LIST[INVESTOR CODE],0),)," ")</f>
        <v xml:space="preserve"> </v>
      </c>
      <c r="I10635" s="145"/>
      <c r="J10635" s="163" t="s">
        <v>53</v>
      </c>
      <c r="K10635" s="219"/>
      <c r="L10635" s="219">
        <v>9530</v>
      </c>
    </row>
    <row r="10636" spans="1:13" x14ac:dyDescent="0.2">
      <c r="A10636" s="133">
        <v>2024</v>
      </c>
      <c r="B10636" s="133">
        <v>2</v>
      </c>
      <c r="C10636" s="168">
        <v>25</v>
      </c>
      <c r="D10636" s="141">
        <f>DATE(A10636,B10636,C10636)</f>
        <v>45347</v>
      </c>
      <c r="E10636" s="275">
        <f>DATE(A10636,B10636,C10636)</f>
        <v>45347</v>
      </c>
      <c r="F10636" s="479" t="s">
        <v>1768</v>
      </c>
      <c r="G10636" s="220" t="s">
        <v>74</v>
      </c>
      <c r="H10636" s="220" t="str" cm="1">
        <f t="array" ref="H10636">IFERROR(INDEX(INVESTOR_LIST[INVESTOR NAME],MATCH(I10636,INVESTOR_LIST[INVESTOR CODE],0),)," ")</f>
        <v xml:space="preserve"> </v>
      </c>
      <c r="I10636" s="142"/>
      <c r="J10636" s="143" t="s">
        <v>147</v>
      </c>
      <c r="K10636" s="226">
        <v>353635.4</v>
      </c>
      <c r="L10636" s="226"/>
    </row>
    <row r="10637" spans="1:13" x14ac:dyDescent="0.2">
      <c r="A10637" s="163">
        <v>2024</v>
      </c>
      <c r="B10637" s="163">
        <v>2</v>
      </c>
      <c r="C10637" s="163">
        <v>25</v>
      </c>
      <c r="D10637" s="280">
        <f>DATE(A10637,B10637,C10637)</f>
        <v>45347</v>
      </c>
      <c r="E10637" s="281">
        <f>DATE(A10637,B10637,C10637)</f>
        <v>45347</v>
      </c>
      <c r="F10637" s="480"/>
      <c r="G10637" s="221" t="s">
        <v>74</v>
      </c>
      <c r="H10637" s="221" t="str" cm="1">
        <f t="array" ref="H10637">IFERROR(INDEX(INVESTOR_LIST[INVESTOR NAME],MATCH(I10637,INVESTOR_LIST[INVESTOR CODE],0),)," ")</f>
        <v xml:space="preserve"> </v>
      </c>
      <c r="I10637" s="145" t="s">
        <v>348</v>
      </c>
      <c r="J10637" s="146" t="s">
        <v>52</v>
      </c>
      <c r="K10637" s="219"/>
      <c r="L10637" s="219">
        <v>353635.4</v>
      </c>
    </row>
    <row r="10638" spans="1:13" x14ac:dyDescent="0.2">
      <c r="A10638" s="133">
        <v>2024</v>
      </c>
      <c r="B10638" s="133">
        <v>2</v>
      </c>
      <c r="C10638" s="133">
        <v>25</v>
      </c>
      <c r="D10638" s="141">
        <f t="shared" si="1428"/>
        <v>45347</v>
      </c>
      <c r="E10638" s="275">
        <f t="shared" si="1429"/>
        <v>45347</v>
      </c>
      <c r="F10638" s="481" t="s">
        <v>1767</v>
      </c>
      <c r="G10638" s="174" t="s">
        <v>94</v>
      </c>
      <c r="H10638" s="174" t="str" cm="1">
        <f t="array" ref="H10638">IFERROR(INDEX(INVESTOR_LIST[INVESTOR NAME],MATCH(I10638,INVESTOR_LIST[INVESTOR CODE],0),)," ")</f>
        <v xml:space="preserve"> </v>
      </c>
      <c r="J10638" s="149" t="s">
        <v>79</v>
      </c>
      <c r="K10638" s="218">
        <v>428500</v>
      </c>
      <c r="L10638" s="218"/>
      <c r="M10638" s="160"/>
    </row>
    <row r="10639" spans="1:13" x14ac:dyDescent="0.2">
      <c r="A10639" s="133">
        <v>2024</v>
      </c>
      <c r="B10639" s="133">
        <v>2</v>
      </c>
      <c r="C10639" s="133">
        <v>25</v>
      </c>
      <c r="D10639" s="141">
        <f t="shared" si="1428"/>
        <v>45347</v>
      </c>
      <c r="E10639" s="275">
        <f t="shared" si="1429"/>
        <v>45347</v>
      </c>
      <c r="F10639" s="481"/>
      <c r="G10639" s="174" t="s">
        <v>94</v>
      </c>
      <c r="H10639" s="174"/>
      <c r="J10639" s="149" t="s">
        <v>80</v>
      </c>
      <c r="K10639" s="218">
        <v>6429.64</v>
      </c>
      <c r="L10639" s="133"/>
    </row>
    <row r="10640" spans="1:13" x14ac:dyDescent="0.2">
      <c r="A10640" s="133">
        <v>2024</v>
      </c>
      <c r="B10640" s="133">
        <v>2</v>
      </c>
      <c r="C10640" s="133">
        <v>25</v>
      </c>
      <c r="D10640" s="141">
        <f t="shared" si="1428"/>
        <v>45347</v>
      </c>
      <c r="E10640" s="275">
        <f t="shared" si="1429"/>
        <v>45347</v>
      </c>
      <c r="F10640" s="481"/>
      <c r="G10640" s="174" t="s">
        <v>94</v>
      </c>
      <c r="H10640" s="174"/>
      <c r="J10640" s="149" t="s">
        <v>190</v>
      </c>
      <c r="K10640" s="218">
        <v>2708590.37</v>
      </c>
      <c r="L10640" s="218"/>
    </row>
    <row r="10641" spans="1:17" x14ac:dyDescent="0.2">
      <c r="A10641" s="133">
        <v>2024</v>
      </c>
      <c r="B10641" s="133">
        <v>2</v>
      </c>
      <c r="C10641" s="133">
        <v>25</v>
      </c>
      <c r="D10641" s="141">
        <f t="shared" si="1428"/>
        <v>45347</v>
      </c>
      <c r="E10641" s="275">
        <f t="shared" si="1429"/>
        <v>45347</v>
      </c>
      <c r="F10641" s="481"/>
      <c r="G10641" s="174" t="s">
        <v>94</v>
      </c>
      <c r="H10641" s="174" t="str" cm="1">
        <f t="array" ref="H10641">IFERROR(INDEX(INVESTOR_LIST[INVESTOR NAME],MATCH(I10641,INVESTOR_LIST[INVESTOR CODE],0),)," ")</f>
        <v xml:space="preserve"> </v>
      </c>
      <c r="J10641" s="149" t="s">
        <v>191</v>
      </c>
      <c r="K10641" s="218">
        <v>1570.9</v>
      </c>
      <c r="L10641" s="218"/>
    </row>
    <row r="10642" spans="1:17" x14ac:dyDescent="0.2">
      <c r="A10642" s="163">
        <v>2024</v>
      </c>
      <c r="B10642" s="163">
        <v>2</v>
      </c>
      <c r="C10642" s="163">
        <v>25</v>
      </c>
      <c r="D10642" s="280">
        <f t="shared" si="1428"/>
        <v>45347</v>
      </c>
      <c r="E10642" s="281">
        <f t="shared" si="1429"/>
        <v>45347</v>
      </c>
      <c r="F10642" s="480"/>
      <c r="G10642" s="221" t="s">
        <v>94</v>
      </c>
      <c r="H10642" s="145" t="str" cm="1">
        <f t="array" ref="H10642">IFERROR(INDEX(INVESTOR_LIST[INVESTOR NAME],MATCH(I10642,INVESTOR_LIST[INVESTOR CODE],0),)," ")</f>
        <v xml:space="preserve"> </v>
      </c>
      <c r="I10642" s="145"/>
      <c r="J10642" s="163" t="s">
        <v>79</v>
      </c>
      <c r="K10642" s="219"/>
      <c r="L10642" s="219">
        <v>3145090.91</v>
      </c>
    </row>
    <row r="10643" spans="1:17" x14ac:dyDescent="0.2">
      <c r="A10643" s="133">
        <v>2024</v>
      </c>
      <c r="B10643" s="133">
        <v>2</v>
      </c>
      <c r="C10643" s="133">
        <v>27</v>
      </c>
      <c r="D10643" s="141">
        <f t="shared" si="1428"/>
        <v>45349</v>
      </c>
      <c r="E10643" s="275">
        <f t="shared" si="1429"/>
        <v>45349</v>
      </c>
      <c r="F10643" s="481" t="s">
        <v>1753</v>
      </c>
      <c r="G10643" s="174" t="s">
        <v>94</v>
      </c>
      <c r="H10643" s="174" t="str" cm="1">
        <f t="array" ref="H10643">IFERROR(INDEX(INVESTOR_LIST[INVESTOR NAME],MATCH(I10643,INVESTOR_LIST[INVESTOR CODE],0),)," ")</f>
        <v xml:space="preserve"> </v>
      </c>
      <c r="J10643" s="149" t="s">
        <v>190</v>
      </c>
      <c r="K10643" s="218">
        <v>529245.64</v>
      </c>
      <c r="L10643" s="218"/>
      <c r="M10643" s="160"/>
    </row>
    <row r="10644" spans="1:17" x14ac:dyDescent="0.2">
      <c r="A10644" s="133">
        <v>2024</v>
      </c>
      <c r="B10644" s="133">
        <v>2</v>
      </c>
      <c r="C10644" s="133">
        <v>27</v>
      </c>
      <c r="D10644" s="141">
        <f t="shared" si="1428"/>
        <v>45349</v>
      </c>
      <c r="E10644" s="275">
        <f t="shared" si="1429"/>
        <v>45349</v>
      </c>
      <c r="F10644" s="481"/>
      <c r="G10644" s="174" t="s">
        <v>94</v>
      </c>
      <c r="H10644" s="174"/>
      <c r="J10644" s="149" t="s">
        <v>80</v>
      </c>
      <c r="K10644" s="218">
        <v>954.36</v>
      </c>
      <c r="L10644" s="218"/>
      <c r="N10644" s="264"/>
    </row>
    <row r="10645" spans="1:17" x14ac:dyDescent="0.2">
      <c r="A10645" s="133">
        <v>2024</v>
      </c>
      <c r="B10645" s="133">
        <v>2</v>
      </c>
      <c r="C10645" s="133">
        <v>27</v>
      </c>
      <c r="D10645" s="141">
        <f t="shared" si="1428"/>
        <v>45349</v>
      </c>
      <c r="E10645" s="275">
        <f t="shared" si="1429"/>
        <v>45349</v>
      </c>
      <c r="F10645" s="481"/>
      <c r="G10645" s="174" t="s">
        <v>94</v>
      </c>
      <c r="H10645" s="174" t="str" cm="1">
        <f t="array" ref="H10645">IFERROR(INDEX(INVESTOR_LIST[INVESTOR NAME],MATCH(I10645,INVESTOR_LIST[INVESTOR CODE],0),)," ")</f>
        <v xml:space="preserve"> </v>
      </c>
      <c r="J10645" s="149" t="s">
        <v>191</v>
      </c>
      <c r="K10645" s="218"/>
      <c r="L10645" s="218">
        <v>6018.18</v>
      </c>
      <c r="N10645" s="264"/>
    </row>
    <row r="10646" spans="1:17" x14ac:dyDescent="0.2">
      <c r="A10646" s="163">
        <v>2024</v>
      </c>
      <c r="B10646" s="163">
        <v>2</v>
      </c>
      <c r="C10646" s="163">
        <v>27</v>
      </c>
      <c r="D10646" s="280">
        <f t="shared" si="1428"/>
        <v>45349</v>
      </c>
      <c r="E10646" s="281">
        <f t="shared" si="1429"/>
        <v>45349</v>
      </c>
      <c r="F10646" s="480"/>
      <c r="G10646" s="221" t="s">
        <v>94</v>
      </c>
      <c r="H10646" s="145" t="str" cm="1">
        <f t="array" ref="H10646">IFERROR(INDEX(INVESTOR_LIST[INVESTOR NAME],MATCH(I10646,INVESTOR_LIST[INVESTOR CODE],0),)," ")</f>
        <v xml:space="preserve"> </v>
      </c>
      <c r="I10646" s="145"/>
      <c r="J10646" s="163" t="s">
        <v>79</v>
      </c>
      <c r="K10646" s="219"/>
      <c r="L10646" s="219">
        <v>524181.82</v>
      </c>
      <c r="N10646" s="264"/>
    </row>
    <row r="10647" spans="1:17" x14ac:dyDescent="0.2">
      <c r="A10647" s="133">
        <v>2024</v>
      </c>
      <c r="B10647" s="133">
        <v>2</v>
      </c>
      <c r="C10647" s="133">
        <v>27</v>
      </c>
      <c r="D10647" s="141">
        <f t="shared" si="1428"/>
        <v>45349</v>
      </c>
      <c r="E10647" s="275">
        <f t="shared" si="1429"/>
        <v>45349</v>
      </c>
      <c r="F10647" s="481" t="s">
        <v>1895</v>
      </c>
      <c r="G10647" s="174" t="s">
        <v>74</v>
      </c>
      <c r="H10647" s="174" t="str" cm="1">
        <f t="array" ref="H10647">IFERROR(INDEX(INVESTOR_LIST[INVESTOR NAME],MATCH(I10647,INVESTOR_LIST[INVESTOR CODE],0),)," ")</f>
        <v xml:space="preserve"> </v>
      </c>
      <c r="I10647" s="148" t="s">
        <v>348</v>
      </c>
      <c r="J10647" s="149" t="s">
        <v>1764</v>
      </c>
      <c r="K10647" s="218">
        <v>4862480</v>
      </c>
      <c r="L10647" s="218"/>
      <c r="M10647" s="147"/>
      <c r="Q10647" s="133" t="s">
        <v>348</v>
      </c>
    </row>
    <row r="10648" spans="1:17" x14ac:dyDescent="0.2">
      <c r="A10648" s="163">
        <v>2024</v>
      </c>
      <c r="B10648" s="163">
        <v>2</v>
      </c>
      <c r="C10648" s="163">
        <v>27</v>
      </c>
      <c r="D10648" s="280">
        <f t="shared" si="1428"/>
        <v>45349</v>
      </c>
      <c r="E10648" s="281">
        <f t="shared" si="1429"/>
        <v>45349</v>
      </c>
      <c r="F10648" s="480"/>
      <c r="G10648" s="221" t="s">
        <v>74</v>
      </c>
      <c r="H10648" s="221" t="str" cm="1">
        <f t="array" ref="H10648">IFERROR(INDEX(INVESTOR_LIST[INVESTOR NAME],MATCH(I10648,INVESTOR_LIST[INVESTOR CODE],0),)," ")</f>
        <v xml:space="preserve"> </v>
      </c>
      <c r="I10648" s="145"/>
      <c r="J10648" s="146" t="s">
        <v>52</v>
      </c>
      <c r="K10648" s="219"/>
      <c r="L10648" s="219">
        <v>4862480</v>
      </c>
      <c r="M10648" s="147"/>
      <c r="Q10648" s="133" t="s">
        <v>348</v>
      </c>
    </row>
    <row r="10649" spans="1:17" ht="11.25" customHeight="1" x14ac:dyDescent="0.2">
      <c r="A10649" s="168">
        <v>2024</v>
      </c>
      <c r="B10649" s="168">
        <v>2</v>
      </c>
      <c r="C10649" s="133">
        <v>27</v>
      </c>
      <c r="D10649" s="141">
        <f>DATE(A10649,B10649,C10649)</f>
        <v>45349</v>
      </c>
      <c r="E10649" s="275">
        <f>DATE(A10649,B10649,C10649)</f>
        <v>45349</v>
      </c>
      <c r="F10649" s="479" t="s">
        <v>1894</v>
      </c>
      <c r="G10649" s="220" t="s">
        <v>74</v>
      </c>
      <c r="H10649" s="142" t="str" cm="1">
        <f t="array" ref="H10649">IFERROR(INDEX(INVESTOR_LIST[INVESTOR NAME],MATCH(I10649,INVESTOR_LIST[INVESTOR CODE],0),)," ")</f>
        <v>SHAHARIAR ALAM</v>
      </c>
      <c r="I10649" s="142" t="s">
        <v>635</v>
      </c>
      <c r="J10649" s="168" t="s">
        <v>358</v>
      </c>
      <c r="K10649" s="226">
        <v>4268.75</v>
      </c>
      <c r="L10649" s="226"/>
    </row>
    <row r="10650" spans="1:17" x14ac:dyDescent="0.2">
      <c r="A10650" s="133">
        <v>2024</v>
      </c>
      <c r="B10650" s="133">
        <v>2</v>
      </c>
      <c r="C10650" s="133">
        <v>27</v>
      </c>
      <c r="D10650" s="141">
        <f t="shared" ref="D10650:D10652" si="1440">DATE(A10650,B10650,C10650)</f>
        <v>45349</v>
      </c>
      <c r="E10650" s="275">
        <f t="shared" ref="E10650:E10652" si="1441">DATE(A10650,B10650,C10650)</f>
        <v>45349</v>
      </c>
      <c r="F10650" s="481"/>
      <c r="G10650" s="174" t="s">
        <v>74</v>
      </c>
      <c r="I10650" s="148" t="s">
        <v>635</v>
      </c>
      <c r="J10650" s="133" t="s">
        <v>534</v>
      </c>
      <c r="K10650" s="218"/>
      <c r="L10650" s="218">
        <v>426.88</v>
      </c>
    </row>
    <row r="10651" spans="1:17" x14ac:dyDescent="0.2">
      <c r="A10651" s="133">
        <v>2024</v>
      </c>
      <c r="B10651" s="133">
        <v>2</v>
      </c>
      <c r="C10651" s="133">
        <v>27</v>
      </c>
      <c r="D10651" s="141">
        <f t="shared" si="1440"/>
        <v>45349</v>
      </c>
      <c r="E10651" s="275">
        <f t="shared" si="1441"/>
        <v>45349</v>
      </c>
      <c r="F10651" s="481"/>
      <c r="G10651" s="174" t="s">
        <v>74</v>
      </c>
      <c r="I10651" s="148" t="s">
        <v>635</v>
      </c>
      <c r="J10651" s="133" t="s">
        <v>52</v>
      </c>
      <c r="K10651" s="218"/>
      <c r="L10651" s="218">
        <v>3841.87</v>
      </c>
    </row>
    <row r="10652" spans="1:17" x14ac:dyDescent="0.2">
      <c r="A10652" s="133">
        <v>2024</v>
      </c>
      <c r="B10652" s="133">
        <v>2</v>
      </c>
      <c r="C10652" s="133">
        <v>27</v>
      </c>
      <c r="D10652" s="141">
        <f t="shared" si="1440"/>
        <v>45349</v>
      </c>
      <c r="E10652" s="275">
        <f t="shared" si="1441"/>
        <v>45349</v>
      </c>
      <c r="F10652" s="481"/>
      <c r="G10652" s="174" t="s">
        <v>74</v>
      </c>
      <c r="I10652" s="148" t="s">
        <v>635</v>
      </c>
      <c r="J10652" s="133" t="s">
        <v>52</v>
      </c>
      <c r="K10652" s="218"/>
      <c r="L10652" s="218">
        <v>210978.7</v>
      </c>
    </row>
    <row r="10653" spans="1:17" ht="22.5" x14ac:dyDescent="0.2">
      <c r="A10653" s="133">
        <v>2024</v>
      </c>
      <c r="B10653" s="133">
        <v>2</v>
      </c>
      <c r="C10653" s="133">
        <v>27</v>
      </c>
      <c r="D10653" s="141">
        <f>DATE(A10653,B10653,C10653)</f>
        <v>45349</v>
      </c>
      <c r="E10653" s="275">
        <f>DATE(A10653,B10653,C10653)</f>
        <v>45349</v>
      </c>
      <c r="F10653" s="481"/>
      <c r="G10653" s="174" t="s">
        <v>74</v>
      </c>
      <c r="H10653" s="148" t="str" cm="1">
        <f t="array" ref="H10653">IFERROR(INDEX(INVESTOR_LIST[INVESTOR NAME],MATCH(I10653,INVESTOR_LIST[INVESTOR CODE],0),)," ")</f>
        <v>SHAHARIAR ALAM</v>
      </c>
      <c r="I10653" s="148" t="s">
        <v>635</v>
      </c>
      <c r="J10653" s="133" t="s">
        <v>13</v>
      </c>
      <c r="K10653" s="218">
        <v>170750</v>
      </c>
      <c r="L10653" s="218"/>
    </row>
    <row r="10654" spans="1:17" ht="22.5" x14ac:dyDescent="0.2">
      <c r="A10654" s="163">
        <v>2024</v>
      </c>
      <c r="B10654" s="163">
        <v>2</v>
      </c>
      <c r="C10654" s="163">
        <v>27</v>
      </c>
      <c r="D10654" s="141">
        <f>DATE(A10654,B10654,C10654)</f>
        <v>45349</v>
      </c>
      <c r="E10654" s="275">
        <f>DATE(A10654,B10654,C10654)</f>
        <v>45349</v>
      </c>
      <c r="F10654" s="480"/>
      <c r="G10654" s="221" t="s">
        <v>74</v>
      </c>
      <c r="H10654" s="145" t="str" cm="1">
        <f t="array" ref="H10654">IFERROR(INDEX(INVESTOR_LIST[INVESTOR NAME],MATCH(I10654,INVESTOR_LIST[INVESTOR CODE],0),)," ")</f>
        <v>SHAHARIAR ALAM</v>
      </c>
      <c r="I10654" s="145" t="s">
        <v>635</v>
      </c>
      <c r="J10654" s="163" t="s">
        <v>53</v>
      </c>
      <c r="K10654" s="219">
        <v>40228.700000000012</v>
      </c>
      <c r="L10654" s="219"/>
    </row>
    <row r="10655" spans="1:17" x14ac:dyDescent="0.2">
      <c r="A10655" s="168">
        <v>2024</v>
      </c>
      <c r="B10655" s="168">
        <v>2</v>
      </c>
      <c r="C10655" s="168">
        <v>27</v>
      </c>
      <c r="D10655" s="141">
        <f t="shared" ref="D10655:D10657" si="1442">DATE(A10655,B10655,C10655)</f>
        <v>45349</v>
      </c>
      <c r="E10655" s="275">
        <f t="shared" ref="E10655:E10657" si="1443">DATE(A10655,B10655,C10655)</f>
        <v>45349</v>
      </c>
      <c r="F10655" s="479" t="s">
        <v>1319</v>
      </c>
      <c r="G10655" s="220" t="s">
        <v>74</v>
      </c>
      <c r="H10655" s="142" t="str" cm="1">
        <f t="array" ref="H10655">IFERROR(INDEX(INVESTOR_LIST[INVESTOR NAME],MATCH(I10655,INVESTOR_LIST[INVESTOR CODE],0),)," ")</f>
        <v xml:space="preserve"> </v>
      </c>
      <c r="I10655" s="142"/>
      <c r="J10655" s="168" t="s">
        <v>52</v>
      </c>
      <c r="K10655" s="226">
        <v>154000</v>
      </c>
      <c r="L10655" s="226"/>
    </row>
    <row r="10656" spans="1:17" x14ac:dyDescent="0.2">
      <c r="A10656" s="133">
        <v>2024</v>
      </c>
      <c r="B10656" s="133">
        <v>2</v>
      </c>
      <c r="C10656" s="133">
        <v>27</v>
      </c>
      <c r="D10656" s="141">
        <f t="shared" si="1442"/>
        <v>45349</v>
      </c>
      <c r="E10656" s="275">
        <f t="shared" si="1443"/>
        <v>45349</v>
      </c>
      <c r="F10656" s="481"/>
      <c r="G10656" s="174" t="s">
        <v>74</v>
      </c>
      <c r="H10656" s="148" t="str" cm="1">
        <f t="array" ref="H10656">IFERROR(INDEX(INVESTOR_LIST[INVESTOR NAME],MATCH(I10656,INVESTOR_LIST[INVESTOR CODE],0),)," ")</f>
        <v xml:space="preserve"> </v>
      </c>
      <c r="J10656" s="133" t="s">
        <v>13</v>
      </c>
      <c r="K10656" s="218"/>
      <c r="L10656" s="218">
        <v>124650</v>
      </c>
    </row>
    <row r="10657" spans="1:13" x14ac:dyDescent="0.2">
      <c r="A10657" s="163">
        <v>2024</v>
      </c>
      <c r="B10657" s="163">
        <v>2</v>
      </c>
      <c r="C10657" s="163">
        <v>27</v>
      </c>
      <c r="D10657" s="280">
        <f t="shared" si="1442"/>
        <v>45349</v>
      </c>
      <c r="E10657" s="281">
        <f t="shared" si="1443"/>
        <v>45349</v>
      </c>
      <c r="F10657" s="480"/>
      <c r="G10657" s="221" t="s">
        <v>74</v>
      </c>
      <c r="H10657" s="145" t="str" cm="1">
        <f t="array" ref="H10657">IFERROR(INDEX(INVESTOR_LIST[INVESTOR NAME],MATCH(I10657,INVESTOR_LIST[INVESTOR CODE],0),)," ")</f>
        <v xml:space="preserve"> </v>
      </c>
      <c r="I10657" s="145"/>
      <c r="J10657" s="163" t="s">
        <v>53</v>
      </c>
      <c r="K10657" s="219"/>
      <c r="L10657" s="219">
        <v>29350</v>
      </c>
    </row>
    <row r="10658" spans="1:13" x14ac:dyDescent="0.2">
      <c r="A10658" s="168">
        <v>2024</v>
      </c>
      <c r="B10658" s="133">
        <v>2</v>
      </c>
      <c r="C10658" s="133">
        <v>28</v>
      </c>
      <c r="D10658" s="141">
        <f t="shared" si="1428"/>
        <v>45350</v>
      </c>
      <c r="E10658" s="275">
        <f t="shared" si="1429"/>
        <v>45350</v>
      </c>
      <c r="F10658" s="479" t="s">
        <v>1897</v>
      </c>
      <c r="G10658" s="220" t="s">
        <v>74</v>
      </c>
      <c r="H10658" s="220" t="str" cm="1">
        <f t="array" ref="H10658">IFERROR(INDEX(INVESTOR_LIST[INVESTOR NAME],MATCH(I10658,INVESTOR_LIST[INVESTOR CODE],0),)," ")</f>
        <v xml:space="preserve"> </v>
      </c>
      <c r="I10658" s="142" t="s">
        <v>348</v>
      </c>
      <c r="J10658" s="143" t="s">
        <v>79</v>
      </c>
      <c r="K10658" s="226">
        <v>35040</v>
      </c>
      <c r="L10658" s="226"/>
    </row>
    <row r="10659" spans="1:13" x14ac:dyDescent="0.2">
      <c r="A10659" s="133">
        <v>2024</v>
      </c>
      <c r="B10659" s="133">
        <v>2</v>
      </c>
      <c r="C10659" s="133">
        <v>28</v>
      </c>
      <c r="D10659" s="141">
        <f t="shared" si="1428"/>
        <v>45350</v>
      </c>
      <c r="E10659" s="275">
        <f t="shared" si="1429"/>
        <v>45350</v>
      </c>
      <c r="F10659" s="481"/>
      <c r="G10659" s="174" t="s">
        <v>74</v>
      </c>
      <c r="H10659" s="174"/>
      <c r="J10659" s="149" t="s">
        <v>52</v>
      </c>
      <c r="K10659" s="218">
        <v>2364960</v>
      </c>
      <c r="L10659" s="218"/>
    </row>
    <row r="10660" spans="1:13" x14ac:dyDescent="0.2">
      <c r="A10660" s="163">
        <v>2024</v>
      </c>
      <c r="B10660" s="163">
        <v>2</v>
      </c>
      <c r="C10660" s="163">
        <v>28</v>
      </c>
      <c r="D10660" s="280">
        <f t="shared" si="1428"/>
        <v>45350</v>
      </c>
      <c r="E10660" s="281">
        <f t="shared" si="1429"/>
        <v>45350</v>
      </c>
      <c r="F10660" s="480"/>
      <c r="G10660" s="221" t="s">
        <v>74</v>
      </c>
      <c r="H10660" s="221" t="str" cm="1">
        <f t="array" ref="H10660">IFERROR(INDEX(INVESTOR_LIST[INVESTOR NAME],MATCH(I10660,INVESTOR_LIST[INVESTOR CODE],0),)," ")</f>
        <v xml:space="preserve"> </v>
      </c>
      <c r="I10660" s="145" t="s">
        <v>348</v>
      </c>
      <c r="J10660" s="146" t="s">
        <v>184</v>
      </c>
      <c r="K10660" s="219"/>
      <c r="L10660" s="219">
        <v>2400000</v>
      </c>
    </row>
    <row r="10661" spans="1:13" ht="12" customHeight="1" x14ac:dyDescent="0.2">
      <c r="A10661" s="168">
        <v>2024</v>
      </c>
      <c r="B10661" s="168">
        <v>2</v>
      </c>
      <c r="C10661" s="133">
        <v>28</v>
      </c>
      <c r="D10661" s="141">
        <f>DATE(A10661,B10661,C10661)</f>
        <v>45350</v>
      </c>
      <c r="E10661" s="275">
        <f>DATE(A10661,B10661,C10661)</f>
        <v>45350</v>
      </c>
      <c r="F10661" s="479" t="s">
        <v>1894</v>
      </c>
      <c r="G10661" s="220" t="s">
        <v>74</v>
      </c>
      <c r="H10661" s="142" t="str" cm="1">
        <f t="array" ref="H10661">IFERROR(INDEX(INVESTOR_LIST[INVESTOR NAME],MATCH(I10661,INVESTOR_LIST[INVESTOR CODE],0),)," ")</f>
        <v>MOHAMMAD MARUFUR RAHMAN SIKDER</v>
      </c>
      <c r="I10661" s="142" t="s">
        <v>529</v>
      </c>
      <c r="J10661" s="168" t="s">
        <v>358</v>
      </c>
      <c r="K10661" s="226">
        <v>5243</v>
      </c>
      <c r="L10661" s="226"/>
    </row>
    <row r="10662" spans="1:13" ht="12" customHeight="1" x14ac:dyDescent="0.2">
      <c r="A10662" s="133">
        <v>2024</v>
      </c>
      <c r="B10662" s="133">
        <v>2</v>
      </c>
      <c r="C10662" s="133">
        <v>28</v>
      </c>
      <c r="D10662" s="141">
        <f t="shared" ref="D10662:D10664" si="1444">DATE(A10662,B10662,C10662)</f>
        <v>45350</v>
      </c>
      <c r="E10662" s="275">
        <f t="shared" ref="E10662:E10664" si="1445">DATE(A10662,B10662,C10662)</f>
        <v>45350</v>
      </c>
      <c r="F10662" s="481"/>
      <c r="G10662" s="174" t="s">
        <v>74</v>
      </c>
      <c r="I10662" s="148" t="s">
        <v>529</v>
      </c>
      <c r="J10662" s="133" t="s">
        <v>534</v>
      </c>
      <c r="K10662" s="218"/>
      <c r="L10662" s="218">
        <v>524.29999999999995</v>
      </c>
    </row>
    <row r="10663" spans="1:13" ht="12" customHeight="1" x14ac:dyDescent="0.2">
      <c r="A10663" s="133">
        <v>2024</v>
      </c>
      <c r="B10663" s="133">
        <v>2</v>
      </c>
      <c r="C10663" s="133">
        <v>28</v>
      </c>
      <c r="D10663" s="141">
        <f t="shared" si="1444"/>
        <v>45350</v>
      </c>
      <c r="E10663" s="275">
        <f t="shared" si="1445"/>
        <v>45350</v>
      </c>
      <c r="F10663" s="481"/>
      <c r="G10663" s="174" t="s">
        <v>74</v>
      </c>
      <c r="I10663" s="148" t="s">
        <v>529</v>
      </c>
      <c r="J10663" s="133" t="s">
        <v>52</v>
      </c>
      <c r="K10663" s="218"/>
      <c r="L10663" s="218">
        <v>4718.7</v>
      </c>
    </row>
    <row r="10664" spans="1:13" ht="12" customHeight="1" x14ac:dyDescent="0.2">
      <c r="A10664" s="133">
        <v>2024</v>
      </c>
      <c r="B10664" s="133">
        <v>2</v>
      </c>
      <c r="C10664" s="133">
        <v>28</v>
      </c>
      <c r="D10664" s="141">
        <f t="shared" si="1444"/>
        <v>45350</v>
      </c>
      <c r="E10664" s="275">
        <f t="shared" si="1445"/>
        <v>45350</v>
      </c>
      <c r="F10664" s="481"/>
      <c r="G10664" s="174" t="s">
        <v>74</v>
      </c>
      <c r="I10664" s="148" t="s">
        <v>529</v>
      </c>
      <c r="J10664" s="133" t="s">
        <v>52</v>
      </c>
      <c r="K10664" s="218"/>
      <c r="L10664" s="218">
        <v>18731.7</v>
      </c>
    </row>
    <row r="10665" spans="1:13" ht="12" customHeight="1" x14ac:dyDescent="0.2">
      <c r="A10665" s="133">
        <v>2024</v>
      </c>
      <c r="B10665" s="133">
        <v>2</v>
      </c>
      <c r="C10665" s="133">
        <v>28</v>
      </c>
      <c r="D10665" s="141">
        <f>DATE(A10665,B10665,C10665)</f>
        <v>45350</v>
      </c>
      <c r="E10665" s="275">
        <f>DATE(A10665,B10665,C10665)</f>
        <v>45350</v>
      </c>
      <c r="F10665" s="481"/>
      <c r="G10665" s="174" t="s">
        <v>74</v>
      </c>
      <c r="H10665" s="148" t="str" cm="1">
        <f t="array" ref="H10665">IFERROR(INDEX(INVESTOR_LIST[INVESTOR NAME],MATCH(I10665,INVESTOR_LIST[INVESTOR CODE],0),)," ")</f>
        <v>MOHAMMAD MARUFUR RAHMAN SIKDER</v>
      </c>
      <c r="I10665" s="148" t="s">
        <v>529</v>
      </c>
      <c r="J10665" s="133" t="s">
        <v>13</v>
      </c>
      <c r="K10665" s="218">
        <v>15160</v>
      </c>
      <c r="L10665" s="218"/>
    </row>
    <row r="10666" spans="1:13" ht="12" customHeight="1" x14ac:dyDescent="0.2">
      <c r="A10666" s="163">
        <v>2024</v>
      </c>
      <c r="B10666" s="163">
        <v>2</v>
      </c>
      <c r="C10666" s="163">
        <v>28</v>
      </c>
      <c r="D10666" s="141">
        <f>DATE(A10666,B10666,C10666)</f>
        <v>45350</v>
      </c>
      <c r="E10666" s="275">
        <f>DATE(A10666,B10666,C10666)</f>
        <v>45350</v>
      </c>
      <c r="F10666" s="480"/>
      <c r="G10666" s="221" t="s">
        <v>74</v>
      </c>
      <c r="H10666" s="145" t="str" cm="1">
        <f t="array" ref="H10666">IFERROR(INDEX(INVESTOR_LIST[INVESTOR NAME],MATCH(I10666,INVESTOR_LIST[INVESTOR CODE],0),)," ")</f>
        <v>MOHAMMAD MARUFUR RAHMAN SIKDER</v>
      </c>
      <c r="I10666" s="145" t="s">
        <v>529</v>
      </c>
      <c r="J10666" s="163" t="s">
        <v>53</v>
      </c>
      <c r="K10666" s="219">
        <v>3571.7000000000007</v>
      </c>
      <c r="L10666" s="219"/>
    </row>
    <row r="10667" spans="1:13" ht="12" customHeight="1" x14ac:dyDescent="0.2">
      <c r="A10667" s="168">
        <v>2024</v>
      </c>
      <c r="B10667" s="168">
        <v>2</v>
      </c>
      <c r="C10667" s="133">
        <v>28</v>
      </c>
      <c r="D10667" s="141">
        <f>DATE(A10667,B10667,C10667)</f>
        <v>45350</v>
      </c>
      <c r="E10667" s="275">
        <f>DATE(A10667,B10667,C10667)</f>
        <v>45350</v>
      </c>
      <c r="F10667" s="479" t="s">
        <v>1894</v>
      </c>
      <c r="G10667" s="220" t="s">
        <v>74</v>
      </c>
      <c r="H10667" s="142" t="str" cm="1">
        <f t="array" ref="H10667">IFERROR(INDEX(INVESTOR_LIST[INVESTOR NAME],MATCH(I10667,INVESTOR_LIST[INVESTOR CODE],0),)," ")</f>
        <v>M A QUAYOOM</v>
      </c>
      <c r="I10667" s="142" t="s">
        <v>412</v>
      </c>
      <c r="J10667" s="168" t="s">
        <v>358</v>
      </c>
      <c r="K10667" s="226">
        <v>37295</v>
      </c>
      <c r="L10667" s="226"/>
    </row>
    <row r="10668" spans="1:13" ht="12" customHeight="1" x14ac:dyDescent="0.2">
      <c r="A10668" s="133">
        <v>2024</v>
      </c>
      <c r="B10668" s="133">
        <v>2</v>
      </c>
      <c r="C10668" s="133">
        <v>28</v>
      </c>
      <c r="D10668" s="141">
        <f t="shared" ref="D10668:D10669" si="1446">DATE(A10668,B10668,C10668)</f>
        <v>45350</v>
      </c>
      <c r="E10668" s="275">
        <f t="shared" ref="E10668:E10669" si="1447">DATE(A10668,B10668,C10668)</f>
        <v>45350</v>
      </c>
      <c r="F10668" s="481"/>
      <c r="G10668" s="174" t="s">
        <v>74</v>
      </c>
      <c r="H10668" s="148" t="str" cm="1">
        <f t="array" ref="H10668">IFERROR(INDEX(INVESTOR_LIST[INVESTOR NAME],MATCH(I10668,INVESTOR_LIST[INVESTOR CODE],0),)," ")</f>
        <v>M A QUAYOOM</v>
      </c>
      <c r="I10668" s="148" t="s">
        <v>412</v>
      </c>
      <c r="J10668" s="133" t="s">
        <v>534</v>
      </c>
      <c r="K10668" s="218"/>
      <c r="L10668" s="218">
        <v>3729.5</v>
      </c>
    </row>
    <row r="10669" spans="1:13" ht="12" customHeight="1" x14ac:dyDescent="0.2">
      <c r="A10669" s="133">
        <v>2024</v>
      </c>
      <c r="B10669" s="133">
        <v>2</v>
      </c>
      <c r="C10669" s="133">
        <v>28</v>
      </c>
      <c r="D10669" s="141">
        <f t="shared" si="1446"/>
        <v>45350</v>
      </c>
      <c r="E10669" s="275">
        <f t="shared" si="1447"/>
        <v>45350</v>
      </c>
      <c r="F10669" s="480"/>
      <c r="G10669" s="174" t="s">
        <v>74</v>
      </c>
      <c r="H10669" s="145" t="str" cm="1">
        <f t="array" ref="H10669">IFERROR(INDEX(INVESTOR_LIST[INVESTOR NAME],MATCH(I10669,INVESTOR_LIST[INVESTOR CODE],0),)," ")</f>
        <v>M A QUAYOOM</v>
      </c>
      <c r="I10669" s="148" t="s">
        <v>412</v>
      </c>
      <c r="J10669" s="133" t="s">
        <v>52</v>
      </c>
      <c r="K10669" s="218"/>
      <c r="L10669" s="218">
        <v>33565.5</v>
      </c>
    </row>
    <row r="10670" spans="1:13" x14ac:dyDescent="0.2">
      <c r="A10670" s="168">
        <v>2024</v>
      </c>
      <c r="B10670" s="168">
        <v>2</v>
      </c>
      <c r="C10670" s="168">
        <v>29</v>
      </c>
      <c r="D10670" s="280">
        <f t="shared" si="1428"/>
        <v>45351</v>
      </c>
      <c r="E10670" s="281">
        <f t="shared" si="1429"/>
        <v>45351</v>
      </c>
      <c r="F10670" s="479" t="s">
        <v>1822</v>
      </c>
      <c r="G10670" s="220" t="s">
        <v>74</v>
      </c>
      <c r="H10670" s="220" t="str" cm="1">
        <f t="array" ref="H10670">IFERROR(INDEX(INVESTOR_LIST[INVESTOR NAME],MATCH(I10670,INVESTOR_LIST[INVESTOR CODE],0),)," ")</f>
        <v xml:space="preserve"> </v>
      </c>
      <c r="I10670" s="142" t="s">
        <v>348</v>
      </c>
      <c r="J10670" s="143" t="s">
        <v>52</v>
      </c>
      <c r="K10670" s="226">
        <v>26775</v>
      </c>
      <c r="L10670" s="226"/>
      <c r="M10670" s="160"/>
    </row>
    <row r="10671" spans="1:13" x14ac:dyDescent="0.2">
      <c r="A10671" s="163">
        <v>2024</v>
      </c>
      <c r="B10671" s="163">
        <v>2</v>
      </c>
      <c r="C10671" s="163">
        <v>29</v>
      </c>
      <c r="D10671" s="144">
        <f t="shared" si="1428"/>
        <v>45351</v>
      </c>
      <c r="E10671" s="313">
        <f t="shared" si="1429"/>
        <v>45351</v>
      </c>
      <c r="F10671" s="480"/>
      <c r="G10671" s="221" t="s">
        <v>74</v>
      </c>
      <c r="H10671" s="221"/>
      <c r="I10671" s="145"/>
      <c r="J10671" s="146" t="s">
        <v>168</v>
      </c>
      <c r="K10671" s="219"/>
      <c r="L10671" s="219">
        <v>26775</v>
      </c>
    </row>
    <row r="10672" spans="1:13" x14ac:dyDescent="0.2">
      <c r="A10672" s="133">
        <v>2024</v>
      </c>
      <c r="B10672" s="133">
        <v>2</v>
      </c>
      <c r="C10672" s="133">
        <v>29</v>
      </c>
      <c r="D10672" s="141">
        <f t="shared" ref="D10672:D10677" si="1448">DATE(A10672,B10672,C10672)</f>
        <v>45351</v>
      </c>
      <c r="E10672" s="275">
        <f t="shared" ref="E10672:E10677" si="1449">DATE(A10672,B10672,C10672)</f>
        <v>45351</v>
      </c>
      <c r="F10672" s="481" t="s">
        <v>1753</v>
      </c>
      <c r="G10672" s="174" t="s">
        <v>94</v>
      </c>
      <c r="H10672" s="174" t="str" cm="1">
        <f t="array" ref="H10672">IFERROR(INDEX(INVESTOR_LIST[INVESTOR NAME],MATCH(I10672,INVESTOR_LIST[INVESTOR CODE],0),)," ")</f>
        <v xml:space="preserve"> </v>
      </c>
      <c r="J10672" s="149" t="s">
        <v>190</v>
      </c>
      <c r="K10672" s="218">
        <v>500488.5</v>
      </c>
      <c r="L10672" s="218"/>
      <c r="M10672" s="160"/>
    </row>
    <row r="10673" spans="1:14" x14ac:dyDescent="0.2">
      <c r="A10673" s="133">
        <v>2024</v>
      </c>
      <c r="B10673" s="133">
        <v>2</v>
      </c>
      <c r="C10673" s="133">
        <v>29</v>
      </c>
      <c r="D10673" s="141">
        <f t="shared" si="1448"/>
        <v>45351</v>
      </c>
      <c r="E10673" s="275">
        <f t="shared" si="1449"/>
        <v>45351</v>
      </c>
      <c r="F10673" s="481"/>
      <c r="G10673" s="174" t="s">
        <v>94</v>
      </c>
      <c r="H10673" s="174"/>
      <c r="J10673" s="149" t="s">
        <v>80</v>
      </c>
      <c r="K10673" s="218">
        <v>902.5</v>
      </c>
      <c r="L10673" s="218"/>
      <c r="N10673" s="264"/>
    </row>
    <row r="10674" spans="1:14" x14ac:dyDescent="0.2">
      <c r="A10674" s="133">
        <v>2024</v>
      </c>
      <c r="B10674" s="133">
        <v>2</v>
      </c>
      <c r="C10674" s="133">
        <v>29</v>
      </c>
      <c r="D10674" s="141">
        <f t="shared" si="1448"/>
        <v>45351</v>
      </c>
      <c r="E10674" s="275">
        <f t="shared" si="1449"/>
        <v>45351</v>
      </c>
      <c r="F10674" s="481"/>
      <c r="G10674" s="174" t="s">
        <v>94</v>
      </c>
      <c r="H10674" s="174" t="str" cm="1">
        <f t="array" ref="H10674">IFERROR(INDEX(INVESTOR_LIST[INVESTOR NAME],MATCH(I10674,INVESTOR_LIST[INVESTOR CODE],0),)," ")</f>
        <v xml:space="preserve"> </v>
      </c>
      <c r="J10674" s="149" t="s">
        <v>191</v>
      </c>
      <c r="K10674" s="218">
        <v>35547.18</v>
      </c>
      <c r="L10674" s="218"/>
      <c r="N10674" s="264"/>
    </row>
    <row r="10675" spans="1:14" x14ac:dyDescent="0.2">
      <c r="A10675" s="163">
        <v>2024</v>
      </c>
      <c r="B10675" s="163">
        <v>2</v>
      </c>
      <c r="C10675" s="163">
        <v>29</v>
      </c>
      <c r="D10675" s="280">
        <f t="shared" si="1448"/>
        <v>45351</v>
      </c>
      <c r="E10675" s="281">
        <f t="shared" si="1449"/>
        <v>45351</v>
      </c>
      <c r="F10675" s="480"/>
      <c r="G10675" s="221" t="s">
        <v>94</v>
      </c>
      <c r="H10675" s="145" t="str" cm="1">
        <f t="array" ref="H10675">IFERROR(INDEX(INVESTOR_LIST[INVESTOR NAME],MATCH(I10675,INVESTOR_LIST[INVESTOR CODE],0),)," ")</f>
        <v xml:space="preserve"> </v>
      </c>
      <c r="I10675" s="145"/>
      <c r="J10675" s="163" t="s">
        <v>79</v>
      </c>
      <c r="K10675" s="219"/>
      <c r="L10675" s="219">
        <v>536938.18000000005</v>
      </c>
      <c r="N10675" s="264"/>
    </row>
    <row r="10676" spans="1:14" x14ac:dyDescent="0.2">
      <c r="A10676" s="133">
        <v>2024</v>
      </c>
      <c r="B10676" s="168">
        <v>2</v>
      </c>
      <c r="C10676" s="168">
        <v>29</v>
      </c>
      <c r="D10676" s="141">
        <f t="shared" si="1448"/>
        <v>45351</v>
      </c>
      <c r="E10676" s="275">
        <f t="shared" si="1449"/>
        <v>45351</v>
      </c>
      <c r="F10676" s="481" t="s">
        <v>1900</v>
      </c>
      <c r="G10676" s="174" t="s">
        <v>94</v>
      </c>
      <c r="H10676" s="174" t="str" cm="1">
        <f t="array" ref="H10676">IFERROR(INDEX(INVESTOR_LIST[INVESTOR NAME],MATCH(I10676,INVESTOR_LIST[INVESTOR CODE],0),)," ")</f>
        <v xml:space="preserve"> </v>
      </c>
      <c r="I10676" s="148" t="s">
        <v>348</v>
      </c>
      <c r="J10676" s="149" t="s">
        <v>168</v>
      </c>
      <c r="K10676" s="218">
        <v>100000</v>
      </c>
      <c r="L10676" s="218"/>
    </row>
    <row r="10677" spans="1:14" x14ac:dyDescent="0.2">
      <c r="A10677" s="163">
        <v>2024</v>
      </c>
      <c r="B10677" s="163">
        <v>2</v>
      </c>
      <c r="C10677" s="163">
        <v>29</v>
      </c>
      <c r="D10677" s="141">
        <f t="shared" si="1448"/>
        <v>45351</v>
      </c>
      <c r="E10677" s="275">
        <f t="shared" si="1449"/>
        <v>45351</v>
      </c>
      <c r="F10677" s="480"/>
      <c r="G10677" s="221" t="s">
        <v>94</v>
      </c>
      <c r="H10677" s="221" t="str" cm="1">
        <f t="array" ref="H10677">IFERROR(INDEX(INVESTOR_LIST[INVESTOR NAME],MATCH(I10677,INVESTOR_LIST[INVESTOR CODE],0),)," ")</f>
        <v xml:space="preserve"> </v>
      </c>
      <c r="I10677" s="145" t="s">
        <v>348</v>
      </c>
      <c r="J10677" s="146" t="s">
        <v>166</v>
      </c>
      <c r="K10677" s="219"/>
      <c r="L10677" s="219">
        <v>100000</v>
      </c>
    </row>
    <row r="10678" spans="1:14" x14ac:dyDescent="0.2">
      <c r="A10678" s="343">
        <v>2024</v>
      </c>
      <c r="B10678" s="343">
        <v>2</v>
      </c>
      <c r="C10678" s="343">
        <v>29</v>
      </c>
      <c r="D10678" s="344">
        <f t="shared" ref="D10678:D10699" si="1450">DATE(A10678,B10678,C10678)</f>
        <v>45351</v>
      </c>
      <c r="E10678" s="345">
        <f t="shared" ref="E10678:E10699" si="1451">DATE(A10678,B10678,C10678)</f>
        <v>45351</v>
      </c>
      <c r="F10678" s="483" t="s">
        <v>1813</v>
      </c>
      <c r="G10678" s="350" t="s">
        <v>94</v>
      </c>
      <c r="H10678" s="350" t="str" cm="1">
        <f t="array" ref="H10678">IFERROR(INDEX(INVESTOR_LIST[INVESTOR NAME],MATCH(I10678,INVESTOR_LIST[INVESTOR CODE],0),)," ")</f>
        <v xml:space="preserve"> </v>
      </c>
      <c r="I10678" s="352" t="s">
        <v>348</v>
      </c>
      <c r="J10678" s="353" t="s">
        <v>1798</v>
      </c>
      <c r="K10678" s="354">
        <v>87469.69999999553</v>
      </c>
      <c r="L10678" s="354"/>
    </row>
    <row r="10679" spans="1:14" x14ac:dyDescent="0.2">
      <c r="A10679" s="346">
        <v>2024</v>
      </c>
      <c r="B10679" s="346">
        <v>2</v>
      </c>
      <c r="C10679" s="346">
        <v>29</v>
      </c>
      <c r="D10679" s="344">
        <f t="shared" si="1450"/>
        <v>45351</v>
      </c>
      <c r="E10679" s="345">
        <f t="shared" si="1451"/>
        <v>45351</v>
      </c>
      <c r="F10679" s="484"/>
      <c r="G10679" s="347" t="s">
        <v>94</v>
      </c>
      <c r="H10679" s="347" t="str" cm="1">
        <f t="array" ref="H10679">IFERROR(INDEX(INVESTOR_LIST[INVESTOR NAME],MATCH(I10679,INVESTOR_LIST[INVESTOR CODE],0),)," ")</f>
        <v xml:space="preserve"> </v>
      </c>
      <c r="I10679" s="348" t="s">
        <v>348</v>
      </c>
      <c r="J10679" s="355" t="s">
        <v>1807</v>
      </c>
      <c r="K10679" s="349"/>
      <c r="L10679" s="349">
        <v>87469.69999999553</v>
      </c>
    </row>
    <row r="10680" spans="1:14" x14ac:dyDescent="0.2">
      <c r="A10680" s="238">
        <v>2024</v>
      </c>
      <c r="B10680" s="238">
        <v>2</v>
      </c>
      <c r="C10680" s="238">
        <v>29</v>
      </c>
      <c r="D10680" s="270">
        <f t="shared" si="1450"/>
        <v>45351</v>
      </c>
      <c r="E10680" s="279">
        <f t="shared" si="1451"/>
        <v>45351</v>
      </c>
      <c r="F10680" s="477" t="s">
        <v>347</v>
      </c>
      <c r="G10680" s="239" t="s">
        <v>94</v>
      </c>
      <c r="H10680" s="239" t="str" cm="1">
        <f t="array" ref="H10680">IFERROR(INDEX(INVESTOR_LIST[INVESTOR NAME],MATCH(I10680,INVESTOR_LIST[INVESTOR CODE],0),)," ")</f>
        <v xml:space="preserve"> </v>
      </c>
      <c r="I10680" s="262" t="s">
        <v>348</v>
      </c>
      <c r="J10680" s="240" t="s">
        <v>82</v>
      </c>
      <c r="K10680" s="241">
        <v>713836.90000000596</v>
      </c>
      <c r="L10680" s="241"/>
    </row>
    <row r="10681" spans="1:14" x14ac:dyDescent="0.2">
      <c r="A10681" s="242">
        <v>2024</v>
      </c>
      <c r="B10681" s="242">
        <v>2</v>
      </c>
      <c r="C10681" s="242">
        <v>29</v>
      </c>
      <c r="D10681" s="270">
        <f t="shared" si="1450"/>
        <v>45351</v>
      </c>
      <c r="E10681" s="279">
        <f t="shared" si="1451"/>
        <v>45351</v>
      </c>
      <c r="F10681" s="478"/>
      <c r="G10681" s="243" t="s">
        <v>94</v>
      </c>
      <c r="H10681" s="243" t="str" cm="1">
        <f t="array" ref="H10681">IFERROR(INDEX(INVESTOR_LIST[INVESTOR NAME],MATCH(I10681,INVESTOR_LIST[INVESTOR CODE],0),)," ")</f>
        <v xml:space="preserve"> </v>
      </c>
      <c r="I10681" s="263" t="s">
        <v>348</v>
      </c>
      <c r="J10681" s="244" t="s">
        <v>108</v>
      </c>
      <c r="K10681" s="245"/>
      <c r="L10681" s="245">
        <v>713836.90000000596</v>
      </c>
    </row>
    <row r="10682" spans="1:14" ht="22.5" x14ac:dyDescent="0.2">
      <c r="A10682" s="246">
        <v>2024</v>
      </c>
      <c r="B10682" s="238">
        <v>2</v>
      </c>
      <c r="C10682" s="238">
        <v>29</v>
      </c>
      <c r="D10682" s="270">
        <f t="shared" si="1450"/>
        <v>45351</v>
      </c>
      <c r="E10682" s="279">
        <f t="shared" si="1451"/>
        <v>45351</v>
      </c>
      <c r="F10682" s="482" t="s">
        <v>148</v>
      </c>
      <c r="G10682" s="247" t="s">
        <v>94</v>
      </c>
      <c r="H10682" s="247" t="str" cm="1">
        <f t="array" ref="H10682">IFERROR(INDEX(INVESTOR_LIST[INVESTOR NAME],MATCH(I10682,INVESTOR_LIST[INVESTOR CODE],0),)," ")</f>
        <v xml:space="preserve"> </v>
      </c>
      <c r="I10682" s="248" t="s">
        <v>348</v>
      </c>
      <c r="J10682" s="249" t="s">
        <v>95</v>
      </c>
      <c r="K10682" s="250">
        <v>2747.2527472527472</v>
      </c>
      <c r="L10682" s="241"/>
    </row>
    <row r="10683" spans="1:14" x14ac:dyDescent="0.2">
      <c r="A10683" s="242">
        <v>2024</v>
      </c>
      <c r="B10683" s="242">
        <v>2</v>
      </c>
      <c r="C10683" s="242">
        <v>29</v>
      </c>
      <c r="D10683" s="270">
        <f t="shared" si="1450"/>
        <v>45351</v>
      </c>
      <c r="E10683" s="279">
        <f t="shared" si="1451"/>
        <v>45351</v>
      </c>
      <c r="F10683" s="478"/>
      <c r="G10683" s="243" t="s">
        <v>94</v>
      </c>
      <c r="H10683" s="243" t="str" cm="1">
        <f t="array" ref="H10683">IFERROR(INDEX(INVESTOR_LIST[INVESTOR NAME],MATCH(I10683,INVESTOR_LIST[INVESTOR CODE],0),)," ")</f>
        <v xml:space="preserve"> </v>
      </c>
      <c r="I10683" s="263" t="s">
        <v>348</v>
      </c>
      <c r="J10683" s="244" t="s">
        <v>63</v>
      </c>
      <c r="K10683" s="245"/>
      <c r="L10683" s="245">
        <v>2747.2527472527472</v>
      </c>
    </row>
    <row r="10684" spans="1:14" x14ac:dyDescent="0.2">
      <c r="A10684" s="246">
        <v>2024</v>
      </c>
      <c r="B10684" s="238">
        <v>2</v>
      </c>
      <c r="C10684" s="238">
        <v>29</v>
      </c>
      <c r="D10684" s="270">
        <f t="shared" si="1450"/>
        <v>45351</v>
      </c>
      <c r="E10684" s="279">
        <f t="shared" si="1451"/>
        <v>45351</v>
      </c>
      <c r="F10684" s="482" t="s">
        <v>137</v>
      </c>
      <c r="G10684" s="247" t="s">
        <v>94</v>
      </c>
      <c r="H10684" s="247" t="str" cm="1">
        <f t="array" ref="H10684">IFERROR(INDEX(INVESTOR_LIST[INVESTOR NAME],MATCH(I10684,INVESTOR_LIST[INVESTOR CODE],0),)," ")</f>
        <v xml:space="preserve"> </v>
      </c>
      <c r="I10684" s="248" t="s">
        <v>348</v>
      </c>
      <c r="J10684" s="249" t="s">
        <v>97</v>
      </c>
      <c r="K10684" s="250">
        <v>57158.073360220922</v>
      </c>
      <c r="L10684" s="252"/>
    </row>
    <row r="10685" spans="1:14" x14ac:dyDescent="0.2">
      <c r="A10685" s="242">
        <v>2024</v>
      </c>
      <c r="B10685" s="242">
        <v>2</v>
      </c>
      <c r="C10685" s="242">
        <v>29</v>
      </c>
      <c r="D10685" s="270">
        <f t="shared" si="1450"/>
        <v>45351</v>
      </c>
      <c r="E10685" s="279">
        <f t="shared" si="1451"/>
        <v>45351</v>
      </c>
      <c r="F10685" s="478"/>
      <c r="G10685" s="243" t="s">
        <v>94</v>
      </c>
      <c r="H10685" s="243" t="str" cm="1">
        <f t="array" ref="H10685">IFERROR(INDEX(INVESTOR_LIST[INVESTOR NAME],MATCH(I10685,INVESTOR_LIST[INVESTOR CODE],0),)," ")</f>
        <v xml:space="preserve"> </v>
      </c>
      <c r="I10685" s="263" t="s">
        <v>348</v>
      </c>
      <c r="J10685" s="244" t="s">
        <v>47</v>
      </c>
      <c r="K10685" s="245"/>
      <c r="L10685" s="245">
        <v>57158.073360220922</v>
      </c>
    </row>
    <row r="10686" spans="1:14" x14ac:dyDescent="0.2">
      <c r="A10686" s="246">
        <v>2024</v>
      </c>
      <c r="B10686" s="238">
        <v>2</v>
      </c>
      <c r="C10686" s="238">
        <v>29</v>
      </c>
      <c r="D10686" s="270">
        <f t="shared" si="1450"/>
        <v>45351</v>
      </c>
      <c r="E10686" s="279">
        <f t="shared" si="1451"/>
        <v>45351</v>
      </c>
      <c r="F10686" s="482" t="s">
        <v>138</v>
      </c>
      <c r="G10686" s="247" t="s">
        <v>94</v>
      </c>
      <c r="H10686" s="247" t="str" cm="1">
        <f t="array" ref="H10686">IFERROR(INDEX(INVESTOR_LIST[INVESTOR NAME],MATCH(I10686,INVESTOR_LIST[INVESTOR CODE],0),)," ")</f>
        <v xml:space="preserve"> </v>
      </c>
      <c r="I10686" s="248" t="s">
        <v>348</v>
      </c>
      <c r="J10686" s="249" t="s">
        <v>100</v>
      </c>
      <c r="K10686" s="250">
        <v>2617.5190526264309</v>
      </c>
      <c r="L10686" s="252"/>
    </row>
    <row r="10687" spans="1:14" x14ac:dyDescent="0.2">
      <c r="A10687" s="242">
        <v>2024</v>
      </c>
      <c r="B10687" s="242">
        <v>2</v>
      </c>
      <c r="C10687" s="242">
        <v>29</v>
      </c>
      <c r="D10687" s="321">
        <f t="shared" si="1450"/>
        <v>45351</v>
      </c>
      <c r="E10687" s="322">
        <f t="shared" si="1451"/>
        <v>45351</v>
      </c>
      <c r="F10687" s="478"/>
      <c r="G10687" s="243" t="s">
        <v>94</v>
      </c>
      <c r="H10687" s="243" t="str" cm="1">
        <f t="array" ref="H10687">IFERROR(INDEX(INVESTOR_LIST[INVESTOR NAME],MATCH(I10687,INVESTOR_LIST[INVESTOR CODE],0),)," ")</f>
        <v xml:space="preserve"> </v>
      </c>
      <c r="I10687" s="263" t="s">
        <v>348</v>
      </c>
      <c r="J10687" s="244" t="s">
        <v>48</v>
      </c>
      <c r="K10687" s="245"/>
      <c r="L10687" s="245">
        <v>2617.5190526264309</v>
      </c>
    </row>
    <row r="10688" spans="1:14" x14ac:dyDescent="0.2">
      <c r="A10688" s="133">
        <v>2024</v>
      </c>
      <c r="B10688" s="168">
        <v>3</v>
      </c>
      <c r="C10688" s="168">
        <v>3</v>
      </c>
      <c r="D10688" s="141">
        <f t="shared" si="1450"/>
        <v>45354</v>
      </c>
      <c r="E10688" s="275">
        <f t="shared" si="1451"/>
        <v>45354</v>
      </c>
      <c r="F10688" s="481" t="s">
        <v>1901</v>
      </c>
      <c r="G10688" s="174" t="s">
        <v>94</v>
      </c>
      <c r="H10688" s="174" t="str" cm="1">
        <f t="array" ref="H10688">IFERROR(INDEX(INVESTOR_LIST[INVESTOR NAME],MATCH(I10688,INVESTOR_LIST[INVESTOR CODE],0),)," ")</f>
        <v xml:space="preserve"> </v>
      </c>
      <c r="I10688" s="148" t="s">
        <v>348</v>
      </c>
      <c r="J10688" s="149" t="s">
        <v>168</v>
      </c>
      <c r="K10688" s="218">
        <v>424830</v>
      </c>
      <c r="L10688" s="218"/>
    </row>
    <row r="10689" spans="1:17" x14ac:dyDescent="0.2">
      <c r="A10689" s="163">
        <v>2024</v>
      </c>
      <c r="B10689" s="163">
        <v>3</v>
      </c>
      <c r="C10689" s="163">
        <v>3</v>
      </c>
      <c r="D10689" s="141">
        <f t="shared" si="1450"/>
        <v>45354</v>
      </c>
      <c r="E10689" s="275">
        <f t="shared" si="1451"/>
        <v>45354</v>
      </c>
      <c r="F10689" s="480"/>
      <c r="G10689" s="221" t="s">
        <v>94</v>
      </c>
      <c r="H10689" s="221" t="str" cm="1">
        <f t="array" ref="H10689">IFERROR(INDEX(INVESTOR_LIST[INVESTOR NAME],MATCH(I10689,INVESTOR_LIST[INVESTOR CODE],0),)," ")</f>
        <v xml:space="preserve"> </v>
      </c>
      <c r="I10689" s="145" t="s">
        <v>348</v>
      </c>
      <c r="J10689" s="146" t="s">
        <v>166</v>
      </c>
      <c r="K10689" s="219"/>
      <c r="L10689" s="219">
        <v>424830</v>
      </c>
    </row>
    <row r="10690" spans="1:17" x14ac:dyDescent="0.2">
      <c r="A10690" s="133">
        <v>2024</v>
      </c>
      <c r="B10690" s="133">
        <v>3</v>
      </c>
      <c r="C10690" s="133">
        <v>3</v>
      </c>
      <c r="D10690" s="141">
        <f t="shared" si="1450"/>
        <v>45354</v>
      </c>
      <c r="E10690" s="275">
        <f t="shared" si="1451"/>
        <v>45354</v>
      </c>
      <c r="F10690" s="481" t="s">
        <v>1753</v>
      </c>
      <c r="G10690" s="174" t="s">
        <v>94</v>
      </c>
      <c r="H10690" s="174" t="str" cm="1">
        <f t="array" ref="H10690">IFERROR(INDEX(INVESTOR_LIST[INVESTOR NAME],MATCH(I10690,INVESTOR_LIST[INVESTOR CODE],0),)," ")</f>
        <v xml:space="preserve"> </v>
      </c>
      <c r="J10690" s="149" t="s">
        <v>190</v>
      </c>
      <c r="K10690" s="218">
        <v>2089032.96</v>
      </c>
      <c r="L10690" s="218"/>
      <c r="M10690" s="160"/>
    </row>
    <row r="10691" spans="1:17" x14ac:dyDescent="0.2">
      <c r="A10691" s="133">
        <v>2024</v>
      </c>
      <c r="B10691" s="133">
        <v>3</v>
      </c>
      <c r="C10691" s="133">
        <v>3</v>
      </c>
      <c r="D10691" s="141">
        <f t="shared" si="1450"/>
        <v>45354</v>
      </c>
      <c r="E10691" s="275">
        <f t="shared" si="1451"/>
        <v>45354</v>
      </c>
      <c r="F10691" s="481"/>
      <c r="G10691" s="174" t="s">
        <v>94</v>
      </c>
      <c r="H10691" s="174"/>
      <c r="J10691" s="149" t="s">
        <v>80</v>
      </c>
      <c r="K10691" s="218">
        <v>3767.04</v>
      </c>
      <c r="L10691" s="218"/>
      <c r="N10691" s="264"/>
    </row>
    <row r="10692" spans="1:17" x14ac:dyDescent="0.2">
      <c r="A10692" s="133">
        <v>2024</v>
      </c>
      <c r="B10692" s="133">
        <v>3</v>
      </c>
      <c r="C10692" s="133">
        <v>3</v>
      </c>
      <c r="D10692" s="141">
        <f t="shared" si="1450"/>
        <v>45354</v>
      </c>
      <c r="E10692" s="275">
        <f t="shared" si="1451"/>
        <v>45354</v>
      </c>
      <c r="F10692" s="481"/>
      <c r="G10692" s="174" t="s">
        <v>94</v>
      </c>
      <c r="H10692" s="174" t="str" cm="1">
        <f t="array" ref="H10692">IFERROR(INDEX(INVESTOR_LIST[INVESTOR NAME],MATCH(I10692,INVESTOR_LIST[INVESTOR CODE],0),)," ")</f>
        <v xml:space="preserve"> </v>
      </c>
      <c r="J10692" s="149" t="s">
        <v>191</v>
      </c>
      <c r="K10692" s="218">
        <v>3927.27</v>
      </c>
      <c r="L10692" s="218"/>
      <c r="N10692" s="264"/>
    </row>
    <row r="10693" spans="1:17" x14ac:dyDescent="0.2">
      <c r="A10693" s="163">
        <v>2024</v>
      </c>
      <c r="B10693" s="163">
        <v>3</v>
      </c>
      <c r="C10693" s="163">
        <v>3</v>
      </c>
      <c r="D10693" s="280">
        <f t="shared" si="1450"/>
        <v>45354</v>
      </c>
      <c r="E10693" s="281">
        <f t="shared" si="1451"/>
        <v>45354</v>
      </c>
      <c r="F10693" s="480"/>
      <c r="G10693" s="221" t="s">
        <v>94</v>
      </c>
      <c r="H10693" s="145" t="str" cm="1">
        <f t="array" ref="H10693">IFERROR(INDEX(INVESTOR_LIST[INVESTOR NAME],MATCH(I10693,INVESTOR_LIST[INVESTOR CODE],0),)," ")</f>
        <v xml:space="preserve"> </v>
      </c>
      <c r="I10693" s="145"/>
      <c r="J10693" s="163" t="s">
        <v>79</v>
      </c>
      <c r="K10693" s="219"/>
      <c r="L10693" s="219">
        <v>2096727.27</v>
      </c>
      <c r="N10693" s="264"/>
    </row>
    <row r="10694" spans="1:17" x14ac:dyDescent="0.2">
      <c r="A10694" s="168">
        <v>2024</v>
      </c>
      <c r="B10694" s="168">
        <v>3</v>
      </c>
      <c r="C10694" s="168">
        <v>3</v>
      </c>
      <c r="D10694" s="141">
        <f t="shared" si="1450"/>
        <v>45354</v>
      </c>
      <c r="E10694" s="275">
        <f t="shared" si="1451"/>
        <v>45354</v>
      </c>
      <c r="F10694" s="479" t="s">
        <v>1757</v>
      </c>
      <c r="G10694" s="220" t="s">
        <v>74</v>
      </c>
      <c r="H10694" s="220" t="str" cm="1">
        <f t="array" ref="H10694">IFERROR(INDEX(INVESTOR_LIST[INVESTOR NAME],MATCH(I10694,INVESTOR_LIST[INVESTOR CODE],0),)," ")</f>
        <v xml:space="preserve"> </v>
      </c>
      <c r="I10694" s="142"/>
      <c r="J10694" s="143" t="s">
        <v>52</v>
      </c>
      <c r="K10694" s="226">
        <v>2708590.37</v>
      </c>
      <c r="L10694" s="226"/>
    </row>
    <row r="10695" spans="1:17" ht="10.5" customHeight="1" x14ac:dyDescent="0.2">
      <c r="A10695" s="163">
        <v>2024</v>
      </c>
      <c r="B10695" s="163">
        <v>3</v>
      </c>
      <c r="C10695" s="163">
        <v>3</v>
      </c>
      <c r="D10695" s="280">
        <f>DATE(A10695,B10695,C10695)</f>
        <v>45354</v>
      </c>
      <c r="E10695" s="281">
        <f>DATE(A10695,B10695,C10695)</f>
        <v>45354</v>
      </c>
      <c r="F10695" s="480"/>
      <c r="G10695" s="221" t="s">
        <v>74</v>
      </c>
      <c r="H10695" s="221" t="str" cm="1">
        <f t="array" ref="H10695">IFERROR(INDEX(INVESTOR_LIST[INVESTOR NAME],MATCH(I10695,INVESTOR_LIST[INVESTOR CODE],0),)," ")</f>
        <v xml:space="preserve"> </v>
      </c>
      <c r="I10695" s="145"/>
      <c r="J10695" s="146" t="s">
        <v>190</v>
      </c>
      <c r="K10695" s="219"/>
      <c r="L10695" s="219">
        <v>2708590.37</v>
      </c>
    </row>
    <row r="10696" spans="1:17" x14ac:dyDescent="0.2">
      <c r="A10696" s="168">
        <v>2024</v>
      </c>
      <c r="B10696" s="168">
        <v>3</v>
      </c>
      <c r="C10696" s="168">
        <v>3</v>
      </c>
      <c r="D10696" s="141">
        <f t="shared" ref="D10696" si="1452">DATE(A10696,B10696,C10696)</f>
        <v>45354</v>
      </c>
      <c r="E10696" s="275">
        <f t="shared" ref="E10696" si="1453">DATE(A10696,B10696,C10696)</f>
        <v>45354</v>
      </c>
      <c r="F10696" s="479" t="s">
        <v>1757</v>
      </c>
      <c r="G10696" s="220" t="s">
        <v>74</v>
      </c>
      <c r="H10696" s="220" t="str" cm="1">
        <f t="array" ref="H10696">IFERROR(INDEX(INVESTOR_LIST[INVESTOR NAME],MATCH(I10696,INVESTOR_LIST[INVESTOR CODE],0),)," ")</f>
        <v xml:space="preserve"> </v>
      </c>
      <c r="I10696" s="142"/>
      <c r="J10696" s="143" t="s">
        <v>52</v>
      </c>
      <c r="K10696" s="226">
        <v>529245.64</v>
      </c>
      <c r="L10696" s="226"/>
    </row>
    <row r="10697" spans="1:17" ht="10.5" customHeight="1" x14ac:dyDescent="0.2">
      <c r="A10697" s="163">
        <v>2024</v>
      </c>
      <c r="B10697" s="163">
        <v>3</v>
      </c>
      <c r="C10697" s="163">
        <v>3</v>
      </c>
      <c r="D10697" s="280">
        <f>DATE(A10697,B10697,C10697)</f>
        <v>45354</v>
      </c>
      <c r="E10697" s="281">
        <f>DATE(A10697,B10697,C10697)</f>
        <v>45354</v>
      </c>
      <c r="F10697" s="480"/>
      <c r="G10697" s="221" t="s">
        <v>74</v>
      </c>
      <c r="H10697" s="221" t="str" cm="1">
        <f t="array" ref="H10697">IFERROR(INDEX(INVESTOR_LIST[INVESTOR NAME],MATCH(I10697,INVESTOR_LIST[INVESTOR CODE],0),)," ")</f>
        <v xml:space="preserve"> </v>
      </c>
      <c r="I10697" s="145"/>
      <c r="J10697" s="146" t="s">
        <v>190</v>
      </c>
      <c r="K10697" s="219"/>
      <c r="L10697" s="219">
        <v>529245.64</v>
      </c>
    </row>
    <row r="10698" spans="1:17" x14ac:dyDescent="0.2">
      <c r="A10698" s="168">
        <v>2024</v>
      </c>
      <c r="B10698" s="133">
        <v>3</v>
      </c>
      <c r="C10698" s="133">
        <v>4</v>
      </c>
      <c r="D10698" s="141">
        <f t="shared" si="1450"/>
        <v>45355</v>
      </c>
      <c r="E10698" s="275">
        <f t="shared" si="1451"/>
        <v>45355</v>
      </c>
      <c r="F10698" s="479" t="s">
        <v>1899</v>
      </c>
      <c r="G10698" s="220" t="s">
        <v>74</v>
      </c>
      <c r="H10698" s="220" t="str" cm="1">
        <f t="array" ref="H10698">IFERROR(INDEX(INVESTOR_LIST[INVESTOR NAME],MATCH(I10698,INVESTOR_LIST[INVESTOR CODE],0),)," ")</f>
        <v xml:space="preserve"> </v>
      </c>
      <c r="I10698" s="142" t="s">
        <v>348</v>
      </c>
      <c r="J10698" s="143" t="s">
        <v>79</v>
      </c>
      <c r="K10698" s="226">
        <v>4750000</v>
      </c>
      <c r="L10698" s="226"/>
    </row>
    <row r="10699" spans="1:17" x14ac:dyDescent="0.2">
      <c r="A10699" s="163">
        <v>2024</v>
      </c>
      <c r="B10699" s="163">
        <v>3</v>
      </c>
      <c r="C10699" s="163">
        <v>4</v>
      </c>
      <c r="D10699" s="280">
        <f t="shared" si="1450"/>
        <v>45355</v>
      </c>
      <c r="E10699" s="281">
        <f t="shared" si="1451"/>
        <v>45355</v>
      </c>
      <c r="F10699" s="480"/>
      <c r="G10699" s="221" t="s">
        <v>74</v>
      </c>
      <c r="H10699" s="221" t="str" cm="1">
        <f t="array" ref="H10699">IFERROR(INDEX(INVESTOR_LIST[INVESTOR NAME],MATCH(I10699,INVESTOR_LIST[INVESTOR CODE],0),)," ")</f>
        <v xml:space="preserve"> </v>
      </c>
      <c r="I10699" s="145" t="s">
        <v>348</v>
      </c>
      <c r="J10699" s="146" t="s">
        <v>184</v>
      </c>
      <c r="K10699" s="219"/>
      <c r="L10699" s="219">
        <v>4750000</v>
      </c>
    </row>
    <row r="10700" spans="1:17" ht="11.25" customHeight="1" x14ac:dyDescent="0.2">
      <c r="A10700" s="133">
        <v>2024</v>
      </c>
      <c r="B10700" s="133">
        <v>3</v>
      </c>
      <c r="C10700" s="133">
        <v>4</v>
      </c>
      <c r="D10700" s="141">
        <f>DATE(A10700,B10700,C10700)</f>
        <v>45355</v>
      </c>
      <c r="E10700" s="275">
        <f>DATE(A10700,B10700,C10700)</f>
        <v>45355</v>
      </c>
      <c r="F10700" s="481" t="s">
        <v>1904</v>
      </c>
      <c r="G10700" s="174" t="s">
        <v>74</v>
      </c>
      <c r="H10700" s="174" t="str" cm="1">
        <f t="array" ref="H10700">IFERROR(INDEX(INVESTOR_LIST[INVESTOR NAME],MATCH(I10700,INVESTOR_LIST[INVESTOR CODE],0),)," ")</f>
        <v xml:space="preserve"> </v>
      </c>
      <c r="I10700" s="148" t="s">
        <v>348</v>
      </c>
      <c r="J10700" s="149" t="s">
        <v>52</v>
      </c>
      <c r="K10700" s="218">
        <v>2900000</v>
      </c>
      <c r="L10700" s="218"/>
      <c r="M10700" s="147"/>
      <c r="Q10700" s="133" t="s">
        <v>348</v>
      </c>
    </row>
    <row r="10701" spans="1:17" x14ac:dyDescent="0.2">
      <c r="A10701" s="133">
        <v>2024</v>
      </c>
      <c r="B10701" s="133">
        <v>3</v>
      </c>
      <c r="C10701" s="133">
        <v>4</v>
      </c>
      <c r="D10701" s="141">
        <f t="shared" ref="D10701" si="1454">DATE(A10701,B10701,C10701)</f>
        <v>45355</v>
      </c>
      <c r="E10701" s="275">
        <f t="shared" ref="E10701" si="1455">DATE(A10701,B10701,C10701)</f>
        <v>45355</v>
      </c>
      <c r="F10701" s="481"/>
      <c r="G10701" s="174" t="s">
        <v>74</v>
      </c>
      <c r="H10701" s="174"/>
      <c r="J10701" s="149" t="s">
        <v>1809</v>
      </c>
      <c r="K10701" s="218"/>
      <c r="L10701" s="218">
        <v>74666.299999999814</v>
      </c>
      <c r="M10701" s="147"/>
    </row>
    <row r="10702" spans="1:17" x14ac:dyDescent="0.2">
      <c r="A10702" s="163">
        <v>2024</v>
      </c>
      <c r="B10702" s="163">
        <v>3</v>
      </c>
      <c r="C10702" s="163">
        <v>4</v>
      </c>
      <c r="D10702" s="280">
        <f>DATE(A10702,B10702,C10702)</f>
        <v>45355</v>
      </c>
      <c r="E10702" s="281">
        <f>DATE(A10702,B10702,C10702)</f>
        <v>45355</v>
      </c>
      <c r="F10702" s="480"/>
      <c r="G10702" s="221" t="s">
        <v>74</v>
      </c>
      <c r="H10702" s="221" t="str" cm="1">
        <f t="array" ref="H10702">IFERROR(INDEX(INVESTOR_LIST[INVESTOR NAME],MATCH(I10702,INVESTOR_LIST[INVESTOR CODE],0),)," ")</f>
        <v xml:space="preserve"> </v>
      </c>
      <c r="I10702" s="145"/>
      <c r="J10702" s="146" t="s">
        <v>1764</v>
      </c>
      <c r="K10702" s="219"/>
      <c r="L10702" s="219">
        <v>2825333.7</v>
      </c>
      <c r="M10702" s="147"/>
      <c r="Q10702" s="133" t="s">
        <v>348</v>
      </c>
    </row>
    <row r="10703" spans="1:17" x14ac:dyDescent="0.2">
      <c r="A10703" s="168">
        <v>2024</v>
      </c>
      <c r="B10703" s="168">
        <v>3</v>
      </c>
      <c r="C10703" s="168">
        <v>5</v>
      </c>
      <c r="D10703" s="141">
        <f t="shared" ref="D10703" si="1456">DATE(A10703,B10703,C10703)</f>
        <v>45356</v>
      </c>
      <c r="E10703" s="275">
        <f t="shared" ref="E10703" si="1457">DATE(A10703,B10703,C10703)</f>
        <v>45356</v>
      </c>
      <c r="F10703" s="479" t="s">
        <v>1757</v>
      </c>
      <c r="G10703" s="220" t="s">
        <v>74</v>
      </c>
      <c r="H10703" s="220" t="str" cm="1">
        <f t="array" ref="H10703">IFERROR(INDEX(INVESTOR_LIST[INVESTOR NAME],MATCH(I10703,INVESTOR_LIST[INVESTOR CODE],0),)," ")</f>
        <v xml:space="preserve"> </v>
      </c>
      <c r="I10703" s="142"/>
      <c r="J10703" s="143" t="s">
        <v>52</v>
      </c>
      <c r="K10703" s="226">
        <v>2089032.96</v>
      </c>
      <c r="L10703" s="226"/>
    </row>
    <row r="10704" spans="1:17" ht="10.5" customHeight="1" x14ac:dyDescent="0.2">
      <c r="A10704" s="163">
        <v>2024</v>
      </c>
      <c r="B10704" s="163">
        <v>3</v>
      </c>
      <c r="C10704" s="163">
        <v>5</v>
      </c>
      <c r="D10704" s="280">
        <f>DATE(A10704,B10704,C10704)</f>
        <v>45356</v>
      </c>
      <c r="E10704" s="281">
        <f>DATE(A10704,B10704,C10704)</f>
        <v>45356</v>
      </c>
      <c r="F10704" s="480"/>
      <c r="G10704" s="221" t="s">
        <v>74</v>
      </c>
      <c r="H10704" s="221" t="str" cm="1">
        <f t="array" ref="H10704">IFERROR(INDEX(INVESTOR_LIST[INVESTOR NAME],MATCH(I10704,INVESTOR_LIST[INVESTOR CODE],0),)," ")</f>
        <v xml:space="preserve"> </v>
      </c>
      <c r="I10704" s="145"/>
      <c r="J10704" s="146" t="s">
        <v>190</v>
      </c>
      <c r="K10704" s="219"/>
      <c r="L10704" s="219">
        <v>2089032.96</v>
      </c>
    </row>
    <row r="10705" spans="1:14" x14ac:dyDescent="0.2">
      <c r="A10705" s="168">
        <v>2024</v>
      </c>
      <c r="B10705" s="168">
        <v>3</v>
      </c>
      <c r="C10705" s="168">
        <v>5</v>
      </c>
      <c r="D10705" s="141">
        <f t="shared" ref="D10705" si="1458">DATE(A10705,B10705,C10705)</f>
        <v>45356</v>
      </c>
      <c r="E10705" s="275">
        <f t="shared" ref="E10705" si="1459">DATE(A10705,B10705,C10705)</f>
        <v>45356</v>
      </c>
      <c r="F10705" s="479" t="s">
        <v>1757</v>
      </c>
      <c r="G10705" s="220" t="s">
        <v>74</v>
      </c>
      <c r="H10705" s="220" t="str" cm="1">
        <f t="array" ref="H10705">IFERROR(INDEX(INVESTOR_LIST[INVESTOR NAME],MATCH(I10705,INVESTOR_LIST[INVESTOR CODE],0),)," ")</f>
        <v xml:space="preserve"> </v>
      </c>
      <c r="I10705" s="142"/>
      <c r="J10705" s="143" t="s">
        <v>52</v>
      </c>
      <c r="K10705" s="226">
        <v>500488.5</v>
      </c>
      <c r="L10705" s="226"/>
    </row>
    <row r="10706" spans="1:14" ht="10.5" customHeight="1" x14ac:dyDescent="0.2">
      <c r="A10706" s="163">
        <v>2024</v>
      </c>
      <c r="B10706" s="163">
        <v>3</v>
      </c>
      <c r="C10706" s="163">
        <v>5</v>
      </c>
      <c r="D10706" s="280">
        <f>DATE(A10706,B10706,C10706)</f>
        <v>45356</v>
      </c>
      <c r="E10706" s="281">
        <f>DATE(A10706,B10706,C10706)</f>
        <v>45356</v>
      </c>
      <c r="F10706" s="480"/>
      <c r="G10706" s="221" t="s">
        <v>74</v>
      </c>
      <c r="H10706" s="221" t="str" cm="1">
        <f t="array" ref="H10706">IFERROR(INDEX(INVESTOR_LIST[INVESTOR NAME],MATCH(I10706,INVESTOR_LIST[INVESTOR CODE],0),)," ")</f>
        <v xml:space="preserve"> </v>
      </c>
      <c r="I10706" s="145"/>
      <c r="J10706" s="146" t="s">
        <v>190</v>
      </c>
      <c r="K10706" s="219"/>
      <c r="L10706" s="219">
        <v>500488.5</v>
      </c>
    </row>
    <row r="10707" spans="1:14" x14ac:dyDescent="0.2">
      <c r="A10707" s="168">
        <v>2024</v>
      </c>
      <c r="B10707" s="168">
        <v>3</v>
      </c>
      <c r="C10707" s="168">
        <v>5</v>
      </c>
      <c r="D10707" s="141">
        <f t="shared" ref="D10707:D10716" si="1460">DATE(A10707,B10707,C10707)</f>
        <v>45356</v>
      </c>
      <c r="E10707" s="275">
        <f t="shared" ref="E10707:E10716" si="1461">DATE(A10707,B10707,C10707)</f>
        <v>45356</v>
      </c>
      <c r="F10707" s="479" t="s">
        <v>1319</v>
      </c>
      <c r="G10707" s="220" t="s">
        <v>74</v>
      </c>
      <c r="H10707" s="142" t="str" cm="1">
        <f t="array" ref="H10707">IFERROR(INDEX(INVESTOR_LIST[INVESTOR NAME],MATCH(I10707,INVESTOR_LIST[INVESTOR CODE],0),)," ")</f>
        <v xml:space="preserve"> </v>
      </c>
      <c r="I10707" s="142"/>
      <c r="J10707" s="168" t="s">
        <v>52</v>
      </c>
      <c r="K10707" s="226">
        <v>62500</v>
      </c>
      <c r="L10707" s="226"/>
    </row>
    <row r="10708" spans="1:14" x14ac:dyDescent="0.2">
      <c r="A10708" s="133">
        <v>2024</v>
      </c>
      <c r="B10708" s="133">
        <v>3</v>
      </c>
      <c r="C10708" s="133">
        <v>5</v>
      </c>
      <c r="D10708" s="141">
        <f t="shared" si="1460"/>
        <v>45356</v>
      </c>
      <c r="E10708" s="275">
        <f t="shared" si="1461"/>
        <v>45356</v>
      </c>
      <c r="F10708" s="481"/>
      <c r="G10708" s="174" t="s">
        <v>74</v>
      </c>
      <c r="H10708" s="148" t="str" cm="1">
        <f t="array" ref="H10708">IFERROR(INDEX(INVESTOR_LIST[INVESTOR NAME],MATCH(I10708,INVESTOR_LIST[INVESTOR CODE],0),)," ")</f>
        <v xml:space="preserve"> </v>
      </c>
      <c r="J10708" s="133" t="s">
        <v>13</v>
      </c>
      <c r="K10708" s="218"/>
      <c r="L10708" s="218">
        <v>50860</v>
      </c>
    </row>
    <row r="10709" spans="1:14" x14ac:dyDescent="0.2">
      <c r="A10709" s="163">
        <v>2024</v>
      </c>
      <c r="B10709" s="163">
        <v>3</v>
      </c>
      <c r="C10709" s="163">
        <v>5</v>
      </c>
      <c r="D10709" s="280">
        <f t="shared" si="1460"/>
        <v>45356</v>
      </c>
      <c r="E10709" s="281">
        <f t="shared" si="1461"/>
        <v>45356</v>
      </c>
      <c r="F10709" s="480"/>
      <c r="G10709" s="221" t="s">
        <v>74</v>
      </c>
      <c r="H10709" s="145" t="str" cm="1">
        <f t="array" ref="H10709">IFERROR(INDEX(INVESTOR_LIST[INVESTOR NAME],MATCH(I10709,INVESTOR_LIST[INVESTOR CODE],0),)," ")</f>
        <v xml:space="preserve"> </v>
      </c>
      <c r="I10709" s="145"/>
      <c r="J10709" s="163" t="s">
        <v>53</v>
      </c>
      <c r="K10709" s="219"/>
      <c r="L10709" s="219">
        <v>11640</v>
      </c>
    </row>
    <row r="10710" spans="1:14" x14ac:dyDescent="0.2">
      <c r="A10710" s="133">
        <v>2024</v>
      </c>
      <c r="B10710" s="133">
        <v>3</v>
      </c>
      <c r="C10710" s="133">
        <v>5</v>
      </c>
      <c r="D10710" s="141">
        <f t="shared" si="1460"/>
        <v>45356</v>
      </c>
      <c r="E10710" s="275">
        <f t="shared" si="1461"/>
        <v>45356</v>
      </c>
      <c r="F10710" s="481" t="s">
        <v>1753</v>
      </c>
      <c r="G10710" s="174" t="s">
        <v>94</v>
      </c>
      <c r="H10710" s="174" t="str" cm="1">
        <f t="array" ref="H10710">IFERROR(INDEX(INVESTOR_LIST[INVESTOR NAME],MATCH(I10710,INVESTOR_LIST[INVESTOR CODE],0),)," ")</f>
        <v xml:space="preserve"> </v>
      </c>
      <c r="J10710" s="149" t="s">
        <v>190</v>
      </c>
      <c r="K10710" s="218">
        <v>14198701.99</v>
      </c>
      <c r="L10710" s="218"/>
      <c r="M10710" s="160"/>
    </row>
    <row r="10711" spans="1:14" x14ac:dyDescent="0.2">
      <c r="A10711" s="133">
        <v>2024</v>
      </c>
      <c r="B10711" s="133">
        <v>3</v>
      </c>
      <c r="C10711" s="133">
        <v>5</v>
      </c>
      <c r="D10711" s="141">
        <f t="shared" si="1460"/>
        <v>45356</v>
      </c>
      <c r="E10711" s="275">
        <f t="shared" si="1461"/>
        <v>45356</v>
      </c>
      <c r="F10711" s="481"/>
      <c r="G10711" s="174" t="s">
        <v>94</v>
      </c>
      <c r="H10711" s="174"/>
      <c r="J10711" s="149" t="s">
        <v>80</v>
      </c>
      <c r="K10711" s="218">
        <v>25603.71</v>
      </c>
      <c r="L10711" s="218"/>
      <c r="N10711" s="264"/>
    </row>
    <row r="10712" spans="1:14" x14ac:dyDescent="0.2">
      <c r="A10712" s="133">
        <v>2024</v>
      </c>
      <c r="B10712" s="133">
        <v>3</v>
      </c>
      <c r="C10712" s="133">
        <v>5</v>
      </c>
      <c r="D10712" s="141">
        <f t="shared" si="1460"/>
        <v>45356</v>
      </c>
      <c r="E10712" s="275">
        <f t="shared" si="1461"/>
        <v>45356</v>
      </c>
      <c r="F10712" s="481"/>
      <c r="G10712" s="174" t="s">
        <v>94</v>
      </c>
      <c r="H10712" s="174" t="str" cm="1">
        <f t="array" ref="H10712">IFERROR(INDEX(INVESTOR_LIST[INVESTOR NAME],MATCH(I10712,INVESTOR_LIST[INVESTOR CODE],0),)," ")</f>
        <v xml:space="preserve"> </v>
      </c>
      <c r="J10712" s="149" t="s">
        <v>191</v>
      </c>
      <c r="K10712" s="218">
        <v>2465993.87</v>
      </c>
      <c r="L10712" s="218"/>
      <c r="N10712" s="264"/>
    </row>
    <row r="10713" spans="1:14" x14ac:dyDescent="0.2">
      <c r="A10713" s="163">
        <v>2024</v>
      </c>
      <c r="B10713" s="163">
        <v>3</v>
      </c>
      <c r="C10713" s="163">
        <v>5</v>
      </c>
      <c r="D10713" s="280">
        <f t="shared" si="1460"/>
        <v>45356</v>
      </c>
      <c r="E10713" s="281">
        <f t="shared" si="1461"/>
        <v>45356</v>
      </c>
      <c r="F10713" s="480"/>
      <c r="G10713" s="221" t="s">
        <v>94</v>
      </c>
      <c r="H10713" s="145" t="str" cm="1">
        <f t="array" ref="H10713">IFERROR(INDEX(INVESTOR_LIST[INVESTOR NAME],MATCH(I10713,INVESTOR_LIST[INVESTOR CODE],0),)," ")</f>
        <v xml:space="preserve"> </v>
      </c>
      <c r="I10713" s="145"/>
      <c r="J10713" s="163" t="s">
        <v>79</v>
      </c>
      <c r="K10713" s="219"/>
      <c r="L10713" s="219">
        <v>16690299.57</v>
      </c>
      <c r="N10713" s="264"/>
    </row>
    <row r="10714" spans="1:14" x14ac:dyDescent="0.2">
      <c r="A10714" s="133">
        <v>2024</v>
      </c>
      <c r="B10714" s="168">
        <v>3</v>
      </c>
      <c r="C10714" s="168">
        <v>5</v>
      </c>
      <c r="D10714" s="141">
        <f t="shared" si="1460"/>
        <v>45356</v>
      </c>
      <c r="E10714" s="275">
        <f t="shared" si="1461"/>
        <v>45356</v>
      </c>
      <c r="F10714" s="481" t="s">
        <v>982</v>
      </c>
      <c r="G10714" s="174" t="s">
        <v>74</v>
      </c>
      <c r="H10714" s="174" t="str" cm="1">
        <f t="array" ref="H10714">IFERROR(INDEX(INVESTOR_LIST[INVESTOR NAME],MATCH(I10714,INVESTOR_LIST[INVESTOR CODE],0),)," ")</f>
        <v xml:space="preserve"> </v>
      </c>
      <c r="I10714" s="148" t="s">
        <v>348</v>
      </c>
      <c r="J10714" s="149" t="s">
        <v>163</v>
      </c>
      <c r="K10714" s="218">
        <v>5000</v>
      </c>
      <c r="L10714" s="218"/>
    </row>
    <row r="10715" spans="1:14" x14ac:dyDescent="0.2">
      <c r="A10715" s="133">
        <v>2024</v>
      </c>
      <c r="B10715" s="133">
        <v>3</v>
      </c>
      <c r="C10715" s="133">
        <v>5</v>
      </c>
      <c r="D10715" s="141">
        <f t="shared" ref="D10715" si="1462">DATE(A10715,B10715,C10715)</f>
        <v>45356</v>
      </c>
      <c r="E10715" s="275">
        <f t="shared" ref="E10715" si="1463">DATE(A10715,B10715,C10715)</f>
        <v>45356</v>
      </c>
      <c r="F10715" s="481"/>
      <c r="G10715" s="174" t="s">
        <v>201</v>
      </c>
      <c r="H10715" s="174"/>
      <c r="J10715" s="149" t="s">
        <v>1906</v>
      </c>
      <c r="K10715" s="218"/>
      <c r="L10715" s="218">
        <v>250</v>
      </c>
    </row>
    <row r="10716" spans="1:14" x14ac:dyDescent="0.2">
      <c r="A10716" s="163">
        <v>2024</v>
      </c>
      <c r="B10716" s="163">
        <v>3</v>
      </c>
      <c r="C10716" s="163">
        <v>5</v>
      </c>
      <c r="D10716" s="280">
        <f t="shared" si="1460"/>
        <v>45356</v>
      </c>
      <c r="E10716" s="281">
        <f t="shared" si="1461"/>
        <v>45356</v>
      </c>
      <c r="F10716" s="480"/>
      <c r="G10716" s="221" t="s">
        <v>74</v>
      </c>
      <c r="H10716" s="221" t="str" cm="1">
        <f t="array" ref="H10716">IFERROR(INDEX(INVESTOR_LIST[INVESTOR NAME],MATCH(I10716,INVESTOR_LIST[INVESTOR CODE],0),)," ")</f>
        <v xml:space="preserve"> </v>
      </c>
      <c r="I10716" s="145" t="s">
        <v>348</v>
      </c>
      <c r="J10716" s="146" t="s">
        <v>52</v>
      </c>
      <c r="K10716" s="219"/>
      <c r="L10716" s="219">
        <v>4750</v>
      </c>
    </row>
    <row r="10717" spans="1:14" ht="11.25" customHeight="1" x14ac:dyDescent="0.2">
      <c r="A10717" s="168">
        <v>2024</v>
      </c>
      <c r="B10717" s="168">
        <v>3</v>
      </c>
      <c r="C10717" s="168">
        <v>6</v>
      </c>
      <c r="D10717" s="141">
        <f t="shared" ref="D10717:D10719" si="1464">DATE(A10717,B10717,C10717)</f>
        <v>45357</v>
      </c>
      <c r="E10717" s="275">
        <f t="shared" ref="E10717:E10719" si="1465">DATE(A10717,B10717,C10717)</f>
        <v>45357</v>
      </c>
      <c r="F10717" s="479" t="s">
        <v>965</v>
      </c>
      <c r="G10717" s="220" t="s">
        <v>74</v>
      </c>
      <c r="H10717" s="142" t="str" cm="1">
        <f t="array" ref="H10717">IFERROR(INDEX(INVESTOR_LIST[INVESTOR NAME],MATCH(I10717,INVESTOR_LIST[INVESTOR CODE],0),)," ")</f>
        <v>NANI GOPAL DATTA</v>
      </c>
      <c r="I10717" s="142" t="s">
        <v>460</v>
      </c>
      <c r="J10717" s="168" t="s">
        <v>13</v>
      </c>
      <c r="K10717" s="218">
        <v>46160</v>
      </c>
      <c r="L10717" s="226"/>
    </row>
    <row r="10718" spans="1:14" ht="11.25" customHeight="1" x14ac:dyDescent="0.2">
      <c r="A10718" s="133">
        <v>2024</v>
      </c>
      <c r="B10718" s="133">
        <v>3</v>
      </c>
      <c r="C10718" s="133">
        <v>6</v>
      </c>
      <c r="D10718" s="141">
        <f t="shared" si="1464"/>
        <v>45357</v>
      </c>
      <c r="E10718" s="275">
        <f t="shared" si="1465"/>
        <v>45357</v>
      </c>
      <c r="F10718" s="481"/>
      <c r="G10718" s="174" t="s">
        <v>74</v>
      </c>
      <c r="H10718" s="148" t="str" cm="1">
        <f t="array" ref="H10718">IFERROR(INDEX(INVESTOR_LIST[INVESTOR NAME],MATCH(I10718,INVESTOR_LIST[INVESTOR CODE],0),)," ")</f>
        <v>NANI GOPAL DATTA</v>
      </c>
      <c r="I10718" s="148" t="s">
        <v>460</v>
      </c>
      <c r="J10718" s="133" t="s">
        <v>53</v>
      </c>
      <c r="K10718" s="218">
        <v>10570.64</v>
      </c>
      <c r="L10718" s="133"/>
    </row>
    <row r="10719" spans="1:14" ht="11.25" customHeight="1" x14ac:dyDescent="0.2">
      <c r="A10719" s="163">
        <v>2024</v>
      </c>
      <c r="B10719" s="163">
        <v>3</v>
      </c>
      <c r="C10719" s="163">
        <v>6</v>
      </c>
      <c r="D10719" s="280">
        <f t="shared" si="1464"/>
        <v>45357</v>
      </c>
      <c r="E10719" s="281">
        <f t="shared" si="1465"/>
        <v>45357</v>
      </c>
      <c r="F10719" s="480"/>
      <c r="G10719" s="221" t="s">
        <v>74</v>
      </c>
      <c r="H10719" s="145" t="str" cm="1">
        <f t="array" ref="H10719">IFERROR(INDEX(INVESTOR_LIST[INVESTOR NAME],MATCH(I10719,INVESTOR_LIST[INVESTOR CODE],0),)," ")</f>
        <v>NANI GOPAL DATTA</v>
      </c>
      <c r="I10719" s="145" t="s">
        <v>460</v>
      </c>
      <c r="J10719" s="163" t="s">
        <v>52</v>
      </c>
      <c r="K10719" s="219"/>
      <c r="L10719" s="219">
        <v>56730.64</v>
      </c>
    </row>
    <row r="10720" spans="1:14" ht="11.25" customHeight="1" x14ac:dyDescent="0.2">
      <c r="A10720" s="168">
        <v>2024</v>
      </c>
      <c r="B10720" s="168">
        <v>3</v>
      </c>
      <c r="C10720" s="168">
        <v>6</v>
      </c>
      <c r="D10720" s="141">
        <f t="shared" ref="D10720:D10722" si="1466">DATE(A10720,B10720,C10720)</f>
        <v>45357</v>
      </c>
      <c r="E10720" s="275">
        <f t="shared" ref="E10720:E10722" si="1467">DATE(A10720,B10720,C10720)</f>
        <v>45357</v>
      </c>
      <c r="F10720" s="479" t="s">
        <v>965</v>
      </c>
      <c r="G10720" s="220" t="s">
        <v>74</v>
      </c>
      <c r="H10720" s="142" t="str" cm="1">
        <f t="array" ref="H10720">IFERROR(INDEX(INVESTOR_LIST[INVESTOR NAME],MATCH(I10720,INVESTOR_LIST[INVESTOR CODE],0),)," ")</f>
        <v>TAPU GUHA</v>
      </c>
      <c r="I10720" s="142" t="s">
        <v>670</v>
      </c>
      <c r="J10720" s="168" t="s">
        <v>13</v>
      </c>
      <c r="K10720" s="218">
        <v>97850</v>
      </c>
      <c r="L10720" s="226"/>
    </row>
    <row r="10721" spans="1:12" ht="11.25" customHeight="1" x14ac:dyDescent="0.2">
      <c r="A10721" s="133">
        <v>2024</v>
      </c>
      <c r="B10721" s="133">
        <v>3</v>
      </c>
      <c r="C10721" s="133">
        <v>6</v>
      </c>
      <c r="D10721" s="141">
        <f t="shared" si="1466"/>
        <v>45357</v>
      </c>
      <c r="E10721" s="275">
        <f t="shared" si="1467"/>
        <v>45357</v>
      </c>
      <c r="F10721" s="481"/>
      <c r="G10721" s="174" t="s">
        <v>74</v>
      </c>
      <c r="H10721" s="148" t="str" cm="1">
        <f t="array" ref="H10721">IFERROR(INDEX(INVESTOR_LIST[INVESTOR NAME],MATCH(I10721,INVESTOR_LIST[INVESTOR CODE],0),)," ")</f>
        <v>TAPU GUHA</v>
      </c>
      <c r="I10721" s="148" t="s">
        <v>670</v>
      </c>
      <c r="J10721" s="133" t="s">
        <v>53</v>
      </c>
      <c r="K10721" s="218">
        <v>22407.65</v>
      </c>
      <c r="L10721" s="133"/>
    </row>
    <row r="10722" spans="1:12" ht="11.25" customHeight="1" x14ac:dyDescent="0.2">
      <c r="A10722" s="163">
        <v>2024</v>
      </c>
      <c r="B10722" s="163">
        <v>3</v>
      </c>
      <c r="C10722" s="163">
        <v>6</v>
      </c>
      <c r="D10722" s="280">
        <f t="shared" si="1466"/>
        <v>45357</v>
      </c>
      <c r="E10722" s="281">
        <f t="shared" si="1467"/>
        <v>45357</v>
      </c>
      <c r="F10722" s="480"/>
      <c r="G10722" s="221" t="s">
        <v>74</v>
      </c>
      <c r="H10722" s="145" t="str" cm="1">
        <f t="array" ref="H10722">IFERROR(INDEX(INVESTOR_LIST[INVESTOR NAME],MATCH(I10722,INVESTOR_LIST[INVESTOR CODE],0),)," ")</f>
        <v>TAPU GUHA</v>
      </c>
      <c r="I10722" s="145" t="s">
        <v>670</v>
      </c>
      <c r="J10722" s="163" t="s">
        <v>52</v>
      </c>
      <c r="K10722" s="219"/>
      <c r="L10722" s="219">
        <v>120257.65</v>
      </c>
    </row>
    <row r="10723" spans="1:12" ht="11.25" customHeight="1" x14ac:dyDescent="0.2">
      <c r="A10723" s="168">
        <v>2024</v>
      </c>
      <c r="B10723" s="168">
        <v>3</v>
      </c>
      <c r="C10723" s="168">
        <v>7</v>
      </c>
      <c r="D10723" s="141">
        <f t="shared" ref="D10723:D10744" si="1468">DATE(A10723,B10723,C10723)</f>
        <v>45358</v>
      </c>
      <c r="E10723" s="275">
        <f t="shared" ref="E10723:E10744" si="1469">DATE(A10723,B10723,C10723)</f>
        <v>45358</v>
      </c>
      <c r="F10723" s="479" t="s">
        <v>965</v>
      </c>
      <c r="G10723" s="220" t="s">
        <v>74</v>
      </c>
      <c r="H10723" s="142" t="str" cm="1">
        <f t="array" ref="H10723">IFERROR(INDEX(INVESTOR_LIST[INVESTOR NAME],MATCH(I10723,INVESTOR_LIST[INVESTOR CODE],0),)," ")</f>
        <v>QAZI MUSADDEQ AHMAD</v>
      </c>
      <c r="I10723" s="142" t="s">
        <v>422</v>
      </c>
      <c r="J10723" s="168" t="s">
        <v>13</v>
      </c>
      <c r="K10723" s="218">
        <v>397220</v>
      </c>
      <c r="L10723" s="226"/>
    </row>
    <row r="10724" spans="1:12" ht="11.25" customHeight="1" x14ac:dyDescent="0.2">
      <c r="A10724" s="133">
        <v>2024</v>
      </c>
      <c r="B10724" s="133">
        <v>3</v>
      </c>
      <c r="C10724" s="133">
        <v>7</v>
      </c>
      <c r="D10724" s="141">
        <f t="shared" si="1468"/>
        <v>45358</v>
      </c>
      <c r="E10724" s="275">
        <f t="shared" si="1469"/>
        <v>45358</v>
      </c>
      <c r="F10724" s="481"/>
      <c r="G10724" s="174" t="s">
        <v>74</v>
      </c>
      <c r="H10724" s="148" t="str" cm="1">
        <f t="array" ref="H10724">IFERROR(INDEX(INVESTOR_LIST[INVESTOR NAME],MATCH(I10724,INVESTOR_LIST[INVESTOR CODE],0),)," ")</f>
        <v>QAZI MUSADDEQ AHMAD</v>
      </c>
      <c r="I10724" s="148" t="s">
        <v>422</v>
      </c>
      <c r="J10724" s="133" t="s">
        <v>53</v>
      </c>
      <c r="K10724" s="218">
        <v>90963.38</v>
      </c>
      <c r="L10724" s="133"/>
    </row>
    <row r="10725" spans="1:12" ht="11.25" customHeight="1" x14ac:dyDescent="0.2">
      <c r="A10725" s="163">
        <v>2024</v>
      </c>
      <c r="B10725" s="163">
        <v>3</v>
      </c>
      <c r="C10725" s="163">
        <v>7</v>
      </c>
      <c r="D10725" s="280">
        <f t="shared" si="1468"/>
        <v>45358</v>
      </c>
      <c r="E10725" s="281">
        <f t="shared" si="1469"/>
        <v>45358</v>
      </c>
      <c r="F10725" s="480"/>
      <c r="G10725" s="221" t="s">
        <v>74</v>
      </c>
      <c r="H10725" s="145" t="str" cm="1">
        <f t="array" ref="H10725">IFERROR(INDEX(INVESTOR_LIST[INVESTOR NAME],MATCH(I10725,INVESTOR_LIST[INVESTOR CODE],0),)," ")</f>
        <v>QAZI MUSADDEQ AHMAD</v>
      </c>
      <c r="I10725" s="145" t="s">
        <v>422</v>
      </c>
      <c r="J10725" s="163" t="s">
        <v>52</v>
      </c>
      <c r="K10725" s="219"/>
      <c r="L10725" s="219">
        <v>488183.38</v>
      </c>
    </row>
    <row r="10726" spans="1:12" x14ac:dyDescent="0.2">
      <c r="A10726" s="343">
        <v>2024</v>
      </c>
      <c r="B10726" s="343">
        <v>3</v>
      </c>
      <c r="C10726" s="343">
        <v>7</v>
      </c>
      <c r="D10726" s="344">
        <f t="shared" si="1468"/>
        <v>45358</v>
      </c>
      <c r="E10726" s="345">
        <f t="shared" si="1469"/>
        <v>45358</v>
      </c>
      <c r="F10726" s="483" t="s">
        <v>1813</v>
      </c>
      <c r="G10726" s="350" t="s">
        <v>94</v>
      </c>
      <c r="H10726" s="350" t="str" cm="1">
        <f t="array" ref="H10726">IFERROR(INDEX(INVESTOR_LIST[INVESTOR NAME],MATCH(I10726,INVESTOR_LIST[INVESTOR CODE],0),)," ")</f>
        <v xml:space="preserve"> </v>
      </c>
      <c r="I10726" s="352" t="s">
        <v>348</v>
      </c>
      <c r="J10726" s="353" t="s">
        <v>1798</v>
      </c>
      <c r="K10726" s="354">
        <v>20433.40000000596</v>
      </c>
      <c r="L10726" s="354"/>
    </row>
    <row r="10727" spans="1:12" x14ac:dyDescent="0.2">
      <c r="A10727" s="346">
        <v>2024</v>
      </c>
      <c r="B10727" s="346">
        <v>3</v>
      </c>
      <c r="C10727" s="346">
        <v>7</v>
      </c>
      <c r="D10727" s="344">
        <f t="shared" si="1468"/>
        <v>45358</v>
      </c>
      <c r="E10727" s="345">
        <f t="shared" si="1469"/>
        <v>45358</v>
      </c>
      <c r="F10727" s="484"/>
      <c r="G10727" s="347" t="s">
        <v>94</v>
      </c>
      <c r="H10727" s="347" t="str" cm="1">
        <f t="array" ref="H10727">IFERROR(INDEX(INVESTOR_LIST[INVESTOR NAME],MATCH(I10727,INVESTOR_LIST[INVESTOR CODE],0),)," ")</f>
        <v xml:space="preserve"> </v>
      </c>
      <c r="I10727" s="348" t="s">
        <v>348</v>
      </c>
      <c r="J10727" s="355" t="s">
        <v>1807</v>
      </c>
      <c r="K10727" s="349"/>
      <c r="L10727" s="349">
        <v>20433.40000000596</v>
      </c>
    </row>
    <row r="10728" spans="1:12" x14ac:dyDescent="0.2">
      <c r="A10728" s="238">
        <v>2024</v>
      </c>
      <c r="B10728" s="238">
        <v>3</v>
      </c>
      <c r="C10728" s="238">
        <v>7</v>
      </c>
      <c r="D10728" s="270">
        <f t="shared" si="1468"/>
        <v>45358</v>
      </c>
      <c r="E10728" s="279">
        <f t="shared" si="1469"/>
        <v>45358</v>
      </c>
      <c r="F10728" s="477" t="s">
        <v>347</v>
      </c>
      <c r="G10728" s="239" t="s">
        <v>94</v>
      </c>
      <c r="H10728" s="239" t="str" cm="1">
        <f t="array" ref="H10728">IFERROR(INDEX(INVESTOR_LIST[INVESTOR NAME],MATCH(I10728,INVESTOR_LIST[INVESTOR CODE],0),)," ")</f>
        <v xml:space="preserve"> </v>
      </c>
      <c r="I10728" s="262" t="s">
        <v>348</v>
      </c>
      <c r="J10728" s="240" t="s">
        <v>82</v>
      </c>
      <c r="K10728" s="241">
        <v>4100505.8700000048</v>
      </c>
      <c r="L10728" s="241"/>
    </row>
    <row r="10729" spans="1:12" x14ac:dyDescent="0.2">
      <c r="A10729" s="242">
        <v>2024</v>
      </c>
      <c r="B10729" s="242">
        <v>3</v>
      </c>
      <c r="C10729" s="242">
        <v>7</v>
      </c>
      <c r="D10729" s="270">
        <f t="shared" si="1468"/>
        <v>45358</v>
      </c>
      <c r="E10729" s="279">
        <f t="shared" si="1469"/>
        <v>45358</v>
      </c>
      <c r="F10729" s="478"/>
      <c r="G10729" s="243" t="s">
        <v>94</v>
      </c>
      <c r="H10729" s="243" t="str" cm="1">
        <f t="array" ref="H10729">IFERROR(INDEX(INVESTOR_LIST[INVESTOR NAME],MATCH(I10729,INVESTOR_LIST[INVESTOR CODE],0),)," ")</f>
        <v xml:space="preserve"> </v>
      </c>
      <c r="I10729" s="263" t="s">
        <v>348</v>
      </c>
      <c r="J10729" s="244" t="s">
        <v>108</v>
      </c>
      <c r="K10729" s="245"/>
      <c r="L10729" s="245">
        <v>4100505.8700000048</v>
      </c>
    </row>
    <row r="10730" spans="1:12" ht="22.5" x14ac:dyDescent="0.2">
      <c r="A10730" s="246">
        <v>2024</v>
      </c>
      <c r="B10730" s="238">
        <v>3</v>
      </c>
      <c r="C10730" s="238">
        <v>7</v>
      </c>
      <c r="D10730" s="270">
        <f t="shared" si="1468"/>
        <v>45358</v>
      </c>
      <c r="E10730" s="279">
        <f t="shared" si="1469"/>
        <v>45358</v>
      </c>
      <c r="F10730" s="482" t="s">
        <v>148</v>
      </c>
      <c r="G10730" s="247" t="s">
        <v>94</v>
      </c>
      <c r="H10730" s="247" t="str" cm="1">
        <f t="array" ref="H10730">IFERROR(INDEX(INVESTOR_LIST[INVESTOR NAME],MATCH(I10730,INVESTOR_LIST[INVESTOR CODE],0),)," ")</f>
        <v xml:space="preserve"> </v>
      </c>
      <c r="I10730" s="248" t="s">
        <v>348</v>
      </c>
      <c r="J10730" s="249" t="s">
        <v>95</v>
      </c>
      <c r="K10730" s="250">
        <v>2747.2527472527472</v>
      </c>
      <c r="L10730" s="241"/>
    </row>
    <row r="10731" spans="1:12" x14ac:dyDescent="0.2">
      <c r="A10731" s="242">
        <v>2024</v>
      </c>
      <c r="B10731" s="242">
        <v>3</v>
      </c>
      <c r="C10731" s="242">
        <v>7</v>
      </c>
      <c r="D10731" s="270">
        <f t="shared" si="1468"/>
        <v>45358</v>
      </c>
      <c r="E10731" s="279">
        <f t="shared" si="1469"/>
        <v>45358</v>
      </c>
      <c r="F10731" s="478"/>
      <c r="G10731" s="243" t="s">
        <v>94</v>
      </c>
      <c r="H10731" s="243" t="str" cm="1">
        <f t="array" ref="H10731">IFERROR(INDEX(INVESTOR_LIST[INVESTOR NAME],MATCH(I10731,INVESTOR_LIST[INVESTOR CODE],0),)," ")</f>
        <v xml:space="preserve"> </v>
      </c>
      <c r="I10731" s="263" t="s">
        <v>348</v>
      </c>
      <c r="J10731" s="244" t="s">
        <v>63</v>
      </c>
      <c r="K10731" s="245"/>
      <c r="L10731" s="245">
        <v>2747.2527472527472</v>
      </c>
    </row>
    <row r="10732" spans="1:12" x14ac:dyDescent="0.2">
      <c r="A10732" s="246">
        <v>2024</v>
      </c>
      <c r="B10732" s="238">
        <v>3</v>
      </c>
      <c r="C10732" s="238">
        <v>7</v>
      </c>
      <c r="D10732" s="270">
        <f t="shared" si="1468"/>
        <v>45358</v>
      </c>
      <c r="E10732" s="279">
        <f t="shared" si="1469"/>
        <v>45358</v>
      </c>
      <c r="F10732" s="482" t="s">
        <v>137</v>
      </c>
      <c r="G10732" s="247" t="s">
        <v>94</v>
      </c>
      <c r="H10732" s="247" t="str" cm="1">
        <f t="array" ref="H10732">IFERROR(INDEX(INVESTOR_LIST[INVESTOR NAME],MATCH(I10732,INVESTOR_LIST[INVESTOR CODE],0),)," ")</f>
        <v xml:space="preserve"> </v>
      </c>
      <c r="I10732" s="248" t="s">
        <v>348</v>
      </c>
      <c r="J10732" s="249" t="s">
        <v>97</v>
      </c>
      <c r="K10732" s="250">
        <v>54584.471219774736</v>
      </c>
      <c r="L10732" s="252"/>
    </row>
    <row r="10733" spans="1:12" x14ac:dyDescent="0.2">
      <c r="A10733" s="242">
        <v>2024</v>
      </c>
      <c r="B10733" s="242">
        <v>3</v>
      </c>
      <c r="C10733" s="242">
        <v>7</v>
      </c>
      <c r="D10733" s="270">
        <f t="shared" si="1468"/>
        <v>45358</v>
      </c>
      <c r="E10733" s="279">
        <f t="shared" si="1469"/>
        <v>45358</v>
      </c>
      <c r="F10733" s="478"/>
      <c r="G10733" s="243" t="s">
        <v>94</v>
      </c>
      <c r="H10733" s="243" t="str" cm="1">
        <f t="array" ref="H10733">IFERROR(INDEX(INVESTOR_LIST[INVESTOR NAME],MATCH(I10733,INVESTOR_LIST[INVESTOR CODE],0),)," ")</f>
        <v xml:space="preserve"> </v>
      </c>
      <c r="I10733" s="263" t="s">
        <v>348</v>
      </c>
      <c r="J10733" s="244" t="s">
        <v>47</v>
      </c>
      <c r="K10733" s="245"/>
      <c r="L10733" s="245">
        <v>54584.471219774736</v>
      </c>
    </row>
    <row r="10734" spans="1:12" x14ac:dyDescent="0.2">
      <c r="A10734" s="246">
        <v>2024</v>
      </c>
      <c r="B10734" s="238">
        <v>3</v>
      </c>
      <c r="C10734" s="238">
        <v>7</v>
      </c>
      <c r="D10734" s="270">
        <f t="shared" si="1468"/>
        <v>45358</v>
      </c>
      <c r="E10734" s="279">
        <f t="shared" si="1469"/>
        <v>45358</v>
      </c>
      <c r="F10734" s="482" t="s">
        <v>138</v>
      </c>
      <c r="G10734" s="247" t="s">
        <v>94</v>
      </c>
      <c r="H10734" s="247" t="str" cm="1">
        <f t="array" ref="H10734">IFERROR(INDEX(INVESTOR_LIST[INVESTOR NAME],MATCH(I10734,INVESTOR_LIST[INVESTOR CODE],0),)," ")</f>
        <v xml:space="preserve"> </v>
      </c>
      <c r="I10734" s="248" t="s">
        <v>348</v>
      </c>
      <c r="J10734" s="249" t="s">
        <v>100</v>
      </c>
      <c r="K10734" s="250">
        <v>2488.8389456041214</v>
      </c>
      <c r="L10734" s="252"/>
    </row>
    <row r="10735" spans="1:12" x14ac:dyDescent="0.2">
      <c r="A10735" s="242">
        <v>2024</v>
      </c>
      <c r="B10735" s="242">
        <v>3</v>
      </c>
      <c r="C10735" s="242">
        <v>7</v>
      </c>
      <c r="D10735" s="321">
        <f t="shared" si="1468"/>
        <v>45358</v>
      </c>
      <c r="E10735" s="322">
        <f t="shared" si="1469"/>
        <v>45358</v>
      </c>
      <c r="F10735" s="478"/>
      <c r="G10735" s="243" t="s">
        <v>94</v>
      </c>
      <c r="H10735" s="243" t="str" cm="1">
        <f t="array" ref="H10735">IFERROR(INDEX(INVESTOR_LIST[INVESTOR NAME],MATCH(I10735,INVESTOR_LIST[INVESTOR CODE],0),)," ")</f>
        <v xml:space="preserve"> </v>
      </c>
      <c r="I10735" s="263" t="s">
        <v>348</v>
      </c>
      <c r="J10735" s="244" t="s">
        <v>48</v>
      </c>
      <c r="K10735" s="245"/>
      <c r="L10735" s="245">
        <v>2488.8389456041214</v>
      </c>
    </row>
    <row r="10736" spans="1:12" x14ac:dyDescent="0.2">
      <c r="A10736" s="168">
        <v>2024</v>
      </c>
      <c r="B10736" s="168">
        <v>3</v>
      </c>
      <c r="C10736" s="168">
        <v>10</v>
      </c>
      <c r="D10736" s="141">
        <f t="shared" si="1468"/>
        <v>45361</v>
      </c>
      <c r="E10736" s="275">
        <f t="shared" si="1469"/>
        <v>45361</v>
      </c>
      <c r="F10736" s="479" t="s">
        <v>1757</v>
      </c>
      <c r="G10736" s="220" t="s">
        <v>74</v>
      </c>
      <c r="H10736" s="220" t="str" cm="1">
        <f t="array" ref="H10736">IFERROR(INDEX(INVESTOR_LIST[INVESTOR NAME],MATCH(I10736,INVESTOR_LIST[INVESTOR CODE],0),)," ")</f>
        <v xml:space="preserve"> </v>
      </c>
      <c r="I10736" s="142"/>
      <c r="J10736" s="143" t="s">
        <v>52</v>
      </c>
      <c r="K10736" s="226">
        <v>14198701.939999999</v>
      </c>
      <c r="L10736" s="226"/>
    </row>
    <row r="10737" spans="1:17" ht="10.5" customHeight="1" x14ac:dyDescent="0.2">
      <c r="A10737" s="163">
        <v>2024</v>
      </c>
      <c r="B10737" s="163">
        <v>3</v>
      </c>
      <c r="C10737" s="163">
        <v>10</v>
      </c>
      <c r="D10737" s="280">
        <f>DATE(A10737,B10737,C10737)</f>
        <v>45361</v>
      </c>
      <c r="E10737" s="281">
        <f>DATE(A10737,B10737,C10737)</f>
        <v>45361</v>
      </c>
      <c r="F10737" s="480"/>
      <c r="G10737" s="221" t="s">
        <v>74</v>
      </c>
      <c r="H10737" s="221" t="str" cm="1">
        <f t="array" ref="H10737">IFERROR(INDEX(INVESTOR_LIST[INVESTOR NAME],MATCH(I10737,INVESTOR_LIST[INVESTOR CODE],0),)," ")</f>
        <v xml:space="preserve"> </v>
      </c>
      <c r="I10737" s="145"/>
      <c r="J10737" s="146" t="s">
        <v>190</v>
      </c>
      <c r="K10737" s="219"/>
      <c r="L10737" s="219">
        <v>14198701.939999999</v>
      </c>
    </row>
    <row r="10738" spans="1:17" ht="11.25" customHeight="1" x14ac:dyDescent="0.2">
      <c r="A10738" s="133">
        <v>2024</v>
      </c>
      <c r="B10738" s="133">
        <v>3</v>
      </c>
      <c r="C10738" s="133">
        <v>11</v>
      </c>
      <c r="D10738" s="141">
        <f>DATE(A10738,B10738,C10738)</f>
        <v>45362</v>
      </c>
      <c r="E10738" s="275">
        <f>DATE(A10738,B10738,C10738)</f>
        <v>45362</v>
      </c>
      <c r="F10738" s="481" t="s">
        <v>1903</v>
      </c>
      <c r="G10738" s="174" t="s">
        <v>74</v>
      </c>
      <c r="H10738" s="174" t="str" cm="1">
        <f t="array" ref="H10738">IFERROR(INDEX(INVESTOR_LIST[INVESTOR NAME],MATCH(I10738,INVESTOR_LIST[INVESTOR CODE],0),)," ")</f>
        <v xml:space="preserve"> </v>
      </c>
      <c r="I10738" s="148" t="s">
        <v>348</v>
      </c>
      <c r="J10738" s="149" t="s">
        <v>52</v>
      </c>
      <c r="K10738" s="218">
        <v>3000000</v>
      </c>
      <c r="L10738" s="218"/>
      <c r="M10738" s="147"/>
      <c r="Q10738" s="133" t="s">
        <v>348</v>
      </c>
    </row>
    <row r="10739" spans="1:17" x14ac:dyDescent="0.2">
      <c r="A10739" s="133">
        <v>2024</v>
      </c>
      <c r="B10739" s="133">
        <v>3</v>
      </c>
      <c r="C10739" s="133">
        <v>11</v>
      </c>
      <c r="D10739" s="141">
        <f t="shared" ref="D10739" si="1470">DATE(A10739,B10739,C10739)</f>
        <v>45362</v>
      </c>
      <c r="E10739" s="275">
        <f t="shared" ref="E10739" si="1471">DATE(A10739,B10739,C10739)</f>
        <v>45362</v>
      </c>
      <c r="F10739" s="481"/>
      <c r="G10739" s="174" t="s">
        <v>74</v>
      </c>
      <c r="H10739" s="174"/>
      <c r="J10739" s="149" t="s">
        <v>1809</v>
      </c>
      <c r="K10739" s="218"/>
      <c r="L10739" s="218">
        <v>79368</v>
      </c>
      <c r="M10739" s="147"/>
    </row>
    <row r="10740" spans="1:17" x14ac:dyDescent="0.2">
      <c r="A10740" s="163">
        <v>2024</v>
      </c>
      <c r="B10740" s="163">
        <v>3</v>
      </c>
      <c r="C10740" s="163">
        <v>11</v>
      </c>
      <c r="D10740" s="280">
        <f>DATE(A10740,B10740,C10740)</f>
        <v>45362</v>
      </c>
      <c r="E10740" s="281">
        <f>DATE(A10740,B10740,C10740)</f>
        <v>45362</v>
      </c>
      <c r="F10740" s="480"/>
      <c r="G10740" s="221" t="s">
        <v>74</v>
      </c>
      <c r="H10740" s="221" t="str" cm="1">
        <f t="array" ref="H10740">IFERROR(INDEX(INVESTOR_LIST[INVESTOR NAME],MATCH(I10740,INVESTOR_LIST[INVESTOR CODE],0),)," ")</f>
        <v xml:space="preserve"> </v>
      </c>
      <c r="I10740" s="145"/>
      <c r="J10740" s="146" t="s">
        <v>1764</v>
      </c>
      <c r="K10740" s="219"/>
      <c r="L10740" s="219">
        <v>2920632</v>
      </c>
      <c r="M10740" s="147"/>
      <c r="Q10740" s="133" t="s">
        <v>348</v>
      </c>
    </row>
    <row r="10741" spans="1:17" x14ac:dyDescent="0.2">
      <c r="A10741" s="133">
        <v>2024</v>
      </c>
      <c r="B10741" s="133">
        <v>3</v>
      </c>
      <c r="C10741" s="133">
        <v>11</v>
      </c>
      <c r="D10741" s="141">
        <f t="shared" si="1468"/>
        <v>45362</v>
      </c>
      <c r="E10741" s="275">
        <f t="shared" si="1469"/>
        <v>45362</v>
      </c>
      <c r="F10741" s="481" t="s">
        <v>1753</v>
      </c>
      <c r="G10741" s="174" t="s">
        <v>94</v>
      </c>
      <c r="H10741" s="174" t="str" cm="1">
        <f t="array" ref="H10741">IFERROR(INDEX(INVESTOR_LIST[INVESTOR NAME],MATCH(I10741,INVESTOR_LIST[INVESTOR CODE],0),)," ")</f>
        <v xml:space="preserve"> </v>
      </c>
      <c r="J10741" s="149" t="s">
        <v>190</v>
      </c>
      <c r="K10741" s="218">
        <v>401521.46</v>
      </c>
      <c r="L10741" s="218"/>
      <c r="M10741" s="160"/>
    </row>
    <row r="10742" spans="1:17" x14ac:dyDescent="0.2">
      <c r="A10742" s="133">
        <v>2024</v>
      </c>
      <c r="B10742" s="133">
        <v>3</v>
      </c>
      <c r="C10742" s="133">
        <v>11</v>
      </c>
      <c r="D10742" s="141">
        <f t="shared" si="1468"/>
        <v>45362</v>
      </c>
      <c r="E10742" s="275">
        <f t="shared" si="1469"/>
        <v>45362</v>
      </c>
      <c r="F10742" s="481"/>
      <c r="G10742" s="174" t="s">
        <v>94</v>
      </c>
      <c r="H10742" s="174"/>
      <c r="J10742" s="149" t="s">
        <v>80</v>
      </c>
      <c r="K10742" s="218">
        <v>724.04</v>
      </c>
      <c r="L10742" s="218"/>
      <c r="N10742" s="264"/>
    </row>
    <row r="10743" spans="1:17" x14ac:dyDescent="0.2">
      <c r="A10743" s="133">
        <v>2024</v>
      </c>
      <c r="B10743" s="133">
        <v>3</v>
      </c>
      <c r="C10743" s="133">
        <v>11</v>
      </c>
      <c r="D10743" s="141">
        <f t="shared" si="1468"/>
        <v>45362</v>
      </c>
      <c r="E10743" s="275">
        <f t="shared" si="1469"/>
        <v>45362</v>
      </c>
      <c r="F10743" s="481"/>
      <c r="G10743" s="174" t="s">
        <v>94</v>
      </c>
      <c r="H10743" s="174" t="str" cm="1">
        <f t="array" ref="H10743">IFERROR(INDEX(INVESTOR_LIST[INVESTOR NAME],MATCH(I10743,INVESTOR_LIST[INVESTOR CODE],0),)," ")</f>
        <v xml:space="preserve"> </v>
      </c>
      <c r="J10743" s="149" t="s">
        <v>191</v>
      </c>
      <c r="K10743" s="218">
        <v>67382.73</v>
      </c>
      <c r="L10743" s="218"/>
      <c r="N10743" s="264"/>
    </row>
    <row r="10744" spans="1:17" x14ac:dyDescent="0.2">
      <c r="A10744" s="163">
        <v>2024</v>
      </c>
      <c r="B10744" s="163">
        <v>3</v>
      </c>
      <c r="C10744" s="163">
        <v>11</v>
      </c>
      <c r="D10744" s="280">
        <f t="shared" si="1468"/>
        <v>45362</v>
      </c>
      <c r="E10744" s="281">
        <f t="shared" si="1469"/>
        <v>45362</v>
      </c>
      <c r="F10744" s="480"/>
      <c r="G10744" s="221" t="s">
        <v>94</v>
      </c>
      <c r="H10744" s="145" t="str" cm="1">
        <f t="array" ref="H10744">IFERROR(INDEX(INVESTOR_LIST[INVESTOR NAME],MATCH(I10744,INVESTOR_LIST[INVESTOR CODE],0),)," ")</f>
        <v xml:space="preserve"> </v>
      </c>
      <c r="I10744" s="145"/>
      <c r="J10744" s="163" t="s">
        <v>79</v>
      </c>
      <c r="K10744" s="219"/>
      <c r="L10744" s="219">
        <v>469628.23</v>
      </c>
      <c r="N10744" s="264"/>
    </row>
    <row r="10745" spans="1:17" x14ac:dyDescent="0.2">
      <c r="A10745" s="133">
        <v>2024</v>
      </c>
      <c r="B10745" s="133">
        <v>3</v>
      </c>
      <c r="C10745" s="133">
        <v>12</v>
      </c>
      <c r="D10745" s="141">
        <f t="shared" ref="D10745:D10751" si="1472">DATE(A10745,B10745,C10745)</f>
        <v>45363</v>
      </c>
      <c r="E10745" s="275">
        <f t="shared" ref="E10745:E10751" si="1473">DATE(A10745,B10745,C10745)</f>
        <v>45363</v>
      </c>
      <c r="F10745" s="481" t="s">
        <v>1753</v>
      </c>
      <c r="G10745" s="174" t="s">
        <v>94</v>
      </c>
      <c r="H10745" s="174" t="str" cm="1">
        <f t="array" ref="H10745">IFERROR(INDEX(INVESTOR_LIST[INVESTOR NAME],MATCH(I10745,INVESTOR_LIST[INVESTOR CODE],0),)," ")</f>
        <v xml:space="preserve"> </v>
      </c>
      <c r="J10745" s="149" t="s">
        <v>190</v>
      </c>
      <c r="K10745" s="218">
        <v>439208</v>
      </c>
      <c r="L10745" s="218"/>
      <c r="M10745" s="160"/>
    </row>
    <row r="10746" spans="1:17" x14ac:dyDescent="0.2">
      <c r="A10746" s="133">
        <v>2024</v>
      </c>
      <c r="B10746" s="133">
        <v>3</v>
      </c>
      <c r="C10746" s="133">
        <v>12</v>
      </c>
      <c r="D10746" s="141">
        <f t="shared" si="1472"/>
        <v>45363</v>
      </c>
      <c r="E10746" s="275">
        <f t="shared" si="1473"/>
        <v>45363</v>
      </c>
      <c r="F10746" s="481"/>
      <c r="G10746" s="174" t="s">
        <v>94</v>
      </c>
      <c r="H10746" s="174"/>
      <c r="J10746" s="149" t="s">
        <v>80</v>
      </c>
      <c r="K10746" s="218">
        <v>792</v>
      </c>
      <c r="L10746" s="218"/>
      <c r="N10746" s="264"/>
    </row>
    <row r="10747" spans="1:17" x14ac:dyDescent="0.2">
      <c r="A10747" s="133">
        <v>2024</v>
      </c>
      <c r="B10747" s="133">
        <v>3</v>
      </c>
      <c r="C10747" s="133">
        <v>12</v>
      </c>
      <c r="D10747" s="141">
        <f t="shared" si="1472"/>
        <v>45363</v>
      </c>
      <c r="E10747" s="275">
        <f t="shared" si="1473"/>
        <v>45363</v>
      </c>
      <c r="F10747" s="481"/>
      <c r="G10747" s="174" t="s">
        <v>94</v>
      </c>
      <c r="H10747" s="174" t="str" cm="1">
        <f t="array" ref="H10747">IFERROR(INDEX(INVESTOR_LIST[INVESTOR NAME],MATCH(I10747,INVESTOR_LIST[INVESTOR CODE],0),)," ")</f>
        <v xml:space="preserve"> </v>
      </c>
      <c r="J10747" s="149" t="s">
        <v>191</v>
      </c>
      <c r="K10747" s="218">
        <v>73816.44</v>
      </c>
      <c r="L10747" s="218"/>
      <c r="N10747" s="264"/>
    </row>
    <row r="10748" spans="1:17" x14ac:dyDescent="0.2">
      <c r="A10748" s="163">
        <v>2024</v>
      </c>
      <c r="B10748" s="163">
        <v>3</v>
      </c>
      <c r="C10748" s="163">
        <v>12</v>
      </c>
      <c r="D10748" s="280">
        <f t="shared" si="1472"/>
        <v>45363</v>
      </c>
      <c r="E10748" s="281">
        <f t="shared" si="1473"/>
        <v>45363</v>
      </c>
      <c r="F10748" s="480"/>
      <c r="G10748" s="221" t="s">
        <v>94</v>
      </c>
      <c r="H10748" s="145" t="str" cm="1">
        <f t="array" ref="H10748">IFERROR(INDEX(INVESTOR_LIST[INVESTOR NAME],MATCH(I10748,INVESTOR_LIST[INVESTOR CODE],0),)," ")</f>
        <v xml:space="preserve"> </v>
      </c>
      <c r="I10748" s="145"/>
      <c r="J10748" s="163" t="s">
        <v>79</v>
      </c>
      <c r="K10748" s="219"/>
      <c r="L10748" s="219">
        <v>513816.44</v>
      </c>
      <c r="N10748" s="264"/>
    </row>
    <row r="10749" spans="1:17" ht="11.25" customHeight="1" x14ac:dyDescent="0.2">
      <c r="A10749" s="168">
        <v>2024</v>
      </c>
      <c r="B10749" s="168">
        <v>3</v>
      </c>
      <c r="C10749" s="168">
        <v>12</v>
      </c>
      <c r="D10749" s="141">
        <f t="shared" si="1472"/>
        <v>45363</v>
      </c>
      <c r="E10749" s="275">
        <f t="shared" si="1473"/>
        <v>45363</v>
      </c>
      <c r="F10749" s="479" t="s">
        <v>965</v>
      </c>
      <c r="G10749" s="220" t="s">
        <v>74</v>
      </c>
      <c r="H10749" s="142" t="str" cm="1">
        <f t="array" ref="H10749">IFERROR(INDEX(INVESTOR_LIST[INVESTOR NAME],MATCH(I10749,INVESTOR_LIST[INVESTOR CODE],0),)," ")</f>
        <v>NITYANANDA BISWAS</v>
      </c>
      <c r="I10749" s="142" t="s">
        <v>749</v>
      </c>
      <c r="J10749" s="168" t="s">
        <v>13</v>
      </c>
      <c r="K10749" s="218">
        <v>4830</v>
      </c>
      <c r="L10749" s="226"/>
    </row>
    <row r="10750" spans="1:17" ht="11.25" customHeight="1" x14ac:dyDescent="0.2">
      <c r="A10750" s="133">
        <v>2024</v>
      </c>
      <c r="B10750" s="133">
        <v>3</v>
      </c>
      <c r="C10750" s="133">
        <v>12</v>
      </c>
      <c r="D10750" s="141">
        <f t="shared" si="1472"/>
        <v>45363</v>
      </c>
      <c r="E10750" s="275">
        <f t="shared" si="1473"/>
        <v>45363</v>
      </c>
      <c r="F10750" s="481"/>
      <c r="G10750" s="174" t="s">
        <v>74</v>
      </c>
      <c r="H10750" s="148" t="str" cm="1">
        <f t="array" ref="H10750">IFERROR(INDEX(INVESTOR_LIST[INVESTOR NAME],MATCH(I10750,INVESTOR_LIST[INVESTOR CODE],0),)," ")</f>
        <v>NITYANANDA BISWAS</v>
      </c>
      <c r="I10750" s="148" t="s">
        <v>749</v>
      </c>
      <c r="J10750" s="133" t="s">
        <v>53</v>
      </c>
      <c r="K10750" s="218">
        <v>841.39000000000033</v>
      </c>
      <c r="L10750" s="133"/>
    </row>
    <row r="10751" spans="1:17" ht="11.25" customHeight="1" x14ac:dyDescent="0.2">
      <c r="A10751" s="163">
        <v>2024</v>
      </c>
      <c r="B10751" s="163">
        <v>3</v>
      </c>
      <c r="C10751" s="163">
        <v>12</v>
      </c>
      <c r="D10751" s="280">
        <f t="shared" si="1472"/>
        <v>45363</v>
      </c>
      <c r="E10751" s="281">
        <f t="shared" si="1473"/>
        <v>45363</v>
      </c>
      <c r="F10751" s="480"/>
      <c r="G10751" s="221" t="s">
        <v>74</v>
      </c>
      <c r="H10751" s="145" t="str" cm="1">
        <f t="array" ref="H10751">IFERROR(INDEX(INVESTOR_LIST[INVESTOR NAME],MATCH(I10751,INVESTOR_LIST[INVESTOR CODE],0),)," ")</f>
        <v>NITYANANDA BISWAS</v>
      </c>
      <c r="I10751" s="145" t="s">
        <v>749</v>
      </c>
      <c r="J10751" s="163" t="s">
        <v>52</v>
      </c>
      <c r="K10751" s="219"/>
      <c r="L10751" s="219">
        <v>5671.39</v>
      </c>
    </row>
    <row r="10752" spans="1:17" ht="11.25" customHeight="1" x14ac:dyDescent="0.2">
      <c r="A10752" s="168">
        <v>2024</v>
      </c>
      <c r="B10752" s="168">
        <v>3</v>
      </c>
      <c r="C10752" s="168">
        <v>13</v>
      </c>
      <c r="D10752" s="141">
        <f t="shared" ref="D10752:D10754" si="1474">DATE(A10752,B10752,C10752)</f>
        <v>45364</v>
      </c>
      <c r="E10752" s="275">
        <f t="shared" ref="E10752:E10754" si="1475">DATE(A10752,B10752,C10752)</f>
        <v>45364</v>
      </c>
      <c r="F10752" s="479" t="s">
        <v>965</v>
      </c>
      <c r="G10752" s="220" t="s">
        <v>74</v>
      </c>
      <c r="H10752" s="142" t="str" cm="1">
        <f t="array" ref="H10752">IFERROR(INDEX(INVESTOR_LIST[INVESTOR NAME],MATCH(I10752,INVESTOR_LIST[INVESTOR CODE],0),)," ")</f>
        <v>MD JAMAL HOSSAIN</v>
      </c>
      <c r="I10752" s="142" t="s">
        <v>1600</v>
      </c>
      <c r="J10752" s="168" t="s">
        <v>13</v>
      </c>
      <c r="K10752" s="218">
        <v>8180</v>
      </c>
      <c r="L10752" s="226"/>
    </row>
    <row r="10753" spans="1:14" ht="11.25" customHeight="1" x14ac:dyDescent="0.2">
      <c r="A10753" s="133">
        <v>2024</v>
      </c>
      <c r="B10753" s="133">
        <v>3</v>
      </c>
      <c r="C10753" s="133">
        <v>13</v>
      </c>
      <c r="D10753" s="141">
        <f t="shared" si="1474"/>
        <v>45364</v>
      </c>
      <c r="E10753" s="275">
        <f t="shared" si="1475"/>
        <v>45364</v>
      </c>
      <c r="F10753" s="481"/>
      <c r="G10753" s="174" t="s">
        <v>74</v>
      </c>
      <c r="H10753" s="148" t="str" cm="1">
        <f t="array" ref="H10753">IFERROR(INDEX(INVESTOR_LIST[INVESTOR NAME],MATCH(I10753,INVESTOR_LIST[INVESTOR CODE],0),)," ")</f>
        <v>MD JAMAL HOSSAIN</v>
      </c>
      <c r="I10753" s="148" t="s">
        <v>1600</v>
      </c>
      <c r="J10753" s="133" t="s">
        <v>53</v>
      </c>
      <c r="K10753" s="218">
        <v>1424.9599999999991</v>
      </c>
      <c r="L10753" s="133"/>
    </row>
    <row r="10754" spans="1:14" ht="11.25" customHeight="1" x14ac:dyDescent="0.2">
      <c r="A10754" s="163">
        <v>2024</v>
      </c>
      <c r="B10754" s="163">
        <v>3</v>
      </c>
      <c r="C10754" s="163">
        <v>13</v>
      </c>
      <c r="D10754" s="280">
        <f t="shared" si="1474"/>
        <v>45364</v>
      </c>
      <c r="E10754" s="281">
        <f t="shared" si="1475"/>
        <v>45364</v>
      </c>
      <c r="F10754" s="480"/>
      <c r="G10754" s="221" t="s">
        <v>74</v>
      </c>
      <c r="H10754" s="145" t="str" cm="1">
        <f t="array" ref="H10754">IFERROR(INDEX(INVESTOR_LIST[INVESTOR NAME],MATCH(I10754,INVESTOR_LIST[INVESTOR CODE],0),)," ")</f>
        <v>MD JAMAL HOSSAIN</v>
      </c>
      <c r="I10754" s="145" t="s">
        <v>1600</v>
      </c>
      <c r="J10754" s="163" t="s">
        <v>52</v>
      </c>
      <c r="K10754" s="219"/>
      <c r="L10754" s="219">
        <v>9604.9599999999991</v>
      </c>
    </row>
    <row r="10755" spans="1:14" ht="11.25" customHeight="1" x14ac:dyDescent="0.2">
      <c r="A10755" s="168">
        <v>2024</v>
      </c>
      <c r="B10755" s="168">
        <v>3</v>
      </c>
      <c r="C10755" s="168">
        <v>13</v>
      </c>
      <c r="D10755" s="141">
        <f t="shared" ref="D10755:D10757" si="1476">DATE(A10755,B10755,C10755)</f>
        <v>45364</v>
      </c>
      <c r="E10755" s="275">
        <f t="shared" ref="E10755:E10757" si="1477">DATE(A10755,B10755,C10755)</f>
        <v>45364</v>
      </c>
      <c r="F10755" s="479" t="s">
        <v>965</v>
      </c>
      <c r="G10755" s="220" t="s">
        <v>74</v>
      </c>
      <c r="H10755" s="142" t="str" cm="1">
        <f t="array" ref="H10755">IFERROR(INDEX(INVESTOR_LIST[INVESTOR NAME],MATCH(I10755,INVESTOR_LIST[INVESTOR CODE],0),)," ")</f>
        <v>MIDLAND BANK LIMITED</v>
      </c>
      <c r="I10755" s="142" t="s">
        <v>561</v>
      </c>
      <c r="J10755" s="168" t="s">
        <v>13</v>
      </c>
      <c r="K10755" s="218">
        <v>1350000</v>
      </c>
      <c r="L10755" s="226"/>
    </row>
    <row r="10756" spans="1:14" ht="11.25" customHeight="1" x14ac:dyDescent="0.2">
      <c r="A10756" s="133">
        <v>2024</v>
      </c>
      <c r="B10756" s="133">
        <v>3</v>
      </c>
      <c r="C10756" s="133">
        <v>13</v>
      </c>
      <c r="D10756" s="141">
        <f t="shared" si="1476"/>
        <v>45364</v>
      </c>
      <c r="E10756" s="275">
        <f t="shared" si="1477"/>
        <v>45364</v>
      </c>
      <c r="F10756" s="481"/>
      <c r="G10756" s="174" t="s">
        <v>74</v>
      </c>
      <c r="H10756" s="148" t="str" cm="1">
        <f t="array" ref="H10756">IFERROR(INDEX(INVESTOR_LIST[INVESTOR NAME],MATCH(I10756,INVESTOR_LIST[INVESTOR CODE],0),)," ")</f>
        <v>MIDLAND BANK LIMITED</v>
      </c>
      <c r="I10756" s="148" t="s">
        <v>561</v>
      </c>
      <c r="J10756" s="133" t="s">
        <v>53</v>
      </c>
      <c r="K10756" s="218">
        <v>235170</v>
      </c>
      <c r="L10756" s="133"/>
    </row>
    <row r="10757" spans="1:14" ht="11.25" customHeight="1" x14ac:dyDescent="0.2">
      <c r="A10757" s="163">
        <v>2024</v>
      </c>
      <c r="B10757" s="163">
        <v>3</v>
      </c>
      <c r="C10757" s="163">
        <v>13</v>
      </c>
      <c r="D10757" s="280">
        <f t="shared" si="1476"/>
        <v>45364</v>
      </c>
      <c r="E10757" s="281">
        <f t="shared" si="1477"/>
        <v>45364</v>
      </c>
      <c r="F10757" s="480"/>
      <c r="G10757" s="221" t="s">
        <v>74</v>
      </c>
      <c r="H10757" s="145" t="str" cm="1">
        <f t="array" ref="H10757">IFERROR(INDEX(INVESTOR_LIST[INVESTOR NAME],MATCH(I10757,INVESTOR_LIST[INVESTOR CODE],0),)," ")</f>
        <v>MIDLAND BANK LIMITED</v>
      </c>
      <c r="I10757" s="145" t="s">
        <v>561</v>
      </c>
      <c r="J10757" s="163" t="s">
        <v>52</v>
      </c>
      <c r="K10757" s="219"/>
      <c r="L10757" s="219">
        <v>1585170</v>
      </c>
    </row>
    <row r="10758" spans="1:14" ht="11.25" customHeight="1" x14ac:dyDescent="0.2">
      <c r="A10758" s="168">
        <v>2024</v>
      </c>
      <c r="B10758" s="168">
        <v>3</v>
      </c>
      <c r="C10758" s="168">
        <v>13</v>
      </c>
      <c r="D10758" s="141">
        <f t="shared" ref="D10758:D10764" si="1478">DATE(A10758,B10758,C10758)</f>
        <v>45364</v>
      </c>
      <c r="E10758" s="275">
        <f t="shared" ref="E10758:E10764" si="1479">DATE(A10758,B10758,C10758)</f>
        <v>45364</v>
      </c>
      <c r="F10758" s="479" t="s">
        <v>965</v>
      </c>
      <c r="G10758" s="220" t="s">
        <v>74</v>
      </c>
      <c r="H10758" s="142" t="str" cm="1">
        <f t="array" ref="H10758">IFERROR(INDEX(INVESTOR_LIST[INVESTOR NAME],MATCH(I10758,INVESTOR_LIST[INVESTOR CODE],0),)," ")</f>
        <v>MD JAMAL HOSSAIN</v>
      </c>
      <c r="I10758" s="142" t="s">
        <v>1600</v>
      </c>
      <c r="J10758" s="168" t="s">
        <v>13</v>
      </c>
      <c r="K10758" s="218">
        <v>101650</v>
      </c>
      <c r="L10758" s="226"/>
    </row>
    <row r="10759" spans="1:14" ht="11.25" customHeight="1" x14ac:dyDescent="0.2">
      <c r="A10759" s="133">
        <v>2024</v>
      </c>
      <c r="B10759" s="133">
        <v>3</v>
      </c>
      <c r="C10759" s="133">
        <v>13</v>
      </c>
      <c r="D10759" s="141">
        <f t="shared" si="1478"/>
        <v>45364</v>
      </c>
      <c r="E10759" s="275">
        <f t="shared" si="1479"/>
        <v>45364</v>
      </c>
      <c r="F10759" s="481"/>
      <c r="G10759" s="174" t="s">
        <v>74</v>
      </c>
      <c r="H10759" s="148" t="str" cm="1">
        <f t="array" ref="H10759">IFERROR(INDEX(INVESTOR_LIST[INVESTOR NAME],MATCH(I10759,INVESTOR_LIST[INVESTOR CODE],0),)," ")</f>
        <v>MD JAMAL HOSSAIN</v>
      </c>
      <c r="I10759" s="148" t="s">
        <v>1600</v>
      </c>
      <c r="J10759" s="133" t="s">
        <v>53</v>
      </c>
      <c r="K10759" s="218">
        <v>23277.85</v>
      </c>
      <c r="L10759" s="133"/>
    </row>
    <row r="10760" spans="1:14" ht="11.25" customHeight="1" x14ac:dyDescent="0.2">
      <c r="A10760" s="163">
        <v>2024</v>
      </c>
      <c r="B10760" s="163">
        <v>3</v>
      </c>
      <c r="C10760" s="163">
        <v>13</v>
      </c>
      <c r="D10760" s="280">
        <f t="shared" si="1478"/>
        <v>45364</v>
      </c>
      <c r="E10760" s="281">
        <f t="shared" si="1479"/>
        <v>45364</v>
      </c>
      <c r="F10760" s="480"/>
      <c r="G10760" s="221" t="s">
        <v>74</v>
      </c>
      <c r="H10760" s="145" t="str" cm="1">
        <f t="array" ref="H10760">IFERROR(INDEX(INVESTOR_LIST[INVESTOR NAME],MATCH(I10760,INVESTOR_LIST[INVESTOR CODE],0),)," ")</f>
        <v>MD JAMAL HOSSAIN</v>
      </c>
      <c r="I10760" s="145" t="s">
        <v>1600</v>
      </c>
      <c r="J10760" s="163" t="s">
        <v>52</v>
      </c>
      <c r="K10760" s="219"/>
      <c r="L10760" s="219">
        <v>124927.85</v>
      </c>
    </row>
    <row r="10761" spans="1:14" x14ac:dyDescent="0.2">
      <c r="A10761" s="133">
        <v>2024</v>
      </c>
      <c r="B10761" s="133">
        <v>3</v>
      </c>
      <c r="C10761" s="133">
        <v>13</v>
      </c>
      <c r="D10761" s="141">
        <f t="shared" si="1478"/>
        <v>45364</v>
      </c>
      <c r="E10761" s="275">
        <f t="shared" si="1479"/>
        <v>45364</v>
      </c>
      <c r="F10761" s="481" t="s">
        <v>1753</v>
      </c>
      <c r="G10761" s="174" t="s">
        <v>94</v>
      </c>
      <c r="H10761" s="174" t="str" cm="1">
        <f t="array" ref="H10761">IFERROR(INDEX(INVESTOR_LIST[INVESTOR NAME],MATCH(I10761,INVESTOR_LIST[INVESTOR CODE],0),)," ")</f>
        <v xml:space="preserve"> </v>
      </c>
      <c r="J10761" s="149" t="s">
        <v>190</v>
      </c>
      <c r="K10761" s="218">
        <v>2158617.4900000002</v>
      </c>
      <c r="L10761" s="218"/>
      <c r="M10761" s="160"/>
    </row>
    <row r="10762" spans="1:14" x14ac:dyDescent="0.2">
      <c r="A10762" s="133">
        <v>2024</v>
      </c>
      <c r="B10762" s="133">
        <v>3</v>
      </c>
      <c r="C10762" s="133">
        <v>13</v>
      </c>
      <c r="D10762" s="141">
        <f t="shared" si="1478"/>
        <v>45364</v>
      </c>
      <c r="E10762" s="275">
        <f t="shared" si="1479"/>
        <v>45364</v>
      </c>
      <c r="F10762" s="481"/>
      <c r="G10762" s="174" t="s">
        <v>94</v>
      </c>
      <c r="H10762" s="174"/>
      <c r="J10762" s="149" t="s">
        <v>80</v>
      </c>
      <c r="K10762" s="218">
        <v>3892.51</v>
      </c>
      <c r="L10762" s="218"/>
      <c r="N10762" s="264"/>
    </row>
    <row r="10763" spans="1:14" x14ac:dyDescent="0.2">
      <c r="A10763" s="133">
        <v>2024</v>
      </c>
      <c r="B10763" s="133">
        <v>3</v>
      </c>
      <c r="C10763" s="133">
        <v>13</v>
      </c>
      <c r="D10763" s="141">
        <f t="shared" si="1478"/>
        <v>45364</v>
      </c>
      <c r="E10763" s="275">
        <f t="shared" si="1479"/>
        <v>45364</v>
      </c>
      <c r="F10763" s="481"/>
      <c r="G10763" s="174" t="s">
        <v>94</v>
      </c>
      <c r="H10763" s="174" t="str" cm="1">
        <f t="array" ref="H10763">IFERROR(INDEX(INVESTOR_LIST[INVESTOR NAME],MATCH(I10763,INVESTOR_LIST[INVESTOR CODE],0),)," ")</f>
        <v xml:space="preserve"> </v>
      </c>
      <c r="J10763" s="149" t="s">
        <v>191</v>
      </c>
      <c r="K10763" s="218">
        <v>406572.22</v>
      </c>
      <c r="L10763" s="218"/>
      <c r="N10763" s="264"/>
    </row>
    <row r="10764" spans="1:14" x14ac:dyDescent="0.2">
      <c r="A10764" s="163">
        <v>2024</v>
      </c>
      <c r="B10764" s="163">
        <v>3</v>
      </c>
      <c r="C10764" s="163">
        <v>13</v>
      </c>
      <c r="D10764" s="280">
        <f t="shared" si="1478"/>
        <v>45364</v>
      </c>
      <c r="E10764" s="281">
        <f t="shared" si="1479"/>
        <v>45364</v>
      </c>
      <c r="F10764" s="480"/>
      <c r="G10764" s="221" t="s">
        <v>94</v>
      </c>
      <c r="H10764" s="145" t="str" cm="1">
        <f t="array" ref="H10764">IFERROR(INDEX(INVESTOR_LIST[INVESTOR NAME],MATCH(I10764,INVESTOR_LIST[INVESTOR CODE],0),)," ")</f>
        <v xml:space="preserve"> </v>
      </c>
      <c r="I10764" s="145"/>
      <c r="J10764" s="163" t="s">
        <v>79</v>
      </c>
      <c r="K10764" s="219"/>
      <c r="L10764" s="219">
        <v>2569082.2200000002</v>
      </c>
      <c r="N10764" s="264"/>
    </row>
    <row r="10765" spans="1:14" x14ac:dyDescent="0.2">
      <c r="A10765" s="168">
        <v>2024</v>
      </c>
      <c r="B10765" s="168">
        <v>3</v>
      </c>
      <c r="C10765" s="168">
        <v>14</v>
      </c>
      <c r="D10765" s="141">
        <f>DATE(A10765,B10765,C10765)</f>
        <v>45365</v>
      </c>
      <c r="E10765" s="275">
        <f>DATE(A10765,B10765,C10765)</f>
        <v>45365</v>
      </c>
      <c r="F10765" s="479" t="s">
        <v>1757</v>
      </c>
      <c r="G10765" s="220" t="s">
        <v>74</v>
      </c>
      <c r="H10765" s="220" t="str" cm="1">
        <f t="array" ref="H10765">IFERROR(INDEX(INVESTOR_LIST[INVESTOR NAME],MATCH(I10765,INVESTOR_LIST[INVESTOR CODE],0),)," ")</f>
        <v xml:space="preserve"> </v>
      </c>
      <c r="I10765" s="142"/>
      <c r="J10765" s="143" t="s">
        <v>52</v>
      </c>
      <c r="K10765" s="226">
        <v>401521.46</v>
      </c>
      <c r="L10765" s="226"/>
    </row>
    <row r="10766" spans="1:14" ht="10.5" customHeight="1" x14ac:dyDescent="0.2">
      <c r="A10766" s="163">
        <v>2024</v>
      </c>
      <c r="B10766" s="163">
        <v>3</v>
      </c>
      <c r="C10766" s="163">
        <v>14</v>
      </c>
      <c r="D10766" s="280">
        <f>DATE(A10766,B10766,C10766)</f>
        <v>45365</v>
      </c>
      <c r="E10766" s="281">
        <f>DATE(A10766,B10766,C10766)</f>
        <v>45365</v>
      </c>
      <c r="F10766" s="480"/>
      <c r="G10766" s="221" t="s">
        <v>74</v>
      </c>
      <c r="H10766" s="221" t="str" cm="1">
        <f t="array" ref="H10766">IFERROR(INDEX(INVESTOR_LIST[INVESTOR NAME],MATCH(I10766,INVESTOR_LIST[INVESTOR CODE],0),)," ")</f>
        <v xml:space="preserve"> </v>
      </c>
      <c r="I10766" s="145"/>
      <c r="J10766" s="146" t="s">
        <v>190</v>
      </c>
      <c r="K10766" s="219"/>
      <c r="L10766" s="219">
        <v>401521.46</v>
      </c>
    </row>
    <row r="10767" spans="1:14" ht="11.25" customHeight="1" x14ac:dyDescent="0.2">
      <c r="A10767" s="168">
        <v>2024</v>
      </c>
      <c r="B10767" s="168">
        <v>3</v>
      </c>
      <c r="C10767" s="168">
        <v>14</v>
      </c>
      <c r="D10767" s="141">
        <f t="shared" ref="D10767:D10769" si="1480">DATE(A10767,B10767,C10767)</f>
        <v>45365</v>
      </c>
      <c r="E10767" s="275">
        <f t="shared" ref="E10767:E10769" si="1481">DATE(A10767,B10767,C10767)</f>
        <v>45365</v>
      </c>
      <c r="F10767" s="479" t="s">
        <v>1310</v>
      </c>
      <c r="G10767" s="220" t="s">
        <v>74</v>
      </c>
      <c r="H10767" s="142" t="str" cm="1">
        <f t="array" ref="H10767">IFERROR(INDEX(INVESTOR_LIST[INVESTOR NAME],MATCH(I10767,INVESTOR_LIST[INVESTOR CODE],0),)," ")</f>
        <v>MD. ASHADUL HOQUE</v>
      </c>
      <c r="I10767" s="142" t="s">
        <v>867</v>
      </c>
      <c r="J10767" s="168" t="s">
        <v>13</v>
      </c>
      <c r="K10767" s="218">
        <v>80</v>
      </c>
      <c r="L10767" s="226"/>
    </row>
    <row r="10768" spans="1:14" ht="11.25" customHeight="1" x14ac:dyDescent="0.2">
      <c r="A10768" s="133">
        <v>2024</v>
      </c>
      <c r="B10768" s="133">
        <v>3</v>
      </c>
      <c r="C10768" s="133">
        <v>14</v>
      </c>
      <c r="D10768" s="141">
        <f t="shared" si="1480"/>
        <v>45365</v>
      </c>
      <c r="E10768" s="275">
        <f t="shared" si="1481"/>
        <v>45365</v>
      </c>
      <c r="F10768" s="481"/>
      <c r="G10768" s="174" t="s">
        <v>74</v>
      </c>
      <c r="H10768" s="148" t="str" cm="1">
        <f t="array" ref="H10768">IFERROR(INDEX(INVESTOR_LIST[INVESTOR NAME],MATCH(I10768,INVESTOR_LIST[INVESTOR CODE],0),)," ")</f>
        <v>MD. ASHADUL HOQUE</v>
      </c>
      <c r="I10768" s="148" t="s">
        <v>867</v>
      </c>
      <c r="J10768" s="133" t="s">
        <v>53</v>
      </c>
      <c r="K10768" s="218">
        <v>12.5</v>
      </c>
      <c r="L10768" s="133"/>
    </row>
    <row r="10769" spans="1:13" ht="11.25" customHeight="1" x14ac:dyDescent="0.2">
      <c r="A10769" s="163">
        <v>2024</v>
      </c>
      <c r="B10769" s="163">
        <v>3</v>
      </c>
      <c r="C10769" s="163">
        <v>14</v>
      </c>
      <c r="D10769" s="280">
        <f t="shared" si="1480"/>
        <v>45365</v>
      </c>
      <c r="E10769" s="281">
        <f t="shared" si="1481"/>
        <v>45365</v>
      </c>
      <c r="F10769" s="480"/>
      <c r="G10769" s="221" t="s">
        <v>74</v>
      </c>
      <c r="H10769" s="145" t="str" cm="1">
        <f t="array" ref="H10769">IFERROR(INDEX(INVESTOR_LIST[INVESTOR NAME],MATCH(I10769,INVESTOR_LIST[INVESTOR CODE],0),)," ")</f>
        <v>MD. ASHADUL HOQUE</v>
      </c>
      <c r="I10769" s="145" t="s">
        <v>867</v>
      </c>
      <c r="J10769" s="163" t="s">
        <v>52</v>
      </c>
      <c r="K10769" s="219"/>
      <c r="L10769" s="219">
        <v>92.5</v>
      </c>
    </row>
    <row r="10770" spans="1:13" ht="12" customHeight="1" x14ac:dyDescent="0.2">
      <c r="A10770" s="168">
        <v>2024</v>
      </c>
      <c r="B10770" s="168">
        <v>3</v>
      </c>
      <c r="C10770" s="168">
        <v>14</v>
      </c>
      <c r="D10770" s="141">
        <f>DATE(A10770,B10770,C10770)</f>
        <v>45365</v>
      </c>
      <c r="E10770" s="275">
        <f>DATE(A10770,B10770,C10770)</f>
        <v>45365</v>
      </c>
      <c r="F10770" s="479" t="s">
        <v>1905</v>
      </c>
      <c r="G10770" s="220" t="s">
        <v>74</v>
      </c>
      <c r="H10770" s="142" t="str" cm="1">
        <f t="array" ref="H10770">IFERROR(INDEX(INVESTOR_LIST[INVESTOR NAME],MATCH(I10770,INVESTOR_LIST[INVESTOR CODE],0),)," ")</f>
        <v xml:space="preserve"> </v>
      </c>
      <c r="I10770" s="142"/>
      <c r="J10770" s="168" t="s">
        <v>358</v>
      </c>
      <c r="K10770" s="226">
        <f>1359659-M10770</f>
        <v>1347159</v>
      </c>
      <c r="L10770" s="226"/>
      <c r="M10770" s="133">
        <v>12500</v>
      </c>
    </row>
    <row r="10771" spans="1:13" ht="12" customHeight="1" x14ac:dyDescent="0.2">
      <c r="A10771" s="133">
        <v>2024</v>
      </c>
      <c r="B10771" s="133">
        <v>3</v>
      </c>
      <c r="C10771" s="133">
        <v>14</v>
      </c>
      <c r="D10771" s="141">
        <f t="shared" ref="D10771:D10793" si="1482">DATE(A10771,B10771,C10771)</f>
        <v>45365</v>
      </c>
      <c r="E10771" s="275">
        <f t="shared" ref="E10771:E10793" si="1483">DATE(A10771,B10771,C10771)</f>
        <v>45365</v>
      </c>
      <c r="F10771" s="481"/>
      <c r="G10771" s="174" t="s">
        <v>74</v>
      </c>
      <c r="J10771" s="133" t="s">
        <v>534</v>
      </c>
      <c r="K10771" s="218"/>
      <c r="L10771" s="218">
        <f>168542.33-M10771</f>
        <v>167292.32999999999</v>
      </c>
      <c r="M10771" s="133">
        <v>1250</v>
      </c>
    </row>
    <row r="10772" spans="1:13" ht="12" customHeight="1" x14ac:dyDescent="0.2">
      <c r="A10772" s="163">
        <v>2024</v>
      </c>
      <c r="B10772" s="163">
        <v>3</v>
      </c>
      <c r="C10772" s="163">
        <v>14</v>
      </c>
      <c r="D10772" s="280">
        <f t="shared" si="1482"/>
        <v>45365</v>
      </c>
      <c r="E10772" s="281">
        <f t="shared" si="1483"/>
        <v>45365</v>
      </c>
      <c r="F10772" s="480"/>
      <c r="G10772" s="221" t="s">
        <v>74</v>
      </c>
      <c r="H10772" s="145"/>
      <c r="I10772" s="145"/>
      <c r="J10772" s="163" t="s">
        <v>52</v>
      </c>
      <c r="K10772" s="219"/>
      <c r="L10772" s="219">
        <f>1191116.67-M10772</f>
        <v>1179866.67</v>
      </c>
      <c r="M10772" s="133">
        <v>11250</v>
      </c>
    </row>
    <row r="10773" spans="1:13" x14ac:dyDescent="0.2">
      <c r="A10773" s="168">
        <v>2024</v>
      </c>
      <c r="B10773" s="168">
        <v>3</v>
      </c>
      <c r="C10773" s="168">
        <v>14</v>
      </c>
      <c r="D10773" s="280">
        <f t="shared" si="1482"/>
        <v>45365</v>
      </c>
      <c r="E10773" s="281">
        <f t="shared" si="1483"/>
        <v>45365</v>
      </c>
      <c r="F10773" s="479" t="s">
        <v>966</v>
      </c>
      <c r="G10773" s="220" t="s">
        <v>94</v>
      </c>
      <c r="H10773" s="220" t="str" cm="1">
        <f t="array" ref="H10773">IFERROR(INDEX(INVESTOR_LIST[INVESTOR NAME],MATCH(I10773,INVESTOR_LIST[INVESTOR CODE],0),)," ")</f>
        <v xml:space="preserve"> </v>
      </c>
      <c r="I10773" s="142"/>
      <c r="J10773" s="310" t="s">
        <v>358</v>
      </c>
      <c r="K10773" s="226">
        <v>937540</v>
      </c>
      <c r="L10773" s="226"/>
    </row>
    <row r="10774" spans="1:13" x14ac:dyDescent="0.2">
      <c r="A10774" s="133">
        <v>2024</v>
      </c>
      <c r="B10774" s="133">
        <v>3</v>
      </c>
      <c r="C10774" s="133">
        <v>14</v>
      </c>
      <c r="D10774" s="280">
        <f t="shared" ref="D10774" si="1484">DATE(A10774,B10774,C10774)</f>
        <v>45365</v>
      </c>
      <c r="E10774" s="281">
        <f t="shared" ref="E10774" si="1485">DATE(A10774,B10774,C10774)</f>
        <v>45365</v>
      </c>
      <c r="F10774" s="481"/>
      <c r="G10774" s="174" t="s">
        <v>94</v>
      </c>
      <c r="H10774" s="174"/>
      <c r="J10774" s="312" t="s">
        <v>534</v>
      </c>
      <c r="K10774" s="218"/>
      <c r="L10774" s="218">
        <v>91766.720000000001</v>
      </c>
    </row>
    <row r="10775" spans="1:13" x14ac:dyDescent="0.2">
      <c r="A10775" s="133">
        <v>2024</v>
      </c>
      <c r="B10775" s="133">
        <v>3</v>
      </c>
      <c r="C10775" s="133">
        <v>14</v>
      </c>
      <c r="D10775" s="280">
        <f t="shared" si="1482"/>
        <v>45365</v>
      </c>
      <c r="E10775" s="281">
        <f t="shared" si="1483"/>
        <v>45365</v>
      </c>
      <c r="F10775" s="481"/>
      <c r="G10775" s="174" t="s">
        <v>94</v>
      </c>
      <c r="H10775" s="174" t="str" cm="1">
        <f t="array" ref="H10775">IFERROR(INDEX(INVESTOR_LIST[INVESTOR NAME],MATCH(I10775,INVESTOR_LIST[INVESTOR CODE],0),)," ")</f>
        <v xml:space="preserve"> </v>
      </c>
      <c r="J10775" s="312" t="s">
        <v>13</v>
      </c>
      <c r="K10775" s="218"/>
      <c r="L10775" s="218">
        <v>720290</v>
      </c>
    </row>
    <row r="10776" spans="1:13" x14ac:dyDescent="0.2">
      <c r="A10776" s="163">
        <v>2024</v>
      </c>
      <c r="B10776" s="163">
        <v>3</v>
      </c>
      <c r="C10776" s="163">
        <v>14</v>
      </c>
      <c r="D10776" s="280">
        <f t="shared" si="1482"/>
        <v>45365</v>
      </c>
      <c r="E10776" s="281">
        <f t="shared" si="1483"/>
        <v>45365</v>
      </c>
      <c r="F10776" s="480"/>
      <c r="G10776" s="221" t="s">
        <v>94</v>
      </c>
      <c r="H10776" s="221" t="str" cm="1">
        <f t="array" ref="H10776">IFERROR(INDEX(INVESTOR_LIST[INVESTOR NAME],MATCH(I10776,INVESTOR_LIST[INVESTOR CODE],0),)," ")</f>
        <v xml:space="preserve"> </v>
      </c>
      <c r="I10776" s="145"/>
      <c r="J10776" s="314" t="s">
        <v>53</v>
      </c>
      <c r="K10776" s="219"/>
      <c r="L10776" s="219">
        <v>125483.28</v>
      </c>
    </row>
    <row r="10777" spans="1:13" x14ac:dyDescent="0.2">
      <c r="A10777" s="168">
        <v>2024</v>
      </c>
      <c r="B10777" s="168">
        <v>3</v>
      </c>
      <c r="C10777" s="168">
        <v>14</v>
      </c>
      <c r="D10777" s="280">
        <f t="shared" ref="D10777:D10780" si="1486">DATE(A10777,B10777,C10777)</f>
        <v>45365</v>
      </c>
      <c r="E10777" s="281">
        <f t="shared" ref="E10777:E10780" si="1487">DATE(A10777,B10777,C10777)</f>
        <v>45365</v>
      </c>
      <c r="F10777" s="479" t="s">
        <v>966</v>
      </c>
      <c r="G10777" s="220" t="s">
        <v>94</v>
      </c>
      <c r="H10777" s="220" t="str" cm="1">
        <f t="array" ref="H10777">IFERROR(INDEX(INVESTOR_LIST[INVESTOR NAME],MATCH(I10777,INVESTOR_LIST[INVESTOR CODE],0),)," ")</f>
        <v xml:space="preserve"> </v>
      </c>
      <c r="I10777" s="142"/>
      <c r="J10777" s="310" t="s">
        <v>358</v>
      </c>
      <c r="K10777" s="226">
        <v>83</v>
      </c>
      <c r="L10777" s="226"/>
    </row>
    <row r="10778" spans="1:13" x14ac:dyDescent="0.2">
      <c r="A10778" s="133">
        <v>2024</v>
      </c>
      <c r="B10778" s="133">
        <v>3</v>
      </c>
      <c r="C10778" s="133">
        <v>14</v>
      </c>
      <c r="D10778" s="280">
        <f t="shared" si="1486"/>
        <v>45365</v>
      </c>
      <c r="E10778" s="281">
        <f t="shared" si="1487"/>
        <v>45365</v>
      </c>
      <c r="F10778" s="481"/>
      <c r="G10778" s="174" t="s">
        <v>94</v>
      </c>
      <c r="H10778" s="174"/>
      <c r="J10778" s="312" t="s">
        <v>534</v>
      </c>
      <c r="K10778" s="218"/>
      <c r="L10778" s="218">
        <v>8.3000000000000007</v>
      </c>
    </row>
    <row r="10779" spans="1:13" x14ac:dyDescent="0.2">
      <c r="A10779" s="133">
        <v>2024</v>
      </c>
      <c r="B10779" s="133">
        <v>3</v>
      </c>
      <c r="C10779" s="133">
        <v>14</v>
      </c>
      <c r="D10779" s="280">
        <f t="shared" si="1486"/>
        <v>45365</v>
      </c>
      <c r="E10779" s="281">
        <f t="shared" si="1487"/>
        <v>45365</v>
      </c>
      <c r="F10779" s="481"/>
      <c r="G10779" s="174" t="s">
        <v>94</v>
      </c>
      <c r="H10779" s="174" t="str" cm="1">
        <f t="array" ref="H10779">IFERROR(INDEX(INVESTOR_LIST[INVESTOR NAME],MATCH(I10779,INVESTOR_LIST[INVESTOR CODE],0),)," ")</f>
        <v xml:space="preserve"> </v>
      </c>
      <c r="J10779" s="312" t="s">
        <v>13</v>
      </c>
      <c r="K10779" s="218"/>
      <c r="L10779" s="218">
        <v>60</v>
      </c>
    </row>
    <row r="10780" spans="1:13" x14ac:dyDescent="0.2">
      <c r="A10780" s="163">
        <v>2024</v>
      </c>
      <c r="B10780" s="163">
        <v>3</v>
      </c>
      <c r="C10780" s="163">
        <v>14</v>
      </c>
      <c r="D10780" s="280">
        <f t="shared" si="1486"/>
        <v>45365</v>
      </c>
      <c r="E10780" s="281">
        <f t="shared" si="1487"/>
        <v>45365</v>
      </c>
      <c r="F10780" s="480"/>
      <c r="G10780" s="221" t="s">
        <v>94</v>
      </c>
      <c r="H10780" s="221" t="str" cm="1">
        <f t="array" ref="H10780">IFERROR(INDEX(INVESTOR_LIST[INVESTOR NAME],MATCH(I10780,INVESTOR_LIST[INVESTOR CODE],0),)," ")</f>
        <v xml:space="preserve"> </v>
      </c>
      <c r="I10780" s="145"/>
      <c r="J10780" s="314" t="s">
        <v>53</v>
      </c>
      <c r="K10780" s="219"/>
      <c r="L10780" s="219">
        <v>14.700000000000003</v>
      </c>
    </row>
    <row r="10781" spans="1:13" x14ac:dyDescent="0.2">
      <c r="A10781" s="343">
        <v>2024</v>
      </c>
      <c r="B10781" s="343">
        <v>3</v>
      </c>
      <c r="C10781" s="343">
        <v>14</v>
      </c>
      <c r="D10781" s="344">
        <f t="shared" si="1482"/>
        <v>45365</v>
      </c>
      <c r="E10781" s="345">
        <f t="shared" si="1483"/>
        <v>45365</v>
      </c>
      <c r="F10781" s="483" t="s">
        <v>1813</v>
      </c>
      <c r="G10781" s="350" t="s">
        <v>94</v>
      </c>
      <c r="H10781" s="350" t="str" cm="1">
        <f t="array" ref="H10781">IFERROR(INDEX(INVESTOR_LIST[INVESTOR NAME],MATCH(I10781,INVESTOR_LIST[INVESTOR CODE],0),)," ")</f>
        <v xml:space="preserve"> </v>
      </c>
      <c r="I10781" s="352" t="s">
        <v>348</v>
      </c>
      <c r="J10781" s="353" t="s">
        <v>1798</v>
      </c>
      <c r="K10781" s="354">
        <v>9774</v>
      </c>
      <c r="L10781" s="354"/>
    </row>
    <row r="10782" spans="1:13" x14ac:dyDescent="0.2">
      <c r="A10782" s="346">
        <v>2024</v>
      </c>
      <c r="B10782" s="346">
        <v>3</v>
      </c>
      <c r="C10782" s="346">
        <v>14</v>
      </c>
      <c r="D10782" s="344">
        <f t="shared" si="1482"/>
        <v>45365</v>
      </c>
      <c r="E10782" s="345">
        <f t="shared" si="1483"/>
        <v>45365</v>
      </c>
      <c r="F10782" s="484"/>
      <c r="G10782" s="347" t="s">
        <v>94</v>
      </c>
      <c r="H10782" s="347" t="str" cm="1">
        <f t="array" ref="H10782">IFERROR(INDEX(INVESTOR_LIST[INVESTOR NAME],MATCH(I10782,INVESTOR_LIST[INVESTOR CODE],0),)," ")</f>
        <v xml:space="preserve"> </v>
      </c>
      <c r="I10782" s="348" t="s">
        <v>348</v>
      </c>
      <c r="J10782" s="355" t="s">
        <v>1807</v>
      </c>
      <c r="K10782" s="349"/>
      <c r="L10782" s="349">
        <v>9774</v>
      </c>
    </row>
    <row r="10783" spans="1:13" x14ac:dyDescent="0.2">
      <c r="A10783" s="238">
        <v>2024</v>
      </c>
      <c r="B10783" s="238">
        <v>3</v>
      </c>
      <c r="C10783" s="238">
        <v>14</v>
      </c>
      <c r="D10783" s="270">
        <f t="shared" si="1482"/>
        <v>45365</v>
      </c>
      <c r="E10783" s="279">
        <f t="shared" si="1483"/>
        <v>45365</v>
      </c>
      <c r="F10783" s="477" t="s">
        <v>347</v>
      </c>
      <c r="G10783" s="239" t="s">
        <v>94</v>
      </c>
      <c r="H10783" s="239" t="str" cm="1">
        <f t="array" ref="H10783">IFERROR(INDEX(INVESTOR_LIST[INVESTOR NAME],MATCH(I10783,INVESTOR_LIST[INVESTOR CODE],0),)," ")</f>
        <v xml:space="preserve"> </v>
      </c>
      <c r="I10783" s="262" t="s">
        <v>348</v>
      </c>
      <c r="J10783" s="240" t="s">
        <v>108</v>
      </c>
      <c r="K10783" s="241">
        <v>1071826.4399999902</v>
      </c>
      <c r="L10783" s="241"/>
    </row>
    <row r="10784" spans="1:13" x14ac:dyDescent="0.2">
      <c r="A10784" s="242">
        <v>2024</v>
      </c>
      <c r="B10784" s="242">
        <v>3</v>
      </c>
      <c r="C10784" s="242">
        <v>14</v>
      </c>
      <c r="D10784" s="270">
        <f t="shared" si="1482"/>
        <v>45365</v>
      </c>
      <c r="E10784" s="279">
        <f t="shared" si="1483"/>
        <v>45365</v>
      </c>
      <c r="F10784" s="478"/>
      <c r="G10784" s="243" t="s">
        <v>94</v>
      </c>
      <c r="H10784" s="243" t="str" cm="1">
        <f t="array" ref="H10784">IFERROR(INDEX(INVESTOR_LIST[INVESTOR NAME],MATCH(I10784,INVESTOR_LIST[INVESTOR CODE],0),)," ")</f>
        <v xml:space="preserve"> </v>
      </c>
      <c r="I10784" s="263" t="s">
        <v>348</v>
      </c>
      <c r="J10784" s="244" t="s">
        <v>82</v>
      </c>
      <c r="K10784" s="245"/>
      <c r="L10784" s="245">
        <v>1071826.4399999902</v>
      </c>
    </row>
    <row r="10785" spans="1:12" ht="22.5" x14ac:dyDescent="0.2">
      <c r="A10785" s="246">
        <v>2024</v>
      </c>
      <c r="B10785" s="238">
        <v>3</v>
      </c>
      <c r="C10785" s="238">
        <v>14</v>
      </c>
      <c r="D10785" s="270">
        <f t="shared" si="1482"/>
        <v>45365</v>
      </c>
      <c r="E10785" s="279">
        <f t="shared" si="1483"/>
        <v>45365</v>
      </c>
      <c r="F10785" s="482" t="s">
        <v>148</v>
      </c>
      <c r="G10785" s="247" t="s">
        <v>94</v>
      </c>
      <c r="H10785" s="247" t="str" cm="1">
        <f t="array" ref="H10785">IFERROR(INDEX(INVESTOR_LIST[INVESTOR NAME],MATCH(I10785,INVESTOR_LIST[INVESTOR CODE],0),)," ")</f>
        <v xml:space="preserve"> </v>
      </c>
      <c r="I10785" s="248" t="s">
        <v>348</v>
      </c>
      <c r="J10785" s="249" t="s">
        <v>95</v>
      </c>
      <c r="K10785" s="250">
        <v>2747.2527472527472</v>
      </c>
      <c r="L10785" s="241"/>
    </row>
    <row r="10786" spans="1:12" x14ac:dyDescent="0.2">
      <c r="A10786" s="242">
        <v>2024</v>
      </c>
      <c r="B10786" s="242">
        <v>3</v>
      </c>
      <c r="C10786" s="242">
        <v>14</v>
      </c>
      <c r="D10786" s="270">
        <f t="shared" si="1482"/>
        <v>45365</v>
      </c>
      <c r="E10786" s="279">
        <f t="shared" si="1483"/>
        <v>45365</v>
      </c>
      <c r="F10786" s="478"/>
      <c r="G10786" s="243" t="s">
        <v>94</v>
      </c>
      <c r="H10786" s="243" t="str" cm="1">
        <f t="array" ref="H10786">IFERROR(INDEX(INVESTOR_LIST[INVESTOR NAME],MATCH(I10786,INVESTOR_LIST[INVESTOR CODE],0),)," ")</f>
        <v xml:space="preserve"> </v>
      </c>
      <c r="I10786" s="263" t="s">
        <v>348</v>
      </c>
      <c r="J10786" s="244" t="s">
        <v>63</v>
      </c>
      <c r="K10786" s="245"/>
      <c r="L10786" s="245">
        <v>2747.2527472527472</v>
      </c>
    </row>
    <row r="10787" spans="1:12" x14ac:dyDescent="0.2">
      <c r="A10787" s="246">
        <v>2024</v>
      </c>
      <c r="B10787" s="238">
        <v>3</v>
      </c>
      <c r="C10787" s="238">
        <v>14</v>
      </c>
      <c r="D10787" s="270">
        <f t="shared" si="1482"/>
        <v>45365</v>
      </c>
      <c r="E10787" s="279">
        <f t="shared" si="1483"/>
        <v>45365</v>
      </c>
      <c r="F10787" s="482" t="s">
        <v>137</v>
      </c>
      <c r="G10787" s="247" t="s">
        <v>94</v>
      </c>
      <c r="H10787" s="247" t="str" cm="1">
        <f t="array" ref="H10787">IFERROR(INDEX(INVESTOR_LIST[INVESTOR NAME],MATCH(I10787,INVESTOR_LIST[INVESTOR CODE],0),)," ")</f>
        <v xml:space="preserve"> </v>
      </c>
      <c r="I10787" s="248" t="s">
        <v>348</v>
      </c>
      <c r="J10787" s="249" t="s">
        <v>97</v>
      </c>
      <c r="K10787" s="250">
        <v>54448.100660962176</v>
      </c>
      <c r="L10787" s="252"/>
    </row>
    <row r="10788" spans="1:12" x14ac:dyDescent="0.2">
      <c r="A10788" s="242">
        <v>2024</v>
      </c>
      <c r="B10788" s="242">
        <v>3</v>
      </c>
      <c r="C10788" s="242">
        <v>14</v>
      </c>
      <c r="D10788" s="270">
        <f t="shared" si="1482"/>
        <v>45365</v>
      </c>
      <c r="E10788" s="279">
        <f t="shared" si="1483"/>
        <v>45365</v>
      </c>
      <c r="F10788" s="478"/>
      <c r="G10788" s="243" t="s">
        <v>94</v>
      </c>
      <c r="H10788" s="243" t="str" cm="1">
        <f t="array" ref="H10788">IFERROR(INDEX(INVESTOR_LIST[INVESTOR NAME],MATCH(I10788,INVESTOR_LIST[INVESTOR CODE],0),)," ")</f>
        <v xml:space="preserve"> </v>
      </c>
      <c r="I10788" s="263" t="s">
        <v>348</v>
      </c>
      <c r="J10788" s="244" t="s">
        <v>47</v>
      </c>
      <c r="K10788" s="245"/>
      <c r="L10788" s="245">
        <v>54448.100660962176</v>
      </c>
    </row>
    <row r="10789" spans="1:12" x14ac:dyDescent="0.2">
      <c r="A10789" s="246">
        <v>2024</v>
      </c>
      <c r="B10789" s="238">
        <v>3</v>
      </c>
      <c r="C10789" s="238">
        <v>14</v>
      </c>
      <c r="D10789" s="270">
        <f t="shared" si="1482"/>
        <v>45365</v>
      </c>
      <c r="E10789" s="279">
        <f t="shared" si="1483"/>
        <v>45365</v>
      </c>
      <c r="F10789" s="482" t="s">
        <v>138</v>
      </c>
      <c r="G10789" s="247" t="s">
        <v>94</v>
      </c>
      <c r="H10789" s="247" t="str" cm="1">
        <f t="array" ref="H10789">IFERROR(INDEX(INVESTOR_LIST[INVESTOR NAME],MATCH(I10789,INVESTOR_LIST[INVESTOR CODE],0),)," ")</f>
        <v xml:space="preserve"> </v>
      </c>
      <c r="I10789" s="248" t="s">
        <v>348</v>
      </c>
      <c r="J10789" s="249" t="s">
        <v>100</v>
      </c>
      <c r="K10789" s="250">
        <v>2482.0204176634934</v>
      </c>
      <c r="L10789" s="252"/>
    </row>
    <row r="10790" spans="1:12" x14ac:dyDescent="0.2">
      <c r="A10790" s="242">
        <v>2024</v>
      </c>
      <c r="B10790" s="242">
        <v>3</v>
      </c>
      <c r="C10790" s="242">
        <v>14</v>
      </c>
      <c r="D10790" s="321">
        <f t="shared" si="1482"/>
        <v>45365</v>
      </c>
      <c r="E10790" s="322">
        <f t="shared" si="1483"/>
        <v>45365</v>
      </c>
      <c r="F10790" s="478"/>
      <c r="G10790" s="243" t="s">
        <v>94</v>
      </c>
      <c r="H10790" s="243" t="str" cm="1">
        <f t="array" ref="H10790">IFERROR(INDEX(INVESTOR_LIST[INVESTOR NAME],MATCH(I10790,INVESTOR_LIST[INVESTOR CODE],0),)," ")</f>
        <v xml:space="preserve"> </v>
      </c>
      <c r="I10790" s="263" t="s">
        <v>348</v>
      </c>
      <c r="J10790" s="244" t="s">
        <v>48</v>
      </c>
      <c r="K10790" s="245"/>
      <c r="L10790" s="245">
        <v>2482.0204176634934</v>
      </c>
    </row>
    <row r="10791" spans="1:12" ht="11.25" customHeight="1" x14ac:dyDescent="0.2">
      <c r="A10791" s="168">
        <v>2024</v>
      </c>
      <c r="B10791" s="168">
        <v>3</v>
      </c>
      <c r="C10791" s="168">
        <v>18</v>
      </c>
      <c r="D10791" s="141">
        <f t="shared" si="1482"/>
        <v>45369</v>
      </c>
      <c r="E10791" s="275">
        <f t="shared" si="1483"/>
        <v>45369</v>
      </c>
      <c r="F10791" s="479" t="s">
        <v>1310</v>
      </c>
      <c r="G10791" s="220" t="s">
        <v>74</v>
      </c>
      <c r="H10791" s="142" t="str" cm="1">
        <f t="array" ref="H10791">IFERROR(INDEX(INVESTOR_LIST[INVESTOR NAME],MATCH(I10791,INVESTOR_LIST[INVESTOR CODE],0),)," ")</f>
        <v>BISWAS ARIFUR RAHMAN</v>
      </c>
      <c r="I10791" s="142" t="s">
        <v>375</v>
      </c>
      <c r="J10791" s="168" t="s">
        <v>13</v>
      </c>
      <c r="K10791" s="218">
        <v>84370</v>
      </c>
      <c r="L10791" s="226"/>
    </row>
    <row r="10792" spans="1:12" ht="11.25" customHeight="1" x14ac:dyDescent="0.2">
      <c r="A10792" s="133">
        <v>2024</v>
      </c>
      <c r="B10792" s="133">
        <v>3</v>
      </c>
      <c r="C10792" s="133">
        <v>18</v>
      </c>
      <c r="D10792" s="141">
        <f t="shared" si="1482"/>
        <v>45369</v>
      </c>
      <c r="E10792" s="275">
        <f t="shared" si="1483"/>
        <v>45369</v>
      </c>
      <c r="F10792" s="481"/>
      <c r="G10792" s="174" t="s">
        <v>74</v>
      </c>
      <c r="H10792" s="148" t="str" cm="1">
        <f t="array" ref="H10792">IFERROR(INDEX(INVESTOR_LIST[INVESTOR NAME],MATCH(I10792,INVESTOR_LIST[INVESTOR CODE],0),)," ")</f>
        <v>BISWAS ARIFUR RAHMAN</v>
      </c>
      <c r="I10792" s="148" t="s">
        <v>375</v>
      </c>
      <c r="J10792" s="133" t="s">
        <v>53</v>
      </c>
      <c r="K10792" s="218">
        <v>15093.789999999994</v>
      </c>
      <c r="L10792" s="133"/>
    </row>
    <row r="10793" spans="1:12" ht="11.25" customHeight="1" x14ac:dyDescent="0.2">
      <c r="A10793" s="163">
        <v>2024</v>
      </c>
      <c r="B10793" s="163">
        <v>3</v>
      </c>
      <c r="C10793" s="163">
        <v>18</v>
      </c>
      <c r="D10793" s="280">
        <f t="shared" si="1482"/>
        <v>45369</v>
      </c>
      <c r="E10793" s="281">
        <f t="shared" si="1483"/>
        <v>45369</v>
      </c>
      <c r="F10793" s="480"/>
      <c r="G10793" s="221" t="s">
        <v>74</v>
      </c>
      <c r="H10793" s="145" t="str" cm="1">
        <f t="array" ref="H10793">IFERROR(INDEX(INVESTOR_LIST[INVESTOR NAME],MATCH(I10793,INVESTOR_LIST[INVESTOR CODE],0),)," ")</f>
        <v>BISWAS ARIFUR RAHMAN</v>
      </c>
      <c r="I10793" s="145" t="s">
        <v>375</v>
      </c>
      <c r="J10793" s="163" t="s">
        <v>52</v>
      </c>
      <c r="K10793" s="219"/>
      <c r="L10793" s="219">
        <v>99463.79</v>
      </c>
    </row>
    <row r="10794" spans="1:12" x14ac:dyDescent="0.2">
      <c r="A10794" s="168">
        <v>2024</v>
      </c>
      <c r="B10794" s="168">
        <v>3</v>
      </c>
      <c r="C10794" s="168">
        <v>19</v>
      </c>
      <c r="D10794" s="141">
        <f>DATE(A10794,B10794,C10794)</f>
        <v>45370</v>
      </c>
      <c r="E10794" s="275">
        <f>DATE(A10794,B10794,C10794)</f>
        <v>45370</v>
      </c>
      <c r="F10794" s="479" t="s">
        <v>1757</v>
      </c>
      <c r="G10794" s="220" t="s">
        <v>74</v>
      </c>
      <c r="H10794" s="220" t="str" cm="1">
        <f t="array" ref="H10794">IFERROR(INDEX(INVESTOR_LIST[INVESTOR NAME],MATCH(I10794,INVESTOR_LIST[INVESTOR CODE],0),)," ")</f>
        <v xml:space="preserve"> </v>
      </c>
      <c r="I10794" s="142"/>
      <c r="J10794" s="143" t="s">
        <v>52</v>
      </c>
      <c r="K10794" s="226">
        <v>439208</v>
      </c>
      <c r="L10794" s="226"/>
    </row>
    <row r="10795" spans="1:12" ht="10.5" customHeight="1" x14ac:dyDescent="0.2">
      <c r="A10795" s="163">
        <v>2024</v>
      </c>
      <c r="B10795" s="163">
        <v>3</v>
      </c>
      <c r="C10795" s="163">
        <v>19</v>
      </c>
      <c r="D10795" s="280">
        <f>DATE(A10795,B10795,C10795)</f>
        <v>45370</v>
      </c>
      <c r="E10795" s="281">
        <f>DATE(A10795,B10795,C10795)</f>
        <v>45370</v>
      </c>
      <c r="F10795" s="480"/>
      <c r="G10795" s="221" t="s">
        <v>74</v>
      </c>
      <c r="H10795" s="221" t="str" cm="1">
        <f t="array" ref="H10795">IFERROR(INDEX(INVESTOR_LIST[INVESTOR NAME],MATCH(I10795,INVESTOR_LIST[INVESTOR CODE],0),)," ")</f>
        <v xml:space="preserve"> </v>
      </c>
      <c r="I10795" s="145"/>
      <c r="J10795" s="146" t="s">
        <v>190</v>
      </c>
      <c r="K10795" s="219"/>
      <c r="L10795" s="219">
        <v>439208</v>
      </c>
    </row>
    <row r="10796" spans="1:12" x14ac:dyDescent="0.2">
      <c r="A10796" s="168">
        <v>2024</v>
      </c>
      <c r="B10796" s="168">
        <v>3</v>
      </c>
      <c r="C10796" s="168">
        <v>19</v>
      </c>
      <c r="D10796" s="141">
        <f>DATE(A10796,B10796,C10796)</f>
        <v>45370</v>
      </c>
      <c r="E10796" s="275">
        <f>DATE(A10796,B10796,C10796)</f>
        <v>45370</v>
      </c>
      <c r="F10796" s="479" t="s">
        <v>1757</v>
      </c>
      <c r="G10796" s="220" t="s">
        <v>74</v>
      </c>
      <c r="H10796" s="220" t="str" cm="1">
        <f t="array" ref="H10796">IFERROR(INDEX(INVESTOR_LIST[INVESTOR NAME],MATCH(I10796,INVESTOR_LIST[INVESTOR CODE],0),)," ")</f>
        <v xml:space="preserve"> </v>
      </c>
      <c r="I10796" s="142"/>
      <c r="J10796" s="143" t="s">
        <v>52</v>
      </c>
      <c r="K10796" s="226">
        <v>2158617.4900000002</v>
      </c>
      <c r="L10796" s="226"/>
    </row>
    <row r="10797" spans="1:12" ht="10.5" customHeight="1" x14ac:dyDescent="0.2">
      <c r="A10797" s="163">
        <v>2024</v>
      </c>
      <c r="B10797" s="163">
        <v>3</v>
      </c>
      <c r="C10797" s="163">
        <v>19</v>
      </c>
      <c r="D10797" s="280">
        <f>DATE(A10797,B10797,C10797)</f>
        <v>45370</v>
      </c>
      <c r="E10797" s="281">
        <f>DATE(A10797,B10797,C10797)</f>
        <v>45370</v>
      </c>
      <c r="F10797" s="480"/>
      <c r="G10797" s="221" t="s">
        <v>74</v>
      </c>
      <c r="H10797" s="221" t="str" cm="1">
        <f t="array" ref="H10797">IFERROR(INDEX(INVESTOR_LIST[INVESTOR NAME],MATCH(I10797,INVESTOR_LIST[INVESTOR CODE],0),)," ")</f>
        <v xml:space="preserve"> </v>
      </c>
      <c r="I10797" s="145"/>
      <c r="J10797" s="146" t="s">
        <v>190</v>
      </c>
      <c r="K10797" s="219"/>
      <c r="L10797" s="219">
        <v>2158617.4900000002</v>
      </c>
    </row>
    <row r="10798" spans="1:12" x14ac:dyDescent="0.2">
      <c r="A10798" s="168">
        <v>2024</v>
      </c>
      <c r="B10798" s="168">
        <v>3</v>
      </c>
      <c r="C10798" s="168">
        <v>18</v>
      </c>
      <c r="D10798" s="141">
        <f t="shared" ref="D10798:D10805" si="1488">DATE(A10798,B10798,C10798)</f>
        <v>45369</v>
      </c>
      <c r="E10798" s="275">
        <f t="shared" ref="E10798:E10805" si="1489">DATE(A10798,B10798,C10798)</f>
        <v>45369</v>
      </c>
      <c r="F10798" s="479" t="s">
        <v>1319</v>
      </c>
      <c r="G10798" s="220" t="s">
        <v>74</v>
      </c>
      <c r="H10798" s="142" t="str" cm="1">
        <f t="array" ref="H10798">IFERROR(INDEX(INVESTOR_LIST[INVESTOR NAME],MATCH(I10798,INVESTOR_LIST[INVESTOR CODE],0),)," ")</f>
        <v xml:space="preserve"> </v>
      </c>
      <c r="I10798" s="142"/>
      <c r="J10798" s="168" t="s">
        <v>52</v>
      </c>
      <c r="K10798" s="226">
        <v>14000</v>
      </c>
      <c r="L10798" s="226"/>
    </row>
    <row r="10799" spans="1:12" x14ac:dyDescent="0.2">
      <c r="A10799" s="133">
        <v>2024</v>
      </c>
      <c r="B10799" s="133">
        <v>3</v>
      </c>
      <c r="C10799" s="133">
        <v>18</v>
      </c>
      <c r="D10799" s="141">
        <f t="shared" si="1488"/>
        <v>45369</v>
      </c>
      <c r="E10799" s="275">
        <f t="shared" si="1489"/>
        <v>45369</v>
      </c>
      <c r="F10799" s="481"/>
      <c r="G10799" s="174" t="s">
        <v>74</v>
      </c>
      <c r="H10799" s="148" t="str" cm="1">
        <f t="array" ref="H10799">IFERROR(INDEX(INVESTOR_LIST[INVESTOR NAME],MATCH(I10799,INVESTOR_LIST[INVESTOR CODE],0),)," ")</f>
        <v xml:space="preserve"> </v>
      </c>
      <c r="J10799" s="133" t="s">
        <v>13</v>
      </c>
      <c r="K10799" s="218"/>
      <c r="L10799" s="218">
        <v>11880</v>
      </c>
    </row>
    <row r="10800" spans="1:12" x14ac:dyDescent="0.2">
      <c r="A10800" s="163">
        <v>2024</v>
      </c>
      <c r="B10800" s="163">
        <v>3</v>
      </c>
      <c r="C10800" s="163">
        <v>18</v>
      </c>
      <c r="D10800" s="280">
        <f t="shared" si="1488"/>
        <v>45369</v>
      </c>
      <c r="E10800" s="281">
        <f t="shared" si="1489"/>
        <v>45369</v>
      </c>
      <c r="F10800" s="480"/>
      <c r="G10800" s="221" t="s">
        <v>74</v>
      </c>
      <c r="H10800" s="145" t="str" cm="1">
        <f t="array" ref="H10800">IFERROR(INDEX(INVESTOR_LIST[INVESTOR NAME],MATCH(I10800,INVESTOR_LIST[INVESTOR CODE],0),)," ")</f>
        <v xml:space="preserve"> </v>
      </c>
      <c r="I10800" s="145"/>
      <c r="J10800" s="163" t="s">
        <v>53</v>
      </c>
      <c r="K10800" s="219"/>
      <c r="L10800" s="219">
        <v>2120</v>
      </c>
    </row>
    <row r="10801" spans="1:17" x14ac:dyDescent="0.2">
      <c r="A10801" s="168">
        <v>2024</v>
      </c>
      <c r="B10801" s="168">
        <v>3</v>
      </c>
      <c r="C10801" s="168">
        <v>19</v>
      </c>
      <c r="D10801" s="141">
        <f t="shared" si="1488"/>
        <v>45370</v>
      </c>
      <c r="E10801" s="275">
        <f t="shared" si="1489"/>
        <v>45370</v>
      </c>
      <c r="F10801" s="479" t="s">
        <v>362</v>
      </c>
      <c r="G10801" s="220" t="s">
        <v>74</v>
      </c>
      <c r="H10801" s="220" t="str" cm="1">
        <f t="array" ref="H10801">IFERROR(INDEX(INVESTOR_LIST[INVESTOR NAME],MATCH(I10801,INVESTOR_LIST[INVESTOR CODE],0),)," ")</f>
        <v xml:space="preserve"> </v>
      </c>
      <c r="I10801" s="142" t="s">
        <v>348</v>
      </c>
      <c r="J10801" s="143" t="s">
        <v>104</v>
      </c>
      <c r="K10801" s="226">
        <v>2460.02</v>
      </c>
      <c r="L10801" s="226"/>
    </row>
    <row r="10802" spans="1:17" x14ac:dyDescent="0.2">
      <c r="A10802" s="163">
        <v>2024</v>
      </c>
      <c r="B10802" s="163">
        <v>3</v>
      </c>
      <c r="C10802" s="163">
        <v>19</v>
      </c>
      <c r="D10802" s="141">
        <f t="shared" si="1488"/>
        <v>45370</v>
      </c>
      <c r="E10802" s="275">
        <f t="shared" si="1489"/>
        <v>45370</v>
      </c>
      <c r="F10802" s="480"/>
      <c r="G10802" s="221" t="s">
        <v>74</v>
      </c>
      <c r="H10802" s="221" t="str" cm="1">
        <f t="array" ref="H10802">IFERROR(INDEX(INVESTOR_LIST[INVESTOR NAME],MATCH(I10802,INVESTOR_LIST[INVESTOR CODE],0),)," ")</f>
        <v xml:space="preserve"> </v>
      </c>
      <c r="I10802" s="145" t="s">
        <v>348</v>
      </c>
      <c r="J10802" s="146" t="s">
        <v>52</v>
      </c>
      <c r="K10802" s="219"/>
      <c r="L10802" s="219">
        <v>2460.02</v>
      </c>
    </row>
    <row r="10803" spans="1:17" ht="11.25" customHeight="1" x14ac:dyDescent="0.2">
      <c r="A10803" s="168">
        <v>2024</v>
      </c>
      <c r="B10803" s="168">
        <v>3</v>
      </c>
      <c r="C10803" s="168">
        <v>19</v>
      </c>
      <c r="D10803" s="141">
        <f t="shared" si="1488"/>
        <v>45370</v>
      </c>
      <c r="E10803" s="275">
        <f t="shared" si="1489"/>
        <v>45370</v>
      </c>
      <c r="F10803" s="479" t="s">
        <v>1310</v>
      </c>
      <c r="G10803" s="220" t="s">
        <v>74</v>
      </c>
      <c r="H10803" s="142" t="str" cm="1">
        <f t="array" ref="H10803">IFERROR(INDEX(INVESTOR_LIST[INVESTOR NAME],MATCH(I10803,INVESTOR_LIST[INVESTOR CODE],0),)," ")</f>
        <v>SYED FAZLE RABBY</v>
      </c>
      <c r="I10803" s="142" t="s">
        <v>427</v>
      </c>
      <c r="J10803" s="168" t="s">
        <v>13</v>
      </c>
      <c r="K10803" s="218">
        <v>11350</v>
      </c>
      <c r="L10803" s="226"/>
    </row>
    <row r="10804" spans="1:17" ht="11.25" customHeight="1" x14ac:dyDescent="0.2">
      <c r="A10804" s="133">
        <v>2024</v>
      </c>
      <c r="B10804" s="133">
        <v>3</v>
      </c>
      <c r="C10804" s="133">
        <v>19</v>
      </c>
      <c r="D10804" s="141">
        <f t="shared" si="1488"/>
        <v>45370</v>
      </c>
      <c r="E10804" s="275">
        <f t="shared" si="1489"/>
        <v>45370</v>
      </c>
      <c r="F10804" s="481"/>
      <c r="G10804" s="174" t="s">
        <v>74</v>
      </c>
      <c r="H10804" s="148" t="str" cm="1">
        <f t="array" ref="H10804">IFERROR(INDEX(INVESTOR_LIST[INVESTOR NAME],MATCH(I10804,INVESTOR_LIST[INVESTOR CODE],0),)," ")</f>
        <v>SYED FAZLE RABBY</v>
      </c>
      <c r="I10804" s="148" t="s">
        <v>427</v>
      </c>
      <c r="J10804" s="133" t="s">
        <v>53</v>
      </c>
      <c r="K10804" s="218">
        <v>2030.5200000000004</v>
      </c>
      <c r="L10804" s="133"/>
    </row>
    <row r="10805" spans="1:17" ht="11.25" customHeight="1" x14ac:dyDescent="0.2">
      <c r="A10805" s="163">
        <v>2024</v>
      </c>
      <c r="B10805" s="163">
        <v>3</v>
      </c>
      <c r="C10805" s="163">
        <v>19</v>
      </c>
      <c r="D10805" s="280">
        <f t="shared" si="1488"/>
        <v>45370</v>
      </c>
      <c r="E10805" s="281">
        <f t="shared" si="1489"/>
        <v>45370</v>
      </c>
      <c r="F10805" s="480"/>
      <c r="G10805" s="221" t="s">
        <v>74</v>
      </c>
      <c r="H10805" s="145" t="str" cm="1">
        <f t="array" ref="H10805">IFERROR(INDEX(INVESTOR_LIST[INVESTOR NAME],MATCH(I10805,INVESTOR_LIST[INVESTOR CODE],0),)," ")</f>
        <v>SYED FAZLE RABBY</v>
      </c>
      <c r="I10805" s="145" t="s">
        <v>427</v>
      </c>
      <c r="J10805" s="163" t="s">
        <v>52</v>
      </c>
      <c r="K10805" s="219"/>
      <c r="L10805" s="219">
        <v>13380.52</v>
      </c>
    </row>
    <row r="10806" spans="1:17" x14ac:dyDescent="0.2">
      <c r="A10806" s="133">
        <v>2024</v>
      </c>
      <c r="B10806" s="168">
        <v>3</v>
      </c>
      <c r="C10806" s="168">
        <v>21</v>
      </c>
      <c r="D10806" s="141">
        <f t="shared" ref="D10806:D10808" si="1490">DATE(A10806,B10806,C10806)</f>
        <v>45372</v>
      </c>
      <c r="E10806" s="275">
        <f t="shared" ref="E10806:E10808" si="1491">DATE(A10806,B10806,C10806)</f>
        <v>45372</v>
      </c>
      <c r="F10806" s="479" t="s">
        <v>275</v>
      </c>
      <c r="G10806" s="174" t="s">
        <v>74</v>
      </c>
      <c r="H10806" s="174" t="str" cm="1">
        <f t="array" ref="H10806">IFERROR(INDEX(INVESTOR_LIST[INVESTOR NAME],MATCH(I10806,INVESTOR_LIST[INVESTOR CODE],0),)," ")</f>
        <v xml:space="preserve"> </v>
      </c>
      <c r="I10806" s="148" t="s">
        <v>348</v>
      </c>
      <c r="J10806" s="149" t="s">
        <v>163</v>
      </c>
      <c r="K10806" s="218">
        <v>1575</v>
      </c>
      <c r="L10806" s="218"/>
      <c r="M10806" s="147"/>
      <c r="Q10806" s="133" t="s">
        <v>348</v>
      </c>
    </row>
    <row r="10807" spans="1:17" x14ac:dyDescent="0.2">
      <c r="A10807" s="133">
        <v>2024</v>
      </c>
      <c r="B10807" s="133">
        <v>3</v>
      </c>
      <c r="C10807" s="133">
        <v>21</v>
      </c>
      <c r="D10807" s="141">
        <f t="shared" si="1490"/>
        <v>45372</v>
      </c>
      <c r="E10807" s="275">
        <f t="shared" si="1491"/>
        <v>45372</v>
      </c>
      <c r="F10807" s="481"/>
      <c r="G10807" s="174" t="s">
        <v>74</v>
      </c>
      <c r="H10807" s="174"/>
      <c r="J10807" s="149" t="s">
        <v>1907</v>
      </c>
      <c r="K10807" s="218"/>
      <c r="L10807" s="218">
        <v>150</v>
      </c>
      <c r="M10807" s="147"/>
    </row>
    <row r="10808" spans="1:17" x14ac:dyDescent="0.2">
      <c r="A10808" s="163">
        <v>2024</v>
      </c>
      <c r="B10808" s="163">
        <v>3</v>
      </c>
      <c r="C10808" s="163">
        <v>21</v>
      </c>
      <c r="D10808" s="280">
        <f t="shared" si="1490"/>
        <v>45372</v>
      </c>
      <c r="E10808" s="281">
        <f t="shared" si="1491"/>
        <v>45372</v>
      </c>
      <c r="F10808" s="480"/>
      <c r="G10808" s="221" t="s">
        <v>74</v>
      </c>
      <c r="H10808" s="221" t="str" cm="1">
        <f t="array" ref="H10808">IFERROR(INDEX(INVESTOR_LIST[INVESTOR NAME],MATCH(I10808,INVESTOR_LIST[INVESTOR CODE],0),)," ")</f>
        <v xml:space="preserve"> </v>
      </c>
      <c r="I10808" s="145"/>
      <c r="J10808" s="146" t="s">
        <v>52</v>
      </c>
      <c r="K10808" s="219"/>
      <c r="L10808" s="219">
        <v>1500</v>
      </c>
      <c r="M10808" s="147"/>
      <c r="Q10808" s="133" t="s">
        <v>348</v>
      </c>
    </row>
    <row r="10809" spans="1:17" x14ac:dyDescent="0.2">
      <c r="A10809" s="343">
        <v>2024</v>
      </c>
      <c r="B10809" s="343">
        <v>3</v>
      </c>
      <c r="C10809" s="343">
        <v>21</v>
      </c>
      <c r="D10809" s="344">
        <f t="shared" ref="D10809:D10820" si="1492">DATE(A10809,B10809,C10809)</f>
        <v>45372</v>
      </c>
      <c r="E10809" s="345">
        <f t="shared" ref="E10809:E10820" si="1493">DATE(A10809,B10809,C10809)</f>
        <v>45372</v>
      </c>
      <c r="F10809" s="483" t="s">
        <v>1813</v>
      </c>
      <c r="G10809" s="350" t="s">
        <v>94</v>
      </c>
      <c r="H10809" s="350" t="str" cm="1">
        <f t="array" ref="H10809">IFERROR(INDEX(INVESTOR_LIST[INVESTOR NAME],MATCH(I10809,INVESTOR_LIST[INVESTOR CODE],0),)," ")</f>
        <v xml:space="preserve"> </v>
      </c>
      <c r="I10809" s="352" t="s">
        <v>348</v>
      </c>
      <c r="J10809" s="353" t="s">
        <v>1798</v>
      </c>
      <c r="K10809" s="354">
        <v>84243</v>
      </c>
      <c r="L10809" s="354"/>
    </row>
    <row r="10810" spans="1:17" x14ac:dyDescent="0.2">
      <c r="A10810" s="346">
        <v>2024</v>
      </c>
      <c r="B10810" s="346">
        <v>3</v>
      </c>
      <c r="C10810" s="346">
        <v>21</v>
      </c>
      <c r="D10810" s="344">
        <f t="shared" si="1492"/>
        <v>45372</v>
      </c>
      <c r="E10810" s="345">
        <f t="shared" si="1493"/>
        <v>45372</v>
      </c>
      <c r="F10810" s="484"/>
      <c r="G10810" s="347" t="s">
        <v>94</v>
      </c>
      <c r="H10810" s="347" t="str" cm="1">
        <f t="array" ref="H10810">IFERROR(INDEX(INVESTOR_LIST[INVESTOR NAME],MATCH(I10810,INVESTOR_LIST[INVESTOR CODE],0),)," ")</f>
        <v xml:space="preserve"> </v>
      </c>
      <c r="I10810" s="348" t="s">
        <v>348</v>
      </c>
      <c r="J10810" s="355" t="s">
        <v>1807</v>
      </c>
      <c r="K10810" s="349"/>
      <c r="L10810" s="349">
        <v>84243</v>
      </c>
    </row>
    <row r="10811" spans="1:17" x14ac:dyDescent="0.2">
      <c r="A10811" s="238">
        <v>2024</v>
      </c>
      <c r="B10811" s="238">
        <v>3</v>
      </c>
      <c r="C10811" s="238">
        <v>21</v>
      </c>
      <c r="D10811" s="270">
        <f t="shared" si="1492"/>
        <v>45372</v>
      </c>
      <c r="E10811" s="279">
        <f t="shared" si="1493"/>
        <v>45372</v>
      </c>
      <c r="F10811" s="477" t="s">
        <v>347</v>
      </c>
      <c r="G10811" s="239" t="s">
        <v>94</v>
      </c>
      <c r="H10811" s="239" t="str" cm="1">
        <f t="array" ref="H10811">IFERROR(INDEX(INVESTOR_LIST[INVESTOR NAME],MATCH(I10811,INVESTOR_LIST[INVESTOR CODE],0),)," ")</f>
        <v xml:space="preserve"> </v>
      </c>
      <c r="I10811" s="262" t="s">
        <v>348</v>
      </c>
      <c r="J10811" s="240" t="s">
        <v>108</v>
      </c>
      <c r="K10811" s="241">
        <v>943733.3200000003</v>
      </c>
      <c r="L10811" s="241"/>
    </row>
    <row r="10812" spans="1:17" x14ac:dyDescent="0.2">
      <c r="A10812" s="242">
        <v>2024</v>
      </c>
      <c r="B10812" s="242">
        <v>3</v>
      </c>
      <c r="C10812" s="242">
        <v>21</v>
      </c>
      <c r="D10812" s="270">
        <f t="shared" si="1492"/>
        <v>45372</v>
      </c>
      <c r="E10812" s="279">
        <f t="shared" si="1493"/>
        <v>45372</v>
      </c>
      <c r="F10812" s="478"/>
      <c r="G10812" s="243" t="s">
        <v>94</v>
      </c>
      <c r="H10812" s="243" t="str" cm="1">
        <f t="array" ref="H10812">IFERROR(INDEX(INVESTOR_LIST[INVESTOR NAME],MATCH(I10812,INVESTOR_LIST[INVESTOR CODE],0),)," ")</f>
        <v xml:space="preserve"> </v>
      </c>
      <c r="I10812" s="263" t="s">
        <v>348</v>
      </c>
      <c r="J10812" s="244" t="s">
        <v>82</v>
      </c>
      <c r="K10812" s="245"/>
      <c r="L10812" s="245">
        <v>943733.3200000003</v>
      </c>
    </row>
    <row r="10813" spans="1:17" ht="22.5" x14ac:dyDescent="0.2">
      <c r="A10813" s="246">
        <v>2024</v>
      </c>
      <c r="B10813" s="238">
        <v>3</v>
      </c>
      <c r="C10813" s="238">
        <v>21</v>
      </c>
      <c r="D10813" s="270">
        <f t="shared" si="1492"/>
        <v>45372</v>
      </c>
      <c r="E10813" s="279">
        <f t="shared" si="1493"/>
        <v>45372</v>
      </c>
      <c r="F10813" s="482" t="s">
        <v>148</v>
      </c>
      <c r="G10813" s="247" t="s">
        <v>94</v>
      </c>
      <c r="H10813" s="247" t="str" cm="1">
        <f t="array" ref="H10813">IFERROR(INDEX(INVESTOR_LIST[INVESTOR NAME],MATCH(I10813,INVESTOR_LIST[INVESTOR CODE],0),)," ")</f>
        <v xml:space="preserve"> </v>
      </c>
      <c r="I10813" s="248" t="s">
        <v>348</v>
      </c>
      <c r="J10813" s="249" t="s">
        <v>95</v>
      </c>
      <c r="K10813" s="250">
        <v>2747.2527472527472</v>
      </c>
      <c r="L10813" s="241"/>
    </row>
    <row r="10814" spans="1:17" x14ac:dyDescent="0.2">
      <c r="A10814" s="242">
        <v>2024</v>
      </c>
      <c r="B10814" s="242">
        <v>3</v>
      </c>
      <c r="C10814" s="242">
        <v>21</v>
      </c>
      <c r="D10814" s="270">
        <f t="shared" si="1492"/>
        <v>45372</v>
      </c>
      <c r="E10814" s="279">
        <f t="shared" si="1493"/>
        <v>45372</v>
      </c>
      <c r="F10814" s="478"/>
      <c r="G10814" s="243" t="s">
        <v>94</v>
      </c>
      <c r="H10814" s="243" t="str" cm="1">
        <f t="array" ref="H10814">IFERROR(INDEX(INVESTOR_LIST[INVESTOR NAME],MATCH(I10814,INVESTOR_LIST[INVESTOR CODE],0),)," ")</f>
        <v xml:space="preserve"> </v>
      </c>
      <c r="I10814" s="263" t="s">
        <v>348</v>
      </c>
      <c r="J10814" s="244" t="s">
        <v>63</v>
      </c>
      <c r="K10814" s="245"/>
      <c r="L10814" s="245">
        <v>2747.2527472527472</v>
      </c>
    </row>
    <row r="10815" spans="1:17" x14ac:dyDescent="0.2">
      <c r="A10815" s="246">
        <v>2024</v>
      </c>
      <c r="B10815" s="238">
        <v>3</v>
      </c>
      <c r="C10815" s="238">
        <v>21</v>
      </c>
      <c r="D10815" s="270">
        <f t="shared" si="1492"/>
        <v>45372</v>
      </c>
      <c r="E10815" s="279">
        <f t="shared" si="1493"/>
        <v>45372</v>
      </c>
      <c r="F10815" s="482" t="s">
        <v>137</v>
      </c>
      <c r="G10815" s="247" t="s">
        <v>94</v>
      </c>
      <c r="H10815" s="247" t="str" cm="1">
        <f t="array" ref="H10815">IFERROR(INDEX(INVESTOR_LIST[INVESTOR NAME],MATCH(I10815,INVESTOR_LIST[INVESTOR CODE],0),)," ")</f>
        <v xml:space="preserve"> </v>
      </c>
      <c r="I10815" s="248" t="s">
        <v>348</v>
      </c>
      <c r="J10815" s="249" t="s">
        <v>97</v>
      </c>
      <c r="K10815" s="250">
        <f>M10815</f>
        <v>54780.940771029149</v>
      </c>
      <c r="L10815" s="252"/>
      <c r="M10815" s="133">
        <v>54780.940771029149</v>
      </c>
    </row>
    <row r="10816" spans="1:17" x14ac:dyDescent="0.2">
      <c r="A10816" s="242">
        <v>2024</v>
      </c>
      <c r="B10816" s="242">
        <v>3</v>
      </c>
      <c r="C10816" s="242">
        <v>21</v>
      </c>
      <c r="D10816" s="270">
        <f t="shared" si="1492"/>
        <v>45372</v>
      </c>
      <c r="E10816" s="279">
        <f t="shared" si="1493"/>
        <v>45372</v>
      </c>
      <c r="F10816" s="478"/>
      <c r="G10816" s="243" t="s">
        <v>94</v>
      </c>
      <c r="H10816" s="243" t="str" cm="1">
        <f t="array" ref="H10816">IFERROR(INDEX(INVESTOR_LIST[INVESTOR NAME],MATCH(I10816,INVESTOR_LIST[INVESTOR CODE],0),)," ")</f>
        <v xml:space="preserve"> </v>
      </c>
      <c r="I10816" s="263" t="s">
        <v>348</v>
      </c>
      <c r="J10816" s="244" t="s">
        <v>47</v>
      </c>
      <c r="K10816" s="245"/>
      <c r="L10816" s="245">
        <f>K10815</f>
        <v>54780.940771029149</v>
      </c>
      <c r="M10816" s="133">
        <v>2498.662423166842</v>
      </c>
    </row>
    <row r="10817" spans="1:17" x14ac:dyDescent="0.2">
      <c r="A10817" s="246">
        <v>2024</v>
      </c>
      <c r="B10817" s="238">
        <v>3</v>
      </c>
      <c r="C10817" s="238">
        <v>21</v>
      </c>
      <c r="D10817" s="270">
        <f t="shared" si="1492"/>
        <v>45372</v>
      </c>
      <c r="E10817" s="279">
        <f t="shared" si="1493"/>
        <v>45372</v>
      </c>
      <c r="F10817" s="482" t="s">
        <v>138</v>
      </c>
      <c r="G10817" s="247" t="s">
        <v>94</v>
      </c>
      <c r="H10817" s="247" t="str" cm="1">
        <f t="array" ref="H10817">IFERROR(INDEX(INVESTOR_LIST[INVESTOR NAME],MATCH(I10817,INVESTOR_LIST[INVESTOR CODE],0),)," ")</f>
        <v xml:space="preserve"> </v>
      </c>
      <c r="I10817" s="248" t="s">
        <v>348</v>
      </c>
      <c r="J10817" s="249" t="s">
        <v>100</v>
      </c>
      <c r="K10817" s="250">
        <f>M10816</f>
        <v>2498.662423166842</v>
      </c>
      <c r="L10817" s="252"/>
    </row>
    <row r="10818" spans="1:17" x14ac:dyDescent="0.2">
      <c r="A10818" s="242">
        <v>2024</v>
      </c>
      <c r="B10818" s="242">
        <v>3</v>
      </c>
      <c r="C10818" s="242">
        <v>21</v>
      </c>
      <c r="D10818" s="321">
        <f t="shared" si="1492"/>
        <v>45372</v>
      </c>
      <c r="E10818" s="322">
        <f t="shared" si="1493"/>
        <v>45372</v>
      </c>
      <c r="F10818" s="478"/>
      <c r="G10818" s="243" t="s">
        <v>94</v>
      </c>
      <c r="H10818" s="243" t="str" cm="1">
        <f t="array" ref="H10818">IFERROR(INDEX(INVESTOR_LIST[INVESTOR NAME],MATCH(I10818,INVESTOR_LIST[INVESTOR CODE],0),)," ")</f>
        <v xml:space="preserve"> </v>
      </c>
      <c r="I10818" s="263" t="s">
        <v>348</v>
      </c>
      <c r="J10818" s="244" t="s">
        <v>48</v>
      </c>
      <c r="K10818" s="245"/>
      <c r="L10818" s="245">
        <f>K10817</f>
        <v>2498.662423166842</v>
      </c>
    </row>
    <row r="10819" spans="1:17" x14ac:dyDescent="0.2">
      <c r="A10819" s="168">
        <v>2024</v>
      </c>
      <c r="B10819" s="168">
        <v>3</v>
      </c>
      <c r="C10819" s="168">
        <v>24</v>
      </c>
      <c r="D10819" s="141">
        <f t="shared" si="1492"/>
        <v>45375</v>
      </c>
      <c r="E10819" s="275">
        <f t="shared" si="1493"/>
        <v>45375</v>
      </c>
      <c r="F10819" s="479" t="s">
        <v>1908</v>
      </c>
      <c r="G10819" s="220" t="s">
        <v>74</v>
      </c>
      <c r="H10819" s="220" t="str" cm="1">
        <f t="array" ref="H10819">IFERROR(INDEX(INVESTOR_LIST[INVESTOR NAME],MATCH(I10819,INVESTOR_LIST[INVESTOR CODE],0),)," ")</f>
        <v xml:space="preserve"> </v>
      </c>
      <c r="I10819" s="142" t="s">
        <v>348</v>
      </c>
      <c r="J10819" s="143" t="s">
        <v>1907</v>
      </c>
      <c r="K10819" s="226">
        <v>150</v>
      </c>
      <c r="L10819" s="226"/>
      <c r="M10819" s="147"/>
      <c r="Q10819" s="133" t="s">
        <v>348</v>
      </c>
    </row>
    <row r="10820" spans="1:17" x14ac:dyDescent="0.2">
      <c r="A10820" s="163">
        <v>2024</v>
      </c>
      <c r="B10820" s="163">
        <v>3</v>
      </c>
      <c r="C10820" s="163">
        <v>24</v>
      </c>
      <c r="D10820" s="280">
        <f t="shared" si="1492"/>
        <v>45375</v>
      </c>
      <c r="E10820" s="281">
        <f t="shared" si="1493"/>
        <v>45375</v>
      </c>
      <c r="F10820" s="480"/>
      <c r="G10820" s="221" t="s">
        <v>74</v>
      </c>
      <c r="H10820" s="221"/>
      <c r="I10820" s="145"/>
      <c r="J10820" s="146" t="s">
        <v>52</v>
      </c>
      <c r="K10820" s="219"/>
      <c r="L10820" s="219">
        <v>150</v>
      </c>
      <c r="M10820" s="147"/>
    </row>
    <row r="10821" spans="1:17" x14ac:dyDescent="0.2">
      <c r="A10821" s="168">
        <v>2024</v>
      </c>
      <c r="B10821" s="168">
        <v>3</v>
      </c>
      <c r="C10821" s="168">
        <v>24</v>
      </c>
      <c r="D10821" s="141">
        <f t="shared" ref="D10821:D10825" si="1494">DATE(A10821,B10821,C10821)</f>
        <v>45375</v>
      </c>
      <c r="E10821" s="275">
        <f t="shared" ref="E10821:E10825" si="1495">DATE(A10821,B10821,C10821)</f>
        <v>45375</v>
      </c>
      <c r="F10821" s="479" t="s">
        <v>1909</v>
      </c>
      <c r="G10821" s="220" t="s">
        <v>74</v>
      </c>
      <c r="H10821" s="220" t="str" cm="1">
        <f t="array" ref="H10821">IFERROR(INDEX(INVESTOR_LIST[INVESTOR NAME],MATCH(I10821,INVESTOR_LIST[INVESTOR CODE],0),)," ")</f>
        <v xml:space="preserve"> </v>
      </c>
      <c r="I10821" s="142" t="s">
        <v>348</v>
      </c>
      <c r="J10821" s="143" t="s">
        <v>1906</v>
      </c>
      <c r="K10821" s="226">
        <v>250</v>
      </c>
      <c r="L10821" s="226"/>
      <c r="M10821" s="147"/>
      <c r="Q10821" s="133" t="s">
        <v>348</v>
      </c>
    </row>
    <row r="10822" spans="1:17" x14ac:dyDescent="0.2">
      <c r="A10822" s="163">
        <v>2024</v>
      </c>
      <c r="B10822" s="163">
        <v>3</v>
      </c>
      <c r="C10822" s="163">
        <v>24</v>
      </c>
      <c r="D10822" s="280">
        <f t="shared" si="1494"/>
        <v>45375</v>
      </c>
      <c r="E10822" s="281">
        <f t="shared" si="1495"/>
        <v>45375</v>
      </c>
      <c r="F10822" s="480"/>
      <c r="G10822" s="221" t="s">
        <v>74</v>
      </c>
      <c r="H10822" s="221"/>
      <c r="I10822" s="145"/>
      <c r="J10822" s="146" t="s">
        <v>52</v>
      </c>
      <c r="K10822" s="219"/>
      <c r="L10822" s="219">
        <v>250</v>
      </c>
      <c r="M10822" s="147"/>
    </row>
    <row r="10823" spans="1:17" x14ac:dyDescent="0.2">
      <c r="A10823" s="133">
        <v>2024</v>
      </c>
      <c r="B10823" s="168">
        <v>3</v>
      </c>
      <c r="C10823" s="168">
        <v>24</v>
      </c>
      <c r="D10823" s="141">
        <f t="shared" si="1494"/>
        <v>45375</v>
      </c>
      <c r="E10823" s="275">
        <f t="shared" si="1495"/>
        <v>45375</v>
      </c>
      <c r="F10823" s="481" t="s">
        <v>982</v>
      </c>
      <c r="G10823" s="174" t="s">
        <v>74</v>
      </c>
      <c r="H10823" s="174" t="str" cm="1">
        <f t="array" ref="H10823">IFERROR(INDEX(INVESTOR_LIST[INVESTOR NAME],MATCH(I10823,INVESTOR_LIST[INVESTOR CODE],0),)," ")</f>
        <v xml:space="preserve"> </v>
      </c>
      <c r="I10823" s="148" t="s">
        <v>348</v>
      </c>
      <c r="J10823" s="149" t="s">
        <v>163</v>
      </c>
      <c r="K10823" s="218">
        <v>3750</v>
      </c>
      <c r="L10823" s="218"/>
    </row>
    <row r="10824" spans="1:17" x14ac:dyDescent="0.2">
      <c r="A10824" s="133">
        <v>2024</v>
      </c>
      <c r="B10824" s="133">
        <v>3</v>
      </c>
      <c r="C10824" s="133">
        <v>24</v>
      </c>
      <c r="D10824" s="141">
        <f t="shared" si="1494"/>
        <v>45375</v>
      </c>
      <c r="E10824" s="275">
        <f t="shared" si="1495"/>
        <v>45375</v>
      </c>
      <c r="F10824" s="481"/>
      <c r="G10824" s="174" t="s">
        <v>201</v>
      </c>
      <c r="H10824" s="174"/>
      <c r="J10824" s="149" t="s">
        <v>1906</v>
      </c>
      <c r="K10824" s="218"/>
      <c r="L10824" s="218">
        <v>188</v>
      </c>
    </row>
    <row r="10825" spans="1:17" x14ac:dyDescent="0.2">
      <c r="A10825" s="163">
        <v>2024</v>
      </c>
      <c r="B10825" s="163">
        <v>3</v>
      </c>
      <c r="C10825" s="163">
        <v>24</v>
      </c>
      <c r="D10825" s="280">
        <f t="shared" si="1494"/>
        <v>45375</v>
      </c>
      <c r="E10825" s="281">
        <f t="shared" si="1495"/>
        <v>45375</v>
      </c>
      <c r="F10825" s="480"/>
      <c r="G10825" s="221" t="s">
        <v>74</v>
      </c>
      <c r="H10825" s="221" t="str" cm="1">
        <f t="array" ref="H10825">IFERROR(INDEX(INVESTOR_LIST[INVESTOR NAME],MATCH(I10825,INVESTOR_LIST[INVESTOR CODE],0),)," ")</f>
        <v xml:space="preserve"> </v>
      </c>
      <c r="I10825" s="145" t="s">
        <v>348</v>
      </c>
      <c r="J10825" s="146" t="s">
        <v>52</v>
      </c>
      <c r="K10825" s="219"/>
      <c r="L10825" s="219">
        <v>3562</v>
      </c>
    </row>
    <row r="10826" spans="1:17" ht="12" customHeight="1" x14ac:dyDescent="0.2">
      <c r="A10826" s="168">
        <v>2024</v>
      </c>
      <c r="B10826" s="168">
        <v>3</v>
      </c>
      <c r="C10826" s="168">
        <v>25</v>
      </c>
      <c r="D10826" s="141">
        <f>DATE(A10826,B10826,C10826)</f>
        <v>45376</v>
      </c>
      <c r="E10826" s="275">
        <f>DATE(A10826,B10826,C10826)</f>
        <v>45376</v>
      </c>
      <c r="F10826" s="479" t="s">
        <v>1905</v>
      </c>
      <c r="G10826" s="220" t="s">
        <v>74</v>
      </c>
      <c r="H10826" s="142" t="str" cm="1">
        <f t="array" ref="H10826">IFERROR(INDEX(INVESTOR_LIST[INVESTOR NAME],MATCH(I10826,INVESTOR_LIST[INVESTOR CODE],0),)," ")</f>
        <v xml:space="preserve"> </v>
      </c>
      <c r="I10826" s="142"/>
      <c r="J10826" s="168" t="s">
        <v>358</v>
      </c>
      <c r="K10826" s="226">
        <v>446587</v>
      </c>
      <c r="L10826" s="226"/>
    </row>
    <row r="10827" spans="1:17" ht="12" customHeight="1" x14ac:dyDescent="0.2">
      <c r="A10827" s="133">
        <v>2024</v>
      </c>
      <c r="B10827" s="133">
        <v>3</v>
      </c>
      <c r="C10827" s="133">
        <v>25</v>
      </c>
      <c r="D10827" s="141">
        <f>DATE(A10827,B10827,C10827)</f>
        <v>45376</v>
      </c>
      <c r="E10827" s="275">
        <f>DATE(A10827,B10827,C10827)</f>
        <v>45376</v>
      </c>
      <c r="F10827" s="481"/>
      <c r="G10827" s="174" t="s">
        <v>74</v>
      </c>
      <c r="J10827" s="133" t="s">
        <v>534</v>
      </c>
      <c r="K10827" s="218"/>
      <c r="L10827" s="218">
        <v>89317.4</v>
      </c>
    </row>
    <row r="10828" spans="1:17" ht="12" customHeight="1" x14ac:dyDescent="0.2">
      <c r="A10828" s="163">
        <v>2024</v>
      </c>
      <c r="B10828" s="163">
        <v>3</v>
      </c>
      <c r="C10828" s="163">
        <v>25</v>
      </c>
      <c r="D10828" s="280">
        <f>DATE(A10828,B10828,C10828)</f>
        <v>45376</v>
      </c>
      <c r="E10828" s="281">
        <f>DATE(A10828,B10828,C10828)</f>
        <v>45376</v>
      </c>
      <c r="F10828" s="480"/>
      <c r="G10828" s="221" t="s">
        <v>74</v>
      </c>
      <c r="H10828" s="145"/>
      <c r="I10828" s="145"/>
      <c r="J10828" s="163" t="s">
        <v>52</v>
      </c>
      <c r="K10828" s="219"/>
      <c r="L10828" s="219">
        <v>357269.6</v>
      </c>
    </row>
    <row r="10829" spans="1:17" ht="11.25" customHeight="1" x14ac:dyDescent="0.2">
      <c r="A10829" s="168">
        <v>2024</v>
      </c>
      <c r="B10829" s="168">
        <v>3</v>
      </c>
      <c r="C10829" s="168">
        <v>25</v>
      </c>
      <c r="D10829" s="141">
        <f t="shared" ref="D10829:D10831" si="1496">DATE(A10829,B10829,C10829)</f>
        <v>45376</v>
      </c>
      <c r="E10829" s="275">
        <f t="shared" ref="E10829:E10831" si="1497">DATE(A10829,B10829,C10829)</f>
        <v>45376</v>
      </c>
      <c r="F10829" s="479" t="s">
        <v>965</v>
      </c>
      <c r="G10829" s="220" t="s">
        <v>74</v>
      </c>
      <c r="H10829" s="142" t="str" cm="1">
        <f t="array" ref="H10829">IFERROR(INDEX(INVESTOR_LIST[INVESTOR NAME],MATCH(I10829,INVESTOR_LIST[INVESTOR CODE],0),)," ")</f>
        <v>SHAHRIAR MAHMOOD</v>
      </c>
      <c r="I10829" s="142" t="s">
        <v>476</v>
      </c>
      <c r="J10829" s="168" t="s">
        <v>13</v>
      </c>
      <c r="K10829" s="218">
        <v>3330</v>
      </c>
      <c r="L10829" s="226"/>
    </row>
    <row r="10830" spans="1:17" ht="11.25" customHeight="1" x14ac:dyDescent="0.2">
      <c r="A10830" s="133">
        <v>2024</v>
      </c>
      <c r="B10830" s="133">
        <v>3</v>
      </c>
      <c r="C10830" s="133">
        <v>25</v>
      </c>
      <c r="D10830" s="141">
        <f t="shared" si="1496"/>
        <v>45376</v>
      </c>
      <c r="E10830" s="275">
        <f t="shared" si="1497"/>
        <v>45376</v>
      </c>
      <c r="F10830" s="481"/>
      <c r="G10830" s="174" t="s">
        <v>74</v>
      </c>
      <c r="H10830" s="148" t="str" cm="1">
        <f t="array" ref="H10830">IFERROR(INDEX(INVESTOR_LIST[INVESTOR NAME],MATCH(I10830,INVESTOR_LIST[INVESTOR CODE],0),)," ")</f>
        <v>SHAHRIAR MAHMOOD</v>
      </c>
      <c r="I10830" s="148" t="s">
        <v>476</v>
      </c>
      <c r="J10830" s="133" t="s">
        <v>53</v>
      </c>
      <c r="K10830" s="218">
        <v>576</v>
      </c>
      <c r="L10830" s="133"/>
    </row>
    <row r="10831" spans="1:17" ht="11.25" customHeight="1" x14ac:dyDescent="0.2">
      <c r="A10831" s="163">
        <v>2024</v>
      </c>
      <c r="B10831" s="163">
        <v>3</v>
      </c>
      <c r="C10831" s="163">
        <v>25</v>
      </c>
      <c r="D10831" s="280">
        <f t="shared" si="1496"/>
        <v>45376</v>
      </c>
      <c r="E10831" s="281">
        <f t="shared" si="1497"/>
        <v>45376</v>
      </c>
      <c r="F10831" s="480"/>
      <c r="G10831" s="221" t="s">
        <v>74</v>
      </c>
      <c r="H10831" s="145" t="str" cm="1">
        <f t="array" ref="H10831">IFERROR(INDEX(INVESTOR_LIST[INVESTOR NAME],MATCH(I10831,INVESTOR_LIST[INVESTOR CODE],0),)," ")</f>
        <v>SHAHRIAR MAHMOOD</v>
      </c>
      <c r="I10831" s="145" t="s">
        <v>476</v>
      </c>
      <c r="J10831" s="163" t="s">
        <v>52</v>
      </c>
      <c r="K10831" s="219"/>
      <c r="L10831" s="219">
        <v>3906</v>
      </c>
    </row>
    <row r="10832" spans="1:17" ht="11.25" customHeight="1" x14ac:dyDescent="0.2">
      <c r="A10832" s="168">
        <v>2024</v>
      </c>
      <c r="B10832" s="168">
        <v>3</v>
      </c>
      <c r="C10832" s="168">
        <v>25</v>
      </c>
      <c r="D10832" s="141">
        <f t="shared" ref="D10832:D10834" si="1498">DATE(A10832,B10832,C10832)</f>
        <v>45376</v>
      </c>
      <c r="E10832" s="275">
        <f t="shared" ref="E10832:E10834" si="1499">DATE(A10832,B10832,C10832)</f>
        <v>45376</v>
      </c>
      <c r="F10832" s="479" t="s">
        <v>965</v>
      </c>
      <c r="G10832" s="220" t="s">
        <v>74</v>
      </c>
      <c r="H10832" s="142" t="str" cm="1">
        <f t="array" ref="H10832">IFERROR(INDEX(INVESTOR_LIST[INVESTOR NAME],MATCH(I10832,INVESTOR_LIST[INVESTOR CODE],0),)," ")</f>
        <v>MD. SAIFUR RAHMAN</v>
      </c>
      <c r="I10832" s="142" t="s">
        <v>474</v>
      </c>
      <c r="J10832" s="168" t="s">
        <v>13</v>
      </c>
      <c r="K10832" s="218">
        <v>520910</v>
      </c>
      <c r="L10832" s="226"/>
    </row>
    <row r="10833" spans="1:17" ht="11.25" customHeight="1" x14ac:dyDescent="0.2">
      <c r="A10833" s="133">
        <v>2024</v>
      </c>
      <c r="B10833" s="133">
        <v>3</v>
      </c>
      <c r="C10833" s="133">
        <v>25</v>
      </c>
      <c r="D10833" s="141">
        <f t="shared" si="1498"/>
        <v>45376</v>
      </c>
      <c r="E10833" s="275">
        <f t="shared" si="1499"/>
        <v>45376</v>
      </c>
      <c r="F10833" s="481"/>
      <c r="G10833" s="174" t="s">
        <v>74</v>
      </c>
      <c r="H10833" s="148" t="str" cm="1">
        <f t="array" ref="H10833">IFERROR(INDEX(INVESTOR_LIST[INVESTOR NAME],MATCH(I10833,INVESTOR_LIST[INVESTOR CODE],0),)," ")</f>
        <v>MD. SAIFUR RAHMAN</v>
      </c>
      <c r="I10833" s="148" t="s">
        <v>474</v>
      </c>
      <c r="J10833" s="133" t="s">
        <v>53</v>
      </c>
      <c r="K10833" s="218">
        <v>97774.810000000056</v>
      </c>
      <c r="L10833" s="133"/>
    </row>
    <row r="10834" spans="1:17" ht="11.25" customHeight="1" x14ac:dyDescent="0.2">
      <c r="A10834" s="163">
        <v>2024</v>
      </c>
      <c r="B10834" s="163">
        <v>3</v>
      </c>
      <c r="C10834" s="163">
        <v>25</v>
      </c>
      <c r="D10834" s="280">
        <f t="shared" si="1498"/>
        <v>45376</v>
      </c>
      <c r="E10834" s="281">
        <f t="shared" si="1499"/>
        <v>45376</v>
      </c>
      <c r="F10834" s="480"/>
      <c r="G10834" s="221" t="s">
        <v>74</v>
      </c>
      <c r="H10834" s="145" t="str" cm="1">
        <f t="array" ref="H10834">IFERROR(INDEX(INVESTOR_LIST[INVESTOR NAME],MATCH(I10834,INVESTOR_LIST[INVESTOR CODE],0),)," ")</f>
        <v>MD. SAIFUR RAHMAN</v>
      </c>
      <c r="I10834" s="145" t="s">
        <v>474</v>
      </c>
      <c r="J10834" s="163" t="s">
        <v>52</v>
      </c>
      <c r="K10834" s="219"/>
      <c r="L10834" s="219">
        <v>618684.81000000006</v>
      </c>
    </row>
    <row r="10835" spans="1:17" ht="11.25" customHeight="1" x14ac:dyDescent="0.2">
      <c r="A10835" s="168">
        <v>2024</v>
      </c>
      <c r="B10835" s="168">
        <v>3</v>
      </c>
      <c r="C10835" s="168">
        <v>25</v>
      </c>
      <c r="D10835" s="141">
        <f t="shared" ref="D10835:D10871" si="1500">DATE(A10835,B10835,C10835)</f>
        <v>45376</v>
      </c>
      <c r="E10835" s="275">
        <f t="shared" ref="E10835:E10871" si="1501">DATE(A10835,B10835,C10835)</f>
        <v>45376</v>
      </c>
      <c r="F10835" s="479" t="s">
        <v>1310</v>
      </c>
      <c r="G10835" s="220" t="s">
        <v>74</v>
      </c>
      <c r="H10835" s="142" t="str" cm="1">
        <f t="array" ref="H10835">IFERROR(INDEX(INVESTOR_LIST[INVESTOR NAME],MATCH(I10835,INVESTOR_LIST[INVESTOR CODE],0),)," ")</f>
        <v>REZAUR RAHMAN</v>
      </c>
      <c r="I10835" s="142" t="s">
        <v>1291</v>
      </c>
      <c r="J10835" s="168" t="s">
        <v>13</v>
      </c>
      <c r="K10835" s="218">
        <v>4240</v>
      </c>
      <c r="L10835" s="226"/>
    </row>
    <row r="10836" spans="1:17" ht="11.25" customHeight="1" x14ac:dyDescent="0.2">
      <c r="A10836" s="133">
        <v>2024</v>
      </c>
      <c r="B10836" s="133">
        <v>3</v>
      </c>
      <c r="C10836" s="133">
        <v>25</v>
      </c>
      <c r="D10836" s="141">
        <f t="shared" si="1500"/>
        <v>45376</v>
      </c>
      <c r="E10836" s="275">
        <f t="shared" si="1501"/>
        <v>45376</v>
      </c>
      <c r="F10836" s="481"/>
      <c r="G10836" s="174" t="s">
        <v>74</v>
      </c>
      <c r="H10836" s="148" t="str" cm="1">
        <f t="array" ref="H10836">IFERROR(INDEX(INVESTOR_LIST[INVESTOR NAME],MATCH(I10836,INVESTOR_LIST[INVESTOR CODE],0),)," ")</f>
        <v>REZAUR RAHMAN</v>
      </c>
      <c r="I10836" s="148" t="s">
        <v>1291</v>
      </c>
      <c r="J10836" s="133" t="s">
        <v>53</v>
      </c>
      <c r="K10836" s="218">
        <v>760</v>
      </c>
      <c r="L10836" s="133"/>
    </row>
    <row r="10837" spans="1:17" ht="11.25" customHeight="1" x14ac:dyDescent="0.2">
      <c r="A10837" s="163">
        <v>2024</v>
      </c>
      <c r="B10837" s="163">
        <v>3</v>
      </c>
      <c r="C10837" s="163">
        <v>25</v>
      </c>
      <c r="D10837" s="280">
        <f t="shared" si="1500"/>
        <v>45376</v>
      </c>
      <c r="E10837" s="281">
        <f t="shared" si="1501"/>
        <v>45376</v>
      </c>
      <c r="F10837" s="480"/>
      <c r="G10837" s="221" t="s">
        <v>74</v>
      </c>
      <c r="H10837" s="145" t="str" cm="1">
        <f t="array" ref="H10837">IFERROR(INDEX(INVESTOR_LIST[INVESTOR NAME],MATCH(I10837,INVESTOR_LIST[INVESTOR CODE],0),)," ")</f>
        <v>REZAUR RAHMAN</v>
      </c>
      <c r="I10837" s="145" t="s">
        <v>1291</v>
      </c>
      <c r="J10837" s="163" t="s">
        <v>52</v>
      </c>
      <c r="K10837" s="219"/>
      <c r="L10837" s="219">
        <v>5000</v>
      </c>
    </row>
    <row r="10838" spans="1:17" x14ac:dyDescent="0.2">
      <c r="A10838" s="133">
        <v>2024</v>
      </c>
      <c r="B10838" s="133">
        <v>3</v>
      </c>
      <c r="C10838" s="133">
        <v>25</v>
      </c>
      <c r="D10838" s="141">
        <f t="shared" si="1500"/>
        <v>45376</v>
      </c>
      <c r="E10838" s="275">
        <f t="shared" si="1501"/>
        <v>45376</v>
      </c>
      <c r="F10838" s="481" t="s">
        <v>1753</v>
      </c>
      <c r="G10838" s="174" t="s">
        <v>94</v>
      </c>
      <c r="H10838" s="174" t="str" cm="1">
        <f t="array" ref="H10838">IFERROR(INDEX(INVESTOR_LIST[INVESTOR NAME],MATCH(I10838,INVESTOR_LIST[INVESTOR CODE],0),)," ")</f>
        <v xml:space="preserve"> </v>
      </c>
      <c r="J10838" s="149" t="s">
        <v>190</v>
      </c>
      <c r="K10838" s="218">
        <v>1496301.79</v>
      </c>
      <c r="L10838" s="218"/>
      <c r="M10838" s="160"/>
    </row>
    <row r="10839" spans="1:17" x14ac:dyDescent="0.2">
      <c r="A10839" s="133">
        <v>2024</v>
      </c>
      <c r="B10839" s="133">
        <v>3</v>
      </c>
      <c r="C10839" s="133">
        <v>25</v>
      </c>
      <c r="D10839" s="141">
        <f t="shared" si="1500"/>
        <v>45376</v>
      </c>
      <c r="E10839" s="275">
        <f t="shared" si="1501"/>
        <v>45376</v>
      </c>
      <c r="F10839" s="481"/>
      <c r="G10839" s="174" t="s">
        <v>94</v>
      </c>
      <c r="H10839" s="174"/>
      <c r="J10839" s="149" t="s">
        <v>80</v>
      </c>
      <c r="K10839" s="218">
        <v>2698.21</v>
      </c>
      <c r="L10839" s="218"/>
      <c r="N10839" s="264"/>
    </row>
    <row r="10840" spans="1:17" x14ac:dyDescent="0.2">
      <c r="A10840" s="133">
        <v>2024</v>
      </c>
      <c r="B10840" s="133">
        <v>3</v>
      </c>
      <c r="C10840" s="133">
        <v>25</v>
      </c>
      <c r="D10840" s="141">
        <f t="shared" si="1500"/>
        <v>45376</v>
      </c>
      <c r="E10840" s="275">
        <f t="shared" si="1501"/>
        <v>45376</v>
      </c>
      <c r="F10840" s="481"/>
      <c r="G10840" s="174" t="s">
        <v>94</v>
      </c>
      <c r="H10840" s="174" t="str" cm="1">
        <f t="array" ref="H10840">IFERROR(INDEX(INVESTOR_LIST[INVESTOR NAME],MATCH(I10840,INVESTOR_LIST[INVESTOR CODE],0),)," ")</f>
        <v xml:space="preserve"> </v>
      </c>
      <c r="J10840" s="149" t="s">
        <v>191</v>
      </c>
      <c r="K10840" s="218">
        <v>1000</v>
      </c>
      <c r="L10840" s="218"/>
      <c r="N10840" s="264"/>
    </row>
    <row r="10841" spans="1:17" x14ac:dyDescent="0.2">
      <c r="A10841" s="163">
        <v>2024</v>
      </c>
      <c r="B10841" s="163">
        <v>3</v>
      </c>
      <c r="C10841" s="163">
        <v>25</v>
      </c>
      <c r="D10841" s="280">
        <f t="shared" si="1500"/>
        <v>45376</v>
      </c>
      <c r="E10841" s="281">
        <f t="shared" si="1501"/>
        <v>45376</v>
      </c>
      <c r="F10841" s="480"/>
      <c r="G10841" s="221" t="s">
        <v>94</v>
      </c>
      <c r="H10841" s="145" t="str" cm="1">
        <f t="array" ref="H10841">IFERROR(INDEX(INVESTOR_LIST[INVESTOR NAME],MATCH(I10841,INVESTOR_LIST[INVESTOR CODE],0),)," ")</f>
        <v xml:space="preserve"> </v>
      </c>
      <c r="I10841" s="145"/>
      <c r="J10841" s="163" t="s">
        <v>79</v>
      </c>
      <c r="K10841" s="219"/>
      <c r="L10841" s="219">
        <v>1500000</v>
      </c>
      <c r="N10841" s="264"/>
    </row>
    <row r="10842" spans="1:17" x14ac:dyDescent="0.2">
      <c r="A10842" s="133">
        <v>2024</v>
      </c>
      <c r="B10842" s="133">
        <v>3</v>
      </c>
      <c r="C10842" s="133">
        <v>25</v>
      </c>
      <c r="D10842" s="141">
        <f t="shared" si="1500"/>
        <v>45376</v>
      </c>
      <c r="E10842" s="275">
        <f t="shared" si="1501"/>
        <v>45376</v>
      </c>
      <c r="F10842" s="481" t="s">
        <v>1895</v>
      </c>
      <c r="G10842" s="174" t="s">
        <v>74</v>
      </c>
      <c r="H10842" s="174" t="str" cm="1">
        <f t="array" ref="H10842">IFERROR(INDEX(INVESTOR_LIST[INVESTOR NAME],MATCH(I10842,INVESTOR_LIST[INVESTOR CODE],0),)," ")</f>
        <v xml:space="preserve"> </v>
      </c>
      <c r="I10842" s="148" t="s">
        <v>348</v>
      </c>
      <c r="J10842" s="149" t="s">
        <v>1764</v>
      </c>
      <c r="K10842" s="218">
        <v>4862410</v>
      </c>
      <c r="L10842" s="218"/>
      <c r="M10842" s="147"/>
      <c r="Q10842" s="133" t="s">
        <v>348</v>
      </c>
    </row>
    <row r="10843" spans="1:17" x14ac:dyDescent="0.2">
      <c r="A10843" s="163">
        <v>2024</v>
      </c>
      <c r="B10843" s="163">
        <v>3</v>
      </c>
      <c r="C10843" s="163">
        <v>25</v>
      </c>
      <c r="D10843" s="280">
        <f t="shared" si="1500"/>
        <v>45376</v>
      </c>
      <c r="E10843" s="281">
        <f t="shared" si="1501"/>
        <v>45376</v>
      </c>
      <c r="F10843" s="480"/>
      <c r="G10843" s="221" t="s">
        <v>74</v>
      </c>
      <c r="H10843" s="221" t="str" cm="1">
        <f t="array" ref="H10843">IFERROR(INDEX(INVESTOR_LIST[INVESTOR NAME],MATCH(I10843,INVESTOR_LIST[INVESTOR CODE],0),)," ")</f>
        <v xml:space="preserve"> </v>
      </c>
      <c r="I10843" s="145"/>
      <c r="J10843" s="146" t="s">
        <v>52</v>
      </c>
      <c r="K10843" s="219"/>
      <c r="L10843" s="219">
        <v>4862410</v>
      </c>
      <c r="M10843" s="147"/>
      <c r="Q10843" s="133" t="s">
        <v>348</v>
      </c>
    </row>
    <row r="10844" spans="1:17" x14ac:dyDescent="0.2">
      <c r="A10844" s="133">
        <v>2024</v>
      </c>
      <c r="B10844" s="133">
        <v>3</v>
      </c>
      <c r="C10844" s="133">
        <v>25</v>
      </c>
      <c r="D10844" s="141">
        <f t="shared" ref="D10844:D10845" si="1502">DATE(A10844,B10844,C10844)</f>
        <v>45376</v>
      </c>
      <c r="E10844" s="275">
        <f t="shared" ref="E10844:E10845" si="1503">DATE(A10844,B10844,C10844)</f>
        <v>45376</v>
      </c>
      <c r="F10844" s="481" t="s">
        <v>1895</v>
      </c>
      <c r="G10844" s="174" t="s">
        <v>74</v>
      </c>
      <c r="H10844" s="174" t="str" cm="1">
        <f t="array" ref="H10844">IFERROR(INDEX(INVESTOR_LIST[INVESTOR NAME],MATCH(I10844,INVESTOR_LIST[INVESTOR CODE],0),)," ")</f>
        <v xml:space="preserve"> </v>
      </c>
      <c r="I10844" s="148" t="s">
        <v>348</v>
      </c>
      <c r="J10844" s="149" t="s">
        <v>1764</v>
      </c>
      <c r="K10844" s="218">
        <v>9725930</v>
      </c>
      <c r="L10844" s="218"/>
      <c r="M10844" s="147"/>
      <c r="Q10844" s="133" t="s">
        <v>348</v>
      </c>
    </row>
    <row r="10845" spans="1:17" x14ac:dyDescent="0.2">
      <c r="A10845" s="163">
        <v>2024</v>
      </c>
      <c r="B10845" s="163">
        <v>3</v>
      </c>
      <c r="C10845" s="163">
        <v>25</v>
      </c>
      <c r="D10845" s="280">
        <f t="shared" si="1502"/>
        <v>45376</v>
      </c>
      <c r="E10845" s="281">
        <f t="shared" si="1503"/>
        <v>45376</v>
      </c>
      <c r="F10845" s="480"/>
      <c r="G10845" s="221" t="s">
        <v>74</v>
      </c>
      <c r="H10845" s="221" t="str" cm="1">
        <f t="array" ref="H10845">IFERROR(INDEX(INVESTOR_LIST[INVESTOR NAME],MATCH(I10845,INVESTOR_LIST[INVESTOR CODE],0),)," ")</f>
        <v xml:space="preserve"> </v>
      </c>
      <c r="I10845" s="145"/>
      <c r="J10845" s="146" t="s">
        <v>52</v>
      </c>
      <c r="K10845" s="219"/>
      <c r="L10845" s="219">
        <v>9725930</v>
      </c>
      <c r="M10845" s="147"/>
      <c r="Q10845" s="133" t="s">
        <v>348</v>
      </c>
    </row>
    <row r="10846" spans="1:17" x14ac:dyDescent="0.2">
      <c r="A10846" s="168">
        <v>2024</v>
      </c>
      <c r="B10846" s="168">
        <v>3</v>
      </c>
      <c r="C10846" s="168">
        <v>27</v>
      </c>
      <c r="D10846" s="141">
        <f t="shared" si="1500"/>
        <v>45378</v>
      </c>
      <c r="E10846" s="275">
        <f t="shared" si="1501"/>
        <v>45378</v>
      </c>
      <c r="F10846" s="479" t="s">
        <v>1319</v>
      </c>
      <c r="G10846" s="220" t="s">
        <v>74</v>
      </c>
      <c r="H10846" s="142" t="str" cm="1">
        <f t="array" ref="H10846">IFERROR(INDEX(INVESTOR_LIST[INVESTOR NAME],MATCH(I10846,INVESTOR_LIST[INVESTOR CODE],0),)," ")</f>
        <v xml:space="preserve"> </v>
      </c>
      <c r="I10846" s="142"/>
      <c r="J10846" s="168" t="s">
        <v>52</v>
      </c>
      <c r="K10846" s="226">
        <v>145000</v>
      </c>
      <c r="L10846" s="226"/>
    </row>
    <row r="10847" spans="1:17" x14ac:dyDescent="0.2">
      <c r="A10847" s="133">
        <v>2024</v>
      </c>
      <c r="B10847" s="133">
        <v>3</v>
      </c>
      <c r="C10847" s="133">
        <v>27</v>
      </c>
      <c r="D10847" s="141">
        <f t="shared" si="1500"/>
        <v>45378</v>
      </c>
      <c r="E10847" s="275">
        <f t="shared" si="1501"/>
        <v>45378</v>
      </c>
      <c r="F10847" s="481"/>
      <c r="G10847" s="174" t="s">
        <v>74</v>
      </c>
      <c r="H10847" s="148" t="str" cm="1">
        <f t="array" ref="H10847">IFERROR(INDEX(INVESTOR_LIST[INVESTOR NAME],MATCH(I10847,INVESTOR_LIST[INVESTOR CODE],0),)," ")</f>
        <v xml:space="preserve"> </v>
      </c>
      <c r="J10847" s="133" t="s">
        <v>13</v>
      </c>
      <c r="K10847" s="218"/>
      <c r="L10847" s="218">
        <v>122090</v>
      </c>
    </row>
    <row r="10848" spans="1:17" x14ac:dyDescent="0.2">
      <c r="A10848" s="163">
        <v>2024</v>
      </c>
      <c r="B10848" s="163">
        <v>3</v>
      </c>
      <c r="C10848" s="163">
        <v>27</v>
      </c>
      <c r="D10848" s="280">
        <f t="shared" si="1500"/>
        <v>45378</v>
      </c>
      <c r="E10848" s="281">
        <f t="shared" si="1501"/>
        <v>45378</v>
      </c>
      <c r="F10848" s="480"/>
      <c r="G10848" s="221" t="s">
        <v>74</v>
      </c>
      <c r="H10848" s="145" t="str" cm="1">
        <f t="array" ref="H10848">IFERROR(INDEX(INVESTOR_LIST[INVESTOR NAME],MATCH(I10848,INVESTOR_LIST[INVESTOR CODE],0),)," ")</f>
        <v xml:space="preserve"> </v>
      </c>
      <c r="I10848" s="145"/>
      <c r="J10848" s="163" t="s">
        <v>53</v>
      </c>
      <c r="K10848" s="219"/>
      <c r="L10848" s="219">
        <v>22910</v>
      </c>
    </row>
    <row r="10849" spans="1:14" x14ac:dyDescent="0.2">
      <c r="A10849" s="168">
        <v>2024</v>
      </c>
      <c r="B10849" s="168">
        <v>3</v>
      </c>
      <c r="C10849" s="168">
        <v>28</v>
      </c>
      <c r="D10849" s="280">
        <f t="shared" si="1500"/>
        <v>45379</v>
      </c>
      <c r="E10849" s="281">
        <f t="shared" si="1501"/>
        <v>45379</v>
      </c>
      <c r="F10849" s="479" t="s">
        <v>966</v>
      </c>
      <c r="G10849" s="220" t="s">
        <v>94</v>
      </c>
      <c r="H10849" s="220" t="str" cm="1">
        <f t="array" ref="H10849">IFERROR(INDEX(INVESTOR_LIST[INVESTOR NAME],MATCH(I10849,INVESTOR_LIST[INVESTOR CODE],0),)," ")</f>
        <v xml:space="preserve"> </v>
      </c>
      <c r="I10849" s="142"/>
      <c r="J10849" s="310" t="s">
        <v>358</v>
      </c>
      <c r="K10849" s="226">
        <v>12500</v>
      </c>
      <c r="L10849" s="226"/>
    </row>
    <row r="10850" spans="1:14" x14ac:dyDescent="0.2">
      <c r="A10850" s="133">
        <v>2024</v>
      </c>
      <c r="B10850" s="133">
        <v>3</v>
      </c>
      <c r="C10850" s="133">
        <v>28</v>
      </c>
      <c r="D10850" s="280">
        <f t="shared" si="1500"/>
        <v>45379</v>
      </c>
      <c r="E10850" s="281">
        <f t="shared" si="1501"/>
        <v>45379</v>
      </c>
      <c r="F10850" s="481"/>
      <c r="G10850" s="174" t="s">
        <v>94</v>
      </c>
      <c r="H10850" s="174"/>
      <c r="J10850" s="312" t="s">
        <v>534</v>
      </c>
      <c r="K10850" s="218"/>
      <c r="L10850" s="218">
        <v>1250</v>
      </c>
    </row>
    <row r="10851" spans="1:14" x14ac:dyDescent="0.2">
      <c r="A10851" s="133">
        <v>2024</v>
      </c>
      <c r="B10851" s="133">
        <v>3</v>
      </c>
      <c r="C10851" s="133">
        <v>28</v>
      </c>
      <c r="D10851" s="280">
        <f t="shared" si="1500"/>
        <v>45379</v>
      </c>
      <c r="E10851" s="281">
        <f t="shared" si="1501"/>
        <v>45379</v>
      </c>
      <c r="F10851" s="481"/>
      <c r="G10851" s="174" t="s">
        <v>94</v>
      </c>
      <c r="H10851" s="174" t="str" cm="1">
        <f t="array" ref="H10851">IFERROR(INDEX(INVESTOR_LIST[INVESTOR NAME],MATCH(I10851,INVESTOR_LIST[INVESTOR CODE],0),)," ")</f>
        <v xml:space="preserve"> </v>
      </c>
      <c r="J10851" s="312" t="s">
        <v>13</v>
      </c>
      <c r="K10851" s="218"/>
      <c r="L10851" s="218">
        <v>9470</v>
      </c>
    </row>
    <row r="10852" spans="1:14" x14ac:dyDescent="0.2">
      <c r="A10852" s="163">
        <v>2024</v>
      </c>
      <c r="B10852" s="163">
        <v>3</v>
      </c>
      <c r="C10852" s="163">
        <v>28</v>
      </c>
      <c r="D10852" s="280">
        <f t="shared" si="1500"/>
        <v>45379</v>
      </c>
      <c r="E10852" s="281">
        <f t="shared" si="1501"/>
        <v>45379</v>
      </c>
      <c r="F10852" s="480"/>
      <c r="G10852" s="221" t="s">
        <v>94</v>
      </c>
      <c r="H10852" s="221" t="str" cm="1">
        <f t="array" ref="H10852">IFERROR(INDEX(INVESTOR_LIST[INVESTOR NAME],MATCH(I10852,INVESTOR_LIST[INVESTOR CODE],0),)," ")</f>
        <v xml:space="preserve"> </v>
      </c>
      <c r="I10852" s="145"/>
      <c r="J10852" s="314" t="s">
        <v>53</v>
      </c>
      <c r="K10852" s="219"/>
      <c r="L10852" s="219">
        <v>1780</v>
      </c>
    </row>
    <row r="10853" spans="1:14" x14ac:dyDescent="0.2">
      <c r="A10853" s="168">
        <v>2024</v>
      </c>
      <c r="B10853" s="168">
        <v>3</v>
      </c>
      <c r="C10853" s="168">
        <v>28</v>
      </c>
      <c r="D10853" s="141">
        <f t="shared" ref="D10853:D10861" si="1504">DATE(A10853,B10853,C10853)</f>
        <v>45379</v>
      </c>
      <c r="E10853" s="275">
        <f t="shared" ref="E10853:E10861" si="1505">DATE(A10853,B10853,C10853)</f>
        <v>45379</v>
      </c>
      <c r="F10853" s="479" t="s">
        <v>1898</v>
      </c>
      <c r="G10853" s="220" t="s">
        <v>74</v>
      </c>
      <c r="H10853" s="142" t="str" cm="1">
        <f t="array" ref="H10853">IFERROR(INDEX(INVESTOR_LIST[INVESTOR NAME],MATCH(I10853,INVESTOR_LIST[INVESTOR CODE],0),)," ")</f>
        <v xml:space="preserve"> </v>
      </c>
      <c r="I10853" s="142"/>
      <c r="J10853" s="168" t="s">
        <v>52</v>
      </c>
      <c r="K10853" s="226">
        <v>50000</v>
      </c>
      <c r="L10853" s="226"/>
    </row>
    <row r="10854" spans="1:14" x14ac:dyDescent="0.2">
      <c r="A10854" s="133">
        <v>2024</v>
      </c>
      <c r="B10854" s="133">
        <v>3</v>
      </c>
      <c r="C10854" s="133">
        <v>28</v>
      </c>
      <c r="D10854" s="141">
        <f t="shared" si="1504"/>
        <v>45379</v>
      </c>
      <c r="E10854" s="275">
        <f t="shared" si="1505"/>
        <v>45379</v>
      </c>
      <c r="F10854" s="481"/>
      <c r="G10854" s="174" t="s">
        <v>74</v>
      </c>
      <c r="H10854" s="148" t="str" cm="1">
        <f t="array" ref="H10854">IFERROR(INDEX(INVESTOR_LIST[INVESTOR NAME],MATCH(I10854,INVESTOR_LIST[INVESTOR CODE],0),)," ")</f>
        <v xml:space="preserve"> </v>
      </c>
      <c r="J10854" s="133" t="s">
        <v>13</v>
      </c>
      <c r="K10854" s="218"/>
      <c r="L10854" s="218">
        <v>42100</v>
      </c>
    </row>
    <row r="10855" spans="1:14" x14ac:dyDescent="0.2">
      <c r="A10855" s="163">
        <v>2024</v>
      </c>
      <c r="B10855" s="163">
        <v>3</v>
      </c>
      <c r="C10855" s="163">
        <v>28</v>
      </c>
      <c r="D10855" s="280">
        <f t="shared" si="1504"/>
        <v>45379</v>
      </c>
      <c r="E10855" s="281">
        <f t="shared" si="1505"/>
        <v>45379</v>
      </c>
      <c r="F10855" s="480"/>
      <c r="G10855" s="221" t="s">
        <v>74</v>
      </c>
      <c r="H10855" s="145" t="str" cm="1">
        <f t="array" ref="H10855">IFERROR(INDEX(INVESTOR_LIST[INVESTOR NAME],MATCH(I10855,INVESTOR_LIST[INVESTOR CODE],0),)," ")</f>
        <v xml:space="preserve"> </v>
      </c>
      <c r="I10855" s="145"/>
      <c r="J10855" s="163" t="s">
        <v>53</v>
      </c>
      <c r="K10855" s="219"/>
      <c r="L10855" s="219">
        <v>7900</v>
      </c>
    </row>
    <row r="10856" spans="1:14" x14ac:dyDescent="0.2">
      <c r="A10856" s="133">
        <v>2024</v>
      </c>
      <c r="B10856" s="133">
        <v>3</v>
      </c>
      <c r="C10856" s="133">
        <v>28</v>
      </c>
      <c r="D10856" s="141">
        <f t="shared" si="1504"/>
        <v>45379</v>
      </c>
      <c r="E10856" s="275">
        <f t="shared" si="1505"/>
        <v>45379</v>
      </c>
      <c r="F10856" s="481" t="s">
        <v>1753</v>
      </c>
      <c r="G10856" s="174" t="s">
        <v>94</v>
      </c>
      <c r="H10856" s="174" t="str" cm="1">
        <f t="array" ref="H10856">IFERROR(INDEX(INVESTOR_LIST[INVESTOR NAME],MATCH(I10856,INVESTOR_LIST[INVESTOR CODE],0),)," ")</f>
        <v xml:space="preserve"> </v>
      </c>
      <c r="J10856" s="149" t="s">
        <v>190</v>
      </c>
      <c r="K10856" s="218">
        <v>2112837.64</v>
      </c>
      <c r="L10856" s="218"/>
      <c r="M10856" s="160"/>
    </row>
    <row r="10857" spans="1:14" x14ac:dyDescent="0.2">
      <c r="A10857" s="133">
        <v>2024</v>
      </c>
      <c r="B10857" s="133">
        <v>3</v>
      </c>
      <c r="C10857" s="133">
        <v>28</v>
      </c>
      <c r="D10857" s="141">
        <f t="shared" si="1504"/>
        <v>45379</v>
      </c>
      <c r="E10857" s="275">
        <f t="shared" si="1505"/>
        <v>45379</v>
      </c>
      <c r="F10857" s="481"/>
      <c r="G10857" s="174" t="s">
        <v>94</v>
      </c>
      <c r="H10857" s="174"/>
      <c r="J10857" s="149" t="s">
        <v>80</v>
      </c>
      <c r="K10857" s="218">
        <v>3809.96</v>
      </c>
      <c r="L10857" s="218"/>
      <c r="N10857" s="264"/>
    </row>
    <row r="10858" spans="1:14" x14ac:dyDescent="0.2">
      <c r="A10858" s="133">
        <v>2024</v>
      </c>
      <c r="B10858" s="133">
        <v>3</v>
      </c>
      <c r="C10858" s="133">
        <v>28</v>
      </c>
      <c r="D10858" s="141">
        <f t="shared" si="1504"/>
        <v>45379</v>
      </c>
      <c r="E10858" s="275">
        <f t="shared" si="1505"/>
        <v>45379</v>
      </c>
      <c r="F10858" s="481"/>
      <c r="G10858" s="174" t="s">
        <v>94</v>
      </c>
      <c r="H10858" s="174" t="str" cm="1">
        <f t="array" ref="H10858">IFERROR(INDEX(INVESTOR_LIST[INVESTOR NAME],MATCH(I10858,INVESTOR_LIST[INVESTOR CODE],0),)," ")</f>
        <v xml:space="preserve"> </v>
      </c>
      <c r="J10858" s="149" t="s">
        <v>191</v>
      </c>
      <c r="K10858" s="218">
        <v>133352.4</v>
      </c>
      <c r="L10858" s="218"/>
      <c r="N10858" s="264"/>
    </row>
    <row r="10859" spans="1:14" x14ac:dyDescent="0.2">
      <c r="A10859" s="163">
        <v>2024</v>
      </c>
      <c r="B10859" s="163">
        <v>3</v>
      </c>
      <c r="C10859" s="163">
        <v>28</v>
      </c>
      <c r="D10859" s="280">
        <f t="shared" si="1504"/>
        <v>45379</v>
      </c>
      <c r="E10859" s="281">
        <f t="shared" si="1505"/>
        <v>45379</v>
      </c>
      <c r="F10859" s="480"/>
      <c r="G10859" s="221" t="s">
        <v>94</v>
      </c>
      <c r="H10859" s="145" t="str" cm="1">
        <f t="array" ref="H10859">IFERROR(INDEX(INVESTOR_LIST[INVESTOR NAME],MATCH(I10859,INVESTOR_LIST[INVESTOR CODE],0),)," ")</f>
        <v xml:space="preserve"> </v>
      </c>
      <c r="I10859" s="145"/>
      <c r="J10859" s="163" t="s">
        <v>79</v>
      </c>
      <c r="K10859" s="219"/>
      <c r="L10859" s="219">
        <v>2250000</v>
      </c>
      <c r="N10859" s="264"/>
    </row>
    <row r="10860" spans="1:14" x14ac:dyDescent="0.2">
      <c r="A10860" s="133">
        <v>2024</v>
      </c>
      <c r="B10860" s="133">
        <v>3</v>
      </c>
      <c r="C10860" s="168">
        <v>28</v>
      </c>
      <c r="D10860" s="141">
        <f t="shared" si="1504"/>
        <v>45379</v>
      </c>
      <c r="E10860" s="275">
        <f t="shared" si="1505"/>
        <v>45379</v>
      </c>
      <c r="F10860" s="479" t="s">
        <v>1912</v>
      </c>
      <c r="G10860" s="174" t="s">
        <v>74</v>
      </c>
      <c r="H10860" s="148" t="str" cm="1">
        <f t="array" ref="H10860">IFERROR(INDEX(INVESTOR_LIST[INVESTOR NAME],MATCH(I10860,INVESTOR_LIST[INVESTOR CODE],0),)," ")</f>
        <v xml:space="preserve"> </v>
      </c>
      <c r="I10860" s="148" t="s">
        <v>348</v>
      </c>
      <c r="J10860" s="133" t="s">
        <v>61</v>
      </c>
      <c r="K10860" s="172">
        <v>10</v>
      </c>
    </row>
    <row r="10861" spans="1:14" x14ac:dyDescent="0.2">
      <c r="A10861" s="163">
        <v>2024</v>
      </c>
      <c r="B10861" s="163">
        <v>3</v>
      </c>
      <c r="C10861" s="163">
        <v>28</v>
      </c>
      <c r="D10861" s="141">
        <f t="shared" si="1504"/>
        <v>45379</v>
      </c>
      <c r="E10861" s="275">
        <f t="shared" si="1505"/>
        <v>45379</v>
      </c>
      <c r="F10861" s="480"/>
      <c r="G10861" s="221" t="s">
        <v>74</v>
      </c>
      <c r="H10861" s="145" t="str" cm="1">
        <f t="array" ref="H10861">IFERROR(INDEX(INVESTOR_LIST[INVESTOR NAME],MATCH(I10861,INVESTOR_LIST[INVESTOR CODE],0),)," ")</f>
        <v xml:space="preserve"> </v>
      </c>
      <c r="I10861" s="145" t="s">
        <v>348</v>
      </c>
      <c r="J10861" s="163" t="s">
        <v>52</v>
      </c>
      <c r="K10861" s="219"/>
      <c r="L10861" s="219">
        <v>10</v>
      </c>
    </row>
    <row r="10862" spans="1:14" x14ac:dyDescent="0.2">
      <c r="A10862" s="343">
        <v>2024</v>
      </c>
      <c r="B10862" s="343">
        <v>3</v>
      </c>
      <c r="C10862" s="343">
        <v>28</v>
      </c>
      <c r="D10862" s="344">
        <f t="shared" si="1500"/>
        <v>45379</v>
      </c>
      <c r="E10862" s="345">
        <f t="shared" si="1501"/>
        <v>45379</v>
      </c>
      <c r="F10862" s="483" t="s">
        <v>1813</v>
      </c>
      <c r="G10862" s="350" t="s">
        <v>94</v>
      </c>
      <c r="H10862" s="350" t="str" cm="1">
        <f t="array" ref="H10862">IFERROR(INDEX(INVESTOR_LIST[INVESTOR NAME],MATCH(I10862,INVESTOR_LIST[INVESTOR CODE],0),)," ")</f>
        <v xml:space="preserve"> </v>
      </c>
      <c r="I10862" s="352" t="s">
        <v>348</v>
      </c>
      <c r="J10862" s="353" t="s">
        <v>1798</v>
      </c>
      <c r="K10862" s="354">
        <v>95928</v>
      </c>
      <c r="L10862" s="354"/>
    </row>
    <row r="10863" spans="1:14" x14ac:dyDescent="0.2">
      <c r="A10863" s="346">
        <v>2024</v>
      </c>
      <c r="B10863" s="346">
        <v>3</v>
      </c>
      <c r="C10863" s="346">
        <v>28</v>
      </c>
      <c r="D10863" s="344">
        <f t="shared" si="1500"/>
        <v>45379</v>
      </c>
      <c r="E10863" s="345">
        <f t="shared" si="1501"/>
        <v>45379</v>
      </c>
      <c r="F10863" s="484"/>
      <c r="G10863" s="347" t="s">
        <v>94</v>
      </c>
      <c r="H10863" s="347" t="str" cm="1">
        <f t="array" ref="H10863">IFERROR(INDEX(INVESTOR_LIST[INVESTOR NAME],MATCH(I10863,INVESTOR_LIST[INVESTOR CODE],0),)," ")</f>
        <v xml:space="preserve"> </v>
      </c>
      <c r="I10863" s="348" t="s">
        <v>348</v>
      </c>
      <c r="J10863" s="355" t="s">
        <v>1807</v>
      </c>
      <c r="K10863" s="349"/>
      <c r="L10863" s="349">
        <v>95928</v>
      </c>
    </row>
    <row r="10864" spans="1:14" x14ac:dyDescent="0.2">
      <c r="A10864" s="238">
        <v>2024</v>
      </c>
      <c r="B10864" s="238">
        <v>3</v>
      </c>
      <c r="C10864" s="238">
        <v>28</v>
      </c>
      <c r="D10864" s="270">
        <f t="shared" si="1500"/>
        <v>45379</v>
      </c>
      <c r="E10864" s="279">
        <f t="shared" si="1501"/>
        <v>45379</v>
      </c>
      <c r="F10864" s="477" t="s">
        <v>347</v>
      </c>
      <c r="G10864" s="239" t="s">
        <v>94</v>
      </c>
      <c r="H10864" s="239" t="str" cm="1">
        <f t="array" ref="H10864">IFERROR(INDEX(INVESTOR_LIST[INVESTOR NAME],MATCH(I10864,INVESTOR_LIST[INVESTOR CODE],0),)," ")</f>
        <v xml:space="preserve"> </v>
      </c>
      <c r="I10864" s="262" t="s">
        <v>348</v>
      </c>
      <c r="J10864" s="240" t="s">
        <v>82</v>
      </c>
      <c r="K10864" s="241">
        <v>507347.73999999464</v>
      </c>
      <c r="L10864" s="241"/>
    </row>
    <row r="10865" spans="1:14" x14ac:dyDescent="0.2">
      <c r="A10865" s="242">
        <v>2024</v>
      </c>
      <c r="B10865" s="242">
        <v>3</v>
      </c>
      <c r="C10865" s="242">
        <v>28</v>
      </c>
      <c r="D10865" s="270">
        <f t="shared" si="1500"/>
        <v>45379</v>
      </c>
      <c r="E10865" s="279">
        <f t="shared" si="1501"/>
        <v>45379</v>
      </c>
      <c r="F10865" s="478"/>
      <c r="G10865" s="243" t="s">
        <v>94</v>
      </c>
      <c r="H10865" s="243" t="str" cm="1">
        <f t="array" ref="H10865">IFERROR(INDEX(INVESTOR_LIST[INVESTOR NAME],MATCH(I10865,INVESTOR_LIST[INVESTOR CODE],0),)," ")</f>
        <v xml:space="preserve"> </v>
      </c>
      <c r="I10865" s="263" t="s">
        <v>348</v>
      </c>
      <c r="J10865" s="244" t="s">
        <v>108</v>
      </c>
      <c r="K10865" s="245"/>
      <c r="L10865" s="245">
        <v>507347.73999999464</v>
      </c>
    </row>
    <row r="10866" spans="1:14" ht="22.5" x14ac:dyDescent="0.2">
      <c r="A10866" s="246">
        <v>2024</v>
      </c>
      <c r="B10866" s="238">
        <v>3</v>
      </c>
      <c r="C10866" s="238">
        <v>28</v>
      </c>
      <c r="D10866" s="270">
        <f t="shared" si="1500"/>
        <v>45379</v>
      </c>
      <c r="E10866" s="279">
        <f t="shared" si="1501"/>
        <v>45379</v>
      </c>
      <c r="F10866" s="482" t="s">
        <v>148</v>
      </c>
      <c r="G10866" s="247" t="s">
        <v>94</v>
      </c>
      <c r="H10866" s="247" t="str" cm="1">
        <f t="array" ref="H10866">IFERROR(INDEX(INVESTOR_LIST[INVESTOR NAME],MATCH(I10866,INVESTOR_LIST[INVESTOR CODE],0),)," ")</f>
        <v xml:space="preserve"> </v>
      </c>
      <c r="I10866" s="248" t="s">
        <v>348</v>
      </c>
      <c r="J10866" s="249" t="s">
        <v>95</v>
      </c>
      <c r="K10866" s="250">
        <v>2747.2527472527472</v>
      </c>
      <c r="L10866" s="241"/>
    </row>
    <row r="10867" spans="1:14" x14ac:dyDescent="0.2">
      <c r="A10867" s="242">
        <v>2024</v>
      </c>
      <c r="B10867" s="242">
        <v>3</v>
      </c>
      <c r="C10867" s="242">
        <v>28</v>
      </c>
      <c r="D10867" s="270">
        <f t="shared" si="1500"/>
        <v>45379</v>
      </c>
      <c r="E10867" s="279">
        <f t="shared" si="1501"/>
        <v>45379</v>
      </c>
      <c r="F10867" s="478"/>
      <c r="G10867" s="243" t="s">
        <v>94</v>
      </c>
      <c r="H10867" s="243" t="str" cm="1">
        <f t="array" ref="H10867">IFERROR(INDEX(INVESTOR_LIST[INVESTOR NAME],MATCH(I10867,INVESTOR_LIST[INVESTOR CODE],0),)," ")</f>
        <v xml:space="preserve"> </v>
      </c>
      <c r="I10867" s="263" t="s">
        <v>348</v>
      </c>
      <c r="J10867" s="244" t="s">
        <v>63</v>
      </c>
      <c r="K10867" s="245"/>
      <c r="L10867" s="245">
        <v>2747.2527472527472</v>
      </c>
    </row>
    <row r="10868" spans="1:14" x14ac:dyDescent="0.2">
      <c r="A10868" s="246">
        <v>2024</v>
      </c>
      <c r="B10868" s="238">
        <v>3</v>
      </c>
      <c r="C10868" s="238">
        <v>28</v>
      </c>
      <c r="D10868" s="270">
        <f t="shared" si="1500"/>
        <v>45379</v>
      </c>
      <c r="E10868" s="279">
        <f t="shared" si="1501"/>
        <v>45379</v>
      </c>
      <c r="F10868" s="482" t="s">
        <v>137</v>
      </c>
      <c r="G10868" s="247" t="s">
        <v>94</v>
      </c>
      <c r="H10868" s="247" t="str" cm="1">
        <f t="array" ref="H10868">IFERROR(INDEX(INVESTOR_LIST[INVESTOR NAME],MATCH(I10868,INVESTOR_LIST[INVESTOR CODE],0),)," ")</f>
        <v xml:space="preserve"> </v>
      </c>
      <c r="I10868" s="248" t="s">
        <v>348</v>
      </c>
      <c r="J10868" s="249" t="s">
        <v>97</v>
      </c>
      <c r="K10868" s="250">
        <f>M10868</f>
        <v>54381.730003359371</v>
      </c>
      <c r="L10868" s="252"/>
      <c r="M10868" s="133">
        <v>54381.730003359371</v>
      </c>
    </row>
    <row r="10869" spans="1:14" x14ac:dyDescent="0.2">
      <c r="A10869" s="242">
        <v>2024</v>
      </c>
      <c r="B10869" s="242">
        <v>3</v>
      </c>
      <c r="C10869" s="242">
        <v>28</v>
      </c>
      <c r="D10869" s="270">
        <f t="shared" si="1500"/>
        <v>45379</v>
      </c>
      <c r="E10869" s="279">
        <f t="shared" si="1501"/>
        <v>45379</v>
      </c>
      <c r="F10869" s="478"/>
      <c r="G10869" s="243" t="s">
        <v>94</v>
      </c>
      <c r="H10869" s="243" t="str" cm="1">
        <f t="array" ref="H10869">IFERROR(INDEX(INVESTOR_LIST[INVESTOR NAME],MATCH(I10869,INVESTOR_LIST[INVESTOR CODE],0),)," ")</f>
        <v xml:space="preserve"> </v>
      </c>
      <c r="I10869" s="263" t="s">
        <v>348</v>
      </c>
      <c r="J10869" s="244" t="s">
        <v>47</v>
      </c>
      <c r="K10869" s="245"/>
      <c r="L10869" s="245">
        <f>K10868</f>
        <v>54381.730003359371</v>
      </c>
      <c r="M10869" s="133">
        <v>2478.7018847833529</v>
      </c>
    </row>
    <row r="10870" spans="1:14" x14ac:dyDescent="0.2">
      <c r="A10870" s="246">
        <v>2024</v>
      </c>
      <c r="B10870" s="238">
        <v>3</v>
      </c>
      <c r="C10870" s="238">
        <v>28</v>
      </c>
      <c r="D10870" s="270">
        <f t="shared" si="1500"/>
        <v>45379</v>
      </c>
      <c r="E10870" s="279">
        <f t="shared" si="1501"/>
        <v>45379</v>
      </c>
      <c r="F10870" s="482" t="s">
        <v>138</v>
      </c>
      <c r="G10870" s="247" t="s">
        <v>94</v>
      </c>
      <c r="H10870" s="247" t="str" cm="1">
        <f t="array" ref="H10870">IFERROR(INDEX(INVESTOR_LIST[INVESTOR NAME],MATCH(I10870,INVESTOR_LIST[INVESTOR CODE],0),)," ")</f>
        <v xml:space="preserve"> </v>
      </c>
      <c r="I10870" s="248" t="s">
        <v>348</v>
      </c>
      <c r="J10870" s="249" t="s">
        <v>100</v>
      </c>
      <c r="K10870" s="250">
        <f>M10869</f>
        <v>2478.7018847833529</v>
      </c>
      <c r="L10870" s="252"/>
    </row>
    <row r="10871" spans="1:14" x14ac:dyDescent="0.2">
      <c r="A10871" s="242">
        <v>2024</v>
      </c>
      <c r="B10871" s="242">
        <v>3</v>
      </c>
      <c r="C10871" s="242">
        <v>28</v>
      </c>
      <c r="D10871" s="321">
        <f t="shared" si="1500"/>
        <v>45379</v>
      </c>
      <c r="E10871" s="322">
        <f t="shared" si="1501"/>
        <v>45379</v>
      </c>
      <c r="F10871" s="478"/>
      <c r="G10871" s="243" t="s">
        <v>94</v>
      </c>
      <c r="H10871" s="243" t="str" cm="1">
        <f t="array" ref="H10871">IFERROR(INDEX(INVESTOR_LIST[INVESTOR NAME],MATCH(I10871,INVESTOR_LIST[INVESTOR CODE],0),)," ")</f>
        <v xml:space="preserve"> </v>
      </c>
      <c r="I10871" s="263" t="s">
        <v>348</v>
      </c>
      <c r="J10871" s="244" t="s">
        <v>48</v>
      </c>
      <c r="K10871" s="245"/>
      <c r="L10871" s="245">
        <f>K10870</f>
        <v>2478.7018847833529</v>
      </c>
    </row>
    <row r="10872" spans="1:14" ht="11.25" customHeight="1" x14ac:dyDescent="0.2">
      <c r="A10872" s="168">
        <v>2024</v>
      </c>
      <c r="B10872" s="168">
        <v>3</v>
      </c>
      <c r="C10872" s="168">
        <v>31</v>
      </c>
      <c r="D10872" s="141">
        <f t="shared" ref="D10872:D10880" si="1506">DATE(A10872,B10872,C10872)</f>
        <v>45382</v>
      </c>
      <c r="E10872" s="275">
        <f t="shared" ref="E10872:E10880" si="1507">DATE(A10872,B10872,C10872)</f>
        <v>45382</v>
      </c>
      <c r="F10872" s="479" t="s">
        <v>1310</v>
      </c>
      <c r="G10872" s="220" t="s">
        <v>74</v>
      </c>
      <c r="H10872" s="142" t="str" cm="1">
        <f t="array" ref="H10872">IFERROR(INDEX(INVESTOR_LIST[INVESTOR NAME],MATCH(I10872,INVESTOR_LIST[INVESTOR CODE],0),)," ")</f>
        <v>FAHMIDA KHAN</v>
      </c>
      <c r="I10872" s="142" t="s">
        <v>617</v>
      </c>
      <c r="J10872" s="168" t="s">
        <v>13</v>
      </c>
      <c r="K10872" s="218">
        <v>24420</v>
      </c>
      <c r="L10872" s="226"/>
    </row>
    <row r="10873" spans="1:14" ht="11.25" customHeight="1" x14ac:dyDescent="0.2">
      <c r="A10873" s="133">
        <v>2024</v>
      </c>
      <c r="B10873" s="133">
        <v>3</v>
      </c>
      <c r="C10873" s="133">
        <v>31</v>
      </c>
      <c r="D10873" s="141">
        <f t="shared" si="1506"/>
        <v>45382</v>
      </c>
      <c r="E10873" s="275">
        <f t="shared" si="1507"/>
        <v>45382</v>
      </c>
      <c r="F10873" s="481"/>
      <c r="G10873" s="174" t="s">
        <v>74</v>
      </c>
      <c r="H10873" s="148" t="str" cm="1">
        <f t="array" ref="H10873">IFERROR(INDEX(INVESTOR_LIST[INVESTOR NAME],MATCH(I10873,INVESTOR_LIST[INVESTOR CODE],0),)," ")</f>
        <v>FAHMIDA KHAN</v>
      </c>
      <c r="I10873" s="148" t="s">
        <v>617</v>
      </c>
      <c r="J10873" s="133" t="s">
        <v>53</v>
      </c>
      <c r="K10873" s="218">
        <v>4459.09</v>
      </c>
      <c r="L10873" s="133"/>
    </row>
    <row r="10874" spans="1:14" ht="11.25" customHeight="1" x14ac:dyDescent="0.2">
      <c r="A10874" s="163">
        <v>2024</v>
      </c>
      <c r="B10874" s="163">
        <v>3</v>
      </c>
      <c r="C10874" s="163">
        <v>31</v>
      </c>
      <c r="D10874" s="280">
        <f t="shared" si="1506"/>
        <v>45382</v>
      </c>
      <c r="E10874" s="281">
        <f t="shared" si="1507"/>
        <v>45382</v>
      </c>
      <c r="F10874" s="480"/>
      <c r="G10874" s="221" t="s">
        <v>74</v>
      </c>
      <c r="H10874" s="145" t="str" cm="1">
        <f t="array" ref="H10874">IFERROR(INDEX(INVESTOR_LIST[INVESTOR NAME],MATCH(I10874,INVESTOR_LIST[INVESTOR CODE],0),)," ")</f>
        <v>FAHMIDA KHAN</v>
      </c>
      <c r="I10874" s="145" t="s">
        <v>617</v>
      </c>
      <c r="J10874" s="163" t="s">
        <v>52</v>
      </c>
      <c r="K10874" s="219"/>
      <c r="L10874" s="219">
        <v>28879.09</v>
      </c>
    </row>
    <row r="10875" spans="1:14" x14ac:dyDescent="0.2">
      <c r="A10875" s="168">
        <v>2024</v>
      </c>
      <c r="B10875" s="168">
        <v>3</v>
      </c>
      <c r="C10875" s="168">
        <v>31</v>
      </c>
      <c r="D10875" s="141">
        <f>DATE(A10875,B10875,C10875)</f>
        <v>45382</v>
      </c>
      <c r="E10875" s="275">
        <f>DATE(A10875,B10875,C10875)</f>
        <v>45382</v>
      </c>
      <c r="F10875" s="479" t="s">
        <v>1757</v>
      </c>
      <c r="G10875" s="220" t="s">
        <v>74</v>
      </c>
      <c r="H10875" s="220" t="str" cm="1">
        <f t="array" ref="H10875">IFERROR(INDEX(INVESTOR_LIST[INVESTOR NAME],MATCH(I10875,INVESTOR_LIST[INVESTOR CODE],0),)," ")</f>
        <v xml:space="preserve"> </v>
      </c>
      <c r="I10875" s="142"/>
      <c r="J10875" s="143" t="s">
        <v>52</v>
      </c>
      <c r="K10875" s="226">
        <v>1496301.79</v>
      </c>
      <c r="L10875" s="226"/>
    </row>
    <row r="10876" spans="1:14" ht="10.5" customHeight="1" x14ac:dyDescent="0.2">
      <c r="A10876" s="163">
        <v>2024</v>
      </c>
      <c r="B10876" s="163">
        <v>3</v>
      </c>
      <c r="C10876" s="163">
        <v>31</v>
      </c>
      <c r="D10876" s="280">
        <f>DATE(A10876,B10876,C10876)</f>
        <v>45382</v>
      </c>
      <c r="E10876" s="281">
        <f>DATE(A10876,B10876,C10876)</f>
        <v>45382</v>
      </c>
      <c r="F10876" s="480"/>
      <c r="G10876" s="221" t="s">
        <v>74</v>
      </c>
      <c r="H10876" s="221" t="str" cm="1">
        <f t="array" ref="H10876">IFERROR(INDEX(INVESTOR_LIST[INVESTOR NAME],MATCH(I10876,INVESTOR_LIST[INVESTOR CODE],0),)," ")</f>
        <v xml:space="preserve"> </v>
      </c>
      <c r="I10876" s="145"/>
      <c r="J10876" s="146" t="s">
        <v>190</v>
      </c>
      <c r="K10876" s="219"/>
      <c r="L10876" s="219">
        <v>1496301.79</v>
      </c>
    </row>
    <row r="10877" spans="1:14" x14ac:dyDescent="0.2">
      <c r="A10877" s="133">
        <v>2024</v>
      </c>
      <c r="B10877" s="133">
        <v>4</v>
      </c>
      <c r="C10877" s="133">
        <v>1</v>
      </c>
      <c r="D10877" s="141">
        <f t="shared" si="1506"/>
        <v>45383</v>
      </c>
      <c r="E10877" s="275">
        <f t="shared" si="1507"/>
        <v>45383</v>
      </c>
      <c r="F10877" s="481" t="s">
        <v>1753</v>
      </c>
      <c r="G10877" s="174" t="s">
        <v>94</v>
      </c>
      <c r="H10877" s="174" t="str" cm="1">
        <f t="array" ref="H10877">IFERROR(INDEX(INVESTOR_LIST[INVESTOR NAME],MATCH(I10877,INVESTOR_LIST[INVESTOR CODE],0),)," ")</f>
        <v xml:space="preserve"> </v>
      </c>
      <c r="J10877" s="149" t="s">
        <v>190</v>
      </c>
      <c r="K10877" s="218">
        <v>799599.72</v>
      </c>
      <c r="L10877" s="218"/>
      <c r="M10877" s="160"/>
    </row>
    <row r="10878" spans="1:14" x14ac:dyDescent="0.2">
      <c r="A10878" s="133">
        <v>2024</v>
      </c>
      <c r="B10878" s="133">
        <v>4</v>
      </c>
      <c r="C10878" s="133">
        <v>1</v>
      </c>
      <c r="D10878" s="141">
        <f t="shared" si="1506"/>
        <v>45383</v>
      </c>
      <c r="E10878" s="275">
        <f t="shared" si="1507"/>
        <v>45383</v>
      </c>
      <c r="F10878" s="481"/>
      <c r="G10878" s="174" t="s">
        <v>94</v>
      </c>
      <c r="H10878" s="174"/>
      <c r="J10878" s="149" t="s">
        <v>80</v>
      </c>
      <c r="K10878" s="218">
        <v>1441.88</v>
      </c>
      <c r="L10878" s="218"/>
      <c r="N10878" s="264"/>
    </row>
    <row r="10879" spans="1:14" x14ac:dyDescent="0.2">
      <c r="A10879" s="133">
        <v>2024</v>
      </c>
      <c r="B10879" s="133">
        <v>4</v>
      </c>
      <c r="C10879" s="133">
        <v>1</v>
      </c>
      <c r="D10879" s="141">
        <f t="shared" si="1506"/>
        <v>45383</v>
      </c>
      <c r="E10879" s="275">
        <f t="shared" si="1507"/>
        <v>45383</v>
      </c>
      <c r="F10879" s="481"/>
      <c r="G10879" s="174" t="s">
        <v>94</v>
      </c>
      <c r="H10879" s="174" t="str" cm="1">
        <f t="array" ref="H10879">IFERROR(INDEX(INVESTOR_LIST[INVESTOR NAME],MATCH(I10879,INVESTOR_LIST[INVESTOR CODE],0),)," ")</f>
        <v xml:space="preserve"> </v>
      </c>
      <c r="J10879" s="149" t="s">
        <v>191</v>
      </c>
      <c r="K10879" s="218"/>
      <c r="L10879" s="218">
        <v>16001.6</v>
      </c>
      <c r="N10879" s="264"/>
    </row>
    <row r="10880" spans="1:14" x14ac:dyDescent="0.2">
      <c r="A10880" s="163">
        <v>2024</v>
      </c>
      <c r="B10880" s="163">
        <v>4</v>
      </c>
      <c r="C10880" s="163">
        <v>1</v>
      </c>
      <c r="D10880" s="280">
        <f t="shared" si="1506"/>
        <v>45383</v>
      </c>
      <c r="E10880" s="281">
        <f t="shared" si="1507"/>
        <v>45383</v>
      </c>
      <c r="F10880" s="480"/>
      <c r="G10880" s="221" t="s">
        <v>94</v>
      </c>
      <c r="H10880" s="145" t="str" cm="1">
        <f t="array" ref="H10880">IFERROR(INDEX(INVESTOR_LIST[INVESTOR NAME],MATCH(I10880,INVESTOR_LIST[INVESTOR CODE],0),)," ")</f>
        <v xml:space="preserve"> </v>
      </c>
      <c r="I10880" s="145"/>
      <c r="J10880" s="163" t="s">
        <v>79</v>
      </c>
      <c r="K10880" s="219"/>
      <c r="L10880" s="219">
        <v>785040</v>
      </c>
      <c r="N10880" s="264"/>
    </row>
    <row r="10881" spans="1:17" x14ac:dyDescent="0.2">
      <c r="A10881" s="168">
        <v>2024</v>
      </c>
      <c r="B10881" s="168">
        <v>4</v>
      </c>
      <c r="C10881" s="168">
        <v>2</v>
      </c>
      <c r="D10881" s="141">
        <f>DATE(A10881,B10881,C10881)</f>
        <v>45384</v>
      </c>
      <c r="E10881" s="275">
        <f>DATE(A10881,B10881,C10881)</f>
        <v>45384</v>
      </c>
      <c r="F10881" s="479" t="s">
        <v>1757</v>
      </c>
      <c r="G10881" s="220" t="s">
        <v>74</v>
      </c>
      <c r="H10881" s="220" t="str" cm="1">
        <f t="array" ref="H10881">IFERROR(INDEX(INVESTOR_LIST[INVESTOR NAME],MATCH(I10881,INVESTOR_LIST[INVESTOR CODE],0),)," ")</f>
        <v xml:space="preserve"> </v>
      </c>
      <c r="I10881" s="142"/>
      <c r="J10881" s="143" t="s">
        <v>52</v>
      </c>
      <c r="K10881" s="226">
        <v>2112837.64</v>
      </c>
      <c r="L10881" s="226"/>
    </row>
    <row r="10882" spans="1:17" ht="10.5" customHeight="1" x14ac:dyDescent="0.2">
      <c r="A10882" s="163">
        <v>2024</v>
      </c>
      <c r="B10882" s="163">
        <v>4</v>
      </c>
      <c r="C10882" s="163">
        <v>2</v>
      </c>
      <c r="D10882" s="280">
        <f>DATE(A10882,B10882,C10882)</f>
        <v>45384</v>
      </c>
      <c r="E10882" s="281">
        <f>DATE(A10882,B10882,C10882)</f>
        <v>45384</v>
      </c>
      <c r="F10882" s="480"/>
      <c r="G10882" s="221" t="s">
        <v>74</v>
      </c>
      <c r="H10882" s="221" t="str" cm="1">
        <f t="array" ref="H10882">IFERROR(INDEX(INVESTOR_LIST[INVESTOR NAME],MATCH(I10882,INVESTOR_LIST[INVESTOR CODE],0),)," ")</f>
        <v xml:space="preserve"> </v>
      </c>
      <c r="I10882" s="145"/>
      <c r="J10882" s="146" t="s">
        <v>190</v>
      </c>
      <c r="K10882" s="219"/>
      <c r="L10882" s="219">
        <v>2112837.64</v>
      </c>
    </row>
    <row r="10883" spans="1:17" ht="11.25" customHeight="1" x14ac:dyDescent="0.2">
      <c r="A10883" s="168">
        <v>2024</v>
      </c>
      <c r="B10883" s="168">
        <v>4</v>
      </c>
      <c r="C10883" s="168">
        <v>2</v>
      </c>
      <c r="D10883" s="141">
        <f t="shared" ref="D10883:D10885" si="1508">DATE(A10883,B10883,C10883)</f>
        <v>45384</v>
      </c>
      <c r="E10883" s="275">
        <f t="shared" ref="E10883:E10885" si="1509">DATE(A10883,B10883,C10883)</f>
        <v>45384</v>
      </c>
      <c r="F10883" s="479" t="s">
        <v>1310</v>
      </c>
      <c r="G10883" s="220" t="s">
        <v>74</v>
      </c>
      <c r="H10883" s="142" t="str" cm="1">
        <f t="array" ref="H10883">IFERROR(INDEX(INVESTOR_LIST[INVESTOR NAME],MATCH(I10883,INVESTOR_LIST[INVESTOR CODE],0),)," ")</f>
        <v>BENOZEER AHMED</v>
      </c>
      <c r="I10883" s="142" t="s">
        <v>851</v>
      </c>
      <c r="J10883" s="168" t="s">
        <v>13</v>
      </c>
      <c r="K10883" s="218">
        <v>7380</v>
      </c>
      <c r="L10883" s="226"/>
    </row>
    <row r="10884" spans="1:17" ht="11.25" customHeight="1" x14ac:dyDescent="0.2">
      <c r="A10884" s="133">
        <v>2024</v>
      </c>
      <c r="B10884" s="133">
        <v>4</v>
      </c>
      <c r="C10884" s="133">
        <v>2</v>
      </c>
      <c r="D10884" s="141">
        <f t="shared" si="1508"/>
        <v>45384</v>
      </c>
      <c r="E10884" s="275">
        <f t="shared" si="1509"/>
        <v>45384</v>
      </c>
      <c r="F10884" s="481"/>
      <c r="G10884" s="174" t="s">
        <v>74</v>
      </c>
      <c r="H10884" s="148" t="str" cm="1">
        <f t="array" ref="H10884">IFERROR(INDEX(INVESTOR_LIST[INVESTOR NAME],MATCH(I10884,INVESTOR_LIST[INVESTOR CODE],0),)," ")</f>
        <v>BENOZEER AHMED</v>
      </c>
      <c r="I10884" s="148" t="s">
        <v>851</v>
      </c>
      <c r="J10884" s="133" t="s">
        <v>53</v>
      </c>
      <c r="K10884" s="218">
        <v>1347.5900000000001</v>
      </c>
      <c r="L10884" s="133"/>
    </row>
    <row r="10885" spans="1:17" ht="11.25" customHeight="1" x14ac:dyDescent="0.2">
      <c r="A10885" s="163">
        <v>2024</v>
      </c>
      <c r="B10885" s="163">
        <v>4</v>
      </c>
      <c r="C10885" s="163">
        <v>2</v>
      </c>
      <c r="D10885" s="280">
        <f t="shared" si="1508"/>
        <v>45384</v>
      </c>
      <c r="E10885" s="281">
        <f t="shared" si="1509"/>
        <v>45384</v>
      </c>
      <c r="F10885" s="480"/>
      <c r="G10885" s="221" t="s">
        <v>74</v>
      </c>
      <c r="H10885" s="145" t="str" cm="1">
        <f t="array" ref="H10885">IFERROR(INDEX(INVESTOR_LIST[INVESTOR NAME],MATCH(I10885,INVESTOR_LIST[INVESTOR CODE],0),)," ")</f>
        <v>BENOZEER AHMED</v>
      </c>
      <c r="I10885" s="145" t="s">
        <v>851</v>
      </c>
      <c r="J10885" s="163" t="s">
        <v>52</v>
      </c>
      <c r="K10885" s="219"/>
      <c r="L10885" s="219">
        <v>8727.59</v>
      </c>
    </row>
    <row r="10886" spans="1:17" ht="11.25" customHeight="1" x14ac:dyDescent="0.2">
      <c r="A10886" s="168">
        <v>2024</v>
      </c>
      <c r="B10886" s="168">
        <v>4</v>
      </c>
      <c r="C10886" s="168">
        <v>2</v>
      </c>
      <c r="D10886" s="141">
        <f t="shared" ref="D10886:D10893" si="1510">DATE(A10886,B10886,C10886)</f>
        <v>45384</v>
      </c>
      <c r="E10886" s="275">
        <f t="shared" ref="E10886:E10893" si="1511">DATE(A10886,B10886,C10886)</f>
        <v>45384</v>
      </c>
      <c r="F10886" s="479" t="s">
        <v>1310</v>
      </c>
      <c r="G10886" s="220" t="s">
        <v>74</v>
      </c>
      <c r="H10886" s="142" t="str" cm="1">
        <f t="array" ref="H10886">IFERROR(INDEX(INVESTOR_LIST[INVESTOR NAME],MATCH(I10886,INVESTOR_LIST[INVESTOR CODE],0),)," ")</f>
        <v>UCIL EMPLOYEES' PROVIDENT FUND</v>
      </c>
      <c r="I10886" s="142" t="s">
        <v>385</v>
      </c>
      <c r="J10886" s="168" t="s">
        <v>13</v>
      </c>
      <c r="K10886" s="218">
        <v>30000</v>
      </c>
      <c r="L10886" s="226"/>
    </row>
    <row r="10887" spans="1:17" ht="11.25" customHeight="1" x14ac:dyDescent="0.2">
      <c r="A10887" s="133">
        <v>2024</v>
      </c>
      <c r="B10887" s="133">
        <v>4</v>
      </c>
      <c r="C10887" s="133">
        <v>2</v>
      </c>
      <c r="D10887" s="141">
        <f t="shared" si="1510"/>
        <v>45384</v>
      </c>
      <c r="E10887" s="275">
        <f t="shared" si="1511"/>
        <v>45384</v>
      </c>
      <c r="F10887" s="481"/>
      <c r="G10887" s="174" t="s">
        <v>74</v>
      </c>
      <c r="H10887" s="148" t="str" cm="1">
        <f t="array" ref="H10887">IFERROR(INDEX(INVESTOR_LIST[INVESTOR NAME],MATCH(I10887,INVESTOR_LIST[INVESTOR CODE],0),)," ")</f>
        <v>UCIL EMPLOYEES' PROVIDENT FUND</v>
      </c>
      <c r="I10887" s="148" t="s">
        <v>385</v>
      </c>
      <c r="J10887" s="133" t="s">
        <v>53</v>
      </c>
      <c r="K10887" s="218">
        <v>5478</v>
      </c>
      <c r="L10887" s="133"/>
    </row>
    <row r="10888" spans="1:17" ht="11.25" customHeight="1" x14ac:dyDescent="0.2">
      <c r="A10888" s="163">
        <v>2024</v>
      </c>
      <c r="B10888" s="163">
        <v>4</v>
      </c>
      <c r="C10888" s="163">
        <v>2</v>
      </c>
      <c r="D10888" s="280">
        <f t="shared" si="1510"/>
        <v>45384</v>
      </c>
      <c r="E10888" s="281">
        <f t="shared" si="1511"/>
        <v>45384</v>
      </c>
      <c r="F10888" s="480"/>
      <c r="G10888" s="221" t="s">
        <v>74</v>
      </c>
      <c r="H10888" s="145" t="str" cm="1">
        <f t="array" ref="H10888">IFERROR(INDEX(INVESTOR_LIST[INVESTOR NAME],MATCH(I10888,INVESTOR_LIST[INVESTOR CODE],0),)," ")</f>
        <v>UCIL EMPLOYEES' PROVIDENT FUND</v>
      </c>
      <c r="I10888" s="145" t="s">
        <v>385</v>
      </c>
      <c r="J10888" s="163" t="s">
        <v>52</v>
      </c>
      <c r="K10888" s="219"/>
      <c r="L10888" s="219">
        <v>35478</v>
      </c>
    </row>
    <row r="10889" spans="1:17" x14ac:dyDescent="0.2">
      <c r="A10889" s="168">
        <v>2024</v>
      </c>
      <c r="B10889" s="168">
        <v>4</v>
      </c>
      <c r="C10889" s="168">
        <v>2</v>
      </c>
      <c r="D10889" s="141">
        <f t="shared" si="1510"/>
        <v>45384</v>
      </c>
      <c r="E10889" s="275">
        <f t="shared" si="1511"/>
        <v>45384</v>
      </c>
      <c r="F10889" s="479" t="s">
        <v>1909</v>
      </c>
      <c r="G10889" s="220" t="s">
        <v>74</v>
      </c>
      <c r="H10889" s="220" t="str" cm="1">
        <f t="array" ref="H10889">IFERROR(INDEX(INVESTOR_LIST[INVESTOR NAME],MATCH(I10889,INVESTOR_LIST[INVESTOR CODE],0),)," ")</f>
        <v xml:space="preserve"> </v>
      </c>
      <c r="I10889" s="142" t="s">
        <v>348</v>
      </c>
      <c r="J10889" s="143" t="s">
        <v>1906</v>
      </c>
      <c r="K10889" s="226">
        <v>188</v>
      </c>
      <c r="L10889" s="226"/>
      <c r="M10889" s="147"/>
      <c r="Q10889" s="133" t="s">
        <v>348</v>
      </c>
    </row>
    <row r="10890" spans="1:17" x14ac:dyDescent="0.2">
      <c r="A10890" s="133">
        <v>2024</v>
      </c>
      <c r="B10890" s="133">
        <v>4</v>
      </c>
      <c r="C10890" s="133">
        <v>2</v>
      </c>
      <c r="D10890" s="141">
        <f t="shared" ref="D10890:D10892" si="1512">DATE(A10890,B10890,C10890)</f>
        <v>45384</v>
      </c>
      <c r="E10890" s="275">
        <f t="shared" ref="E10890:E10892" si="1513">DATE(A10890,B10890,C10890)</f>
        <v>45384</v>
      </c>
      <c r="F10890" s="481"/>
      <c r="G10890" s="174" t="s">
        <v>74</v>
      </c>
      <c r="H10890" s="174"/>
      <c r="J10890" s="149" t="s">
        <v>1907</v>
      </c>
      <c r="K10890" s="218">
        <v>150</v>
      </c>
      <c r="L10890" s="218"/>
      <c r="M10890" s="147"/>
    </row>
    <row r="10891" spans="1:17" x14ac:dyDescent="0.2">
      <c r="A10891" s="133">
        <v>2024</v>
      </c>
      <c r="B10891" s="133">
        <v>4</v>
      </c>
      <c r="C10891" s="133">
        <v>2</v>
      </c>
      <c r="D10891" s="141">
        <f t="shared" ref="D10891" si="1514">DATE(A10891,B10891,C10891)</f>
        <v>45384</v>
      </c>
      <c r="E10891" s="275">
        <f t="shared" ref="E10891" si="1515">DATE(A10891,B10891,C10891)</f>
        <v>45384</v>
      </c>
      <c r="F10891" s="481"/>
      <c r="G10891" s="174" t="s">
        <v>74</v>
      </c>
      <c r="H10891" s="174"/>
      <c r="J10891" s="149" t="s">
        <v>534</v>
      </c>
      <c r="K10891" s="218">
        <v>5075.62</v>
      </c>
      <c r="L10891" s="218"/>
      <c r="M10891" s="147"/>
    </row>
    <row r="10892" spans="1:17" x14ac:dyDescent="0.2">
      <c r="A10892" s="133">
        <v>2024</v>
      </c>
      <c r="B10892" s="133">
        <v>4</v>
      </c>
      <c r="C10892" s="133">
        <v>2</v>
      </c>
      <c r="D10892" s="141">
        <f t="shared" si="1512"/>
        <v>45384</v>
      </c>
      <c r="E10892" s="275">
        <f t="shared" si="1513"/>
        <v>45384</v>
      </c>
      <c r="F10892" s="481"/>
      <c r="G10892" s="174" t="s">
        <v>74</v>
      </c>
      <c r="H10892" s="174"/>
      <c r="J10892" s="149" t="s">
        <v>534</v>
      </c>
      <c r="K10892" s="218">
        <v>4000</v>
      </c>
      <c r="L10892" s="218"/>
      <c r="M10892" s="147"/>
    </row>
    <row r="10893" spans="1:17" x14ac:dyDescent="0.2">
      <c r="A10893" s="163">
        <v>2024</v>
      </c>
      <c r="B10893" s="163">
        <v>4</v>
      </c>
      <c r="C10893" s="163">
        <v>2</v>
      </c>
      <c r="D10893" s="280">
        <f t="shared" si="1510"/>
        <v>45384</v>
      </c>
      <c r="E10893" s="281">
        <f t="shared" si="1511"/>
        <v>45384</v>
      </c>
      <c r="F10893" s="480"/>
      <c r="G10893" s="221" t="s">
        <v>74</v>
      </c>
      <c r="H10893" s="221"/>
      <c r="I10893" s="145"/>
      <c r="J10893" s="146" t="s">
        <v>52</v>
      </c>
      <c r="K10893" s="219"/>
      <c r="L10893" s="219">
        <v>9413.6200000000008</v>
      </c>
      <c r="M10893" s="147"/>
    </row>
    <row r="10894" spans="1:17" x14ac:dyDescent="0.2">
      <c r="A10894" s="168">
        <v>2024</v>
      </c>
      <c r="B10894" s="168">
        <v>4</v>
      </c>
      <c r="C10894" s="168">
        <v>2</v>
      </c>
      <c r="D10894" s="141">
        <f t="shared" ref="D10894:D10895" si="1516">DATE(A10894,B10894,C10894)</f>
        <v>45384</v>
      </c>
      <c r="E10894" s="275">
        <f t="shared" ref="E10894:E10895" si="1517">DATE(A10894,B10894,C10894)</f>
        <v>45384</v>
      </c>
      <c r="F10894" s="479" t="s">
        <v>1910</v>
      </c>
      <c r="G10894" s="220" t="s">
        <v>74</v>
      </c>
      <c r="H10894" s="220" t="str" cm="1">
        <f t="array" ref="H10894">IFERROR(INDEX(INVESTOR_LIST[INVESTOR NAME],MATCH(I10894,INVESTOR_LIST[INVESTOR CODE],0),)," ")</f>
        <v xml:space="preserve"> </v>
      </c>
      <c r="I10894" s="142" t="s">
        <v>348</v>
      </c>
      <c r="J10894" s="143" t="s">
        <v>534</v>
      </c>
      <c r="K10894" s="226">
        <v>355010.96</v>
      </c>
      <c r="L10894" s="226"/>
      <c r="M10894" s="147"/>
      <c r="Q10894" s="133" t="s">
        <v>348</v>
      </c>
    </row>
    <row r="10895" spans="1:17" x14ac:dyDescent="0.2">
      <c r="A10895" s="163">
        <v>2024</v>
      </c>
      <c r="B10895" s="163">
        <v>4</v>
      </c>
      <c r="C10895" s="163">
        <v>2</v>
      </c>
      <c r="D10895" s="280">
        <f t="shared" si="1516"/>
        <v>45384</v>
      </c>
      <c r="E10895" s="281">
        <f t="shared" si="1517"/>
        <v>45384</v>
      </c>
      <c r="F10895" s="480"/>
      <c r="G10895" s="221" t="s">
        <v>74</v>
      </c>
      <c r="H10895" s="221"/>
      <c r="I10895" s="145"/>
      <c r="J10895" s="146" t="s">
        <v>52</v>
      </c>
      <c r="K10895" s="219"/>
      <c r="L10895" s="219">
        <v>355010.96</v>
      </c>
      <c r="M10895" s="147"/>
    </row>
    <row r="10896" spans="1:17" x14ac:dyDescent="0.2">
      <c r="A10896" s="168">
        <v>2024</v>
      </c>
      <c r="B10896" s="168">
        <v>4</v>
      </c>
      <c r="C10896" s="168">
        <v>2</v>
      </c>
      <c r="D10896" s="141">
        <f>DATE(A10896,B10896,C10896)</f>
        <v>45384</v>
      </c>
      <c r="E10896" s="275">
        <f>DATE(A10896,B10896,C10896)</f>
        <v>45384</v>
      </c>
      <c r="F10896" s="479" t="s">
        <v>1911</v>
      </c>
      <c r="G10896" s="174" t="s">
        <v>94</v>
      </c>
      <c r="H10896" s="148" t="str" cm="1">
        <f t="array" ref="H10896">IFERROR(INDEX(INVESTOR_LIST[INVESTOR NAME],MATCH(I10896,INVESTOR_LIST[INVESTOR CODE],0),)," ")</f>
        <v xml:space="preserve"> </v>
      </c>
      <c r="I10896" s="148" t="s">
        <v>348</v>
      </c>
      <c r="J10896" s="133" t="s">
        <v>50</v>
      </c>
      <c r="K10896" s="172">
        <v>40000</v>
      </c>
      <c r="N10896" s="176"/>
    </row>
    <row r="10897" spans="1:17" x14ac:dyDescent="0.2">
      <c r="A10897" s="133">
        <v>2024</v>
      </c>
      <c r="B10897" s="133">
        <v>4</v>
      </c>
      <c r="C10897" s="133">
        <v>2</v>
      </c>
      <c r="D10897" s="141">
        <f t="shared" ref="D10897:D10898" si="1518">DATE(A10897,B10897,C10897)</f>
        <v>45384</v>
      </c>
      <c r="E10897" s="275">
        <f t="shared" ref="E10897:E10898" si="1519">DATE(A10897,B10897,C10897)</f>
        <v>45384</v>
      </c>
      <c r="F10897" s="481"/>
      <c r="G10897" s="174" t="s">
        <v>94</v>
      </c>
      <c r="J10897" s="133" t="s">
        <v>103</v>
      </c>
      <c r="K10897" s="172">
        <v>6000</v>
      </c>
    </row>
    <row r="10898" spans="1:17" x14ac:dyDescent="0.2">
      <c r="A10898" s="133">
        <v>2024</v>
      </c>
      <c r="B10898" s="133">
        <v>4</v>
      </c>
      <c r="C10898" s="133">
        <v>2</v>
      </c>
      <c r="D10898" s="141">
        <f t="shared" si="1518"/>
        <v>45384</v>
      </c>
      <c r="E10898" s="275">
        <f t="shared" si="1519"/>
        <v>45384</v>
      </c>
      <c r="F10898" s="481"/>
      <c r="G10898" s="174" t="s">
        <v>94</v>
      </c>
      <c r="J10898" s="133" t="s">
        <v>534</v>
      </c>
      <c r="K10898" s="133"/>
      <c r="L10898" s="218">
        <v>4000</v>
      </c>
    </row>
    <row r="10899" spans="1:17" x14ac:dyDescent="0.2">
      <c r="A10899" s="163">
        <v>2024</v>
      </c>
      <c r="B10899" s="163">
        <v>4</v>
      </c>
      <c r="C10899" s="163">
        <v>2</v>
      </c>
      <c r="D10899" s="280">
        <f>DATE(A10899,B10899,C10899)</f>
        <v>45384</v>
      </c>
      <c r="E10899" s="281">
        <f>DATE(A10899,B10899,C10899)</f>
        <v>45384</v>
      </c>
      <c r="F10899" s="480"/>
      <c r="G10899" s="221" t="s">
        <v>94</v>
      </c>
      <c r="H10899" s="145" t="str" cm="1">
        <f t="array" ref="H10899">IFERROR(INDEX(INVESTOR_LIST[INVESTOR NAME],MATCH(I10899,INVESTOR_LIST[INVESTOR CODE],0),)," ")</f>
        <v xml:space="preserve"> </v>
      </c>
      <c r="I10899" s="145" t="s">
        <v>348</v>
      </c>
      <c r="J10899" s="163" t="s">
        <v>52</v>
      </c>
      <c r="K10899" s="219"/>
      <c r="L10899" s="219">
        <v>42000</v>
      </c>
    </row>
    <row r="10900" spans="1:17" x14ac:dyDescent="0.2">
      <c r="A10900" s="133">
        <v>2024</v>
      </c>
      <c r="B10900" s="133">
        <v>4</v>
      </c>
      <c r="C10900" s="133">
        <v>3</v>
      </c>
      <c r="D10900" s="141">
        <f t="shared" ref="D10900:D10916" si="1520">DATE(A10900,B10900,C10900)</f>
        <v>45385</v>
      </c>
      <c r="E10900" s="275">
        <f t="shared" ref="E10900:E10916" si="1521">DATE(A10900,B10900,C10900)</f>
        <v>45385</v>
      </c>
      <c r="F10900" s="481" t="s">
        <v>1916</v>
      </c>
      <c r="G10900" s="174" t="s">
        <v>74</v>
      </c>
      <c r="H10900" s="174" t="str" cm="1">
        <f t="array" ref="H10900">IFERROR(INDEX(INVESTOR_LIST[INVESTOR NAME],MATCH(I10900,INVESTOR_LIST[INVESTOR CODE],0),)," ")</f>
        <v xml:space="preserve"> </v>
      </c>
      <c r="I10900" s="148" t="s">
        <v>348</v>
      </c>
      <c r="J10900" s="149" t="s">
        <v>1805</v>
      </c>
      <c r="K10900" s="218">
        <v>15009075.15</v>
      </c>
      <c r="L10900" s="218"/>
      <c r="M10900" s="147"/>
      <c r="Q10900" s="133" t="s">
        <v>348</v>
      </c>
    </row>
    <row r="10901" spans="1:17" x14ac:dyDescent="0.2">
      <c r="A10901" s="163">
        <v>2024</v>
      </c>
      <c r="B10901" s="163">
        <v>4</v>
      </c>
      <c r="C10901" s="163">
        <v>3</v>
      </c>
      <c r="D10901" s="280">
        <f t="shared" si="1520"/>
        <v>45385</v>
      </c>
      <c r="E10901" s="281">
        <f t="shared" si="1521"/>
        <v>45385</v>
      </c>
      <c r="F10901" s="480"/>
      <c r="G10901" s="221" t="s">
        <v>74</v>
      </c>
      <c r="H10901" s="221" t="str" cm="1">
        <f t="array" ref="H10901">IFERROR(INDEX(INVESTOR_LIST[INVESTOR NAME],MATCH(I10901,INVESTOR_LIST[INVESTOR CODE],0),)," ")</f>
        <v xml:space="preserve"> </v>
      </c>
      <c r="I10901" s="145"/>
      <c r="J10901" s="146" t="s">
        <v>52</v>
      </c>
      <c r="K10901" s="219"/>
      <c r="L10901" s="219">
        <v>15009075.15</v>
      </c>
      <c r="M10901" s="147"/>
      <c r="Q10901" s="133" t="s">
        <v>348</v>
      </c>
    </row>
    <row r="10902" spans="1:17" x14ac:dyDescent="0.2">
      <c r="A10902" s="343">
        <v>2024</v>
      </c>
      <c r="B10902" s="343">
        <v>4</v>
      </c>
      <c r="C10902" s="343">
        <v>3</v>
      </c>
      <c r="D10902" s="344">
        <f t="shared" si="1520"/>
        <v>45385</v>
      </c>
      <c r="E10902" s="345">
        <f t="shared" si="1521"/>
        <v>45385</v>
      </c>
      <c r="F10902" s="483" t="s">
        <v>1813</v>
      </c>
      <c r="G10902" s="350" t="s">
        <v>94</v>
      </c>
      <c r="H10902" s="350" t="str" cm="1">
        <f t="array" ref="H10902">IFERROR(INDEX(INVESTOR_LIST[INVESTOR NAME],MATCH(I10902,INVESTOR_LIST[INVESTOR CODE],0),)," ")</f>
        <v xml:space="preserve"> </v>
      </c>
      <c r="I10902" s="352" t="s">
        <v>348</v>
      </c>
      <c r="J10902" s="353" t="s">
        <v>1798</v>
      </c>
      <c r="K10902" s="354">
        <v>115336</v>
      </c>
      <c r="L10902" s="354"/>
    </row>
    <row r="10903" spans="1:17" x14ac:dyDescent="0.2">
      <c r="A10903" s="346">
        <v>2024</v>
      </c>
      <c r="B10903" s="346">
        <v>4</v>
      </c>
      <c r="C10903" s="346">
        <v>3</v>
      </c>
      <c r="D10903" s="344">
        <f t="shared" si="1520"/>
        <v>45385</v>
      </c>
      <c r="E10903" s="345">
        <f t="shared" si="1521"/>
        <v>45385</v>
      </c>
      <c r="F10903" s="484"/>
      <c r="G10903" s="347" t="s">
        <v>94</v>
      </c>
      <c r="H10903" s="347" t="str" cm="1">
        <f t="array" ref="H10903">IFERROR(INDEX(INVESTOR_LIST[INVESTOR NAME],MATCH(I10903,INVESTOR_LIST[INVESTOR CODE],0),)," ")</f>
        <v xml:space="preserve"> </v>
      </c>
      <c r="I10903" s="348" t="s">
        <v>348</v>
      </c>
      <c r="J10903" s="355" t="s">
        <v>1807</v>
      </c>
      <c r="K10903" s="349"/>
      <c r="L10903" s="349">
        <v>115336</v>
      </c>
    </row>
    <row r="10904" spans="1:17" x14ac:dyDescent="0.2">
      <c r="A10904" s="343">
        <v>2024</v>
      </c>
      <c r="B10904" s="343">
        <v>4</v>
      </c>
      <c r="C10904" s="343">
        <v>3</v>
      </c>
      <c r="D10904" s="344">
        <f t="shared" ref="D10904:D10905" si="1522">DATE(A10904,B10904,C10904)</f>
        <v>45385</v>
      </c>
      <c r="E10904" s="345">
        <f t="shared" ref="E10904:E10905" si="1523">DATE(A10904,B10904,C10904)</f>
        <v>45385</v>
      </c>
      <c r="F10904" s="483" t="s">
        <v>1913</v>
      </c>
      <c r="G10904" s="350" t="s">
        <v>94</v>
      </c>
      <c r="H10904" s="350" t="str" cm="1">
        <f t="array" ref="H10904">IFERROR(INDEX(INVESTOR_LIST[INVESTOR NAME],MATCH(I10904,INVESTOR_LIST[INVESTOR CODE],0),)," ")</f>
        <v xml:space="preserve"> </v>
      </c>
      <c r="I10904" s="352" t="s">
        <v>348</v>
      </c>
      <c r="J10904" s="353" t="s">
        <v>1808</v>
      </c>
      <c r="K10904" s="354">
        <v>13351.349999999627</v>
      </c>
      <c r="L10904" s="354"/>
    </row>
    <row r="10905" spans="1:17" x14ac:dyDescent="0.2">
      <c r="A10905" s="346">
        <v>2024</v>
      </c>
      <c r="B10905" s="346">
        <v>4</v>
      </c>
      <c r="C10905" s="346">
        <v>3</v>
      </c>
      <c r="D10905" s="344">
        <f t="shared" si="1522"/>
        <v>45385</v>
      </c>
      <c r="E10905" s="345">
        <f t="shared" si="1523"/>
        <v>45385</v>
      </c>
      <c r="F10905" s="484"/>
      <c r="G10905" s="347" t="s">
        <v>94</v>
      </c>
      <c r="H10905" s="347" t="str" cm="1">
        <f t="array" ref="H10905">IFERROR(INDEX(INVESTOR_LIST[INVESTOR NAME],MATCH(I10905,INVESTOR_LIST[INVESTOR CODE],0),)," ")</f>
        <v xml:space="preserve"> </v>
      </c>
      <c r="I10905" s="348" t="s">
        <v>348</v>
      </c>
      <c r="J10905" s="355" t="s">
        <v>1799</v>
      </c>
      <c r="K10905" s="349"/>
      <c r="L10905" s="349">
        <v>13351.349999999627</v>
      </c>
    </row>
    <row r="10906" spans="1:17" x14ac:dyDescent="0.2">
      <c r="A10906" s="238">
        <v>2024</v>
      </c>
      <c r="B10906" s="238">
        <v>4</v>
      </c>
      <c r="C10906" s="238">
        <v>3</v>
      </c>
      <c r="D10906" s="270">
        <f t="shared" si="1520"/>
        <v>45385</v>
      </c>
      <c r="E10906" s="279">
        <f t="shared" si="1521"/>
        <v>45385</v>
      </c>
      <c r="F10906" s="477" t="s">
        <v>347</v>
      </c>
      <c r="G10906" s="239" t="s">
        <v>94</v>
      </c>
      <c r="H10906" s="239" t="str" cm="1">
        <f t="array" ref="H10906">IFERROR(INDEX(INVESTOR_LIST[INVESTOR NAME],MATCH(I10906,INVESTOR_LIST[INVESTOR CODE],0),)," ")</f>
        <v xml:space="preserve"> </v>
      </c>
      <c r="I10906" s="262" t="s">
        <v>348</v>
      </c>
      <c r="J10906" s="240" t="s">
        <v>82</v>
      </c>
      <c r="K10906" s="241">
        <v>509275.84000000358</v>
      </c>
      <c r="L10906" s="241"/>
    </row>
    <row r="10907" spans="1:17" x14ac:dyDescent="0.2">
      <c r="A10907" s="242">
        <v>2024</v>
      </c>
      <c r="B10907" s="242">
        <v>4</v>
      </c>
      <c r="C10907" s="242">
        <v>3</v>
      </c>
      <c r="D10907" s="270">
        <f t="shared" si="1520"/>
        <v>45385</v>
      </c>
      <c r="E10907" s="279">
        <f t="shared" si="1521"/>
        <v>45385</v>
      </c>
      <c r="F10907" s="478"/>
      <c r="G10907" s="243" t="s">
        <v>94</v>
      </c>
      <c r="H10907" s="243" t="str" cm="1">
        <f t="array" ref="H10907">IFERROR(INDEX(INVESTOR_LIST[INVESTOR NAME],MATCH(I10907,INVESTOR_LIST[INVESTOR CODE],0),)," ")</f>
        <v xml:space="preserve"> </v>
      </c>
      <c r="I10907" s="263" t="s">
        <v>348</v>
      </c>
      <c r="J10907" s="244" t="s">
        <v>108</v>
      </c>
      <c r="K10907" s="245"/>
      <c r="L10907" s="245">
        <v>509275.84000000358</v>
      </c>
    </row>
    <row r="10908" spans="1:17" ht="22.5" x14ac:dyDescent="0.2">
      <c r="A10908" s="246">
        <v>2024</v>
      </c>
      <c r="B10908" s="238">
        <v>4</v>
      </c>
      <c r="C10908" s="238">
        <v>3</v>
      </c>
      <c r="D10908" s="270">
        <f t="shared" si="1520"/>
        <v>45385</v>
      </c>
      <c r="E10908" s="279">
        <f t="shared" si="1521"/>
        <v>45385</v>
      </c>
      <c r="F10908" s="482" t="s">
        <v>148</v>
      </c>
      <c r="G10908" s="247" t="s">
        <v>94</v>
      </c>
      <c r="H10908" s="247" t="str" cm="1">
        <f t="array" ref="H10908">IFERROR(INDEX(INVESTOR_LIST[INVESTOR NAME],MATCH(I10908,INVESTOR_LIST[INVESTOR CODE],0),)," ")</f>
        <v xml:space="preserve"> </v>
      </c>
      <c r="I10908" s="248" t="s">
        <v>348</v>
      </c>
      <c r="J10908" s="249" t="s">
        <v>95</v>
      </c>
      <c r="K10908" s="250">
        <v>2747.2527472527472</v>
      </c>
      <c r="L10908" s="241"/>
    </row>
    <row r="10909" spans="1:17" x14ac:dyDescent="0.2">
      <c r="A10909" s="242">
        <v>2024</v>
      </c>
      <c r="B10909" s="242">
        <v>4</v>
      </c>
      <c r="C10909" s="242">
        <v>3</v>
      </c>
      <c r="D10909" s="270">
        <f t="shared" si="1520"/>
        <v>45385</v>
      </c>
      <c r="E10909" s="279">
        <f t="shared" si="1521"/>
        <v>45385</v>
      </c>
      <c r="F10909" s="478"/>
      <c r="G10909" s="243" t="s">
        <v>94</v>
      </c>
      <c r="H10909" s="243" t="str" cm="1">
        <f t="array" ref="H10909">IFERROR(INDEX(INVESTOR_LIST[INVESTOR NAME],MATCH(I10909,INVESTOR_LIST[INVESTOR CODE],0),)," ")</f>
        <v xml:space="preserve"> </v>
      </c>
      <c r="I10909" s="263" t="s">
        <v>348</v>
      </c>
      <c r="J10909" s="244" t="s">
        <v>63</v>
      </c>
      <c r="K10909" s="245"/>
      <c r="L10909" s="245">
        <v>2747.2527472527472</v>
      </c>
    </row>
    <row r="10910" spans="1:17" x14ac:dyDescent="0.2">
      <c r="A10910" s="246">
        <v>2024</v>
      </c>
      <c r="B10910" s="238">
        <v>4</v>
      </c>
      <c r="C10910" s="238">
        <v>3</v>
      </c>
      <c r="D10910" s="270">
        <f t="shared" si="1520"/>
        <v>45385</v>
      </c>
      <c r="E10910" s="279">
        <f t="shared" si="1521"/>
        <v>45385</v>
      </c>
      <c r="F10910" s="482" t="s">
        <v>137</v>
      </c>
      <c r="G10910" s="247" t="s">
        <v>94</v>
      </c>
      <c r="H10910" s="247" t="str" cm="1">
        <f t="array" ref="H10910">IFERROR(INDEX(INVESTOR_LIST[INVESTOR NAME],MATCH(I10910,INVESTOR_LIST[INVESTOR CODE],0),)," ")</f>
        <v xml:space="preserve"> </v>
      </c>
      <c r="I10910" s="248" t="s">
        <v>348</v>
      </c>
      <c r="J10910" s="249" t="s">
        <v>97</v>
      </c>
      <c r="K10910" s="250">
        <f>M10910</f>
        <v>54177.332386191898</v>
      </c>
      <c r="L10910" s="252"/>
      <c r="M10910" s="133">
        <v>54177.332386191898</v>
      </c>
    </row>
    <row r="10911" spans="1:17" x14ac:dyDescent="0.2">
      <c r="A10911" s="242">
        <v>2024</v>
      </c>
      <c r="B10911" s="242">
        <v>4</v>
      </c>
      <c r="C10911" s="242">
        <v>3</v>
      </c>
      <c r="D10911" s="270">
        <f t="shared" si="1520"/>
        <v>45385</v>
      </c>
      <c r="E10911" s="279">
        <f t="shared" si="1521"/>
        <v>45385</v>
      </c>
      <c r="F10911" s="478"/>
      <c r="G10911" s="243" t="s">
        <v>94</v>
      </c>
      <c r="H10911" s="243" t="str" cm="1">
        <f t="array" ref="H10911">IFERROR(INDEX(INVESTOR_LIST[INVESTOR NAME],MATCH(I10911,INVESTOR_LIST[INVESTOR CODE],0),)," ")</f>
        <v xml:space="preserve"> </v>
      </c>
      <c r="I10911" s="263" t="s">
        <v>348</v>
      </c>
      <c r="J10911" s="244" t="s">
        <v>47</v>
      </c>
      <c r="K10911" s="245"/>
      <c r="L10911" s="245">
        <f>K10910</f>
        <v>54177.332386191898</v>
      </c>
      <c r="M10911" s="133">
        <v>2468.4820039249798</v>
      </c>
    </row>
    <row r="10912" spans="1:17" x14ac:dyDescent="0.2">
      <c r="A10912" s="246">
        <v>2024</v>
      </c>
      <c r="B10912" s="238">
        <v>4</v>
      </c>
      <c r="C10912" s="238">
        <v>3</v>
      </c>
      <c r="D10912" s="270">
        <f t="shared" si="1520"/>
        <v>45385</v>
      </c>
      <c r="E10912" s="279">
        <f t="shared" si="1521"/>
        <v>45385</v>
      </c>
      <c r="F10912" s="482" t="s">
        <v>138</v>
      </c>
      <c r="G10912" s="247" t="s">
        <v>94</v>
      </c>
      <c r="H10912" s="247" t="str" cm="1">
        <f t="array" ref="H10912">IFERROR(INDEX(INVESTOR_LIST[INVESTOR NAME],MATCH(I10912,INVESTOR_LIST[INVESTOR CODE],0),)," ")</f>
        <v xml:space="preserve"> </v>
      </c>
      <c r="I10912" s="248" t="s">
        <v>348</v>
      </c>
      <c r="J10912" s="249" t="s">
        <v>100</v>
      </c>
      <c r="K10912" s="250">
        <f>M10911</f>
        <v>2468.4820039249798</v>
      </c>
      <c r="L10912" s="252"/>
    </row>
    <row r="10913" spans="1:17" x14ac:dyDescent="0.2">
      <c r="A10913" s="242">
        <v>2024</v>
      </c>
      <c r="B10913" s="242">
        <v>4</v>
      </c>
      <c r="C10913" s="242">
        <v>3</v>
      </c>
      <c r="D10913" s="321">
        <f t="shared" si="1520"/>
        <v>45385</v>
      </c>
      <c r="E10913" s="322">
        <f t="shared" si="1521"/>
        <v>45385</v>
      </c>
      <c r="F10913" s="478"/>
      <c r="G10913" s="243" t="s">
        <v>94</v>
      </c>
      <c r="H10913" s="243" t="str" cm="1">
        <f t="array" ref="H10913">IFERROR(INDEX(INVESTOR_LIST[INVESTOR NAME],MATCH(I10913,INVESTOR_LIST[INVESTOR CODE],0),)," ")</f>
        <v xml:space="preserve"> </v>
      </c>
      <c r="I10913" s="263" t="s">
        <v>348</v>
      </c>
      <c r="J10913" s="244" t="s">
        <v>48</v>
      </c>
      <c r="K10913" s="245"/>
      <c r="L10913" s="245">
        <f>K10912</f>
        <v>2468.4820039249798</v>
      </c>
    </row>
    <row r="10914" spans="1:17" x14ac:dyDescent="0.2">
      <c r="A10914" s="168">
        <v>2024</v>
      </c>
      <c r="B10914" s="168">
        <v>4</v>
      </c>
      <c r="C10914" s="168">
        <v>5</v>
      </c>
      <c r="D10914" s="141">
        <f t="shared" si="1520"/>
        <v>45387</v>
      </c>
      <c r="E10914" s="275">
        <f t="shared" si="1521"/>
        <v>45387</v>
      </c>
      <c r="F10914" s="479" t="s">
        <v>1319</v>
      </c>
      <c r="G10914" s="220" t="s">
        <v>74</v>
      </c>
      <c r="H10914" s="142" t="str" cm="1">
        <f t="array" ref="H10914">IFERROR(INDEX(INVESTOR_LIST[INVESTOR NAME],MATCH(I10914,INVESTOR_LIST[INVESTOR CODE],0),)," ")</f>
        <v xml:space="preserve"> </v>
      </c>
      <c r="I10914" s="142"/>
      <c r="J10914" s="168" t="s">
        <v>52</v>
      </c>
      <c r="K10914" s="226">
        <v>65500</v>
      </c>
      <c r="L10914" s="226"/>
    </row>
    <row r="10915" spans="1:17" x14ac:dyDescent="0.2">
      <c r="A10915" s="133">
        <v>2024</v>
      </c>
      <c r="B10915" s="133">
        <v>4</v>
      </c>
      <c r="C10915" s="133">
        <v>5</v>
      </c>
      <c r="D10915" s="141">
        <f t="shared" si="1520"/>
        <v>45387</v>
      </c>
      <c r="E10915" s="275">
        <f t="shared" si="1521"/>
        <v>45387</v>
      </c>
      <c r="F10915" s="481"/>
      <c r="G10915" s="174" t="s">
        <v>74</v>
      </c>
      <c r="H10915" s="148" t="str" cm="1">
        <f t="array" ref="H10915">IFERROR(INDEX(INVESTOR_LIST[INVESTOR NAME],MATCH(I10915,INVESTOR_LIST[INVESTOR CODE],0),)," ")</f>
        <v xml:space="preserve"> </v>
      </c>
      <c r="J10915" s="133" t="s">
        <v>13</v>
      </c>
      <c r="K10915" s="218"/>
      <c r="L10915" s="218">
        <v>55590</v>
      </c>
    </row>
    <row r="10916" spans="1:17" x14ac:dyDescent="0.2">
      <c r="A10916" s="163">
        <v>2024</v>
      </c>
      <c r="B10916" s="163">
        <v>4</v>
      </c>
      <c r="C10916" s="163">
        <v>5</v>
      </c>
      <c r="D10916" s="280">
        <f t="shared" si="1520"/>
        <v>45387</v>
      </c>
      <c r="E10916" s="281">
        <f t="shared" si="1521"/>
        <v>45387</v>
      </c>
      <c r="F10916" s="480"/>
      <c r="G10916" s="221" t="s">
        <v>74</v>
      </c>
      <c r="H10916" s="145" t="str" cm="1">
        <f t="array" ref="H10916">IFERROR(INDEX(INVESTOR_LIST[INVESTOR NAME],MATCH(I10916,INVESTOR_LIST[INVESTOR CODE],0),)," ")</f>
        <v xml:space="preserve"> </v>
      </c>
      <c r="I10916" s="145"/>
      <c r="J10916" s="163" t="s">
        <v>53</v>
      </c>
      <c r="K10916" s="219"/>
      <c r="L10916" s="219">
        <v>9910</v>
      </c>
    </row>
    <row r="10917" spans="1:17" x14ac:dyDescent="0.2">
      <c r="A10917" s="168">
        <v>2024</v>
      </c>
      <c r="B10917" s="168">
        <v>4</v>
      </c>
      <c r="C10917" s="168">
        <v>8</v>
      </c>
      <c r="D10917" s="141">
        <f>DATE(A10917,B10917,C10917)</f>
        <v>45390</v>
      </c>
      <c r="E10917" s="275">
        <f>DATE(A10917,B10917,C10917)</f>
        <v>45390</v>
      </c>
      <c r="F10917" s="479" t="s">
        <v>1757</v>
      </c>
      <c r="G10917" s="220" t="s">
        <v>74</v>
      </c>
      <c r="H10917" s="220" t="str" cm="1">
        <f t="array" ref="H10917">IFERROR(INDEX(INVESTOR_LIST[INVESTOR NAME],MATCH(I10917,INVESTOR_LIST[INVESTOR CODE],0),)," ")</f>
        <v xml:space="preserve"> </v>
      </c>
      <c r="I10917" s="142"/>
      <c r="J10917" s="143" t="s">
        <v>52</v>
      </c>
      <c r="K10917" s="226">
        <v>799599.72</v>
      </c>
      <c r="L10917" s="226"/>
    </row>
    <row r="10918" spans="1:17" ht="10.5" customHeight="1" x14ac:dyDescent="0.2">
      <c r="A10918" s="163">
        <v>2024</v>
      </c>
      <c r="B10918" s="163">
        <v>4</v>
      </c>
      <c r="C10918" s="163">
        <v>8</v>
      </c>
      <c r="D10918" s="280">
        <f>DATE(A10918,B10918,C10918)</f>
        <v>45390</v>
      </c>
      <c r="E10918" s="281">
        <f>DATE(A10918,B10918,C10918)</f>
        <v>45390</v>
      </c>
      <c r="F10918" s="480"/>
      <c r="G10918" s="221" t="s">
        <v>74</v>
      </c>
      <c r="H10918" s="221" t="str" cm="1">
        <f t="array" ref="H10918">IFERROR(INDEX(INVESTOR_LIST[INVESTOR NAME],MATCH(I10918,INVESTOR_LIST[INVESTOR CODE],0),)," ")</f>
        <v xml:space="preserve"> </v>
      </c>
      <c r="I10918" s="145"/>
      <c r="J10918" s="146" t="s">
        <v>190</v>
      </c>
      <c r="K10918" s="219"/>
      <c r="L10918" s="219">
        <v>799599.72</v>
      </c>
    </row>
    <row r="10919" spans="1:17" ht="11.25" customHeight="1" x14ac:dyDescent="0.2">
      <c r="A10919" s="133">
        <v>2024</v>
      </c>
      <c r="B10919" s="133">
        <v>4</v>
      </c>
      <c r="C10919" s="133">
        <v>8</v>
      </c>
      <c r="D10919" s="141">
        <f>DATE(A10919,B10919,C10919)</f>
        <v>45390</v>
      </c>
      <c r="E10919" s="275">
        <f>DATE(A10919,B10919,C10919)</f>
        <v>45390</v>
      </c>
      <c r="F10919" s="481" t="s">
        <v>1914</v>
      </c>
      <c r="G10919" s="174" t="s">
        <v>74</v>
      </c>
      <c r="H10919" s="174" t="str" cm="1">
        <f t="array" ref="H10919">IFERROR(INDEX(INVESTOR_LIST[INVESTOR NAME],MATCH(I10919,INVESTOR_LIST[INVESTOR CODE],0),)," ")</f>
        <v xml:space="preserve"> </v>
      </c>
      <c r="I10919" s="148" t="s">
        <v>348</v>
      </c>
      <c r="J10919" s="149" t="s">
        <v>52</v>
      </c>
      <c r="K10919" s="218">
        <v>2000000</v>
      </c>
      <c r="L10919" s="218"/>
      <c r="M10919" s="147"/>
      <c r="Q10919" s="133" t="s">
        <v>348</v>
      </c>
    </row>
    <row r="10920" spans="1:17" x14ac:dyDescent="0.2">
      <c r="A10920" s="133">
        <v>2024</v>
      </c>
      <c r="B10920" s="133">
        <v>4</v>
      </c>
      <c r="C10920" s="133">
        <v>8</v>
      </c>
      <c r="D10920" s="141">
        <f t="shared" ref="D10920" si="1524">DATE(A10920,B10920,C10920)</f>
        <v>45390</v>
      </c>
      <c r="E10920" s="275">
        <f t="shared" ref="E10920" si="1525">DATE(A10920,B10920,C10920)</f>
        <v>45390</v>
      </c>
      <c r="F10920" s="481"/>
      <c r="G10920" s="174" t="s">
        <v>74</v>
      </c>
      <c r="H10920" s="174"/>
      <c r="J10920" s="149" t="s">
        <v>1809</v>
      </c>
      <c r="K10920" s="218"/>
      <c r="L10920" s="218">
        <v>89800</v>
      </c>
      <c r="M10920" s="147"/>
    </row>
    <row r="10921" spans="1:17" x14ac:dyDescent="0.2">
      <c r="A10921" s="163">
        <v>2024</v>
      </c>
      <c r="B10921" s="163">
        <v>4</v>
      </c>
      <c r="C10921" s="163">
        <v>8</v>
      </c>
      <c r="D10921" s="280">
        <f>DATE(A10921,B10921,C10921)</f>
        <v>45390</v>
      </c>
      <c r="E10921" s="281">
        <f>DATE(A10921,B10921,C10921)</f>
        <v>45390</v>
      </c>
      <c r="F10921" s="480"/>
      <c r="G10921" s="221" t="s">
        <v>74</v>
      </c>
      <c r="H10921" s="221" t="str" cm="1">
        <f t="array" ref="H10921">IFERROR(INDEX(INVESTOR_LIST[INVESTOR NAME],MATCH(I10921,INVESTOR_LIST[INVESTOR CODE],0),)," ")</f>
        <v xml:space="preserve"> </v>
      </c>
      <c r="I10921" s="145"/>
      <c r="J10921" s="146" t="s">
        <v>1764</v>
      </c>
      <c r="K10921" s="219"/>
      <c r="L10921" s="219">
        <v>1910200</v>
      </c>
      <c r="M10921" s="147"/>
      <c r="Q10921" s="133" t="s">
        <v>348</v>
      </c>
    </row>
    <row r="10922" spans="1:17" x14ac:dyDescent="0.2">
      <c r="A10922" s="168">
        <v>2024</v>
      </c>
      <c r="B10922" s="168">
        <v>4</v>
      </c>
      <c r="C10922" s="168">
        <v>9</v>
      </c>
      <c r="D10922" s="141">
        <f t="shared" ref="D10922:D10952" si="1526">DATE(A10922,B10922,C10922)</f>
        <v>45391</v>
      </c>
      <c r="E10922" s="275">
        <f t="shared" ref="E10922:E10952" si="1527">DATE(A10922,B10922,C10922)</f>
        <v>45391</v>
      </c>
      <c r="F10922" s="479" t="s">
        <v>1915</v>
      </c>
      <c r="G10922" s="220" t="s">
        <v>74</v>
      </c>
      <c r="H10922" s="220" t="str" cm="1">
        <f t="array" ref="H10922">IFERROR(INDEX(INVESTOR_LIST[INVESTOR NAME],MATCH(I10922,INVESTOR_LIST[INVESTOR CODE],0),)," ")</f>
        <v xml:space="preserve"> </v>
      </c>
      <c r="I10922" s="142" t="s">
        <v>348</v>
      </c>
      <c r="J10922" s="143" t="s">
        <v>322</v>
      </c>
      <c r="K10922" s="226">
        <v>58369.599999999999</v>
      </c>
      <c r="L10922" s="226"/>
    </row>
    <row r="10923" spans="1:17" x14ac:dyDescent="0.2">
      <c r="A10923" s="133">
        <v>2024</v>
      </c>
      <c r="B10923" s="133">
        <v>4</v>
      </c>
      <c r="C10923" s="133">
        <v>9</v>
      </c>
      <c r="D10923" s="141">
        <f t="shared" ref="D10923" si="1528">DATE(A10923,B10923,C10923)</f>
        <v>45391</v>
      </c>
      <c r="E10923" s="275">
        <f t="shared" ref="E10923" si="1529">DATE(A10923,B10923,C10923)</f>
        <v>45391</v>
      </c>
      <c r="F10923" s="481"/>
      <c r="G10923" s="174" t="s">
        <v>74</v>
      </c>
      <c r="H10923" s="174"/>
      <c r="J10923" s="149" t="s">
        <v>534</v>
      </c>
      <c r="K10923" s="218"/>
      <c r="L10923" s="218">
        <v>5075.62</v>
      </c>
    </row>
    <row r="10924" spans="1:17" x14ac:dyDescent="0.2">
      <c r="A10924" s="163">
        <v>2024</v>
      </c>
      <c r="B10924" s="163">
        <v>4</v>
      </c>
      <c r="C10924" s="163">
        <v>9</v>
      </c>
      <c r="D10924" s="280">
        <f t="shared" si="1526"/>
        <v>45391</v>
      </c>
      <c r="E10924" s="281">
        <f t="shared" si="1527"/>
        <v>45391</v>
      </c>
      <c r="F10924" s="480"/>
      <c r="G10924" s="221" t="s">
        <v>74</v>
      </c>
      <c r="H10924" s="221" t="str" cm="1">
        <f t="array" ref="H10924">IFERROR(INDEX(INVESTOR_LIST[INVESTOR NAME],MATCH(I10924,INVESTOR_LIST[INVESTOR CODE],0),)," ")</f>
        <v xml:space="preserve"> </v>
      </c>
      <c r="I10924" s="145" t="s">
        <v>348</v>
      </c>
      <c r="J10924" s="146" t="s">
        <v>52</v>
      </c>
      <c r="K10924" s="219"/>
      <c r="L10924" s="219">
        <v>53293.98</v>
      </c>
    </row>
    <row r="10925" spans="1:17" x14ac:dyDescent="0.2">
      <c r="A10925" s="343">
        <v>2024</v>
      </c>
      <c r="B10925" s="343">
        <v>4</v>
      </c>
      <c r="C10925" s="343">
        <v>9</v>
      </c>
      <c r="D10925" s="344">
        <f t="shared" si="1526"/>
        <v>45391</v>
      </c>
      <c r="E10925" s="345">
        <f t="shared" si="1527"/>
        <v>45391</v>
      </c>
      <c r="F10925" s="483" t="s">
        <v>1813</v>
      </c>
      <c r="G10925" s="350" t="s">
        <v>94</v>
      </c>
      <c r="H10925" s="350" t="str" cm="1">
        <f t="array" ref="H10925">IFERROR(INDEX(INVESTOR_LIST[INVESTOR NAME],MATCH(I10925,INVESTOR_LIST[INVESTOR CODE],0),)," ")</f>
        <v xml:space="preserve"> </v>
      </c>
      <c r="I10925" s="352" t="s">
        <v>348</v>
      </c>
      <c r="J10925" s="353" t="s">
        <v>1807</v>
      </c>
      <c r="K10925" s="354">
        <v>8937</v>
      </c>
      <c r="L10925" s="354"/>
    </row>
    <row r="10926" spans="1:17" x14ac:dyDescent="0.2">
      <c r="A10926" s="346">
        <v>2024</v>
      </c>
      <c r="B10926" s="346">
        <v>4</v>
      </c>
      <c r="C10926" s="346">
        <v>9</v>
      </c>
      <c r="D10926" s="344">
        <f t="shared" si="1526"/>
        <v>45391</v>
      </c>
      <c r="E10926" s="345">
        <f t="shared" si="1527"/>
        <v>45391</v>
      </c>
      <c r="F10926" s="484"/>
      <c r="G10926" s="347" t="s">
        <v>94</v>
      </c>
      <c r="H10926" s="347" t="str" cm="1">
        <f t="array" ref="H10926">IFERROR(INDEX(INVESTOR_LIST[INVESTOR NAME],MATCH(I10926,INVESTOR_LIST[INVESTOR CODE],0),)," ")</f>
        <v xml:space="preserve"> </v>
      </c>
      <c r="I10926" s="348" t="s">
        <v>348</v>
      </c>
      <c r="J10926" s="355" t="s">
        <v>1798</v>
      </c>
      <c r="K10926" s="349"/>
      <c r="L10926" s="349">
        <v>8937</v>
      </c>
    </row>
    <row r="10927" spans="1:17" x14ac:dyDescent="0.2">
      <c r="A10927" s="343">
        <v>2024</v>
      </c>
      <c r="B10927" s="343">
        <v>4</v>
      </c>
      <c r="C10927" s="343">
        <v>9</v>
      </c>
      <c r="D10927" s="344">
        <f t="shared" si="1526"/>
        <v>45391</v>
      </c>
      <c r="E10927" s="345">
        <f t="shared" si="1527"/>
        <v>45391</v>
      </c>
      <c r="F10927" s="483" t="s">
        <v>1913</v>
      </c>
      <c r="G10927" s="350" t="s">
        <v>94</v>
      </c>
      <c r="H10927" s="350" t="str" cm="1">
        <f t="array" ref="H10927">IFERROR(INDEX(INVESTOR_LIST[INVESTOR NAME],MATCH(I10927,INVESTOR_LIST[INVESTOR CODE],0),)," ")</f>
        <v xml:space="preserve"> </v>
      </c>
      <c r="I10927" s="352" t="s">
        <v>348</v>
      </c>
      <c r="J10927" s="353" t="s">
        <v>1799</v>
      </c>
      <c r="K10927" s="354">
        <v>23948.549999998882</v>
      </c>
      <c r="L10927" s="354"/>
    </row>
    <row r="10928" spans="1:17" x14ac:dyDescent="0.2">
      <c r="A10928" s="346">
        <v>2024</v>
      </c>
      <c r="B10928" s="346">
        <v>4</v>
      </c>
      <c r="C10928" s="346">
        <v>9</v>
      </c>
      <c r="D10928" s="344">
        <f t="shared" si="1526"/>
        <v>45391</v>
      </c>
      <c r="E10928" s="345">
        <f t="shared" si="1527"/>
        <v>45391</v>
      </c>
      <c r="F10928" s="484"/>
      <c r="G10928" s="347" t="s">
        <v>94</v>
      </c>
      <c r="H10928" s="347" t="str" cm="1">
        <f t="array" ref="H10928">IFERROR(INDEX(INVESTOR_LIST[INVESTOR NAME],MATCH(I10928,INVESTOR_LIST[INVESTOR CODE],0),)," ")</f>
        <v xml:space="preserve"> </v>
      </c>
      <c r="I10928" s="348" t="s">
        <v>348</v>
      </c>
      <c r="J10928" s="355" t="s">
        <v>1808</v>
      </c>
      <c r="K10928" s="349"/>
      <c r="L10928" s="349">
        <v>23948.549999998882</v>
      </c>
    </row>
    <row r="10929" spans="1:14" x14ac:dyDescent="0.2">
      <c r="A10929" s="238">
        <v>2024</v>
      </c>
      <c r="B10929" s="238">
        <v>4</v>
      </c>
      <c r="C10929" s="238">
        <v>9</v>
      </c>
      <c r="D10929" s="270">
        <f t="shared" si="1526"/>
        <v>45391</v>
      </c>
      <c r="E10929" s="279">
        <f t="shared" si="1527"/>
        <v>45391</v>
      </c>
      <c r="F10929" s="477" t="s">
        <v>347</v>
      </c>
      <c r="G10929" s="239" t="s">
        <v>94</v>
      </c>
      <c r="H10929" s="239" t="str" cm="1">
        <f t="array" ref="H10929">IFERROR(INDEX(INVESTOR_LIST[INVESTOR NAME],MATCH(I10929,INVESTOR_LIST[INVESTOR CODE],0),)," ")</f>
        <v xml:space="preserve"> </v>
      </c>
      <c r="I10929" s="262" t="s">
        <v>348</v>
      </c>
      <c r="J10929" s="240" t="s">
        <v>82</v>
      </c>
      <c r="K10929" s="241">
        <v>765357</v>
      </c>
      <c r="L10929" s="241"/>
    </row>
    <row r="10930" spans="1:14" x14ac:dyDescent="0.2">
      <c r="A10930" s="242">
        <v>2024</v>
      </c>
      <c r="B10930" s="242">
        <v>4</v>
      </c>
      <c r="C10930" s="242">
        <v>9</v>
      </c>
      <c r="D10930" s="270">
        <f t="shared" si="1526"/>
        <v>45391</v>
      </c>
      <c r="E10930" s="279">
        <f t="shared" si="1527"/>
        <v>45391</v>
      </c>
      <c r="F10930" s="478"/>
      <c r="G10930" s="243" t="s">
        <v>94</v>
      </c>
      <c r="H10930" s="243" t="str" cm="1">
        <f t="array" ref="H10930">IFERROR(INDEX(INVESTOR_LIST[INVESTOR NAME],MATCH(I10930,INVESTOR_LIST[INVESTOR CODE],0),)," ")</f>
        <v xml:space="preserve"> </v>
      </c>
      <c r="I10930" s="263" t="s">
        <v>348</v>
      </c>
      <c r="J10930" s="244" t="s">
        <v>108</v>
      </c>
      <c r="K10930" s="245"/>
      <c r="L10930" s="245">
        <v>765357</v>
      </c>
    </row>
    <row r="10931" spans="1:14" ht="22.5" x14ac:dyDescent="0.2">
      <c r="A10931" s="246">
        <v>2024</v>
      </c>
      <c r="B10931" s="238">
        <v>4</v>
      </c>
      <c r="C10931" s="238">
        <v>9</v>
      </c>
      <c r="D10931" s="270">
        <f t="shared" si="1526"/>
        <v>45391</v>
      </c>
      <c r="E10931" s="279">
        <f t="shared" si="1527"/>
        <v>45391</v>
      </c>
      <c r="F10931" s="482" t="s">
        <v>148</v>
      </c>
      <c r="G10931" s="247" t="s">
        <v>94</v>
      </c>
      <c r="H10931" s="247" t="str" cm="1">
        <f t="array" ref="H10931">IFERROR(INDEX(INVESTOR_LIST[INVESTOR NAME],MATCH(I10931,INVESTOR_LIST[INVESTOR CODE],0),)," ")</f>
        <v xml:space="preserve"> </v>
      </c>
      <c r="I10931" s="248" t="s">
        <v>348</v>
      </c>
      <c r="J10931" s="249" t="s">
        <v>95</v>
      </c>
      <c r="K10931" s="250">
        <v>2747.2527472527472</v>
      </c>
      <c r="L10931" s="241"/>
    </row>
    <row r="10932" spans="1:14" x14ac:dyDescent="0.2">
      <c r="A10932" s="242">
        <v>2024</v>
      </c>
      <c r="B10932" s="242">
        <v>4</v>
      </c>
      <c r="C10932" s="242">
        <v>9</v>
      </c>
      <c r="D10932" s="270">
        <f t="shared" si="1526"/>
        <v>45391</v>
      </c>
      <c r="E10932" s="279">
        <f t="shared" si="1527"/>
        <v>45391</v>
      </c>
      <c r="F10932" s="478"/>
      <c r="G10932" s="243" t="s">
        <v>94</v>
      </c>
      <c r="H10932" s="243" t="str" cm="1">
        <f t="array" ref="H10932">IFERROR(INDEX(INVESTOR_LIST[INVESTOR NAME],MATCH(I10932,INVESTOR_LIST[INVESTOR CODE],0),)," ")</f>
        <v xml:space="preserve"> </v>
      </c>
      <c r="I10932" s="263" t="s">
        <v>348</v>
      </c>
      <c r="J10932" s="244" t="s">
        <v>63</v>
      </c>
      <c r="K10932" s="245"/>
      <c r="L10932" s="245">
        <v>2747.2527472527472</v>
      </c>
    </row>
    <row r="10933" spans="1:14" x14ac:dyDescent="0.2">
      <c r="A10933" s="246">
        <v>2024</v>
      </c>
      <c r="B10933" s="238">
        <v>4</v>
      </c>
      <c r="C10933" s="238">
        <v>9</v>
      </c>
      <c r="D10933" s="270">
        <f t="shared" si="1526"/>
        <v>45391</v>
      </c>
      <c r="E10933" s="279">
        <f t="shared" si="1527"/>
        <v>45391</v>
      </c>
      <c r="F10933" s="482" t="s">
        <v>137</v>
      </c>
      <c r="G10933" s="247" t="s">
        <v>94</v>
      </c>
      <c r="H10933" s="247" t="str" cm="1">
        <f t="array" ref="H10933">IFERROR(INDEX(INVESTOR_LIST[INVESTOR NAME],MATCH(I10933,INVESTOR_LIST[INVESTOR CODE],0),)," ")</f>
        <v xml:space="preserve"> </v>
      </c>
      <c r="I10933" s="248" t="s">
        <v>348</v>
      </c>
      <c r="J10933" s="249" t="s">
        <v>97</v>
      </c>
      <c r="K10933" s="250">
        <f>M10933</f>
        <v>54177.332386191898</v>
      </c>
      <c r="L10933" s="252"/>
      <c r="M10933" s="133">
        <v>54177.332386191898</v>
      </c>
    </row>
    <row r="10934" spans="1:14" x14ac:dyDescent="0.2">
      <c r="A10934" s="242">
        <v>2024</v>
      </c>
      <c r="B10934" s="242">
        <v>4</v>
      </c>
      <c r="C10934" s="242">
        <v>9</v>
      </c>
      <c r="D10934" s="270">
        <f t="shared" si="1526"/>
        <v>45391</v>
      </c>
      <c r="E10934" s="279">
        <f t="shared" si="1527"/>
        <v>45391</v>
      </c>
      <c r="F10934" s="478"/>
      <c r="G10934" s="243" t="s">
        <v>94</v>
      </c>
      <c r="H10934" s="243" t="str" cm="1">
        <f t="array" ref="H10934">IFERROR(INDEX(INVESTOR_LIST[INVESTOR NAME],MATCH(I10934,INVESTOR_LIST[INVESTOR CODE],0),)," ")</f>
        <v xml:space="preserve"> </v>
      </c>
      <c r="I10934" s="263" t="s">
        <v>348</v>
      </c>
      <c r="J10934" s="244" t="s">
        <v>47</v>
      </c>
      <c r="K10934" s="245"/>
      <c r="L10934" s="245">
        <f>K10933</f>
        <v>54177.332386191898</v>
      </c>
      <c r="M10934" s="133">
        <v>2468.4820039249798</v>
      </c>
    </row>
    <row r="10935" spans="1:14" x14ac:dyDescent="0.2">
      <c r="A10935" s="246">
        <v>2024</v>
      </c>
      <c r="B10935" s="238">
        <v>4</v>
      </c>
      <c r="C10935" s="238">
        <v>9</v>
      </c>
      <c r="D10935" s="270">
        <f t="shared" si="1526"/>
        <v>45391</v>
      </c>
      <c r="E10935" s="279">
        <f t="shared" si="1527"/>
        <v>45391</v>
      </c>
      <c r="F10935" s="482" t="s">
        <v>138</v>
      </c>
      <c r="G10935" s="247" t="s">
        <v>94</v>
      </c>
      <c r="H10935" s="247" t="str" cm="1">
        <f t="array" ref="H10935">IFERROR(INDEX(INVESTOR_LIST[INVESTOR NAME],MATCH(I10935,INVESTOR_LIST[INVESTOR CODE],0),)," ")</f>
        <v xml:space="preserve"> </v>
      </c>
      <c r="I10935" s="248" t="s">
        <v>348</v>
      </c>
      <c r="J10935" s="249" t="s">
        <v>100</v>
      </c>
      <c r="K10935" s="250">
        <f>M10934</f>
        <v>2468.4820039249798</v>
      </c>
      <c r="L10935" s="252"/>
    </row>
    <row r="10936" spans="1:14" x14ac:dyDescent="0.2">
      <c r="A10936" s="242">
        <v>2024</v>
      </c>
      <c r="B10936" s="242">
        <v>4</v>
      </c>
      <c r="C10936" s="242">
        <v>9</v>
      </c>
      <c r="D10936" s="321">
        <f t="shared" si="1526"/>
        <v>45391</v>
      </c>
      <c r="E10936" s="322">
        <f t="shared" si="1527"/>
        <v>45391</v>
      </c>
      <c r="F10936" s="478"/>
      <c r="G10936" s="243" t="s">
        <v>94</v>
      </c>
      <c r="H10936" s="243" t="str" cm="1">
        <f t="array" ref="H10936">IFERROR(INDEX(INVESTOR_LIST[INVESTOR NAME],MATCH(I10936,INVESTOR_LIST[INVESTOR CODE],0),)," ")</f>
        <v xml:space="preserve"> </v>
      </c>
      <c r="I10936" s="263" t="s">
        <v>348</v>
      </c>
      <c r="J10936" s="244" t="s">
        <v>48</v>
      </c>
      <c r="K10936" s="245"/>
      <c r="L10936" s="245">
        <f>K10935</f>
        <v>2468.4820039249798</v>
      </c>
    </row>
    <row r="10937" spans="1:14" x14ac:dyDescent="0.2">
      <c r="A10937" s="168">
        <v>2024</v>
      </c>
      <c r="B10937" s="168">
        <v>4</v>
      </c>
      <c r="C10937" s="168">
        <v>15</v>
      </c>
      <c r="D10937" s="141">
        <f t="shared" si="1526"/>
        <v>45397</v>
      </c>
      <c r="E10937" s="275">
        <f t="shared" si="1527"/>
        <v>45397</v>
      </c>
      <c r="F10937" s="479" t="s">
        <v>1319</v>
      </c>
      <c r="G10937" s="220" t="s">
        <v>74</v>
      </c>
      <c r="H10937" s="142" t="str" cm="1">
        <f t="array" ref="H10937">IFERROR(INDEX(INVESTOR_LIST[INVESTOR NAME],MATCH(I10937,INVESTOR_LIST[INVESTOR CODE],0),)," ")</f>
        <v xml:space="preserve"> </v>
      </c>
      <c r="I10937" s="142"/>
      <c r="J10937" s="168" t="s">
        <v>52</v>
      </c>
      <c r="K10937" s="226">
        <v>11000</v>
      </c>
      <c r="L10937" s="226"/>
    </row>
    <row r="10938" spans="1:14" x14ac:dyDescent="0.2">
      <c r="A10938" s="133">
        <v>2024</v>
      </c>
      <c r="B10938" s="133">
        <v>4</v>
      </c>
      <c r="C10938" s="133">
        <v>15</v>
      </c>
      <c r="D10938" s="141">
        <f t="shared" si="1526"/>
        <v>45397</v>
      </c>
      <c r="E10938" s="275">
        <f t="shared" si="1527"/>
        <v>45397</v>
      </c>
      <c r="F10938" s="481"/>
      <c r="G10938" s="174" t="s">
        <v>74</v>
      </c>
      <c r="H10938" s="148" t="str" cm="1">
        <f t="array" ref="H10938">IFERROR(INDEX(INVESTOR_LIST[INVESTOR NAME],MATCH(I10938,INVESTOR_LIST[INVESTOR CODE],0),)," ")</f>
        <v xml:space="preserve"> </v>
      </c>
      <c r="J10938" s="133" t="s">
        <v>13</v>
      </c>
      <c r="K10938" s="218"/>
      <c r="L10938" s="218">
        <v>9400</v>
      </c>
    </row>
    <row r="10939" spans="1:14" x14ac:dyDescent="0.2">
      <c r="A10939" s="163">
        <v>2024</v>
      </c>
      <c r="B10939" s="163">
        <v>4</v>
      </c>
      <c r="C10939" s="163">
        <v>15</v>
      </c>
      <c r="D10939" s="280">
        <f t="shared" si="1526"/>
        <v>45397</v>
      </c>
      <c r="E10939" s="281">
        <f t="shared" si="1527"/>
        <v>45397</v>
      </c>
      <c r="F10939" s="480"/>
      <c r="G10939" s="221" t="s">
        <v>74</v>
      </c>
      <c r="H10939" s="145" t="str" cm="1">
        <f t="array" ref="H10939">IFERROR(INDEX(INVESTOR_LIST[INVESTOR NAME],MATCH(I10939,INVESTOR_LIST[INVESTOR CODE],0),)," ")</f>
        <v xml:space="preserve"> </v>
      </c>
      <c r="I10939" s="145"/>
      <c r="J10939" s="163" t="s">
        <v>53</v>
      </c>
      <c r="K10939" s="219"/>
      <c r="L10939" s="219">
        <v>1600</v>
      </c>
    </row>
    <row r="10940" spans="1:14" x14ac:dyDescent="0.2">
      <c r="A10940" s="133">
        <v>2024</v>
      </c>
      <c r="B10940" s="133">
        <v>4</v>
      </c>
      <c r="C10940" s="133">
        <v>15</v>
      </c>
      <c r="D10940" s="141">
        <f t="shared" si="1526"/>
        <v>45397</v>
      </c>
      <c r="E10940" s="275">
        <f t="shared" si="1527"/>
        <v>45397</v>
      </c>
      <c r="F10940" s="481" t="s">
        <v>1753</v>
      </c>
      <c r="G10940" s="174" t="s">
        <v>94</v>
      </c>
      <c r="H10940" s="174" t="str" cm="1">
        <f t="array" ref="H10940">IFERROR(INDEX(INVESTOR_LIST[INVESTOR NAME],MATCH(I10940,INVESTOR_LIST[INVESTOR CODE],0),)," ")</f>
        <v xml:space="preserve"> </v>
      </c>
      <c r="J10940" s="149" t="s">
        <v>190</v>
      </c>
      <c r="K10940" s="218">
        <v>213265.42</v>
      </c>
      <c r="L10940" s="218"/>
      <c r="M10940" s="160"/>
    </row>
    <row r="10941" spans="1:14" x14ac:dyDescent="0.2">
      <c r="A10941" s="133">
        <v>2024</v>
      </c>
      <c r="B10941" s="133">
        <v>4</v>
      </c>
      <c r="C10941" s="133">
        <v>15</v>
      </c>
      <c r="D10941" s="141">
        <f t="shared" si="1526"/>
        <v>45397</v>
      </c>
      <c r="E10941" s="275">
        <f t="shared" si="1527"/>
        <v>45397</v>
      </c>
      <c r="F10941" s="481"/>
      <c r="G10941" s="174" t="s">
        <v>94</v>
      </c>
      <c r="H10941" s="174"/>
      <c r="J10941" s="149" t="s">
        <v>80</v>
      </c>
      <c r="K10941" s="218">
        <v>384.58</v>
      </c>
      <c r="L10941" s="218"/>
      <c r="N10941" s="264"/>
    </row>
    <row r="10942" spans="1:14" x14ac:dyDescent="0.2">
      <c r="A10942" s="133">
        <v>2024</v>
      </c>
      <c r="B10942" s="133">
        <v>4</v>
      </c>
      <c r="C10942" s="133">
        <v>15</v>
      </c>
      <c r="D10942" s="141">
        <f t="shared" si="1526"/>
        <v>45397</v>
      </c>
      <c r="E10942" s="275">
        <f t="shared" si="1527"/>
        <v>45397</v>
      </c>
      <c r="F10942" s="481"/>
      <c r="G10942" s="174" t="s">
        <v>94</v>
      </c>
      <c r="H10942" s="174" t="str" cm="1">
        <f t="array" ref="H10942">IFERROR(INDEX(INVESTOR_LIST[INVESTOR NAME],MATCH(I10942,INVESTOR_LIST[INVESTOR CODE],0),)," ")</f>
        <v xml:space="preserve"> </v>
      </c>
      <c r="J10942" s="149" t="s">
        <v>191</v>
      </c>
      <c r="K10942" s="218">
        <v>36350</v>
      </c>
      <c r="L10942" s="218"/>
      <c r="N10942" s="264"/>
    </row>
    <row r="10943" spans="1:14" x14ac:dyDescent="0.2">
      <c r="A10943" s="163">
        <v>2024</v>
      </c>
      <c r="B10943" s="163">
        <v>4</v>
      </c>
      <c r="C10943" s="163">
        <v>15</v>
      </c>
      <c r="D10943" s="280">
        <f t="shared" si="1526"/>
        <v>45397</v>
      </c>
      <c r="E10943" s="281">
        <f t="shared" si="1527"/>
        <v>45397</v>
      </c>
      <c r="F10943" s="480"/>
      <c r="G10943" s="221" t="s">
        <v>94</v>
      </c>
      <c r="H10943" s="145" t="str" cm="1">
        <f t="array" ref="H10943">IFERROR(INDEX(INVESTOR_LIST[INVESTOR NAME],MATCH(I10943,INVESTOR_LIST[INVESTOR CODE],0),)," ")</f>
        <v xml:space="preserve"> </v>
      </c>
      <c r="I10943" s="145"/>
      <c r="J10943" s="163" t="s">
        <v>79</v>
      </c>
      <c r="K10943" s="219"/>
      <c r="L10943" s="219">
        <v>250000</v>
      </c>
      <c r="N10943" s="264"/>
    </row>
    <row r="10944" spans="1:14" x14ac:dyDescent="0.2">
      <c r="A10944" s="168">
        <v>2024</v>
      </c>
      <c r="B10944" s="168">
        <v>4</v>
      </c>
      <c r="C10944" s="168">
        <v>16</v>
      </c>
      <c r="D10944" s="141">
        <f t="shared" si="1526"/>
        <v>45398</v>
      </c>
      <c r="E10944" s="275">
        <f t="shared" si="1527"/>
        <v>45398</v>
      </c>
      <c r="F10944" s="479" t="s">
        <v>1797</v>
      </c>
      <c r="G10944" s="220" t="s">
        <v>94</v>
      </c>
      <c r="H10944" s="220" t="str" cm="1">
        <f t="array" ref="H10944">IFERROR(INDEX(INVESTOR_LIST[INVESTOR NAME],MATCH(I10944,INVESTOR_LIST[INVESTOR CODE],0),)," ")</f>
        <v xml:space="preserve"> </v>
      </c>
      <c r="I10944" s="142"/>
      <c r="J10944" s="143" t="s">
        <v>79</v>
      </c>
      <c r="K10944" s="226">
        <v>189500</v>
      </c>
      <c r="L10944" s="226"/>
      <c r="M10944" s="160"/>
    </row>
    <row r="10945" spans="1:12" x14ac:dyDescent="0.2">
      <c r="A10945" s="133">
        <v>2024</v>
      </c>
      <c r="B10945" s="133">
        <v>4</v>
      </c>
      <c r="C10945" s="133">
        <v>16</v>
      </c>
      <c r="D10945" s="141">
        <f t="shared" si="1526"/>
        <v>45398</v>
      </c>
      <c r="E10945" s="275">
        <f t="shared" si="1527"/>
        <v>45398</v>
      </c>
      <c r="F10945" s="481"/>
      <c r="G10945" s="174" t="s">
        <v>94</v>
      </c>
      <c r="H10945" s="174"/>
      <c r="J10945" s="149" t="s">
        <v>80</v>
      </c>
      <c r="K10945" s="218">
        <v>341.1</v>
      </c>
      <c r="L10945" s="218"/>
    </row>
    <row r="10946" spans="1:12" ht="10.9" customHeight="1" x14ac:dyDescent="0.2">
      <c r="A10946" s="163">
        <v>2024</v>
      </c>
      <c r="B10946" s="163">
        <v>4</v>
      </c>
      <c r="C10946" s="163">
        <v>16</v>
      </c>
      <c r="D10946" s="280">
        <f t="shared" si="1526"/>
        <v>45398</v>
      </c>
      <c r="E10946" s="281">
        <f t="shared" si="1527"/>
        <v>45398</v>
      </c>
      <c r="F10946" s="480"/>
      <c r="G10946" s="221" t="s">
        <v>94</v>
      </c>
      <c r="H10946" s="221"/>
      <c r="I10946" s="145"/>
      <c r="J10946" s="146" t="s">
        <v>147</v>
      </c>
      <c r="K10946" s="219"/>
      <c r="L10946" s="219">
        <v>189841.1</v>
      </c>
    </row>
    <row r="10947" spans="1:12" x14ac:dyDescent="0.2">
      <c r="A10947" s="168">
        <v>2024</v>
      </c>
      <c r="B10947" s="168">
        <v>4</v>
      </c>
      <c r="C10947" s="168">
        <v>17</v>
      </c>
      <c r="D10947" s="141">
        <f t="shared" si="1526"/>
        <v>45399</v>
      </c>
      <c r="E10947" s="275">
        <f t="shared" si="1527"/>
        <v>45399</v>
      </c>
      <c r="F10947" s="479" t="s">
        <v>1930</v>
      </c>
      <c r="G10947" s="174" t="s">
        <v>74</v>
      </c>
      <c r="H10947" s="148" t="str" cm="1">
        <f t="array" ref="H10947">IFERROR(INDEX(INVESTOR_LIST[INVESTOR NAME],MATCH(I10947,INVESTOR_LIST[INVESTOR CODE],0),)," ")</f>
        <v xml:space="preserve"> </v>
      </c>
      <c r="I10947" s="148" t="s">
        <v>348</v>
      </c>
      <c r="J10947" s="133" t="s">
        <v>47</v>
      </c>
      <c r="K10947" s="172">
        <v>1640763.64</v>
      </c>
    </row>
    <row r="10948" spans="1:12" x14ac:dyDescent="0.2">
      <c r="A10948" s="163">
        <v>2024</v>
      </c>
      <c r="B10948" s="163">
        <v>4</v>
      </c>
      <c r="C10948" s="163">
        <v>17</v>
      </c>
      <c r="D10948" s="280">
        <f t="shared" si="1526"/>
        <v>45399</v>
      </c>
      <c r="E10948" s="281">
        <f t="shared" si="1527"/>
        <v>45399</v>
      </c>
      <c r="F10948" s="480"/>
      <c r="G10948" s="221" t="s">
        <v>74</v>
      </c>
      <c r="H10948" s="145" t="str" cm="1">
        <f t="array" ref="H10948">IFERROR(INDEX(INVESTOR_LIST[INVESTOR NAME],MATCH(I10948,INVESTOR_LIST[INVESTOR CODE],0),)," ")</f>
        <v xml:space="preserve"> </v>
      </c>
      <c r="I10948" s="145" t="s">
        <v>348</v>
      </c>
      <c r="J10948" s="163" t="s">
        <v>52</v>
      </c>
      <c r="K10948" s="219"/>
      <c r="L10948" s="219">
        <v>1640763.64</v>
      </c>
    </row>
    <row r="10949" spans="1:12" x14ac:dyDescent="0.2">
      <c r="A10949" s="168">
        <v>2024</v>
      </c>
      <c r="B10949" s="133">
        <v>4</v>
      </c>
      <c r="C10949" s="133">
        <v>18</v>
      </c>
      <c r="D10949" s="141">
        <f t="shared" si="1526"/>
        <v>45400</v>
      </c>
      <c r="E10949" s="275">
        <f t="shared" si="1527"/>
        <v>45400</v>
      </c>
      <c r="F10949" s="479" t="s">
        <v>1919</v>
      </c>
      <c r="G10949" s="220" t="s">
        <v>74</v>
      </c>
      <c r="H10949" s="220" t="str" cm="1">
        <f t="array" ref="H10949">IFERROR(INDEX(INVESTOR_LIST[INVESTOR NAME],MATCH(I10949,INVESTOR_LIST[INVESTOR CODE],0),)," ")</f>
        <v xml:space="preserve"> </v>
      </c>
      <c r="I10949" s="142" t="s">
        <v>348</v>
      </c>
      <c r="J10949" s="143" t="s">
        <v>184</v>
      </c>
      <c r="K10949" s="226">
        <v>4000000</v>
      </c>
      <c r="L10949" s="226"/>
    </row>
    <row r="10950" spans="1:12" x14ac:dyDescent="0.2">
      <c r="A10950" s="133">
        <v>2024</v>
      </c>
      <c r="B10950" s="133">
        <v>4</v>
      </c>
      <c r="C10950" s="133">
        <v>18</v>
      </c>
      <c r="D10950" s="141">
        <f t="shared" ref="D10950" si="1530">DATE(A10950,B10950,C10950)</f>
        <v>45400</v>
      </c>
      <c r="E10950" s="275">
        <f t="shared" ref="E10950" si="1531">DATE(A10950,B10950,C10950)</f>
        <v>45400</v>
      </c>
      <c r="F10950" s="481"/>
      <c r="G10950" s="174" t="s">
        <v>74</v>
      </c>
      <c r="H10950" s="174"/>
      <c r="J10950" s="149" t="s">
        <v>185</v>
      </c>
      <c r="K10950" s="218">
        <v>5000</v>
      </c>
      <c r="L10950" s="218"/>
    </row>
    <row r="10951" spans="1:12" x14ac:dyDescent="0.2">
      <c r="A10951" s="133">
        <v>2024</v>
      </c>
      <c r="B10951" s="133">
        <v>4</v>
      </c>
      <c r="C10951" s="133">
        <v>18</v>
      </c>
      <c r="D10951" s="141">
        <f t="shared" si="1526"/>
        <v>45400</v>
      </c>
      <c r="E10951" s="275">
        <f t="shared" si="1527"/>
        <v>45400</v>
      </c>
      <c r="F10951" s="481"/>
      <c r="G10951" s="174" t="s">
        <v>74</v>
      </c>
      <c r="H10951" s="174"/>
      <c r="J10951" s="149" t="s">
        <v>61</v>
      </c>
      <c r="K10951" s="218">
        <v>115</v>
      </c>
      <c r="L10951" s="218"/>
    </row>
    <row r="10952" spans="1:12" x14ac:dyDescent="0.2">
      <c r="A10952" s="163">
        <v>2024</v>
      </c>
      <c r="B10952" s="163">
        <v>4</v>
      </c>
      <c r="C10952" s="163">
        <v>18</v>
      </c>
      <c r="D10952" s="280">
        <f t="shared" si="1526"/>
        <v>45400</v>
      </c>
      <c r="E10952" s="281">
        <f t="shared" si="1527"/>
        <v>45400</v>
      </c>
      <c r="F10952" s="480"/>
      <c r="G10952" s="221" t="s">
        <v>74</v>
      </c>
      <c r="H10952" s="221" t="str" cm="1">
        <f t="array" ref="H10952">IFERROR(INDEX(INVESTOR_LIST[INVESTOR NAME],MATCH(I10952,INVESTOR_LIST[INVESTOR CODE],0),)," ")</f>
        <v xml:space="preserve"> </v>
      </c>
      <c r="I10952" s="145" t="s">
        <v>348</v>
      </c>
      <c r="J10952" s="146" t="s">
        <v>52</v>
      </c>
      <c r="K10952" s="219"/>
      <c r="L10952" s="219">
        <v>4005115</v>
      </c>
    </row>
    <row r="10953" spans="1:12" x14ac:dyDescent="0.2">
      <c r="A10953" s="133">
        <v>2024</v>
      </c>
      <c r="B10953" s="133">
        <v>4</v>
      </c>
      <c r="C10953" s="168">
        <v>18</v>
      </c>
      <c r="D10953" s="141">
        <f>DATE(A10953,B10953,C10953)</f>
        <v>45400</v>
      </c>
      <c r="E10953" s="275">
        <f>DATE(A10953,B10953,C10953)</f>
        <v>45400</v>
      </c>
      <c r="F10953" s="479" t="s">
        <v>1768</v>
      </c>
      <c r="G10953" s="220" t="s">
        <v>74</v>
      </c>
      <c r="H10953" s="220" t="str" cm="1">
        <f t="array" ref="H10953">IFERROR(INDEX(INVESTOR_LIST[INVESTOR NAME],MATCH(I10953,INVESTOR_LIST[INVESTOR CODE],0),)," ")</f>
        <v xml:space="preserve"> </v>
      </c>
      <c r="I10953" s="142"/>
      <c r="J10953" s="143" t="s">
        <v>147</v>
      </c>
      <c r="K10953" s="226">
        <v>189841.1</v>
      </c>
      <c r="L10953" s="226"/>
    </row>
    <row r="10954" spans="1:12" x14ac:dyDescent="0.2">
      <c r="A10954" s="163">
        <v>2024</v>
      </c>
      <c r="B10954" s="163">
        <v>4</v>
      </c>
      <c r="C10954" s="163">
        <v>18</v>
      </c>
      <c r="D10954" s="280">
        <f>DATE(A10954,B10954,C10954)</f>
        <v>45400</v>
      </c>
      <c r="E10954" s="281">
        <f>DATE(A10954,B10954,C10954)</f>
        <v>45400</v>
      </c>
      <c r="F10954" s="480"/>
      <c r="G10954" s="221" t="s">
        <v>74</v>
      </c>
      <c r="H10954" s="221" t="str" cm="1">
        <f t="array" ref="H10954">IFERROR(INDEX(INVESTOR_LIST[INVESTOR NAME],MATCH(I10954,INVESTOR_LIST[INVESTOR CODE],0),)," ")</f>
        <v xml:space="preserve"> </v>
      </c>
      <c r="I10954" s="145" t="s">
        <v>348</v>
      </c>
      <c r="J10954" s="146" t="s">
        <v>52</v>
      </c>
      <c r="K10954" s="219"/>
      <c r="L10954" s="219">
        <v>189841.1</v>
      </c>
    </row>
    <row r="10955" spans="1:12" x14ac:dyDescent="0.2">
      <c r="A10955" s="343">
        <v>2024</v>
      </c>
      <c r="B10955" s="343">
        <v>4</v>
      </c>
      <c r="C10955" s="343">
        <v>18</v>
      </c>
      <c r="D10955" s="344">
        <f t="shared" ref="D10955:D10975" si="1532">DATE(A10955,B10955,C10955)</f>
        <v>45400</v>
      </c>
      <c r="E10955" s="345">
        <f t="shared" ref="E10955:E10975" si="1533">DATE(A10955,B10955,C10955)</f>
        <v>45400</v>
      </c>
      <c r="F10955" s="483" t="s">
        <v>1813</v>
      </c>
      <c r="G10955" s="350" t="s">
        <v>94</v>
      </c>
      <c r="H10955" s="350" t="str" cm="1">
        <f t="array" ref="H10955">IFERROR(INDEX(INVESTOR_LIST[INVESTOR NAME],MATCH(I10955,INVESTOR_LIST[INVESTOR CODE],0),)," ")</f>
        <v xml:space="preserve"> </v>
      </c>
      <c r="I10955" s="352" t="s">
        <v>348</v>
      </c>
      <c r="J10955" s="353" t="s">
        <v>1798</v>
      </c>
      <c r="K10955" s="354">
        <v>139583</v>
      </c>
      <c r="L10955" s="354"/>
    </row>
    <row r="10956" spans="1:12" x14ac:dyDescent="0.2">
      <c r="A10956" s="346">
        <v>2024</v>
      </c>
      <c r="B10956" s="346">
        <v>4</v>
      </c>
      <c r="C10956" s="346">
        <v>18</v>
      </c>
      <c r="D10956" s="344">
        <f t="shared" si="1532"/>
        <v>45400</v>
      </c>
      <c r="E10956" s="345">
        <f t="shared" si="1533"/>
        <v>45400</v>
      </c>
      <c r="F10956" s="484"/>
      <c r="G10956" s="347" t="s">
        <v>94</v>
      </c>
      <c r="H10956" s="347" t="str" cm="1">
        <f t="array" ref="H10956">IFERROR(INDEX(INVESTOR_LIST[INVESTOR NAME],MATCH(I10956,INVESTOR_LIST[INVESTOR CODE],0),)," ")</f>
        <v xml:space="preserve"> </v>
      </c>
      <c r="I10956" s="348" t="s">
        <v>348</v>
      </c>
      <c r="J10956" s="355" t="s">
        <v>1807</v>
      </c>
      <c r="K10956" s="349"/>
      <c r="L10956" s="349">
        <v>139583</v>
      </c>
    </row>
    <row r="10957" spans="1:12" x14ac:dyDescent="0.2">
      <c r="A10957" s="343">
        <v>2024</v>
      </c>
      <c r="B10957" s="343">
        <v>4</v>
      </c>
      <c r="C10957" s="343">
        <v>18</v>
      </c>
      <c r="D10957" s="344">
        <f t="shared" si="1532"/>
        <v>45400</v>
      </c>
      <c r="E10957" s="345">
        <f t="shared" si="1533"/>
        <v>45400</v>
      </c>
      <c r="F10957" s="483" t="s">
        <v>1913</v>
      </c>
      <c r="G10957" s="350" t="s">
        <v>94</v>
      </c>
      <c r="H10957" s="350" t="str" cm="1">
        <f t="array" ref="H10957">IFERROR(INDEX(INVESTOR_LIST[INVESTOR NAME],MATCH(I10957,INVESTOR_LIST[INVESTOR CODE],0),)," ")</f>
        <v xml:space="preserve"> </v>
      </c>
      <c r="I10957" s="352" t="s">
        <v>348</v>
      </c>
      <c r="J10957" s="353" t="s">
        <v>1799</v>
      </c>
      <c r="K10957" s="354">
        <v>43383.599999999627</v>
      </c>
      <c r="L10957" s="354"/>
    </row>
    <row r="10958" spans="1:12" x14ac:dyDescent="0.2">
      <c r="A10958" s="346">
        <v>2024</v>
      </c>
      <c r="B10958" s="346">
        <v>4</v>
      </c>
      <c r="C10958" s="346">
        <v>18</v>
      </c>
      <c r="D10958" s="344">
        <f t="shared" si="1532"/>
        <v>45400</v>
      </c>
      <c r="E10958" s="345">
        <f t="shared" si="1533"/>
        <v>45400</v>
      </c>
      <c r="F10958" s="484"/>
      <c r="G10958" s="347" t="s">
        <v>94</v>
      </c>
      <c r="H10958" s="347" t="str" cm="1">
        <f t="array" ref="H10958">IFERROR(INDEX(INVESTOR_LIST[INVESTOR NAME],MATCH(I10958,INVESTOR_LIST[INVESTOR CODE],0),)," ")</f>
        <v xml:space="preserve"> </v>
      </c>
      <c r="I10958" s="348" t="s">
        <v>348</v>
      </c>
      <c r="J10958" s="355" t="s">
        <v>1808</v>
      </c>
      <c r="K10958" s="349"/>
      <c r="L10958" s="349">
        <v>43383.599999999627</v>
      </c>
    </row>
    <row r="10959" spans="1:12" x14ac:dyDescent="0.2">
      <c r="A10959" s="238">
        <v>2024</v>
      </c>
      <c r="B10959" s="238">
        <v>4</v>
      </c>
      <c r="C10959" s="238">
        <v>18</v>
      </c>
      <c r="D10959" s="270">
        <f t="shared" si="1532"/>
        <v>45400</v>
      </c>
      <c r="E10959" s="279">
        <f t="shared" si="1533"/>
        <v>45400</v>
      </c>
      <c r="F10959" s="477" t="s">
        <v>347</v>
      </c>
      <c r="G10959" s="239" t="s">
        <v>94</v>
      </c>
      <c r="H10959" s="239" t="str" cm="1">
        <f t="array" ref="H10959">IFERROR(INDEX(INVESTOR_LIST[INVESTOR NAME],MATCH(I10959,INVESTOR_LIST[INVESTOR CODE],0),)," ")</f>
        <v xml:space="preserve"> </v>
      </c>
      <c r="I10959" s="262" t="s">
        <v>348</v>
      </c>
      <c r="J10959" s="240" t="s">
        <v>82</v>
      </c>
      <c r="K10959" s="241">
        <v>997976.53999999911</v>
      </c>
      <c r="L10959" s="241"/>
    </row>
    <row r="10960" spans="1:12" x14ac:dyDescent="0.2">
      <c r="A10960" s="242">
        <v>2024</v>
      </c>
      <c r="B10960" s="242">
        <v>4</v>
      </c>
      <c r="C10960" s="242">
        <v>18</v>
      </c>
      <c r="D10960" s="270">
        <f t="shared" si="1532"/>
        <v>45400</v>
      </c>
      <c r="E10960" s="279">
        <f t="shared" si="1533"/>
        <v>45400</v>
      </c>
      <c r="F10960" s="478"/>
      <c r="G10960" s="243" t="s">
        <v>94</v>
      </c>
      <c r="H10960" s="243" t="str" cm="1">
        <f t="array" ref="H10960">IFERROR(INDEX(INVESTOR_LIST[INVESTOR NAME],MATCH(I10960,INVESTOR_LIST[INVESTOR CODE],0),)," ")</f>
        <v xml:space="preserve"> </v>
      </c>
      <c r="I10960" s="263" t="s">
        <v>348</v>
      </c>
      <c r="J10960" s="244" t="s">
        <v>108</v>
      </c>
      <c r="K10960" s="245"/>
      <c r="L10960" s="245">
        <v>997976.53999999911</v>
      </c>
    </row>
    <row r="10961" spans="1:17" ht="22.5" x14ac:dyDescent="0.2">
      <c r="A10961" s="246">
        <v>2024</v>
      </c>
      <c r="B10961" s="238">
        <v>4</v>
      </c>
      <c r="C10961" s="238">
        <v>18</v>
      </c>
      <c r="D10961" s="270">
        <f t="shared" si="1532"/>
        <v>45400</v>
      </c>
      <c r="E10961" s="279">
        <f t="shared" si="1533"/>
        <v>45400</v>
      </c>
      <c r="F10961" s="482" t="s">
        <v>148</v>
      </c>
      <c r="G10961" s="247" t="s">
        <v>94</v>
      </c>
      <c r="H10961" s="247" t="str" cm="1">
        <f t="array" ref="H10961">IFERROR(INDEX(INVESTOR_LIST[INVESTOR NAME],MATCH(I10961,INVESTOR_LIST[INVESTOR CODE],0),)," ")</f>
        <v xml:space="preserve"> </v>
      </c>
      <c r="I10961" s="248" t="s">
        <v>348</v>
      </c>
      <c r="J10961" s="249" t="s">
        <v>95</v>
      </c>
      <c r="K10961" s="250">
        <v>2747.2527472527472</v>
      </c>
      <c r="L10961" s="241"/>
    </row>
    <row r="10962" spans="1:17" x14ac:dyDescent="0.2">
      <c r="A10962" s="242">
        <v>2024</v>
      </c>
      <c r="B10962" s="242">
        <v>4</v>
      </c>
      <c r="C10962" s="242">
        <v>18</v>
      </c>
      <c r="D10962" s="270">
        <f t="shared" si="1532"/>
        <v>45400</v>
      </c>
      <c r="E10962" s="279">
        <f t="shared" si="1533"/>
        <v>45400</v>
      </c>
      <c r="F10962" s="478"/>
      <c r="G10962" s="243" t="s">
        <v>94</v>
      </c>
      <c r="H10962" s="243" t="str" cm="1">
        <f t="array" ref="H10962">IFERROR(INDEX(INVESTOR_LIST[INVESTOR NAME],MATCH(I10962,INVESTOR_LIST[INVESTOR CODE],0),)," ")</f>
        <v xml:space="preserve"> </v>
      </c>
      <c r="I10962" s="263" t="s">
        <v>348</v>
      </c>
      <c r="J10962" s="244" t="s">
        <v>63</v>
      </c>
      <c r="K10962" s="245"/>
      <c r="L10962" s="245">
        <v>2747.2527472527472</v>
      </c>
    </row>
    <row r="10963" spans="1:17" x14ac:dyDescent="0.2">
      <c r="A10963" s="246">
        <v>2024</v>
      </c>
      <c r="B10963" s="238">
        <v>4</v>
      </c>
      <c r="C10963" s="238">
        <v>18</v>
      </c>
      <c r="D10963" s="270">
        <f t="shared" si="1532"/>
        <v>45400</v>
      </c>
      <c r="E10963" s="279">
        <f t="shared" si="1533"/>
        <v>45400</v>
      </c>
      <c r="F10963" s="482" t="s">
        <v>137</v>
      </c>
      <c r="G10963" s="247" t="s">
        <v>94</v>
      </c>
      <c r="H10963" s="247" t="str" cm="1">
        <f t="array" ref="H10963">IFERROR(INDEX(INVESTOR_LIST[INVESTOR NAME],MATCH(I10963,INVESTOR_LIST[INVESTOR CODE],0),)," ")</f>
        <v xml:space="preserve"> </v>
      </c>
      <c r="I10963" s="248" t="s">
        <v>348</v>
      </c>
      <c r="J10963" s="249" t="s">
        <v>97</v>
      </c>
      <c r="K10963" s="250">
        <f>M10963</f>
        <v>53533.33</v>
      </c>
      <c r="L10963" s="252"/>
      <c r="M10963" s="264">
        <v>53533.33</v>
      </c>
    </row>
    <row r="10964" spans="1:17" x14ac:dyDescent="0.2">
      <c r="A10964" s="242">
        <v>2024</v>
      </c>
      <c r="B10964" s="242">
        <v>4</v>
      </c>
      <c r="C10964" s="242">
        <v>18</v>
      </c>
      <c r="D10964" s="270">
        <f t="shared" si="1532"/>
        <v>45400</v>
      </c>
      <c r="E10964" s="279">
        <f t="shared" si="1533"/>
        <v>45400</v>
      </c>
      <c r="F10964" s="478"/>
      <c r="G10964" s="243" t="s">
        <v>94</v>
      </c>
      <c r="H10964" s="243" t="str" cm="1">
        <f t="array" ref="H10964">IFERROR(INDEX(INVESTOR_LIST[INVESTOR NAME],MATCH(I10964,INVESTOR_LIST[INVESTOR CODE],0),)," ")</f>
        <v xml:space="preserve"> </v>
      </c>
      <c r="I10964" s="263" t="s">
        <v>348</v>
      </c>
      <c r="J10964" s="244" t="s">
        <v>47</v>
      </c>
      <c r="K10964" s="245"/>
      <c r="L10964" s="245">
        <f>K10963</f>
        <v>53533.33</v>
      </c>
      <c r="M10964" s="264">
        <v>2436.2800000000002</v>
      </c>
    </row>
    <row r="10965" spans="1:17" x14ac:dyDescent="0.2">
      <c r="A10965" s="246">
        <v>2024</v>
      </c>
      <c r="B10965" s="238">
        <v>4</v>
      </c>
      <c r="C10965" s="238">
        <v>18</v>
      </c>
      <c r="D10965" s="270">
        <f t="shared" si="1532"/>
        <v>45400</v>
      </c>
      <c r="E10965" s="279">
        <f t="shared" si="1533"/>
        <v>45400</v>
      </c>
      <c r="F10965" s="482" t="s">
        <v>138</v>
      </c>
      <c r="G10965" s="247" t="s">
        <v>94</v>
      </c>
      <c r="H10965" s="247" t="str" cm="1">
        <f t="array" ref="H10965">IFERROR(INDEX(INVESTOR_LIST[INVESTOR NAME],MATCH(I10965,INVESTOR_LIST[INVESTOR CODE],0),)," ")</f>
        <v xml:space="preserve"> </v>
      </c>
      <c r="I10965" s="248" t="s">
        <v>348</v>
      </c>
      <c r="J10965" s="249" t="s">
        <v>100</v>
      </c>
      <c r="K10965" s="250">
        <f>M10964</f>
        <v>2436.2800000000002</v>
      </c>
      <c r="L10965" s="252"/>
    </row>
    <row r="10966" spans="1:17" x14ac:dyDescent="0.2">
      <c r="A10966" s="242">
        <v>2024</v>
      </c>
      <c r="B10966" s="242">
        <v>4</v>
      </c>
      <c r="C10966" s="242">
        <v>18</v>
      </c>
      <c r="D10966" s="321">
        <f t="shared" si="1532"/>
        <v>45400</v>
      </c>
      <c r="E10966" s="322">
        <f t="shared" si="1533"/>
        <v>45400</v>
      </c>
      <c r="F10966" s="478"/>
      <c r="G10966" s="243" t="s">
        <v>94</v>
      </c>
      <c r="H10966" s="243" t="str" cm="1">
        <f t="array" ref="H10966">IFERROR(INDEX(INVESTOR_LIST[INVESTOR NAME],MATCH(I10966,INVESTOR_LIST[INVESTOR CODE],0),)," ")</f>
        <v xml:space="preserve"> </v>
      </c>
      <c r="I10966" s="263" t="s">
        <v>348</v>
      </c>
      <c r="J10966" s="244" t="s">
        <v>48</v>
      </c>
      <c r="K10966" s="245"/>
      <c r="L10966" s="245">
        <f>K10965</f>
        <v>2436.2800000000002</v>
      </c>
    </row>
    <row r="10967" spans="1:17" x14ac:dyDescent="0.2">
      <c r="A10967" s="133">
        <v>2024</v>
      </c>
      <c r="B10967" s="133">
        <v>4</v>
      </c>
      <c r="C10967" s="133">
        <v>22</v>
      </c>
      <c r="D10967" s="141">
        <f t="shared" si="1532"/>
        <v>45404</v>
      </c>
      <c r="E10967" s="275">
        <f t="shared" si="1533"/>
        <v>45404</v>
      </c>
      <c r="F10967" s="481" t="s">
        <v>1917</v>
      </c>
      <c r="G10967" s="174" t="s">
        <v>74</v>
      </c>
      <c r="H10967" s="174" t="str" cm="1">
        <f t="array" ref="H10967">IFERROR(INDEX(INVESTOR_LIST[INVESTOR NAME],MATCH(I10967,INVESTOR_LIST[INVESTOR CODE],0),)," ")</f>
        <v xml:space="preserve"> </v>
      </c>
      <c r="I10967" s="148" t="s">
        <v>348</v>
      </c>
      <c r="J10967" s="149" t="s">
        <v>1764</v>
      </c>
      <c r="K10967" s="218">
        <v>2431205</v>
      </c>
      <c r="L10967" s="218"/>
      <c r="M10967" s="147"/>
      <c r="Q10967" s="133" t="s">
        <v>348</v>
      </c>
    </row>
    <row r="10968" spans="1:17" x14ac:dyDescent="0.2">
      <c r="A10968" s="163">
        <v>2024</v>
      </c>
      <c r="B10968" s="163">
        <v>4</v>
      </c>
      <c r="C10968" s="163">
        <v>22</v>
      </c>
      <c r="D10968" s="280">
        <f t="shared" si="1532"/>
        <v>45404</v>
      </c>
      <c r="E10968" s="281">
        <f t="shared" si="1533"/>
        <v>45404</v>
      </c>
      <c r="F10968" s="480"/>
      <c r="G10968" s="221" t="s">
        <v>74</v>
      </c>
      <c r="H10968" s="221" t="str" cm="1">
        <f t="array" ref="H10968">IFERROR(INDEX(INVESTOR_LIST[INVESTOR NAME],MATCH(I10968,INVESTOR_LIST[INVESTOR CODE],0),)," ")</f>
        <v xml:space="preserve"> </v>
      </c>
      <c r="I10968" s="145"/>
      <c r="J10968" s="146" t="s">
        <v>52</v>
      </c>
      <c r="K10968" s="219"/>
      <c r="L10968" s="219">
        <v>2431205</v>
      </c>
      <c r="M10968" s="147"/>
      <c r="Q10968" s="133" t="s">
        <v>348</v>
      </c>
    </row>
    <row r="10969" spans="1:17" x14ac:dyDescent="0.2">
      <c r="A10969" s="168">
        <v>2024</v>
      </c>
      <c r="B10969" s="168">
        <v>4</v>
      </c>
      <c r="C10969" s="168">
        <v>23</v>
      </c>
      <c r="D10969" s="141">
        <f>DATE(A10969,B10969,C10969)</f>
        <v>45405</v>
      </c>
      <c r="E10969" s="275">
        <f>DATE(A10969,B10969,C10969)</f>
        <v>45405</v>
      </c>
      <c r="F10969" s="479" t="s">
        <v>1757</v>
      </c>
      <c r="G10969" s="220" t="s">
        <v>74</v>
      </c>
      <c r="H10969" s="220" t="str" cm="1">
        <f t="array" ref="H10969">IFERROR(INDEX(INVESTOR_LIST[INVESTOR NAME],MATCH(I10969,INVESTOR_LIST[INVESTOR CODE],0),)," ")</f>
        <v xml:space="preserve"> </v>
      </c>
      <c r="I10969" s="142"/>
      <c r="J10969" s="143" t="s">
        <v>52</v>
      </c>
      <c r="K10969" s="226">
        <v>213265.42</v>
      </c>
      <c r="L10969" s="226"/>
    </row>
    <row r="10970" spans="1:17" ht="10.5" customHeight="1" x14ac:dyDescent="0.2">
      <c r="A10970" s="163">
        <v>2024</v>
      </c>
      <c r="B10970" s="163">
        <v>4</v>
      </c>
      <c r="C10970" s="163">
        <v>23</v>
      </c>
      <c r="D10970" s="280">
        <f>DATE(A10970,B10970,C10970)</f>
        <v>45405</v>
      </c>
      <c r="E10970" s="281">
        <f>DATE(A10970,B10970,C10970)</f>
        <v>45405</v>
      </c>
      <c r="F10970" s="480"/>
      <c r="G10970" s="221" t="s">
        <v>74</v>
      </c>
      <c r="H10970" s="221" t="str" cm="1">
        <f t="array" ref="H10970">IFERROR(INDEX(INVESTOR_LIST[INVESTOR NAME],MATCH(I10970,INVESTOR_LIST[INVESTOR CODE],0),)," ")</f>
        <v xml:space="preserve"> </v>
      </c>
      <c r="I10970" s="145"/>
      <c r="J10970" s="146" t="s">
        <v>190</v>
      </c>
      <c r="K10970" s="219"/>
      <c r="L10970" s="219">
        <v>213265.42</v>
      </c>
    </row>
    <row r="10971" spans="1:17" x14ac:dyDescent="0.2">
      <c r="A10971" s="168">
        <v>2024</v>
      </c>
      <c r="B10971" s="168">
        <v>4</v>
      </c>
      <c r="C10971" s="168">
        <v>23</v>
      </c>
      <c r="D10971" s="141">
        <f t="shared" si="1532"/>
        <v>45405</v>
      </c>
      <c r="E10971" s="275">
        <f t="shared" si="1533"/>
        <v>45405</v>
      </c>
      <c r="F10971" s="479" t="s">
        <v>1918</v>
      </c>
      <c r="G10971" s="174" t="s">
        <v>74</v>
      </c>
      <c r="H10971" s="148" t="str" cm="1">
        <f t="array" ref="H10971">IFERROR(INDEX(INVESTOR_LIST[INVESTOR NAME],MATCH(I10971,INVESTOR_LIST[INVESTOR CODE],0),)," ")</f>
        <v xml:space="preserve"> </v>
      </c>
      <c r="I10971" s="148" t="s">
        <v>348</v>
      </c>
      <c r="J10971" s="133" t="s">
        <v>52</v>
      </c>
      <c r="K10971" s="172">
        <v>246114.55</v>
      </c>
    </row>
    <row r="10972" spans="1:17" x14ac:dyDescent="0.2">
      <c r="A10972" s="163">
        <v>2024</v>
      </c>
      <c r="B10972" s="163">
        <v>4</v>
      </c>
      <c r="C10972" s="163">
        <v>23</v>
      </c>
      <c r="D10972" s="280">
        <f t="shared" si="1532"/>
        <v>45405</v>
      </c>
      <c r="E10972" s="281">
        <f t="shared" si="1533"/>
        <v>45405</v>
      </c>
      <c r="F10972" s="480"/>
      <c r="G10972" s="221" t="s">
        <v>74</v>
      </c>
      <c r="H10972" s="145" t="str" cm="1">
        <f t="array" ref="H10972">IFERROR(INDEX(INVESTOR_LIST[INVESTOR NAME],MATCH(I10972,INVESTOR_LIST[INVESTOR CODE],0),)," ")</f>
        <v xml:space="preserve"> </v>
      </c>
      <c r="I10972" s="145" t="s">
        <v>348</v>
      </c>
      <c r="J10972" s="163" t="s">
        <v>534</v>
      </c>
      <c r="K10972" s="219"/>
      <c r="L10972" s="219">
        <v>246114.55</v>
      </c>
    </row>
    <row r="10973" spans="1:17" ht="11.25" customHeight="1" x14ac:dyDescent="0.2">
      <c r="A10973" s="168">
        <v>2024</v>
      </c>
      <c r="B10973" s="168">
        <v>4</v>
      </c>
      <c r="C10973" s="168">
        <v>22</v>
      </c>
      <c r="D10973" s="141">
        <f t="shared" si="1532"/>
        <v>45404</v>
      </c>
      <c r="E10973" s="275">
        <f t="shared" si="1533"/>
        <v>45404</v>
      </c>
      <c r="F10973" s="479" t="s">
        <v>965</v>
      </c>
      <c r="G10973" s="220" t="s">
        <v>74</v>
      </c>
      <c r="H10973" s="142" t="str" cm="1">
        <f t="array" ref="H10973">IFERROR(INDEX(INVESTOR_LIST[INVESTOR NAME],MATCH(I10973,INVESTOR_LIST[INVESTOR CODE],0),)," ")</f>
        <v>BABITA RANI BARMAN</v>
      </c>
      <c r="I10973" s="142" t="s">
        <v>438</v>
      </c>
      <c r="J10973" s="168" t="s">
        <v>13</v>
      </c>
      <c r="K10973" s="218">
        <v>242790</v>
      </c>
      <c r="L10973" s="226"/>
    </row>
    <row r="10974" spans="1:17" ht="11.25" customHeight="1" x14ac:dyDescent="0.2">
      <c r="A10974" s="133">
        <v>2024</v>
      </c>
      <c r="B10974" s="133">
        <v>4</v>
      </c>
      <c r="C10974" s="133">
        <v>22</v>
      </c>
      <c r="D10974" s="141">
        <f t="shared" si="1532"/>
        <v>45404</v>
      </c>
      <c r="E10974" s="275">
        <f t="shared" si="1533"/>
        <v>45404</v>
      </c>
      <c r="F10974" s="481"/>
      <c r="G10974" s="174" t="s">
        <v>74</v>
      </c>
      <c r="H10974" s="148" t="str" cm="1">
        <f t="array" ref="H10974">IFERROR(INDEX(INVESTOR_LIST[INVESTOR NAME],MATCH(I10974,INVESTOR_LIST[INVESTOR CODE],0),)," ")</f>
        <v>BABITA RANI BARMAN</v>
      </c>
      <c r="I10974" s="148" t="s">
        <v>438</v>
      </c>
      <c r="J10974" s="133" t="s">
        <v>53</v>
      </c>
      <c r="K10974" s="218">
        <v>39550.489999999991</v>
      </c>
      <c r="L10974" s="133"/>
    </row>
    <row r="10975" spans="1:17" ht="11.25" customHeight="1" x14ac:dyDescent="0.2">
      <c r="A10975" s="163">
        <v>2024</v>
      </c>
      <c r="B10975" s="163">
        <v>4</v>
      </c>
      <c r="C10975" s="163">
        <v>22</v>
      </c>
      <c r="D10975" s="280">
        <f t="shared" si="1532"/>
        <v>45404</v>
      </c>
      <c r="E10975" s="281">
        <f t="shared" si="1533"/>
        <v>45404</v>
      </c>
      <c r="F10975" s="480"/>
      <c r="G10975" s="221" t="s">
        <v>74</v>
      </c>
      <c r="H10975" s="145" t="str" cm="1">
        <f t="array" ref="H10975">IFERROR(INDEX(INVESTOR_LIST[INVESTOR NAME],MATCH(I10975,INVESTOR_LIST[INVESTOR CODE],0),)," ")</f>
        <v>BABITA RANI BARMAN</v>
      </c>
      <c r="I10975" s="145" t="s">
        <v>438</v>
      </c>
      <c r="J10975" s="163" t="s">
        <v>52</v>
      </c>
      <c r="K10975" s="219"/>
      <c r="L10975" s="219">
        <v>282340.49</v>
      </c>
    </row>
    <row r="10976" spans="1:17" ht="11.25" customHeight="1" x14ac:dyDescent="0.2">
      <c r="A10976" s="168">
        <v>2024</v>
      </c>
      <c r="B10976" s="168">
        <v>4</v>
      </c>
      <c r="C10976" s="168">
        <v>24</v>
      </c>
      <c r="D10976" s="141">
        <f t="shared" ref="D10976:D10987" si="1534">DATE(A10976,B10976,C10976)</f>
        <v>45406</v>
      </c>
      <c r="E10976" s="275">
        <f t="shared" ref="E10976:E10987" si="1535">DATE(A10976,B10976,C10976)</f>
        <v>45406</v>
      </c>
      <c r="F10976" s="479" t="s">
        <v>965</v>
      </c>
      <c r="G10976" s="220" t="s">
        <v>74</v>
      </c>
      <c r="H10976" s="142" t="str" cm="1">
        <f t="array" ref="H10976">IFERROR(INDEX(INVESTOR_LIST[INVESTOR NAME],MATCH(I10976,INVESTOR_LIST[INVESTOR CODE],0),)," ")</f>
        <v>NARGISH JAHAN</v>
      </c>
      <c r="I10976" s="142" t="s">
        <v>457</v>
      </c>
      <c r="J10976" s="168" t="s">
        <v>13</v>
      </c>
      <c r="K10976" s="218">
        <v>257980</v>
      </c>
      <c r="L10976" s="226"/>
    </row>
    <row r="10977" spans="1:13" ht="11.25" customHeight="1" x14ac:dyDescent="0.2">
      <c r="A10977" s="133">
        <v>2024</v>
      </c>
      <c r="B10977" s="133">
        <v>4</v>
      </c>
      <c r="C10977" s="133">
        <v>24</v>
      </c>
      <c r="D10977" s="141">
        <f t="shared" si="1534"/>
        <v>45406</v>
      </c>
      <c r="E10977" s="275">
        <f t="shared" si="1535"/>
        <v>45406</v>
      </c>
      <c r="F10977" s="481"/>
      <c r="G10977" s="174" t="s">
        <v>74</v>
      </c>
      <c r="H10977" s="148" t="str" cm="1">
        <f t="array" ref="H10977">IFERROR(INDEX(INVESTOR_LIST[INVESTOR NAME],MATCH(I10977,INVESTOR_LIST[INVESTOR CODE],0),)," ")</f>
        <v>NARGISH JAHAN</v>
      </c>
      <c r="I10977" s="148" t="s">
        <v>457</v>
      </c>
      <c r="J10977" s="133" t="s">
        <v>53</v>
      </c>
      <c r="K10977" s="218">
        <v>42020</v>
      </c>
      <c r="L10977" s="133"/>
    </row>
    <row r="10978" spans="1:13" ht="11.25" customHeight="1" x14ac:dyDescent="0.2">
      <c r="A10978" s="163">
        <v>2024</v>
      </c>
      <c r="B10978" s="163">
        <v>4</v>
      </c>
      <c r="C10978" s="163">
        <v>24</v>
      </c>
      <c r="D10978" s="280">
        <f t="shared" si="1534"/>
        <v>45406</v>
      </c>
      <c r="E10978" s="281">
        <f t="shared" si="1535"/>
        <v>45406</v>
      </c>
      <c r="F10978" s="480"/>
      <c r="G10978" s="221" t="s">
        <v>74</v>
      </c>
      <c r="H10978" s="145" t="str" cm="1">
        <f t="array" ref="H10978">IFERROR(INDEX(INVESTOR_LIST[INVESTOR NAME],MATCH(I10978,INVESTOR_LIST[INVESTOR CODE],0),)," ")</f>
        <v>NARGISH JAHAN</v>
      </c>
      <c r="I10978" s="145" t="s">
        <v>457</v>
      </c>
      <c r="J10978" s="163" t="s">
        <v>52</v>
      </c>
      <c r="K10978" s="219"/>
      <c r="L10978" s="219">
        <v>300000</v>
      </c>
    </row>
    <row r="10979" spans="1:13" x14ac:dyDescent="0.2">
      <c r="A10979" s="168">
        <v>2024</v>
      </c>
      <c r="B10979" s="133">
        <v>4</v>
      </c>
      <c r="C10979" s="133">
        <v>24</v>
      </c>
      <c r="D10979" s="141">
        <f t="shared" si="1534"/>
        <v>45406</v>
      </c>
      <c r="E10979" s="275">
        <f t="shared" si="1535"/>
        <v>45406</v>
      </c>
      <c r="F10979" s="479" t="s">
        <v>1920</v>
      </c>
      <c r="G10979" s="220" t="s">
        <v>74</v>
      </c>
      <c r="H10979" s="220" t="str" cm="1">
        <f t="array" ref="H10979">IFERROR(INDEX(INVESTOR_LIST[INVESTOR NAME],MATCH(I10979,INVESTOR_LIST[INVESTOR CODE],0),)," ")</f>
        <v xml:space="preserve"> </v>
      </c>
      <c r="I10979" s="142" t="s">
        <v>348</v>
      </c>
      <c r="J10979" s="143" t="s">
        <v>184</v>
      </c>
      <c r="K10979" s="226">
        <v>2400000</v>
      </c>
      <c r="L10979" s="226"/>
    </row>
    <row r="10980" spans="1:13" x14ac:dyDescent="0.2">
      <c r="A10980" s="133">
        <v>2024</v>
      </c>
      <c r="B10980" s="133">
        <v>4</v>
      </c>
      <c r="C10980" s="133">
        <v>24</v>
      </c>
      <c r="D10980" s="141">
        <f t="shared" si="1534"/>
        <v>45406</v>
      </c>
      <c r="E10980" s="275">
        <f t="shared" si="1535"/>
        <v>45406</v>
      </c>
      <c r="F10980" s="481"/>
      <c r="G10980" s="174" t="s">
        <v>74</v>
      </c>
      <c r="H10980" s="174"/>
      <c r="J10980" s="149" t="s">
        <v>61</v>
      </c>
      <c r="K10980" s="218">
        <v>115</v>
      </c>
      <c r="L10980" s="218"/>
    </row>
    <row r="10981" spans="1:13" x14ac:dyDescent="0.2">
      <c r="A10981" s="163">
        <v>2024</v>
      </c>
      <c r="B10981" s="163">
        <v>4</v>
      </c>
      <c r="C10981" s="163">
        <v>24</v>
      </c>
      <c r="D10981" s="280">
        <f t="shared" si="1534"/>
        <v>45406</v>
      </c>
      <c r="E10981" s="281">
        <f t="shared" si="1535"/>
        <v>45406</v>
      </c>
      <c r="F10981" s="480"/>
      <c r="G10981" s="221" t="s">
        <v>74</v>
      </c>
      <c r="H10981" s="221" t="str" cm="1">
        <f t="array" ref="H10981">IFERROR(INDEX(INVESTOR_LIST[INVESTOR NAME],MATCH(I10981,INVESTOR_LIST[INVESTOR CODE],0),)," ")</f>
        <v xml:space="preserve"> </v>
      </c>
      <c r="I10981" s="145" t="s">
        <v>348</v>
      </c>
      <c r="J10981" s="146" t="s">
        <v>52</v>
      </c>
      <c r="K10981" s="219"/>
      <c r="L10981" s="219">
        <v>2400115</v>
      </c>
    </row>
    <row r="10982" spans="1:13" x14ac:dyDescent="0.2">
      <c r="A10982" s="168">
        <v>2024</v>
      </c>
      <c r="B10982" s="168">
        <v>4</v>
      </c>
      <c r="C10982" s="168">
        <v>24</v>
      </c>
      <c r="D10982" s="141">
        <f t="shared" si="1534"/>
        <v>45406</v>
      </c>
      <c r="E10982" s="275">
        <f t="shared" si="1535"/>
        <v>45406</v>
      </c>
      <c r="F10982" s="479" t="s">
        <v>1921</v>
      </c>
      <c r="G10982" s="220" t="s">
        <v>74</v>
      </c>
      <c r="H10982" s="142" t="str" cm="1">
        <f t="array" ref="H10982">IFERROR(INDEX(INVESTOR_LIST[INVESTOR NAME],MATCH(I10982,INVESTOR_LIST[INVESTOR CODE],0),)," ")</f>
        <v xml:space="preserve"> </v>
      </c>
      <c r="I10982" s="142"/>
      <c r="J10982" s="168" t="s">
        <v>48</v>
      </c>
      <c r="K10982" s="226">
        <v>77041.53</v>
      </c>
      <c r="L10982" s="226"/>
    </row>
    <row r="10983" spans="1:13" x14ac:dyDescent="0.2">
      <c r="A10983" s="133">
        <v>2024</v>
      </c>
      <c r="B10983" s="133">
        <v>4</v>
      </c>
      <c r="C10983" s="133">
        <v>24</v>
      </c>
      <c r="D10983" s="141">
        <f t="shared" ref="D10983" si="1536">DATE(A10983,B10983,C10983)</f>
        <v>45406</v>
      </c>
      <c r="E10983" s="275">
        <f t="shared" ref="E10983" si="1537">DATE(A10983,B10983,C10983)</f>
        <v>45406</v>
      </c>
      <c r="F10983" s="481"/>
      <c r="G10983" s="174" t="s">
        <v>74</v>
      </c>
      <c r="J10983" s="133" t="s">
        <v>534</v>
      </c>
      <c r="K10983" s="218"/>
      <c r="L10983" s="218">
        <v>7704.15</v>
      </c>
    </row>
    <row r="10984" spans="1:13" x14ac:dyDescent="0.2">
      <c r="A10984" s="163">
        <v>2024</v>
      </c>
      <c r="B10984" s="163">
        <v>4</v>
      </c>
      <c r="C10984" s="163">
        <v>24</v>
      </c>
      <c r="D10984" s="280">
        <f t="shared" si="1534"/>
        <v>45406</v>
      </c>
      <c r="E10984" s="281">
        <f t="shared" si="1535"/>
        <v>45406</v>
      </c>
      <c r="F10984" s="480"/>
      <c r="G10984" s="221" t="s">
        <v>74</v>
      </c>
      <c r="H10984" s="145" t="str" cm="1">
        <f t="array" ref="H10984">IFERROR(INDEX(INVESTOR_LIST[INVESTOR NAME],MATCH(I10984,INVESTOR_LIST[INVESTOR CODE],0),)," ")</f>
        <v xml:space="preserve"> </v>
      </c>
      <c r="I10984" s="145"/>
      <c r="J10984" s="163" t="s">
        <v>52</v>
      </c>
      <c r="K10984" s="219"/>
      <c r="L10984" s="219">
        <v>69337.38</v>
      </c>
    </row>
    <row r="10985" spans="1:13" x14ac:dyDescent="0.2">
      <c r="A10985" s="168">
        <v>2024</v>
      </c>
      <c r="B10985" s="168">
        <v>4</v>
      </c>
      <c r="C10985" s="168">
        <v>25</v>
      </c>
      <c r="D10985" s="141">
        <f t="shared" si="1534"/>
        <v>45407</v>
      </c>
      <c r="E10985" s="275">
        <f t="shared" si="1535"/>
        <v>45407</v>
      </c>
      <c r="F10985" s="479" t="s">
        <v>1797</v>
      </c>
      <c r="G10985" s="220" t="s">
        <v>94</v>
      </c>
      <c r="H10985" s="220" t="str" cm="1">
        <f t="array" ref="H10985">IFERROR(INDEX(INVESTOR_LIST[INVESTOR NAME],MATCH(I10985,INVESTOR_LIST[INVESTOR CODE],0),)," ")</f>
        <v xml:space="preserve"> </v>
      </c>
      <c r="I10985" s="142"/>
      <c r="J10985" s="143" t="s">
        <v>79</v>
      </c>
      <c r="K10985" s="226">
        <v>1218492.2</v>
      </c>
      <c r="L10985" s="226"/>
      <c r="M10985" s="160"/>
    </row>
    <row r="10986" spans="1:13" x14ac:dyDescent="0.2">
      <c r="A10986" s="133">
        <v>2024</v>
      </c>
      <c r="B10986" s="133">
        <v>4</v>
      </c>
      <c r="C10986" s="133">
        <v>25</v>
      </c>
      <c r="D10986" s="141">
        <f t="shared" si="1534"/>
        <v>45407</v>
      </c>
      <c r="E10986" s="275">
        <f t="shared" si="1535"/>
        <v>45407</v>
      </c>
      <c r="F10986" s="481"/>
      <c r="G10986" s="174" t="s">
        <v>94</v>
      </c>
      <c r="H10986" s="174"/>
      <c r="J10986" s="149" t="s">
        <v>80</v>
      </c>
      <c r="K10986" s="218">
        <v>2193.31</v>
      </c>
      <c r="L10986" s="218"/>
    </row>
    <row r="10987" spans="1:13" ht="10.9" customHeight="1" x14ac:dyDescent="0.2">
      <c r="A10987" s="163">
        <v>2024</v>
      </c>
      <c r="B10987" s="163">
        <v>4</v>
      </c>
      <c r="C10987" s="163">
        <v>25</v>
      </c>
      <c r="D10987" s="280">
        <f t="shared" si="1534"/>
        <v>45407</v>
      </c>
      <c r="E10987" s="281">
        <f t="shared" si="1535"/>
        <v>45407</v>
      </c>
      <c r="F10987" s="480"/>
      <c r="G10987" s="221" t="s">
        <v>94</v>
      </c>
      <c r="H10987" s="221"/>
      <c r="I10987" s="145"/>
      <c r="J10987" s="146" t="s">
        <v>147</v>
      </c>
      <c r="K10987" s="219"/>
      <c r="L10987" s="219">
        <v>1220685.51</v>
      </c>
    </row>
    <row r="10988" spans="1:13" x14ac:dyDescent="0.2">
      <c r="A10988" s="133">
        <v>2024</v>
      </c>
      <c r="B10988" s="133">
        <v>4</v>
      </c>
      <c r="C10988" s="168">
        <v>25</v>
      </c>
      <c r="D10988" s="141">
        <f>DATE(A10988,B10988,C10988)</f>
        <v>45407</v>
      </c>
      <c r="E10988" s="275">
        <f>DATE(A10988,B10988,C10988)</f>
        <v>45407</v>
      </c>
      <c r="F10988" s="479" t="s">
        <v>1768</v>
      </c>
      <c r="G10988" s="220" t="s">
        <v>74</v>
      </c>
      <c r="H10988" s="220" t="str" cm="1">
        <f t="array" ref="H10988">IFERROR(INDEX(INVESTOR_LIST[INVESTOR NAME],MATCH(I10988,INVESTOR_LIST[INVESTOR CODE],0),)," ")</f>
        <v xml:space="preserve"> </v>
      </c>
      <c r="I10988" s="142"/>
      <c r="J10988" s="143" t="s">
        <v>147</v>
      </c>
      <c r="K10988" s="226">
        <v>1220685.51</v>
      </c>
      <c r="L10988" s="226"/>
    </row>
    <row r="10989" spans="1:13" x14ac:dyDescent="0.2">
      <c r="A10989" s="163">
        <v>2024</v>
      </c>
      <c r="B10989" s="163">
        <v>4</v>
      </c>
      <c r="C10989" s="163">
        <v>25</v>
      </c>
      <c r="D10989" s="280">
        <f>DATE(A10989,B10989,C10989)</f>
        <v>45407</v>
      </c>
      <c r="E10989" s="281">
        <f>DATE(A10989,B10989,C10989)</f>
        <v>45407</v>
      </c>
      <c r="F10989" s="480"/>
      <c r="G10989" s="221" t="s">
        <v>74</v>
      </c>
      <c r="H10989" s="221" t="str" cm="1">
        <f t="array" ref="H10989">IFERROR(INDEX(INVESTOR_LIST[INVESTOR NAME],MATCH(I10989,INVESTOR_LIST[INVESTOR CODE],0),)," ")</f>
        <v xml:space="preserve"> </v>
      </c>
      <c r="I10989" s="145" t="s">
        <v>348</v>
      </c>
      <c r="J10989" s="146" t="s">
        <v>52</v>
      </c>
      <c r="K10989" s="219"/>
      <c r="L10989" s="219">
        <v>1220685.51</v>
      </c>
    </row>
    <row r="10990" spans="1:13" x14ac:dyDescent="0.2">
      <c r="A10990" s="343">
        <v>2024</v>
      </c>
      <c r="B10990" s="343">
        <v>4</v>
      </c>
      <c r="C10990" s="343">
        <v>25</v>
      </c>
      <c r="D10990" s="344">
        <f t="shared" ref="D10990:D11004" si="1538">DATE(A10990,B10990,C10990)</f>
        <v>45407</v>
      </c>
      <c r="E10990" s="345">
        <f t="shared" ref="E10990:E11004" si="1539">DATE(A10990,B10990,C10990)</f>
        <v>45407</v>
      </c>
      <c r="F10990" s="483" t="s">
        <v>1813</v>
      </c>
      <c r="G10990" s="350" t="s">
        <v>94</v>
      </c>
      <c r="H10990" s="350" t="str" cm="1">
        <f t="array" ref="H10990">IFERROR(INDEX(INVESTOR_LIST[INVESTOR NAME],MATCH(I10990,INVESTOR_LIST[INVESTOR CODE],0),)," ")</f>
        <v xml:space="preserve"> </v>
      </c>
      <c r="I10990" s="352" t="s">
        <v>348</v>
      </c>
      <c r="J10990" s="353" t="s">
        <v>1798</v>
      </c>
      <c r="K10990" s="354">
        <v>141059</v>
      </c>
      <c r="L10990" s="354"/>
    </row>
    <row r="10991" spans="1:13" x14ac:dyDescent="0.2">
      <c r="A10991" s="346">
        <v>2024</v>
      </c>
      <c r="B10991" s="346">
        <v>4</v>
      </c>
      <c r="C10991" s="346">
        <v>25</v>
      </c>
      <c r="D10991" s="344">
        <f t="shared" si="1538"/>
        <v>45407</v>
      </c>
      <c r="E10991" s="345">
        <f t="shared" si="1539"/>
        <v>45407</v>
      </c>
      <c r="F10991" s="484"/>
      <c r="G10991" s="347" t="s">
        <v>94</v>
      </c>
      <c r="H10991" s="347" t="str" cm="1">
        <f t="array" ref="H10991">IFERROR(INDEX(INVESTOR_LIST[INVESTOR NAME],MATCH(I10991,INVESTOR_LIST[INVESTOR CODE],0),)," ")</f>
        <v xml:space="preserve"> </v>
      </c>
      <c r="I10991" s="348" t="s">
        <v>348</v>
      </c>
      <c r="J10991" s="355" t="s">
        <v>1807</v>
      </c>
      <c r="K10991" s="349"/>
      <c r="L10991" s="349">
        <v>141059</v>
      </c>
    </row>
    <row r="10992" spans="1:13" x14ac:dyDescent="0.2">
      <c r="A10992" s="343">
        <v>2024</v>
      </c>
      <c r="B10992" s="343">
        <v>4</v>
      </c>
      <c r="C10992" s="343">
        <v>25</v>
      </c>
      <c r="D10992" s="344">
        <f t="shared" si="1538"/>
        <v>45407</v>
      </c>
      <c r="E10992" s="345">
        <f t="shared" si="1539"/>
        <v>45407</v>
      </c>
      <c r="F10992" s="483" t="s">
        <v>1913</v>
      </c>
      <c r="G10992" s="350" t="s">
        <v>94</v>
      </c>
      <c r="H10992" s="350" t="str" cm="1">
        <f t="array" ref="H10992">IFERROR(INDEX(INVESTOR_LIST[INVESTOR NAME],MATCH(I10992,INVESTOR_LIST[INVESTOR CODE],0),)," ")</f>
        <v xml:space="preserve"> </v>
      </c>
      <c r="I10992" s="352" t="s">
        <v>348</v>
      </c>
      <c r="J10992" s="353" t="s">
        <v>1799</v>
      </c>
      <c r="K10992" s="354">
        <v>43428.60000000149</v>
      </c>
      <c r="L10992" s="354"/>
    </row>
    <row r="10993" spans="1:13" x14ac:dyDescent="0.2">
      <c r="A10993" s="346">
        <v>2024</v>
      </c>
      <c r="B10993" s="346">
        <v>4</v>
      </c>
      <c r="C10993" s="346">
        <v>25</v>
      </c>
      <c r="D10993" s="344">
        <f t="shared" si="1538"/>
        <v>45407</v>
      </c>
      <c r="E10993" s="345">
        <f t="shared" si="1539"/>
        <v>45407</v>
      </c>
      <c r="F10993" s="484"/>
      <c r="G10993" s="347" t="s">
        <v>94</v>
      </c>
      <c r="H10993" s="347" t="str" cm="1">
        <f t="array" ref="H10993">IFERROR(INDEX(INVESTOR_LIST[INVESTOR NAME],MATCH(I10993,INVESTOR_LIST[INVESTOR CODE],0),)," ")</f>
        <v xml:space="preserve"> </v>
      </c>
      <c r="I10993" s="348" t="s">
        <v>348</v>
      </c>
      <c r="J10993" s="355" t="s">
        <v>1808</v>
      </c>
      <c r="K10993" s="349"/>
      <c r="L10993" s="349">
        <v>43428.60000000149</v>
      </c>
    </row>
    <row r="10994" spans="1:13" x14ac:dyDescent="0.2">
      <c r="A10994" s="238">
        <v>2024</v>
      </c>
      <c r="B10994" s="238">
        <v>4</v>
      </c>
      <c r="C10994" s="238">
        <v>25</v>
      </c>
      <c r="D10994" s="270">
        <f t="shared" si="1538"/>
        <v>45407</v>
      </c>
      <c r="E10994" s="279">
        <f t="shared" si="1539"/>
        <v>45407</v>
      </c>
      <c r="F10994" s="477" t="s">
        <v>347</v>
      </c>
      <c r="G10994" s="239" t="s">
        <v>94</v>
      </c>
      <c r="H10994" s="239" t="str" cm="1">
        <f t="array" ref="H10994">IFERROR(INDEX(INVESTOR_LIST[INVESTOR NAME],MATCH(I10994,INVESTOR_LIST[INVESTOR CODE],0),)," ")</f>
        <v xml:space="preserve"> </v>
      </c>
      <c r="I10994" s="262" t="s">
        <v>348</v>
      </c>
      <c r="J10994" s="240" t="s">
        <v>82</v>
      </c>
      <c r="K10994" s="241">
        <v>396695.79999999702</v>
      </c>
      <c r="L10994" s="241"/>
    </row>
    <row r="10995" spans="1:13" x14ac:dyDescent="0.2">
      <c r="A10995" s="242">
        <v>2024</v>
      </c>
      <c r="B10995" s="242">
        <v>4</v>
      </c>
      <c r="C10995" s="242">
        <v>25</v>
      </c>
      <c r="D10995" s="270">
        <f t="shared" si="1538"/>
        <v>45407</v>
      </c>
      <c r="E10995" s="279">
        <f t="shared" si="1539"/>
        <v>45407</v>
      </c>
      <c r="F10995" s="478"/>
      <c r="G10995" s="243" t="s">
        <v>94</v>
      </c>
      <c r="H10995" s="243" t="str" cm="1">
        <f t="array" ref="H10995">IFERROR(INDEX(INVESTOR_LIST[INVESTOR NAME],MATCH(I10995,INVESTOR_LIST[INVESTOR CODE],0),)," ")</f>
        <v xml:space="preserve"> </v>
      </c>
      <c r="I10995" s="263" t="s">
        <v>348</v>
      </c>
      <c r="J10995" s="244" t="s">
        <v>108</v>
      </c>
      <c r="K10995" s="245"/>
      <c r="L10995" s="245">
        <v>396695.79999999702</v>
      </c>
    </row>
    <row r="10996" spans="1:13" ht="22.5" x14ac:dyDescent="0.2">
      <c r="A10996" s="246">
        <v>2024</v>
      </c>
      <c r="B10996" s="238">
        <v>4</v>
      </c>
      <c r="C10996" s="238">
        <v>25</v>
      </c>
      <c r="D10996" s="270">
        <f t="shared" si="1538"/>
        <v>45407</v>
      </c>
      <c r="E10996" s="279">
        <f t="shared" si="1539"/>
        <v>45407</v>
      </c>
      <c r="F10996" s="482" t="s">
        <v>148</v>
      </c>
      <c r="G10996" s="247" t="s">
        <v>94</v>
      </c>
      <c r="H10996" s="247" t="str" cm="1">
        <f t="array" ref="H10996">IFERROR(INDEX(INVESTOR_LIST[INVESTOR NAME],MATCH(I10996,INVESTOR_LIST[INVESTOR CODE],0),)," ")</f>
        <v xml:space="preserve"> </v>
      </c>
      <c r="I10996" s="248" t="s">
        <v>348</v>
      </c>
      <c r="J10996" s="249" t="s">
        <v>95</v>
      </c>
      <c r="K10996" s="250">
        <v>2747.2527472527472</v>
      </c>
      <c r="L10996" s="241"/>
    </row>
    <row r="10997" spans="1:13" x14ac:dyDescent="0.2">
      <c r="A10997" s="242">
        <v>2024</v>
      </c>
      <c r="B10997" s="242">
        <v>4</v>
      </c>
      <c r="C10997" s="242">
        <v>25</v>
      </c>
      <c r="D10997" s="270">
        <f t="shared" si="1538"/>
        <v>45407</v>
      </c>
      <c r="E10997" s="279">
        <f t="shared" si="1539"/>
        <v>45407</v>
      </c>
      <c r="F10997" s="478"/>
      <c r="G10997" s="243" t="s">
        <v>94</v>
      </c>
      <c r="H10997" s="243" t="str" cm="1">
        <f t="array" ref="H10997">IFERROR(INDEX(INVESTOR_LIST[INVESTOR NAME],MATCH(I10997,INVESTOR_LIST[INVESTOR CODE],0),)," ")</f>
        <v xml:space="preserve"> </v>
      </c>
      <c r="I10997" s="263" t="s">
        <v>348</v>
      </c>
      <c r="J10997" s="244" t="s">
        <v>63</v>
      </c>
      <c r="K10997" s="245"/>
      <c r="L10997" s="245">
        <v>2747.2527472527472</v>
      </c>
    </row>
    <row r="10998" spans="1:13" x14ac:dyDescent="0.2">
      <c r="A10998" s="246">
        <v>2024</v>
      </c>
      <c r="B10998" s="238">
        <v>4</v>
      </c>
      <c r="C10998" s="238">
        <v>25</v>
      </c>
      <c r="D10998" s="270">
        <f t="shared" si="1538"/>
        <v>45407</v>
      </c>
      <c r="E10998" s="279">
        <f t="shared" si="1539"/>
        <v>45407</v>
      </c>
      <c r="F10998" s="482" t="s">
        <v>137</v>
      </c>
      <c r="G10998" s="247" t="s">
        <v>94</v>
      </c>
      <c r="H10998" s="247" t="str" cm="1">
        <f t="array" ref="H10998">IFERROR(INDEX(INVESTOR_LIST[INVESTOR NAME],MATCH(I10998,INVESTOR_LIST[INVESTOR CODE],0),)," ")</f>
        <v xml:space="preserve"> </v>
      </c>
      <c r="I10998" s="248" t="s">
        <v>348</v>
      </c>
      <c r="J10998" s="249" t="s">
        <v>97</v>
      </c>
      <c r="K10998" s="250">
        <f>M10998</f>
        <v>53225.803279644992</v>
      </c>
      <c r="L10998" s="252"/>
      <c r="M10998" s="264">
        <v>53225.803279644992</v>
      </c>
    </row>
    <row r="10999" spans="1:13" x14ac:dyDescent="0.2">
      <c r="A10999" s="242">
        <v>2024</v>
      </c>
      <c r="B10999" s="242">
        <v>4</v>
      </c>
      <c r="C10999" s="242">
        <v>25</v>
      </c>
      <c r="D10999" s="270">
        <f t="shared" si="1538"/>
        <v>45407</v>
      </c>
      <c r="E10999" s="279">
        <f t="shared" si="1539"/>
        <v>45407</v>
      </c>
      <c r="F10999" s="478"/>
      <c r="G10999" s="243" t="s">
        <v>94</v>
      </c>
      <c r="H10999" s="243" t="str" cm="1">
        <f t="array" ref="H10999">IFERROR(INDEX(INVESTOR_LIST[INVESTOR NAME],MATCH(I10999,INVESTOR_LIST[INVESTOR CODE],0),)," ")</f>
        <v xml:space="preserve"> </v>
      </c>
      <c r="I10999" s="263" t="s">
        <v>348</v>
      </c>
      <c r="J10999" s="244" t="s">
        <v>47</v>
      </c>
      <c r="K10999" s="245"/>
      <c r="L10999" s="245">
        <f>K10998</f>
        <v>53225.803279644992</v>
      </c>
      <c r="M10999" s="264">
        <v>2420.9055485976342</v>
      </c>
    </row>
    <row r="11000" spans="1:13" x14ac:dyDescent="0.2">
      <c r="A11000" s="246">
        <v>2024</v>
      </c>
      <c r="B11000" s="238">
        <v>4</v>
      </c>
      <c r="C11000" s="238">
        <v>25</v>
      </c>
      <c r="D11000" s="270">
        <f t="shared" si="1538"/>
        <v>45407</v>
      </c>
      <c r="E11000" s="279">
        <f t="shared" si="1539"/>
        <v>45407</v>
      </c>
      <c r="F11000" s="482" t="s">
        <v>138</v>
      </c>
      <c r="G11000" s="247" t="s">
        <v>94</v>
      </c>
      <c r="H11000" s="247" t="str" cm="1">
        <f t="array" ref="H11000">IFERROR(INDEX(INVESTOR_LIST[INVESTOR NAME],MATCH(I11000,INVESTOR_LIST[INVESTOR CODE],0),)," ")</f>
        <v xml:space="preserve"> </v>
      </c>
      <c r="I11000" s="248" t="s">
        <v>348</v>
      </c>
      <c r="J11000" s="249" t="s">
        <v>100</v>
      </c>
      <c r="K11000" s="250">
        <f>M10999</f>
        <v>2420.9055485976342</v>
      </c>
      <c r="L11000" s="252"/>
    </row>
    <row r="11001" spans="1:13" x14ac:dyDescent="0.2">
      <c r="A11001" s="242">
        <v>2024</v>
      </c>
      <c r="B11001" s="242">
        <v>4</v>
      </c>
      <c r="C11001" s="242">
        <v>25</v>
      </c>
      <c r="D11001" s="321">
        <f t="shared" si="1538"/>
        <v>45407</v>
      </c>
      <c r="E11001" s="322">
        <f t="shared" si="1539"/>
        <v>45407</v>
      </c>
      <c r="F11001" s="478"/>
      <c r="G11001" s="243" t="s">
        <v>94</v>
      </c>
      <c r="H11001" s="243" t="str" cm="1">
        <f t="array" ref="H11001">IFERROR(INDEX(INVESTOR_LIST[INVESTOR NAME],MATCH(I11001,INVESTOR_LIST[INVESTOR CODE],0),)," ")</f>
        <v xml:space="preserve"> </v>
      </c>
      <c r="I11001" s="263" t="s">
        <v>348</v>
      </c>
      <c r="J11001" s="244" t="s">
        <v>48</v>
      </c>
      <c r="K11001" s="245"/>
      <c r="L11001" s="245">
        <f>K11000</f>
        <v>2420.9055485976342</v>
      </c>
    </row>
    <row r="11002" spans="1:13" x14ac:dyDescent="0.2">
      <c r="A11002" s="168">
        <v>2024</v>
      </c>
      <c r="B11002" s="168">
        <v>4</v>
      </c>
      <c r="C11002" s="168">
        <v>28</v>
      </c>
      <c r="D11002" s="141">
        <f t="shared" si="1538"/>
        <v>45410</v>
      </c>
      <c r="E11002" s="275">
        <f t="shared" si="1539"/>
        <v>45410</v>
      </c>
      <c r="F11002" s="479" t="s">
        <v>1319</v>
      </c>
      <c r="G11002" s="220" t="s">
        <v>74</v>
      </c>
      <c r="H11002" s="142" t="str" cm="1">
        <f t="array" ref="H11002">IFERROR(INDEX(INVESTOR_LIST[INVESTOR NAME],MATCH(I11002,INVESTOR_LIST[INVESTOR CODE],0),)," ")</f>
        <v xml:space="preserve"> </v>
      </c>
      <c r="I11002" s="142"/>
      <c r="J11002" s="168" t="s">
        <v>52</v>
      </c>
      <c r="K11002" s="226">
        <v>142000</v>
      </c>
      <c r="L11002" s="226"/>
    </row>
    <row r="11003" spans="1:13" x14ac:dyDescent="0.2">
      <c r="A11003" s="133">
        <v>2024</v>
      </c>
      <c r="B11003" s="133">
        <v>4</v>
      </c>
      <c r="C11003" s="133">
        <v>28</v>
      </c>
      <c r="D11003" s="141">
        <f t="shared" si="1538"/>
        <v>45410</v>
      </c>
      <c r="E11003" s="275">
        <f t="shared" si="1539"/>
        <v>45410</v>
      </c>
      <c r="F11003" s="481"/>
      <c r="G11003" s="174" t="s">
        <v>74</v>
      </c>
      <c r="H11003" s="148" t="str" cm="1">
        <f t="array" ref="H11003">IFERROR(INDEX(INVESTOR_LIST[INVESTOR NAME],MATCH(I11003,INVESTOR_LIST[INVESTOR CODE],0),)," ")</f>
        <v xml:space="preserve"> </v>
      </c>
      <c r="J11003" s="133" t="s">
        <v>13</v>
      </c>
      <c r="K11003" s="218"/>
      <c r="L11003" s="218">
        <v>122430</v>
      </c>
    </row>
    <row r="11004" spans="1:13" x14ac:dyDescent="0.2">
      <c r="A11004" s="163">
        <v>2024</v>
      </c>
      <c r="B11004" s="163">
        <v>4</v>
      </c>
      <c r="C11004" s="163">
        <v>28</v>
      </c>
      <c r="D11004" s="280">
        <f t="shared" si="1538"/>
        <v>45410</v>
      </c>
      <c r="E11004" s="281">
        <f t="shared" si="1539"/>
        <v>45410</v>
      </c>
      <c r="F11004" s="480"/>
      <c r="G11004" s="221" t="s">
        <v>74</v>
      </c>
      <c r="H11004" s="145" t="str" cm="1">
        <f t="array" ref="H11004">IFERROR(INDEX(INVESTOR_LIST[INVESTOR NAME],MATCH(I11004,INVESTOR_LIST[INVESTOR CODE],0),)," ")</f>
        <v xml:space="preserve"> </v>
      </c>
      <c r="I11004" s="145"/>
      <c r="J11004" s="163" t="s">
        <v>53</v>
      </c>
      <c r="K11004" s="219"/>
      <c r="L11004" s="219">
        <v>19570</v>
      </c>
    </row>
    <row r="11005" spans="1:13" ht="11.25" customHeight="1" x14ac:dyDescent="0.2">
      <c r="A11005" s="168">
        <v>2024</v>
      </c>
      <c r="B11005" s="168">
        <v>4</v>
      </c>
      <c r="C11005" s="168">
        <v>28</v>
      </c>
      <c r="D11005" s="141">
        <f t="shared" ref="D11005:D11012" si="1540">DATE(A11005,B11005,C11005)</f>
        <v>45410</v>
      </c>
      <c r="E11005" s="275">
        <f t="shared" ref="E11005:E11012" si="1541">DATE(A11005,B11005,C11005)</f>
        <v>45410</v>
      </c>
      <c r="F11005" s="479" t="s">
        <v>1310</v>
      </c>
      <c r="G11005" s="220" t="s">
        <v>74</v>
      </c>
      <c r="H11005" s="142" t="str" cm="1">
        <f t="array" ref="H11005">IFERROR(INDEX(INVESTOR_LIST[INVESTOR NAME],MATCH(I11005,INVESTOR_LIST[INVESTOR CODE],0),)," ")</f>
        <v>MD MIZANUR RAHMAN</v>
      </c>
      <c r="I11005" s="142" t="s">
        <v>482</v>
      </c>
      <c r="J11005" s="168" t="s">
        <v>13</v>
      </c>
      <c r="K11005" s="218">
        <v>38370</v>
      </c>
      <c r="L11005" s="226"/>
    </row>
    <row r="11006" spans="1:13" ht="11.25" customHeight="1" x14ac:dyDescent="0.2">
      <c r="A11006" s="133">
        <v>2024</v>
      </c>
      <c r="B11006" s="133">
        <v>4</v>
      </c>
      <c r="C11006" s="133">
        <v>28</v>
      </c>
      <c r="D11006" s="141">
        <f t="shared" si="1540"/>
        <v>45410</v>
      </c>
      <c r="E11006" s="275">
        <f t="shared" si="1541"/>
        <v>45410</v>
      </c>
      <c r="F11006" s="481"/>
      <c r="G11006" s="174" t="s">
        <v>74</v>
      </c>
      <c r="H11006" s="148" t="str" cm="1">
        <f t="array" ref="H11006">IFERROR(INDEX(INVESTOR_LIST[INVESTOR NAME],MATCH(I11006,INVESTOR_LIST[INVESTOR CODE],0),)," ")</f>
        <v>MD MIZANUR RAHMAN</v>
      </c>
      <c r="I11006" s="148" t="s">
        <v>482</v>
      </c>
      <c r="J11006" s="133" t="s">
        <v>53</v>
      </c>
      <c r="K11006" s="218">
        <v>6131.5299999999988</v>
      </c>
      <c r="L11006" s="133"/>
    </row>
    <row r="11007" spans="1:13" ht="11.25" customHeight="1" x14ac:dyDescent="0.2">
      <c r="A11007" s="163">
        <v>2024</v>
      </c>
      <c r="B11007" s="163">
        <v>4</v>
      </c>
      <c r="C11007" s="163">
        <v>28</v>
      </c>
      <c r="D11007" s="280">
        <f t="shared" si="1540"/>
        <v>45410</v>
      </c>
      <c r="E11007" s="281">
        <f t="shared" si="1541"/>
        <v>45410</v>
      </c>
      <c r="F11007" s="480"/>
      <c r="G11007" s="221" t="s">
        <v>74</v>
      </c>
      <c r="H11007" s="145" t="str" cm="1">
        <f t="array" ref="H11007">IFERROR(INDEX(INVESTOR_LIST[INVESTOR NAME],MATCH(I11007,INVESTOR_LIST[INVESTOR CODE],0),)," ")</f>
        <v>MD MIZANUR RAHMAN</v>
      </c>
      <c r="I11007" s="145" t="s">
        <v>482</v>
      </c>
      <c r="J11007" s="163" t="s">
        <v>52</v>
      </c>
      <c r="K11007" s="219"/>
      <c r="L11007" s="219">
        <v>44501.53</v>
      </c>
    </row>
    <row r="11008" spans="1:13" x14ac:dyDescent="0.2">
      <c r="A11008" s="168">
        <v>2024</v>
      </c>
      <c r="B11008" s="168">
        <v>4</v>
      </c>
      <c r="C11008" s="168">
        <v>28</v>
      </c>
      <c r="D11008" s="141">
        <f t="shared" si="1540"/>
        <v>45410</v>
      </c>
      <c r="E11008" s="275">
        <f t="shared" si="1541"/>
        <v>45410</v>
      </c>
      <c r="F11008" s="479" t="s">
        <v>1797</v>
      </c>
      <c r="G11008" s="220" t="s">
        <v>94</v>
      </c>
      <c r="H11008" s="220" t="str" cm="1">
        <f t="array" ref="H11008">IFERROR(INDEX(INVESTOR_LIST[INVESTOR NAME],MATCH(I11008,INVESTOR_LIST[INVESTOR CODE],0),)," ")</f>
        <v xml:space="preserve"> </v>
      </c>
      <c r="I11008" s="142"/>
      <c r="J11008" s="143" t="s">
        <v>79</v>
      </c>
      <c r="K11008" s="226">
        <v>920798.6</v>
      </c>
      <c r="L11008" s="226"/>
      <c r="M11008" s="160"/>
    </row>
    <row r="11009" spans="1:17" x14ac:dyDescent="0.2">
      <c r="A11009" s="133">
        <v>2024</v>
      </c>
      <c r="B11009" s="133">
        <v>4</v>
      </c>
      <c r="C11009" s="133">
        <v>28</v>
      </c>
      <c r="D11009" s="141">
        <f t="shared" si="1540"/>
        <v>45410</v>
      </c>
      <c r="E11009" s="275">
        <f t="shared" si="1541"/>
        <v>45410</v>
      </c>
      <c r="F11009" s="481"/>
      <c r="G11009" s="174" t="s">
        <v>94</v>
      </c>
      <c r="H11009" s="174"/>
      <c r="J11009" s="149" t="s">
        <v>80</v>
      </c>
      <c r="K11009" s="218">
        <v>1657.43</v>
      </c>
      <c r="L11009" s="218"/>
    </row>
    <row r="11010" spans="1:17" ht="10.9" customHeight="1" x14ac:dyDescent="0.2">
      <c r="A11010" s="163">
        <v>2024</v>
      </c>
      <c r="B11010" s="163">
        <v>4</v>
      </c>
      <c r="C11010" s="163">
        <v>28</v>
      </c>
      <c r="D11010" s="280">
        <f t="shared" si="1540"/>
        <v>45410</v>
      </c>
      <c r="E11010" s="281">
        <f t="shared" si="1541"/>
        <v>45410</v>
      </c>
      <c r="F11010" s="480"/>
      <c r="G11010" s="221" t="s">
        <v>94</v>
      </c>
      <c r="H11010" s="221"/>
      <c r="I11010" s="145"/>
      <c r="J11010" s="146" t="s">
        <v>147</v>
      </c>
      <c r="K11010" s="219"/>
      <c r="L11010" s="219">
        <v>922456.03</v>
      </c>
    </row>
    <row r="11011" spans="1:17" x14ac:dyDescent="0.2">
      <c r="A11011" s="133">
        <v>2024</v>
      </c>
      <c r="B11011" s="168">
        <v>4</v>
      </c>
      <c r="C11011" s="168">
        <v>28</v>
      </c>
      <c r="D11011" s="141">
        <f t="shared" si="1540"/>
        <v>45410</v>
      </c>
      <c r="E11011" s="275">
        <f t="shared" si="1541"/>
        <v>45410</v>
      </c>
      <c r="F11011" s="481" t="s">
        <v>1922</v>
      </c>
      <c r="G11011" s="174" t="s">
        <v>94</v>
      </c>
      <c r="H11011" s="174" t="str" cm="1">
        <f t="array" ref="H11011">IFERROR(INDEX(INVESTOR_LIST[INVESTOR NAME],MATCH(I11011,INVESTOR_LIST[INVESTOR CODE],0),)," ")</f>
        <v xml:space="preserve"> </v>
      </c>
      <c r="I11011" s="148" t="s">
        <v>348</v>
      </c>
      <c r="J11011" s="149" t="s">
        <v>52</v>
      </c>
      <c r="K11011" s="218">
        <v>424830</v>
      </c>
      <c r="L11011" s="218"/>
    </row>
    <row r="11012" spans="1:17" x14ac:dyDescent="0.2">
      <c r="A11012" s="163">
        <v>2024</v>
      </c>
      <c r="B11012" s="163">
        <v>4</v>
      </c>
      <c r="C11012" s="163">
        <v>28</v>
      </c>
      <c r="D11012" s="141">
        <f t="shared" si="1540"/>
        <v>45410</v>
      </c>
      <c r="E11012" s="275">
        <f t="shared" si="1541"/>
        <v>45410</v>
      </c>
      <c r="F11012" s="480"/>
      <c r="G11012" s="221" t="s">
        <v>94</v>
      </c>
      <c r="H11012" s="221" t="str" cm="1">
        <f t="array" ref="H11012">IFERROR(INDEX(INVESTOR_LIST[INVESTOR NAME],MATCH(I11012,INVESTOR_LIST[INVESTOR CODE],0),)," ")</f>
        <v xml:space="preserve"> </v>
      </c>
      <c r="I11012" s="145" t="s">
        <v>348</v>
      </c>
      <c r="J11012" s="146" t="s">
        <v>168</v>
      </c>
      <c r="K11012" s="219"/>
      <c r="L11012" s="219">
        <v>424830</v>
      </c>
    </row>
    <row r="11013" spans="1:17" ht="11.25" customHeight="1" x14ac:dyDescent="0.2">
      <c r="A11013" s="168">
        <v>2024</v>
      </c>
      <c r="B11013" s="168">
        <v>4</v>
      </c>
      <c r="C11013" s="168">
        <v>29</v>
      </c>
      <c r="D11013" s="141">
        <f>DATE(A11013,B11013,C11013)</f>
        <v>45411</v>
      </c>
      <c r="E11013" s="275">
        <f>DATE(A11013,B11013,C11013)</f>
        <v>45411</v>
      </c>
      <c r="F11013" s="479" t="s">
        <v>1310</v>
      </c>
      <c r="G11013" s="220" t="s">
        <v>74</v>
      </c>
      <c r="H11013" s="142" t="str" cm="1">
        <f t="array" ref="H11013">IFERROR(INDEX(INVESTOR_LIST[INVESTOR NAME],MATCH(I11013,INVESTOR_LIST[INVESTOR CODE],0),)," ")</f>
        <v>NASIR UDDIN BABU</v>
      </c>
      <c r="I11013" s="142" t="s">
        <v>588</v>
      </c>
      <c r="J11013" s="168" t="s">
        <v>13</v>
      </c>
      <c r="K11013" s="218">
        <v>15960</v>
      </c>
      <c r="L11013" s="226"/>
    </row>
    <row r="11014" spans="1:17" ht="11.25" customHeight="1" x14ac:dyDescent="0.2">
      <c r="A11014" s="133">
        <v>2024</v>
      </c>
      <c r="B11014" s="133">
        <v>4</v>
      </c>
      <c r="C11014" s="133">
        <v>29</v>
      </c>
      <c r="D11014" s="141">
        <f>DATE(A11014,B11014,C11014)</f>
        <v>45411</v>
      </c>
      <c r="E11014" s="275">
        <f>DATE(A11014,B11014,C11014)</f>
        <v>45411</v>
      </c>
      <c r="F11014" s="481"/>
      <c r="G11014" s="174" t="s">
        <v>74</v>
      </c>
      <c r="H11014" s="148" t="str" cm="1">
        <f t="array" ref="H11014">IFERROR(INDEX(INVESTOR_LIST[INVESTOR NAME],MATCH(I11014,INVESTOR_LIST[INVESTOR CODE],0),)," ")</f>
        <v>NASIR UDDIN BABU</v>
      </c>
      <c r="I11014" s="148" t="s">
        <v>588</v>
      </c>
      <c r="J11014" s="133" t="s">
        <v>53</v>
      </c>
      <c r="K11014" s="218">
        <v>2550.41</v>
      </c>
      <c r="L11014" s="133"/>
    </row>
    <row r="11015" spans="1:17" ht="11.25" customHeight="1" x14ac:dyDescent="0.2">
      <c r="A11015" s="163">
        <v>2024</v>
      </c>
      <c r="B11015" s="163">
        <v>4</v>
      </c>
      <c r="C11015" s="163">
        <v>29</v>
      </c>
      <c r="D11015" s="280">
        <f>DATE(A11015,B11015,C11015)</f>
        <v>45411</v>
      </c>
      <c r="E11015" s="281">
        <f>DATE(A11015,B11015,C11015)</f>
        <v>45411</v>
      </c>
      <c r="F11015" s="480"/>
      <c r="G11015" s="221" t="s">
        <v>74</v>
      </c>
      <c r="H11015" s="145" t="str" cm="1">
        <f t="array" ref="H11015">IFERROR(INDEX(INVESTOR_LIST[INVESTOR NAME],MATCH(I11015,INVESTOR_LIST[INVESTOR CODE],0),)," ")</f>
        <v>NASIR UDDIN BABU</v>
      </c>
      <c r="I11015" s="145" t="s">
        <v>588</v>
      </c>
      <c r="J11015" s="163" t="s">
        <v>52</v>
      </c>
      <c r="K11015" s="219"/>
      <c r="L11015" s="219">
        <v>18510.41</v>
      </c>
    </row>
    <row r="11016" spans="1:17" x14ac:dyDescent="0.2">
      <c r="A11016" s="168">
        <v>2024</v>
      </c>
      <c r="B11016" s="168">
        <v>4</v>
      </c>
      <c r="C11016" s="168">
        <v>29</v>
      </c>
      <c r="D11016" s="141">
        <f t="shared" ref="D11016:D11021" si="1542">DATE(A11016,B11016,C11016)</f>
        <v>45411</v>
      </c>
      <c r="E11016" s="275">
        <f t="shared" ref="E11016:E11021" si="1543">DATE(A11016,B11016,C11016)</f>
        <v>45411</v>
      </c>
      <c r="F11016" s="479" t="s">
        <v>1797</v>
      </c>
      <c r="G11016" s="220" t="s">
        <v>94</v>
      </c>
      <c r="H11016" s="220" t="str" cm="1">
        <f t="array" ref="H11016">IFERROR(INDEX(INVESTOR_LIST[INVESTOR NAME],MATCH(I11016,INVESTOR_LIST[INVESTOR CODE],0),)," ")</f>
        <v xml:space="preserve"> </v>
      </c>
      <c r="I11016" s="142"/>
      <c r="J11016" s="143" t="s">
        <v>79</v>
      </c>
      <c r="K11016" s="226">
        <v>902864.4</v>
      </c>
      <c r="L11016" s="226"/>
      <c r="M11016" s="160"/>
    </row>
    <row r="11017" spans="1:17" x14ac:dyDescent="0.2">
      <c r="A11017" s="133">
        <v>2024</v>
      </c>
      <c r="B11017" s="133">
        <v>4</v>
      </c>
      <c r="C11017" s="133">
        <v>29</v>
      </c>
      <c r="D11017" s="141">
        <f t="shared" si="1542"/>
        <v>45411</v>
      </c>
      <c r="E11017" s="275">
        <f t="shared" si="1543"/>
        <v>45411</v>
      </c>
      <c r="F11017" s="481"/>
      <c r="G11017" s="174" t="s">
        <v>94</v>
      </c>
      <c r="H11017" s="174"/>
      <c r="J11017" s="149" t="s">
        <v>80</v>
      </c>
      <c r="K11017" s="218">
        <v>1625.16</v>
      </c>
      <c r="L11017" s="218"/>
    </row>
    <row r="11018" spans="1:17" ht="10.9" customHeight="1" x14ac:dyDescent="0.2">
      <c r="A11018" s="163">
        <v>2024</v>
      </c>
      <c r="B11018" s="163">
        <v>4</v>
      </c>
      <c r="C11018" s="163">
        <v>29</v>
      </c>
      <c r="D11018" s="280">
        <f t="shared" si="1542"/>
        <v>45411</v>
      </c>
      <c r="E11018" s="281">
        <f t="shared" si="1543"/>
        <v>45411</v>
      </c>
      <c r="F11018" s="480"/>
      <c r="G11018" s="221" t="s">
        <v>94</v>
      </c>
      <c r="H11018" s="221"/>
      <c r="I11018" s="145"/>
      <c r="J11018" s="146" t="s">
        <v>147</v>
      </c>
      <c r="K11018" s="219"/>
      <c r="L11018" s="219">
        <v>904489.56</v>
      </c>
    </row>
    <row r="11019" spans="1:17" x14ac:dyDescent="0.2">
      <c r="A11019" s="133">
        <v>2024</v>
      </c>
      <c r="B11019" s="168">
        <v>4</v>
      </c>
      <c r="C11019" s="168">
        <v>29</v>
      </c>
      <c r="D11019" s="141">
        <f t="shared" si="1542"/>
        <v>45411</v>
      </c>
      <c r="E11019" s="275">
        <f t="shared" si="1543"/>
        <v>45411</v>
      </c>
      <c r="F11019" s="479" t="s">
        <v>275</v>
      </c>
      <c r="G11019" s="174" t="s">
        <v>74</v>
      </c>
      <c r="H11019" s="174" t="str" cm="1">
        <f t="array" ref="H11019">IFERROR(INDEX(INVESTOR_LIST[INVESTOR NAME],MATCH(I12506,INVESTOR_LIST[INVESTOR CODE],0),)," ")</f>
        <v xml:space="preserve"> </v>
      </c>
      <c r="I11019" s="148" t="s">
        <v>348</v>
      </c>
      <c r="J11019" s="149" t="s">
        <v>163</v>
      </c>
      <c r="K11019" s="218">
        <v>1575</v>
      </c>
      <c r="L11019" s="218"/>
      <c r="M11019" s="147"/>
      <c r="Q11019" s="133" t="s">
        <v>348</v>
      </c>
    </row>
    <row r="11020" spans="1:17" x14ac:dyDescent="0.2">
      <c r="A11020" s="133">
        <v>2024</v>
      </c>
      <c r="B11020" s="133">
        <v>4</v>
      </c>
      <c r="C11020" s="133">
        <v>29</v>
      </c>
      <c r="D11020" s="141">
        <f t="shared" si="1542"/>
        <v>45411</v>
      </c>
      <c r="E11020" s="275">
        <f t="shared" si="1543"/>
        <v>45411</v>
      </c>
      <c r="F11020" s="481"/>
      <c r="G11020" s="174" t="s">
        <v>74</v>
      </c>
      <c r="H11020" s="174"/>
      <c r="J11020" s="149" t="s">
        <v>1907</v>
      </c>
      <c r="K11020" s="218"/>
      <c r="L11020" s="218">
        <v>150</v>
      </c>
      <c r="M11020" s="147"/>
    </row>
    <row r="11021" spans="1:17" x14ac:dyDescent="0.2">
      <c r="A11021" s="163">
        <v>2024</v>
      </c>
      <c r="B11021" s="163">
        <v>4</v>
      </c>
      <c r="C11021" s="163">
        <v>29</v>
      </c>
      <c r="D11021" s="280">
        <f t="shared" si="1542"/>
        <v>45411</v>
      </c>
      <c r="E11021" s="281">
        <f t="shared" si="1543"/>
        <v>45411</v>
      </c>
      <c r="F11021" s="480"/>
      <c r="G11021" s="221" t="s">
        <v>74</v>
      </c>
      <c r="H11021" s="221" t="str" cm="1">
        <f t="array" ref="H11021">IFERROR(INDEX(INVESTOR_LIST[INVESTOR NAME],MATCH(I11021,INVESTOR_LIST[INVESTOR CODE],0),)," ")</f>
        <v xml:space="preserve"> </v>
      </c>
      <c r="I11021" s="145"/>
      <c r="J11021" s="146" t="s">
        <v>52</v>
      </c>
      <c r="K11021" s="219"/>
      <c r="L11021" s="219">
        <v>1425</v>
      </c>
      <c r="M11021" s="147"/>
      <c r="Q11021" s="133" t="s">
        <v>348</v>
      </c>
    </row>
    <row r="11022" spans="1:17" x14ac:dyDescent="0.2">
      <c r="A11022" s="133">
        <v>2024</v>
      </c>
      <c r="B11022" s="133">
        <v>4</v>
      </c>
      <c r="C11022" s="168">
        <v>29</v>
      </c>
      <c r="D11022" s="141">
        <f>DATE(A11022,B11022,C11022)</f>
        <v>45411</v>
      </c>
      <c r="E11022" s="275">
        <f>DATE(A11022,B11022,C11022)</f>
        <v>45411</v>
      </c>
      <c r="F11022" s="479" t="s">
        <v>1768</v>
      </c>
      <c r="G11022" s="220" t="s">
        <v>74</v>
      </c>
      <c r="H11022" s="220" t="str" cm="1">
        <f t="array" ref="H11022">IFERROR(INDEX(INVESTOR_LIST[INVESTOR NAME],MATCH(I11022,INVESTOR_LIST[INVESTOR CODE],0),)," ")</f>
        <v xml:space="preserve"> </v>
      </c>
      <c r="I11022" s="142"/>
      <c r="J11022" s="143" t="s">
        <v>147</v>
      </c>
      <c r="K11022" s="226">
        <v>922456.03</v>
      </c>
      <c r="L11022" s="226"/>
    </row>
    <row r="11023" spans="1:17" x14ac:dyDescent="0.2">
      <c r="A11023" s="163">
        <v>2024</v>
      </c>
      <c r="B11023" s="163">
        <v>4</v>
      </c>
      <c r="C11023" s="163">
        <v>29</v>
      </c>
      <c r="D11023" s="280">
        <f>DATE(A11023,B11023,C11023)</f>
        <v>45411</v>
      </c>
      <c r="E11023" s="281">
        <f>DATE(A11023,B11023,C11023)</f>
        <v>45411</v>
      </c>
      <c r="F11023" s="480"/>
      <c r="G11023" s="221" t="s">
        <v>74</v>
      </c>
      <c r="H11023" s="221" t="str" cm="1">
        <f t="array" ref="H11023">IFERROR(INDEX(INVESTOR_LIST[INVESTOR NAME],MATCH(I11023,INVESTOR_LIST[INVESTOR CODE],0),)," ")</f>
        <v xml:space="preserve"> </v>
      </c>
      <c r="I11023" s="145" t="s">
        <v>348</v>
      </c>
      <c r="J11023" s="146" t="s">
        <v>52</v>
      </c>
      <c r="K11023" s="219"/>
      <c r="L11023" s="219">
        <v>922456.03</v>
      </c>
    </row>
    <row r="11024" spans="1:17" x14ac:dyDescent="0.2">
      <c r="A11024" s="133">
        <v>2024</v>
      </c>
      <c r="B11024" s="133">
        <v>4</v>
      </c>
      <c r="C11024" s="168">
        <v>29</v>
      </c>
      <c r="D11024" s="141">
        <f t="shared" ref="D11024:D11025" si="1544">DATE(A11024,B11024,C11024)</f>
        <v>45411</v>
      </c>
      <c r="E11024" s="275">
        <f t="shared" ref="E11024:E11025" si="1545">DATE(A11024,B11024,C11024)</f>
        <v>45411</v>
      </c>
      <c r="F11024" s="479" t="s">
        <v>1912</v>
      </c>
      <c r="G11024" s="174" t="s">
        <v>74</v>
      </c>
      <c r="H11024" s="148" t="str" cm="1">
        <f t="array" ref="H11024">IFERROR(INDEX(INVESTOR_LIST[INVESTOR NAME],MATCH(I11024,INVESTOR_LIST[INVESTOR CODE],0),)," ")</f>
        <v xml:space="preserve"> </v>
      </c>
      <c r="I11024" s="148" t="s">
        <v>348</v>
      </c>
      <c r="J11024" s="133" t="s">
        <v>61</v>
      </c>
      <c r="K11024" s="172">
        <v>100</v>
      </c>
    </row>
    <row r="11025" spans="1:13" x14ac:dyDescent="0.2">
      <c r="A11025" s="163">
        <v>2024</v>
      </c>
      <c r="B11025" s="163">
        <v>4</v>
      </c>
      <c r="C11025" s="163">
        <v>29</v>
      </c>
      <c r="D11025" s="141">
        <f t="shared" si="1544"/>
        <v>45411</v>
      </c>
      <c r="E11025" s="275">
        <f t="shared" si="1545"/>
        <v>45411</v>
      </c>
      <c r="F11025" s="480"/>
      <c r="G11025" s="221" t="s">
        <v>74</v>
      </c>
      <c r="H11025" s="145" t="str" cm="1">
        <f t="array" ref="H11025">IFERROR(INDEX(INVESTOR_LIST[INVESTOR NAME],MATCH(I11025,INVESTOR_LIST[INVESTOR CODE],0),)," ")</f>
        <v xml:space="preserve"> </v>
      </c>
      <c r="I11025" s="145" t="s">
        <v>348</v>
      </c>
      <c r="J11025" s="163" t="s">
        <v>52</v>
      </c>
      <c r="K11025" s="219"/>
      <c r="L11025" s="219">
        <v>100</v>
      </c>
    </row>
    <row r="11026" spans="1:13" x14ac:dyDescent="0.2">
      <c r="A11026" s="133">
        <v>2024</v>
      </c>
      <c r="B11026" s="133">
        <v>4</v>
      </c>
      <c r="C11026" s="168">
        <v>29</v>
      </c>
      <c r="D11026" s="141">
        <f>DATE(A11026,B11026,C11026)</f>
        <v>45411</v>
      </c>
      <c r="E11026" s="275">
        <f>DATE(A11026,B11026,C11026)</f>
        <v>45411</v>
      </c>
      <c r="F11026" s="479" t="s">
        <v>1768</v>
      </c>
      <c r="G11026" s="220" t="s">
        <v>74</v>
      </c>
      <c r="H11026" s="220" t="str" cm="1">
        <f t="array" ref="H11026">IFERROR(INDEX(INVESTOR_LIST[INVESTOR NAME],MATCH(I11026,INVESTOR_LIST[INVESTOR CODE],0),)," ")</f>
        <v xml:space="preserve"> </v>
      </c>
      <c r="I11026" s="142"/>
      <c r="J11026" s="143" t="s">
        <v>147</v>
      </c>
      <c r="K11026" s="226">
        <v>904489.56</v>
      </c>
      <c r="L11026" s="226"/>
    </row>
    <row r="11027" spans="1:13" x14ac:dyDescent="0.2">
      <c r="A11027" s="163">
        <v>2024</v>
      </c>
      <c r="B11027" s="163">
        <v>4</v>
      </c>
      <c r="C11027" s="163">
        <v>29</v>
      </c>
      <c r="D11027" s="280">
        <f>DATE(A11027,B11027,C11027)</f>
        <v>45411</v>
      </c>
      <c r="E11027" s="281">
        <f>DATE(A11027,B11027,C11027)</f>
        <v>45411</v>
      </c>
      <c r="F11027" s="480"/>
      <c r="G11027" s="221" t="s">
        <v>74</v>
      </c>
      <c r="H11027" s="221" t="str" cm="1">
        <f t="array" ref="H11027">IFERROR(INDEX(INVESTOR_LIST[INVESTOR NAME],MATCH(I11027,INVESTOR_LIST[INVESTOR CODE],0),)," ")</f>
        <v xml:space="preserve"> </v>
      </c>
      <c r="I11027" s="145" t="s">
        <v>348</v>
      </c>
      <c r="J11027" s="146" t="s">
        <v>52</v>
      </c>
      <c r="K11027" s="219"/>
      <c r="L11027" s="219">
        <v>904489.56</v>
      </c>
    </row>
    <row r="11028" spans="1:13" x14ac:dyDescent="0.2">
      <c r="A11028" s="168">
        <v>2024</v>
      </c>
      <c r="B11028" s="133">
        <v>5</v>
      </c>
      <c r="C11028" s="133">
        <v>2</v>
      </c>
      <c r="D11028" s="141">
        <f t="shared" ref="D11028:D11029" si="1546">DATE(A11028,B11028,C11028)</f>
        <v>45414</v>
      </c>
      <c r="E11028" s="275">
        <f t="shared" ref="E11028:E11029" si="1547">DATE(A11028,B11028,C11028)</f>
        <v>45414</v>
      </c>
      <c r="F11028" s="479" t="s">
        <v>1924</v>
      </c>
      <c r="G11028" s="220" t="s">
        <v>74</v>
      </c>
      <c r="H11028" s="220" t="str" cm="1">
        <f t="array" ref="H11028">IFERROR(INDEX(INVESTOR_LIST[INVESTOR NAME],MATCH(I11028,INVESTOR_LIST[INVESTOR CODE],0),)," ")</f>
        <v xml:space="preserve"> </v>
      </c>
      <c r="I11028" s="142" t="s">
        <v>348</v>
      </c>
      <c r="J11028" s="143" t="s">
        <v>52</v>
      </c>
      <c r="K11028" s="226">
        <v>4000000</v>
      </c>
      <c r="L11028" s="226"/>
    </row>
    <row r="11029" spans="1:13" x14ac:dyDescent="0.2">
      <c r="A11029" s="163">
        <v>2024</v>
      </c>
      <c r="B11029" s="163">
        <v>5</v>
      </c>
      <c r="C11029" s="163">
        <v>2</v>
      </c>
      <c r="D11029" s="280">
        <f t="shared" si="1546"/>
        <v>45414</v>
      </c>
      <c r="E11029" s="281">
        <f t="shared" si="1547"/>
        <v>45414</v>
      </c>
      <c r="F11029" s="480"/>
      <c r="G11029" s="221" t="s">
        <v>74</v>
      </c>
      <c r="H11029" s="221" t="str" cm="1">
        <f t="array" ref="H11029">IFERROR(INDEX(INVESTOR_LIST[INVESTOR NAME],MATCH(I11029,INVESTOR_LIST[INVESTOR CODE],0),)," ")</f>
        <v xml:space="preserve"> </v>
      </c>
      <c r="I11029" s="145" t="s">
        <v>348</v>
      </c>
      <c r="J11029" s="146" t="s">
        <v>184</v>
      </c>
      <c r="K11029" s="219"/>
      <c r="L11029" s="219">
        <v>4000000</v>
      </c>
    </row>
    <row r="11030" spans="1:13" x14ac:dyDescent="0.2">
      <c r="A11030" s="343">
        <v>2024</v>
      </c>
      <c r="B11030" s="343">
        <v>5</v>
      </c>
      <c r="C11030" s="343">
        <v>2</v>
      </c>
      <c r="D11030" s="344">
        <f t="shared" ref="D11030:D11052" si="1548">DATE(A11030,B11030,C11030)</f>
        <v>45414</v>
      </c>
      <c r="E11030" s="345">
        <f t="shared" ref="E11030:E11052" si="1549">DATE(A11030,B11030,C11030)</f>
        <v>45414</v>
      </c>
      <c r="F11030" s="483" t="s">
        <v>1813</v>
      </c>
      <c r="G11030" s="350" t="s">
        <v>94</v>
      </c>
      <c r="H11030" s="350" t="str" cm="1">
        <f t="array" ref="H11030">IFERROR(INDEX(INVESTOR_LIST[INVESTOR NAME],MATCH(I11030,INVESTOR_LIST[INVESTOR CODE],0),)," ")</f>
        <v xml:space="preserve"> </v>
      </c>
      <c r="I11030" s="352" t="s">
        <v>348</v>
      </c>
      <c r="J11030" s="353" t="s">
        <v>1798</v>
      </c>
      <c r="K11030" s="354">
        <v>110311.5</v>
      </c>
      <c r="L11030" s="354"/>
    </row>
    <row r="11031" spans="1:13" x14ac:dyDescent="0.2">
      <c r="A11031" s="346">
        <v>2024</v>
      </c>
      <c r="B11031" s="346">
        <v>5</v>
      </c>
      <c r="C11031" s="346">
        <v>2</v>
      </c>
      <c r="D11031" s="344">
        <f t="shared" si="1548"/>
        <v>45414</v>
      </c>
      <c r="E11031" s="345">
        <f t="shared" si="1549"/>
        <v>45414</v>
      </c>
      <c r="F11031" s="484"/>
      <c r="G11031" s="347" t="s">
        <v>94</v>
      </c>
      <c r="H11031" s="347" t="str" cm="1">
        <f t="array" ref="H11031">IFERROR(INDEX(INVESTOR_LIST[INVESTOR NAME],MATCH(I11031,INVESTOR_LIST[INVESTOR CODE],0),)," ")</f>
        <v xml:space="preserve"> </v>
      </c>
      <c r="I11031" s="348" t="s">
        <v>348</v>
      </c>
      <c r="J11031" s="355" t="s">
        <v>1807</v>
      </c>
      <c r="K11031" s="349"/>
      <c r="L11031" s="349">
        <v>110311.5</v>
      </c>
    </row>
    <row r="11032" spans="1:13" x14ac:dyDescent="0.2">
      <c r="A11032" s="343">
        <v>2024</v>
      </c>
      <c r="B11032" s="343">
        <v>5</v>
      </c>
      <c r="C11032" s="343">
        <v>2</v>
      </c>
      <c r="D11032" s="344">
        <f t="shared" si="1548"/>
        <v>45414</v>
      </c>
      <c r="E11032" s="345">
        <f t="shared" si="1549"/>
        <v>45414</v>
      </c>
      <c r="F11032" s="483" t="s">
        <v>1913</v>
      </c>
      <c r="G11032" s="350" t="s">
        <v>94</v>
      </c>
      <c r="H11032" s="350" t="str" cm="1">
        <f t="array" ref="H11032">IFERROR(INDEX(INVESTOR_LIST[INVESTOR NAME],MATCH(I11032,INVESTOR_LIST[INVESTOR CODE],0),)," ")</f>
        <v xml:space="preserve"> </v>
      </c>
      <c r="I11032" s="352" t="s">
        <v>348</v>
      </c>
      <c r="J11032" s="353" t="s">
        <v>1799</v>
      </c>
      <c r="K11032" s="354">
        <v>33876</v>
      </c>
      <c r="L11032" s="354"/>
    </row>
    <row r="11033" spans="1:13" x14ac:dyDescent="0.2">
      <c r="A11033" s="346">
        <v>2024</v>
      </c>
      <c r="B11033" s="346">
        <v>5</v>
      </c>
      <c r="C11033" s="346">
        <v>2</v>
      </c>
      <c r="D11033" s="344">
        <f t="shared" si="1548"/>
        <v>45414</v>
      </c>
      <c r="E11033" s="345">
        <f t="shared" si="1549"/>
        <v>45414</v>
      </c>
      <c r="F11033" s="484"/>
      <c r="G11033" s="347" t="s">
        <v>94</v>
      </c>
      <c r="H11033" s="347" t="str" cm="1">
        <f t="array" ref="H11033">IFERROR(INDEX(INVESTOR_LIST[INVESTOR NAME],MATCH(I11033,INVESTOR_LIST[INVESTOR CODE],0),)," ")</f>
        <v xml:space="preserve"> </v>
      </c>
      <c r="I11033" s="348" t="s">
        <v>348</v>
      </c>
      <c r="J11033" s="355" t="s">
        <v>1808</v>
      </c>
      <c r="K11033" s="349"/>
      <c r="L11033" s="349">
        <v>33876</v>
      </c>
    </row>
    <row r="11034" spans="1:13" x14ac:dyDescent="0.2">
      <c r="A11034" s="238">
        <v>2024</v>
      </c>
      <c r="B11034" s="238">
        <v>5</v>
      </c>
      <c r="C11034" s="238">
        <v>2</v>
      </c>
      <c r="D11034" s="270">
        <f t="shared" si="1548"/>
        <v>45414</v>
      </c>
      <c r="E11034" s="279">
        <f t="shared" si="1549"/>
        <v>45414</v>
      </c>
      <c r="F11034" s="477" t="s">
        <v>347</v>
      </c>
      <c r="G11034" s="239" t="s">
        <v>94</v>
      </c>
      <c r="H11034" s="239" t="str" cm="1">
        <f t="array" ref="H11034">IFERROR(INDEX(INVESTOR_LIST[INVESTOR NAME],MATCH(I11034,INVESTOR_LIST[INVESTOR CODE],0),)," ")</f>
        <v xml:space="preserve"> </v>
      </c>
      <c r="I11034" s="262" t="s">
        <v>348</v>
      </c>
      <c r="J11034" s="240" t="s">
        <v>108</v>
      </c>
      <c r="K11034" s="241">
        <v>1037701.1900000051</v>
      </c>
      <c r="L11034" s="241"/>
    </row>
    <row r="11035" spans="1:13" x14ac:dyDescent="0.2">
      <c r="A11035" s="242">
        <v>2024</v>
      </c>
      <c r="B11035" s="242">
        <v>5</v>
      </c>
      <c r="C11035" s="242">
        <v>2</v>
      </c>
      <c r="D11035" s="270">
        <f t="shared" si="1548"/>
        <v>45414</v>
      </c>
      <c r="E11035" s="279">
        <f t="shared" si="1549"/>
        <v>45414</v>
      </c>
      <c r="F11035" s="478"/>
      <c r="G11035" s="243" t="s">
        <v>94</v>
      </c>
      <c r="H11035" s="243" t="str" cm="1">
        <f t="array" ref="H11035">IFERROR(INDEX(INVESTOR_LIST[INVESTOR NAME],MATCH(I11035,INVESTOR_LIST[INVESTOR CODE],0),)," ")</f>
        <v xml:space="preserve"> </v>
      </c>
      <c r="I11035" s="263" t="s">
        <v>348</v>
      </c>
      <c r="J11035" s="244" t="s">
        <v>82</v>
      </c>
      <c r="K11035" s="245"/>
      <c r="L11035" s="245">
        <v>1037701.1900000051</v>
      </c>
    </row>
    <row r="11036" spans="1:13" ht="12.75" customHeight="1" x14ac:dyDescent="0.2">
      <c r="A11036" s="246">
        <v>2024</v>
      </c>
      <c r="B11036" s="238">
        <v>5</v>
      </c>
      <c r="C11036" s="238">
        <v>2</v>
      </c>
      <c r="D11036" s="270">
        <f t="shared" si="1548"/>
        <v>45414</v>
      </c>
      <c r="E11036" s="279">
        <f t="shared" si="1549"/>
        <v>45414</v>
      </c>
      <c r="F11036" s="482" t="s">
        <v>148</v>
      </c>
      <c r="G11036" s="247" t="s">
        <v>94</v>
      </c>
      <c r="H11036" s="247" t="str" cm="1">
        <f t="array" ref="H11036">IFERROR(INDEX(INVESTOR_LIST[INVESTOR NAME],MATCH(I11036,INVESTOR_LIST[INVESTOR CODE],0),)," ")</f>
        <v xml:space="preserve"> </v>
      </c>
      <c r="I11036" s="248" t="s">
        <v>348</v>
      </c>
      <c r="J11036" s="249" t="s">
        <v>95</v>
      </c>
      <c r="K11036" s="250">
        <v>2747.2527472527472</v>
      </c>
      <c r="L11036" s="241"/>
    </row>
    <row r="11037" spans="1:13" x14ac:dyDescent="0.2">
      <c r="A11037" s="242">
        <v>2024</v>
      </c>
      <c r="B11037" s="242">
        <v>5</v>
      </c>
      <c r="C11037" s="242">
        <v>2</v>
      </c>
      <c r="D11037" s="270">
        <f t="shared" si="1548"/>
        <v>45414</v>
      </c>
      <c r="E11037" s="279">
        <f t="shared" si="1549"/>
        <v>45414</v>
      </c>
      <c r="F11037" s="478"/>
      <c r="G11037" s="243" t="s">
        <v>94</v>
      </c>
      <c r="H11037" s="243" t="str" cm="1">
        <f t="array" ref="H11037">IFERROR(INDEX(INVESTOR_LIST[INVESTOR NAME],MATCH(I11037,INVESTOR_LIST[INVESTOR CODE],0),)," ")</f>
        <v xml:space="preserve"> </v>
      </c>
      <c r="I11037" s="263" t="s">
        <v>348</v>
      </c>
      <c r="J11037" s="244" t="s">
        <v>63</v>
      </c>
      <c r="K11037" s="245"/>
      <c r="L11037" s="245">
        <v>2747.2527472527472</v>
      </c>
    </row>
    <row r="11038" spans="1:13" x14ac:dyDescent="0.2">
      <c r="A11038" s="246">
        <v>2024</v>
      </c>
      <c r="B11038" s="238">
        <v>5</v>
      </c>
      <c r="C11038" s="238">
        <v>2</v>
      </c>
      <c r="D11038" s="270">
        <f t="shared" si="1548"/>
        <v>45414</v>
      </c>
      <c r="E11038" s="279">
        <f t="shared" si="1549"/>
        <v>45414</v>
      </c>
      <c r="F11038" s="482" t="s">
        <v>137</v>
      </c>
      <c r="G11038" s="247" t="s">
        <v>94</v>
      </c>
      <c r="H11038" s="247" t="str" cm="1">
        <f t="array" ref="H11038">IFERROR(INDEX(INVESTOR_LIST[INVESTOR NAME],MATCH(I11038,INVESTOR_LIST[INVESTOR CODE],0),)," ")</f>
        <v xml:space="preserve"> </v>
      </c>
      <c r="I11038" s="248" t="s">
        <v>348</v>
      </c>
      <c r="J11038" s="249" t="s">
        <v>97</v>
      </c>
      <c r="K11038" s="250">
        <f>M11038</f>
        <v>53686.389894423643</v>
      </c>
      <c r="L11038" s="252"/>
      <c r="M11038" s="264">
        <v>53686.389894423643</v>
      </c>
    </row>
    <row r="11039" spans="1:13" x14ac:dyDescent="0.2">
      <c r="A11039" s="242">
        <v>2024</v>
      </c>
      <c r="B11039" s="242">
        <v>5</v>
      </c>
      <c r="C11039" s="242">
        <v>2</v>
      </c>
      <c r="D11039" s="270">
        <f t="shared" si="1548"/>
        <v>45414</v>
      </c>
      <c r="E11039" s="279">
        <f t="shared" si="1549"/>
        <v>45414</v>
      </c>
      <c r="F11039" s="478"/>
      <c r="G11039" s="243" t="s">
        <v>94</v>
      </c>
      <c r="H11039" s="243" t="str" cm="1">
        <f t="array" ref="H11039">IFERROR(INDEX(INVESTOR_LIST[INVESTOR NAME],MATCH(I11039,INVESTOR_LIST[INVESTOR CODE],0),)," ")</f>
        <v xml:space="preserve"> </v>
      </c>
      <c r="I11039" s="263" t="s">
        <v>348</v>
      </c>
      <c r="J11039" s="244" t="s">
        <v>47</v>
      </c>
      <c r="K11039" s="245"/>
      <c r="L11039" s="245">
        <f>K11038</f>
        <v>53686.389894423643</v>
      </c>
      <c r="M11039" s="264">
        <v>2443.9348793365666</v>
      </c>
    </row>
    <row r="11040" spans="1:13" x14ac:dyDescent="0.2">
      <c r="A11040" s="246">
        <v>2024</v>
      </c>
      <c r="B11040" s="238">
        <v>5</v>
      </c>
      <c r="C11040" s="238">
        <v>2</v>
      </c>
      <c r="D11040" s="270">
        <f t="shared" si="1548"/>
        <v>45414</v>
      </c>
      <c r="E11040" s="279">
        <f t="shared" si="1549"/>
        <v>45414</v>
      </c>
      <c r="F11040" s="482" t="s">
        <v>138</v>
      </c>
      <c r="G11040" s="247" t="s">
        <v>94</v>
      </c>
      <c r="H11040" s="247" t="str" cm="1">
        <f t="array" ref="H11040">IFERROR(INDEX(INVESTOR_LIST[INVESTOR NAME],MATCH(I11040,INVESTOR_LIST[INVESTOR CODE],0),)," ")</f>
        <v xml:space="preserve"> </v>
      </c>
      <c r="I11040" s="248" t="s">
        <v>348</v>
      </c>
      <c r="J11040" s="249" t="s">
        <v>100</v>
      </c>
      <c r="K11040" s="250">
        <f>M11039</f>
        <v>2443.9348793365666</v>
      </c>
      <c r="L11040" s="252"/>
    </row>
    <row r="11041" spans="1:12" x14ac:dyDescent="0.2">
      <c r="A11041" s="242">
        <v>2024</v>
      </c>
      <c r="B11041" s="242">
        <v>5</v>
      </c>
      <c r="C11041" s="242">
        <v>2</v>
      </c>
      <c r="D11041" s="321">
        <f t="shared" si="1548"/>
        <v>45414</v>
      </c>
      <c r="E11041" s="322">
        <f t="shared" si="1549"/>
        <v>45414</v>
      </c>
      <c r="F11041" s="478"/>
      <c r="G11041" s="243" t="s">
        <v>94</v>
      </c>
      <c r="H11041" s="243" t="str" cm="1">
        <f t="array" ref="H11041">IFERROR(INDEX(INVESTOR_LIST[INVESTOR NAME],MATCH(I11041,INVESTOR_LIST[INVESTOR CODE],0),)," ")</f>
        <v xml:space="preserve"> </v>
      </c>
      <c r="I11041" s="263" t="s">
        <v>348</v>
      </c>
      <c r="J11041" s="244" t="s">
        <v>48</v>
      </c>
      <c r="K11041" s="245"/>
      <c r="L11041" s="245">
        <f>K11040</f>
        <v>2443.9348793365666</v>
      </c>
    </row>
    <row r="11042" spans="1:12" x14ac:dyDescent="0.2">
      <c r="A11042" s="168">
        <v>2024</v>
      </c>
      <c r="B11042" s="168">
        <v>5</v>
      </c>
      <c r="C11042" s="168">
        <v>5</v>
      </c>
      <c r="D11042" s="141">
        <f t="shared" si="1548"/>
        <v>45417</v>
      </c>
      <c r="E11042" s="275">
        <f t="shared" si="1549"/>
        <v>45417</v>
      </c>
      <c r="F11042" s="479" t="s">
        <v>1319</v>
      </c>
      <c r="G11042" s="220" t="s">
        <v>74</v>
      </c>
      <c r="H11042" s="142" t="str" cm="1">
        <f t="array" ref="H11042">IFERROR(INDEX(INVESTOR_LIST[INVESTOR NAME],MATCH(I11042,INVESTOR_LIST[INVESTOR CODE],0),)," ")</f>
        <v xml:space="preserve"> </v>
      </c>
      <c r="I11042" s="142"/>
      <c r="J11042" s="168" t="s">
        <v>52</v>
      </c>
      <c r="K11042" s="226">
        <v>55500</v>
      </c>
      <c r="L11042" s="226"/>
    </row>
    <row r="11043" spans="1:12" x14ac:dyDescent="0.2">
      <c r="A11043" s="133">
        <v>2024</v>
      </c>
      <c r="B11043" s="133">
        <v>5</v>
      </c>
      <c r="C11043" s="133">
        <v>5</v>
      </c>
      <c r="D11043" s="141">
        <f t="shared" si="1548"/>
        <v>45417</v>
      </c>
      <c r="E11043" s="275">
        <f t="shared" si="1549"/>
        <v>45417</v>
      </c>
      <c r="F11043" s="481"/>
      <c r="G11043" s="174" t="s">
        <v>74</v>
      </c>
      <c r="H11043" s="148" t="str" cm="1">
        <f t="array" ref="H11043">IFERROR(INDEX(INVESTOR_LIST[INVESTOR NAME],MATCH(I11043,INVESTOR_LIST[INVESTOR CODE],0),)," ")</f>
        <v xml:space="preserve"> </v>
      </c>
      <c r="J11043" s="133" t="s">
        <v>13</v>
      </c>
      <c r="K11043" s="218"/>
      <c r="L11043" s="218">
        <v>47440</v>
      </c>
    </row>
    <row r="11044" spans="1:12" x14ac:dyDescent="0.2">
      <c r="A11044" s="163">
        <v>2024</v>
      </c>
      <c r="B11044" s="163">
        <v>5</v>
      </c>
      <c r="C11044" s="163">
        <v>5</v>
      </c>
      <c r="D11044" s="280">
        <f t="shared" si="1548"/>
        <v>45417</v>
      </c>
      <c r="E11044" s="281">
        <f t="shared" si="1549"/>
        <v>45417</v>
      </c>
      <c r="F11044" s="480"/>
      <c r="G11044" s="221" t="s">
        <v>74</v>
      </c>
      <c r="H11044" s="145" t="str" cm="1">
        <f t="array" ref="H11044">IFERROR(INDEX(INVESTOR_LIST[INVESTOR NAME],MATCH(I11044,INVESTOR_LIST[INVESTOR CODE],0),)," ")</f>
        <v xml:space="preserve"> </v>
      </c>
      <c r="I11044" s="145"/>
      <c r="J11044" s="163" t="s">
        <v>53</v>
      </c>
      <c r="K11044" s="219"/>
      <c r="L11044" s="219">
        <v>8060</v>
      </c>
    </row>
    <row r="11045" spans="1:12" x14ac:dyDescent="0.2">
      <c r="A11045" s="133">
        <v>2024</v>
      </c>
      <c r="B11045" s="168">
        <v>5</v>
      </c>
      <c r="C11045" s="168">
        <v>5</v>
      </c>
      <c r="D11045" s="141">
        <f t="shared" si="1548"/>
        <v>45417</v>
      </c>
      <c r="E11045" s="275">
        <f t="shared" si="1549"/>
        <v>45417</v>
      </c>
      <c r="F11045" s="481" t="s">
        <v>1923</v>
      </c>
      <c r="G11045" s="174" t="s">
        <v>94</v>
      </c>
      <c r="H11045" s="174" t="str" cm="1">
        <f t="array" ref="H11045">IFERROR(INDEX(INVESTOR_LIST[INVESTOR NAME],MATCH(I11045,INVESTOR_LIST[INVESTOR CODE],0),)," ")</f>
        <v xml:space="preserve"> </v>
      </c>
      <c r="I11045" s="148" t="s">
        <v>348</v>
      </c>
      <c r="J11045" s="149" t="s">
        <v>52</v>
      </c>
      <c r="K11045" s="218">
        <v>100000</v>
      </c>
      <c r="L11045" s="218"/>
    </row>
    <row r="11046" spans="1:12" x14ac:dyDescent="0.2">
      <c r="A11046" s="163">
        <v>2024</v>
      </c>
      <c r="B11046" s="163">
        <v>5</v>
      </c>
      <c r="C11046" s="163">
        <v>5</v>
      </c>
      <c r="D11046" s="141">
        <f t="shared" si="1548"/>
        <v>45417</v>
      </c>
      <c r="E11046" s="275">
        <f t="shared" si="1549"/>
        <v>45417</v>
      </c>
      <c r="F11046" s="480"/>
      <c r="G11046" s="221" t="s">
        <v>94</v>
      </c>
      <c r="H11046" s="221" t="str" cm="1">
        <f t="array" ref="H11046">IFERROR(INDEX(INVESTOR_LIST[INVESTOR NAME],MATCH(I11046,INVESTOR_LIST[INVESTOR CODE],0),)," ")</f>
        <v xml:space="preserve"> </v>
      </c>
      <c r="I11046" s="145" t="s">
        <v>348</v>
      </c>
      <c r="J11046" s="146" t="s">
        <v>168</v>
      </c>
      <c r="K11046" s="219"/>
      <c r="L11046" s="219">
        <v>100000</v>
      </c>
    </row>
    <row r="11047" spans="1:12" x14ac:dyDescent="0.2">
      <c r="A11047" s="168">
        <v>2024</v>
      </c>
      <c r="B11047" s="168">
        <v>5</v>
      </c>
      <c r="C11047" s="168">
        <v>5</v>
      </c>
      <c r="D11047" s="141">
        <f t="shared" si="1548"/>
        <v>45417</v>
      </c>
      <c r="E11047" s="275">
        <f t="shared" si="1549"/>
        <v>45417</v>
      </c>
      <c r="F11047" s="479" t="s">
        <v>1925</v>
      </c>
      <c r="G11047" s="220" t="s">
        <v>74</v>
      </c>
      <c r="H11047" s="220" t="str" cm="1">
        <f t="array" ref="H11047">IFERROR(INDEX(INVESTOR_LIST[INVESTOR NAME],MATCH(I11047,INVESTOR_LIST[INVESTOR CODE],0),)," ")</f>
        <v xml:space="preserve"> </v>
      </c>
      <c r="I11047" s="142" t="s">
        <v>348</v>
      </c>
      <c r="J11047" s="143" t="s">
        <v>79</v>
      </c>
      <c r="K11047" s="226">
        <v>25760</v>
      </c>
      <c r="L11047" s="226"/>
    </row>
    <row r="11048" spans="1:12" x14ac:dyDescent="0.2">
      <c r="A11048" s="133">
        <v>2024</v>
      </c>
      <c r="B11048" s="133">
        <v>5</v>
      </c>
      <c r="C11048" s="133">
        <v>5</v>
      </c>
      <c r="D11048" s="141">
        <f t="shared" ref="D11048" si="1550">DATE(A11048,B11048,C11048)</f>
        <v>45417</v>
      </c>
      <c r="E11048" s="275">
        <f t="shared" ref="E11048" si="1551">DATE(A11048,B11048,C11048)</f>
        <v>45417</v>
      </c>
      <c r="F11048" s="481"/>
      <c r="G11048" s="174" t="s">
        <v>74</v>
      </c>
      <c r="H11048" s="174"/>
      <c r="J11048" s="149" t="s">
        <v>52</v>
      </c>
      <c r="K11048" s="218">
        <v>2374240</v>
      </c>
      <c r="L11048" s="218"/>
    </row>
    <row r="11049" spans="1:12" x14ac:dyDescent="0.2">
      <c r="A11049" s="163">
        <v>2024</v>
      </c>
      <c r="B11049" s="163">
        <v>5</v>
      </c>
      <c r="C11049" s="163">
        <v>5</v>
      </c>
      <c r="D11049" s="280">
        <f t="shared" si="1548"/>
        <v>45417</v>
      </c>
      <c r="E11049" s="281">
        <f t="shared" si="1549"/>
        <v>45417</v>
      </c>
      <c r="F11049" s="480"/>
      <c r="G11049" s="221" t="s">
        <v>74</v>
      </c>
      <c r="H11049" s="221" t="str" cm="1">
        <f t="array" ref="H11049">IFERROR(INDEX(INVESTOR_LIST[INVESTOR NAME],MATCH(I11049,INVESTOR_LIST[INVESTOR CODE],0),)," ")</f>
        <v xml:space="preserve"> </v>
      </c>
      <c r="I11049" s="145" t="s">
        <v>348</v>
      </c>
      <c r="J11049" s="146" t="s">
        <v>184</v>
      </c>
      <c r="K11049" s="219"/>
      <c r="L11049" s="219">
        <v>2400000</v>
      </c>
    </row>
    <row r="11050" spans="1:12" ht="11.25" customHeight="1" x14ac:dyDescent="0.2">
      <c r="A11050" s="168">
        <v>2024</v>
      </c>
      <c r="B11050" s="168">
        <v>5</v>
      </c>
      <c r="C11050" s="168">
        <v>6</v>
      </c>
      <c r="D11050" s="141">
        <f t="shared" si="1548"/>
        <v>45418</v>
      </c>
      <c r="E11050" s="275">
        <f t="shared" si="1549"/>
        <v>45418</v>
      </c>
      <c r="F11050" s="479" t="s">
        <v>965</v>
      </c>
      <c r="G11050" s="220" t="s">
        <v>74</v>
      </c>
      <c r="H11050" s="142" t="str" cm="1">
        <f t="array" ref="H11050">IFERROR(INDEX(INVESTOR_LIST[INVESTOR NAME],MATCH(I11050,INVESTOR_LIST[INVESTOR CODE],0),)," ")</f>
        <v>MST. NASIRA KHATUN</v>
      </c>
      <c r="I11050" s="142" t="s">
        <v>926</v>
      </c>
      <c r="J11050" s="168" t="s">
        <v>13</v>
      </c>
      <c r="K11050" s="218">
        <v>66490</v>
      </c>
      <c r="L11050" s="226"/>
    </row>
    <row r="11051" spans="1:12" ht="11.25" customHeight="1" x14ac:dyDescent="0.2">
      <c r="A11051" s="133">
        <v>2024</v>
      </c>
      <c r="B11051" s="133">
        <v>5</v>
      </c>
      <c r="C11051" s="133">
        <v>6</v>
      </c>
      <c r="D11051" s="141">
        <f t="shared" si="1548"/>
        <v>45418</v>
      </c>
      <c r="E11051" s="275">
        <f t="shared" si="1549"/>
        <v>45418</v>
      </c>
      <c r="F11051" s="481"/>
      <c r="G11051" s="174" t="s">
        <v>74</v>
      </c>
      <c r="H11051" s="148" t="str" cm="1">
        <f t="array" ref="H11051">IFERROR(INDEX(INVESTOR_LIST[INVESTOR NAME],MATCH(I11051,INVESTOR_LIST[INVESTOR CODE],0),)," ")</f>
        <v>MST. NASIRA KHATUN</v>
      </c>
      <c r="I11051" s="148" t="s">
        <v>926</v>
      </c>
      <c r="J11051" s="133" t="s">
        <v>53</v>
      </c>
      <c r="K11051" s="218">
        <v>11309.949999999997</v>
      </c>
      <c r="L11051" s="133"/>
    </row>
    <row r="11052" spans="1:12" ht="11.25" customHeight="1" x14ac:dyDescent="0.2">
      <c r="A11052" s="163">
        <v>2024</v>
      </c>
      <c r="B11052" s="163">
        <v>5</v>
      </c>
      <c r="C11052" s="163">
        <v>6</v>
      </c>
      <c r="D11052" s="280">
        <f t="shared" si="1548"/>
        <v>45418</v>
      </c>
      <c r="E11052" s="281">
        <f t="shared" si="1549"/>
        <v>45418</v>
      </c>
      <c r="F11052" s="480"/>
      <c r="G11052" s="221" t="s">
        <v>74</v>
      </c>
      <c r="H11052" s="145" t="str" cm="1">
        <f t="array" ref="H11052">IFERROR(INDEX(INVESTOR_LIST[INVESTOR NAME],MATCH(I11052,INVESTOR_LIST[INVESTOR CODE],0),)," ")</f>
        <v>MST. NASIRA KHATUN</v>
      </c>
      <c r="I11052" s="145" t="s">
        <v>926</v>
      </c>
      <c r="J11052" s="163" t="s">
        <v>52</v>
      </c>
      <c r="K11052" s="219"/>
      <c r="L11052" s="219">
        <v>77799.95</v>
      </c>
    </row>
    <row r="11053" spans="1:12" ht="11.25" customHeight="1" x14ac:dyDescent="0.2">
      <c r="A11053" s="168">
        <v>2024</v>
      </c>
      <c r="B11053" s="168">
        <v>5</v>
      </c>
      <c r="C11053" s="168">
        <v>6</v>
      </c>
      <c r="D11053" s="141">
        <f t="shared" ref="D11053:D11055" si="1552">DATE(A11053,B11053,C11053)</f>
        <v>45418</v>
      </c>
      <c r="E11053" s="275">
        <f t="shared" ref="E11053:E11055" si="1553">DATE(A11053,B11053,C11053)</f>
        <v>45418</v>
      </c>
      <c r="F11053" s="479" t="s">
        <v>965</v>
      </c>
      <c r="G11053" s="220" t="s">
        <v>74</v>
      </c>
      <c r="H11053" s="142" t="str" cm="1">
        <f t="array" ref="H11053">IFERROR(INDEX(INVESTOR_LIST[INVESTOR NAME],MATCH(I11053,INVESTOR_LIST[INVESTOR CODE],0),)," ")</f>
        <v>NARGISH JAHAN</v>
      </c>
      <c r="I11053" s="142" t="s">
        <v>457</v>
      </c>
      <c r="J11053" s="168" t="s">
        <v>13</v>
      </c>
      <c r="K11053" s="218">
        <v>199750</v>
      </c>
      <c r="L11053" s="226"/>
    </row>
    <row r="11054" spans="1:12" ht="11.25" customHeight="1" x14ac:dyDescent="0.2">
      <c r="A11054" s="133">
        <v>2024</v>
      </c>
      <c r="B11054" s="133">
        <v>5</v>
      </c>
      <c r="C11054" s="133">
        <v>6</v>
      </c>
      <c r="D11054" s="141">
        <f t="shared" si="1552"/>
        <v>45418</v>
      </c>
      <c r="E11054" s="275">
        <f t="shared" si="1553"/>
        <v>45418</v>
      </c>
      <c r="F11054" s="481"/>
      <c r="G11054" s="174" t="s">
        <v>74</v>
      </c>
      <c r="H11054" s="148" t="str" cm="1">
        <f t="array" ref="H11054">IFERROR(INDEX(INVESTOR_LIST[INVESTOR NAME],MATCH(I11054,INVESTOR_LIST[INVESTOR CODE],0),)," ")</f>
        <v>NARGISH JAHAN</v>
      </c>
      <c r="I11054" s="148" t="s">
        <v>457</v>
      </c>
      <c r="J11054" s="133" t="s">
        <v>53</v>
      </c>
      <c r="K11054" s="218">
        <v>33978.790000000008</v>
      </c>
      <c r="L11054" s="133"/>
    </row>
    <row r="11055" spans="1:12" ht="11.25" customHeight="1" x14ac:dyDescent="0.2">
      <c r="A11055" s="163">
        <v>2024</v>
      </c>
      <c r="B11055" s="163">
        <v>5</v>
      </c>
      <c r="C11055" s="163">
        <v>6</v>
      </c>
      <c r="D11055" s="280">
        <f t="shared" si="1552"/>
        <v>45418</v>
      </c>
      <c r="E11055" s="281">
        <f t="shared" si="1553"/>
        <v>45418</v>
      </c>
      <c r="F11055" s="480"/>
      <c r="G11055" s="221" t="s">
        <v>74</v>
      </c>
      <c r="H11055" s="145" t="str" cm="1">
        <f t="array" ref="H11055">IFERROR(INDEX(INVESTOR_LIST[INVESTOR NAME],MATCH(I11055,INVESTOR_LIST[INVESTOR CODE],0),)," ")</f>
        <v>NARGISH JAHAN</v>
      </c>
      <c r="I11055" s="145" t="s">
        <v>457</v>
      </c>
      <c r="J11055" s="163" t="s">
        <v>52</v>
      </c>
      <c r="K11055" s="219"/>
      <c r="L11055" s="219">
        <v>233728.79</v>
      </c>
    </row>
    <row r="11056" spans="1:12" ht="11.25" customHeight="1" x14ac:dyDescent="0.2">
      <c r="A11056" s="168">
        <v>2024</v>
      </c>
      <c r="B11056" s="168">
        <v>5</v>
      </c>
      <c r="C11056" s="168">
        <v>6</v>
      </c>
      <c r="D11056" s="141">
        <f t="shared" ref="D11056:D11058" si="1554">DATE(A11056,B11056,C11056)</f>
        <v>45418</v>
      </c>
      <c r="E11056" s="275">
        <f t="shared" ref="E11056:E11058" si="1555">DATE(A11056,B11056,C11056)</f>
        <v>45418</v>
      </c>
      <c r="F11056" s="479" t="s">
        <v>1310</v>
      </c>
      <c r="G11056" s="220" t="s">
        <v>74</v>
      </c>
      <c r="H11056" s="142" t="str" cm="1">
        <f t="array" ref="H11056">IFERROR(INDEX(INVESTOR_LIST[INVESTOR NAME],MATCH(I11056,INVESTOR_LIST[INVESTOR CODE],0),)," ")</f>
        <v>HASINA JANNAT</v>
      </c>
      <c r="I11056" s="142" t="s">
        <v>741</v>
      </c>
      <c r="J11056" s="168" t="s">
        <v>13</v>
      </c>
      <c r="K11056" s="218">
        <v>50650</v>
      </c>
      <c r="L11056" s="226"/>
    </row>
    <row r="11057" spans="1:17" ht="11.25" customHeight="1" x14ac:dyDescent="0.2">
      <c r="A11057" s="133">
        <v>2024</v>
      </c>
      <c r="B11057" s="133">
        <v>5</v>
      </c>
      <c r="C11057" s="133">
        <v>6</v>
      </c>
      <c r="D11057" s="141">
        <f t="shared" si="1554"/>
        <v>45418</v>
      </c>
      <c r="E11057" s="275">
        <f t="shared" si="1555"/>
        <v>45418</v>
      </c>
      <c r="F11057" s="481"/>
      <c r="G11057" s="174" t="s">
        <v>74</v>
      </c>
      <c r="H11057" s="148" t="str" cm="1">
        <f t="array" ref="H11057">IFERROR(INDEX(INVESTOR_LIST[INVESTOR NAME],MATCH(I11057,INVESTOR_LIST[INVESTOR CODE],0),)," ")</f>
        <v>HASINA JANNAT</v>
      </c>
      <c r="I11057" s="148" t="s">
        <v>741</v>
      </c>
      <c r="J11057" s="133" t="s">
        <v>53</v>
      </c>
      <c r="K11057" s="218">
        <v>8615.57</v>
      </c>
      <c r="L11057" s="133"/>
    </row>
    <row r="11058" spans="1:17" ht="11.25" customHeight="1" x14ac:dyDescent="0.2">
      <c r="A11058" s="163">
        <v>2024</v>
      </c>
      <c r="B11058" s="163">
        <v>5</v>
      </c>
      <c r="C11058" s="163">
        <v>6</v>
      </c>
      <c r="D11058" s="280">
        <f t="shared" si="1554"/>
        <v>45418</v>
      </c>
      <c r="E11058" s="281">
        <f t="shared" si="1555"/>
        <v>45418</v>
      </c>
      <c r="F11058" s="480"/>
      <c r="G11058" s="221" t="s">
        <v>74</v>
      </c>
      <c r="H11058" s="145" t="str" cm="1">
        <f t="array" ref="H11058">IFERROR(INDEX(INVESTOR_LIST[INVESTOR NAME],MATCH(I11058,INVESTOR_LIST[INVESTOR CODE],0),)," ")</f>
        <v>HASINA JANNAT</v>
      </c>
      <c r="I11058" s="145" t="s">
        <v>741</v>
      </c>
      <c r="J11058" s="163" t="s">
        <v>52</v>
      </c>
      <c r="K11058" s="219"/>
      <c r="L11058" s="219">
        <v>59265.57</v>
      </c>
    </row>
    <row r="11059" spans="1:17" ht="11.25" customHeight="1" x14ac:dyDescent="0.2">
      <c r="A11059" s="168">
        <v>2024</v>
      </c>
      <c r="B11059" s="168">
        <v>5</v>
      </c>
      <c r="C11059" s="168">
        <v>6</v>
      </c>
      <c r="D11059" s="141">
        <f t="shared" ref="D11059:D11073" si="1556">DATE(A11059,B11059,C11059)</f>
        <v>45418</v>
      </c>
      <c r="E11059" s="275">
        <f t="shared" ref="E11059:E11073" si="1557">DATE(A11059,B11059,C11059)</f>
        <v>45418</v>
      </c>
      <c r="F11059" s="479" t="s">
        <v>1310</v>
      </c>
      <c r="G11059" s="220" t="s">
        <v>74</v>
      </c>
      <c r="H11059" s="142" t="str" cm="1">
        <f t="array" ref="H11059">IFERROR(INDEX(INVESTOR_LIST[INVESTOR NAME],MATCH(I11059,INVESTOR_LIST[INVESTOR CODE],0),)," ")</f>
        <v>NARGISH JAHAN</v>
      </c>
      <c r="I11059" s="142" t="s">
        <v>457</v>
      </c>
      <c r="J11059" s="168" t="s">
        <v>13</v>
      </c>
      <c r="K11059" s="218">
        <v>142100</v>
      </c>
      <c r="L11059" s="226"/>
    </row>
    <row r="11060" spans="1:17" ht="11.25" customHeight="1" x14ac:dyDescent="0.2">
      <c r="A11060" s="133">
        <v>2024</v>
      </c>
      <c r="B11060" s="133">
        <v>5</v>
      </c>
      <c r="C11060" s="133">
        <v>6</v>
      </c>
      <c r="D11060" s="141">
        <f t="shared" si="1556"/>
        <v>45418</v>
      </c>
      <c r="E11060" s="275">
        <f t="shared" si="1557"/>
        <v>45418</v>
      </c>
      <c r="F11060" s="481"/>
      <c r="G11060" s="174" t="s">
        <v>74</v>
      </c>
      <c r="H11060" s="148" t="str" cm="1">
        <f t="array" ref="H11060">IFERROR(INDEX(INVESTOR_LIST[INVESTOR NAME],MATCH(I11060,INVESTOR_LIST[INVESTOR CODE],0),)," ")</f>
        <v>NARGISH JAHAN</v>
      </c>
      <c r="I11060" s="148" t="s">
        <v>457</v>
      </c>
      <c r="J11060" s="133" t="s">
        <v>53</v>
      </c>
      <c r="K11060" s="218">
        <v>24171.210000000021</v>
      </c>
      <c r="L11060" s="133"/>
    </row>
    <row r="11061" spans="1:17" ht="11.25" customHeight="1" x14ac:dyDescent="0.2">
      <c r="A11061" s="163">
        <v>2024</v>
      </c>
      <c r="B11061" s="163">
        <v>5</v>
      </c>
      <c r="C11061" s="163">
        <v>6</v>
      </c>
      <c r="D11061" s="280">
        <f t="shared" si="1556"/>
        <v>45418</v>
      </c>
      <c r="E11061" s="281">
        <f t="shared" si="1557"/>
        <v>45418</v>
      </c>
      <c r="F11061" s="480"/>
      <c r="G11061" s="221" t="s">
        <v>74</v>
      </c>
      <c r="H11061" s="145" t="str" cm="1">
        <f t="array" ref="H11061">IFERROR(INDEX(INVESTOR_LIST[INVESTOR NAME],MATCH(I11061,INVESTOR_LIST[INVESTOR CODE],0),)," ")</f>
        <v>NARGISH JAHAN</v>
      </c>
      <c r="I11061" s="145" t="s">
        <v>457</v>
      </c>
      <c r="J11061" s="163" t="s">
        <v>52</v>
      </c>
      <c r="K11061" s="219"/>
      <c r="L11061" s="219">
        <v>166271.21000000002</v>
      </c>
    </row>
    <row r="11062" spans="1:17" ht="11.25" customHeight="1" x14ac:dyDescent="0.2">
      <c r="A11062" s="168">
        <v>2024</v>
      </c>
      <c r="B11062" s="168">
        <v>5</v>
      </c>
      <c r="C11062" s="168">
        <v>6</v>
      </c>
      <c r="D11062" s="141">
        <f t="shared" si="1556"/>
        <v>45418</v>
      </c>
      <c r="E11062" s="275">
        <f t="shared" si="1557"/>
        <v>45418</v>
      </c>
      <c r="F11062" s="479" t="s">
        <v>965</v>
      </c>
      <c r="G11062" s="220" t="s">
        <v>74</v>
      </c>
      <c r="H11062" s="142" t="str" cm="1">
        <f t="array" ref="H11062">IFERROR(INDEX(INVESTOR_LIST[INVESTOR NAME],MATCH(I11062,INVESTOR_LIST[INVESTOR CODE],0),)," ")</f>
        <v>HASINA JANNAT</v>
      </c>
      <c r="I11062" s="142" t="s">
        <v>741</v>
      </c>
      <c r="J11062" s="168" t="s">
        <v>13</v>
      </c>
      <c r="K11062" s="218">
        <v>150200</v>
      </c>
      <c r="L11062" s="226"/>
    </row>
    <row r="11063" spans="1:17" ht="11.25" customHeight="1" x14ac:dyDescent="0.2">
      <c r="A11063" s="133">
        <v>2024</v>
      </c>
      <c r="B11063" s="133">
        <v>5</v>
      </c>
      <c r="C11063" s="133">
        <v>6</v>
      </c>
      <c r="D11063" s="141">
        <f t="shared" si="1556"/>
        <v>45418</v>
      </c>
      <c r="E11063" s="275">
        <f t="shared" si="1557"/>
        <v>45418</v>
      </c>
      <c r="F11063" s="481"/>
      <c r="G11063" s="174" t="s">
        <v>74</v>
      </c>
      <c r="H11063" s="148" t="str" cm="1">
        <f t="array" ref="H11063">IFERROR(INDEX(INVESTOR_LIST[INVESTOR NAME],MATCH(I11063,INVESTOR_LIST[INVESTOR CODE],0),)," ")</f>
        <v>HASINA JANNAT</v>
      </c>
      <c r="I11063" s="148" t="s">
        <v>741</v>
      </c>
      <c r="J11063" s="133" t="s">
        <v>53</v>
      </c>
      <c r="K11063" s="218">
        <v>25549.01999999999</v>
      </c>
      <c r="L11063" s="133"/>
    </row>
    <row r="11064" spans="1:17" ht="11.25" customHeight="1" x14ac:dyDescent="0.2">
      <c r="A11064" s="163">
        <v>2024</v>
      </c>
      <c r="B11064" s="163">
        <v>5</v>
      </c>
      <c r="C11064" s="163">
        <v>6</v>
      </c>
      <c r="D11064" s="280">
        <f t="shared" si="1556"/>
        <v>45418</v>
      </c>
      <c r="E11064" s="281">
        <f t="shared" si="1557"/>
        <v>45418</v>
      </c>
      <c r="F11064" s="480"/>
      <c r="G11064" s="221" t="s">
        <v>74</v>
      </c>
      <c r="H11064" s="145" t="str" cm="1">
        <f t="array" ref="H11064">IFERROR(INDEX(INVESTOR_LIST[INVESTOR NAME],MATCH(I11064,INVESTOR_LIST[INVESTOR CODE],0),)," ")</f>
        <v>HASINA JANNAT</v>
      </c>
      <c r="I11064" s="145" t="s">
        <v>741</v>
      </c>
      <c r="J11064" s="163" t="s">
        <v>52</v>
      </c>
      <c r="K11064" s="219"/>
      <c r="L11064" s="219">
        <v>175749.02</v>
      </c>
    </row>
    <row r="11065" spans="1:17" ht="11.25" customHeight="1" x14ac:dyDescent="0.2">
      <c r="A11065" s="133">
        <v>2024</v>
      </c>
      <c r="B11065" s="168">
        <v>5</v>
      </c>
      <c r="C11065" s="168">
        <v>6</v>
      </c>
      <c r="D11065" s="141">
        <f>DATE(A11065,B11065,C11065)</f>
        <v>45418</v>
      </c>
      <c r="E11065" s="275">
        <f>DATE(A11065,B11065,C11065)</f>
        <v>45418</v>
      </c>
      <c r="F11065" s="481" t="s">
        <v>1926</v>
      </c>
      <c r="G11065" s="174" t="s">
        <v>74</v>
      </c>
      <c r="H11065" s="174" t="str" cm="1">
        <f t="array" ref="H11065">IFERROR(INDEX(INVESTOR_LIST[INVESTOR NAME],MATCH(I11065,INVESTOR_LIST[INVESTOR CODE],0),)," ")</f>
        <v xml:space="preserve"> </v>
      </c>
      <c r="I11065" s="148" t="s">
        <v>348</v>
      </c>
      <c r="J11065" s="149" t="s">
        <v>52</v>
      </c>
      <c r="K11065" s="218">
        <v>30000000</v>
      </c>
      <c r="L11065" s="218"/>
      <c r="M11065" s="147"/>
      <c r="Q11065" s="133" t="s">
        <v>348</v>
      </c>
    </row>
    <row r="11066" spans="1:17" x14ac:dyDescent="0.2">
      <c r="A11066" s="133">
        <v>2024</v>
      </c>
      <c r="B11066" s="133">
        <v>5</v>
      </c>
      <c r="C11066" s="133">
        <v>6</v>
      </c>
      <c r="D11066" s="141">
        <f t="shared" ref="D11066" si="1558">DATE(A11066,B11066,C11066)</f>
        <v>45418</v>
      </c>
      <c r="E11066" s="275">
        <f t="shared" ref="E11066" si="1559">DATE(A11066,B11066,C11066)</f>
        <v>45418</v>
      </c>
      <c r="F11066" s="481"/>
      <c r="G11066" s="174" t="s">
        <v>74</v>
      </c>
      <c r="H11066" s="174"/>
      <c r="J11066" s="149" t="s">
        <v>1809</v>
      </c>
      <c r="K11066" s="218"/>
      <c r="L11066" s="218">
        <v>824910</v>
      </c>
      <c r="M11066" s="147"/>
    </row>
    <row r="11067" spans="1:17" x14ac:dyDescent="0.2">
      <c r="A11067" s="163">
        <v>2024</v>
      </c>
      <c r="B11067" s="163">
        <v>5</v>
      </c>
      <c r="C11067" s="163">
        <v>6</v>
      </c>
      <c r="D11067" s="280">
        <f>DATE(A11067,B11067,C11067)</f>
        <v>45418</v>
      </c>
      <c r="E11067" s="281">
        <f>DATE(A11067,B11067,C11067)</f>
        <v>45418</v>
      </c>
      <c r="F11067" s="480"/>
      <c r="G11067" s="221" t="s">
        <v>74</v>
      </c>
      <c r="H11067" s="221" t="str" cm="1">
        <f t="array" ref="H11067">IFERROR(INDEX(INVESTOR_LIST[INVESTOR NAME],MATCH(I11067,INVESTOR_LIST[INVESTOR CODE],0),)," ")</f>
        <v xml:space="preserve"> </v>
      </c>
      <c r="I11067" s="145"/>
      <c r="J11067" s="146" t="s">
        <v>1764</v>
      </c>
      <c r="K11067" s="219"/>
      <c r="L11067" s="219">
        <v>29175090</v>
      </c>
      <c r="M11067" s="147"/>
      <c r="Q11067" s="133" t="s">
        <v>348</v>
      </c>
    </row>
    <row r="11068" spans="1:17" x14ac:dyDescent="0.2">
      <c r="A11068" s="133">
        <v>2024</v>
      </c>
      <c r="B11068" s="168">
        <v>5</v>
      </c>
      <c r="C11068" s="168">
        <v>7</v>
      </c>
      <c r="D11068" s="141">
        <f t="shared" ref="D11068:D11070" si="1560">DATE(A11068,B11068,C11068)</f>
        <v>45419</v>
      </c>
      <c r="E11068" s="275">
        <f t="shared" ref="E11068:E11070" si="1561">DATE(A11068,B11068,C11068)</f>
        <v>45419</v>
      </c>
      <c r="F11068" s="481" t="s">
        <v>1933</v>
      </c>
      <c r="G11068" s="174" t="s">
        <v>94</v>
      </c>
      <c r="H11068" s="174" t="str" cm="1">
        <f t="array" ref="H11068">IFERROR(INDEX(INVESTOR_LIST[INVESTOR NAME],MATCH(I11068,INVESTOR_LIST[INVESTOR CODE],0),)," ")</f>
        <v xml:space="preserve"> </v>
      </c>
      <c r="I11068" s="148" t="s">
        <v>348</v>
      </c>
      <c r="J11068" s="149" t="s">
        <v>168</v>
      </c>
      <c r="K11068" s="218">
        <v>662162</v>
      </c>
      <c r="L11068" s="218"/>
    </row>
    <row r="11069" spans="1:17" x14ac:dyDescent="0.2">
      <c r="A11069" s="133">
        <v>2024</v>
      </c>
      <c r="B11069" s="133">
        <v>5</v>
      </c>
      <c r="C11069" s="133">
        <v>7</v>
      </c>
      <c r="D11069" s="141">
        <f t="shared" ref="D11069" si="1562">DATE(A11069,B11069,C11069)</f>
        <v>45419</v>
      </c>
      <c r="E11069" s="275">
        <f t="shared" ref="E11069" si="1563">DATE(A11069,B11069,C11069)</f>
        <v>45419</v>
      </c>
      <c r="F11069" s="481"/>
      <c r="G11069" s="174" t="s">
        <v>94</v>
      </c>
      <c r="H11069" s="174"/>
      <c r="J11069" s="149" t="s">
        <v>79</v>
      </c>
      <c r="K11069" s="218">
        <v>662162</v>
      </c>
      <c r="L11069" s="218"/>
    </row>
    <row r="11070" spans="1:17" x14ac:dyDescent="0.2">
      <c r="A11070" s="163">
        <v>2024</v>
      </c>
      <c r="B11070" s="163">
        <v>5</v>
      </c>
      <c r="C11070" s="163">
        <v>7</v>
      </c>
      <c r="D11070" s="141">
        <f t="shared" si="1560"/>
        <v>45419</v>
      </c>
      <c r="E11070" s="275">
        <f t="shared" si="1561"/>
        <v>45419</v>
      </c>
      <c r="F11070" s="480"/>
      <c r="G11070" s="221" t="s">
        <v>94</v>
      </c>
      <c r="H11070" s="221" t="str" cm="1">
        <f t="array" ref="H11070">IFERROR(INDEX(INVESTOR_LIST[INVESTOR NAME],MATCH(I11070,INVESTOR_LIST[INVESTOR CODE],0),)," ")</f>
        <v xml:space="preserve"> </v>
      </c>
      <c r="I11070" s="145" t="s">
        <v>348</v>
      </c>
      <c r="J11070" s="146" t="s">
        <v>166</v>
      </c>
      <c r="K11070" s="219"/>
      <c r="L11070" s="219">
        <v>1324324</v>
      </c>
    </row>
    <row r="11071" spans="1:17" x14ac:dyDescent="0.2">
      <c r="A11071" s="168">
        <v>2024</v>
      </c>
      <c r="B11071" s="168">
        <v>5</v>
      </c>
      <c r="C11071" s="168">
        <v>5</v>
      </c>
      <c r="D11071" s="141">
        <f t="shared" si="1556"/>
        <v>45417</v>
      </c>
      <c r="E11071" s="275">
        <f t="shared" si="1557"/>
        <v>45417</v>
      </c>
      <c r="F11071" s="479" t="s">
        <v>1319</v>
      </c>
      <c r="G11071" s="220" t="s">
        <v>74</v>
      </c>
      <c r="H11071" s="142" t="str" cm="1">
        <f t="array" ref="H11071">IFERROR(INDEX(INVESTOR_LIST[INVESTOR NAME],MATCH(I11071,INVESTOR_LIST[INVESTOR CODE],0),)," ")</f>
        <v xml:space="preserve"> </v>
      </c>
      <c r="I11071" s="142"/>
      <c r="J11071" s="168" t="s">
        <v>52</v>
      </c>
      <c r="K11071" s="226">
        <v>2000</v>
      </c>
      <c r="L11071" s="226"/>
    </row>
    <row r="11072" spans="1:17" x14ac:dyDescent="0.2">
      <c r="A11072" s="133">
        <v>2024</v>
      </c>
      <c r="B11072" s="133">
        <v>5</v>
      </c>
      <c r="C11072" s="133">
        <v>5</v>
      </c>
      <c r="D11072" s="141">
        <f t="shared" si="1556"/>
        <v>45417</v>
      </c>
      <c r="E11072" s="275">
        <f t="shared" si="1557"/>
        <v>45417</v>
      </c>
      <c r="F11072" s="481"/>
      <c r="G11072" s="174" t="s">
        <v>74</v>
      </c>
      <c r="H11072" s="148" t="str" cm="1">
        <f t="array" ref="H11072">IFERROR(INDEX(INVESTOR_LIST[INVESTOR NAME],MATCH(I11072,INVESTOR_LIST[INVESTOR CODE],0),)," ")</f>
        <v xml:space="preserve"> </v>
      </c>
      <c r="J11072" s="133" t="s">
        <v>13</v>
      </c>
      <c r="K11072" s="218"/>
      <c r="L11072" s="218">
        <v>1710</v>
      </c>
    </row>
    <row r="11073" spans="1:17" x14ac:dyDescent="0.2">
      <c r="A11073" s="163">
        <v>2024</v>
      </c>
      <c r="B11073" s="163">
        <v>5</v>
      </c>
      <c r="C11073" s="163">
        <v>5</v>
      </c>
      <c r="D11073" s="280">
        <f t="shared" si="1556"/>
        <v>45417</v>
      </c>
      <c r="E11073" s="281">
        <f t="shared" si="1557"/>
        <v>45417</v>
      </c>
      <c r="F11073" s="480"/>
      <c r="G11073" s="221" t="s">
        <v>74</v>
      </c>
      <c r="H11073" s="145" t="str" cm="1">
        <f t="array" ref="H11073">IFERROR(INDEX(INVESTOR_LIST[INVESTOR NAME],MATCH(I11073,INVESTOR_LIST[INVESTOR CODE],0),)," ")</f>
        <v xml:space="preserve"> </v>
      </c>
      <c r="I11073" s="145"/>
      <c r="J11073" s="163" t="s">
        <v>53</v>
      </c>
      <c r="K11073" s="219"/>
      <c r="L11073" s="219">
        <v>290</v>
      </c>
    </row>
    <row r="11074" spans="1:17" ht="11.25" customHeight="1" x14ac:dyDescent="0.2">
      <c r="A11074" s="168">
        <v>2024</v>
      </c>
      <c r="B11074" s="168">
        <v>5</v>
      </c>
      <c r="C11074" s="168">
        <v>8</v>
      </c>
      <c r="D11074" s="141">
        <f t="shared" ref="D11074:D11090" si="1564">DATE(A11074,B11074,C11074)</f>
        <v>45420</v>
      </c>
      <c r="E11074" s="275">
        <f t="shared" ref="E11074:E11090" si="1565">DATE(A11074,B11074,C11074)</f>
        <v>45420</v>
      </c>
      <c r="F11074" s="479" t="s">
        <v>965</v>
      </c>
      <c r="G11074" s="220" t="s">
        <v>74</v>
      </c>
      <c r="H11074" s="142" t="str" cm="1">
        <f t="array" ref="H11074">IFERROR(INDEX(INVESTOR_LIST[INVESTOR NAME],MATCH(I11074,INVESTOR_LIST[INVESTOR CODE],0),)," ")</f>
        <v>SYED ADNAN HUDA</v>
      </c>
      <c r="I11074" s="142" t="s">
        <v>575</v>
      </c>
      <c r="J11074" s="168" t="s">
        <v>13</v>
      </c>
      <c r="K11074" s="218">
        <v>1331900</v>
      </c>
      <c r="L11074" s="226"/>
    </row>
    <row r="11075" spans="1:17" ht="11.25" customHeight="1" x14ac:dyDescent="0.2">
      <c r="A11075" s="133">
        <v>2024</v>
      </c>
      <c r="B11075" s="133">
        <v>5</v>
      </c>
      <c r="C11075" s="133">
        <v>8</v>
      </c>
      <c r="D11075" s="141">
        <f t="shared" si="1564"/>
        <v>45420</v>
      </c>
      <c r="E11075" s="275">
        <f t="shared" si="1565"/>
        <v>45420</v>
      </c>
      <c r="F11075" s="481"/>
      <c r="G11075" s="174" t="s">
        <v>74</v>
      </c>
      <c r="H11075" s="148" t="str" cm="1">
        <f t="array" ref="H11075">IFERROR(INDEX(INVESTOR_LIST[INVESTOR NAME],MATCH(I11075,INVESTOR_LIST[INVESTOR CODE],0),)," ")</f>
        <v>SYED ADNAN HUDA</v>
      </c>
      <c r="I11075" s="148" t="s">
        <v>575</v>
      </c>
      <c r="J11075" s="133" t="s">
        <v>53</v>
      </c>
      <c r="K11075" s="218">
        <v>226556.19</v>
      </c>
      <c r="L11075" s="133"/>
    </row>
    <row r="11076" spans="1:17" ht="11.25" customHeight="1" x14ac:dyDescent="0.2">
      <c r="A11076" s="163">
        <v>2024</v>
      </c>
      <c r="B11076" s="163">
        <v>5</v>
      </c>
      <c r="C11076" s="163">
        <v>8</v>
      </c>
      <c r="D11076" s="280">
        <f t="shared" si="1564"/>
        <v>45420</v>
      </c>
      <c r="E11076" s="281">
        <f t="shared" si="1565"/>
        <v>45420</v>
      </c>
      <c r="F11076" s="480"/>
      <c r="G11076" s="221" t="s">
        <v>74</v>
      </c>
      <c r="H11076" s="145" t="str" cm="1">
        <f t="array" ref="H11076">IFERROR(INDEX(INVESTOR_LIST[INVESTOR NAME],MATCH(I11076,INVESTOR_LIST[INVESTOR CODE],0),)," ")</f>
        <v>SYED ADNAN HUDA</v>
      </c>
      <c r="I11076" s="145" t="s">
        <v>575</v>
      </c>
      <c r="J11076" s="163" t="s">
        <v>52</v>
      </c>
      <c r="K11076" s="219"/>
      <c r="L11076" s="219">
        <v>1558456.19</v>
      </c>
    </row>
    <row r="11077" spans="1:17" x14ac:dyDescent="0.2">
      <c r="A11077" s="133">
        <v>2024</v>
      </c>
      <c r="B11077" s="133">
        <v>5</v>
      </c>
      <c r="C11077" s="133">
        <v>9</v>
      </c>
      <c r="D11077" s="141">
        <f t="shared" si="1564"/>
        <v>45421</v>
      </c>
      <c r="E11077" s="275">
        <f t="shared" si="1565"/>
        <v>45421</v>
      </c>
      <c r="F11077" s="481" t="s">
        <v>1927</v>
      </c>
      <c r="G11077" s="174" t="s">
        <v>74</v>
      </c>
      <c r="H11077" s="174" t="str" cm="1">
        <f t="array" ref="H11077">IFERROR(INDEX(INVESTOR_LIST[INVESTOR NAME],MATCH(I11077,INVESTOR_LIST[INVESTOR CODE],0),)," ")</f>
        <v xml:space="preserve"> </v>
      </c>
      <c r="I11077" s="148" t="s">
        <v>348</v>
      </c>
      <c r="J11077" s="149" t="s">
        <v>1764</v>
      </c>
      <c r="K11077" s="218">
        <v>1944976</v>
      </c>
      <c r="L11077" s="218"/>
      <c r="M11077" s="147"/>
      <c r="Q11077" s="133" t="s">
        <v>348</v>
      </c>
    </row>
    <row r="11078" spans="1:17" x14ac:dyDescent="0.2">
      <c r="A11078" s="163">
        <v>2024</v>
      </c>
      <c r="B11078" s="163">
        <v>5</v>
      </c>
      <c r="C11078" s="163">
        <v>9</v>
      </c>
      <c r="D11078" s="280">
        <f t="shared" si="1564"/>
        <v>45421</v>
      </c>
      <c r="E11078" s="281">
        <f t="shared" si="1565"/>
        <v>45421</v>
      </c>
      <c r="F11078" s="480"/>
      <c r="G11078" s="221" t="s">
        <v>74</v>
      </c>
      <c r="H11078" s="221" t="str" cm="1">
        <f t="array" ref="H11078">IFERROR(INDEX(INVESTOR_LIST[INVESTOR NAME],MATCH(I11078,INVESTOR_LIST[INVESTOR CODE],0),)," ")</f>
        <v xml:space="preserve"> </v>
      </c>
      <c r="I11078" s="145"/>
      <c r="J11078" s="146" t="s">
        <v>52</v>
      </c>
      <c r="K11078" s="219"/>
      <c r="L11078" s="219">
        <v>1944976</v>
      </c>
      <c r="M11078" s="147"/>
      <c r="Q11078" s="133" t="s">
        <v>348</v>
      </c>
    </row>
    <row r="11079" spans="1:17" x14ac:dyDescent="0.2">
      <c r="A11079" s="343">
        <v>2024</v>
      </c>
      <c r="B11079" s="343">
        <v>5</v>
      </c>
      <c r="C11079" s="343">
        <v>9</v>
      </c>
      <c r="D11079" s="344">
        <f t="shared" si="1564"/>
        <v>45421</v>
      </c>
      <c r="E11079" s="345">
        <f t="shared" si="1565"/>
        <v>45421</v>
      </c>
      <c r="F11079" s="483" t="s">
        <v>1813</v>
      </c>
      <c r="G11079" s="350" t="s">
        <v>94</v>
      </c>
      <c r="H11079" s="350" t="str" cm="1">
        <f t="array" ref="H11079">IFERROR(INDEX(INVESTOR_LIST[INVESTOR NAME],MATCH(I11079,INVESTOR_LIST[INVESTOR CODE],0),)," ")</f>
        <v xml:space="preserve"> </v>
      </c>
      <c r="I11079" s="352" t="s">
        <v>348</v>
      </c>
      <c r="J11079" s="353" t="s">
        <v>1807</v>
      </c>
      <c r="K11079" s="354">
        <v>755516.5</v>
      </c>
      <c r="L11079" s="354"/>
    </row>
    <row r="11080" spans="1:17" x14ac:dyDescent="0.2">
      <c r="A11080" s="346">
        <v>2024</v>
      </c>
      <c r="B11080" s="346">
        <v>5</v>
      </c>
      <c r="C11080" s="346">
        <v>9</v>
      </c>
      <c r="D11080" s="344">
        <f t="shared" si="1564"/>
        <v>45421</v>
      </c>
      <c r="E11080" s="345">
        <f t="shared" si="1565"/>
        <v>45421</v>
      </c>
      <c r="F11080" s="484"/>
      <c r="G11080" s="347" t="s">
        <v>94</v>
      </c>
      <c r="H11080" s="347" t="str" cm="1">
        <f t="array" ref="H11080">IFERROR(INDEX(INVESTOR_LIST[INVESTOR NAME],MATCH(I11080,INVESTOR_LIST[INVESTOR CODE],0),)," ")</f>
        <v xml:space="preserve"> </v>
      </c>
      <c r="I11080" s="348" t="s">
        <v>348</v>
      </c>
      <c r="J11080" s="355" t="s">
        <v>1798</v>
      </c>
      <c r="K11080" s="349"/>
      <c r="L11080" s="349">
        <f>K11079</f>
        <v>755516.5</v>
      </c>
    </row>
    <row r="11081" spans="1:17" x14ac:dyDescent="0.2">
      <c r="A11081" s="343">
        <v>2024</v>
      </c>
      <c r="B11081" s="343">
        <v>5</v>
      </c>
      <c r="C11081" s="343">
        <v>9</v>
      </c>
      <c r="D11081" s="344">
        <f t="shared" si="1564"/>
        <v>45421</v>
      </c>
      <c r="E11081" s="345">
        <f t="shared" si="1565"/>
        <v>45421</v>
      </c>
      <c r="F11081" s="483" t="s">
        <v>1913</v>
      </c>
      <c r="G11081" s="350" t="s">
        <v>94</v>
      </c>
      <c r="H11081" s="350" t="str" cm="1">
        <f t="array" ref="H11081">IFERROR(INDEX(INVESTOR_LIST[INVESTOR NAME],MATCH(I11081,INVESTOR_LIST[INVESTOR CODE],0),)," ")</f>
        <v xml:space="preserve"> </v>
      </c>
      <c r="I11081" s="352" t="s">
        <v>348</v>
      </c>
      <c r="J11081" s="353" t="s">
        <v>1799</v>
      </c>
      <c r="K11081" s="354">
        <v>33921.14999999851</v>
      </c>
      <c r="L11081" s="354"/>
    </row>
    <row r="11082" spans="1:17" x14ac:dyDescent="0.2">
      <c r="A11082" s="346">
        <v>2024</v>
      </c>
      <c r="B11082" s="346">
        <v>5</v>
      </c>
      <c r="C11082" s="346">
        <v>9</v>
      </c>
      <c r="D11082" s="344">
        <f t="shared" si="1564"/>
        <v>45421</v>
      </c>
      <c r="E11082" s="345">
        <f t="shared" si="1565"/>
        <v>45421</v>
      </c>
      <c r="F11082" s="484"/>
      <c r="G11082" s="347" t="s">
        <v>94</v>
      </c>
      <c r="H11082" s="347" t="str" cm="1">
        <f t="array" ref="H11082">IFERROR(INDEX(INVESTOR_LIST[INVESTOR NAME],MATCH(I11082,INVESTOR_LIST[INVESTOR CODE],0),)," ")</f>
        <v xml:space="preserve"> </v>
      </c>
      <c r="I11082" s="348" t="s">
        <v>348</v>
      </c>
      <c r="J11082" s="355" t="s">
        <v>1808</v>
      </c>
      <c r="K11082" s="349"/>
      <c r="L11082" s="349">
        <f>K11081</f>
        <v>33921.14999999851</v>
      </c>
    </row>
    <row r="11083" spans="1:17" x14ac:dyDescent="0.2">
      <c r="A11083" s="238">
        <v>2024</v>
      </c>
      <c r="B11083" s="238">
        <v>5</v>
      </c>
      <c r="C11083" s="238">
        <v>9</v>
      </c>
      <c r="D11083" s="270">
        <f t="shared" si="1564"/>
        <v>45421</v>
      </c>
      <c r="E11083" s="279">
        <f t="shared" si="1565"/>
        <v>45421</v>
      </c>
      <c r="F11083" s="477" t="s">
        <v>347</v>
      </c>
      <c r="G11083" s="239" t="s">
        <v>94</v>
      </c>
      <c r="H11083" s="239" t="str" cm="1">
        <f t="array" ref="H11083">IFERROR(INDEX(INVESTOR_LIST[INVESTOR NAME],MATCH(I11083,INVESTOR_LIST[INVESTOR CODE],0),)," ")</f>
        <v xml:space="preserve"> </v>
      </c>
      <c r="I11083" s="262" t="s">
        <v>348</v>
      </c>
      <c r="J11083" s="240" t="s">
        <v>108</v>
      </c>
      <c r="K11083" s="241">
        <v>515214.90999999642</v>
      </c>
      <c r="L11083" s="241"/>
    </row>
    <row r="11084" spans="1:17" x14ac:dyDescent="0.2">
      <c r="A11084" s="242">
        <v>2024</v>
      </c>
      <c r="B11084" s="242">
        <v>5</v>
      </c>
      <c r="C11084" s="242">
        <v>9</v>
      </c>
      <c r="D11084" s="270">
        <f t="shared" si="1564"/>
        <v>45421</v>
      </c>
      <c r="E11084" s="279">
        <f t="shared" si="1565"/>
        <v>45421</v>
      </c>
      <c r="F11084" s="478"/>
      <c r="G11084" s="243" t="s">
        <v>94</v>
      </c>
      <c r="H11084" s="243" t="str" cm="1">
        <f t="array" ref="H11084">IFERROR(INDEX(INVESTOR_LIST[INVESTOR NAME],MATCH(I11084,INVESTOR_LIST[INVESTOR CODE],0),)," ")</f>
        <v xml:space="preserve"> </v>
      </c>
      <c r="I11084" s="263" t="s">
        <v>348</v>
      </c>
      <c r="J11084" s="244" t="s">
        <v>82</v>
      </c>
      <c r="K11084" s="245"/>
      <c r="L11084" s="245">
        <v>515214.90999999642</v>
      </c>
    </row>
    <row r="11085" spans="1:17" ht="12.75" customHeight="1" x14ac:dyDescent="0.2">
      <c r="A11085" s="246">
        <v>2024</v>
      </c>
      <c r="B11085" s="238">
        <v>5</v>
      </c>
      <c r="C11085" s="238">
        <v>9</v>
      </c>
      <c r="D11085" s="270">
        <f t="shared" si="1564"/>
        <v>45421</v>
      </c>
      <c r="E11085" s="279">
        <f t="shared" si="1565"/>
        <v>45421</v>
      </c>
      <c r="F11085" s="482" t="s">
        <v>148</v>
      </c>
      <c r="G11085" s="247" t="s">
        <v>94</v>
      </c>
      <c r="H11085" s="247" t="str" cm="1">
        <f t="array" ref="H11085">IFERROR(INDEX(INVESTOR_LIST[INVESTOR NAME],MATCH(I11085,INVESTOR_LIST[INVESTOR CODE],0),)," ")</f>
        <v xml:space="preserve"> </v>
      </c>
      <c r="I11085" s="248" t="s">
        <v>348</v>
      </c>
      <c r="J11085" s="249" t="s">
        <v>95</v>
      </c>
      <c r="K11085" s="250">
        <v>2747.2527472527472</v>
      </c>
      <c r="L11085" s="241"/>
    </row>
    <row r="11086" spans="1:17" x14ac:dyDescent="0.2">
      <c r="A11086" s="242">
        <v>2024</v>
      </c>
      <c r="B11086" s="242">
        <v>5</v>
      </c>
      <c r="C11086" s="242">
        <v>9</v>
      </c>
      <c r="D11086" s="270">
        <f t="shared" si="1564"/>
        <v>45421</v>
      </c>
      <c r="E11086" s="279">
        <f t="shared" si="1565"/>
        <v>45421</v>
      </c>
      <c r="F11086" s="478"/>
      <c r="G11086" s="243" t="s">
        <v>94</v>
      </c>
      <c r="H11086" s="243" t="str" cm="1">
        <f t="array" ref="H11086">IFERROR(INDEX(INVESTOR_LIST[INVESTOR NAME],MATCH(I11086,INVESTOR_LIST[INVESTOR CODE],0),)," ")</f>
        <v xml:space="preserve"> </v>
      </c>
      <c r="I11086" s="263" t="s">
        <v>348</v>
      </c>
      <c r="J11086" s="244" t="s">
        <v>63</v>
      </c>
      <c r="K11086" s="245"/>
      <c r="L11086" s="245">
        <v>2747.2527472527472</v>
      </c>
    </row>
    <row r="11087" spans="1:17" x14ac:dyDescent="0.2">
      <c r="A11087" s="246">
        <v>2024</v>
      </c>
      <c r="B11087" s="238">
        <v>5</v>
      </c>
      <c r="C11087" s="238">
        <v>9</v>
      </c>
      <c r="D11087" s="270">
        <f t="shared" si="1564"/>
        <v>45421</v>
      </c>
      <c r="E11087" s="279">
        <f t="shared" si="1565"/>
        <v>45421</v>
      </c>
      <c r="F11087" s="482" t="s">
        <v>137</v>
      </c>
      <c r="G11087" s="247" t="s">
        <v>94</v>
      </c>
      <c r="H11087" s="247" t="str" cm="1">
        <f t="array" ref="H11087">IFERROR(INDEX(INVESTOR_LIST[INVESTOR NAME],MATCH(I11087,INVESTOR_LIST[INVESTOR CODE],0),)," ")</f>
        <v xml:space="preserve"> </v>
      </c>
      <c r="I11087" s="248" t="s">
        <v>348</v>
      </c>
      <c r="J11087" s="249" t="s">
        <v>97</v>
      </c>
      <c r="K11087" s="250">
        <f>M11087</f>
        <v>53559.545760761714</v>
      </c>
      <c r="L11087" s="252"/>
      <c r="M11087" s="264">
        <v>53559.545760761714</v>
      </c>
    </row>
    <row r="11088" spans="1:17" x14ac:dyDescent="0.2">
      <c r="A11088" s="242">
        <v>2024</v>
      </c>
      <c r="B11088" s="242">
        <v>5</v>
      </c>
      <c r="C11088" s="242">
        <v>9</v>
      </c>
      <c r="D11088" s="270">
        <f t="shared" si="1564"/>
        <v>45421</v>
      </c>
      <c r="E11088" s="279">
        <f t="shared" si="1565"/>
        <v>45421</v>
      </c>
      <c r="F11088" s="478"/>
      <c r="G11088" s="243" t="s">
        <v>94</v>
      </c>
      <c r="H11088" s="243" t="str" cm="1">
        <f t="array" ref="H11088">IFERROR(INDEX(INVESTOR_LIST[INVESTOR NAME],MATCH(I11088,INVESTOR_LIST[INVESTOR CODE],0),)," ")</f>
        <v xml:space="preserve"> </v>
      </c>
      <c r="I11088" s="263" t="s">
        <v>348</v>
      </c>
      <c r="J11088" s="244" t="s">
        <v>47</v>
      </c>
      <c r="K11088" s="245"/>
      <c r="L11088" s="245">
        <f>K11087</f>
        <v>53559.545760761714</v>
      </c>
      <c r="M11088" s="264">
        <v>2437.5926726534703</v>
      </c>
    </row>
    <row r="11089" spans="1:17" x14ac:dyDescent="0.2">
      <c r="A11089" s="246">
        <v>2024</v>
      </c>
      <c r="B11089" s="238">
        <v>5</v>
      </c>
      <c r="C11089" s="238">
        <v>9</v>
      </c>
      <c r="D11089" s="270">
        <f t="shared" si="1564"/>
        <v>45421</v>
      </c>
      <c r="E11089" s="279">
        <f t="shared" si="1565"/>
        <v>45421</v>
      </c>
      <c r="F11089" s="482" t="s">
        <v>138</v>
      </c>
      <c r="G11089" s="247" t="s">
        <v>94</v>
      </c>
      <c r="H11089" s="247" t="str" cm="1">
        <f t="array" ref="H11089">IFERROR(INDEX(INVESTOR_LIST[INVESTOR NAME],MATCH(I11089,INVESTOR_LIST[INVESTOR CODE],0),)," ")</f>
        <v xml:space="preserve"> </v>
      </c>
      <c r="I11089" s="248" t="s">
        <v>348</v>
      </c>
      <c r="J11089" s="249" t="s">
        <v>100</v>
      </c>
      <c r="K11089" s="250">
        <f>M11088</f>
        <v>2437.5926726534703</v>
      </c>
      <c r="L11089" s="252"/>
    </row>
    <row r="11090" spans="1:17" x14ac:dyDescent="0.2">
      <c r="A11090" s="242">
        <v>2024</v>
      </c>
      <c r="B11090" s="242">
        <v>5</v>
      </c>
      <c r="C11090" s="242">
        <v>9</v>
      </c>
      <c r="D11090" s="321">
        <f t="shared" si="1564"/>
        <v>45421</v>
      </c>
      <c r="E11090" s="322">
        <f t="shared" si="1565"/>
        <v>45421</v>
      </c>
      <c r="F11090" s="478"/>
      <c r="G11090" s="243" t="s">
        <v>94</v>
      </c>
      <c r="H11090" s="243" t="str" cm="1">
        <f t="array" ref="H11090">IFERROR(INDEX(INVESTOR_LIST[INVESTOR NAME],MATCH(I11090,INVESTOR_LIST[INVESTOR CODE],0),)," ")</f>
        <v xml:space="preserve"> </v>
      </c>
      <c r="I11090" s="263" t="s">
        <v>348</v>
      </c>
      <c r="J11090" s="244" t="s">
        <v>48</v>
      </c>
      <c r="K11090" s="245"/>
      <c r="L11090" s="245">
        <f>K11089</f>
        <v>2437.5926726534703</v>
      </c>
    </row>
    <row r="11091" spans="1:17" ht="11.25" customHeight="1" x14ac:dyDescent="0.2">
      <c r="A11091" s="168">
        <v>2024</v>
      </c>
      <c r="B11091" s="168">
        <v>5</v>
      </c>
      <c r="C11091" s="168">
        <v>12</v>
      </c>
      <c r="D11091" s="141">
        <f t="shared" ref="D11091:D11110" si="1566">DATE(A11091,B11091,C11091)</f>
        <v>45424</v>
      </c>
      <c r="E11091" s="275">
        <f t="shared" ref="E11091:E11110" si="1567">DATE(A11091,B11091,C11091)</f>
        <v>45424</v>
      </c>
      <c r="F11091" s="479" t="s">
        <v>1310</v>
      </c>
      <c r="G11091" s="220" t="s">
        <v>74</v>
      </c>
      <c r="H11091" s="142" t="str" cm="1">
        <f t="array" ref="H11091">IFERROR(INDEX(INVESTOR_LIST[INVESTOR NAME],MATCH(I11091,INVESTOR_LIST[INVESTOR CODE],0),)," ")</f>
        <v>MOHAMMAD HABIB RASHID</v>
      </c>
      <c r="I11091" s="142" t="s">
        <v>550</v>
      </c>
      <c r="J11091" s="168" t="s">
        <v>13</v>
      </c>
      <c r="K11091" s="218">
        <v>20090</v>
      </c>
      <c r="L11091" s="226"/>
    </row>
    <row r="11092" spans="1:17" ht="11.25" customHeight="1" x14ac:dyDescent="0.2">
      <c r="A11092" s="133">
        <v>2024</v>
      </c>
      <c r="B11092" s="133">
        <v>5</v>
      </c>
      <c r="C11092" s="133">
        <v>12</v>
      </c>
      <c r="D11092" s="141">
        <f t="shared" si="1566"/>
        <v>45424</v>
      </c>
      <c r="E11092" s="275">
        <f t="shared" si="1567"/>
        <v>45424</v>
      </c>
      <c r="F11092" s="481"/>
      <c r="G11092" s="174" t="s">
        <v>74</v>
      </c>
      <c r="H11092" s="148" t="str" cm="1">
        <f t="array" ref="H11092">IFERROR(INDEX(INVESTOR_LIST[INVESTOR NAME],MATCH(I11092,INVESTOR_LIST[INVESTOR CODE],0),)," ")</f>
        <v>MOHAMMAD HABIB RASHID</v>
      </c>
      <c r="I11092" s="148" t="s">
        <v>550</v>
      </c>
      <c r="J11092" s="133" t="s">
        <v>53</v>
      </c>
      <c r="K11092" s="218">
        <v>3417.3100000000013</v>
      </c>
      <c r="L11092" s="133"/>
    </row>
    <row r="11093" spans="1:17" ht="11.25" customHeight="1" x14ac:dyDescent="0.2">
      <c r="A11093" s="163">
        <v>2024</v>
      </c>
      <c r="B11093" s="163">
        <v>5</v>
      </c>
      <c r="C11093" s="163">
        <v>12</v>
      </c>
      <c r="D11093" s="280">
        <f t="shared" si="1566"/>
        <v>45424</v>
      </c>
      <c r="E11093" s="281">
        <f t="shared" si="1567"/>
        <v>45424</v>
      </c>
      <c r="F11093" s="480"/>
      <c r="G11093" s="221" t="s">
        <v>74</v>
      </c>
      <c r="H11093" s="145" t="str" cm="1">
        <f t="array" ref="H11093">IFERROR(INDEX(INVESTOR_LIST[INVESTOR NAME],MATCH(I11093,INVESTOR_LIST[INVESTOR CODE],0),)," ")</f>
        <v>MOHAMMAD HABIB RASHID</v>
      </c>
      <c r="I11093" s="145" t="s">
        <v>550</v>
      </c>
      <c r="J11093" s="163" t="s">
        <v>52</v>
      </c>
      <c r="K11093" s="219"/>
      <c r="L11093" s="219">
        <v>23507.31</v>
      </c>
    </row>
    <row r="11094" spans="1:17" ht="11.25" customHeight="1" x14ac:dyDescent="0.2">
      <c r="A11094" s="168">
        <v>2024</v>
      </c>
      <c r="B11094" s="168">
        <v>5</v>
      </c>
      <c r="C11094" s="168">
        <v>12</v>
      </c>
      <c r="D11094" s="141">
        <f t="shared" si="1566"/>
        <v>45424</v>
      </c>
      <c r="E11094" s="275">
        <f t="shared" si="1567"/>
        <v>45424</v>
      </c>
      <c r="F11094" s="479" t="s">
        <v>965</v>
      </c>
      <c r="G11094" s="220" t="s">
        <v>74</v>
      </c>
      <c r="H11094" s="142" t="str" cm="1">
        <f t="array" ref="H11094">IFERROR(INDEX(INVESTOR_LIST[INVESTOR NAME],MATCH(I11094,INVESTOR_LIST[INVESTOR CODE],0),)," ")</f>
        <v>SWADESH RANJAN SAHA</v>
      </c>
      <c r="I11094" s="142" t="s">
        <v>461</v>
      </c>
      <c r="J11094" s="168" t="s">
        <v>13</v>
      </c>
      <c r="K11094" s="218">
        <v>84190</v>
      </c>
      <c r="L11094" s="226"/>
    </row>
    <row r="11095" spans="1:17" ht="11.25" customHeight="1" x14ac:dyDescent="0.2">
      <c r="A11095" s="133">
        <v>2024</v>
      </c>
      <c r="B11095" s="133">
        <v>5</v>
      </c>
      <c r="C11095" s="133">
        <v>12</v>
      </c>
      <c r="D11095" s="141">
        <f t="shared" si="1566"/>
        <v>45424</v>
      </c>
      <c r="E11095" s="275">
        <f t="shared" si="1567"/>
        <v>45424</v>
      </c>
      <c r="F11095" s="481"/>
      <c r="G11095" s="174" t="s">
        <v>74</v>
      </c>
      <c r="H11095" s="148" t="str" cm="1">
        <f t="array" ref="H11095">IFERROR(INDEX(INVESTOR_LIST[INVESTOR NAME],MATCH(I11095,INVESTOR_LIST[INVESTOR CODE],0),)," ")</f>
        <v>SWADESH RANJAN SAHA</v>
      </c>
      <c r="I11095" s="148" t="s">
        <v>461</v>
      </c>
      <c r="J11095" s="133" t="s">
        <v>53</v>
      </c>
      <c r="K11095" s="218">
        <v>15810</v>
      </c>
      <c r="L11095" s="133"/>
    </row>
    <row r="11096" spans="1:17" ht="11.25" customHeight="1" x14ac:dyDescent="0.2">
      <c r="A11096" s="163">
        <v>2024</v>
      </c>
      <c r="B11096" s="163">
        <v>5</v>
      </c>
      <c r="C11096" s="163">
        <v>12</v>
      </c>
      <c r="D11096" s="280">
        <f t="shared" si="1566"/>
        <v>45424</v>
      </c>
      <c r="E11096" s="281">
        <f t="shared" si="1567"/>
        <v>45424</v>
      </c>
      <c r="F11096" s="480"/>
      <c r="G11096" s="221" t="s">
        <v>74</v>
      </c>
      <c r="H11096" s="145" t="str" cm="1">
        <f t="array" ref="H11096">IFERROR(INDEX(INVESTOR_LIST[INVESTOR NAME],MATCH(I11096,INVESTOR_LIST[INVESTOR CODE],0),)," ")</f>
        <v>SWADESH RANJAN SAHA</v>
      </c>
      <c r="I11096" s="145" t="s">
        <v>461</v>
      </c>
      <c r="J11096" s="163" t="s">
        <v>52</v>
      </c>
      <c r="K11096" s="219"/>
      <c r="L11096" s="219">
        <v>100000</v>
      </c>
    </row>
    <row r="11097" spans="1:17" x14ac:dyDescent="0.2">
      <c r="A11097" s="133">
        <v>2024</v>
      </c>
      <c r="B11097" s="133">
        <v>5</v>
      </c>
      <c r="C11097" s="168">
        <v>12</v>
      </c>
      <c r="D11097" s="141">
        <f t="shared" si="1566"/>
        <v>45424</v>
      </c>
      <c r="E11097" s="275">
        <f t="shared" si="1567"/>
        <v>45424</v>
      </c>
      <c r="F11097" s="479" t="s">
        <v>1912</v>
      </c>
      <c r="G11097" s="174" t="s">
        <v>74</v>
      </c>
      <c r="H11097" s="148" t="str" cm="1">
        <f t="array" ref="H11097">IFERROR(INDEX(INVESTOR_LIST[INVESTOR NAME],MATCH(I11097,INVESTOR_LIST[INVESTOR CODE],0),)," ")</f>
        <v xml:space="preserve"> </v>
      </c>
      <c r="I11097" s="148" t="s">
        <v>348</v>
      </c>
      <c r="J11097" s="133" t="s">
        <v>61</v>
      </c>
      <c r="K11097" s="172">
        <v>58</v>
      </c>
    </row>
    <row r="11098" spans="1:17" x14ac:dyDescent="0.2">
      <c r="A11098" s="163">
        <v>2024</v>
      </c>
      <c r="B11098" s="163">
        <v>5</v>
      </c>
      <c r="C11098" s="163">
        <v>12</v>
      </c>
      <c r="D11098" s="280">
        <f t="shared" si="1566"/>
        <v>45424</v>
      </c>
      <c r="E11098" s="281">
        <f t="shared" si="1567"/>
        <v>45424</v>
      </c>
      <c r="F11098" s="480"/>
      <c r="G11098" s="221" t="s">
        <v>74</v>
      </c>
      <c r="H11098" s="145" t="str" cm="1">
        <f t="array" ref="H11098">IFERROR(INDEX(INVESTOR_LIST[INVESTOR NAME],MATCH(I11098,INVESTOR_LIST[INVESTOR CODE],0),)," ")</f>
        <v xml:space="preserve"> </v>
      </c>
      <c r="I11098" s="145" t="s">
        <v>348</v>
      </c>
      <c r="J11098" s="163" t="s">
        <v>52</v>
      </c>
      <c r="K11098" s="219"/>
      <c r="L11098" s="219">
        <v>58</v>
      </c>
    </row>
    <row r="11099" spans="1:17" x14ac:dyDescent="0.2">
      <c r="A11099" s="168">
        <v>2024</v>
      </c>
      <c r="B11099" s="168">
        <v>5</v>
      </c>
      <c r="C11099" s="168">
        <v>12</v>
      </c>
      <c r="D11099" s="141">
        <f t="shared" si="1566"/>
        <v>45424</v>
      </c>
      <c r="E11099" s="275">
        <f t="shared" si="1567"/>
        <v>45424</v>
      </c>
      <c r="F11099" s="479" t="s">
        <v>1928</v>
      </c>
      <c r="G11099" s="220" t="s">
        <v>74</v>
      </c>
      <c r="H11099" s="220" t="str" cm="1">
        <f t="array" ref="H11099">IFERROR(INDEX(INVESTOR_LIST[INVESTOR NAME],MATCH(I11099,INVESTOR_LIST[INVESTOR CODE],0),)," ")</f>
        <v xml:space="preserve"> </v>
      </c>
      <c r="I11099" s="142" t="s">
        <v>348</v>
      </c>
      <c r="J11099" s="143" t="s">
        <v>1907</v>
      </c>
      <c r="K11099" s="226">
        <v>150</v>
      </c>
      <c r="L11099" s="226"/>
      <c r="M11099" s="147"/>
      <c r="Q11099" s="133" t="s">
        <v>348</v>
      </c>
    </row>
    <row r="11100" spans="1:17" x14ac:dyDescent="0.2">
      <c r="A11100" s="133">
        <v>2024</v>
      </c>
      <c r="B11100" s="133">
        <v>5</v>
      </c>
      <c r="C11100" s="133">
        <v>12</v>
      </c>
      <c r="D11100" s="141">
        <f t="shared" si="1566"/>
        <v>45424</v>
      </c>
      <c r="E11100" s="275">
        <f t="shared" si="1567"/>
        <v>45424</v>
      </c>
      <c r="F11100" s="481"/>
      <c r="G11100" s="174" t="s">
        <v>74</v>
      </c>
      <c r="H11100" s="174"/>
      <c r="J11100" s="149" t="s">
        <v>534</v>
      </c>
      <c r="K11100" s="218">
        <v>7704.15</v>
      </c>
      <c r="L11100" s="218"/>
      <c r="M11100" s="147"/>
    </row>
    <row r="11101" spans="1:17" x14ac:dyDescent="0.2">
      <c r="A11101" s="133">
        <v>2024</v>
      </c>
      <c r="B11101" s="133">
        <v>5</v>
      </c>
      <c r="C11101" s="133">
        <v>12</v>
      </c>
      <c r="D11101" s="141">
        <f t="shared" si="1566"/>
        <v>45424</v>
      </c>
      <c r="E11101" s="275">
        <f t="shared" si="1567"/>
        <v>45424</v>
      </c>
      <c r="F11101" s="481"/>
      <c r="G11101" s="174" t="s">
        <v>74</v>
      </c>
      <c r="H11101" s="174"/>
      <c r="J11101" s="149" t="s">
        <v>534</v>
      </c>
      <c r="K11101" s="218">
        <v>246114.55</v>
      </c>
      <c r="L11101" s="218"/>
      <c r="M11101" s="147"/>
    </row>
    <row r="11102" spans="1:17" x14ac:dyDescent="0.2">
      <c r="A11102" s="133">
        <v>2024</v>
      </c>
      <c r="B11102" s="133">
        <v>5</v>
      </c>
      <c r="C11102" s="133">
        <v>12</v>
      </c>
      <c r="D11102" s="141">
        <f t="shared" si="1566"/>
        <v>45424</v>
      </c>
      <c r="E11102" s="275">
        <f t="shared" si="1567"/>
        <v>45424</v>
      </c>
      <c r="F11102" s="481"/>
      <c r="G11102" s="174" t="s">
        <v>74</v>
      </c>
      <c r="H11102" s="174"/>
      <c r="J11102" s="149" t="s">
        <v>534</v>
      </c>
      <c r="K11102" s="218">
        <v>288.98</v>
      </c>
      <c r="L11102" s="218"/>
      <c r="M11102" s="147"/>
    </row>
    <row r="11103" spans="1:17" x14ac:dyDescent="0.2">
      <c r="A11103" s="163">
        <v>2024</v>
      </c>
      <c r="B11103" s="163">
        <v>5</v>
      </c>
      <c r="C11103" s="163">
        <v>12</v>
      </c>
      <c r="D11103" s="280">
        <f t="shared" si="1566"/>
        <v>45424</v>
      </c>
      <c r="E11103" s="281">
        <f t="shared" si="1567"/>
        <v>45424</v>
      </c>
      <c r="F11103" s="480"/>
      <c r="G11103" s="221" t="s">
        <v>74</v>
      </c>
      <c r="H11103" s="221"/>
      <c r="I11103" s="145"/>
      <c r="J11103" s="146" t="s">
        <v>52</v>
      </c>
      <c r="K11103" s="219"/>
      <c r="L11103" s="219">
        <v>254257.68</v>
      </c>
      <c r="M11103" s="147"/>
    </row>
    <row r="11104" spans="1:17" x14ac:dyDescent="0.2">
      <c r="A11104" s="133">
        <v>2024</v>
      </c>
      <c r="B11104" s="133">
        <v>5</v>
      </c>
      <c r="C11104" s="168">
        <v>14</v>
      </c>
      <c r="D11104" s="141">
        <f t="shared" ref="D11104:D11105" si="1568">DATE(A11104,B11104,C11104)</f>
        <v>45426</v>
      </c>
      <c r="E11104" s="275">
        <f t="shared" ref="E11104:E11105" si="1569">DATE(A11104,B11104,C11104)</f>
        <v>45426</v>
      </c>
      <c r="F11104" s="479" t="s">
        <v>2023</v>
      </c>
      <c r="G11104" s="174" t="s">
        <v>74</v>
      </c>
      <c r="H11104" s="148" t="str" cm="1">
        <f t="array" ref="H11104">IFERROR(INDEX(INVESTOR_LIST[INVESTOR NAME],MATCH(I11104,INVESTOR_LIST[INVESTOR CODE],0),)," ")</f>
        <v xml:space="preserve"> </v>
      </c>
      <c r="I11104" s="148" t="s">
        <v>348</v>
      </c>
      <c r="J11104" s="133" t="s">
        <v>168</v>
      </c>
      <c r="K11104" s="172">
        <v>246750</v>
      </c>
    </row>
    <row r="11105" spans="1:17" x14ac:dyDescent="0.2">
      <c r="A11105" s="163">
        <v>2024</v>
      </c>
      <c r="B11105" s="163">
        <v>5</v>
      </c>
      <c r="C11105" s="163">
        <v>14</v>
      </c>
      <c r="D11105" s="280">
        <f t="shared" si="1568"/>
        <v>45426</v>
      </c>
      <c r="E11105" s="281">
        <f t="shared" si="1569"/>
        <v>45426</v>
      </c>
      <c r="F11105" s="480"/>
      <c r="G11105" s="221" t="s">
        <v>74</v>
      </c>
      <c r="H11105" s="145" t="str" cm="1">
        <f t="array" ref="H11105">IFERROR(INDEX(INVESTOR_LIST[INVESTOR NAME],MATCH(I11105,INVESTOR_LIST[INVESTOR CODE],0),)," ")</f>
        <v xml:space="preserve"> </v>
      </c>
      <c r="I11105" s="145" t="s">
        <v>348</v>
      </c>
      <c r="J11105" s="163" t="s">
        <v>166</v>
      </c>
      <c r="K11105" s="219"/>
      <c r="L11105" s="219">
        <v>246750</v>
      </c>
    </row>
    <row r="11106" spans="1:17" x14ac:dyDescent="0.2">
      <c r="A11106" s="133">
        <v>2024</v>
      </c>
      <c r="B11106" s="133">
        <v>5</v>
      </c>
      <c r="C11106" s="168">
        <v>14</v>
      </c>
      <c r="D11106" s="141">
        <f t="shared" si="1566"/>
        <v>45426</v>
      </c>
      <c r="E11106" s="275">
        <f t="shared" si="1567"/>
        <v>45426</v>
      </c>
      <c r="F11106" s="479" t="s">
        <v>1397</v>
      </c>
      <c r="G11106" s="174" t="s">
        <v>74</v>
      </c>
      <c r="H11106" s="148" t="str" cm="1">
        <f t="array" ref="H11106">IFERROR(INDEX(INVESTOR_LIST[INVESTOR NAME],MATCH(I11106,INVESTOR_LIST[INVESTOR CODE],0),)," ")</f>
        <v xml:space="preserve"> </v>
      </c>
      <c r="I11106" s="148" t="s">
        <v>348</v>
      </c>
      <c r="J11106" s="133" t="s">
        <v>52</v>
      </c>
      <c r="K11106" s="172">
        <v>246750</v>
      </c>
    </row>
    <row r="11107" spans="1:17" x14ac:dyDescent="0.2">
      <c r="A11107" s="163">
        <v>2024</v>
      </c>
      <c r="B11107" s="163">
        <v>5</v>
      </c>
      <c r="C11107" s="163">
        <v>14</v>
      </c>
      <c r="D11107" s="280">
        <f t="shared" si="1566"/>
        <v>45426</v>
      </c>
      <c r="E11107" s="281">
        <f t="shared" si="1567"/>
        <v>45426</v>
      </c>
      <c r="F11107" s="480"/>
      <c r="G11107" s="221" t="s">
        <v>74</v>
      </c>
      <c r="H11107" s="145" t="str" cm="1">
        <f t="array" ref="H11107">IFERROR(INDEX(INVESTOR_LIST[INVESTOR NAME],MATCH(I11107,INVESTOR_LIST[INVESTOR CODE],0),)," ")</f>
        <v xml:space="preserve"> </v>
      </c>
      <c r="I11107" s="145" t="s">
        <v>348</v>
      </c>
      <c r="J11107" s="163" t="s">
        <v>168</v>
      </c>
      <c r="K11107" s="219"/>
      <c r="L11107" s="219">
        <v>246750</v>
      </c>
    </row>
    <row r="11108" spans="1:17" x14ac:dyDescent="0.2">
      <c r="A11108" s="168">
        <v>2024</v>
      </c>
      <c r="B11108" s="168">
        <v>5</v>
      </c>
      <c r="C11108" s="168">
        <v>15</v>
      </c>
      <c r="D11108" s="141">
        <f t="shared" si="1566"/>
        <v>45427</v>
      </c>
      <c r="E11108" s="275">
        <f t="shared" si="1567"/>
        <v>45427</v>
      </c>
      <c r="F11108" s="479" t="s">
        <v>1319</v>
      </c>
      <c r="G11108" s="220" t="s">
        <v>74</v>
      </c>
      <c r="H11108" s="142" t="str" cm="1">
        <f t="array" ref="H11108">IFERROR(INDEX(INVESTOR_LIST[INVESTOR NAME],MATCH(I11108,INVESTOR_LIST[INVESTOR CODE],0),)," ")</f>
        <v xml:space="preserve"> </v>
      </c>
      <c r="I11108" s="142"/>
      <c r="J11108" s="168" t="s">
        <v>52</v>
      </c>
      <c r="K11108" s="226">
        <v>4000</v>
      </c>
      <c r="L11108" s="226"/>
    </row>
    <row r="11109" spans="1:17" x14ac:dyDescent="0.2">
      <c r="A11109" s="133">
        <v>2024</v>
      </c>
      <c r="B11109" s="133">
        <v>5</v>
      </c>
      <c r="C11109" s="133">
        <v>15</v>
      </c>
      <c r="D11109" s="141">
        <f t="shared" si="1566"/>
        <v>45427</v>
      </c>
      <c r="E11109" s="275">
        <f t="shared" si="1567"/>
        <v>45427</v>
      </c>
      <c r="F11109" s="481"/>
      <c r="G11109" s="174" t="s">
        <v>74</v>
      </c>
      <c r="H11109" s="148" t="str" cm="1">
        <f t="array" ref="H11109">IFERROR(INDEX(INVESTOR_LIST[INVESTOR NAME],MATCH(I11109,INVESTOR_LIST[INVESTOR CODE],0),)," ")</f>
        <v xml:space="preserve"> </v>
      </c>
      <c r="J11109" s="133" t="s">
        <v>13</v>
      </c>
      <c r="K11109" s="218"/>
      <c r="L11109" s="218">
        <v>3360</v>
      </c>
    </row>
    <row r="11110" spans="1:17" x14ac:dyDescent="0.2">
      <c r="A11110" s="163">
        <v>2024</v>
      </c>
      <c r="B11110" s="163">
        <v>5</v>
      </c>
      <c r="C11110" s="163">
        <v>15</v>
      </c>
      <c r="D11110" s="280">
        <f t="shared" si="1566"/>
        <v>45427</v>
      </c>
      <c r="E11110" s="281">
        <f t="shared" si="1567"/>
        <v>45427</v>
      </c>
      <c r="F11110" s="480"/>
      <c r="G11110" s="221" t="s">
        <v>74</v>
      </c>
      <c r="H11110" s="145" t="str" cm="1">
        <f t="array" ref="H11110">IFERROR(INDEX(INVESTOR_LIST[INVESTOR NAME],MATCH(I11110,INVESTOR_LIST[INVESTOR CODE],0),)," ")</f>
        <v xml:space="preserve"> </v>
      </c>
      <c r="I11110" s="145"/>
      <c r="J11110" s="163" t="s">
        <v>53</v>
      </c>
      <c r="K11110" s="219"/>
      <c r="L11110" s="219">
        <v>640</v>
      </c>
    </row>
    <row r="11111" spans="1:17" ht="11.25" customHeight="1" x14ac:dyDescent="0.2">
      <c r="A11111" s="168">
        <v>2024</v>
      </c>
      <c r="B11111" s="168">
        <v>5</v>
      </c>
      <c r="C11111" s="168">
        <v>16</v>
      </c>
      <c r="D11111" s="141">
        <f t="shared" ref="D11111:D11143" si="1570">DATE(A11111,B11111,C11111)</f>
        <v>45428</v>
      </c>
      <c r="E11111" s="275">
        <f t="shared" ref="E11111:E11143" si="1571">DATE(A11111,B11111,C11111)</f>
        <v>45428</v>
      </c>
      <c r="F11111" s="479" t="s">
        <v>1310</v>
      </c>
      <c r="G11111" s="220" t="s">
        <v>74</v>
      </c>
      <c r="H11111" s="142" t="str" cm="1">
        <f t="array" ref="H11111">IFERROR(INDEX(INVESTOR_LIST[INVESTOR NAME],MATCH(I11111,INVESTOR_LIST[INVESTOR CODE],0),)," ")</f>
        <v>SULTANA AFCHANA AFRIN</v>
      </c>
      <c r="I11111" s="142" t="s">
        <v>622</v>
      </c>
      <c r="J11111" s="168" t="s">
        <v>13</v>
      </c>
      <c r="K11111" s="218">
        <v>9600</v>
      </c>
      <c r="L11111" s="226"/>
    </row>
    <row r="11112" spans="1:17" ht="11.25" customHeight="1" x14ac:dyDescent="0.2">
      <c r="A11112" s="133">
        <v>2024</v>
      </c>
      <c r="B11112" s="133">
        <v>5</v>
      </c>
      <c r="C11112" s="133">
        <v>16</v>
      </c>
      <c r="D11112" s="141">
        <f t="shared" si="1570"/>
        <v>45428</v>
      </c>
      <c r="E11112" s="275">
        <f t="shared" si="1571"/>
        <v>45428</v>
      </c>
      <c r="F11112" s="481"/>
      <c r="G11112" s="174" t="s">
        <v>74</v>
      </c>
      <c r="H11112" s="148" t="str" cm="1">
        <f t="array" ref="H11112">IFERROR(INDEX(INVESTOR_LIST[INVESTOR NAME],MATCH(I11112,INVESTOR_LIST[INVESTOR CODE],0),)," ")</f>
        <v>SULTANA AFCHANA AFRIN</v>
      </c>
      <c r="I11112" s="148" t="s">
        <v>622</v>
      </c>
      <c r="J11112" s="133" t="s">
        <v>53</v>
      </c>
      <c r="K11112" s="218">
        <v>1802.8799999999992</v>
      </c>
      <c r="L11112" s="133"/>
    </row>
    <row r="11113" spans="1:17" ht="11.25" customHeight="1" x14ac:dyDescent="0.2">
      <c r="A11113" s="163">
        <v>2024</v>
      </c>
      <c r="B11113" s="163">
        <v>5</v>
      </c>
      <c r="C11113" s="163">
        <v>16</v>
      </c>
      <c r="D11113" s="280">
        <f t="shared" si="1570"/>
        <v>45428</v>
      </c>
      <c r="E11113" s="281">
        <f t="shared" si="1571"/>
        <v>45428</v>
      </c>
      <c r="F11113" s="480"/>
      <c r="G11113" s="221" t="s">
        <v>74</v>
      </c>
      <c r="H11113" s="145" t="str" cm="1">
        <f t="array" ref="H11113">IFERROR(INDEX(INVESTOR_LIST[INVESTOR NAME],MATCH(I11113,INVESTOR_LIST[INVESTOR CODE],0),)," ")</f>
        <v>SULTANA AFCHANA AFRIN</v>
      </c>
      <c r="I11113" s="145" t="s">
        <v>622</v>
      </c>
      <c r="J11113" s="163" t="s">
        <v>52</v>
      </c>
      <c r="K11113" s="219"/>
      <c r="L11113" s="219">
        <v>11402.88</v>
      </c>
    </row>
    <row r="11114" spans="1:17" x14ac:dyDescent="0.2">
      <c r="A11114" s="168">
        <v>2024</v>
      </c>
      <c r="B11114" s="168">
        <v>5</v>
      </c>
      <c r="C11114" s="168">
        <v>16</v>
      </c>
      <c r="D11114" s="141">
        <f t="shared" si="1570"/>
        <v>45428</v>
      </c>
      <c r="E11114" s="275">
        <f t="shared" si="1571"/>
        <v>45428</v>
      </c>
      <c r="F11114" s="479" t="s">
        <v>362</v>
      </c>
      <c r="G11114" s="220" t="s">
        <v>74</v>
      </c>
      <c r="H11114" s="220" t="str" cm="1">
        <f t="array" ref="H11114">IFERROR(INDEX(INVESTOR_LIST[INVESTOR NAME],MATCH(I11114,INVESTOR_LIST[INVESTOR CODE],0),)," ")</f>
        <v xml:space="preserve"> </v>
      </c>
      <c r="I11114" s="142" t="s">
        <v>348</v>
      </c>
      <c r="J11114" s="143" t="s">
        <v>104</v>
      </c>
      <c r="K11114" s="226">
        <v>2889.83</v>
      </c>
      <c r="L11114" s="226"/>
    </row>
    <row r="11115" spans="1:17" x14ac:dyDescent="0.2">
      <c r="A11115" s="133">
        <v>2024</v>
      </c>
      <c r="B11115" s="133">
        <v>5</v>
      </c>
      <c r="C11115" s="133">
        <v>16</v>
      </c>
      <c r="D11115" s="147">
        <f t="shared" ref="D11115" si="1572">DATE(A11115,B11115,C11115)</f>
        <v>45428</v>
      </c>
      <c r="E11115" s="311">
        <f t="shared" ref="E11115" si="1573">DATE(A11115,B11115,C11115)</f>
        <v>45428</v>
      </c>
      <c r="F11115" s="481"/>
      <c r="G11115" s="174" t="s">
        <v>74</v>
      </c>
      <c r="H11115" s="174"/>
      <c r="J11115" s="149" t="s">
        <v>534</v>
      </c>
      <c r="K11115" s="218"/>
      <c r="L11115" s="218">
        <v>288.98</v>
      </c>
    </row>
    <row r="11116" spans="1:17" x14ac:dyDescent="0.2">
      <c r="A11116" s="163">
        <v>2024</v>
      </c>
      <c r="B11116" s="163">
        <v>5</v>
      </c>
      <c r="C11116" s="163">
        <v>16</v>
      </c>
      <c r="D11116" s="147">
        <f t="shared" si="1570"/>
        <v>45428</v>
      </c>
      <c r="E11116" s="311">
        <f t="shared" si="1571"/>
        <v>45428</v>
      </c>
      <c r="F11116" s="480"/>
      <c r="G11116" s="221" t="s">
        <v>74</v>
      </c>
      <c r="H11116" s="221" t="str" cm="1">
        <f t="array" ref="H11116">IFERROR(INDEX(INVESTOR_LIST[INVESTOR NAME],MATCH(I11116,INVESTOR_LIST[INVESTOR CODE],0),)," ")</f>
        <v xml:space="preserve"> </v>
      </c>
      <c r="I11116" s="145" t="s">
        <v>348</v>
      </c>
      <c r="J11116" s="146" t="s">
        <v>52</v>
      </c>
      <c r="K11116" s="219"/>
      <c r="L11116" s="219">
        <v>2600.85</v>
      </c>
    </row>
    <row r="11117" spans="1:17" x14ac:dyDescent="0.2">
      <c r="A11117" s="133">
        <v>2024</v>
      </c>
      <c r="B11117" s="168">
        <v>5</v>
      </c>
      <c r="C11117" s="168">
        <v>16</v>
      </c>
      <c r="D11117" s="141">
        <f t="shared" si="1570"/>
        <v>45428</v>
      </c>
      <c r="E11117" s="275">
        <f t="shared" si="1571"/>
        <v>45428</v>
      </c>
      <c r="F11117" s="479" t="s">
        <v>275</v>
      </c>
      <c r="G11117" s="174" t="s">
        <v>74</v>
      </c>
      <c r="H11117" s="174" t="str" cm="1">
        <f t="array" ref="H11117">IFERROR(INDEX(INVESTOR_LIST[INVESTOR NAME],MATCH(I11117,INVESTOR_LIST[INVESTOR CODE],0),)," ")</f>
        <v xml:space="preserve"> </v>
      </c>
      <c r="I11117" s="148" t="s">
        <v>348</v>
      </c>
      <c r="J11117" s="149" t="s">
        <v>163</v>
      </c>
      <c r="K11117" s="218">
        <v>1575</v>
      </c>
      <c r="L11117" s="218"/>
      <c r="M11117" s="147"/>
      <c r="Q11117" s="133" t="s">
        <v>348</v>
      </c>
    </row>
    <row r="11118" spans="1:17" x14ac:dyDescent="0.2">
      <c r="A11118" s="133">
        <v>2024</v>
      </c>
      <c r="B11118" s="133">
        <v>5</v>
      </c>
      <c r="C11118" s="133">
        <v>16</v>
      </c>
      <c r="D11118" s="141">
        <f t="shared" si="1570"/>
        <v>45428</v>
      </c>
      <c r="E11118" s="275">
        <f t="shared" si="1571"/>
        <v>45428</v>
      </c>
      <c r="F11118" s="481"/>
      <c r="G11118" s="174" t="s">
        <v>74</v>
      </c>
      <c r="H11118" s="174"/>
      <c r="J11118" s="149" t="s">
        <v>1907</v>
      </c>
      <c r="K11118" s="218"/>
      <c r="L11118" s="218">
        <v>150</v>
      </c>
      <c r="M11118" s="147"/>
    </row>
    <row r="11119" spans="1:17" x14ac:dyDescent="0.2">
      <c r="A11119" s="163">
        <v>2024</v>
      </c>
      <c r="B11119" s="163">
        <v>5</v>
      </c>
      <c r="C11119" s="163">
        <v>16</v>
      </c>
      <c r="D11119" s="280">
        <f t="shared" si="1570"/>
        <v>45428</v>
      </c>
      <c r="E11119" s="281">
        <f t="shared" si="1571"/>
        <v>45428</v>
      </c>
      <c r="F11119" s="480"/>
      <c r="G11119" s="221" t="s">
        <v>74</v>
      </c>
      <c r="H11119" s="221" t="str" cm="1">
        <f t="array" ref="H11119">IFERROR(INDEX(INVESTOR_LIST[INVESTOR NAME],MATCH(I11119,INVESTOR_LIST[INVESTOR CODE],0),)," ")</f>
        <v xml:space="preserve"> </v>
      </c>
      <c r="I11119" s="145"/>
      <c r="J11119" s="146" t="s">
        <v>52</v>
      </c>
      <c r="K11119" s="219"/>
      <c r="L11119" s="219">
        <v>1425</v>
      </c>
      <c r="M11119" s="147"/>
      <c r="Q11119" s="133" t="s">
        <v>348</v>
      </c>
    </row>
    <row r="11120" spans="1:17" x14ac:dyDescent="0.2">
      <c r="A11120" s="343">
        <v>2024</v>
      </c>
      <c r="B11120" s="343">
        <v>5</v>
      </c>
      <c r="C11120" s="343">
        <v>16</v>
      </c>
      <c r="D11120" s="344">
        <f t="shared" si="1570"/>
        <v>45428</v>
      </c>
      <c r="E11120" s="345">
        <f t="shared" si="1571"/>
        <v>45428</v>
      </c>
      <c r="F11120" s="483" t="s">
        <v>1813</v>
      </c>
      <c r="G11120" s="350" t="s">
        <v>94</v>
      </c>
      <c r="H11120" s="350" t="str" cm="1">
        <f t="array" ref="H11120">IFERROR(INDEX(INVESTOR_LIST[INVESTOR NAME],MATCH(I11120,INVESTOR_LIST[INVESTOR CODE],0),)," ")</f>
        <v xml:space="preserve"> </v>
      </c>
      <c r="I11120" s="352" t="s">
        <v>348</v>
      </c>
      <c r="J11120" s="353" t="s">
        <v>1798</v>
      </c>
      <c r="K11120" s="354">
        <v>51608</v>
      </c>
      <c r="L11120" s="354"/>
    </row>
    <row r="11121" spans="1:13" x14ac:dyDescent="0.2">
      <c r="A11121" s="346">
        <v>2024</v>
      </c>
      <c r="B11121" s="346">
        <v>5</v>
      </c>
      <c r="C11121" s="346">
        <v>16</v>
      </c>
      <c r="D11121" s="344">
        <f t="shared" si="1570"/>
        <v>45428</v>
      </c>
      <c r="E11121" s="345">
        <f t="shared" si="1571"/>
        <v>45428</v>
      </c>
      <c r="F11121" s="484"/>
      <c r="G11121" s="347" t="s">
        <v>94</v>
      </c>
      <c r="H11121" s="347" t="str" cm="1">
        <f t="array" ref="H11121">IFERROR(INDEX(INVESTOR_LIST[INVESTOR NAME],MATCH(I11121,INVESTOR_LIST[INVESTOR CODE],0),)," ")</f>
        <v xml:space="preserve"> </v>
      </c>
      <c r="I11121" s="348" t="s">
        <v>348</v>
      </c>
      <c r="J11121" s="355" t="s">
        <v>1807</v>
      </c>
      <c r="K11121" s="349"/>
      <c r="L11121" s="349">
        <f>K11120</f>
        <v>51608</v>
      </c>
    </row>
    <row r="11122" spans="1:13" x14ac:dyDescent="0.2">
      <c r="A11122" s="343">
        <v>2024</v>
      </c>
      <c r="B11122" s="343">
        <v>5</v>
      </c>
      <c r="C11122" s="343">
        <v>16</v>
      </c>
      <c r="D11122" s="344">
        <f t="shared" si="1570"/>
        <v>45428</v>
      </c>
      <c r="E11122" s="345">
        <f t="shared" si="1571"/>
        <v>45428</v>
      </c>
      <c r="F11122" s="483" t="s">
        <v>1913</v>
      </c>
      <c r="G11122" s="350" t="s">
        <v>94</v>
      </c>
      <c r="H11122" s="350" t="str" cm="1">
        <f t="array" ref="H11122">IFERROR(INDEX(INVESTOR_LIST[INVESTOR NAME],MATCH(I11122,INVESTOR_LIST[INVESTOR CODE],0),)," ")</f>
        <v xml:space="preserve"> </v>
      </c>
      <c r="I11122" s="352" t="s">
        <v>348</v>
      </c>
      <c r="J11122" s="353" t="s">
        <v>1799</v>
      </c>
      <c r="K11122" s="354">
        <v>24291.150000000373</v>
      </c>
      <c r="L11122" s="354"/>
    </row>
    <row r="11123" spans="1:13" x14ac:dyDescent="0.2">
      <c r="A11123" s="346">
        <v>2024</v>
      </c>
      <c r="B11123" s="346">
        <v>5</v>
      </c>
      <c r="C11123" s="346">
        <v>16</v>
      </c>
      <c r="D11123" s="344">
        <f t="shared" si="1570"/>
        <v>45428</v>
      </c>
      <c r="E11123" s="345">
        <f t="shared" si="1571"/>
        <v>45428</v>
      </c>
      <c r="F11123" s="484"/>
      <c r="G11123" s="347" t="s">
        <v>94</v>
      </c>
      <c r="H11123" s="347" t="str" cm="1">
        <f t="array" ref="H11123">IFERROR(INDEX(INVESTOR_LIST[INVESTOR NAME],MATCH(I11123,INVESTOR_LIST[INVESTOR CODE],0),)," ")</f>
        <v xml:space="preserve"> </v>
      </c>
      <c r="I11123" s="348" t="s">
        <v>348</v>
      </c>
      <c r="J11123" s="355" t="s">
        <v>1808</v>
      </c>
      <c r="K11123" s="349"/>
      <c r="L11123" s="349">
        <f>K11122</f>
        <v>24291.150000000373</v>
      </c>
    </row>
    <row r="11124" spans="1:13" x14ac:dyDescent="0.2">
      <c r="A11124" s="238">
        <v>2024</v>
      </c>
      <c r="B11124" s="238">
        <v>5</v>
      </c>
      <c r="C11124" s="238">
        <v>16</v>
      </c>
      <c r="D11124" s="270">
        <f t="shared" si="1570"/>
        <v>45428</v>
      </c>
      <c r="E11124" s="279">
        <f t="shared" si="1571"/>
        <v>45428</v>
      </c>
      <c r="F11124" s="477" t="s">
        <v>347</v>
      </c>
      <c r="G11124" s="239" t="s">
        <v>94</v>
      </c>
      <c r="H11124" s="239" t="str" cm="1">
        <f t="array" ref="H11124">IFERROR(INDEX(INVESTOR_LIST[INVESTOR NAME],MATCH(I11124,INVESTOR_LIST[INVESTOR CODE],0),)," ")</f>
        <v xml:space="preserve"> </v>
      </c>
      <c r="I11124" s="262" t="s">
        <v>348</v>
      </c>
      <c r="J11124" s="240" t="s">
        <v>108</v>
      </c>
      <c r="K11124" s="241">
        <v>827818.11999999732</v>
      </c>
      <c r="L11124" s="241"/>
    </row>
    <row r="11125" spans="1:13" x14ac:dyDescent="0.2">
      <c r="A11125" s="242">
        <v>2024</v>
      </c>
      <c r="B11125" s="242">
        <v>5</v>
      </c>
      <c r="C11125" s="242">
        <v>16</v>
      </c>
      <c r="D11125" s="270">
        <f t="shared" si="1570"/>
        <v>45428</v>
      </c>
      <c r="E11125" s="279">
        <f t="shared" si="1571"/>
        <v>45428</v>
      </c>
      <c r="F11125" s="478"/>
      <c r="G11125" s="243" t="s">
        <v>94</v>
      </c>
      <c r="H11125" s="243" t="str" cm="1">
        <f t="array" ref="H11125">IFERROR(INDEX(INVESTOR_LIST[INVESTOR NAME],MATCH(I11125,INVESTOR_LIST[INVESTOR CODE],0),)," ")</f>
        <v xml:space="preserve"> </v>
      </c>
      <c r="I11125" s="263" t="s">
        <v>348</v>
      </c>
      <c r="J11125" s="244" t="s">
        <v>82</v>
      </c>
      <c r="K11125" s="245"/>
      <c r="L11125" s="245">
        <f>K11124</f>
        <v>827818.11999999732</v>
      </c>
    </row>
    <row r="11126" spans="1:13" ht="12.75" customHeight="1" x14ac:dyDescent="0.2">
      <c r="A11126" s="246">
        <v>2024</v>
      </c>
      <c r="B11126" s="238">
        <v>5</v>
      </c>
      <c r="C11126" s="238">
        <v>16</v>
      </c>
      <c r="D11126" s="270">
        <f t="shared" si="1570"/>
        <v>45428</v>
      </c>
      <c r="E11126" s="279">
        <f t="shared" si="1571"/>
        <v>45428</v>
      </c>
      <c r="F11126" s="482" t="s">
        <v>148</v>
      </c>
      <c r="G11126" s="247" t="s">
        <v>94</v>
      </c>
      <c r="H11126" s="247" t="str" cm="1">
        <f t="array" ref="H11126">IFERROR(INDEX(INVESTOR_LIST[INVESTOR NAME],MATCH(I11126,INVESTOR_LIST[INVESTOR CODE],0),)," ")</f>
        <v xml:space="preserve"> </v>
      </c>
      <c r="I11126" s="248" t="s">
        <v>348</v>
      </c>
      <c r="J11126" s="249" t="s">
        <v>95</v>
      </c>
      <c r="K11126" s="250">
        <v>2747.2527472527472</v>
      </c>
      <c r="L11126" s="241"/>
    </row>
    <row r="11127" spans="1:13" x14ac:dyDescent="0.2">
      <c r="A11127" s="242">
        <v>2024</v>
      </c>
      <c r="B11127" s="242">
        <v>5</v>
      </c>
      <c r="C11127" s="242">
        <v>16</v>
      </c>
      <c r="D11127" s="270">
        <f t="shared" si="1570"/>
        <v>45428</v>
      </c>
      <c r="E11127" s="279">
        <f t="shared" si="1571"/>
        <v>45428</v>
      </c>
      <c r="F11127" s="478"/>
      <c r="G11127" s="243" t="s">
        <v>94</v>
      </c>
      <c r="H11127" s="243" t="str" cm="1">
        <f t="array" ref="H11127">IFERROR(INDEX(INVESTOR_LIST[INVESTOR NAME],MATCH(I11127,INVESTOR_LIST[INVESTOR CODE],0),)," ")</f>
        <v xml:space="preserve"> </v>
      </c>
      <c r="I11127" s="263" t="s">
        <v>348</v>
      </c>
      <c r="J11127" s="244" t="s">
        <v>63</v>
      </c>
      <c r="K11127" s="245"/>
      <c r="L11127" s="245">
        <v>2747.2527472527472</v>
      </c>
    </row>
    <row r="11128" spans="1:13" x14ac:dyDescent="0.2">
      <c r="A11128" s="246">
        <v>2024</v>
      </c>
      <c r="B11128" s="238">
        <v>5</v>
      </c>
      <c r="C11128" s="238">
        <v>16</v>
      </c>
      <c r="D11128" s="270">
        <f t="shared" si="1570"/>
        <v>45428</v>
      </c>
      <c r="E11128" s="279">
        <f t="shared" si="1571"/>
        <v>45428</v>
      </c>
      <c r="F11128" s="482" t="s">
        <v>137</v>
      </c>
      <c r="G11128" s="247" t="s">
        <v>94</v>
      </c>
      <c r="H11128" s="247" t="str" cm="1">
        <f t="array" ref="H11128">IFERROR(INDEX(INVESTOR_LIST[INVESTOR NAME],MATCH(I11128,INVESTOR_LIST[INVESTOR CODE],0),)," ")</f>
        <v xml:space="preserve"> </v>
      </c>
      <c r="I11128" s="248" t="s">
        <v>348</v>
      </c>
      <c r="J11128" s="249" t="s">
        <v>97</v>
      </c>
      <c r="K11128" s="250">
        <f>M11128</f>
        <v>53929.066794922997</v>
      </c>
      <c r="L11128" s="252"/>
      <c r="M11128" s="264">
        <v>53929.066794922997</v>
      </c>
    </row>
    <row r="11129" spans="1:13" x14ac:dyDescent="0.2">
      <c r="A11129" s="242">
        <v>2024</v>
      </c>
      <c r="B11129" s="242">
        <v>5</v>
      </c>
      <c r="C11129" s="242">
        <v>16</v>
      </c>
      <c r="D11129" s="270">
        <f t="shared" si="1570"/>
        <v>45428</v>
      </c>
      <c r="E11129" s="279">
        <f t="shared" si="1571"/>
        <v>45428</v>
      </c>
      <c r="F11129" s="478"/>
      <c r="G11129" s="243" t="s">
        <v>94</v>
      </c>
      <c r="H11129" s="243" t="str" cm="1">
        <f t="array" ref="H11129">IFERROR(INDEX(INVESTOR_LIST[INVESTOR NAME],MATCH(I11129,INVESTOR_LIST[INVESTOR CODE],0),)," ")</f>
        <v xml:space="preserve"> </v>
      </c>
      <c r="I11129" s="263" t="s">
        <v>348</v>
      </c>
      <c r="J11129" s="244" t="s">
        <v>47</v>
      </c>
      <c r="K11129" s="245"/>
      <c r="L11129" s="245">
        <f>K11128</f>
        <v>53929.066794922997</v>
      </c>
      <c r="M11129" s="264">
        <v>2456.0687243615344</v>
      </c>
    </row>
    <row r="11130" spans="1:13" x14ac:dyDescent="0.2">
      <c r="A11130" s="246">
        <v>2024</v>
      </c>
      <c r="B11130" s="238">
        <v>5</v>
      </c>
      <c r="C11130" s="238">
        <v>16</v>
      </c>
      <c r="D11130" s="270">
        <f t="shared" si="1570"/>
        <v>45428</v>
      </c>
      <c r="E11130" s="279">
        <f t="shared" si="1571"/>
        <v>45428</v>
      </c>
      <c r="F11130" s="482" t="s">
        <v>138</v>
      </c>
      <c r="G11130" s="247" t="s">
        <v>94</v>
      </c>
      <c r="H11130" s="247" t="str" cm="1">
        <f t="array" ref="H11130">IFERROR(INDEX(INVESTOR_LIST[INVESTOR NAME],MATCH(I11130,INVESTOR_LIST[INVESTOR CODE],0),)," ")</f>
        <v xml:space="preserve"> </v>
      </c>
      <c r="I11130" s="248" t="s">
        <v>348</v>
      </c>
      <c r="J11130" s="249" t="s">
        <v>100</v>
      </c>
      <c r="K11130" s="250">
        <f>M11129</f>
        <v>2456.0687243615344</v>
      </c>
      <c r="L11130" s="252"/>
    </row>
    <row r="11131" spans="1:13" x14ac:dyDescent="0.2">
      <c r="A11131" s="242">
        <v>2024</v>
      </c>
      <c r="B11131" s="242">
        <v>5</v>
      </c>
      <c r="C11131" s="242">
        <v>16</v>
      </c>
      <c r="D11131" s="321">
        <f t="shared" si="1570"/>
        <v>45428</v>
      </c>
      <c r="E11131" s="322">
        <f t="shared" si="1571"/>
        <v>45428</v>
      </c>
      <c r="F11131" s="478"/>
      <c r="G11131" s="243" t="s">
        <v>94</v>
      </c>
      <c r="H11131" s="243" t="str" cm="1">
        <f t="array" ref="H11131">IFERROR(INDEX(INVESTOR_LIST[INVESTOR NAME],MATCH(I11131,INVESTOR_LIST[INVESTOR CODE],0),)," ")</f>
        <v xml:space="preserve"> </v>
      </c>
      <c r="I11131" s="263" t="s">
        <v>348</v>
      </c>
      <c r="J11131" s="244" t="s">
        <v>48</v>
      </c>
      <c r="K11131" s="245"/>
      <c r="L11131" s="245">
        <f>K11130</f>
        <v>2456.0687243615344</v>
      </c>
    </row>
    <row r="11132" spans="1:13" ht="11.25" customHeight="1" x14ac:dyDescent="0.2">
      <c r="A11132" s="168">
        <v>2024</v>
      </c>
      <c r="B11132" s="168">
        <v>5</v>
      </c>
      <c r="C11132" s="168">
        <v>19</v>
      </c>
      <c r="D11132" s="141">
        <f t="shared" ref="D11132:D11134" si="1574">DATE(A11132,B11132,C11132)</f>
        <v>45431</v>
      </c>
      <c r="E11132" s="275">
        <f t="shared" ref="E11132:E11134" si="1575">DATE(A11132,B11132,C11132)</f>
        <v>45431</v>
      </c>
      <c r="F11132" s="479" t="s">
        <v>965</v>
      </c>
      <c r="G11132" s="220" t="s">
        <v>74</v>
      </c>
      <c r="H11132" s="142" t="str" cm="1">
        <f t="array" ref="H11132">IFERROR(INDEX(INVESTOR_LIST[INVESTOR NAME],MATCH(I11132,INVESTOR_LIST[INVESTOR CODE],0),)," ")</f>
        <v>MAHMUDUL HASSAN</v>
      </c>
      <c r="I11132" s="142" t="s">
        <v>758</v>
      </c>
      <c r="J11132" s="168" t="s">
        <v>13</v>
      </c>
      <c r="K11132" s="218">
        <v>40000</v>
      </c>
      <c r="L11132" s="226"/>
    </row>
    <row r="11133" spans="1:13" ht="11.25" customHeight="1" x14ac:dyDescent="0.2">
      <c r="A11133" s="133">
        <v>2024</v>
      </c>
      <c r="B11133" s="133">
        <v>5</v>
      </c>
      <c r="C11133" s="133">
        <v>19</v>
      </c>
      <c r="D11133" s="141">
        <f t="shared" si="1574"/>
        <v>45431</v>
      </c>
      <c r="E11133" s="275">
        <f t="shared" si="1575"/>
        <v>45431</v>
      </c>
      <c r="F11133" s="481"/>
      <c r="G11133" s="174" t="s">
        <v>74</v>
      </c>
      <c r="H11133" s="148" t="str" cm="1">
        <f t="array" ref="H11133">IFERROR(INDEX(INVESTOR_LIST[INVESTOR NAME],MATCH(I11133,INVESTOR_LIST[INVESTOR CODE],0),)," ")</f>
        <v>MAHMUDUL HASSAN</v>
      </c>
      <c r="I11133" s="148" t="s">
        <v>758</v>
      </c>
      <c r="J11133" s="133" t="s">
        <v>53</v>
      </c>
      <c r="K11133" s="218">
        <v>7920</v>
      </c>
      <c r="L11133" s="133"/>
    </row>
    <row r="11134" spans="1:13" ht="11.25" customHeight="1" x14ac:dyDescent="0.2">
      <c r="A11134" s="163">
        <v>2024</v>
      </c>
      <c r="B11134" s="163">
        <v>5</v>
      </c>
      <c r="C11134" s="163">
        <v>19</v>
      </c>
      <c r="D11134" s="280">
        <f t="shared" si="1574"/>
        <v>45431</v>
      </c>
      <c r="E11134" s="281">
        <f t="shared" si="1575"/>
        <v>45431</v>
      </c>
      <c r="F11134" s="480"/>
      <c r="G11134" s="221" t="s">
        <v>74</v>
      </c>
      <c r="H11134" s="145" t="str" cm="1">
        <f t="array" ref="H11134">IFERROR(INDEX(INVESTOR_LIST[INVESTOR NAME],MATCH(I11134,INVESTOR_LIST[INVESTOR CODE],0),)," ")</f>
        <v>MAHMUDUL HASSAN</v>
      </c>
      <c r="I11134" s="145" t="s">
        <v>758</v>
      </c>
      <c r="J11134" s="163" t="s">
        <v>52</v>
      </c>
      <c r="K11134" s="219"/>
      <c r="L11134" s="219">
        <v>47920</v>
      </c>
    </row>
    <row r="11135" spans="1:13" ht="11.25" customHeight="1" x14ac:dyDescent="0.2">
      <c r="A11135" s="168">
        <v>2024</v>
      </c>
      <c r="B11135" s="168">
        <v>5</v>
      </c>
      <c r="C11135" s="168">
        <v>20</v>
      </c>
      <c r="D11135" s="141">
        <f t="shared" ref="D11135:D11137" si="1576">DATE(A11135,B11135,C11135)</f>
        <v>45432</v>
      </c>
      <c r="E11135" s="275">
        <f t="shared" ref="E11135:E11137" si="1577">DATE(A11135,B11135,C11135)</f>
        <v>45432</v>
      </c>
      <c r="F11135" s="479" t="s">
        <v>1310</v>
      </c>
      <c r="G11135" s="220" t="s">
        <v>74</v>
      </c>
      <c r="H11135" s="142" t="str" cm="1">
        <f t="array" ref="H11135">IFERROR(INDEX(INVESTOR_LIST[INVESTOR NAME],MATCH(I11135,INVESTOR_LIST[INVESTOR CODE],0),)," ")</f>
        <v>MD. RAFIQUR RAHMAN</v>
      </c>
      <c r="I11135" s="142" t="s">
        <v>839</v>
      </c>
      <c r="J11135" s="168" t="s">
        <v>13</v>
      </c>
      <c r="K11135" s="218">
        <v>204340</v>
      </c>
      <c r="L11135" s="226"/>
    </row>
    <row r="11136" spans="1:13" ht="11.25" customHeight="1" x14ac:dyDescent="0.2">
      <c r="A11136" s="133">
        <v>2024</v>
      </c>
      <c r="B11136" s="133">
        <v>5</v>
      </c>
      <c r="C11136" s="133">
        <v>20</v>
      </c>
      <c r="D11136" s="141">
        <f t="shared" si="1576"/>
        <v>45432</v>
      </c>
      <c r="E11136" s="275">
        <f t="shared" si="1577"/>
        <v>45432</v>
      </c>
      <c r="F11136" s="481"/>
      <c r="G11136" s="174" t="s">
        <v>74</v>
      </c>
      <c r="H11136" s="148" t="str" cm="1">
        <f t="array" ref="H11136">IFERROR(INDEX(INVESTOR_LIST[INVESTOR NAME],MATCH(I11136,INVESTOR_LIST[INVESTOR CODE],0),)," ")</f>
        <v>MD. RAFIQUR RAHMAN</v>
      </c>
      <c r="I11136" s="148" t="s">
        <v>839</v>
      </c>
      <c r="J11136" s="133" t="s">
        <v>53</v>
      </c>
      <c r="K11136" s="218">
        <v>40459.320000000007</v>
      </c>
      <c r="L11136" s="133"/>
    </row>
    <row r="11137" spans="1:14" ht="11.25" customHeight="1" x14ac:dyDescent="0.2">
      <c r="A11137" s="163">
        <v>2024</v>
      </c>
      <c r="B11137" s="163">
        <v>5</v>
      </c>
      <c r="C11137" s="163">
        <v>20</v>
      </c>
      <c r="D11137" s="280">
        <f t="shared" si="1576"/>
        <v>45432</v>
      </c>
      <c r="E11137" s="281">
        <f t="shared" si="1577"/>
        <v>45432</v>
      </c>
      <c r="F11137" s="480"/>
      <c r="G11137" s="221" t="s">
        <v>74</v>
      </c>
      <c r="H11137" s="145" t="str" cm="1">
        <f t="array" ref="H11137">IFERROR(INDEX(INVESTOR_LIST[INVESTOR NAME],MATCH(I11137,INVESTOR_LIST[INVESTOR CODE],0),)," ")</f>
        <v>MD. RAFIQUR RAHMAN</v>
      </c>
      <c r="I11137" s="145" t="s">
        <v>839</v>
      </c>
      <c r="J11137" s="163" t="s">
        <v>52</v>
      </c>
      <c r="K11137" s="219"/>
      <c r="L11137" s="219">
        <v>244799.32</v>
      </c>
    </row>
    <row r="11138" spans="1:14" x14ac:dyDescent="0.2">
      <c r="A11138" s="133">
        <v>2024</v>
      </c>
      <c r="B11138" s="168">
        <v>5</v>
      </c>
      <c r="C11138" s="168">
        <v>20</v>
      </c>
      <c r="D11138" s="141">
        <f t="shared" si="1570"/>
        <v>45432</v>
      </c>
      <c r="E11138" s="275">
        <f t="shared" si="1571"/>
        <v>45432</v>
      </c>
      <c r="F11138" s="481" t="s">
        <v>982</v>
      </c>
      <c r="G11138" s="174" t="s">
        <v>74</v>
      </c>
      <c r="H11138" s="174" t="str" cm="1">
        <f t="array" ref="H11138">IFERROR(INDEX(INVESTOR_LIST[INVESTOR NAME],MATCH(I11138,INVESTOR_LIST[INVESTOR CODE],0),)," ")</f>
        <v xml:space="preserve"> </v>
      </c>
      <c r="I11138" s="148" t="s">
        <v>348</v>
      </c>
      <c r="J11138" s="149" t="s">
        <v>163</v>
      </c>
      <c r="K11138" s="218">
        <v>10062.5</v>
      </c>
      <c r="L11138" s="218"/>
    </row>
    <row r="11139" spans="1:14" x14ac:dyDescent="0.2">
      <c r="A11139" s="133">
        <v>2024</v>
      </c>
      <c r="B11139" s="133">
        <v>5</v>
      </c>
      <c r="C11139" s="133">
        <v>20</v>
      </c>
      <c r="D11139" s="141">
        <f t="shared" si="1570"/>
        <v>45432</v>
      </c>
      <c r="E11139" s="275">
        <f t="shared" si="1571"/>
        <v>45432</v>
      </c>
      <c r="F11139" s="481"/>
      <c r="G11139" s="174" t="s">
        <v>201</v>
      </c>
      <c r="H11139" s="174"/>
      <c r="J11139" s="149" t="s">
        <v>1906</v>
      </c>
      <c r="K11139" s="218"/>
      <c r="L11139" s="218">
        <v>438.5</v>
      </c>
      <c r="N11139" s="373"/>
    </row>
    <row r="11140" spans="1:14" x14ac:dyDescent="0.2">
      <c r="A11140" s="163">
        <v>2024</v>
      </c>
      <c r="B11140" s="163">
        <v>5</v>
      </c>
      <c r="C11140" s="163">
        <v>20</v>
      </c>
      <c r="D11140" s="280">
        <f t="shared" si="1570"/>
        <v>45432</v>
      </c>
      <c r="E11140" s="281">
        <f t="shared" si="1571"/>
        <v>45432</v>
      </c>
      <c r="F11140" s="480"/>
      <c r="G11140" s="221" t="s">
        <v>74</v>
      </c>
      <c r="H11140" s="221" t="str" cm="1">
        <f t="array" ref="H11140">IFERROR(INDEX(INVESTOR_LIST[INVESTOR NAME],MATCH(I11140,INVESTOR_LIST[INVESTOR CODE],0),)," ")</f>
        <v xml:space="preserve"> </v>
      </c>
      <c r="I11140" s="145" t="s">
        <v>348</v>
      </c>
      <c r="J11140" s="146" t="s">
        <v>52</v>
      </c>
      <c r="K11140" s="219"/>
      <c r="L11140" s="219">
        <v>9624</v>
      </c>
      <c r="N11140" s="373"/>
    </row>
    <row r="11141" spans="1:14" ht="11.25" customHeight="1" x14ac:dyDescent="0.2">
      <c r="A11141" s="168">
        <v>2024</v>
      </c>
      <c r="B11141" s="168">
        <v>5</v>
      </c>
      <c r="C11141" s="168">
        <v>21</v>
      </c>
      <c r="D11141" s="141">
        <f t="shared" si="1570"/>
        <v>45433</v>
      </c>
      <c r="E11141" s="275">
        <f t="shared" si="1571"/>
        <v>45433</v>
      </c>
      <c r="F11141" s="479" t="s">
        <v>1310</v>
      </c>
      <c r="G11141" s="220" t="s">
        <v>74</v>
      </c>
      <c r="H11141" s="142" t="str" cm="1">
        <f t="array" ref="H11141">IFERROR(INDEX(INVESTOR_LIST[INVESTOR NAME],MATCH(I11141,INVESTOR_LIST[INVESTOR CODE],0),)," ")</f>
        <v>MD SHAFIUL AZAM</v>
      </c>
      <c r="I11141" s="142" t="s">
        <v>711</v>
      </c>
      <c r="J11141" s="168" t="s">
        <v>13</v>
      </c>
      <c r="K11141" s="218">
        <v>137780</v>
      </c>
      <c r="L11141" s="226"/>
    </row>
    <row r="11142" spans="1:14" ht="11.25" customHeight="1" x14ac:dyDescent="0.2">
      <c r="A11142" s="133">
        <v>2024</v>
      </c>
      <c r="B11142" s="133">
        <v>5</v>
      </c>
      <c r="C11142" s="133">
        <v>21</v>
      </c>
      <c r="D11142" s="141">
        <f t="shared" si="1570"/>
        <v>45433</v>
      </c>
      <c r="E11142" s="275">
        <f t="shared" si="1571"/>
        <v>45433</v>
      </c>
      <c r="F11142" s="481"/>
      <c r="G11142" s="174" t="s">
        <v>74</v>
      </c>
      <c r="H11142" s="148" t="str" cm="1">
        <f t="array" ref="H11142">IFERROR(INDEX(INVESTOR_LIST[INVESTOR NAME],MATCH(I11142,INVESTOR_LIST[INVESTOR CODE],0),)," ")</f>
        <v>MD SHAFIUL AZAM</v>
      </c>
      <c r="I11142" s="148" t="s">
        <v>711</v>
      </c>
      <c r="J11142" s="133" t="s">
        <v>53</v>
      </c>
      <c r="K11142" s="218">
        <v>27280.440000000002</v>
      </c>
      <c r="L11142" s="133"/>
    </row>
    <row r="11143" spans="1:14" ht="11.25" customHeight="1" x14ac:dyDescent="0.2">
      <c r="A11143" s="163">
        <v>2024</v>
      </c>
      <c r="B11143" s="163">
        <v>5</v>
      </c>
      <c r="C11143" s="163">
        <v>21</v>
      </c>
      <c r="D11143" s="280">
        <f t="shared" si="1570"/>
        <v>45433</v>
      </c>
      <c r="E11143" s="281">
        <f t="shared" si="1571"/>
        <v>45433</v>
      </c>
      <c r="F11143" s="480"/>
      <c r="G11143" s="221" t="s">
        <v>74</v>
      </c>
      <c r="H11143" s="145" t="str" cm="1">
        <f t="array" ref="H11143">IFERROR(INDEX(INVESTOR_LIST[INVESTOR NAME],MATCH(I11143,INVESTOR_LIST[INVESTOR CODE],0),)," ")</f>
        <v>MD SHAFIUL AZAM</v>
      </c>
      <c r="I11143" s="145" t="s">
        <v>711</v>
      </c>
      <c r="J11143" s="163" t="s">
        <v>52</v>
      </c>
      <c r="K11143" s="219"/>
      <c r="L11143" s="219">
        <v>165060.44</v>
      </c>
    </row>
    <row r="11144" spans="1:14" x14ac:dyDescent="0.2">
      <c r="A11144" s="343">
        <v>2024</v>
      </c>
      <c r="B11144" s="343">
        <v>5</v>
      </c>
      <c r="C11144" s="343">
        <v>23</v>
      </c>
      <c r="D11144" s="344">
        <f t="shared" ref="D11144:D11165" si="1578">DATE(A11144,B11144,C11144)</f>
        <v>45435</v>
      </c>
      <c r="E11144" s="345">
        <f t="shared" ref="E11144:E11165" si="1579">DATE(A11144,B11144,C11144)</f>
        <v>45435</v>
      </c>
      <c r="F11144" s="483" t="s">
        <v>1813</v>
      </c>
      <c r="G11144" s="350" t="s">
        <v>94</v>
      </c>
      <c r="H11144" s="350" t="str" cm="1">
        <f t="array" ref="H11144">IFERROR(INDEX(INVESTOR_LIST[INVESTOR NAME],MATCH(I11144,INVESTOR_LIST[INVESTOR CODE],0),)," ")</f>
        <v xml:space="preserve"> </v>
      </c>
      <c r="I11144" s="352" t="s">
        <v>348</v>
      </c>
      <c r="J11144" s="353" t="s">
        <v>1798</v>
      </c>
      <c r="K11144" s="354">
        <v>55527.999999996275</v>
      </c>
      <c r="L11144" s="354"/>
    </row>
    <row r="11145" spans="1:14" x14ac:dyDescent="0.2">
      <c r="A11145" s="346">
        <v>2024</v>
      </c>
      <c r="B11145" s="346">
        <v>5</v>
      </c>
      <c r="C11145" s="346">
        <v>23</v>
      </c>
      <c r="D11145" s="344">
        <f t="shared" si="1578"/>
        <v>45435</v>
      </c>
      <c r="E11145" s="345">
        <f t="shared" si="1579"/>
        <v>45435</v>
      </c>
      <c r="F11145" s="484"/>
      <c r="G11145" s="347" t="s">
        <v>94</v>
      </c>
      <c r="H11145" s="347" t="str" cm="1">
        <f t="array" ref="H11145">IFERROR(INDEX(INVESTOR_LIST[INVESTOR NAME],MATCH(I11145,INVESTOR_LIST[INVESTOR CODE],0),)," ")</f>
        <v xml:space="preserve"> </v>
      </c>
      <c r="I11145" s="348" t="s">
        <v>348</v>
      </c>
      <c r="J11145" s="355" t="s">
        <v>1807</v>
      </c>
      <c r="K11145" s="349"/>
      <c r="L11145" s="349">
        <f>K11144</f>
        <v>55527.999999996275</v>
      </c>
    </row>
    <row r="11146" spans="1:14" x14ac:dyDescent="0.2">
      <c r="A11146" s="343">
        <v>2024</v>
      </c>
      <c r="B11146" s="343">
        <v>5</v>
      </c>
      <c r="C11146" s="343">
        <v>23</v>
      </c>
      <c r="D11146" s="344">
        <f t="shared" si="1578"/>
        <v>45435</v>
      </c>
      <c r="E11146" s="345">
        <f t="shared" si="1579"/>
        <v>45435</v>
      </c>
      <c r="F11146" s="483" t="s">
        <v>1913</v>
      </c>
      <c r="G11146" s="350" t="s">
        <v>94</v>
      </c>
      <c r="H11146" s="350" t="str" cm="1">
        <f t="array" ref="H11146">IFERROR(INDEX(INVESTOR_LIST[INVESTOR NAME],MATCH(I11146,INVESTOR_LIST[INVESTOR CODE],0),)," ")</f>
        <v xml:space="preserve"> </v>
      </c>
      <c r="I11146" s="352" t="s">
        <v>348</v>
      </c>
      <c r="J11146" s="353" t="s">
        <v>1799</v>
      </c>
      <c r="K11146" s="354">
        <v>34551.150000000373</v>
      </c>
      <c r="L11146" s="354"/>
    </row>
    <row r="11147" spans="1:14" x14ac:dyDescent="0.2">
      <c r="A11147" s="346">
        <v>2024</v>
      </c>
      <c r="B11147" s="346">
        <v>5</v>
      </c>
      <c r="C11147" s="346">
        <v>23</v>
      </c>
      <c r="D11147" s="344">
        <f t="shared" si="1578"/>
        <v>45435</v>
      </c>
      <c r="E11147" s="345">
        <f t="shared" si="1579"/>
        <v>45435</v>
      </c>
      <c r="F11147" s="484"/>
      <c r="G11147" s="347" t="s">
        <v>94</v>
      </c>
      <c r="H11147" s="347" t="str" cm="1">
        <f t="array" ref="H11147">IFERROR(INDEX(INVESTOR_LIST[INVESTOR NAME],MATCH(I11147,INVESTOR_LIST[INVESTOR CODE],0),)," ")</f>
        <v xml:space="preserve"> </v>
      </c>
      <c r="I11147" s="348" t="s">
        <v>348</v>
      </c>
      <c r="J11147" s="355" t="s">
        <v>1808</v>
      </c>
      <c r="K11147" s="349"/>
      <c r="L11147" s="349">
        <f>K11146</f>
        <v>34551.150000000373</v>
      </c>
    </row>
    <row r="11148" spans="1:14" x14ac:dyDescent="0.2">
      <c r="A11148" s="238">
        <v>2024</v>
      </c>
      <c r="B11148" s="238">
        <v>5</v>
      </c>
      <c r="C11148" s="238">
        <v>23</v>
      </c>
      <c r="D11148" s="270">
        <f t="shared" si="1578"/>
        <v>45435</v>
      </c>
      <c r="E11148" s="279">
        <f t="shared" si="1579"/>
        <v>45435</v>
      </c>
      <c r="F11148" s="477" t="s">
        <v>347</v>
      </c>
      <c r="G11148" s="239" t="s">
        <v>94</v>
      </c>
      <c r="H11148" s="239" t="str" cm="1">
        <f t="array" ref="H11148">IFERROR(INDEX(INVESTOR_LIST[INVESTOR NAME],MATCH(I11148,INVESTOR_LIST[INVESTOR CODE],0),)," ")</f>
        <v xml:space="preserve"> </v>
      </c>
      <c r="I11148" s="262" t="s">
        <v>348</v>
      </c>
      <c r="J11148" s="240" t="s">
        <v>82</v>
      </c>
      <c r="K11148" s="241">
        <v>3028408.0900000036</v>
      </c>
      <c r="L11148" s="241"/>
    </row>
    <row r="11149" spans="1:14" x14ac:dyDescent="0.2">
      <c r="A11149" s="242">
        <v>2024</v>
      </c>
      <c r="B11149" s="242">
        <v>5</v>
      </c>
      <c r="C11149" s="242">
        <v>23</v>
      </c>
      <c r="D11149" s="270">
        <f t="shared" si="1578"/>
        <v>45435</v>
      </c>
      <c r="E11149" s="279">
        <f t="shared" si="1579"/>
        <v>45435</v>
      </c>
      <c r="F11149" s="478"/>
      <c r="G11149" s="243" t="s">
        <v>94</v>
      </c>
      <c r="H11149" s="243" t="str" cm="1">
        <f t="array" ref="H11149">IFERROR(INDEX(INVESTOR_LIST[INVESTOR NAME],MATCH(I11149,INVESTOR_LIST[INVESTOR CODE],0),)," ")</f>
        <v xml:space="preserve"> </v>
      </c>
      <c r="I11149" s="263" t="s">
        <v>348</v>
      </c>
      <c r="J11149" s="244" t="s">
        <v>108</v>
      </c>
      <c r="K11149" s="245"/>
      <c r="L11149" s="245">
        <f>K11148</f>
        <v>3028408.0900000036</v>
      </c>
    </row>
    <row r="11150" spans="1:14" ht="12.75" customHeight="1" x14ac:dyDescent="0.2">
      <c r="A11150" s="246">
        <v>2024</v>
      </c>
      <c r="B11150" s="238">
        <v>5</v>
      </c>
      <c r="C11150" s="238">
        <v>23</v>
      </c>
      <c r="D11150" s="270">
        <f t="shared" si="1578"/>
        <v>45435</v>
      </c>
      <c r="E11150" s="279">
        <f t="shared" si="1579"/>
        <v>45435</v>
      </c>
      <c r="F11150" s="482" t="s">
        <v>148</v>
      </c>
      <c r="G11150" s="247" t="s">
        <v>94</v>
      </c>
      <c r="H11150" s="247" t="str" cm="1">
        <f t="array" ref="H11150">IFERROR(INDEX(INVESTOR_LIST[INVESTOR NAME],MATCH(I11150,INVESTOR_LIST[INVESTOR CODE],0),)," ")</f>
        <v xml:space="preserve"> </v>
      </c>
      <c r="I11150" s="248" t="s">
        <v>348</v>
      </c>
      <c r="J11150" s="249" t="s">
        <v>95</v>
      </c>
      <c r="K11150" s="250">
        <v>2747.2527472527472</v>
      </c>
      <c r="L11150" s="241"/>
    </row>
    <row r="11151" spans="1:14" x14ac:dyDescent="0.2">
      <c r="A11151" s="242">
        <v>2024</v>
      </c>
      <c r="B11151" s="242">
        <v>5</v>
      </c>
      <c r="C11151" s="242">
        <v>23</v>
      </c>
      <c r="D11151" s="270">
        <f t="shared" si="1578"/>
        <v>45435</v>
      </c>
      <c r="E11151" s="279">
        <f t="shared" si="1579"/>
        <v>45435</v>
      </c>
      <c r="F11151" s="478"/>
      <c r="G11151" s="243" t="s">
        <v>94</v>
      </c>
      <c r="H11151" s="243" t="str" cm="1">
        <f t="array" ref="H11151">IFERROR(INDEX(INVESTOR_LIST[INVESTOR NAME],MATCH(I11151,INVESTOR_LIST[INVESTOR CODE],0),)," ")</f>
        <v xml:space="preserve"> </v>
      </c>
      <c r="I11151" s="263" t="s">
        <v>348</v>
      </c>
      <c r="J11151" s="244" t="s">
        <v>63</v>
      </c>
      <c r="K11151" s="245"/>
      <c r="L11151" s="245">
        <v>2747.2527472527472</v>
      </c>
    </row>
    <row r="11152" spans="1:14" x14ac:dyDescent="0.2">
      <c r="A11152" s="246">
        <v>2024</v>
      </c>
      <c r="B11152" s="238">
        <v>5</v>
      </c>
      <c r="C11152" s="238">
        <v>23</v>
      </c>
      <c r="D11152" s="270">
        <f t="shared" si="1578"/>
        <v>45435</v>
      </c>
      <c r="E11152" s="279">
        <f t="shared" si="1579"/>
        <v>45435</v>
      </c>
      <c r="F11152" s="482" t="s">
        <v>137</v>
      </c>
      <c r="G11152" s="247" t="s">
        <v>94</v>
      </c>
      <c r="H11152" s="247" t="str" cm="1">
        <f t="array" ref="H11152">IFERROR(INDEX(INVESTOR_LIST[INVESTOR NAME],MATCH(I11152,INVESTOR_LIST[INVESTOR CODE],0),)," ")</f>
        <v xml:space="preserve"> </v>
      </c>
      <c r="I11152" s="248" t="s">
        <v>348</v>
      </c>
      <c r="J11152" s="249" t="s">
        <v>97</v>
      </c>
      <c r="K11152" s="250">
        <f>M11152</f>
        <v>52594.540480205091</v>
      </c>
      <c r="L11152" s="252"/>
      <c r="M11152" s="264">
        <v>52594.540480205091</v>
      </c>
    </row>
    <row r="11153" spans="1:17" x14ac:dyDescent="0.2">
      <c r="A11153" s="242">
        <v>2024</v>
      </c>
      <c r="B11153" s="242">
        <v>5</v>
      </c>
      <c r="C11153" s="242">
        <v>23</v>
      </c>
      <c r="D11153" s="270">
        <f t="shared" si="1578"/>
        <v>45435</v>
      </c>
      <c r="E11153" s="279">
        <f t="shared" si="1579"/>
        <v>45435</v>
      </c>
      <c r="F11153" s="478"/>
      <c r="G11153" s="243" t="s">
        <v>94</v>
      </c>
      <c r="H11153" s="243" t="str" cm="1">
        <f t="array" ref="H11153">IFERROR(INDEX(INVESTOR_LIST[INVESTOR NAME],MATCH(I11153,INVESTOR_LIST[INVESTOR CODE],0),)," ")</f>
        <v xml:space="preserve"> </v>
      </c>
      <c r="I11153" s="263" t="s">
        <v>348</v>
      </c>
      <c r="J11153" s="244" t="s">
        <v>47</v>
      </c>
      <c r="K11153" s="245"/>
      <c r="L11153" s="245">
        <f>K11152</f>
        <v>52594.540480205091</v>
      </c>
      <c r="M11153" s="264">
        <v>2389.3424086256391</v>
      </c>
    </row>
    <row r="11154" spans="1:17" x14ac:dyDescent="0.2">
      <c r="A11154" s="246">
        <v>2024</v>
      </c>
      <c r="B11154" s="238">
        <v>5</v>
      </c>
      <c r="C11154" s="238">
        <v>23</v>
      </c>
      <c r="D11154" s="270">
        <f t="shared" si="1578"/>
        <v>45435</v>
      </c>
      <c r="E11154" s="279">
        <f t="shared" si="1579"/>
        <v>45435</v>
      </c>
      <c r="F11154" s="482" t="s">
        <v>138</v>
      </c>
      <c r="G11154" s="247" t="s">
        <v>94</v>
      </c>
      <c r="H11154" s="247" t="str" cm="1">
        <f t="array" ref="H11154">IFERROR(INDEX(INVESTOR_LIST[INVESTOR NAME],MATCH(I11154,INVESTOR_LIST[INVESTOR CODE],0),)," ")</f>
        <v xml:space="preserve"> </v>
      </c>
      <c r="I11154" s="248" t="s">
        <v>348</v>
      </c>
      <c r="J11154" s="249" t="s">
        <v>100</v>
      </c>
      <c r="K11154" s="250">
        <f>M11153</f>
        <v>2389.3424086256391</v>
      </c>
      <c r="L11154" s="252"/>
    </row>
    <row r="11155" spans="1:17" x14ac:dyDescent="0.2">
      <c r="A11155" s="242">
        <v>2024</v>
      </c>
      <c r="B11155" s="242">
        <v>5</v>
      </c>
      <c r="C11155" s="242">
        <v>23</v>
      </c>
      <c r="D11155" s="321">
        <f t="shared" si="1578"/>
        <v>45435</v>
      </c>
      <c r="E11155" s="322">
        <f t="shared" si="1579"/>
        <v>45435</v>
      </c>
      <c r="F11155" s="478"/>
      <c r="G11155" s="243" t="s">
        <v>94</v>
      </c>
      <c r="H11155" s="243" t="str" cm="1">
        <f t="array" ref="H11155">IFERROR(INDEX(INVESTOR_LIST[INVESTOR NAME],MATCH(I11155,INVESTOR_LIST[INVESTOR CODE],0),)," ")</f>
        <v xml:space="preserve"> </v>
      </c>
      <c r="I11155" s="263" t="s">
        <v>348</v>
      </c>
      <c r="J11155" s="244" t="s">
        <v>48</v>
      </c>
      <c r="K11155" s="245"/>
      <c r="L11155" s="245">
        <f>K11154</f>
        <v>2389.3424086256391</v>
      </c>
    </row>
    <row r="11156" spans="1:17" x14ac:dyDescent="0.2">
      <c r="A11156" s="168">
        <v>2024</v>
      </c>
      <c r="B11156" s="168">
        <v>5</v>
      </c>
      <c r="C11156" s="168">
        <v>26</v>
      </c>
      <c r="D11156" s="141">
        <f t="shared" si="1578"/>
        <v>45438</v>
      </c>
      <c r="E11156" s="275">
        <f t="shared" si="1579"/>
        <v>45438</v>
      </c>
      <c r="F11156" s="479" t="s">
        <v>1319</v>
      </c>
      <c r="G11156" s="220" t="s">
        <v>74</v>
      </c>
      <c r="H11156" s="142" t="str" cm="1">
        <f t="array" ref="H11156">IFERROR(INDEX(INVESTOR_LIST[INVESTOR NAME],MATCH(I11156,INVESTOR_LIST[INVESTOR CODE],0),)," ")</f>
        <v xml:space="preserve"> </v>
      </c>
      <c r="I11156" s="142"/>
      <c r="J11156" s="168" t="s">
        <v>52</v>
      </c>
      <c r="K11156" s="226">
        <v>122000</v>
      </c>
      <c r="L11156" s="226"/>
    </row>
    <row r="11157" spans="1:17" x14ac:dyDescent="0.2">
      <c r="A11157" s="133">
        <v>2024</v>
      </c>
      <c r="B11157" s="133">
        <v>5</v>
      </c>
      <c r="C11157" s="133">
        <v>26</v>
      </c>
      <c r="D11157" s="141">
        <f t="shared" si="1578"/>
        <v>45438</v>
      </c>
      <c r="E11157" s="275">
        <f t="shared" si="1579"/>
        <v>45438</v>
      </c>
      <c r="F11157" s="481"/>
      <c r="G11157" s="174" t="s">
        <v>74</v>
      </c>
      <c r="H11157" s="148" t="str" cm="1">
        <f t="array" ref="H11157">IFERROR(INDEX(INVESTOR_LIST[INVESTOR NAME],MATCH(I11157,INVESTOR_LIST[INVESTOR CODE],0),)," ")</f>
        <v xml:space="preserve"> </v>
      </c>
      <c r="J11157" s="133" t="s">
        <v>13</v>
      </c>
      <c r="K11157" s="218"/>
      <c r="L11157" s="218">
        <v>104270</v>
      </c>
    </row>
    <row r="11158" spans="1:17" x14ac:dyDescent="0.2">
      <c r="A11158" s="163">
        <v>2024</v>
      </c>
      <c r="B11158" s="163">
        <v>5</v>
      </c>
      <c r="C11158" s="163">
        <v>26</v>
      </c>
      <c r="D11158" s="280">
        <f t="shared" si="1578"/>
        <v>45438</v>
      </c>
      <c r="E11158" s="281">
        <f t="shared" si="1579"/>
        <v>45438</v>
      </c>
      <c r="F11158" s="480"/>
      <c r="G11158" s="221" t="s">
        <v>74</v>
      </c>
      <c r="H11158" s="145" t="str" cm="1">
        <f t="array" ref="H11158">IFERROR(INDEX(INVESTOR_LIST[INVESTOR NAME],MATCH(I11158,INVESTOR_LIST[INVESTOR CODE],0),)," ")</f>
        <v xml:space="preserve"> </v>
      </c>
      <c r="I11158" s="145"/>
      <c r="J11158" s="163" t="s">
        <v>53</v>
      </c>
      <c r="K11158" s="219"/>
      <c r="L11158" s="219">
        <v>17730</v>
      </c>
    </row>
    <row r="11159" spans="1:17" x14ac:dyDescent="0.2">
      <c r="A11159" s="168">
        <v>2024</v>
      </c>
      <c r="B11159" s="168">
        <v>5</v>
      </c>
      <c r="C11159" s="168">
        <v>26</v>
      </c>
      <c r="D11159" s="141">
        <f t="shared" si="1578"/>
        <v>45438</v>
      </c>
      <c r="E11159" s="275">
        <f t="shared" si="1579"/>
        <v>45438</v>
      </c>
      <c r="F11159" s="479" t="s">
        <v>1797</v>
      </c>
      <c r="G11159" s="220" t="s">
        <v>94</v>
      </c>
      <c r="H11159" s="220" t="str" cm="1">
        <f t="array" ref="H11159">IFERROR(INDEX(INVESTOR_LIST[INVESTOR NAME],MATCH(I11159,INVESTOR_LIST[INVESTOR CODE],0),)," ")</f>
        <v xml:space="preserve"> </v>
      </c>
      <c r="I11159" s="142"/>
      <c r="J11159" s="143" t="s">
        <v>79</v>
      </c>
      <c r="K11159" s="226">
        <v>270809.2</v>
      </c>
      <c r="L11159" s="226"/>
      <c r="M11159" s="160"/>
    </row>
    <row r="11160" spans="1:17" x14ac:dyDescent="0.2">
      <c r="A11160" s="133">
        <v>2024</v>
      </c>
      <c r="B11160" s="133">
        <v>5</v>
      </c>
      <c r="C11160" s="133">
        <v>26</v>
      </c>
      <c r="D11160" s="141">
        <f t="shared" si="1578"/>
        <v>45438</v>
      </c>
      <c r="E11160" s="275">
        <f t="shared" si="1579"/>
        <v>45438</v>
      </c>
      <c r="F11160" s="481"/>
      <c r="G11160" s="174" t="s">
        <v>94</v>
      </c>
      <c r="H11160" s="174"/>
      <c r="J11160" s="149" t="s">
        <v>80</v>
      </c>
      <c r="K11160" s="218">
        <v>487.43</v>
      </c>
      <c r="L11160" s="218"/>
    </row>
    <row r="11161" spans="1:17" ht="10.9" customHeight="1" x14ac:dyDescent="0.2">
      <c r="A11161" s="163">
        <v>2024</v>
      </c>
      <c r="B11161" s="163">
        <v>5</v>
      </c>
      <c r="C11161" s="163">
        <v>26</v>
      </c>
      <c r="D11161" s="280">
        <f t="shared" si="1578"/>
        <v>45438</v>
      </c>
      <c r="E11161" s="281">
        <f t="shared" si="1579"/>
        <v>45438</v>
      </c>
      <c r="F11161" s="480"/>
      <c r="G11161" s="221" t="s">
        <v>94</v>
      </c>
      <c r="H11161" s="221"/>
      <c r="I11161" s="145"/>
      <c r="J11161" s="146" t="s">
        <v>147</v>
      </c>
      <c r="K11161" s="219"/>
      <c r="L11161" s="219">
        <v>271296.63</v>
      </c>
    </row>
    <row r="11162" spans="1:17" x14ac:dyDescent="0.2">
      <c r="A11162" s="168">
        <v>2024</v>
      </c>
      <c r="B11162" s="168">
        <v>5</v>
      </c>
      <c r="C11162" s="168">
        <v>27</v>
      </c>
      <c r="D11162" s="141">
        <f t="shared" si="1578"/>
        <v>45439</v>
      </c>
      <c r="E11162" s="275">
        <f t="shared" si="1579"/>
        <v>45439</v>
      </c>
      <c r="F11162" s="479" t="s">
        <v>1928</v>
      </c>
      <c r="G11162" s="220" t="s">
        <v>74</v>
      </c>
      <c r="H11162" s="220" t="str" cm="1">
        <f t="array" ref="H11162">IFERROR(INDEX(INVESTOR_LIST[INVESTOR NAME],MATCH(I11162,INVESTOR_LIST[INVESTOR CODE],0),)," ")</f>
        <v xml:space="preserve"> </v>
      </c>
      <c r="I11162" s="142" t="s">
        <v>348</v>
      </c>
      <c r="J11162" s="143" t="s">
        <v>1907</v>
      </c>
      <c r="K11162" s="226">
        <v>150</v>
      </c>
      <c r="L11162" s="226"/>
      <c r="M11162" s="147"/>
      <c r="Q11162" s="133" t="s">
        <v>348</v>
      </c>
    </row>
    <row r="11163" spans="1:17" x14ac:dyDescent="0.2">
      <c r="A11163" s="133">
        <v>2024</v>
      </c>
      <c r="B11163" s="133">
        <v>5</v>
      </c>
      <c r="C11163" s="133">
        <v>27</v>
      </c>
      <c r="D11163" s="141">
        <f t="shared" si="1578"/>
        <v>45439</v>
      </c>
      <c r="E11163" s="275">
        <f t="shared" si="1579"/>
        <v>45439</v>
      </c>
      <c r="F11163" s="481"/>
      <c r="G11163" s="174" t="s">
        <v>74</v>
      </c>
      <c r="H11163" s="174"/>
      <c r="J11163" s="149" t="s">
        <v>534</v>
      </c>
      <c r="K11163" s="218">
        <v>40.200000000000003</v>
      </c>
      <c r="L11163" s="218"/>
      <c r="M11163" s="147"/>
    </row>
    <row r="11164" spans="1:17" x14ac:dyDescent="0.2">
      <c r="A11164" s="133">
        <v>2024</v>
      </c>
      <c r="B11164" s="133">
        <v>5</v>
      </c>
      <c r="C11164" s="133">
        <v>27</v>
      </c>
      <c r="D11164" s="141">
        <f t="shared" si="1578"/>
        <v>45439</v>
      </c>
      <c r="E11164" s="275">
        <f t="shared" si="1579"/>
        <v>45439</v>
      </c>
      <c r="F11164" s="481"/>
      <c r="G11164" s="174" t="s">
        <v>74</v>
      </c>
      <c r="H11164" s="174"/>
      <c r="J11164" s="149" t="s">
        <v>1906</v>
      </c>
      <c r="K11164" s="218">
        <v>438.5</v>
      </c>
      <c r="L11164" s="218"/>
      <c r="M11164" s="147"/>
    </row>
    <row r="11165" spans="1:17" x14ac:dyDescent="0.2">
      <c r="A11165" s="163">
        <v>2024</v>
      </c>
      <c r="B11165" s="163">
        <v>5</v>
      </c>
      <c r="C11165" s="163">
        <v>27</v>
      </c>
      <c r="D11165" s="280">
        <f t="shared" si="1578"/>
        <v>45439</v>
      </c>
      <c r="E11165" s="281">
        <f t="shared" si="1579"/>
        <v>45439</v>
      </c>
      <c r="F11165" s="480"/>
      <c r="G11165" s="221" t="s">
        <v>74</v>
      </c>
      <c r="H11165" s="221"/>
      <c r="I11165" s="145"/>
      <c r="J11165" s="146" t="s">
        <v>52</v>
      </c>
      <c r="K11165" s="219"/>
      <c r="L11165" s="219">
        <v>628.70000000000005</v>
      </c>
      <c r="M11165" s="147"/>
    </row>
    <row r="11166" spans="1:17" ht="11.25" customHeight="1" x14ac:dyDescent="0.2">
      <c r="A11166" s="133">
        <v>2024</v>
      </c>
      <c r="B11166" s="133">
        <v>5</v>
      </c>
      <c r="C11166" s="133">
        <v>28</v>
      </c>
      <c r="D11166" s="141">
        <f>DATE(A11166,B11166,C11166)</f>
        <v>45440</v>
      </c>
      <c r="E11166" s="275">
        <f>DATE(A11166,B11166,C11166)</f>
        <v>45440</v>
      </c>
      <c r="F11166" s="481" t="s">
        <v>1929</v>
      </c>
      <c r="G11166" s="174" t="s">
        <v>74</v>
      </c>
      <c r="H11166" s="174" t="str" cm="1">
        <f t="array" ref="H11166">IFERROR(INDEX(INVESTOR_LIST[INVESTOR NAME],MATCH(I11166,INVESTOR_LIST[INVESTOR CODE],0),)," ")</f>
        <v xml:space="preserve"> </v>
      </c>
      <c r="I11166" s="148" t="s">
        <v>348</v>
      </c>
      <c r="J11166" s="149" t="s">
        <v>52</v>
      </c>
      <c r="K11166" s="218">
        <v>5000000</v>
      </c>
      <c r="L11166" s="218"/>
      <c r="M11166" s="147"/>
      <c r="Q11166" s="133" t="s">
        <v>348</v>
      </c>
    </row>
    <row r="11167" spans="1:17" x14ac:dyDescent="0.2">
      <c r="A11167" s="133">
        <v>2024</v>
      </c>
      <c r="B11167" s="133">
        <v>5</v>
      </c>
      <c r="C11167" s="133">
        <v>28</v>
      </c>
      <c r="D11167" s="141">
        <f t="shared" ref="D11167" si="1580">DATE(A11167,B11167,C11167)</f>
        <v>45440</v>
      </c>
      <c r="E11167" s="275">
        <f t="shared" ref="E11167" si="1581">DATE(A11167,B11167,C11167)</f>
        <v>45440</v>
      </c>
      <c r="F11167" s="481"/>
      <c r="G11167" s="174" t="s">
        <v>74</v>
      </c>
      <c r="H11167" s="174"/>
      <c r="J11167" s="149" t="s">
        <v>1809</v>
      </c>
      <c r="K11167" s="218"/>
      <c r="L11167" s="218">
        <v>137520</v>
      </c>
      <c r="M11167" s="147"/>
    </row>
    <row r="11168" spans="1:17" x14ac:dyDescent="0.2">
      <c r="A11168" s="163">
        <v>2024</v>
      </c>
      <c r="B11168" s="163">
        <v>5</v>
      </c>
      <c r="C11168" s="163">
        <v>28</v>
      </c>
      <c r="D11168" s="280">
        <f>DATE(A11168,B11168,C11168)</f>
        <v>45440</v>
      </c>
      <c r="E11168" s="281">
        <f>DATE(A11168,B11168,C11168)</f>
        <v>45440</v>
      </c>
      <c r="F11168" s="480"/>
      <c r="G11168" s="221" t="s">
        <v>74</v>
      </c>
      <c r="H11168" s="221" t="str" cm="1">
        <f t="array" ref="H11168">IFERROR(INDEX(INVESTOR_LIST[INVESTOR NAME],MATCH(I11168,INVESTOR_LIST[INVESTOR CODE],0),)," ")</f>
        <v xml:space="preserve"> </v>
      </c>
      <c r="I11168" s="145"/>
      <c r="J11168" s="146" t="s">
        <v>1764</v>
      </c>
      <c r="K11168" s="219"/>
      <c r="L11168" s="219">
        <v>4862480</v>
      </c>
      <c r="M11168" s="147"/>
      <c r="Q11168" s="133" t="s">
        <v>348</v>
      </c>
    </row>
    <row r="11169" spans="1:13" ht="11.25" customHeight="1" x14ac:dyDescent="0.2">
      <c r="A11169" s="168">
        <v>2024</v>
      </c>
      <c r="B11169" s="168">
        <v>5</v>
      </c>
      <c r="C11169" s="168">
        <v>29</v>
      </c>
      <c r="D11169" s="141">
        <f t="shared" ref="D11169:D11171" si="1582">DATE(A11169,B11169,C11169)</f>
        <v>45441</v>
      </c>
      <c r="E11169" s="275">
        <f t="shared" ref="E11169:E11171" si="1583">DATE(A11169,B11169,C11169)</f>
        <v>45441</v>
      </c>
      <c r="F11169" s="479" t="s">
        <v>1310</v>
      </c>
      <c r="G11169" s="220" t="s">
        <v>74</v>
      </c>
      <c r="H11169" s="142" t="str" cm="1">
        <f t="array" ref="H11169">IFERROR(INDEX(INVESTOR_LIST[INVESTOR NAME],MATCH(I11169,INVESTOR_LIST[INVESTOR CODE],0),)," ")</f>
        <v>SOHEL MAHMOOD</v>
      </c>
      <c r="I11169" s="142" t="s">
        <v>861</v>
      </c>
      <c r="J11169" s="168" t="s">
        <v>13</v>
      </c>
      <c r="K11169" s="218">
        <v>67810</v>
      </c>
      <c r="L11169" s="226"/>
    </row>
    <row r="11170" spans="1:13" ht="11.25" customHeight="1" x14ac:dyDescent="0.2">
      <c r="A11170" s="133">
        <v>2024</v>
      </c>
      <c r="B11170" s="133">
        <v>5</v>
      </c>
      <c r="C11170" s="133">
        <v>29</v>
      </c>
      <c r="D11170" s="141">
        <f t="shared" si="1582"/>
        <v>45441</v>
      </c>
      <c r="E11170" s="275">
        <f t="shared" si="1583"/>
        <v>45441</v>
      </c>
      <c r="F11170" s="481"/>
      <c r="G11170" s="174" t="s">
        <v>74</v>
      </c>
      <c r="H11170" s="148" t="str" cm="1">
        <f t="array" ref="H11170">IFERROR(INDEX(INVESTOR_LIST[INVESTOR NAME],MATCH(I11170,INVESTOR_LIST[INVESTOR CODE],0),)," ")</f>
        <v>SOHEL MAHMOOD</v>
      </c>
      <c r="I11170" s="148" t="s">
        <v>861</v>
      </c>
      <c r="J11170" s="133" t="s">
        <v>53</v>
      </c>
      <c r="K11170" s="218">
        <v>11507.36</v>
      </c>
      <c r="L11170" s="133"/>
    </row>
    <row r="11171" spans="1:13" ht="11.25" customHeight="1" x14ac:dyDescent="0.2">
      <c r="A11171" s="163">
        <v>2024</v>
      </c>
      <c r="B11171" s="163">
        <v>5</v>
      </c>
      <c r="C11171" s="163">
        <v>29</v>
      </c>
      <c r="D11171" s="280">
        <f t="shared" si="1582"/>
        <v>45441</v>
      </c>
      <c r="E11171" s="281">
        <f t="shared" si="1583"/>
        <v>45441</v>
      </c>
      <c r="F11171" s="480"/>
      <c r="G11171" s="221" t="s">
        <v>74</v>
      </c>
      <c r="H11171" s="145" t="str" cm="1">
        <f t="array" ref="H11171">IFERROR(INDEX(INVESTOR_LIST[INVESTOR NAME],MATCH(I11171,INVESTOR_LIST[INVESTOR CODE],0),)," ")</f>
        <v>SOHEL MAHMOOD</v>
      </c>
      <c r="I11171" s="145" t="s">
        <v>861</v>
      </c>
      <c r="J11171" s="163" t="s">
        <v>52</v>
      </c>
      <c r="K11171" s="219"/>
      <c r="L11171" s="219">
        <v>79317.36</v>
      </c>
    </row>
    <row r="11172" spans="1:13" x14ac:dyDescent="0.2">
      <c r="A11172" s="133">
        <v>2024</v>
      </c>
      <c r="B11172" s="133">
        <v>5</v>
      </c>
      <c r="C11172" s="168">
        <v>30</v>
      </c>
      <c r="D11172" s="141">
        <f>DATE(A11172,B11172,C11172)</f>
        <v>45442</v>
      </c>
      <c r="E11172" s="275">
        <f>DATE(A11172,B11172,C11172)</f>
        <v>45442</v>
      </c>
      <c r="F11172" s="479" t="s">
        <v>1768</v>
      </c>
      <c r="G11172" s="220" t="s">
        <v>74</v>
      </c>
      <c r="H11172" s="220" t="str" cm="1">
        <f t="array" ref="H11172">IFERROR(INDEX(INVESTOR_LIST[INVESTOR NAME],MATCH(I11172,INVESTOR_LIST[INVESTOR CODE],0),)," ")</f>
        <v xml:space="preserve"> </v>
      </c>
      <c r="I11172" s="142"/>
      <c r="J11172" s="143" t="s">
        <v>147</v>
      </c>
      <c r="K11172" s="226">
        <v>271296.63</v>
      </c>
      <c r="L11172" s="226"/>
    </row>
    <row r="11173" spans="1:13" x14ac:dyDescent="0.2">
      <c r="A11173" s="163">
        <v>2024</v>
      </c>
      <c r="B11173" s="163">
        <v>5</v>
      </c>
      <c r="C11173" s="163">
        <v>30</v>
      </c>
      <c r="D11173" s="280">
        <f>DATE(A11173,B11173,C11173)</f>
        <v>45442</v>
      </c>
      <c r="E11173" s="281">
        <f>DATE(A11173,B11173,C11173)</f>
        <v>45442</v>
      </c>
      <c r="F11173" s="480"/>
      <c r="G11173" s="221" t="s">
        <v>74</v>
      </c>
      <c r="H11173" s="221" t="str" cm="1">
        <f t="array" ref="H11173">IFERROR(INDEX(INVESTOR_LIST[INVESTOR NAME],MATCH(I11173,INVESTOR_LIST[INVESTOR CODE],0),)," ")</f>
        <v xml:space="preserve"> </v>
      </c>
      <c r="I11173" s="145" t="s">
        <v>348</v>
      </c>
      <c r="J11173" s="146" t="s">
        <v>52</v>
      </c>
      <c r="K11173" s="219"/>
      <c r="L11173" s="219">
        <v>271296.63</v>
      </c>
    </row>
    <row r="11174" spans="1:13" x14ac:dyDescent="0.2">
      <c r="A11174" s="343">
        <v>2024</v>
      </c>
      <c r="B11174" s="343">
        <v>5</v>
      </c>
      <c r="C11174" s="343">
        <v>23</v>
      </c>
      <c r="D11174" s="344">
        <f t="shared" ref="D11174:D11198" si="1584">DATE(A11174,B11174,C11174)</f>
        <v>45435</v>
      </c>
      <c r="E11174" s="345">
        <f t="shared" ref="E11174:E11198" si="1585">DATE(A11174,B11174,C11174)</f>
        <v>45435</v>
      </c>
      <c r="F11174" s="483" t="s">
        <v>1813</v>
      </c>
      <c r="G11174" s="350" t="s">
        <v>94</v>
      </c>
      <c r="H11174" s="350" t="str" cm="1">
        <f t="array" ref="H11174">IFERROR(INDEX(INVESTOR_LIST[INVESTOR NAME],MATCH(I11174,INVESTOR_LIST[INVESTOR CODE],0),)," ")</f>
        <v xml:space="preserve"> </v>
      </c>
      <c r="I11174" s="352" t="s">
        <v>348</v>
      </c>
      <c r="J11174" s="353" t="s">
        <v>1807</v>
      </c>
      <c r="K11174" s="354">
        <v>87534.999999996275</v>
      </c>
      <c r="L11174" s="354"/>
    </row>
    <row r="11175" spans="1:13" x14ac:dyDescent="0.2">
      <c r="A11175" s="346">
        <v>2024</v>
      </c>
      <c r="B11175" s="346">
        <v>5</v>
      </c>
      <c r="C11175" s="346">
        <v>23</v>
      </c>
      <c r="D11175" s="344">
        <f t="shared" si="1584"/>
        <v>45435</v>
      </c>
      <c r="E11175" s="345">
        <f t="shared" si="1585"/>
        <v>45435</v>
      </c>
      <c r="F11175" s="484"/>
      <c r="G11175" s="347" t="s">
        <v>94</v>
      </c>
      <c r="H11175" s="347" t="str" cm="1">
        <f t="array" ref="H11175">IFERROR(INDEX(INVESTOR_LIST[INVESTOR NAME],MATCH(I11175,INVESTOR_LIST[INVESTOR CODE],0),)," ")</f>
        <v xml:space="preserve"> </v>
      </c>
      <c r="I11175" s="348" t="s">
        <v>348</v>
      </c>
      <c r="J11175" s="355" t="s">
        <v>1798</v>
      </c>
      <c r="K11175" s="349"/>
      <c r="L11175" s="349">
        <f>K11174</f>
        <v>87534.999999996275</v>
      </c>
    </row>
    <row r="11176" spans="1:13" x14ac:dyDescent="0.2">
      <c r="A11176" s="343">
        <v>2024</v>
      </c>
      <c r="B11176" s="343">
        <v>5</v>
      </c>
      <c r="C11176" s="343">
        <v>23</v>
      </c>
      <c r="D11176" s="344">
        <f t="shared" si="1584"/>
        <v>45435</v>
      </c>
      <c r="E11176" s="345">
        <f t="shared" si="1585"/>
        <v>45435</v>
      </c>
      <c r="F11176" s="483" t="s">
        <v>1913</v>
      </c>
      <c r="G11176" s="350" t="s">
        <v>94</v>
      </c>
      <c r="H11176" s="350" t="str" cm="1">
        <f t="array" ref="H11176">IFERROR(INDEX(INVESTOR_LIST[INVESTOR NAME],MATCH(I11176,INVESTOR_LIST[INVESTOR CODE],0),)," ")</f>
        <v xml:space="preserve"> </v>
      </c>
      <c r="I11176" s="352" t="s">
        <v>348</v>
      </c>
      <c r="J11176" s="353" t="s">
        <v>1799</v>
      </c>
      <c r="K11176" s="354">
        <v>34626</v>
      </c>
      <c r="L11176" s="354"/>
    </row>
    <row r="11177" spans="1:13" x14ac:dyDescent="0.2">
      <c r="A11177" s="346">
        <v>2024</v>
      </c>
      <c r="B11177" s="346">
        <v>5</v>
      </c>
      <c r="C11177" s="346">
        <v>23</v>
      </c>
      <c r="D11177" s="344">
        <f t="shared" si="1584"/>
        <v>45435</v>
      </c>
      <c r="E11177" s="345">
        <f t="shared" si="1585"/>
        <v>45435</v>
      </c>
      <c r="F11177" s="484"/>
      <c r="G11177" s="347" t="s">
        <v>94</v>
      </c>
      <c r="H11177" s="347" t="str" cm="1">
        <f t="array" ref="H11177">IFERROR(INDEX(INVESTOR_LIST[INVESTOR NAME],MATCH(I11177,INVESTOR_LIST[INVESTOR CODE],0),)," ")</f>
        <v xml:space="preserve"> </v>
      </c>
      <c r="I11177" s="348" t="s">
        <v>348</v>
      </c>
      <c r="J11177" s="355" t="s">
        <v>1808</v>
      </c>
      <c r="K11177" s="349"/>
      <c r="L11177" s="349">
        <f>K11176</f>
        <v>34626</v>
      </c>
    </row>
    <row r="11178" spans="1:13" x14ac:dyDescent="0.2">
      <c r="A11178" s="238">
        <v>2024</v>
      </c>
      <c r="B11178" s="238">
        <v>5</v>
      </c>
      <c r="C11178" s="238">
        <v>23</v>
      </c>
      <c r="D11178" s="270">
        <f t="shared" si="1584"/>
        <v>45435</v>
      </c>
      <c r="E11178" s="279">
        <f t="shared" si="1585"/>
        <v>45435</v>
      </c>
      <c r="F11178" s="477" t="s">
        <v>347</v>
      </c>
      <c r="G11178" s="239" t="s">
        <v>94</v>
      </c>
      <c r="H11178" s="239" t="str" cm="1">
        <f t="array" ref="H11178">IFERROR(INDEX(INVESTOR_LIST[INVESTOR NAME],MATCH(I11178,INVESTOR_LIST[INVESTOR CODE],0),)," ")</f>
        <v xml:space="preserve"> </v>
      </c>
      <c r="I11178" s="262" t="s">
        <v>348</v>
      </c>
      <c r="J11178" s="240" t="s">
        <v>82</v>
      </c>
      <c r="K11178" s="241">
        <v>1273404.2699999809</v>
      </c>
      <c r="L11178" s="241"/>
    </row>
    <row r="11179" spans="1:13" x14ac:dyDescent="0.2">
      <c r="A11179" s="242">
        <v>2024</v>
      </c>
      <c r="B11179" s="242">
        <v>5</v>
      </c>
      <c r="C11179" s="242">
        <v>23</v>
      </c>
      <c r="D11179" s="270">
        <f t="shared" si="1584"/>
        <v>45435</v>
      </c>
      <c r="E11179" s="279">
        <f t="shared" si="1585"/>
        <v>45435</v>
      </c>
      <c r="F11179" s="478"/>
      <c r="G11179" s="243" t="s">
        <v>94</v>
      </c>
      <c r="H11179" s="243" t="str" cm="1">
        <f t="array" ref="H11179">IFERROR(INDEX(INVESTOR_LIST[INVESTOR NAME],MATCH(I11179,INVESTOR_LIST[INVESTOR CODE],0),)," ")</f>
        <v xml:space="preserve"> </v>
      </c>
      <c r="I11179" s="263" t="s">
        <v>348</v>
      </c>
      <c r="J11179" s="244" t="s">
        <v>108</v>
      </c>
      <c r="K11179" s="245"/>
      <c r="L11179" s="245">
        <f>K11178</f>
        <v>1273404.2699999809</v>
      </c>
    </row>
    <row r="11180" spans="1:13" ht="12.75" customHeight="1" x14ac:dyDescent="0.2">
      <c r="A11180" s="246">
        <v>2024</v>
      </c>
      <c r="B11180" s="238">
        <v>5</v>
      </c>
      <c r="C11180" s="238">
        <v>23</v>
      </c>
      <c r="D11180" s="270">
        <f t="shared" si="1584"/>
        <v>45435</v>
      </c>
      <c r="E11180" s="279">
        <f t="shared" si="1585"/>
        <v>45435</v>
      </c>
      <c r="F11180" s="482" t="s">
        <v>148</v>
      </c>
      <c r="G11180" s="247" t="s">
        <v>94</v>
      </c>
      <c r="H11180" s="247" t="str" cm="1">
        <f t="array" ref="H11180">IFERROR(INDEX(INVESTOR_LIST[INVESTOR NAME],MATCH(I11180,INVESTOR_LIST[INVESTOR CODE],0),)," ")</f>
        <v xml:space="preserve"> </v>
      </c>
      <c r="I11180" s="248" t="s">
        <v>348</v>
      </c>
      <c r="J11180" s="249" t="s">
        <v>95</v>
      </c>
      <c r="K11180" s="250">
        <v>2747.2527472527472</v>
      </c>
      <c r="L11180" s="241"/>
    </row>
    <row r="11181" spans="1:13" x14ac:dyDescent="0.2">
      <c r="A11181" s="242">
        <v>2024</v>
      </c>
      <c r="B11181" s="242">
        <v>5</v>
      </c>
      <c r="C11181" s="242">
        <v>23</v>
      </c>
      <c r="D11181" s="270">
        <f t="shared" si="1584"/>
        <v>45435</v>
      </c>
      <c r="E11181" s="279">
        <f t="shared" si="1585"/>
        <v>45435</v>
      </c>
      <c r="F11181" s="478"/>
      <c r="G11181" s="243" t="s">
        <v>94</v>
      </c>
      <c r="H11181" s="243" t="str" cm="1">
        <f t="array" ref="H11181">IFERROR(INDEX(INVESTOR_LIST[INVESTOR NAME],MATCH(I11181,INVESTOR_LIST[INVESTOR CODE],0),)," ")</f>
        <v xml:space="preserve"> </v>
      </c>
      <c r="I11181" s="263" t="s">
        <v>348</v>
      </c>
      <c r="J11181" s="244" t="s">
        <v>63</v>
      </c>
      <c r="K11181" s="245"/>
      <c r="L11181" s="245">
        <v>2747.2527472527472</v>
      </c>
    </row>
    <row r="11182" spans="1:13" x14ac:dyDescent="0.2">
      <c r="A11182" s="246">
        <v>2024</v>
      </c>
      <c r="B11182" s="238">
        <v>5</v>
      </c>
      <c r="C11182" s="238">
        <v>23</v>
      </c>
      <c r="D11182" s="270">
        <f t="shared" si="1584"/>
        <v>45435</v>
      </c>
      <c r="E11182" s="279">
        <f t="shared" si="1585"/>
        <v>45435</v>
      </c>
      <c r="F11182" s="482" t="s">
        <v>137</v>
      </c>
      <c r="G11182" s="247" t="s">
        <v>94</v>
      </c>
      <c r="H11182" s="247" t="str" cm="1">
        <f t="array" ref="H11182">IFERROR(INDEX(INVESTOR_LIST[INVESTOR NAME],MATCH(I11182,INVESTOR_LIST[INVESTOR CODE],0),)," ")</f>
        <v xml:space="preserve"> </v>
      </c>
      <c r="I11182" s="248" t="s">
        <v>348</v>
      </c>
      <c r="J11182" s="249" t="s">
        <v>97</v>
      </c>
      <c r="K11182" s="250">
        <f>M11182</f>
        <v>52131.336943421986</v>
      </c>
      <c r="L11182" s="252"/>
      <c r="M11182" s="264">
        <v>52131.336943421986</v>
      </c>
    </row>
    <row r="11183" spans="1:13" x14ac:dyDescent="0.2">
      <c r="A11183" s="242">
        <v>2024</v>
      </c>
      <c r="B11183" s="242">
        <v>5</v>
      </c>
      <c r="C11183" s="242">
        <v>23</v>
      </c>
      <c r="D11183" s="270">
        <f t="shared" si="1584"/>
        <v>45435</v>
      </c>
      <c r="E11183" s="279">
        <f t="shared" si="1585"/>
        <v>45435</v>
      </c>
      <c r="F11183" s="478"/>
      <c r="G11183" s="243" t="s">
        <v>94</v>
      </c>
      <c r="H11183" s="243" t="str" cm="1">
        <f t="array" ref="H11183">IFERROR(INDEX(INVESTOR_LIST[INVESTOR NAME],MATCH(I11183,INVESTOR_LIST[INVESTOR CODE],0),)," ")</f>
        <v xml:space="preserve"> </v>
      </c>
      <c r="I11183" s="263" t="s">
        <v>348</v>
      </c>
      <c r="J11183" s="244" t="s">
        <v>47</v>
      </c>
      <c r="K11183" s="245"/>
      <c r="L11183" s="245">
        <f>K11182</f>
        <v>52131.336943421986</v>
      </c>
      <c r="M11183" s="264">
        <v>2366.182231786484</v>
      </c>
    </row>
    <row r="11184" spans="1:13" x14ac:dyDescent="0.2">
      <c r="A11184" s="246">
        <v>2024</v>
      </c>
      <c r="B11184" s="238">
        <v>5</v>
      </c>
      <c r="C11184" s="238">
        <v>23</v>
      </c>
      <c r="D11184" s="270">
        <f t="shared" si="1584"/>
        <v>45435</v>
      </c>
      <c r="E11184" s="279">
        <f t="shared" si="1585"/>
        <v>45435</v>
      </c>
      <c r="F11184" s="482" t="s">
        <v>138</v>
      </c>
      <c r="G11184" s="247" t="s">
        <v>94</v>
      </c>
      <c r="H11184" s="247" t="str" cm="1">
        <f t="array" ref="H11184">IFERROR(INDEX(INVESTOR_LIST[INVESTOR NAME],MATCH(I11184,INVESTOR_LIST[INVESTOR CODE],0),)," ")</f>
        <v xml:space="preserve"> </v>
      </c>
      <c r="I11184" s="248" t="s">
        <v>348</v>
      </c>
      <c r="J11184" s="249" t="s">
        <v>100</v>
      </c>
      <c r="K11184" s="250">
        <f>M11183</f>
        <v>2366.182231786484</v>
      </c>
      <c r="L11184" s="252"/>
    </row>
    <row r="11185" spans="1:17" x14ac:dyDescent="0.2">
      <c r="A11185" s="242">
        <v>2024</v>
      </c>
      <c r="B11185" s="242">
        <v>5</v>
      </c>
      <c r="C11185" s="242">
        <v>23</v>
      </c>
      <c r="D11185" s="321">
        <f t="shared" si="1584"/>
        <v>45435</v>
      </c>
      <c r="E11185" s="322">
        <f t="shared" si="1585"/>
        <v>45435</v>
      </c>
      <c r="F11185" s="478"/>
      <c r="G11185" s="243" t="s">
        <v>94</v>
      </c>
      <c r="H11185" s="243" t="str" cm="1">
        <f t="array" ref="H11185">IFERROR(INDEX(INVESTOR_LIST[INVESTOR NAME],MATCH(I11185,INVESTOR_LIST[INVESTOR CODE],0),)," ")</f>
        <v xml:space="preserve"> </v>
      </c>
      <c r="I11185" s="263" t="s">
        <v>348</v>
      </c>
      <c r="J11185" s="244" t="s">
        <v>48</v>
      </c>
      <c r="K11185" s="245"/>
      <c r="L11185" s="245">
        <f>K11184</f>
        <v>2366.182231786484</v>
      </c>
    </row>
    <row r="11186" spans="1:17" x14ac:dyDescent="0.2">
      <c r="A11186" s="133">
        <v>2024</v>
      </c>
      <c r="B11186" s="133">
        <v>6</v>
      </c>
      <c r="C11186" s="133">
        <v>3</v>
      </c>
      <c r="D11186" s="141">
        <f t="shared" si="1584"/>
        <v>45446</v>
      </c>
      <c r="E11186" s="275">
        <f t="shared" si="1585"/>
        <v>45446</v>
      </c>
      <c r="F11186" s="481" t="s">
        <v>1931</v>
      </c>
      <c r="G11186" s="174" t="s">
        <v>74</v>
      </c>
      <c r="H11186" s="174" t="str" cm="1">
        <f t="array" ref="H11186">IFERROR(INDEX(INVESTOR_LIST[INVESTOR NAME],MATCH(I11186,INVESTOR_LIST[INVESTOR CODE],0),)," ")</f>
        <v xml:space="preserve"> </v>
      </c>
      <c r="I11186" s="148" t="s">
        <v>348</v>
      </c>
      <c r="J11186" s="149" t="s">
        <v>1764</v>
      </c>
      <c r="K11186" s="218">
        <v>4859115</v>
      </c>
      <c r="L11186" s="218"/>
      <c r="M11186" s="147"/>
      <c r="Q11186" s="133" t="s">
        <v>348</v>
      </c>
    </row>
    <row r="11187" spans="1:17" x14ac:dyDescent="0.2">
      <c r="A11187" s="163">
        <v>2024</v>
      </c>
      <c r="B11187" s="163">
        <v>6</v>
      </c>
      <c r="C11187" s="163">
        <v>3</v>
      </c>
      <c r="D11187" s="280">
        <f t="shared" si="1584"/>
        <v>45446</v>
      </c>
      <c r="E11187" s="281">
        <f t="shared" si="1585"/>
        <v>45446</v>
      </c>
      <c r="F11187" s="480"/>
      <c r="G11187" s="221" t="s">
        <v>74</v>
      </c>
      <c r="H11187" s="221" t="str" cm="1">
        <f t="array" ref="H11187">IFERROR(INDEX(INVESTOR_LIST[INVESTOR NAME],MATCH(I11187,INVESTOR_LIST[INVESTOR CODE],0),)," ")</f>
        <v xml:space="preserve"> </v>
      </c>
      <c r="I11187" s="145"/>
      <c r="J11187" s="146" t="s">
        <v>52</v>
      </c>
      <c r="K11187" s="219"/>
      <c r="L11187" s="219">
        <f>K11186</f>
        <v>4859115</v>
      </c>
      <c r="M11187" s="147"/>
      <c r="Q11187" s="133" t="s">
        <v>348</v>
      </c>
    </row>
    <row r="11188" spans="1:17" x14ac:dyDescent="0.2">
      <c r="A11188" s="168">
        <v>2024</v>
      </c>
      <c r="B11188" s="168">
        <v>6</v>
      </c>
      <c r="C11188" s="168">
        <v>2</v>
      </c>
      <c r="D11188" s="141">
        <f t="shared" si="1584"/>
        <v>45445</v>
      </c>
      <c r="E11188" s="275">
        <f t="shared" si="1585"/>
        <v>45445</v>
      </c>
      <c r="F11188" s="479" t="s">
        <v>362</v>
      </c>
      <c r="G11188" s="220" t="s">
        <v>74</v>
      </c>
      <c r="H11188" s="220" t="str" cm="1">
        <f t="array" ref="H11188">IFERROR(INDEX(INVESTOR_LIST[INVESTOR NAME],MATCH(I11188,INVESTOR_LIST[INVESTOR CODE],0),)," ")</f>
        <v xml:space="preserve"> </v>
      </c>
      <c r="I11188" s="142" t="s">
        <v>348</v>
      </c>
      <c r="J11188" s="143" t="s">
        <v>104</v>
      </c>
      <c r="K11188" s="226">
        <v>401.96</v>
      </c>
      <c r="L11188" s="226"/>
    </row>
    <row r="11189" spans="1:17" x14ac:dyDescent="0.2">
      <c r="A11189" s="133">
        <v>2024</v>
      </c>
      <c r="B11189" s="133">
        <v>6</v>
      </c>
      <c r="C11189" s="133">
        <v>2</v>
      </c>
      <c r="D11189" s="147">
        <f t="shared" si="1584"/>
        <v>45445</v>
      </c>
      <c r="E11189" s="311">
        <f t="shared" si="1585"/>
        <v>45445</v>
      </c>
      <c r="F11189" s="481"/>
      <c r="G11189" s="174" t="s">
        <v>74</v>
      </c>
      <c r="H11189" s="174"/>
      <c r="J11189" s="149" t="s">
        <v>534</v>
      </c>
      <c r="K11189" s="218"/>
      <c r="L11189" s="218">
        <v>40.200000000000003</v>
      </c>
    </row>
    <row r="11190" spans="1:17" x14ac:dyDescent="0.2">
      <c r="A11190" s="163">
        <v>2024</v>
      </c>
      <c r="B11190" s="163">
        <v>6</v>
      </c>
      <c r="C11190" s="163">
        <v>2</v>
      </c>
      <c r="D11190" s="147">
        <f t="shared" si="1584"/>
        <v>45445</v>
      </c>
      <c r="E11190" s="311">
        <f t="shared" si="1585"/>
        <v>45445</v>
      </c>
      <c r="F11190" s="480"/>
      <c r="G11190" s="221" t="s">
        <v>74</v>
      </c>
      <c r="H11190" s="221" t="str" cm="1">
        <f t="array" ref="H11190">IFERROR(INDEX(INVESTOR_LIST[INVESTOR NAME],MATCH(I11190,INVESTOR_LIST[INVESTOR CODE],0),)," ")</f>
        <v xml:space="preserve"> </v>
      </c>
      <c r="I11190" s="145" t="s">
        <v>348</v>
      </c>
      <c r="J11190" s="146" t="s">
        <v>52</v>
      </c>
      <c r="K11190" s="219"/>
      <c r="L11190" s="219">
        <v>361.76</v>
      </c>
    </row>
    <row r="11191" spans="1:17" x14ac:dyDescent="0.2">
      <c r="A11191" s="168">
        <v>2024</v>
      </c>
      <c r="B11191" s="168">
        <v>6</v>
      </c>
      <c r="C11191" s="168">
        <v>2</v>
      </c>
      <c r="D11191" s="141">
        <f t="shared" si="1584"/>
        <v>45445</v>
      </c>
      <c r="E11191" s="275">
        <f t="shared" si="1585"/>
        <v>45445</v>
      </c>
      <c r="F11191" s="479" t="s">
        <v>1797</v>
      </c>
      <c r="G11191" s="220" t="s">
        <v>94</v>
      </c>
      <c r="H11191" s="220" t="str" cm="1">
        <f t="array" ref="H11191">IFERROR(INDEX(INVESTOR_LIST[INVESTOR NAME],MATCH(I11191,INVESTOR_LIST[INVESTOR CODE],0),)," ")</f>
        <v xml:space="preserve"> </v>
      </c>
      <c r="I11191" s="142"/>
      <c r="J11191" s="143" t="s">
        <v>79</v>
      </c>
      <c r="K11191" s="226">
        <v>411903.9</v>
      </c>
      <c r="L11191" s="226"/>
      <c r="M11191" s="160"/>
    </row>
    <row r="11192" spans="1:17" x14ac:dyDescent="0.2">
      <c r="A11192" s="133">
        <v>2024</v>
      </c>
      <c r="B11192" s="133">
        <v>6</v>
      </c>
      <c r="C11192" s="133">
        <v>2</v>
      </c>
      <c r="D11192" s="141">
        <f t="shared" si="1584"/>
        <v>45445</v>
      </c>
      <c r="E11192" s="275">
        <f t="shared" si="1585"/>
        <v>45445</v>
      </c>
      <c r="F11192" s="481"/>
      <c r="G11192" s="174" t="s">
        <v>94</v>
      </c>
      <c r="H11192" s="174"/>
      <c r="J11192" s="149" t="s">
        <v>80</v>
      </c>
      <c r="K11192" s="218">
        <v>741.43</v>
      </c>
      <c r="L11192" s="218"/>
    </row>
    <row r="11193" spans="1:17" ht="10.9" customHeight="1" x14ac:dyDescent="0.2">
      <c r="A11193" s="163">
        <v>2024</v>
      </c>
      <c r="B11193" s="163">
        <v>6</v>
      </c>
      <c r="C11193" s="163">
        <v>2</v>
      </c>
      <c r="D11193" s="280">
        <f t="shared" si="1584"/>
        <v>45445</v>
      </c>
      <c r="E11193" s="281">
        <f t="shared" si="1585"/>
        <v>45445</v>
      </c>
      <c r="F11193" s="480"/>
      <c r="G11193" s="221" t="s">
        <v>94</v>
      </c>
      <c r="H11193" s="221"/>
      <c r="I11193" s="145"/>
      <c r="J11193" s="146" t="s">
        <v>147</v>
      </c>
      <c r="K11193" s="219"/>
      <c r="L11193" s="219">
        <v>412645.33</v>
      </c>
    </row>
    <row r="11194" spans="1:17" x14ac:dyDescent="0.2">
      <c r="A11194" s="133">
        <v>2024</v>
      </c>
      <c r="B11194" s="133">
        <v>6</v>
      </c>
      <c r="C11194" s="168">
        <v>4</v>
      </c>
      <c r="D11194" s="141">
        <f>DATE(A11194,B11194,C11194)</f>
        <v>45447</v>
      </c>
      <c r="E11194" s="275">
        <f>DATE(A11194,B11194,C11194)</f>
        <v>45447</v>
      </c>
      <c r="F11194" s="479" t="s">
        <v>1768</v>
      </c>
      <c r="G11194" s="220" t="s">
        <v>74</v>
      </c>
      <c r="H11194" s="220" t="str" cm="1">
        <f t="array" ref="H11194">IFERROR(INDEX(INVESTOR_LIST[INVESTOR NAME],MATCH(I11194,INVESTOR_LIST[INVESTOR CODE],0),)," ")</f>
        <v xml:space="preserve"> </v>
      </c>
      <c r="I11194" s="142"/>
      <c r="J11194" s="143" t="s">
        <v>147</v>
      </c>
      <c r="K11194" s="226">
        <v>412645.33</v>
      </c>
      <c r="L11194" s="226"/>
    </row>
    <row r="11195" spans="1:17" x14ac:dyDescent="0.2">
      <c r="A11195" s="163">
        <v>2024</v>
      </c>
      <c r="B11195" s="163">
        <v>6</v>
      </c>
      <c r="C11195" s="163">
        <v>4</v>
      </c>
      <c r="D11195" s="280">
        <f>DATE(A11195,B11195,C11195)</f>
        <v>45447</v>
      </c>
      <c r="E11195" s="281">
        <f>DATE(A11195,B11195,C11195)</f>
        <v>45447</v>
      </c>
      <c r="F11195" s="480"/>
      <c r="G11195" s="221" t="s">
        <v>74</v>
      </c>
      <c r="H11195" s="221" t="str" cm="1">
        <f t="array" ref="H11195">IFERROR(INDEX(INVESTOR_LIST[INVESTOR NAME],MATCH(I11195,INVESTOR_LIST[INVESTOR CODE],0),)," ")</f>
        <v xml:space="preserve"> </v>
      </c>
      <c r="I11195" s="145" t="s">
        <v>348</v>
      </c>
      <c r="J11195" s="146" t="s">
        <v>52</v>
      </c>
      <c r="K11195" s="219"/>
      <c r="L11195" s="219">
        <v>412645.33</v>
      </c>
    </row>
    <row r="11196" spans="1:17" ht="11.25" customHeight="1" x14ac:dyDescent="0.2">
      <c r="A11196" s="168">
        <v>2024</v>
      </c>
      <c r="B11196" s="168">
        <v>6</v>
      </c>
      <c r="C11196" s="168">
        <v>4</v>
      </c>
      <c r="D11196" s="141">
        <f t="shared" si="1584"/>
        <v>45447</v>
      </c>
      <c r="E11196" s="275">
        <f t="shared" si="1585"/>
        <v>45447</v>
      </c>
      <c r="F11196" s="479" t="s">
        <v>1310</v>
      </c>
      <c r="G11196" s="220" t="s">
        <v>74</v>
      </c>
      <c r="H11196" s="142" t="str" cm="1">
        <f t="array" ref="H11196">IFERROR(INDEX(INVESTOR_LIST[INVESTOR NAME],MATCH(I11196,INVESTOR_LIST[INVESTOR CODE],0),)," ")</f>
        <v>SHARMEEN MAHMUD</v>
      </c>
      <c r="I11196" s="142" t="s">
        <v>924</v>
      </c>
      <c r="J11196" s="168" t="s">
        <v>13</v>
      </c>
      <c r="K11196" s="218">
        <v>98390</v>
      </c>
      <c r="L11196" s="226"/>
    </row>
    <row r="11197" spans="1:17" ht="11.25" customHeight="1" x14ac:dyDescent="0.2">
      <c r="A11197" s="133">
        <v>2024</v>
      </c>
      <c r="B11197" s="133">
        <v>6</v>
      </c>
      <c r="C11197" s="133">
        <v>4</v>
      </c>
      <c r="D11197" s="141">
        <f t="shared" si="1584"/>
        <v>45447</v>
      </c>
      <c r="E11197" s="275">
        <f t="shared" si="1585"/>
        <v>45447</v>
      </c>
      <c r="F11197" s="481"/>
      <c r="G11197" s="174" t="s">
        <v>74</v>
      </c>
      <c r="H11197" s="148" t="str" cm="1">
        <f t="array" ref="H11197">IFERROR(INDEX(INVESTOR_LIST[INVESTOR NAME],MATCH(I11197,INVESTOR_LIST[INVESTOR CODE],0),)," ")</f>
        <v>SHARMEEN MAHMUD</v>
      </c>
      <c r="I11197" s="148" t="s">
        <v>924</v>
      </c>
      <c r="J11197" s="133" t="s">
        <v>53</v>
      </c>
      <c r="K11197" s="218">
        <v>15535.779999999999</v>
      </c>
      <c r="L11197" s="133"/>
    </row>
    <row r="11198" spans="1:17" ht="11.25" customHeight="1" x14ac:dyDescent="0.2">
      <c r="A11198" s="163">
        <v>2024</v>
      </c>
      <c r="B11198" s="163">
        <v>6</v>
      </c>
      <c r="C11198" s="163">
        <v>4</v>
      </c>
      <c r="D11198" s="280">
        <f t="shared" si="1584"/>
        <v>45447</v>
      </c>
      <c r="E11198" s="281">
        <f t="shared" si="1585"/>
        <v>45447</v>
      </c>
      <c r="F11198" s="480"/>
      <c r="G11198" s="221" t="s">
        <v>74</v>
      </c>
      <c r="H11198" s="145" t="str" cm="1">
        <f t="array" ref="H11198">IFERROR(INDEX(INVESTOR_LIST[INVESTOR NAME],MATCH(I11198,INVESTOR_LIST[INVESTOR CODE],0),)," ")</f>
        <v>SHARMEEN MAHMUD</v>
      </c>
      <c r="I11198" s="145" t="s">
        <v>924</v>
      </c>
      <c r="J11198" s="163" t="s">
        <v>52</v>
      </c>
      <c r="K11198" s="219"/>
      <c r="L11198" s="219">
        <v>113925.78</v>
      </c>
    </row>
    <row r="11199" spans="1:17" ht="11.25" customHeight="1" x14ac:dyDescent="0.2">
      <c r="A11199" s="168">
        <v>2024</v>
      </c>
      <c r="B11199" s="168">
        <v>6</v>
      </c>
      <c r="C11199" s="168">
        <v>4</v>
      </c>
      <c r="D11199" s="141">
        <f t="shared" ref="D11199:D11204" si="1586">DATE(A11199,B11199,C11199)</f>
        <v>45447</v>
      </c>
      <c r="E11199" s="275">
        <f t="shared" ref="E11199:E11204" si="1587">DATE(A11199,B11199,C11199)</f>
        <v>45447</v>
      </c>
      <c r="F11199" s="479" t="s">
        <v>1370</v>
      </c>
      <c r="G11199" s="220" t="s">
        <v>74</v>
      </c>
      <c r="H11199" s="142" t="str" cm="1">
        <f t="array" ref="H11199">IFERROR(INDEX(INVESTOR_LIST[INVESTOR NAME],MATCH(I11199,INVESTOR_LIST[INVESTOR CODE],0),)," ")</f>
        <v>KAMRUL HASAN MAHMUD</v>
      </c>
      <c r="I11199" s="142" t="s">
        <v>517</v>
      </c>
      <c r="J11199" s="168" t="s">
        <v>13</v>
      </c>
      <c r="K11199" s="218">
        <v>66920</v>
      </c>
      <c r="L11199" s="226"/>
    </row>
    <row r="11200" spans="1:17" ht="11.25" customHeight="1" x14ac:dyDescent="0.2">
      <c r="A11200" s="133">
        <v>2024</v>
      </c>
      <c r="B11200" s="133">
        <v>6</v>
      </c>
      <c r="C11200" s="133">
        <v>4</v>
      </c>
      <c r="D11200" s="141">
        <f t="shared" si="1586"/>
        <v>45447</v>
      </c>
      <c r="E11200" s="275">
        <f t="shared" si="1587"/>
        <v>45447</v>
      </c>
      <c r="F11200" s="481"/>
      <c r="G11200" s="174" t="s">
        <v>74</v>
      </c>
      <c r="H11200" s="148" t="str" cm="1">
        <f t="array" ref="H11200">IFERROR(INDEX(INVESTOR_LIST[INVESTOR NAME],MATCH(I11200,INVESTOR_LIST[INVESTOR CODE],0),)," ")</f>
        <v>KAMRUL HASAN MAHMUD</v>
      </c>
      <c r="I11200" s="148" t="s">
        <v>517</v>
      </c>
      <c r="J11200" s="133" t="s">
        <v>53</v>
      </c>
      <c r="K11200" s="218">
        <v>10566.67</v>
      </c>
      <c r="L11200" s="133"/>
    </row>
    <row r="11201" spans="1:13" ht="11.25" customHeight="1" x14ac:dyDescent="0.2">
      <c r="A11201" s="163">
        <v>2024</v>
      </c>
      <c r="B11201" s="163">
        <v>6</v>
      </c>
      <c r="C11201" s="163">
        <v>4</v>
      </c>
      <c r="D11201" s="280">
        <f t="shared" si="1586"/>
        <v>45447</v>
      </c>
      <c r="E11201" s="281">
        <f t="shared" si="1587"/>
        <v>45447</v>
      </c>
      <c r="F11201" s="480"/>
      <c r="G11201" s="221" t="s">
        <v>74</v>
      </c>
      <c r="H11201" s="145" t="str" cm="1">
        <f t="array" ref="H11201">IFERROR(INDEX(INVESTOR_LIST[INVESTOR NAME],MATCH(I11201,INVESTOR_LIST[INVESTOR CODE],0),)," ")</f>
        <v>KAMRUL HASAN MAHMUD</v>
      </c>
      <c r="I11201" s="145" t="s">
        <v>517</v>
      </c>
      <c r="J11201" s="163" t="s">
        <v>52</v>
      </c>
      <c r="K11201" s="219"/>
      <c r="L11201" s="219">
        <v>77486.67</v>
      </c>
    </row>
    <row r="11202" spans="1:13" x14ac:dyDescent="0.2">
      <c r="A11202" s="168">
        <v>2024</v>
      </c>
      <c r="B11202" s="168">
        <v>6</v>
      </c>
      <c r="C11202" s="168">
        <v>5</v>
      </c>
      <c r="D11202" s="141">
        <f t="shared" si="1586"/>
        <v>45448</v>
      </c>
      <c r="E11202" s="275">
        <f t="shared" si="1587"/>
        <v>45448</v>
      </c>
      <c r="F11202" s="479" t="s">
        <v>1319</v>
      </c>
      <c r="G11202" s="220" t="s">
        <v>74</v>
      </c>
      <c r="H11202" s="142" t="str" cm="1">
        <f t="array" ref="H11202">IFERROR(INDEX(INVESTOR_LIST[INVESTOR NAME],MATCH(I11202,INVESTOR_LIST[INVESTOR CODE],0),)," ")</f>
        <v xml:space="preserve"> </v>
      </c>
      <c r="I11202" s="142"/>
      <c r="J11202" s="168" t="s">
        <v>52</v>
      </c>
      <c r="K11202" s="226">
        <v>51500</v>
      </c>
      <c r="L11202" s="226"/>
    </row>
    <row r="11203" spans="1:13" x14ac:dyDescent="0.2">
      <c r="A11203" s="133">
        <v>2024</v>
      </c>
      <c r="B11203" s="133">
        <v>6</v>
      </c>
      <c r="C11203" s="133">
        <v>5</v>
      </c>
      <c r="D11203" s="141">
        <f t="shared" si="1586"/>
        <v>45448</v>
      </c>
      <c r="E11203" s="275">
        <f t="shared" si="1587"/>
        <v>45448</v>
      </c>
      <c r="F11203" s="481"/>
      <c r="G11203" s="174" t="s">
        <v>74</v>
      </c>
      <c r="H11203" s="148" t="str" cm="1">
        <f t="array" ref="H11203">IFERROR(INDEX(INVESTOR_LIST[INVESTOR NAME],MATCH(I11203,INVESTOR_LIST[INVESTOR CODE],0),)," ")</f>
        <v xml:space="preserve"> </v>
      </c>
      <c r="J11203" s="133" t="s">
        <v>13</v>
      </c>
      <c r="K11203" s="218"/>
      <c r="L11203" s="218">
        <v>44490</v>
      </c>
    </row>
    <row r="11204" spans="1:13" x14ac:dyDescent="0.2">
      <c r="A11204" s="163">
        <v>2024</v>
      </c>
      <c r="B11204" s="163">
        <v>6</v>
      </c>
      <c r="C11204" s="163">
        <v>5</v>
      </c>
      <c r="D11204" s="280">
        <f t="shared" si="1586"/>
        <v>45448</v>
      </c>
      <c r="E11204" s="281">
        <f t="shared" si="1587"/>
        <v>45448</v>
      </c>
      <c r="F11204" s="480"/>
      <c r="G11204" s="221" t="s">
        <v>74</v>
      </c>
      <c r="H11204" s="145" t="str" cm="1">
        <f t="array" ref="H11204">IFERROR(INDEX(INVESTOR_LIST[INVESTOR NAME],MATCH(I11204,INVESTOR_LIST[INVESTOR CODE],0),)," ")</f>
        <v xml:space="preserve"> </v>
      </c>
      <c r="I11204" s="145"/>
      <c r="J11204" s="163" t="s">
        <v>53</v>
      </c>
      <c r="K11204" s="219"/>
      <c r="L11204" s="219">
        <v>7010</v>
      </c>
    </row>
    <row r="11205" spans="1:13" ht="11.25" customHeight="1" x14ac:dyDescent="0.2">
      <c r="A11205" s="168">
        <v>2024</v>
      </c>
      <c r="B11205" s="168">
        <v>6</v>
      </c>
      <c r="C11205" s="168">
        <v>5</v>
      </c>
      <c r="D11205" s="141">
        <f t="shared" ref="D11205:D11230" si="1588">DATE(A11205,B11205,C11205)</f>
        <v>45448</v>
      </c>
      <c r="E11205" s="275">
        <f t="shared" ref="E11205:E11230" si="1589">DATE(A11205,B11205,C11205)</f>
        <v>45448</v>
      </c>
      <c r="F11205" s="479" t="s">
        <v>1370</v>
      </c>
      <c r="G11205" s="220" t="s">
        <v>74</v>
      </c>
      <c r="H11205" s="142" t="str" cm="1">
        <f t="array" ref="H11205">IFERROR(INDEX(INVESTOR_LIST[INVESTOR NAME],MATCH(I11205,INVESTOR_LIST[INVESTOR CODE],0),)," ")</f>
        <v>TANIZA MAZED</v>
      </c>
      <c r="I11205" s="142" t="s">
        <v>387</v>
      </c>
      <c r="J11205" s="168" t="s">
        <v>13</v>
      </c>
      <c r="K11205" s="218">
        <v>1106840</v>
      </c>
      <c r="L11205" s="226"/>
    </row>
    <row r="11206" spans="1:13" ht="11.25" customHeight="1" x14ac:dyDescent="0.2">
      <c r="A11206" s="133">
        <v>2024</v>
      </c>
      <c r="B11206" s="133">
        <v>6</v>
      </c>
      <c r="C11206" s="133">
        <v>5</v>
      </c>
      <c r="D11206" s="141">
        <f t="shared" si="1588"/>
        <v>45448</v>
      </c>
      <c r="E11206" s="275">
        <f t="shared" si="1589"/>
        <v>45448</v>
      </c>
      <c r="F11206" s="481"/>
      <c r="G11206" s="174" t="s">
        <v>74</v>
      </c>
      <c r="H11206" s="148" t="str" cm="1">
        <f t="array" ref="H11206">IFERROR(INDEX(INVESTOR_LIST[INVESTOR NAME],MATCH(I11206,INVESTOR_LIST[INVESTOR CODE],0),)," ")</f>
        <v>TANIZA MAZED</v>
      </c>
      <c r="I11206" s="148" t="s">
        <v>387</v>
      </c>
      <c r="J11206" s="133" t="s">
        <v>53</v>
      </c>
      <c r="K11206" s="218">
        <v>174770.04</v>
      </c>
      <c r="L11206" s="133"/>
    </row>
    <row r="11207" spans="1:13" ht="11.25" customHeight="1" x14ac:dyDescent="0.2">
      <c r="A11207" s="163">
        <v>2024</v>
      </c>
      <c r="B11207" s="163">
        <v>6</v>
      </c>
      <c r="C11207" s="163">
        <v>5</v>
      </c>
      <c r="D11207" s="280">
        <f t="shared" si="1588"/>
        <v>45448</v>
      </c>
      <c r="E11207" s="281">
        <f t="shared" si="1589"/>
        <v>45448</v>
      </c>
      <c r="F11207" s="480"/>
      <c r="G11207" s="221" t="s">
        <v>74</v>
      </c>
      <c r="H11207" s="145" t="str" cm="1">
        <f t="array" ref="H11207">IFERROR(INDEX(INVESTOR_LIST[INVESTOR NAME],MATCH(I11207,INVESTOR_LIST[INVESTOR CODE],0),)," ")</f>
        <v>TANIZA MAZED</v>
      </c>
      <c r="I11207" s="145" t="s">
        <v>387</v>
      </c>
      <c r="J11207" s="163" t="s">
        <v>52</v>
      </c>
      <c r="K11207" s="219"/>
      <c r="L11207" s="219">
        <v>1281610.04</v>
      </c>
    </row>
    <row r="11208" spans="1:13" x14ac:dyDescent="0.2">
      <c r="A11208" s="343">
        <v>2024</v>
      </c>
      <c r="B11208" s="343">
        <v>6</v>
      </c>
      <c r="C11208" s="343">
        <v>6</v>
      </c>
      <c r="D11208" s="344">
        <f t="shared" si="1588"/>
        <v>45449</v>
      </c>
      <c r="E11208" s="345">
        <f t="shared" si="1589"/>
        <v>45449</v>
      </c>
      <c r="F11208" s="483" t="s">
        <v>1813</v>
      </c>
      <c r="G11208" s="350" t="s">
        <v>94</v>
      </c>
      <c r="H11208" s="350" t="str" cm="1">
        <f t="array" ref="H11208">IFERROR(INDEX(INVESTOR_LIST[INVESTOR NAME],MATCH(I11208,INVESTOR_LIST[INVESTOR CODE],0),)," ")</f>
        <v xml:space="preserve"> </v>
      </c>
      <c r="I11208" s="352" t="s">
        <v>348</v>
      </c>
      <c r="J11208" s="353" t="s">
        <v>1798</v>
      </c>
      <c r="K11208" s="354">
        <v>53378.5</v>
      </c>
      <c r="L11208" s="354"/>
    </row>
    <row r="11209" spans="1:13" x14ac:dyDescent="0.2">
      <c r="A11209" s="346">
        <v>2024</v>
      </c>
      <c r="B11209" s="346">
        <v>6</v>
      </c>
      <c r="C11209" s="346">
        <v>6</v>
      </c>
      <c r="D11209" s="344">
        <f t="shared" si="1588"/>
        <v>45449</v>
      </c>
      <c r="E11209" s="345">
        <f t="shared" si="1589"/>
        <v>45449</v>
      </c>
      <c r="F11209" s="484"/>
      <c r="G11209" s="347" t="s">
        <v>94</v>
      </c>
      <c r="H11209" s="347" t="str" cm="1">
        <f t="array" ref="H11209">IFERROR(INDEX(INVESTOR_LIST[INVESTOR NAME],MATCH(I11209,INVESTOR_LIST[INVESTOR CODE],0),)," ")</f>
        <v xml:space="preserve"> </v>
      </c>
      <c r="I11209" s="348" t="s">
        <v>348</v>
      </c>
      <c r="J11209" s="355" t="s">
        <v>1807</v>
      </c>
      <c r="K11209" s="349"/>
      <c r="L11209" s="349">
        <f>K11208</f>
        <v>53378.5</v>
      </c>
    </row>
    <row r="11210" spans="1:13" x14ac:dyDescent="0.2">
      <c r="A11210" s="343">
        <v>2024</v>
      </c>
      <c r="B11210" s="343">
        <v>6</v>
      </c>
      <c r="C11210" s="343">
        <v>6</v>
      </c>
      <c r="D11210" s="344">
        <f t="shared" si="1588"/>
        <v>45449</v>
      </c>
      <c r="E11210" s="345">
        <f t="shared" si="1589"/>
        <v>45449</v>
      </c>
      <c r="F11210" s="483" t="s">
        <v>1913</v>
      </c>
      <c r="G11210" s="350" t="s">
        <v>94</v>
      </c>
      <c r="H11210" s="350" t="str" cm="1">
        <f t="array" ref="H11210">IFERROR(INDEX(INVESTOR_LIST[INVESTOR NAME],MATCH(I11210,INVESTOR_LIST[INVESTOR CODE],0),)," ")</f>
        <v xml:space="preserve"> </v>
      </c>
      <c r="I11210" s="352" t="s">
        <v>348</v>
      </c>
      <c r="J11210" s="353" t="s">
        <v>1808</v>
      </c>
      <c r="K11210" s="354">
        <v>28553.849999999627</v>
      </c>
      <c r="L11210" s="354"/>
    </row>
    <row r="11211" spans="1:13" x14ac:dyDescent="0.2">
      <c r="A11211" s="346">
        <v>2024</v>
      </c>
      <c r="B11211" s="346">
        <v>6</v>
      </c>
      <c r="C11211" s="346">
        <v>6</v>
      </c>
      <c r="D11211" s="344">
        <f t="shared" si="1588"/>
        <v>45449</v>
      </c>
      <c r="E11211" s="345">
        <f t="shared" si="1589"/>
        <v>45449</v>
      </c>
      <c r="F11211" s="484"/>
      <c r="G11211" s="347" t="s">
        <v>94</v>
      </c>
      <c r="H11211" s="347" t="str" cm="1">
        <f t="array" ref="H11211">IFERROR(INDEX(INVESTOR_LIST[INVESTOR NAME],MATCH(I11211,INVESTOR_LIST[INVESTOR CODE],0),)," ")</f>
        <v xml:space="preserve"> </v>
      </c>
      <c r="I11211" s="348" t="s">
        <v>348</v>
      </c>
      <c r="J11211" s="355" t="s">
        <v>1799</v>
      </c>
      <c r="K11211" s="349"/>
      <c r="L11211" s="349">
        <f>K11210</f>
        <v>28553.849999999627</v>
      </c>
    </row>
    <row r="11212" spans="1:13" x14ac:dyDescent="0.2">
      <c r="A11212" s="238">
        <v>2024</v>
      </c>
      <c r="B11212" s="238">
        <v>6</v>
      </c>
      <c r="C11212" s="238">
        <v>6</v>
      </c>
      <c r="D11212" s="270">
        <f t="shared" si="1588"/>
        <v>45449</v>
      </c>
      <c r="E11212" s="279">
        <f t="shared" si="1589"/>
        <v>45449</v>
      </c>
      <c r="F11212" s="477" t="s">
        <v>347</v>
      </c>
      <c r="G11212" s="239" t="s">
        <v>94</v>
      </c>
      <c r="H11212" s="239" t="str" cm="1">
        <f t="array" ref="H11212">IFERROR(INDEX(INVESTOR_LIST[INVESTOR NAME],MATCH(I11212,INVESTOR_LIST[INVESTOR CODE],0),)," ")</f>
        <v xml:space="preserve"> </v>
      </c>
      <c r="I11212" s="262" t="s">
        <v>348</v>
      </c>
      <c r="J11212" s="240" t="s">
        <v>82</v>
      </c>
      <c r="K11212" s="241">
        <v>43023.87000001967</v>
      </c>
      <c r="L11212" s="241"/>
    </row>
    <row r="11213" spans="1:13" x14ac:dyDescent="0.2">
      <c r="A11213" s="242">
        <v>2024</v>
      </c>
      <c r="B11213" s="242">
        <v>6</v>
      </c>
      <c r="C11213" s="242">
        <v>6</v>
      </c>
      <c r="D11213" s="270">
        <f t="shared" si="1588"/>
        <v>45449</v>
      </c>
      <c r="E11213" s="279">
        <f t="shared" si="1589"/>
        <v>45449</v>
      </c>
      <c r="F11213" s="478"/>
      <c r="G11213" s="243" t="s">
        <v>94</v>
      </c>
      <c r="H11213" s="243" t="str" cm="1">
        <f t="array" ref="H11213">IFERROR(INDEX(INVESTOR_LIST[INVESTOR NAME],MATCH(I11213,INVESTOR_LIST[INVESTOR CODE],0),)," ")</f>
        <v xml:space="preserve"> </v>
      </c>
      <c r="I11213" s="263" t="s">
        <v>348</v>
      </c>
      <c r="J11213" s="244" t="s">
        <v>108</v>
      </c>
      <c r="K11213" s="245"/>
      <c r="L11213" s="245">
        <f>K11212</f>
        <v>43023.87000001967</v>
      </c>
    </row>
    <row r="11214" spans="1:13" ht="12.75" customHeight="1" x14ac:dyDescent="0.2">
      <c r="A11214" s="246">
        <v>2024</v>
      </c>
      <c r="B11214" s="238">
        <v>6</v>
      </c>
      <c r="C11214" s="238">
        <v>6</v>
      </c>
      <c r="D11214" s="270">
        <f t="shared" si="1588"/>
        <v>45449</v>
      </c>
      <c r="E11214" s="279">
        <f t="shared" si="1589"/>
        <v>45449</v>
      </c>
      <c r="F11214" s="482" t="s">
        <v>148</v>
      </c>
      <c r="G11214" s="247" t="s">
        <v>94</v>
      </c>
      <c r="H11214" s="247" t="str" cm="1">
        <f t="array" ref="H11214">IFERROR(INDEX(INVESTOR_LIST[INVESTOR NAME],MATCH(I11214,INVESTOR_LIST[INVESTOR CODE],0),)," ")</f>
        <v xml:space="preserve"> </v>
      </c>
      <c r="I11214" s="248" t="s">
        <v>348</v>
      </c>
      <c r="J11214" s="249" t="s">
        <v>95</v>
      </c>
      <c r="K11214" s="250">
        <v>2747.2527472527472</v>
      </c>
      <c r="L11214" s="241"/>
    </row>
    <row r="11215" spans="1:13" x14ac:dyDescent="0.2">
      <c r="A11215" s="242">
        <v>2024</v>
      </c>
      <c r="B11215" s="242">
        <v>6</v>
      </c>
      <c r="C11215" s="242">
        <v>6</v>
      </c>
      <c r="D11215" s="270">
        <f t="shared" si="1588"/>
        <v>45449</v>
      </c>
      <c r="E11215" s="279">
        <f t="shared" si="1589"/>
        <v>45449</v>
      </c>
      <c r="F11215" s="478"/>
      <c r="G11215" s="243" t="s">
        <v>94</v>
      </c>
      <c r="H11215" s="243" t="str" cm="1">
        <f t="array" ref="H11215">IFERROR(INDEX(INVESTOR_LIST[INVESTOR NAME],MATCH(I11215,INVESTOR_LIST[INVESTOR CODE],0),)," ")</f>
        <v xml:space="preserve"> </v>
      </c>
      <c r="I11215" s="263" t="s">
        <v>348</v>
      </c>
      <c r="J11215" s="244" t="s">
        <v>63</v>
      </c>
      <c r="K11215" s="245"/>
      <c r="L11215" s="245">
        <v>2747.2527472527472</v>
      </c>
    </row>
    <row r="11216" spans="1:13" x14ac:dyDescent="0.2">
      <c r="A11216" s="246">
        <v>2024</v>
      </c>
      <c r="B11216" s="238">
        <v>6</v>
      </c>
      <c r="C11216" s="238">
        <v>6</v>
      </c>
      <c r="D11216" s="270">
        <f t="shared" si="1588"/>
        <v>45449</v>
      </c>
      <c r="E11216" s="279">
        <f t="shared" si="1589"/>
        <v>45449</v>
      </c>
      <c r="F11216" s="482" t="s">
        <v>137</v>
      </c>
      <c r="G11216" s="247" t="s">
        <v>94</v>
      </c>
      <c r="H11216" s="247" t="str" cm="1">
        <f t="array" ref="H11216">IFERROR(INDEX(INVESTOR_LIST[INVESTOR NAME],MATCH(I11216,INVESTOR_LIST[INVESTOR CODE],0),)," ")</f>
        <v xml:space="preserve"> </v>
      </c>
      <c r="I11216" s="248" t="s">
        <v>348</v>
      </c>
      <c r="J11216" s="249" t="s">
        <v>97</v>
      </c>
      <c r="K11216" s="250">
        <f>M11216</f>
        <v>51555.140838836429</v>
      </c>
      <c r="L11216" s="252"/>
      <c r="M11216" s="264">
        <v>51555.140838836429</v>
      </c>
    </row>
    <row r="11217" spans="1:14" x14ac:dyDescent="0.2">
      <c r="A11217" s="242">
        <v>2024</v>
      </c>
      <c r="B11217" s="242">
        <v>6</v>
      </c>
      <c r="C11217" s="242">
        <v>6</v>
      </c>
      <c r="D11217" s="270">
        <f t="shared" si="1588"/>
        <v>45449</v>
      </c>
      <c r="E11217" s="279">
        <f t="shared" si="1589"/>
        <v>45449</v>
      </c>
      <c r="F11217" s="478"/>
      <c r="G11217" s="243" t="s">
        <v>94</v>
      </c>
      <c r="H11217" s="243" t="str" cm="1">
        <f t="array" ref="H11217">IFERROR(INDEX(INVESTOR_LIST[INVESTOR NAME],MATCH(I11217,INVESTOR_LIST[INVESTOR CODE],0),)," ")</f>
        <v xml:space="preserve"> </v>
      </c>
      <c r="I11217" s="263" t="s">
        <v>348</v>
      </c>
      <c r="J11217" s="244" t="s">
        <v>47</v>
      </c>
      <c r="K11217" s="245"/>
      <c r="L11217" s="245">
        <f>K11216</f>
        <v>51555.140838836429</v>
      </c>
      <c r="M11217" s="264">
        <v>2337.3724265572059</v>
      </c>
    </row>
    <row r="11218" spans="1:14" x14ac:dyDescent="0.2">
      <c r="A11218" s="246">
        <v>2024</v>
      </c>
      <c r="B11218" s="238">
        <v>6</v>
      </c>
      <c r="C11218" s="238">
        <v>6</v>
      </c>
      <c r="D11218" s="270">
        <f t="shared" si="1588"/>
        <v>45449</v>
      </c>
      <c r="E11218" s="279">
        <f t="shared" si="1589"/>
        <v>45449</v>
      </c>
      <c r="F11218" s="482" t="s">
        <v>138</v>
      </c>
      <c r="G11218" s="247" t="s">
        <v>94</v>
      </c>
      <c r="H11218" s="247" t="str" cm="1">
        <f t="array" ref="H11218">IFERROR(INDEX(INVESTOR_LIST[INVESTOR NAME],MATCH(I11218,INVESTOR_LIST[INVESTOR CODE],0),)," ")</f>
        <v xml:space="preserve"> </v>
      </c>
      <c r="I11218" s="248" t="s">
        <v>348</v>
      </c>
      <c r="J11218" s="249" t="s">
        <v>100</v>
      </c>
      <c r="K11218" s="250">
        <f>M11217</f>
        <v>2337.3724265572059</v>
      </c>
      <c r="L11218" s="252"/>
    </row>
    <row r="11219" spans="1:14" x14ac:dyDescent="0.2">
      <c r="A11219" s="242">
        <v>2024</v>
      </c>
      <c r="B11219" s="242">
        <v>6</v>
      </c>
      <c r="C11219" s="242">
        <v>6</v>
      </c>
      <c r="D11219" s="321">
        <f t="shared" si="1588"/>
        <v>45449</v>
      </c>
      <c r="E11219" s="322">
        <f t="shared" si="1589"/>
        <v>45449</v>
      </c>
      <c r="F11219" s="478"/>
      <c r="G11219" s="243" t="s">
        <v>94</v>
      </c>
      <c r="H11219" s="243" t="str" cm="1">
        <f t="array" ref="H11219">IFERROR(INDEX(INVESTOR_LIST[INVESTOR NAME],MATCH(I11219,INVESTOR_LIST[INVESTOR CODE],0),)," ")</f>
        <v xml:space="preserve"> </v>
      </c>
      <c r="I11219" s="263" t="s">
        <v>348</v>
      </c>
      <c r="J11219" s="244" t="s">
        <v>48</v>
      </c>
      <c r="K11219" s="245"/>
      <c r="L11219" s="245">
        <f>K11218</f>
        <v>2337.3724265572059</v>
      </c>
    </row>
    <row r="11220" spans="1:14" x14ac:dyDescent="0.2">
      <c r="A11220" s="133">
        <v>2024</v>
      </c>
      <c r="B11220" s="133">
        <v>6</v>
      </c>
      <c r="C11220" s="133">
        <v>9</v>
      </c>
      <c r="D11220" s="141">
        <f t="shared" si="1588"/>
        <v>45452</v>
      </c>
      <c r="E11220" s="275">
        <f t="shared" si="1589"/>
        <v>45452</v>
      </c>
      <c r="F11220" s="481" t="s">
        <v>1753</v>
      </c>
      <c r="G11220" s="174" t="s">
        <v>94</v>
      </c>
      <c r="H11220" s="174" t="str" cm="1">
        <f t="array" ref="H11220">IFERROR(INDEX(INVESTOR_LIST[INVESTOR NAME],MATCH(I11220,INVESTOR_LIST[INVESTOR CODE],0),)," ")</f>
        <v xml:space="preserve"> </v>
      </c>
      <c r="J11220" s="149" t="s">
        <v>190</v>
      </c>
      <c r="K11220" s="218">
        <v>113139.98</v>
      </c>
      <c r="L11220" s="218"/>
      <c r="M11220" s="160"/>
    </row>
    <row r="11221" spans="1:14" x14ac:dyDescent="0.2">
      <c r="A11221" s="133">
        <v>2024</v>
      </c>
      <c r="B11221" s="133">
        <v>6</v>
      </c>
      <c r="C11221" s="133">
        <v>9</v>
      </c>
      <c r="D11221" s="141">
        <f t="shared" si="1588"/>
        <v>45452</v>
      </c>
      <c r="E11221" s="275">
        <f t="shared" si="1589"/>
        <v>45452</v>
      </c>
      <c r="F11221" s="481"/>
      <c r="G11221" s="174" t="s">
        <v>94</v>
      </c>
      <c r="H11221" s="174"/>
      <c r="J11221" s="149" t="s">
        <v>80</v>
      </c>
      <c r="K11221" s="218">
        <v>204.02</v>
      </c>
      <c r="L11221" s="218"/>
      <c r="N11221" s="264"/>
    </row>
    <row r="11222" spans="1:14" x14ac:dyDescent="0.2">
      <c r="A11222" s="133">
        <v>2024</v>
      </c>
      <c r="B11222" s="133">
        <v>6</v>
      </c>
      <c r="C11222" s="133">
        <v>9</v>
      </c>
      <c r="D11222" s="141">
        <f t="shared" si="1588"/>
        <v>45452</v>
      </c>
      <c r="E11222" s="275">
        <f t="shared" si="1589"/>
        <v>45452</v>
      </c>
      <c r="F11222" s="481"/>
      <c r="G11222" s="174" t="s">
        <v>94</v>
      </c>
      <c r="H11222" s="174" t="str" cm="1">
        <f t="array" ref="H11222">IFERROR(INDEX(INVESTOR_LIST[INVESTOR NAME],MATCH(I11222,INVESTOR_LIST[INVESTOR CODE],0),)," ")</f>
        <v xml:space="preserve"> </v>
      </c>
      <c r="J11222" s="149" t="s">
        <v>191</v>
      </c>
      <c r="K11222" s="218"/>
      <c r="L11222" s="218">
        <v>87584</v>
      </c>
      <c r="N11222" s="264"/>
    </row>
    <row r="11223" spans="1:14" x14ac:dyDescent="0.2">
      <c r="A11223" s="163">
        <v>2024</v>
      </c>
      <c r="B11223" s="163">
        <v>6</v>
      </c>
      <c r="C11223" s="163">
        <v>9</v>
      </c>
      <c r="D11223" s="280">
        <f t="shared" si="1588"/>
        <v>45452</v>
      </c>
      <c r="E11223" s="281">
        <f t="shared" si="1589"/>
        <v>45452</v>
      </c>
      <c r="F11223" s="480"/>
      <c r="G11223" s="221" t="s">
        <v>94</v>
      </c>
      <c r="H11223" s="145" t="str" cm="1">
        <f t="array" ref="H11223">IFERROR(INDEX(INVESTOR_LIST[INVESTOR NAME],MATCH(I11223,INVESTOR_LIST[INVESTOR CODE],0),)," ")</f>
        <v xml:space="preserve"> </v>
      </c>
      <c r="I11223" s="145"/>
      <c r="J11223" s="163" t="s">
        <v>79</v>
      </c>
      <c r="K11223" s="219"/>
      <c r="L11223" s="219">
        <v>25760</v>
      </c>
      <c r="N11223" s="264"/>
    </row>
    <row r="11224" spans="1:14" x14ac:dyDescent="0.2">
      <c r="A11224" s="168">
        <v>2024</v>
      </c>
      <c r="B11224" s="168">
        <v>6</v>
      </c>
      <c r="C11224" s="168">
        <v>11</v>
      </c>
      <c r="D11224" s="141">
        <f>DATE(A11224,B11224,C11224)</f>
        <v>45454</v>
      </c>
      <c r="E11224" s="275">
        <f>DATE(A11224,B11224,C11224)</f>
        <v>45454</v>
      </c>
      <c r="F11224" s="479" t="s">
        <v>1757</v>
      </c>
      <c r="G11224" s="220" t="s">
        <v>74</v>
      </c>
      <c r="H11224" s="220" t="str" cm="1">
        <f t="array" ref="H11224">IFERROR(INDEX(INVESTOR_LIST[INVESTOR NAME],MATCH(I11224,INVESTOR_LIST[INVESTOR CODE],0),)," ")</f>
        <v xml:space="preserve"> </v>
      </c>
      <c r="I11224" s="142"/>
      <c r="J11224" s="143" t="s">
        <v>52</v>
      </c>
      <c r="K11224" s="226">
        <v>113139.98</v>
      </c>
      <c r="L11224" s="226"/>
    </row>
    <row r="11225" spans="1:14" ht="10.5" customHeight="1" x14ac:dyDescent="0.2">
      <c r="A11225" s="163">
        <v>2024</v>
      </c>
      <c r="B11225" s="163">
        <v>6</v>
      </c>
      <c r="C11225" s="163">
        <v>11</v>
      </c>
      <c r="D11225" s="280">
        <f>DATE(A11225,B11225,C11225)</f>
        <v>45454</v>
      </c>
      <c r="E11225" s="281">
        <f>DATE(A11225,B11225,C11225)</f>
        <v>45454</v>
      </c>
      <c r="F11225" s="480"/>
      <c r="G11225" s="221" t="s">
        <v>74</v>
      </c>
      <c r="H11225" s="221" t="str" cm="1">
        <f t="array" ref="H11225">IFERROR(INDEX(INVESTOR_LIST[INVESTOR NAME],MATCH(I11225,INVESTOR_LIST[INVESTOR CODE],0),)," ")</f>
        <v xml:space="preserve"> </v>
      </c>
      <c r="I11225" s="145"/>
      <c r="J11225" s="146" t="s">
        <v>190</v>
      </c>
      <c r="K11225" s="219"/>
      <c r="L11225" s="219">
        <v>113139.98</v>
      </c>
    </row>
    <row r="11226" spans="1:14" x14ac:dyDescent="0.2">
      <c r="A11226" s="168">
        <v>2024</v>
      </c>
      <c r="B11226" s="168">
        <v>6</v>
      </c>
      <c r="C11226" s="168">
        <v>11</v>
      </c>
      <c r="D11226" s="141">
        <f t="shared" si="1588"/>
        <v>45454</v>
      </c>
      <c r="E11226" s="275">
        <f t="shared" si="1589"/>
        <v>45454</v>
      </c>
      <c r="F11226" s="479" t="s">
        <v>1797</v>
      </c>
      <c r="G11226" s="220" t="s">
        <v>94</v>
      </c>
      <c r="H11226" s="220" t="str" cm="1">
        <f t="array" ref="H11226">IFERROR(INDEX(INVESTOR_LIST[INVESTOR NAME],MATCH(I11226,INVESTOR_LIST[INVESTOR CODE],0),)," ")</f>
        <v xml:space="preserve"> </v>
      </c>
      <c r="I11226" s="142"/>
      <c r="J11226" s="143" t="s">
        <v>79</v>
      </c>
      <c r="K11226" s="226">
        <v>396000</v>
      </c>
      <c r="L11226" s="226"/>
      <c r="M11226" s="160"/>
    </row>
    <row r="11227" spans="1:14" x14ac:dyDescent="0.2">
      <c r="A11227" s="133">
        <v>2024</v>
      </c>
      <c r="B11227" s="133">
        <v>6</v>
      </c>
      <c r="C11227" s="133">
        <v>11</v>
      </c>
      <c r="D11227" s="141">
        <f t="shared" si="1588"/>
        <v>45454</v>
      </c>
      <c r="E11227" s="275">
        <f t="shared" si="1589"/>
        <v>45454</v>
      </c>
      <c r="F11227" s="481"/>
      <c r="G11227" s="174" t="s">
        <v>94</v>
      </c>
      <c r="H11227" s="174"/>
      <c r="J11227" s="149" t="s">
        <v>80</v>
      </c>
      <c r="K11227" s="218">
        <v>712.8</v>
      </c>
      <c r="L11227" s="218"/>
    </row>
    <row r="11228" spans="1:14" ht="10.9" customHeight="1" x14ac:dyDescent="0.2">
      <c r="A11228" s="163">
        <v>2024</v>
      </c>
      <c r="B11228" s="163">
        <v>6</v>
      </c>
      <c r="C11228" s="163">
        <v>11</v>
      </c>
      <c r="D11228" s="280">
        <f t="shared" si="1588"/>
        <v>45454</v>
      </c>
      <c r="E11228" s="281">
        <f t="shared" si="1589"/>
        <v>45454</v>
      </c>
      <c r="F11228" s="480"/>
      <c r="G11228" s="221" t="s">
        <v>94</v>
      </c>
      <c r="H11228" s="221"/>
      <c r="I11228" s="145"/>
      <c r="J11228" s="146" t="s">
        <v>147</v>
      </c>
      <c r="K11228" s="219"/>
      <c r="L11228" s="219">
        <v>396712.8</v>
      </c>
    </row>
    <row r="11229" spans="1:14" x14ac:dyDescent="0.2">
      <c r="A11229" s="133">
        <v>2024</v>
      </c>
      <c r="B11229" s="168">
        <v>6</v>
      </c>
      <c r="C11229" s="168">
        <v>12</v>
      </c>
      <c r="D11229" s="141">
        <f t="shared" si="1588"/>
        <v>45455</v>
      </c>
      <c r="E11229" s="275">
        <f t="shared" si="1589"/>
        <v>45455</v>
      </c>
      <c r="F11229" s="481" t="s">
        <v>1934</v>
      </c>
      <c r="G11229" s="174" t="s">
        <v>94</v>
      </c>
      <c r="H11229" s="174" t="str" cm="1">
        <f t="array" ref="H11229">IFERROR(INDEX(INVESTOR_LIST[INVESTOR NAME],MATCH(I11229,INVESTOR_LIST[INVESTOR CODE],0),)," ")</f>
        <v xml:space="preserve"> </v>
      </c>
      <c r="I11229" s="148" t="s">
        <v>348</v>
      </c>
      <c r="J11229" s="149" t="s">
        <v>52</v>
      </c>
      <c r="K11229" s="218">
        <v>662162</v>
      </c>
      <c r="L11229" s="218"/>
    </row>
    <row r="11230" spans="1:14" x14ac:dyDescent="0.2">
      <c r="A11230" s="163">
        <v>2024</v>
      </c>
      <c r="B11230" s="163">
        <v>6</v>
      </c>
      <c r="C11230" s="163">
        <v>12</v>
      </c>
      <c r="D11230" s="280">
        <f t="shared" si="1588"/>
        <v>45455</v>
      </c>
      <c r="E11230" s="281">
        <f t="shared" si="1589"/>
        <v>45455</v>
      </c>
      <c r="F11230" s="480"/>
      <c r="G11230" s="221" t="s">
        <v>94</v>
      </c>
      <c r="H11230" s="221" t="str" cm="1">
        <f t="array" ref="H11230">IFERROR(INDEX(INVESTOR_LIST[INVESTOR NAME],MATCH(I11230,INVESTOR_LIST[INVESTOR CODE],0),)," ")</f>
        <v xml:space="preserve"> </v>
      </c>
      <c r="I11230" s="145" t="s">
        <v>348</v>
      </c>
      <c r="J11230" s="146" t="s">
        <v>168</v>
      </c>
      <c r="K11230" s="219"/>
      <c r="L11230" s="219">
        <v>662162</v>
      </c>
    </row>
    <row r="11231" spans="1:14" ht="11.25" customHeight="1" x14ac:dyDescent="0.2">
      <c r="A11231" s="168">
        <v>2024</v>
      </c>
      <c r="B11231" s="168">
        <v>6</v>
      </c>
      <c r="C11231" s="168">
        <v>10</v>
      </c>
      <c r="D11231" s="141">
        <f t="shared" ref="D11231:D11233" si="1590">DATE(A11231,B11231,C11231)</f>
        <v>45453</v>
      </c>
      <c r="E11231" s="275">
        <f t="shared" ref="E11231:E11233" si="1591">DATE(A11231,B11231,C11231)</f>
        <v>45453</v>
      </c>
      <c r="F11231" s="479" t="s">
        <v>1370</v>
      </c>
      <c r="G11231" s="220" t="s">
        <v>74</v>
      </c>
      <c r="H11231" s="142" t="str" cm="1">
        <f t="array" ref="H11231">IFERROR(INDEX(INVESTOR_LIST[INVESTOR NAME],MATCH(I11231,INVESTOR_LIST[INVESTOR CODE],0),)," ")</f>
        <v>NABADIP ROY</v>
      </c>
      <c r="I11231" s="142" t="s">
        <v>596</v>
      </c>
      <c r="J11231" s="168" t="s">
        <v>13</v>
      </c>
      <c r="K11231" s="218">
        <v>58200</v>
      </c>
      <c r="L11231" s="226"/>
    </row>
    <row r="11232" spans="1:14" ht="11.25" customHeight="1" x14ac:dyDescent="0.2">
      <c r="A11232" s="133">
        <v>2024</v>
      </c>
      <c r="B11232" s="133">
        <v>6</v>
      </c>
      <c r="C11232" s="133">
        <v>10</v>
      </c>
      <c r="D11232" s="141">
        <f t="shared" si="1590"/>
        <v>45453</v>
      </c>
      <c r="E11232" s="275">
        <f t="shared" si="1591"/>
        <v>45453</v>
      </c>
      <c r="F11232" s="481"/>
      <c r="G11232" s="174" t="s">
        <v>74</v>
      </c>
      <c r="H11232" s="148" t="str" cm="1">
        <f t="array" ref="H11232">IFERROR(INDEX(INVESTOR_LIST[INVESTOR NAME],MATCH(I11232,INVESTOR_LIST[INVESTOR CODE],0),)," ")</f>
        <v>NABADIP ROY</v>
      </c>
      <c r="I11232" s="148" t="s">
        <v>596</v>
      </c>
      <c r="J11232" s="133" t="s">
        <v>53</v>
      </c>
      <c r="K11232" s="218">
        <v>9149.0400000000009</v>
      </c>
      <c r="L11232" s="133"/>
    </row>
    <row r="11233" spans="1:14" ht="11.25" customHeight="1" x14ac:dyDescent="0.2">
      <c r="A11233" s="163">
        <v>2024</v>
      </c>
      <c r="B11233" s="163">
        <v>6</v>
      </c>
      <c r="C11233" s="163">
        <v>10</v>
      </c>
      <c r="D11233" s="280">
        <f t="shared" si="1590"/>
        <v>45453</v>
      </c>
      <c r="E11233" s="281">
        <f t="shared" si="1591"/>
        <v>45453</v>
      </c>
      <c r="F11233" s="480"/>
      <c r="G11233" s="221" t="s">
        <v>74</v>
      </c>
      <c r="H11233" s="145" t="str" cm="1">
        <f t="array" ref="H11233">IFERROR(INDEX(INVESTOR_LIST[INVESTOR NAME],MATCH(I11233,INVESTOR_LIST[INVESTOR CODE],0),)," ")</f>
        <v>NABADIP ROY</v>
      </c>
      <c r="I11233" s="145" t="s">
        <v>596</v>
      </c>
      <c r="J11233" s="163" t="s">
        <v>52</v>
      </c>
      <c r="K11233" s="219"/>
      <c r="L11233" s="219">
        <v>67349.039999999994</v>
      </c>
    </row>
    <row r="11234" spans="1:14" ht="33.75" x14ac:dyDescent="0.2">
      <c r="A11234" s="168">
        <v>2024</v>
      </c>
      <c r="B11234" s="168">
        <v>6</v>
      </c>
      <c r="C11234" s="168">
        <v>11</v>
      </c>
      <c r="D11234" s="141">
        <f t="shared" ref="D11234:D11241" si="1592">DATE(A11234,B11234,C11234)</f>
        <v>45454</v>
      </c>
      <c r="E11234" s="275">
        <f t="shared" ref="E11234:E11241" si="1593">DATE(A11234,B11234,C11234)</f>
        <v>45454</v>
      </c>
      <c r="F11234" s="479" t="s">
        <v>1310</v>
      </c>
      <c r="G11234" s="220" t="s">
        <v>74</v>
      </c>
      <c r="H11234" s="142" t="str" cm="1">
        <f t="array" ref="H11234">IFERROR(INDEX(INVESTOR_LIST[INVESTOR NAME],MATCH(I11234,INVESTOR_LIST[INVESTOR CODE],0),)," ")</f>
        <v>MD ABDUL AZIZ</v>
      </c>
      <c r="I11234" s="142" t="s">
        <v>611</v>
      </c>
      <c r="J11234" s="168" t="s">
        <v>13</v>
      </c>
      <c r="K11234" s="218">
        <v>20030</v>
      </c>
      <c r="L11234" s="226"/>
      <c r="N11234" s="160"/>
    </row>
    <row r="11235" spans="1:14" ht="33.75" x14ac:dyDescent="0.2">
      <c r="A11235" s="133">
        <v>2024</v>
      </c>
      <c r="B11235" s="133">
        <v>6</v>
      </c>
      <c r="C11235" s="133">
        <v>11</v>
      </c>
      <c r="D11235" s="141">
        <f t="shared" si="1592"/>
        <v>45454</v>
      </c>
      <c r="E11235" s="275">
        <f t="shared" si="1593"/>
        <v>45454</v>
      </c>
      <c r="F11235" s="481"/>
      <c r="G11235" s="174" t="s">
        <v>74</v>
      </c>
      <c r="H11235" s="148" t="str" cm="1">
        <f t="array" ref="H11235">IFERROR(INDEX(INVESTOR_LIST[INVESTOR NAME],MATCH(I11235,INVESTOR_LIST[INVESTOR CODE],0),)," ")</f>
        <v>MD ABDUL AZIZ</v>
      </c>
      <c r="I11235" s="148" t="s">
        <v>611</v>
      </c>
      <c r="J11235" s="133" t="s">
        <v>53</v>
      </c>
      <c r="K11235" s="218">
        <v>3148.7200000000012</v>
      </c>
      <c r="L11235" s="133"/>
    </row>
    <row r="11236" spans="1:14" ht="33.75" x14ac:dyDescent="0.2">
      <c r="A11236" s="163">
        <v>2024</v>
      </c>
      <c r="B11236" s="163">
        <v>6</v>
      </c>
      <c r="C11236" s="163">
        <v>11</v>
      </c>
      <c r="D11236" s="280">
        <f t="shared" si="1592"/>
        <v>45454</v>
      </c>
      <c r="E11236" s="281">
        <f t="shared" si="1593"/>
        <v>45454</v>
      </c>
      <c r="F11236" s="480"/>
      <c r="G11236" s="221" t="s">
        <v>74</v>
      </c>
      <c r="H11236" s="145" t="str" cm="1">
        <f t="array" ref="H11236">IFERROR(INDEX(INVESTOR_LIST[INVESTOR NAME],MATCH(I11236,INVESTOR_LIST[INVESTOR CODE],0),)," ")</f>
        <v>MD ABDUL AZIZ</v>
      </c>
      <c r="I11236" s="145" t="s">
        <v>611</v>
      </c>
      <c r="J11236" s="163" t="s">
        <v>52</v>
      </c>
      <c r="K11236" s="219"/>
      <c r="L11236" s="219">
        <v>23178.720000000001</v>
      </c>
    </row>
    <row r="11237" spans="1:14" ht="45" x14ac:dyDescent="0.2">
      <c r="A11237" s="168">
        <v>2024</v>
      </c>
      <c r="B11237" s="168">
        <v>6</v>
      </c>
      <c r="C11237" s="168">
        <v>11</v>
      </c>
      <c r="D11237" s="141">
        <f t="shared" si="1592"/>
        <v>45454</v>
      </c>
      <c r="E11237" s="275">
        <f t="shared" si="1593"/>
        <v>45454</v>
      </c>
      <c r="F11237" s="479" t="s">
        <v>1898</v>
      </c>
      <c r="G11237" s="220" t="s">
        <v>74</v>
      </c>
      <c r="H11237" s="142" t="str" cm="1">
        <f t="array" ref="H11237">IFERROR(INDEX(INVESTOR_LIST[INVESTOR NAME],MATCH(I11237,INVESTOR_LIST[INVESTOR CODE],0),)," ")</f>
        <v>TANVIR AHMED SIDDIQUI</v>
      </c>
      <c r="I11237" s="142" t="s">
        <v>400</v>
      </c>
      <c r="J11237" s="168" t="s">
        <v>52</v>
      </c>
      <c r="K11237" s="226">
        <v>50000</v>
      </c>
      <c r="L11237" s="226"/>
    </row>
    <row r="11238" spans="1:14" ht="45" x14ac:dyDescent="0.2">
      <c r="A11238" s="133">
        <v>2024</v>
      </c>
      <c r="B11238" s="133">
        <v>6</v>
      </c>
      <c r="C11238" s="133">
        <v>11</v>
      </c>
      <c r="D11238" s="141">
        <f t="shared" si="1592"/>
        <v>45454</v>
      </c>
      <c r="E11238" s="275">
        <f t="shared" si="1593"/>
        <v>45454</v>
      </c>
      <c r="F11238" s="481"/>
      <c r="G11238" s="174" t="s">
        <v>74</v>
      </c>
      <c r="H11238" s="148" t="str" cm="1">
        <f t="array" ref="H11238">IFERROR(INDEX(INVESTOR_LIST[INVESTOR NAME],MATCH(I11238,INVESTOR_LIST[INVESTOR CODE],0),)," ")</f>
        <v>TANVIR AHMED SIDDIQUI</v>
      </c>
      <c r="I11238" s="148" t="s">
        <v>400</v>
      </c>
      <c r="J11238" s="133" t="s">
        <v>13</v>
      </c>
      <c r="K11238" s="218"/>
      <c r="L11238" s="218">
        <v>43210</v>
      </c>
    </row>
    <row r="11239" spans="1:14" ht="45" x14ac:dyDescent="0.2">
      <c r="A11239" s="163">
        <v>2024</v>
      </c>
      <c r="B11239" s="163">
        <v>6</v>
      </c>
      <c r="C11239" s="163">
        <v>11</v>
      </c>
      <c r="D11239" s="280">
        <f t="shared" si="1592"/>
        <v>45454</v>
      </c>
      <c r="E11239" s="281">
        <f t="shared" si="1593"/>
        <v>45454</v>
      </c>
      <c r="F11239" s="480"/>
      <c r="G11239" s="221" t="s">
        <v>74</v>
      </c>
      <c r="H11239" s="145" t="str" cm="1">
        <f t="array" ref="H11239">IFERROR(INDEX(INVESTOR_LIST[INVESTOR NAME],MATCH(I11239,INVESTOR_LIST[INVESTOR CODE],0),)," ")</f>
        <v>TANVIR AHMED SIDDIQUI</v>
      </c>
      <c r="I11239" s="145" t="s">
        <v>400</v>
      </c>
      <c r="J11239" s="163" t="s">
        <v>53</v>
      </c>
      <c r="K11239" s="219"/>
      <c r="L11239" s="219">
        <v>6790</v>
      </c>
    </row>
    <row r="11240" spans="1:14" x14ac:dyDescent="0.2">
      <c r="A11240" s="133">
        <v>2024</v>
      </c>
      <c r="B11240" s="133">
        <v>6</v>
      </c>
      <c r="C11240" s="168">
        <v>11</v>
      </c>
      <c r="D11240" s="141">
        <f t="shared" si="1592"/>
        <v>45454</v>
      </c>
      <c r="E11240" s="275">
        <f t="shared" si="1593"/>
        <v>45454</v>
      </c>
      <c r="F11240" s="479" t="s">
        <v>1912</v>
      </c>
      <c r="G11240" s="174" t="s">
        <v>74</v>
      </c>
      <c r="H11240" s="148" t="str" cm="1">
        <f t="array" ref="H11240">IFERROR(INDEX(INVESTOR_LIST[INVESTOR NAME],MATCH(I11240,INVESTOR_LIST[INVESTOR CODE],0),)," ")</f>
        <v xml:space="preserve"> </v>
      </c>
      <c r="I11240" s="148" t="s">
        <v>348</v>
      </c>
      <c r="J11240" s="133" t="s">
        <v>61</v>
      </c>
      <c r="K11240" s="172">
        <v>10</v>
      </c>
    </row>
    <row r="11241" spans="1:14" x14ac:dyDescent="0.2">
      <c r="A11241" s="163">
        <v>2024</v>
      </c>
      <c r="B11241" s="163">
        <v>6</v>
      </c>
      <c r="C11241" s="163">
        <v>11</v>
      </c>
      <c r="D11241" s="280">
        <f t="shared" si="1592"/>
        <v>45454</v>
      </c>
      <c r="E11241" s="281">
        <f t="shared" si="1593"/>
        <v>45454</v>
      </c>
      <c r="F11241" s="480"/>
      <c r="G11241" s="221" t="s">
        <v>74</v>
      </c>
      <c r="H11241" s="145" t="str" cm="1">
        <f t="array" ref="H11241">IFERROR(INDEX(INVESTOR_LIST[INVESTOR NAME],MATCH(I11241,INVESTOR_LIST[INVESTOR CODE],0),)," ")</f>
        <v xml:space="preserve"> </v>
      </c>
      <c r="I11241" s="145" t="s">
        <v>348</v>
      </c>
      <c r="J11241" s="163" t="s">
        <v>52</v>
      </c>
      <c r="K11241" s="219"/>
      <c r="L11241" s="219">
        <v>10</v>
      </c>
    </row>
    <row r="11242" spans="1:14" ht="33.75" x14ac:dyDescent="0.2">
      <c r="A11242" s="168">
        <v>2024</v>
      </c>
      <c r="B11242" s="168">
        <v>6</v>
      </c>
      <c r="C11242" s="168">
        <v>12</v>
      </c>
      <c r="D11242" s="141">
        <f t="shared" ref="D11242:D11246" si="1594">DATE(A11242,B11242,C11242)</f>
        <v>45455</v>
      </c>
      <c r="E11242" s="275">
        <f t="shared" ref="E11242:E11246" si="1595">DATE(A11242,B11242,C11242)</f>
        <v>45455</v>
      </c>
      <c r="F11242" s="479" t="s">
        <v>1310</v>
      </c>
      <c r="G11242" s="220" t="s">
        <v>74</v>
      </c>
      <c r="H11242" s="142" t="str" cm="1">
        <f t="array" ref="H11242">IFERROR(INDEX(INVESTOR_LIST[INVESTOR NAME],MATCH(I11242,INVESTOR_LIST[INVESTOR CODE],0),)," ")</f>
        <v>MIDLAND BANK LIMITED</v>
      </c>
      <c r="I11242" s="142" t="s">
        <v>561</v>
      </c>
      <c r="J11242" s="168" t="s">
        <v>13</v>
      </c>
      <c r="K11242" s="218">
        <v>1000000</v>
      </c>
      <c r="L11242" s="226"/>
      <c r="N11242" s="160"/>
    </row>
    <row r="11243" spans="1:14" ht="33.75" x14ac:dyDescent="0.2">
      <c r="A11243" s="133">
        <v>2024</v>
      </c>
      <c r="B11243" s="133">
        <v>6</v>
      </c>
      <c r="C11243" s="133">
        <v>12</v>
      </c>
      <c r="D11243" s="141">
        <f t="shared" si="1594"/>
        <v>45455</v>
      </c>
      <c r="E11243" s="275">
        <f t="shared" si="1595"/>
        <v>45455</v>
      </c>
      <c r="F11243" s="481"/>
      <c r="G11243" s="174" t="s">
        <v>74</v>
      </c>
      <c r="H11243" s="148" t="str" cm="1">
        <f t="array" ref="H11243">IFERROR(INDEX(INVESTOR_LIST[INVESTOR NAME],MATCH(I11243,INVESTOR_LIST[INVESTOR CODE],0),)," ")</f>
        <v>MIDLAND BANK LIMITED</v>
      </c>
      <c r="I11243" s="148" t="s">
        <v>561</v>
      </c>
      <c r="J11243" s="133" t="s">
        <v>53</v>
      </c>
      <c r="K11243" s="218">
        <v>157200</v>
      </c>
      <c r="L11243" s="133"/>
    </row>
    <row r="11244" spans="1:14" ht="33.75" x14ac:dyDescent="0.2">
      <c r="A11244" s="163">
        <v>2024</v>
      </c>
      <c r="B11244" s="163">
        <v>6</v>
      </c>
      <c r="C11244" s="163">
        <v>12</v>
      </c>
      <c r="D11244" s="280">
        <f t="shared" si="1594"/>
        <v>45455</v>
      </c>
      <c r="E11244" s="281">
        <f t="shared" si="1595"/>
        <v>45455</v>
      </c>
      <c r="F11244" s="480"/>
      <c r="G11244" s="221" t="s">
        <v>74</v>
      </c>
      <c r="H11244" s="145" t="str" cm="1">
        <f t="array" ref="H11244">IFERROR(INDEX(INVESTOR_LIST[INVESTOR NAME],MATCH(I11244,INVESTOR_LIST[INVESTOR CODE],0),)," ")</f>
        <v>MIDLAND BANK LIMITED</v>
      </c>
      <c r="I11244" s="145" t="s">
        <v>561</v>
      </c>
      <c r="J11244" s="163" t="s">
        <v>52</v>
      </c>
      <c r="K11244" s="219"/>
      <c r="L11244" s="219">
        <v>1157200</v>
      </c>
    </row>
    <row r="11245" spans="1:14" x14ac:dyDescent="0.2">
      <c r="A11245" s="133">
        <v>2024</v>
      </c>
      <c r="B11245" s="133">
        <v>6</v>
      </c>
      <c r="C11245" s="133">
        <v>12</v>
      </c>
      <c r="D11245" s="141">
        <f t="shared" si="1594"/>
        <v>45455</v>
      </c>
      <c r="E11245" s="275">
        <f t="shared" si="1595"/>
        <v>45455</v>
      </c>
      <c r="F11245" s="479" t="s">
        <v>1947</v>
      </c>
      <c r="G11245" s="220" t="s">
        <v>74</v>
      </c>
      <c r="H11245" s="220"/>
      <c r="I11245" s="142"/>
      <c r="J11245" s="143" t="s">
        <v>96</v>
      </c>
      <c r="K11245" s="226">
        <v>4500000</v>
      </c>
      <c r="L11245" s="226"/>
    </row>
    <row r="11246" spans="1:14" x14ac:dyDescent="0.2">
      <c r="A11246" s="133">
        <v>2024</v>
      </c>
      <c r="B11246" s="133">
        <v>6</v>
      </c>
      <c r="C11246" s="133">
        <v>12</v>
      </c>
      <c r="D11246" s="141">
        <f t="shared" si="1594"/>
        <v>45455</v>
      </c>
      <c r="E11246" s="275">
        <f t="shared" si="1595"/>
        <v>45455</v>
      </c>
      <c r="F11246" s="481"/>
      <c r="G11246" s="174" t="s">
        <v>74</v>
      </c>
      <c r="H11246" s="174" t="str" cm="1">
        <f t="array" ref="H11246">IFERROR(INDEX(INVESTOR_LIST[INVESTOR NAME],MATCH(I11246,INVESTOR_LIST[INVESTOR CODE],0),)," ")</f>
        <v xml:space="preserve"> </v>
      </c>
      <c r="I11246" s="148" t="s">
        <v>348</v>
      </c>
      <c r="J11246" s="149" t="s">
        <v>52</v>
      </c>
      <c r="K11246" s="218"/>
      <c r="L11246" s="218">
        <v>4500000</v>
      </c>
    </row>
    <row r="11247" spans="1:14" x14ac:dyDescent="0.2">
      <c r="A11247" s="168">
        <v>2024</v>
      </c>
      <c r="B11247" s="168">
        <v>6</v>
      </c>
      <c r="C11247" s="168">
        <v>12</v>
      </c>
      <c r="D11247" s="141">
        <f t="shared" ref="D11247:D11248" si="1596">DATE(A11247,B11247,C11247)</f>
        <v>45455</v>
      </c>
      <c r="E11247" s="275">
        <f t="shared" ref="E11247:E11248" si="1597">DATE(A11247,B11247,C11247)</f>
        <v>45455</v>
      </c>
      <c r="F11247" s="479" t="s">
        <v>1948</v>
      </c>
      <c r="G11247" s="220" t="s">
        <v>74</v>
      </c>
      <c r="H11247" s="220"/>
      <c r="I11247" s="142"/>
      <c r="J11247" s="143" t="s">
        <v>96</v>
      </c>
      <c r="K11247" s="226">
        <v>1500000</v>
      </c>
      <c r="L11247" s="226"/>
    </row>
    <row r="11248" spans="1:14" x14ac:dyDescent="0.2">
      <c r="A11248" s="163">
        <v>2024</v>
      </c>
      <c r="B11248" s="163">
        <v>6</v>
      </c>
      <c r="C11248" s="163">
        <v>12</v>
      </c>
      <c r="D11248" s="141">
        <f t="shared" si="1596"/>
        <v>45455</v>
      </c>
      <c r="E11248" s="275">
        <f t="shared" si="1597"/>
        <v>45455</v>
      </c>
      <c r="F11248" s="481"/>
      <c r="G11248" s="174" t="s">
        <v>74</v>
      </c>
      <c r="H11248" s="174" t="str" cm="1">
        <f t="array" ref="H11248">IFERROR(INDEX(INVESTOR_LIST[INVESTOR NAME],MATCH(I11248,INVESTOR_LIST[INVESTOR CODE],0),)," ")</f>
        <v xml:space="preserve"> </v>
      </c>
      <c r="I11248" s="148" t="s">
        <v>348</v>
      </c>
      <c r="J11248" s="149" t="s">
        <v>52</v>
      </c>
      <c r="K11248" s="218"/>
      <c r="L11248" s="218">
        <v>1500000</v>
      </c>
    </row>
    <row r="11249" spans="1:17" x14ac:dyDescent="0.2">
      <c r="A11249" s="133">
        <v>2024</v>
      </c>
      <c r="B11249" s="133">
        <v>6</v>
      </c>
      <c r="C11249" s="133">
        <v>13</v>
      </c>
      <c r="D11249" s="141">
        <f>DATE(A11249,B11249,C11249)</f>
        <v>45456</v>
      </c>
      <c r="E11249" s="275">
        <f>DATE(A11249,B11249,C11249)</f>
        <v>45456</v>
      </c>
      <c r="F11249" s="479" t="s">
        <v>1768</v>
      </c>
      <c r="G11249" s="220" t="s">
        <v>74</v>
      </c>
      <c r="H11249" s="220" t="str" cm="1">
        <f t="array" ref="H11249">IFERROR(INDEX(INVESTOR_LIST[INVESTOR NAME],MATCH(I11249,INVESTOR_LIST[INVESTOR CODE],0),)," ")</f>
        <v xml:space="preserve"> </v>
      </c>
      <c r="I11249" s="142"/>
      <c r="J11249" s="143" t="s">
        <v>147</v>
      </c>
      <c r="K11249" s="226">
        <v>396712.8</v>
      </c>
      <c r="L11249" s="226"/>
    </row>
    <row r="11250" spans="1:17" x14ac:dyDescent="0.2">
      <c r="A11250" s="163">
        <v>2024</v>
      </c>
      <c r="B11250" s="163">
        <v>6</v>
      </c>
      <c r="C11250" s="163">
        <v>13</v>
      </c>
      <c r="D11250" s="280">
        <f>DATE(A11250,B11250,C11250)</f>
        <v>45456</v>
      </c>
      <c r="E11250" s="281">
        <f>DATE(A11250,B11250,C11250)</f>
        <v>45456</v>
      </c>
      <c r="F11250" s="480"/>
      <c r="G11250" s="221" t="s">
        <v>74</v>
      </c>
      <c r="H11250" s="221" t="str" cm="1">
        <f t="array" ref="H11250">IFERROR(INDEX(INVESTOR_LIST[INVESTOR NAME],MATCH(I11250,INVESTOR_LIST[INVESTOR CODE],0),)," ")</f>
        <v xml:space="preserve"> </v>
      </c>
      <c r="I11250" s="145" t="s">
        <v>348</v>
      </c>
      <c r="J11250" s="146" t="s">
        <v>52</v>
      </c>
      <c r="K11250" s="219"/>
      <c r="L11250" s="219">
        <v>396712.8</v>
      </c>
    </row>
    <row r="11251" spans="1:17" x14ac:dyDescent="0.2">
      <c r="A11251" s="133">
        <v>2024</v>
      </c>
      <c r="B11251" s="168">
        <v>6</v>
      </c>
      <c r="C11251" s="168">
        <v>13</v>
      </c>
      <c r="D11251" s="141">
        <f t="shared" ref="D11251:D11253" si="1598">DATE(A11251,B11251,C11251)</f>
        <v>45456</v>
      </c>
      <c r="E11251" s="275">
        <f t="shared" ref="E11251:E11253" si="1599">DATE(A11251,B11251,C11251)</f>
        <v>45456</v>
      </c>
      <c r="F11251" s="479" t="s">
        <v>275</v>
      </c>
      <c r="G11251" s="174" t="s">
        <v>74</v>
      </c>
      <c r="H11251" s="174" t="str" cm="1">
        <f t="array" ref="H11251">IFERROR(INDEX(INVESTOR_LIST[INVESTOR NAME],MATCH(I11251,INVESTOR_LIST[INVESTOR CODE],0),)," ")</f>
        <v xml:space="preserve"> </v>
      </c>
      <c r="I11251" s="148" t="s">
        <v>348</v>
      </c>
      <c r="J11251" s="149" t="s">
        <v>163</v>
      </c>
      <c r="K11251" s="218">
        <v>1575</v>
      </c>
      <c r="L11251" s="218"/>
      <c r="M11251" s="147"/>
      <c r="Q11251" s="133" t="s">
        <v>348</v>
      </c>
    </row>
    <row r="11252" spans="1:17" x14ac:dyDescent="0.2">
      <c r="A11252" s="133">
        <v>2024</v>
      </c>
      <c r="B11252" s="133">
        <v>6</v>
      </c>
      <c r="C11252" s="133">
        <v>13</v>
      </c>
      <c r="D11252" s="141">
        <f t="shared" si="1598"/>
        <v>45456</v>
      </c>
      <c r="E11252" s="275">
        <f t="shared" si="1599"/>
        <v>45456</v>
      </c>
      <c r="F11252" s="481"/>
      <c r="G11252" s="174" t="s">
        <v>74</v>
      </c>
      <c r="H11252" s="174"/>
      <c r="J11252" s="149" t="s">
        <v>1907</v>
      </c>
      <c r="K11252" s="218"/>
      <c r="L11252" s="218">
        <v>150</v>
      </c>
      <c r="M11252" s="147"/>
    </row>
    <row r="11253" spans="1:17" x14ac:dyDescent="0.2">
      <c r="A11253" s="163">
        <v>2024</v>
      </c>
      <c r="B11253" s="163">
        <v>6</v>
      </c>
      <c r="C11253" s="163">
        <v>13</v>
      </c>
      <c r="D11253" s="280">
        <f t="shared" si="1598"/>
        <v>45456</v>
      </c>
      <c r="E11253" s="281">
        <f t="shared" si="1599"/>
        <v>45456</v>
      </c>
      <c r="F11253" s="480"/>
      <c r="G11253" s="221" t="s">
        <v>74</v>
      </c>
      <c r="H11253" s="221" t="str" cm="1">
        <f t="array" ref="H11253">IFERROR(INDEX(INVESTOR_LIST[INVESTOR NAME],MATCH(I11253,INVESTOR_LIST[INVESTOR CODE],0),)," ")</f>
        <v xml:space="preserve"> </v>
      </c>
      <c r="I11253" s="145"/>
      <c r="J11253" s="146" t="s">
        <v>52</v>
      </c>
      <c r="K11253" s="219"/>
      <c r="L11253" s="219">
        <v>1425</v>
      </c>
      <c r="M11253" s="147"/>
      <c r="Q11253" s="133" t="s">
        <v>348</v>
      </c>
    </row>
    <row r="11254" spans="1:17" x14ac:dyDescent="0.2">
      <c r="A11254" s="343">
        <v>2024</v>
      </c>
      <c r="B11254" s="343">
        <v>6</v>
      </c>
      <c r="C11254" s="343">
        <v>13</v>
      </c>
      <c r="D11254" s="344">
        <f t="shared" ref="D11254:D11274" si="1600">DATE(A11254,B11254,C11254)</f>
        <v>45456</v>
      </c>
      <c r="E11254" s="345">
        <f t="shared" ref="E11254:E11274" si="1601">DATE(A11254,B11254,C11254)</f>
        <v>45456</v>
      </c>
      <c r="F11254" s="483" t="s">
        <v>1813</v>
      </c>
      <c r="G11254" s="350" t="s">
        <v>94</v>
      </c>
      <c r="H11254" s="350" t="str" cm="1">
        <f t="array" ref="H11254">IFERROR(INDEX(INVESTOR_LIST[INVESTOR NAME],MATCH(I11254,INVESTOR_LIST[INVESTOR CODE],0),)," ")</f>
        <v xml:space="preserve"> </v>
      </c>
      <c r="I11254" s="352" t="s">
        <v>348</v>
      </c>
      <c r="J11254" s="353" t="s">
        <v>1798</v>
      </c>
      <c r="K11254" s="354">
        <v>79677.5</v>
      </c>
      <c r="L11254" s="354"/>
    </row>
    <row r="11255" spans="1:17" x14ac:dyDescent="0.2">
      <c r="A11255" s="346">
        <v>2024</v>
      </c>
      <c r="B11255" s="346">
        <v>6</v>
      </c>
      <c r="C11255" s="346">
        <v>13</v>
      </c>
      <c r="D11255" s="344">
        <f t="shared" si="1600"/>
        <v>45456</v>
      </c>
      <c r="E11255" s="345">
        <f t="shared" si="1601"/>
        <v>45456</v>
      </c>
      <c r="F11255" s="484"/>
      <c r="G11255" s="347" t="s">
        <v>94</v>
      </c>
      <c r="H11255" s="347" t="str" cm="1">
        <f t="array" ref="H11255">IFERROR(INDEX(INVESTOR_LIST[INVESTOR NAME],MATCH(I11255,INVESTOR_LIST[INVESTOR CODE],0),)," ")</f>
        <v xml:space="preserve"> </v>
      </c>
      <c r="I11255" s="348" t="s">
        <v>348</v>
      </c>
      <c r="J11255" s="355" t="s">
        <v>1807</v>
      </c>
      <c r="K11255" s="349"/>
      <c r="L11255" s="349">
        <f>K11254</f>
        <v>79677.5</v>
      </c>
    </row>
    <row r="11256" spans="1:17" x14ac:dyDescent="0.2">
      <c r="A11256" s="343">
        <v>2024</v>
      </c>
      <c r="B11256" s="343">
        <v>6</v>
      </c>
      <c r="C11256" s="343">
        <v>13</v>
      </c>
      <c r="D11256" s="344">
        <f t="shared" si="1600"/>
        <v>45456</v>
      </c>
      <c r="E11256" s="345">
        <f t="shared" si="1601"/>
        <v>45456</v>
      </c>
      <c r="F11256" s="483" t="s">
        <v>1913</v>
      </c>
      <c r="G11256" s="350" t="s">
        <v>94</v>
      </c>
      <c r="H11256" s="350" t="str" cm="1">
        <f t="array" ref="H11256">IFERROR(INDEX(INVESTOR_LIST[INVESTOR NAME],MATCH(I11256,INVESTOR_LIST[INVESTOR CODE],0),)," ")</f>
        <v xml:space="preserve"> </v>
      </c>
      <c r="I11256" s="352" t="s">
        <v>348</v>
      </c>
      <c r="J11256" s="353" t="s">
        <v>1799</v>
      </c>
      <c r="K11256" s="354">
        <v>49967.25</v>
      </c>
      <c r="L11256" s="354"/>
    </row>
    <row r="11257" spans="1:17" x14ac:dyDescent="0.2">
      <c r="A11257" s="346">
        <v>2024</v>
      </c>
      <c r="B11257" s="346">
        <v>6</v>
      </c>
      <c r="C11257" s="346">
        <v>13</v>
      </c>
      <c r="D11257" s="344">
        <f t="shared" si="1600"/>
        <v>45456</v>
      </c>
      <c r="E11257" s="345">
        <f t="shared" si="1601"/>
        <v>45456</v>
      </c>
      <c r="F11257" s="484"/>
      <c r="G11257" s="347" t="s">
        <v>94</v>
      </c>
      <c r="H11257" s="347" t="str" cm="1">
        <f t="array" ref="H11257">IFERROR(INDEX(INVESTOR_LIST[INVESTOR NAME],MATCH(I11257,INVESTOR_LIST[INVESTOR CODE],0),)," ")</f>
        <v xml:space="preserve"> </v>
      </c>
      <c r="I11257" s="348" t="s">
        <v>348</v>
      </c>
      <c r="J11257" s="355" t="s">
        <v>1808</v>
      </c>
      <c r="K11257" s="349"/>
      <c r="L11257" s="349">
        <f>K11256</f>
        <v>49967.25</v>
      </c>
    </row>
    <row r="11258" spans="1:17" x14ac:dyDescent="0.2">
      <c r="A11258" s="238">
        <v>2024</v>
      </c>
      <c r="B11258" s="238">
        <v>6</v>
      </c>
      <c r="C11258" s="238">
        <v>13</v>
      </c>
      <c r="D11258" s="270">
        <f t="shared" si="1600"/>
        <v>45456</v>
      </c>
      <c r="E11258" s="279">
        <f t="shared" si="1601"/>
        <v>45456</v>
      </c>
      <c r="F11258" s="477" t="s">
        <v>347</v>
      </c>
      <c r="G11258" s="239" t="s">
        <v>94</v>
      </c>
      <c r="H11258" s="239" t="str" cm="1">
        <f t="array" ref="H11258">IFERROR(INDEX(INVESTOR_LIST[INVESTOR NAME],MATCH(I11258,INVESTOR_LIST[INVESTOR CODE],0),)," ")</f>
        <v xml:space="preserve"> </v>
      </c>
      <c r="I11258" s="262" t="s">
        <v>348</v>
      </c>
      <c r="J11258" s="240" t="s">
        <v>82</v>
      </c>
      <c r="K11258" s="241">
        <v>163470.39999999851</v>
      </c>
      <c r="L11258" s="241"/>
    </row>
    <row r="11259" spans="1:17" x14ac:dyDescent="0.2">
      <c r="A11259" s="242">
        <v>2024</v>
      </c>
      <c r="B11259" s="242">
        <v>6</v>
      </c>
      <c r="C11259" s="242">
        <v>13</v>
      </c>
      <c r="D11259" s="270">
        <f t="shared" si="1600"/>
        <v>45456</v>
      </c>
      <c r="E11259" s="279">
        <f t="shared" si="1601"/>
        <v>45456</v>
      </c>
      <c r="F11259" s="478"/>
      <c r="G11259" s="243" t="s">
        <v>94</v>
      </c>
      <c r="H11259" s="243" t="str" cm="1">
        <f t="array" ref="H11259">IFERROR(INDEX(INVESTOR_LIST[INVESTOR NAME],MATCH(I11259,INVESTOR_LIST[INVESTOR CODE],0),)," ")</f>
        <v xml:space="preserve"> </v>
      </c>
      <c r="I11259" s="263" t="s">
        <v>348</v>
      </c>
      <c r="J11259" s="244" t="s">
        <v>108</v>
      </c>
      <c r="K11259" s="245"/>
      <c r="L11259" s="245">
        <f>K11258</f>
        <v>163470.39999999851</v>
      </c>
    </row>
    <row r="11260" spans="1:17" ht="12.75" customHeight="1" x14ac:dyDescent="0.2">
      <c r="A11260" s="246">
        <v>2024</v>
      </c>
      <c r="B11260" s="238">
        <v>6</v>
      </c>
      <c r="C11260" s="238">
        <v>13</v>
      </c>
      <c r="D11260" s="270">
        <f t="shared" si="1600"/>
        <v>45456</v>
      </c>
      <c r="E11260" s="279">
        <f t="shared" si="1601"/>
        <v>45456</v>
      </c>
      <c r="F11260" s="482" t="s">
        <v>148</v>
      </c>
      <c r="G11260" s="247" t="s">
        <v>94</v>
      </c>
      <c r="H11260" s="247" t="str" cm="1">
        <f t="array" ref="H11260">IFERROR(INDEX(INVESTOR_LIST[INVESTOR NAME],MATCH(I11260,INVESTOR_LIST[INVESTOR CODE],0),)," ")</f>
        <v xml:space="preserve"> </v>
      </c>
      <c r="I11260" s="248" t="s">
        <v>348</v>
      </c>
      <c r="J11260" s="249" t="s">
        <v>95</v>
      </c>
      <c r="K11260" s="250">
        <v>2747.2527472527472</v>
      </c>
      <c r="L11260" s="241"/>
    </row>
    <row r="11261" spans="1:17" x14ac:dyDescent="0.2">
      <c r="A11261" s="242">
        <v>2024</v>
      </c>
      <c r="B11261" s="242">
        <v>6</v>
      </c>
      <c r="C11261" s="242">
        <v>13</v>
      </c>
      <c r="D11261" s="270">
        <f t="shared" si="1600"/>
        <v>45456</v>
      </c>
      <c r="E11261" s="279">
        <f t="shared" si="1601"/>
        <v>45456</v>
      </c>
      <c r="F11261" s="478"/>
      <c r="G11261" s="243" t="s">
        <v>94</v>
      </c>
      <c r="H11261" s="243" t="str" cm="1">
        <f t="array" ref="H11261">IFERROR(INDEX(INVESTOR_LIST[INVESTOR NAME],MATCH(I11261,INVESTOR_LIST[INVESTOR CODE],0),)," ")</f>
        <v xml:space="preserve"> </v>
      </c>
      <c r="I11261" s="263" t="s">
        <v>348</v>
      </c>
      <c r="J11261" s="244" t="s">
        <v>63</v>
      </c>
      <c r="K11261" s="245"/>
      <c r="L11261" s="245">
        <v>2747.2527472527472</v>
      </c>
    </row>
    <row r="11262" spans="1:17" x14ac:dyDescent="0.2">
      <c r="A11262" s="246">
        <v>2024</v>
      </c>
      <c r="B11262" s="238">
        <v>6</v>
      </c>
      <c r="C11262" s="238">
        <v>13</v>
      </c>
      <c r="D11262" s="270">
        <f t="shared" si="1600"/>
        <v>45456</v>
      </c>
      <c r="E11262" s="279">
        <f t="shared" si="1601"/>
        <v>45456</v>
      </c>
      <c r="F11262" s="482" t="s">
        <v>137</v>
      </c>
      <c r="G11262" s="247" t="s">
        <v>94</v>
      </c>
      <c r="H11262" s="247" t="str" cm="1">
        <f t="array" ref="H11262">IFERROR(INDEX(INVESTOR_LIST[INVESTOR NAME],MATCH(I11262,INVESTOR_LIST[INVESTOR CODE],0),)," ")</f>
        <v xml:space="preserve"> </v>
      </c>
      <c r="I11262" s="248" t="s">
        <v>348</v>
      </c>
      <c r="J11262" s="249" t="s">
        <v>97</v>
      </c>
      <c r="K11262" s="250">
        <f>M11262</f>
        <v>51093.011609600784</v>
      </c>
      <c r="L11262" s="252"/>
      <c r="M11262" s="264">
        <v>51093.011609600784</v>
      </c>
    </row>
    <row r="11263" spans="1:17" x14ac:dyDescent="0.2">
      <c r="A11263" s="242">
        <v>2024</v>
      </c>
      <c r="B11263" s="242">
        <v>6</v>
      </c>
      <c r="C11263" s="242">
        <v>13</v>
      </c>
      <c r="D11263" s="270">
        <f t="shared" si="1600"/>
        <v>45456</v>
      </c>
      <c r="E11263" s="279">
        <f t="shared" si="1601"/>
        <v>45456</v>
      </c>
      <c r="F11263" s="478"/>
      <c r="G11263" s="243" t="s">
        <v>94</v>
      </c>
      <c r="H11263" s="243" t="str" cm="1">
        <f t="array" ref="H11263">IFERROR(INDEX(INVESTOR_LIST[INVESTOR NAME],MATCH(I11263,INVESTOR_LIST[INVESTOR CODE],0),)," ")</f>
        <v xml:space="preserve"> </v>
      </c>
      <c r="I11263" s="263" t="s">
        <v>348</v>
      </c>
      <c r="J11263" s="244" t="s">
        <v>47</v>
      </c>
      <c r="K11263" s="245"/>
      <c r="L11263" s="245">
        <f>K11262</f>
        <v>51093.011609600784</v>
      </c>
      <c r="M11263" s="264">
        <v>2314.2659650954238</v>
      </c>
    </row>
    <row r="11264" spans="1:17" x14ac:dyDescent="0.2">
      <c r="A11264" s="246">
        <v>2024</v>
      </c>
      <c r="B11264" s="238">
        <v>6</v>
      </c>
      <c r="C11264" s="238">
        <v>13</v>
      </c>
      <c r="D11264" s="270">
        <f t="shared" si="1600"/>
        <v>45456</v>
      </c>
      <c r="E11264" s="279">
        <f t="shared" si="1601"/>
        <v>45456</v>
      </c>
      <c r="F11264" s="482" t="s">
        <v>138</v>
      </c>
      <c r="G11264" s="247" t="s">
        <v>94</v>
      </c>
      <c r="H11264" s="247" t="str" cm="1">
        <f t="array" ref="H11264">IFERROR(INDEX(INVESTOR_LIST[INVESTOR NAME],MATCH(I11264,INVESTOR_LIST[INVESTOR CODE],0),)," ")</f>
        <v xml:space="preserve"> </v>
      </c>
      <c r="I11264" s="248" t="s">
        <v>348</v>
      </c>
      <c r="J11264" s="249" t="s">
        <v>100</v>
      </c>
      <c r="K11264" s="250">
        <f>M11263</f>
        <v>2314.2659650954238</v>
      </c>
      <c r="L11264" s="252"/>
    </row>
    <row r="11265" spans="1:17" x14ac:dyDescent="0.2">
      <c r="A11265" s="242">
        <v>2024</v>
      </c>
      <c r="B11265" s="242">
        <v>6</v>
      </c>
      <c r="C11265" s="242">
        <v>13</v>
      </c>
      <c r="D11265" s="321">
        <f t="shared" si="1600"/>
        <v>45456</v>
      </c>
      <c r="E11265" s="322">
        <f t="shared" si="1601"/>
        <v>45456</v>
      </c>
      <c r="F11265" s="478"/>
      <c r="G11265" s="243" t="s">
        <v>94</v>
      </c>
      <c r="H11265" s="243" t="str" cm="1">
        <f t="array" ref="H11265">IFERROR(INDEX(INVESTOR_LIST[INVESTOR NAME],MATCH(I11265,INVESTOR_LIST[INVESTOR CODE],0),)," ")</f>
        <v xml:space="preserve"> </v>
      </c>
      <c r="I11265" s="263" t="s">
        <v>348</v>
      </c>
      <c r="J11265" s="244" t="s">
        <v>48</v>
      </c>
      <c r="K11265" s="245"/>
      <c r="L11265" s="245">
        <f>K11264</f>
        <v>2314.2659650954238</v>
      </c>
    </row>
    <row r="11266" spans="1:17" x14ac:dyDescent="0.2">
      <c r="A11266" s="168">
        <v>2024</v>
      </c>
      <c r="B11266" s="168">
        <v>6</v>
      </c>
      <c r="C11266" s="168">
        <v>15</v>
      </c>
      <c r="D11266" s="141">
        <f t="shared" si="1600"/>
        <v>45458</v>
      </c>
      <c r="E11266" s="275">
        <f t="shared" si="1601"/>
        <v>45458</v>
      </c>
      <c r="F11266" s="479" t="s">
        <v>1319</v>
      </c>
      <c r="G11266" s="220" t="s">
        <v>74</v>
      </c>
      <c r="H11266" s="142" t="str" cm="1">
        <f t="array" ref="H11266">IFERROR(INDEX(INVESTOR_LIST[INVESTOR NAME],MATCH(I11266,INVESTOR_LIST[INVESTOR CODE],0),)," ")</f>
        <v xml:space="preserve"> </v>
      </c>
      <c r="I11266" s="142"/>
      <c r="J11266" s="168" t="s">
        <v>52</v>
      </c>
      <c r="K11266" s="226">
        <v>4000</v>
      </c>
      <c r="L11266" s="226"/>
    </row>
    <row r="11267" spans="1:17" x14ac:dyDescent="0.2">
      <c r="A11267" s="133">
        <v>2024</v>
      </c>
      <c r="B11267" s="133">
        <v>6</v>
      </c>
      <c r="C11267" s="133">
        <v>15</v>
      </c>
      <c r="D11267" s="141">
        <f t="shared" si="1600"/>
        <v>45458</v>
      </c>
      <c r="E11267" s="275">
        <f t="shared" si="1601"/>
        <v>45458</v>
      </c>
      <c r="F11267" s="481"/>
      <c r="G11267" s="174" t="s">
        <v>74</v>
      </c>
      <c r="H11267" s="148" t="str" cm="1">
        <f t="array" ref="H11267">IFERROR(INDEX(INVESTOR_LIST[INVESTOR NAME],MATCH(I11267,INVESTOR_LIST[INVESTOR CODE],0),)," ")</f>
        <v xml:space="preserve"> </v>
      </c>
      <c r="J11267" s="133" t="s">
        <v>13</v>
      </c>
      <c r="K11267" s="218"/>
      <c r="L11267" s="218">
        <v>3460</v>
      </c>
    </row>
    <row r="11268" spans="1:17" x14ac:dyDescent="0.2">
      <c r="A11268" s="163">
        <v>2024</v>
      </c>
      <c r="B11268" s="163">
        <v>6</v>
      </c>
      <c r="C11268" s="163">
        <v>15</v>
      </c>
      <c r="D11268" s="280">
        <f t="shared" si="1600"/>
        <v>45458</v>
      </c>
      <c r="E11268" s="281">
        <f t="shared" si="1601"/>
        <v>45458</v>
      </c>
      <c r="F11268" s="480"/>
      <c r="G11268" s="221" t="s">
        <v>74</v>
      </c>
      <c r="H11268" s="145" t="str" cm="1">
        <f t="array" ref="H11268">IFERROR(INDEX(INVESTOR_LIST[INVESTOR NAME],MATCH(I11268,INVESTOR_LIST[INVESTOR CODE],0),)," ")</f>
        <v xml:space="preserve"> </v>
      </c>
      <c r="I11268" s="145"/>
      <c r="J11268" s="163" t="s">
        <v>53</v>
      </c>
      <c r="K11268" s="219"/>
      <c r="L11268" s="219">
        <v>540</v>
      </c>
    </row>
    <row r="11269" spans="1:17" x14ac:dyDescent="0.2">
      <c r="A11269" s="168">
        <v>2024</v>
      </c>
      <c r="B11269" s="168">
        <v>6</v>
      </c>
      <c r="C11269" s="168">
        <v>19</v>
      </c>
      <c r="D11269" s="141">
        <f t="shared" si="1600"/>
        <v>45462</v>
      </c>
      <c r="E11269" s="275">
        <f t="shared" si="1601"/>
        <v>45462</v>
      </c>
      <c r="F11269" s="479" t="s">
        <v>1797</v>
      </c>
      <c r="G11269" s="220" t="s">
        <v>94</v>
      </c>
      <c r="H11269" s="220" t="str" cm="1">
        <f t="array" ref="H11269">IFERROR(INDEX(INVESTOR_LIST[INVESTOR NAME],MATCH(I11269,INVESTOR_LIST[INVESTOR CODE],0),)," ")</f>
        <v xml:space="preserve"> </v>
      </c>
      <c r="I11269" s="142"/>
      <c r="J11269" s="143" t="s">
        <v>79</v>
      </c>
      <c r="K11269" s="226">
        <v>817850</v>
      </c>
      <c r="L11269" s="226"/>
      <c r="M11269" s="160"/>
    </row>
    <row r="11270" spans="1:17" x14ac:dyDescent="0.2">
      <c r="A11270" s="133">
        <v>2024</v>
      </c>
      <c r="B11270" s="133">
        <v>6</v>
      </c>
      <c r="C11270" s="133">
        <v>19</v>
      </c>
      <c r="D11270" s="141">
        <f t="shared" si="1600"/>
        <v>45462</v>
      </c>
      <c r="E11270" s="275">
        <f t="shared" si="1601"/>
        <v>45462</v>
      </c>
      <c r="F11270" s="481"/>
      <c r="G11270" s="174" t="s">
        <v>94</v>
      </c>
      <c r="H11270" s="174"/>
      <c r="J11270" s="149" t="s">
        <v>80</v>
      </c>
      <c r="K11270" s="218">
        <v>1472.13</v>
      </c>
      <c r="L11270" s="218"/>
    </row>
    <row r="11271" spans="1:17" ht="10.9" customHeight="1" x14ac:dyDescent="0.2">
      <c r="A11271" s="163">
        <v>2024</v>
      </c>
      <c r="B11271" s="163">
        <v>6</v>
      </c>
      <c r="C11271" s="163">
        <v>19</v>
      </c>
      <c r="D11271" s="280">
        <f t="shared" si="1600"/>
        <v>45462</v>
      </c>
      <c r="E11271" s="281">
        <f t="shared" si="1601"/>
        <v>45462</v>
      </c>
      <c r="F11271" s="480"/>
      <c r="G11271" s="221" t="s">
        <v>94</v>
      </c>
      <c r="H11271" s="221"/>
      <c r="I11271" s="145"/>
      <c r="J11271" s="146" t="s">
        <v>147</v>
      </c>
      <c r="K11271" s="219"/>
      <c r="L11271" s="219">
        <v>819322.13</v>
      </c>
    </row>
    <row r="11272" spans="1:17" x14ac:dyDescent="0.2">
      <c r="A11272" s="168">
        <v>2024</v>
      </c>
      <c r="B11272" s="168">
        <v>6</v>
      </c>
      <c r="C11272" s="168">
        <v>19</v>
      </c>
      <c r="D11272" s="141">
        <f t="shared" si="1600"/>
        <v>45462</v>
      </c>
      <c r="E11272" s="275">
        <f t="shared" si="1601"/>
        <v>45462</v>
      </c>
      <c r="F11272" s="479" t="s">
        <v>1928</v>
      </c>
      <c r="G11272" s="220" t="s">
        <v>74</v>
      </c>
      <c r="H11272" s="220" t="str" cm="1">
        <f t="array" ref="H11272">IFERROR(INDEX(INVESTOR_LIST[INVESTOR NAME],MATCH(I11272,INVESTOR_LIST[INVESTOR CODE],0),)," ")</f>
        <v xml:space="preserve"> </v>
      </c>
      <c r="I11272" s="142" t="s">
        <v>348</v>
      </c>
      <c r="J11272" s="143" t="s">
        <v>1907</v>
      </c>
      <c r="K11272" s="226">
        <v>150</v>
      </c>
      <c r="L11272" s="226"/>
      <c r="M11272" s="147"/>
      <c r="Q11272" s="133" t="s">
        <v>348</v>
      </c>
    </row>
    <row r="11273" spans="1:17" x14ac:dyDescent="0.2">
      <c r="A11273" s="133">
        <v>2024</v>
      </c>
      <c r="B11273" s="133">
        <v>6</v>
      </c>
      <c r="C11273" s="133">
        <v>19</v>
      </c>
      <c r="D11273" s="141">
        <f t="shared" si="1600"/>
        <v>45462</v>
      </c>
      <c r="E11273" s="275">
        <f t="shared" si="1601"/>
        <v>45462</v>
      </c>
      <c r="F11273" s="481"/>
      <c r="G11273" s="174" t="s">
        <v>74</v>
      </c>
      <c r="H11273" s="174"/>
      <c r="J11273" s="149" t="s">
        <v>534</v>
      </c>
      <c r="K11273" s="218">
        <v>14.39</v>
      </c>
      <c r="L11273" s="218"/>
      <c r="M11273" s="147"/>
    </row>
    <row r="11274" spans="1:17" x14ac:dyDescent="0.2">
      <c r="A11274" s="163">
        <v>2024</v>
      </c>
      <c r="B11274" s="163">
        <v>6</v>
      </c>
      <c r="C11274" s="163">
        <v>19</v>
      </c>
      <c r="D11274" s="280">
        <f t="shared" si="1600"/>
        <v>45462</v>
      </c>
      <c r="E11274" s="281">
        <f t="shared" si="1601"/>
        <v>45462</v>
      </c>
      <c r="F11274" s="480"/>
      <c r="G11274" s="221" t="s">
        <v>74</v>
      </c>
      <c r="H11274" s="221"/>
      <c r="I11274" s="145"/>
      <c r="J11274" s="146" t="s">
        <v>52</v>
      </c>
      <c r="K11274" s="219"/>
      <c r="L11274" s="219">
        <v>164.39</v>
      </c>
      <c r="M11274" s="147"/>
    </row>
    <row r="11275" spans="1:17" x14ac:dyDescent="0.2">
      <c r="A11275" s="133">
        <v>2024</v>
      </c>
      <c r="B11275" s="133">
        <v>6</v>
      </c>
      <c r="C11275" s="168">
        <v>20</v>
      </c>
      <c r="D11275" s="141">
        <f>DATE(A11275,B11275,C11275)</f>
        <v>45463</v>
      </c>
      <c r="E11275" s="275">
        <f>DATE(A11275,B11275,C11275)</f>
        <v>45463</v>
      </c>
      <c r="F11275" s="479" t="s">
        <v>1768</v>
      </c>
      <c r="G11275" s="220" t="s">
        <v>74</v>
      </c>
      <c r="H11275" s="220" t="str" cm="1">
        <f t="array" ref="H11275">IFERROR(INDEX(INVESTOR_LIST[INVESTOR NAME],MATCH(I11275,INVESTOR_LIST[INVESTOR CODE],0),)," ")</f>
        <v xml:space="preserve"> </v>
      </c>
      <c r="I11275" s="142"/>
      <c r="J11275" s="143" t="s">
        <v>147</v>
      </c>
      <c r="K11275" s="226">
        <v>819322.13</v>
      </c>
      <c r="L11275" s="226"/>
    </row>
    <row r="11276" spans="1:17" x14ac:dyDescent="0.2">
      <c r="A11276" s="163">
        <v>2024</v>
      </c>
      <c r="B11276" s="163">
        <v>6</v>
      </c>
      <c r="C11276" s="163">
        <v>20</v>
      </c>
      <c r="D11276" s="280">
        <f>DATE(A11276,B11276,C11276)</f>
        <v>45463</v>
      </c>
      <c r="E11276" s="281">
        <f>DATE(A11276,B11276,C11276)</f>
        <v>45463</v>
      </c>
      <c r="F11276" s="480"/>
      <c r="G11276" s="221" t="s">
        <v>74</v>
      </c>
      <c r="H11276" s="221" t="str" cm="1">
        <f t="array" ref="H11276">IFERROR(INDEX(INVESTOR_LIST[INVESTOR NAME],MATCH(I11276,INVESTOR_LIST[INVESTOR CODE],0),)," ")</f>
        <v xml:space="preserve"> </v>
      </c>
      <c r="I11276" s="145" t="s">
        <v>348</v>
      </c>
      <c r="J11276" s="146" t="s">
        <v>52</v>
      </c>
      <c r="K11276" s="219"/>
      <c r="L11276" s="219">
        <v>819322.13</v>
      </c>
    </row>
    <row r="11277" spans="1:17" x14ac:dyDescent="0.2">
      <c r="A11277" s="168">
        <v>2024</v>
      </c>
      <c r="B11277" s="168">
        <v>6</v>
      </c>
      <c r="C11277" s="168">
        <v>20</v>
      </c>
      <c r="D11277" s="141">
        <f t="shared" ref="D11277:D11279" si="1602">DATE(A11277,B11277,C11277)</f>
        <v>45463</v>
      </c>
      <c r="E11277" s="275">
        <f t="shared" ref="E11277:E11279" si="1603">DATE(A11277,B11277,C11277)</f>
        <v>45463</v>
      </c>
      <c r="F11277" s="479" t="s">
        <v>1797</v>
      </c>
      <c r="G11277" s="220" t="s">
        <v>94</v>
      </c>
      <c r="H11277" s="220" t="str" cm="1">
        <f t="array" ref="H11277">IFERROR(INDEX(INVESTOR_LIST[INVESTOR NAME],MATCH(I11277,INVESTOR_LIST[INVESTOR CODE],0),)," ")</f>
        <v xml:space="preserve"> </v>
      </c>
      <c r="I11277" s="142"/>
      <c r="J11277" s="143" t="s">
        <v>79</v>
      </c>
      <c r="K11277" s="226">
        <v>1572805.2</v>
      </c>
      <c r="L11277" s="226"/>
      <c r="M11277" s="160"/>
    </row>
    <row r="11278" spans="1:17" x14ac:dyDescent="0.2">
      <c r="A11278" s="133">
        <v>2024</v>
      </c>
      <c r="B11278" s="133">
        <v>6</v>
      </c>
      <c r="C11278" s="133">
        <v>20</v>
      </c>
      <c r="D11278" s="141">
        <f t="shared" si="1602"/>
        <v>45463</v>
      </c>
      <c r="E11278" s="275">
        <f t="shared" si="1603"/>
        <v>45463</v>
      </c>
      <c r="F11278" s="481"/>
      <c r="G11278" s="174" t="s">
        <v>94</v>
      </c>
      <c r="H11278" s="174"/>
      <c r="J11278" s="149" t="s">
        <v>80</v>
      </c>
      <c r="K11278" s="218">
        <v>2831.05</v>
      </c>
      <c r="L11278" s="218"/>
    </row>
    <row r="11279" spans="1:17" ht="10.9" customHeight="1" x14ac:dyDescent="0.2">
      <c r="A11279" s="163">
        <v>2024</v>
      </c>
      <c r="B11279" s="163">
        <v>6</v>
      </c>
      <c r="C11279" s="163">
        <v>20</v>
      </c>
      <c r="D11279" s="280">
        <f t="shared" si="1602"/>
        <v>45463</v>
      </c>
      <c r="E11279" s="281">
        <f t="shared" si="1603"/>
        <v>45463</v>
      </c>
      <c r="F11279" s="480"/>
      <c r="G11279" s="221" t="s">
        <v>94</v>
      </c>
      <c r="H11279" s="221"/>
      <c r="I11279" s="145"/>
      <c r="J11279" s="146" t="s">
        <v>147</v>
      </c>
      <c r="K11279" s="219"/>
      <c r="L11279" s="219">
        <v>1575636.25</v>
      </c>
    </row>
    <row r="11280" spans="1:17" x14ac:dyDescent="0.2">
      <c r="A11280" s="343">
        <v>2024</v>
      </c>
      <c r="B11280" s="343">
        <v>6</v>
      </c>
      <c r="C11280" s="343">
        <v>20</v>
      </c>
      <c r="D11280" s="344">
        <f t="shared" ref="D11280:D11307" si="1604">DATE(A11280,B11280,C11280)</f>
        <v>45463</v>
      </c>
      <c r="E11280" s="345">
        <f t="shared" ref="E11280:E11307" si="1605">DATE(A11280,B11280,C11280)</f>
        <v>45463</v>
      </c>
      <c r="F11280" s="483" t="s">
        <v>1813</v>
      </c>
      <c r="G11280" s="350" t="s">
        <v>94</v>
      </c>
      <c r="H11280" s="350" t="str" cm="1">
        <f t="array" ref="H11280">IFERROR(INDEX(INVESTOR_LIST[INVESTOR NAME],MATCH(I11280,INVESTOR_LIST[INVESTOR CODE],0),)," ")</f>
        <v xml:space="preserve"> </v>
      </c>
      <c r="I11280" s="352" t="s">
        <v>348</v>
      </c>
      <c r="J11280" s="353" t="s">
        <v>1798</v>
      </c>
      <c r="K11280" s="354">
        <v>31224.5</v>
      </c>
      <c r="L11280" s="354"/>
    </row>
    <row r="11281" spans="1:13" x14ac:dyDescent="0.2">
      <c r="A11281" s="346">
        <v>2024</v>
      </c>
      <c r="B11281" s="346">
        <v>6</v>
      </c>
      <c r="C11281" s="346">
        <v>20</v>
      </c>
      <c r="D11281" s="344">
        <f t="shared" si="1604"/>
        <v>45463</v>
      </c>
      <c r="E11281" s="345">
        <f t="shared" si="1605"/>
        <v>45463</v>
      </c>
      <c r="F11281" s="484"/>
      <c r="G11281" s="347" t="s">
        <v>94</v>
      </c>
      <c r="H11281" s="347" t="str" cm="1">
        <f t="array" ref="H11281">IFERROR(INDEX(INVESTOR_LIST[INVESTOR NAME],MATCH(I11281,INVESTOR_LIST[INVESTOR CODE],0),)," ")</f>
        <v xml:space="preserve"> </v>
      </c>
      <c r="I11281" s="348" t="s">
        <v>348</v>
      </c>
      <c r="J11281" s="355" t="s">
        <v>1807</v>
      </c>
      <c r="K11281" s="349"/>
      <c r="L11281" s="349">
        <f>K11280</f>
        <v>31224.5</v>
      </c>
    </row>
    <row r="11282" spans="1:13" x14ac:dyDescent="0.2">
      <c r="A11282" s="343">
        <v>2024</v>
      </c>
      <c r="B11282" s="343">
        <v>6</v>
      </c>
      <c r="C11282" s="343">
        <v>20</v>
      </c>
      <c r="D11282" s="344">
        <f t="shared" si="1604"/>
        <v>45463</v>
      </c>
      <c r="E11282" s="345">
        <f t="shared" si="1605"/>
        <v>45463</v>
      </c>
      <c r="F11282" s="483" t="s">
        <v>1913</v>
      </c>
      <c r="G11282" s="350" t="s">
        <v>94</v>
      </c>
      <c r="H11282" s="350" t="str" cm="1">
        <f t="array" ref="H11282">IFERROR(INDEX(INVESTOR_LIST[INVESTOR NAME],MATCH(I11282,INVESTOR_LIST[INVESTOR CODE],0),)," ")</f>
        <v xml:space="preserve"> </v>
      </c>
      <c r="I11282" s="352" t="s">
        <v>348</v>
      </c>
      <c r="J11282" s="353" t="s">
        <v>1799</v>
      </c>
      <c r="K11282" s="354">
        <v>20049.900000000373</v>
      </c>
      <c r="L11282" s="354"/>
    </row>
    <row r="11283" spans="1:13" x14ac:dyDescent="0.2">
      <c r="A11283" s="346">
        <v>2024</v>
      </c>
      <c r="B11283" s="346">
        <v>6</v>
      </c>
      <c r="C11283" s="346">
        <v>20</v>
      </c>
      <c r="D11283" s="344">
        <f t="shared" si="1604"/>
        <v>45463</v>
      </c>
      <c r="E11283" s="345">
        <f t="shared" si="1605"/>
        <v>45463</v>
      </c>
      <c r="F11283" s="484"/>
      <c r="G11283" s="347" t="s">
        <v>94</v>
      </c>
      <c r="H11283" s="347" t="str" cm="1">
        <f t="array" ref="H11283">IFERROR(INDEX(INVESTOR_LIST[INVESTOR NAME],MATCH(I11283,INVESTOR_LIST[INVESTOR CODE],0),)," ")</f>
        <v xml:space="preserve"> </v>
      </c>
      <c r="I11283" s="348" t="s">
        <v>348</v>
      </c>
      <c r="J11283" s="355" t="s">
        <v>1808</v>
      </c>
      <c r="K11283" s="349"/>
      <c r="L11283" s="349">
        <f>K11282</f>
        <v>20049.900000000373</v>
      </c>
    </row>
    <row r="11284" spans="1:13" x14ac:dyDescent="0.2">
      <c r="A11284" s="238">
        <v>2024</v>
      </c>
      <c r="B11284" s="238">
        <v>6</v>
      </c>
      <c r="C11284" s="238">
        <v>20</v>
      </c>
      <c r="D11284" s="270">
        <f t="shared" si="1604"/>
        <v>45463</v>
      </c>
      <c r="E11284" s="279">
        <f t="shared" si="1605"/>
        <v>45463</v>
      </c>
      <c r="F11284" s="477" t="s">
        <v>347</v>
      </c>
      <c r="G11284" s="239" t="s">
        <v>94</v>
      </c>
      <c r="H11284" s="239" t="str" cm="1">
        <f t="array" ref="H11284">IFERROR(INDEX(INVESTOR_LIST[INVESTOR NAME],MATCH(I11284,INVESTOR_LIST[INVESTOR CODE],0),)," ")</f>
        <v xml:space="preserve"> </v>
      </c>
      <c r="I11284" s="262" t="s">
        <v>348</v>
      </c>
      <c r="J11284" s="240" t="s">
        <v>108</v>
      </c>
      <c r="K11284" s="241">
        <v>154827.6799999997</v>
      </c>
      <c r="L11284" s="241"/>
    </row>
    <row r="11285" spans="1:13" x14ac:dyDescent="0.2">
      <c r="A11285" s="242">
        <v>2024</v>
      </c>
      <c r="B11285" s="242">
        <v>6</v>
      </c>
      <c r="C11285" s="242">
        <v>20</v>
      </c>
      <c r="D11285" s="270">
        <f t="shared" si="1604"/>
        <v>45463</v>
      </c>
      <c r="E11285" s="279">
        <f t="shared" si="1605"/>
        <v>45463</v>
      </c>
      <c r="F11285" s="478"/>
      <c r="G11285" s="243" t="s">
        <v>94</v>
      </c>
      <c r="H11285" s="243" t="str" cm="1">
        <f t="array" ref="H11285">IFERROR(INDEX(INVESTOR_LIST[INVESTOR NAME],MATCH(I11285,INVESTOR_LIST[INVESTOR CODE],0),)," ")</f>
        <v xml:space="preserve"> </v>
      </c>
      <c r="I11285" s="263" t="s">
        <v>348</v>
      </c>
      <c r="J11285" s="244" t="s">
        <v>82</v>
      </c>
      <c r="K11285" s="245"/>
      <c r="L11285" s="245">
        <f>K11284</f>
        <v>154827.6799999997</v>
      </c>
    </row>
    <row r="11286" spans="1:13" ht="12.75" customHeight="1" x14ac:dyDescent="0.2">
      <c r="A11286" s="246">
        <v>2024</v>
      </c>
      <c r="B11286" s="238">
        <v>6</v>
      </c>
      <c r="C11286" s="238">
        <v>20</v>
      </c>
      <c r="D11286" s="270">
        <f t="shared" si="1604"/>
        <v>45463</v>
      </c>
      <c r="E11286" s="279">
        <f t="shared" si="1605"/>
        <v>45463</v>
      </c>
      <c r="F11286" s="482" t="s">
        <v>148</v>
      </c>
      <c r="G11286" s="247" t="s">
        <v>94</v>
      </c>
      <c r="H11286" s="247" t="str" cm="1">
        <f t="array" ref="H11286">IFERROR(INDEX(INVESTOR_LIST[INVESTOR NAME],MATCH(I11286,INVESTOR_LIST[INVESTOR CODE],0),)," ")</f>
        <v xml:space="preserve"> </v>
      </c>
      <c r="I11286" s="248" t="s">
        <v>348</v>
      </c>
      <c r="J11286" s="249" t="s">
        <v>95</v>
      </c>
      <c r="K11286" s="250">
        <v>2747.2527472527472</v>
      </c>
      <c r="L11286" s="241"/>
    </row>
    <row r="11287" spans="1:13" x14ac:dyDescent="0.2">
      <c r="A11287" s="242">
        <v>2024</v>
      </c>
      <c r="B11287" s="242">
        <v>6</v>
      </c>
      <c r="C11287" s="242">
        <v>20</v>
      </c>
      <c r="D11287" s="270">
        <f t="shared" si="1604"/>
        <v>45463</v>
      </c>
      <c r="E11287" s="279">
        <f t="shared" si="1605"/>
        <v>45463</v>
      </c>
      <c r="F11287" s="478"/>
      <c r="G11287" s="243" t="s">
        <v>94</v>
      </c>
      <c r="H11287" s="243" t="str" cm="1">
        <f t="array" ref="H11287">IFERROR(INDEX(INVESTOR_LIST[INVESTOR NAME],MATCH(I11287,INVESTOR_LIST[INVESTOR CODE],0),)," ")</f>
        <v xml:space="preserve"> </v>
      </c>
      <c r="I11287" s="263" t="s">
        <v>348</v>
      </c>
      <c r="J11287" s="244" t="s">
        <v>63</v>
      </c>
      <c r="K11287" s="245"/>
      <c r="L11287" s="245">
        <v>2747.2527472527472</v>
      </c>
    </row>
    <row r="11288" spans="1:13" x14ac:dyDescent="0.2">
      <c r="A11288" s="246">
        <v>2024</v>
      </c>
      <c r="B11288" s="238">
        <v>6</v>
      </c>
      <c r="C11288" s="238">
        <v>20</v>
      </c>
      <c r="D11288" s="270">
        <f t="shared" si="1604"/>
        <v>45463</v>
      </c>
      <c r="E11288" s="279">
        <f t="shared" si="1605"/>
        <v>45463</v>
      </c>
      <c r="F11288" s="482" t="s">
        <v>137</v>
      </c>
      <c r="G11288" s="247" t="s">
        <v>94</v>
      </c>
      <c r="H11288" s="247" t="str" cm="1">
        <f t="array" ref="H11288">IFERROR(INDEX(INVESTOR_LIST[INVESTOR NAME],MATCH(I11288,INVESTOR_LIST[INVESTOR CODE],0),)," ")</f>
        <v xml:space="preserve"> </v>
      </c>
      <c r="I11288" s="248" t="s">
        <v>348</v>
      </c>
      <c r="J11288" s="249" t="s">
        <v>97</v>
      </c>
      <c r="K11288" s="250">
        <f>M11288</f>
        <v>51151.050232553891</v>
      </c>
      <c r="L11288" s="252"/>
      <c r="M11288" s="264">
        <v>51151.050232553891</v>
      </c>
    </row>
    <row r="11289" spans="1:13" x14ac:dyDescent="0.2">
      <c r="A11289" s="242">
        <v>2024</v>
      </c>
      <c r="B11289" s="242">
        <v>6</v>
      </c>
      <c r="C11289" s="242">
        <v>20</v>
      </c>
      <c r="D11289" s="270">
        <f t="shared" si="1604"/>
        <v>45463</v>
      </c>
      <c r="E11289" s="279">
        <f t="shared" si="1605"/>
        <v>45463</v>
      </c>
      <c r="F11289" s="478"/>
      <c r="G11289" s="243" t="s">
        <v>94</v>
      </c>
      <c r="H11289" s="243" t="str" cm="1">
        <f t="array" ref="H11289">IFERROR(INDEX(INVESTOR_LIST[INVESTOR NAME],MATCH(I11289,INVESTOR_LIST[INVESTOR CODE],0),)," ")</f>
        <v xml:space="preserve"> </v>
      </c>
      <c r="I11289" s="263" t="s">
        <v>348</v>
      </c>
      <c r="J11289" s="244" t="s">
        <v>47</v>
      </c>
      <c r="K11289" s="245"/>
      <c r="L11289" s="245">
        <f>K11288</f>
        <v>51151.050232553891</v>
      </c>
      <c r="M11289" s="264">
        <v>2317.1678962430788</v>
      </c>
    </row>
    <row r="11290" spans="1:13" x14ac:dyDescent="0.2">
      <c r="A11290" s="246">
        <v>2024</v>
      </c>
      <c r="B11290" s="238">
        <v>6</v>
      </c>
      <c r="C11290" s="238">
        <v>20</v>
      </c>
      <c r="D11290" s="270">
        <f t="shared" si="1604"/>
        <v>45463</v>
      </c>
      <c r="E11290" s="279">
        <f t="shared" si="1605"/>
        <v>45463</v>
      </c>
      <c r="F11290" s="482" t="s">
        <v>138</v>
      </c>
      <c r="G11290" s="247" t="s">
        <v>94</v>
      </c>
      <c r="H11290" s="247" t="str" cm="1">
        <f t="array" ref="H11290">IFERROR(INDEX(INVESTOR_LIST[INVESTOR NAME],MATCH(I11290,INVESTOR_LIST[INVESTOR CODE],0),)," ")</f>
        <v xml:space="preserve"> </v>
      </c>
      <c r="I11290" s="248" t="s">
        <v>348</v>
      </c>
      <c r="J11290" s="249" t="s">
        <v>100</v>
      </c>
      <c r="K11290" s="250">
        <f>M11289</f>
        <v>2317.1678962430788</v>
      </c>
      <c r="L11290" s="252"/>
    </row>
    <row r="11291" spans="1:13" x14ac:dyDescent="0.2">
      <c r="A11291" s="242">
        <v>2024</v>
      </c>
      <c r="B11291" s="242">
        <v>6</v>
      </c>
      <c r="C11291" s="242">
        <v>20</v>
      </c>
      <c r="D11291" s="321">
        <f t="shared" si="1604"/>
        <v>45463</v>
      </c>
      <c r="E11291" s="322">
        <f t="shared" si="1605"/>
        <v>45463</v>
      </c>
      <c r="F11291" s="478"/>
      <c r="G11291" s="243" t="s">
        <v>94</v>
      </c>
      <c r="H11291" s="243" t="str" cm="1">
        <f t="array" ref="H11291">IFERROR(INDEX(INVESTOR_LIST[INVESTOR NAME],MATCH(I11291,INVESTOR_LIST[INVESTOR CODE],0),)," ")</f>
        <v xml:space="preserve"> </v>
      </c>
      <c r="I11291" s="263" t="s">
        <v>348</v>
      </c>
      <c r="J11291" s="244" t="s">
        <v>48</v>
      </c>
      <c r="K11291" s="245"/>
      <c r="L11291" s="245">
        <f>K11290</f>
        <v>2317.1678962430788</v>
      </c>
    </row>
    <row r="11292" spans="1:13" x14ac:dyDescent="0.2">
      <c r="A11292" s="133">
        <v>2024</v>
      </c>
      <c r="B11292" s="133">
        <v>6</v>
      </c>
      <c r="C11292" s="168">
        <v>23</v>
      </c>
      <c r="D11292" s="141">
        <f>DATE(A11292,B11292,C11292)</f>
        <v>45466</v>
      </c>
      <c r="E11292" s="275">
        <f>DATE(A11292,B11292,C11292)</f>
        <v>45466</v>
      </c>
      <c r="F11292" s="479" t="s">
        <v>1768</v>
      </c>
      <c r="G11292" s="220" t="s">
        <v>74</v>
      </c>
      <c r="H11292" s="220" t="str" cm="1">
        <f t="array" ref="H11292">IFERROR(INDEX(INVESTOR_LIST[INVESTOR NAME],MATCH(I11292,INVESTOR_LIST[INVESTOR CODE],0),)," ")</f>
        <v xml:space="preserve"> </v>
      </c>
      <c r="I11292" s="142"/>
      <c r="J11292" s="143" t="s">
        <v>147</v>
      </c>
      <c r="K11292" s="226">
        <v>1575636.25</v>
      </c>
      <c r="L11292" s="226"/>
    </row>
    <row r="11293" spans="1:13" x14ac:dyDescent="0.2">
      <c r="A11293" s="163">
        <v>2024</v>
      </c>
      <c r="B11293" s="163">
        <v>6</v>
      </c>
      <c r="C11293" s="163">
        <v>23</v>
      </c>
      <c r="D11293" s="280">
        <f>DATE(A11293,B11293,C11293)</f>
        <v>45466</v>
      </c>
      <c r="E11293" s="281">
        <f>DATE(A11293,B11293,C11293)</f>
        <v>45466</v>
      </c>
      <c r="F11293" s="480"/>
      <c r="G11293" s="221" t="s">
        <v>74</v>
      </c>
      <c r="H11293" s="221" t="str" cm="1">
        <f t="array" ref="H11293">IFERROR(INDEX(INVESTOR_LIST[INVESTOR NAME],MATCH(I11293,INVESTOR_LIST[INVESTOR CODE],0),)," ")</f>
        <v xml:space="preserve"> </v>
      </c>
      <c r="I11293" s="145" t="s">
        <v>348</v>
      </c>
      <c r="J11293" s="146" t="s">
        <v>52</v>
      </c>
      <c r="K11293" s="219"/>
      <c r="L11293" s="219">
        <v>1575636.25</v>
      </c>
    </row>
    <row r="11294" spans="1:13" x14ac:dyDescent="0.2">
      <c r="A11294" s="168">
        <v>2024</v>
      </c>
      <c r="B11294" s="168">
        <v>6</v>
      </c>
      <c r="C11294" s="168">
        <v>23</v>
      </c>
      <c r="D11294" s="141">
        <f t="shared" si="1604"/>
        <v>45466</v>
      </c>
      <c r="E11294" s="275">
        <f t="shared" si="1605"/>
        <v>45466</v>
      </c>
      <c r="F11294" s="479" t="s">
        <v>362</v>
      </c>
      <c r="G11294" s="220" t="s">
        <v>74</v>
      </c>
      <c r="H11294" s="220" t="str" cm="1">
        <f t="array" ref="H11294">IFERROR(INDEX(INVESTOR_LIST[INVESTOR NAME],MATCH(I11294,INVESTOR_LIST[INVESTOR CODE],0),)," ")</f>
        <v xml:space="preserve"> </v>
      </c>
      <c r="I11294" s="142" t="s">
        <v>348</v>
      </c>
      <c r="J11294" s="143" t="s">
        <v>104</v>
      </c>
      <c r="K11294" s="226">
        <v>143.88</v>
      </c>
      <c r="L11294" s="226"/>
    </row>
    <row r="11295" spans="1:13" x14ac:dyDescent="0.2">
      <c r="A11295" s="133">
        <v>2024</v>
      </c>
      <c r="B11295" s="133">
        <v>6</v>
      </c>
      <c r="C11295" s="133">
        <v>23</v>
      </c>
      <c r="D11295" s="147">
        <f t="shared" si="1604"/>
        <v>45466</v>
      </c>
      <c r="E11295" s="311">
        <f t="shared" si="1605"/>
        <v>45466</v>
      </c>
      <c r="F11295" s="481"/>
      <c r="G11295" s="174" t="s">
        <v>74</v>
      </c>
      <c r="H11295" s="174"/>
      <c r="J11295" s="149" t="s">
        <v>534</v>
      </c>
      <c r="K11295" s="218"/>
      <c r="L11295" s="218">
        <v>14.39</v>
      </c>
    </row>
    <row r="11296" spans="1:13" x14ac:dyDescent="0.2">
      <c r="A11296" s="163">
        <v>2024</v>
      </c>
      <c r="B11296" s="163">
        <v>6</v>
      </c>
      <c r="C11296" s="163">
        <v>23</v>
      </c>
      <c r="D11296" s="144">
        <f t="shared" si="1604"/>
        <v>45466</v>
      </c>
      <c r="E11296" s="313">
        <f t="shared" si="1605"/>
        <v>45466</v>
      </c>
      <c r="F11296" s="480"/>
      <c r="G11296" s="221" t="s">
        <v>74</v>
      </c>
      <c r="H11296" s="221" t="str" cm="1">
        <f t="array" ref="H11296">IFERROR(INDEX(INVESTOR_LIST[INVESTOR NAME],MATCH(I11296,INVESTOR_LIST[INVESTOR CODE],0),)," ")</f>
        <v xml:space="preserve"> </v>
      </c>
      <c r="I11296" s="145" t="s">
        <v>348</v>
      </c>
      <c r="J11296" s="146" t="s">
        <v>52</v>
      </c>
      <c r="K11296" s="219"/>
      <c r="L11296" s="219">
        <v>129.49</v>
      </c>
    </row>
    <row r="11297" spans="1:17" x14ac:dyDescent="0.2">
      <c r="A11297" s="133">
        <v>2024</v>
      </c>
      <c r="B11297" s="133">
        <v>6</v>
      </c>
      <c r="C11297" s="168">
        <v>24</v>
      </c>
      <c r="D11297" s="141">
        <f t="shared" si="1604"/>
        <v>45467</v>
      </c>
      <c r="E11297" s="275">
        <f t="shared" si="1605"/>
        <v>45467</v>
      </c>
      <c r="F11297" s="479" t="s">
        <v>1935</v>
      </c>
      <c r="G11297" s="174" t="s">
        <v>74</v>
      </c>
      <c r="H11297" s="148" t="str" cm="1">
        <f t="array" ref="H11297">IFERROR(INDEX(INVESTOR_LIST[INVESTOR NAME],MATCH(I11297,INVESTOR_LIST[INVESTOR CODE],0),)," ")</f>
        <v xml:space="preserve"> </v>
      </c>
      <c r="I11297" s="148" t="s">
        <v>348</v>
      </c>
      <c r="J11297" s="133" t="s">
        <v>61</v>
      </c>
      <c r="K11297" s="172">
        <v>4522.7</v>
      </c>
    </row>
    <row r="11298" spans="1:17" x14ac:dyDescent="0.2">
      <c r="A11298" s="163">
        <v>2024</v>
      </c>
      <c r="B11298" s="163">
        <v>6</v>
      </c>
      <c r="C11298" s="163">
        <v>24</v>
      </c>
      <c r="D11298" s="280">
        <f t="shared" si="1604"/>
        <v>45467</v>
      </c>
      <c r="E11298" s="281">
        <f t="shared" si="1605"/>
        <v>45467</v>
      </c>
      <c r="F11298" s="480"/>
      <c r="G11298" s="221" t="s">
        <v>74</v>
      </c>
      <c r="H11298" s="145" t="str" cm="1">
        <f t="array" ref="H11298">IFERROR(INDEX(INVESTOR_LIST[INVESTOR NAME],MATCH(I11298,INVESTOR_LIST[INVESTOR CODE],0),)," ")</f>
        <v xml:space="preserve"> </v>
      </c>
      <c r="I11298" s="145" t="s">
        <v>348</v>
      </c>
      <c r="J11298" s="163" t="s">
        <v>52</v>
      </c>
      <c r="K11298" s="219"/>
      <c r="L11298" s="219">
        <v>4522.7</v>
      </c>
    </row>
    <row r="11299" spans="1:17" x14ac:dyDescent="0.2">
      <c r="A11299" s="133">
        <v>2024</v>
      </c>
      <c r="B11299" s="133">
        <v>6</v>
      </c>
      <c r="C11299" s="133">
        <v>24</v>
      </c>
      <c r="D11299" s="141">
        <f t="shared" ref="D11299:D11302" si="1606">DATE(A11299,B11299,C11299)</f>
        <v>45467</v>
      </c>
      <c r="E11299" s="275">
        <f t="shared" ref="E11299:E11302" si="1607">DATE(A11299,B11299,C11299)</f>
        <v>45467</v>
      </c>
      <c r="F11299" s="481" t="s">
        <v>1941</v>
      </c>
      <c r="G11299" s="174" t="s">
        <v>94</v>
      </c>
      <c r="H11299" s="174" t="str" cm="1">
        <f t="array" ref="H11299">IFERROR(INDEX(INVESTOR_LIST[INVESTOR NAME],MATCH(I11299,INVESTOR_LIST[INVESTOR CODE],0),)," ")</f>
        <v xml:space="preserve"> </v>
      </c>
      <c r="J11299" s="149" t="s">
        <v>52</v>
      </c>
      <c r="K11299" s="218">
        <v>20000000</v>
      </c>
      <c r="L11299" s="218"/>
      <c r="M11299" s="160"/>
    </row>
    <row r="11300" spans="1:17" x14ac:dyDescent="0.2">
      <c r="A11300" s="133">
        <v>2024</v>
      </c>
      <c r="B11300" s="133">
        <v>6</v>
      </c>
      <c r="C11300" s="133">
        <v>24</v>
      </c>
      <c r="D11300" s="141">
        <f t="shared" si="1606"/>
        <v>45467</v>
      </c>
      <c r="E11300" s="275">
        <f t="shared" si="1607"/>
        <v>45467</v>
      </c>
      <c r="F11300" s="481"/>
      <c r="G11300" s="174" t="s">
        <v>94</v>
      </c>
      <c r="H11300" s="174"/>
      <c r="J11300" s="133" t="s">
        <v>61</v>
      </c>
      <c r="K11300" s="218"/>
      <c r="L11300" s="218">
        <v>5000000</v>
      </c>
      <c r="N11300" s="264"/>
    </row>
    <row r="11301" spans="1:17" x14ac:dyDescent="0.2">
      <c r="A11301" s="133">
        <v>2024</v>
      </c>
      <c r="B11301" s="133">
        <v>6</v>
      </c>
      <c r="C11301" s="133">
        <v>24</v>
      </c>
      <c r="D11301" s="141">
        <f t="shared" si="1606"/>
        <v>45467</v>
      </c>
      <c r="E11301" s="275">
        <f t="shared" si="1607"/>
        <v>45467</v>
      </c>
      <c r="F11301" s="481"/>
      <c r="G11301" s="174" t="s">
        <v>94</v>
      </c>
      <c r="H11301" s="174" t="str" cm="1">
        <f t="array" ref="H11301">IFERROR(INDEX(INVESTOR_LIST[INVESTOR NAME],MATCH(I11301,INVESTOR_LIST[INVESTOR CODE],0),)," ")</f>
        <v xml:space="preserve"> </v>
      </c>
      <c r="J11301" s="133" t="s">
        <v>1809</v>
      </c>
      <c r="K11301" s="218"/>
      <c r="L11301" s="218">
        <v>411660</v>
      </c>
      <c r="N11301" s="264"/>
    </row>
    <row r="11302" spans="1:17" x14ac:dyDescent="0.2">
      <c r="A11302" s="163">
        <v>2024</v>
      </c>
      <c r="B11302" s="163">
        <v>6</v>
      </c>
      <c r="C11302" s="163">
        <v>24</v>
      </c>
      <c r="D11302" s="280">
        <f t="shared" si="1606"/>
        <v>45467</v>
      </c>
      <c r="E11302" s="281">
        <f t="shared" si="1607"/>
        <v>45467</v>
      </c>
      <c r="F11302" s="480"/>
      <c r="G11302" s="221" t="s">
        <v>94</v>
      </c>
      <c r="H11302" s="145" t="str" cm="1">
        <f t="array" ref="H11302">IFERROR(INDEX(INVESTOR_LIST[INVESTOR NAME],MATCH(I11302,INVESTOR_LIST[INVESTOR CODE],0),)," ")</f>
        <v xml:space="preserve"> </v>
      </c>
      <c r="I11302" s="145"/>
      <c r="J11302" s="146" t="s">
        <v>1764</v>
      </c>
      <c r="K11302" s="219"/>
      <c r="L11302" s="219">
        <v>14588340</v>
      </c>
      <c r="N11302" s="264"/>
    </row>
    <row r="11303" spans="1:17" x14ac:dyDescent="0.2">
      <c r="A11303" s="168">
        <v>2024</v>
      </c>
      <c r="B11303" s="168">
        <v>6</v>
      </c>
      <c r="C11303" s="168">
        <v>26</v>
      </c>
      <c r="D11303" s="141">
        <f t="shared" si="1604"/>
        <v>45469</v>
      </c>
      <c r="E11303" s="275">
        <f t="shared" si="1605"/>
        <v>45469</v>
      </c>
      <c r="F11303" s="479" t="s">
        <v>1319</v>
      </c>
      <c r="G11303" s="220" t="s">
        <v>74</v>
      </c>
      <c r="H11303" s="142" t="str" cm="1">
        <f t="array" ref="H11303">IFERROR(INDEX(INVESTOR_LIST[INVESTOR NAME],MATCH(I11303,INVESTOR_LIST[INVESTOR CODE],0),)," ")</f>
        <v xml:space="preserve"> </v>
      </c>
      <c r="I11303" s="142"/>
      <c r="J11303" s="168" t="s">
        <v>52</v>
      </c>
      <c r="K11303" s="226">
        <v>106000</v>
      </c>
      <c r="L11303" s="226"/>
    </row>
    <row r="11304" spans="1:17" x14ac:dyDescent="0.2">
      <c r="A11304" s="133">
        <v>2024</v>
      </c>
      <c r="B11304" s="133">
        <v>6</v>
      </c>
      <c r="C11304" s="133">
        <v>26</v>
      </c>
      <c r="D11304" s="141">
        <f t="shared" si="1604"/>
        <v>45469</v>
      </c>
      <c r="E11304" s="275">
        <f t="shared" si="1605"/>
        <v>45469</v>
      </c>
      <c r="F11304" s="481"/>
      <c r="G11304" s="174" t="s">
        <v>74</v>
      </c>
      <c r="H11304" s="148" t="str" cm="1">
        <f t="array" ref="H11304">IFERROR(INDEX(INVESTOR_LIST[INVESTOR NAME],MATCH(I11304,INVESTOR_LIST[INVESTOR CODE],0),)," ")</f>
        <v xml:space="preserve"> </v>
      </c>
      <c r="J11304" s="133" t="s">
        <v>13</v>
      </c>
      <c r="K11304" s="218"/>
      <c r="L11304" s="218">
        <v>91510</v>
      </c>
    </row>
    <row r="11305" spans="1:17" x14ac:dyDescent="0.2">
      <c r="A11305" s="163">
        <v>2024</v>
      </c>
      <c r="B11305" s="163">
        <v>6</v>
      </c>
      <c r="C11305" s="163">
        <v>26</v>
      </c>
      <c r="D11305" s="280">
        <f t="shared" si="1604"/>
        <v>45469</v>
      </c>
      <c r="E11305" s="281">
        <f t="shared" si="1605"/>
        <v>45469</v>
      </c>
      <c r="F11305" s="480"/>
      <c r="G11305" s="221" t="s">
        <v>74</v>
      </c>
      <c r="H11305" s="145" t="str" cm="1">
        <f t="array" ref="H11305">IFERROR(INDEX(INVESTOR_LIST[INVESTOR NAME],MATCH(I11305,INVESTOR_LIST[INVESTOR CODE],0),)," ")</f>
        <v xml:space="preserve"> </v>
      </c>
      <c r="I11305" s="145"/>
      <c r="J11305" s="163" t="s">
        <v>53</v>
      </c>
      <c r="K11305" s="219"/>
      <c r="L11305" s="219">
        <v>14490</v>
      </c>
    </row>
    <row r="11306" spans="1:17" x14ac:dyDescent="0.2">
      <c r="A11306" s="133">
        <v>2024</v>
      </c>
      <c r="B11306" s="133">
        <v>6</v>
      </c>
      <c r="C11306" s="133">
        <v>25</v>
      </c>
      <c r="D11306" s="141">
        <f t="shared" si="1604"/>
        <v>45468</v>
      </c>
      <c r="E11306" s="275">
        <f t="shared" si="1605"/>
        <v>45468</v>
      </c>
      <c r="F11306" s="479" t="s">
        <v>1936</v>
      </c>
      <c r="G11306" s="174" t="s">
        <v>74</v>
      </c>
      <c r="H11306" s="174" t="str" cm="1">
        <f t="array" ref="H11306">IFERROR(INDEX(INVESTOR_LIST[INVESTOR NAME],MATCH(I11306,INVESTOR_LIST[INVESTOR CODE],0),)," ")</f>
        <v xml:space="preserve"> </v>
      </c>
      <c r="I11306" s="148" t="s">
        <v>348</v>
      </c>
      <c r="J11306" s="149" t="s">
        <v>1764</v>
      </c>
      <c r="K11306" s="218">
        <v>3943920</v>
      </c>
      <c r="L11306" s="218"/>
      <c r="M11306" s="147"/>
      <c r="Q11306" s="133" t="s">
        <v>348</v>
      </c>
    </row>
    <row r="11307" spans="1:17" x14ac:dyDescent="0.2">
      <c r="A11307" s="163">
        <v>2024</v>
      </c>
      <c r="B11307" s="163">
        <v>6</v>
      </c>
      <c r="C11307" s="163">
        <v>25</v>
      </c>
      <c r="D11307" s="280">
        <f t="shared" si="1604"/>
        <v>45468</v>
      </c>
      <c r="E11307" s="281">
        <f t="shared" si="1605"/>
        <v>45468</v>
      </c>
      <c r="F11307" s="480"/>
      <c r="G11307" s="221" t="s">
        <v>74</v>
      </c>
      <c r="H11307" s="221" t="str" cm="1">
        <f t="array" ref="H11307">IFERROR(INDEX(INVESTOR_LIST[INVESTOR NAME],MATCH(I11307,INVESTOR_LIST[INVESTOR CODE],0),)," ")</f>
        <v xml:space="preserve"> </v>
      </c>
      <c r="I11307" s="145"/>
      <c r="J11307" s="146" t="s">
        <v>52</v>
      </c>
      <c r="K11307" s="219"/>
      <c r="L11307" s="219">
        <v>3943920</v>
      </c>
      <c r="M11307" s="147"/>
      <c r="Q11307" s="133" t="s">
        <v>348</v>
      </c>
    </row>
    <row r="11308" spans="1:17" x14ac:dyDescent="0.2">
      <c r="A11308" s="133">
        <v>2024</v>
      </c>
      <c r="B11308" s="133">
        <v>6</v>
      </c>
      <c r="C11308" s="133">
        <v>25</v>
      </c>
      <c r="D11308" s="141">
        <f t="shared" ref="D11308:D11309" si="1608">DATE(A11308,B11308,C11308)</f>
        <v>45468</v>
      </c>
      <c r="E11308" s="275">
        <f t="shared" ref="E11308:E11309" si="1609">DATE(A11308,B11308,C11308)</f>
        <v>45468</v>
      </c>
      <c r="F11308" s="479" t="s">
        <v>1937</v>
      </c>
      <c r="G11308" s="174" t="s">
        <v>74</v>
      </c>
      <c r="H11308" s="174" t="str" cm="1">
        <f t="array" ref="H11308">IFERROR(INDEX(INVESTOR_LIST[INVESTOR NAME],MATCH(I11308,INVESTOR_LIST[INVESTOR CODE],0),)," ")</f>
        <v xml:space="preserve"> </v>
      </c>
      <c r="I11308" s="148" t="s">
        <v>348</v>
      </c>
      <c r="J11308" s="149" t="s">
        <v>1764</v>
      </c>
      <c r="K11308" s="218">
        <v>12759747</v>
      </c>
      <c r="L11308" s="218"/>
      <c r="M11308" s="147"/>
      <c r="Q11308" s="133" t="s">
        <v>348</v>
      </c>
    </row>
    <row r="11309" spans="1:17" x14ac:dyDescent="0.2">
      <c r="A11309" s="163">
        <v>2024</v>
      </c>
      <c r="B11309" s="163">
        <v>6</v>
      </c>
      <c r="C11309" s="163">
        <v>25</v>
      </c>
      <c r="D11309" s="280">
        <f t="shared" si="1608"/>
        <v>45468</v>
      </c>
      <c r="E11309" s="281">
        <f t="shared" si="1609"/>
        <v>45468</v>
      </c>
      <c r="F11309" s="480"/>
      <c r="G11309" s="221" t="s">
        <v>74</v>
      </c>
      <c r="H11309" s="221" t="str" cm="1">
        <f t="array" ref="H11309">IFERROR(INDEX(INVESTOR_LIST[INVESTOR NAME],MATCH(I11309,INVESTOR_LIST[INVESTOR CODE],0),)," ")</f>
        <v xml:space="preserve"> </v>
      </c>
      <c r="I11309" s="145"/>
      <c r="J11309" s="146" t="s">
        <v>52</v>
      </c>
      <c r="K11309" s="219"/>
      <c r="L11309" s="219">
        <v>12759747</v>
      </c>
      <c r="M11309" s="147"/>
      <c r="Q11309" s="133" t="s">
        <v>348</v>
      </c>
    </row>
    <row r="11310" spans="1:17" ht="11.25" customHeight="1" x14ac:dyDescent="0.2">
      <c r="A11310" s="133">
        <v>2024</v>
      </c>
      <c r="B11310" s="133">
        <v>6</v>
      </c>
      <c r="C11310" s="133">
        <v>27</v>
      </c>
      <c r="D11310" s="141">
        <f>DATE(A11310,B11310,C11310)</f>
        <v>45470</v>
      </c>
      <c r="E11310" s="275">
        <f>DATE(A11310,B11310,C11310)</f>
        <v>45470</v>
      </c>
      <c r="F11310" s="479" t="s">
        <v>1938</v>
      </c>
      <c r="G11310" s="174" t="s">
        <v>74</v>
      </c>
      <c r="H11310" s="174" t="str" cm="1">
        <f t="array" ref="H11310">IFERROR(INDEX(INVESTOR_LIST[INVESTOR NAME],MATCH(I11310,INVESTOR_LIST[INVESTOR CODE],0),)," ")</f>
        <v xml:space="preserve"> </v>
      </c>
      <c r="I11310" s="148" t="s">
        <v>348</v>
      </c>
      <c r="J11310" s="149" t="s">
        <v>52</v>
      </c>
      <c r="K11310" s="218">
        <v>3943920</v>
      </c>
      <c r="L11310" s="218"/>
      <c r="M11310" s="147"/>
      <c r="Q11310" s="133" t="s">
        <v>348</v>
      </c>
    </row>
    <row r="11311" spans="1:17" x14ac:dyDescent="0.2">
      <c r="A11311" s="163">
        <v>2024</v>
      </c>
      <c r="B11311" s="163">
        <v>6</v>
      </c>
      <c r="C11311" s="163">
        <v>27</v>
      </c>
      <c r="D11311" s="280">
        <f>DATE(A11311,B11311,C11311)</f>
        <v>45470</v>
      </c>
      <c r="E11311" s="281">
        <f>DATE(A11311,B11311,C11311)</f>
        <v>45470</v>
      </c>
      <c r="F11311" s="480"/>
      <c r="G11311" s="221" t="s">
        <v>74</v>
      </c>
      <c r="H11311" s="221" t="str" cm="1">
        <f t="array" ref="H11311">IFERROR(INDEX(INVESTOR_LIST[INVESTOR NAME],MATCH(I11311,INVESTOR_LIST[INVESTOR CODE],0),)," ")</f>
        <v xml:space="preserve"> </v>
      </c>
      <c r="I11311" s="145"/>
      <c r="J11311" s="146" t="s">
        <v>1764</v>
      </c>
      <c r="K11311" s="219"/>
      <c r="L11311" s="219">
        <v>3943920</v>
      </c>
      <c r="M11311" s="147"/>
      <c r="Q11311" s="133" t="s">
        <v>348</v>
      </c>
    </row>
    <row r="11312" spans="1:17" ht="11.25" customHeight="1" x14ac:dyDescent="0.2">
      <c r="A11312" s="133">
        <v>2024</v>
      </c>
      <c r="B11312" s="133">
        <v>6</v>
      </c>
      <c r="C11312" s="133">
        <v>27</v>
      </c>
      <c r="D11312" s="141">
        <f>DATE(A11312,B11312,C11312)</f>
        <v>45470</v>
      </c>
      <c r="E11312" s="275">
        <f>DATE(A11312,B11312,C11312)</f>
        <v>45470</v>
      </c>
      <c r="F11312" s="479" t="s">
        <v>1939</v>
      </c>
      <c r="G11312" s="174" t="s">
        <v>74</v>
      </c>
      <c r="H11312" s="174" t="str" cm="1">
        <f t="array" ref="H11312">IFERROR(INDEX(INVESTOR_LIST[INVESTOR NAME],MATCH(I11312,INVESTOR_LIST[INVESTOR CODE],0),)," ")</f>
        <v xml:space="preserve"> </v>
      </c>
      <c r="I11312" s="148" t="s">
        <v>348</v>
      </c>
      <c r="J11312" s="149" t="s">
        <v>52</v>
      </c>
      <c r="K11312" s="218">
        <v>12759747</v>
      </c>
      <c r="L11312" s="218"/>
      <c r="M11312" s="147"/>
      <c r="Q11312" s="133" t="s">
        <v>348</v>
      </c>
    </row>
    <row r="11313" spans="1:17" x14ac:dyDescent="0.2">
      <c r="A11313" s="163">
        <v>2024</v>
      </c>
      <c r="B11313" s="163">
        <v>6</v>
      </c>
      <c r="C11313" s="163">
        <v>27</v>
      </c>
      <c r="D11313" s="280">
        <f>DATE(A11313,B11313,C11313)</f>
        <v>45470</v>
      </c>
      <c r="E11313" s="281">
        <f>DATE(A11313,B11313,C11313)</f>
        <v>45470</v>
      </c>
      <c r="F11313" s="480"/>
      <c r="G11313" s="221" t="s">
        <v>74</v>
      </c>
      <c r="H11313" s="221" t="str" cm="1">
        <f t="array" ref="H11313">IFERROR(INDEX(INVESTOR_LIST[INVESTOR NAME],MATCH(I11313,INVESTOR_LIST[INVESTOR CODE],0),)," ")</f>
        <v xml:space="preserve"> </v>
      </c>
      <c r="I11313" s="145"/>
      <c r="J11313" s="146" t="s">
        <v>1764</v>
      </c>
      <c r="K11313" s="219"/>
      <c r="L11313" s="219">
        <v>12759747</v>
      </c>
      <c r="M11313" s="147"/>
      <c r="Q11313" s="133" t="s">
        <v>348</v>
      </c>
    </row>
    <row r="11314" spans="1:17" x14ac:dyDescent="0.2">
      <c r="A11314" s="325">
        <v>2024</v>
      </c>
      <c r="B11314" s="325">
        <v>6</v>
      </c>
      <c r="C11314" s="325">
        <v>27</v>
      </c>
      <c r="D11314" s="326">
        <f t="shared" ref="D11314:D11315" si="1610">DATE(A11314,B11314,C11314)</f>
        <v>45470</v>
      </c>
      <c r="E11314" s="327">
        <f t="shared" ref="E11314:E11315" si="1611">DATE(A11314,B11314,C11314)</f>
        <v>45470</v>
      </c>
      <c r="F11314" s="473" t="s">
        <v>1940</v>
      </c>
      <c r="G11314" s="340" t="s">
        <v>94</v>
      </c>
      <c r="H11314" s="340" t="str" cm="1">
        <f t="array" ref="H11314">IFERROR(INDEX(INVESTOR_LIST[INVESTOR NAME],MATCH(I11314,INVESTOR_LIST[INVESTOR CODE],0),)," ")</f>
        <v xml:space="preserve"> </v>
      </c>
      <c r="I11314" s="341" t="s">
        <v>348</v>
      </c>
      <c r="J11314" s="374" t="s">
        <v>133</v>
      </c>
      <c r="K11314" s="375">
        <v>38716.66666666665</v>
      </c>
      <c r="L11314" s="375"/>
    </row>
    <row r="11315" spans="1:17" x14ac:dyDescent="0.2">
      <c r="A11315" s="331">
        <v>2024</v>
      </c>
      <c r="B11315" s="331">
        <v>6</v>
      </c>
      <c r="C11315" s="331">
        <v>27</v>
      </c>
      <c r="D11315" s="326">
        <f t="shared" si="1610"/>
        <v>45470</v>
      </c>
      <c r="E11315" s="327">
        <f t="shared" si="1611"/>
        <v>45470</v>
      </c>
      <c r="F11315" s="474"/>
      <c r="G11315" s="332" t="s">
        <v>94</v>
      </c>
      <c r="H11315" s="332" t="str" cm="1">
        <f t="array" ref="H11315">IFERROR(INDEX(INVESTOR_LIST[INVESTOR NAME],MATCH(I11315,INVESTOR_LIST[INVESTOR CODE],0),)," ")</f>
        <v xml:space="preserve"> </v>
      </c>
      <c r="I11315" s="333" t="s">
        <v>348</v>
      </c>
      <c r="J11315" s="376" t="s">
        <v>60</v>
      </c>
      <c r="K11315" s="334"/>
      <c r="L11315" s="334">
        <v>38716.66666666665</v>
      </c>
    </row>
    <row r="11316" spans="1:17" x14ac:dyDescent="0.2">
      <c r="A11316" s="343">
        <v>2024</v>
      </c>
      <c r="B11316" s="343">
        <v>6</v>
      </c>
      <c r="C11316" s="343">
        <v>27</v>
      </c>
      <c r="D11316" s="344">
        <f t="shared" ref="D11316:D11348" si="1612">DATE(A11316,B11316,C11316)</f>
        <v>45470</v>
      </c>
      <c r="E11316" s="345">
        <f t="shared" ref="E11316:E11348" si="1613">DATE(A11316,B11316,C11316)</f>
        <v>45470</v>
      </c>
      <c r="F11316" s="483" t="s">
        <v>1813</v>
      </c>
      <c r="G11316" s="350" t="s">
        <v>94</v>
      </c>
      <c r="H11316" s="350" t="str" cm="1">
        <f t="array" ref="H11316">IFERROR(INDEX(INVESTOR_LIST[INVESTOR NAME],MATCH(I11316,INVESTOR_LIST[INVESTOR CODE],0),)," ")</f>
        <v xml:space="preserve"> </v>
      </c>
      <c r="I11316" s="352" t="s">
        <v>348</v>
      </c>
      <c r="J11316" s="353" t="s">
        <v>1807</v>
      </c>
      <c r="K11316" s="354">
        <v>378040.5</v>
      </c>
      <c r="L11316" s="354"/>
    </row>
    <row r="11317" spans="1:17" x14ac:dyDescent="0.2">
      <c r="A11317" s="346">
        <v>2024</v>
      </c>
      <c r="B11317" s="346">
        <v>6</v>
      </c>
      <c r="C11317" s="346">
        <v>27</v>
      </c>
      <c r="D11317" s="344">
        <f t="shared" si="1612"/>
        <v>45470</v>
      </c>
      <c r="E11317" s="345">
        <f t="shared" si="1613"/>
        <v>45470</v>
      </c>
      <c r="F11317" s="484"/>
      <c r="G11317" s="347" t="s">
        <v>94</v>
      </c>
      <c r="H11317" s="347" t="str" cm="1">
        <f t="array" ref="H11317">IFERROR(INDEX(INVESTOR_LIST[INVESTOR NAME],MATCH(I11317,INVESTOR_LIST[INVESTOR CODE],0),)," ")</f>
        <v xml:space="preserve"> </v>
      </c>
      <c r="I11317" s="348" t="s">
        <v>348</v>
      </c>
      <c r="J11317" s="355" t="s">
        <v>1798</v>
      </c>
      <c r="K11317" s="349"/>
      <c r="L11317" s="349">
        <f>K11316</f>
        <v>378040.5</v>
      </c>
    </row>
    <row r="11318" spans="1:17" x14ac:dyDescent="0.2">
      <c r="A11318" s="343">
        <v>2024</v>
      </c>
      <c r="B11318" s="343">
        <v>6</v>
      </c>
      <c r="C11318" s="343">
        <v>27</v>
      </c>
      <c r="D11318" s="344">
        <f t="shared" si="1612"/>
        <v>45470</v>
      </c>
      <c r="E11318" s="345">
        <f t="shared" si="1613"/>
        <v>45470</v>
      </c>
      <c r="F11318" s="483" t="s">
        <v>1913</v>
      </c>
      <c r="G11318" s="350" t="s">
        <v>94</v>
      </c>
      <c r="H11318" s="350" t="str" cm="1">
        <f t="array" ref="H11318">IFERROR(INDEX(INVESTOR_LIST[INVESTOR NAME],MATCH(I11318,INVESTOR_LIST[INVESTOR CODE],0),)," ")</f>
        <v xml:space="preserve"> </v>
      </c>
      <c r="I11318" s="352" t="s">
        <v>348</v>
      </c>
      <c r="J11318" s="353" t="s">
        <v>1799</v>
      </c>
      <c r="K11318" s="354">
        <v>35106.14999999851</v>
      </c>
      <c r="L11318" s="354"/>
    </row>
    <row r="11319" spans="1:17" x14ac:dyDescent="0.2">
      <c r="A11319" s="346">
        <v>2024</v>
      </c>
      <c r="B11319" s="346">
        <v>6</v>
      </c>
      <c r="C11319" s="346">
        <v>27</v>
      </c>
      <c r="D11319" s="344">
        <f t="shared" si="1612"/>
        <v>45470</v>
      </c>
      <c r="E11319" s="345">
        <f t="shared" si="1613"/>
        <v>45470</v>
      </c>
      <c r="F11319" s="484"/>
      <c r="G11319" s="347" t="s">
        <v>94</v>
      </c>
      <c r="H11319" s="347" t="str" cm="1">
        <f t="array" ref="H11319">IFERROR(INDEX(INVESTOR_LIST[INVESTOR NAME],MATCH(I11319,INVESTOR_LIST[INVESTOR CODE],0),)," ")</f>
        <v xml:space="preserve"> </v>
      </c>
      <c r="I11319" s="348" t="s">
        <v>348</v>
      </c>
      <c r="J11319" s="355" t="s">
        <v>1808</v>
      </c>
      <c r="K11319" s="349"/>
      <c r="L11319" s="349">
        <f>K11318</f>
        <v>35106.14999999851</v>
      </c>
    </row>
    <row r="11320" spans="1:17" x14ac:dyDescent="0.2">
      <c r="A11320" s="238">
        <v>2024</v>
      </c>
      <c r="B11320" s="238">
        <v>6</v>
      </c>
      <c r="C11320" s="238">
        <v>27</v>
      </c>
      <c r="D11320" s="270">
        <f t="shared" si="1612"/>
        <v>45470</v>
      </c>
      <c r="E11320" s="279">
        <f t="shared" si="1613"/>
        <v>45470</v>
      </c>
      <c r="F11320" s="477" t="s">
        <v>347</v>
      </c>
      <c r="G11320" s="239" t="s">
        <v>94</v>
      </c>
      <c r="H11320" s="239" t="str" cm="1">
        <f t="array" ref="H11320">IFERROR(INDEX(INVESTOR_LIST[INVESTOR NAME],MATCH(I11320,INVESTOR_LIST[INVESTOR CODE],0),)," ")</f>
        <v xml:space="preserve"> </v>
      </c>
      <c r="I11320" s="262" t="s">
        <v>348</v>
      </c>
      <c r="J11320" s="240" t="s">
        <v>108</v>
      </c>
      <c r="K11320" s="241">
        <v>1134820.8799999952</v>
      </c>
      <c r="L11320" s="241"/>
    </row>
    <row r="11321" spans="1:17" x14ac:dyDescent="0.2">
      <c r="A11321" s="242">
        <v>2024</v>
      </c>
      <c r="B11321" s="242">
        <v>6</v>
      </c>
      <c r="C11321" s="242">
        <v>27</v>
      </c>
      <c r="D11321" s="270">
        <f t="shared" si="1612"/>
        <v>45470</v>
      </c>
      <c r="E11321" s="279">
        <f t="shared" si="1613"/>
        <v>45470</v>
      </c>
      <c r="F11321" s="478"/>
      <c r="G11321" s="243" t="s">
        <v>94</v>
      </c>
      <c r="H11321" s="243" t="str" cm="1">
        <f t="array" ref="H11321">IFERROR(INDEX(INVESTOR_LIST[INVESTOR NAME],MATCH(I11321,INVESTOR_LIST[INVESTOR CODE],0),)," ")</f>
        <v xml:space="preserve"> </v>
      </c>
      <c r="I11321" s="263" t="s">
        <v>348</v>
      </c>
      <c r="J11321" s="244" t="s">
        <v>82</v>
      </c>
      <c r="K11321" s="245"/>
      <c r="L11321" s="245">
        <f>K11320</f>
        <v>1134820.8799999952</v>
      </c>
    </row>
    <row r="11322" spans="1:17" ht="12.75" customHeight="1" x14ac:dyDescent="0.2">
      <c r="A11322" s="246">
        <v>2024</v>
      </c>
      <c r="B11322" s="238">
        <v>6</v>
      </c>
      <c r="C11322" s="238">
        <v>27</v>
      </c>
      <c r="D11322" s="270">
        <f t="shared" si="1612"/>
        <v>45470</v>
      </c>
      <c r="E11322" s="279">
        <f t="shared" si="1613"/>
        <v>45470</v>
      </c>
      <c r="F11322" s="482" t="s">
        <v>148</v>
      </c>
      <c r="G11322" s="247" t="s">
        <v>94</v>
      </c>
      <c r="H11322" s="247" t="str" cm="1">
        <f t="array" ref="H11322">IFERROR(INDEX(INVESTOR_LIST[INVESTOR NAME],MATCH(I11322,INVESTOR_LIST[INVESTOR CODE],0),)," ")</f>
        <v xml:space="preserve"> </v>
      </c>
      <c r="I11322" s="248" t="s">
        <v>348</v>
      </c>
      <c r="J11322" s="249" t="s">
        <v>95</v>
      </c>
      <c r="K11322" s="250">
        <v>2747.2527472527472</v>
      </c>
      <c r="L11322" s="241"/>
    </row>
    <row r="11323" spans="1:17" x14ac:dyDescent="0.2">
      <c r="A11323" s="242">
        <v>2024</v>
      </c>
      <c r="B11323" s="242">
        <v>6</v>
      </c>
      <c r="C11323" s="242">
        <v>27</v>
      </c>
      <c r="D11323" s="270">
        <f t="shared" si="1612"/>
        <v>45470</v>
      </c>
      <c r="E11323" s="279">
        <f t="shared" si="1613"/>
        <v>45470</v>
      </c>
      <c r="F11323" s="478"/>
      <c r="G11323" s="243" t="s">
        <v>94</v>
      </c>
      <c r="H11323" s="243" t="str" cm="1">
        <f t="array" ref="H11323">IFERROR(INDEX(INVESTOR_LIST[INVESTOR NAME],MATCH(I11323,INVESTOR_LIST[INVESTOR CODE],0),)," ")</f>
        <v xml:space="preserve"> </v>
      </c>
      <c r="I11323" s="263" t="s">
        <v>348</v>
      </c>
      <c r="J11323" s="244" t="s">
        <v>63</v>
      </c>
      <c r="K11323" s="245"/>
      <c r="L11323" s="245">
        <v>2747.2527472527472</v>
      </c>
    </row>
    <row r="11324" spans="1:17" x14ac:dyDescent="0.2">
      <c r="A11324" s="246">
        <v>2024</v>
      </c>
      <c r="B11324" s="238">
        <v>6</v>
      </c>
      <c r="C11324" s="238">
        <v>27</v>
      </c>
      <c r="D11324" s="270">
        <f t="shared" si="1612"/>
        <v>45470</v>
      </c>
      <c r="E11324" s="279">
        <f t="shared" si="1613"/>
        <v>45470</v>
      </c>
      <c r="F11324" s="482" t="s">
        <v>137</v>
      </c>
      <c r="G11324" s="247" t="s">
        <v>94</v>
      </c>
      <c r="H11324" s="247" t="str" cm="1">
        <f t="array" ref="H11324">IFERROR(INDEX(INVESTOR_LIST[INVESTOR NAME],MATCH(I11324,INVESTOR_LIST[INVESTOR CODE],0),)," ")</f>
        <v xml:space="preserve"> </v>
      </c>
      <c r="I11324" s="248" t="s">
        <v>348</v>
      </c>
      <c r="J11324" s="249" t="s">
        <v>97</v>
      </c>
      <c r="K11324" s="250">
        <f>M11324</f>
        <v>51652.553474524633</v>
      </c>
      <c r="L11324" s="252"/>
      <c r="M11324" s="264">
        <v>51652.553474524633</v>
      </c>
    </row>
    <row r="11325" spans="1:17" x14ac:dyDescent="0.2">
      <c r="A11325" s="242">
        <v>2024</v>
      </c>
      <c r="B11325" s="242">
        <v>6</v>
      </c>
      <c r="C11325" s="242">
        <v>27</v>
      </c>
      <c r="D11325" s="270">
        <f t="shared" si="1612"/>
        <v>45470</v>
      </c>
      <c r="E11325" s="279">
        <f t="shared" si="1613"/>
        <v>45470</v>
      </c>
      <c r="F11325" s="478"/>
      <c r="G11325" s="243" t="s">
        <v>94</v>
      </c>
      <c r="H11325" s="243" t="str" cm="1">
        <f t="array" ref="H11325">IFERROR(INDEX(INVESTOR_LIST[INVESTOR NAME],MATCH(I11325,INVESTOR_LIST[INVESTOR CODE],0),)," ")</f>
        <v xml:space="preserve"> </v>
      </c>
      <c r="I11325" s="263" t="s">
        <v>348</v>
      </c>
      <c r="J11325" s="244" t="s">
        <v>47</v>
      </c>
      <c r="K11325" s="245"/>
      <c r="L11325" s="245">
        <f>K11324</f>
        <v>51652.553474524633</v>
      </c>
      <c r="M11325" s="264">
        <v>2342.2430583416162</v>
      </c>
    </row>
    <row r="11326" spans="1:17" x14ac:dyDescent="0.2">
      <c r="A11326" s="246">
        <v>2024</v>
      </c>
      <c r="B11326" s="238">
        <v>6</v>
      </c>
      <c r="C11326" s="238">
        <v>27</v>
      </c>
      <c r="D11326" s="270">
        <f t="shared" si="1612"/>
        <v>45470</v>
      </c>
      <c r="E11326" s="279">
        <f t="shared" si="1613"/>
        <v>45470</v>
      </c>
      <c r="F11326" s="482" t="s">
        <v>138</v>
      </c>
      <c r="G11326" s="247" t="s">
        <v>94</v>
      </c>
      <c r="H11326" s="247" t="str" cm="1">
        <f t="array" ref="H11326">IFERROR(INDEX(INVESTOR_LIST[INVESTOR NAME],MATCH(I11326,INVESTOR_LIST[INVESTOR CODE],0),)," ")</f>
        <v xml:space="preserve"> </v>
      </c>
      <c r="I11326" s="248" t="s">
        <v>348</v>
      </c>
      <c r="J11326" s="249" t="s">
        <v>100</v>
      </c>
      <c r="K11326" s="250">
        <f>M11325</f>
        <v>2342.2430583416162</v>
      </c>
      <c r="L11326" s="252"/>
    </row>
    <row r="11327" spans="1:17" x14ac:dyDescent="0.2">
      <c r="A11327" s="242">
        <v>2024</v>
      </c>
      <c r="B11327" s="242">
        <v>6</v>
      </c>
      <c r="C11327" s="242">
        <v>27</v>
      </c>
      <c r="D11327" s="321">
        <f t="shared" si="1612"/>
        <v>45470</v>
      </c>
      <c r="E11327" s="322">
        <f t="shared" si="1613"/>
        <v>45470</v>
      </c>
      <c r="F11327" s="478"/>
      <c r="G11327" s="243" t="s">
        <v>94</v>
      </c>
      <c r="H11327" s="243" t="str" cm="1">
        <f t="array" ref="H11327">IFERROR(INDEX(INVESTOR_LIST[INVESTOR NAME],MATCH(I11327,INVESTOR_LIST[INVESTOR CODE],0),)," ")</f>
        <v xml:space="preserve"> </v>
      </c>
      <c r="I11327" s="263" t="s">
        <v>348</v>
      </c>
      <c r="J11327" s="244" t="s">
        <v>48</v>
      </c>
      <c r="K11327" s="245"/>
      <c r="L11327" s="245">
        <f>K11326</f>
        <v>2342.2430583416162</v>
      </c>
    </row>
    <row r="11328" spans="1:17" x14ac:dyDescent="0.2">
      <c r="A11328" s="133">
        <v>2024</v>
      </c>
      <c r="B11328" s="133">
        <v>6</v>
      </c>
      <c r="C11328" s="168">
        <v>26</v>
      </c>
      <c r="D11328" s="141">
        <f t="shared" ref="D11328:D11329" si="1614">DATE(A11328,B11328,C11328)</f>
        <v>45469</v>
      </c>
      <c r="E11328" s="275">
        <f t="shared" ref="E11328:E11329" si="1615">DATE(A11328,B11328,C11328)</f>
        <v>45469</v>
      </c>
      <c r="F11328" s="479" t="s">
        <v>1953</v>
      </c>
      <c r="G11328" s="174" t="s">
        <v>74</v>
      </c>
      <c r="H11328" s="148" t="str" cm="1">
        <f t="array" ref="H11328">IFERROR(INDEX(INVESTOR_LIST[INVESTOR NAME],MATCH(I11328,INVESTOR_LIST[INVESTOR CODE],0),)," ")</f>
        <v xml:space="preserve"> </v>
      </c>
      <c r="I11328" s="148" t="s">
        <v>348</v>
      </c>
      <c r="J11328" s="133" t="s">
        <v>61</v>
      </c>
      <c r="K11328" s="172">
        <v>575</v>
      </c>
    </row>
    <row r="11329" spans="1:13" x14ac:dyDescent="0.2">
      <c r="A11329" s="163">
        <v>2024</v>
      </c>
      <c r="B11329" s="163">
        <v>6</v>
      </c>
      <c r="C11329" s="163">
        <v>26</v>
      </c>
      <c r="D11329" s="280">
        <f t="shared" si="1614"/>
        <v>45469</v>
      </c>
      <c r="E11329" s="281">
        <f t="shared" si="1615"/>
        <v>45469</v>
      </c>
      <c r="F11329" s="480"/>
      <c r="G11329" s="221" t="s">
        <v>74</v>
      </c>
      <c r="H11329" s="145" t="str" cm="1">
        <f t="array" ref="H11329">IFERROR(INDEX(INVESTOR_LIST[INVESTOR NAME],MATCH(I11329,INVESTOR_LIST[INVESTOR CODE],0),)," ")</f>
        <v xml:space="preserve"> </v>
      </c>
      <c r="I11329" s="145" t="s">
        <v>348</v>
      </c>
      <c r="J11329" s="163" t="s">
        <v>52</v>
      </c>
      <c r="K11329" s="219"/>
      <c r="L11329" s="219">
        <v>575</v>
      </c>
    </row>
    <row r="11330" spans="1:13" x14ac:dyDescent="0.2">
      <c r="A11330" s="133">
        <v>2024</v>
      </c>
      <c r="B11330" s="133">
        <v>6</v>
      </c>
      <c r="C11330" s="168">
        <v>27</v>
      </c>
      <c r="D11330" s="141">
        <f t="shared" si="1612"/>
        <v>45470</v>
      </c>
      <c r="E11330" s="275">
        <f t="shared" si="1613"/>
        <v>45470</v>
      </c>
      <c r="F11330" s="479" t="s">
        <v>1950</v>
      </c>
      <c r="G11330" s="174" t="s">
        <v>74</v>
      </c>
      <c r="H11330" s="148" t="str" cm="1">
        <f t="array" ref="H11330">IFERROR(INDEX(INVESTOR_LIST[INVESTOR NAME],MATCH(I11330,INVESTOR_LIST[INVESTOR CODE],0),)," ")</f>
        <v xml:space="preserve"> </v>
      </c>
      <c r="I11330" s="148" t="s">
        <v>348</v>
      </c>
      <c r="J11330" s="133" t="s">
        <v>61</v>
      </c>
      <c r="K11330" s="172">
        <v>345</v>
      </c>
    </row>
    <row r="11331" spans="1:13" x14ac:dyDescent="0.2">
      <c r="A11331" s="163">
        <v>2024</v>
      </c>
      <c r="B11331" s="163">
        <v>6</v>
      </c>
      <c r="C11331" s="163">
        <v>27</v>
      </c>
      <c r="D11331" s="280">
        <f t="shared" si="1612"/>
        <v>45470</v>
      </c>
      <c r="E11331" s="281">
        <f t="shared" si="1613"/>
        <v>45470</v>
      </c>
      <c r="F11331" s="480"/>
      <c r="G11331" s="221" t="s">
        <v>74</v>
      </c>
      <c r="H11331" s="145" t="str" cm="1">
        <f t="array" ref="H11331">IFERROR(INDEX(INVESTOR_LIST[INVESTOR NAME],MATCH(I11331,INVESTOR_LIST[INVESTOR CODE],0),)," ")</f>
        <v xml:space="preserve"> </v>
      </c>
      <c r="I11331" s="145" t="s">
        <v>348</v>
      </c>
      <c r="J11331" s="163" t="s">
        <v>52</v>
      </c>
      <c r="K11331" s="219"/>
      <c r="L11331" s="219">
        <v>345</v>
      </c>
    </row>
    <row r="11332" spans="1:13" x14ac:dyDescent="0.2">
      <c r="A11332" s="133">
        <v>2024</v>
      </c>
      <c r="B11332" s="133">
        <v>6</v>
      </c>
      <c r="C11332" s="168">
        <v>28</v>
      </c>
      <c r="D11332" s="141">
        <f t="shared" ref="D11332:D11335" si="1616">DATE(A11332,B11332,C11332)</f>
        <v>45471</v>
      </c>
      <c r="E11332" s="275">
        <f t="shared" ref="E11332:E11335" si="1617">DATE(A11332,B11332,C11332)</f>
        <v>45471</v>
      </c>
      <c r="F11332" s="479" t="s">
        <v>1951</v>
      </c>
      <c r="G11332" s="174" t="s">
        <v>74</v>
      </c>
      <c r="H11332" s="148" t="str" cm="1">
        <f t="array" ref="H11332">IFERROR(INDEX(INVESTOR_LIST[INVESTOR NAME],MATCH(I11332,INVESTOR_LIST[INVESTOR CODE],0),)," ")</f>
        <v xml:space="preserve"> </v>
      </c>
      <c r="I11332" s="148" t="s">
        <v>348</v>
      </c>
      <c r="J11332" s="133" t="s">
        <v>61</v>
      </c>
      <c r="K11332" s="172">
        <v>805</v>
      </c>
    </row>
    <row r="11333" spans="1:13" x14ac:dyDescent="0.2">
      <c r="A11333" s="163">
        <v>2024</v>
      </c>
      <c r="B11333" s="163">
        <v>6</v>
      </c>
      <c r="C11333" s="163">
        <v>28</v>
      </c>
      <c r="D11333" s="280">
        <f t="shared" si="1616"/>
        <v>45471</v>
      </c>
      <c r="E11333" s="281">
        <f t="shared" si="1617"/>
        <v>45471</v>
      </c>
      <c r="F11333" s="480"/>
      <c r="G11333" s="221" t="s">
        <v>74</v>
      </c>
      <c r="H11333" s="145" t="str" cm="1">
        <f t="array" ref="H11333">IFERROR(INDEX(INVESTOR_LIST[INVESTOR NAME],MATCH(I11333,INVESTOR_LIST[INVESTOR CODE],0),)," ")</f>
        <v xml:space="preserve"> </v>
      </c>
      <c r="I11333" s="145" t="s">
        <v>348</v>
      </c>
      <c r="J11333" s="163" t="s">
        <v>52</v>
      </c>
      <c r="K11333" s="219"/>
      <c r="L11333" s="219">
        <v>805</v>
      </c>
    </row>
    <row r="11334" spans="1:13" x14ac:dyDescent="0.2">
      <c r="A11334" s="133">
        <v>2024</v>
      </c>
      <c r="B11334" s="133">
        <v>6</v>
      </c>
      <c r="C11334" s="168">
        <v>30</v>
      </c>
      <c r="D11334" s="141">
        <f t="shared" si="1616"/>
        <v>45473</v>
      </c>
      <c r="E11334" s="275">
        <f t="shared" si="1617"/>
        <v>45473</v>
      </c>
      <c r="F11334" s="479" t="s">
        <v>1952</v>
      </c>
      <c r="G11334" s="174" t="s">
        <v>74</v>
      </c>
      <c r="H11334" s="148" t="str" cm="1">
        <f t="array" ref="H11334">IFERROR(INDEX(INVESTOR_LIST[INVESTOR NAME],MATCH(I11334,INVESTOR_LIST[INVESTOR CODE],0),)," ")</f>
        <v xml:space="preserve"> </v>
      </c>
      <c r="I11334" s="148" t="s">
        <v>348</v>
      </c>
      <c r="J11334" s="133" t="s">
        <v>52</v>
      </c>
      <c r="K11334" s="172">
        <v>105895.32</v>
      </c>
    </row>
    <row r="11335" spans="1:13" x14ac:dyDescent="0.2">
      <c r="A11335" s="163">
        <v>2024</v>
      </c>
      <c r="B11335" s="163">
        <v>6</v>
      </c>
      <c r="C11335" s="163">
        <v>30</v>
      </c>
      <c r="D11335" s="280">
        <f t="shared" si="1616"/>
        <v>45473</v>
      </c>
      <c r="E11335" s="281">
        <f t="shared" si="1617"/>
        <v>45473</v>
      </c>
      <c r="F11335" s="480"/>
      <c r="G11335" s="221" t="s">
        <v>74</v>
      </c>
      <c r="H11335" s="145" t="str" cm="1">
        <f t="array" ref="H11335">IFERROR(INDEX(INVESTOR_LIST[INVESTOR NAME],MATCH(I11335,INVESTOR_LIST[INVESTOR CODE],0),)," ")</f>
        <v xml:space="preserve"> </v>
      </c>
      <c r="I11335" s="145" t="s">
        <v>348</v>
      </c>
      <c r="J11335" s="163" t="s">
        <v>60</v>
      </c>
      <c r="K11335" s="219"/>
      <c r="L11335" s="219">
        <v>105895.32</v>
      </c>
    </row>
    <row r="11336" spans="1:13" x14ac:dyDescent="0.2">
      <c r="A11336" s="133">
        <v>2024</v>
      </c>
      <c r="B11336" s="133">
        <v>6</v>
      </c>
      <c r="C11336" s="168">
        <v>30</v>
      </c>
      <c r="D11336" s="141">
        <f t="shared" ref="D11336:D11341" si="1618">DATE(A11336,B11336,C11336)</f>
        <v>45473</v>
      </c>
      <c r="E11336" s="275">
        <f t="shared" ref="E11336:E11341" si="1619">DATE(A11336,B11336,C11336)</f>
        <v>45473</v>
      </c>
      <c r="F11336" s="479" t="s">
        <v>1951</v>
      </c>
      <c r="G11336" s="174" t="s">
        <v>74</v>
      </c>
      <c r="H11336" s="148" t="str" cm="1">
        <f t="array" ref="H11336">IFERROR(INDEX(INVESTOR_LIST[INVESTOR NAME],MATCH(I11336,INVESTOR_LIST[INVESTOR CODE],0),)," ")</f>
        <v xml:space="preserve"> </v>
      </c>
      <c r="I11336" s="148" t="s">
        <v>348</v>
      </c>
      <c r="J11336" s="133" t="s">
        <v>61</v>
      </c>
      <c r="K11336" s="172">
        <v>31769</v>
      </c>
    </row>
    <row r="11337" spans="1:13" x14ac:dyDescent="0.2">
      <c r="A11337" s="163">
        <v>2024</v>
      </c>
      <c r="B11337" s="163">
        <v>6</v>
      </c>
      <c r="C11337" s="163">
        <v>30</v>
      </c>
      <c r="D11337" s="280">
        <f t="shared" si="1618"/>
        <v>45473</v>
      </c>
      <c r="E11337" s="281">
        <f t="shared" si="1619"/>
        <v>45473</v>
      </c>
      <c r="F11337" s="480"/>
      <c r="G11337" s="221" t="s">
        <v>74</v>
      </c>
      <c r="H11337" s="145" t="str" cm="1">
        <f t="array" ref="H11337">IFERROR(INDEX(INVESTOR_LIST[INVESTOR NAME],MATCH(I11337,INVESTOR_LIST[INVESTOR CODE],0),)," ")</f>
        <v xml:space="preserve"> </v>
      </c>
      <c r="I11337" s="145" t="s">
        <v>348</v>
      </c>
      <c r="J11337" s="163" t="s">
        <v>52</v>
      </c>
      <c r="K11337" s="219"/>
      <c r="L11337" s="219">
        <v>31769</v>
      </c>
    </row>
    <row r="11338" spans="1:13" x14ac:dyDescent="0.2">
      <c r="A11338" s="133">
        <v>2024</v>
      </c>
      <c r="B11338" s="133">
        <v>6</v>
      </c>
      <c r="C11338" s="168">
        <v>30</v>
      </c>
      <c r="D11338" s="141">
        <f t="shared" si="1618"/>
        <v>45473</v>
      </c>
      <c r="E11338" s="275">
        <f t="shared" si="1619"/>
        <v>45473</v>
      </c>
      <c r="F11338" s="479" t="s">
        <v>1954</v>
      </c>
      <c r="G11338" s="174" t="s">
        <v>74</v>
      </c>
      <c r="H11338" s="148" t="str" cm="1">
        <f t="array" ref="H11338">IFERROR(INDEX(INVESTOR_LIST[INVESTOR NAME],MATCH(I11338,INVESTOR_LIST[INVESTOR CODE],0),)," ")</f>
        <v xml:space="preserve"> </v>
      </c>
      <c r="I11338" s="148" t="s">
        <v>348</v>
      </c>
      <c r="J11338" s="133" t="s">
        <v>52</v>
      </c>
      <c r="K11338" s="172">
        <v>41.25</v>
      </c>
    </row>
    <row r="11339" spans="1:13" x14ac:dyDescent="0.2">
      <c r="A11339" s="163">
        <v>2024</v>
      </c>
      <c r="B11339" s="163">
        <v>6</v>
      </c>
      <c r="C11339" s="163">
        <v>30</v>
      </c>
      <c r="D11339" s="280">
        <f t="shared" si="1618"/>
        <v>45473</v>
      </c>
      <c r="E11339" s="281">
        <f t="shared" si="1619"/>
        <v>45473</v>
      </c>
      <c r="F11339" s="480"/>
      <c r="G11339" s="221" t="s">
        <v>74</v>
      </c>
      <c r="H11339" s="145" t="str" cm="1">
        <f t="array" ref="H11339">IFERROR(INDEX(INVESTOR_LIST[INVESTOR NAME],MATCH(I11339,INVESTOR_LIST[INVESTOR CODE],0),)," ")</f>
        <v xml:space="preserve"> </v>
      </c>
      <c r="I11339" s="145" t="s">
        <v>348</v>
      </c>
      <c r="J11339" s="163" t="s">
        <v>60</v>
      </c>
      <c r="K11339" s="219"/>
      <c r="L11339" s="219">
        <v>41.25</v>
      </c>
    </row>
    <row r="11340" spans="1:13" x14ac:dyDescent="0.2">
      <c r="A11340" s="133">
        <v>2024</v>
      </c>
      <c r="B11340" s="133">
        <v>6</v>
      </c>
      <c r="C11340" s="168">
        <v>30</v>
      </c>
      <c r="D11340" s="141">
        <f t="shared" si="1618"/>
        <v>45473</v>
      </c>
      <c r="E11340" s="275">
        <f t="shared" si="1619"/>
        <v>45473</v>
      </c>
      <c r="F11340" s="479" t="s">
        <v>1953</v>
      </c>
      <c r="G11340" s="174" t="s">
        <v>74</v>
      </c>
      <c r="H11340" s="148" t="str" cm="1">
        <f t="array" ref="H11340">IFERROR(INDEX(INVESTOR_LIST[INVESTOR NAME],MATCH(I11340,INVESTOR_LIST[INVESTOR CODE],0),)," ")</f>
        <v xml:space="preserve"> </v>
      </c>
      <c r="I11340" s="148" t="s">
        <v>348</v>
      </c>
      <c r="J11340" s="133" t="s">
        <v>61</v>
      </c>
      <c r="K11340" s="172">
        <v>6.21</v>
      </c>
    </row>
    <row r="11341" spans="1:13" x14ac:dyDescent="0.2">
      <c r="A11341" s="163">
        <v>2024</v>
      </c>
      <c r="B11341" s="163">
        <v>6</v>
      </c>
      <c r="C11341" s="163">
        <v>30</v>
      </c>
      <c r="D11341" s="280">
        <f t="shared" si="1618"/>
        <v>45473</v>
      </c>
      <c r="E11341" s="281">
        <f t="shared" si="1619"/>
        <v>45473</v>
      </c>
      <c r="F11341" s="480"/>
      <c r="G11341" s="221" t="s">
        <v>74</v>
      </c>
      <c r="H11341" s="145" t="str" cm="1">
        <f t="array" ref="H11341">IFERROR(INDEX(INVESTOR_LIST[INVESTOR NAME],MATCH(I11341,INVESTOR_LIST[INVESTOR CODE],0),)," ")</f>
        <v xml:space="preserve"> </v>
      </c>
      <c r="I11341" s="145" t="s">
        <v>348</v>
      </c>
      <c r="J11341" s="163" t="s">
        <v>52</v>
      </c>
      <c r="K11341" s="219"/>
      <c r="L11341" s="219">
        <v>6.21</v>
      </c>
    </row>
    <row r="11342" spans="1:13" x14ac:dyDescent="0.2">
      <c r="A11342" s="133">
        <v>2024</v>
      </c>
      <c r="B11342" s="133">
        <v>6</v>
      </c>
      <c r="C11342" s="168">
        <v>30</v>
      </c>
      <c r="D11342" s="141">
        <f t="shared" ref="D11342:D11343" si="1620">DATE(A11342,B11342,C11342)</f>
        <v>45473</v>
      </c>
      <c r="E11342" s="275">
        <f t="shared" ref="E11342:E11343" si="1621">DATE(A11342,B11342,C11342)</f>
        <v>45473</v>
      </c>
      <c r="F11342" s="479" t="s">
        <v>1955</v>
      </c>
      <c r="G11342" s="174" t="s">
        <v>74</v>
      </c>
      <c r="H11342" s="148" t="str" cm="1">
        <f t="array" ref="H11342">IFERROR(INDEX(INVESTOR_LIST[INVESTOR NAME],MATCH(I11342,INVESTOR_LIST[INVESTOR CODE],0),)," ")</f>
        <v xml:space="preserve"> </v>
      </c>
      <c r="I11342" s="148" t="s">
        <v>348</v>
      </c>
      <c r="J11342" s="133" t="s">
        <v>61</v>
      </c>
      <c r="K11342" s="172">
        <v>115</v>
      </c>
    </row>
    <row r="11343" spans="1:13" x14ac:dyDescent="0.2">
      <c r="A11343" s="163">
        <v>2024</v>
      </c>
      <c r="B11343" s="163">
        <v>6</v>
      </c>
      <c r="C11343" s="163">
        <v>30</v>
      </c>
      <c r="D11343" s="280">
        <f t="shared" si="1620"/>
        <v>45473</v>
      </c>
      <c r="E11343" s="281">
        <f t="shared" si="1621"/>
        <v>45473</v>
      </c>
      <c r="F11343" s="480"/>
      <c r="G11343" s="221" t="s">
        <v>74</v>
      </c>
      <c r="H11343" s="145" t="str" cm="1">
        <f t="array" ref="H11343">IFERROR(INDEX(INVESTOR_LIST[INVESTOR NAME],MATCH(I11343,INVESTOR_LIST[INVESTOR CODE],0),)," ")</f>
        <v xml:space="preserve"> </v>
      </c>
      <c r="I11343" s="145" t="s">
        <v>348</v>
      </c>
      <c r="J11343" s="163" t="s">
        <v>52</v>
      </c>
      <c r="K11343" s="219"/>
      <c r="L11343" s="219">
        <v>115</v>
      </c>
    </row>
    <row r="11344" spans="1:13" x14ac:dyDescent="0.2">
      <c r="A11344" s="168">
        <v>2024</v>
      </c>
      <c r="B11344" s="168">
        <v>6</v>
      </c>
      <c r="C11344" s="168">
        <v>30</v>
      </c>
      <c r="D11344" s="141">
        <f t="shared" si="1612"/>
        <v>45473</v>
      </c>
      <c r="E11344" s="275">
        <f t="shared" si="1613"/>
        <v>45473</v>
      </c>
      <c r="F11344" s="479" t="s">
        <v>1942</v>
      </c>
      <c r="G11344" s="220" t="s">
        <v>94</v>
      </c>
      <c r="H11344" s="220" t="str" cm="1">
        <f t="array" ref="H11344">IFERROR(INDEX(INVESTOR_LIST[INVESTOR NAME],MATCH(I11344,INVESTOR_LIST[INVESTOR CODE],0),)," ")</f>
        <v xml:space="preserve"> </v>
      </c>
      <c r="I11344" s="142"/>
      <c r="J11344" s="143" t="s">
        <v>61</v>
      </c>
      <c r="K11344" s="226">
        <v>5000000</v>
      </c>
      <c r="L11344" s="226"/>
      <c r="M11344" s="160"/>
    </row>
    <row r="11345" spans="1:14" x14ac:dyDescent="0.2">
      <c r="A11345" s="163">
        <v>2024</v>
      </c>
      <c r="B11345" s="163">
        <v>6</v>
      </c>
      <c r="C11345" s="163">
        <v>30</v>
      </c>
      <c r="D11345" s="280">
        <f t="shared" si="1612"/>
        <v>45473</v>
      </c>
      <c r="E11345" s="281">
        <f t="shared" si="1613"/>
        <v>45473</v>
      </c>
      <c r="F11345" s="480"/>
      <c r="G11345" s="221" t="s">
        <v>94</v>
      </c>
      <c r="H11345" s="221"/>
      <c r="I11345" s="145"/>
      <c r="J11345" s="163" t="s">
        <v>52</v>
      </c>
      <c r="K11345" s="219"/>
      <c r="L11345" s="219">
        <v>5000000</v>
      </c>
      <c r="N11345" s="264"/>
    </row>
    <row r="11346" spans="1:14" ht="33.75" x14ac:dyDescent="0.2">
      <c r="A11346" s="168">
        <v>2024</v>
      </c>
      <c r="B11346" s="168">
        <v>6</v>
      </c>
      <c r="C11346" s="168">
        <v>30</v>
      </c>
      <c r="D11346" s="141">
        <f t="shared" si="1612"/>
        <v>45473</v>
      </c>
      <c r="E11346" s="275">
        <f t="shared" si="1613"/>
        <v>45473</v>
      </c>
      <c r="F11346" s="479" t="s">
        <v>1315</v>
      </c>
      <c r="G11346" s="220" t="s">
        <v>74</v>
      </c>
      <c r="H11346" s="142" t="str" cm="1">
        <f t="array" ref="H11346">IFERROR(INDEX(INVESTOR_LIST[INVESTOR NAME],MATCH(I11346,INVESTOR_LIST[INVESTOR CODE],0),)," ")</f>
        <v>SHANJIDA SULTANA</v>
      </c>
      <c r="I11346" s="142" t="s">
        <v>464</v>
      </c>
      <c r="J11346" s="168" t="s">
        <v>13</v>
      </c>
      <c r="K11346" s="218">
        <v>562680</v>
      </c>
      <c r="L11346" s="226"/>
      <c r="N11346" s="160"/>
    </row>
    <row r="11347" spans="1:14" ht="33.75" x14ac:dyDescent="0.2">
      <c r="A11347" s="133">
        <v>2024</v>
      </c>
      <c r="B11347" s="133">
        <v>6</v>
      </c>
      <c r="C11347" s="133">
        <v>30</v>
      </c>
      <c r="D11347" s="141">
        <f t="shared" si="1612"/>
        <v>45473</v>
      </c>
      <c r="E11347" s="275">
        <f t="shared" si="1613"/>
        <v>45473</v>
      </c>
      <c r="F11347" s="481"/>
      <c r="G11347" s="174" t="s">
        <v>74</v>
      </c>
      <c r="H11347" s="148" t="str" cm="1">
        <f t="array" ref="H11347">IFERROR(INDEX(INVESTOR_LIST[INVESTOR NAME],MATCH(I11347,INVESTOR_LIST[INVESTOR CODE],0),)," ")</f>
        <v>SHANJIDA SULTANA</v>
      </c>
      <c r="I11347" s="148" t="s">
        <v>464</v>
      </c>
      <c r="J11347" s="133" t="s">
        <v>53</v>
      </c>
      <c r="K11347" s="218">
        <v>95711.37</v>
      </c>
      <c r="L11347" s="133"/>
    </row>
    <row r="11348" spans="1:14" ht="33.75" x14ac:dyDescent="0.2">
      <c r="A11348" s="163">
        <v>2024</v>
      </c>
      <c r="B11348" s="163">
        <v>6</v>
      </c>
      <c r="C11348" s="163">
        <v>30</v>
      </c>
      <c r="D11348" s="280">
        <f t="shared" si="1612"/>
        <v>45473</v>
      </c>
      <c r="E11348" s="281">
        <f t="shared" si="1613"/>
        <v>45473</v>
      </c>
      <c r="F11348" s="480"/>
      <c r="G11348" s="221" t="s">
        <v>74</v>
      </c>
      <c r="H11348" s="145" t="str" cm="1">
        <f t="array" ref="H11348">IFERROR(INDEX(INVESTOR_LIST[INVESTOR NAME],MATCH(I11348,INVESTOR_LIST[INVESTOR CODE],0),)," ")</f>
        <v>SHANJIDA SULTANA</v>
      </c>
      <c r="I11348" s="145" t="s">
        <v>464</v>
      </c>
      <c r="J11348" s="163" t="s">
        <v>52</v>
      </c>
      <c r="K11348" s="219"/>
      <c r="L11348" s="219">
        <v>658391.37</v>
      </c>
    </row>
    <row r="11349" spans="1:14" ht="33.75" x14ac:dyDescent="0.2">
      <c r="A11349" s="168">
        <v>2024</v>
      </c>
      <c r="B11349" s="168">
        <v>6</v>
      </c>
      <c r="C11349" s="168">
        <v>30</v>
      </c>
      <c r="D11349" s="141">
        <f t="shared" ref="D11349:D11357" si="1622">DATE(A11349,B11349,C11349)</f>
        <v>45473</v>
      </c>
      <c r="E11349" s="275">
        <f t="shared" ref="E11349:E11357" si="1623">DATE(A11349,B11349,C11349)</f>
        <v>45473</v>
      </c>
      <c r="F11349" s="479" t="s">
        <v>1315</v>
      </c>
      <c r="G11349" s="220" t="s">
        <v>74</v>
      </c>
      <c r="H11349" s="142" t="str" cm="1">
        <f t="array" ref="H11349">IFERROR(INDEX(INVESTOR_LIST[INVESTOR NAME],MATCH(I11349,INVESTOR_LIST[INVESTOR CODE],0),)," ")</f>
        <v>SHANJIDA SULTANA</v>
      </c>
      <c r="I11349" s="142" t="s">
        <v>464</v>
      </c>
      <c r="J11349" s="168" t="s">
        <v>13</v>
      </c>
      <c r="K11349" s="218">
        <v>26590</v>
      </c>
      <c r="L11349" s="226"/>
      <c r="N11349" s="160"/>
    </row>
    <row r="11350" spans="1:14" ht="33.75" x14ac:dyDescent="0.2">
      <c r="A11350" s="133">
        <v>2024</v>
      </c>
      <c r="B11350" s="133">
        <v>6</v>
      </c>
      <c r="C11350" s="133">
        <v>30</v>
      </c>
      <c r="D11350" s="141">
        <f t="shared" si="1622"/>
        <v>45473</v>
      </c>
      <c r="E11350" s="275">
        <f t="shared" si="1623"/>
        <v>45473</v>
      </c>
      <c r="F11350" s="481"/>
      <c r="G11350" s="174" t="s">
        <v>74</v>
      </c>
      <c r="H11350" s="148" t="str" cm="1">
        <f t="array" ref="H11350">IFERROR(INDEX(INVESTOR_LIST[INVESTOR NAME],MATCH(I11350,INVESTOR_LIST[INVESTOR CODE],0),)," ")</f>
        <v>SHANJIDA SULTANA</v>
      </c>
      <c r="I11350" s="148" t="s">
        <v>464</v>
      </c>
      <c r="J11350" s="133" t="s">
        <v>53</v>
      </c>
      <c r="K11350" s="218">
        <v>4523.4570000000531</v>
      </c>
      <c r="L11350" s="133"/>
    </row>
    <row r="11351" spans="1:14" ht="33.75" x14ac:dyDescent="0.2">
      <c r="A11351" s="163">
        <v>2024</v>
      </c>
      <c r="B11351" s="163">
        <v>6</v>
      </c>
      <c r="C11351" s="163">
        <v>30</v>
      </c>
      <c r="D11351" s="280">
        <f t="shared" si="1622"/>
        <v>45473</v>
      </c>
      <c r="E11351" s="281">
        <f t="shared" si="1623"/>
        <v>45473</v>
      </c>
      <c r="F11351" s="480"/>
      <c r="G11351" s="221" t="s">
        <v>74</v>
      </c>
      <c r="H11351" s="145" t="str" cm="1">
        <f t="array" ref="H11351">IFERROR(INDEX(INVESTOR_LIST[INVESTOR NAME],MATCH(I11351,INVESTOR_LIST[INVESTOR CODE],0),)," ")</f>
        <v>SHANJIDA SULTANA</v>
      </c>
      <c r="I11351" s="145" t="s">
        <v>464</v>
      </c>
      <c r="J11351" s="163" t="s">
        <v>52</v>
      </c>
      <c r="K11351" s="219"/>
      <c r="L11351" s="219">
        <v>31113.457000000053</v>
      </c>
    </row>
    <row r="11352" spans="1:14" x14ac:dyDescent="0.2">
      <c r="A11352" s="133">
        <v>2024</v>
      </c>
      <c r="B11352" s="133">
        <v>6</v>
      </c>
      <c r="C11352" s="168">
        <v>30</v>
      </c>
      <c r="D11352" s="141">
        <f t="shared" si="1622"/>
        <v>45473</v>
      </c>
      <c r="E11352" s="275">
        <f t="shared" si="1623"/>
        <v>45473</v>
      </c>
      <c r="F11352" s="479" t="s">
        <v>1935</v>
      </c>
      <c r="G11352" s="174" t="s">
        <v>74</v>
      </c>
      <c r="H11352" s="148" t="str" cm="1">
        <f t="array" ref="H11352">IFERROR(INDEX(INVESTOR_LIST[INVESTOR NAME],MATCH(I11352,INVESTOR_LIST[INVESTOR CODE],0),)," ")</f>
        <v xml:space="preserve"> </v>
      </c>
      <c r="I11352" s="148" t="s">
        <v>348</v>
      </c>
      <c r="J11352" s="133" t="s">
        <v>61</v>
      </c>
      <c r="K11352" s="172">
        <v>100</v>
      </c>
    </row>
    <row r="11353" spans="1:14" x14ac:dyDescent="0.2">
      <c r="A11353" s="163">
        <v>2024</v>
      </c>
      <c r="B11353" s="163">
        <v>6</v>
      </c>
      <c r="C11353" s="163">
        <v>30</v>
      </c>
      <c r="D11353" s="280">
        <f t="shared" si="1622"/>
        <v>45473</v>
      </c>
      <c r="E11353" s="281">
        <f t="shared" si="1623"/>
        <v>45473</v>
      </c>
      <c r="F11353" s="480"/>
      <c r="G11353" s="221" t="s">
        <v>74</v>
      </c>
      <c r="H11353" s="145" t="str" cm="1">
        <f t="array" ref="H11353">IFERROR(INDEX(INVESTOR_LIST[INVESTOR NAME],MATCH(I11353,INVESTOR_LIST[INVESTOR CODE],0),)," ")</f>
        <v xml:space="preserve"> </v>
      </c>
      <c r="I11353" s="145" t="s">
        <v>348</v>
      </c>
      <c r="J11353" s="163" t="s">
        <v>52</v>
      </c>
      <c r="K11353" s="219"/>
      <c r="L11353" s="219">
        <v>100</v>
      </c>
    </row>
    <row r="11354" spans="1:14" x14ac:dyDescent="0.2">
      <c r="A11354" s="133">
        <v>2024</v>
      </c>
      <c r="B11354" s="133">
        <v>6</v>
      </c>
      <c r="C11354" s="133">
        <v>30</v>
      </c>
      <c r="D11354" s="141">
        <f t="shared" si="1622"/>
        <v>45473</v>
      </c>
      <c r="E11354" s="275">
        <f t="shared" si="1623"/>
        <v>45473</v>
      </c>
      <c r="F11354" s="481" t="s">
        <v>1753</v>
      </c>
      <c r="G11354" s="174" t="s">
        <v>94</v>
      </c>
      <c r="H11354" s="174" t="str" cm="1">
        <f t="array" ref="H11354">IFERROR(INDEX(INVESTOR_LIST[INVESTOR NAME],MATCH(I11354,INVESTOR_LIST[INVESTOR CODE],0),)," ")</f>
        <v xml:space="preserve"> </v>
      </c>
      <c r="J11354" s="149" t="s">
        <v>190</v>
      </c>
      <c r="K11354" s="218">
        <v>3174698.94</v>
      </c>
      <c r="L11354" s="218"/>
      <c r="M11354" s="160"/>
    </row>
    <row r="11355" spans="1:14" x14ac:dyDescent="0.2">
      <c r="A11355" s="133">
        <v>2024</v>
      </c>
      <c r="B11355" s="133">
        <v>6</v>
      </c>
      <c r="C11355" s="133">
        <v>30</v>
      </c>
      <c r="D11355" s="141">
        <f t="shared" si="1622"/>
        <v>45473</v>
      </c>
      <c r="E11355" s="275">
        <f t="shared" si="1623"/>
        <v>45473</v>
      </c>
      <c r="F11355" s="481"/>
      <c r="G11355" s="174" t="s">
        <v>94</v>
      </c>
      <c r="H11355" s="174"/>
      <c r="J11355" s="149" t="s">
        <v>80</v>
      </c>
      <c r="K11355" s="218">
        <v>5724.76</v>
      </c>
      <c r="L11355" s="218"/>
      <c r="N11355" s="264"/>
    </row>
    <row r="11356" spans="1:14" x14ac:dyDescent="0.2">
      <c r="A11356" s="133">
        <v>2024</v>
      </c>
      <c r="B11356" s="133">
        <v>6</v>
      </c>
      <c r="C11356" s="133">
        <v>30</v>
      </c>
      <c r="D11356" s="141">
        <f t="shared" si="1622"/>
        <v>45473</v>
      </c>
      <c r="E11356" s="275">
        <f t="shared" si="1623"/>
        <v>45473</v>
      </c>
      <c r="F11356" s="481"/>
      <c r="G11356" s="174" t="s">
        <v>94</v>
      </c>
      <c r="H11356" s="174" t="str" cm="1">
        <f t="array" ref="H11356">IFERROR(INDEX(INVESTOR_LIST[INVESTOR NAME],MATCH(I11356,INVESTOR_LIST[INVESTOR CODE],0),)," ")</f>
        <v xml:space="preserve"> </v>
      </c>
      <c r="J11356" s="149" t="s">
        <v>191</v>
      </c>
      <c r="K11356" s="218"/>
      <c r="L11356" s="218">
        <v>97894.21</v>
      </c>
      <c r="N11356" s="264"/>
    </row>
    <row r="11357" spans="1:14" x14ac:dyDescent="0.2">
      <c r="A11357" s="163">
        <v>2024</v>
      </c>
      <c r="B11357" s="163">
        <v>6</v>
      </c>
      <c r="C11357" s="163">
        <v>30</v>
      </c>
      <c r="D11357" s="280">
        <f t="shared" si="1622"/>
        <v>45473</v>
      </c>
      <c r="E11357" s="281">
        <f t="shared" si="1623"/>
        <v>45473</v>
      </c>
      <c r="F11357" s="480"/>
      <c r="G11357" s="221" t="s">
        <v>94</v>
      </c>
      <c r="H11357" s="145" t="str" cm="1">
        <f t="array" ref="H11357">IFERROR(INDEX(INVESTOR_LIST[INVESTOR NAME],MATCH(I11357,INVESTOR_LIST[INVESTOR CODE],0),)," ")</f>
        <v xml:space="preserve"> </v>
      </c>
      <c r="I11357" s="145"/>
      <c r="J11357" s="163" t="s">
        <v>79</v>
      </c>
      <c r="K11357" s="219"/>
      <c r="L11357" s="219">
        <v>3082529.49</v>
      </c>
      <c r="N11357" s="264"/>
    </row>
    <row r="11358" spans="1:14" x14ac:dyDescent="0.2">
      <c r="A11358" s="133">
        <v>2024</v>
      </c>
      <c r="B11358" s="133">
        <v>6</v>
      </c>
      <c r="C11358" s="168">
        <v>30</v>
      </c>
      <c r="D11358" s="141">
        <f t="shared" ref="D11358:D11359" si="1624">DATE(A11358,B11358,C11358)</f>
        <v>45473</v>
      </c>
      <c r="E11358" s="275">
        <f t="shared" ref="E11358:E11359" si="1625">DATE(A11358,B11358,C11358)</f>
        <v>45473</v>
      </c>
      <c r="F11358" s="479" t="s">
        <v>1943</v>
      </c>
      <c r="G11358" s="174" t="s">
        <v>74</v>
      </c>
      <c r="H11358" s="148" t="str" cm="1">
        <f t="array" ref="H11358">IFERROR(INDEX(INVESTOR_LIST[INVESTOR NAME],MATCH(I11358,INVESTOR_LIST[INVESTOR CODE],0),)," ")</f>
        <v xml:space="preserve"> </v>
      </c>
      <c r="I11358" s="148" t="s">
        <v>348</v>
      </c>
      <c r="J11358" s="133" t="s">
        <v>61</v>
      </c>
      <c r="K11358" s="172">
        <v>345</v>
      </c>
    </row>
    <row r="11359" spans="1:14" x14ac:dyDescent="0.2">
      <c r="A11359" s="163">
        <v>2024</v>
      </c>
      <c r="B11359" s="163">
        <v>6</v>
      </c>
      <c r="C11359" s="163">
        <v>30</v>
      </c>
      <c r="D11359" s="280">
        <f t="shared" si="1624"/>
        <v>45473</v>
      </c>
      <c r="E11359" s="281">
        <f t="shared" si="1625"/>
        <v>45473</v>
      </c>
      <c r="F11359" s="480"/>
      <c r="G11359" s="221" t="s">
        <v>74</v>
      </c>
      <c r="H11359" s="145" t="str" cm="1">
        <f t="array" ref="H11359">IFERROR(INDEX(INVESTOR_LIST[INVESTOR NAME],MATCH(I11359,INVESTOR_LIST[INVESTOR CODE],0),)," ")</f>
        <v xml:space="preserve"> </v>
      </c>
      <c r="I11359" s="145" t="s">
        <v>348</v>
      </c>
      <c r="J11359" s="163" t="s">
        <v>52</v>
      </c>
      <c r="K11359" s="219"/>
      <c r="L11359" s="219">
        <v>345</v>
      </c>
    </row>
    <row r="11360" spans="1:14" x14ac:dyDescent="0.2">
      <c r="A11360" s="133">
        <v>2024</v>
      </c>
      <c r="B11360" s="133">
        <v>6</v>
      </c>
      <c r="C11360" s="168">
        <v>30</v>
      </c>
      <c r="D11360" s="141">
        <f t="shared" ref="D11360:D11365" si="1626">DATE(A11360,B11360,C11360)</f>
        <v>45473</v>
      </c>
      <c r="E11360" s="275">
        <f t="shared" ref="E11360:E11365" si="1627">DATE(A11360,B11360,C11360)</f>
        <v>45473</v>
      </c>
      <c r="F11360" s="479" t="s">
        <v>1944</v>
      </c>
      <c r="G11360" s="174" t="s">
        <v>74</v>
      </c>
      <c r="H11360" s="148" t="str" cm="1">
        <f t="array" ref="H11360">IFERROR(INDEX(INVESTOR_LIST[INVESTOR NAME],MATCH(I11360,INVESTOR_LIST[INVESTOR CODE],0),)," ")</f>
        <v xml:space="preserve"> </v>
      </c>
      <c r="I11360" s="148" t="s">
        <v>348</v>
      </c>
      <c r="J11360" s="133" t="s">
        <v>52</v>
      </c>
      <c r="K11360" s="172">
        <v>816031</v>
      </c>
    </row>
    <row r="11361" spans="1:12" x14ac:dyDescent="0.2">
      <c r="A11361" s="163">
        <v>2024</v>
      </c>
      <c r="B11361" s="163">
        <v>6</v>
      </c>
      <c r="C11361" s="163">
        <v>30</v>
      </c>
      <c r="D11361" s="280">
        <f t="shared" si="1626"/>
        <v>45473</v>
      </c>
      <c r="E11361" s="281">
        <f t="shared" si="1627"/>
        <v>45473</v>
      </c>
      <c r="F11361" s="480"/>
      <c r="G11361" s="221" t="s">
        <v>74</v>
      </c>
      <c r="H11361" s="145" t="str" cm="1">
        <f t="array" ref="H11361">IFERROR(INDEX(INVESTOR_LIST[INVESTOR NAME],MATCH(I11361,INVESTOR_LIST[INVESTOR CODE],0),)," ")</f>
        <v xml:space="preserve"> </v>
      </c>
      <c r="I11361" s="145" t="s">
        <v>348</v>
      </c>
      <c r="J11361" s="163" t="s">
        <v>60</v>
      </c>
      <c r="K11361" s="219"/>
      <c r="L11361" s="219">
        <v>816031</v>
      </c>
    </row>
    <row r="11362" spans="1:12" x14ac:dyDescent="0.2">
      <c r="A11362" s="133">
        <v>2024</v>
      </c>
      <c r="B11362" s="133">
        <v>6</v>
      </c>
      <c r="C11362" s="168">
        <v>30</v>
      </c>
      <c r="D11362" s="141">
        <f t="shared" si="1626"/>
        <v>45473</v>
      </c>
      <c r="E11362" s="275">
        <f t="shared" si="1627"/>
        <v>45473</v>
      </c>
      <c r="F11362" s="479" t="s">
        <v>1943</v>
      </c>
      <c r="G11362" s="174" t="s">
        <v>74</v>
      </c>
      <c r="H11362" s="148" t="str" cm="1">
        <f t="array" ref="H11362">IFERROR(INDEX(INVESTOR_LIST[INVESTOR NAME],MATCH(I11362,INVESTOR_LIST[INVESTOR CODE],0),)," ")</f>
        <v xml:space="preserve"> </v>
      </c>
      <c r="I11362" s="148" t="s">
        <v>348</v>
      </c>
      <c r="J11362" s="133" t="s">
        <v>61</v>
      </c>
      <c r="K11362" s="172">
        <v>122404.64</v>
      </c>
    </row>
    <row r="11363" spans="1:12" x14ac:dyDescent="0.2">
      <c r="A11363" s="163">
        <v>2024</v>
      </c>
      <c r="B11363" s="163">
        <v>6</v>
      </c>
      <c r="C11363" s="163">
        <v>30</v>
      </c>
      <c r="D11363" s="280">
        <f t="shared" si="1626"/>
        <v>45473</v>
      </c>
      <c r="E11363" s="281">
        <f t="shared" si="1627"/>
        <v>45473</v>
      </c>
      <c r="F11363" s="480"/>
      <c r="G11363" s="221" t="s">
        <v>74</v>
      </c>
      <c r="H11363" s="145" t="str" cm="1">
        <f t="array" ref="H11363">IFERROR(INDEX(INVESTOR_LIST[INVESTOR NAME],MATCH(I11363,INVESTOR_LIST[INVESTOR CODE],0),)," ")</f>
        <v xml:space="preserve"> </v>
      </c>
      <c r="I11363" s="145" t="s">
        <v>348</v>
      </c>
      <c r="J11363" s="163" t="s">
        <v>52</v>
      </c>
      <c r="K11363" s="219"/>
      <c r="L11363" s="219">
        <v>122404.64</v>
      </c>
    </row>
    <row r="11364" spans="1:12" x14ac:dyDescent="0.2">
      <c r="A11364" s="133">
        <v>2024</v>
      </c>
      <c r="B11364" s="133">
        <v>6</v>
      </c>
      <c r="C11364" s="168">
        <v>30</v>
      </c>
      <c r="D11364" s="141">
        <f t="shared" si="1626"/>
        <v>45473</v>
      </c>
      <c r="E11364" s="275">
        <f t="shared" si="1627"/>
        <v>45473</v>
      </c>
      <c r="F11364" s="479" t="s">
        <v>1943</v>
      </c>
      <c r="G11364" s="174" t="s">
        <v>74</v>
      </c>
      <c r="H11364" s="148" t="str" cm="1">
        <f t="array" ref="H11364">IFERROR(INDEX(INVESTOR_LIST[INVESTOR NAME],MATCH(I11364,INVESTOR_LIST[INVESTOR CODE],0),)," ")</f>
        <v xml:space="preserve"> </v>
      </c>
      <c r="I11364" s="148" t="s">
        <v>348</v>
      </c>
      <c r="J11364" s="133" t="s">
        <v>61</v>
      </c>
      <c r="K11364" s="172">
        <v>575</v>
      </c>
    </row>
    <row r="11365" spans="1:12" x14ac:dyDescent="0.2">
      <c r="A11365" s="163">
        <v>2024</v>
      </c>
      <c r="B11365" s="163">
        <v>6</v>
      </c>
      <c r="C11365" s="163">
        <v>30</v>
      </c>
      <c r="D11365" s="280">
        <f t="shared" si="1626"/>
        <v>45473</v>
      </c>
      <c r="E11365" s="281">
        <f t="shared" si="1627"/>
        <v>45473</v>
      </c>
      <c r="F11365" s="480"/>
      <c r="G11365" s="221" t="s">
        <v>74</v>
      </c>
      <c r="H11365" s="145" t="str" cm="1">
        <f t="array" ref="H11365">IFERROR(INDEX(INVESTOR_LIST[INVESTOR NAME],MATCH(I11365,INVESTOR_LIST[INVESTOR CODE],0),)," ")</f>
        <v xml:space="preserve"> </v>
      </c>
      <c r="I11365" s="145" t="s">
        <v>348</v>
      </c>
      <c r="J11365" s="163" t="s">
        <v>52</v>
      </c>
      <c r="K11365" s="219"/>
      <c r="L11365" s="219">
        <v>575</v>
      </c>
    </row>
    <row r="11366" spans="1:12" x14ac:dyDescent="0.2">
      <c r="A11366" s="133">
        <v>2024</v>
      </c>
      <c r="B11366" s="133">
        <v>6</v>
      </c>
      <c r="C11366" s="168">
        <v>30</v>
      </c>
      <c r="D11366" s="141">
        <f t="shared" ref="D11366:D11367" si="1628">DATE(A11366,B11366,C11366)</f>
        <v>45473</v>
      </c>
      <c r="E11366" s="275">
        <f t="shared" ref="E11366:E11367" si="1629">DATE(A11366,B11366,C11366)</f>
        <v>45473</v>
      </c>
      <c r="F11366" s="479" t="s">
        <v>1946</v>
      </c>
      <c r="G11366" s="174" t="s">
        <v>74</v>
      </c>
      <c r="H11366" s="148" t="str" cm="1">
        <f t="array" ref="H11366">IFERROR(INDEX(INVESTOR_LIST[INVESTOR NAME],MATCH(I11366,INVESTOR_LIST[INVESTOR CODE],0),)," ")</f>
        <v xml:space="preserve"> </v>
      </c>
      <c r="I11366" s="148" t="s">
        <v>348</v>
      </c>
      <c r="J11366" s="133" t="s">
        <v>52</v>
      </c>
      <c r="K11366" s="172">
        <v>32081</v>
      </c>
    </row>
    <row r="11367" spans="1:12" x14ac:dyDescent="0.2">
      <c r="A11367" s="163">
        <v>2024</v>
      </c>
      <c r="B11367" s="163">
        <v>6</v>
      </c>
      <c r="C11367" s="163">
        <v>30</v>
      </c>
      <c r="D11367" s="280">
        <f t="shared" si="1628"/>
        <v>45473</v>
      </c>
      <c r="E11367" s="281">
        <f t="shared" si="1629"/>
        <v>45473</v>
      </c>
      <c r="F11367" s="480"/>
      <c r="G11367" s="221" t="s">
        <v>74</v>
      </c>
      <c r="H11367" s="145" t="str" cm="1">
        <f t="array" ref="H11367">IFERROR(INDEX(INVESTOR_LIST[INVESTOR NAME],MATCH(I11367,INVESTOR_LIST[INVESTOR CODE],0),)," ")</f>
        <v xml:space="preserve"> </v>
      </c>
      <c r="I11367" s="145" t="s">
        <v>348</v>
      </c>
      <c r="J11367" s="163" t="s">
        <v>60</v>
      </c>
      <c r="K11367" s="219"/>
      <c r="L11367" s="219">
        <v>32081</v>
      </c>
    </row>
    <row r="11368" spans="1:12" x14ac:dyDescent="0.2">
      <c r="A11368" s="133">
        <v>2024</v>
      </c>
      <c r="B11368" s="133">
        <v>6</v>
      </c>
      <c r="C11368" s="168">
        <v>30</v>
      </c>
      <c r="D11368" s="141">
        <f t="shared" ref="D11368:D11369" si="1630">DATE(A11368,B11368,C11368)</f>
        <v>45473</v>
      </c>
      <c r="E11368" s="275">
        <f t="shared" ref="E11368:E11369" si="1631">DATE(A11368,B11368,C11368)</f>
        <v>45473</v>
      </c>
      <c r="F11368" s="479" t="s">
        <v>1945</v>
      </c>
      <c r="G11368" s="174" t="s">
        <v>74</v>
      </c>
      <c r="H11368" s="148" t="str" cm="1">
        <f t="array" ref="H11368">IFERROR(INDEX(INVESTOR_LIST[INVESTOR NAME],MATCH(I11368,INVESTOR_LIST[INVESTOR CODE],0),)," ")</f>
        <v xml:space="preserve"> </v>
      </c>
      <c r="I11368" s="148" t="s">
        <v>348</v>
      </c>
      <c r="J11368" s="133" t="s">
        <v>52</v>
      </c>
      <c r="K11368" s="172">
        <v>7649.19</v>
      </c>
    </row>
    <row r="11369" spans="1:12" x14ac:dyDescent="0.2">
      <c r="A11369" s="163">
        <v>2024</v>
      </c>
      <c r="B11369" s="163">
        <v>6</v>
      </c>
      <c r="C11369" s="163">
        <v>30</v>
      </c>
      <c r="D11369" s="280">
        <f t="shared" si="1630"/>
        <v>45473</v>
      </c>
      <c r="E11369" s="281">
        <f t="shared" si="1631"/>
        <v>45473</v>
      </c>
      <c r="F11369" s="480"/>
      <c r="G11369" s="221" t="s">
        <v>74</v>
      </c>
      <c r="H11369" s="145" t="str" cm="1">
        <f t="array" ref="H11369">IFERROR(INDEX(INVESTOR_LIST[INVESTOR NAME],MATCH(I11369,INVESTOR_LIST[INVESTOR CODE],0),)," ")</f>
        <v xml:space="preserve"> </v>
      </c>
      <c r="I11369" s="145" t="s">
        <v>348</v>
      </c>
      <c r="J11369" s="163" t="s">
        <v>60</v>
      </c>
      <c r="K11369" s="219"/>
      <c r="L11369" s="219">
        <v>7649.19</v>
      </c>
    </row>
    <row r="11370" spans="1:12" x14ac:dyDescent="0.2">
      <c r="A11370" s="133">
        <v>2024</v>
      </c>
      <c r="B11370" s="133">
        <v>6</v>
      </c>
      <c r="C11370" s="168">
        <v>30</v>
      </c>
      <c r="D11370" s="141">
        <f t="shared" ref="D11370:D11385" si="1632">DATE(A11370,B11370,C11370)</f>
        <v>45473</v>
      </c>
      <c r="E11370" s="275">
        <f t="shared" ref="E11370:E11385" si="1633">DATE(A11370,B11370,C11370)</f>
        <v>45473</v>
      </c>
      <c r="F11370" s="479" t="s">
        <v>1945</v>
      </c>
      <c r="G11370" s="174" t="s">
        <v>74</v>
      </c>
      <c r="H11370" s="148" t="str" cm="1">
        <f t="array" ref="H11370">IFERROR(INDEX(INVESTOR_LIST[INVESTOR NAME],MATCH(I11370,INVESTOR_LIST[INVESTOR CODE],0),)," ")</f>
        <v xml:space="preserve"> </v>
      </c>
      <c r="I11370" s="148" t="s">
        <v>348</v>
      </c>
      <c r="J11370" s="133" t="s">
        <v>52</v>
      </c>
      <c r="K11370" s="172">
        <v>274.64</v>
      </c>
    </row>
    <row r="11371" spans="1:12" x14ac:dyDescent="0.2">
      <c r="A11371" s="163">
        <v>2024</v>
      </c>
      <c r="B11371" s="163">
        <v>6</v>
      </c>
      <c r="C11371" s="163">
        <v>30</v>
      </c>
      <c r="D11371" s="280">
        <f t="shared" si="1632"/>
        <v>45473</v>
      </c>
      <c r="E11371" s="281">
        <f t="shared" si="1633"/>
        <v>45473</v>
      </c>
      <c r="F11371" s="480"/>
      <c r="G11371" s="221" t="s">
        <v>74</v>
      </c>
      <c r="H11371" s="145" t="str" cm="1">
        <f t="array" ref="H11371">IFERROR(INDEX(INVESTOR_LIST[INVESTOR NAME],MATCH(I11371,INVESTOR_LIST[INVESTOR CODE],0),)," ")</f>
        <v xml:space="preserve"> </v>
      </c>
      <c r="I11371" s="145" t="s">
        <v>348</v>
      </c>
      <c r="J11371" s="163" t="s">
        <v>60</v>
      </c>
      <c r="K11371" s="219"/>
      <c r="L11371" s="219">
        <v>274.64</v>
      </c>
    </row>
    <row r="11372" spans="1:12" x14ac:dyDescent="0.2">
      <c r="A11372" s="133">
        <v>2024</v>
      </c>
      <c r="B11372" s="133">
        <v>6</v>
      </c>
      <c r="C11372" s="168">
        <v>30</v>
      </c>
      <c r="D11372" s="141">
        <f t="shared" ref="D11372:D11373" si="1634">DATE(A11372,B11372,C11372)</f>
        <v>45473</v>
      </c>
      <c r="E11372" s="275">
        <f t="shared" ref="E11372:E11373" si="1635">DATE(A11372,B11372,C11372)</f>
        <v>45473</v>
      </c>
      <c r="F11372" s="479" t="s">
        <v>1949</v>
      </c>
      <c r="G11372" s="174" t="s">
        <v>74</v>
      </c>
      <c r="H11372" s="148" t="str" cm="1">
        <f t="array" ref="H11372">IFERROR(INDEX(INVESTOR_LIST[INVESTOR NAME],MATCH(I11372,INVESTOR_LIST[INVESTOR CODE],0),)," ")</f>
        <v xml:space="preserve"> </v>
      </c>
      <c r="I11372" s="148" t="s">
        <v>348</v>
      </c>
      <c r="J11372" s="133" t="s">
        <v>52</v>
      </c>
      <c r="K11372" s="172">
        <v>13124.89</v>
      </c>
    </row>
    <row r="11373" spans="1:12" x14ac:dyDescent="0.2">
      <c r="A11373" s="163">
        <v>2024</v>
      </c>
      <c r="B11373" s="163">
        <v>6</v>
      </c>
      <c r="C11373" s="163">
        <v>30</v>
      </c>
      <c r="D11373" s="280">
        <f t="shared" si="1634"/>
        <v>45473</v>
      </c>
      <c r="E11373" s="281">
        <f t="shared" si="1635"/>
        <v>45473</v>
      </c>
      <c r="F11373" s="480"/>
      <c r="G11373" s="221" t="s">
        <v>74</v>
      </c>
      <c r="H11373" s="145" t="str" cm="1">
        <f t="array" ref="H11373">IFERROR(INDEX(INVESTOR_LIST[INVESTOR NAME],MATCH(I11373,INVESTOR_LIST[INVESTOR CODE],0),)," ")</f>
        <v xml:space="preserve"> </v>
      </c>
      <c r="I11373" s="145" t="s">
        <v>348</v>
      </c>
      <c r="J11373" s="163" t="s">
        <v>60</v>
      </c>
      <c r="K11373" s="219"/>
      <c r="L11373" s="219">
        <v>13124.89</v>
      </c>
    </row>
    <row r="11374" spans="1:12" x14ac:dyDescent="0.2">
      <c r="A11374" s="133">
        <v>2024</v>
      </c>
      <c r="B11374" s="133">
        <v>7</v>
      </c>
      <c r="C11374" s="168">
        <v>1</v>
      </c>
      <c r="D11374" s="141">
        <f t="shared" si="1632"/>
        <v>45474</v>
      </c>
      <c r="E11374" s="275">
        <f t="shared" si="1633"/>
        <v>45474</v>
      </c>
      <c r="F11374" s="479" t="s">
        <v>1956</v>
      </c>
      <c r="G11374" s="174" t="s">
        <v>74</v>
      </c>
      <c r="H11374" s="148" t="str" cm="1">
        <f t="array" ref="H11374">IFERROR(INDEX(INVESTOR_LIST[INVESTOR NAME],MATCH(I11374,INVESTOR_LIST[INVESTOR CODE],0),)," ")</f>
        <v xml:space="preserve"> </v>
      </c>
      <c r="I11374" s="148" t="s">
        <v>348</v>
      </c>
      <c r="J11374" s="133" t="s">
        <v>61</v>
      </c>
      <c r="K11374" s="172">
        <v>345</v>
      </c>
    </row>
    <row r="11375" spans="1:12" x14ac:dyDescent="0.2">
      <c r="A11375" s="163">
        <v>2024</v>
      </c>
      <c r="B11375" s="163">
        <v>7</v>
      </c>
      <c r="C11375" s="163">
        <v>1</v>
      </c>
      <c r="D11375" s="280">
        <f t="shared" si="1632"/>
        <v>45474</v>
      </c>
      <c r="E11375" s="281">
        <f t="shared" si="1633"/>
        <v>45474</v>
      </c>
      <c r="F11375" s="480"/>
      <c r="G11375" s="221" t="s">
        <v>74</v>
      </c>
      <c r="H11375" s="145" t="str" cm="1">
        <f t="array" ref="H11375">IFERROR(INDEX(INVESTOR_LIST[INVESTOR NAME],MATCH(I11375,INVESTOR_LIST[INVESTOR CODE],0),)," ")</f>
        <v xml:space="preserve"> </v>
      </c>
      <c r="I11375" s="145" t="s">
        <v>348</v>
      </c>
      <c r="J11375" s="163" t="s">
        <v>52</v>
      </c>
      <c r="K11375" s="219"/>
      <c r="L11375" s="219">
        <v>345</v>
      </c>
    </row>
    <row r="11376" spans="1:12" x14ac:dyDescent="0.2">
      <c r="A11376" s="133">
        <v>2024</v>
      </c>
      <c r="B11376" s="133">
        <v>7</v>
      </c>
      <c r="C11376" s="168">
        <v>1</v>
      </c>
      <c r="D11376" s="141">
        <f t="shared" si="1632"/>
        <v>45474</v>
      </c>
      <c r="E11376" s="275">
        <f t="shared" si="1633"/>
        <v>45474</v>
      </c>
      <c r="F11376" s="479" t="s">
        <v>1956</v>
      </c>
      <c r="G11376" s="174" t="s">
        <v>74</v>
      </c>
      <c r="H11376" s="148" t="str" cm="1">
        <f t="array" ref="H11376">IFERROR(INDEX(INVESTOR_LIST[INVESTOR NAME],MATCH(I11376,INVESTOR_LIST[INVESTOR CODE],0),)," ")</f>
        <v xml:space="preserve"> </v>
      </c>
      <c r="I11376" s="148" t="s">
        <v>348</v>
      </c>
      <c r="J11376" s="133" t="s">
        <v>61</v>
      </c>
      <c r="K11376" s="172">
        <v>345</v>
      </c>
    </row>
    <row r="11377" spans="1:12" x14ac:dyDescent="0.2">
      <c r="A11377" s="163">
        <v>2024</v>
      </c>
      <c r="B11377" s="163">
        <v>7</v>
      </c>
      <c r="C11377" s="163">
        <v>1</v>
      </c>
      <c r="D11377" s="280">
        <f t="shared" si="1632"/>
        <v>45474</v>
      </c>
      <c r="E11377" s="281">
        <f t="shared" si="1633"/>
        <v>45474</v>
      </c>
      <c r="F11377" s="480"/>
      <c r="G11377" s="221" t="s">
        <v>74</v>
      </c>
      <c r="H11377" s="145" t="str" cm="1">
        <f t="array" ref="H11377">IFERROR(INDEX(INVESTOR_LIST[INVESTOR NAME],MATCH(I11377,INVESTOR_LIST[INVESTOR CODE],0),)," ")</f>
        <v xml:space="preserve"> </v>
      </c>
      <c r="I11377" s="145" t="s">
        <v>348</v>
      </c>
      <c r="J11377" s="163" t="s">
        <v>52</v>
      </c>
      <c r="K11377" s="219"/>
      <c r="L11377" s="219">
        <v>345</v>
      </c>
    </row>
    <row r="11378" spans="1:12" x14ac:dyDescent="0.2">
      <c r="A11378" s="133">
        <v>2024</v>
      </c>
      <c r="B11378" s="168">
        <v>7</v>
      </c>
      <c r="C11378" s="168">
        <v>2</v>
      </c>
      <c r="D11378" s="141">
        <f t="shared" si="1632"/>
        <v>45475</v>
      </c>
      <c r="E11378" s="275">
        <f t="shared" si="1633"/>
        <v>45475</v>
      </c>
      <c r="F11378" s="481" t="s">
        <v>982</v>
      </c>
      <c r="G11378" s="174" t="s">
        <v>74</v>
      </c>
      <c r="H11378" s="174" t="str" cm="1">
        <f t="array" ref="H11378">IFERROR(INDEX(INVESTOR_LIST[INVESTOR NAME],MATCH(I11378,INVESTOR_LIST[INVESTOR CODE],0),)," ")</f>
        <v xml:space="preserve"> </v>
      </c>
      <c r="I11378" s="148" t="s">
        <v>348</v>
      </c>
      <c r="J11378" s="149" t="s">
        <v>163</v>
      </c>
      <c r="K11378" s="218">
        <v>5750</v>
      </c>
      <c r="L11378" s="218"/>
    </row>
    <row r="11379" spans="1:12" x14ac:dyDescent="0.2">
      <c r="A11379" s="133">
        <v>2024</v>
      </c>
      <c r="B11379" s="133">
        <v>7</v>
      </c>
      <c r="C11379" s="133">
        <v>2</v>
      </c>
      <c r="D11379" s="141">
        <f t="shared" si="1632"/>
        <v>45475</v>
      </c>
      <c r="E11379" s="275">
        <f t="shared" si="1633"/>
        <v>45475</v>
      </c>
      <c r="F11379" s="481"/>
      <c r="G11379" s="174" t="s">
        <v>201</v>
      </c>
      <c r="H11379" s="174" t="str" cm="1">
        <f t="array" ref="H11379">IFERROR(INDEX(INVESTOR_LIST[INVESTOR NAME],MATCH(I11379,INVESTOR_LIST[INVESTOR CODE],0),)," ")</f>
        <v xml:space="preserve"> </v>
      </c>
      <c r="J11379" s="149" t="s">
        <v>1906</v>
      </c>
      <c r="K11379" s="218"/>
      <c r="L11379" s="218"/>
    </row>
    <row r="11380" spans="1:12" x14ac:dyDescent="0.2">
      <c r="A11380" s="163">
        <v>2024</v>
      </c>
      <c r="B11380" s="163">
        <v>7</v>
      </c>
      <c r="C11380" s="163">
        <v>2</v>
      </c>
      <c r="D11380" s="280">
        <f t="shared" si="1632"/>
        <v>45475</v>
      </c>
      <c r="E11380" s="281">
        <f t="shared" si="1633"/>
        <v>45475</v>
      </c>
      <c r="F11380" s="480"/>
      <c r="G11380" s="221" t="s">
        <v>74</v>
      </c>
      <c r="H11380" s="221" t="str" cm="1">
        <f t="array" ref="H11380">IFERROR(INDEX(INVESTOR_LIST[INVESTOR NAME],MATCH(I11380,INVESTOR_LIST[INVESTOR CODE],0),)," ")</f>
        <v xml:space="preserve"> </v>
      </c>
      <c r="I11380" s="145" t="s">
        <v>348</v>
      </c>
      <c r="J11380" s="146" t="s">
        <v>52</v>
      </c>
      <c r="K11380" s="219"/>
      <c r="L11380" s="219">
        <v>5750</v>
      </c>
    </row>
    <row r="11381" spans="1:12" x14ac:dyDescent="0.2">
      <c r="A11381" s="133">
        <v>2024</v>
      </c>
      <c r="B11381" s="133">
        <v>7</v>
      </c>
      <c r="C11381" s="168">
        <v>2</v>
      </c>
      <c r="D11381" s="141">
        <f t="shared" si="1632"/>
        <v>45475</v>
      </c>
      <c r="E11381" s="275">
        <f t="shared" si="1633"/>
        <v>45475</v>
      </c>
      <c r="F11381" s="479" t="s">
        <v>1957</v>
      </c>
      <c r="G11381" s="174" t="s">
        <v>74</v>
      </c>
      <c r="H11381" s="148" t="str" cm="1">
        <f t="array" ref="H11381">IFERROR(INDEX(INVESTOR_LIST[INVESTOR NAME],MATCH(I11381,INVESTOR_LIST[INVESTOR CODE],0),)," ")</f>
        <v xml:space="preserve"> </v>
      </c>
      <c r="I11381" s="148" t="s">
        <v>348</v>
      </c>
      <c r="J11381" s="133" t="s">
        <v>52</v>
      </c>
      <c r="K11381" s="172">
        <v>122404.64</v>
      </c>
    </row>
    <row r="11382" spans="1:12" x14ac:dyDescent="0.2">
      <c r="A11382" s="163">
        <v>2024</v>
      </c>
      <c r="B11382" s="163">
        <v>7</v>
      </c>
      <c r="C11382" s="163">
        <v>2</v>
      </c>
      <c r="D11382" s="280">
        <f t="shared" si="1632"/>
        <v>45475</v>
      </c>
      <c r="E11382" s="281">
        <f t="shared" si="1633"/>
        <v>45475</v>
      </c>
      <c r="F11382" s="480"/>
      <c r="G11382" s="221" t="s">
        <v>74</v>
      </c>
      <c r="H11382" s="145" t="str" cm="1">
        <f t="array" ref="H11382">IFERROR(INDEX(INVESTOR_LIST[INVESTOR NAME],MATCH(I11382,INVESTOR_LIST[INVESTOR CODE],0),)," ")</f>
        <v xml:space="preserve"> </v>
      </c>
      <c r="I11382" s="145" t="s">
        <v>348</v>
      </c>
      <c r="J11382" s="163" t="s">
        <v>61</v>
      </c>
      <c r="K11382" s="219"/>
      <c r="L11382" s="219">
        <v>122404.64</v>
      </c>
    </row>
    <row r="11383" spans="1:12" x14ac:dyDescent="0.2">
      <c r="A11383" s="168">
        <v>2024</v>
      </c>
      <c r="B11383" s="168">
        <v>7</v>
      </c>
      <c r="C11383" s="168">
        <v>3</v>
      </c>
      <c r="D11383" s="141">
        <f t="shared" si="1632"/>
        <v>45476</v>
      </c>
      <c r="E11383" s="275">
        <f t="shared" si="1633"/>
        <v>45476</v>
      </c>
      <c r="F11383" s="479" t="s">
        <v>1319</v>
      </c>
      <c r="G11383" s="220" t="s">
        <v>74</v>
      </c>
      <c r="H11383" s="142" t="str" cm="1">
        <f t="array" ref="H11383">IFERROR(INDEX(INVESTOR_LIST[INVESTOR NAME],MATCH(I11383,INVESTOR_LIST[INVESTOR CODE],0),)," ")</f>
        <v xml:space="preserve"> </v>
      </c>
      <c r="I11383" s="142"/>
      <c r="J11383" s="168" t="s">
        <v>52</v>
      </c>
      <c r="K11383" s="226">
        <v>2000</v>
      </c>
      <c r="L11383" s="226"/>
    </row>
    <row r="11384" spans="1:12" x14ac:dyDescent="0.2">
      <c r="A11384" s="133">
        <v>2024</v>
      </c>
      <c r="B11384" s="133">
        <v>7</v>
      </c>
      <c r="C11384" s="133">
        <v>3</v>
      </c>
      <c r="D11384" s="141">
        <f t="shared" si="1632"/>
        <v>45476</v>
      </c>
      <c r="E11384" s="275">
        <f t="shared" si="1633"/>
        <v>45476</v>
      </c>
      <c r="F11384" s="481"/>
      <c r="G11384" s="174" t="s">
        <v>74</v>
      </c>
      <c r="H11384" s="148" t="str" cm="1">
        <f t="array" ref="H11384">IFERROR(INDEX(INVESTOR_LIST[INVESTOR NAME],MATCH(I11384,INVESTOR_LIST[INVESTOR CODE],0),)," ")</f>
        <v xml:space="preserve"> </v>
      </c>
      <c r="J11384" s="133" t="s">
        <v>13</v>
      </c>
      <c r="K11384" s="218"/>
      <c r="L11384" s="218">
        <v>1710</v>
      </c>
    </row>
    <row r="11385" spans="1:12" x14ac:dyDescent="0.2">
      <c r="A11385" s="163">
        <v>2024</v>
      </c>
      <c r="B11385" s="163">
        <v>7</v>
      </c>
      <c r="C11385" s="163">
        <v>3</v>
      </c>
      <c r="D11385" s="280">
        <f t="shared" si="1632"/>
        <v>45476</v>
      </c>
      <c r="E11385" s="281">
        <f t="shared" si="1633"/>
        <v>45476</v>
      </c>
      <c r="F11385" s="480"/>
      <c r="G11385" s="221" t="s">
        <v>74</v>
      </c>
      <c r="H11385" s="145" t="str" cm="1">
        <f t="array" ref="H11385">IFERROR(INDEX(INVESTOR_LIST[INVESTOR NAME],MATCH(I11385,INVESTOR_LIST[INVESTOR CODE],0),)," ")</f>
        <v xml:space="preserve"> </v>
      </c>
      <c r="I11385" s="145"/>
      <c r="J11385" s="163" t="s">
        <v>53</v>
      </c>
      <c r="K11385" s="219"/>
      <c r="L11385" s="219">
        <v>290</v>
      </c>
    </row>
    <row r="11386" spans="1:12" ht="11.25" customHeight="1" x14ac:dyDescent="0.2">
      <c r="A11386" s="168">
        <v>2024</v>
      </c>
      <c r="B11386" s="168">
        <v>7</v>
      </c>
      <c r="C11386" s="168">
        <v>4</v>
      </c>
      <c r="D11386" s="141">
        <f>DATE(A11386,B11386,C11386)</f>
        <v>45477</v>
      </c>
      <c r="E11386" s="275">
        <f>DATE(A11386,B11386,C11386)</f>
        <v>45477</v>
      </c>
      <c r="F11386" s="479" t="s">
        <v>1757</v>
      </c>
      <c r="G11386" s="220" t="s">
        <v>74</v>
      </c>
      <c r="H11386" s="220" t="str" cm="1">
        <f t="array" ref="H11386">IFERROR(INDEX(INVESTOR_LIST[INVESTOR NAME],MATCH(I11386,INVESTOR_LIST[INVESTOR CODE],0),)," ")</f>
        <v xml:space="preserve"> </v>
      </c>
      <c r="I11386" s="142"/>
      <c r="J11386" s="143" t="s">
        <v>52</v>
      </c>
      <c r="K11386" s="226">
        <v>3174698.94</v>
      </c>
      <c r="L11386" s="226"/>
    </row>
    <row r="11387" spans="1:12" x14ac:dyDescent="0.2">
      <c r="A11387" s="163">
        <v>2024</v>
      </c>
      <c r="B11387" s="163">
        <v>7</v>
      </c>
      <c r="C11387" s="163">
        <v>4</v>
      </c>
      <c r="D11387" s="280">
        <f>DATE(A11387,B11387,C11387)</f>
        <v>45477</v>
      </c>
      <c r="E11387" s="281">
        <f>DATE(A11387,B11387,C11387)</f>
        <v>45477</v>
      </c>
      <c r="F11387" s="480"/>
      <c r="G11387" s="221" t="s">
        <v>74</v>
      </c>
      <c r="H11387" s="221" t="str" cm="1">
        <f t="array" ref="H11387">IFERROR(INDEX(INVESTOR_LIST[INVESTOR NAME],MATCH(I11387,INVESTOR_LIST[INVESTOR CODE],0),)," ")</f>
        <v xml:space="preserve"> </v>
      </c>
      <c r="I11387" s="145"/>
      <c r="J11387" s="146" t="s">
        <v>190</v>
      </c>
      <c r="K11387" s="219"/>
      <c r="L11387" s="219">
        <v>3174698.94</v>
      </c>
    </row>
    <row r="11388" spans="1:12" x14ac:dyDescent="0.2">
      <c r="A11388" s="325">
        <v>2024</v>
      </c>
      <c r="B11388" s="325">
        <v>7</v>
      </c>
      <c r="C11388" s="325">
        <v>4</v>
      </c>
      <c r="D11388" s="326">
        <f t="shared" ref="D11388:D11411" si="1636">DATE(A11388,B11388,C11388)</f>
        <v>45477</v>
      </c>
      <c r="E11388" s="327">
        <f t="shared" ref="E11388:E11411" si="1637">DATE(A11388,B11388,C11388)</f>
        <v>45477</v>
      </c>
      <c r="F11388" s="473" t="s">
        <v>1940</v>
      </c>
      <c r="G11388" s="340" t="s">
        <v>94</v>
      </c>
      <c r="H11388" s="340" t="str" cm="1">
        <f t="array" ref="H11388">IFERROR(INDEX(INVESTOR_LIST[INVESTOR NAME],MATCH(I11388,INVESTOR_LIST[INVESTOR CODE],0),)," ")</f>
        <v xml:space="preserve"> </v>
      </c>
      <c r="I11388" s="341" t="s">
        <v>348</v>
      </c>
      <c r="J11388" s="374" t="s">
        <v>133</v>
      </c>
      <c r="K11388" s="375">
        <v>12905.555555555549</v>
      </c>
      <c r="L11388" s="375"/>
    </row>
    <row r="11389" spans="1:12" x14ac:dyDescent="0.2">
      <c r="A11389" s="331">
        <v>2024</v>
      </c>
      <c r="B11389" s="331">
        <v>7</v>
      </c>
      <c r="C11389" s="331">
        <v>4</v>
      </c>
      <c r="D11389" s="326">
        <f t="shared" si="1636"/>
        <v>45477</v>
      </c>
      <c r="E11389" s="327">
        <f t="shared" si="1637"/>
        <v>45477</v>
      </c>
      <c r="F11389" s="474"/>
      <c r="G11389" s="332" t="s">
        <v>94</v>
      </c>
      <c r="H11389" s="332" t="str" cm="1">
        <f t="array" ref="H11389">IFERROR(INDEX(INVESTOR_LIST[INVESTOR NAME],MATCH(I11389,INVESTOR_LIST[INVESTOR CODE],0),)," ")</f>
        <v xml:space="preserve"> </v>
      </c>
      <c r="I11389" s="333" t="s">
        <v>348</v>
      </c>
      <c r="J11389" s="376" t="s">
        <v>60</v>
      </c>
      <c r="K11389" s="334"/>
      <c r="L11389" s="334">
        <f>K11388</f>
        <v>12905.555555555549</v>
      </c>
    </row>
    <row r="11390" spans="1:12" x14ac:dyDescent="0.2">
      <c r="A11390" s="343">
        <v>2024</v>
      </c>
      <c r="B11390" s="343">
        <v>7</v>
      </c>
      <c r="C11390" s="343">
        <v>4</v>
      </c>
      <c r="D11390" s="344">
        <f t="shared" si="1636"/>
        <v>45477</v>
      </c>
      <c r="E11390" s="345">
        <f t="shared" si="1637"/>
        <v>45477</v>
      </c>
      <c r="F11390" s="483" t="s">
        <v>1813</v>
      </c>
      <c r="G11390" s="350" t="s">
        <v>94</v>
      </c>
      <c r="H11390" s="350" t="str" cm="1">
        <f t="array" ref="H11390">IFERROR(INDEX(INVESTOR_LIST[INVESTOR NAME],MATCH(I11390,INVESTOR_LIST[INVESTOR CODE],0),)," ")</f>
        <v xml:space="preserve"> </v>
      </c>
      <c r="I11390" s="352" t="s">
        <v>348</v>
      </c>
      <c r="J11390" s="353" t="s">
        <v>1798</v>
      </c>
      <c r="K11390" s="354">
        <v>25000.5</v>
      </c>
      <c r="L11390" s="354"/>
    </row>
    <row r="11391" spans="1:12" x14ac:dyDescent="0.2">
      <c r="A11391" s="346">
        <v>2024</v>
      </c>
      <c r="B11391" s="346">
        <v>7</v>
      </c>
      <c r="C11391" s="346">
        <v>4</v>
      </c>
      <c r="D11391" s="344">
        <f t="shared" si="1636"/>
        <v>45477</v>
      </c>
      <c r="E11391" s="345">
        <f t="shared" si="1637"/>
        <v>45477</v>
      </c>
      <c r="F11391" s="484"/>
      <c r="G11391" s="347" t="s">
        <v>94</v>
      </c>
      <c r="H11391" s="347" t="str" cm="1">
        <f t="array" ref="H11391">IFERROR(INDEX(INVESTOR_LIST[INVESTOR NAME],MATCH(I11391,INVESTOR_LIST[INVESTOR CODE],0),)," ")</f>
        <v xml:space="preserve"> </v>
      </c>
      <c r="I11391" s="348" t="s">
        <v>348</v>
      </c>
      <c r="J11391" s="355" t="s">
        <v>1807</v>
      </c>
      <c r="K11391" s="349"/>
      <c r="L11391" s="349">
        <f>K11390</f>
        <v>25000.5</v>
      </c>
    </row>
    <row r="11392" spans="1:12" x14ac:dyDescent="0.2">
      <c r="A11392" s="343">
        <v>2024</v>
      </c>
      <c r="B11392" s="343">
        <v>7</v>
      </c>
      <c r="C11392" s="343">
        <v>4</v>
      </c>
      <c r="D11392" s="344">
        <f t="shared" si="1636"/>
        <v>45477</v>
      </c>
      <c r="E11392" s="345">
        <f t="shared" si="1637"/>
        <v>45477</v>
      </c>
      <c r="F11392" s="483" t="s">
        <v>1913</v>
      </c>
      <c r="G11392" s="350" t="s">
        <v>94</v>
      </c>
      <c r="H11392" s="350" t="str" cm="1">
        <f t="array" ref="H11392">IFERROR(INDEX(INVESTOR_LIST[INVESTOR NAME],MATCH(I11392,INVESTOR_LIST[INVESTOR CODE],0),)," ")</f>
        <v xml:space="preserve"> </v>
      </c>
      <c r="I11392" s="352" t="s">
        <v>348</v>
      </c>
      <c r="J11392" s="353" t="s">
        <v>1799</v>
      </c>
      <c r="K11392" s="354">
        <v>35181.150000000373</v>
      </c>
      <c r="L11392" s="354"/>
    </row>
    <row r="11393" spans="1:13" x14ac:dyDescent="0.2">
      <c r="A11393" s="346">
        <v>2024</v>
      </c>
      <c r="B11393" s="346">
        <v>7</v>
      </c>
      <c r="C11393" s="346">
        <v>4</v>
      </c>
      <c r="D11393" s="344">
        <f t="shared" si="1636"/>
        <v>45477</v>
      </c>
      <c r="E11393" s="345">
        <f t="shared" si="1637"/>
        <v>45477</v>
      </c>
      <c r="F11393" s="484"/>
      <c r="G11393" s="347" t="s">
        <v>94</v>
      </c>
      <c r="H11393" s="347" t="str" cm="1">
        <f t="array" ref="H11393">IFERROR(INDEX(INVESTOR_LIST[INVESTOR NAME],MATCH(I11393,INVESTOR_LIST[INVESTOR CODE],0),)," ")</f>
        <v xml:space="preserve"> </v>
      </c>
      <c r="I11393" s="348" t="s">
        <v>348</v>
      </c>
      <c r="J11393" s="355" t="s">
        <v>1808</v>
      </c>
      <c r="K11393" s="349"/>
      <c r="L11393" s="349">
        <f>K11392</f>
        <v>35181.150000000373</v>
      </c>
    </row>
    <row r="11394" spans="1:13" ht="11.25" customHeight="1" x14ac:dyDescent="0.2">
      <c r="A11394" s="238">
        <v>2024</v>
      </c>
      <c r="B11394" s="238">
        <v>7</v>
      </c>
      <c r="C11394" s="238">
        <v>4</v>
      </c>
      <c r="D11394" s="270">
        <f t="shared" si="1636"/>
        <v>45477</v>
      </c>
      <c r="E11394" s="279">
        <f t="shared" si="1637"/>
        <v>45477</v>
      </c>
      <c r="F11394" s="477" t="s">
        <v>347</v>
      </c>
      <c r="G11394" s="239" t="s">
        <v>94</v>
      </c>
      <c r="H11394" s="239" t="str" cm="1">
        <f t="array" ref="H11394">IFERROR(INDEX(INVESTOR_LIST[INVESTOR NAME],MATCH(I11394,INVESTOR_LIST[INVESTOR CODE],0),)," ")</f>
        <v xml:space="preserve"> </v>
      </c>
      <c r="I11394" s="262" t="s">
        <v>348</v>
      </c>
      <c r="J11394" s="240" t="s">
        <v>108</v>
      </c>
      <c r="K11394" s="241">
        <v>1357376.2800000086</v>
      </c>
      <c r="L11394" s="241"/>
    </row>
    <row r="11395" spans="1:13" x14ac:dyDescent="0.2">
      <c r="A11395" s="242">
        <v>2024</v>
      </c>
      <c r="B11395" s="242">
        <v>7</v>
      </c>
      <c r="C11395" s="242">
        <v>4</v>
      </c>
      <c r="D11395" s="270">
        <f t="shared" si="1636"/>
        <v>45477</v>
      </c>
      <c r="E11395" s="279">
        <f t="shared" si="1637"/>
        <v>45477</v>
      </c>
      <c r="F11395" s="478"/>
      <c r="G11395" s="243" t="s">
        <v>94</v>
      </c>
      <c r="H11395" s="243" t="str" cm="1">
        <f t="array" ref="H11395">IFERROR(INDEX(INVESTOR_LIST[INVESTOR NAME],MATCH(I11395,INVESTOR_LIST[INVESTOR CODE],0),)," ")</f>
        <v xml:space="preserve"> </v>
      </c>
      <c r="I11395" s="263" t="s">
        <v>348</v>
      </c>
      <c r="J11395" s="244" t="s">
        <v>82</v>
      </c>
      <c r="K11395" s="245"/>
      <c r="L11395" s="245">
        <f>K11394</f>
        <v>1357376.2800000086</v>
      </c>
    </row>
    <row r="11396" spans="1:13" ht="11.25" customHeight="1" x14ac:dyDescent="0.2">
      <c r="A11396" s="246">
        <v>2024</v>
      </c>
      <c r="B11396" s="238">
        <v>7</v>
      </c>
      <c r="C11396" s="238">
        <v>4</v>
      </c>
      <c r="D11396" s="270">
        <f t="shared" si="1636"/>
        <v>45477</v>
      </c>
      <c r="E11396" s="279">
        <f t="shared" si="1637"/>
        <v>45477</v>
      </c>
      <c r="F11396" s="482" t="s">
        <v>148</v>
      </c>
      <c r="G11396" s="247" t="s">
        <v>94</v>
      </c>
      <c r="H11396" s="247" t="str" cm="1">
        <f t="array" ref="H11396">IFERROR(INDEX(INVESTOR_LIST[INVESTOR NAME],MATCH(I11396,INVESTOR_LIST[INVESTOR CODE],0),)," ")</f>
        <v xml:space="preserve"> </v>
      </c>
      <c r="I11396" s="248" t="s">
        <v>348</v>
      </c>
      <c r="J11396" s="249" t="s">
        <v>95</v>
      </c>
      <c r="K11396" s="250">
        <v>2747.2527472527472</v>
      </c>
      <c r="L11396" s="241"/>
    </row>
    <row r="11397" spans="1:13" x14ac:dyDescent="0.2">
      <c r="A11397" s="242">
        <v>2024</v>
      </c>
      <c r="B11397" s="242">
        <v>7</v>
      </c>
      <c r="C11397" s="242">
        <v>4</v>
      </c>
      <c r="D11397" s="270">
        <f t="shared" si="1636"/>
        <v>45477</v>
      </c>
      <c r="E11397" s="279">
        <f t="shared" si="1637"/>
        <v>45477</v>
      </c>
      <c r="F11397" s="478"/>
      <c r="G11397" s="243" t="s">
        <v>94</v>
      </c>
      <c r="H11397" s="243" t="str" cm="1">
        <f t="array" ref="H11397">IFERROR(INDEX(INVESTOR_LIST[INVESTOR NAME],MATCH(I11397,INVESTOR_LIST[INVESTOR CODE],0),)," ")</f>
        <v xml:space="preserve"> </v>
      </c>
      <c r="I11397" s="263" t="s">
        <v>348</v>
      </c>
      <c r="J11397" s="244" t="s">
        <v>63</v>
      </c>
      <c r="K11397" s="245"/>
      <c r="L11397" s="245">
        <v>2747.2527472527472</v>
      </c>
    </row>
    <row r="11398" spans="1:13" x14ac:dyDescent="0.2">
      <c r="A11398" s="246">
        <v>2024</v>
      </c>
      <c r="B11398" s="238">
        <v>7</v>
      </c>
      <c r="C11398" s="238">
        <v>4</v>
      </c>
      <c r="D11398" s="270">
        <f t="shared" si="1636"/>
        <v>45477</v>
      </c>
      <c r="E11398" s="279">
        <f t="shared" si="1637"/>
        <v>45477</v>
      </c>
      <c r="F11398" s="482" t="s">
        <v>137</v>
      </c>
      <c r="G11398" s="247" t="s">
        <v>94</v>
      </c>
      <c r="H11398" s="247" t="str" cm="1">
        <f t="array" ref="H11398">IFERROR(INDEX(INVESTOR_LIST[INVESTOR NAME],MATCH(I11398,INVESTOR_LIST[INVESTOR CODE],0),)," ")</f>
        <v xml:space="preserve"> </v>
      </c>
      <c r="I11398" s="248" t="s">
        <v>348</v>
      </c>
      <c r="J11398" s="249" t="s">
        <v>97</v>
      </c>
      <c r="K11398" s="250">
        <f>M11398</f>
        <v>52280.789884929727</v>
      </c>
      <c r="L11398" s="252"/>
      <c r="M11398" s="264">
        <v>52280.789884929727</v>
      </c>
    </row>
    <row r="11399" spans="1:13" x14ac:dyDescent="0.2">
      <c r="A11399" s="242">
        <v>2024</v>
      </c>
      <c r="B11399" s="242">
        <v>7</v>
      </c>
      <c r="C11399" s="242">
        <v>4</v>
      </c>
      <c r="D11399" s="270">
        <f t="shared" si="1636"/>
        <v>45477</v>
      </c>
      <c r="E11399" s="279">
        <f t="shared" si="1637"/>
        <v>45477</v>
      </c>
      <c r="F11399" s="478"/>
      <c r="G11399" s="243" t="s">
        <v>94</v>
      </c>
      <c r="H11399" s="243" t="str" cm="1">
        <f t="array" ref="H11399">IFERROR(INDEX(INVESTOR_LIST[INVESTOR NAME],MATCH(I11399,INVESTOR_LIST[INVESTOR CODE],0),)," ")</f>
        <v xml:space="preserve"> </v>
      </c>
      <c r="I11399" s="263" t="s">
        <v>348</v>
      </c>
      <c r="J11399" s="244" t="s">
        <v>47</v>
      </c>
      <c r="K11399" s="245"/>
      <c r="L11399" s="245">
        <f>K11398</f>
        <v>52280.789884929727</v>
      </c>
      <c r="M11399" s="264">
        <v>2373.6548788618707</v>
      </c>
    </row>
    <row r="11400" spans="1:13" x14ac:dyDescent="0.2">
      <c r="A11400" s="246">
        <v>2024</v>
      </c>
      <c r="B11400" s="238">
        <v>7</v>
      </c>
      <c r="C11400" s="238">
        <v>4</v>
      </c>
      <c r="D11400" s="270">
        <f t="shared" si="1636"/>
        <v>45477</v>
      </c>
      <c r="E11400" s="279">
        <f t="shared" si="1637"/>
        <v>45477</v>
      </c>
      <c r="F11400" s="482" t="s">
        <v>138</v>
      </c>
      <c r="G11400" s="247" t="s">
        <v>94</v>
      </c>
      <c r="H11400" s="247" t="str" cm="1">
        <f t="array" ref="H11400">IFERROR(INDEX(INVESTOR_LIST[INVESTOR NAME],MATCH(I11400,INVESTOR_LIST[INVESTOR CODE],0),)," ")</f>
        <v xml:space="preserve"> </v>
      </c>
      <c r="I11400" s="248" t="s">
        <v>348</v>
      </c>
      <c r="J11400" s="249" t="s">
        <v>100</v>
      </c>
      <c r="K11400" s="250">
        <f>M11399</f>
        <v>2373.6548788618707</v>
      </c>
      <c r="L11400" s="252"/>
    </row>
    <row r="11401" spans="1:13" x14ac:dyDescent="0.2">
      <c r="A11401" s="242">
        <v>2024</v>
      </c>
      <c r="B11401" s="242">
        <v>7</v>
      </c>
      <c r="C11401" s="242">
        <v>4</v>
      </c>
      <c r="D11401" s="321">
        <f t="shared" si="1636"/>
        <v>45477</v>
      </c>
      <c r="E11401" s="322">
        <f t="shared" si="1637"/>
        <v>45477</v>
      </c>
      <c r="F11401" s="478"/>
      <c r="G11401" s="243" t="s">
        <v>94</v>
      </c>
      <c r="H11401" s="243" t="str" cm="1">
        <f t="array" ref="H11401">IFERROR(INDEX(INVESTOR_LIST[INVESTOR NAME],MATCH(I11401,INVESTOR_LIST[INVESTOR CODE],0),)," ")</f>
        <v xml:space="preserve"> </v>
      </c>
      <c r="I11401" s="263" t="s">
        <v>348</v>
      </c>
      <c r="J11401" s="244" t="s">
        <v>48</v>
      </c>
      <c r="K11401" s="245"/>
      <c r="L11401" s="245">
        <f>K11400</f>
        <v>2373.6548788618707</v>
      </c>
    </row>
    <row r="11402" spans="1:13" x14ac:dyDescent="0.2">
      <c r="A11402" s="168">
        <v>2024</v>
      </c>
      <c r="B11402" s="168">
        <v>7</v>
      </c>
      <c r="C11402" s="168">
        <v>7</v>
      </c>
      <c r="D11402" s="141">
        <f t="shared" si="1636"/>
        <v>45480</v>
      </c>
      <c r="E11402" s="275">
        <f t="shared" si="1637"/>
        <v>45480</v>
      </c>
      <c r="F11402" s="479" t="s">
        <v>1319</v>
      </c>
      <c r="G11402" s="220" t="s">
        <v>74</v>
      </c>
      <c r="H11402" s="142" t="str" cm="1">
        <f t="array" ref="H11402">IFERROR(INDEX(INVESTOR_LIST[INVESTOR NAME],MATCH(I11402,INVESTOR_LIST[INVESTOR CODE],0),)," ")</f>
        <v xml:space="preserve"> </v>
      </c>
      <c r="I11402" s="142"/>
      <c r="J11402" s="168" t="s">
        <v>52</v>
      </c>
      <c r="K11402" s="226">
        <v>46500</v>
      </c>
      <c r="L11402" s="226"/>
    </row>
    <row r="11403" spans="1:13" x14ac:dyDescent="0.2">
      <c r="A11403" s="133">
        <v>2024</v>
      </c>
      <c r="B11403" s="133">
        <v>7</v>
      </c>
      <c r="C11403" s="133">
        <v>7</v>
      </c>
      <c r="D11403" s="141">
        <f t="shared" si="1636"/>
        <v>45480</v>
      </c>
      <c r="E11403" s="275">
        <f t="shared" si="1637"/>
        <v>45480</v>
      </c>
      <c r="F11403" s="481"/>
      <c r="G11403" s="174" t="s">
        <v>74</v>
      </c>
      <c r="H11403" s="148" t="str" cm="1">
        <f t="array" ref="H11403">IFERROR(INDEX(INVESTOR_LIST[INVESTOR NAME],MATCH(I11403,INVESTOR_LIST[INVESTOR CODE],0),)," ")</f>
        <v xml:space="preserve"> </v>
      </c>
      <c r="J11403" s="133" t="s">
        <v>13</v>
      </c>
      <c r="K11403" s="218"/>
      <c r="L11403" s="218">
        <v>39000</v>
      </c>
    </row>
    <row r="11404" spans="1:13" x14ac:dyDescent="0.2">
      <c r="A11404" s="163">
        <v>2024</v>
      </c>
      <c r="B11404" s="163">
        <v>7</v>
      </c>
      <c r="C11404" s="163">
        <v>7</v>
      </c>
      <c r="D11404" s="280">
        <f t="shared" si="1636"/>
        <v>45480</v>
      </c>
      <c r="E11404" s="281">
        <f t="shared" si="1637"/>
        <v>45480</v>
      </c>
      <c r="F11404" s="480"/>
      <c r="G11404" s="221" t="s">
        <v>74</v>
      </c>
      <c r="H11404" s="145" t="str" cm="1">
        <f t="array" ref="H11404">IFERROR(INDEX(INVESTOR_LIST[INVESTOR NAME],MATCH(I11404,INVESTOR_LIST[INVESTOR CODE],0),)," ")</f>
        <v xml:space="preserve"> </v>
      </c>
      <c r="I11404" s="145"/>
      <c r="J11404" s="163" t="s">
        <v>53</v>
      </c>
      <c r="K11404" s="219"/>
      <c r="L11404" s="219">
        <v>7500</v>
      </c>
    </row>
    <row r="11405" spans="1:13" x14ac:dyDescent="0.2">
      <c r="A11405" s="168">
        <v>2024</v>
      </c>
      <c r="B11405" s="168">
        <v>7</v>
      </c>
      <c r="C11405" s="168">
        <v>9</v>
      </c>
      <c r="D11405" s="141">
        <f t="shared" si="1636"/>
        <v>45482</v>
      </c>
      <c r="E11405" s="275">
        <f t="shared" si="1637"/>
        <v>45482</v>
      </c>
      <c r="F11405" s="479" t="s">
        <v>911</v>
      </c>
      <c r="G11405" s="220" t="s">
        <v>74</v>
      </c>
      <c r="H11405" s="220" t="str" cm="1">
        <f t="array" ref="H11405">IFERROR(INDEX(INVESTOR_LIST[INVESTOR NAME],MATCH(I11405,INVESTOR_LIST[INVESTOR CODE],0),)," ")</f>
        <v xml:space="preserve"> </v>
      </c>
      <c r="I11405" s="142" t="s">
        <v>348</v>
      </c>
      <c r="J11405" s="143" t="s">
        <v>101</v>
      </c>
      <c r="K11405" s="226">
        <v>121449.87</v>
      </c>
      <c r="L11405" s="226"/>
    </row>
    <row r="11406" spans="1:13" x14ac:dyDescent="0.2">
      <c r="A11406" s="133">
        <v>2024</v>
      </c>
      <c r="B11406" s="133">
        <v>7</v>
      </c>
      <c r="C11406" s="133">
        <v>9</v>
      </c>
      <c r="D11406" s="141">
        <f t="shared" si="1636"/>
        <v>45482</v>
      </c>
      <c r="E11406" s="275">
        <f t="shared" si="1637"/>
        <v>45482</v>
      </c>
      <c r="F11406" s="481"/>
      <c r="G11406" s="174" t="s">
        <v>74</v>
      </c>
      <c r="H11406" s="174" t="str" cm="1">
        <f t="array" ref="H11406">IFERROR(INDEX(INVESTOR_LIST[INVESTOR NAME],MATCH(I11406,INVESTOR_LIST[INVESTOR CODE],0),)," ")</f>
        <v xml:space="preserve"> </v>
      </c>
      <c r="J11406" s="149" t="s">
        <v>61</v>
      </c>
      <c r="K11406" s="218">
        <v>115</v>
      </c>
      <c r="L11406" s="218"/>
    </row>
    <row r="11407" spans="1:13" x14ac:dyDescent="0.2">
      <c r="A11407" s="163">
        <v>2024</v>
      </c>
      <c r="B11407" s="163">
        <v>7</v>
      </c>
      <c r="C11407" s="163">
        <v>9</v>
      </c>
      <c r="D11407" s="280">
        <f t="shared" si="1636"/>
        <v>45482</v>
      </c>
      <c r="E11407" s="281">
        <f t="shared" si="1637"/>
        <v>45482</v>
      </c>
      <c r="F11407" s="480"/>
      <c r="G11407" s="221" t="s">
        <v>74</v>
      </c>
      <c r="H11407" s="221" t="str" cm="1">
        <f t="array" ref="H11407">IFERROR(INDEX(INVESTOR_LIST[INVESTOR NAME],MATCH(I11407,INVESTOR_LIST[INVESTOR CODE],0),)," ")</f>
        <v xml:space="preserve"> </v>
      </c>
      <c r="I11407" s="145" t="s">
        <v>348</v>
      </c>
      <c r="J11407" s="146" t="s">
        <v>52</v>
      </c>
      <c r="K11407" s="219"/>
      <c r="L11407" s="219">
        <v>121564.87</v>
      </c>
    </row>
    <row r="11408" spans="1:13" x14ac:dyDescent="0.2">
      <c r="A11408" s="133">
        <v>2024</v>
      </c>
      <c r="B11408" s="133">
        <v>7</v>
      </c>
      <c r="C11408" s="133">
        <v>9</v>
      </c>
      <c r="D11408" s="141">
        <f t="shared" si="1636"/>
        <v>45482</v>
      </c>
      <c r="E11408" s="275">
        <f t="shared" si="1637"/>
        <v>45482</v>
      </c>
      <c r="F11408" s="481" t="s">
        <v>1753</v>
      </c>
      <c r="G11408" s="174" t="s">
        <v>94</v>
      </c>
      <c r="H11408" s="174" t="str" cm="1">
        <f t="array" ref="H11408">IFERROR(INDEX(INVESTOR_LIST[INVESTOR NAME],MATCH(I11408,INVESTOR_LIST[INVESTOR CODE],0),)," ")</f>
        <v xml:space="preserve"> </v>
      </c>
      <c r="J11408" s="149" t="s">
        <v>190</v>
      </c>
      <c r="K11408" s="218">
        <v>1967475.66</v>
      </c>
      <c r="L11408" s="218"/>
      <c r="M11408" s="160"/>
    </row>
    <row r="11409" spans="1:14" x14ac:dyDescent="0.2">
      <c r="A11409" s="133">
        <v>2024</v>
      </c>
      <c r="B11409" s="133">
        <v>7</v>
      </c>
      <c r="C11409" s="133">
        <v>9</v>
      </c>
      <c r="D11409" s="141">
        <f t="shared" si="1636"/>
        <v>45482</v>
      </c>
      <c r="E11409" s="275">
        <f t="shared" si="1637"/>
        <v>45482</v>
      </c>
      <c r="F11409" s="481"/>
      <c r="G11409" s="174" t="s">
        <v>94</v>
      </c>
      <c r="H11409" s="174" t="str" cm="1">
        <f t="array" ref="H11409">IFERROR(INDEX(INVESTOR_LIST[INVESTOR NAME],MATCH(I11409,INVESTOR_LIST[INVESTOR CODE],0),)," ")</f>
        <v xml:space="preserve"> </v>
      </c>
      <c r="J11409" s="149" t="s">
        <v>80</v>
      </c>
      <c r="K11409" s="218">
        <v>3547.84</v>
      </c>
      <c r="L11409" s="218"/>
      <c r="N11409" s="264"/>
    </row>
    <row r="11410" spans="1:14" x14ac:dyDescent="0.2">
      <c r="A11410" s="133">
        <v>2024</v>
      </c>
      <c r="B11410" s="133">
        <v>7</v>
      </c>
      <c r="C11410" s="133">
        <v>9</v>
      </c>
      <c r="D11410" s="141">
        <f t="shared" si="1636"/>
        <v>45482</v>
      </c>
      <c r="E11410" s="275">
        <f t="shared" si="1637"/>
        <v>45482</v>
      </c>
      <c r="F11410" s="481"/>
      <c r="G11410" s="174" t="s">
        <v>94</v>
      </c>
      <c r="H11410" s="174" t="str" cm="1">
        <f t="array" ref="H11410">IFERROR(INDEX(INVESTOR_LIST[INVESTOR NAME],MATCH(I11410,INVESTOR_LIST[INVESTOR CODE],0),)," ")</f>
        <v xml:space="preserve"> </v>
      </c>
      <c r="J11410" s="149" t="s">
        <v>191</v>
      </c>
      <c r="K11410" s="218">
        <v>231382.15</v>
      </c>
      <c r="L11410" s="218"/>
      <c r="N11410" s="264"/>
    </row>
    <row r="11411" spans="1:14" x14ac:dyDescent="0.2">
      <c r="A11411" s="163">
        <v>2024</v>
      </c>
      <c r="B11411" s="163">
        <v>7</v>
      </c>
      <c r="C11411" s="163">
        <v>9</v>
      </c>
      <c r="D11411" s="280">
        <f t="shared" si="1636"/>
        <v>45482</v>
      </c>
      <c r="E11411" s="281">
        <f t="shared" si="1637"/>
        <v>45482</v>
      </c>
      <c r="F11411" s="480"/>
      <c r="G11411" s="221" t="s">
        <v>94</v>
      </c>
      <c r="H11411" s="145" t="str" cm="1">
        <f t="array" ref="H11411">IFERROR(INDEX(INVESTOR_LIST[INVESTOR NAME],MATCH(I11411,INVESTOR_LIST[INVESTOR CODE],0),)," ")</f>
        <v xml:space="preserve"> </v>
      </c>
      <c r="I11411" s="145"/>
      <c r="J11411" s="163" t="s">
        <v>79</v>
      </c>
      <c r="K11411" s="219"/>
      <c r="L11411" s="219">
        <v>2202405.65</v>
      </c>
      <c r="N11411" s="264"/>
    </row>
    <row r="11412" spans="1:14" x14ac:dyDescent="0.2">
      <c r="A11412" s="133">
        <v>2024</v>
      </c>
      <c r="B11412" s="133">
        <v>7</v>
      </c>
      <c r="C11412" s="133">
        <v>9</v>
      </c>
      <c r="D11412" s="141">
        <f t="shared" ref="D11412:D11415" si="1638">DATE(A11412,B11412,C11412)</f>
        <v>45482</v>
      </c>
      <c r="E11412" s="275">
        <f t="shared" ref="E11412:E11415" si="1639">DATE(A11412,B11412,C11412)</f>
        <v>45482</v>
      </c>
      <c r="F11412" s="481" t="s">
        <v>1958</v>
      </c>
      <c r="G11412" s="174" t="s">
        <v>94</v>
      </c>
      <c r="H11412" s="174" t="str" cm="1">
        <f t="array" ref="H11412">IFERROR(INDEX(INVESTOR_LIST[INVESTOR NAME],MATCH(I11412,INVESTOR_LIST[INVESTOR CODE],0),)," ")</f>
        <v xml:space="preserve"> </v>
      </c>
      <c r="J11412" s="149" t="s">
        <v>190</v>
      </c>
      <c r="K11412" s="218">
        <v>912155.16</v>
      </c>
      <c r="L11412" s="218"/>
      <c r="M11412" s="160"/>
    </row>
    <row r="11413" spans="1:14" x14ac:dyDescent="0.2">
      <c r="A11413" s="133">
        <v>2024</v>
      </c>
      <c r="B11413" s="133">
        <v>7</v>
      </c>
      <c r="C11413" s="133">
        <v>9</v>
      </c>
      <c r="D11413" s="141">
        <f t="shared" si="1638"/>
        <v>45482</v>
      </c>
      <c r="E11413" s="275">
        <f t="shared" si="1639"/>
        <v>45482</v>
      </c>
      <c r="F11413" s="481"/>
      <c r="G11413" s="174" t="s">
        <v>94</v>
      </c>
      <c r="H11413" s="174" t="str" cm="1">
        <f t="array" ref="H11413">IFERROR(INDEX(INVESTOR_LIST[INVESTOR NAME],MATCH(I11413,INVESTOR_LIST[INVESTOR CODE],0),)," ")</f>
        <v xml:space="preserve"> </v>
      </c>
      <c r="J11413" s="149" t="s">
        <v>80</v>
      </c>
      <c r="K11413" s="218">
        <v>1644.84</v>
      </c>
      <c r="L11413" s="218"/>
      <c r="N11413" s="264"/>
    </row>
    <row r="11414" spans="1:14" x14ac:dyDescent="0.2">
      <c r="A11414" s="133">
        <v>2024</v>
      </c>
      <c r="B11414" s="133">
        <v>7</v>
      </c>
      <c r="C11414" s="133">
        <v>9</v>
      </c>
      <c r="D11414" s="141">
        <f t="shared" si="1638"/>
        <v>45482</v>
      </c>
      <c r="E11414" s="275">
        <f t="shared" si="1639"/>
        <v>45482</v>
      </c>
      <c r="F11414" s="481"/>
      <c r="G11414" s="174" t="s">
        <v>94</v>
      </c>
      <c r="H11414" s="174" t="str" cm="1">
        <f t="array" ref="H11414">IFERROR(INDEX(INVESTOR_LIST[INVESTOR NAME],MATCH(I11414,INVESTOR_LIST[INVESTOR CODE],0),)," ")</f>
        <v xml:space="preserve"> </v>
      </c>
      <c r="J11414" s="149" t="s">
        <v>191</v>
      </c>
      <c r="K11414" s="218">
        <v>37439.050000000003</v>
      </c>
      <c r="L11414" s="218"/>
      <c r="N11414" s="264"/>
    </row>
    <row r="11415" spans="1:14" x14ac:dyDescent="0.2">
      <c r="A11415" s="163">
        <v>2024</v>
      </c>
      <c r="B11415" s="163">
        <v>7</v>
      </c>
      <c r="C11415" s="163">
        <v>9</v>
      </c>
      <c r="D11415" s="280">
        <f t="shared" si="1638"/>
        <v>45482</v>
      </c>
      <c r="E11415" s="281">
        <f t="shared" si="1639"/>
        <v>45482</v>
      </c>
      <c r="F11415" s="480"/>
      <c r="G11415" s="221" t="s">
        <v>94</v>
      </c>
      <c r="H11415" s="145" t="str" cm="1">
        <f t="array" ref="H11415">IFERROR(INDEX(INVESTOR_LIST[INVESTOR NAME],MATCH(I11415,INVESTOR_LIST[INVESTOR CODE],0),)," ")</f>
        <v xml:space="preserve"> </v>
      </c>
      <c r="I11415" s="145"/>
      <c r="J11415" s="163" t="s">
        <v>79</v>
      </c>
      <c r="K11415" s="219"/>
      <c r="L11415" s="219">
        <v>951239.05</v>
      </c>
      <c r="N11415" s="264"/>
    </row>
    <row r="11416" spans="1:14" ht="22.5" x14ac:dyDescent="0.2">
      <c r="A11416" s="168">
        <v>2024</v>
      </c>
      <c r="B11416" s="168">
        <v>7</v>
      </c>
      <c r="C11416" s="168">
        <v>10</v>
      </c>
      <c r="D11416" s="141">
        <f t="shared" ref="D11416:D11418" si="1640">DATE(A11416,B11416,C11416)</f>
        <v>45483</v>
      </c>
      <c r="E11416" s="275">
        <f t="shared" ref="E11416:E11418" si="1641">DATE(A11416,B11416,C11416)</f>
        <v>45483</v>
      </c>
      <c r="F11416" s="479" t="s">
        <v>1315</v>
      </c>
      <c r="G11416" s="220" t="s">
        <v>74</v>
      </c>
      <c r="H11416" s="142" t="str" cm="1">
        <f t="array" ref="H11416">IFERROR(INDEX(INVESTOR_LIST[INVESTOR NAME],MATCH(I11416,INVESTOR_LIST[INVESTOR CODE],0),)," ")</f>
        <v>TAPU GUHA</v>
      </c>
      <c r="I11416" s="142" t="s">
        <v>670</v>
      </c>
      <c r="J11416" s="168" t="s">
        <v>13</v>
      </c>
      <c r="K11416" s="226">
        <v>1770</v>
      </c>
      <c r="L11416" s="226"/>
    </row>
    <row r="11417" spans="1:14" ht="22.5" x14ac:dyDescent="0.2">
      <c r="A11417" s="133">
        <v>2024</v>
      </c>
      <c r="B11417" s="133">
        <v>7</v>
      </c>
      <c r="C11417" s="133">
        <v>10</v>
      </c>
      <c r="D11417" s="141">
        <f t="shared" si="1640"/>
        <v>45483</v>
      </c>
      <c r="E11417" s="275">
        <f t="shared" si="1641"/>
        <v>45483</v>
      </c>
      <c r="F11417" s="481"/>
      <c r="G11417" s="174" t="s">
        <v>74</v>
      </c>
      <c r="H11417" s="148" t="str" cm="1">
        <f t="array" ref="H11417">IFERROR(INDEX(INVESTOR_LIST[INVESTOR NAME],MATCH(I11417,INVESTOR_LIST[INVESTOR CODE],0),)," ")</f>
        <v>TAPU GUHA</v>
      </c>
      <c r="I11417" s="148" t="s">
        <v>670</v>
      </c>
      <c r="J11417" s="133" t="s">
        <v>53</v>
      </c>
      <c r="K11417" s="218">
        <v>340.73</v>
      </c>
      <c r="L11417" s="218"/>
    </row>
    <row r="11418" spans="1:14" ht="22.5" x14ac:dyDescent="0.2">
      <c r="A11418" s="163">
        <v>2024</v>
      </c>
      <c r="B11418" s="163">
        <v>7</v>
      </c>
      <c r="C11418" s="163">
        <v>10</v>
      </c>
      <c r="D11418" s="280">
        <f t="shared" si="1640"/>
        <v>45483</v>
      </c>
      <c r="E11418" s="281">
        <f t="shared" si="1641"/>
        <v>45483</v>
      </c>
      <c r="F11418" s="480"/>
      <c r="G11418" s="221" t="s">
        <v>74</v>
      </c>
      <c r="H11418" s="145" t="str" cm="1">
        <f t="array" ref="H11418">IFERROR(INDEX(INVESTOR_LIST[INVESTOR NAME],MATCH(I11418,INVESTOR_LIST[INVESTOR CODE],0),)," ")</f>
        <v>TAPU GUHA</v>
      </c>
      <c r="I11418" s="145" t="s">
        <v>670</v>
      </c>
      <c r="J11418" s="163" t="s">
        <v>52</v>
      </c>
      <c r="K11418" s="219"/>
      <c r="L11418" s="219">
        <v>2110.73</v>
      </c>
    </row>
    <row r="11419" spans="1:14" ht="22.5" x14ac:dyDescent="0.2">
      <c r="A11419" s="168">
        <v>2024</v>
      </c>
      <c r="B11419" s="168">
        <v>7</v>
      </c>
      <c r="C11419" s="168">
        <v>10</v>
      </c>
      <c r="D11419" s="141">
        <f t="shared" ref="D11419:D11421" si="1642">DATE(A11419,B11419,C11419)</f>
        <v>45483</v>
      </c>
      <c r="E11419" s="275">
        <f t="shared" ref="E11419:E11421" si="1643">DATE(A11419,B11419,C11419)</f>
        <v>45483</v>
      </c>
      <c r="F11419" s="479" t="s">
        <v>1315</v>
      </c>
      <c r="G11419" s="220" t="s">
        <v>74</v>
      </c>
      <c r="H11419" s="142" t="str" cm="1">
        <f t="array" ref="H11419">IFERROR(INDEX(INVESTOR_LIST[INVESTOR NAME],MATCH(I11419,INVESTOR_LIST[INVESTOR CODE],0),)," ")</f>
        <v>TAPU GUHA</v>
      </c>
      <c r="I11419" s="142" t="s">
        <v>670</v>
      </c>
      <c r="J11419" s="168" t="s">
        <v>13</v>
      </c>
      <c r="K11419" s="226">
        <v>83860</v>
      </c>
      <c r="L11419" s="226"/>
    </row>
    <row r="11420" spans="1:14" ht="22.5" x14ac:dyDescent="0.2">
      <c r="A11420" s="133">
        <v>2024</v>
      </c>
      <c r="B11420" s="133">
        <v>7</v>
      </c>
      <c r="C11420" s="133">
        <v>10</v>
      </c>
      <c r="D11420" s="141">
        <f t="shared" si="1642"/>
        <v>45483</v>
      </c>
      <c r="E11420" s="275">
        <f t="shared" si="1643"/>
        <v>45483</v>
      </c>
      <c r="F11420" s="481"/>
      <c r="G11420" s="174" t="s">
        <v>74</v>
      </c>
      <c r="H11420" s="148" t="str" cm="1">
        <f t="array" ref="H11420">IFERROR(INDEX(INVESTOR_LIST[INVESTOR NAME],MATCH(I11420,INVESTOR_LIST[INVESTOR CODE],0),)," ")</f>
        <v>TAPU GUHA</v>
      </c>
      <c r="I11420" s="148" t="s">
        <v>670</v>
      </c>
      <c r="J11420" s="133" t="s">
        <v>53</v>
      </c>
      <c r="K11420" s="218">
        <v>16140</v>
      </c>
      <c r="L11420" s="218"/>
    </row>
    <row r="11421" spans="1:14" ht="22.5" x14ac:dyDescent="0.2">
      <c r="A11421" s="163">
        <v>2024</v>
      </c>
      <c r="B11421" s="163">
        <v>7</v>
      </c>
      <c r="C11421" s="163">
        <v>10</v>
      </c>
      <c r="D11421" s="280">
        <f t="shared" si="1642"/>
        <v>45483</v>
      </c>
      <c r="E11421" s="281">
        <f t="shared" si="1643"/>
        <v>45483</v>
      </c>
      <c r="F11421" s="480"/>
      <c r="G11421" s="221" t="s">
        <v>74</v>
      </c>
      <c r="H11421" s="145" t="str" cm="1">
        <f t="array" ref="H11421">IFERROR(INDEX(INVESTOR_LIST[INVESTOR NAME],MATCH(I11421,INVESTOR_LIST[INVESTOR CODE],0),)," ")</f>
        <v>TAPU GUHA</v>
      </c>
      <c r="I11421" s="145" t="s">
        <v>670</v>
      </c>
      <c r="J11421" s="163" t="s">
        <v>52</v>
      </c>
      <c r="K11421" s="219"/>
      <c r="L11421" s="219">
        <v>100000</v>
      </c>
    </row>
    <row r="11422" spans="1:14" ht="56.25" x14ac:dyDescent="0.2">
      <c r="A11422" s="168">
        <v>2024</v>
      </c>
      <c r="B11422" s="168">
        <v>7</v>
      </c>
      <c r="C11422" s="168">
        <v>11</v>
      </c>
      <c r="D11422" s="141">
        <f t="shared" ref="D11422:D11424" si="1644">DATE(A11422,B11422,C11422)</f>
        <v>45484</v>
      </c>
      <c r="E11422" s="275">
        <f t="shared" ref="E11422:E11424" si="1645">DATE(A11422,B11422,C11422)</f>
        <v>45484</v>
      </c>
      <c r="F11422" s="479" t="s">
        <v>1315</v>
      </c>
      <c r="G11422" s="220" t="s">
        <v>74</v>
      </c>
      <c r="H11422" s="142" t="str" cm="1">
        <f t="array" ref="H11422">IFERROR(INDEX(INVESTOR_LIST[INVESTOR NAME],MATCH(I11422,INVESTOR_LIST[INVESTOR CODE],0),)," ")</f>
        <v>GREEN DELTA SECURITIES LIMITED</v>
      </c>
      <c r="I11422" s="142" t="s">
        <v>684</v>
      </c>
      <c r="J11422" s="168" t="s">
        <v>13</v>
      </c>
      <c r="K11422" s="226">
        <v>803210</v>
      </c>
      <c r="L11422" s="226"/>
    </row>
    <row r="11423" spans="1:14" ht="56.25" x14ac:dyDescent="0.2">
      <c r="A11423" s="133">
        <v>2024</v>
      </c>
      <c r="B11423" s="133">
        <v>7</v>
      </c>
      <c r="C11423" s="133">
        <v>11</v>
      </c>
      <c r="D11423" s="141">
        <f t="shared" si="1644"/>
        <v>45484</v>
      </c>
      <c r="E11423" s="275">
        <f t="shared" si="1645"/>
        <v>45484</v>
      </c>
      <c r="F11423" s="481"/>
      <c r="G11423" s="174" t="s">
        <v>74</v>
      </c>
      <c r="H11423" s="148" t="str" cm="1">
        <f t="array" ref="H11423">IFERROR(INDEX(INVESTOR_LIST[INVESTOR NAME],MATCH(I11423,INVESTOR_LIST[INVESTOR CODE],0),)," ")</f>
        <v>GREEN DELTA SECURITIES LIMITED</v>
      </c>
      <c r="I11423" s="148" t="s">
        <v>684</v>
      </c>
      <c r="J11423" s="133" t="s">
        <v>53</v>
      </c>
      <c r="K11423" s="218">
        <v>154617.93000000005</v>
      </c>
      <c r="L11423" s="218"/>
    </row>
    <row r="11424" spans="1:14" ht="56.25" x14ac:dyDescent="0.2">
      <c r="A11424" s="163">
        <v>2024</v>
      </c>
      <c r="B11424" s="163">
        <v>7</v>
      </c>
      <c r="C11424" s="163">
        <v>11</v>
      </c>
      <c r="D11424" s="280">
        <f t="shared" si="1644"/>
        <v>45484</v>
      </c>
      <c r="E11424" s="281">
        <f t="shared" si="1645"/>
        <v>45484</v>
      </c>
      <c r="F11424" s="480"/>
      <c r="G11424" s="221" t="s">
        <v>74</v>
      </c>
      <c r="H11424" s="145" t="str" cm="1">
        <f t="array" ref="H11424">IFERROR(INDEX(INVESTOR_LIST[INVESTOR NAME],MATCH(I11424,INVESTOR_LIST[INVESTOR CODE],0),)," ")</f>
        <v>GREEN DELTA SECURITIES LIMITED</v>
      </c>
      <c r="I11424" s="145" t="s">
        <v>684</v>
      </c>
      <c r="J11424" s="163" t="s">
        <v>52</v>
      </c>
      <c r="K11424" s="219"/>
      <c r="L11424" s="219">
        <v>957827.93</v>
      </c>
    </row>
    <row r="11425" spans="1:14" ht="33.75" x14ac:dyDescent="0.2">
      <c r="A11425" s="168">
        <v>2024</v>
      </c>
      <c r="B11425" s="168">
        <v>7</v>
      </c>
      <c r="C11425" s="168">
        <v>11</v>
      </c>
      <c r="D11425" s="141">
        <f t="shared" ref="D11425:D11431" si="1646">DATE(A11425,B11425,C11425)</f>
        <v>45484</v>
      </c>
      <c r="E11425" s="275">
        <f t="shared" ref="E11425:E11431" si="1647">DATE(A11425,B11425,C11425)</f>
        <v>45484</v>
      </c>
      <c r="F11425" s="479" t="s">
        <v>1315</v>
      </c>
      <c r="G11425" s="220" t="s">
        <v>74</v>
      </c>
      <c r="H11425" s="142" t="str" cm="1">
        <f t="array" ref="H11425">IFERROR(INDEX(INVESTOR_LIST[INVESTOR NAME],MATCH(I11425,INVESTOR_LIST[INVESTOR CODE],0),)," ")</f>
        <v>AHMAD ZAHID ZAKI</v>
      </c>
      <c r="I11425" s="142" t="s">
        <v>432</v>
      </c>
      <c r="J11425" s="168" t="s">
        <v>13</v>
      </c>
      <c r="K11425" s="226">
        <v>83490</v>
      </c>
      <c r="L11425" s="226"/>
    </row>
    <row r="11426" spans="1:14" ht="33.75" x14ac:dyDescent="0.2">
      <c r="A11426" s="133">
        <v>2024</v>
      </c>
      <c r="B11426" s="133">
        <v>7</v>
      </c>
      <c r="C11426" s="133">
        <v>11</v>
      </c>
      <c r="D11426" s="141">
        <f t="shared" si="1646"/>
        <v>45484</v>
      </c>
      <c r="E11426" s="275">
        <f t="shared" si="1647"/>
        <v>45484</v>
      </c>
      <c r="F11426" s="481"/>
      <c r="G11426" s="174" t="s">
        <v>74</v>
      </c>
      <c r="H11426" s="148" t="str" cm="1">
        <f t="array" ref="H11426">IFERROR(INDEX(INVESTOR_LIST[INVESTOR NAME],MATCH(I11426,INVESTOR_LIST[INVESTOR CODE],0),)," ")</f>
        <v>AHMAD ZAHID ZAKI</v>
      </c>
      <c r="I11426" s="148" t="s">
        <v>432</v>
      </c>
      <c r="J11426" s="133" t="s">
        <v>53</v>
      </c>
      <c r="K11426" s="218">
        <v>16071.83</v>
      </c>
      <c r="L11426" s="218"/>
    </row>
    <row r="11427" spans="1:14" ht="33.75" x14ac:dyDescent="0.2">
      <c r="A11427" s="163">
        <v>2024</v>
      </c>
      <c r="B11427" s="163">
        <v>7</v>
      </c>
      <c r="C11427" s="163">
        <v>11</v>
      </c>
      <c r="D11427" s="280">
        <f t="shared" si="1646"/>
        <v>45484</v>
      </c>
      <c r="E11427" s="281">
        <f t="shared" si="1647"/>
        <v>45484</v>
      </c>
      <c r="F11427" s="480"/>
      <c r="G11427" s="221" t="s">
        <v>74</v>
      </c>
      <c r="H11427" s="145" t="str" cm="1">
        <f t="array" ref="H11427">IFERROR(INDEX(INVESTOR_LIST[INVESTOR NAME],MATCH(I11427,INVESTOR_LIST[INVESTOR CODE],0),)," ")</f>
        <v>AHMAD ZAHID ZAKI</v>
      </c>
      <c r="I11427" s="145" t="s">
        <v>432</v>
      </c>
      <c r="J11427" s="163" t="s">
        <v>52</v>
      </c>
      <c r="K11427" s="219"/>
      <c r="L11427" s="219">
        <v>99561.83</v>
      </c>
    </row>
    <row r="11428" spans="1:14" x14ac:dyDescent="0.2">
      <c r="A11428" s="133">
        <v>2024</v>
      </c>
      <c r="B11428" s="133">
        <v>7</v>
      </c>
      <c r="C11428" s="133">
        <v>11</v>
      </c>
      <c r="D11428" s="141">
        <f t="shared" si="1646"/>
        <v>45484</v>
      </c>
      <c r="E11428" s="275">
        <f t="shared" si="1647"/>
        <v>45484</v>
      </c>
      <c r="F11428" s="481" t="s">
        <v>1958</v>
      </c>
      <c r="G11428" s="174" t="s">
        <v>94</v>
      </c>
      <c r="H11428" s="174" t="str" cm="1">
        <f t="array" ref="H11428">IFERROR(INDEX(INVESTOR_LIST[INVESTOR NAME],MATCH(I11428,INVESTOR_LIST[INVESTOR CODE],0),)," ")</f>
        <v xml:space="preserve"> </v>
      </c>
      <c r="J11428" s="149" t="s">
        <v>190</v>
      </c>
      <c r="K11428" s="218">
        <v>669000.72</v>
      </c>
      <c r="L11428" s="218"/>
      <c r="M11428" s="160"/>
    </row>
    <row r="11429" spans="1:14" x14ac:dyDescent="0.2">
      <c r="A11429" s="133">
        <v>2024</v>
      </c>
      <c r="B11429" s="133">
        <v>7</v>
      </c>
      <c r="C11429" s="133">
        <v>11</v>
      </c>
      <c r="D11429" s="141">
        <f t="shared" si="1646"/>
        <v>45484</v>
      </c>
      <c r="E11429" s="275">
        <f t="shared" si="1647"/>
        <v>45484</v>
      </c>
      <c r="F11429" s="481"/>
      <c r="G11429" s="174" t="s">
        <v>94</v>
      </c>
      <c r="H11429" s="174" t="str" cm="1">
        <f t="array" ref="H11429">IFERROR(INDEX(INVESTOR_LIST[INVESTOR NAME],MATCH(I11429,INVESTOR_LIST[INVESTOR CODE],0),)," ")</f>
        <v xml:space="preserve"> </v>
      </c>
      <c r="J11429" s="149" t="s">
        <v>80</v>
      </c>
      <c r="K11429" s="218">
        <v>1206.3800000000001</v>
      </c>
      <c r="L11429" s="218"/>
      <c r="N11429" s="264"/>
    </row>
    <row r="11430" spans="1:14" x14ac:dyDescent="0.2">
      <c r="A11430" s="133">
        <v>2024</v>
      </c>
      <c r="B11430" s="133">
        <v>7</v>
      </c>
      <c r="C11430" s="133">
        <v>11</v>
      </c>
      <c r="D11430" s="141">
        <f t="shared" si="1646"/>
        <v>45484</v>
      </c>
      <c r="E11430" s="275">
        <f t="shared" si="1647"/>
        <v>45484</v>
      </c>
      <c r="F11430" s="481"/>
      <c r="G11430" s="174" t="s">
        <v>94</v>
      </c>
      <c r="H11430" s="174" t="str" cm="1">
        <f t="array" ref="H11430">IFERROR(INDEX(INVESTOR_LIST[INVESTOR NAME],MATCH(I11430,INVESTOR_LIST[INVESTOR CODE],0),)," ")</f>
        <v xml:space="preserve"> </v>
      </c>
      <c r="J11430" s="149" t="s">
        <v>191</v>
      </c>
      <c r="K11430" s="218">
        <v>139095.65</v>
      </c>
      <c r="L11430" s="218"/>
      <c r="N11430" s="264"/>
    </row>
    <row r="11431" spans="1:14" x14ac:dyDescent="0.2">
      <c r="A11431" s="163">
        <v>2024</v>
      </c>
      <c r="B11431" s="163">
        <v>7</v>
      </c>
      <c r="C11431" s="163">
        <v>11</v>
      </c>
      <c r="D11431" s="280">
        <f t="shared" si="1646"/>
        <v>45484</v>
      </c>
      <c r="E11431" s="281">
        <f t="shared" si="1647"/>
        <v>45484</v>
      </c>
      <c r="F11431" s="480"/>
      <c r="G11431" s="221" t="s">
        <v>94</v>
      </c>
      <c r="H11431" s="145" t="str" cm="1">
        <f t="array" ref="H11431">IFERROR(INDEX(INVESTOR_LIST[INVESTOR NAME],MATCH(I11431,INVESTOR_LIST[INVESTOR CODE],0),)," ")</f>
        <v xml:space="preserve"> </v>
      </c>
      <c r="I11431" s="145"/>
      <c r="J11431" s="163" t="s">
        <v>79</v>
      </c>
      <c r="K11431" s="219"/>
      <c r="L11431" s="219">
        <v>809302.75</v>
      </c>
      <c r="N11431" s="264"/>
    </row>
    <row r="11432" spans="1:14" ht="11.25" customHeight="1" x14ac:dyDescent="0.2">
      <c r="A11432" s="168">
        <v>2024</v>
      </c>
      <c r="B11432" s="168">
        <v>7</v>
      </c>
      <c r="C11432" s="168">
        <v>11</v>
      </c>
      <c r="D11432" s="141">
        <f>DATE(A11432,B11432,C11432)</f>
        <v>45484</v>
      </c>
      <c r="E11432" s="275">
        <f>DATE(A11432,B11432,C11432)</f>
        <v>45484</v>
      </c>
      <c r="F11432" s="479" t="s">
        <v>1959</v>
      </c>
      <c r="G11432" s="220" t="s">
        <v>74</v>
      </c>
      <c r="H11432" s="220" t="str" cm="1">
        <f t="array" ref="H11432">IFERROR(INDEX(INVESTOR_LIST[INVESTOR NAME],MATCH(I11432,INVESTOR_LIST[INVESTOR CODE],0),)," ")</f>
        <v xml:space="preserve"> </v>
      </c>
      <c r="I11432" s="142"/>
      <c r="J11432" s="143" t="s">
        <v>52</v>
      </c>
      <c r="K11432" s="226">
        <v>912155.16</v>
      </c>
      <c r="L11432" s="226"/>
    </row>
    <row r="11433" spans="1:14" x14ac:dyDescent="0.2">
      <c r="A11433" s="163">
        <v>2024</v>
      </c>
      <c r="B11433" s="163">
        <v>7</v>
      </c>
      <c r="C11433" s="163">
        <v>11</v>
      </c>
      <c r="D11433" s="280">
        <f>DATE(A11433,B11433,C11433)</f>
        <v>45484</v>
      </c>
      <c r="E11433" s="281">
        <f>DATE(A11433,B11433,C11433)</f>
        <v>45484</v>
      </c>
      <c r="F11433" s="480"/>
      <c r="G11433" s="221" t="s">
        <v>74</v>
      </c>
      <c r="H11433" s="221" t="str" cm="1">
        <f t="array" ref="H11433">IFERROR(INDEX(INVESTOR_LIST[INVESTOR NAME],MATCH(I11433,INVESTOR_LIST[INVESTOR CODE],0),)," ")</f>
        <v xml:space="preserve"> </v>
      </c>
      <c r="I11433" s="145"/>
      <c r="J11433" s="146" t="s">
        <v>190</v>
      </c>
      <c r="K11433" s="219"/>
      <c r="L11433" s="219">
        <v>912155.16</v>
      </c>
    </row>
    <row r="11434" spans="1:14" x14ac:dyDescent="0.2">
      <c r="A11434" s="325">
        <v>2024</v>
      </c>
      <c r="B11434" s="325">
        <v>7</v>
      </c>
      <c r="C11434" s="325">
        <v>11</v>
      </c>
      <c r="D11434" s="326">
        <f t="shared" ref="D11434:D11462" si="1648">DATE(A11434,B11434,C11434)</f>
        <v>45484</v>
      </c>
      <c r="E11434" s="327">
        <f t="shared" ref="E11434:E11462" si="1649">DATE(A11434,B11434,C11434)</f>
        <v>45484</v>
      </c>
      <c r="F11434" s="473" t="s">
        <v>1940</v>
      </c>
      <c r="G11434" s="340" t="s">
        <v>94</v>
      </c>
      <c r="H11434" s="340" t="str" cm="1">
        <f t="array" ref="H11434">IFERROR(INDEX(INVESTOR_LIST[INVESTOR NAME],MATCH(I11434,INVESTOR_LIST[INVESTOR CODE],0),)," ")</f>
        <v xml:space="preserve"> </v>
      </c>
      <c r="I11434" s="341" t="s">
        <v>348</v>
      </c>
      <c r="J11434" s="374" t="s">
        <v>133</v>
      </c>
      <c r="K11434" s="375">
        <v>12905.555555555549</v>
      </c>
      <c r="L11434" s="375"/>
    </row>
    <row r="11435" spans="1:14" x14ac:dyDescent="0.2">
      <c r="A11435" s="331">
        <v>2024</v>
      </c>
      <c r="B11435" s="331">
        <v>7</v>
      </c>
      <c r="C11435" s="331">
        <v>11</v>
      </c>
      <c r="D11435" s="326">
        <f t="shared" si="1648"/>
        <v>45484</v>
      </c>
      <c r="E11435" s="327">
        <f t="shared" si="1649"/>
        <v>45484</v>
      </c>
      <c r="F11435" s="474"/>
      <c r="G11435" s="332" t="s">
        <v>94</v>
      </c>
      <c r="H11435" s="332" t="str" cm="1">
        <f t="array" ref="H11435">IFERROR(INDEX(INVESTOR_LIST[INVESTOR NAME],MATCH(I11435,INVESTOR_LIST[INVESTOR CODE],0),)," ")</f>
        <v xml:space="preserve"> </v>
      </c>
      <c r="I11435" s="333" t="s">
        <v>348</v>
      </c>
      <c r="J11435" s="376" t="s">
        <v>60</v>
      </c>
      <c r="K11435" s="334"/>
      <c r="L11435" s="334">
        <v>12905.555555555549</v>
      </c>
    </row>
    <row r="11436" spans="1:14" x14ac:dyDescent="0.2">
      <c r="A11436" s="343">
        <v>2024</v>
      </c>
      <c r="B11436" s="343">
        <v>7</v>
      </c>
      <c r="C11436" s="343">
        <v>11</v>
      </c>
      <c r="D11436" s="344">
        <f t="shared" si="1648"/>
        <v>45484</v>
      </c>
      <c r="E11436" s="345">
        <f t="shared" si="1649"/>
        <v>45484</v>
      </c>
      <c r="F11436" s="483" t="s">
        <v>1813</v>
      </c>
      <c r="G11436" s="350" t="s">
        <v>94</v>
      </c>
      <c r="H11436" s="350" t="str" cm="1">
        <f t="array" ref="H11436">IFERROR(INDEX(INVESTOR_LIST[INVESTOR NAME],MATCH(I11436,INVESTOR_LIST[INVESTOR CODE],0),)," ")</f>
        <v xml:space="preserve"> </v>
      </c>
      <c r="I11436" s="352" t="s">
        <v>348</v>
      </c>
      <c r="J11436" s="353" t="s">
        <v>1798</v>
      </c>
      <c r="K11436" s="354">
        <v>24527</v>
      </c>
      <c r="L11436" s="354"/>
    </row>
    <row r="11437" spans="1:14" x14ac:dyDescent="0.2">
      <c r="A11437" s="346">
        <v>2024</v>
      </c>
      <c r="B11437" s="346">
        <v>7</v>
      </c>
      <c r="C11437" s="346">
        <v>11</v>
      </c>
      <c r="D11437" s="344">
        <f t="shared" si="1648"/>
        <v>45484</v>
      </c>
      <c r="E11437" s="345">
        <f t="shared" si="1649"/>
        <v>45484</v>
      </c>
      <c r="F11437" s="484"/>
      <c r="G11437" s="347" t="s">
        <v>94</v>
      </c>
      <c r="H11437" s="347" t="str" cm="1">
        <f t="array" ref="H11437">IFERROR(INDEX(INVESTOR_LIST[INVESTOR NAME],MATCH(I11437,INVESTOR_LIST[INVESTOR CODE],0),)," ")</f>
        <v xml:space="preserve"> </v>
      </c>
      <c r="I11437" s="348" t="s">
        <v>348</v>
      </c>
      <c r="J11437" s="355" t="s">
        <v>1807</v>
      </c>
      <c r="K11437" s="349"/>
      <c r="L11437" s="349">
        <f>K11436</f>
        <v>24527</v>
      </c>
    </row>
    <row r="11438" spans="1:14" x14ac:dyDescent="0.2">
      <c r="A11438" s="343">
        <v>2024</v>
      </c>
      <c r="B11438" s="343">
        <v>7</v>
      </c>
      <c r="C11438" s="343">
        <v>11</v>
      </c>
      <c r="D11438" s="344">
        <f t="shared" si="1648"/>
        <v>45484</v>
      </c>
      <c r="E11438" s="345">
        <f t="shared" si="1649"/>
        <v>45484</v>
      </c>
      <c r="F11438" s="483" t="s">
        <v>1913</v>
      </c>
      <c r="G11438" s="350" t="s">
        <v>94</v>
      </c>
      <c r="H11438" s="350" t="str" cm="1">
        <f t="array" ref="H11438">IFERROR(INDEX(INVESTOR_LIST[INVESTOR NAME],MATCH(I11438,INVESTOR_LIST[INVESTOR CODE],0),)," ")</f>
        <v xml:space="preserve"> </v>
      </c>
      <c r="I11438" s="352" t="s">
        <v>348</v>
      </c>
      <c r="J11438" s="353" t="s">
        <v>1799</v>
      </c>
      <c r="K11438" s="354">
        <v>33021.150000000373</v>
      </c>
      <c r="L11438" s="354"/>
    </row>
    <row r="11439" spans="1:14" x14ac:dyDescent="0.2">
      <c r="A11439" s="346">
        <v>2024</v>
      </c>
      <c r="B11439" s="346">
        <v>7</v>
      </c>
      <c r="C11439" s="346">
        <v>11</v>
      </c>
      <c r="D11439" s="344">
        <f t="shared" si="1648"/>
        <v>45484</v>
      </c>
      <c r="E11439" s="345">
        <f t="shared" si="1649"/>
        <v>45484</v>
      </c>
      <c r="F11439" s="484"/>
      <c r="G11439" s="347" t="s">
        <v>94</v>
      </c>
      <c r="H11439" s="347" t="str" cm="1">
        <f t="array" ref="H11439">IFERROR(INDEX(INVESTOR_LIST[INVESTOR NAME],MATCH(I11439,INVESTOR_LIST[INVESTOR CODE],0),)," ")</f>
        <v xml:space="preserve"> </v>
      </c>
      <c r="I11439" s="348" t="s">
        <v>348</v>
      </c>
      <c r="J11439" s="355" t="s">
        <v>1808</v>
      </c>
      <c r="K11439" s="349"/>
      <c r="L11439" s="349">
        <f>K11438</f>
        <v>33021.150000000373</v>
      </c>
    </row>
    <row r="11440" spans="1:14" ht="11.25" customHeight="1" x14ac:dyDescent="0.2">
      <c r="A11440" s="238">
        <v>2024</v>
      </c>
      <c r="B11440" s="238">
        <v>7</v>
      </c>
      <c r="C11440" s="238">
        <v>11</v>
      </c>
      <c r="D11440" s="270">
        <f t="shared" si="1648"/>
        <v>45484</v>
      </c>
      <c r="E11440" s="279">
        <f t="shared" si="1649"/>
        <v>45484</v>
      </c>
      <c r="F11440" s="477" t="s">
        <v>347</v>
      </c>
      <c r="G11440" s="239" t="s">
        <v>94</v>
      </c>
      <c r="H11440" s="239" t="str" cm="1">
        <f t="array" ref="H11440">IFERROR(INDEX(INVESTOR_LIST[INVESTOR NAME],MATCH(I11440,INVESTOR_LIST[INVESTOR CODE],0),)," ")</f>
        <v xml:space="preserve"> </v>
      </c>
      <c r="I11440" s="262" t="s">
        <v>348</v>
      </c>
      <c r="J11440" s="240" t="s">
        <v>108</v>
      </c>
      <c r="K11440" s="241">
        <v>750933.03999999911</v>
      </c>
      <c r="L11440" s="241"/>
    </row>
    <row r="11441" spans="1:13" x14ac:dyDescent="0.2">
      <c r="A11441" s="242">
        <v>2024</v>
      </c>
      <c r="B11441" s="242">
        <v>7</v>
      </c>
      <c r="C11441" s="242">
        <v>11</v>
      </c>
      <c r="D11441" s="270">
        <f t="shared" si="1648"/>
        <v>45484</v>
      </c>
      <c r="E11441" s="279">
        <f t="shared" si="1649"/>
        <v>45484</v>
      </c>
      <c r="F11441" s="478"/>
      <c r="G11441" s="243" t="s">
        <v>94</v>
      </c>
      <c r="H11441" s="243" t="str" cm="1">
        <f t="array" ref="H11441">IFERROR(INDEX(INVESTOR_LIST[INVESTOR NAME],MATCH(I11441,INVESTOR_LIST[INVESTOR CODE],0),)," ")</f>
        <v xml:space="preserve"> </v>
      </c>
      <c r="I11441" s="263" t="s">
        <v>348</v>
      </c>
      <c r="J11441" s="244" t="s">
        <v>82</v>
      </c>
      <c r="K11441" s="245"/>
      <c r="L11441" s="245">
        <f>K11440</f>
        <v>750933.03999999911</v>
      </c>
    </row>
    <row r="11442" spans="1:13" ht="11.25" customHeight="1" x14ac:dyDescent="0.2">
      <c r="A11442" s="246">
        <v>2024</v>
      </c>
      <c r="B11442" s="238">
        <v>7</v>
      </c>
      <c r="C11442" s="238">
        <v>11</v>
      </c>
      <c r="D11442" s="270">
        <f t="shared" si="1648"/>
        <v>45484</v>
      </c>
      <c r="E11442" s="279">
        <f t="shared" si="1649"/>
        <v>45484</v>
      </c>
      <c r="F11442" s="482" t="s">
        <v>148</v>
      </c>
      <c r="G11442" s="247" t="s">
        <v>94</v>
      </c>
      <c r="H11442" s="247" t="str" cm="1">
        <f t="array" ref="H11442">IFERROR(INDEX(INVESTOR_LIST[INVESTOR NAME],MATCH(I11442,INVESTOR_LIST[INVESTOR CODE],0),)," ")</f>
        <v xml:space="preserve"> </v>
      </c>
      <c r="I11442" s="248" t="s">
        <v>348</v>
      </c>
      <c r="J11442" s="249" t="s">
        <v>95</v>
      </c>
      <c r="K11442" s="250">
        <v>2747.2527472527472</v>
      </c>
      <c r="L11442" s="241"/>
    </row>
    <row r="11443" spans="1:13" x14ac:dyDescent="0.2">
      <c r="A11443" s="242">
        <v>2024</v>
      </c>
      <c r="B11443" s="242">
        <v>7</v>
      </c>
      <c r="C11443" s="242">
        <v>11</v>
      </c>
      <c r="D11443" s="270">
        <f t="shared" si="1648"/>
        <v>45484</v>
      </c>
      <c r="E11443" s="279">
        <f t="shared" si="1649"/>
        <v>45484</v>
      </c>
      <c r="F11443" s="478"/>
      <c r="G11443" s="243" t="s">
        <v>94</v>
      </c>
      <c r="H11443" s="243" t="str" cm="1">
        <f t="array" ref="H11443">IFERROR(INDEX(INVESTOR_LIST[INVESTOR NAME],MATCH(I11443,INVESTOR_LIST[INVESTOR CODE],0),)," ")</f>
        <v xml:space="preserve"> </v>
      </c>
      <c r="I11443" s="263" t="s">
        <v>348</v>
      </c>
      <c r="J11443" s="244" t="s">
        <v>63</v>
      </c>
      <c r="K11443" s="245"/>
      <c r="L11443" s="245">
        <v>2747.2527472527472</v>
      </c>
    </row>
    <row r="11444" spans="1:13" x14ac:dyDescent="0.2">
      <c r="A11444" s="246">
        <v>2024</v>
      </c>
      <c r="B11444" s="238">
        <v>7</v>
      </c>
      <c r="C11444" s="238">
        <v>11</v>
      </c>
      <c r="D11444" s="270">
        <f t="shared" si="1648"/>
        <v>45484</v>
      </c>
      <c r="E11444" s="279">
        <f t="shared" si="1649"/>
        <v>45484</v>
      </c>
      <c r="F11444" s="482" t="s">
        <v>137</v>
      </c>
      <c r="G11444" s="247" t="s">
        <v>94</v>
      </c>
      <c r="H11444" s="247" t="str" cm="1">
        <f t="array" ref="H11444">IFERROR(INDEX(INVESTOR_LIST[INVESTOR NAME],MATCH(I11444,INVESTOR_LIST[INVESTOR CODE],0),)," ")</f>
        <v xml:space="preserve"> </v>
      </c>
      <c r="I11444" s="248" t="s">
        <v>348</v>
      </c>
      <c r="J11444" s="249" t="s">
        <v>97</v>
      </c>
      <c r="K11444" s="250">
        <f>M11444</f>
        <v>51968.345454040849</v>
      </c>
      <c r="L11444" s="252"/>
      <c r="M11444" s="264">
        <v>51968.345454040849</v>
      </c>
    </row>
    <row r="11445" spans="1:13" x14ac:dyDescent="0.2">
      <c r="A11445" s="242">
        <v>2024</v>
      </c>
      <c r="B11445" s="242">
        <v>7</v>
      </c>
      <c r="C11445" s="242">
        <v>11</v>
      </c>
      <c r="D11445" s="270">
        <f t="shared" si="1648"/>
        <v>45484</v>
      </c>
      <c r="E11445" s="279">
        <f t="shared" si="1649"/>
        <v>45484</v>
      </c>
      <c r="F11445" s="478"/>
      <c r="G11445" s="243" t="s">
        <v>94</v>
      </c>
      <c r="H11445" s="243" t="str" cm="1">
        <f t="array" ref="H11445">IFERROR(INDEX(INVESTOR_LIST[INVESTOR NAME],MATCH(I11445,INVESTOR_LIST[INVESTOR CODE],0),)," ")</f>
        <v xml:space="preserve"> </v>
      </c>
      <c r="I11445" s="263" t="s">
        <v>348</v>
      </c>
      <c r="J11445" s="244" t="s">
        <v>47</v>
      </c>
      <c r="K11445" s="245"/>
      <c r="L11445" s="245">
        <f>K11444</f>
        <v>51968.345454040849</v>
      </c>
      <c r="M11445" s="264">
        <v>2358.0326573174275</v>
      </c>
    </row>
    <row r="11446" spans="1:13" x14ac:dyDescent="0.2">
      <c r="A11446" s="246">
        <v>2024</v>
      </c>
      <c r="B11446" s="238">
        <v>7</v>
      </c>
      <c r="C11446" s="238">
        <v>11</v>
      </c>
      <c r="D11446" s="270">
        <f t="shared" si="1648"/>
        <v>45484</v>
      </c>
      <c r="E11446" s="279">
        <f t="shared" si="1649"/>
        <v>45484</v>
      </c>
      <c r="F11446" s="482" t="s">
        <v>138</v>
      </c>
      <c r="G11446" s="247" t="s">
        <v>94</v>
      </c>
      <c r="H11446" s="247" t="str" cm="1">
        <f t="array" ref="H11446">IFERROR(INDEX(INVESTOR_LIST[INVESTOR NAME],MATCH(I11446,INVESTOR_LIST[INVESTOR CODE],0),)," ")</f>
        <v xml:space="preserve"> </v>
      </c>
      <c r="I11446" s="248" t="s">
        <v>348</v>
      </c>
      <c r="J11446" s="249" t="s">
        <v>100</v>
      </c>
      <c r="K11446" s="250">
        <f>M11445</f>
        <v>2358.0326573174275</v>
      </c>
      <c r="L11446" s="252"/>
    </row>
    <row r="11447" spans="1:13" x14ac:dyDescent="0.2">
      <c r="A11447" s="242">
        <v>2024</v>
      </c>
      <c r="B11447" s="242">
        <v>7</v>
      </c>
      <c r="C11447" s="242">
        <v>11</v>
      </c>
      <c r="D11447" s="321">
        <f t="shared" si="1648"/>
        <v>45484</v>
      </c>
      <c r="E11447" s="322">
        <f t="shared" si="1649"/>
        <v>45484</v>
      </c>
      <c r="F11447" s="478"/>
      <c r="G11447" s="243" t="s">
        <v>94</v>
      </c>
      <c r="H11447" s="243" t="str" cm="1">
        <f t="array" ref="H11447">IFERROR(INDEX(INVESTOR_LIST[INVESTOR NAME],MATCH(I11447,INVESTOR_LIST[INVESTOR CODE],0),)," ")</f>
        <v xml:space="preserve"> </v>
      </c>
      <c r="I11447" s="263" t="s">
        <v>348</v>
      </c>
      <c r="J11447" s="244" t="s">
        <v>48</v>
      </c>
      <c r="K11447" s="245"/>
      <c r="L11447" s="245">
        <f>K11446</f>
        <v>2358.0326573174275</v>
      </c>
    </row>
    <row r="11448" spans="1:13" ht="11.25" customHeight="1" x14ac:dyDescent="0.2">
      <c r="A11448" s="168">
        <v>2024</v>
      </c>
      <c r="B11448" s="168">
        <v>7</v>
      </c>
      <c r="C11448" s="168">
        <v>14</v>
      </c>
      <c r="D11448" s="141">
        <f>DATE(A11448,B11448,C11448)</f>
        <v>45487</v>
      </c>
      <c r="E11448" s="275">
        <f>DATE(A11448,B11448,C11448)</f>
        <v>45487</v>
      </c>
      <c r="F11448" s="479" t="s">
        <v>1757</v>
      </c>
      <c r="G11448" s="220" t="s">
        <v>74</v>
      </c>
      <c r="H11448" s="220" t="str" cm="1">
        <f t="array" ref="H11448">IFERROR(INDEX(INVESTOR_LIST[INVESTOR NAME],MATCH(I11448,INVESTOR_LIST[INVESTOR CODE],0),)," ")</f>
        <v xml:space="preserve"> </v>
      </c>
      <c r="I11448" s="142"/>
      <c r="J11448" s="143" t="s">
        <v>52</v>
      </c>
      <c r="K11448" s="226">
        <v>1967475.66</v>
      </c>
      <c r="L11448" s="226"/>
    </row>
    <row r="11449" spans="1:13" x14ac:dyDescent="0.2">
      <c r="A11449" s="163">
        <v>2024</v>
      </c>
      <c r="B11449" s="163">
        <v>7</v>
      </c>
      <c r="C11449" s="163">
        <v>14</v>
      </c>
      <c r="D11449" s="280">
        <f>DATE(A11449,B11449,C11449)</f>
        <v>45487</v>
      </c>
      <c r="E11449" s="281">
        <f>DATE(A11449,B11449,C11449)</f>
        <v>45487</v>
      </c>
      <c r="F11449" s="480"/>
      <c r="G11449" s="221" t="s">
        <v>74</v>
      </c>
      <c r="H11449" s="221" t="str" cm="1">
        <f t="array" ref="H11449">IFERROR(INDEX(INVESTOR_LIST[INVESTOR NAME],MATCH(I11449,INVESTOR_LIST[INVESTOR CODE],0),)," ")</f>
        <v xml:space="preserve"> </v>
      </c>
      <c r="I11449" s="145"/>
      <c r="J11449" s="146" t="s">
        <v>190</v>
      </c>
      <c r="K11449" s="219"/>
      <c r="L11449" s="219">
        <v>1967475.66</v>
      </c>
    </row>
    <row r="11450" spans="1:13" ht="11.25" customHeight="1" x14ac:dyDescent="0.2">
      <c r="A11450" s="168">
        <v>2024</v>
      </c>
      <c r="B11450" s="168">
        <v>7</v>
      </c>
      <c r="C11450" s="168">
        <v>15</v>
      </c>
      <c r="D11450" s="141">
        <f>DATE(A11450,B11450,C11450)</f>
        <v>45488</v>
      </c>
      <c r="E11450" s="275">
        <f>DATE(A11450,B11450,C11450)</f>
        <v>45488</v>
      </c>
      <c r="F11450" s="479" t="s">
        <v>1959</v>
      </c>
      <c r="G11450" s="220" t="s">
        <v>74</v>
      </c>
      <c r="H11450" s="220" t="str" cm="1">
        <f t="array" ref="H11450">IFERROR(INDEX(INVESTOR_LIST[INVESTOR NAME],MATCH(I11450,INVESTOR_LIST[INVESTOR CODE],0),)," ")</f>
        <v xml:space="preserve"> </v>
      </c>
      <c r="I11450" s="142"/>
      <c r="J11450" s="143" t="s">
        <v>52</v>
      </c>
      <c r="K11450" s="226">
        <v>669000.72</v>
      </c>
      <c r="L11450" s="226"/>
    </row>
    <row r="11451" spans="1:13" x14ac:dyDescent="0.2">
      <c r="A11451" s="163">
        <v>2024</v>
      </c>
      <c r="B11451" s="163">
        <v>7</v>
      </c>
      <c r="C11451" s="163">
        <v>15</v>
      </c>
      <c r="D11451" s="280">
        <f>DATE(A11451,B11451,C11451)</f>
        <v>45488</v>
      </c>
      <c r="E11451" s="281">
        <f>DATE(A11451,B11451,C11451)</f>
        <v>45488</v>
      </c>
      <c r="F11451" s="480"/>
      <c r="G11451" s="221" t="s">
        <v>74</v>
      </c>
      <c r="H11451" s="221" t="str" cm="1">
        <f t="array" ref="H11451">IFERROR(INDEX(INVESTOR_LIST[INVESTOR NAME],MATCH(I11451,INVESTOR_LIST[INVESTOR CODE],0),)," ")</f>
        <v xml:space="preserve"> </v>
      </c>
      <c r="I11451" s="145"/>
      <c r="J11451" s="146" t="s">
        <v>190</v>
      </c>
      <c r="K11451" s="219"/>
      <c r="L11451" s="219">
        <v>669000.72</v>
      </c>
    </row>
    <row r="11452" spans="1:13" x14ac:dyDescent="0.2">
      <c r="A11452" s="168">
        <v>2024</v>
      </c>
      <c r="B11452" s="168">
        <v>7</v>
      </c>
      <c r="C11452" s="168">
        <v>15</v>
      </c>
      <c r="D11452" s="141">
        <f t="shared" si="1648"/>
        <v>45488</v>
      </c>
      <c r="E11452" s="275">
        <f t="shared" si="1649"/>
        <v>45488</v>
      </c>
      <c r="F11452" s="479" t="s">
        <v>1319</v>
      </c>
      <c r="G11452" s="220" t="s">
        <v>74</v>
      </c>
      <c r="H11452" s="142" t="str" cm="1">
        <f t="array" ref="H11452">IFERROR(INDEX(INVESTOR_LIST[INVESTOR NAME],MATCH(I11452,INVESTOR_LIST[INVESTOR CODE],0),)," ")</f>
        <v xml:space="preserve"> </v>
      </c>
      <c r="I11452" s="142"/>
      <c r="J11452" s="168" t="s">
        <v>52</v>
      </c>
      <c r="K11452" s="226">
        <v>4000</v>
      </c>
      <c r="L11452" s="226"/>
    </row>
    <row r="11453" spans="1:13" x14ac:dyDescent="0.2">
      <c r="A11453" s="133">
        <v>2024</v>
      </c>
      <c r="B11453" s="133">
        <v>7</v>
      </c>
      <c r="C11453" s="133">
        <v>15</v>
      </c>
      <c r="D11453" s="141">
        <f t="shared" si="1648"/>
        <v>45488</v>
      </c>
      <c r="E11453" s="275">
        <f t="shared" si="1649"/>
        <v>45488</v>
      </c>
      <c r="F11453" s="481"/>
      <c r="G11453" s="174" t="s">
        <v>74</v>
      </c>
      <c r="H11453" s="148" t="str" cm="1">
        <f t="array" ref="H11453">IFERROR(INDEX(INVESTOR_LIST[INVESTOR NAME],MATCH(I11453,INVESTOR_LIST[INVESTOR CODE],0),)," ")</f>
        <v xml:space="preserve"> </v>
      </c>
      <c r="J11453" s="133" t="s">
        <v>13</v>
      </c>
      <c r="K11453" s="218"/>
      <c r="L11453" s="218">
        <v>3340</v>
      </c>
    </row>
    <row r="11454" spans="1:13" x14ac:dyDescent="0.2">
      <c r="A11454" s="163">
        <v>2024</v>
      </c>
      <c r="B11454" s="163">
        <v>7</v>
      </c>
      <c r="C11454" s="163">
        <v>15</v>
      </c>
      <c r="D11454" s="280">
        <f t="shared" si="1648"/>
        <v>45488</v>
      </c>
      <c r="E11454" s="281">
        <f t="shared" si="1649"/>
        <v>45488</v>
      </c>
      <c r="F11454" s="480"/>
      <c r="G11454" s="221" t="s">
        <v>74</v>
      </c>
      <c r="H11454" s="145" t="str" cm="1">
        <f t="array" ref="H11454">IFERROR(INDEX(INVESTOR_LIST[INVESTOR NAME],MATCH(I11454,INVESTOR_LIST[INVESTOR CODE],0),)," ")</f>
        <v xml:space="preserve"> </v>
      </c>
      <c r="I11454" s="145"/>
      <c r="J11454" s="163" t="s">
        <v>53</v>
      </c>
      <c r="K11454" s="219"/>
      <c r="L11454" s="219">
        <v>660</v>
      </c>
    </row>
    <row r="11455" spans="1:13" ht="45" x14ac:dyDescent="0.2">
      <c r="A11455" s="168">
        <v>2024</v>
      </c>
      <c r="B11455" s="168">
        <v>7</v>
      </c>
      <c r="C11455" s="168">
        <v>16</v>
      </c>
      <c r="D11455" s="141">
        <f t="shared" si="1648"/>
        <v>45489</v>
      </c>
      <c r="E11455" s="275">
        <f t="shared" si="1649"/>
        <v>45489</v>
      </c>
      <c r="F11455" s="479" t="s">
        <v>1315</v>
      </c>
      <c r="G11455" s="220" t="s">
        <v>74</v>
      </c>
      <c r="H11455" s="142" t="str" cm="1">
        <f t="array" ref="H11455">IFERROR(INDEX(INVESTOR_LIST[INVESTOR NAME],MATCH(I11455,INVESTOR_LIST[INVESTOR CODE],0),)," ")</f>
        <v>SIDDHARTHA SANKAR MALLICK</v>
      </c>
      <c r="I11455" s="142" t="s">
        <v>1414</v>
      </c>
      <c r="J11455" s="168" t="s">
        <v>13</v>
      </c>
      <c r="K11455" s="226">
        <v>3600</v>
      </c>
      <c r="L11455" s="226"/>
    </row>
    <row r="11456" spans="1:13" ht="45" x14ac:dyDescent="0.2">
      <c r="A11456" s="133">
        <v>2024</v>
      </c>
      <c r="B11456" s="133">
        <v>7</v>
      </c>
      <c r="C11456" s="133">
        <v>16</v>
      </c>
      <c r="D11456" s="141">
        <f t="shared" si="1648"/>
        <v>45489</v>
      </c>
      <c r="E11456" s="275">
        <f t="shared" si="1649"/>
        <v>45489</v>
      </c>
      <c r="F11456" s="481"/>
      <c r="G11456" s="174" t="s">
        <v>74</v>
      </c>
      <c r="H11456" s="148" t="str" cm="1">
        <f t="array" ref="H11456">IFERROR(INDEX(INVESTOR_LIST[INVESTOR NAME],MATCH(I11456,INVESTOR_LIST[INVESTOR CODE],0),)," ")</f>
        <v>SIDDHARTHA SANKAR MALLICK</v>
      </c>
      <c r="I11456" s="148" t="s">
        <v>1414</v>
      </c>
      <c r="J11456" s="133" t="s">
        <v>53</v>
      </c>
      <c r="K11456" s="218">
        <v>703.07999999999993</v>
      </c>
      <c r="L11456" s="218"/>
    </row>
    <row r="11457" spans="1:13" ht="45" x14ac:dyDescent="0.2">
      <c r="A11457" s="163">
        <v>2024</v>
      </c>
      <c r="B11457" s="163">
        <v>7</v>
      </c>
      <c r="C11457" s="163">
        <v>16</v>
      </c>
      <c r="D11457" s="280">
        <f t="shared" si="1648"/>
        <v>45489</v>
      </c>
      <c r="E11457" s="281">
        <f t="shared" si="1649"/>
        <v>45489</v>
      </c>
      <c r="F11457" s="480"/>
      <c r="G11457" s="221" t="s">
        <v>74</v>
      </c>
      <c r="H11457" s="145" t="str" cm="1">
        <f t="array" ref="H11457">IFERROR(INDEX(INVESTOR_LIST[INVESTOR NAME],MATCH(I11457,INVESTOR_LIST[INVESTOR CODE],0),)," ")</f>
        <v>SIDDHARTHA SANKAR MALLICK</v>
      </c>
      <c r="I11457" s="145" t="s">
        <v>1414</v>
      </c>
      <c r="J11457" s="163" t="s">
        <v>52</v>
      </c>
      <c r="K11457" s="219"/>
      <c r="L11457" s="219">
        <v>4303.08</v>
      </c>
    </row>
    <row r="11458" spans="1:13" x14ac:dyDescent="0.2">
      <c r="A11458" s="168">
        <v>2024</v>
      </c>
      <c r="B11458" s="168">
        <v>7</v>
      </c>
      <c r="C11458" s="168">
        <v>16</v>
      </c>
      <c r="D11458" s="141">
        <f t="shared" si="1648"/>
        <v>45489</v>
      </c>
      <c r="E11458" s="275">
        <f t="shared" si="1649"/>
        <v>45489</v>
      </c>
      <c r="F11458" s="479" t="s">
        <v>908</v>
      </c>
      <c r="G11458" s="220" t="s">
        <v>74</v>
      </c>
      <c r="H11458" s="220" t="str" cm="1">
        <f t="array" ref="H11458">IFERROR(INDEX(INVESTOR_LIST[INVESTOR NAME],MATCH(I11458,INVESTOR_LIST[INVESTOR CODE],0),)," ")</f>
        <v xml:space="preserve"> </v>
      </c>
      <c r="I11458" s="142" t="s">
        <v>348</v>
      </c>
      <c r="J11458" s="143" t="s">
        <v>104</v>
      </c>
      <c r="K11458" s="226">
        <v>1800</v>
      </c>
      <c r="L11458" s="226"/>
    </row>
    <row r="11459" spans="1:13" x14ac:dyDescent="0.2">
      <c r="A11459" s="163">
        <v>2024</v>
      </c>
      <c r="B11459" s="163">
        <v>7</v>
      </c>
      <c r="C11459" s="163">
        <v>16</v>
      </c>
      <c r="D11459" s="280">
        <f t="shared" si="1648"/>
        <v>45489</v>
      </c>
      <c r="E11459" s="281">
        <f t="shared" si="1649"/>
        <v>45489</v>
      </c>
      <c r="F11459" s="480"/>
      <c r="G11459" s="221" t="s">
        <v>74</v>
      </c>
      <c r="H11459" s="221" t="str" cm="1">
        <f t="array" ref="H11459">IFERROR(INDEX(INVESTOR_LIST[INVESTOR NAME],MATCH(I11459,INVESTOR_LIST[INVESTOR CODE],0),)," ")</f>
        <v xml:space="preserve"> </v>
      </c>
      <c r="I11459" s="145" t="s">
        <v>348</v>
      </c>
      <c r="J11459" s="146" t="s">
        <v>52</v>
      </c>
      <c r="K11459" s="219"/>
      <c r="L11459" s="219">
        <v>1800</v>
      </c>
    </row>
    <row r="11460" spans="1:13" x14ac:dyDescent="0.2">
      <c r="A11460" s="168">
        <v>2024</v>
      </c>
      <c r="B11460" s="168">
        <v>7</v>
      </c>
      <c r="C11460" s="168">
        <v>16</v>
      </c>
      <c r="D11460" s="141">
        <f t="shared" si="1648"/>
        <v>45489</v>
      </c>
      <c r="E11460" s="275">
        <f t="shared" si="1649"/>
        <v>45489</v>
      </c>
      <c r="F11460" s="479" t="s">
        <v>1960</v>
      </c>
      <c r="G11460" s="220" t="s">
        <v>94</v>
      </c>
      <c r="H11460" s="220" t="str" cm="1">
        <f t="array" ref="H11460">IFERROR(INDEX(INVESTOR_LIST[INVESTOR NAME],MATCH(I11460,INVESTOR_LIST[INVESTOR CODE],0),)," ")</f>
        <v xml:space="preserve"> </v>
      </c>
      <c r="I11460" s="142"/>
      <c r="J11460" s="143" t="s">
        <v>79</v>
      </c>
      <c r="K11460" s="226">
        <v>1329500</v>
      </c>
      <c r="L11460" s="226"/>
      <c r="M11460" s="160"/>
    </row>
    <row r="11461" spans="1:13" x14ac:dyDescent="0.2">
      <c r="A11461" s="133">
        <v>2024</v>
      </c>
      <c r="B11461" s="133">
        <v>7</v>
      </c>
      <c r="C11461" s="133">
        <v>16</v>
      </c>
      <c r="D11461" s="141">
        <f t="shared" si="1648"/>
        <v>45489</v>
      </c>
      <c r="E11461" s="275">
        <f t="shared" si="1649"/>
        <v>45489</v>
      </c>
      <c r="F11461" s="481"/>
      <c r="G11461" s="174" t="s">
        <v>94</v>
      </c>
      <c r="H11461" s="174" t="str" cm="1">
        <f t="array" ref="H11461">IFERROR(INDEX(INVESTOR_LIST[INVESTOR NAME],MATCH(I11461,INVESTOR_LIST[INVESTOR CODE],0),)," ")</f>
        <v xml:space="preserve"> </v>
      </c>
      <c r="J11461" s="149" t="s">
        <v>80</v>
      </c>
      <c r="K11461" s="218">
        <v>2393.1</v>
      </c>
      <c r="L11461" s="218"/>
    </row>
    <row r="11462" spans="1:13" ht="10.9" customHeight="1" x14ac:dyDescent="0.2">
      <c r="A11462" s="163">
        <v>2024</v>
      </c>
      <c r="B11462" s="163">
        <v>7</v>
      </c>
      <c r="C11462" s="163">
        <v>16</v>
      </c>
      <c r="D11462" s="280">
        <f t="shared" si="1648"/>
        <v>45489</v>
      </c>
      <c r="E11462" s="281">
        <f t="shared" si="1649"/>
        <v>45489</v>
      </c>
      <c r="F11462" s="480"/>
      <c r="G11462" s="221" t="s">
        <v>94</v>
      </c>
      <c r="H11462" s="221" t="str" cm="1">
        <f t="array" ref="H11462">IFERROR(INDEX(INVESTOR_LIST[INVESTOR NAME],MATCH(I11462,INVESTOR_LIST[INVESTOR CODE],0),)," ")</f>
        <v xml:space="preserve"> </v>
      </c>
      <c r="I11462" s="145"/>
      <c r="J11462" s="146" t="s">
        <v>147</v>
      </c>
      <c r="K11462" s="219"/>
      <c r="L11462" s="219">
        <v>1331893.1000000001</v>
      </c>
    </row>
    <row r="11463" spans="1:13" x14ac:dyDescent="0.2">
      <c r="A11463" s="325">
        <v>2024</v>
      </c>
      <c r="B11463" s="325">
        <v>7</v>
      </c>
      <c r="C11463" s="325">
        <v>18</v>
      </c>
      <c r="D11463" s="326">
        <f t="shared" ref="D11463:D11476" si="1650">DATE(A11463,B11463,C11463)</f>
        <v>45491</v>
      </c>
      <c r="E11463" s="327">
        <f t="shared" ref="E11463:E11476" si="1651">DATE(A11463,B11463,C11463)</f>
        <v>45491</v>
      </c>
      <c r="F11463" s="473" t="s">
        <v>1940</v>
      </c>
      <c r="G11463" s="340" t="s">
        <v>94</v>
      </c>
      <c r="H11463" s="340" t="str" cm="1">
        <f t="array" ref="H11463">IFERROR(INDEX(INVESTOR_LIST[INVESTOR NAME],MATCH(I11463,INVESTOR_LIST[INVESTOR CODE],0),)," ")</f>
        <v xml:space="preserve"> </v>
      </c>
      <c r="I11463" s="341" t="s">
        <v>348</v>
      </c>
      <c r="J11463" s="374" t="s">
        <v>133</v>
      </c>
      <c r="K11463" s="375">
        <v>12905.555555555549</v>
      </c>
      <c r="L11463" s="375"/>
    </row>
    <row r="11464" spans="1:13" x14ac:dyDescent="0.2">
      <c r="A11464" s="331">
        <v>2024</v>
      </c>
      <c r="B11464" s="331">
        <v>7</v>
      </c>
      <c r="C11464" s="331">
        <v>18</v>
      </c>
      <c r="D11464" s="326">
        <f t="shared" si="1650"/>
        <v>45491</v>
      </c>
      <c r="E11464" s="327">
        <f t="shared" si="1651"/>
        <v>45491</v>
      </c>
      <c r="F11464" s="474"/>
      <c r="G11464" s="332" t="s">
        <v>94</v>
      </c>
      <c r="H11464" s="332" t="str" cm="1">
        <f t="array" ref="H11464">IFERROR(INDEX(INVESTOR_LIST[INVESTOR NAME],MATCH(I11464,INVESTOR_LIST[INVESTOR CODE],0),)," ")</f>
        <v xml:space="preserve"> </v>
      </c>
      <c r="I11464" s="333" t="s">
        <v>348</v>
      </c>
      <c r="J11464" s="376" t="s">
        <v>60</v>
      </c>
      <c r="K11464" s="334"/>
      <c r="L11464" s="334">
        <v>12905.555555555549</v>
      </c>
    </row>
    <row r="11465" spans="1:13" x14ac:dyDescent="0.2">
      <c r="A11465" s="343">
        <v>2024</v>
      </c>
      <c r="B11465" s="343">
        <v>7</v>
      </c>
      <c r="C11465" s="343">
        <v>18</v>
      </c>
      <c r="D11465" s="344">
        <f t="shared" si="1650"/>
        <v>45491</v>
      </c>
      <c r="E11465" s="345">
        <f t="shared" si="1651"/>
        <v>45491</v>
      </c>
      <c r="F11465" s="483" t="s">
        <v>1813</v>
      </c>
      <c r="G11465" s="350" t="s">
        <v>94</v>
      </c>
      <c r="H11465" s="350" t="str" cm="1">
        <f t="array" ref="H11465">IFERROR(INDEX(INVESTOR_LIST[INVESTOR NAME],MATCH(I11465,INVESTOR_LIST[INVESTOR CODE],0),)," ")</f>
        <v xml:space="preserve"> </v>
      </c>
      <c r="I11465" s="352" t="s">
        <v>348</v>
      </c>
      <c r="J11465" s="353" t="s">
        <v>1798</v>
      </c>
      <c r="K11465" s="354">
        <v>24040</v>
      </c>
      <c r="L11465" s="354"/>
    </row>
    <row r="11466" spans="1:13" x14ac:dyDescent="0.2">
      <c r="A11466" s="346">
        <v>2024</v>
      </c>
      <c r="B11466" s="346">
        <v>7</v>
      </c>
      <c r="C11466" s="346">
        <v>18</v>
      </c>
      <c r="D11466" s="344">
        <f t="shared" si="1650"/>
        <v>45491</v>
      </c>
      <c r="E11466" s="345">
        <f t="shared" si="1651"/>
        <v>45491</v>
      </c>
      <c r="F11466" s="484"/>
      <c r="G11466" s="347" t="s">
        <v>94</v>
      </c>
      <c r="H11466" s="347" t="str" cm="1">
        <f t="array" ref="H11466">IFERROR(INDEX(INVESTOR_LIST[INVESTOR NAME],MATCH(I11466,INVESTOR_LIST[INVESTOR CODE],0),)," ")</f>
        <v xml:space="preserve"> </v>
      </c>
      <c r="I11466" s="348" t="s">
        <v>348</v>
      </c>
      <c r="J11466" s="355" t="s">
        <v>1807</v>
      </c>
      <c r="K11466" s="349"/>
      <c r="L11466" s="349">
        <f>K11465</f>
        <v>24040</v>
      </c>
    </row>
    <row r="11467" spans="1:13" x14ac:dyDescent="0.2">
      <c r="A11467" s="343">
        <v>2024</v>
      </c>
      <c r="B11467" s="343">
        <v>7</v>
      </c>
      <c r="C11467" s="343">
        <v>18</v>
      </c>
      <c r="D11467" s="344">
        <f t="shared" si="1650"/>
        <v>45491</v>
      </c>
      <c r="E11467" s="345">
        <f t="shared" si="1651"/>
        <v>45491</v>
      </c>
      <c r="F11467" s="483" t="s">
        <v>1913</v>
      </c>
      <c r="G11467" s="350" t="s">
        <v>94</v>
      </c>
      <c r="H11467" s="350" t="str" cm="1">
        <f t="array" ref="H11467">IFERROR(INDEX(INVESTOR_LIST[INVESTOR NAME],MATCH(I11467,INVESTOR_LIST[INVESTOR CODE],0),)," ")</f>
        <v xml:space="preserve"> </v>
      </c>
      <c r="I11467" s="352" t="s">
        <v>348</v>
      </c>
      <c r="J11467" s="353" t="s">
        <v>1799</v>
      </c>
      <c r="K11467" s="354">
        <v>35361</v>
      </c>
      <c r="L11467" s="354"/>
    </row>
    <row r="11468" spans="1:13" x14ac:dyDescent="0.2">
      <c r="A11468" s="346">
        <v>2024</v>
      </c>
      <c r="B11468" s="346">
        <v>7</v>
      </c>
      <c r="C11468" s="346">
        <v>18</v>
      </c>
      <c r="D11468" s="344">
        <f t="shared" si="1650"/>
        <v>45491</v>
      </c>
      <c r="E11468" s="345">
        <f t="shared" si="1651"/>
        <v>45491</v>
      </c>
      <c r="F11468" s="484"/>
      <c r="G11468" s="347" t="s">
        <v>94</v>
      </c>
      <c r="H11468" s="347" t="str" cm="1">
        <f t="array" ref="H11468">IFERROR(INDEX(INVESTOR_LIST[INVESTOR NAME],MATCH(I11468,INVESTOR_LIST[INVESTOR CODE],0),)," ")</f>
        <v xml:space="preserve"> </v>
      </c>
      <c r="I11468" s="348" t="s">
        <v>348</v>
      </c>
      <c r="J11468" s="355" t="s">
        <v>1808</v>
      </c>
      <c r="K11468" s="349"/>
      <c r="L11468" s="349">
        <f>K11467</f>
        <v>35361</v>
      </c>
    </row>
    <row r="11469" spans="1:13" ht="11.25" customHeight="1" x14ac:dyDescent="0.2">
      <c r="A11469" s="238">
        <v>2024</v>
      </c>
      <c r="B11469" s="238">
        <v>7</v>
      </c>
      <c r="C11469" s="238">
        <v>18</v>
      </c>
      <c r="D11469" s="270">
        <f t="shared" si="1650"/>
        <v>45491</v>
      </c>
      <c r="E11469" s="279">
        <f t="shared" si="1651"/>
        <v>45491</v>
      </c>
      <c r="F11469" s="477" t="s">
        <v>347</v>
      </c>
      <c r="G11469" s="239" t="s">
        <v>94</v>
      </c>
      <c r="H11469" s="239" t="str" cm="1">
        <f t="array" ref="H11469">IFERROR(INDEX(INVESTOR_LIST[INVESTOR NAME],MATCH(I11469,INVESTOR_LIST[INVESTOR CODE],0),)," ")</f>
        <v xml:space="preserve"> </v>
      </c>
      <c r="I11469" s="262" t="s">
        <v>348</v>
      </c>
      <c r="J11469" s="240" t="s">
        <v>108</v>
      </c>
      <c r="K11469" s="241">
        <v>1580716.1799999923</v>
      </c>
      <c r="L11469" s="241"/>
    </row>
    <row r="11470" spans="1:13" x14ac:dyDescent="0.2">
      <c r="A11470" s="242">
        <v>2024</v>
      </c>
      <c r="B11470" s="242">
        <v>7</v>
      </c>
      <c r="C11470" s="242">
        <v>18</v>
      </c>
      <c r="D11470" s="270">
        <f t="shared" si="1650"/>
        <v>45491</v>
      </c>
      <c r="E11470" s="279">
        <f t="shared" si="1651"/>
        <v>45491</v>
      </c>
      <c r="F11470" s="478"/>
      <c r="G11470" s="243" t="s">
        <v>94</v>
      </c>
      <c r="H11470" s="243" t="str" cm="1">
        <f t="array" ref="H11470">IFERROR(INDEX(INVESTOR_LIST[INVESTOR NAME],MATCH(I11470,INVESTOR_LIST[INVESTOR CODE],0),)," ")</f>
        <v xml:space="preserve"> </v>
      </c>
      <c r="I11470" s="263" t="s">
        <v>348</v>
      </c>
      <c r="J11470" s="244" t="s">
        <v>82</v>
      </c>
      <c r="K11470" s="245"/>
      <c r="L11470" s="245">
        <f>K11469</f>
        <v>1580716.1799999923</v>
      </c>
    </row>
    <row r="11471" spans="1:13" ht="11.25" customHeight="1" x14ac:dyDescent="0.2">
      <c r="A11471" s="246">
        <v>2024</v>
      </c>
      <c r="B11471" s="238">
        <v>7</v>
      </c>
      <c r="C11471" s="238">
        <v>18</v>
      </c>
      <c r="D11471" s="270">
        <f t="shared" si="1650"/>
        <v>45491</v>
      </c>
      <c r="E11471" s="279">
        <f t="shared" si="1651"/>
        <v>45491</v>
      </c>
      <c r="F11471" s="482" t="s">
        <v>148</v>
      </c>
      <c r="G11471" s="247" t="s">
        <v>94</v>
      </c>
      <c r="H11471" s="247" t="str" cm="1">
        <f t="array" ref="H11471">IFERROR(INDEX(INVESTOR_LIST[INVESTOR NAME],MATCH(I11471,INVESTOR_LIST[INVESTOR CODE],0),)," ")</f>
        <v xml:space="preserve"> </v>
      </c>
      <c r="I11471" s="248" t="s">
        <v>348</v>
      </c>
      <c r="J11471" s="249" t="s">
        <v>95</v>
      </c>
      <c r="K11471" s="250">
        <v>2747.2527472527472</v>
      </c>
      <c r="L11471" s="241"/>
    </row>
    <row r="11472" spans="1:13" x14ac:dyDescent="0.2">
      <c r="A11472" s="242">
        <v>2024</v>
      </c>
      <c r="B11472" s="242">
        <v>7</v>
      </c>
      <c r="C11472" s="242">
        <v>18</v>
      </c>
      <c r="D11472" s="270">
        <f t="shared" si="1650"/>
        <v>45491</v>
      </c>
      <c r="E11472" s="279">
        <f t="shared" si="1651"/>
        <v>45491</v>
      </c>
      <c r="F11472" s="478"/>
      <c r="G11472" s="243" t="s">
        <v>94</v>
      </c>
      <c r="H11472" s="243" t="str" cm="1">
        <f t="array" ref="H11472">IFERROR(INDEX(INVESTOR_LIST[INVESTOR NAME],MATCH(I11472,INVESTOR_LIST[INVESTOR CODE],0),)," ")</f>
        <v xml:space="preserve"> </v>
      </c>
      <c r="I11472" s="263" t="s">
        <v>348</v>
      </c>
      <c r="J11472" s="244" t="s">
        <v>63</v>
      </c>
      <c r="K11472" s="245"/>
      <c r="L11472" s="245">
        <v>2747.2527472527472</v>
      </c>
    </row>
    <row r="11473" spans="1:17" x14ac:dyDescent="0.2">
      <c r="A11473" s="246">
        <v>2024</v>
      </c>
      <c r="B11473" s="238">
        <v>7</v>
      </c>
      <c r="C11473" s="238">
        <v>18</v>
      </c>
      <c r="D11473" s="270">
        <f t="shared" si="1650"/>
        <v>45491</v>
      </c>
      <c r="E11473" s="279">
        <f t="shared" si="1651"/>
        <v>45491</v>
      </c>
      <c r="F11473" s="482" t="s">
        <v>137</v>
      </c>
      <c r="G11473" s="247" t="s">
        <v>94</v>
      </c>
      <c r="H11473" s="247" t="str" cm="1">
        <f t="array" ref="H11473">IFERROR(INDEX(INVESTOR_LIST[INVESTOR NAME],MATCH(I11473,INVESTOR_LIST[INVESTOR CODE],0),)," ")</f>
        <v xml:space="preserve"> </v>
      </c>
      <c r="I11473" s="248" t="s">
        <v>348</v>
      </c>
      <c r="J11473" s="249" t="s">
        <v>97</v>
      </c>
      <c r="K11473" s="250">
        <f>M11473</f>
        <v>52575.479054787545</v>
      </c>
      <c r="L11473" s="252"/>
      <c r="M11473" s="264">
        <v>52575.479054787545</v>
      </c>
    </row>
    <row r="11474" spans="1:17" x14ac:dyDescent="0.2">
      <c r="A11474" s="242">
        <v>2024</v>
      </c>
      <c r="B11474" s="242">
        <v>7</v>
      </c>
      <c r="C11474" s="242">
        <v>18</v>
      </c>
      <c r="D11474" s="270">
        <f t="shared" si="1650"/>
        <v>45491</v>
      </c>
      <c r="E11474" s="279">
        <f t="shared" si="1651"/>
        <v>45491</v>
      </c>
      <c r="F11474" s="478"/>
      <c r="G11474" s="243" t="s">
        <v>94</v>
      </c>
      <c r="H11474" s="243" t="str" cm="1">
        <f t="array" ref="H11474">IFERROR(INDEX(INVESTOR_LIST[INVESTOR NAME],MATCH(I11474,INVESTOR_LIST[INVESTOR CODE],0),)," ")</f>
        <v xml:space="preserve"> </v>
      </c>
      <c r="I11474" s="263" t="s">
        <v>348</v>
      </c>
      <c r="J11474" s="244" t="s">
        <v>47</v>
      </c>
      <c r="K11474" s="245"/>
      <c r="L11474" s="245">
        <f>K11473</f>
        <v>52575.479054787545</v>
      </c>
      <c r="M11474" s="264">
        <v>2388.3893373547621</v>
      </c>
    </row>
    <row r="11475" spans="1:17" x14ac:dyDescent="0.2">
      <c r="A11475" s="246">
        <v>2024</v>
      </c>
      <c r="B11475" s="238">
        <v>7</v>
      </c>
      <c r="C11475" s="238">
        <v>18</v>
      </c>
      <c r="D11475" s="270">
        <f t="shared" si="1650"/>
        <v>45491</v>
      </c>
      <c r="E11475" s="279">
        <f t="shared" si="1651"/>
        <v>45491</v>
      </c>
      <c r="F11475" s="482" t="s">
        <v>138</v>
      </c>
      <c r="G11475" s="247" t="s">
        <v>94</v>
      </c>
      <c r="H11475" s="247" t="str" cm="1">
        <f t="array" ref="H11475">IFERROR(INDEX(INVESTOR_LIST[INVESTOR NAME],MATCH(I11475,INVESTOR_LIST[INVESTOR CODE],0),)," ")</f>
        <v xml:space="preserve"> </v>
      </c>
      <c r="I11475" s="248" t="s">
        <v>348</v>
      </c>
      <c r="J11475" s="249" t="s">
        <v>100</v>
      </c>
      <c r="K11475" s="250">
        <f>M11474</f>
        <v>2388.3893373547621</v>
      </c>
      <c r="L11475" s="252"/>
    </row>
    <row r="11476" spans="1:17" x14ac:dyDescent="0.2">
      <c r="A11476" s="242">
        <v>2024</v>
      </c>
      <c r="B11476" s="242">
        <v>7</v>
      </c>
      <c r="C11476" s="242">
        <v>18</v>
      </c>
      <c r="D11476" s="321">
        <f t="shared" si="1650"/>
        <v>45491</v>
      </c>
      <c r="E11476" s="322">
        <f t="shared" si="1651"/>
        <v>45491</v>
      </c>
      <c r="F11476" s="478"/>
      <c r="G11476" s="243" t="s">
        <v>94</v>
      </c>
      <c r="H11476" s="243" t="str" cm="1">
        <f t="array" ref="H11476">IFERROR(INDEX(INVESTOR_LIST[INVESTOR NAME],MATCH(I11476,INVESTOR_LIST[INVESTOR CODE],0),)," ")</f>
        <v xml:space="preserve"> </v>
      </c>
      <c r="I11476" s="263" t="s">
        <v>348</v>
      </c>
      <c r="J11476" s="244" t="s">
        <v>48</v>
      </c>
      <c r="K11476" s="245"/>
      <c r="L11476" s="245">
        <f>K11475</f>
        <v>2388.3893373547621</v>
      </c>
    </row>
    <row r="11477" spans="1:17" ht="11.25" customHeight="1" x14ac:dyDescent="0.2">
      <c r="A11477" s="133">
        <v>2024</v>
      </c>
      <c r="B11477" s="133">
        <v>7</v>
      </c>
      <c r="C11477" s="133">
        <v>24</v>
      </c>
      <c r="D11477" s="141">
        <f>DATE(A11477,B11477,C11477)</f>
        <v>45497</v>
      </c>
      <c r="E11477" s="275">
        <f>DATE(A11477,B11477,C11477)</f>
        <v>45497</v>
      </c>
      <c r="F11477" s="481" t="s">
        <v>1961</v>
      </c>
      <c r="G11477" s="174" t="s">
        <v>74</v>
      </c>
      <c r="H11477" s="174" t="str" cm="1">
        <f t="array" ref="H11477">IFERROR(INDEX(INVESTOR_LIST[INVESTOR NAME],MATCH(I11477,INVESTOR_LIST[INVESTOR CODE],0),)," ")</f>
        <v xml:space="preserve"> </v>
      </c>
      <c r="I11477" s="148" t="s">
        <v>348</v>
      </c>
      <c r="J11477" s="149" t="s">
        <v>52</v>
      </c>
      <c r="K11477" s="218">
        <v>2500000</v>
      </c>
      <c r="L11477" s="218"/>
      <c r="M11477" s="147"/>
      <c r="Q11477" s="133" t="s">
        <v>348</v>
      </c>
    </row>
    <row r="11478" spans="1:17" x14ac:dyDescent="0.2">
      <c r="A11478" s="133">
        <v>2024</v>
      </c>
      <c r="B11478" s="133">
        <v>7</v>
      </c>
      <c r="C11478" s="133">
        <v>24</v>
      </c>
      <c r="D11478" s="141">
        <f t="shared" ref="D11478" si="1652">DATE(A11478,B11478,C11478)</f>
        <v>45497</v>
      </c>
      <c r="E11478" s="275">
        <f t="shared" ref="E11478" si="1653">DATE(A11478,B11478,C11478)</f>
        <v>45497</v>
      </c>
      <c r="F11478" s="481"/>
      <c r="G11478" s="174" t="s">
        <v>74</v>
      </c>
      <c r="H11478" s="174" t="str" cm="1">
        <f t="array" ref="H11478">IFERROR(INDEX(INVESTOR_LIST[INVESTOR NAME],MATCH(I11478,INVESTOR_LIST[INVESTOR CODE],0),)," ")</f>
        <v xml:space="preserve"> </v>
      </c>
      <c r="J11478" s="149" t="s">
        <v>1809</v>
      </c>
      <c r="K11478" s="218"/>
      <c r="L11478" s="218">
        <v>68795</v>
      </c>
      <c r="M11478" s="147"/>
    </row>
    <row r="11479" spans="1:17" x14ac:dyDescent="0.2">
      <c r="A11479" s="163">
        <v>2024</v>
      </c>
      <c r="B11479" s="163">
        <v>7</v>
      </c>
      <c r="C11479" s="163">
        <v>24</v>
      </c>
      <c r="D11479" s="280">
        <f>DATE(A11479,B11479,C11479)</f>
        <v>45497</v>
      </c>
      <c r="E11479" s="281">
        <f>DATE(A11479,B11479,C11479)</f>
        <v>45497</v>
      </c>
      <c r="F11479" s="480"/>
      <c r="G11479" s="221" t="s">
        <v>74</v>
      </c>
      <c r="H11479" s="221" t="str" cm="1">
        <f t="array" ref="H11479">IFERROR(INDEX(INVESTOR_LIST[INVESTOR NAME],MATCH(I11479,INVESTOR_LIST[INVESTOR CODE],0),)," ")</f>
        <v xml:space="preserve"> </v>
      </c>
      <c r="I11479" s="145"/>
      <c r="J11479" s="146" t="s">
        <v>1764</v>
      </c>
      <c r="K11479" s="219"/>
      <c r="L11479" s="219">
        <v>2431205</v>
      </c>
      <c r="M11479" s="147"/>
      <c r="Q11479" s="133" t="s">
        <v>348</v>
      </c>
    </row>
    <row r="11480" spans="1:17" x14ac:dyDescent="0.2">
      <c r="A11480" s="168">
        <v>2024</v>
      </c>
      <c r="B11480" s="168">
        <v>7</v>
      </c>
      <c r="C11480" s="168">
        <v>24</v>
      </c>
      <c r="D11480" s="141">
        <f t="shared" ref="D11480:D11482" si="1654">DATE(A11480,B11480,C11480)</f>
        <v>45497</v>
      </c>
      <c r="E11480" s="275">
        <f t="shared" ref="E11480:E11482" si="1655">DATE(A11480,B11480,C11480)</f>
        <v>45497</v>
      </c>
      <c r="F11480" s="479" t="s">
        <v>1797</v>
      </c>
      <c r="G11480" s="220" t="s">
        <v>94</v>
      </c>
      <c r="H11480" s="220" t="str" cm="1">
        <f t="array" ref="H11480">IFERROR(INDEX(INVESTOR_LIST[INVESTOR NAME],MATCH(I11480,INVESTOR_LIST[INVESTOR CODE],0),)," ")</f>
        <v xml:space="preserve"> </v>
      </c>
      <c r="I11480" s="142"/>
      <c r="J11480" s="143" t="s">
        <v>79</v>
      </c>
      <c r="K11480" s="226">
        <v>2287456.6</v>
      </c>
      <c r="L11480" s="226"/>
      <c r="M11480" s="160"/>
    </row>
    <row r="11481" spans="1:17" x14ac:dyDescent="0.2">
      <c r="A11481" s="133">
        <v>2024</v>
      </c>
      <c r="B11481" s="133">
        <v>7</v>
      </c>
      <c r="C11481" s="133">
        <v>24</v>
      </c>
      <c r="D11481" s="141">
        <f t="shared" si="1654"/>
        <v>45497</v>
      </c>
      <c r="E11481" s="275">
        <f t="shared" si="1655"/>
        <v>45497</v>
      </c>
      <c r="F11481" s="481"/>
      <c r="G11481" s="174" t="s">
        <v>94</v>
      </c>
      <c r="H11481" s="174" t="str" cm="1">
        <f t="array" ref="H11481">IFERROR(INDEX(INVESTOR_LIST[INVESTOR NAME],MATCH(I11481,INVESTOR_LIST[INVESTOR CODE],0),)," ")</f>
        <v xml:space="preserve"> </v>
      </c>
      <c r="J11481" s="149" t="s">
        <v>80</v>
      </c>
      <c r="K11481" s="218">
        <v>4117.4219000000003</v>
      </c>
      <c r="L11481" s="218"/>
    </row>
    <row r="11482" spans="1:17" ht="10.9" customHeight="1" x14ac:dyDescent="0.2">
      <c r="A11482" s="163">
        <v>2024</v>
      </c>
      <c r="B11482" s="163">
        <v>7</v>
      </c>
      <c r="C11482" s="163">
        <v>24</v>
      </c>
      <c r="D11482" s="280">
        <f t="shared" si="1654"/>
        <v>45497</v>
      </c>
      <c r="E11482" s="281">
        <f t="shared" si="1655"/>
        <v>45497</v>
      </c>
      <c r="F11482" s="480"/>
      <c r="G11482" s="221" t="s">
        <v>94</v>
      </c>
      <c r="H11482" s="221" t="str" cm="1">
        <f t="array" ref="H11482">IFERROR(INDEX(INVESTOR_LIST[INVESTOR NAME],MATCH(I11482,INVESTOR_LIST[INVESTOR CODE],0),)," ")</f>
        <v xml:space="preserve"> </v>
      </c>
      <c r="I11482" s="145"/>
      <c r="J11482" s="146" t="s">
        <v>147</v>
      </c>
      <c r="K11482" s="219"/>
      <c r="L11482" s="219">
        <v>2291574.0219000001</v>
      </c>
    </row>
    <row r="11483" spans="1:17" ht="11.25" customHeight="1" x14ac:dyDescent="0.2">
      <c r="A11483" s="168">
        <v>2024</v>
      </c>
      <c r="B11483" s="168">
        <v>7</v>
      </c>
      <c r="C11483" s="168">
        <v>25</v>
      </c>
      <c r="D11483" s="141">
        <f>DATE(A11483,B11483,C11483)</f>
        <v>45498</v>
      </c>
      <c r="E11483" s="275">
        <f>DATE(A11483,B11483,C11483)</f>
        <v>45498</v>
      </c>
      <c r="F11483" s="479" t="s">
        <v>1768</v>
      </c>
      <c r="G11483" s="220" t="s">
        <v>74</v>
      </c>
      <c r="H11483" s="220" t="str" cm="1">
        <f t="array" ref="H11483">IFERROR(INDEX(INVESTOR_LIST[INVESTOR NAME],MATCH(I11483,INVESTOR_LIST[INVESTOR CODE],0),)," ")</f>
        <v xml:space="preserve"> </v>
      </c>
      <c r="I11483" s="142"/>
      <c r="J11483" s="143" t="s">
        <v>147</v>
      </c>
      <c r="K11483" s="226">
        <v>2291574.02</v>
      </c>
      <c r="L11483" s="226"/>
    </row>
    <row r="11484" spans="1:17" x14ac:dyDescent="0.2">
      <c r="A11484" s="163">
        <v>2024</v>
      </c>
      <c r="B11484" s="163">
        <v>7</v>
      </c>
      <c r="C11484" s="163">
        <v>25</v>
      </c>
      <c r="D11484" s="280">
        <f>DATE(A11484,B11484,C11484)</f>
        <v>45498</v>
      </c>
      <c r="E11484" s="281">
        <f>DATE(A11484,B11484,C11484)</f>
        <v>45498</v>
      </c>
      <c r="F11484" s="480"/>
      <c r="G11484" s="221" t="s">
        <v>74</v>
      </c>
      <c r="H11484" s="221" t="str" cm="1">
        <f t="array" ref="H11484">IFERROR(INDEX(INVESTOR_LIST[INVESTOR NAME],MATCH(I11484,INVESTOR_LIST[INVESTOR CODE],0),)," ")</f>
        <v xml:space="preserve"> </v>
      </c>
      <c r="I11484" s="145" t="s">
        <v>348</v>
      </c>
      <c r="J11484" s="146" t="s">
        <v>52</v>
      </c>
      <c r="K11484" s="219"/>
      <c r="L11484" s="219">
        <v>2291574.0219000001</v>
      </c>
    </row>
    <row r="11485" spans="1:17" ht="11.25" customHeight="1" x14ac:dyDescent="0.2">
      <c r="A11485" s="168">
        <v>2024</v>
      </c>
      <c r="B11485" s="168">
        <v>7</v>
      </c>
      <c r="C11485" s="168">
        <v>25</v>
      </c>
      <c r="D11485" s="141">
        <f>DATE(A11485,B11485,C11485)</f>
        <v>45498</v>
      </c>
      <c r="E11485" s="275">
        <f>DATE(A11485,B11485,C11485)</f>
        <v>45498</v>
      </c>
      <c r="F11485" s="479" t="s">
        <v>1768</v>
      </c>
      <c r="G11485" s="220" t="s">
        <v>74</v>
      </c>
      <c r="H11485" s="220" t="str" cm="1">
        <f t="array" ref="H11485">IFERROR(INDEX(INVESTOR_LIST[INVESTOR NAME],MATCH(I11485,INVESTOR_LIST[INVESTOR CODE],0),)," ")</f>
        <v xml:space="preserve"> </v>
      </c>
      <c r="I11485" s="142"/>
      <c r="J11485" s="143" t="s">
        <v>147</v>
      </c>
      <c r="K11485" s="226">
        <v>1331893.1000000001</v>
      </c>
      <c r="L11485" s="226"/>
    </row>
    <row r="11486" spans="1:17" x14ac:dyDescent="0.2">
      <c r="A11486" s="163">
        <v>2024</v>
      </c>
      <c r="B11486" s="163">
        <v>7</v>
      </c>
      <c r="C11486" s="163">
        <v>25</v>
      </c>
      <c r="D11486" s="280">
        <f>DATE(A11486,B11486,C11486)</f>
        <v>45498</v>
      </c>
      <c r="E11486" s="281">
        <f>DATE(A11486,B11486,C11486)</f>
        <v>45498</v>
      </c>
      <c r="F11486" s="480"/>
      <c r="G11486" s="221" t="s">
        <v>74</v>
      </c>
      <c r="H11486" s="221" t="str" cm="1">
        <f t="array" ref="H11486">IFERROR(INDEX(INVESTOR_LIST[INVESTOR NAME],MATCH(I11486,INVESTOR_LIST[INVESTOR CODE],0),)," ")</f>
        <v xml:space="preserve"> </v>
      </c>
      <c r="I11486" s="145" t="s">
        <v>348</v>
      </c>
      <c r="J11486" s="146" t="s">
        <v>52</v>
      </c>
      <c r="K11486" s="219"/>
      <c r="L11486" s="219">
        <v>1331893.1000000001</v>
      </c>
    </row>
    <row r="11487" spans="1:17" x14ac:dyDescent="0.2">
      <c r="A11487" s="133">
        <v>2024</v>
      </c>
      <c r="B11487" s="133">
        <v>7</v>
      </c>
      <c r="C11487" s="168">
        <v>25</v>
      </c>
      <c r="D11487" s="141">
        <f t="shared" ref="D11487:D11488" si="1656">DATE(A11487,B11487,C11487)</f>
        <v>45498</v>
      </c>
      <c r="E11487" s="275">
        <f t="shared" ref="E11487:E11488" si="1657">DATE(A11487,B11487,C11487)</f>
        <v>45498</v>
      </c>
      <c r="F11487" s="479" t="s">
        <v>1943</v>
      </c>
      <c r="G11487" s="174" t="s">
        <v>74</v>
      </c>
      <c r="H11487" s="148" t="str" cm="1">
        <f t="array" ref="H11487">IFERROR(INDEX(INVESTOR_LIST[INVESTOR NAME],MATCH(I11487,INVESTOR_LIST[INVESTOR CODE],0),)," ")</f>
        <v xml:space="preserve"> </v>
      </c>
      <c r="I11487" s="148" t="s">
        <v>348</v>
      </c>
      <c r="J11487" s="133" t="s">
        <v>61</v>
      </c>
      <c r="K11487" s="172">
        <v>200</v>
      </c>
    </row>
    <row r="11488" spans="1:17" x14ac:dyDescent="0.2">
      <c r="A11488" s="163">
        <v>2024</v>
      </c>
      <c r="B11488" s="163">
        <v>7</v>
      </c>
      <c r="C11488" s="163">
        <v>25</v>
      </c>
      <c r="D11488" s="280">
        <f t="shared" si="1656"/>
        <v>45498</v>
      </c>
      <c r="E11488" s="281">
        <f t="shared" si="1657"/>
        <v>45498</v>
      </c>
      <c r="F11488" s="480"/>
      <c r="G11488" s="221" t="s">
        <v>74</v>
      </c>
      <c r="H11488" s="145" t="str" cm="1">
        <f t="array" ref="H11488">IFERROR(INDEX(INVESTOR_LIST[INVESTOR NAME],MATCH(I11488,INVESTOR_LIST[INVESTOR CODE],0),)," ")</f>
        <v xml:space="preserve"> </v>
      </c>
      <c r="I11488" s="145" t="s">
        <v>348</v>
      </c>
      <c r="J11488" s="163" t="s">
        <v>52</v>
      </c>
      <c r="K11488" s="219"/>
      <c r="L11488" s="219">
        <v>200</v>
      </c>
    </row>
    <row r="11489" spans="1:13" x14ac:dyDescent="0.2">
      <c r="A11489" s="168">
        <v>2024</v>
      </c>
      <c r="B11489" s="168">
        <v>7</v>
      </c>
      <c r="C11489" s="168">
        <v>25</v>
      </c>
      <c r="D11489" s="141">
        <f t="shared" ref="D11489:D11491" si="1658">DATE(A11489,B11489,C11489)</f>
        <v>45498</v>
      </c>
      <c r="E11489" s="275">
        <f t="shared" ref="E11489:E11491" si="1659">DATE(A11489,B11489,C11489)</f>
        <v>45498</v>
      </c>
      <c r="F11489" s="479" t="s">
        <v>1797</v>
      </c>
      <c r="G11489" s="220" t="s">
        <v>94</v>
      </c>
      <c r="H11489" s="220" t="str" cm="1">
        <f t="array" ref="H11489">IFERROR(INDEX(INVESTOR_LIST[INVESTOR NAME],MATCH(I11489,INVESTOR_LIST[INVESTOR CODE],0),)," ")</f>
        <v xml:space="preserve"> </v>
      </c>
      <c r="I11489" s="142"/>
      <c r="J11489" s="143" t="s">
        <v>79</v>
      </c>
      <c r="K11489" s="226">
        <v>212100</v>
      </c>
      <c r="L11489" s="226"/>
      <c r="M11489" s="160"/>
    </row>
    <row r="11490" spans="1:13" x14ac:dyDescent="0.2">
      <c r="A11490" s="133">
        <v>2024</v>
      </c>
      <c r="B11490" s="133">
        <v>7</v>
      </c>
      <c r="C11490" s="133">
        <v>25</v>
      </c>
      <c r="D11490" s="141">
        <f t="shared" si="1658"/>
        <v>45498</v>
      </c>
      <c r="E11490" s="275">
        <f t="shared" si="1659"/>
        <v>45498</v>
      </c>
      <c r="F11490" s="481"/>
      <c r="G11490" s="174" t="s">
        <v>94</v>
      </c>
      <c r="H11490" s="174" t="str" cm="1">
        <f t="array" ref="H11490">IFERROR(INDEX(INVESTOR_LIST[INVESTOR NAME],MATCH(I11490,INVESTOR_LIST[INVESTOR CODE],0),)," ")</f>
        <v xml:space="preserve"> </v>
      </c>
      <c r="J11490" s="149" t="s">
        <v>80</v>
      </c>
      <c r="K11490" s="218">
        <v>381.78</v>
      </c>
      <c r="L11490" s="218"/>
    </row>
    <row r="11491" spans="1:13" ht="10.9" customHeight="1" x14ac:dyDescent="0.2">
      <c r="A11491" s="163">
        <v>2024</v>
      </c>
      <c r="B11491" s="163">
        <v>7</v>
      </c>
      <c r="C11491" s="163">
        <v>25</v>
      </c>
      <c r="D11491" s="280">
        <f t="shared" si="1658"/>
        <v>45498</v>
      </c>
      <c r="E11491" s="281">
        <f t="shared" si="1659"/>
        <v>45498</v>
      </c>
      <c r="F11491" s="480"/>
      <c r="G11491" s="221" t="s">
        <v>94</v>
      </c>
      <c r="H11491" s="221" t="str" cm="1">
        <f t="array" ref="H11491">IFERROR(INDEX(INVESTOR_LIST[INVESTOR NAME],MATCH(I11491,INVESTOR_LIST[INVESTOR CODE],0),)," ")</f>
        <v xml:space="preserve"> </v>
      </c>
      <c r="I11491" s="145"/>
      <c r="J11491" s="146" t="s">
        <v>147</v>
      </c>
      <c r="K11491" s="219"/>
      <c r="L11491" s="219">
        <v>212481.78</v>
      </c>
    </row>
    <row r="11492" spans="1:13" x14ac:dyDescent="0.2">
      <c r="A11492" s="168">
        <v>2024</v>
      </c>
      <c r="B11492" s="168">
        <v>7</v>
      </c>
      <c r="C11492" s="168">
        <v>25</v>
      </c>
      <c r="D11492" s="141">
        <f t="shared" ref="D11492:D11508" si="1660">DATE(A11492,B11492,C11492)</f>
        <v>45498</v>
      </c>
      <c r="E11492" s="275">
        <f t="shared" ref="E11492:E11508" si="1661">DATE(A11492,B11492,C11492)</f>
        <v>45498</v>
      </c>
      <c r="F11492" s="479" t="s">
        <v>1960</v>
      </c>
      <c r="G11492" s="220" t="s">
        <v>94</v>
      </c>
      <c r="H11492" s="220" t="str" cm="1">
        <f t="array" ref="H11492">IFERROR(INDEX(INVESTOR_LIST[INVESTOR NAME],MATCH(I11492,INVESTOR_LIST[INVESTOR CODE],0),)," ")</f>
        <v xml:space="preserve"> </v>
      </c>
      <c r="I11492" s="142"/>
      <c r="J11492" s="143" t="s">
        <v>79</v>
      </c>
      <c r="K11492" s="226">
        <v>1090170.2</v>
      </c>
      <c r="L11492" s="226"/>
      <c r="M11492" s="160"/>
    </row>
    <row r="11493" spans="1:13" x14ac:dyDescent="0.2">
      <c r="A11493" s="133">
        <v>2024</v>
      </c>
      <c r="B11493" s="133">
        <v>7</v>
      </c>
      <c r="C11493" s="133">
        <v>25</v>
      </c>
      <c r="D11493" s="141">
        <f t="shared" si="1660"/>
        <v>45498</v>
      </c>
      <c r="E11493" s="275">
        <f t="shared" si="1661"/>
        <v>45498</v>
      </c>
      <c r="F11493" s="481"/>
      <c r="G11493" s="174" t="s">
        <v>94</v>
      </c>
      <c r="H11493" s="174" t="str" cm="1">
        <f t="array" ref="H11493">IFERROR(INDEX(INVESTOR_LIST[INVESTOR NAME],MATCH(I11493,INVESTOR_LIST[INVESTOR CODE],0),)," ")</f>
        <v xml:space="preserve"> </v>
      </c>
      <c r="J11493" s="149" t="s">
        <v>80</v>
      </c>
      <c r="K11493" s="218">
        <v>1962.3063999999999</v>
      </c>
      <c r="L11493" s="218"/>
    </row>
    <row r="11494" spans="1:13" ht="10.9" customHeight="1" x14ac:dyDescent="0.2">
      <c r="A11494" s="163">
        <v>2024</v>
      </c>
      <c r="B11494" s="163">
        <v>7</v>
      </c>
      <c r="C11494" s="163">
        <v>25</v>
      </c>
      <c r="D11494" s="280">
        <f t="shared" si="1660"/>
        <v>45498</v>
      </c>
      <c r="E11494" s="281">
        <f t="shared" si="1661"/>
        <v>45498</v>
      </c>
      <c r="F11494" s="480"/>
      <c r="G11494" s="221" t="s">
        <v>94</v>
      </c>
      <c r="H11494" s="221" t="str" cm="1">
        <f t="array" ref="H11494">IFERROR(INDEX(INVESTOR_LIST[INVESTOR NAME],MATCH(I11494,INVESTOR_LIST[INVESTOR CODE],0),)," ")</f>
        <v xml:space="preserve"> </v>
      </c>
      <c r="I11494" s="145"/>
      <c r="J11494" s="146" t="s">
        <v>147</v>
      </c>
      <c r="K11494" s="219"/>
      <c r="L11494" s="219">
        <v>1092132.5064000001</v>
      </c>
    </row>
    <row r="11495" spans="1:13" x14ac:dyDescent="0.2">
      <c r="A11495" s="325">
        <v>2024</v>
      </c>
      <c r="B11495" s="325">
        <v>7</v>
      </c>
      <c r="C11495" s="325">
        <v>25</v>
      </c>
      <c r="D11495" s="326">
        <f t="shared" si="1660"/>
        <v>45498</v>
      </c>
      <c r="E11495" s="327">
        <f t="shared" si="1661"/>
        <v>45498</v>
      </c>
      <c r="F11495" s="473" t="s">
        <v>1940</v>
      </c>
      <c r="G11495" s="340" t="s">
        <v>94</v>
      </c>
      <c r="H11495" s="340" t="str" cm="1">
        <f t="array" ref="H11495">IFERROR(INDEX(INVESTOR_LIST[INVESTOR NAME],MATCH(I11495,INVESTOR_LIST[INVESTOR CODE],0),)," ")</f>
        <v xml:space="preserve"> </v>
      </c>
      <c r="I11495" s="341" t="s">
        <v>348</v>
      </c>
      <c r="J11495" s="374" t="s">
        <v>133</v>
      </c>
      <c r="K11495" s="375">
        <v>12905.555555555549</v>
      </c>
      <c r="L11495" s="375"/>
    </row>
    <row r="11496" spans="1:13" x14ac:dyDescent="0.2">
      <c r="A11496" s="331">
        <v>2024</v>
      </c>
      <c r="B11496" s="331">
        <v>7</v>
      </c>
      <c r="C11496" s="331">
        <v>25</v>
      </c>
      <c r="D11496" s="326">
        <f t="shared" si="1660"/>
        <v>45498</v>
      </c>
      <c r="E11496" s="327">
        <f t="shared" si="1661"/>
        <v>45498</v>
      </c>
      <c r="F11496" s="474"/>
      <c r="G11496" s="332" t="s">
        <v>94</v>
      </c>
      <c r="H11496" s="332" t="str" cm="1">
        <f t="array" ref="H11496">IFERROR(INDEX(INVESTOR_LIST[INVESTOR NAME],MATCH(I11496,INVESTOR_LIST[INVESTOR CODE],0),)," ")</f>
        <v xml:space="preserve"> </v>
      </c>
      <c r="I11496" s="333" t="s">
        <v>348</v>
      </c>
      <c r="J11496" s="376" t="s">
        <v>60</v>
      </c>
      <c r="K11496" s="334"/>
      <c r="L11496" s="334">
        <v>12905.555555555549</v>
      </c>
    </row>
    <row r="11497" spans="1:13" x14ac:dyDescent="0.2">
      <c r="A11497" s="343">
        <v>2024</v>
      </c>
      <c r="B11497" s="343">
        <v>7</v>
      </c>
      <c r="C11497" s="343">
        <v>25</v>
      </c>
      <c r="D11497" s="344">
        <f t="shared" si="1660"/>
        <v>45498</v>
      </c>
      <c r="E11497" s="345">
        <f t="shared" si="1661"/>
        <v>45498</v>
      </c>
      <c r="F11497" s="483" t="s">
        <v>1813</v>
      </c>
      <c r="G11497" s="350" t="s">
        <v>94</v>
      </c>
      <c r="H11497" s="350" t="str" cm="1">
        <f t="array" ref="H11497">IFERROR(INDEX(INVESTOR_LIST[INVESTOR NAME],MATCH(I11497,INVESTOR_LIST[INVESTOR CODE],0),)," ")</f>
        <v xml:space="preserve"> </v>
      </c>
      <c r="I11497" s="352" t="s">
        <v>348</v>
      </c>
      <c r="J11497" s="353" t="s">
        <v>1807</v>
      </c>
      <c r="K11497" s="354">
        <v>48599.5</v>
      </c>
      <c r="L11497" s="354"/>
    </row>
    <row r="11498" spans="1:13" x14ac:dyDescent="0.2">
      <c r="A11498" s="346">
        <v>2024</v>
      </c>
      <c r="B11498" s="346">
        <v>7</v>
      </c>
      <c r="C11498" s="346">
        <v>25</v>
      </c>
      <c r="D11498" s="344">
        <f t="shared" si="1660"/>
        <v>45498</v>
      </c>
      <c r="E11498" s="345">
        <f t="shared" si="1661"/>
        <v>45498</v>
      </c>
      <c r="F11498" s="484"/>
      <c r="G11498" s="347" t="s">
        <v>94</v>
      </c>
      <c r="H11498" s="347" t="str" cm="1">
        <f t="array" ref="H11498">IFERROR(INDEX(INVESTOR_LIST[INVESTOR NAME],MATCH(I11498,INVESTOR_LIST[INVESTOR CODE],0),)," ")</f>
        <v xml:space="preserve"> </v>
      </c>
      <c r="I11498" s="348" t="s">
        <v>348</v>
      </c>
      <c r="J11498" s="355" t="s">
        <v>1798</v>
      </c>
      <c r="K11498" s="349"/>
      <c r="L11498" s="349">
        <f>K11497</f>
        <v>48599.5</v>
      </c>
    </row>
    <row r="11499" spans="1:13" x14ac:dyDescent="0.2">
      <c r="A11499" s="343">
        <v>2024</v>
      </c>
      <c r="B11499" s="343">
        <v>7</v>
      </c>
      <c r="C11499" s="343">
        <v>25</v>
      </c>
      <c r="D11499" s="344">
        <f t="shared" si="1660"/>
        <v>45498</v>
      </c>
      <c r="E11499" s="345">
        <f t="shared" si="1661"/>
        <v>45498</v>
      </c>
      <c r="F11499" s="483" t="s">
        <v>1913</v>
      </c>
      <c r="G11499" s="350" t="s">
        <v>94</v>
      </c>
      <c r="H11499" s="350" t="str" cm="1">
        <f t="array" ref="H11499">IFERROR(INDEX(INVESTOR_LIST[INVESTOR NAME],MATCH(I11499,INVESTOR_LIST[INVESTOR CODE],0),)," ")</f>
        <v xml:space="preserve"> </v>
      </c>
      <c r="I11499" s="352" t="s">
        <v>348</v>
      </c>
      <c r="J11499" s="353" t="s">
        <v>1799</v>
      </c>
      <c r="K11499" s="354">
        <v>35466.150000000373</v>
      </c>
      <c r="L11499" s="354"/>
    </row>
    <row r="11500" spans="1:13" x14ac:dyDescent="0.2">
      <c r="A11500" s="346">
        <v>2024</v>
      </c>
      <c r="B11500" s="346">
        <v>7</v>
      </c>
      <c r="C11500" s="346">
        <v>25</v>
      </c>
      <c r="D11500" s="344">
        <f t="shared" si="1660"/>
        <v>45498</v>
      </c>
      <c r="E11500" s="345">
        <f t="shared" si="1661"/>
        <v>45498</v>
      </c>
      <c r="F11500" s="484"/>
      <c r="G11500" s="347" t="s">
        <v>94</v>
      </c>
      <c r="H11500" s="347" t="str" cm="1">
        <f t="array" ref="H11500">IFERROR(INDEX(INVESTOR_LIST[INVESTOR NAME],MATCH(I11500,INVESTOR_LIST[INVESTOR CODE],0),)," ")</f>
        <v xml:space="preserve"> </v>
      </c>
      <c r="I11500" s="348" t="s">
        <v>348</v>
      </c>
      <c r="J11500" s="355" t="s">
        <v>1808</v>
      </c>
      <c r="K11500" s="349"/>
      <c r="L11500" s="349">
        <f>K11499</f>
        <v>35466.150000000373</v>
      </c>
    </row>
    <row r="11501" spans="1:13" ht="11.25" customHeight="1" x14ac:dyDescent="0.2">
      <c r="A11501" s="238">
        <v>2024</v>
      </c>
      <c r="B11501" s="238">
        <v>7</v>
      </c>
      <c r="C11501" s="238">
        <v>25</v>
      </c>
      <c r="D11501" s="270">
        <f t="shared" si="1660"/>
        <v>45498</v>
      </c>
      <c r="E11501" s="279">
        <f t="shared" si="1661"/>
        <v>45498</v>
      </c>
      <c r="F11501" s="477" t="s">
        <v>347</v>
      </c>
      <c r="G11501" s="239" t="s">
        <v>94</v>
      </c>
      <c r="H11501" s="239" t="str" cm="1">
        <f t="array" ref="H11501">IFERROR(INDEX(INVESTOR_LIST[INVESTOR NAME],MATCH(I11501,INVESTOR_LIST[INVESTOR CODE],0),)," ")</f>
        <v xml:space="preserve"> </v>
      </c>
      <c r="I11501" s="262" t="s">
        <v>348</v>
      </c>
      <c r="J11501" s="240" t="s">
        <v>82</v>
      </c>
      <c r="K11501" s="241">
        <v>582156.68999999017</v>
      </c>
      <c r="L11501" s="241"/>
    </row>
    <row r="11502" spans="1:13" x14ac:dyDescent="0.2">
      <c r="A11502" s="242">
        <v>2024</v>
      </c>
      <c r="B11502" s="242">
        <v>7</v>
      </c>
      <c r="C11502" s="242">
        <v>25</v>
      </c>
      <c r="D11502" s="270">
        <f t="shared" si="1660"/>
        <v>45498</v>
      </c>
      <c r="E11502" s="279">
        <f t="shared" si="1661"/>
        <v>45498</v>
      </c>
      <c r="F11502" s="478"/>
      <c r="G11502" s="243" t="s">
        <v>94</v>
      </c>
      <c r="H11502" s="243" t="str" cm="1">
        <f t="array" ref="H11502">IFERROR(INDEX(INVESTOR_LIST[INVESTOR NAME],MATCH(I11502,INVESTOR_LIST[INVESTOR CODE],0),)," ")</f>
        <v xml:space="preserve"> </v>
      </c>
      <c r="I11502" s="263" t="s">
        <v>348</v>
      </c>
      <c r="J11502" s="244" t="s">
        <v>108</v>
      </c>
      <c r="K11502" s="245"/>
      <c r="L11502" s="245">
        <f>K11501</f>
        <v>582156.68999999017</v>
      </c>
    </row>
    <row r="11503" spans="1:13" ht="11.25" customHeight="1" x14ac:dyDescent="0.2">
      <c r="A11503" s="246">
        <v>2024</v>
      </c>
      <c r="B11503" s="238">
        <v>7</v>
      </c>
      <c r="C11503" s="238">
        <v>25</v>
      </c>
      <c r="D11503" s="270">
        <f t="shared" si="1660"/>
        <v>45498</v>
      </c>
      <c r="E11503" s="279">
        <f t="shared" si="1661"/>
        <v>45498</v>
      </c>
      <c r="F11503" s="482" t="s">
        <v>148</v>
      </c>
      <c r="G11503" s="247" t="s">
        <v>94</v>
      </c>
      <c r="H11503" s="247" t="str" cm="1">
        <f t="array" ref="H11503">IFERROR(INDEX(INVESTOR_LIST[INVESTOR NAME],MATCH(I11503,INVESTOR_LIST[INVESTOR CODE],0),)," ")</f>
        <v xml:space="preserve"> </v>
      </c>
      <c r="I11503" s="248" t="s">
        <v>348</v>
      </c>
      <c r="J11503" s="249" t="s">
        <v>95</v>
      </c>
      <c r="K11503" s="250">
        <v>2747.2527472527472</v>
      </c>
      <c r="L11503" s="241"/>
    </row>
    <row r="11504" spans="1:13" x14ac:dyDescent="0.2">
      <c r="A11504" s="242">
        <v>2024</v>
      </c>
      <c r="B11504" s="242">
        <v>7</v>
      </c>
      <c r="C11504" s="242">
        <v>25</v>
      </c>
      <c r="D11504" s="270">
        <f t="shared" si="1660"/>
        <v>45498</v>
      </c>
      <c r="E11504" s="279">
        <f t="shared" si="1661"/>
        <v>45498</v>
      </c>
      <c r="F11504" s="478"/>
      <c r="G11504" s="243" t="s">
        <v>94</v>
      </c>
      <c r="H11504" s="243" t="str" cm="1">
        <f t="array" ref="H11504">IFERROR(INDEX(INVESTOR_LIST[INVESTOR NAME],MATCH(I11504,INVESTOR_LIST[INVESTOR CODE],0),)," ")</f>
        <v xml:space="preserve"> </v>
      </c>
      <c r="I11504" s="263" t="s">
        <v>348</v>
      </c>
      <c r="J11504" s="244" t="s">
        <v>63</v>
      </c>
      <c r="K11504" s="245"/>
      <c r="L11504" s="245">
        <v>2747.2527472527472</v>
      </c>
    </row>
    <row r="11505" spans="1:13" x14ac:dyDescent="0.2">
      <c r="A11505" s="246">
        <v>2024</v>
      </c>
      <c r="B11505" s="238">
        <v>7</v>
      </c>
      <c r="C11505" s="238">
        <v>25</v>
      </c>
      <c r="D11505" s="270">
        <f t="shared" si="1660"/>
        <v>45498</v>
      </c>
      <c r="E11505" s="279">
        <f t="shared" si="1661"/>
        <v>45498</v>
      </c>
      <c r="F11505" s="482" t="s">
        <v>137</v>
      </c>
      <c r="G11505" s="247" t="s">
        <v>94</v>
      </c>
      <c r="H11505" s="247" t="str" cm="1">
        <f t="array" ref="H11505">IFERROR(INDEX(INVESTOR_LIST[INVESTOR NAME],MATCH(I11505,INVESTOR_LIST[INVESTOR CODE],0),)," ")</f>
        <v xml:space="preserve"> </v>
      </c>
      <c r="I11505" s="248" t="s">
        <v>348</v>
      </c>
      <c r="J11505" s="249" t="s">
        <v>97</v>
      </c>
      <c r="K11505" s="250">
        <f>M11505</f>
        <v>0</v>
      </c>
      <c r="L11505" s="252"/>
      <c r="M11505" s="264"/>
    </row>
    <row r="11506" spans="1:13" x14ac:dyDescent="0.2">
      <c r="A11506" s="242">
        <v>2024</v>
      </c>
      <c r="B11506" s="242">
        <v>7</v>
      </c>
      <c r="C11506" s="242">
        <v>25</v>
      </c>
      <c r="D11506" s="270">
        <f t="shared" si="1660"/>
        <v>45498</v>
      </c>
      <c r="E11506" s="279">
        <f t="shared" si="1661"/>
        <v>45498</v>
      </c>
      <c r="F11506" s="478"/>
      <c r="G11506" s="243" t="s">
        <v>94</v>
      </c>
      <c r="H11506" s="243" t="str" cm="1">
        <f t="array" ref="H11506">IFERROR(INDEX(INVESTOR_LIST[INVESTOR NAME],MATCH(I11506,INVESTOR_LIST[INVESTOR CODE],0),)," ")</f>
        <v xml:space="preserve"> </v>
      </c>
      <c r="I11506" s="263" t="s">
        <v>348</v>
      </c>
      <c r="J11506" s="244" t="s">
        <v>47</v>
      </c>
      <c r="K11506" s="245"/>
      <c r="L11506" s="245">
        <f>K11505</f>
        <v>0</v>
      </c>
      <c r="M11506" s="264"/>
    </row>
    <row r="11507" spans="1:13" x14ac:dyDescent="0.2">
      <c r="A11507" s="246">
        <v>2024</v>
      </c>
      <c r="B11507" s="238">
        <v>7</v>
      </c>
      <c r="C11507" s="238">
        <v>25</v>
      </c>
      <c r="D11507" s="270">
        <f t="shared" si="1660"/>
        <v>45498</v>
      </c>
      <c r="E11507" s="279">
        <f t="shared" si="1661"/>
        <v>45498</v>
      </c>
      <c r="F11507" s="482" t="s">
        <v>138</v>
      </c>
      <c r="G11507" s="247" t="s">
        <v>94</v>
      </c>
      <c r="H11507" s="247" t="str" cm="1">
        <f t="array" ref="H11507">IFERROR(INDEX(INVESTOR_LIST[INVESTOR NAME],MATCH(I11507,INVESTOR_LIST[INVESTOR CODE],0),)," ")</f>
        <v xml:space="preserve"> </v>
      </c>
      <c r="I11507" s="248" t="s">
        <v>348</v>
      </c>
      <c r="J11507" s="249" t="s">
        <v>100</v>
      </c>
      <c r="K11507" s="250">
        <v>2377.1364601646883</v>
      </c>
      <c r="L11507" s="252"/>
    </row>
    <row r="11508" spans="1:13" x14ac:dyDescent="0.2">
      <c r="A11508" s="242">
        <v>2024</v>
      </c>
      <c r="B11508" s="242">
        <v>7</v>
      </c>
      <c r="C11508" s="242">
        <v>25</v>
      </c>
      <c r="D11508" s="321">
        <f t="shared" si="1660"/>
        <v>45498</v>
      </c>
      <c r="E11508" s="322">
        <f t="shared" si="1661"/>
        <v>45498</v>
      </c>
      <c r="F11508" s="478"/>
      <c r="G11508" s="243" t="s">
        <v>94</v>
      </c>
      <c r="H11508" s="243" t="str" cm="1">
        <f t="array" ref="H11508">IFERROR(INDEX(INVESTOR_LIST[INVESTOR NAME],MATCH(I11508,INVESTOR_LIST[INVESTOR CODE],0),)," ")</f>
        <v xml:space="preserve"> </v>
      </c>
      <c r="I11508" s="263" t="s">
        <v>348</v>
      </c>
      <c r="J11508" s="244" t="s">
        <v>48</v>
      </c>
      <c r="K11508" s="245"/>
      <c r="L11508" s="245">
        <f>K11507</f>
        <v>2377.1364601646883</v>
      </c>
    </row>
    <row r="11509" spans="1:13" x14ac:dyDescent="0.2">
      <c r="A11509" s="168">
        <v>2024</v>
      </c>
      <c r="B11509" s="168">
        <v>7</v>
      </c>
      <c r="C11509" s="168">
        <v>28</v>
      </c>
      <c r="D11509" s="141">
        <f t="shared" ref="D11509:D11542" si="1662">DATE(A11509,B11509,C11509)</f>
        <v>45501</v>
      </c>
      <c r="E11509" s="275">
        <f t="shared" ref="E11509:E11542" si="1663">DATE(A11509,B11509,C11509)</f>
        <v>45501</v>
      </c>
      <c r="F11509" s="479" t="s">
        <v>1960</v>
      </c>
      <c r="G11509" s="220" t="s">
        <v>94</v>
      </c>
      <c r="H11509" s="220" t="str" cm="1">
        <f t="array" ref="H11509">IFERROR(INDEX(INVESTOR_LIST[INVESTOR NAME],MATCH(I11509,INVESTOR_LIST[INVESTOR CODE],0),)," ")</f>
        <v xml:space="preserve"> </v>
      </c>
      <c r="I11509" s="142"/>
      <c r="J11509" s="143" t="s">
        <v>79</v>
      </c>
      <c r="K11509" s="226">
        <v>422500</v>
      </c>
      <c r="L11509" s="226"/>
      <c r="M11509" s="160"/>
    </row>
    <row r="11510" spans="1:13" x14ac:dyDescent="0.2">
      <c r="A11510" s="133">
        <v>2024</v>
      </c>
      <c r="B11510" s="133">
        <v>7</v>
      </c>
      <c r="C11510" s="133">
        <v>28</v>
      </c>
      <c r="D11510" s="141">
        <f t="shared" si="1662"/>
        <v>45501</v>
      </c>
      <c r="E11510" s="275">
        <f t="shared" si="1663"/>
        <v>45501</v>
      </c>
      <c r="F11510" s="481"/>
      <c r="G11510" s="174" t="s">
        <v>94</v>
      </c>
      <c r="H11510" s="174" t="str" cm="1">
        <f t="array" ref="H11510">IFERROR(INDEX(INVESTOR_LIST[INVESTOR NAME],MATCH(I11510,INVESTOR_LIST[INVESTOR CODE],0),)," ")</f>
        <v xml:space="preserve"> </v>
      </c>
      <c r="J11510" s="149" t="s">
        <v>80</v>
      </c>
      <c r="K11510" s="218">
        <v>760.5</v>
      </c>
      <c r="L11510" s="218"/>
    </row>
    <row r="11511" spans="1:13" ht="10.9" customHeight="1" x14ac:dyDescent="0.2">
      <c r="A11511" s="163">
        <v>2024</v>
      </c>
      <c r="B11511" s="163">
        <v>7</v>
      </c>
      <c r="C11511" s="163">
        <v>28</v>
      </c>
      <c r="D11511" s="280">
        <f t="shared" si="1662"/>
        <v>45501</v>
      </c>
      <c r="E11511" s="281">
        <f t="shared" si="1663"/>
        <v>45501</v>
      </c>
      <c r="F11511" s="480"/>
      <c r="G11511" s="221" t="s">
        <v>94</v>
      </c>
      <c r="H11511" s="221" t="str" cm="1">
        <f t="array" ref="H11511">IFERROR(INDEX(INVESTOR_LIST[INVESTOR NAME],MATCH(I11511,INVESTOR_LIST[INVESTOR CODE],0),)," ")</f>
        <v xml:space="preserve"> </v>
      </c>
      <c r="I11511" s="145"/>
      <c r="J11511" s="146" t="s">
        <v>147</v>
      </c>
      <c r="K11511" s="219"/>
      <c r="L11511" s="219">
        <v>423260.5</v>
      </c>
    </row>
    <row r="11512" spans="1:13" x14ac:dyDescent="0.2">
      <c r="A11512" s="168">
        <v>2024</v>
      </c>
      <c r="B11512" s="168">
        <v>7</v>
      </c>
      <c r="C11512" s="168">
        <v>28</v>
      </c>
      <c r="D11512" s="141">
        <f t="shared" si="1662"/>
        <v>45501</v>
      </c>
      <c r="E11512" s="275">
        <f t="shared" si="1663"/>
        <v>45501</v>
      </c>
      <c r="F11512" s="479" t="s">
        <v>1797</v>
      </c>
      <c r="G11512" s="220" t="s">
        <v>94</v>
      </c>
      <c r="H11512" s="220" t="str" cm="1">
        <f t="array" ref="H11512">IFERROR(INDEX(INVESTOR_LIST[INVESTOR NAME],MATCH(I11512,INVESTOR_LIST[INVESTOR CODE],0),)," ")</f>
        <v xml:space="preserve"> </v>
      </c>
      <c r="I11512" s="142"/>
      <c r="J11512" s="143" t="s">
        <v>79</v>
      </c>
      <c r="K11512" s="226">
        <v>1196211.1000000001</v>
      </c>
      <c r="L11512" s="226"/>
      <c r="M11512" s="160"/>
    </row>
    <row r="11513" spans="1:13" x14ac:dyDescent="0.2">
      <c r="A11513" s="133">
        <v>2024</v>
      </c>
      <c r="B11513" s="133">
        <v>7</v>
      </c>
      <c r="C11513" s="133">
        <v>28</v>
      </c>
      <c r="D11513" s="141">
        <f t="shared" si="1662"/>
        <v>45501</v>
      </c>
      <c r="E11513" s="275">
        <f t="shared" si="1663"/>
        <v>45501</v>
      </c>
      <c r="F11513" s="481"/>
      <c r="G11513" s="174" t="s">
        <v>94</v>
      </c>
      <c r="H11513" s="174" t="str" cm="1">
        <f t="array" ref="H11513">IFERROR(INDEX(INVESTOR_LIST[INVESTOR NAME],MATCH(I11513,INVESTOR_LIST[INVESTOR CODE],0),)," ")</f>
        <v xml:space="preserve"> </v>
      </c>
      <c r="J11513" s="149" t="s">
        <v>80</v>
      </c>
      <c r="K11513" s="218">
        <v>2153.1799999999998</v>
      </c>
      <c r="L11513" s="218"/>
    </row>
    <row r="11514" spans="1:13" ht="10.9" customHeight="1" x14ac:dyDescent="0.2">
      <c r="A11514" s="163">
        <v>2024</v>
      </c>
      <c r="B11514" s="163">
        <v>7</v>
      </c>
      <c r="C11514" s="163">
        <v>28</v>
      </c>
      <c r="D11514" s="280">
        <f t="shared" si="1662"/>
        <v>45501</v>
      </c>
      <c r="E11514" s="281">
        <f t="shared" si="1663"/>
        <v>45501</v>
      </c>
      <c r="F11514" s="480"/>
      <c r="G11514" s="221" t="s">
        <v>94</v>
      </c>
      <c r="H11514" s="221" t="str" cm="1">
        <f t="array" ref="H11514">IFERROR(INDEX(INVESTOR_LIST[INVESTOR NAME],MATCH(I11514,INVESTOR_LIST[INVESTOR CODE],0),)," ")</f>
        <v xml:space="preserve"> </v>
      </c>
      <c r="I11514" s="145"/>
      <c r="J11514" s="146" t="s">
        <v>147</v>
      </c>
      <c r="K11514" s="219"/>
      <c r="L11514" s="219">
        <v>1198364.28</v>
      </c>
    </row>
    <row r="11515" spans="1:13" x14ac:dyDescent="0.2">
      <c r="A11515" s="168">
        <v>2024</v>
      </c>
      <c r="B11515" s="168">
        <v>7</v>
      </c>
      <c r="C11515" s="168">
        <v>28</v>
      </c>
      <c r="D11515" s="141">
        <f t="shared" si="1662"/>
        <v>45501</v>
      </c>
      <c r="E11515" s="275">
        <f t="shared" si="1663"/>
        <v>45501</v>
      </c>
      <c r="F11515" s="479" t="s">
        <v>1319</v>
      </c>
      <c r="G11515" s="220" t="s">
        <v>74</v>
      </c>
      <c r="H11515" s="142" t="str" cm="1">
        <f t="array" ref="H11515">IFERROR(INDEX(INVESTOR_LIST[INVESTOR NAME],MATCH(I11515,INVESTOR_LIST[INVESTOR CODE],0),)," ")</f>
        <v xml:space="preserve"> </v>
      </c>
      <c r="I11515" s="142"/>
      <c r="J11515" s="168" t="s">
        <v>52</v>
      </c>
      <c r="K11515" s="226">
        <v>106000</v>
      </c>
      <c r="L11515" s="226"/>
    </row>
    <row r="11516" spans="1:13" x14ac:dyDescent="0.2">
      <c r="A11516" s="133">
        <v>2024</v>
      </c>
      <c r="B11516" s="133">
        <v>7</v>
      </c>
      <c r="C11516" s="133">
        <v>28</v>
      </c>
      <c r="D11516" s="141">
        <f t="shared" si="1662"/>
        <v>45501</v>
      </c>
      <c r="E11516" s="275">
        <f t="shared" si="1663"/>
        <v>45501</v>
      </c>
      <c r="F11516" s="481"/>
      <c r="G11516" s="174" t="s">
        <v>74</v>
      </c>
      <c r="H11516" s="148" t="str" cm="1">
        <f t="array" ref="H11516">IFERROR(INDEX(INVESTOR_LIST[INVESTOR NAME],MATCH(I11516,INVESTOR_LIST[INVESTOR CODE],0),)," ")</f>
        <v xml:space="preserve"> </v>
      </c>
      <c r="J11516" s="133" t="s">
        <v>13</v>
      </c>
      <c r="K11516" s="218"/>
      <c r="L11516" s="218">
        <v>87900</v>
      </c>
    </row>
    <row r="11517" spans="1:13" x14ac:dyDescent="0.2">
      <c r="A11517" s="163">
        <v>2024</v>
      </c>
      <c r="B11517" s="163">
        <v>7</v>
      </c>
      <c r="C11517" s="163">
        <v>28</v>
      </c>
      <c r="D11517" s="280">
        <f t="shared" si="1662"/>
        <v>45501</v>
      </c>
      <c r="E11517" s="281">
        <f t="shared" si="1663"/>
        <v>45501</v>
      </c>
      <c r="F11517" s="480"/>
      <c r="G11517" s="221" t="s">
        <v>74</v>
      </c>
      <c r="H11517" s="145" t="str" cm="1">
        <f t="array" ref="H11517">IFERROR(INDEX(INVESTOR_LIST[INVESTOR NAME],MATCH(I11517,INVESTOR_LIST[INVESTOR CODE],0),)," ")</f>
        <v xml:space="preserve"> </v>
      </c>
      <c r="I11517" s="145"/>
      <c r="J11517" s="163" t="s">
        <v>53</v>
      </c>
      <c r="K11517" s="219"/>
      <c r="L11517" s="219">
        <v>18100</v>
      </c>
    </row>
    <row r="11518" spans="1:13" ht="11.25" customHeight="1" x14ac:dyDescent="0.2">
      <c r="A11518" s="168">
        <v>2024</v>
      </c>
      <c r="B11518" s="168">
        <v>7</v>
      </c>
      <c r="C11518" s="168">
        <v>29</v>
      </c>
      <c r="D11518" s="141">
        <f t="shared" ref="D11518:D11525" si="1664">DATE(A11518,B11518,C11518)</f>
        <v>45502</v>
      </c>
      <c r="E11518" s="275">
        <f t="shared" ref="E11518:E11525" si="1665">DATE(A11518,B11518,C11518)</f>
        <v>45502</v>
      </c>
      <c r="F11518" s="479" t="s">
        <v>1768</v>
      </c>
      <c r="G11518" s="220" t="s">
        <v>74</v>
      </c>
      <c r="H11518" s="220" t="str" cm="1">
        <f t="array" ref="H11518">IFERROR(INDEX(INVESTOR_LIST[INVESTOR NAME],MATCH(I11518,INVESTOR_LIST[INVESTOR CODE],0),)," ")</f>
        <v xml:space="preserve"> </v>
      </c>
      <c r="I11518" s="142"/>
      <c r="J11518" s="143" t="s">
        <v>147</v>
      </c>
      <c r="K11518" s="226">
        <v>212481.78</v>
      </c>
      <c r="L11518" s="226"/>
    </row>
    <row r="11519" spans="1:13" x14ac:dyDescent="0.2">
      <c r="A11519" s="163">
        <v>2024</v>
      </c>
      <c r="B11519" s="163">
        <v>7</v>
      </c>
      <c r="C11519" s="163">
        <v>29</v>
      </c>
      <c r="D11519" s="280">
        <f t="shared" si="1664"/>
        <v>45502</v>
      </c>
      <c r="E11519" s="281">
        <f t="shared" si="1665"/>
        <v>45502</v>
      </c>
      <c r="F11519" s="480"/>
      <c r="G11519" s="221" t="s">
        <v>74</v>
      </c>
      <c r="H11519" s="221" t="str" cm="1">
        <f t="array" ref="H11519">IFERROR(INDEX(INVESTOR_LIST[INVESTOR NAME],MATCH(I11519,INVESTOR_LIST[INVESTOR CODE],0),)," ")</f>
        <v xml:space="preserve"> </v>
      </c>
      <c r="I11519" s="145" t="s">
        <v>348</v>
      </c>
      <c r="J11519" s="146" t="s">
        <v>52</v>
      </c>
      <c r="K11519" s="219"/>
      <c r="L11519" s="219">
        <v>212481.78</v>
      </c>
    </row>
    <row r="11520" spans="1:13" ht="11.25" customHeight="1" x14ac:dyDescent="0.2">
      <c r="A11520" s="168">
        <v>2024</v>
      </c>
      <c r="B11520" s="168">
        <v>7</v>
      </c>
      <c r="C11520" s="168">
        <v>29</v>
      </c>
      <c r="D11520" s="141">
        <f t="shared" si="1664"/>
        <v>45502</v>
      </c>
      <c r="E11520" s="275">
        <f t="shared" si="1665"/>
        <v>45502</v>
      </c>
      <c r="F11520" s="479" t="s">
        <v>1965</v>
      </c>
      <c r="G11520" s="220" t="s">
        <v>74</v>
      </c>
      <c r="H11520" s="220" t="str" cm="1">
        <f t="array" ref="H11520">IFERROR(INDEX(INVESTOR_LIST[INVESTOR NAME],MATCH(I11520,INVESTOR_LIST[INVESTOR CODE],0),)," ")</f>
        <v xml:space="preserve"> </v>
      </c>
      <c r="I11520" s="142"/>
      <c r="J11520" s="143" t="s">
        <v>147</v>
      </c>
      <c r="K11520" s="226">
        <v>1092132.51</v>
      </c>
      <c r="L11520" s="226"/>
    </row>
    <row r="11521" spans="1:17" x14ac:dyDescent="0.2">
      <c r="A11521" s="163">
        <v>2024</v>
      </c>
      <c r="B11521" s="163">
        <v>7</v>
      </c>
      <c r="C11521" s="163">
        <v>29</v>
      </c>
      <c r="D11521" s="280">
        <f t="shared" si="1664"/>
        <v>45502</v>
      </c>
      <c r="E11521" s="281">
        <f t="shared" si="1665"/>
        <v>45502</v>
      </c>
      <c r="F11521" s="480"/>
      <c r="G11521" s="221" t="s">
        <v>74</v>
      </c>
      <c r="H11521" s="221" t="str" cm="1">
        <f t="array" ref="H11521">IFERROR(INDEX(INVESTOR_LIST[INVESTOR NAME],MATCH(I11521,INVESTOR_LIST[INVESTOR CODE],0),)," ")</f>
        <v xml:space="preserve"> </v>
      </c>
      <c r="I11521" s="145" t="s">
        <v>348</v>
      </c>
      <c r="J11521" s="146" t="s">
        <v>52</v>
      </c>
      <c r="K11521" s="219"/>
      <c r="L11521" s="219">
        <v>1092132.5064000001</v>
      </c>
    </row>
    <row r="11522" spans="1:17" ht="11.25" customHeight="1" x14ac:dyDescent="0.2">
      <c r="A11522" s="168">
        <v>2024</v>
      </c>
      <c r="B11522" s="168">
        <v>7</v>
      </c>
      <c r="C11522" s="168">
        <v>29</v>
      </c>
      <c r="D11522" s="141">
        <f t="shared" si="1664"/>
        <v>45502</v>
      </c>
      <c r="E11522" s="275">
        <f t="shared" si="1665"/>
        <v>45502</v>
      </c>
      <c r="F11522" s="479" t="s">
        <v>1965</v>
      </c>
      <c r="G11522" s="220" t="s">
        <v>74</v>
      </c>
      <c r="H11522" s="220" t="str" cm="1">
        <f t="array" ref="H11522">IFERROR(INDEX(INVESTOR_LIST[INVESTOR NAME],MATCH(I11522,INVESTOR_LIST[INVESTOR CODE],0),)," ")</f>
        <v xml:space="preserve"> </v>
      </c>
      <c r="I11522" s="142"/>
      <c r="J11522" s="143" t="s">
        <v>147</v>
      </c>
      <c r="K11522" s="226">
        <v>423260.5</v>
      </c>
      <c r="L11522" s="226"/>
    </row>
    <row r="11523" spans="1:17" x14ac:dyDescent="0.2">
      <c r="A11523" s="163">
        <v>2024</v>
      </c>
      <c r="B11523" s="163">
        <v>7</v>
      </c>
      <c r="C11523" s="163">
        <v>29</v>
      </c>
      <c r="D11523" s="280">
        <f t="shared" si="1664"/>
        <v>45502</v>
      </c>
      <c r="E11523" s="281">
        <f t="shared" si="1665"/>
        <v>45502</v>
      </c>
      <c r="F11523" s="480"/>
      <c r="G11523" s="221" t="s">
        <v>74</v>
      </c>
      <c r="H11523" s="221" t="str" cm="1">
        <f t="array" ref="H11523">IFERROR(INDEX(INVESTOR_LIST[INVESTOR NAME],MATCH(I11523,INVESTOR_LIST[INVESTOR CODE],0),)," ")</f>
        <v xml:space="preserve"> </v>
      </c>
      <c r="I11523" s="145" t="s">
        <v>348</v>
      </c>
      <c r="J11523" s="146" t="s">
        <v>52</v>
      </c>
      <c r="K11523" s="219"/>
      <c r="L11523" s="219">
        <v>423260.5</v>
      </c>
    </row>
    <row r="11524" spans="1:17" ht="11.25" customHeight="1" x14ac:dyDescent="0.2">
      <c r="A11524" s="168">
        <v>2024</v>
      </c>
      <c r="B11524" s="168">
        <v>7</v>
      </c>
      <c r="C11524" s="168">
        <v>29</v>
      </c>
      <c r="D11524" s="141">
        <f t="shared" si="1664"/>
        <v>45502</v>
      </c>
      <c r="E11524" s="275">
        <f t="shared" si="1665"/>
        <v>45502</v>
      </c>
      <c r="F11524" s="479" t="s">
        <v>1768</v>
      </c>
      <c r="G11524" s="220" t="s">
        <v>74</v>
      </c>
      <c r="H11524" s="220" t="str" cm="1">
        <f t="array" ref="H11524">IFERROR(INDEX(INVESTOR_LIST[INVESTOR NAME],MATCH(I11524,INVESTOR_LIST[INVESTOR CODE],0),)," ")</f>
        <v xml:space="preserve"> </v>
      </c>
      <c r="I11524" s="142"/>
      <c r="J11524" s="143" t="s">
        <v>147</v>
      </c>
      <c r="K11524" s="226">
        <v>1198364.28</v>
      </c>
      <c r="L11524" s="226"/>
    </row>
    <row r="11525" spans="1:17" x14ac:dyDescent="0.2">
      <c r="A11525" s="163">
        <v>2024</v>
      </c>
      <c r="B11525" s="163">
        <v>7</v>
      </c>
      <c r="C11525" s="163">
        <v>29</v>
      </c>
      <c r="D11525" s="280">
        <f t="shared" si="1664"/>
        <v>45502</v>
      </c>
      <c r="E11525" s="281">
        <f t="shared" si="1665"/>
        <v>45502</v>
      </c>
      <c r="F11525" s="480"/>
      <c r="G11525" s="221" t="s">
        <v>74</v>
      </c>
      <c r="H11525" s="221" t="str" cm="1">
        <f t="array" ref="H11525">IFERROR(INDEX(INVESTOR_LIST[INVESTOR NAME],MATCH(I11525,INVESTOR_LIST[INVESTOR CODE],0),)," ")</f>
        <v xml:space="preserve"> </v>
      </c>
      <c r="I11525" s="145" t="s">
        <v>348</v>
      </c>
      <c r="J11525" s="146" t="s">
        <v>52</v>
      </c>
      <c r="K11525" s="219"/>
      <c r="L11525" s="219">
        <v>1198364.28</v>
      </c>
    </row>
    <row r="11526" spans="1:17" x14ac:dyDescent="0.2">
      <c r="A11526" s="133">
        <v>2024</v>
      </c>
      <c r="B11526" s="133">
        <v>7</v>
      </c>
      <c r="C11526" s="168">
        <v>29</v>
      </c>
      <c r="D11526" s="141">
        <f t="shared" ref="D11526:D11530" si="1666">DATE(A11526,B11526,C11526)</f>
        <v>45502</v>
      </c>
      <c r="E11526" s="275">
        <f t="shared" ref="E11526:E11530" si="1667">DATE(A11526,B11526,C11526)</f>
        <v>45502</v>
      </c>
      <c r="F11526" s="479" t="s">
        <v>1943</v>
      </c>
      <c r="G11526" s="174" t="s">
        <v>74</v>
      </c>
      <c r="H11526" s="148" t="str" cm="1">
        <f t="array" ref="H11526">IFERROR(INDEX(INVESTOR_LIST[INVESTOR NAME],MATCH(I11526,INVESTOR_LIST[INVESTOR CODE],0),)," ")</f>
        <v xml:space="preserve"> </v>
      </c>
      <c r="I11526" s="148" t="s">
        <v>348</v>
      </c>
      <c r="J11526" s="133" t="s">
        <v>61</v>
      </c>
      <c r="K11526" s="172">
        <v>258</v>
      </c>
    </row>
    <row r="11527" spans="1:17" x14ac:dyDescent="0.2">
      <c r="A11527" s="163">
        <v>2024</v>
      </c>
      <c r="B11527" s="163">
        <v>7</v>
      </c>
      <c r="C11527" s="163">
        <v>29</v>
      </c>
      <c r="D11527" s="280">
        <f t="shared" si="1666"/>
        <v>45502</v>
      </c>
      <c r="E11527" s="281">
        <f t="shared" si="1667"/>
        <v>45502</v>
      </c>
      <c r="F11527" s="480"/>
      <c r="G11527" s="221" t="s">
        <v>74</v>
      </c>
      <c r="H11527" s="145" t="str" cm="1">
        <f t="array" ref="H11527">IFERROR(INDEX(INVESTOR_LIST[INVESTOR NAME],MATCH(I11527,INVESTOR_LIST[INVESTOR CODE],0),)," ")</f>
        <v xml:space="preserve"> </v>
      </c>
      <c r="I11527" s="145" t="s">
        <v>348</v>
      </c>
      <c r="J11527" s="163" t="s">
        <v>52</v>
      </c>
      <c r="K11527" s="219"/>
      <c r="L11527" s="219">
        <v>258</v>
      </c>
    </row>
    <row r="11528" spans="1:17" x14ac:dyDescent="0.2">
      <c r="A11528" s="133">
        <v>2024</v>
      </c>
      <c r="B11528" s="168">
        <v>7</v>
      </c>
      <c r="C11528" s="168">
        <v>29</v>
      </c>
      <c r="D11528" s="141">
        <f t="shared" si="1666"/>
        <v>45502</v>
      </c>
      <c r="E11528" s="275">
        <f t="shared" si="1667"/>
        <v>45502</v>
      </c>
      <c r="F11528" s="479" t="s">
        <v>275</v>
      </c>
      <c r="G11528" s="174" t="s">
        <v>74</v>
      </c>
      <c r="H11528" s="174" t="str" cm="1">
        <f t="array" ref="H11528">IFERROR(INDEX(INVESTOR_LIST[INVESTOR NAME],MATCH(I11528,INVESTOR_LIST[INVESTOR CODE],0),)," ")</f>
        <v xml:space="preserve"> </v>
      </c>
      <c r="I11528" s="148" t="s">
        <v>348</v>
      </c>
      <c r="J11528" s="149" t="s">
        <v>163</v>
      </c>
      <c r="K11528" s="218">
        <v>1575</v>
      </c>
      <c r="L11528" s="218"/>
      <c r="M11528" s="147"/>
      <c r="Q11528" s="133" t="s">
        <v>348</v>
      </c>
    </row>
    <row r="11529" spans="1:17" x14ac:dyDescent="0.2">
      <c r="A11529" s="133">
        <v>2024</v>
      </c>
      <c r="B11529" s="133">
        <v>7</v>
      </c>
      <c r="C11529" s="133">
        <v>29</v>
      </c>
      <c r="D11529" s="141">
        <f t="shared" si="1666"/>
        <v>45502</v>
      </c>
      <c r="E11529" s="275">
        <f t="shared" si="1667"/>
        <v>45502</v>
      </c>
      <c r="F11529" s="481"/>
      <c r="G11529" s="174" t="s">
        <v>74</v>
      </c>
      <c r="H11529" s="174" t="str" cm="1">
        <f t="array" ref="H11529">IFERROR(INDEX(INVESTOR_LIST[INVESTOR NAME],MATCH(I11529,INVESTOR_LIST[INVESTOR CODE],0),)," ")</f>
        <v xml:space="preserve"> </v>
      </c>
      <c r="J11529" s="149" t="s">
        <v>1907</v>
      </c>
      <c r="K11529" s="218"/>
      <c r="L11529" s="218">
        <v>150</v>
      </c>
      <c r="M11529" s="147"/>
    </row>
    <row r="11530" spans="1:17" x14ac:dyDescent="0.2">
      <c r="A11530" s="163">
        <v>2024</v>
      </c>
      <c r="B11530" s="163">
        <v>7</v>
      </c>
      <c r="C11530" s="163">
        <v>29</v>
      </c>
      <c r="D11530" s="280">
        <f t="shared" si="1666"/>
        <v>45502</v>
      </c>
      <c r="E11530" s="281">
        <f t="shared" si="1667"/>
        <v>45502</v>
      </c>
      <c r="F11530" s="480"/>
      <c r="G11530" s="221" t="s">
        <v>74</v>
      </c>
      <c r="H11530" s="221" t="str" cm="1">
        <f t="array" ref="H11530">IFERROR(INDEX(INVESTOR_LIST[INVESTOR NAME],MATCH(I11530,INVESTOR_LIST[INVESTOR CODE],0),)," ")</f>
        <v xml:space="preserve"> </v>
      </c>
      <c r="I11530" s="145"/>
      <c r="J11530" s="146" t="s">
        <v>52</v>
      </c>
      <c r="K11530" s="219"/>
      <c r="L11530" s="219">
        <v>1425</v>
      </c>
      <c r="M11530" s="147"/>
      <c r="Q11530" s="133" t="s">
        <v>348</v>
      </c>
    </row>
    <row r="11531" spans="1:17" x14ac:dyDescent="0.2">
      <c r="A11531" s="133">
        <v>2024</v>
      </c>
      <c r="B11531" s="133">
        <v>7</v>
      </c>
      <c r="C11531" s="133">
        <v>30</v>
      </c>
      <c r="D11531" s="141">
        <f t="shared" si="1662"/>
        <v>45503</v>
      </c>
      <c r="E11531" s="275">
        <f t="shared" si="1663"/>
        <v>45503</v>
      </c>
      <c r="F11531" s="481" t="s">
        <v>1958</v>
      </c>
      <c r="G11531" s="174" t="s">
        <v>94</v>
      </c>
      <c r="H11531" s="174" t="str" cm="1">
        <f t="array" ref="H11531">IFERROR(INDEX(INVESTOR_LIST[INVESTOR NAME],MATCH(I11531,INVESTOR_LIST[INVESTOR CODE],0),)," ")</f>
        <v xml:space="preserve"> </v>
      </c>
      <c r="J11531" s="149" t="s">
        <v>190</v>
      </c>
      <c r="K11531" s="218">
        <v>746653.6</v>
      </c>
      <c r="L11531" s="218"/>
      <c r="M11531" s="160"/>
    </row>
    <row r="11532" spans="1:17" x14ac:dyDescent="0.2">
      <c r="A11532" s="133">
        <v>2024</v>
      </c>
      <c r="B11532" s="133">
        <v>7</v>
      </c>
      <c r="C11532" s="133">
        <v>30</v>
      </c>
      <c r="D11532" s="141">
        <f t="shared" si="1662"/>
        <v>45503</v>
      </c>
      <c r="E11532" s="275">
        <f t="shared" si="1663"/>
        <v>45503</v>
      </c>
      <c r="F11532" s="481"/>
      <c r="G11532" s="174" t="s">
        <v>94</v>
      </c>
      <c r="H11532" s="174" t="str" cm="1">
        <f t="array" ref="H11532">IFERROR(INDEX(INVESTOR_LIST[INVESTOR NAME],MATCH(I11532,INVESTOR_LIST[INVESTOR CODE],0),)," ")</f>
        <v xml:space="preserve"> </v>
      </c>
      <c r="J11532" s="149" t="s">
        <v>80</v>
      </c>
      <c r="K11532" s="218">
        <v>1346.4</v>
      </c>
      <c r="L11532" s="218"/>
      <c r="N11532" s="264"/>
    </row>
    <row r="11533" spans="1:17" x14ac:dyDescent="0.2">
      <c r="A11533" s="133">
        <v>2024</v>
      </c>
      <c r="B11533" s="133">
        <v>7</v>
      </c>
      <c r="C11533" s="133">
        <v>30</v>
      </c>
      <c r="D11533" s="141">
        <f t="shared" si="1662"/>
        <v>45503</v>
      </c>
      <c r="E11533" s="275">
        <f t="shared" si="1663"/>
        <v>45503</v>
      </c>
      <c r="F11533" s="481"/>
      <c r="G11533" s="174" t="s">
        <v>94</v>
      </c>
      <c r="H11533" s="174" t="str" cm="1">
        <f t="array" ref="H11533">IFERROR(INDEX(INVESTOR_LIST[INVESTOR NAME],MATCH(I11533,INVESTOR_LIST[INVESTOR CODE],0),)," ")</f>
        <v xml:space="preserve"> </v>
      </c>
      <c r="J11533" s="149" t="s">
        <v>191</v>
      </c>
      <c r="K11533" s="218">
        <v>12925.36</v>
      </c>
      <c r="L11533" s="218"/>
      <c r="N11533" s="264"/>
    </row>
    <row r="11534" spans="1:17" x14ac:dyDescent="0.2">
      <c r="A11534" s="163">
        <v>2024</v>
      </c>
      <c r="B11534" s="163">
        <v>7</v>
      </c>
      <c r="C11534" s="163">
        <v>30</v>
      </c>
      <c r="D11534" s="280">
        <f t="shared" si="1662"/>
        <v>45503</v>
      </c>
      <c r="E11534" s="281">
        <f t="shared" si="1663"/>
        <v>45503</v>
      </c>
      <c r="F11534" s="480"/>
      <c r="G11534" s="221" t="s">
        <v>94</v>
      </c>
      <c r="H11534" s="145" t="str" cm="1">
        <f t="array" ref="H11534">IFERROR(INDEX(INVESTOR_LIST[INVESTOR NAME],MATCH(I11534,INVESTOR_LIST[INVESTOR CODE],0),)," ")</f>
        <v xml:space="preserve"> </v>
      </c>
      <c r="I11534" s="145"/>
      <c r="J11534" s="163" t="s">
        <v>79</v>
      </c>
      <c r="K11534" s="219"/>
      <c r="L11534" s="219">
        <v>760925.36</v>
      </c>
      <c r="N11534" s="264"/>
    </row>
    <row r="11535" spans="1:17" ht="33.75" x14ac:dyDescent="0.2">
      <c r="A11535" s="168">
        <v>2024</v>
      </c>
      <c r="B11535" s="168">
        <v>7</v>
      </c>
      <c r="C11535" s="168">
        <v>30</v>
      </c>
      <c r="D11535" s="141">
        <f t="shared" si="1662"/>
        <v>45503</v>
      </c>
      <c r="E11535" s="275">
        <f t="shared" si="1663"/>
        <v>45503</v>
      </c>
      <c r="F11535" s="479" t="s">
        <v>1315</v>
      </c>
      <c r="G11535" s="220" t="s">
        <v>74</v>
      </c>
      <c r="H11535" s="142" t="str" cm="1">
        <f t="array" ref="H11535">IFERROR(INDEX(INVESTOR_LIST[INVESTOR NAME],MATCH(I11535,INVESTOR_LIST[INVESTOR CODE],0),)," ")</f>
        <v>MD. BADI-UZ-ZAMAN</v>
      </c>
      <c r="I11535" s="142" t="s">
        <v>393</v>
      </c>
      <c r="J11535" s="168" t="s">
        <v>13</v>
      </c>
      <c r="K11535" s="226">
        <v>537830</v>
      </c>
      <c r="L11535" s="226"/>
    </row>
    <row r="11536" spans="1:17" ht="33.75" x14ac:dyDescent="0.2">
      <c r="A11536" s="133">
        <v>2024</v>
      </c>
      <c r="B11536" s="133">
        <v>7</v>
      </c>
      <c r="C11536" s="133">
        <v>30</v>
      </c>
      <c r="D11536" s="141">
        <f t="shared" si="1662"/>
        <v>45503</v>
      </c>
      <c r="E11536" s="275">
        <f t="shared" si="1663"/>
        <v>45503</v>
      </c>
      <c r="F11536" s="481"/>
      <c r="G11536" s="174" t="s">
        <v>74</v>
      </c>
      <c r="H11536" s="148" t="str" cm="1">
        <f t="array" ref="H11536">IFERROR(INDEX(INVESTOR_LIST[INVESTOR NAME],MATCH(I11536,INVESTOR_LIST[INVESTOR CODE],0),)," ")</f>
        <v>MD. BADI-UZ-ZAMAN</v>
      </c>
      <c r="I11536" s="148" t="s">
        <v>393</v>
      </c>
      <c r="J11536" s="133" t="s">
        <v>53</v>
      </c>
      <c r="K11536" s="218">
        <v>110685.41000000003</v>
      </c>
      <c r="L11536" s="218"/>
    </row>
    <row r="11537" spans="1:13" ht="33.75" x14ac:dyDescent="0.2">
      <c r="A11537" s="163">
        <v>2024</v>
      </c>
      <c r="B11537" s="163">
        <v>7</v>
      </c>
      <c r="C11537" s="163">
        <v>30</v>
      </c>
      <c r="D11537" s="280">
        <f t="shared" si="1662"/>
        <v>45503</v>
      </c>
      <c r="E11537" s="281">
        <f t="shared" si="1663"/>
        <v>45503</v>
      </c>
      <c r="F11537" s="480"/>
      <c r="G11537" s="221" t="s">
        <v>74</v>
      </c>
      <c r="H11537" s="145" t="str" cm="1">
        <f t="array" ref="H11537">IFERROR(INDEX(INVESTOR_LIST[INVESTOR NAME],MATCH(I11537,INVESTOR_LIST[INVESTOR CODE],0),)," ")</f>
        <v>MD. BADI-UZ-ZAMAN</v>
      </c>
      <c r="I11537" s="145" t="s">
        <v>393</v>
      </c>
      <c r="J11537" s="163" t="s">
        <v>52</v>
      </c>
      <c r="K11537" s="219"/>
      <c r="L11537" s="219">
        <v>648515.41</v>
      </c>
    </row>
    <row r="11538" spans="1:13" x14ac:dyDescent="0.2">
      <c r="A11538" s="133">
        <v>2024</v>
      </c>
      <c r="B11538" s="133">
        <v>7</v>
      </c>
      <c r="C11538" s="133">
        <v>31</v>
      </c>
      <c r="D11538" s="141">
        <f t="shared" si="1662"/>
        <v>45504</v>
      </c>
      <c r="E11538" s="275">
        <f t="shared" si="1663"/>
        <v>45504</v>
      </c>
      <c r="F11538" s="481" t="s">
        <v>1928</v>
      </c>
      <c r="G11538" s="174" t="s">
        <v>74</v>
      </c>
      <c r="H11538" s="174" t="str" cm="1">
        <f t="array" ref="H11538">IFERROR(INDEX(INVESTOR_LIST[INVESTOR NAME],MATCH(I11538,INVESTOR_LIST[INVESTOR CODE],0),)," ")</f>
        <v xml:space="preserve"> </v>
      </c>
      <c r="J11538" s="149" t="s">
        <v>534</v>
      </c>
      <c r="K11538" s="218">
        <v>79.91</v>
      </c>
      <c r="L11538" s="218"/>
      <c r="M11538" s="147"/>
    </row>
    <row r="11539" spans="1:13" x14ac:dyDescent="0.2">
      <c r="A11539" s="163">
        <v>2024</v>
      </c>
      <c r="B11539" s="163">
        <v>7</v>
      </c>
      <c r="C11539" s="163">
        <v>31</v>
      </c>
      <c r="D11539" s="280">
        <f t="shared" si="1662"/>
        <v>45504</v>
      </c>
      <c r="E11539" s="281">
        <f t="shared" si="1663"/>
        <v>45504</v>
      </c>
      <c r="F11539" s="480"/>
      <c r="G11539" s="221" t="s">
        <v>74</v>
      </c>
      <c r="H11539" s="221" t="str" cm="1">
        <f t="array" ref="H11539">IFERROR(INDEX(INVESTOR_LIST[INVESTOR NAME],MATCH(I11539,INVESTOR_LIST[INVESTOR CODE],0),)," ")</f>
        <v xml:space="preserve"> </v>
      </c>
      <c r="I11539" s="145"/>
      <c r="J11539" s="146" t="s">
        <v>52</v>
      </c>
      <c r="K11539" s="219"/>
      <c r="L11539" s="219">
        <v>79.91</v>
      </c>
      <c r="M11539" s="147"/>
    </row>
    <row r="11540" spans="1:13" x14ac:dyDescent="0.2">
      <c r="A11540" s="133">
        <v>2024</v>
      </c>
      <c r="B11540" s="168">
        <v>7</v>
      </c>
      <c r="C11540" s="168">
        <v>2</v>
      </c>
      <c r="D11540" s="141">
        <f t="shared" si="1662"/>
        <v>45475</v>
      </c>
      <c r="E11540" s="275">
        <f t="shared" si="1663"/>
        <v>45475</v>
      </c>
      <c r="F11540" s="481" t="s">
        <v>982</v>
      </c>
      <c r="G11540" s="174" t="s">
        <v>74</v>
      </c>
      <c r="H11540" s="174" t="str" cm="1">
        <f t="array" ref="H11540">IFERROR(INDEX(INVESTOR_LIST[INVESTOR NAME],MATCH(I11540,INVESTOR_LIST[INVESTOR CODE],0),)," ")</f>
        <v xml:space="preserve"> </v>
      </c>
      <c r="I11540" s="148" t="s">
        <v>348</v>
      </c>
      <c r="J11540" s="149" t="s">
        <v>163</v>
      </c>
      <c r="K11540" s="218">
        <v>7187.5</v>
      </c>
      <c r="L11540" s="218"/>
    </row>
    <row r="11541" spans="1:13" x14ac:dyDescent="0.2">
      <c r="A11541" s="133">
        <v>2024</v>
      </c>
      <c r="B11541" s="133">
        <v>7</v>
      </c>
      <c r="C11541" s="133">
        <v>2</v>
      </c>
      <c r="D11541" s="141">
        <f t="shared" si="1662"/>
        <v>45475</v>
      </c>
      <c r="E11541" s="275">
        <f t="shared" si="1663"/>
        <v>45475</v>
      </c>
      <c r="F11541" s="481"/>
      <c r="G11541" s="174" t="s">
        <v>201</v>
      </c>
      <c r="H11541" s="174" t="str" cm="1">
        <f t="array" ref="H11541">IFERROR(INDEX(INVESTOR_LIST[INVESTOR NAME],MATCH(I11541,INVESTOR_LIST[INVESTOR CODE],0),)," ")</f>
        <v xml:space="preserve"> </v>
      </c>
      <c r="J11541" s="149" t="s">
        <v>1906</v>
      </c>
      <c r="K11541" s="218"/>
      <c r="L11541" s="218">
        <v>563.5</v>
      </c>
    </row>
    <row r="11542" spans="1:13" x14ac:dyDescent="0.2">
      <c r="A11542" s="163">
        <v>2024</v>
      </c>
      <c r="B11542" s="163">
        <v>7</v>
      </c>
      <c r="C11542" s="163">
        <v>2</v>
      </c>
      <c r="D11542" s="280">
        <f t="shared" si="1662"/>
        <v>45475</v>
      </c>
      <c r="E11542" s="281">
        <f t="shared" si="1663"/>
        <v>45475</v>
      </c>
      <c r="F11542" s="480"/>
      <c r="G11542" s="221" t="s">
        <v>74</v>
      </c>
      <c r="H11542" s="221" t="str" cm="1">
        <f t="array" ref="H11542">IFERROR(INDEX(INVESTOR_LIST[INVESTOR NAME],MATCH(I11542,INVESTOR_LIST[INVESTOR CODE],0),)," ")</f>
        <v xml:space="preserve"> </v>
      </c>
      <c r="I11542" s="145" t="s">
        <v>348</v>
      </c>
      <c r="J11542" s="146" t="s">
        <v>52</v>
      </c>
      <c r="K11542" s="219"/>
      <c r="L11542" s="219">
        <v>6624</v>
      </c>
    </row>
    <row r="11543" spans="1:13" ht="11.25" customHeight="1" x14ac:dyDescent="0.2">
      <c r="A11543" s="168">
        <v>2024</v>
      </c>
      <c r="B11543" s="168">
        <v>8</v>
      </c>
      <c r="C11543" s="168">
        <v>1</v>
      </c>
      <c r="D11543" s="141">
        <f>DATE(A11543,B11543,C11543)</f>
        <v>45505</v>
      </c>
      <c r="E11543" s="275">
        <f>DATE(A11543,B11543,C11543)</f>
        <v>45505</v>
      </c>
      <c r="F11543" s="479" t="s">
        <v>1959</v>
      </c>
      <c r="G11543" s="220" t="s">
        <v>74</v>
      </c>
      <c r="H11543" s="220" t="str" cm="1">
        <f t="array" ref="H11543">IFERROR(INDEX(INVESTOR_LIST[INVESTOR NAME],MATCH(I11543,INVESTOR_LIST[INVESTOR CODE],0),)," ")</f>
        <v xml:space="preserve"> </v>
      </c>
      <c r="I11543" s="142"/>
      <c r="J11543" s="143" t="s">
        <v>52</v>
      </c>
      <c r="K11543" s="226">
        <v>746653.6</v>
      </c>
      <c r="L11543" s="226"/>
    </row>
    <row r="11544" spans="1:13" x14ac:dyDescent="0.2">
      <c r="A11544" s="163">
        <v>2024</v>
      </c>
      <c r="B11544" s="163">
        <v>8</v>
      </c>
      <c r="C11544" s="163">
        <v>1</v>
      </c>
      <c r="D11544" s="280">
        <f>DATE(A11544,B11544,C11544)</f>
        <v>45505</v>
      </c>
      <c r="E11544" s="281">
        <f>DATE(A11544,B11544,C11544)</f>
        <v>45505</v>
      </c>
      <c r="F11544" s="480"/>
      <c r="G11544" s="221" t="s">
        <v>74</v>
      </c>
      <c r="H11544" s="221" t="str" cm="1">
        <f t="array" ref="H11544">IFERROR(INDEX(INVESTOR_LIST[INVESTOR NAME],MATCH(I11544,INVESTOR_LIST[INVESTOR CODE],0),)," ")</f>
        <v xml:space="preserve"> </v>
      </c>
      <c r="I11544" s="145"/>
      <c r="J11544" s="146" t="s">
        <v>190</v>
      </c>
      <c r="K11544" s="219"/>
      <c r="L11544" s="219">
        <v>746653.6</v>
      </c>
    </row>
    <row r="11545" spans="1:13" x14ac:dyDescent="0.2">
      <c r="A11545" s="168">
        <v>2024</v>
      </c>
      <c r="B11545" s="168">
        <v>8</v>
      </c>
      <c r="C11545" s="168">
        <v>1</v>
      </c>
      <c r="D11545" s="141">
        <f t="shared" ref="D11545:D11571" si="1668">DATE(A11545,B11545,C11545)</f>
        <v>45505</v>
      </c>
      <c r="E11545" s="275">
        <f t="shared" ref="E11545:E11571" si="1669">DATE(A11545,B11545,C11545)</f>
        <v>45505</v>
      </c>
      <c r="F11545" s="479" t="s">
        <v>1960</v>
      </c>
      <c r="G11545" s="220" t="s">
        <v>94</v>
      </c>
      <c r="H11545" s="220" t="str" cm="1">
        <f t="array" ref="H11545">IFERROR(INDEX(INVESTOR_LIST[INVESTOR NAME],MATCH(I11545,INVESTOR_LIST[INVESTOR CODE],0),)," ")</f>
        <v xml:space="preserve"> </v>
      </c>
      <c r="I11545" s="142"/>
      <c r="J11545" s="143" t="s">
        <v>79</v>
      </c>
      <c r="K11545" s="226">
        <v>847579.8</v>
      </c>
      <c r="L11545" s="226"/>
      <c r="M11545" s="160"/>
    </row>
    <row r="11546" spans="1:13" x14ac:dyDescent="0.2">
      <c r="A11546" s="133">
        <v>2024</v>
      </c>
      <c r="B11546" s="133">
        <v>8</v>
      </c>
      <c r="C11546" s="133">
        <v>1</v>
      </c>
      <c r="D11546" s="141">
        <f t="shared" si="1668"/>
        <v>45505</v>
      </c>
      <c r="E11546" s="275">
        <f t="shared" si="1669"/>
        <v>45505</v>
      </c>
      <c r="F11546" s="481"/>
      <c r="G11546" s="174" t="s">
        <v>94</v>
      </c>
      <c r="H11546" s="174" t="str" cm="1">
        <f t="array" ref="H11546">IFERROR(INDEX(INVESTOR_LIST[INVESTOR NAME],MATCH(I11546,INVESTOR_LIST[INVESTOR CODE],0),)," ")</f>
        <v xml:space="preserve"> </v>
      </c>
      <c r="J11546" s="149" t="s">
        <v>80</v>
      </c>
      <c r="K11546" s="218">
        <v>1525.6437000000001</v>
      </c>
      <c r="L11546" s="218"/>
    </row>
    <row r="11547" spans="1:13" ht="10.9" customHeight="1" x14ac:dyDescent="0.2">
      <c r="A11547" s="163">
        <v>2024</v>
      </c>
      <c r="B11547" s="163">
        <v>8</v>
      </c>
      <c r="C11547" s="163">
        <v>1</v>
      </c>
      <c r="D11547" s="280">
        <f t="shared" si="1668"/>
        <v>45505</v>
      </c>
      <c r="E11547" s="281">
        <f t="shared" si="1669"/>
        <v>45505</v>
      </c>
      <c r="F11547" s="480"/>
      <c r="G11547" s="221" t="s">
        <v>94</v>
      </c>
      <c r="H11547" s="221" t="str" cm="1">
        <f t="array" ref="H11547">IFERROR(INDEX(INVESTOR_LIST[INVESTOR NAME],MATCH(I11547,INVESTOR_LIST[INVESTOR CODE],0),)," ")</f>
        <v xml:space="preserve"> </v>
      </c>
      <c r="I11547" s="145"/>
      <c r="J11547" s="146" t="s">
        <v>147</v>
      </c>
      <c r="K11547" s="219"/>
      <c r="L11547" s="219">
        <v>849105.44369999995</v>
      </c>
    </row>
    <row r="11548" spans="1:13" x14ac:dyDescent="0.2">
      <c r="A11548" s="325">
        <v>2024</v>
      </c>
      <c r="B11548" s="325">
        <v>8</v>
      </c>
      <c r="C11548" s="325">
        <v>1</v>
      </c>
      <c r="D11548" s="326">
        <f t="shared" si="1668"/>
        <v>45505</v>
      </c>
      <c r="E11548" s="327">
        <f t="shared" si="1669"/>
        <v>45505</v>
      </c>
      <c r="F11548" s="473" t="s">
        <v>1940</v>
      </c>
      <c r="G11548" s="340" t="s">
        <v>94</v>
      </c>
      <c r="H11548" s="340" t="str" cm="1">
        <f t="array" ref="H11548">IFERROR(INDEX(INVESTOR_LIST[INVESTOR NAME],MATCH(I11548,INVESTOR_LIST[INVESTOR CODE],0),)," ")</f>
        <v xml:space="preserve"> </v>
      </c>
      <c r="I11548" s="341" t="s">
        <v>348</v>
      </c>
      <c r="J11548" s="374" t="s">
        <v>133</v>
      </c>
      <c r="K11548" s="375">
        <v>12905.555555555549</v>
      </c>
      <c r="L11548" s="375"/>
    </row>
    <row r="11549" spans="1:13" x14ac:dyDescent="0.2">
      <c r="A11549" s="331">
        <v>2024</v>
      </c>
      <c r="B11549" s="331">
        <v>8</v>
      </c>
      <c r="C11549" s="331">
        <v>1</v>
      </c>
      <c r="D11549" s="326">
        <f t="shared" si="1668"/>
        <v>45505</v>
      </c>
      <c r="E11549" s="327">
        <f t="shared" si="1669"/>
        <v>45505</v>
      </c>
      <c r="F11549" s="474"/>
      <c r="G11549" s="332" t="s">
        <v>94</v>
      </c>
      <c r="H11549" s="332" t="str" cm="1">
        <f t="array" ref="H11549">IFERROR(INDEX(INVESTOR_LIST[INVESTOR NAME],MATCH(I11549,INVESTOR_LIST[INVESTOR CODE],0),)," ")</f>
        <v xml:space="preserve"> </v>
      </c>
      <c r="I11549" s="333" t="s">
        <v>348</v>
      </c>
      <c r="J11549" s="376" t="s">
        <v>60</v>
      </c>
      <c r="K11549" s="334"/>
      <c r="L11549" s="334">
        <v>12905.555555555549</v>
      </c>
    </row>
    <row r="11550" spans="1:13" x14ac:dyDescent="0.2">
      <c r="A11550" s="384">
        <v>2024</v>
      </c>
      <c r="B11550" s="384">
        <v>8</v>
      </c>
      <c r="C11550" s="384">
        <v>1</v>
      </c>
      <c r="D11550" s="385">
        <f t="shared" ref="D11550:D11551" si="1670">DATE(A11550,B11550,C11550)</f>
        <v>45505</v>
      </c>
      <c r="E11550" s="386">
        <f t="shared" ref="E11550:E11551" si="1671">DATE(A11550,B11550,C11550)</f>
        <v>45505</v>
      </c>
      <c r="F11550" s="475" t="s">
        <v>1966</v>
      </c>
      <c r="G11550" s="387" t="s">
        <v>94</v>
      </c>
      <c r="H11550" s="387" t="str" cm="1">
        <f t="array" ref="H11550">IFERROR(INDEX(INVESTOR_LIST[INVESTOR NAME],MATCH(I11550,INVESTOR_LIST[INVESTOR CODE],0),)," ")</f>
        <v xml:space="preserve"> </v>
      </c>
      <c r="I11550" s="388" t="s">
        <v>348</v>
      </c>
      <c r="J11550" s="389" t="s">
        <v>67</v>
      </c>
      <c r="K11550" s="390">
        <v>307256.93</v>
      </c>
      <c r="L11550" s="390"/>
    </row>
    <row r="11551" spans="1:13" x14ac:dyDescent="0.2">
      <c r="A11551" s="391">
        <v>2024</v>
      </c>
      <c r="B11551" s="391">
        <v>8</v>
      </c>
      <c r="C11551" s="391">
        <v>1</v>
      </c>
      <c r="D11551" s="385">
        <f t="shared" si="1670"/>
        <v>45505</v>
      </c>
      <c r="E11551" s="386">
        <f t="shared" si="1671"/>
        <v>45505</v>
      </c>
      <c r="F11551" s="476"/>
      <c r="G11551" s="392" t="s">
        <v>94</v>
      </c>
      <c r="H11551" s="392" t="str" cm="1">
        <f t="array" ref="H11551">IFERROR(INDEX(INVESTOR_LIST[INVESTOR NAME],MATCH(I11551,INVESTOR_LIST[INVESTOR CODE],0),)," ")</f>
        <v xml:space="preserve"> </v>
      </c>
      <c r="I11551" s="393" t="s">
        <v>348</v>
      </c>
      <c r="J11551" s="394" t="s">
        <v>60</v>
      </c>
      <c r="K11551" s="395"/>
      <c r="L11551" s="395">
        <f>K11550</f>
        <v>307256.93</v>
      </c>
    </row>
    <row r="11552" spans="1:13" x14ac:dyDescent="0.2">
      <c r="A11552" s="343">
        <v>2024</v>
      </c>
      <c r="B11552" s="343">
        <v>8</v>
      </c>
      <c r="C11552" s="343">
        <v>1</v>
      </c>
      <c r="D11552" s="344">
        <f t="shared" si="1668"/>
        <v>45505</v>
      </c>
      <c r="E11552" s="345">
        <f t="shared" si="1669"/>
        <v>45505</v>
      </c>
      <c r="F11552" s="483" t="s">
        <v>1813</v>
      </c>
      <c r="G11552" s="350" t="s">
        <v>94</v>
      </c>
      <c r="H11552" s="350" t="str" cm="1">
        <f t="array" ref="H11552">IFERROR(INDEX(INVESTOR_LIST[INVESTOR NAME],MATCH(I11552,INVESTOR_LIST[INVESTOR CODE],0),)," ")</f>
        <v xml:space="preserve"> </v>
      </c>
      <c r="I11552" s="352" t="s">
        <v>348</v>
      </c>
      <c r="J11552" s="353" t="s">
        <v>1798</v>
      </c>
      <c r="K11552" s="354">
        <v>18450</v>
      </c>
      <c r="L11552" s="354"/>
    </row>
    <row r="11553" spans="1:13" x14ac:dyDescent="0.2">
      <c r="A11553" s="346">
        <v>2024</v>
      </c>
      <c r="B11553" s="346">
        <v>8</v>
      </c>
      <c r="C11553" s="346">
        <v>1</v>
      </c>
      <c r="D11553" s="344">
        <f t="shared" si="1668"/>
        <v>45505</v>
      </c>
      <c r="E11553" s="345">
        <f t="shared" si="1669"/>
        <v>45505</v>
      </c>
      <c r="F11553" s="484"/>
      <c r="G11553" s="347" t="s">
        <v>94</v>
      </c>
      <c r="H11553" s="347" t="str" cm="1">
        <f t="array" ref="H11553">IFERROR(INDEX(INVESTOR_LIST[INVESTOR NAME],MATCH(I11553,INVESTOR_LIST[INVESTOR CODE],0),)," ")</f>
        <v xml:space="preserve"> </v>
      </c>
      <c r="I11553" s="348" t="s">
        <v>348</v>
      </c>
      <c r="J11553" s="355" t="s">
        <v>1807</v>
      </c>
      <c r="K11553" s="349"/>
      <c r="L11553" s="349">
        <f>K11552</f>
        <v>18450</v>
      </c>
    </row>
    <row r="11554" spans="1:13" x14ac:dyDescent="0.2">
      <c r="A11554" s="343">
        <v>2024</v>
      </c>
      <c r="B11554" s="343">
        <v>8</v>
      </c>
      <c r="C11554" s="343">
        <v>1</v>
      </c>
      <c r="D11554" s="344">
        <f t="shared" si="1668"/>
        <v>45505</v>
      </c>
      <c r="E11554" s="345">
        <f t="shared" si="1669"/>
        <v>45505</v>
      </c>
      <c r="F11554" s="483" t="s">
        <v>1913</v>
      </c>
      <c r="G11554" s="350" t="s">
        <v>94</v>
      </c>
      <c r="H11554" s="350" t="str" cm="1">
        <f t="array" ref="H11554">IFERROR(INDEX(INVESTOR_LIST[INVESTOR NAME],MATCH(I11554,INVESTOR_LIST[INVESTOR CODE],0),)," ")</f>
        <v xml:space="preserve"> </v>
      </c>
      <c r="I11554" s="352" t="s">
        <v>348</v>
      </c>
      <c r="J11554" s="353" t="s">
        <v>1799</v>
      </c>
      <c r="K11554" s="354">
        <v>37716.150000000373</v>
      </c>
      <c r="L11554" s="354"/>
    </row>
    <row r="11555" spans="1:13" x14ac:dyDescent="0.2">
      <c r="A11555" s="346">
        <v>2024</v>
      </c>
      <c r="B11555" s="346">
        <v>8</v>
      </c>
      <c r="C11555" s="346">
        <v>1</v>
      </c>
      <c r="D11555" s="344">
        <f t="shared" si="1668"/>
        <v>45505</v>
      </c>
      <c r="E11555" s="345">
        <f t="shared" si="1669"/>
        <v>45505</v>
      </c>
      <c r="F11555" s="484"/>
      <c r="G11555" s="347" t="s">
        <v>94</v>
      </c>
      <c r="H11555" s="347" t="str" cm="1">
        <f t="array" ref="H11555">IFERROR(INDEX(INVESTOR_LIST[INVESTOR NAME],MATCH(I11555,INVESTOR_LIST[INVESTOR CODE],0),)," ")</f>
        <v xml:space="preserve"> </v>
      </c>
      <c r="I11555" s="348" t="s">
        <v>348</v>
      </c>
      <c r="J11555" s="355" t="s">
        <v>1808</v>
      </c>
      <c r="K11555" s="349"/>
      <c r="L11555" s="349">
        <f>K11554</f>
        <v>37716.150000000373</v>
      </c>
    </row>
    <row r="11556" spans="1:13" ht="11.25" customHeight="1" x14ac:dyDescent="0.2">
      <c r="A11556" s="238">
        <v>2024</v>
      </c>
      <c r="B11556" s="238">
        <v>8</v>
      </c>
      <c r="C11556" s="238">
        <v>1</v>
      </c>
      <c r="D11556" s="270">
        <f t="shared" si="1668"/>
        <v>45505</v>
      </c>
      <c r="E11556" s="279">
        <f t="shared" si="1669"/>
        <v>45505</v>
      </c>
      <c r="F11556" s="477" t="s">
        <v>347</v>
      </c>
      <c r="G11556" s="239" t="s">
        <v>94</v>
      </c>
      <c r="H11556" s="239" t="str" cm="1">
        <f t="array" ref="H11556">IFERROR(INDEX(INVESTOR_LIST[INVESTOR NAME],MATCH(I11556,INVESTOR_LIST[INVESTOR CODE],0),)," ")</f>
        <v xml:space="preserve"> </v>
      </c>
      <c r="I11556" s="262" t="s">
        <v>348</v>
      </c>
      <c r="J11556" s="240" t="s">
        <v>82</v>
      </c>
      <c r="K11556" s="241">
        <v>648463.97000000626</v>
      </c>
      <c r="L11556" s="241"/>
    </row>
    <row r="11557" spans="1:13" x14ac:dyDescent="0.2">
      <c r="A11557" s="242">
        <v>2024</v>
      </c>
      <c r="B11557" s="242">
        <v>8</v>
      </c>
      <c r="C11557" s="242">
        <v>1</v>
      </c>
      <c r="D11557" s="270">
        <f t="shared" si="1668"/>
        <v>45505</v>
      </c>
      <c r="E11557" s="279">
        <f t="shared" si="1669"/>
        <v>45505</v>
      </c>
      <c r="F11557" s="478"/>
      <c r="G11557" s="243" t="s">
        <v>94</v>
      </c>
      <c r="H11557" s="243" t="str" cm="1">
        <f t="array" ref="H11557">IFERROR(INDEX(INVESTOR_LIST[INVESTOR NAME],MATCH(I11557,INVESTOR_LIST[INVESTOR CODE],0),)," ")</f>
        <v xml:space="preserve"> </v>
      </c>
      <c r="I11557" s="263" t="s">
        <v>348</v>
      </c>
      <c r="J11557" s="244" t="s">
        <v>108</v>
      </c>
      <c r="K11557" s="245"/>
      <c r="L11557" s="245">
        <f>K11556</f>
        <v>648463.97000000626</v>
      </c>
    </row>
    <row r="11558" spans="1:13" ht="11.25" customHeight="1" x14ac:dyDescent="0.2">
      <c r="A11558" s="246">
        <v>2024</v>
      </c>
      <c r="B11558" s="238">
        <v>8</v>
      </c>
      <c r="C11558" s="238">
        <v>1</v>
      </c>
      <c r="D11558" s="270">
        <f t="shared" si="1668"/>
        <v>45505</v>
      </c>
      <c r="E11558" s="279">
        <f t="shared" si="1669"/>
        <v>45505</v>
      </c>
      <c r="F11558" s="482" t="s">
        <v>148</v>
      </c>
      <c r="G11558" s="247" t="s">
        <v>94</v>
      </c>
      <c r="H11558" s="247" t="str" cm="1">
        <f t="array" ref="H11558">IFERROR(INDEX(INVESTOR_LIST[INVESTOR NAME],MATCH(I11558,INVESTOR_LIST[INVESTOR CODE],0),)," ")</f>
        <v xml:space="preserve"> </v>
      </c>
      <c r="I11558" s="248" t="s">
        <v>348</v>
      </c>
      <c r="J11558" s="249" t="s">
        <v>95</v>
      </c>
      <c r="K11558" s="250">
        <v>2747.2527472527472</v>
      </c>
      <c r="L11558" s="241"/>
    </row>
    <row r="11559" spans="1:13" x14ac:dyDescent="0.2">
      <c r="A11559" s="242">
        <v>2024</v>
      </c>
      <c r="B11559" s="242">
        <v>8</v>
      </c>
      <c r="C11559" s="242">
        <v>1</v>
      </c>
      <c r="D11559" s="270">
        <f t="shared" si="1668"/>
        <v>45505</v>
      </c>
      <c r="E11559" s="279">
        <f t="shared" si="1669"/>
        <v>45505</v>
      </c>
      <c r="F11559" s="478"/>
      <c r="G11559" s="243" t="s">
        <v>94</v>
      </c>
      <c r="H11559" s="243" t="str" cm="1">
        <f t="array" ref="H11559">IFERROR(INDEX(INVESTOR_LIST[INVESTOR NAME],MATCH(I11559,INVESTOR_LIST[INVESTOR CODE],0),)," ")</f>
        <v xml:space="preserve"> </v>
      </c>
      <c r="I11559" s="263" t="s">
        <v>348</v>
      </c>
      <c r="J11559" s="244" t="s">
        <v>63</v>
      </c>
      <c r="K11559" s="245"/>
      <c r="L11559" s="245">
        <v>2747.2527472527472</v>
      </c>
    </row>
    <row r="11560" spans="1:13" x14ac:dyDescent="0.2">
      <c r="A11560" s="246">
        <v>2024</v>
      </c>
      <c r="B11560" s="238">
        <v>8</v>
      </c>
      <c r="C11560" s="238">
        <v>1</v>
      </c>
      <c r="D11560" s="270">
        <f t="shared" si="1668"/>
        <v>45505</v>
      </c>
      <c r="E11560" s="279">
        <f t="shared" si="1669"/>
        <v>45505</v>
      </c>
      <c r="F11560" s="482" t="s">
        <v>137</v>
      </c>
      <c r="G11560" s="247" t="s">
        <v>94</v>
      </c>
      <c r="H11560" s="247" t="str" cm="1">
        <f t="array" ref="H11560">IFERROR(INDEX(INVESTOR_LIST[INVESTOR NAME],MATCH(I11560,INVESTOR_LIST[INVESTOR CODE],0),)," ")</f>
        <v xml:space="preserve"> </v>
      </c>
      <c r="I11560" s="248" t="s">
        <v>348</v>
      </c>
      <c r="J11560" s="249" t="s">
        <v>97</v>
      </c>
      <c r="K11560" s="250">
        <f>M11560</f>
        <v>52028.136095258495</v>
      </c>
      <c r="L11560" s="252"/>
      <c r="M11560" s="264">
        <v>52028.136095258495</v>
      </c>
    </row>
    <row r="11561" spans="1:13" x14ac:dyDescent="0.2">
      <c r="A11561" s="242">
        <v>2024</v>
      </c>
      <c r="B11561" s="242">
        <v>8</v>
      </c>
      <c r="C11561" s="242">
        <v>1</v>
      </c>
      <c r="D11561" s="270">
        <f t="shared" si="1668"/>
        <v>45505</v>
      </c>
      <c r="E11561" s="279">
        <f t="shared" si="1669"/>
        <v>45505</v>
      </c>
      <c r="F11561" s="478"/>
      <c r="G11561" s="243" t="s">
        <v>94</v>
      </c>
      <c r="H11561" s="243" t="str" cm="1">
        <f t="array" ref="H11561">IFERROR(INDEX(INVESTOR_LIST[INVESTOR NAME],MATCH(I11561,INVESTOR_LIST[INVESTOR CODE],0),)," ")</f>
        <v xml:space="preserve"> </v>
      </c>
      <c r="I11561" s="263" t="s">
        <v>348</v>
      </c>
      <c r="J11561" s="244" t="s">
        <v>47</v>
      </c>
      <c r="K11561" s="245"/>
      <c r="L11561" s="245">
        <f>K11560</f>
        <v>52028.136095258495</v>
      </c>
      <c r="M11561" s="264">
        <v>2361.0221893783091</v>
      </c>
    </row>
    <row r="11562" spans="1:13" x14ac:dyDescent="0.2">
      <c r="A11562" s="246">
        <v>2024</v>
      </c>
      <c r="B11562" s="238">
        <v>8</v>
      </c>
      <c r="C11562" s="238">
        <v>1</v>
      </c>
      <c r="D11562" s="270">
        <f t="shared" si="1668"/>
        <v>45505</v>
      </c>
      <c r="E11562" s="279">
        <f t="shared" si="1669"/>
        <v>45505</v>
      </c>
      <c r="F11562" s="482" t="s">
        <v>138</v>
      </c>
      <c r="G11562" s="247" t="s">
        <v>94</v>
      </c>
      <c r="H11562" s="247" t="str" cm="1">
        <f t="array" ref="H11562">IFERROR(INDEX(INVESTOR_LIST[INVESTOR NAME],MATCH(I11562,INVESTOR_LIST[INVESTOR CODE],0),)," ")</f>
        <v xml:space="preserve"> </v>
      </c>
      <c r="I11562" s="248" t="s">
        <v>348</v>
      </c>
      <c r="J11562" s="249" t="s">
        <v>100</v>
      </c>
      <c r="K11562" s="250">
        <f>M11561</f>
        <v>2361.0221893783091</v>
      </c>
      <c r="L11562" s="252"/>
    </row>
    <row r="11563" spans="1:13" x14ac:dyDescent="0.2">
      <c r="A11563" s="242">
        <v>2024</v>
      </c>
      <c r="B11563" s="242">
        <v>8</v>
      </c>
      <c r="C11563" s="242">
        <v>1</v>
      </c>
      <c r="D11563" s="321">
        <f t="shared" si="1668"/>
        <v>45505</v>
      </c>
      <c r="E11563" s="322">
        <f t="shared" si="1669"/>
        <v>45505</v>
      </c>
      <c r="F11563" s="478"/>
      <c r="G11563" s="243" t="s">
        <v>94</v>
      </c>
      <c r="H11563" s="243" t="str" cm="1">
        <f t="array" ref="H11563">IFERROR(INDEX(INVESTOR_LIST[INVESTOR NAME],MATCH(I11563,INVESTOR_LIST[INVESTOR CODE],0),)," ")</f>
        <v xml:space="preserve"> </v>
      </c>
      <c r="I11563" s="263" t="s">
        <v>348</v>
      </c>
      <c r="J11563" s="244" t="s">
        <v>48</v>
      </c>
      <c r="K11563" s="245"/>
      <c r="L11563" s="245">
        <f>K11562</f>
        <v>2361.0221893783091</v>
      </c>
    </row>
    <row r="11564" spans="1:13" x14ac:dyDescent="0.2">
      <c r="A11564" s="168">
        <v>2024</v>
      </c>
      <c r="B11564" s="168">
        <v>8</v>
      </c>
      <c r="C11564" s="168">
        <v>6</v>
      </c>
      <c r="D11564" s="141">
        <f t="shared" si="1668"/>
        <v>45510</v>
      </c>
      <c r="E11564" s="275">
        <f t="shared" si="1669"/>
        <v>45510</v>
      </c>
      <c r="F11564" s="479" t="s">
        <v>1319</v>
      </c>
      <c r="G11564" s="220" t="s">
        <v>74</v>
      </c>
      <c r="H11564" s="142" t="str" cm="1">
        <f t="array" ref="H11564">IFERROR(INDEX(INVESTOR_LIST[INVESTOR NAME],MATCH(I11564,INVESTOR_LIST[INVESTOR CODE],0),)," ")</f>
        <v xml:space="preserve"> </v>
      </c>
      <c r="I11564" s="142"/>
      <c r="J11564" s="168" t="s">
        <v>52</v>
      </c>
      <c r="K11564" s="226">
        <v>42000</v>
      </c>
      <c r="L11564" s="226"/>
    </row>
    <row r="11565" spans="1:13" x14ac:dyDescent="0.2">
      <c r="A11565" s="133">
        <v>2024</v>
      </c>
      <c r="B11565" s="133">
        <v>8</v>
      </c>
      <c r="C11565" s="133">
        <v>6</v>
      </c>
      <c r="D11565" s="141">
        <f t="shared" si="1668"/>
        <v>45510</v>
      </c>
      <c r="E11565" s="275">
        <f t="shared" si="1669"/>
        <v>45510</v>
      </c>
      <c r="F11565" s="481"/>
      <c r="G11565" s="174" t="s">
        <v>74</v>
      </c>
      <c r="H11565" s="148" t="str" cm="1">
        <f t="array" ref="H11565">IFERROR(INDEX(INVESTOR_LIST[INVESTOR NAME],MATCH(I11565,INVESTOR_LIST[INVESTOR CODE],0),)," ")</f>
        <v xml:space="preserve"> </v>
      </c>
      <c r="J11565" s="133" t="s">
        <v>13</v>
      </c>
      <c r="K11565" s="218"/>
      <c r="L11565" s="218">
        <v>34930</v>
      </c>
    </row>
    <row r="11566" spans="1:13" x14ac:dyDescent="0.2">
      <c r="A11566" s="163">
        <v>2024</v>
      </c>
      <c r="B11566" s="163">
        <v>8</v>
      </c>
      <c r="C11566" s="163">
        <v>6</v>
      </c>
      <c r="D11566" s="280">
        <f t="shared" si="1668"/>
        <v>45510</v>
      </c>
      <c r="E11566" s="281">
        <f t="shared" si="1669"/>
        <v>45510</v>
      </c>
      <c r="F11566" s="480"/>
      <c r="G11566" s="221" t="s">
        <v>74</v>
      </c>
      <c r="H11566" s="145" t="str" cm="1">
        <f t="array" ref="H11566">IFERROR(INDEX(INVESTOR_LIST[INVESTOR NAME],MATCH(I11566,INVESTOR_LIST[INVESTOR CODE],0),)," ")</f>
        <v xml:space="preserve"> </v>
      </c>
      <c r="I11566" s="145"/>
      <c r="J11566" s="163" t="s">
        <v>53</v>
      </c>
      <c r="K11566" s="219"/>
      <c r="L11566" s="219">
        <v>7070</v>
      </c>
    </row>
    <row r="11567" spans="1:13" x14ac:dyDescent="0.2">
      <c r="A11567" s="133">
        <v>2024</v>
      </c>
      <c r="B11567" s="133">
        <v>8</v>
      </c>
      <c r="C11567" s="133">
        <v>6</v>
      </c>
      <c r="D11567" s="141">
        <f t="shared" si="1668"/>
        <v>45510</v>
      </c>
      <c r="E11567" s="275">
        <f t="shared" si="1669"/>
        <v>45510</v>
      </c>
      <c r="F11567" s="481" t="s">
        <v>1968</v>
      </c>
      <c r="G11567" s="174" t="s">
        <v>94</v>
      </c>
      <c r="H11567" s="174" t="str" cm="1">
        <f t="array" ref="H11567">IFERROR(INDEX(INVESTOR_LIST[INVESTOR NAME],MATCH(I11567,INVESTOR_LIST[INVESTOR CODE],0),)," ")</f>
        <v xml:space="preserve"> </v>
      </c>
      <c r="J11567" s="149" t="s">
        <v>79</v>
      </c>
      <c r="K11567" s="218">
        <v>1121700</v>
      </c>
      <c r="L11567" s="218"/>
      <c r="M11567" s="160"/>
    </row>
    <row r="11568" spans="1:13" x14ac:dyDescent="0.2">
      <c r="A11568" s="133">
        <v>2024</v>
      </c>
      <c r="B11568" s="133">
        <v>8</v>
      </c>
      <c r="C11568" s="133">
        <v>6</v>
      </c>
      <c r="D11568" s="141">
        <f t="shared" si="1668"/>
        <v>45510</v>
      </c>
      <c r="E11568" s="275">
        <f t="shared" si="1669"/>
        <v>45510</v>
      </c>
      <c r="F11568" s="481"/>
      <c r="G11568" s="174" t="s">
        <v>94</v>
      </c>
      <c r="H11568" s="174" t="str" cm="1">
        <f t="array" ref="H11568">IFERROR(INDEX(INVESTOR_LIST[INVESTOR NAME],MATCH(I11568,INVESTOR_LIST[INVESTOR CODE],0),)," ")</f>
        <v xml:space="preserve"> </v>
      </c>
      <c r="J11568" s="149" t="s">
        <v>80</v>
      </c>
      <c r="K11568" s="218">
        <v>11020.46</v>
      </c>
      <c r="L11568" s="133"/>
    </row>
    <row r="11569" spans="1:13" x14ac:dyDescent="0.2">
      <c r="A11569" s="133">
        <v>2024</v>
      </c>
      <c r="B11569" s="133">
        <v>8</v>
      </c>
      <c r="C11569" s="133">
        <v>6</v>
      </c>
      <c r="D11569" s="141">
        <f t="shared" si="1668"/>
        <v>45510</v>
      </c>
      <c r="E11569" s="275">
        <f t="shared" si="1669"/>
        <v>45510</v>
      </c>
      <c r="F11569" s="481"/>
      <c r="G11569" s="174" t="s">
        <v>94</v>
      </c>
      <c r="H11569" s="174" t="str" cm="1">
        <f t="array" ref="H11569">IFERROR(INDEX(INVESTOR_LIST[INVESTOR NAME],MATCH(I11569,INVESTOR_LIST[INVESTOR CODE],0),)," ")</f>
        <v xml:space="preserve"> </v>
      </c>
      <c r="J11569" s="149" t="s">
        <v>190</v>
      </c>
      <c r="K11569" s="218">
        <v>3868053.64</v>
      </c>
      <c r="L11569" s="218"/>
    </row>
    <row r="11570" spans="1:13" x14ac:dyDescent="0.2">
      <c r="A11570" s="133">
        <v>2024</v>
      </c>
      <c r="B11570" s="133">
        <v>8</v>
      </c>
      <c r="C11570" s="133">
        <v>6</v>
      </c>
      <c r="D11570" s="141">
        <f t="shared" si="1668"/>
        <v>45510</v>
      </c>
      <c r="E11570" s="275">
        <f t="shared" si="1669"/>
        <v>45510</v>
      </c>
      <c r="F11570" s="481"/>
      <c r="G11570" s="174" t="s">
        <v>94</v>
      </c>
      <c r="H11570" s="174" t="str" cm="1">
        <f t="array" ref="H11570">IFERROR(INDEX(INVESTOR_LIST[INVESTOR NAME],MATCH(I11570,INVESTOR_LIST[INVESTOR CODE],0),)," ")</f>
        <v xml:space="preserve"> </v>
      </c>
      <c r="J11570" s="149" t="s">
        <v>191</v>
      </c>
      <c r="K11570" s="218">
        <v>55038.34</v>
      </c>
      <c r="L11570" s="218"/>
    </row>
    <row r="11571" spans="1:13" x14ac:dyDescent="0.2">
      <c r="A11571" s="163">
        <v>2024</v>
      </c>
      <c r="B11571" s="163">
        <v>8</v>
      </c>
      <c r="C11571" s="163">
        <v>6</v>
      </c>
      <c r="D11571" s="280">
        <f t="shared" si="1668"/>
        <v>45510</v>
      </c>
      <c r="E11571" s="281">
        <f t="shared" si="1669"/>
        <v>45510</v>
      </c>
      <c r="F11571" s="480"/>
      <c r="G11571" s="221" t="s">
        <v>94</v>
      </c>
      <c r="H11571" s="145" t="str" cm="1">
        <f t="array" ref="H11571">IFERROR(INDEX(INVESTOR_LIST[INVESTOR NAME],MATCH(I11571,INVESTOR_LIST[INVESTOR CODE],0),)," ")</f>
        <v xml:space="preserve"> </v>
      </c>
      <c r="I11571" s="145"/>
      <c r="J11571" s="163" t="s">
        <v>79</v>
      </c>
      <c r="K11571" s="219"/>
      <c r="L11571" s="219">
        <v>5055812.4400000004</v>
      </c>
    </row>
    <row r="11572" spans="1:13" x14ac:dyDescent="0.2">
      <c r="A11572" s="168">
        <v>2024</v>
      </c>
      <c r="B11572" s="168">
        <v>8</v>
      </c>
      <c r="C11572" s="168">
        <v>7</v>
      </c>
      <c r="D11572" s="141">
        <f t="shared" ref="D11572:D11641" si="1672">DATE(A11572,B11572,C11572)</f>
        <v>45511</v>
      </c>
      <c r="E11572" s="275">
        <f t="shared" ref="E11572:E11641" si="1673">DATE(A11572,B11572,C11572)</f>
        <v>45511</v>
      </c>
      <c r="F11572" s="479" t="s">
        <v>1967</v>
      </c>
      <c r="G11572" s="220" t="s">
        <v>94</v>
      </c>
      <c r="H11572" s="220" t="str" cm="1">
        <f t="array" ref="H11572">IFERROR(INDEX(INVESTOR_LIST[INVESTOR NAME],MATCH(I11572,INVESTOR_LIST[INVESTOR CODE],0),)," ")</f>
        <v xml:space="preserve"> </v>
      </c>
      <c r="I11572" s="142"/>
      <c r="J11572" s="143" t="s">
        <v>79</v>
      </c>
      <c r="K11572" s="226">
        <v>2500000</v>
      </c>
      <c r="L11572" s="226"/>
      <c r="M11572" s="160"/>
    </row>
    <row r="11573" spans="1:13" ht="10.9" customHeight="1" x14ac:dyDescent="0.2">
      <c r="A11573" s="163">
        <v>2024</v>
      </c>
      <c r="B11573" s="163">
        <v>8</v>
      </c>
      <c r="C11573" s="163">
        <v>7</v>
      </c>
      <c r="D11573" s="280">
        <f t="shared" si="1672"/>
        <v>45511</v>
      </c>
      <c r="E11573" s="281">
        <f t="shared" si="1673"/>
        <v>45511</v>
      </c>
      <c r="F11573" s="480"/>
      <c r="G11573" s="221" t="s">
        <v>94</v>
      </c>
      <c r="H11573" s="221" t="str" cm="1">
        <f t="array" ref="H11573">IFERROR(INDEX(INVESTOR_LIST[INVESTOR NAME],MATCH(I11573,INVESTOR_LIST[INVESTOR CODE],0),)," ")</f>
        <v xml:space="preserve"> </v>
      </c>
      <c r="I11573" s="145"/>
      <c r="J11573" s="146" t="s">
        <v>52</v>
      </c>
      <c r="K11573" s="219"/>
      <c r="L11573" s="219">
        <v>2500000</v>
      </c>
    </row>
    <row r="11574" spans="1:13" x14ac:dyDescent="0.2">
      <c r="A11574" s="133">
        <v>2024</v>
      </c>
      <c r="B11574" s="168">
        <v>8</v>
      </c>
      <c r="C11574" s="168">
        <v>7</v>
      </c>
      <c r="D11574" s="141">
        <f t="shared" si="1672"/>
        <v>45511</v>
      </c>
      <c r="E11574" s="275">
        <f t="shared" si="1673"/>
        <v>45511</v>
      </c>
      <c r="F11574" s="479" t="s">
        <v>1943</v>
      </c>
      <c r="G11574" s="174" t="s">
        <v>74</v>
      </c>
      <c r="H11574" s="148" t="str" cm="1">
        <f t="array" ref="H11574">IFERROR(INDEX(INVESTOR_LIST[INVESTOR NAME],MATCH(I11574,INVESTOR_LIST[INVESTOR CODE],0),)," ")</f>
        <v xml:space="preserve"> </v>
      </c>
      <c r="I11574" s="148" t="s">
        <v>348</v>
      </c>
      <c r="J11574" s="133" t="s">
        <v>61</v>
      </c>
      <c r="K11574" s="172">
        <v>60</v>
      </c>
    </row>
    <row r="11575" spans="1:13" x14ac:dyDescent="0.2">
      <c r="A11575" s="163">
        <v>2024</v>
      </c>
      <c r="B11575" s="163">
        <v>8</v>
      </c>
      <c r="C11575" s="163">
        <v>7</v>
      </c>
      <c r="D11575" s="280">
        <f t="shared" si="1672"/>
        <v>45511</v>
      </c>
      <c r="E11575" s="281">
        <f t="shared" si="1673"/>
        <v>45511</v>
      </c>
      <c r="F11575" s="480"/>
      <c r="G11575" s="221" t="s">
        <v>74</v>
      </c>
      <c r="H11575" s="145" t="str" cm="1">
        <f t="array" ref="H11575">IFERROR(INDEX(INVESTOR_LIST[INVESTOR NAME],MATCH(I11575,INVESTOR_LIST[INVESTOR CODE],0),)," ")</f>
        <v xml:space="preserve"> </v>
      </c>
      <c r="I11575" s="145" t="s">
        <v>348</v>
      </c>
      <c r="J11575" s="163" t="s">
        <v>52</v>
      </c>
      <c r="K11575" s="219"/>
      <c r="L11575" s="219">
        <v>60</v>
      </c>
    </row>
    <row r="11576" spans="1:13" x14ac:dyDescent="0.2">
      <c r="A11576" s="168">
        <v>2024</v>
      </c>
      <c r="B11576" s="168">
        <v>8</v>
      </c>
      <c r="C11576" s="168">
        <v>7</v>
      </c>
      <c r="D11576" s="141">
        <f t="shared" si="1672"/>
        <v>45511</v>
      </c>
      <c r="E11576" s="275">
        <f t="shared" si="1673"/>
        <v>45511</v>
      </c>
      <c r="F11576" s="479" t="s">
        <v>1797</v>
      </c>
      <c r="G11576" s="220" t="s">
        <v>94</v>
      </c>
      <c r="H11576" s="220" t="str" cm="1">
        <f t="array" ref="H11576">IFERROR(INDEX(INVESTOR_LIST[INVESTOR NAME],MATCH(I11576,INVESTOR_LIST[INVESTOR CODE],0),)," ")</f>
        <v xml:space="preserve"> </v>
      </c>
      <c r="I11576" s="142"/>
      <c r="J11576" s="143" t="s">
        <v>79</v>
      </c>
      <c r="K11576" s="226">
        <v>13076068.699999999</v>
      </c>
      <c r="L11576" s="226"/>
      <c r="M11576" s="160"/>
    </row>
    <row r="11577" spans="1:13" x14ac:dyDescent="0.2">
      <c r="A11577" s="133">
        <v>2024</v>
      </c>
      <c r="B11577" s="133">
        <v>8</v>
      </c>
      <c r="C11577" s="133">
        <v>7</v>
      </c>
      <c r="D11577" s="141">
        <f t="shared" si="1672"/>
        <v>45511</v>
      </c>
      <c r="E11577" s="275">
        <f t="shared" si="1673"/>
        <v>45511</v>
      </c>
      <c r="F11577" s="481"/>
      <c r="G11577" s="174" t="s">
        <v>94</v>
      </c>
      <c r="H11577" s="174" t="str" cm="1">
        <f t="array" ref="H11577">IFERROR(INDEX(INVESTOR_LIST[INVESTOR NAME],MATCH(I11577,INVESTOR_LIST[INVESTOR CODE],0),)," ")</f>
        <v xml:space="preserve"> </v>
      </c>
      <c r="J11577" s="149" t="s">
        <v>80</v>
      </c>
      <c r="K11577" s="218">
        <v>23536.923699999999</v>
      </c>
      <c r="L11577" s="218"/>
    </row>
    <row r="11578" spans="1:13" ht="10.9" customHeight="1" x14ac:dyDescent="0.2">
      <c r="A11578" s="163">
        <v>2024</v>
      </c>
      <c r="B11578" s="163">
        <v>8</v>
      </c>
      <c r="C11578" s="163">
        <v>7</v>
      </c>
      <c r="D11578" s="280">
        <f t="shared" si="1672"/>
        <v>45511</v>
      </c>
      <c r="E11578" s="281">
        <f t="shared" si="1673"/>
        <v>45511</v>
      </c>
      <c r="F11578" s="480"/>
      <c r="G11578" s="221" t="s">
        <v>94</v>
      </c>
      <c r="H11578" s="221" t="str" cm="1">
        <f t="array" ref="H11578">IFERROR(INDEX(INVESTOR_LIST[INVESTOR NAME],MATCH(I11578,INVESTOR_LIST[INVESTOR CODE],0),)," ")</f>
        <v xml:space="preserve"> </v>
      </c>
      <c r="I11578" s="145"/>
      <c r="J11578" s="146" t="s">
        <v>147</v>
      </c>
      <c r="K11578" s="219"/>
      <c r="L11578" s="219">
        <v>13099605.6237</v>
      </c>
    </row>
    <row r="11579" spans="1:13" x14ac:dyDescent="0.2">
      <c r="A11579" s="168">
        <v>2024</v>
      </c>
      <c r="B11579" s="168">
        <v>8</v>
      </c>
      <c r="C11579" s="168">
        <v>7</v>
      </c>
      <c r="D11579" s="141">
        <f t="shared" si="1672"/>
        <v>45511</v>
      </c>
      <c r="E11579" s="275">
        <f t="shared" si="1673"/>
        <v>45511</v>
      </c>
      <c r="F11579" s="479" t="s">
        <v>964</v>
      </c>
      <c r="G11579" s="220" t="s">
        <v>74</v>
      </c>
      <c r="H11579" s="142" t="str" cm="1">
        <f t="array" ref="H11579">IFERROR(INDEX(INVESTOR_LIST[INVESTOR NAME],MATCH(I11579,INVESTOR_LIST[INVESTOR CODE],0),)," ")</f>
        <v xml:space="preserve"> </v>
      </c>
      <c r="I11579" s="142" t="s">
        <v>1969</v>
      </c>
      <c r="J11579" s="168" t="s">
        <v>52</v>
      </c>
      <c r="K11579" s="226">
        <v>940000</v>
      </c>
      <c r="L11579" s="226"/>
    </row>
    <row r="11580" spans="1:13" x14ac:dyDescent="0.2">
      <c r="A11580" s="133">
        <v>2024</v>
      </c>
      <c r="B11580" s="133">
        <v>8</v>
      </c>
      <c r="C11580" s="133">
        <v>7</v>
      </c>
      <c r="D11580" s="141">
        <f t="shared" si="1672"/>
        <v>45511</v>
      </c>
      <c r="E11580" s="275">
        <f t="shared" si="1673"/>
        <v>45511</v>
      </c>
      <c r="F11580" s="481"/>
      <c r="G11580" s="174" t="s">
        <v>74</v>
      </c>
      <c r="H11580" s="148" t="str" cm="1">
        <f t="array" ref="H11580">IFERROR(INDEX(INVESTOR_LIST[INVESTOR NAME],MATCH(I11580,INVESTOR_LIST[INVESTOR CODE],0),)," ")</f>
        <v xml:space="preserve"> </v>
      </c>
      <c r="I11580" s="148" t="s">
        <v>1969</v>
      </c>
      <c r="J11580" s="133" t="s">
        <v>13</v>
      </c>
      <c r="K11580" s="218"/>
      <c r="L11580" s="218">
        <v>781830</v>
      </c>
    </row>
    <row r="11581" spans="1:13" x14ac:dyDescent="0.2">
      <c r="A11581" s="163">
        <v>2024</v>
      </c>
      <c r="B11581" s="163">
        <v>8</v>
      </c>
      <c r="C11581" s="163">
        <v>7</v>
      </c>
      <c r="D11581" s="280">
        <f t="shared" si="1672"/>
        <v>45511</v>
      </c>
      <c r="E11581" s="281">
        <f t="shared" si="1673"/>
        <v>45511</v>
      </c>
      <c r="F11581" s="480"/>
      <c r="G11581" s="221" t="s">
        <v>74</v>
      </c>
      <c r="H11581" s="145" t="str" cm="1">
        <f t="array" ref="H11581">IFERROR(INDEX(INVESTOR_LIST[INVESTOR NAME],MATCH(I11581,INVESTOR_LIST[INVESTOR CODE],0),)," ")</f>
        <v xml:space="preserve"> </v>
      </c>
      <c r="I11581" s="145" t="s">
        <v>1969</v>
      </c>
      <c r="J11581" s="163" t="s">
        <v>53</v>
      </c>
      <c r="K11581" s="219"/>
      <c r="L11581" s="219">
        <v>158170</v>
      </c>
    </row>
    <row r="11582" spans="1:13" x14ac:dyDescent="0.2">
      <c r="A11582" s="133">
        <v>2024</v>
      </c>
      <c r="B11582" s="168">
        <v>8</v>
      </c>
      <c r="C11582" s="168">
        <v>7</v>
      </c>
      <c r="D11582" s="141">
        <f t="shared" ref="D11582:D11594" si="1674">DATE(A11582,B11582,C11582)</f>
        <v>45511</v>
      </c>
      <c r="E11582" s="275">
        <f t="shared" ref="E11582:E11594" si="1675">DATE(A11582,B11582,C11582)</f>
        <v>45511</v>
      </c>
      <c r="F11582" s="479" t="s">
        <v>1956</v>
      </c>
      <c r="G11582" s="174" t="s">
        <v>74</v>
      </c>
      <c r="H11582" s="148" t="str" cm="1">
        <f t="array" ref="H11582">IFERROR(INDEX(INVESTOR_LIST[INVESTOR NAME],MATCH(I11582,INVESTOR_LIST[INVESTOR CODE],0),)," ")</f>
        <v xml:space="preserve"> </v>
      </c>
      <c r="I11582" s="148" t="s">
        <v>348</v>
      </c>
      <c r="J11582" s="133" t="s">
        <v>61</v>
      </c>
      <c r="K11582" s="172">
        <v>25</v>
      </c>
    </row>
    <row r="11583" spans="1:13" x14ac:dyDescent="0.2">
      <c r="A11583" s="163">
        <v>2024</v>
      </c>
      <c r="B11583" s="163">
        <v>8</v>
      </c>
      <c r="C11583" s="163">
        <v>7</v>
      </c>
      <c r="D11583" s="280">
        <f t="shared" si="1674"/>
        <v>45511</v>
      </c>
      <c r="E11583" s="281">
        <f t="shared" si="1675"/>
        <v>45511</v>
      </c>
      <c r="F11583" s="480"/>
      <c r="G11583" s="221" t="s">
        <v>74</v>
      </c>
      <c r="H11583" s="145" t="str" cm="1">
        <f t="array" ref="H11583">IFERROR(INDEX(INVESTOR_LIST[INVESTOR NAME],MATCH(I11583,INVESTOR_LIST[INVESTOR CODE],0),)," ")</f>
        <v xml:space="preserve"> </v>
      </c>
      <c r="I11583" s="145" t="s">
        <v>348</v>
      </c>
      <c r="J11583" s="163" t="s">
        <v>52</v>
      </c>
      <c r="K11583" s="219"/>
      <c r="L11583" s="219">
        <v>25</v>
      </c>
    </row>
    <row r="11584" spans="1:13" ht="11.25" customHeight="1" x14ac:dyDescent="0.2">
      <c r="A11584" s="168">
        <v>2024</v>
      </c>
      <c r="B11584" s="168">
        <v>8</v>
      </c>
      <c r="C11584" s="168">
        <v>8</v>
      </c>
      <c r="D11584" s="141">
        <f>DATE(A11584,B11584,C11584)</f>
        <v>45512</v>
      </c>
      <c r="E11584" s="275">
        <f>DATE(A11584,B11584,C11584)</f>
        <v>45512</v>
      </c>
      <c r="F11584" s="479" t="s">
        <v>1768</v>
      </c>
      <c r="G11584" s="220" t="s">
        <v>74</v>
      </c>
      <c r="H11584" s="220" t="str" cm="1">
        <f t="array" ref="H11584">IFERROR(INDEX(INVESTOR_LIST[INVESTOR NAME],MATCH(I11584,INVESTOR_LIST[INVESTOR CODE],0),)," ")</f>
        <v xml:space="preserve"> </v>
      </c>
      <c r="I11584" s="142"/>
      <c r="J11584" s="143" t="s">
        <v>147</v>
      </c>
      <c r="K11584" s="226">
        <v>13099605.619999999</v>
      </c>
      <c r="L11584" s="226"/>
    </row>
    <row r="11585" spans="1:12" x14ac:dyDescent="0.2">
      <c r="A11585" s="163">
        <v>2024</v>
      </c>
      <c r="B11585" s="163">
        <v>8</v>
      </c>
      <c r="C11585" s="163">
        <v>8</v>
      </c>
      <c r="D11585" s="280">
        <f>DATE(A11585,B11585,C11585)</f>
        <v>45512</v>
      </c>
      <c r="E11585" s="281">
        <f>DATE(A11585,B11585,C11585)</f>
        <v>45512</v>
      </c>
      <c r="F11585" s="480"/>
      <c r="G11585" s="221" t="s">
        <v>74</v>
      </c>
      <c r="H11585" s="221" t="str" cm="1">
        <f t="array" ref="H11585">IFERROR(INDEX(INVESTOR_LIST[INVESTOR NAME],MATCH(I11585,INVESTOR_LIST[INVESTOR CODE],0),)," ")</f>
        <v xml:space="preserve"> </v>
      </c>
      <c r="I11585" s="145" t="s">
        <v>348</v>
      </c>
      <c r="J11585" s="146" t="s">
        <v>52</v>
      </c>
      <c r="K11585" s="219"/>
      <c r="L11585" s="219">
        <v>13099605.619999999</v>
      </c>
    </row>
    <row r="11586" spans="1:12" x14ac:dyDescent="0.2">
      <c r="A11586" s="133">
        <v>2024</v>
      </c>
      <c r="B11586" s="168">
        <v>8</v>
      </c>
      <c r="C11586" s="168">
        <v>8</v>
      </c>
      <c r="D11586" s="141">
        <f t="shared" ref="D11586:D11587" si="1676">DATE(A11586,B11586,C11586)</f>
        <v>45512</v>
      </c>
      <c r="E11586" s="275">
        <f t="shared" ref="E11586:E11587" si="1677">DATE(A11586,B11586,C11586)</f>
        <v>45512</v>
      </c>
      <c r="F11586" s="479" t="s">
        <v>1943</v>
      </c>
      <c r="G11586" s="174" t="s">
        <v>74</v>
      </c>
      <c r="H11586" s="148" t="str" cm="1">
        <f t="array" ref="H11586">IFERROR(INDEX(INVESTOR_LIST[INVESTOR NAME],MATCH(I11586,INVESTOR_LIST[INVESTOR CODE],0),)," ")</f>
        <v xml:space="preserve"> </v>
      </c>
      <c r="I11586" s="148" t="s">
        <v>348</v>
      </c>
      <c r="J11586" s="133" t="s">
        <v>61</v>
      </c>
      <c r="K11586" s="172">
        <v>100</v>
      </c>
    </row>
    <row r="11587" spans="1:12" x14ac:dyDescent="0.2">
      <c r="A11587" s="163">
        <v>2024</v>
      </c>
      <c r="B11587" s="163">
        <v>8</v>
      </c>
      <c r="C11587" s="163">
        <v>8</v>
      </c>
      <c r="D11587" s="280">
        <f t="shared" si="1676"/>
        <v>45512</v>
      </c>
      <c r="E11587" s="281">
        <f t="shared" si="1677"/>
        <v>45512</v>
      </c>
      <c r="F11587" s="480"/>
      <c r="G11587" s="221" t="s">
        <v>74</v>
      </c>
      <c r="H11587" s="145" t="str" cm="1">
        <f t="array" ref="H11587">IFERROR(INDEX(INVESTOR_LIST[INVESTOR NAME],MATCH(I11587,INVESTOR_LIST[INVESTOR CODE],0),)," ")</f>
        <v xml:space="preserve"> </v>
      </c>
      <c r="I11587" s="145" t="s">
        <v>348</v>
      </c>
      <c r="J11587" s="163" t="s">
        <v>52</v>
      </c>
      <c r="K11587" s="219"/>
      <c r="L11587" s="219">
        <v>100</v>
      </c>
    </row>
    <row r="11588" spans="1:12" ht="11.25" customHeight="1" x14ac:dyDescent="0.2">
      <c r="A11588" s="168">
        <v>2024</v>
      </c>
      <c r="B11588" s="168">
        <v>8</v>
      </c>
      <c r="C11588" s="168">
        <v>8</v>
      </c>
      <c r="D11588" s="141">
        <f>DATE(A11588,B11588,C11588)</f>
        <v>45512</v>
      </c>
      <c r="E11588" s="275">
        <f>DATE(A11588,B11588,C11588)</f>
        <v>45512</v>
      </c>
      <c r="F11588" s="479" t="s">
        <v>1965</v>
      </c>
      <c r="G11588" s="220" t="s">
        <v>74</v>
      </c>
      <c r="H11588" s="220" t="str" cm="1">
        <f t="array" ref="H11588">IFERROR(INDEX(INVESTOR_LIST[INVESTOR NAME],MATCH(I11588,INVESTOR_LIST[INVESTOR CODE],0),)," ")</f>
        <v xml:space="preserve"> </v>
      </c>
      <c r="I11588" s="142"/>
      <c r="J11588" s="143" t="s">
        <v>147</v>
      </c>
      <c r="K11588" s="226">
        <v>849105.44</v>
      </c>
      <c r="L11588" s="226"/>
    </row>
    <row r="11589" spans="1:12" x14ac:dyDescent="0.2">
      <c r="A11589" s="163">
        <v>2024</v>
      </c>
      <c r="B11589" s="163">
        <v>8</v>
      </c>
      <c r="C11589" s="163">
        <v>8</v>
      </c>
      <c r="D11589" s="280">
        <f>DATE(A11589,B11589,C11589)</f>
        <v>45512</v>
      </c>
      <c r="E11589" s="281">
        <f>DATE(A11589,B11589,C11589)</f>
        <v>45512</v>
      </c>
      <c r="F11589" s="480"/>
      <c r="G11589" s="221" t="s">
        <v>74</v>
      </c>
      <c r="H11589" s="221" t="str" cm="1">
        <f t="array" ref="H11589">IFERROR(INDEX(INVESTOR_LIST[INVESTOR NAME],MATCH(I11589,INVESTOR_LIST[INVESTOR CODE],0),)," ")</f>
        <v xml:space="preserve"> </v>
      </c>
      <c r="I11589" s="145" t="s">
        <v>348</v>
      </c>
      <c r="J11589" s="146" t="s">
        <v>52</v>
      </c>
      <c r="K11589" s="219"/>
      <c r="L11589" s="219">
        <v>849105.44</v>
      </c>
    </row>
    <row r="11590" spans="1:12" x14ac:dyDescent="0.2">
      <c r="A11590" s="133">
        <v>2024</v>
      </c>
      <c r="B11590" s="168">
        <v>8</v>
      </c>
      <c r="C11590" s="168">
        <v>8</v>
      </c>
      <c r="D11590" s="141">
        <f t="shared" ref="D11590:D11591" si="1678">DATE(A11590,B11590,C11590)</f>
        <v>45512</v>
      </c>
      <c r="E11590" s="275">
        <f t="shared" ref="E11590:E11591" si="1679">DATE(A11590,B11590,C11590)</f>
        <v>45512</v>
      </c>
      <c r="F11590" s="479" t="s">
        <v>1943</v>
      </c>
      <c r="G11590" s="174" t="s">
        <v>74</v>
      </c>
      <c r="H11590" s="148" t="str" cm="1">
        <f t="array" ref="H11590">IFERROR(INDEX(INVESTOR_LIST[INVESTOR NAME],MATCH(I11590,INVESTOR_LIST[INVESTOR CODE],0),)," ")</f>
        <v xml:space="preserve"> </v>
      </c>
      <c r="I11590" s="148" t="s">
        <v>348</v>
      </c>
      <c r="J11590" s="133" t="s">
        <v>61</v>
      </c>
      <c r="K11590" s="172">
        <v>160</v>
      </c>
    </row>
    <row r="11591" spans="1:12" x14ac:dyDescent="0.2">
      <c r="A11591" s="163">
        <v>2024</v>
      </c>
      <c r="B11591" s="163">
        <v>8</v>
      </c>
      <c r="C11591" s="163">
        <v>8</v>
      </c>
      <c r="D11591" s="280">
        <f t="shared" si="1678"/>
        <v>45512</v>
      </c>
      <c r="E11591" s="281">
        <f t="shared" si="1679"/>
        <v>45512</v>
      </c>
      <c r="F11591" s="480"/>
      <c r="G11591" s="221" t="s">
        <v>74</v>
      </c>
      <c r="H11591" s="145" t="str" cm="1">
        <f t="array" ref="H11591">IFERROR(INDEX(INVESTOR_LIST[INVESTOR NAME],MATCH(I11591,INVESTOR_LIST[INVESTOR CODE],0),)," ")</f>
        <v xml:space="preserve"> </v>
      </c>
      <c r="I11591" s="145" t="s">
        <v>348</v>
      </c>
      <c r="J11591" s="163" t="s">
        <v>52</v>
      </c>
      <c r="K11591" s="219"/>
      <c r="L11591" s="219">
        <v>160</v>
      </c>
    </row>
    <row r="11592" spans="1:12" ht="33.75" x14ac:dyDescent="0.2">
      <c r="A11592" s="168">
        <v>2024</v>
      </c>
      <c r="B11592" s="168">
        <v>8</v>
      </c>
      <c r="C11592" s="168">
        <v>8</v>
      </c>
      <c r="D11592" s="141">
        <f t="shared" si="1674"/>
        <v>45512</v>
      </c>
      <c r="E11592" s="275">
        <f t="shared" si="1675"/>
        <v>45512</v>
      </c>
      <c r="F11592" s="479" t="s">
        <v>964</v>
      </c>
      <c r="G11592" s="220" t="s">
        <v>74</v>
      </c>
      <c r="H11592" s="142" t="str" cm="1">
        <f t="array" ref="H11592">IFERROR(INDEX(INVESTOR_LIST[INVESTOR NAME],MATCH(I11592,INVESTOR_LIST[INVESTOR CODE],0),)," ")</f>
        <v>UMME SALMA KATHA</v>
      </c>
      <c r="I11592" s="142" t="s">
        <v>830</v>
      </c>
      <c r="J11592" s="168" t="s">
        <v>52</v>
      </c>
      <c r="K11592" s="226">
        <v>1490852</v>
      </c>
      <c r="L11592" s="226"/>
    </row>
    <row r="11593" spans="1:12" ht="33.75" x14ac:dyDescent="0.2">
      <c r="A11593" s="133">
        <v>2024</v>
      </c>
      <c r="B11593" s="133">
        <v>8</v>
      </c>
      <c r="C11593" s="133">
        <v>8</v>
      </c>
      <c r="D11593" s="141">
        <f t="shared" si="1674"/>
        <v>45512</v>
      </c>
      <c r="E11593" s="275">
        <f t="shared" si="1675"/>
        <v>45512</v>
      </c>
      <c r="F11593" s="481"/>
      <c r="G11593" s="174" t="s">
        <v>74</v>
      </c>
      <c r="H11593" s="148" t="str" cm="1">
        <f t="array" ref="H11593">IFERROR(INDEX(INVESTOR_LIST[INVESTOR NAME],MATCH(I11593,INVESTOR_LIST[INVESTOR CODE],0),)," ")</f>
        <v>UMME SALMA KATHA</v>
      </c>
      <c r="I11593" s="148" t="s">
        <v>830</v>
      </c>
      <c r="J11593" s="133" t="s">
        <v>13</v>
      </c>
      <c r="K11593" s="218"/>
      <c r="L11593" s="218">
        <v>1240000</v>
      </c>
    </row>
    <row r="11594" spans="1:12" ht="33.75" x14ac:dyDescent="0.2">
      <c r="A11594" s="163">
        <v>2024</v>
      </c>
      <c r="B11594" s="163">
        <v>8</v>
      </c>
      <c r="C11594" s="163">
        <v>8</v>
      </c>
      <c r="D11594" s="280">
        <f t="shared" si="1674"/>
        <v>45512</v>
      </c>
      <c r="E11594" s="281">
        <f t="shared" si="1675"/>
        <v>45512</v>
      </c>
      <c r="F11594" s="480"/>
      <c r="G11594" s="221" t="s">
        <v>74</v>
      </c>
      <c r="H11594" s="145" t="str" cm="1">
        <f t="array" ref="H11594">IFERROR(INDEX(INVESTOR_LIST[INVESTOR NAME],MATCH(I11594,INVESTOR_LIST[INVESTOR CODE],0),)," ")</f>
        <v>UMME SALMA KATHA</v>
      </c>
      <c r="I11594" s="145" t="s">
        <v>830</v>
      </c>
      <c r="J11594" s="163" t="s">
        <v>53</v>
      </c>
      <c r="K11594" s="219"/>
      <c r="L11594" s="219">
        <v>250852</v>
      </c>
    </row>
    <row r="11595" spans="1:12" ht="22.5" x14ac:dyDescent="0.2">
      <c r="A11595" s="168">
        <v>2024</v>
      </c>
      <c r="B11595" s="168">
        <v>8</v>
      </c>
      <c r="C11595" s="168">
        <v>8</v>
      </c>
      <c r="D11595" s="141">
        <f t="shared" ref="D11595:D11597" si="1680">DATE(A11595,B11595,C11595)</f>
        <v>45512</v>
      </c>
      <c r="E11595" s="275">
        <f t="shared" ref="E11595:E11597" si="1681">DATE(A11595,B11595,C11595)</f>
        <v>45512</v>
      </c>
      <c r="F11595" s="479" t="s">
        <v>964</v>
      </c>
      <c r="G11595" s="220" t="s">
        <v>74</v>
      </c>
      <c r="H11595" s="142" t="str" cm="1">
        <f t="array" ref="H11595">IFERROR(INDEX(INVESTOR_LIST[INVESTOR NAME],MATCH(I11595,INVESTOR_LIST[INVESTOR CODE],0),)," ")</f>
        <v>SRIJON GHOSH</v>
      </c>
      <c r="I11595" s="142" t="s">
        <v>1418</v>
      </c>
      <c r="J11595" s="168" t="s">
        <v>52</v>
      </c>
      <c r="K11595" s="226">
        <v>226866</v>
      </c>
      <c r="L11595" s="226"/>
    </row>
    <row r="11596" spans="1:12" ht="22.5" x14ac:dyDescent="0.2">
      <c r="A11596" s="133">
        <v>2024</v>
      </c>
      <c r="B11596" s="133">
        <v>8</v>
      </c>
      <c r="C11596" s="133">
        <v>8</v>
      </c>
      <c r="D11596" s="141">
        <f t="shared" si="1680"/>
        <v>45512</v>
      </c>
      <c r="E11596" s="275">
        <f t="shared" si="1681"/>
        <v>45512</v>
      </c>
      <c r="F11596" s="481"/>
      <c r="G11596" s="174" t="s">
        <v>74</v>
      </c>
      <c r="H11596" s="148" t="str" cm="1">
        <f t="array" ref="H11596">IFERROR(INDEX(INVESTOR_LIST[INVESTOR NAME],MATCH(I11596,INVESTOR_LIST[INVESTOR CODE],0),)," ")</f>
        <v>SRIJON GHOSH</v>
      </c>
      <c r="I11596" s="148" t="s">
        <v>1418</v>
      </c>
      <c r="J11596" s="133" t="s">
        <v>13</v>
      </c>
      <c r="K11596" s="218"/>
      <c r="L11596" s="218">
        <v>188690</v>
      </c>
    </row>
    <row r="11597" spans="1:12" ht="22.5" x14ac:dyDescent="0.2">
      <c r="A11597" s="163">
        <v>2024</v>
      </c>
      <c r="B11597" s="163">
        <v>8</v>
      </c>
      <c r="C11597" s="163">
        <v>8</v>
      </c>
      <c r="D11597" s="280">
        <f t="shared" si="1680"/>
        <v>45512</v>
      </c>
      <c r="E11597" s="281">
        <f t="shared" si="1681"/>
        <v>45512</v>
      </c>
      <c r="F11597" s="480"/>
      <c r="G11597" s="221" t="s">
        <v>74</v>
      </c>
      <c r="H11597" s="145" t="str" cm="1">
        <f t="array" ref="H11597">IFERROR(INDEX(INVESTOR_LIST[INVESTOR NAME],MATCH(I11597,INVESTOR_LIST[INVESTOR CODE],0),)," ")</f>
        <v>SRIJON GHOSH</v>
      </c>
      <c r="I11597" s="145" t="s">
        <v>1418</v>
      </c>
      <c r="J11597" s="163" t="s">
        <v>53</v>
      </c>
      <c r="K11597" s="219"/>
      <c r="L11597" s="219">
        <v>38176</v>
      </c>
    </row>
    <row r="11598" spans="1:12" ht="22.5" x14ac:dyDescent="0.2">
      <c r="A11598" s="168">
        <v>2024</v>
      </c>
      <c r="B11598" s="168">
        <v>8</v>
      </c>
      <c r="C11598" s="168">
        <v>8</v>
      </c>
      <c r="D11598" s="141">
        <f t="shared" ref="D11598:D11607" si="1682">DATE(A11598,B11598,C11598)</f>
        <v>45512</v>
      </c>
      <c r="E11598" s="275">
        <f t="shared" ref="E11598:E11607" si="1683">DATE(A11598,B11598,C11598)</f>
        <v>45512</v>
      </c>
      <c r="F11598" s="479" t="s">
        <v>964</v>
      </c>
      <c r="G11598" s="220" t="s">
        <v>74</v>
      </c>
      <c r="H11598" s="142" t="str" cm="1">
        <f t="array" ref="H11598">IFERROR(INDEX(INVESTOR_LIST[INVESTOR NAME],MATCH(I11598,INVESTOR_LIST[INVESTOR CODE],0),)," ")</f>
        <v>MADHAB GHOSH</v>
      </c>
      <c r="I11598" s="142" t="s">
        <v>1659</v>
      </c>
      <c r="J11598" s="168" t="s">
        <v>52</v>
      </c>
      <c r="K11598" s="226">
        <v>239486</v>
      </c>
      <c r="L11598" s="226"/>
    </row>
    <row r="11599" spans="1:12" ht="22.5" x14ac:dyDescent="0.2">
      <c r="A11599" s="133">
        <v>2024</v>
      </c>
      <c r="B11599" s="133">
        <v>8</v>
      </c>
      <c r="C11599" s="133">
        <v>8</v>
      </c>
      <c r="D11599" s="141">
        <f t="shared" si="1682"/>
        <v>45512</v>
      </c>
      <c r="E11599" s="275">
        <f t="shared" si="1683"/>
        <v>45512</v>
      </c>
      <c r="F11599" s="481"/>
      <c r="G11599" s="174" t="s">
        <v>74</v>
      </c>
      <c r="H11599" s="148" t="str" cm="1">
        <f t="array" ref="H11599">IFERROR(INDEX(INVESTOR_LIST[INVESTOR NAME],MATCH(I11599,INVESTOR_LIST[INVESTOR CODE],0),)," ")</f>
        <v>MADHAB GHOSH</v>
      </c>
      <c r="I11599" s="148" t="s">
        <v>1659</v>
      </c>
      <c r="J11599" s="133" t="s">
        <v>13</v>
      </c>
      <c r="K11599" s="218"/>
      <c r="L11599" s="218">
        <v>199190</v>
      </c>
    </row>
    <row r="11600" spans="1:12" ht="22.5" x14ac:dyDescent="0.2">
      <c r="A11600" s="163">
        <v>2024</v>
      </c>
      <c r="B11600" s="163">
        <v>8</v>
      </c>
      <c r="C11600" s="163">
        <v>8</v>
      </c>
      <c r="D11600" s="280">
        <f t="shared" si="1682"/>
        <v>45512</v>
      </c>
      <c r="E11600" s="281">
        <f t="shared" si="1683"/>
        <v>45512</v>
      </c>
      <c r="F11600" s="480"/>
      <c r="G11600" s="221" t="s">
        <v>74</v>
      </c>
      <c r="H11600" s="145" t="str" cm="1">
        <f t="array" ref="H11600">IFERROR(INDEX(INVESTOR_LIST[INVESTOR NAME],MATCH(I11600,INVESTOR_LIST[INVESTOR CODE],0),)," ")</f>
        <v>MADHAB GHOSH</v>
      </c>
      <c r="I11600" s="145" t="s">
        <v>1659</v>
      </c>
      <c r="J11600" s="163" t="s">
        <v>53</v>
      </c>
      <c r="K11600" s="219"/>
      <c r="L11600" s="219">
        <v>40296</v>
      </c>
    </row>
    <row r="11601" spans="1:17" ht="11.25" customHeight="1" x14ac:dyDescent="0.2">
      <c r="A11601" s="168">
        <v>2024</v>
      </c>
      <c r="B11601" s="168">
        <v>8</v>
      </c>
      <c r="C11601" s="168">
        <v>8</v>
      </c>
      <c r="D11601" s="141">
        <f>DATE(A11601,B11601,C11601)</f>
        <v>45512</v>
      </c>
      <c r="E11601" s="275">
        <f>DATE(A11601,B11601,C11601)</f>
        <v>45512</v>
      </c>
      <c r="F11601" s="479" t="s">
        <v>1959</v>
      </c>
      <c r="G11601" s="220" t="s">
        <v>74</v>
      </c>
      <c r="H11601" s="220" t="str" cm="1">
        <f t="array" ref="H11601">IFERROR(INDEX(INVESTOR_LIST[INVESTOR NAME],MATCH(I11601,INVESTOR_LIST[INVESTOR CODE],0),)," ")</f>
        <v xml:space="preserve"> </v>
      </c>
      <c r="I11601" s="142"/>
      <c r="J11601" s="143" t="s">
        <v>52</v>
      </c>
      <c r="K11601" s="226">
        <v>3868053.64</v>
      </c>
      <c r="L11601" s="226"/>
    </row>
    <row r="11602" spans="1:17" x14ac:dyDescent="0.2">
      <c r="A11602" s="163">
        <v>2024</v>
      </c>
      <c r="B11602" s="163">
        <v>8</v>
      </c>
      <c r="C11602" s="163">
        <v>8</v>
      </c>
      <c r="D11602" s="280">
        <f>DATE(A11602,B11602,C11602)</f>
        <v>45512</v>
      </c>
      <c r="E11602" s="281">
        <f>DATE(A11602,B11602,C11602)</f>
        <v>45512</v>
      </c>
      <c r="F11602" s="480"/>
      <c r="G11602" s="221" t="s">
        <v>74</v>
      </c>
      <c r="H11602" s="221" t="str" cm="1">
        <f t="array" ref="H11602">IFERROR(INDEX(INVESTOR_LIST[INVESTOR NAME],MATCH(I11602,INVESTOR_LIST[INVESTOR CODE],0),)," ")</f>
        <v xml:space="preserve"> </v>
      </c>
      <c r="I11602" s="145"/>
      <c r="J11602" s="146" t="s">
        <v>190</v>
      </c>
      <c r="K11602" s="219"/>
      <c r="L11602" s="219">
        <v>3868053.64</v>
      </c>
    </row>
    <row r="11603" spans="1:17" x14ac:dyDescent="0.2">
      <c r="A11603" s="133">
        <v>2024</v>
      </c>
      <c r="B11603" s="133">
        <v>8</v>
      </c>
      <c r="C11603" s="133">
        <v>8</v>
      </c>
      <c r="D11603" s="141">
        <f t="shared" si="1682"/>
        <v>45512</v>
      </c>
      <c r="E11603" s="275">
        <f t="shared" si="1683"/>
        <v>45512</v>
      </c>
      <c r="F11603" s="481" t="s">
        <v>1767</v>
      </c>
      <c r="G11603" s="174" t="s">
        <v>94</v>
      </c>
      <c r="H11603" s="174" t="str" cm="1">
        <f t="array" ref="H11603">IFERROR(INDEX(INVESTOR_LIST[INVESTOR NAME],MATCH(I11603,INVESTOR_LIST[INVESTOR CODE],0),)," ")</f>
        <v xml:space="preserve"> </v>
      </c>
      <c r="J11603" s="149" t="s">
        <v>79</v>
      </c>
      <c r="K11603" s="218">
        <v>19634000.5</v>
      </c>
      <c r="L11603" s="218"/>
      <c r="M11603" s="160"/>
    </row>
    <row r="11604" spans="1:17" x14ac:dyDescent="0.2">
      <c r="A11604" s="133">
        <v>2024</v>
      </c>
      <c r="B11604" s="133">
        <v>8</v>
      </c>
      <c r="C11604" s="133">
        <v>8</v>
      </c>
      <c r="D11604" s="141">
        <f t="shared" si="1682"/>
        <v>45512</v>
      </c>
      <c r="E11604" s="275">
        <f t="shared" si="1683"/>
        <v>45512</v>
      </c>
      <c r="F11604" s="481"/>
      <c r="G11604" s="174" t="s">
        <v>94</v>
      </c>
      <c r="H11604" s="174" t="str" cm="1">
        <f t="array" ref="H11604">IFERROR(INDEX(INVESTOR_LIST[INVESTOR NAME],MATCH(I11604,INVESTOR_LIST[INVESTOR CODE],0),)," ")</f>
        <v xml:space="preserve"> </v>
      </c>
      <c r="J11604" s="149" t="s">
        <v>80</v>
      </c>
      <c r="K11604" s="218">
        <v>42492.6011</v>
      </c>
      <c r="L11604" s="133"/>
    </row>
    <row r="11605" spans="1:17" x14ac:dyDescent="0.2">
      <c r="A11605" s="133">
        <v>2024</v>
      </c>
      <c r="B11605" s="133">
        <v>8</v>
      </c>
      <c r="C11605" s="133">
        <v>8</v>
      </c>
      <c r="D11605" s="141">
        <f t="shared" si="1682"/>
        <v>45512</v>
      </c>
      <c r="E11605" s="275">
        <f t="shared" si="1683"/>
        <v>45512</v>
      </c>
      <c r="F11605" s="481"/>
      <c r="G11605" s="174" t="s">
        <v>94</v>
      </c>
      <c r="H11605" s="174" t="str" cm="1">
        <f t="array" ref="H11605">IFERROR(INDEX(INVESTOR_LIST[INVESTOR NAME],MATCH(I11605,INVESTOR_LIST[INVESTOR CODE],0),)," ")</f>
        <v xml:space="preserve"> </v>
      </c>
      <c r="J11605" s="149" t="s">
        <v>147</v>
      </c>
      <c r="K11605" s="218"/>
      <c r="L11605" s="218">
        <v>15703493.1</v>
      </c>
    </row>
    <row r="11606" spans="1:17" x14ac:dyDescent="0.2">
      <c r="A11606" s="133">
        <v>2024</v>
      </c>
      <c r="B11606" s="133">
        <v>8</v>
      </c>
      <c r="C11606" s="133">
        <v>8</v>
      </c>
      <c r="D11606" s="141">
        <f t="shared" si="1682"/>
        <v>45512</v>
      </c>
      <c r="E11606" s="275">
        <f t="shared" si="1683"/>
        <v>45512</v>
      </c>
      <c r="F11606" s="481"/>
      <c r="G11606" s="174" t="s">
        <v>94</v>
      </c>
      <c r="H11606" s="174" t="str" cm="1">
        <f t="array" ref="H11606">IFERROR(INDEX(INVESTOR_LIST[INVESTOR NAME],MATCH(I11606,INVESTOR_LIST[INVESTOR CODE],0),)," ")</f>
        <v xml:space="preserve"> </v>
      </c>
      <c r="J11606" s="149" t="s">
        <v>191</v>
      </c>
      <c r="K11606" s="218"/>
      <c r="L11606" s="218">
        <v>726362.16</v>
      </c>
    </row>
    <row r="11607" spans="1:17" x14ac:dyDescent="0.2">
      <c r="A11607" s="163">
        <v>2024</v>
      </c>
      <c r="B11607" s="163">
        <v>8</v>
      </c>
      <c r="C11607" s="163">
        <v>8</v>
      </c>
      <c r="D11607" s="280">
        <f t="shared" si="1682"/>
        <v>45512</v>
      </c>
      <c r="E11607" s="281">
        <f t="shared" si="1683"/>
        <v>45512</v>
      </c>
      <c r="F11607" s="480"/>
      <c r="G11607" s="221" t="s">
        <v>94</v>
      </c>
      <c r="H11607" s="145" t="str" cm="1">
        <f t="array" ref="H11607">IFERROR(INDEX(INVESTOR_LIST[INVESTOR NAME],MATCH(I11607,INVESTOR_LIST[INVESTOR CODE],0),)," ")</f>
        <v xml:space="preserve"> </v>
      </c>
      <c r="I11607" s="145"/>
      <c r="J11607" s="163" t="s">
        <v>79</v>
      </c>
      <c r="K11607" s="219"/>
      <c r="L11607" s="219">
        <v>3246637.84</v>
      </c>
    </row>
    <row r="11608" spans="1:17" ht="11.25" customHeight="1" x14ac:dyDescent="0.2">
      <c r="A11608" s="133">
        <v>2024</v>
      </c>
      <c r="B11608" s="168">
        <v>8</v>
      </c>
      <c r="C11608" s="168">
        <v>8</v>
      </c>
      <c r="D11608" s="141">
        <f>DATE(A11608,B11608,C11608)</f>
        <v>45512</v>
      </c>
      <c r="E11608" s="275">
        <f>DATE(A11608,B11608,C11608)</f>
        <v>45512</v>
      </c>
      <c r="F11608" s="481" t="s">
        <v>1970</v>
      </c>
      <c r="G11608" s="174" t="s">
        <v>74</v>
      </c>
      <c r="H11608" s="174" t="str" cm="1">
        <f t="array" ref="H11608">IFERROR(INDEX(INVESTOR_LIST[INVESTOR NAME],MATCH(I11608,INVESTOR_LIST[INVESTOR CODE],0),)," ")</f>
        <v xml:space="preserve"> </v>
      </c>
      <c r="I11608" s="148" t="s">
        <v>348</v>
      </c>
      <c r="J11608" s="149" t="s">
        <v>52</v>
      </c>
      <c r="K11608" s="218">
        <v>2000000</v>
      </c>
      <c r="L11608" s="218"/>
      <c r="M11608" s="147"/>
      <c r="Q11608" s="133" t="s">
        <v>348</v>
      </c>
    </row>
    <row r="11609" spans="1:17" x14ac:dyDescent="0.2">
      <c r="A11609" s="133">
        <v>2024</v>
      </c>
      <c r="B11609" s="133">
        <v>8</v>
      </c>
      <c r="C11609" s="133">
        <v>8</v>
      </c>
      <c r="D11609" s="141">
        <f t="shared" ref="D11609" si="1684">DATE(A11609,B11609,C11609)</f>
        <v>45512</v>
      </c>
      <c r="E11609" s="275">
        <f t="shared" ref="E11609" si="1685">DATE(A11609,B11609,C11609)</f>
        <v>45512</v>
      </c>
      <c r="F11609" s="481"/>
      <c r="G11609" s="174" t="s">
        <v>74</v>
      </c>
      <c r="H11609" s="174" t="str" cm="1">
        <f t="array" ref="H11609">IFERROR(INDEX(INVESTOR_LIST[INVESTOR NAME],MATCH(I11609,INVESTOR_LIST[INVESTOR CODE],0),)," ")</f>
        <v xml:space="preserve"> </v>
      </c>
      <c r="J11609" s="149" t="s">
        <v>1809</v>
      </c>
      <c r="K11609" s="218"/>
      <c r="L11609" s="218">
        <v>55024</v>
      </c>
      <c r="M11609" s="147"/>
    </row>
    <row r="11610" spans="1:17" x14ac:dyDescent="0.2">
      <c r="A11610" s="163">
        <v>2024</v>
      </c>
      <c r="B11610" s="163">
        <v>8</v>
      </c>
      <c r="C11610" s="163">
        <v>8</v>
      </c>
      <c r="D11610" s="280">
        <f>DATE(A11610,B11610,C11610)</f>
        <v>45512</v>
      </c>
      <c r="E11610" s="281">
        <f>DATE(A11610,B11610,C11610)</f>
        <v>45512</v>
      </c>
      <c r="F11610" s="480"/>
      <c r="G11610" s="221" t="s">
        <v>74</v>
      </c>
      <c r="H11610" s="221" t="str" cm="1">
        <f t="array" ref="H11610">IFERROR(INDEX(INVESTOR_LIST[INVESTOR NAME],MATCH(I11610,INVESTOR_LIST[INVESTOR CODE],0),)," ")</f>
        <v xml:space="preserve"> </v>
      </c>
      <c r="I11610" s="145"/>
      <c r="J11610" s="146" t="s">
        <v>1764</v>
      </c>
      <c r="K11610" s="219"/>
      <c r="L11610" s="219">
        <v>1944976</v>
      </c>
      <c r="M11610" s="147"/>
      <c r="Q11610" s="133" t="s">
        <v>348</v>
      </c>
    </row>
    <row r="11611" spans="1:17" x14ac:dyDescent="0.2">
      <c r="A11611" s="168">
        <v>2024</v>
      </c>
      <c r="B11611" s="168">
        <v>8</v>
      </c>
      <c r="C11611" s="168">
        <v>8</v>
      </c>
      <c r="D11611" s="141">
        <f t="shared" ref="D11611:D11613" si="1686">DATE(A11611,B11611,C11611)</f>
        <v>45512</v>
      </c>
      <c r="E11611" s="275">
        <f t="shared" ref="E11611:E11613" si="1687">DATE(A11611,B11611,C11611)</f>
        <v>45512</v>
      </c>
      <c r="F11611" s="479" t="s">
        <v>362</v>
      </c>
      <c r="G11611" s="220" t="s">
        <v>74</v>
      </c>
      <c r="H11611" s="220" t="str" cm="1">
        <f t="array" ref="H11611">IFERROR(INDEX(INVESTOR_LIST[INVESTOR NAME],MATCH(I11611,INVESTOR_LIST[INVESTOR CODE],0),)," ")</f>
        <v xml:space="preserve"> </v>
      </c>
      <c r="I11611" s="142" t="s">
        <v>348</v>
      </c>
      <c r="J11611" s="143" t="s">
        <v>104</v>
      </c>
      <c r="K11611" s="226">
        <v>799.08</v>
      </c>
      <c r="L11611" s="226"/>
    </row>
    <row r="11612" spans="1:17" x14ac:dyDescent="0.2">
      <c r="A11612" s="133">
        <v>2024</v>
      </c>
      <c r="B11612" s="133">
        <v>8</v>
      </c>
      <c r="C11612" s="133">
        <v>8</v>
      </c>
      <c r="D11612" s="147">
        <f t="shared" si="1686"/>
        <v>45512</v>
      </c>
      <c r="E11612" s="311">
        <f t="shared" si="1687"/>
        <v>45512</v>
      </c>
      <c r="F11612" s="481"/>
      <c r="G11612" s="174" t="s">
        <v>74</v>
      </c>
      <c r="H11612" s="174" t="str" cm="1">
        <f t="array" ref="H11612">IFERROR(INDEX(INVESTOR_LIST[INVESTOR NAME],MATCH(I11612,INVESTOR_LIST[INVESTOR CODE],0),)," ")</f>
        <v xml:space="preserve"> </v>
      </c>
      <c r="J11612" s="149" t="s">
        <v>534</v>
      </c>
      <c r="K11612" s="218"/>
      <c r="L11612" s="218">
        <v>79.91</v>
      </c>
    </row>
    <row r="11613" spans="1:17" x14ac:dyDescent="0.2">
      <c r="A11613" s="163">
        <v>2024</v>
      </c>
      <c r="B11613" s="163">
        <v>8</v>
      </c>
      <c r="C11613" s="163">
        <v>8</v>
      </c>
      <c r="D11613" s="144">
        <f t="shared" si="1686"/>
        <v>45512</v>
      </c>
      <c r="E11613" s="313">
        <f t="shared" si="1687"/>
        <v>45512</v>
      </c>
      <c r="F11613" s="480"/>
      <c r="G11613" s="221" t="s">
        <v>74</v>
      </c>
      <c r="H11613" s="221" t="str" cm="1">
        <f t="array" ref="H11613">IFERROR(INDEX(INVESTOR_LIST[INVESTOR NAME],MATCH(I11613,INVESTOR_LIST[INVESTOR CODE],0),)," ")</f>
        <v xml:space="preserve"> </v>
      </c>
      <c r="I11613" s="145" t="s">
        <v>348</v>
      </c>
      <c r="J11613" s="146" t="s">
        <v>52</v>
      </c>
      <c r="K11613" s="219"/>
      <c r="L11613" s="219">
        <v>719.17</v>
      </c>
    </row>
    <row r="11614" spans="1:17" x14ac:dyDescent="0.2">
      <c r="A11614" s="325">
        <v>2024</v>
      </c>
      <c r="B11614" s="325">
        <v>8</v>
      </c>
      <c r="C11614" s="325">
        <v>8</v>
      </c>
      <c r="D11614" s="326">
        <f t="shared" si="1672"/>
        <v>45512</v>
      </c>
      <c r="E11614" s="327">
        <f t="shared" si="1673"/>
        <v>45512</v>
      </c>
      <c r="F11614" s="473" t="s">
        <v>1940</v>
      </c>
      <c r="G11614" s="340" t="s">
        <v>94</v>
      </c>
      <c r="H11614" s="340" t="str" cm="1">
        <f t="array" ref="H11614">IFERROR(INDEX(INVESTOR_LIST[INVESTOR NAME],MATCH(I11614,INVESTOR_LIST[INVESTOR CODE],0),)," ")</f>
        <v xml:space="preserve"> </v>
      </c>
      <c r="I11614" s="341" t="s">
        <v>348</v>
      </c>
      <c r="J11614" s="374" t="s">
        <v>133</v>
      </c>
      <c r="K11614" s="375">
        <v>12905.555555555549</v>
      </c>
      <c r="L11614" s="375"/>
    </row>
    <row r="11615" spans="1:17" x14ac:dyDescent="0.2">
      <c r="A11615" s="331">
        <v>2024</v>
      </c>
      <c r="B11615" s="331">
        <v>8</v>
      </c>
      <c r="C11615" s="331">
        <v>8</v>
      </c>
      <c r="D11615" s="326">
        <f t="shared" si="1672"/>
        <v>45512</v>
      </c>
      <c r="E11615" s="327">
        <f t="shared" si="1673"/>
        <v>45512</v>
      </c>
      <c r="F11615" s="474"/>
      <c r="G11615" s="332" t="s">
        <v>94</v>
      </c>
      <c r="H11615" s="332" t="str" cm="1">
        <f t="array" ref="H11615">IFERROR(INDEX(INVESTOR_LIST[INVESTOR NAME],MATCH(I11615,INVESTOR_LIST[INVESTOR CODE],0),)," ")</f>
        <v xml:space="preserve"> </v>
      </c>
      <c r="I11615" s="333" t="s">
        <v>348</v>
      </c>
      <c r="J11615" s="376" t="s">
        <v>60</v>
      </c>
      <c r="K11615" s="334"/>
      <c r="L11615" s="334">
        <v>12905.555555555549</v>
      </c>
    </row>
    <row r="11616" spans="1:17" x14ac:dyDescent="0.2">
      <c r="A11616" s="384">
        <v>2024</v>
      </c>
      <c r="B11616" s="384">
        <v>8</v>
      </c>
      <c r="C11616" s="384">
        <v>8</v>
      </c>
      <c r="D11616" s="385">
        <f t="shared" si="1672"/>
        <v>45512</v>
      </c>
      <c r="E11616" s="386">
        <f t="shared" si="1673"/>
        <v>45512</v>
      </c>
      <c r="F11616" s="475" t="s">
        <v>1966</v>
      </c>
      <c r="G11616" s="387" t="s">
        <v>94</v>
      </c>
      <c r="H11616" s="387" t="str" cm="1">
        <f t="array" ref="H11616">IFERROR(INDEX(INVESTOR_LIST[INVESTOR NAME],MATCH(I11616,INVESTOR_LIST[INVESTOR CODE],0),)," ")</f>
        <v xml:space="preserve"> </v>
      </c>
      <c r="I11616" s="388" t="s">
        <v>348</v>
      </c>
      <c r="J11616" s="389" t="s">
        <v>67</v>
      </c>
      <c r="K11616" s="390">
        <v>54983.03</v>
      </c>
      <c r="L11616" s="390"/>
    </row>
    <row r="11617" spans="1:13" x14ac:dyDescent="0.2">
      <c r="A11617" s="391">
        <v>2024</v>
      </c>
      <c r="B11617" s="391">
        <v>8</v>
      </c>
      <c r="C11617" s="391">
        <v>8</v>
      </c>
      <c r="D11617" s="385">
        <f t="shared" si="1672"/>
        <v>45512</v>
      </c>
      <c r="E11617" s="386">
        <f t="shared" si="1673"/>
        <v>45512</v>
      </c>
      <c r="F11617" s="476"/>
      <c r="G11617" s="392" t="s">
        <v>94</v>
      </c>
      <c r="H11617" s="392" t="str" cm="1">
        <f t="array" ref="H11617">IFERROR(INDEX(INVESTOR_LIST[INVESTOR NAME],MATCH(I11617,INVESTOR_LIST[INVESTOR CODE],0),)," ")</f>
        <v xml:space="preserve"> </v>
      </c>
      <c r="I11617" s="393" t="s">
        <v>348</v>
      </c>
      <c r="J11617" s="394" t="s">
        <v>60</v>
      </c>
      <c r="K11617" s="395"/>
      <c r="L11617" s="395">
        <f>K11616</f>
        <v>54983.03</v>
      </c>
    </row>
    <row r="11618" spans="1:13" x14ac:dyDescent="0.2">
      <c r="A11618" s="343">
        <v>2024</v>
      </c>
      <c r="B11618" s="343">
        <v>8</v>
      </c>
      <c r="C11618" s="343">
        <v>8</v>
      </c>
      <c r="D11618" s="344">
        <f t="shared" si="1672"/>
        <v>45512</v>
      </c>
      <c r="E11618" s="345">
        <f t="shared" si="1673"/>
        <v>45512</v>
      </c>
      <c r="F11618" s="483" t="s">
        <v>1813</v>
      </c>
      <c r="G11618" s="350" t="s">
        <v>94</v>
      </c>
      <c r="H11618" s="350" t="str" cm="1">
        <f t="array" ref="H11618">IFERROR(INDEX(INVESTOR_LIST[INVESTOR NAME],MATCH(I11618,INVESTOR_LIST[INVESTOR CODE],0),)," ")</f>
        <v xml:space="preserve"> </v>
      </c>
      <c r="I11618" s="352" t="s">
        <v>348</v>
      </c>
      <c r="J11618" s="353" t="s">
        <v>1807</v>
      </c>
      <c r="K11618" s="354">
        <v>38041</v>
      </c>
      <c r="L11618" s="354"/>
    </row>
    <row r="11619" spans="1:13" x14ac:dyDescent="0.2">
      <c r="A11619" s="346">
        <v>2024</v>
      </c>
      <c r="B11619" s="346">
        <v>8</v>
      </c>
      <c r="C11619" s="346">
        <v>8</v>
      </c>
      <c r="D11619" s="344">
        <f t="shared" si="1672"/>
        <v>45512</v>
      </c>
      <c r="E11619" s="345">
        <f t="shared" si="1673"/>
        <v>45512</v>
      </c>
      <c r="F11619" s="484"/>
      <c r="G11619" s="347" t="s">
        <v>94</v>
      </c>
      <c r="H11619" s="347" t="str" cm="1">
        <f t="array" ref="H11619">IFERROR(INDEX(INVESTOR_LIST[INVESTOR NAME],MATCH(I11619,INVESTOR_LIST[INVESTOR CODE],0),)," ")</f>
        <v xml:space="preserve"> </v>
      </c>
      <c r="I11619" s="348" t="s">
        <v>348</v>
      </c>
      <c r="J11619" s="355" t="s">
        <v>1798</v>
      </c>
      <c r="K11619" s="349"/>
      <c r="L11619" s="349">
        <f>K11618</f>
        <v>38041</v>
      </c>
    </row>
    <row r="11620" spans="1:13" x14ac:dyDescent="0.2">
      <c r="A11620" s="343">
        <v>2024</v>
      </c>
      <c r="B11620" s="343">
        <v>8</v>
      </c>
      <c r="C11620" s="343">
        <v>8</v>
      </c>
      <c r="D11620" s="344">
        <f t="shared" si="1672"/>
        <v>45512</v>
      </c>
      <c r="E11620" s="345">
        <f t="shared" si="1673"/>
        <v>45512</v>
      </c>
      <c r="F11620" s="483" t="s">
        <v>1913</v>
      </c>
      <c r="G11620" s="350" t="s">
        <v>94</v>
      </c>
      <c r="H11620" s="350" t="str" cm="1">
        <f t="array" ref="H11620">IFERROR(INDEX(INVESTOR_LIST[INVESTOR NAME],MATCH(I11620,INVESTOR_LIST[INVESTOR CODE],0),)," ")</f>
        <v xml:space="preserve"> </v>
      </c>
      <c r="I11620" s="352" t="s">
        <v>348</v>
      </c>
      <c r="J11620" s="353" t="s">
        <v>1799</v>
      </c>
      <c r="K11620" s="354">
        <v>35571</v>
      </c>
      <c r="L11620" s="354"/>
    </row>
    <row r="11621" spans="1:13" x14ac:dyDescent="0.2">
      <c r="A11621" s="346">
        <v>2024</v>
      </c>
      <c r="B11621" s="346">
        <v>8</v>
      </c>
      <c r="C11621" s="346">
        <v>8</v>
      </c>
      <c r="D11621" s="344">
        <f t="shared" si="1672"/>
        <v>45512</v>
      </c>
      <c r="E11621" s="345">
        <f t="shared" si="1673"/>
        <v>45512</v>
      </c>
      <c r="F11621" s="484"/>
      <c r="G11621" s="347" t="s">
        <v>94</v>
      </c>
      <c r="H11621" s="347" t="str" cm="1">
        <f t="array" ref="H11621">IFERROR(INDEX(INVESTOR_LIST[INVESTOR NAME],MATCH(I11621,INVESTOR_LIST[INVESTOR CODE],0),)," ")</f>
        <v xml:space="preserve"> </v>
      </c>
      <c r="I11621" s="348" t="s">
        <v>348</v>
      </c>
      <c r="J11621" s="355" t="s">
        <v>1808</v>
      </c>
      <c r="K11621" s="349"/>
      <c r="L11621" s="349">
        <f>K11620</f>
        <v>35571</v>
      </c>
    </row>
    <row r="11622" spans="1:13" ht="11.25" customHeight="1" x14ac:dyDescent="0.2">
      <c r="A11622" s="238">
        <v>2024</v>
      </c>
      <c r="B11622" s="238">
        <v>8</v>
      </c>
      <c r="C11622" s="238">
        <v>8</v>
      </c>
      <c r="D11622" s="270">
        <f t="shared" si="1672"/>
        <v>45512</v>
      </c>
      <c r="E11622" s="279">
        <f t="shared" si="1673"/>
        <v>45512</v>
      </c>
      <c r="F11622" s="477" t="s">
        <v>347</v>
      </c>
      <c r="G11622" s="239" t="s">
        <v>94</v>
      </c>
      <c r="H11622" s="239" t="str" cm="1">
        <f t="array" ref="H11622">IFERROR(INDEX(INVESTOR_LIST[INVESTOR NAME],MATCH(I11622,INVESTOR_LIST[INVESTOR CODE],0),)," ")</f>
        <v xml:space="preserve"> </v>
      </c>
      <c r="I11622" s="262" t="s">
        <v>348</v>
      </c>
      <c r="J11622" s="240" t="s">
        <v>108</v>
      </c>
      <c r="K11622" s="241">
        <v>8024367.7599999979</v>
      </c>
      <c r="L11622" s="241"/>
    </row>
    <row r="11623" spans="1:13" x14ac:dyDescent="0.2">
      <c r="A11623" s="242">
        <v>2024</v>
      </c>
      <c r="B11623" s="242">
        <v>8</v>
      </c>
      <c r="C11623" s="242">
        <v>8</v>
      </c>
      <c r="D11623" s="270">
        <f t="shared" si="1672"/>
        <v>45512</v>
      </c>
      <c r="E11623" s="279">
        <f t="shared" si="1673"/>
        <v>45512</v>
      </c>
      <c r="F11623" s="478"/>
      <c r="G11623" s="243" t="s">
        <v>94</v>
      </c>
      <c r="H11623" s="243" t="str" cm="1">
        <f t="array" ref="H11623">IFERROR(INDEX(INVESTOR_LIST[INVESTOR NAME],MATCH(I11623,INVESTOR_LIST[INVESTOR CODE],0),)," ")</f>
        <v xml:space="preserve"> </v>
      </c>
      <c r="I11623" s="263" t="s">
        <v>348</v>
      </c>
      <c r="J11623" s="244" t="s">
        <v>82</v>
      </c>
      <c r="K11623" s="245"/>
      <c r="L11623" s="245">
        <f>K11622</f>
        <v>8024367.7599999979</v>
      </c>
    </row>
    <row r="11624" spans="1:13" ht="11.25" customHeight="1" x14ac:dyDescent="0.2">
      <c r="A11624" s="246">
        <v>2024</v>
      </c>
      <c r="B11624" s="238">
        <v>8</v>
      </c>
      <c r="C11624" s="238">
        <v>8</v>
      </c>
      <c r="D11624" s="270">
        <f t="shared" si="1672"/>
        <v>45512</v>
      </c>
      <c r="E11624" s="279">
        <f t="shared" si="1673"/>
        <v>45512</v>
      </c>
      <c r="F11624" s="482" t="s">
        <v>148</v>
      </c>
      <c r="G11624" s="247" t="s">
        <v>94</v>
      </c>
      <c r="H11624" s="247" t="str" cm="1">
        <f t="array" ref="H11624">IFERROR(INDEX(INVESTOR_LIST[INVESTOR NAME],MATCH(I11624,INVESTOR_LIST[INVESTOR CODE],0),)," ")</f>
        <v xml:space="preserve"> </v>
      </c>
      <c r="I11624" s="248" t="s">
        <v>348</v>
      </c>
      <c r="J11624" s="249" t="s">
        <v>95</v>
      </c>
      <c r="K11624" s="250">
        <v>2747.2527472527472</v>
      </c>
      <c r="L11624" s="241"/>
    </row>
    <row r="11625" spans="1:13" x14ac:dyDescent="0.2">
      <c r="A11625" s="242">
        <v>2024</v>
      </c>
      <c r="B11625" s="242">
        <v>8</v>
      </c>
      <c r="C11625" s="242">
        <v>8</v>
      </c>
      <c r="D11625" s="270">
        <f t="shared" si="1672"/>
        <v>45512</v>
      </c>
      <c r="E11625" s="279">
        <f t="shared" si="1673"/>
        <v>45512</v>
      </c>
      <c r="F11625" s="478"/>
      <c r="G11625" s="243" t="s">
        <v>94</v>
      </c>
      <c r="H11625" s="243" t="str" cm="1">
        <f t="array" ref="H11625">IFERROR(INDEX(INVESTOR_LIST[INVESTOR NAME],MATCH(I11625,INVESTOR_LIST[INVESTOR CODE],0),)," ")</f>
        <v xml:space="preserve"> </v>
      </c>
      <c r="I11625" s="263" t="s">
        <v>348</v>
      </c>
      <c r="J11625" s="244" t="s">
        <v>63</v>
      </c>
      <c r="K11625" s="245"/>
      <c r="L11625" s="245">
        <v>2747.2527472527472</v>
      </c>
    </row>
    <row r="11626" spans="1:13" x14ac:dyDescent="0.2">
      <c r="A11626" s="246">
        <v>2024</v>
      </c>
      <c r="B11626" s="238">
        <v>8</v>
      </c>
      <c r="C11626" s="238">
        <v>8</v>
      </c>
      <c r="D11626" s="270">
        <f t="shared" si="1672"/>
        <v>45512</v>
      </c>
      <c r="E11626" s="279">
        <f t="shared" si="1673"/>
        <v>45512</v>
      </c>
      <c r="F11626" s="482" t="s">
        <v>137</v>
      </c>
      <c r="G11626" s="247" t="s">
        <v>94</v>
      </c>
      <c r="H11626" s="247" t="str" cm="1">
        <f t="array" ref="H11626">IFERROR(INDEX(INVESTOR_LIST[INVESTOR NAME],MATCH(I11626,INVESTOR_LIST[INVESTOR CODE],0),)," ")</f>
        <v xml:space="preserve"> </v>
      </c>
      <c r="I11626" s="248" t="s">
        <v>348</v>
      </c>
      <c r="J11626" s="249" t="s">
        <v>97</v>
      </c>
      <c r="K11626" s="250">
        <f>M11626</f>
        <v>56474.287452544173</v>
      </c>
      <c r="L11626" s="252"/>
      <c r="M11626" s="264">
        <v>56474.287452544173</v>
      </c>
    </row>
    <row r="11627" spans="1:13" x14ac:dyDescent="0.2">
      <c r="A11627" s="242">
        <v>2024</v>
      </c>
      <c r="B11627" s="242">
        <v>8</v>
      </c>
      <c r="C11627" s="242">
        <v>8</v>
      </c>
      <c r="D11627" s="270">
        <f t="shared" si="1672"/>
        <v>45512</v>
      </c>
      <c r="E11627" s="279">
        <f t="shared" si="1673"/>
        <v>45512</v>
      </c>
      <c r="F11627" s="478"/>
      <c r="G11627" s="243" t="s">
        <v>94</v>
      </c>
      <c r="H11627" s="243" t="str" cm="1">
        <f t="array" ref="H11627">IFERROR(INDEX(INVESTOR_LIST[INVESTOR NAME],MATCH(I11627,INVESTOR_LIST[INVESTOR CODE],0),)," ")</f>
        <v xml:space="preserve"> </v>
      </c>
      <c r="I11627" s="263" t="s">
        <v>348</v>
      </c>
      <c r="J11627" s="244" t="s">
        <v>47</v>
      </c>
      <c r="K11627" s="245"/>
      <c r="L11627" s="245">
        <f>K11626</f>
        <v>56474.287452544173</v>
      </c>
      <c r="M11627" s="264">
        <v>2583.329757242594</v>
      </c>
    </row>
    <row r="11628" spans="1:13" x14ac:dyDescent="0.2">
      <c r="A11628" s="246">
        <v>2024</v>
      </c>
      <c r="B11628" s="238">
        <v>8</v>
      </c>
      <c r="C11628" s="238">
        <v>8</v>
      </c>
      <c r="D11628" s="270">
        <f t="shared" si="1672"/>
        <v>45512</v>
      </c>
      <c r="E11628" s="279">
        <f t="shared" si="1673"/>
        <v>45512</v>
      </c>
      <c r="F11628" s="482" t="s">
        <v>138</v>
      </c>
      <c r="G11628" s="247" t="s">
        <v>94</v>
      </c>
      <c r="H11628" s="247" t="str" cm="1">
        <f t="array" ref="H11628">IFERROR(INDEX(INVESTOR_LIST[INVESTOR NAME],MATCH(I11628,INVESTOR_LIST[INVESTOR CODE],0),)," ")</f>
        <v xml:space="preserve"> </v>
      </c>
      <c r="I11628" s="248" t="s">
        <v>348</v>
      </c>
      <c r="J11628" s="249" t="s">
        <v>100</v>
      </c>
      <c r="K11628" s="250">
        <f>M11627</f>
        <v>2583.329757242594</v>
      </c>
      <c r="L11628" s="252"/>
    </row>
    <row r="11629" spans="1:13" x14ac:dyDescent="0.2">
      <c r="A11629" s="242">
        <v>2024</v>
      </c>
      <c r="B11629" s="242">
        <v>8</v>
      </c>
      <c r="C11629" s="242">
        <v>8</v>
      </c>
      <c r="D11629" s="321">
        <f t="shared" si="1672"/>
        <v>45512</v>
      </c>
      <c r="E11629" s="322">
        <f t="shared" si="1673"/>
        <v>45512</v>
      </c>
      <c r="F11629" s="478"/>
      <c r="G11629" s="243" t="s">
        <v>94</v>
      </c>
      <c r="H11629" s="243" t="str" cm="1">
        <f t="array" ref="H11629">IFERROR(INDEX(INVESTOR_LIST[INVESTOR NAME],MATCH(I11629,INVESTOR_LIST[INVESTOR CODE],0),)," ")</f>
        <v xml:space="preserve"> </v>
      </c>
      <c r="I11629" s="263" t="s">
        <v>348</v>
      </c>
      <c r="J11629" s="244" t="s">
        <v>48</v>
      </c>
      <c r="K11629" s="245"/>
      <c r="L11629" s="245">
        <f>K11628</f>
        <v>2583.329757242594</v>
      </c>
    </row>
    <row r="11630" spans="1:13" ht="56.25" x14ac:dyDescent="0.2">
      <c r="A11630" s="168">
        <v>2024</v>
      </c>
      <c r="B11630" s="168">
        <v>8</v>
      </c>
      <c r="C11630" s="168">
        <v>11</v>
      </c>
      <c r="D11630" s="141">
        <f t="shared" ref="D11630:D11632" si="1688">DATE(A11630,B11630,C11630)</f>
        <v>45515</v>
      </c>
      <c r="E11630" s="275">
        <f t="shared" ref="E11630:E11632" si="1689">DATE(A11630,B11630,C11630)</f>
        <v>45515</v>
      </c>
      <c r="F11630" s="479" t="s">
        <v>964</v>
      </c>
      <c r="G11630" s="220" t="s">
        <v>74</v>
      </c>
      <c r="H11630" s="142" t="str" cm="1">
        <f t="array" ref="H11630">IFERROR(INDEX(INVESTOR_LIST[INVESTOR NAME],MATCH(I11630,INVESTOR_LIST[INVESTOR CODE],0),)," ")</f>
        <v>MUHAMMAD SHOHIDUZZAMAN</v>
      </c>
      <c r="I11630" s="142" t="s">
        <v>1663</v>
      </c>
      <c r="J11630" s="168" t="s">
        <v>52</v>
      </c>
      <c r="K11630" s="226">
        <v>2000000</v>
      </c>
      <c r="L11630" s="226"/>
    </row>
    <row r="11631" spans="1:13" ht="56.25" x14ac:dyDescent="0.2">
      <c r="A11631" s="133">
        <v>2024</v>
      </c>
      <c r="B11631" s="133">
        <v>8</v>
      </c>
      <c r="C11631" s="133">
        <v>11</v>
      </c>
      <c r="D11631" s="141">
        <f t="shared" si="1688"/>
        <v>45515</v>
      </c>
      <c r="E11631" s="275">
        <f t="shared" si="1689"/>
        <v>45515</v>
      </c>
      <c r="F11631" s="481"/>
      <c r="G11631" s="174" t="s">
        <v>74</v>
      </c>
      <c r="H11631" s="148" t="str" cm="1">
        <f t="array" ref="H11631">IFERROR(INDEX(INVESTOR_LIST[INVESTOR NAME],MATCH(I11631,INVESTOR_LIST[INVESTOR CODE],0),)," ")</f>
        <v>MUHAMMAD SHOHIDUZZAMAN</v>
      </c>
      <c r="I11631" s="148" t="s">
        <v>1663</v>
      </c>
      <c r="J11631" s="133" t="s">
        <v>13</v>
      </c>
      <c r="K11631" s="218"/>
      <c r="L11631" s="218">
        <v>1663480</v>
      </c>
    </row>
    <row r="11632" spans="1:13" ht="56.25" x14ac:dyDescent="0.2">
      <c r="A11632" s="163">
        <v>2024</v>
      </c>
      <c r="B11632" s="163">
        <v>8</v>
      </c>
      <c r="C11632" s="163">
        <v>11</v>
      </c>
      <c r="D11632" s="280">
        <f t="shared" si="1688"/>
        <v>45515</v>
      </c>
      <c r="E11632" s="281">
        <f t="shared" si="1689"/>
        <v>45515</v>
      </c>
      <c r="F11632" s="480"/>
      <c r="G11632" s="221" t="s">
        <v>74</v>
      </c>
      <c r="H11632" s="145" t="str" cm="1">
        <f t="array" ref="H11632">IFERROR(INDEX(INVESTOR_LIST[INVESTOR NAME],MATCH(I11632,INVESTOR_LIST[INVESTOR CODE],0),)," ")</f>
        <v>MUHAMMAD SHOHIDUZZAMAN</v>
      </c>
      <c r="I11632" s="145" t="s">
        <v>1663</v>
      </c>
      <c r="J11632" s="163" t="s">
        <v>53</v>
      </c>
      <c r="K11632" s="219"/>
      <c r="L11632" s="219">
        <v>336520</v>
      </c>
    </row>
    <row r="11633" spans="1:13" ht="11.25" customHeight="1" x14ac:dyDescent="0.2">
      <c r="A11633" s="168">
        <v>2024</v>
      </c>
      <c r="B11633" s="168">
        <v>8</v>
      </c>
      <c r="C11633" s="168">
        <v>11</v>
      </c>
      <c r="D11633" s="141">
        <f>DATE(A11633,B11633,C11633)</f>
        <v>45515</v>
      </c>
      <c r="E11633" s="275">
        <f>DATE(A11633,B11633,C11633)</f>
        <v>45515</v>
      </c>
      <c r="F11633" s="479" t="s">
        <v>1768</v>
      </c>
      <c r="G11633" s="220" t="s">
        <v>74</v>
      </c>
      <c r="H11633" s="220" t="str" cm="1">
        <f t="array" ref="H11633">IFERROR(INDEX(INVESTOR_LIST[INVESTOR NAME],MATCH(I11633,INVESTOR_LIST[INVESTOR CODE],0),)," ")</f>
        <v xml:space="preserve"> </v>
      </c>
      <c r="I11633" s="142"/>
      <c r="J11633" s="143" t="s">
        <v>147</v>
      </c>
      <c r="K11633" s="226">
        <v>15703493.1</v>
      </c>
      <c r="L11633" s="226"/>
    </row>
    <row r="11634" spans="1:13" x14ac:dyDescent="0.2">
      <c r="A11634" s="163">
        <v>2024</v>
      </c>
      <c r="B11634" s="163">
        <v>8</v>
      </c>
      <c r="C11634" s="163">
        <v>11</v>
      </c>
      <c r="D11634" s="280">
        <f>DATE(A11634,B11634,C11634)</f>
        <v>45515</v>
      </c>
      <c r="E11634" s="281">
        <f>DATE(A11634,B11634,C11634)</f>
        <v>45515</v>
      </c>
      <c r="F11634" s="480"/>
      <c r="G11634" s="221" t="s">
        <v>74</v>
      </c>
      <c r="H11634" s="221" t="str" cm="1">
        <f t="array" ref="H11634">IFERROR(INDEX(INVESTOR_LIST[INVESTOR NAME],MATCH(I11634,INVESTOR_LIST[INVESTOR CODE],0),)," ")</f>
        <v xml:space="preserve"> </v>
      </c>
      <c r="I11634" s="145" t="s">
        <v>348</v>
      </c>
      <c r="J11634" s="146" t="s">
        <v>52</v>
      </c>
      <c r="K11634" s="219"/>
      <c r="L11634" s="219">
        <v>15703493.1</v>
      </c>
    </row>
    <row r="11635" spans="1:13" x14ac:dyDescent="0.2">
      <c r="A11635" s="133">
        <v>2024</v>
      </c>
      <c r="B11635" s="168">
        <v>8</v>
      </c>
      <c r="C11635" s="168">
        <v>11</v>
      </c>
      <c r="D11635" s="141">
        <f>DATE(A11635,B11635,C11635)</f>
        <v>45515</v>
      </c>
      <c r="E11635" s="275">
        <f>DATE(A11635,B11635,C11635)</f>
        <v>45515</v>
      </c>
      <c r="F11635" s="479" t="s">
        <v>1943</v>
      </c>
      <c r="G11635" s="174" t="s">
        <v>74</v>
      </c>
      <c r="H11635" s="148" t="str" cm="1">
        <f t="array" ref="H11635">IFERROR(INDEX(INVESTOR_LIST[INVESTOR NAME],MATCH(I11635,INVESTOR_LIST[INVESTOR CODE],0),)," ")</f>
        <v xml:space="preserve"> </v>
      </c>
      <c r="I11635" s="148" t="s">
        <v>348</v>
      </c>
      <c r="J11635" s="133" t="s">
        <v>61</v>
      </c>
      <c r="K11635" s="172">
        <v>100</v>
      </c>
    </row>
    <row r="11636" spans="1:13" x14ac:dyDescent="0.2">
      <c r="A11636" s="163">
        <v>2024</v>
      </c>
      <c r="B11636" s="163">
        <v>8</v>
      </c>
      <c r="C11636" s="163">
        <v>11</v>
      </c>
      <c r="D11636" s="280">
        <f>DATE(A11636,B11636,C11636)</f>
        <v>45515</v>
      </c>
      <c r="E11636" s="281">
        <f>DATE(A11636,B11636,C11636)</f>
        <v>45515</v>
      </c>
      <c r="F11636" s="480"/>
      <c r="G11636" s="221" t="s">
        <v>74</v>
      </c>
      <c r="H11636" s="145" t="str" cm="1">
        <f t="array" ref="H11636">IFERROR(INDEX(INVESTOR_LIST[INVESTOR NAME],MATCH(I11636,INVESTOR_LIST[INVESTOR CODE],0),)," ")</f>
        <v xml:space="preserve"> </v>
      </c>
      <c r="I11636" s="145" t="s">
        <v>348</v>
      </c>
      <c r="J11636" s="163" t="s">
        <v>52</v>
      </c>
      <c r="K11636" s="219"/>
      <c r="L11636" s="219">
        <v>100</v>
      </c>
    </row>
    <row r="11637" spans="1:13" x14ac:dyDescent="0.2">
      <c r="A11637" s="133">
        <v>2024</v>
      </c>
      <c r="B11637" s="133">
        <v>8</v>
      </c>
      <c r="C11637" s="133">
        <v>11</v>
      </c>
      <c r="D11637" s="141">
        <f t="shared" si="1672"/>
        <v>45515</v>
      </c>
      <c r="E11637" s="275">
        <f t="shared" si="1673"/>
        <v>45515</v>
      </c>
      <c r="F11637" s="481" t="s">
        <v>1971</v>
      </c>
      <c r="G11637" s="174" t="s">
        <v>94</v>
      </c>
      <c r="H11637" s="174" t="str" cm="1">
        <f t="array" ref="H11637">IFERROR(INDEX(INVESTOR_LIST[INVESTOR NAME],MATCH(I11637,INVESTOR_LIST[INVESTOR CODE],0),)," ")</f>
        <v xml:space="preserve"> </v>
      </c>
      <c r="J11637" s="149" t="s">
        <v>79</v>
      </c>
      <c r="K11637" s="218">
        <v>4492594.9000000004</v>
      </c>
      <c r="L11637" s="218"/>
      <c r="M11637" s="160"/>
    </row>
    <row r="11638" spans="1:13" x14ac:dyDescent="0.2">
      <c r="A11638" s="133">
        <v>2024</v>
      </c>
      <c r="B11638" s="133">
        <v>8</v>
      </c>
      <c r="C11638" s="133">
        <v>11</v>
      </c>
      <c r="D11638" s="141">
        <f t="shared" si="1672"/>
        <v>45515</v>
      </c>
      <c r="E11638" s="275">
        <f t="shared" si="1673"/>
        <v>45515</v>
      </c>
      <c r="F11638" s="481"/>
      <c r="G11638" s="174" t="s">
        <v>94</v>
      </c>
      <c r="H11638" s="174" t="str" cm="1">
        <f t="array" ref="H11638">IFERROR(INDEX(INVESTOR_LIST[INVESTOR NAME],MATCH(I11638,INVESTOR_LIST[INVESTOR CODE],0),)," ")</f>
        <v xml:space="preserve"> </v>
      </c>
      <c r="J11638" s="149" t="s">
        <v>80</v>
      </c>
      <c r="K11638" s="218">
        <v>17052.5</v>
      </c>
      <c r="L11638" s="133"/>
    </row>
    <row r="11639" spans="1:13" x14ac:dyDescent="0.2">
      <c r="A11639" s="133">
        <v>2024</v>
      </c>
      <c r="B11639" s="133">
        <v>8</v>
      </c>
      <c r="C11639" s="133">
        <v>11</v>
      </c>
      <c r="D11639" s="141">
        <f t="shared" si="1672"/>
        <v>45515</v>
      </c>
      <c r="E11639" s="275">
        <f t="shared" si="1673"/>
        <v>45515</v>
      </c>
      <c r="F11639" s="481"/>
      <c r="G11639" s="174" t="s">
        <v>94</v>
      </c>
      <c r="H11639" s="174" t="str" cm="1">
        <f t="array" ref="H11639">IFERROR(INDEX(INVESTOR_LIST[INVESTOR NAME],MATCH(I11639,INVESTOR_LIST[INVESTOR CODE],0),)," ")</f>
        <v xml:space="preserve"> </v>
      </c>
      <c r="J11639" s="149" t="s">
        <v>190</v>
      </c>
      <c r="K11639" s="218">
        <v>471265</v>
      </c>
      <c r="L11639" s="218"/>
    </row>
    <row r="11640" spans="1:13" x14ac:dyDescent="0.2">
      <c r="A11640" s="133">
        <v>2024</v>
      </c>
      <c r="B11640" s="133">
        <v>8</v>
      </c>
      <c r="C11640" s="133">
        <v>11</v>
      </c>
      <c r="D11640" s="141">
        <f t="shared" si="1672"/>
        <v>45515</v>
      </c>
      <c r="E11640" s="275">
        <f t="shared" si="1673"/>
        <v>45515</v>
      </c>
      <c r="F11640" s="481"/>
      <c r="G11640" s="174" t="s">
        <v>94</v>
      </c>
      <c r="H11640" s="174" t="str" cm="1">
        <f t="array" ref="H11640">IFERROR(INDEX(INVESTOR_LIST[INVESTOR NAME],MATCH(I11640,INVESTOR_LIST[INVESTOR CODE],0),)," ")</f>
        <v xml:space="preserve"> </v>
      </c>
      <c r="J11640" s="149" t="s">
        <v>191</v>
      </c>
      <c r="K11640" s="218"/>
      <c r="L11640" s="218">
        <v>1062734.3899999999</v>
      </c>
    </row>
    <row r="11641" spans="1:13" x14ac:dyDescent="0.2">
      <c r="A11641" s="163">
        <v>2024</v>
      </c>
      <c r="B11641" s="163">
        <v>8</v>
      </c>
      <c r="C11641" s="163">
        <v>11</v>
      </c>
      <c r="D11641" s="280">
        <f t="shared" si="1672"/>
        <v>45515</v>
      </c>
      <c r="E11641" s="281">
        <f t="shared" si="1673"/>
        <v>45515</v>
      </c>
      <c r="F11641" s="480"/>
      <c r="G11641" s="221" t="s">
        <v>94</v>
      </c>
      <c r="H11641" s="145" t="str" cm="1">
        <f t="array" ref="H11641">IFERROR(INDEX(INVESTOR_LIST[INVESTOR NAME],MATCH(I11641,INVESTOR_LIST[INVESTOR CODE],0),)," ")</f>
        <v xml:space="preserve"> </v>
      </c>
      <c r="I11641" s="145"/>
      <c r="J11641" s="163" t="s">
        <v>79</v>
      </c>
      <c r="K11641" s="219"/>
      <c r="L11641" s="219">
        <v>3918178.01</v>
      </c>
    </row>
    <row r="11642" spans="1:13" x14ac:dyDescent="0.2">
      <c r="A11642" s="133">
        <v>2024</v>
      </c>
      <c r="B11642" s="133">
        <v>8</v>
      </c>
      <c r="C11642" s="133">
        <v>12</v>
      </c>
      <c r="D11642" s="141">
        <f t="shared" ref="D11642:D11646" si="1690">DATE(A11642,B11642,C11642)</f>
        <v>45516</v>
      </c>
      <c r="E11642" s="275">
        <f t="shared" ref="E11642:E11646" si="1691">DATE(A11642,B11642,C11642)</f>
        <v>45516</v>
      </c>
      <c r="F11642" s="481" t="s">
        <v>1971</v>
      </c>
      <c r="G11642" s="174" t="s">
        <v>94</v>
      </c>
      <c r="H11642" s="174" t="str" cm="1">
        <f t="array" ref="H11642">IFERROR(INDEX(INVESTOR_LIST[INVESTOR NAME],MATCH(I11642,INVESTOR_LIST[INVESTOR CODE],0),)," ")</f>
        <v xml:space="preserve"> </v>
      </c>
      <c r="J11642" s="149" t="s">
        <v>79</v>
      </c>
      <c r="K11642" s="218">
        <v>1485805.9</v>
      </c>
      <c r="L11642" s="218"/>
      <c r="M11642" s="160"/>
    </row>
    <row r="11643" spans="1:13" x14ac:dyDescent="0.2">
      <c r="A11643" s="133">
        <v>2024</v>
      </c>
      <c r="B11643" s="133">
        <v>8</v>
      </c>
      <c r="C11643" s="133">
        <v>12</v>
      </c>
      <c r="D11643" s="141">
        <f t="shared" si="1690"/>
        <v>45516</v>
      </c>
      <c r="E11643" s="275">
        <f t="shared" si="1691"/>
        <v>45516</v>
      </c>
      <c r="F11643" s="481"/>
      <c r="G11643" s="174" t="s">
        <v>94</v>
      </c>
      <c r="H11643" s="174" t="str" cm="1">
        <f t="array" ref="H11643">IFERROR(INDEX(INVESTOR_LIST[INVESTOR NAME],MATCH(I11643,INVESTOR_LIST[INVESTOR CODE],0),)," ")</f>
        <v xml:space="preserve"> </v>
      </c>
      <c r="J11643" s="149" t="s">
        <v>80</v>
      </c>
      <c r="K11643" s="218">
        <v>26263.9</v>
      </c>
      <c r="L11643" s="133"/>
    </row>
    <row r="11644" spans="1:13" x14ac:dyDescent="0.2">
      <c r="A11644" s="133">
        <v>2024</v>
      </c>
      <c r="B11644" s="133">
        <v>8</v>
      </c>
      <c r="C11644" s="133">
        <v>12</v>
      </c>
      <c r="D11644" s="141">
        <f t="shared" si="1690"/>
        <v>45516</v>
      </c>
      <c r="E11644" s="275">
        <f t="shared" si="1691"/>
        <v>45516</v>
      </c>
      <c r="F11644" s="481"/>
      <c r="G11644" s="174" t="s">
        <v>94</v>
      </c>
      <c r="H11644" s="174" t="str" cm="1">
        <f t="array" ref="H11644">IFERROR(INDEX(INVESTOR_LIST[INVESTOR NAME],MATCH(I11644,INVESTOR_LIST[INVESTOR CODE],0),)," ")</f>
        <v xml:space="preserve"> </v>
      </c>
      <c r="J11644" s="149" t="s">
        <v>190</v>
      </c>
      <c r="K11644" s="218">
        <v>11592830</v>
      </c>
      <c r="L11644" s="218"/>
    </row>
    <row r="11645" spans="1:13" x14ac:dyDescent="0.2">
      <c r="A11645" s="133">
        <v>2024</v>
      </c>
      <c r="B11645" s="133">
        <v>8</v>
      </c>
      <c r="C11645" s="133">
        <v>12</v>
      </c>
      <c r="D11645" s="141">
        <f t="shared" si="1690"/>
        <v>45516</v>
      </c>
      <c r="E11645" s="275">
        <f t="shared" si="1691"/>
        <v>45516</v>
      </c>
      <c r="F11645" s="481"/>
      <c r="G11645" s="174" t="s">
        <v>94</v>
      </c>
      <c r="H11645" s="174" t="str" cm="1">
        <f t="array" ref="H11645">IFERROR(INDEX(INVESTOR_LIST[INVESTOR NAME],MATCH(I11645,INVESTOR_LIST[INVESTOR CODE],0),)," ")</f>
        <v xml:space="preserve"> </v>
      </c>
      <c r="J11645" s="149" t="s">
        <v>191</v>
      </c>
      <c r="K11645" s="218"/>
      <c r="L11645" s="218">
        <v>1501845.06</v>
      </c>
    </row>
    <row r="11646" spans="1:13" x14ac:dyDescent="0.2">
      <c r="A11646" s="163">
        <v>2024</v>
      </c>
      <c r="B11646" s="163">
        <v>8</v>
      </c>
      <c r="C11646" s="163">
        <v>12</v>
      </c>
      <c r="D11646" s="280">
        <f t="shared" si="1690"/>
        <v>45516</v>
      </c>
      <c r="E11646" s="281">
        <f t="shared" si="1691"/>
        <v>45516</v>
      </c>
      <c r="F11646" s="480"/>
      <c r="G11646" s="221" t="s">
        <v>94</v>
      </c>
      <c r="H11646" s="145" t="str" cm="1">
        <f t="array" ref="H11646">IFERROR(INDEX(INVESTOR_LIST[INVESTOR NAME],MATCH(I11646,INVESTOR_LIST[INVESTOR CODE],0),)," ")</f>
        <v xml:space="preserve"> </v>
      </c>
      <c r="I11646" s="145"/>
      <c r="J11646" s="163" t="s">
        <v>79</v>
      </c>
      <c r="K11646" s="219"/>
      <c r="L11646" s="219">
        <v>11603054.74</v>
      </c>
    </row>
    <row r="11647" spans="1:13" x14ac:dyDescent="0.2">
      <c r="A11647" s="133">
        <v>2024</v>
      </c>
      <c r="B11647" s="168">
        <v>8</v>
      </c>
      <c r="C11647" s="168">
        <v>12</v>
      </c>
      <c r="D11647" s="141">
        <f>DATE(A11647,B11647,C11647)</f>
        <v>45516</v>
      </c>
      <c r="E11647" s="275">
        <f>DATE(A11647,B11647,C11647)</f>
        <v>45516</v>
      </c>
      <c r="F11647" s="479" t="s">
        <v>1950</v>
      </c>
      <c r="G11647" s="174" t="s">
        <v>74</v>
      </c>
      <c r="H11647" s="148" t="str" cm="1">
        <f t="array" ref="H11647">IFERROR(INDEX(INVESTOR_LIST[INVESTOR NAME],MATCH(I11647,INVESTOR_LIST[INVESTOR CODE],0),)," ")</f>
        <v xml:space="preserve"> </v>
      </c>
      <c r="I11647" s="148" t="s">
        <v>348</v>
      </c>
      <c r="J11647" s="133" t="s">
        <v>61</v>
      </c>
      <c r="K11647" s="172">
        <v>100</v>
      </c>
    </row>
    <row r="11648" spans="1:13" x14ac:dyDescent="0.2">
      <c r="A11648" s="163">
        <v>2024</v>
      </c>
      <c r="B11648" s="163">
        <v>8</v>
      </c>
      <c r="C11648" s="163">
        <v>12</v>
      </c>
      <c r="D11648" s="280">
        <f>DATE(A11648,B11648,C11648)</f>
        <v>45516</v>
      </c>
      <c r="E11648" s="281">
        <f>DATE(A11648,B11648,C11648)</f>
        <v>45516</v>
      </c>
      <c r="F11648" s="480"/>
      <c r="G11648" s="221" t="s">
        <v>74</v>
      </c>
      <c r="H11648" s="145" t="str" cm="1">
        <f t="array" ref="H11648">IFERROR(INDEX(INVESTOR_LIST[INVESTOR NAME],MATCH(I11648,INVESTOR_LIST[INVESTOR CODE],0),)," ")</f>
        <v xml:space="preserve"> </v>
      </c>
      <c r="I11648" s="145" t="s">
        <v>348</v>
      </c>
      <c r="J11648" s="163" t="s">
        <v>52</v>
      </c>
      <c r="K11648" s="219"/>
      <c r="L11648" s="219">
        <v>100</v>
      </c>
    </row>
    <row r="11649" spans="1:17" ht="11.25" customHeight="1" x14ac:dyDescent="0.2">
      <c r="A11649" s="168">
        <v>2024</v>
      </c>
      <c r="B11649" s="168">
        <v>8</v>
      </c>
      <c r="C11649" s="168">
        <v>13</v>
      </c>
      <c r="D11649" s="141">
        <f>DATE(A11649,B11649,C11649)</f>
        <v>45517</v>
      </c>
      <c r="E11649" s="275">
        <f>DATE(A11649,B11649,C11649)</f>
        <v>45517</v>
      </c>
      <c r="F11649" s="479" t="s">
        <v>1757</v>
      </c>
      <c r="G11649" s="220" t="s">
        <v>74</v>
      </c>
      <c r="H11649" s="220" t="str" cm="1">
        <f t="array" ref="H11649">IFERROR(INDEX(INVESTOR_LIST[INVESTOR NAME],MATCH(I11649,INVESTOR_LIST[INVESTOR CODE],0),)," ")</f>
        <v xml:space="preserve"> </v>
      </c>
      <c r="I11649" s="142"/>
      <c r="J11649" s="143" t="s">
        <v>52</v>
      </c>
      <c r="K11649" s="226">
        <v>471265</v>
      </c>
      <c r="L11649" s="226"/>
    </row>
    <row r="11650" spans="1:17" x14ac:dyDescent="0.2">
      <c r="A11650" s="163">
        <v>2024</v>
      </c>
      <c r="B11650" s="163">
        <v>8</v>
      </c>
      <c r="C11650" s="163">
        <v>13</v>
      </c>
      <c r="D11650" s="280">
        <f>DATE(A11650,B11650,C11650)</f>
        <v>45517</v>
      </c>
      <c r="E11650" s="281">
        <f>DATE(A11650,B11650,C11650)</f>
        <v>45517</v>
      </c>
      <c r="F11650" s="480"/>
      <c r="G11650" s="221" t="s">
        <v>74</v>
      </c>
      <c r="H11650" s="221" t="str" cm="1">
        <f t="array" ref="H11650">IFERROR(INDEX(INVESTOR_LIST[INVESTOR NAME],MATCH(I11650,INVESTOR_LIST[INVESTOR CODE],0),)," ")</f>
        <v xml:space="preserve"> </v>
      </c>
      <c r="I11650" s="145"/>
      <c r="J11650" s="146" t="s">
        <v>190</v>
      </c>
      <c r="K11650" s="219"/>
      <c r="L11650" s="219">
        <v>471265</v>
      </c>
    </row>
    <row r="11651" spans="1:17" x14ac:dyDescent="0.2">
      <c r="A11651" s="133">
        <v>2024</v>
      </c>
      <c r="B11651" s="133">
        <v>8</v>
      </c>
      <c r="C11651" s="133">
        <v>13</v>
      </c>
      <c r="D11651" s="141">
        <f t="shared" ref="D11651:D11657" si="1692">DATE(A11651,B11651,C11651)</f>
        <v>45517</v>
      </c>
      <c r="E11651" s="275">
        <f t="shared" ref="E11651:E11657" si="1693">DATE(A11651,B11651,C11651)</f>
        <v>45517</v>
      </c>
      <c r="F11651" s="481" t="s">
        <v>1971</v>
      </c>
      <c r="G11651" s="174" t="s">
        <v>94</v>
      </c>
      <c r="H11651" s="174" t="str" cm="1">
        <f t="array" ref="H11651">IFERROR(INDEX(INVESTOR_LIST[INVESTOR NAME],MATCH(I11651,INVESTOR_LIST[INVESTOR CODE],0),)," ")</f>
        <v xml:space="preserve"> </v>
      </c>
      <c r="J11651" s="149" t="s">
        <v>79</v>
      </c>
      <c r="K11651" s="218">
        <v>4614988</v>
      </c>
      <c r="L11651" s="218"/>
      <c r="M11651" s="160"/>
    </row>
    <row r="11652" spans="1:17" x14ac:dyDescent="0.2">
      <c r="A11652" s="133">
        <v>2024</v>
      </c>
      <c r="B11652" s="133">
        <v>8</v>
      </c>
      <c r="C11652" s="133">
        <v>13</v>
      </c>
      <c r="D11652" s="141">
        <f t="shared" si="1692"/>
        <v>45517</v>
      </c>
      <c r="E11652" s="275">
        <f t="shared" si="1693"/>
        <v>45517</v>
      </c>
      <c r="F11652" s="481"/>
      <c r="G11652" s="174" t="s">
        <v>94</v>
      </c>
      <c r="H11652" s="174" t="str" cm="1">
        <f t="array" ref="H11652">IFERROR(INDEX(INVESTOR_LIST[INVESTOR NAME],MATCH(I11652,INVESTOR_LIST[INVESTOR CODE],0),)," ")</f>
        <v xml:space="preserve"> </v>
      </c>
      <c r="J11652" s="149" t="s">
        <v>80</v>
      </c>
      <c r="K11652" s="218">
        <v>28331.5</v>
      </c>
      <c r="L11652" s="133"/>
    </row>
    <row r="11653" spans="1:17" x14ac:dyDescent="0.2">
      <c r="A11653" s="133">
        <v>2024</v>
      </c>
      <c r="B11653" s="133">
        <v>8</v>
      </c>
      <c r="C11653" s="133">
        <v>13</v>
      </c>
      <c r="D11653" s="141">
        <f t="shared" si="1692"/>
        <v>45517</v>
      </c>
      <c r="E11653" s="275">
        <f t="shared" si="1693"/>
        <v>45517</v>
      </c>
      <c r="F11653" s="481"/>
      <c r="G11653" s="174" t="s">
        <v>94</v>
      </c>
      <c r="H11653" s="174" t="str" cm="1">
        <f t="array" ref="H11653">IFERROR(INDEX(INVESTOR_LIST[INVESTOR NAME],MATCH(I11653,INVESTOR_LIST[INVESTOR CODE],0),)," ")</f>
        <v xml:space="preserve"> </v>
      </c>
      <c r="J11653" s="149" t="s">
        <v>190</v>
      </c>
      <c r="K11653" s="218">
        <v>6481308</v>
      </c>
      <c r="L11653" s="218"/>
    </row>
    <row r="11654" spans="1:17" x14ac:dyDescent="0.2">
      <c r="A11654" s="133">
        <v>2024</v>
      </c>
      <c r="B11654" s="133">
        <v>8</v>
      </c>
      <c r="C11654" s="133">
        <v>13</v>
      </c>
      <c r="D11654" s="141">
        <f t="shared" si="1692"/>
        <v>45517</v>
      </c>
      <c r="E11654" s="275">
        <f t="shared" si="1693"/>
        <v>45517</v>
      </c>
      <c r="F11654" s="481"/>
      <c r="G11654" s="174" t="s">
        <v>94</v>
      </c>
      <c r="H11654" s="174" t="str" cm="1">
        <f t="array" ref="H11654">IFERROR(INDEX(INVESTOR_LIST[INVESTOR NAME],MATCH(I11654,INVESTOR_LIST[INVESTOR CODE],0),)," ")</f>
        <v xml:space="preserve"> </v>
      </c>
      <c r="J11654" s="149" t="s">
        <v>191</v>
      </c>
      <c r="K11654" s="218">
        <v>153182.87</v>
      </c>
      <c r="L11654" s="218"/>
    </row>
    <row r="11655" spans="1:17" x14ac:dyDescent="0.2">
      <c r="A11655" s="163">
        <v>2024</v>
      </c>
      <c r="B11655" s="163">
        <v>8</v>
      </c>
      <c r="C11655" s="163">
        <v>13</v>
      </c>
      <c r="D11655" s="280">
        <f t="shared" si="1692"/>
        <v>45517</v>
      </c>
      <c r="E11655" s="281">
        <f t="shared" si="1693"/>
        <v>45517</v>
      </c>
      <c r="F11655" s="480"/>
      <c r="G11655" s="221" t="s">
        <v>94</v>
      </c>
      <c r="H11655" s="145" t="str" cm="1">
        <f t="array" ref="H11655">IFERROR(INDEX(INVESTOR_LIST[INVESTOR NAME],MATCH(I11655,INVESTOR_LIST[INVESTOR CODE],0),)," ")</f>
        <v xml:space="preserve"> </v>
      </c>
      <c r="I11655" s="145"/>
      <c r="J11655" s="163" t="s">
        <v>79</v>
      </c>
      <c r="K11655" s="219"/>
      <c r="L11655" s="219">
        <v>11277810.369999999</v>
      </c>
    </row>
    <row r="11656" spans="1:17" x14ac:dyDescent="0.2">
      <c r="A11656" s="133">
        <v>2024</v>
      </c>
      <c r="B11656" s="133">
        <v>8</v>
      </c>
      <c r="C11656" s="168">
        <v>13</v>
      </c>
      <c r="D11656" s="141">
        <f t="shared" si="1692"/>
        <v>45517</v>
      </c>
      <c r="E11656" s="275">
        <f t="shared" si="1693"/>
        <v>45517</v>
      </c>
      <c r="F11656" s="479" t="s">
        <v>1949</v>
      </c>
      <c r="G11656" s="174" t="s">
        <v>74</v>
      </c>
      <c r="H11656" s="148" t="str" cm="1">
        <f t="array" ref="H11656">IFERROR(INDEX(INVESTOR_LIST[INVESTOR NAME],MATCH(I11656,INVESTOR_LIST[INVESTOR CODE],0),)," ")</f>
        <v xml:space="preserve"> </v>
      </c>
      <c r="I11656" s="148" t="s">
        <v>348</v>
      </c>
      <c r="J11656" s="133" t="s">
        <v>52</v>
      </c>
      <c r="K11656" s="172">
        <v>21874.81</v>
      </c>
    </row>
    <row r="11657" spans="1:17" x14ac:dyDescent="0.2">
      <c r="A11657" s="163">
        <v>2024</v>
      </c>
      <c r="B11657" s="163">
        <v>8</v>
      </c>
      <c r="C11657" s="163">
        <v>13</v>
      </c>
      <c r="D11657" s="280">
        <f t="shared" si="1692"/>
        <v>45517</v>
      </c>
      <c r="E11657" s="281">
        <f t="shared" si="1693"/>
        <v>45517</v>
      </c>
      <c r="F11657" s="480"/>
      <c r="G11657" s="221" t="s">
        <v>74</v>
      </c>
      <c r="H11657" s="145" t="str" cm="1">
        <f t="array" ref="H11657">IFERROR(INDEX(INVESTOR_LIST[INVESTOR NAME],MATCH(I11657,INVESTOR_LIST[INVESTOR CODE],0),)," ")</f>
        <v xml:space="preserve"> </v>
      </c>
      <c r="I11657" s="145" t="s">
        <v>348</v>
      </c>
      <c r="J11657" s="163" t="s">
        <v>60</v>
      </c>
      <c r="K11657" s="219"/>
      <c r="L11657" s="219">
        <v>21874.81</v>
      </c>
    </row>
    <row r="11658" spans="1:17" x14ac:dyDescent="0.2">
      <c r="A11658" s="133">
        <v>2024</v>
      </c>
      <c r="B11658" s="133">
        <v>8</v>
      </c>
      <c r="C11658" s="133">
        <v>14</v>
      </c>
      <c r="D11658" s="141">
        <f t="shared" ref="D11658:D11664" si="1694">DATE(A11658,B11658,C11658)</f>
        <v>45518</v>
      </c>
      <c r="E11658" s="275">
        <f t="shared" ref="E11658:E11664" si="1695">DATE(A11658,B11658,C11658)</f>
        <v>45518</v>
      </c>
      <c r="F11658" s="481" t="s">
        <v>1971</v>
      </c>
      <c r="G11658" s="174" t="s">
        <v>94</v>
      </c>
      <c r="H11658" s="174" t="str" cm="1">
        <f t="array" ref="H11658">IFERROR(INDEX(INVESTOR_LIST[INVESTOR NAME],MATCH(I11658,INVESTOR_LIST[INVESTOR CODE],0),)," ")</f>
        <v xml:space="preserve"> </v>
      </c>
      <c r="J11658" s="149" t="s">
        <v>79</v>
      </c>
      <c r="K11658" s="218">
        <v>2337652.7999999998</v>
      </c>
      <c r="L11658" s="218"/>
      <c r="M11658" s="160"/>
    </row>
    <row r="11659" spans="1:17" x14ac:dyDescent="0.2">
      <c r="A11659" s="133">
        <v>2024</v>
      </c>
      <c r="B11659" s="133">
        <v>8</v>
      </c>
      <c r="C11659" s="133">
        <v>14</v>
      </c>
      <c r="D11659" s="141">
        <f t="shared" si="1694"/>
        <v>45518</v>
      </c>
      <c r="E11659" s="275">
        <f t="shared" si="1695"/>
        <v>45518</v>
      </c>
      <c r="F11659" s="481"/>
      <c r="G11659" s="174" t="s">
        <v>94</v>
      </c>
      <c r="H11659" s="174" t="str" cm="1">
        <f t="array" ref="H11659">IFERROR(INDEX(INVESTOR_LIST[INVESTOR NAME],MATCH(I11659,INVESTOR_LIST[INVESTOR CODE],0),)," ")</f>
        <v xml:space="preserve"> </v>
      </c>
      <c r="J11659" s="149" t="s">
        <v>80</v>
      </c>
      <c r="K11659" s="218">
        <v>7006.2175999999999</v>
      </c>
      <c r="L11659" s="133"/>
    </row>
    <row r="11660" spans="1:17" x14ac:dyDescent="0.2">
      <c r="A11660" s="133">
        <v>2024</v>
      </c>
      <c r="B11660" s="133">
        <v>8</v>
      </c>
      <c r="C11660" s="133">
        <v>14</v>
      </c>
      <c r="D11660" s="141">
        <f t="shared" si="1694"/>
        <v>45518</v>
      </c>
      <c r="E11660" s="275">
        <f t="shared" si="1695"/>
        <v>45518</v>
      </c>
      <c r="F11660" s="481"/>
      <c r="G11660" s="174" t="s">
        <v>94</v>
      </c>
      <c r="H11660" s="174" t="str" cm="1">
        <f t="array" ref="H11660">IFERROR(INDEX(INVESTOR_LIST[INVESTOR NAME],MATCH(I11660,INVESTOR_LIST[INVESTOR CODE],0),)," ")</f>
        <v xml:space="preserve"> </v>
      </c>
      <c r="J11660" s="149" t="s">
        <v>147</v>
      </c>
      <c r="K11660" s="218"/>
      <c r="L11660" s="218">
        <v>789968.72</v>
      </c>
    </row>
    <row r="11661" spans="1:17" x14ac:dyDescent="0.2">
      <c r="A11661" s="133">
        <v>2024</v>
      </c>
      <c r="B11661" s="133">
        <v>8</v>
      </c>
      <c r="C11661" s="133">
        <v>14</v>
      </c>
      <c r="D11661" s="141">
        <f t="shared" si="1694"/>
        <v>45518</v>
      </c>
      <c r="E11661" s="275">
        <f t="shared" si="1695"/>
        <v>45518</v>
      </c>
      <c r="F11661" s="481"/>
      <c r="G11661" s="174" t="s">
        <v>94</v>
      </c>
      <c r="H11661" s="174" t="str" cm="1">
        <f t="array" ref="H11661">IFERROR(INDEX(INVESTOR_LIST[INVESTOR NAME],MATCH(I11661,INVESTOR_LIST[INVESTOR CODE],0),)," ")</f>
        <v xml:space="preserve"> </v>
      </c>
      <c r="J11661" s="149" t="s">
        <v>191</v>
      </c>
      <c r="K11661" s="218"/>
      <c r="L11661" s="218">
        <v>302948.43</v>
      </c>
    </row>
    <row r="11662" spans="1:17" x14ac:dyDescent="0.2">
      <c r="A11662" s="163">
        <v>2024</v>
      </c>
      <c r="B11662" s="163">
        <v>8</v>
      </c>
      <c r="C11662" s="163">
        <v>14</v>
      </c>
      <c r="D11662" s="280">
        <f t="shared" si="1694"/>
        <v>45518</v>
      </c>
      <c r="E11662" s="281">
        <f t="shared" si="1695"/>
        <v>45518</v>
      </c>
      <c r="F11662" s="480"/>
      <c r="G11662" s="221" t="s">
        <v>94</v>
      </c>
      <c r="H11662" s="145" t="str" cm="1">
        <f t="array" ref="H11662">IFERROR(INDEX(INVESTOR_LIST[INVESTOR NAME],MATCH(I11662,INVESTOR_LIST[INVESTOR CODE],0),)," ")</f>
        <v xml:space="preserve"> </v>
      </c>
      <c r="I11662" s="145"/>
      <c r="J11662" s="163" t="s">
        <v>79</v>
      </c>
      <c r="K11662" s="219"/>
      <c r="L11662" s="219">
        <v>1251741.8700000001</v>
      </c>
    </row>
    <row r="11663" spans="1:17" x14ac:dyDescent="0.2">
      <c r="A11663" s="133">
        <v>2024</v>
      </c>
      <c r="B11663" s="133">
        <v>8</v>
      </c>
      <c r="C11663" s="133">
        <v>14</v>
      </c>
      <c r="D11663" s="141">
        <f t="shared" si="1694"/>
        <v>45518</v>
      </c>
      <c r="E11663" s="275">
        <f t="shared" si="1695"/>
        <v>45518</v>
      </c>
      <c r="F11663" s="479" t="s">
        <v>1972</v>
      </c>
      <c r="G11663" s="174" t="s">
        <v>74</v>
      </c>
      <c r="H11663" s="174" t="str" cm="1">
        <f t="array" ref="H11663">IFERROR(INDEX(INVESTOR_LIST[INVESTOR NAME],MATCH(I11663,INVESTOR_LIST[INVESTOR CODE],0),)," ")</f>
        <v xml:space="preserve"> </v>
      </c>
      <c r="I11663" s="148" t="s">
        <v>348</v>
      </c>
      <c r="J11663" s="149" t="s">
        <v>1805</v>
      </c>
      <c r="K11663" s="218">
        <v>17123360.16</v>
      </c>
      <c r="L11663" s="218"/>
      <c r="M11663" s="147"/>
      <c r="Q11663" s="133" t="s">
        <v>348</v>
      </c>
    </row>
    <row r="11664" spans="1:17" x14ac:dyDescent="0.2">
      <c r="A11664" s="163">
        <v>2024</v>
      </c>
      <c r="B11664" s="163">
        <v>8</v>
      </c>
      <c r="C11664" s="163">
        <v>14</v>
      </c>
      <c r="D11664" s="280">
        <f t="shared" si="1694"/>
        <v>45518</v>
      </c>
      <c r="E11664" s="281">
        <f t="shared" si="1695"/>
        <v>45518</v>
      </c>
      <c r="F11664" s="480"/>
      <c r="G11664" s="221" t="s">
        <v>74</v>
      </c>
      <c r="H11664" s="221" t="str" cm="1">
        <f t="array" ref="H11664">IFERROR(INDEX(INVESTOR_LIST[INVESTOR NAME],MATCH(I11664,INVESTOR_LIST[INVESTOR CODE],0),)," ")</f>
        <v xml:space="preserve"> </v>
      </c>
      <c r="I11664" s="145"/>
      <c r="J11664" s="146" t="s">
        <v>52</v>
      </c>
      <c r="K11664" s="219"/>
      <c r="L11664" s="219">
        <v>17123360.16</v>
      </c>
      <c r="M11664" s="147"/>
      <c r="Q11664" s="133" t="s">
        <v>348</v>
      </c>
    </row>
    <row r="11665" spans="1:13" ht="11.25" customHeight="1" x14ac:dyDescent="0.2">
      <c r="A11665" s="168">
        <v>2024</v>
      </c>
      <c r="B11665" s="133">
        <v>8</v>
      </c>
      <c r="C11665" s="133">
        <v>14</v>
      </c>
      <c r="D11665" s="141">
        <f>DATE(A11665,B11665,C11665)</f>
        <v>45518</v>
      </c>
      <c r="E11665" s="275">
        <f>DATE(A11665,B11665,C11665)</f>
        <v>45518</v>
      </c>
      <c r="F11665" s="479" t="s">
        <v>1757</v>
      </c>
      <c r="G11665" s="220" t="s">
        <v>74</v>
      </c>
      <c r="H11665" s="220" t="str" cm="1">
        <f t="array" ref="H11665">IFERROR(INDEX(INVESTOR_LIST[INVESTOR NAME],MATCH(I11665,INVESTOR_LIST[INVESTOR CODE],0),)," ")</f>
        <v xml:space="preserve"> </v>
      </c>
      <c r="I11665" s="142"/>
      <c r="J11665" s="143" t="s">
        <v>52</v>
      </c>
      <c r="K11665" s="226">
        <v>11592830</v>
      </c>
      <c r="L11665" s="226"/>
    </row>
    <row r="11666" spans="1:13" x14ac:dyDescent="0.2">
      <c r="A11666" s="163">
        <v>2024</v>
      </c>
      <c r="B11666" s="163">
        <v>8</v>
      </c>
      <c r="C11666" s="163">
        <v>14</v>
      </c>
      <c r="D11666" s="280">
        <f>DATE(A11666,B11666,C11666)</f>
        <v>45518</v>
      </c>
      <c r="E11666" s="281">
        <f>DATE(A11666,B11666,C11666)</f>
        <v>45518</v>
      </c>
      <c r="F11666" s="480"/>
      <c r="G11666" s="221" t="s">
        <v>74</v>
      </c>
      <c r="H11666" s="221" t="str" cm="1">
        <f t="array" ref="H11666">IFERROR(INDEX(INVESTOR_LIST[INVESTOR NAME],MATCH(I11666,INVESTOR_LIST[INVESTOR CODE],0),)," ")</f>
        <v xml:space="preserve"> </v>
      </c>
      <c r="I11666" s="145"/>
      <c r="J11666" s="146" t="s">
        <v>190</v>
      </c>
      <c r="K11666" s="219"/>
      <c r="L11666" s="219">
        <v>11592830</v>
      </c>
    </row>
    <row r="11667" spans="1:13" x14ac:dyDescent="0.2">
      <c r="A11667" s="133">
        <v>2024</v>
      </c>
      <c r="B11667" s="133">
        <v>8</v>
      </c>
      <c r="C11667" s="133">
        <v>14</v>
      </c>
      <c r="D11667" s="141">
        <f t="shared" ref="D11667:D11723" si="1696">DATE(A11667,B11667,C11667)</f>
        <v>45518</v>
      </c>
      <c r="E11667" s="275">
        <f t="shared" ref="E11667:E11723" si="1697">DATE(A11667,B11667,C11667)</f>
        <v>45518</v>
      </c>
      <c r="F11667" s="481" t="s">
        <v>1928</v>
      </c>
      <c r="G11667" s="174" t="s">
        <v>74</v>
      </c>
      <c r="H11667" s="174" t="str" cm="1">
        <f t="array" ref="H11667">IFERROR(INDEX(INVESTOR_LIST[INVESTOR NAME],MATCH(I11667,INVESTOR_LIST[INVESTOR CODE],0),)," ")</f>
        <v xml:space="preserve"> </v>
      </c>
      <c r="J11667" s="149" t="s">
        <v>1906</v>
      </c>
      <c r="K11667" s="218">
        <v>563.5</v>
      </c>
      <c r="L11667" s="218"/>
      <c r="M11667" s="147"/>
    </row>
    <row r="11668" spans="1:13" x14ac:dyDescent="0.2">
      <c r="A11668" s="133">
        <v>2024</v>
      </c>
      <c r="B11668" s="133">
        <v>8</v>
      </c>
      <c r="C11668" s="133">
        <v>14</v>
      </c>
      <c r="D11668" s="141">
        <f t="shared" ref="D11668" si="1698">DATE(A11668,B11668,C11668)</f>
        <v>45518</v>
      </c>
      <c r="E11668" s="275">
        <f t="shared" ref="E11668" si="1699">DATE(A11668,B11668,C11668)</f>
        <v>45518</v>
      </c>
      <c r="F11668" s="481"/>
      <c r="G11668" s="174" t="s">
        <v>74</v>
      </c>
      <c r="H11668" s="174" t="str" cm="1">
        <f t="array" ref="H11668">IFERROR(INDEX(INVESTOR_LIST[INVESTOR NAME],MATCH(I11668,INVESTOR_LIST[INVESTOR CODE],0),)," ")</f>
        <v xml:space="preserve"> </v>
      </c>
      <c r="J11668" s="149" t="s">
        <v>1907</v>
      </c>
      <c r="K11668" s="218">
        <v>150</v>
      </c>
      <c r="L11668" s="218"/>
      <c r="M11668" s="147"/>
    </row>
    <row r="11669" spans="1:13" x14ac:dyDescent="0.2">
      <c r="A11669" s="163">
        <v>2024</v>
      </c>
      <c r="B11669" s="163">
        <v>8</v>
      </c>
      <c r="C11669" s="163">
        <v>14</v>
      </c>
      <c r="D11669" s="280">
        <f t="shared" si="1696"/>
        <v>45518</v>
      </c>
      <c r="E11669" s="281">
        <f t="shared" si="1697"/>
        <v>45518</v>
      </c>
      <c r="F11669" s="480"/>
      <c r="G11669" s="221" t="s">
        <v>74</v>
      </c>
      <c r="H11669" s="221" t="str" cm="1">
        <f t="array" ref="H11669">IFERROR(INDEX(INVESTOR_LIST[INVESTOR NAME],MATCH(I11669,INVESTOR_LIST[INVESTOR CODE],0),)," ")</f>
        <v xml:space="preserve"> </v>
      </c>
      <c r="I11669" s="145"/>
      <c r="J11669" s="146" t="s">
        <v>52</v>
      </c>
      <c r="K11669" s="219"/>
      <c r="L11669" s="219">
        <v>713.5</v>
      </c>
      <c r="M11669" s="147"/>
    </row>
    <row r="11670" spans="1:13" ht="33.75" x14ac:dyDescent="0.2">
      <c r="A11670" s="168">
        <v>2024</v>
      </c>
      <c r="B11670" s="168">
        <v>8</v>
      </c>
      <c r="C11670" s="133">
        <v>14</v>
      </c>
      <c r="D11670" s="141">
        <f t="shared" si="1696"/>
        <v>45518</v>
      </c>
      <c r="E11670" s="275">
        <f t="shared" si="1697"/>
        <v>45518</v>
      </c>
      <c r="F11670" s="479" t="s">
        <v>964</v>
      </c>
      <c r="G11670" s="220" t="s">
        <v>74</v>
      </c>
      <c r="H11670" s="142" t="str" cm="1">
        <f t="array" ref="H11670">IFERROR(INDEX(INVESTOR_LIST[INVESTOR NAME],MATCH(I11670,INVESTOR_LIST[INVESTOR CODE],0),)," ")</f>
        <v>FAKARUDDIN ALI AHMED</v>
      </c>
      <c r="I11670" s="142" t="s">
        <v>458</v>
      </c>
      <c r="J11670" s="168" t="s">
        <v>52</v>
      </c>
      <c r="K11670" s="226">
        <v>200000</v>
      </c>
      <c r="L11670" s="226"/>
    </row>
    <row r="11671" spans="1:13" ht="33.75" x14ac:dyDescent="0.2">
      <c r="A11671" s="133">
        <v>2024</v>
      </c>
      <c r="B11671" s="133">
        <v>8</v>
      </c>
      <c r="C11671" s="133">
        <v>14</v>
      </c>
      <c r="D11671" s="141">
        <f t="shared" si="1696"/>
        <v>45518</v>
      </c>
      <c r="E11671" s="275">
        <f t="shared" si="1697"/>
        <v>45518</v>
      </c>
      <c r="F11671" s="481"/>
      <c r="G11671" s="174" t="s">
        <v>74</v>
      </c>
      <c r="H11671" s="148" t="str" cm="1">
        <f t="array" ref="H11671">IFERROR(INDEX(INVESTOR_LIST[INVESTOR NAME],MATCH(I11671,INVESTOR_LIST[INVESTOR CODE],0),)," ")</f>
        <v>FAKARUDDIN ALI AHMED</v>
      </c>
      <c r="I11671" s="148" t="s">
        <v>458</v>
      </c>
      <c r="J11671" s="133" t="s">
        <v>13</v>
      </c>
      <c r="K11671" s="218"/>
      <c r="L11671" s="218">
        <v>155760</v>
      </c>
    </row>
    <row r="11672" spans="1:13" ht="33.75" x14ac:dyDescent="0.2">
      <c r="A11672" s="163">
        <v>2024</v>
      </c>
      <c r="B11672" s="163">
        <v>8</v>
      </c>
      <c r="C11672" s="163">
        <v>14</v>
      </c>
      <c r="D11672" s="280">
        <f t="shared" si="1696"/>
        <v>45518</v>
      </c>
      <c r="E11672" s="281">
        <f t="shared" si="1697"/>
        <v>45518</v>
      </c>
      <c r="F11672" s="480"/>
      <c r="G11672" s="221" t="s">
        <v>74</v>
      </c>
      <c r="H11672" s="145" t="str" cm="1">
        <f t="array" ref="H11672">IFERROR(INDEX(INVESTOR_LIST[INVESTOR NAME],MATCH(I11672,INVESTOR_LIST[INVESTOR CODE],0),)," ")</f>
        <v>FAKARUDDIN ALI AHMED</v>
      </c>
      <c r="I11672" s="145" t="s">
        <v>458</v>
      </c>
      <c r="J11672" s="163" t="s">
        <v>53</v>
      </c>
      <c r="K11672" s="219"/>
      <c r="L11672" s="219">
        <v>44240</v>
      </c>
    </row>
    <row r="11673" spans="1:13" ht="11.25" customHeight="1" x14ac:dyDescent="0.2">
      <c r="A11673" s="168">
        <v>2024</v>
      </c>
      <c r="B11673" s="133">
        <v>8</v>
      </c>
      <c r="C11673" s="133">
        <v>15</v>
      </c>
      <c r="D11673" s="141">
        <f>DATE(A11673,B11673,C11673)</f>
        <v>45519</v>
      </c>
      <c r="E11673" s="275">
        <f>DATE(A11673,B11673,C11673)</f>
        <v>45519</v>
      </c>
      <c r="F11673" s="479" t="s">
        <v>1757</v>
      </c>
      <c r="G11673" s="220" t="s">
        <v>74</v>
      </c>
      <c r="H11673" s="220" t="str" cm="1">
        <f t="array" ref="H11673">IFERROR(INDEX(INVESTOR_LIST[INVESTOR NAME],MATCH(I11673,INVESTOR_LIST[INVESTOR CODE],0),)," ")</f>
        <v xml:space="preserve"> </v>
      </c>
      <c r="I11673" s="142"/>
      <c r="J11673" s="143" t="s">
        <v>52</v>
      </c>
      <c r="K11673" s="226">
        <v>6481308</v>
      </c>
      <c r="L11673" s="226"/>
    </row>
    <row r="11674" spans="1:13" x14ac:dyDescent="0.2">
      <c r="A11674" s="163">
        <v>2024</v>
      </c>
      <c r="B11674" s="163">
        <v>8</v>
      </c>
      <c r="C11674" s="163">
        <v>15</v>
      </c>
      <c r="D11674" s="280">
        <f>DATE(A11674,B11674,C11674)</f>
        <v>45519</v>
      </c>
      <c r="E11674" s="281">
        <f>DATE(A11674,B11674,C11674)</f>
        <v>45519</v>
      </c>
      <c r="F11674" s="480"/>
      <c r="G11674" s="221" t="s">
        <v>74</v>
      </c>
      <c r="H11674" s="221" t="str" cm="1">
        <f t="array" ref="H11674">IFERROR(INDEX(INVESTOR_LIST[INVESTOR NAME],MATCH(I11674,INVESTOR_LIST[INVESTOR CODE],0),)," ")</f>
        <v xml:space="preserve"> </v>
      </c>
      <c r="I11674" s="145"/>
      <c r="J11674" s="146" t="s">
        <v>190</v>
      </c>
      <c r="K11674" s="219"/>
      <c r="L11674" s="219">
        <v>6481308</v>
      </c>
    </row>
    <row r="11675" spans="1:13" x14ac:dyDescent="0.2">
      <c r="A11675" s="133">
        <v>2024</v>
      </c>
      <c r="B11675" s="133">
        <v>8</v>
      </c>
      <c r="C11675" s="133">
        <v>15</v>
      </c>
      <c r="D11675" s="141">
        <f t="shared" ref="D11675:D11682" si="1700">DATE(A11675,B11675,C11675)</f>
        <v>45519</v>
      </c>
      <c r="E11675" s="275">
        <f t="shared" ref="E11675:E11682" si="1701">DATE(A11675,B11675,C11675)</f>
        <v>45519</v>
      </c>
      <c r="F11675" s="481" t="s">
        <v>1971</v>
      </c>
      <c r="G11675" s="174" t="s">
        <v>94</v>
      </c>
      <c r="H11675" s="174" t="str" cm="1">
        <f t="array" ref="H11675">IFERROR(INDEX(INVESTOR_LIST[INVESTOR NAME],MATCH(I11675,INVESTOR_LIST[INVESTOR CODE],0),)," ")</f>
        <v xml:space="preserve"> </v>
      </c>
      <c r="J11675" s="149" t="s">
        <v>79</v>
      </c>
      <c r="K11675" s="218">
        <v>4083083.8</v>
      </c>
      <c r="L11675" s="218"/>
      <c r="M11675" s="160"/>
    </row>
    <row r="11676" spans="1:13" x14ac:dyDescent="0.2">
      <c r="A11676" s="133">
        <v>2024</v>
      </c>
      <c r="B11676" s="133">
        <v>8</v>
      </c>
      <c r="C11676" s="133">
        <v>15</v>
      </c>
      <c r="D11676" s="141">
        <f t="shared" si="1700"/>
        <v>45519</v>
      </c>
      <c r="E11676" s="275">
        <f t="shared" si="1701"/>
        <v>45519</v>
      </c>
      <c r="F11676" s="481"/>
      <c r="G11676" s="174" t="s">
        <v>94</v>
      </c>
      <c r="H11676" s="174" t="str" cm="1">
        <f t="array" ref="H11676">IFERROR(INDEX(INVESTOR_LIST[INVESTOR NAME],MATCH(I11676,INVESTOR_LIST[INVESTOR CODE],0),)," ")</f>
        <v xml:space="preserve"> </v>
      </c>
      <c r="J11676" s="149" t="s">
        <v>80</v>
      </c>
      <c r="K11676" s="218">
        <v>8231.5499999999993</v>
      </c>
      <c r="L11676" s="133"/>
    </row>
    <row r="11677" spans="1:13" x14ac:dyDescent="0.2">
      <c r="A11677" s="133">
        <v>2024</v>
      </c>
      <c r="B11677" s="133">
        <v>8</v>
      </c>
      <c r="C11677" s="133">
        <v>15</v>
      </c>
      <c r="D11677" s="141">
        <f t="shared" si="1700"/>
        <v>45519</v>
      </c>
      <c r="E11677" s="275">
        <f t="shared" si="1701"/>
        <v>45519</v>
      </c>
      <c r="F11677" s="481"/>
      <c r="G11677" s="174" t="s">
        <v>94</v>
      </c>
      <c r="H11677" s="174" t="str" cm="1">
        <f t="array" ref="H11677">IFERROR(INDEX(INVESTOR_LIST[INVESTOR NAME],MATCH(I11677,INVESTOR_LIST[INVESTOR CODE],0),)," ")</f>
        <v xml:space="preserve"> </v>
      </c>
      <c r="J11677" s="149" t="s">
        <v>147</v>
      </c>
      <c r="K11677" s="218"/>
      <c r="L11677" s="218">
        <v>3601315.35</v>
      </c>
    </row>
    <row r="11678" spans="1:13" x14ac:dyDescent="0.2">
      <c r="A11678" s="133">
        <v>2024</v>
      </c>
      <c r="B11678" s="133">
        <v>8</v>
      </c>
      <c r="C11678" s="133">
        <v>15</v>
      </c>
      <c r="D11678" s="141">
        <f t="shared" si="1700"/>
        <v>45519</v>
      </c>
      <c r="E11678" s="275">
        <f t="shared" si="1701"/>
        <v>45519</v>
      </c>
      <c r="F11678" s="481"/>
      <c r="G11678" s="174" t="s">
        <v>94</v>
      </c>
      <c r="H11678" s="174" t="str" cm="1">
        <f t="array" ref="H11678">IFERROR(INDEX(INVESTOR_LIST[INVESTOR NAME],MATCH(I11678,INVESTOR_LIST[INVESTOR CODE],0),)," ")</f>
        <v xml:space="preserve"> </v>
      </c>
      <c r="J11678" s="149" t="s">
        <v>191</v>
      </c>
      <c r="K11678" s="218"/>
      <c r="L11678" s="218">
        <v>31880.639999999999</v>
      </c>
    </row>
    <row r="11679" spans="1:13" x14ac:dyDescent="0.2">
      <c r="A11679" s="163">
        <v>2024</v>
      </c>
      <c r="B11679" s="163">
        <v>8</v>
      </c>
      <c r="C11679" s="163">
        <v>15</v>
      </c>
      <c r="D11679" s="280">
        <f t="shared" si="1700"/>
        <v>45519</v>
      </c>
      <c r="E11679" s="281">
        <f t="shared" si="1701"/>
        <v>45519</v>
      </c>
      <c r="F11679" s="480"/>
      <c r="G11679" s="221" t="s">
        <v>94</v>
      </c>
      <c r="H11679" s="145" t="str" cm="1">
        <f t="array" ref="H11679">IFERROR(INDEX(INVESTOR_LIST[INVESTOR NAME],MATCH(I11679,INVESTOR_LIST[INVESTOR CODE],0),)," ")</f>
        <v xml:space="preserve"> </v>
      </c>
      <c r="I11679" s="145"/>
      <c r="J11679" s="163" t="s">
        <v>79</v>
      </c>
      <c r="K11679" s="219"/>
      <c r="L11679" s="219">
        <v>458119.36</v>
      </c>
    </row>
    <row r="11680" spans="1:13" x14ac:dyDescent="0.2">
      <c r="A11680" s="168">
        <v>2024</v>
      </c>
      <c r="B11680" s="168">
        <v>8</v>
      </c>
      <c r="C11680" s="133">
        <v>15</v>
      </c>
      <c r="D11680" s="141">
        <f t="shared" si="1700"/>
        <v>45519</v>
      </c>
      <c r="E11680" s="275">
        <f t="shared" si="1701"/>
        <v>45519</v>
      </c>
      <c r="F11680" s="479" t="s">
        <v>1319</v>
      </c>
      <c r="G11680" s="220" t="s">
        <v>74</v>
      </c>
      <c r="H11680" s="142" t="str" cm="1">
        <f t="array" ref="H11680">IFERROR(INDEX(INVESTOR_LIST[INVESTOR NAME],MATCH(I11680,INVESTOR_LIST[INVESTOR CODE],0),)," ")</f>
        <v xml:space="preserve"> </v>
      </c>
      <c r="I11680" s="142"/>
      <c r="J11680" s="168" t="s">
        <v>52</v>
      </c>
      <c r="K11680" s="226">
        <v>11000</v>
      </c>
      <c r="L11680" s="226"/>
    </row>
    <row r="11681" spans="1:13" x14ac:dyDescent="0.2">
      <c r="A11681" s="133">
        <v>2024</v>
      </c>
      <c r="B11681" s="133">
        <v>8</v>
      </c>
      <c r="C11681" s="133">
        <v>15</v>
      </c>
      <c r="D11681" s="141">
        <f t="shared" si="1700"/>
        <v>45519</v>
      </c>
      <c r="E11681" s="275">
        <f t="shared" si="1701"/>
        <v>45519</v>
      </c>
      <c r="F11681" s="481"/>
      <c r="G11681" s="174" t="s">
        <v>74</v>
      </c>
      <c r="H11681" s="148" t="str" cm="1">
        <f t="array" ref="H11681">IFERROR(INDEX(INVESTOR_LIST[INVESTOR NAME],MATCH(I11681,INVESTOR_LIST[INVESTOR CODE],0),)," ")</f>
        <v xml:space="preserve"> </v>
      </c>
      <c r="J11681" s="133" t="s">
        <v>13</v>
      </c>
      <c r="K11681" s="218"/>
      <c r="L11681" s="218">
        <v>8570</v>
      </c>
    </row>
    <row r="11682" spans="1:13" x14ac:dyDescent="0.2">
      <c r="A11682" s="163">
        <v>2024</v>
      </c>
      <c r="B11682" s="163">
        <v>8</v>
      </c>
      <c r="C11682" s="163">
        <v>15</v>
      </c>
      <c r="D11682" s="280">
        <f t="shared" si="1700"/>
        <v>45519</v>
      </c>
      <c r="E11682" s="281">
        <f t="shared" si="1701"/>
        <v>45519</v>
      </c>
      <c r="F11682" s="480"/>
      <c r="G11682" s="221" t="s">
        <v>74</v>
      </c>
      <c r="H11682" s="145" t="str" cm="1">
        <f t="array" ref="H11682">IFERROR(INDEX(INVESTOR_LIST[INVESTOR NAME],MATCH(I11682,INVESTOR_LIST[INVESTOR CODE],0),)," ")</f>
        <v xml:space="preserve"> </v>
      </c>
      <c r="I11682" s="145"/>
      <c r="J11682" s="163" t="s">
        <v>53</v>
      </c>
      <c r="K11682" s="219"/>
      <c r="L11682" s="219">
        <v>2430</v>
      </c>
    </row>
    <row r="11683" spans="1:13" x14ac:dyDescent="0.2">
      <c r="A11683" s="325">
        <v>2024</v>
      </c>
      <c r="B11683" s="325">
        <v>8</v>
      </c>
      <c r="C11683" s="325">
        <v>15</v>
      </c>
      <c r="D11683" s="326">
        <f t="shared" si="1696"/>
        <v>45519</v>
      </c>
      <c r="E11683" s="327">
        <f t="shared" si="1697"/>
        <v>45519</v>
      </c>
      <c r="F11683" s="473" t="s">
        <v>1940</v>
      </c>
      <c r="G11683" s="340" t="s">
        <v>94</v>
      </c>
      <c r="H11683" s="340" t="str" cm="1">
        <f t="array" ref="H11683">IFERROR(INDEX(INVESTOR_LIST[INVESTOR NAME],MATCH(I11683,INVESTOR_LIST[INVESTOR CODE],0),)," ")</f>
        <v xml:space="preserve"> </v>
      </c>
      <c r="I11683" s="341" t="s">
        <v>348</v>
      </c>
      <c r="J11683" s="374" t="s">
        <v>133</v>
      </c>
      <c r="K11683" s="375">
        <v>12905.555555555549</v>
      </c>
      <c r="L11683" s="375"/>
    </row>
    <row r="11684" spans="1:13" x14ac:dyDescent="0.2">
      <c r="A11684" s="331">
        <v>2024</v>
      </c>
      <c r="B11684" s="331">
        <v>8</v>
      </c>
      <c r="C11684" s="331">
        <v>15</v>
      </c>
      <c r="D11684" s="326">
        <f t="shared" si="1696"/>
        <v>45519</v>
      </c>
      <c r="E11684" s="327">
        <f t="shared" si="1697"/>
        <v>45519</v>
      </c>
      <c r="F11684" s="474"/>
      <c r="G11684" s="332" t="s">
        <v>94</v>
      </c>
      <c r="H11684" s="332" t="str" cm="1">
        <f t="array" ref="H11684">IFERROR(INDEX(INVESTOR_LIST[INVESTOR NAME],MATCH(I11684,INVESTOR_LIST[INVESTOR CODE],0),)," ")</f>
        <v xml:space="preserve"> </v>
      </c>
      <c r="I11684" s="333" t="s">
        <v>348</v>
      </c>
      <c r="J11684" s="376" t="s">
        <v>60</v>
      </c>
      <c r="K11684" s="334"/>
      <c r="L11684" s="334">
        <v>12905.555555555549</v>
      </c>
    </row>
    <row r="11685" spans="1:13" x14ac:dyDescent="0.2">
      <c r="A11685" s="384">
        <v>2024</v>
      </c>
      <c r="B11685" s="384">
        <v>8</v>
      </c>
      <c r="C11685" s="384">
        <v>15</v>
      </c>
      <c r="D11685" s="385">
        <f t="shared" si="1696"/>
        <v>45519</v>
      </c>
      <c r="E11685" s="386">
        <f t="shared" si="1697"/>
        <v>45519</v>
      </c>
      <c r="F11685" s="475" t="s">
        <v>1966</v>
      </c>
      <c r="G11685" s="387" t="s">
        <v>94</v>
      </c>
      <c r="H11685" s="387" t="str" cm="1">
        <f t="array" ref="H11685">IFERROR(INDEX(INVESTOR_LIST[INVESTOR NAME],MATCH(I11685,INVESTOR_LIST[INVESTOR CODE],0),)," ")</f>
        <v xml:space="preserve"> </v>
      </c>
      <c r="I11685" s="388" t="s">
        <v>348</v>
      </c>
      <c r="J11685" s="389" t="s">
        <v>67</v>
      </c>
      <c r="K11685" s="390">
        <v>28781.5</v>
      </c>
      <c r="L11685" s="390"/>
    </row>
    <row r="11686" spans="1:13" x14ac:dyDescent="0.2">
      <c r="A11686" s="391">
        <v>2024</v>
      </c>
      <c r="B11686" s="391">
        <v>8</v>
      </c>
      <c r="C11686" s="391">
        <v>15</v>
      </c>
      <c r="D11686" s="385">
        <f t="shared" si="1696"/>
        <v>45519</v>
      </c>
      <c r="E11686" s="386">
        <f t="shared" si="1697"/>
        <v>45519</v>
      </c>
      <c r="F11686" s="476"/>
      <c r="G11686" s="392" t="s">
        <v>94</v>
      </c>
      <c r="H11686" s="392" t="str" cm="1">
        <f t="array" ref="H11686">IFERROR(INDEX(INVESTOR_LIST[INVESTOR NAME],MATCH(I11686,INVESTOR_LIST[INVESTOR CODE],0),)," ")</f>
        <v xml:space="preserve"> </v>
      </c>
      <c r="I11686" s="393" t="s">
        <v>348</v>
      </c>
      <c r="J11686" s="394" t="s">
        <v>60</v>
      </c>
      <c r="K11686" s="395"/>
      <c r="L11686" s="395">
        <f>K11685</f>
        <v>28781.5</v>
      </c>
    </row>
    <row r="11687" spans="1:13" x14ac:dyDescent="0.2">
      <c r="A11687" s="343">
        <v>2024</v>
      </c>
      <c r="B11687" s="343">
        <v>8</v>
      </c>
      <c r="C11687" s="343">
        <v>15</v>
      </c>
      <c r="D11687" s="344">
        <f t="shared" si="1696"/>
        <v>45519</v>
      </c>
      <c r="E11687" s="345">
        <f t="shared" si="1697"/>
        <v>45519</v>
      </c>
      <c r="F11687" s="483" t="s">
        <v>1813</v>
      </c>
      <c r="G11687" s="350" t="s">
        <v>94</v>
      </c>
      <c r="H11687" s="350" t="str" cm="1">
        <f t="array" ref="H11687">IFERROR(INDEX(INVESTOR_LIST[INVESTOR NAME],MATCH(I11687,INVESTOR_LIST[INVESTOR CODE],0),)," ")</f>
        <v xml:space="preserve"> </v>
      </c>
      <c r="I11687" s="352" t="s">
        <v>348</v>
      </c>
      <c r="J11687" s="353" t="s">
        <v>1798</v>
      </c>
      <c r="K11687" s="354">
        <v>13945</v>
      </c>
      <c r="L11687" s="354"/>
    </row>
    <row r="11688" spans="1:13" x14ac:dyDescent="0.2">
      <c r="A11688" s="346">
        <v>2024</v>
      </c>
      <c r="B11688" s="346">
        <v>8</v>
      </c>
      <c r="C11688" s="346">
        <v>15</v>
      </c>
      <c r="D11688" s="344">
        <f t="shared" si="1696"/>
        <v>45519</v>
      </c>
      <c r="E11688" s="345">
        <f t="shared" si="1697"/>
        <v>45519</v>
      </c>
      <c r="F11688" s="484"/>
      <c r="G11688" s="347" t="s">
        <v>94</v>
      </c>
      <c r="H11688" s="347" t="str" cm="1">
        <f t="array" ref="H11688">IFERROR(INDEX(INVESTOR_LIST[INVESTOR NAME],MATCH(I11688,INVESTOR_LIST[INVESTOR CODE],0),)," ")</f>
        <v xml:space="preserve"> </v>
      </c>
      <c r="I11688" s="348" t="s">
        <v>348</v>
      </c>
      <c r="J11688" s="355" t="s">
        <v>1807</v>
      </c>
      <c r="K11688" s="349"/>
      <c r="L11688" s="349">
        <f>K11687</f>
        <v>13945</v>
      </c>
    </row>
    <row r="11689" spans="1:13" x14ac:dyDescent="0.2">
      <c r="A11689" s="343">
        <v>2024</v>
      </c>
      <c r="B11689" s="343">
        <v>8</v>
      </c>
      <c r="C11689" s="343">
        <v>15</v>
      </c>
      <c r="D11689" s="344">
        <f t="shared" si="1696"/>
        <v>45519</v>
      </c>
      <c r="E11689" s="345">
        <f t="shared" si="1697"/>
        <v>45519</v>
      </c>
      <c r="F11689" s="483" t="s">
        <v>1913</v>
      </c>
      <c r="G11689" s="350" t="s">
        <v>94</v>
      </c>
      <c r="H11689" s="350" t="str" cm="1">
        <f t="array" ref="H11689">IFERROR(INDEX(INVESTOR_LIST[INVESTOR NAME],MATCH(I11689,INVESTOR_LIST[INVESTOR CODE],0),)," ")</f>
        <v xml:space="preserve"> </v>
      </c>
      <c r="I11689" s="352" t="s">
        <v>348</v>
      </c>
      <c r="J11689" s="353" t="s">
        <v>1799</v>
      </c>
      <c r="K11689" s="354">
        <v>42864.689999995753</v>
      </c>
      <c r="L11689" s="354"/>
    </row>
    <row r="11690" spans="1:13" x14ac:dyDescent="0.2">
      <c r="A11690" s="346">
        <v>2024</v>
      </c>
      <c r="B11690" s="346">
        <v>8</v>
      </c>
      <c r="C11690" s="346">
        <v>15</v>
      </c>
      <c r="D11690" s="344">
        <f t="shared" si="1696"/>
        <v>45519</v>
      </c>
      <c r="E11690" s="345">
        <f t="shared" si="1697"/>
        <v>45519</v>
      </c>
      <c r="F11690" s="484"/>
      <c r="G11690" s="347" t="s">
        <v>94</v>
      </c>
      <c r="H11690" s="347" t="str" cm="1">
        <f t="array" ref="H11690">IFERROR(INDEX(INVESTOR_LIST[INVESTOR NAME],MATCH(I11690,INVESTOR_LIST[INVESTOR CODE],0),)," ")</f>
        <v xml:space="preserve"> </v>
      </c>
      <c r="I11690" s="348" t="s">
        <v>348</v>
      </c>
      <c r="J11690" s="355" t="s">
        <v>1808</v>
      </c>
      <c r="K11690" s="349"/>
      <c r="L11690" s="349">
        <f>K11689</f>
        <v>42864.689999995753</v>
      </c>
    </row>
    <row r="11691" spans="1:13" ht="11.25" customHeight="1" x14ac:dyDescent="0.2">
      <c r="A11691" s="238">
        <v>2024</v>
      </c>
      <c r="B11691" s="238">
        <v>8</v>
      </c>
      <c r="C11691" s="238">
        <v>15</v>
      </c>
      <c r="D11691" s="270">
        <f t="shared" si="1696"/>
        <v>45519</v>
      </c>
      <c r="E11691" s="279">
        <f t="shared" si="1697"/>
        <v>45519</v>
      </c>
      <c r="F11691" s="477" t="s">
        <v>347</v>
      </c>
      <c r="G11691" s="239" t="s">
        <v>94</v>
      </c>
      <c r="H11691" s="239" t="str" cm="1">
        <f t="array" ref="H11691">IFERROR(INDEX(INVESTOR_LIST[INVESTOR NAME],MATCH(I11691,INVESTOR_LIST[INVESTOR CODE],0),)," ")</f>
        <v xml:space="preserve"> </v>
      </c>
      <c r="I11691" s="262" t="s">
        <v>348</v>
      </c>
      <c r="J11691" s="240" t="s">
        <v>108</v>
      </c>
      <c r="K11691" s="241">
        <v>945303.90000000596</v>
      </c>
      <c r="L11691" s="241"/>
    </row>
    <row r="11692" spans="1:13" x14ac:dyDescent="0.2">
      <c r="A11692" s="242">
        <v>2024</v>
      </c>
      <c r="B11692" s="242">
        <v>8</v>
      </c>
      <c r="C11692" s="242">
        <v>15</v>
      </c>
      <c r="D11692" s="270">
        <f t="shared" si="1696"/>
        <v>45519</v>
      </c>
      <c r="E11692" s="279">
        <f t="shared" si="1697"/>
        <v>45519</v>
      </c>
      <c r="F11692" s="478"/>
      <c r="G11692" s="243" t="s">
        <v>94</v>
      </c>
      <c r="H11692" s="243" t="str" cm="1">
        <f t="array" ref="H11692">IFERROR(INDEX(INVESTOR_LIST[INVESTOR NAME],MATCH(I11692,INVESTOR_LIST[INVESTOR CODE],0),)," ")</f>
        <v xml:space="preserve"> </v>
      </c>
      <c r="I11692" s="263" t="s">
        <v>348</v>
      </c>
      <c r="J11692" s="244" t="s">
        <v>82</v>
      </c>
      <c r="K11692" s="245"/>
      <c r="L11692" s="245">
        <f>K11691</f>
        <v>945303.90000000596</v>
      </c>
    </row>
    <row r="11693" spans="1:13" ht="11.25" customHeight="1" x14ac:dyDescent="0.2">
      <c r="A11693" s="246">
        <v>2024</v>
      </c>
      <c r="B11693" s="238">
        <v>8</v>
      </c>
      <c r="C11693" s="238">
        <v>15</v>
      </c>
      <c r="D11693" s="270">
        <f t="shared" si="1696"/>
        <v>45519</v>
      </c>
      <c r="E11693" s="279">
        <f t="shared" si="1697"/>
        <v>45519</v>
      </c>
      <c r="F11693" s="482" t="s">
        <v>148</v>
      </c>
      <c r="G11693" s="247" t="s">
        <v>94</v>
      </c>
      <c r="H11693" s="247" t="str" cm="1">
        <f t="array" ref="H11693">IFERROR(INDEX(INVESTOR_LIST[INVESTOR NAME],MATCH(I11693,INVESTOR_LIST[INVESTOR CODE],0),)," ")</f>
        <v xml:space="preserve"> </v>
      </c>
      <c r="I11693" s="248" t="s">
        <v>348</v>
      </c>
      <c r="J11693" s="249" t="s">
        <v>95</v>
      </c>
      <c r="K11693" s="250">
        <v>2747.2527472527472</v>
      </c>
      <c r="L11693" s="241"/>
    </row>
    <row r="11694" spans="1:13" x14ac:dyDescent="0.2">
      <c r="A11694" s="242">
        <v>2024</v>
      </c>
      <c r="B11694" s="242">
        <v>8</v>
      </c>
      <c r="C11694" s="242">
        <v>15</v>
      </c>
      <c r="D11694" s="270">
        <f t="shared" si="1696"/>
        <v>45519</v>
      </c>
      <c r="E11694" s="279">
        <f t="shared" si="1697"/>
        <v>45519</v>
      </c>
      <c r="F11694" s="478"/>
      <c r="G11694" s="243" t="s">
        <v>94</v>
      </c>
      <c r="H11694" s="243" t="str" cm="1">
        <f t="array" ref="H11694">IFERROR(INDEX(INVESTOR_LIST[INVESTOR NAME],MATCH(I11694,INVESTOR_LIST[INVESTOR CODE],0),)," ")</f>
        <v xml:space="preserve"> </v>
      </c>
      <c r="I11694" s="263" t="s">
        <v>348</v>
      </c>
      <c r="J11694" s="244" t="s">
        <v>63</v>
      </c>
      <c r="K11694" s="245"/>
      <c r="L11694" s="245">
        <v>2747.2527472527472</v>
      </c>
    </row>
    <row r="11695" spans="1:13" x14ac:dyDescent="0.2">
      <c r="A11695" s="246">
        <v>2024</v>
      </c>
      <c r="B11695" s="238">
        <v>8</v>
      </c>
      <c r="C11695" s="238">
        <v>15</v>
      </c>
      <c r="D11695" s="270">
        <f t="shared" si="1696"/>
        <v>45519</v>
      </c>
      <c r="E11695" s="279">
        <f t="shared" si="1697"/>
        <v>45519</v>
      </c>
      <c r="F11695" s="482" t="s">
        <v>137</v>
      </c>
      <c r="G11695" s="247" t="s">
        <v>94</v>
      </c>
      <c r="H11695" s="247" t="str" cm="1">
        <f t="array" ref="H11695">IFERROR(INDEX(INVESTOR_LIST[INVESTOR NAME],MATCH(I11695,INVESTOR_LIST[INVESTOR CODE],0),)," ")</f>
        <v xml:space="preserve"> </v>
      </c>
      <c r="I11695" s="248" t="s">
        <v>348</v>
      </c>
      <c r="J11695" s="249" t="s">
        <v>97</v>
      </c>
      <c r="K11695" s="250">
        <f>M11695</f>
        <v>58724.610205248573</v>
      </c>
      <c r="L11695" s="252"/>
      <c r="M11695" s="264">
        <v>58724.610205248573</v>
      </c>
    </row>
    <row r="11696" spans="1:13" x14ac:dyDescent="0.2">
      <c r="A11696" s="242">
        <v>2024</v>
      </c>
      <c r="B11696" s="242">
        <v>8</v>
      </c>
      <c r="C11696" s="242">
        <v>15</v>
      </c>
      <c r="D11696" s="270">
        <f t="shared" si="1696"/>
        <v>45519</v>
      </c>
      <c r="E11696" s="279">
        <f t="shared" si="1697"/>
        <v>45519</v>
      </c>
      <c r="F11696" s="478"/>
      <c r="G11696" s="243" t="s">
        <v>94</v>
      </c>
      <c r="H11696" s="243" t="str" cm="1">
        <f t="array" ref="H11696">IFERROR(INDEX(INVESTOR_LIST[INVESTOR NAME],MATCH(I11696,INVESTOR_LIST[INVESTOR CODE],0),)," ")</f>
        <v xml:space="preserve"> </v>
      </c>
      <c r="I11696" s="263" t="s">
        <v>348</v>
      </c>
      <c r="J11696" s="244" t="s">
        <v>47</v>
      </c>
      <c r="K11696" s="245"/>
      <c r="L11696" s="245">
        <f>K11695</f>
        <v>58724.610205248573</v>
      </c>
      <c r="M11696" s="264">
        <v>2695.8458948778134</v>
      </c>
    </row>
    <row r="11697" spans="1:13" x14ac:dyDescent="0.2">
      <c r="A11697" s="246">
        <v>2024</v>
      </c>
      <c r="B11697" s="238">
        <v>8</v>
      </c>
      <c r="C11697" s="238">
        <v>15</v>
      </c>
      <c r="D11697" s="270">
        <f t="shared" si="1696"/>
        <v>45519</v>
      </c>
      <c r="E11697" s="279">
        <f t="shared" si="1697"/>
        <v>45519</v>
      </c>
      <c r="F11697" s="482" t="s">
        <v>138</v>
      </c>
      <c r="G11697" s="247" t="s">
        <v>94</v>
      </c>
      <c r="H11697" s="247" t="str" cm="1">
        <f t="array" ref="H11697">IFERROR(INDEX(INVESTOR_LIST[INVESTOR NAME],MATCH(I11697,INVESTOR_LIST[INVESTOR CODE],0),)," ")</f>
        <v xml:space="preserve"> </v>
      </c>
      <c r="I11697" s="248" t="s">
        <v>348</v>
      </c>
      <c r="J11697" s="249" t="s">
        <v>100</v>
      </c>
      <c r="K11697" s="250">
        <f>M11696</f>
        <v>2695.8458948778134</v>
      </c>
      <c r="L11697" s="252"/>
    </row>
    <row r="11698" spans="1:13" x14ac:dyDescent="0.2">
      <c r="A11698" s="242">
        <v>2024</v>
      </c>
      <c r="B11698" s="242">
        <v>8</v>
      </c>
      <c r="C11698" s="242">
        <v>15</v>
      </c>
      <c r="D11698" s="321">
        <f t="shared" si="1696"/>
        <v>45519</v>
      </c>
      <c r="E11698" s="322">
        <f t="shared" si="1697"/>
        <v>45519</v>
      </c>
      <c r="F11698" s="478"/>
      <c r="G11698" s="243" t="s">
        <v>94</v>
      </c>
      <c r="H11698" s="243" t="str" cm="1">
        <f t="array" ref="H11698">IFERROR(INDEX(INVESTOR_LIST[INVESTOR NAME],MATCH(I11698,INVESTOR_LIST[INVESTOR CODE],0),)," ")</f>
        <v xml:space="preserve"> </v>
      </c>
      <c r="I11698" s="263" t="s">
        <v>348</v>
      </c>
      <c r="J11698" s="244" t="s">
        <v>48</v>
      </c>
      <c r="K11698" s="245"/>
      <c r="L11698" s="245">
        <f>K11697</f>
        <v>2695.8458948778134</v>
      </c>
    </row>
    <row r="11699" spans="1:13" x14ac:dyDescent="0.2">
      <c r="A11699" s="133">
        <v>2024</v>
      </c>
      <c r="B11699" s="133">
        <v>8</v>
      </c>
      <c r="C11699" s="133">
        <v>18</v>
      </c>
      <c r="D11699" s="141">
        <f t="shared" si="1696"/>
        <v>45522</v>
      </c>
      <c r="E11699" s="275">
        <f t="shared" si="1697"/>
        <v>45522</v>
      </c>
      <c r="F11699" s="481" t="s">
        <v>1971</v>
      </c>
      <c r="G11699" s="174" t="s">
        <v>94</v>
      </c>
      <c r="H11699" s="174" t="str" cm="1">
        <f t="array" ref="H11699">IFERROR(INDEX(INVESTOR_LIST[INVESTOR NAME],MATCH(I11699,INVESTOR_LIST[INVESTOR CODE],0),)," ")</f>
        <v xml:space="preserve"> </v>
      </c>
      <c r="J11699" s="149" t="s">
        <v>79</v>
      </c>
      <c r="K11699" s="218">
        <v>1260997.3999999999</v>
      </c>
      <c r="L11699" s="218"/>
      <c r="M11699" s="160"/>
    </row>
    <row r="11700" spans="1:13" x14ac:dyDescent="0.2">
      <c r="A11700" s="133">
        <v>2024</v>
      </c>
      <c r="B11700" s="133">
        <v>8</v>
      </c>
      <c r="C11700" s="133">
        <v>18</v>
      </c>
      <c r="D11700" s="141">
        <f t="shared" si="1696"/>
        <v>45522</v>
      </c>
      <c r="E11700" s="275">
        <f t="shared" si="1697"/>
        <v>45522</v>
      </c>
      <c r="F11700" s="481"/>
      <c r="G11700" s="174" t="s">
        <v>94</v>
      </c>
      <c r="H11700" s="174" t="str" cm="1">
        <f t="array" ref="H11700">IFERROR(INDEX(INVESTOR_LIST[INVESTOR NAME],MATCH(I11700,INVESTOR_LIST[INVESTOR CODE],0),)," ")</f>
        <v xml:space="preserve"> </v>
      </c>
      <c r="J11700" s="149" t="s">
        <v>80</v>
      </c>
      <c r="K11700" s="218">
        <v>6684.6</v>
      </c>
      <c r="L11700" s="133"/>
    </row>
    <row r="11701" spans="1:13" x14ac:dyDescent="0.2">
      <c r="A11701" s="133">
        <v>2024</v>
      </c>
      <c r="B11701" s="133">
        <v>8</v>
      </c>
      <c r="C11701" s="133">
        <v>18</v>
      </c>
      <c r="D11701" s="141">
        <f t="shared" si="1696"/>
        <v>45522</v>
      </c>
      <c r="E11701" s="275">
        <f t="shared" si="1697"/>
        <v>45522</v>
      </c>
      <c r="F11701" s="481"/>
      <c r="G11701" s="174" t="s">
        <v>94</v>
      </c>
      <c r="H11701" s="174" t="str" cm="1">
        <f t="array" ref="H11701">IFERROR(INDEX(INVESTOR_LIST[INVESTOR NAME],MATCH(I11701,INVESTOR_LIST[INVESTOR CODE],0),)," ")</f>
        <v xml:space="preserve"> </v>
      </c>
      <c r="J11701" s="149" t="s">
        <v>190</v>
      </c>
      <c r="K11701" s="218">
        <v>1185714</v>
      </c>
      <c r="L11701" s="218"/>
    </row>
    <row r="11702" spans="1:13" x14ac:dyDescent="0.2">
      <c r="A11702" s="133">
        <v>2024</v>
      </c>
      <c r="B11702" s="133">
        <v>8</v>
      </c>
      <c r="C11702" s="133">
        <v>18</v>
      </c>
      <c r="D11702" s="141">
        <f t="shared" si="1696"/>
        <v>45522</v>
      </c>
      <c r="E11702" s="275">
        <f t="shared" si="1697"/>
        <v>45522</v>
      </c>
      <c r="F11702" s="481"/>
      <c r="G11702" s="174" t="s">
        <v>94</v>
      </c>
      <c r="H11702" s="174" t="str" cm="1">
        <f t="array" ref="H11702">IFERROR(INDEX(INVESTOR_LIST[INVESTOR NAME],MATCH(I11702,INVESTOR_LIST[INVESTOR CODE],0),)," ")</f>
        <v xml:space="preserve"> </v>
      </c>
      <c r="J11702" s="149" t="s">
        <v>191</v>
      </c>
      <c r="K11702" s="218"/>
      <c r="L11702" s="218">
        <v>273817.84000000003</v>
      </c>
    </row>
    <row r="11703" spans="1:13" x14ac:dyDescent="0.2">
      <c r="A11703" s="163">
        <v>2024</v>
      </c>
      <c r="B11703" s="163">
        <v>8</v>
      </c>
      <c r="C11703" s="163">
        <v>18</v>
      </c>
      <c r="D11703" s="280">
        <f t="shared" si="1696"/>
        <v>45522</v>
      </c>
      <c r="E11703" s="281">
        <f t="shared" si="1697"/>
        <v>45522</v>
      </c>
      <c r="F11703" s="480"/>
      <c r="G11703" s="221" t="s">
        <v>94</v>
      </c>
      <c r="H11703" s="145" t="str" cm="1">
        <f t="array" ref="H11703">IFERROR(INDEX(INVESTOR_LIST[INVESTOR NAME],MATCH(I11703,INVESTOR_LIST[INVESTOR CODE],0),)," ")</f>
        <v xml:space="preserve"> </v>
      </c>
      <c r="I11703" s="145"/>
      <c r="J11703" s="163" t="s">
        <v>79</v>
      </c>
      <c r="K11703" s="219"/>
      <c r="L11703" s="219">
        <v>2179578.16</v>
      </c>
    </row>
    <row r="11704" spans="1:13" ht="11.25" customHeight="1" x14ac:dyDescent="0.2">
      <c r="A11704" s="168">
        <v>2024</v>
      </c>
      <c r="B11704" s="133">
        <v>8</v>
      </c>
      <c r="C11704" s="133">
        <v>18</v>
      </c>
      <c r="D11704" s="141">
        <f>DATE(A11704,B11704,C11704)</f>
        <v>45522</v>
      </c>
      <c r="E11704" s="275">
        <f>DATE(A11704,B11704,C11704)</f>
        <v>45522</v>
      </c>
      <c r="F11704" s="479" t="s">
        <v>1768</v>
      </c>
      <c r="G11704" s="220" t="s">
        <v>74</v>
      </c>
      <c r="H11704" s="220" t="str" cm="1">
        <f t="array" ref="H11704">IFERROR(INDEX(INVESTOR_LIST[INVESTOR NAME],MATCH(I11704,INVESTOR_LIST[INVESTOR CODE],0),)," ")</f>
        <v xml:space="preserve"> </v>
      </c>
      <c r="I11704" s="142"/>
      <c r="J11704" s="143" t="s">
        <v>147</v>
      </c>
      <c r="K11704" s="226">
        <v>789968.72</v>
      </c>
      <c r="L11704" s="226"/>
    </row>
    <row r="11705" spans="1:13" x14ac:dyDescent="0.2">
      <c r="A11705" s="163">
        <v>2024</v>
      </c>
      <c r="B11705" s="163">
        <v>8</v>
      </c>
      <c r="C11705" s="163">
        <v>18</v>
      </c>
      <c r="D11705" s="280">
        <f>DATE(A11705,B11705,C11705)</f>
        <v>45522</v>
      </c>
      <c r="E11705" s="281">
        <f>DATE(A11705,B11705,C11705)</f>
        <v>45522</v>
      </c>
      <c r="F11705" s="480"/>
      <c r="G11705" s="221" t="s">
        <v>74</v>
      </c>
      <c r="H11705" s="221" t="str" cm="1">
        <f t="array" ref="H11705">IFERROR(INDEX(INVESTOR_LIST[INVESTOR NAME],MATCH(I11705,INVESTOR_LIST[INVESTOR CODE],0),)," ")</f>
        <v xml:space="preserve"> </v>
      </c>
      <c r="I11705" s="145" t="s">
        <v>348</v>
      </c>
      <c r="J11705" s="146" t="s">
        <v>52</v>
      </c>
      <c r="K11705" s="219"/>
      <c r="L11705" s="219">
        <v>789968.72</v>
      </c>
    </row>
    <row r="11706" spans="1:13" ht="11.25" customHeight="1" x14ac:dyDescent="0.2">
      <c r="A11706" s="168">
        <v>2024</v>
      </c>
      <c r="B11706" s="133">
        <v>8</v>
      </c>
      <c r="C11706" s="133">
        <v>18</v>
      </c>
      <c r="D11706" s="141">
        <f>DATE(A11706,B11706,C11706)</f>
        <v>45522</v>
      </c>
      <c r="E11706" s="275">
        <f>DATE(A11706,B11706,C11706)</f>
        <v>45522</v>
      </c>
      <c r="F11706" s="479" t="s">
        <v>1768</v>
      </c>
      <c r="G11706" s="220" t="s">
        <v>74</v>
      </c>
      <c r="H11706" s="220" t="str" cm="1">
        <f t="array" ref="H11706">IFERROR(INDEX(INVESTOR_LIST[INVESTOR NAME],MATCH(I11706,INVESTOR_LIST[INVESTOR CODE],0),)," ")</f>
        <v xml:space="preserve"> </v>
      </c>
      <c r="I11706" s="142"/>
      <c r="J11706" s="143" t="s">
        <v>147</v>
      </c>
      <c r="K11706" s="226">
        <v>3601315.35</v>
      </c>
      <c r="L11706" s="226"/>
    </row>
    <row r="11707" spans="1:13" x14ac:dyDescent="0.2">
      <c r="A11707" s="163">
        <v>2024</v>
      </c>
      <c r="B11707" s="163">
        <v>8</v>
      </c>
      <c r="C11707" s="163">
        <v>18</v>
      </c>
      <c r="D11707" s="280">
        <f>DATE(A11707,B11707,C11707)</f>
        <v>45522</v>
      </c>
      <c r="E11707" s="281">
        <f>DATE(A11707,B11707,C11707)</f>
        <v>45522</v>
      </c>
      <c r="F11707" s="480"/>
      <c r="G11707" s="221" t="s">
        <v>74</v>
      </c>
      <c r="H11707" s="221" t="str" cm="1">
        <f t="array" ref="H11707">IFERROR(INDEX(INVESTOR_LIST[INVESTOR NAME],MATCH(I11707,INVESTOR_LIST[INVESTOR CODE],0),)," ")</f>
        <v xml:space="preserve"> </v>
      </c>
      <c r="I11707" s="145" t="s">
        <v>348</v>
      </c>
      <c r="J11707" s="146" t="s">
        <v>52</v>
      </c>
      <c r="K11707" s="219"/>
      <c r="L11707" s="219">
        <v>3601315.35</v>
      </c>
    </row>
    <row r="11708" spans="1:13" x14ac:dyDescent="0.2">
      <c r="A11708" s="168">
        <v>2024</v>
      </c>
      <c r="B11708" s="168">
        <v>8</v>
      </c>
      <c r="C11708" s="133">
        <v>18</v>
      </c>
      <c r="D11708" s="141">
        <f t="shared" si="1696"/>
        <v>45522</v>
      </c>
      <c r="E11708" s="275">
        <f t="shared" si="1697"/>
        <v>45522</v>
      </c>
      <c r="F11708" s="479" t="s">
        <v>1319</v>
      </c>
      <c r="G11708" s="220" t="s">
        <v>74</v>
      </c>
      <c r="H11708" s="142" t="str" cm="1">
        <f t="array" ref="H11708">IFERROR(INDEX(INVESTOR_LIST[INVESTOR NAME],MATCH(I11708,INVESTOR_LIST[INVESTOR CODE],0),)," ")</f>
        <v xml:space="preserve"> </v>
      </c>
      <c r="I11708" s="142"/>
      <c r="J11708" s="168" t="s">
        <v>52</v>
      </c>
      <c r="K11708" s="226">
        <v>15000</v>
      </c>
      <c r="L11708" s="226"/>
    </row>
    <row r="11709" spans="1:13" x14ac:dyDescent="0.2">
      <c r="A11709" s="133">
        <v>2024</v>
      </c>
      <c r="B11709" s="133">
        <v>8</v>
      </c>
      <c r="C11709" s="133">
        <v>18</v>
      </c>
      <c r="D11709" s="141">
        <f t="shared" si="1696"/>
        <v>45522</v>
      </c>
      <c r="E11709" s="275">
        <f t="shared" si="1697"/>
        <v>45522</v>
      </c>
      <c r="F11709" s="481"/>
      <c r="G11709" s="174" t="s">
        <v>74</v>
      </c>
      <c r="H11709" s="148" t="str" cm="1">
        <f t="array" ref="H11709">IFERROR(INDEX(INVESTOR_LIST[INVESTOR NAME],MATCH(I11709,INVESTOR_LIST[INVESTOR CODE],0),)," ")</f>
        <v xml:space="preserve"> </v>
      </c>
      <c r="J11709" s="133" t="s">
        <v>13</v>
      </c>
      <c r="K11709" s="218"/>
      <c r="L11709" s="218">
        <v>11380</v>
      </c>
    </row>
    <row r="11710" spans="1:13" x14ac:dyDescent="0.2">
      <c r="A11710" s="163">
        <v>2024</v>
      </c>
      <c r="B11710" s="163">
        <v>8</v>
      </c>
      <c r="C11710" s="163">
        <v>18</v>
      </c>
      <c r="D11710" s="280">
        <f t="shared" si="1696"/>
        <v>45522</v>
      </c>
      <c r="E11710" s="281">
        <f t="shared" si="1697"/>
        <v>45522</v>
      </c>
      <c r="F11710" s="480"/>
      <c r="G11710" s="221" t="s">
        <v>74</v>
      </c>
      <c r="H11710" s="145" t="str" cm="1">
        <f t="array" ref="H11710">IFERROR(INDEX(INVESTOR_LIST[INVESTOR NAME],MATCH(I11710,INVESTOR_LIST[INVESTOR CODE],0),)," ")</f>
        <v xml:space="preserve"> </v>
      </c>
      <c r="I11710" s="145"/>
      <c r="J11710" s="163" t="s">
        <v>53</v>
      </c>
      <c r="K11710" s="219"/>
      <c r="L11710" s="219">
        <v>3620</v>
      </c>
    </row>
    <row r="11711" spans="1:13" x14ac:dyDescent="0.2">
      <c r="A11711" s="168">
        <v>2024</v>
      </c>
      <c r="B11711" s="168">
        <v>8</v>
      </c>
      <c r="C11711" s="133">
        <v>18</v>
      </c>
      <c r="D11711" s="141">
        <f t="shared" ref="D11711:D11715" si="1702">DATE(A11711,B11711,C11711)</f>
        <v>45522</v>
      </c>
      <c r="E11711" s="275">
        <f t="shared" ref="E11711:E11715" si="1703">DATE(A11711,B11711,C11711)</f>
        <v>45522</v>
      </c>
      <c r="F11711" s="479" t="s">
        <v>1310</v>
      </c>
      <c r="G11711" s="220" t="s">
        <v>74</v>
      </c>
      <c r="H11711" s="142" t="str" cm="1">
        <f t="array" ref="H11711">IFERROR(INDEX(INVESTOR_LIST[INVESTOR NAME],MATCH(I11711,INVESTOR_LIST[INVESTOR CODE],0),)," ")</f>
        <v xml:space="preserve"> </v>
      </c>
      <c r="I11711" s="142"/>
      <c r="J11711" s="168" t="s">
        <v>13</v>
      </c>
      <c r="K11711" s="226">
        <v>5310</v>
      </c>
      <c r="L11711" s="226"/>
    </row>
    <row r="11712" spans="1:13" x14ac:dyDescent="0.2">
      <c r="A11712" s="133">
        <v>2024</v>
      </c>
      <c r="B11712" s="133">
        <v>8</v>
      </c>
      <c r="C11712" s="133">
        <v>18</v>
      </c>
      <c r="D11712" s="141">
        <f t="shared" si="1702"/>
        <v>45522</v>
      </c>
      <c r="E11712" s="275">
        <f t="shared" si="1703"/>
        <v>45522</v>
      </c>
      <c r="F11712" s="481"/>
      <c r="G11712" s="174" t="s">
        <v>74</v>
      </c>
      <c r="H11712" s="148" t="str" cm="1">
        <f t="array" ref="H11712">IFERROR(INDEX(INVESTOR_LIST[INVESTOR NAME],MATCH(I11712,INVESTOR_LIST[INVESTOR CODE],0),)," ")</f>
        <v xml:space="preserve"> </v>
      </c>
      <c r="J11712" s="133" t="s">
        <v>53</v>
      </c>
      <c r="K11712" s="218">
        <v>1690</v>
      </c>
      <c r="L11712" s="218"/>
    </row>
    <row r="11713" spans="1:17" x14ac:dyDescent="0.2">
      <c r="A11713" s="163">
        <v>2024</v>
      </c>
      <c r="B11713" s="163">
        <v>8</v>
      </c>
      <c r="C11713" s="163">
        <v>18</v>
      </c>
      <c r="D11713" s="280">
        <f t="shared" si="1702"/>
        <v>45522</v>
      </c>
      <c r="E11713" s="281">
        <f t="shared" si="1703"/>
        <v>45522</v>
      </c>
      <c r="F11713" s="480"/>
      <c r="G11713" s="221" t="s">
        <v>74</v>
      </c>
      <c r="H11713" s="145" t="str" cm="1">
        <f t="array" ref="H11713">IFERROR(INDEX(INVESTOR_LIST[INVESTOR NAME],MATCH(I11713,INVESTOR_LIST[INVESTOR CODE],0),)," ")</f>
        <v xml:space="preserve"> </v>
      </c>
      <c r="I11713" s="145"/>
      <c r="J11713" s="163" t="s">
        <v>52</v>
      </c>
      <c r="K11713" s="219"/>
      <c r="L11713" s="219">
        <v>7000</v>
      </c>
    </row>
    <row r="11714" spans="1:17" x14ac:dyDescent="0.2">
      <c r="A11714" s="133">
        <v>2024</v>
      </c>
      <c r="B11714" s="133">
        <v>8</v>
      </c>
      <c r="C11714" s="133">
        <v>18</v>
      </c>
      <c r="D11714" s="141">
        <f t="shared" si="1702"/>
        <v>45522</v>
      </c>
      <c r="E11714" s="275">
        <f t="shared" si="1703"/>
        <v>45522</v>
      </c>
      <c r="F11714" s="481" t="s">
        <v>1928</v>
      </c>
      <c r="G11714" s="174" t="s">
        <v>74</v>
      </c>
      <c r="H11714" s="174" t="str" cm="1">
        <f t="array" ref="H11714">IFERROR(INDEX(INVESTOR_LIST[INVESTOR NAME],MATCH(I11714,INVESTOR_LIST[INVESTOR CODE],0),)," ")</f>
        <v xml:space="preserve"> </v>
      </c>
      <c r="J11714" s="149" t="s">
        <v>534</v>
      </c>
      <c r="K11714" s="218">
        <v>135.78</v>
      </c>
      <c r="L11714" s="218"/>
      <c r="M11714" s="147"/>
    </row>
    <row r="11715" spans="1:17" x14ac:dyDescent="0.2">
      <c r="A11715" s="163">
        <v>2024</v>
      </c>
      <c r="B11715" s="163">
        <v>8</v>
      </c>
      <c r="C11715" s="163">
        <v>18</v>
      </c>
      <c r="D11715" s="280">
        <f t="shared" si="1702"/>
        <v>45522</v>
      </c>
      <c r="E11715" s="281">
        <f t="shared" si="1703"/>
        <v>45522</v>
      </c>
      <c r="F11715" s="480"/>
      <c r="G11715" s="221" t="s">
        <v>74</v>
      </c>
      <c r="H11715" s="221" t="str" cm="1">
        <f t="array" ref="H11715">IFERROR(INDEX(INVESTOR_LIST[INVESTOR NAME],MATCH(I11715,INVESTOR_LIST[INVESTOR CODE],0),)," ")</f>
        <v xml:space="preserve"> </v>
      </c>
      <c r="I11715" s="145"/>
      <c r="J11715" s="146" t="s">
        <v>52</v>
      </c>
      <c r="K11715" s="219"/>
      <c r="L11715" s="219">
        <v>135.78</v>
      </c>
      <c r="M11715" s="147"/>
    </row>
    <row r="11716" spans="1:17" x14ac:dyDescent="0.2">
      <c r="A11716" s="133">
        <v>2024</v>
      </c>
      <c r="B11716" s="168">
        <v>8</v>
      </c>
      <c r="C11716" s="168">
        <v>18</v>
      </c>
      <c r="D11716" s="141">
        <f>DATE(A11716,B11716,C11716)</f>
        <v>45522</v>
      </c>
      <c r="E11716" s="275">
        <f>DATE(A11716,B11716,C11716)</f>
        <v>45522</v>
      </c>
      <c r="F11716" s="479" t="s">
        <v>1943</v>
      </c>
      <c r="G11716" s="174" t="s">
        <v>74</v>
      </c>
      <c r="H11716" s="148" t="str" cm="1">
        <f t="array" ref="H11716">IFERROR(INDEX(INVESTOR_LIST[INVESTOR NAME],MATCH(I11716,INVESTOR_LIST[INVESTOR CODE],0),)," ")</f>
        <v xml:space="preserve"> </v>
      </c>
      <c r="I11716" s="148" t="s">
        <v>348</v>
      </c>
      <c r="J11716" s="133" t="s">
        <v>61</v>
      </c>
      <c r="K11716" s="172">
        <v>200</v>
      </c>
    </row>
    <row r="11717" spans="1:17" x14ac:dyDescent="0.2">
      <c r="A11717" s="163">
        <v>2024</v>
      </c>
      <c r="B11717" s="163">
        <v>8</v>
      </c>
      <c r="C11717" s="163">
        <v>18</v>
      </c>
      <c r="D11717" s="280">
        <f>DATE(A11717,B11717,C11717)</f>
        <v>45522</v>
      </c>
      <c r="E11717" s="281">
        <f>DATE(A11717,B11717,C11717)</f>
        <v>45522</v>
      </c>
      <c r="F11717" s="480"/>
      <c r="G11717" s="221" t="s">
        <v>74</v>
      </c>
      <c r="H11717" s="145" t="str" cm="1">
        <f t="array" ref="H11717">IFERROR(INDEX(INVESTOR_LIST[INVESTOR NAME],MATCH(I11717,INVESTOR_LIST[INVESTOR CODE],0),)," ")</f>
        <v xml:space="preserve"> </v>
      </c>
      <c r="I11717" s="145" t="s">
        <v>348</v>
      </c>
      <c r="J11717" s="163" t="s">
        <v>52</v>
      </c>
      <c r="K11717" s="219"/>
      <c r="L11717" s="219">
        <v>200</v>
      </c>
    </row>
    <row r="11718" spans="1:17" ht="11.25" customHeight="1" x14ac:dyDescent="0.2">
      <c r="A11718" s="133">
        <v>2024</v>
      </c>
      <c r="B11718" s="168">
        <v>8</v>
      </c>
      <c r="C11718" s="168">
        <v>19</v>
      </c>
      <c r="D11718" s="141">
        <f>DATE(A11718,B11718,C11718)</f>
        <v>45523</v>
      </c>
      <c r="E11718" s="275">
        <f>DATE(A11718,B11718,C11718)</f>
        <v>45523</v>
      </c>
      <c r="F11718" s="481" t="s">
        <v>1973</v>
      </c>
      <c r="G11718" s="174" t="s">
        <v>74</v>
      </c>
      <c r="H11718" s="174" t="str" cm="1">
        <f t="array" ref="H11718">IFERROR(INDEX(INVESTOR_LIST[INVESTOR NAME],MATCH(I11718,INVESTOR_LIST[INVESTOR CODE],0),)," ")</f>
        <v xml:space="preserve"> </v>
      </c>
      <c r="I11718" s="148" t="s">
        <v>348</v>
      </c>
      <c r="J11718" s="149" t="s">
        <v>52</v>
      </c>
      <c r="K11718" s="218">
        <v>2000000</v>
      </c>
      <c r="L11718" s="218"/>
      <c r="M11718" s="147"/>
      <c r="Q11718" s="133" t="s">
        <v>348</v>
      </c>
    </row>
    <row r="11719" spans="1:17" x14ac:dyDescent="0.2">
      <c r="A11719" s="133">
        <v>2024</v>
      </c>
      <c r="B11719" s="133">
        <v>8</v>
      </c>
      <c r="C11719" s="133">
        <v>19</v>
      </c>
      <c r="D11719" s="141">
        <f t="shared" ref="D11719" si="1704">DATE(A11719,B11719,C11719)</f>
        <v>45523</v>
      </c>
      <c r="E11719" s="275">
        <f t="shared" ref="E11719" si="1705">DATE(A11719,B11719,C11719)</f>
        <v>45523</v>
      </c>
      <c r="F11719" s="481"/>
      <c r="G11719" s="174" t="s">
        <v>74</v>
      </c>
      <c r="H11719" s="174" t="str" cm="1">
        <f t="array" ref="H11719">IFERROR(INDEX(INVESTOR_LIST[INVESTOR NAME],MATCH(I11719,INVESTOR_LIST[INVESTOR CODE],0),)," ")</f>
        <v xml:space="preserve"> </v>
      </c>
      <c r="J11719" s="149" t="s">
        <v>1809</v>
      </c>
      <c r="K11719" s="218"/>
      <c r="L11719" s="218">
        <v>153188</v>
      </c>
      <c r="M11719" s="147"/>
    </row>
    <row r="11720" spans="1:17" x14ac:dyDescent="0.2">
      <c r="A11720" s="163">
        <v>2024</v>
      </c>
      <c r="B11720" s="163">
        <v>8</v>
      </c>
      <c r="C11720" s="163">
        <v>19</v>
      </c>
      <c r="D11720" s="280">
        <f>DATE(A11720,B11720,C11720)</f>
        <v>45523</v>
      </c>
      <c r="E11720" s="281">
        <f>DATE(A11720,B11720,C11720)</f>
        <v>45523</v>
      </c>
      <c r="F11720" s="480"/>
      <c r="G11720" s="221" t="s">
        <v>74</v>
      </c>
      <c r="H11720" s="221" t="str" cm="1">
        <f t="array" ref="H11720">IFERROR(INDEX(INVESTOR_LIST[INVESTOR NAME],MATCH(I11720,INVESTOR_LIST[INVESTOR CODE],0),)," ")</f>
        <v xml:space="preserve"> </v>
      </c>
      <c r="I11720" s="145"/>
      <c r="J11720" s="146" t="s">
        <v>1764</v>
      </c>
      <c r="K11720" s="219"/>
      <c r="L11720" s="219">
        <v>1846812</v>
      </c>
      <c r="M11720" s="147"/>
      <c r="Q11720" s="133" t="s">
        <v>348</v>
      </c>
    </row>
    <row r="11721" spans="1:17" ht="33.75" x14ac:dyDescent="0.2">
      <c r="A11721" s="168">
        <v>2024</v>
      </c>
      <c r="B11721" s="168">
        <v>8</v>
      </c>
      <c r="C11721" s="168">
        <v>21</v>
      </c>
      <c r="D11721" s="141">
        <f t="shared" si="1696"/>
        <v>45525</v>
      </c>
      <c r="E11721" s="275">
        <f t="shared" si="1697"/>
        <v>45525</v>
      </c>
      <c r="F11721" s="479" t="s">
        <v>1315</v>
      </c>
      <c r="G11721" s="220" t="s">
        <v>74</v>
      </c>
      <c r="H11721" s="142" t="str" cm="1">
        <f t="array" ref="H11721">IFERROR(INDEX(INVESTOR_LIST[INVESTOR NAME],MATCH(I11721,INVESTOR_LIST[INVESTOR CODE],0),)," ")</f>
        <v>MD. BADI-UZ-ZAMAN</v>
      </c>
      <c r="I11721" s="142" t="s">
        <v>393</v>
      </c>
      <c r="J11721" s="168" t="s">
        <v>13</v>
      </c>
      <c r="K11721" s="226">
        <v>113780</v>
      </c>
      <c r="L11721" s="226"/>
    </row>
    <row r="11722" spans="1:17" ht="33.75" x14ac:dyDescent="0.2">
      <c r="A11722" s="133">
        <v>2024</v>
      </c>
      <c r="B11722" s="133">
        <v>8</v>
      </c>
      <c r="C11722" s="133">
        <v>21</v>
      </c>
      <c r="D11722" s="141">
        <f t="shared" si="1696"/>
        <v>45525</v>
      </c>
      <c r="E11722" s="275">
        <f t="shared" si="1697"/>
        <v>45525</v>
      </c>
      <c r="F11722" s="481"/>
      <c r="G11722" s="174" t="s">
        <v>74</v>
      </c>
      <c r="H11722" s="148" t="str" cm="1">
        <f t="array" ref="H11722">IFERROR(INDEX(INVESTOR_LIST[INVESTOR NAME],MATCH(I11722,INVESTOR_LIST[INVESTOR CODE],0),)," ")</f>
        <v>MD. BADI-UZ-ZAMAN</v>
      </c>
      <c r="I11722" s="148" t="s">
        <v>393</v>
      </c>
      <c r="J11722" s="133" t="s">
        <v>53</v>
      </c>
      <c r="K11722" s="218">
        <v>36220</v>
      </c>
      <c r="L11722" s="218"/>
    </row>
    <row r="11723" spans="1:17" ht="33.75" x14ac:dyDescent="0.2">
      <c r="A11723" s="163">
        <v>2024</v>
      </c>
      <c r="B11723" s="163">
        <v>8</v>
      </c>
      <c r="C11723" s="163">
        <v>21</v>
      </c>
      <c r="D11723" s="280">
        <f t="shared" si="1696"/>
        <v>45525</v>
      </c>
      <c r="E11723" s="281">
        <f t="shared" si="1697"/>
        <v>45525</v>
      </c>
      <c r="F11723" s="480"/>
      <c r="G11723" s="221" t="s">
        <v>74</v>
      </c>
      <c r="H11723" s="145" t="str" cm="1">
        <f t="array" ref="H11723">IFERROR(INDEX(INVESTOR_LIST[INVESTOR NAME],MATCH(I11723,INVESTOR_LIST[INVESTOR CODE],0),)," ")</f>
        <v>MD. BADI-UZ-ZAMAN</v>
      </c>
      <c r="I11723" s="145" t="s">
        <v>393</v>
      </c>
      <c r="J11723" s="163" t="s">
        <v>52</v>
      </c>
      <c r="K11723" s="219"/>
      <c r="L11723" s="219">
        <v>150000</v>
      </c>
    </row>
    <row r="11724" spans="1:17" x14ac:dyDescent="0.2">
      <c r="A11724" s="133">
        <v>2024</v>
      </c>
      <c r="B11724" s="168">
        <v>8</v>
      </c>
      <c r="C11724" s="168">
        <v>21</v>
      </c>
      <c r="D11724" s="141">
        <f>DATE(A11724,B11724,C11724)</f>
        <v>45525</v>
      </c>
      <c r="E11724" s="275">
        <f>DATE(A11724,B11724,C11724)</f>
        <v>45525</v>
      </c>
      <c r="F11724" s="479" t="s">
        <v>1943</v>
      </c>
      <c r="G11724" s="174" t="s">
        <v>74</v>
      </c>
      <c r="H11724" s="148" t="str" cm="1">
        <f t="array" ref="H11724">IFERROR(INDEX(INVESTOR_LIST[INVESTOR NAME],MATCH(I11724,INVESTOR_LIST[INVESTOR CODE],0),)," ")</f>
        <v xml:space="preserve"> </v>
      </c>
      <c r="I11724" s="148" t="s">
        <v>348</v>
      </c>
      <c r="J11724" s="133" t="s">
        <v>61</v>
      </c>
      <c r="K11724" s="172">
        <v>58</v>
      </c>
    </row>
    <row r="11725" spans="1:17" x14ac:dyDescent="0.2">
      <c r="A11725" s="163">
        <v>2024</v>
      </c>
      <c r="B11725" s="163">
        <v>8</v>
      </c>
      <c r="C11725" s="163">
        <v>21</v>
      </c>
      <c r="D11725" s="280">
        <f>DATE(A11725,B11725,C11725)</f>
        <v>45525</v>
      </c>
      <c r="E11725" s="281">
        <f>DATE(A11725,B11725,C11725)</f>
        <v>45525</v>
      </c>
      <c r="F11725" s="480"/>
      <c r="G11725" s="221" t="s">
        <v>74</v>
      </c>
      <c r="H11725" s="145" t="str" cm="1">
        <f t="array" ref="H11725">IFERROR(INDEX(INVESTOR_LIST[INVESTOR NAME],MATCH(I11725,INVESTOR_LIST[INVESTOR CODE],0),)," ")</f>
        <v xml:space="preserve"> </v>
      </c>
      <c r="I11725" s="145" t="s">
        <v>348</v>
      </c>
      <c r="J11725" s="163" t="s">
        <v>52</v>
      </c>
      <c r="K11725" s="219"/>
      <c r="L11725" s="219">
        <v>58</v>
      </c>
    </row>
    <row r="11726" spans="1:17" x14ac:dyDescent="0.2">
      <c r="A11726" s="133">
        <v>2024</v>
      </c>
      <c r="B11726" s="168">
        <v>8</v>
      </c>
      <c r="C11726" s="168">
        <v>22</v>
      </c>
      <c r="D11726" s="141">
        <f>DATE(A11726,B11726,C11726)</f>
        <v>45526</v>
      </c>
      <c r="E11726" s="275">
        <f>DATE(A11726,B11726,C11726)</f>
        <v>45526</v>
      </c>
      <c r="F11726" s="479" t="s">
        <v>1943</v>
      </c>
      <c r="G11726" s="174" t="s">
        <v>74</v>
      </c>
      <c r="H11726" s="148" t="str" cm="1">
        <f t="array" ref="H11726">IFERROR(INDEX(INVESTOR_LIST[INVESTOR NAME],MATCH(I11726,INVESTOR_LIST[INVESTOR CODE],0),)," ")</f>
        <v xml:space="preserve"> </v>
      </c>
      <c r="I11726" s="148" t="s">
        <v>348</v>
      </c>
      <c r="J11726" s="133" t="s">
        <v>61</v>
      </c>
      <c r="K11726" s="172">
        <v>116</v>
      </c>
    </row>
    <row r="11727" spans="1:17" x14ac:dyDescent="0.2">
      <c r="A11727" s="163">
        <v>2024</v>
      </c>
      <c r="B11727" s="163">
        <v>8</v>
      </c>
      <c r="C11727" s="163">
        <v>22</v>
      </c>
      <c r="D11727" s="280">
        <f>DATE(A11727,B11727,C11727)</f>
        <v>45526</v>
      </c>
      <c r="E11727" s="281">
        <f>DATE(A11727,B11727,C11727)</f>
        <v>45526</v>
      </c>
      <c r="F11727" s="480"/>
      <c r="G11727" s="221" t="s">
        <v>74</v>
      </c>
      <c r="H11727" s="145" t="str" cm="1">
        <f t="array" ref="H11727">IFERROR(INDEX(INVESTOR_LIST[INVESTOR NAME],MATCH(I11727,INVESTOR_LIST[INVESTOR CODE],0),)," ")</f>
        <v xml:space="preserve"> </v>
      </c>
      <c r="I11727" s="145" t="s">
        <v>348</v>
      </c>
      <c r="J11727" s="163" t="s">
        <v>52</v>
      </c>
      <c r="K11727" s="219"/>
      <c r="L11727" s="219">
        <v>116</v>
      </c>
    </row>
    <row r="11728" spans="1:17" ht="33.75" x14ac:dyDescent="0.2">
      <c r="A11728" s="168">
        <v>2024</v>
      </c>
      <c r="B11728" s="168">
        <v>8</v>
      </c>
      <c r="C11728" s="168">
        <v>22</v>
      </c>
      <c r="D11728" s="141">
        <f t="shared" ref="D11728:D11730" si="1706">DATE(A11728,B11728,C11728)</f>
        <v>45526</v>
      </c>
      <c r="E11728" s="275">
        <f t="shared" ref="E11728:E11730" si="1707">DATE(A11728,B11728,C11728)</f>
        <v>45526</v>
      </c>
      <c r="F11728" s="479" t="s">
        <v>1315</v>
      </c>
      <c r="G11728" s="220" t="s">
        <v>74</v>
      </c>
      <c r="H11728" s="142" t="str" cm="1">
        <f t="array" ref="H11728">IFERROR(INDEX(INVESTOR_LIST[INVESTOR NAME],MATCH(I11728,INVESTOR_LIST[INVESTOR CODE],0),)," ")</f>
        <v>MD. BADI-UZ-ZAMAN</v>
      </c>
      <c r="I11728" s="142" t="s">
        <v>393</v>
      </c>
      <c r="J11728" s="168" t="s">
        <v>13</v>
      </c>
      <c r="K11728" s="226">
        <v>199190</v>
      </c>
      <c r="L11728" s="226"/>
    </row>
    <row r="11729" spans="1:13" ht="33.75" x14ac:dyDescent="0.2">
      <c r="A11729" s="133">
        <v>2024</v>
      </c>
      <c r="B11729" s="133">
        <v>8</v>
      </c>
      <c r="C11729" s="133">
        <v>22</v>
      </c>
      <c r="D11729" s="141">
        <f t="shared" si="1706"/>
        <v>45526</v>
      </c>
      <c r="E11729" s="275">
        <f t="shared" si="1707"/>
        <v>45526</v>
      </c>
      <c r="F11729" s="481"/>
      <c r="G11729" s="174" t="s">
        <v>74</v>
      </c>
      <c r="H11729" s="148" t="str" cm="1">
        <f t="array" ref="H11729">IFERROR(INDEX(INVESTOR_LIST[INVESTOR NAME],MATCH(I11729,INVESTOR_LIST[INVESTOR CODE],0),)," ")</f>
        <v>MD. BADI-UZ-ZAMAN</v>
      </c>
      <c r="I11729" s="148" t="s">
        <v>393</v>
      </c>
      <c r="J11729" s="133" t="s">
        <v>53</v>
      </c>
      <c r="K11729" s="218">
        <v>63402.179999999993</v>
      </c>
      <c r="L11729" s="218"/>
    </row>
    <row r="11730" spans="1:13" ht="33.75" x14ac:dyDescent="0.2">
      <c r="A11730" s="163">
        <v>2024</v>
      </c>
      <c r="B11730" s="163">
        <v>8</v>
      </c>
      <c r="C11730" s="163">
        <v>22</v>
      </c>
      <c r="D11730" s="280">
        <f t="shared" si="1706"/>
        <v>45526</v>
      </c>
      <c r="E11730" s="281">
        <f t="shared" si="1707"/>
        <v>45526</v>
      </c>
      <c r="F11730" s="480"/>
      <c r="G11730" s="221" t="s">
        <v>74</v>
      </c>
      <c r="H11730" s="145" t="str" cm="1">
        <f t="array" ref="H11730">IFERROR(INDEX(INVESTOR_LIST[INVESTOR NAME],MATCH(I11730,INVESTOR_LIST[INVESTOR CODE],0),)," ")</f>
        <v>MD. BADI-UZ-ZAMAN</v>
      </c>
      <c r="I11730" s="145" t="s">
        <v>393</v>
      </c>
      <c r="J11730" s="163" t="s">
        <v>52</v>
      </c>
      <c r="K11730" s="219"/>
      <c r="L11730" s="219">
        <v>262592.18</v>
      </c>
    </row>
    <row r="11731" spans="1:13" ht="33.75" x14ac:dyDescent="0.2">
      <c r="A11731" s="168">
        <v>2024</v>
      </c>
      <c r="B11731" s="168">
        <v>8</v>
      </c>
      <c r="C11731" s="168">
        <v>22</v>
      </c>
      <c r="D11731" s="141">
        <f t="shared" ref="D11731:D11780" si="1708">DATE(A11731,B11731,C11731)</f>
        <v>45526</v>
      </c>
      <c r="E11731" s="275">
        <f t="shared" ref="E11731:E11780" si="1709">DATE(A11731,B11731,C11731)</f>
        <v>45526</v>
      </c>
      <c r="F11731" s="479" t="s">
        <v>1315</v>
      </c>
      <c r="G11731" s="220" t="s">
        <v>74</v>
      </c>
      <c r="H11731" s="142" t="str" cm="1">
        <f t="array" ref="H11731">IFERROR(INDEX(INVESTOR_LIST[INVESTOR NAME],MATCH(I11731,INVESTOR_LIST[INVESTOR CODE],0),)," ")</f>
        <v>MD. BADI-UZ-ZAMAN</v>
      </c>
      <c r="I11731" s="142" t="s">
        <v>393</v>
      </c>
      <c r="J11731" s="168" t="s">
        <v>13</v>
      </c>
      <c r="K11731" s="226">
        <v>188690</v>
      </c>
      <c r="L11731" s="226"/>
    </row>
    <row r="11732" spans="1:13" ht="33.75" x14ac:dyDescent="0.2">
      <c r="A11732" s="133">
        <v>2024</v>
      </c>
      <c r="B11732" s="133">
        <v>8</v>
      </c>
      <c r="C11732" s="133">
        <v>22</v>
      </c>
      <c r="D11732" s="141">
        <f t="shared" si="1708"/>
        <v>45526</v>
      </c>
      <c r="E11732" s="275">
        <f t="shared" si="1709"/>
        <v>45526</v>
      </c>
      <c r="F11732" s="481"/>
      <c r="G11732" s="174" t="s">
        <v>74</v>
      </c>
      <c r="H11732" s="148" t="str" cm="1">
        <f t="array" ref="H11732">IFERROR(INDEX(INVESTOR_LIST[INVESTOR NAME],MATCH(I11732,INVESTOR_LIST[INVESTOR CODE],0),)," ")</f>
        <v>MD. BADI-UZ-ZAMAN</v>
      </c>
      <c r="I11732" s="148" t="s">
        <v>393</v>
      </c>
      <c r="J11732" s="133" t="s">
        <v>53</v>
      </c>
      <c r="K11732" s="218">
        <v>60060.03</v>
      </c>
      <c r="L11732" s="218"/>
    </row>
    <row r="11733" spans="1:13" ht="33.75" x14ac:dyDescent="0.2">
      <c r="A11733" s="163">
        <v>2024</v>
      </c>
      <c r="B11733" s="163">
        <v>8</v>
      </c>
      <c r="C11733" s="163">
        <v>22</v>
      </c>
      <c r="D11733" s="280">
        <f t="shared" si="1708"/>
        <v>45526</v>
      </c>
      <c r="E11733" s="281">
        <f t="shared" si="1709"/>
        <v>45526</v>
      </c>
      <c r="F11733" s="480"/>
      <c r="G11733" s="221" t="s">
        <v>74</v>
      </c>
      <c r="H11733" s="145" t="str" cm="1">
        <f t="array" ref="H11733">IFERROR(INDEX(INVESTOR_LIST[INVESTOR NAME],MATCH(I11733,INVESTOR_LIST[INVESTOR CODE],0),)," ")</f>
        <v>MD. BADI-UZ-ZAMAN</v>
      </c>
      <c r="I11733" s="145" t="s">
        <v>393</v>
      </c>
      <c r="J11733" s="163" t="s">
        <v>52</v>
      </c>
      <c r="K11733" s="219"/>
      <c r="L11733" s="219">
        <v>248750.03</v>
      </c>
    </row>
    <row r="11734" spans="1:13" x14ac:dyDescent="0.2">
      <c r="A11734" s="133">
        <v>2024</v>
      </c>
      <c r="B11734" s="133">
        <v>8</v>
      </c>
      <c r="C11734" s="133">
        <v>22</v>
      </c>
      <c r="D11734" s="141">
        <f t="shared" si="1708"/>
        <v>45526</v>
      </c>
      <c r="E11734" s="275">
        <f t="shared" si="1709"/>
        <v>45526</v>
      </c>
      <c r="F11734" s="481" t="s">
        <v>1974</v>
      </c>
      <c r="G11734" s="174" t="s">
        <v>94</v>
      </c>
      <c r="H11734" s="174" t="str" cm="1">
        <f t="array" ref="H11734">IFERROR(INDEX(INVESTOR_LIST[INVESTOR NAME],MATCH(I11734,INVESTOR_LIST[INVESTOR CODE],0),)," ")</f>
        <v xml:space="preserve"> </v>
      </c>
      <c r="J11734" s="149" t="s">
        <v>79</v>
      </c>
      <c r="K11734" s="218">
        <v>2363856.7999999998</v>
      </c>
      <c r="L11734" s="218"/>
      <c r="M11734" s="160"/>
    </row>
    <row r="11735" spans="1:13" x14ac:dyDescent="0.2">
      <c r="A11735" s="133">
        <v>2024</v>
      </c>
      <c r="B11735" s="133">
        <v>8</v>
      </c>
      <c r="C11735" s="133">
        <v>22</v>
      </c>
      <c r="D11735" s="141">
        <f t="shared" si="1708"/>
        <v>45526</v>
      </c>
      <c r="E11735" s="275">
        <f t="shared" si="1709"/>
        <v>45526</v>
      </c>
      <c r="F11735" s="481"/>
      <c r="G11735" s="174" t="s">
        <v>94</v>
      </c>
      <c r="H11735" s="174" t="str" cm="1">
        <f t="array" ref="H11735">IFERROR(INDEX(INVESTOR_LIST[INVESTOR NAME],MATCH(I11735,INVESTOR_LIST[INVESTOR CODE],0),)," ")</f>
        <v xml:space="preserve"> </v>
      </c>
      <c r="J11735" s="149" t="s">
        <v>80</v>
      </c>
      <c r="K11735" s="218">
        <v>4254.9422000000004</v>
      </c>
      <c r="L11735" s="133"/>
    </row>
    <row r="11736" spans="1:13" x14ac:dyDescent="0.2">
      <c r="A11736" s="133">
        <v>2024</v>
      </c>
      <c r="B11736" s="133">
        <v>8</v>
      </c>
      <c r="C11736" s="133">
        <v>22</v>
      </c>
      <c r="D11736" s="141">
        <f t="shared" si="1708"/>
        <v>45526</v>
      </c>
      <c r="E11736" s="275">
        <f t="shared" si="1709"/>
        <v>45526</v>
      </c>
      <c r="F11736" s="481"/>
      <c r="G11736" s="174" t="s">
        <v>94</v>
      </c>
      <c r="H11736" s="174" t="str" cm="1">
        <f t="array" ref="H11736">IFERROR(INDEX(INVESTOR_LIST[INVESTOR NAME],MATCH(I11736,INVESTOR_LIST[INVESTOR CODE],0),)," ")</f>
        <v xml:space="preserve"> </v>
      </c>
      <c r="J11736" s="149" t="s">
        <v>147</v>
      </c>
      <c r="K11736" s="218"/>
      <c r="L11736" s="218">
        <v>2368111.7400000002</v>
      </c>
    </row>
    <row r="11737" spans="1:13" x14ac:dyDescent="0.2">
      <c r="A11737" s="325">
        <v>2024</v>
      </c>
      <c r="B11737" s="325">
        <v>8</v>
      </c>
      <c r="C11737" s="325">
        <v>22</v>
      </c>
      <c r="D11737" s="326">
        <f t="shared" si="1708"/>
        <v>45526</v>
      </c>
      <c r="E11737" s="327">
        <f t="shared" si="1709"/>
        <v>45526</v>
      </c>
      <c r="F11737" s="473" t="s">
        <v>1940</v>
      </c>
      <c r="G11737" s="340" t="s">
        <v>94</v>
      </c>
      <c r="H11737" s="340" t="str" cm="1">
        <f t="array" ref="H11737">IFERROR(INDEX(INVESTOR_LIST[INVESTOR NAME],MATCH(I11737,INVESTOR_LIST[INVESTOR CODE],0),)," ")</f>
        <v xml:space="preserve"> </v>
      </c>
      <c r="I11737" s="341" t="s">
        <v>348</v>
      </c>
      <c r="J11737" s="374" t="s">
        <v>133</v>
      </c>
      <c r="K11737" s="375">
        <v>12905.555555555549</v>
      </c>
      <c r="L11737" s="375"/>
    </row>
    <row r="11738" spans="1:13" x14ac:dyDescent="0.2">
      <c r="A11738" s="331">
        <v>2024</v>
      </c>
      <c r="B11738" s="331">
        <v>8</v>
      </c>
      <c r="C11738" s="331">
        <v>22</v>
      </c>
      <c r="D11738" s="326">
        <f t="shared" si="1708"/>
        <v>45526</v>
      </c>
      <c r="E11738" s="327">
        <f t="shared" si="1709"/>
        <v>45526</v>
      </c>
      <c r="F11738" s="474"/>
      <c r="G11738" s="332" t="s">
        <v>94</v>
      </c>
      <c r="H11738" s="332" t="str" cm="1">
        <f t="array" ref="H11738">IFERROR(INDEX(INVESTOR_LIST[INVESTOR NAME],MATCH(I11738,INVESTOR_LIST[INVESTOR CODE],0),)," ")</f>
        <v xml:space="preserve"> </v>
      </c>
      <c r="I11738" s="333" t="s">
        <v>348</v>
      </c>
      <c r="J11738" s="376" t="s">
        <v>60</v>
      </c>
      <c r="K11738" s="334"/>
      <c r="L11738" s="334">
        <v>12905.555555555549</v>
      </c>
    </row>
    <row r="11739" spans="1:13" x14ac:dyDescent="0.2">
      <c r="A11739" s="384">
        <v>2024</v>
      </c>
      <c r="B11739" s="384">
        <v>8</v>
      </c>
      <c r="C11739" s="384">
        <v>22</v>
      </c>
      <c r="D11739" s="385">
        <f t="shared" si="1708"/>
        <v>45526</v>
      </c>
      <c r="E11739" s="386">
        <f t="shared" si="1709"/>
        <v>45526</v>
      </c>
      <c r="F11739" s="475" t="s">
        <v>1966</v>
      </c>
      <c r="G11739" s="387" t="s">
        <v>94</v>
      </c>
      <c r="H11739" s="387" t="str" cm="1">
        <f t="array" ref="H11739">IFERROR(INDEX(INVESTOR_LIST[INVESTOR NAME],MATCH(I11739,INVESTOR_LIST[INVESTOR CODE],0),)," ")</f>
        <v xml:space="preserve"> </v>
      </c>
      <c r="I11739" s="388" t="s">
        <v>348</v>
      </c>
      <c r="J11739" s="389" t="s">
        <v>67</v>
      </c>
      <c r="K11739" s="390">
        <v>27038.07</v>
      </c>
      <c r="L11739" s="390"/>
    </row>
    <row r="11740" spans="1:13" x14ac:dyDescent="0.2">
      <c r="A11740" s="391">
        <v>2024</v>
      </c>
      <c r="B11740" s="391">
        <v>8</v>
      </c>
      <c r="C11740" s="391">
        <v>22</v>
      </c>
      <c r="D11740" s="385">
        <f t="shared" si="1708"/>
        <v>45526</v>
      </c>
      <c r="E11740" s="386">
        <f t="shared" si="1709"/>
        <v>45526</v>
      </c>
      <c r="F11740" s="476"/>
      <c r="G11740" s="392" t="s">
        <v>94</v>
      </c>
      <c r="H11740" s="392" t="str" cm="1">
        <f t="array" ref="H11740">IFERROR(INDEX(INVESTOR_LIST[INVESTOR NAME],MATCH(I11740,INVESTOR_LIST[INVESTOR CODE],0),)," ")</f>
        <v xml:space="preserve"> </v>
      </c>
      <c r="I11740" s="393" t="s">
        <v>348</v>
      </c>
      <c r="J11740" s="394" t="s">
        <v>60</v>
      </c>
      <c r="K11740" s="395"/>
      <c r="L11740" s="395">
        <f>K11739</f>
        <v>27038.07</v>
      </c>
    </row>
    <row r="11741" spans="1:13" x14ac:dyDescent="0.2">
      <c r="A11741" s="343">
        <v>2024</v>
      </c>
      <c r="B11741" s="343">
        <v>8</v>
      </c>
      <c r="C11741" s="343">
        <v>22</v>
      </c>
      <c r="D11741" s="344">
        <f t="shared" si="1708"/>
        <v>45526</v>
      </c>
      <c r="E11741" s="345">
        <f t="shared" si="1709"/>
        <v>45526</v>
      </c>
      <c r="F11741" s="483" t="s">
        <v>1813</v>
      </c>
      <c r="G11741" s="350" t="s">
        <v>94</v>
      </c>
      <c r="H11741" s="350" t="str" cm="1">
        <f t="array" ref="H11741">IFERROR(INDEX(INVESTOR_LIST[INVESTOR NAME],MATCH(I11741,INVESTOR_LIST[INVESTOR CODE],0),)," ")</f>
        <v xml:space="preserve"> </v>
      </c>
      <c r="I11741" s="352" t="s">
        <v>348</v>
      </c>
      <c r="J11741" s="353" t="s">
        <v>1807</v>
      </c>
      <c r="K11741" s="354">
        <v>142237</v>
      </c>
      <c r="L11741" s="354"/>
    </row>
    <row r="11742" spans="1:13" x14ac:dyDescent="0.2">
      <c r="A11742" s="346">
        <v>2024</v>
      </c>
      <c r="B11742" s="346">
        <v>8</v>
      </c>
      <c r="C11742" s="346">
        <v>22</v>
      </c>
      <c r="D11742" s="344">
        <f t="shared" si="1708"/>
        <v>45526</v>
      </c>
      <c r="E11742" s="345">
        <f t="shared" si="1709"/>
        <v>45526</v>
      </c>
      <c r="F11742" s="484"/>
      <c r="G11742" s="347" t="s">
        <v>94</v>
      </c>
      <c r="H11742" s="347" t="str" cm="1">
        <f t="array" ref="H11742">IFERROR(INDEX(INVESTOR_LIST[INVESTOR NAME],MATCH(I11742,INVESTOR_LIST[INVESTOR CODE],0),)," ")</f>
        <v xml:space="preserve"> </v>
      </c>
      <c r="I11742" s="348" t="s">
        <v>348</v>
      </c>
      <c r="J11742" s="355" t="s">
        <v>1798</v>
      </c>
      <c r="K11742" s="349"/>
      <c r="L11742" s="349">
        <f>K11741</f>
        <v>142237</v>
      </c>
    </row>
    <row r="11743" spans="1:13" x14ac:dyDescent="0.2">
      <c r="A11743" s="343">
        <v>2024</v>
      </c>
      <c r="B11743" s="343">
        <v>8</v>
      </c>
      <c r="C11743" s="343">
        <v>22</v>
      </c>
      <c r="D11743" s="344">
        <f t="shared" si="1708"/>
        <v>45526</v>
      </c>
      <c r="E11743" s="345">
        <f t="shared" si="1709"/>
        <v>45526</v>
      </c>
      <c r="F11743" s="483" t="s">
        <v>1913</v>
      </c>
      <c r="G11743" s="350" t="s">
        <v>94</v>
      </c>
      <c r="H11743" s="350" t="str" cm="1">
        <f t="array" ref="H11743">IFERROR(INDEX(INVESTOR_LIST[INVESTOR NAME],MATCH(I11743,INVESTOR_LIST[INVESTOR CODE],0),)," ")</f>
        <v xml:space="preserve"> </v>
      </c>
      <c r="I11743" s="352" t="s">
        <v>348</v>
      </c>
      <c r="J11743" s="353" t="s">
        <v>1799</v>
      </c>
      <c r="K11743" s="354">
        <v>94086.329999998212</v>
      </c>
      <c r="L11743" s="354"/>
    </row>
    <row r="11744" spans="1:13" x14ac:dyDescent="0.2">
      <c r="A11744" s="346">
        <v>2024</v>
      </c>
      <c r="B11744" s="346">
        <v>8</v>
      </c>
      <c r="C11744" s="346">
        <v>22</v>
      </c>
      <c r="D11744" s="344">
        <f t="shared" si="1708"/>
        <v>45526</v>
      </c>
      <c r="E11744" s="345">
        <f t="shared" si="1709"/>
        <v>45526</v>
      </c>
      <c r="F11744" s="484"/>
      <c r="G11744" s="347" t="s">
        <v>94</v>
      </c>
      <c r="H11744" s="347" t="str" cm="1">
        <f t="array" ref="H11744">IFERROR(INDEX(INVESTOR_LIST[INVESTOR NAME],MATCH(I11744,INVESTOR_LIST[INVESTOR CODE],0),)," ")</f>
        <v xml:space="preserve"> </v>
      </c>
      <c r="I11744" s="348" t="s">
        <v>348</v>
      </c>
      <c r="J11744" s="355" t="s">
        <v>1808</v>
      </c>
      <c r="K11744" s="349"/>
      <c r="L11744" s="349">
        <f>K11743</f>
        <v>94086.329999998212</v>
      </c>
    </row>
    <row r="11745" spans="1:13" ht="11.25" customHeight="1" x14ac:dyDescent="0.2">
      <c r="A11745" s="238">
        <v>2024</v>
      </c>
      <c r="B11745" s="238">
        <v>8</v>
      </c>
      <c r="C11745" s="238">
        <v>22</v>
      </c>
      <c r="D11745" s="270">
        <f t="shared" si="1708"/>
        <v>45526</v>
      </c>
      <c r="E11745" s="279">
        <f t="shared" si="1709"/>
        <v>45526</v>
      </c>
      <c r="F11745" s="477" t="s">
        <v>347</v>
      </c>
      <c r="G11745" s="239" t="s">
        <v>94</v>
      </c>
      <c r="H11745" s="239" t="str" cm="1">
        <f t="array" ref="H11745">IFERROR(INDEX(INVESTOR_LIST[INVESTOR NAME],MATCH(I11745,INVESTOR_LIST[INVESTOR CODE],0),)," ")</f>
        <v xml:space="preserve"> </v>
      </c>
      <c r="I11745" s="262" t="s">
        <v>348</v>
      </c>
      <c r="J11745" s="240" t="s">
        <v>82</v>
      </c>
      <c r="K11745" s="241">
        <v>287999.59999999404</v>
      </c>
      <c r="L11745" s="241"/>
    </row>
    <row r="11746" spans="1:13" x14ac:dyDescent="0.2">
      <c r="A11746" s="242">
        <v>2024</v>
      </c>
      <c r="B11746" s="242">
        <v>8</v>
      </c>
      <c r="C11746" s="242">
        <v>22</v>
      </c>
      <c r="D11746" s="270">
        <f t="shared" si="1708"/>
        <v>45526</v>
      </c>
      <c r="E11746" s="279">
        <f t="shared" si="1709"/>
        <v>45526</v>
      </c>
      <c r="F11746" s="478"/>
      <c r="G11746" s="243" t="s">
        <v>94</v>
      </c>
      <c r="H11746" s="243" t="str" cm="1">
        <f t="array" ref="H11746">IFERROR(INDEX(INVESTOR_LIST[INVESTOR NAME],MATCH(I11746,INVESTOR_LIST[INVESTOR CODE],0),)," ")</f>
        <v xml:space="preserve"> </v>
      </c>
      <c r="I11746" s="263" t="s">
        <v>348</v>
      </c>
      <c r="J11746" s="244" t="s">
        <v>108</v>
      </c>
      <c r="K11746" s="245"/>
      <c r="L11746" s="245">
        <f>K11745</f>
        <v>287999.59999999404</v>
      </c>
    </row>
    <row r="11747" spans="1:13" ht="11.25" customHeight="1" x14ac:dyDescent="0.2">
      <c r="A11747" s="246">
        <v>2024</v>
      </c>
      <c r="B11747" s="238">
        <v>8</v>
      </c>
      <c r="C11747" s="238">
        <v>22</v>
      </c>
      <c r="D11747" s="270">
        <f t="shared" si="1708"/>
        <v>45526</v>
      </c>
      <c r="E11747" s="279">
        <f t="shared" si="1709"/>
        <v>45526</v>
      </c>
      <c r="F11747" s="482" t="s">
        <v>148</v>
      </c>
      <c r="G11747" s="247" t="s">
        <v>94</v>
      </c>
      <c r="H11747" s="247" t="str" cm="1">
        <f t="array" ref="H11747">IFERROR(INDEX(INVESTOR_LIST[INVESTOR NAME],MATCH(I11747,INVESTOR_LIST[INVESTOR CODE],0),)," ")</f>
        <v xml:space="preserve"> </v>
      </c>
      <c r="I11747" s="248" t="s">
        <v>348</v>
      </c>
      <c r="J11747" s="249" t="s">
        <v>95</v>
      </c>
      <c r="K11747" s="250">
        <v>2747.2527472527472</v>
      </c>
      <c r="L11747" s="241"/>
    </row>
    <row r="11748" spans="1:13" x14ac:dyDescent="0.2">
      <c r="A11748" s="242">
        <v>2024</v>
      </c>
      <c r="B11748" s="242">
        <v>8</v>
      </c>
      <c r="C11748" s="242">
        <v>22</v>
      </c>
      <c r="D11748" s="270">
        <f t="shared" si="1708"/>
        <v>45526</v>
      </c>
      <c r="E11748" s="279">
        <f t="shared" si="1709"/>
        <v>45526</v>
      </c>
      <c r="F11748" s="478"/>
      <c r="G11748" s="243" t="s">
        <v>94</v>
      </c>
      <c r="H11748" s="243" t="str" cm="1">
        <f t="array" ref="H11748">IFERROR(INDEX(INVESTOR_LIST[INVESTOR NAME],MATCH(I11748,INVESTOR_LIST[INVESTOR CODE],0),)," ")</f>
        <v xml:space="preserve"> </v>
      </c>
      <c r="I11748" s="263" t="s">
        <v>348</v>
      </c>
      <c r="J11748" s="244" t="s">
        <v>63</v>
      </c>
      <c r="K11748" s="245"/>
      <c r="L11748" s="245">
        <v>2747.2527472527472</v>
      </c>
    </row>
    <row r="11749" spans="1:13" x14ac:dyDescent="0.2">
      <c r="A11749" s="246">
        <v>2024</v>
      </c>
      <c r="B11749" s="238">
        <v>8</v>
      </c>
      <c r="C11749" s="238">
        <v>22</v>
      </c>
      <c r="D11749" s="270">
        <f t="shared" si="1708"/>
        <v>45526</v>
      </c>
      <c r="E11749" s="279">
        <f t="shared" si="1709"/>
        <v>45526</v>
      </c>
      <c r="F11749" s="482" t="s">
        <v>137</v>
      </c>
      <c r="G11749" s="247" t="s">
        <v>94</v>
      </c>
      <c r="H11749" s="247" t="str" cm="1">
        <f t="array" ref="H11749">IFERROR(INDEX(INVESTOR_LIST[INVESTOR NAME],MATCH(I11749,INVESTOR_LIST[INVESTOR CODE],0),)," ")</f>
        <v xml:space="preserve"> </v>
      </c>
      <c r="I11749" s="248" t="s">
        <v>348</v>
      </c>
      <c r="J11749" s="249" t="s">
        <v>97</v>
      </c>
      <c r="K11749" s="250">
        <f>M11749</f>
        <v>58494.653901405451</v>
      </c>
      <c r="L11749" s="252"/>
      <c r="M11749" s="264">
        <v>58494.653901405451</v>
      </c>
    </row>
    <row r="11750" spans="1:13" x14ac:dyDescent="0.2">
      <c r="A11750" s="242">
        <v>2024</v>
      </c>
      <c r="B11750" s="242">
        <v>8</v>
      </c>
      <c r="C11750" s="242">
        <v>22</v>
      </c>
      <c r="D11750" s="270">
        <f t="shared" si="1708"/>
        <v>45526</v>
      </c>
      <c r="E11750" s="279">
        <f t="shared" si="1709"/>
        <v>45526</v>
      </c>
      <c r="F11750" s="478"/>
      <c r="G11750" s="243" t="s">
        <v>94</v>
      </c>
      <c r="H11750" s="243" t="str" cm="1">
        <f t="array" ref="H11750">IFERROR(INDEX(INVESTOR_LIST[INVESTOR NAME],MATCH(I11750,INVESTOR_LIST[INVESTOR CODE],0),)," ")</f>
        <v xml:space="preserve"> </v>
      </c>
      <c r="I11750" s="263" t="s">
        <v>348</v>
      </c>
      <c r="J11750" s="244" t="s">
        <v>47</v>
      </c>
      <c r="K11750" s="245"/>
      <c r="L11750" s="245">
        <f>K11749</f>
        <v>58494.653901405451</v>
      </c>
      <c r="M11750" s="264">
        <v>2684.3480796856575</v>
      </c>
    </row>
    <row r="11751" spans="1:13" x14ac:dyDescent="0.2">
      <c r="A11751" s="246">
        <v>2024</v>
      </c>
      <c r="B11751" s="238">
        <v>8</v>
      </c>
      <c r="C11751" s="238">
        <v>22</v>
      </c>
      <c r="D11751" s="270">
        <f t="shared" si="1708"/>
        <v>45526</v>
      </c>
      <c r="E11751" s="279">
        <f t="shared" si="1709"/>
        <v>45526</v>
      </c>
      <c r="F11751" s="482" t="s">
        <v>138</v>
      </c>
      <c r="G11751" s="247" t="s">
        <v>94</v>
      </c>
      <c r="H11751" s="247" t="str" cm="1">
        <f t="array" ref="H11751">IFERROR(INDEX(INVESTOR_LIST[INVESTOR NAME],MATCH(I11751,INVESTOR_LIST[INVESTOR CODE],0),)," ")</f>
        <v xml:space="preserve"> </v>
      </c>
      <c r="I11751" s="248" t="s">
        <v>348</v>
      </c>
      <c r="J11751" s="249" t="s">
        <v>100</v>
      </c>
      <c r="K11751" s="250">
        <f>M11750</f>
        <v>2684.3480796856575</v>
      </c>
      <c r="L11751" s="252"/>
    </row>
    <row r="11752" spans="1:13" x14ac:dyDescent="0.2">
      <c r="A11752" s="242">
        <v>2024</v>
      </c>
      <c r="B11752" s="242">
        <v>8</v>
      </c>
      <c r="C11752" s="242">
        <v>22</v>
      </c>
      <c r="D11752" s="321">
        <f t="shared" si="1708"/>
        <v>45526</v>
      </c>
      <c r="E11752" s="322">
        <f t="shared" si="1709"/>
        <v>45526</v>
      </c>
      <c r="F11752" s="478"/>
      <c r="G11752" s="243" t="s">
        <v>94</v>
      </c>
      <c r="H11752" s="243" t="str" cm="1">
        <f t="array" ref="H11752">IFERROR(INDEX(INVESTOR_LIST[INVESTOR NAME],MATCH(I11752,INVESTOR_LIST[INVESTOR CODE],0),)," ")</f>
        <v xml:space="preserve"> </v>
      </c>
      <c r="I11752" s="263" t="s">
        <v>348</v>
      </c>
      <c r="J11752" s="244" t="s">
        <v>48</v>
      </c>
      <c r="K11752" s="245"/>
      <c r="L11752" s="245">
        <f>K11751</f>
        <v>2684.3480796856575</v>
      </c>
    </row>
    <row r="11753" spans="1:13" x14ac:dyDescent="0.2">
      <c r="A11753" s="133">
        <v>2024</v>
      </c>
      <c r="B11753" s="133">
        <v>8</v>
      </c>
      <c r="C11753" s="133">
        <v>25</v>
      </c>
      <c r="D11753" s="141">
        <f t="shared" si="1708"/>
        <v>45529</v>
      </c>
      <c r="E11753" s="275">
        <f t="shared" si="1709"/>
        <v>45529</v>
      </c>
      <c r="F11753" s="481" t="s">
        <v>1977</v>
      </c>
      <c r="G11753" s="174" t="s">
        <v>94</v>
      </c>
      <c r="H11753" s="174" t="str" cm="1">
        <f t="array" ref="H11753">IFERROR(INDEX(INVESTOR_LIST[INVESTOR NAME],MATCH(I11753,INVESTOR_LIST[INVESTOR CODE],0),)," ")</f>
        <v xml:space="preserve"> </v>
      </c>
      <c r="J11753" s="149" t="s">
        <v>80</v>
      </c>
      <c r="K11753" s="218">
        <v>1665</v>
      </c>
      <c r="L11753" s="133"/>
    </row>
    <row r="11754" spans="1:13" x14ac:dyDescent="0.2">
      <c r="A11754" s="133">
        <v>2024</v>
      </c>
      <c r="B11754" s="133">
        <v>8</v>
      </c>
      <c r="C11754" s="133">
        <v>25</v>
      </c>
      <c r="D11754" s="141">
        <f t="shared" si="1708"/>
        <v>45529</v>
      </c>
      <c r="E11754" s="275">
        <f t="shared" si="1709"/>
        <v>45529</v>
      </c>
      <c r="F11754" s="481"/>
      <c r="G11754" s="174" t="s">
        <v>94</v>
      </c>
      <c r="H11754" s="174" t="str" cm="1">
        <f t="array" ref="H11754">IFERROR(INDEX(INVESTOR_LIST[INVESTOR NAME],MATCH(I11754,INVESTOR_LIST[INVESTOR CODE],0),)," ")</f>
        <v xml:space="preserve"> </v>
      </c>
      <c r="J11754" s="149" t="s">
        <v>190</v>
      </c>
      <c r="K11754" s="218">
        <v>923335</v>
      </c>
      <c r="L11754" s="218"/>
    </row>
    <row r="11755" spans="1:13" x14ac:dyDescent="0.2">
      <c r="A11755" s="133">
        <v>2024</v>
      </c>
      <c r="B11755" s="133">
        <v>8</v>
      </c>
      <c r="C11755" s="133">
        <v>25</v>
      </c>
      <c r="D11755" s="141">
        <f t="shared" si="1708"/>
        <v>45529</v>
      </c>
      <c r="E11755" s="275">
        <f t="shared" si="1709"/>
        <v>45529</v>
      </c>
      <c r="F11755" s="481"/>
      <c r="G11755" s="174" t="s">
        <v>94</v>
      </c>
      <c r="H11755" s="174" t="str" cm="1">
        <f t="array" ref="H11755">IFERROR(INDEX(INVESTOR_LIST[INVESTOR NAME],MATCH(I11755,INVESTOR_LIST[INVESTOR CODE],0),)," ")</f>
        <v xml:space="preserve"> </v>
      </c>
      <c r="J11755" s="149" t="s">
        <v>191</v>
      </c>
      <c r="K11755" s="218"/>
      <c r="L11755" s="218">
        <v>143742.51</v>
      </c>
    </row>
    <row r="11756" spans="1:13" x14ac:dyDescent="0.2">
      <c r="A11756" s="163">
        <v>2024</v>
      </c>
      <c r="B11756" s="163">
        <v>8</v>
      </c>
      <c r="C11756" s="163">
        <v>25</v>
      </c>
      <c r="D11756" s="280">
        <f t="shared" si="1708"/>
        <v>45529</v>
      </c>
      <c r="E11756" s="281">
        <f t="shared" si="1709"/>
        <v>45529</v>
      </c>
      <c r="F11756" s="480"/>
      <c r="G11756" s="221" t="s">
        <v>94</v>
      </c>
      <c r="H11756" s="145" t="str" cm="1">
        <f t="array" ref="H11756">IFERROR(INDEX(INVESTOR_LIST[INVESTOR NAME],MATCH(I11756,INVESTOR_LIST[INVESTOR CODE],0),)," ")</f>
        <v xml:space="preserve"> </v>
      </c>
      <c r="I11756" s="145"/>
      <c r="J11756" s="163" t="s">
        <v>79</v>
      </c>
      <c r="K11756" s="219"/>
      <c r="L11756" s="219">
        <v>781257.49</v>
      </c>
    </row>
    <row r="11757" spans="1:13" x14ac:dyDescent="0.2">
      <c r="A11757" s="133">
        <v>2024</v>
      </c>
      <c r="B11757" s="168">
        <v>8</v>
      </c>
      <c r="C11757" s="168">
        <v>25</v>
      </c>
      <c r="D11757" s="141">
        <f t="shared" si="1708"/>
        <v>45529</v>
      </c>
      <c r="E11757" s="275">
        <f t="shared" si="1709"/>
        <v>45529</v>
      </c>
      <c r="F11757" s="481" t="s">
        <v>1976</v>
      </c>
      <c r="G11757" s="174" t="s">
        <v>94</v>
      </c>
      <c r="H11757" s="174" t="str" cm="1">
        <f t="array" ref="H11757">IFERROR(INDEX(INVESTOR_LIST[INVESTOR NAME],MATCH(I11757,INVESTOR_LIST[INVESTOR CODE],0),)," ")</f>
        <v xml:space="preserve"> </v>
      </c>
      <c r="I11757" s="148" t="s">
        <v>348</v>
      </c>
      <c r="J11757" s="149" t="s">
        <v>168</v>
      </c>
      <c r="K11757" s="218">
        <v>351800</v>
      </c>
      <c r="L11757" s="218"/>
    </row>
    <row r="11758" spans="1:13" x14ac:dyDescent="0.2">
      <c r="A11758" s="163">
        <v>2024</v>
      </c>
      <c r="B11758" s="163">
        <v>8</v>
      </c>
      <c r="C11758" s="163">
        <v>25</v>
      </c>
      <c r="D11758" s="141">
        <f t="shared" si="1708"/>
        <v>45529</v>
      </c>
      <c r="E11758" s="275">
        <f t="shared" si="1709"/>
        <v>45529</v>
      </c>
      <c r="F11758" s="480"/>
      <c r="G11758" s="221" t="s">
        <v>94</v>
      </c>
      <c r="H11758" s="221" t="str" cm="1">
        <f t="array" ref="H11758">IFERROR(INDEX(INVESTOR_LIST[INVESTOR NAME],MATCH(I11758,INVESTOR_LIST[INVESTOR CODE],0),)," ")</f>
        <v xml:space="preserve"> </v>
      </c>
      <c r="I11758" s="145" t="s">
        <v>348</v>
      </c>
      <c r="J11758" s="146" t="s">
        <v>166</v>
      </c>
      <c r="K11758" s="219"/>
      <c r="L11758" s="219">
        <v>351800</v>
      </c>
    </row>
    <row r="11759" spans="1:13" x14ac:dyDescent="0.2">
      <c r="A11759" s="168">
        <v>2024</v>
      </c>
      <c r="B11759" s="168">
        <v>8</v>
      </c>
      <c r="C11759" s="168">
        <v>25</v>
      </c>
      <c r="D11759" s="141">
        <f t="shared" si="1708"/>
        <v>45529</v>
      </c>
      <c r="E11759" s="275">
        <f t="shared" si="1709"/>
        <v>45529</v>
      </c>
      <c r="F11759" s="479" t="s">
        <v>362</v>
      </c>
      <c r="G11759" s="220" t="s">
        <v>74</v>
      </c>
      <c r="H11759" s="220" t="str" cm="1">
        <f t="array" ref="H11759">IFERROR(INDEX(INVESTOR_LIST[INVESTOR NAME],MATCH(I11759,INVESTOR_LIST[INVESTOR CODE],0),)," ")</f>
        <v xml:space="preserve"> </v>
      </c>
      <c r="I11759" s="142" t="s">
        <v>348</v>
      </c>
      <c r="J11759" s="143" t="s">
        <v>104</v>
      </c>
      <c r="K11759" s="226">
        <v>1357.84</v>
      </c>
      <c r="L11759" s="226"/>
    </row>
    <row r="11760" spans="1:13" x14ac:dyDescent="0.2">
      <c r="A11760" s="133">
        <v>2024</v>
      </c>
      <c r="B11760" s="133">
        <v>8</v>
      </c>
      <c r="C11760" s="133">
        <v>25</v>
      </c>
      <c r="D11760" s="147">
        <f t="shared" si="1708"/>
        <v>45529</v>
      </c>
      <c r="E11760" s="311">
        <f t="shared" si="1709"/>
        <v>45529</v>
      </c>
      <c r="F11760" s="481"/>
      <c r="G11760" s="174" t="s">
        <v>74</v>
      </c>
      <c r="H11760" s="174" t="str" cm="1">
        <f t="array" ref="H11760">IFERROR(INDEX(INVESTOR_LIST[INVESTOR NAME],MATCH(I11760,INVESTOR_LIST[INVESTOR CODE],0),)," ")</f>
        <v xml:space="preserve"> </v>
      </c>
      <c r="J11760" s="149" t="s">
        <v>534</v>
      </c>
      <c r="K11760" s="218"/>
      <c r="L11760" s="218">
        <v>135.78</v>
      </c>
    </row>
    <row r="11761" spans="1:17" x14ac:dyDescent="0.2">
      <c r="A11761" s="163">
        <v>2024</v>
      </c>
      <c r="B11761" s="163">
        <v>8</v>
      </c>
      <c r="C11761" s="163">
        <v>25</v>
      </c>
      <c r="D11761" s="144">
        <f t="shared" si="1708"/>
        <v>45529</v>
      </c>
      <c r="E11761" s="313">
        <f t="shared" si="1709"/>
        <v>45529</v>
      </c>
      <c r="F11761" s="480"/>
      <c r="G11761" s="221" t="s">
        <v>74</v>
      </c>
      <c r="H11761" s="221" t="str" cm="1">
        <f t="array" ref="H11761">IFERROR(INDEX(INVESTOR_LIST[INVESTOR NAME],MATCH(I11761,INVESTOR_LIST[INVESTOR CODE],0),)," ")</f>
        <v xml:space="preserve"> </v>
      </c>
      <c r="I11761" s="145" t="s">
        <v>348</v>
      </c>
      <c r="J11761" s="146" t="s">
        <v>52</v>
      </c>
      <c r="K11761" s="219"/>
      <c r="L11761" s="219">
        <v>1222.06</v>
      </c>
    </row>
    <row r="11762" spans="1:17" ht="11.25" customHeight="1" x14ac:dyDescent="0.2">
      <c r="A11762" s="168">
        <v>2024</v>
      </c>
      <c r="B11762" s="133">
        <v>8</v>
      </c>
      <c r="C11762" s="133">
        <v>25</v>
      </c>
      <c r="D11762" s="141">
        <f t="shared" ref="D11762:D11767" si="1710">DATE(A11762,B11762,C11762)</f>
        <v>45529</v>
      </c>
      <c r="E11762" s="275">
        <f t="shared" ref="E11762:E11767" si="1711">DATE(A11762,B11762,C11762)</f>
        <v>45529</v>
      </c>
      <c r="F11762" s="479" t="s">
        <v>1757</v>
      </c>
      <c r="G11762" s="220" t="s">
        <v>74</v>
      </c>
      <c r="H11762" s="220" t="str" cm="1">
        <f t="array" ref="H11762">IFERROR(INDEX(INVESTOR_LIST[INVESTOR NAME],MATCH(I11762,INVESTOR_LIST[INVESTOR CODE],0),)," ")</f>
        <v xml:space="preserve"> </v>
      </c>
      <c r="I11762" s="142"/>
      <c r="J11762" s="143" t="s">
        <v>52</v>
      </c>
      <c r="K11762" s="226">
        <v>1185714</v>
      </c>
      <c r="L11762" s="226"/>
    </row>
    <row r="11763" spans="1:17" x14ac:dyDescent="0.2">
      <c r="A11763" s="163">
        <v>2024</v>
      </c>
      <c r="B11763" s="163">
        <v>8</v>
      </c>
      <c r="C11763" s="163">
        <v>25</v>
      </c>
      <c r="D11763" s="280">
        <f t="shared" si="1710"/>
        <v>45529</v>
      </c>
      <c r="E11763" s="281">
        <f t="shared" si="1711"/>
        <v>45529</v>
      </c>
      <c r="F11763" s="480"/>
      <c r="G11763" s="221" t="s">
        <v>74</v>
      </c>
      <c r="H11763" s="221" t="str" cm="1">
        <f t="array" ref="H11763">IFERROR(INDEX(INVESTOR_LIST[INVESTOR NAME],MATCH(I11763,INVESTOR_LIST[INVESTOR CODE],0),)," ")</f>
        <v xml:space="preserve"> </v>
      </c>
      <c r="I11763" s="145"/>
      <c r="J11763" s="146" t="s">
        <v>190</v>
      </c>
      <c r="K11763" s="219"/>
      <c r="L11763" s="219">
        <v>1185714</v>
      </c>
    </row>
    <row r="11764" spans="1:17" x14ac:dyDescent="0.2">
      <c r="A11764" s="133">
        <v>2024</v>
      </c>
      <c r="B11764" s="168">
        <v>8</v>
      </c>
      <c r="C11764" s="168">
        <v>25</v>
      </c>
      <c r="D11764" s="141">
        <f t="shared" si="1710"/>
        <v>45529</v>
      </c>
      <c r="E11764" s="275">
        <f t="shared" si="1711"/>
        <v>45529</v>
      </c>
      <c r="F11764" s="479" t="s">
        <v>1943</v>
      </c>
      <c r="G11764" s="174" t="s">
        <v>74</v>
      </c>
      <c r="H11764" s="148" t="str" cm="1">
        <f t="array" ref="H11764">IFERROR(INDEX(INVESTOR_LIST[INVESTOR NAME],MATCH(I11764,INVESTOR_LIST[INVESTOR CODE],0),)," ")</f>
        <v xml:space="preserve"> </v>
      </c>
      <c r="I11764" s="148" t="s">
        <v>348</v>
      </c>
      <c r="J11764" s="133" t="s">
        <v>61</v>
      </c>
      <c r="K11764" s="172">
        <v>200</v>
      </c>
    </row>
    <row r="11765" spans="1:17" x14ac:dyDescent="0.2">
      <c r="A11765" s="163">
        <v>2024</v>
      </c>
      <c r="B11765" s="163">
        <v>8</v>
      </c>
      <c r="C11765" s="163">
        <v>25</v>
      </c>
      <c r="D11765" s="280">
        <f t="shared" si="1710"/>
        <v>45529</v>
      </c>
      <c r="E11765" s="281">
        <f t="shared" si="1711"/>
        <v>45529</v>
      </c>
      <c r="F11765" s="480"/>
      <c r="G11765" s="221" t="s">
        <v>74</v>
      </c>
      <c r="H11765" s="145" t="str" cm="1">
        <f t="array" ref="H11765">IFERROR(INDEX(INVESTOR_LIST[INVESTOR NAME],MATCH(I11765,INVESTOR_LIST[INVESTOR CODE],0),)," ")</f>
        <v xml:space="preserve"> </v>
      </c>
      <c r="I11765" s="145" t="s">
        <v>348</v>
      </c>
      <c r="J11765" s="163" t="s">
        <v>52</v>
      </c>
      <c r="K11765" s="219"/>
      <c r="L11765" s="219">
        <v>200</v>
      </c>
    </row>
    <row r="11766" spans="1:17" ht="11.25" customHeight="1" x14ac:dyDescent="0.2">
      <c r="A11766" s="168">
        <v>2024</v>
      </c>
      <c r="B11766" s="133">
        <v>8</v>
      </c>
      <c r="C11766" s="168">
        <v>25</v>
      </c>
      <c r="D11766" s="141">
        <f t="shared" si="1710"/>
        <v>45529</v>
      </c>
      <c r="E11766" s="275">
        <f t="shared" si="1711"/>
        <v>45529</v>
      </c>
      <c r="F11766" s="479" t="s">
        <v>1965</v>
      </c>
      <c r="G11766" s="220" t="s">
        <v>74</v>
      </c>
      <c r="H11766" s="220" t="str" cm="1">
        <f t="array" ref="H11766">IFERROR(INDEX(INVESTOR_LIST[INVESTOR NAME],MATCH(I11766,INVESTOR_LIST[INVESTOR CODE],0),)," ")</f>
        <v xml:space="preserve"> </v>
      </c>
      <c r="I11766" s="142"/>
      <c r="J11766" s="143" t="s">
        <v>147</v>
      </c>
      <c r="K11766" s="226">
        <v>2368111.7400000002</v>
      </c>
      <c r="L11766" s="226"/>
    </row>
    <row r="11767" spans="1:17" x14ac:dyDescent="0.2">
      <c r="A11767" s="163">
        <v>2024</v>
      </c>
      <c r="B11767" s="163">
        <v>8</v>
      </c>
      <c r="C11767" s="163">
        <v>25</v>
      </c>
      <c r="D11767" s="280">
        <f t="shared" si="1710"/>
        <v>45529</v>
      </c>
      <c r="E11767" s="281">
        <f t="shared" si="1711"/>
        <v>45529</v>
      </c>
      <c r="F11767" s="480"/>
      <c r="G11767" s="221" t="s">
        <v>74</v>
      </c>
      <c r="H11767" s="221" t="str" cm="1">
        <f t="array" ref="H11767">IFERROR(INDEX(INVESTOR_LIST[INVESTOR NAME],MATCH(I11767,INVESTOR_LIST[INVESTOR CODE],0),)," ")</f>
        <v xml:space="preserve"> </v>
      </c>
      <c r="I11767" s="145" t="s">
        <v>348</v>
      </c>
      <c r="J11767" s="146" t="s">
        <v>52</v>
      </c>
      <c r="K11767" s="219"/>
      <c r="L11767" s="219">
        <v>2368111.7400000002</v>
      </c>
    </row>
    <row r="11768" spans="1:17" x14ac:dyDescent="0.2">
      <c r="A11768" s="133">
        <v>2024</v>
      </c>
      <c r="B11768" s="168">
        <v>8</v>
      </c>
      <c r="C11768" s="168">
        <v>25</v>
      </c>
      <c r="D11768" s="141">
        <f t="shared" ref="D11768:D11770" si="1712">DATE(A11768,B11768,C11768)</f>
        <v>45529</v>
      </c>
      <c r="E11768" s="275">
        <f t="shared" ref="E11768:E11770" si="1713">DATE(A11768,B11768,C11768)</f>
        <v>45529</v>
      </c>
      <c r="F11768" s="479" t="s">
        <v>275</v>
      </c>
      <c r="G11768" s="174" t="s">
        <v>74</v>
      </c>
      <c r="H11768" s="174" t="str" cm="1">
        <f t="array" ref="H11768">IFERROR(INDEX(INVESTOR_LIST[INVESTOR NAME],MATCH(I11768,INVESTOR_LIST[INVESTOR CODE],0),)," ")</f>
        <v xml:space="preserve"> </v>
      </c>
      <c r="I11768" s="148" t="s">
        <v>348</v>
      </c>
      <c r="J11768" s="149" t="s">
        <v>163</v>
      </c>
      <c r="K11768" s="218">
        <v>1575</v>
      </c>
      <c r="L11768" s="218"/>
      <c r="M11768" s="147"/>
      <c r="Q11768" s="133" t="s">
        <v>348</v>
      </c>
    </row>
    <row r="11769" spans="1:17" x14ac:dyDescent="0.2">
      <c r="A11769" s="133">
        <v>2024</v>
      </c>
      <c r="B11769" s="133">
        <v>8</v>
      </c>
      <c r="C11769" s="133">
        <v>25</v>
      </c>
      <c r="D11769" s="141">
        <f t="shared" si="1712"/>
        <v>45529</v>
      </c>
      <c r="E11769" s="275">
        <f t="shared" si="1713"/>
        <v>45529</v>
      </c>
      <c r="F11769" s="481"/>
      <c r="G11769" s="174" t="s">
        <v>74</v>
      </c>
      <c r="H11769" s="174" t="str" cm="1">
        <f t="array" ref="H11769">IFERROR(INDEX(INVESTOR_LIST[INVESTOR NAME],MATCH(I11769,INVESTOR_LIST[INVESTOR CODE],0),)," ")</f>
        <v xml:space="preserve"> </v>
      </c>
      <c r="J11769" s="149" t="s">
        <v>1907</v>
      </c>
      <c r="K11769" s="218"/>
      <c r="L11769" s="218">
        <v>150</v>
      </c>
      <c r="M11769" s="147"/>
    </row>
    <row r="11770" spans="1:17" x14ac:dyDescent="0.2">
      <c r="A11770" s="163">
        <v>2024</v>
      </c>
      <c r="B11770" s="163">
        <v>8</v>
      </c>
      <c r="C11770" s="163">
        <v>25</v>
      </c>
      <c r="D11770" s="280">
        <f t="shared" si="1712"/>
        <v>45529</v>
      </c>
      <c r="E11770" s="281">
        <f t="shared" si="1713"/>
        <v>45529</v>
      </c>
      <c r="F11770" s="480"/>
      <c r="G11770" s="221" t="s">
        <v>74</v>
      </c>
      <c r="H11770" s="221" t="str" cm="1">
        <f t="array" ref="H11770">IFERROR(INDEX(INVESTOR_LIST[INVESTOR NAME],MATCH(I11770,INVESTOR_LIST[INVESTOR CODE],0),)," ")</f>
        <v xml:space="preserve"> </v>
      </c>
      <c r="I11770" s="145"/>
      <c r="J11770" s="146" t="s">
        <v>52</v>
      </c>
      <c r="K11770" s="219"/>
      <c r="L11770" s="219">
        <v>1425</v>
      </c>
      <c r="M11770" s="147"/>
      <c r="Q11770" s="133" t="s">
        <v>348</v>
      </c>
    </row>
    <row r="11771" spans="1:17" x14ac:dyDescent="0.2">
      <c r="A11771" s="168">
        <v>2024</v>
      </c>
      <c r="B11771" s="168">
        <v>8</v>
      </c>
      <c r="C11771" s="133">
        <v>27</v>
      </c>
      <c r="D11771" s="141">
        <f t="shared" si="1708"/>
        <v>45531</v>
      </c>
      <c r="E11771" s="275">
        <f t="shared" si="1709"/>
        <v>45531</v>
      </c>
      <c r="F11771" s="479" t="s">
        <v>1319</v>
      </c>
      <c r="G11771" s="220" t="s">
        <v>74</v>
      </c>
      <c r="H11771" s="142" t="str" cm="1">
        <f t="array" ref="H11771">IFERROR(INDEX(INVESTOR_LIST[INVESTOR NAME],MATCH(I11771,INVESTOR_LIST[INVESTOR CODE],0),)," ")</f>
        <v xml:space="preserve"> </v>
      </c>
      <c r="I11771" s="142"/>
      <c r="J11771" s="168" t="s">
        <v>52</v>
      </c>
      <c r="K11771" s="226">
        <v>111000</v>
      </c>
      <c r="L11771" s="226"/>
    </row>
    <row r="11772" spans="1:17" x14ac:dyDescent="0.2">
      <c r="A11772" s="133">
        <v>2024</v>
      </c>
      <c r="B11772" s="133">
        <v>8</v>
      </c>
      <c r="C11772" s="133">
        <v>27</v>
      </c>
      <c r="D11772" s="141">
        <f t="shared" si="1708"/>
        <v>45531</v>
      </c>
      <c r="E11772" s="275">
        <f t="shared" si="1709"/>
        <v>45531</v>
      </c>
      <c r="F11772" s="481"/>
      <c r="G11772" s="174" t="s">
        <v>74</v>
      </c>
      <c r="H11772" s="148" t="str" cm="1">
        <f t="array" ref="H11772">IFERROR(INDEX(INVESTOR_LIST[INVESTOR NAME],MATCH(I11772,INVESTOR_LIST[INVESTOR CODE],0),)," ")</f>
        <v xml:space="preserve"> </v>
      </c>
      <c r="J11772" s="133" t="s">
        <v>13</v>
      </c>
      <c r="K11772" s="218"/>
      <c r="L11772" s="218">
        <v>84170</v>
      </c>
    </row>
    <row r="11773" spans="1:17" x14ac:dyDescent="0.2">
      <c r="A11773" s="163">
        <v>2024</v>
      </c>
      <c r="B11773" s="163">
        <v>8</v>
      </c>
      <c r="C11773" s="163">
        <v>27</v>
      </c>
      <c r="D11773" s="280">
        <f t="shared" si="1708"/>
        <v>45531</v>
      </c>
      <c r="E11773" s="281">
        <f t="shared" si="1709"/>
        <v>45531</v>
      </c>
      <c r="F11773" s="480"/>
      <c r="G11773" s="221" t="s">
        <v>74</v>
      </c>
      <c r="H11773" s="145" t="str" cm="1">
        <f t="array" ref="H11773">IFERROR(INDEX(INVESTOR_LIST[INVESTOR NAME],MATCH(I11773,INVESTOR_LIST[INVESTOR CODE],0),)," ")</f>
        <v xml:space="preserve"> </v>
      </c>
      <c r="I11773" s="145"/>
      <c r="J11773" s="163" t="s">
        <v>53</v>
      </c>
      <c r="K11773" s="219"/>
      <c r="L11773" s="219">
        <v>26830</v>
      </c>
    </row>
    <row r="11774" spans="1:17" x14ac:dyDescent="0.2">
      <c r="A11774" s="133">
        <v>2024</v>
      </c>
      <c r="B11774" s="133">
        <v>8</v>
      </c>
      <c r="C11774" s="133">
        <v>27</v>
      </c>
      <c r="D11774" s="141">
        <f t="shared" si="1708"/>
        <v>45531</v>
      </c>
      <c r="E11774" s="275">
        <f t="shared" si="1709"/>
        <v>45531</v>
      </c>
      <c r="F11774" s="479" t="s">
        <v>1975</v>
      </c>
      <c r="G11774" s="174" t="s">
        <v>74</v>
      </c>
      <c r="H11774" s="174" t="str" cm="1">
        <f t="array" ref="H11774">IFERROR(INDEX(INVESTOR_LIST[INVESTOR NAME],MATCH(I11774,INVESTOR_LIST[INVESTOR CODE],0),)," ")</f>
        <v xml:space="preserve"> </v>
      </c>
      <c r="I11774" s="148" t="s">
        <v>348</v>
      </c>
      <c r="J11774" s="149" t="s">
        <v>1764</v>
      </c>
      <c r="K11774" s="218">
        <v>4860170</v>
      </c>
      <c r="L11774" s="218"/>
      <c r="M11774" s="147"/>
      <c r="Q11774" s="133" t="s">
        <v>348</v>
      </c>
    </row>
    <row r="11775" spans="1:17" x14ac:dyDescent="0.2">
      <c r="A11775" s="163">
        <v>2024</v>
      </c>
      <c r="B11775" s="163">
        <v>8</v>
      </c>
      <c r="C11775" s="163">
        <v>27</v>
      </c>
      <c r="D11775" s="280">
        <f t="shared" si="1708"/>
        <v>45531</v>
      </c>
      <c r="E11775" s="281">
        <f t="shared" si="1709"/>
        <v>45531</v>
      </c>
      <c r="F11775" s="480"/>
      <c r="G11775" s="221" t="s">
        <v>74</v>
      </c>
      <c r="H11775" s="221" t="str" cm="1">
        <f t="array" ref="H11775">IFERROR(INDEX(INVESTOR_LIST[INVESTOR NAME],MATCH(I11775,INVESTOR_LIST[INVESTOR CODE],0),)," ")</f>
        <v xml:space="preserve"> </v>
      </c>
      <c r="I11775" s="145"/>
      <c r="J11775" s="146" t="s">
        <v>52</v>
      </c>
      <c r="K11775" s="219"/>
      <c r="L11775" s="219">
        <v>4860170</v>
      </c>
      <c r="M11775" s="147"/>
      <c r="Q11775" s="133" t="s">
        <v>348</v>
      </c>
    </row>
    <row r="11776" spans="1:17" x14ac:dyDescent="0.2">
      <c r="A11776" s="133">
        <v>2024</v>
      </c>
      <c r="B11776" s="133">
        <v>8</v>
      </c>
      <c r="C11776" s="133">
        <v>28</v>
      </c>
      <c r="D11776" s="141">
        <f t="shared" si="1708"/>
        <v>45532</v>
      </c>
      <c r="E11776" s="275">
        <f t="shared" si="1709"/>
        <v>45532</v>
      </c>
      <c r="F11776" s="481" t="s">
        <v>1971</v>
      </c>
      <c r="G11776" s="174" t="s">
        <v>94</v>
      </c>
      <c r="H11776" s="174" t="str" cm="1">
        <f t="array" ref="H11776">IFERROR(INDEX(INVESTOR_LIST[INVESTOR NAME],MATCH(I11776,INVESTOR_LIST[INVESTOR CODE],0),)," ")</f>
        <v xml:space="preserve"> </v>
      </c>
      <c r="J11776" s="149" t="s">
        <v>79</v>
      </c>
      <c r="K11776" s="218">
        <v>1340192.5</v>
      </c>
      <c r="L11776" s="218"/>
      <c r="M11776" s="160"/>
    </row>
    <row r="11777" spans="1:13" x14ac:dyDescent="0.2">
      <c r="A11777" s="133">
        <v>2024</v>
      </c>
      <c r="B11777" s="133">
        <v>8</v>
      </c>
      <c r="C11777" s="133">
        <v>28</v>
      </c>
      <c r="D11777" s="141">
        <f t="shared" si="1708"/>
        <v>45532</v>
      </c>
      <c r="E11777" s="275">
        <f t="shared" si="1709"/>
        <v>45532</v>
      </c>
      <c r="F11777" s="481"/>
      <c r="G11777" s="174" t="s">
        <v>94</v>
      </c>
      <c r="H11777" s="174" t="str" cm="1">
        <f t="array" ref="H11777">IFERROR(INDEX(INVESTOR_LIST[INVESTOR NAME],MATCH(I11777,INVESTOR_LIST[INVESTOR CODE],0),)," ")</f>
        <v xml:space="preserve"> </v>
      </c>
      <c r="J11777" s="149" t="s">
        <v>80</v>
      </c>
      <c r="K11777" s="218">
        <v>3103.34</v>
      </c>
      <c r="L11777" s="133"/>
    </row>
    <row r="11778" spans="1:13" x14ac:dyDescent="0.2">
      <c r="A11778" s="133">
        <v>2024</v>
      </c>
      <c r="B11778" s="133">
        <v>8</v>
      </c>
      <c r="C11778" s="133">
        <v>28</v>
      </c>
      <c r="D11778" s="141">
        <f t="shared" si="1708"/>
        <v>45532</v>
      </c>
      <c r="E11778" s="275">
        <f t="shared" si="1709"/>
        <v>45532</v>
      </c>
      <c r="F11778" s="481"/>
      <c r="G11778" s="174" t="s">
        <v>94</v>
      </c>
      <c r="H11778" s="174" t="str" cm="1">
        <f t="array" ref="H11778">IFERROR(INDEX(INVESTOR_LIST[INVESTOR NAME],MATCH(I11778,INVESTOR_LIST[INVESTOR CODE],0),)," ")</f>
        <v xml:space="preserve"> </v>
      </c>
      <c r="J11778" s="149" t="s">
        <v>147</v>
      </c>
      <c r="K11778" s="218"/>
      <c r="L11778" s="218">
        <v>959407.94</v>
      </c>
    </row>
    <row r="11779" spans="1:13" x14ac:dyDescent="0.2">
      <c r="A11779" s="133">
        <v>2024</v>
      </c>
      <c r="B11779" s="133">
        <v>8</v>
      </c>
      <c r="C11779" s="133">
        <v>28</v>
      </c>
      <c r="D11779" s="141">
        <f t="shared" si="1708"/>
        <v>45532</v>
      </c>
      <c r="E11779" s="275">
        <f t="shared" si="1709"/>
        <v>45532</v>
      </c>
      <c r="F11779" s="481"/>
      <c r="G11779" s="174" t="s">
        <v>94</v>
      </c>
      <c r="H11779" s="174" t="str" cm="1">
        <f t="array" ref="H11779">IFERROR(INDEX(INVESTOR_LIST[INVESTOR NAME],MATCH(I11779,INVESTOR_LIST[INVESTOR CODE],0),)," ")</f>
        <v xml:space="preserve"> </v>
      </c>
      <c r="J11779" s="149" t="s">
        <v>191</v>
      </c>
      <c r="K11779" s="218"/>
      <c r="L11779" s="218">
        <v>61072.31</v>
      </c>
    </row>
    <row r="11780" spans="1:13" x14ac:dyDescent="0.2">
      <c r="A11780" s="163">
        <v>2024</v>
      </c>
      <c r="B11780" s="163">
        <v>8</v>
      </c>
      <c r="C11780" s="163">
        <v>28</v>
      </c>
      <c r="D11780" s="280">
        <f t="shared" si="1708"/>
        <v>45532</v>
      </c>
      <c r="E11780" s="281">
        <f t="shared" si="1709"/>
        <v>45532</v>
      </c>
      <c r="F11780" s="480"/>
      <c r="G11780" s="221" t="s">
        <v>94</v>
      </c>
      <c r="H11780" s="145" t="str" cm="1">
        <f t="array" ref="H11780">IFERROR(INDEX(INVESTOR_LIST[INVESTOR NAME],MATCH(I11780,INVESTOR_LIST[INVESTOR CODE],0),)," ")</f>
        <v xml:space="preserve"> </v>
      </c>
      <c r="I11780" s="145"/>
      <c r="J11780" s="163" t="s">
        <v>79</v>
      </c>
      <c r="K11780" s="219"/>
      <c r="L11780" s="219">
        <v>322815.59000000003</v>
      </c>
    </row>
    <row r="11781" spans="1:13" ht="45" x14ac:dyDescent="0.2">
      <c r="A11781" s="168">
        <v>2024</v>
      </c>
      <c r="B11781" s="168">
        <v>8</v>
      </c>
      <c r="C11781" s="168">
        <v>29</v>
      </c>
      <c r="D11781" s="141">
        <f t="shared" ref="D11781:D11810" si="1714">DATE(A11781,B11781,C11781)</f>
        <v>45533</v>
      </c>
      <c r="E11781" s="275">
        <f t="shared" ref="E11781:E11810" si="1715">DATE(A11781,B11781,C11781)</f>
        <v>45533</v>
      </c>
      <c r="F11781" s="479" t="s">
        <v>1310</v>
      </c>
      <c r="G11781" s="220" t="s">
        <v>74</v>
      </c>
      <c r="H11781" s="142" t="str" cm="1">
        <f t="array" ref="H11781">IFERROR(INDEX(INVESTOR_LIST[INVESTOR NAME],MATCH(I11781,INVESTOR_LIST[INVESTOR CODE],0),)," ")</f>
        <v>MAHBUB-UL-ANAM KHAN</v>
      </c>
      <c r="I11781" s="142" t="s">
        <v>843</v>
      </c>
      <c r="J11781" s="168" t="s">
        <v>13</v>
      </c>
      <c r="K11781" s="226">
        <v>59720</v>
      </c>
      <c r="L11781" s="226"/>
    </row>
    <row r="11782" spans="1:13" ht="45" x14ac:dyDescent="0.2">
      <c r="A11782" s="133">
        <v>2024</v>
      </c>
      <c r="B11782" s="133">
        <v>8</v>
      </c>
      <c r="C11782" s="133">
        <v>29</v>
      </c>
      <c r="D11782" s="141">
        <f t="shared" si="1714"/>
        <v>45533</v>
      </c>
      <c r="E11782" s="275">
        <f t="shared" si="1715"/>
        <v>45533</v>
      </c>
      <c r="F11782" s="481"/>
      <c r="G11782" s="174" t="s">
        <v>74</v>
      </c>
      <c r="H11782" s="148" t="str" cm="1">
        <f t="array" ref="H11782">IFERROR(INDEX(INVESTOR_LIST[INVESTOR NAME],MATCH(I11782,INVESTOR_LIST[INVESTOR CODE],0),)," ")</f>
        <v>MAHBUB-UL-ANAM KHAN</v>
      </c>
      <c r="I11782" s="148" t="s">
        <v>843</v>
      </c>
      <c r="J11782" s="133" t="s">
        <v>53</v>
      </c>
      <c r="K11782" s="218">
        <v>19044.710000000006</v>
      </c>
      <c r="L11782" s="218"/>
    </row>
    <row r="11783" spans="1:13" ht="45" x14ac:dyDescent="0.2">
      <c r="A11783" s="163">
        <v>2024</v>
      </c>
      <c r="B11783" s="163">
        <v>8</v>
      </c>
      <c r="C11783" s="163">
        <v>29</v>
      </c>
      <c r="D11783" s="280">
        <f t="shared" si="1714"/>
        <v>45533</v>
      </c>
      <c r="E11783" s="281">
        <f t="shared" si="1715"/>
        <v>45533</v>
      </c>
      <c r="F11783" s="480"/>
      <c r="G11783" s="221" t="s">
        <v>74</v>
      </c>
      <c r="H11783" s="145" t="str" cm="1">
        <f t="array" ref="H11783">IFERROR(INDEX(INVESTOR_LIST[INVESTOR NAME],MATCH(I11783,INVESTOR_LIST[INVESTOR CODE],0),)," ")</f>
        <v>MAHBUB-UL-ANAM KHAN</v>
      </c>
      <c r="I11783" s="145" t="s">
        <v>843</v>
      </c>
      <c r="J11783" s="163" t="s">
        <v>52</v>
      </c>
      <c r="K11783" s="219"/>
      <c r="L11783" s="219">
        <v>78764.710000000006</v>
      </c>
    </row>
    <row r="11784" spans="1:13" x14ac:dyDescent="0.2">
      <c r="A11784" s="168">
        <v>2024</v>
      </c>
      <c r="B11784" s="168">
        <v>8</v>
      </c>
      <c r="C11784" s="168">
        <v>29</v>
      </c>
      <c r="D11784" s="141">
        <f t="shared" si="1714"/>
        <v>45533</v>
      </c>
      <c r="E11784" s="275">
        <f t="shared" si="1715"/>
        <v>45533</v>
      </c>
      <c r="F11784" s="479" t="s">
        <v>1974</v>
      </c>
      <c r="G11784" s="220" t="s">
        <v>94</v>
      </c>
      <c r="H11784" s="220" t="str" cm="1">
        <f t="array" ref="H11784">IFERROR(INDEX(INVESTOR_LIST[INVESTOR NAME],MATCH(I11784,INVESTOR_LIST[INVESTOR CODE],0),)," ")</f>
        <v xml:space="preserve"> </v>
      </c>
      <c r="I11784" s="142"/>
      <c r="J11784" s="143" t="s">
        <v>79</v>
      </c>
      <c r="K11784" s="226">
        <v>2502900</v>
      </c>
      <c r="L11784" s="226"/>
      <c r="M11784" s="160"/>
    </row>
    <row r="11785" spans="1:13" x14ac:dyDescent="0.2">
      <c r="A11785" s="133">
        <v>2024</v>
      </c>
      <c r="B11785" s="133">
        <v>8</v>
      </c>
      <c r="C11785" s="133">
        <v>29</v>
      </c>
      <c r="D11785" s="141">
        <f t="shared" si="1714"/>
        <v>45533</v>
      </c>
      <c r="E11785" s="275">
        <f t="shared" si="1715"/>
        <v>45533</v>
      </c>
      <c r="F11785" s="481"/>
      <c r="G11785" s="174" t="s">
        <v>94</v>
      </c>
      <c r="H11785" s="174" t="str" cm="1">
        <f t="array" ref="H11785">IFERROR(INDEX(INVESTOR_LIST[INVESTOR NAME],MATCH(I11785,INVESTOR_LIST[INVESTOR CODE],0),)," ")</f>
        <v xml:space="preserve"> </v>
      </c>
      <c r="J11785" s="149" t="s">
        <v>80</v>
      </c>
      <c r="K11785" s="218">
        <v>4505.22</v>
      </c>
      <c r="L11785" s="133"/>
    </row>
    <row r="11786" spans="1:13" x14ac:dyDescent="0.2">
      <c r="A11786" s="163">
        <v>2024</v>
      </c>
      <c r="B11786" s="163">
        <v>8</v>
      </c>
      <c r="C11786" s="163">
        <v>29</v>
      </c>
      <c r="D11786" s="280">
        <f t="shared" si="1714"/>
        <v>45533</v>
      </c>
      <c r="E11786" s="281">
        <f t="shared" si="1715"/>
        <v>45533</v>
      </c>
      <c r="F11786" s="480"/>
      <c r="G11786" s="221" t="s">
        <v>94</v>
      </c>
      <c r="H11786" s="221" t="str" cm="1">
        <f t="array" ref="H11786">IFERROR(INDEX(INVESTOR_LIST[INVESTOR NAME],MATCH(I11786,INVESTOR_LIST[INVESTOR CODE],0),)," ")</f>
        <v xml:space="preserve"> </v>
      </c>
      <c r="I11786" s="145"/>
      <c r="J11786" s="146" t="s">
        <v>147</v>
      </c>
      <c r="K11786" s="219"/>
      <c r="L11786" s="219">
        <v>2507405.2200000002</v>
      </c>
    </row>
    <row r="11787" spans="1:13" x14ac:dyDescent="0.2">
      <c r="A11787" s="133">
        <v>2024</v>
      </c>
      <c r="B11787" s="133">
        <v>8</v>
      </c>
      <c r="C11787" s="133">
        <v>29</v>
      </c>
      <c r="D11787" s="141">
        <f t="shared" si="1714"/>
        <v>45533</v>
      </c>
      <c r="E11787" s="275">
        <f t="shared" si="1715"/>
        <v>45533</v>
      </c>
      <c r="F11787" s="481" t="s">
        <v>1928</v>
      </c>
      <c r="G11787" s="174" t="s">
        <v>74</v>
      </c>
      <c r="H11787" s="174" t="str" cm="1">
        <f t="array" ref="H11787">IFERROR(INDEX(INVESTOR_LIST[INVESTOR NAME],MATCH(I11787,INVESTOR_LIST[INVESTOR CODE],0),)," ")</f>
        <v xml:space="preserve"> </v>
      </c>
      <c r="J11787" s="149" t="s">
        <v>1907</v>
      </c>
      <c r="K11787" s="218">
        <v>150</v>
      </c>
      <c r="L11787" s="218"/>
      <c r="M11787" s="147"/>
    </row>
    <row r="11788" spans="1:13" x14ac:dyDescent="0.2">
      <c r="A11788" s="163">
        <v>2024</v>
      </c>
      <c r="B11788" s="163">
        <v>8</v>
      </c>
      <c r="C11788" s="163">
        <v>29</v>
      </c>
      <c r="D11788" s="280">
        <f t="shared" si="1714"/>
        <v>45533</v>
      </c>
      <c r="E11788" s="281">
        <f t="shared" si="1715"/>
        <v>45533</v>
      </c>
      <c r="F11788" s="480"/>
      <c r="G11788" s="221" t="s">
        <v>74</v>
      </c>
      <c r="H11788" s="221" t="str" cm="1">
        <f t="array" ref="H11788">IFERROR(INDEX(INVESTOR_LIST[INVESTOR NAME],MATCH(I11788,INVESTOR_LIST[INVESTOR CODE],0),)," ")</f>
        <v xml:space="preserve"> </v>
      </c>
      <c r="I11788" s="145"/>
      <c r="J11788" s="146" t="s">
        <v>52</v>
      </c>
      <c r="K11788" s="219"/>
      <c r="L11788" s="219">
        <v>150</v>
      </c>
      <c r="M11788" s="147"/>
    </row>
    <row r="11789" spans="1:13" x14ac:dyDescent="0.2">
      <c r="A11789" s="325">
        <v>2024</v>
      </c>
      <c r="B11789" s="325">
        <v>8</v>
      </c>
      <c r="C11789" s="325">
        <v>29</v>
      </c>
      <c r="D11789" s="326">
        <f t="shared" si="1714"/>
        <v>45533</v>
      </c>
      <c r="E11789" s="327">
        <f t="shared" si="1715"/>
        <v>45533</v>
      </c>
      <c r="F11789" s="473" t="s">
        <v>1940</v>
      </c>
      <c r="G11789" s="340" t="s">
        <v>94</v>
      </c>
      <c r="H11789" s="340" t="str" cm="1">
        <f t="array" ref="H11789">IFERROR(INDEX(INVESTOR_LIST[INVESTOR NAME],MATCH(I11789,INVESTOR_LIST[INVESTOR CODE],0),)," ")</f>
        <v xml:space="preserve"> </v>
      </c>
      <c r="I11789" s="341" t="s">
        <v>348</v>
      </c>
      <c r="J11789" s="374" t="s">
        <v>133</v>
      </c>
      <c r="K11789" s="375">
        <v>12905.555555555549</v>
      </c>
      <c r="L11789" s="375"/>
    </row>
    <row r="11790" spans="1:13" x14ac:dyDescent="0.2">
      <c r="A11790" s="331">
        <v>2024</v>
      </c>
      <c r="B11790" s="331">
        <v>8</v>
      </c>
      <c r="C11790" s="331">
        <v>29</v>
      </c>
      <c r="D11790" s="326">
        <f t="shared" si="1714"/>
        <v>45533</v>
      </c>
      <c r="E11790" s="327">
        <f t="shared" si="1715"/>
        <v>45533</v>
      </c>
      <c r="F11790" s="474"/>
      <c r="G11790" s="332" t="s">
        <v>94</v>
      </c>
      <c r="H11790" s="332" t="str" cm="1">
        <f t="array" ref="H11790">IFERROR(INDEX(INVESTOR_LIST[INVESTOR NAME],MATCH(I11790,INVESTOR_LIST[INVESTOR CODE],0),)," ")</f>
        <v xml:space="preserve"> </v>
      </c>
      <c r="I11790" s="333" t="s">
        <v>348</v>
      </c>
      <c r="J11790" s="376" t="s">
        <v>60</v>
      </c>
      <c r="K11790" s="334"/>
      <c r="L11790" s="334">
        <v>12905.555555555549</v>
      </c>
    </row>
    <row r="11791" spans="1:13" x14ac:dyDescent="0.2">
      <c r="A11791" s="384">
        <v>2024</v>
      </c>
      <c r="B11791" s="384">
        <v>8</v>
      </c>
      <c r="C11791" s="384">
        <v>29</v>
      </c>
      <c r="D11791" s="385">
        <f t="shared" si="1714"/>
        <v>45533</v>
      </c>
      <c r="E11791" s="386">
        <f t="shared" si="1715"/>
        <v>45533</v>
      </c>
      <c r="F11791" s="475" t="s">
        <v>1966</v>
      </c>
      <c r="G11791" s="387" t="s">
        <v>94</v>
      </c>
      <c r="H11791" s="387" t="str" cm="1">
        <f t="array" ref="H11791">IFERROR(INDEX(INVESTOR_LIST[INVESTOR NAME],MATCH(I11791,INVESTOR_LIST[INVESTOR CODE],0),)," ")</f>
        <v xml:space="preserve"> </v>
      </c>
      <c r="I11791" s="388" t="s">
        <v>348</v>
      </c>
      <c r="J11791" s="389" t="s">
        <v>67</v>
      </c>
      <c r="K11791" s="390">
        <v>20844.87</v>
      </c>
      <c r="L11791" s="390"/>
    </row>
    <row r="11792" spans="1:13" x14ac:dyDescent="0.2">
      <c r="A11792" s="391">
        <v>2024</v>
      </c>
      <c r="B11792" s="391">
        <v>8</v>
      </c>
      <c r="C11792" s="391">
        <v>29</v>
      </c>
      <c r="D11792" s="385">
        <f t="shared" si="1714"/>
        <v>45533</v>
      </c>
      <c r="E11792" s="386">
        <f t="shared" si="1715"/>
        <v>45533</v>
      </c>
      <c r="F11792" s="476"/>
      <c r="G11792" s="392" t="s">
        <v>94</v>
      </c>
      <c r="H11792" s="392" t="str" cm="1">
        <f t="array" ref="H11792">IFERROR(INDEX(INVESTOR_LIST[INVESTOR NAME],MATCH(I11792,INVESTOR_LIST[INVESTOR CODE],0),)," ")</f>
        <v xml:space="preserve"> </v>
      </c>
      <c r="I11792" s="393" t="s">
        <v>348</v>
      </c>
      <c r="J11792" s="394" t="s">
        <v>60</v>
      </c>
      <c r="K11792" s="395"/>
      <c r="L11792" s="395">
        <f>K11791</f>
        <v>20844.87</v>
      </c>
    </row>
    <row r="11793" spans="1:13" x14ac:dyDescent="0.2">
      <c r="A11793" s="343">
        <v>2024</v>
      </c>
      <c r="B11793" s="343">
        <v>8</v>
      </c>
      <c r="C11793" s="343">
        <v>29</v>
      </c>
      <c r="D11793" s="344">
        <f t="shared" si="1714"/>
        <v>45533</v>
      </c>
      <c r="E11793" s="345">
        <f t="shared" si="1715"/>
        <v>45533</v>
      </c>
      <c r="F11793" s="483" t="s">
        <v>1813</v>
      </c>
      <c r="G11793" s="350" t="s">
        <v>94</v>
      </c>
      <c r="H11793" s="350" t="str" cm="1">
        <f t="array" ref="H11793">IFERROR(INDEX(INVESTOR_LIST[INVESTOR NAME],MATCH(I11793,INVESTOR_LIST[INVESTOR CODE],0),)," ")</f>
        <v xml:space="preserve"> </v>
      </c>
      <c r="I11793" s="352" t="s">
        <v>348</v>
      </c>
      <c r="J11793" s="353" t="s">
        <v>1798</v>
      </c>
      <c r="K11793" s="354">
        <v>15170</v>
      </c>
      <c r="L11793" s="354"/>
    </row>
    <row r="11794" spans="1:13" x14ac:dyDescent="0.2">
      <c r="A11794" s="346">
        <v>2024</v>
      </c>
      <c r="B11794" s="346">
        <v>8</v>
      </c>
      <c r="C11794" s="346">
        <v>29</v>
      </c>
      <c r="D11794" s="344">
        <f t="shared" si="1714"/>
        <v>45533</v>
      </c>
      <c r="E11794" s="345">
        <f t="shared" si="1715"/>
        <v>45533</v>
      </c>
      <c r="F11794" s="484"/>
      <c r="G11794" s="347" t="s">
        <v>94</v>
      </c>
      <c r="H11794" s="347" t="str" cm="1">
        <f t="array" ref="H11794">IFERROR(INDEX(INVESTOR_LIST[INVESTOR NAME],MATCH(I11794,INVESTOR_LIST[INVESTOR CODE],0),)," ")</f>
        <v xml:space="preserve"> </v>
      </c>
      <c r="I11794" s="348" t="s">
        <v>348</v>
      </c>
      <c r="J11794" s="355" t="s">
        <v>1807</v>
      </c>
      <c r="K11794" s="349"/>
      <c r="L11794" s="349">
        <f>K11793</f>
        <v>15170</v>
      </c>
    </row>
    <row r="11795" spans="1:13" x14ac:dyDescent="0.2">
      <c r="A11795" s="343">
        <v>2024</v>
      </c>
      <c r="B11795" s="343">
        <v>8</v>
      </c>
      <c r="C11795" s="343">
        <v>29</v>
      </c>
      <c r="D11795" s="344">
        <f t="shared" si="1714"/>
        <v>45533</v>
      </c>
      <c r="E11795" s="345">
        <f t="shared" si="1715"/>
        <v>45533</v>
      </c>
      <c r="F11795" s="483" t="s">
        <v>1913</v>
      </c>
      <c r="G11795" s="350" t="s">
        <v>94</v>
      </c>
      <c r="H11795" s="350" t="str" cm="1">
        <f t="array" ref="H11795">IFERROR(INDEX(INVESTOR_LIST[INVESTOR NAME],MATCH(I11795,INVESTOR_LIST[INVESTOR CODE],0),)," ")</f>
        <v xml:space="preserve"> </v>
      </c>
      <c r="I11795" s="352" t="s">
        <v>348</v>
      </c>
      <c r="J11795" s="353" t="s">
        <v>1799</v>
      </c>
      <c r="K11795" s="354">
        <v>75705.150000002235</v>
      </c>
      <c r="L11795" s="354"/>
    </row>
    <row r="11796" spans="1:13" x14ac:dyDescent="0.2">
      <c r="A11796" s="346">
        <v>2024</v>
      </c>
      <c r="B11796" s="346">
        <v>8</v>
      </c>
      <c r="C11796" s="346">
        <v>29</v>
      </c>
      <c r="D11796" s="344">
        <f t="shared" si="1714"/>
        <v>45533</v>
      </c>
      <c r="E11796" s="345">
        <f t="shared" si="1715"/>
        <v>45533</v>
      </c>
      <c r="F11796" s="484"/>
      <c r="G11796" s="347" t="s">
        <v>94</v>
      </c>
      <c r="H11796" s="347" t="str" cm="1">
        <f t="array" ref="H11796">IFERROR(INDEX(INVESTOR_LIST[INVESTOR NAME],MATCH(I11796,INVESTOR_LIST[INVESTOR CODE],0),)," ")</f>
        <v xml:space="preserve"> </v>
      </c>
      <c r="I11796" s="348" t="s">
        <v>348</v>
      </c>
      <c r="J11796" s="355" t="s">
        <v>1808</v>
      </c>
      <c r="K11796" s="349"/>
      <c r="L11796" s="349">
        <f>K11795</f>
        <v>75705.150000002235</v>
      </c>
    </row>
    <row r="11797" spans="1:13" ht="11.25" customHeight="1" x14ac:dyDescent="0.2">
      <c r="A11797" s="238">
        <v>2024</v>
      </c>
      <c r="B11797" s="238">
        <v>8</v>
      </c>
      <c r="C11797" s="238">
        <v>29</v>
      </c>
      <c r="D11797" s="270">
        <f t="shared" si="1714"/>
        <v>45533</v>
      </c>
      <c r="E11797" s="279">
        <f t="shared" si="1715"/>
        <v>45533</v>
      </c>
      <c r="F11797" s="477" t="s">
        <v>347</v>
      </c>
      <c r="G11797" s="239" t="s">
        <v>94</v>
      </c>
      <c r="H11797" s="239" t="str" cm="1">
        <f t="array" ref="H11797">IFERROR(INDEX(INVESTOR_LIST[INVESTOR NAME],MATCH(I11797,INVESTOR_LIST[INVESTOR CODE],0),)," ")</f>
        <v xml:space="preserve"> </v>
      </c>
      <c r="I11797" s="262" t="s">
        <v>348</v>
      </c>
      <c r="J11797" s="240" t="s">
        <v>82</v>
      </c>
      <c r="K11797" s="241">
        <v>1288210.0600000173</v>
      </c>
      <c r="L11797" s="241"/>
    </row>
    <row r="11798" spans="1:13" x14ac:dyDescent="0.2">
      <c r="A11798" s="242">
        <v>2024</v>
      </c>
      <c r="B11798" s="242">
        <v>8</v>
      </c>
      <c r="C11798" s="242">
        <v>29</v>
      </c>
      <c r="D11798" s="270">
        <f t="shared" si="1714"/>
        <v>45533</v>
      </c>
      <c r="E11798" s="279">
        <f t="shared" si="1715"/>
        <v>45533</v>
      </c>
      <c r="F11798" s="478"/>
      <c r="G11798" s="243" t="s">
        <v>94</v>
      </c>
      <c r="H11798" s="243" t="str" cm="1">
        <f t="array" ref="H11798">IFERROR(INDEX(INVESTOR_LIST[INVESTOR NAME],MATCH(I11798,INVESTOR_LIST[INVESTOR CODE],0),)," ")</f>
        <v xml:space="preserve"> </v>
      </c>
      <c r="I11798" s="263" t="s">
        <v>348</v>
      </c>
      <c r="J11798" s="244" t="s">
        <v>108</v>
      </c>
      <c r="K11798" s="245"/>
      <c r="L11798" s="245">
        <f>K11797</f>
        <v>1288210.0600000173</v>
      </c>
    </row>
    <row r="11799" spans="1:13" ht="11.25" customHeight="1" x14ac:dyDescent="0.2">
      <c r="A11799" s="246">
        <v>2024</v>
      </c>
      <c r="B11799" s="238">
        <v>8</v>
      </c>
      <c r="C11799" s="238">
        <v>29</v>
      </c>
      <c r="D11799" s="270">
        <f t="shared" si="1714"/>
        <v>45533</v>
      </c>
      <c r="E11799" s="279">
        <f t="shared" si="1715"/>
        <v>45533</v>
      </c>
      <c r="F11799" s="482" t="s">
        <v>148</v>
      </c>
      <c r="G11799" s="247" t="s">
        <v>94</v>
      </c>
      <c r="H11799" s="247" t="str" cm="1">
        <f t="array" ref="H11799">IFERROR(INDEX(INVESTOR_LIST[INVESTOR NAME],MATCH(I11799,INVESTOR_LIST[INVESTOR CODE],0),)," ")</f>
        <v xml:space="preserve"> </v>
      </c>
      <c r="I11799" s="248" t="s">
        <v>348</v>
      </c>
      <c r="J11799" s="249" t="s">
        <v>95</v>
      </c>
      <c r="K11799" s="250">
        <v>2747.2527472527472</v>
      </c>
      <c r="L11799" s="241"/>
    </row>
    <row r="11800" spans="1:13" x14ac:dyDescent="0.2">
      <c r="A11800" s="242">
        <v>2024</v>
      </c>
      <c r="B11800" s="242">
        <v>8</v>
      </c>
      <c r="C11800" s="242">
        <v>29</v>
      </c>
      <c r="D11800" s="270">
        <f t="shared" si="1714"/>
        <v>45533</v>
      </c>
      <c r="E11800" s="279">
        <f t="shared" si="1715"/>
        <v>45533</v>
      </c>
      <c r="F11800" s="478"/>
      <c r="G11800" s="243" t="s">
        <v>94</v>
      </c>
      <c r="H11800" s="243" t="str" cm="1">
        <f t="array" ref="H11800">IFERROR(INDEX(INVESTOR_LIST[INVESTOR NAME],MATCH(I11800,INVESTOR_LIST[INVESTOR CODE],0),)," ")</f>
        <v xml:space="preserve"> </v>
      </c>
      <c r="I11800" s="263" t="s">
        <v>348</v>
      </c>
      <c r="J11800" s="244" t="s">
        <v>63</v>
      </c>
      <c r="K11800" s="245"/>
      <c r="L11800" s="245">
        <v>2747.2527472527472</v>
      </c>
    </row>
    <row r="11801" spans="1:13" x14ac:dyDescent="0.2">
      <c r="A11801" s="246">
        <v>2024</v>
      </c>
      <c r="B11801" s="238">
        <v>8</v>
      </c>
      <c r="C11801" s="238">
        <v>29</v>
      </c>
      <c r="D11801" s="270">
        <f t="shared" si="1714"/>
        <v>45533</v>
      </c>
      <c r="E11801" s="279">
        <f t="shared" si="1715"/>
        <v>45533</v>
      </c>
      <c r="F11801" s="482" t="s">
        <v>137</v>
      </c>
      <c r="G11801" s="247" t="s">
        <v>94</v>
      </c>
      <c r="H11801" s="247" t="str" cm="1">
        <f t="array" ref="H11801">IFERROR(INDEX(INVESTOR_LIST[INVESTOR NAME],MATCH(I11801,INVESTOR_LIST[INVESTOR CODE],0),)," ")</f>
        <v xml:space="preserve"> </v>
      </c>
      <c r="I11801" s="248" t="s">
        <v>348</v>
      </c>
      <c r="J11801" s="249" t="s">
        <v>97</v>
      </c>
      <c r="K11801" s="250">
        <f>M11801</f>
        <v>58244.342822409308</v>
      </c>
      <c r="L11801" s="252"/>
      <c r="M11801" s="264">
        <v>58244.342822409308</v>
      </c>
    </row>
    <row r="11802" spans="1:13" x14ac:dyDescent="0.2">
      <c r="A11802" s="242">
        <v>2024</v>
      </c>
      <c r="B11802" s="242">
        <v>8</v>
      </c>
      <c r="C11802" s="242">
        <v>29</v>
      </c>
      <c r="D11802" s="270">
        <f t="shared" si="1714"/>
        <v>45533</v>
      </c>
      <c r="E11802" s="279">
        <f t="shared" si="1715"/>
        <v>45533</v>
      </c>
      <c r="F11802" s="478"/>
      <c r="G11802" s="243" t="s">
        <v>94</v>
      </c>
      <c r="H11802" s="243" t="str" cm="1">
        <f t="array" ref="H11802">IFERROR(INDEX(INVESTOR_LIST[INVESTOR NAME],MATCH(I11802,INVESTOR_LIST[INVESTOR CODE],0),)," ")</f>
        <v xml:space="preserve"> </v>
      </c>
      <c r="I11802" s="263" t="s">
        <v>348</v>
      </c>
      <c r="J11802" s="244" t="s">
        <v>47</v>
      </c>
      <c r="K11802" s="245"/>
      <c r="L11802" s="245">
        <f>K11801</f>
        <v>58244.342822409308</v>
      </c>
      <c r="M11802" s="264">
        <v>2671.8325257358497</v>
      </c>
    </row>
    <row r="11803" spans="1:13" x14ac:dyDescent="0.2">
      <c r="A11803" s="246">
        <v>2024</v>
      </c>
      <c r="B11803" s="238">
        <v>8</v>
      </c>
      <c r="C11803" s="238">
        <v>29</v>
      </c>
      <c r="D11803" s="270">
        <f t="shared" si="1714"/>
        <v>45533</v>
      </c>
      <c r="E11803" s="279">
        <f t="shared" si="1715"/>
        <v>45533</v>
      </c>
      <c r="F11803" s="482" t="s">
        <v>138</v>
      </c>
      <c r="G11803" s="247" t="s">
        <v>94</v>
      </c>
      <c r="H11803" s="247" t="str" cm="1">
        <f t="array" ref="H11803">IFERROR(INDEX(INVESTOR_LIST[INVESTOR NAME],MATCH(I11803,INVESTOR_LIST[INVESTOR CODE],0),)," ")</f>
        <v xml:space="preserve"> </v>
      </c>
      <c r="I11803" s="248" t="s">
        <v>348</v>
      </c>
      <c r="J11803" s="249" t="s">
        <v>100</v>
      </c>
      <c r="K11803" s="250">
        <f>M11802</f>
        <v>2671.8325257358497</v>
      </c>
      <c r="L11803" s="252"/>
    </row>
    <row r="11804" spans="1:13" x14ac:dyDescent="0.2">
      <c r="A11804" s="242">
        <v>2024</v>
      </c>
      <c r="B11804" s="242">
        <v>8</v>
      </c>
      <c r="C11804" s="242">
        <v>29</v>
      </c>
      <c r="D11804" s="321">
        <f t="shared" si="1714"/>
        <v>45533</v>
      </c>
      <c r="E11804" s="322">
        <f t="shared" si="1715"/>
        <v>45533</v>
      </c>
      <c r="F11804" s="478"/>
      <c r="G11804" s="243" t="s">
        <v>94</v>
      </c>
      <c r="H11804" s="243" t="str" cm="1">
        <f t="array" ref="H11804">IFERROR(INDEX(INVESTOR_LIST[INVESTOR NAME],MATCH(I11804,INVESTOR_LIST[INVESTOR CODE],0),)," ")</f>
        <v xml:space="preserve"> </v>
      </c>
      <c r="I11804" s="263" t="s">
        <v>348</v>
      </c>
      <c r="J11804" s="244" t="s">
        <v>48</v>
      </c>
      <c r="K11804" s="245"/>
      <c r="L11804" s="245">
        <f>K11803</f>
        <v>2671.8325257358497</v>
      </c>
    </row>
    <row r="11805" spans="1:13" x14ac:dyDescent="0.2">
      <c r="A11805" s="133">
        <v>2024</v>
      </c>
      <c r="B11805" s="133">
        <v>9</v>
      </c>
      <c r="C11805" s="168">
        <v>1</v>
      </c>
      <c r="D11805" s="141">
        <f t="shared" si="1714"/>
        <v>45536</v>
      </c>
      <c r="E11805" s="275">
        <f t="shared" si="1715"/>
        <v>45536</v>
      </c>
      <c r="F11805" s="479" t="s">
        <v>1943</v>
      </c>
      <c r="G11805" s="174" t="s">
        <v>74</v>
      </c>
      <c r="H11805" s="148" t="str" cm="1">
        <f t="array" ref="H11805">IFERROR(INDEX(INVESTOR_LIST[INVESTOR NAME],MATCH(I11805,INVESTOR_LIST[INVESTOR CODE],0),)," ")</f>
        <v xml:space="preserve"> </v>
      </c>
      <c r="I11805" s="148" t="s">
        <v>348</v>
      </c>
      <c r="J11805" s="133" t="s">
        <v>61</v>
      </c>
      <c r="K11805" s="172">
        <v>100</v>
      </c>
    </row>
    <row r="11806" spans="1:13" x14ac:dyDescent="0.2">
      <c r="A11806" s="163">
        <v>2024</v>
      </c>
      <c r="B11806" s="163">
        <v>9</v>
      </c>
      <c r="C11806" s="163">
        <v>1</v>
      </c>
      <c r="D11806" s="280">
        <f t="shared" si="1714"/>
        <v>45536</v>
      </c>
      <c r="E11806" s="281">
        <f t="shared" si="1715"/>
        <v>45536</v>
      </c>
      <c r="F11806" s="480"/>
      <c r="G11806" s="221" t="s">
        <v>74</v>
      </c>
      <c r="H11806" s="145" t="str" cm="1">
        <f t="array" ref="H11806">IFERROR(INDEX(INVESTOR_LIST[INVESTOR NAME],MATCH(I11806,INVESTOR_LIST[INVESTOR CODE],0),)," ")</f>
        <v xml:space="preserve"> </v>
      </c>
      <c r="I11806" s="145" t="s">
        <v>348</v>
      </c>
      <c r="J11806" s="163" t="s">
        <v>52</v>
      </c>
      <c r="K11806" s="219"/>
      <c r="L11806" s="219">
        <v>100</v>
      </c>
    </row>
    <row r="11807" spans="1:13" ht="11.25" customHeight="1" x14ac:dyDescent="0.2">
      <c r="A11807" s="168">
        <v>2024</v>
      </c>
      <c r="B11807" s="133">
        <v>9</v>
      </c>
      <c r="C11807" s="168">
        <v>1</v>
      </c>
      <c r="D11807" s="141">
        <f t="shared" si="1714"/>
        <v>45536</v>
      </c>
      <c r="E11807" s="275">
        <f t="shared" si="1715"/>
        <v>45536</v>
      </c>
      <c r="F11807" s="479" t="s">
        <v>1965</v>
      </c>
      <c r="G11807" s="220" t="s">
        <v>74</v>
      </c>
      <c r="H11807" s="220" t="str" cm="1">
        <f t="array" ref="H11807">IFERROR(INDEX(INVESTOR_LIST[INVESTOR NAME],MATCH(I11807,INVESTOR_LIST[INVESTOR CODE],0),)," ")</f>
        <v xml:space="preserve"> </v>
      </c>
      <c r="I11807" s="142"/>
      <c r="J11807" s="143" t="s">
        <v>147</v>
      </c>
      <c r="K11807" s="226">
        <v>2507405.2200000002</v>
      </c>
      <c r="L11807" s="226"/>
    </row>
    <row r="11808" spans="1:13" x14ac:dyDescent="0.2">
      <c r="A11808" s="163">
        <v>2024</v>
      </c>
      <c r="B11808" s="163">
        <v>9</v>
      </c>
      <c r="C11808" s="163">
        <v>1</v>
      </c>
      <c r="D11808" s="280">
        <f t="shared" si="1714"/>
        <v>45536</v>
      </c>
      <c r="E11808" s="281">
        <f t="shared" si="1715"/>
        <v>45536</v>
      </c>
      <c r="F11808" s="480"/>
      <c r="G11808" s="221" t="s">
        <v>74</v>
      </c>
      <c r="H11808" s="221" t="str" cm="1">
        <f t="array" ref="H11808">IFERROR(INDEX(INVESTOR_LIST[INVESTOR NAME],MATCH(I11808,INVESTOR_LIST[INVESTOR CODE],0),)," ")</f>
        <v xml:space="preserve"> </v>
      </c>
      <c r="I11808" s="145" t="s">
        <v>348</v>
      </c>
      <c r="J11808" s="146" t="s">
        <v>52</v>
      </c>
      <c r="K11808" s="219"/>
      <c r="L11808" s="219">
        <v>2507405.2200000002</v>
      </c>
    </row>
    <row r="11809" spans="1:17" x14ac:dyDescent="0.2">
      <c r="A11809" s="133">
        <v>2024</v>
      </c>
      <c r="B11809" s="168">
        <v>9</v>
      </c>
      <c r="C11809" s="168">
        <v>2</v>
      </c>
      <c r="D11809" s="141">
        <f t="shared" si="1714"/>
        <v>45537</v>
      </c>
      <c r="E11809" s="275">
        <f t="shared" si="1715"/>
        <v>45537</v>
      </c>
      <c r="F11809" s="479" t="s">
        <v>1981</v>
      </c>
      <c r="G11809" s="174" t="s">
        <v>74</v>
      </c>
      <c r="H11809" s="174" t="str" cm="1">
        <f t="array" ref="H11809">IFERROR(INDEX(INVESTOR_LIST[INVESTOR NAME],MATCH(I11809,INVESTOR_LIST[INVESTOR CODE],0),)," ")</f>
        <v xml:space="preserve"> </v>
      </c>
      <c r="I11809" s="148" t="s">
        <v>348</v>
      </c>
      <c r="J11809" s="149" t="s">
        <v>1764</v>
      </c>
      <c r="K11809" s="218">
        <v>6803965</v>
      </c>
      <c r="L11809" s="218"/>
      <c r="M11809" s="147"/>
      <c r="Q11809" s="133" t="s">
        <v>348</v>
      </c>
    </row>
    <row r="11810" spans="1:17" x14ac:dyDescent="0.2">
      <c r="A11810" s="163">
        <v>2024</v>
      </c>
      <c r="B11810" s="133">
        <v>9</v>
      </c>
      <c r="C11810" s="133">
        <v>2</v>
      </c>
      <c r="D11810" s="280">
        <f t="shared" si="1714"/>
        <v>45537</v>
      </c>
      <c r="E11810" s="281">
        <f t="shared" si="1715"/>
        <v>45537</v>
      </c>
      <c r="F11810" s="480"/>
      <c r="G11810" s="221" t="s">
        <v>74</v>
      </c>
      <c r="H11810" s="221" t="str" cm="1">
        <f t="array" ref="H11810">IFERROR(INDEX(INVESTOR_LIST[INVESTOR NAME],MATCH(I11810,INVESTOR_LIST[INVESTOR CODE],0),)," ")</f>
        <v xml:space="preserve"> </v>
      </c>
      <c r="I11810" s="145"/>
      <c r="J11810" s="146" t="s">
        <v>52</v>
      </c>
      <c r="K11810" s="219"/>
      <c r="L11810" s="219">
        <v>6803965</v>
      </c>
      <c r="M11810" s="147"/>
      <c r="Q11810" s="133" t="s">
        <v>348</v>
      </c>
    </row>
    <row r="11811" spans="1:17" x14ac:dyDescent="0.2">
      <c r="A11811" s="168">
        <v>2024</v>
      </c>
      <c r="B11811" s="168">
        <v>9</v>
      </c>
      <c r="C11811" s="168">
        <v>2</v>
      </c>
      <c r="D11811" s="141">
        <f t="shared" ref="D11811:D11829" si="1716">DATE(A11811,B11811,C11811)</f>
        <v>45537</v>
      </c>
      <c r="E11811" s="275">
        <f t="shared" ref="E11811:E11829" si="1717">DATE(A11811,B11811,C11811)</f>
        <v>45537</v>
      </c>
      <c r="F11811" s="479" t="s">
        <v>1974</v>
      </c>
      <c r="G11811" s="220" t="s">
        <v>94</v>
      </c>
      <c r="H11811" s="220" t="str" cm="1">
        <f t="array" ref="H11811">IFERROR(INDEX(INVESTOR_LIST[INVESTOR NAME],MATCH(I11811,INVESTOR_LIST[INVESTOR CODE],0),)," ")</f>
        <v xml:space="preserve"> </v>
      </c>
      <c r="I11811" s="142"/>
      <c r="J11811" s="143" t="s">
        <v>79</v>
      </c>
      <c r="K11811" s="226">
        <v>347000</v>
      </c>
      <c r="L11811" s="226"/>
      <c r="M11811" s="160"/>
    </row>
    <row r="11812" spans="1:17" x14ac:dyDescent="0.2">
      <c r="A11812" s="133">
        <v>2024</v>
      </c>
      <c r="B11812" s="133">
        <v>9</v>
      </c>
      <c r="C11812" s="133">
        <v>2</v>
      </c>
      <c r="D11812" s="141">
        <f t="shared" si="1716"/>
        <v>45537</v>
      </c>
      <c r="E11812" s="275">
        <f t="shared" si="1717"/>
        <v>45537</v>
      </c>
      <c r="F11812" s="481"/>
      <c r="G11812" s="174" t="s">
        <v>94</v>
      </c>
      <c r="H11812" s="174" t="str" cm="1">
        <f t="array" ref="H11812">IFERROR(INDEX(INVESTOR_LIST[INVESTOR NAME],MATCH(I11812,INVESTOR_LIST[INVESTOR CODE],0),)," ")</f>
        <v xml:space="preserve"> </v>
      </c>
      <c r="J11812" s="149" t="s">
        <v>80</v>
      </c>
      <c r="K11812" s="218">
        <v>624.6</v>
      </c>
      <c r="L11812" s="133"/>
    </row>
    <row r="11813" spans="1:17" x14ac:dyDescent="0.2">
      <c r="A11813" s="163">
        <v>2024</v>
      </c>
      <c r="B11813" s="163">
        <v>9</v>
      </c>
      <c r="C11813" s="163">
        <v>2</v>
      </c>
      <c r="D11813" s="280">
        <f t="shared" si="1716"/>
        <v>45537</v>
      </c>
      <c r="E11813" s="281">
        <f t="shared" si="1717"/>
        <v>45537</v>
      </c>
      <c r="F11813" s="480"/>
      <c r="G11813" s="221" t="s">
        <v>94</v>
      </c>
      <c r="H11813" s="221" t="str" cm="1">
        <f t="array" ref="H11813">IFERROR(INDEX(INVESTOR_LIST[INVESTOR NAME],MATCH(I11813,INVESTOR_LIST[INVESTOR CODE],0),)," ")</f>
        <v xml:space="preserve"> </v>
      </c>
      <c r="I11813" s="145"/>
      <c r="J11813" s="146" t="s">
        <v>147</v>
      </c>
      <c r="K11813" s="219"/>
      <c r="L11813" s="219">
        <v>347624.6</v>
      </c>
    </row>
    <row r="11814" spans="1:17" ht="11.25" customHeight="1" x14ac:dyDescent="0.2">
      <c r="A11814" s="133">
        <v>2024</v>
      </c>
      <c r="B11814" s="168">
        <v>9</v>
      </c>
      <c r="C11814" s="168">
        <v>2</v>
      </c>
      <c r="D11814" s="141">
        <f>DATE(A11814,B11814,C11814)</f>
        <v>45537</v>
      </c>
      <c r="E11814" s="275">
        <f>DATE(A11814,B11814,C11814)</f>
        <v>45537</v>
      </c>
      <c r="F11814" s="481" t="s">
        <v>1980</v>
      </c>
      <c r="G11814" s="174" t="s">
        <v>74</v>
      </c>
      <c r="H11814" s="174" t="str" cm="1">
        <f t="array" ref="H11814">IFERROR(INDEX(INVESTOR_LIST[INVESTOR NAME],MATCH(I11814,INVESTOR_LIST[INVESTOR CODE],0),)," ")</f>
        <v xml:space="preserve"> </v>
      </c>
      <c r="I11814" s="148" t="s">
        <v>348</v>
      </c>
      <c r="J11814" s="149" t="s">
        <v>52</v>
      </c>
      <c r="K11814" s="218">
        <v>5000000</v>
      </c>
      <c r="L11814" s="218"/>
      <c r="M11814" s="147"/>
      <c r="Q11814" s="133" t="s">
        <v>348</v>
      </c>
    </row>
    <row r="11815" spans="1:17" x14ac:dyDescent="0.2">
      <c r="A11815" s="133">
        <v>2024</v>
      </c>
      <c r="B11815" s="133">
        <v>9</v>
      </c>
      <c r="C11815" s="133">
        <v>2</v>
      </c>
      <c r="D11815" s="141">
        <f t="shared" ref="D11815" si="1718">DATE(A11815,B11815,C11815)</f>
        <v>45537</v>
      </c>
      <c r="E11815" s="275">
        <f t="shared" ref="E11815" si="1719">DATE(A11815,B11815,C11815)</f>
        <v>45537</v>
      </c>
      <c r="F11815" s="481"/>
      <c r="G11815" s="174" t="s">
        <v>74</v>
      </c>
      <c r="H11815" s="174" t="str" cm="1">
        <f t="array" ref="H11815">IFERROR(INDEX(INVESTOR_LIST[INVESTOR NAME],MATCH(I11815,INVESTOR_LIST[INVESTOR CODE],0),)," ")</f>
        <v xml:space="preserve"> </v>
      </c>
      <c r="J11815" s="149" t="s">
        <v>1809</v>
      </c>
      <c r="K11815" s="218"/>
      <c r="L11815" s="218">
        <v>140885</v>
      </c>
      <c r="M11815" s="147"/>
    </row>
    <row r="11816" spans="1:17" x14ac:dyDescent="0.2">
      <c r="A11816" s="163">
        <v>2024</v>
      </c>
      <c r="B11816" s="163">
        <v>9</v>
      </c>
      <c r="C11816" s="163">
        <v>2</v>
      </c>
      <c r="D11816" s="280">
        <f>DATE(A11816,B11816,C11816)</f>
        <v>45537</v>
      </c>
      <c r="E11816" s="281">
        <f>DATE(A11816,B11816,C11816)</f>
        <v>45537</v>
      </c>
      <c r="F11816" s="480"/>
      <c r="G11816" s="221" t="s">
        <v>74</v>
      </c>
      <c r="H11816" s="221" t="str" cm="1">
        <f t="array" ref="H11816">IFERROR(INDEX(INVESTOR_LIST[INVESTOR NAME],MATCH(I11816,INVESTOR_LIST[INVESTOR CODE],0),)," ")</f>
        <v xml:space="preserve"> </v>
      </c>
      <c r="I11816" s="145"/>
      <c r="J11816" s="146" t="s">
        <v>1764</v>
      </c>
      <c r="K11816" s="219"/>
      <c r="L11816" s="219">
        <v>4859115</v>
      </c>
      <c r="M11816" s="147"/>
      <c r="Q11816" s="133" t="s">
        <v>348</v>
      </c>
    </row>
    <row r="11817" spans="1:17" ht="11.25" customHeight="1" x14ac:dyDescent="0.2">
      <c r="A11817" s="168">
        <v>2024</v>
      </c>
      <c r="B11817" s="133">
        <v>9</v>
      </c>
      <c r="C11817" s="133">
        <v>2</v>
      </c>
      <c r="D11817" s="141">
        <f t="shared" ref="D11817:D11826" si="1720">DATE(A11817,B11817,C11817)</f>
        <v>45537</v>
      </c>
      <c r="E11817" s="275">
        <f t="shared" ref="E11817:E11826" si="1721">DATE(A11817,B11817,C11817)</f>
        <v>45537</v>
      </c>
      <c r="F11817" s="479" t="s">
        <v>1757</v>
      </c>
      <c r="G11817" s="220" t="s">
        <v>74</v>
      </c>
      <c r="H11817" s="220" t="str" cm="1">
        <f t="array" ref="H11817">IFERROR(INDEX(INVESTOR_LIST[INVESTOR NAME],MATCH(I11817,INVESTOR_LIST[INVESTOR CODE],0),)," ")</f>
        <v xml:space="preserve"> </v>
      </c>
      <c r="I11817" s="142"/>
      <c r="J11817" s="143" t="s">
        <v>52</v>
      </c>
      <c r="K11817" s="226">
        <v>923335</v>
      </c>
      <c r="L11817" s="226"/>
    </row>
    <row r="11818" spans="1:17" x14ac:dyDescent="0.2">
      <c r="A11818" s="163">
        <v>2024</v>
      </c>
      <c r="B11818" s="163">
        <v>9</v>
      </c>
      <c r="C11818" s="163">
        <v>2</v>
      </c>
      <c r="D11818" s="280">
        <f t="shared" si="1720"/>
        <v>45537</v>
      </c>
      <c r="E11818" s="281">
        <f t="shared" si="1721"/>
        <v>45537</v>
      </c>
      <c r="F11818" s="480"/>
      <c r="G11818" s="221" t="s">
        <v>74</v>
      </c>
      <c r="H11818" s="221" t="str" cm="1">
        <f t="array" ref="H11818">IFERROR(INDEX(INVESTOR_LIST[INVESTOR NAME],MATCH(I11818,INVESTOR_LIST[INVESTOR CODE],0),)," ")</f>
        <v xml:space="preserve"> </v>
      </c>
      <c r="I11818" s="145"/>
      <c r="J11818" s="146" t="s">
        <v>190</v>
      </c>
      <c r="K11818" s="219"/>
      <c r="L11818" s="219">
        <v>923335</v>
      </c>
    </row>
    <row r="11819" spans="1:17" x14ac:dyDescent="0.2">
      <c r="A11819" s="133">
        <v>2024</v>
      </c>
      <c r="B11819" s="168">
        <v>9</v>
      </c>
      <c r="C11819" s="168">
        <v>2</v>
      </c>
      <c r="D11819" s="141">
        <f t="shared" si="1720"/>
        <v>45537</v>
      </c>
      <c r="E11819" s="275">
        <f t="shared" si="1721"/>
        <v>45537</v>
      </c>
      <c r="F11819" s="481" t="s">
        <v>1934</v>
      </c>
      <c r="G11819" s="174" t="s">
        <v>94</v>
      </c>
      <c r="H11819" s="174" t="str" cm="1">
        <f t="array" ref="H11819">IFERROR(INDEX(INVESTOR_LIST[INVESTOR NAME],MATCH(I11819,INVESTOR_LIST[INVESTOR CODE],0),)," ")</f>
        <v xml:space="preserve"> </v>
      </c>
      <c r="I11819" s="148" t="s">
        <v>348</v>
      </c>
      <c r="J11819" s="149" t="s">
        <v>168</v>
      </c>
      <c r="K11819" s="218">
        <v>6.65</v>
      </c>
      <c r="L11819" s="218"/>
    </row>
    <row r="11820" spans="1:17" x14ac:dyDescent="0.2">
      <c r="A11820" s="133">
        <v>2024</v>
      </c>
      <c r="B11820" s="133">
        <v>9</v>
      </c>
      <c r="C11820" s="133">
        <v>2</v>
      </c>
      <c r="D11820" s="141">
        <f t="shared" si="1720"/>
        <v>45537</v>
      </c>
      <c r="E11820" s="275">
        <f t="shared" si="1721"/>
        <v>45537</v>
      </c>
      <c r="F11820" s="481"/>
      <c r="G11820" s="174" t="s">
        <v>94</v>
      </c>
      <c r="H11820" s="174" t="str" cm="1">
        <f t="array" ref="H11820">IFERROR(INDEX(INVESTOR_LIST[INVESTOR NAME],MATCH(I11820,INVESTOR_LIST[INVESTOR CODE],0),)," ")</f>
        <v xml:space="preserve"> </v>
      </c>
      <c r="I11820" s="148" t="s">
        <v>348</v>
      </c>
      <c r="J11820" s="149" t="s">
        <v>166</v>
      </c>
      <c r="K11820" s="218"/>
      <c r="L11820" s="218">
        <v>6.65</v>
      </c>
    </row>
    <row r="11821" spans="1:17" x14ac:dyDescent="0.2">
      <c r="A11821" s="133">
        <v>2024</v>
      </c>
      <c r="B11821" s="133">
        <v>9</v>
      </c>
      <c r="C11821" s="133">
        <v>2</v>
      </c>
      <c r="D11821" s="141">
        <f t="shared" ref="D11821" si="1722">DATE(A11821,B11821,C11821)</f>
        <v>45537</v>
      </c>
      <c r="E11821" s="275">
        <f t="shared" ref="E11821" si="1723">DATE(A11821,B11821,C11821)</f>
        <v>45537</v>
      </c>
      <c r="F11821" s="481"/>
      <c r="G11821" s="174" t="s">
        <v>94</v>
      </c>
      <c r="H11821" s="174" t="str" cm="1">
        <f t="array" ref="H11821">IFERROR(INDEX(INVESTOR_LIST[INVESTOR NAME],MATCH(I11821,INVESTOR_LIST[INVESTOR CODE],0),)," ")</f>
        <v xml:space="preserve"> </v>
      </c>
      <c r="I11821" s="148" t="s">
        <v>348</v>
      </c>
      <c r="J11821" s="149" t="s">
        <v>52</v>
      </c>
      <c r="K11821" s="218">
        <v>6.65</v>
      </c>
      <c r="L11821" s="218"/>
    </row>
    <row r="11822" spans="1:17" x14ac:dyDescent="0.2">
      <c r="A11822" s="163">
        <v>2024</v>
      </c>
      <c r="B11822" s="163">
        <v>9</v>
      </c>
      <c r="C11822" s="163">
        <v>2</v>
      </c>
      <c r="D11822" s="280">
        <f t="shared" si="1720"/>
        <v>45537</v>
      </c>
      <c r="E11822" s="281">
        <f t="shared" si="1721"/>
        <v>45537</v>
      </c>
      <c r="F11822" s="480"/>
      <c r="G11822" s="221" t="s">
        <v>94</v>
      </c>
      <c r="H11822" s="221" t="str" cm="1">
        <f t="array" ref="H11822">IFERROR(INDEX(INVESTOR_LIST[INVESTOR NAME],MATCH(I11822,INVESTOR_LIST[INVESTOR CODE],0),)," ")</f>
        <v xml:space="preserve"> </v>
      </c>
      <c r="I11822" s="145" t="s">
        <v>348</v>
      </c>
      <c r="J11822" s="146" t="s">
        <v>168</v>
      </c>
      <c r="K11822" s="219"/>
      <c r="L11822" s="219">
        <v>6.65</v>
      </c>
    </row>
    <row r="11823" spans="1:17" x14ac:dyDescent="0.2">
      <c r="A11823" s="133">
        <v>2024</v>
      </c>
      <c r="B11823" s="133">
        <v>9</v>
      </c>
      <c r="C11823" s="168">
        <v>3</v>
      </c>
      <c r="D11823" s="141">
        <f t="shared" si="1720"/>
        <v>45538</v>
      </c>
      <c r="E11823" s="275">
        <f t="shared" si="1721"/>
        <v>45538</v>
      </c>
      <c r="F11823" s="479" t="s">
        <v>1943</v>
      </c>
      <c r="G11823" s="174" t="s">
        <v>74</v>
      </c>
      <c r="H11823" s="148" t="str" cm="1">
        <f t="array" ref="H11823">IFERROR(INDEX(INVESTOR_LIST[INVESTOR NAME],MATCH(I11823,INVESTOR_LIST[INVESTOR CODE],0),)," ")</f>
        <v xml:space="preserve"> </v>
      </c>
      <c r="I11823" s="148" t="s">
        <v>348</v>
      </c>
      <c r="J11823" s="133" t="s">
        <v>61</v>
      </c>
      <c r="K11823" s="172">
        <v>110</v>
      </c>
    </row>
    <row r="11824" spans="1:17" x14ac:dyDescent="0.2">
      <c r="A11824" s="163">
        <v>2024</v>
      </c>
      <c r="B11824" s="163">
        <v>9</v>
      </c>
      <c r="C11824" s="163">
        <v>3</v>
      </c>
      <c r="D11824" s="280">
        <f t="shared" si="1720"/>
        <v>45538</v>
      </c>
      <c r="E11824" s="281">
        <f t="shared" si="1721"/>
        <v>45538</v>
      </c>
      <c r="F11824" s="480"/>
      <c r="G11824" s="221" t="s">
        <v>74</v>
      </c>
      <c r="H11824" s="145" t="str" cm="1">
        <f t="array" ref="H11824">IFERROR(INDEX(INVESTOR_LIST[INVESTOR NAME],MATCH(I11824,INVESTOR_LIST[INVESTOR CODE],0),)," ")</f>
        <v xml:space="preserve"> </v>
      </c>
      <c r="I11824" s="145" t="s">
        <v>348</v>
      </c>
      <c r="J11824" s="163" t="s">
        <v>52</v>
      </c>
      <c r="K11824" s="219"/>
      <c r="L11824" s="219">
        <v>110</v>
      </c>
    </row>
    <row r="11825" spans="1:13" ht="11.25" customHeight="1" x14ac:dyDescent="0.2">
      <c r="A11825" s="168">
        <v>2024</v>
      </c>
      <c r="B11825" s="133">
        <v>9</v>
      </c>
      <c r="C11825" s="168">
        <v>3</v>
      </c>
      <c r="D11825" s="141">
        <f t="shared" si="1720"/>
        <v>45538</v>
      </c>
      <c r="E11825" s="275">
        <f t="shared" si="1721"/>
        <v>45538</v>
      </c>
      <c r="F11825" s="479" t="s">
        <v>1768</v>
      </c>
      <c r="G11825" s="220" t="s">
        <v>74</v>
      </c>
      <c r="H11825" s="220" t="str" cm="1">
        <f t="array" ref="H11825">IFERROR(INDEX(INVESTOR_LIST[INVESTOR NAME],MATCH(I11825,INVESTOR_LIST[INVESTOR CODE],0),)," ")</f>
        <v xml:space="preserve"> </v>
      </c>
      <c r="I11825" s="142"/>
      <c r="J11825" s="143" t="s">
        <v>147</v>
      </c>
      <c r="K11825" s="226">
        <v>959407.94</v>
      </c>
      <c r="L11825" s="226"/>
    </row>
    <row r="11826" spans="1:13" x14ac:dyDescent="0.2">
      <c r="A11826" s="163">
        <v>2024</v>
      </c>
      <c r="B11826" s="163">
        <v>9</v>
      </c>
      <c r="C11826" s="163">
        <v>3</v>
      </c>
      <c r="D11826" s="280">
        <f t="shared" si="1720"/>
        <v>45538</v>
      </c>
      <c r="E11826" s="281">
        <f t="shared" si="1721"/>
        <v>45538</v>
      </c>
      <c r="F11826" s="480"/>
      <c r="G11826" s="221" t="s">
        <v>74</v>
      </c>
      <c r="H11826" s="221" t="str" cm="1">
        <f t="array" ref="H11826">IFERROR(INDEX(INVESTOR_LIST[INVESTOR NAME],MATCH(I11826,INVESTOR_LIST[INVESTOR CODE],0),)," ")</f>
        <v xml:space="preserve"> </v>
      </c>
      <c r="I11826" s="145" t="s">
        <v>348</v>
      </c>
      <c r="J11826" s="146" t="s">
        <v>52</v>
      </c>
      <c r="K11826" s="219"/>
      <c r="L11826" s="219">
        <v>959407.94</v>
      </c>
    </row>
    <row r="11827" spans="1:13" ht="33.75" x14ac:dyDescent="0.2">
      <c r="A11827" s="168">
        <v>2024</v>
      </c>
      <c r="B11827" s="168">
        <v>9</v>
      </c>
      <c r="C11827" s="133">
        <v>3</v>
      </c>
      <c r="D11827" s="141">
        <f t="shared" si="1716"/>
        <v>45538</v>
      </c>
      <c r="E11827" s="275">
        <f t="shared" si="1717"/>
        <v>45538</v>
      </c>
      <c r="F11827" s="479" t="s">
        <v>964</v>
      </c>
      <c r="G11827" s="220" t="s">
        <v>74</v>
      </c>
      <c r="H11827" s="142" t="str" cm="1">
        <f t="array" ref="H11827">IFERROR(INDEX(INVESTOR_LIST[INVESTOR NAME],MATCH(I11827,INVESTOR_LIST[INVESTOR CODE],0),)," ")</f>
        <v>BIJOY CHANDRA DAS</v>
      </c>
      <c r="I11827" s="142" t="s">
        <v>678</v>
      </c>
      <c r="J11827" s="168" t="s">
        <v>52</v>
      </c>
      <c r="K11827" s="226">
        <v>200000</v>
      </c>
      <c r="L11827" s="226"/>
    </row>
    <row r="11828" spans="1:13" ht="33.75" x14ac:dyDescent="0.2">
      <c r="A11828" s="133">
        <v>2024</v>
      </c>
      <c r="B11828" s="133">
        <v>9</v>
      </c>
      <c r="C11828" s="133">
        <v>3</v>
      </c>
      <c r="D11828" s="141">
        <f t="shared" si="1716"/>
        <v>45538</v>
      </c>
      <c r="E11828" s="275">
        <f t="shared" si="1717"/>
        <v>45538</v>
      </c>
      <c r="F11828" s="481"/>
      <c r="G11828" s="174" t="s">
        <v>74</v>
      </c>
      <c r="H11828" s="148" t="str" cm="1">
        <f t="array" ref="H11828">IFERROR(INDEX(INVESTOR_LIST[INVESTOR NAME],MATCH(I11828,INVESTOR_LIST[INVESTOR CODE],0),)," ")</f>
        <v>BIJOY CHANDRA DAS</v>
      </c>
      <c r="I11828" s="148" t="s">
        <v>678</v>
      </c>
      <c r="J11828" s="133" t="s">
        <v>13</v>
      </c>
      <c r="K11828" s="218"/>
      <c r="L11828" s="218">
        <v>152320</v>
      </c>
    </row>
    <row r="11829" spans="1:13" ht="33.75" x14ac:dyDescent="0.2">
      <c r="A11829" s="163">
        <v>2024</v>
      </c>
      <c r="B11829" s="163">
        <v>9</v>
      </c>
      <c r="C11829" s="163">
        <v>3</v>
      </c>
      <c r="D11829" s="280">
        <f t="shared" si="1716"/>
        <v>45538</v>
      </c>
      <c r="E11829" s="281">
        <f t="shared" si="1717"/>
        <v>45538</v>
      </c>
      <c r="F11829" s="480"/>
      <c r="G11829" s="221" t="s">
        <v>74</v>
      </c>
      <c r="H11829" s="145" t="str" cm="1">
        <f t="array" ref="H11829">IFERROR(INDEX(INVESTOR_LIST[INVESTOR NAME],MATCH(I11829,INVESTOR_LIST[INVESTOR CODE],0),)," ")</f>
        <v>BIJOY CHANDRA DAS</v>
      </c>
      <c r="I11829" s="145" t="s">
        <v>678</v>
      </c>
      <c r="J11829" s="163" t="s">
        <v>53</v>
      </c>
      <c r="K11829" s="219"/>
      <c r="L11829" s="219">
        <v>47680</v>
      </c>
    </row>
    <row r="11830" spans="1:13" x14ac:dyDescent="0.2">
      <c r="A11830" s="168">
        <v>2024</v>
      </c>
      <c r="B11830" s="168">
        <v>9</v>
      </c>
      <c r="C11830" s="133">
        <v>3</v>
      </c>
      <c r="D11830" s="141">
        <f t="shared" ref="D11830:D11835" si="1724">DATE(A11830,B11830,C11830)</f>
        <v>45538</v>
      </c>
      <c r="E11830" s="275">
        <f t="shared" ref="E11830:E11835" si="1725">DATE(A11830,B11830,C11830)</f>
        <v>45538</v>
      </c>
      <c r="F11830" s="479" t="s">
        <v>964</v>
      </c>
      <c r="G11830" s="220" t="s">
        <v>74</v>
      </c>
      <c r="H11830" s="142" t="str" cm="1">
        <f t="array" ref="H11830">IFERROR(INDEX(INVESTOR_LIST[INVESTOR NAME],MATCH(I11830,INVESTOR_LIST[INVESTOR CODE],0),)," ")</f>
        <v xml:space="preserve"> </v>
      </c>
      <c r="I11830" s="142" t="s">
        <v>1978</v>
      </c>
      <c r="J11830" s="168" t="s">
        <v>52</v>
      </c>
      <c r="K11830" s="226">
        <v>250000</v>
      </c>
      <c r="L11830" s="226"/>
    </row>
    <row r="11831" spans="1:13" x14ac:dyDescent="0.2">
      <c r="A11831" s="133">
        <v>2024</v>
      </c>
      <c r="B11831" s="133">
        <v>9</v>
      </c>
      <c r="C11831" s="133">
        <v>3</v>
      </c>
      <c r="D11831" s="141">
        <f t="shared" si="1724"/>
        <v>45538</v>
      </c>
      <c r="E11831" s="275">
        <f t="shared" si="1725"/>
        <v>45538</v>
      </c>
      <c r="F11831" s="481"/>
      <c r="G11831" s="174" t="s">
        <v>74</v>
      </c>
      <c r="H11831" s="148" t="str" cm="1">
        <f t="array" ref="H11831">IFERROR(INDEX(INVESTOR_LIST[INVESTOR NAME],MATCH(I11831,INVESTOR_LIST[INVESTOR CODE],0),)," ")</f>
        <v xml:space="preserve"> </v>
      </c>
      <c r="I11831" s="148" t="s">
        <v>1978</v>
      </c>
      <c r="J11831" s="133" t="s">
        <v>13</v>
      </c>
      <c r="K11831" s="218"/>
      <c r="L11831" s="218">
        <v>190400</v>
      </c>
    </row>
    <row r="11832" spans="1:13" x14ac:dyDescent="0.2">
      <c r="A11832" s="163">
        <v>2024</v>
      </c>
      <c r="B11832" s="163">
        <v>9</v>
      </c>
      <c r="C11832" s="163">
        <v>3</v>
      </c>
      <c r="D11832" s="280">
        <f t="shared" si="1724"/>
        <v>45538</v>
      </c>
      <c r="E11832" s="281">
        <f t="shared" si="1725"/>
        <v>45538</v>
      </c>
      <c r="F11832" s="480"/>
      <c r="G11832" s="221" t="s">
        <v>74</v>
      </c>
      <c r="H11832" s="145" t="str" cm="1">
        <f t="array" ref="H11832">IFERROR(INDEX(INVESTOR_LIST[INVESTOR NAME],MATCH(I11832,INVESTOR_LIST[INVESTOR CODE],0),)," ")</f>
        <v xml:space="preserve"> </v>
      </c>
      <c r="I11832" s="145" t="s">
        <v>1978</v>
      </c>
      <c r="J11832" s="163" t="s">
        <v>53</v>
      </c>
      <c r="K11832" s="219"/>
      <c r="L11832" s="219">
        <v>59600</v>
      </c>
    </row>
    <row r="11833" spans="1:13" x14ac:dyDescent="0.2">
      <c r="A11833" s="168">
        <v>2024</v>
      </c>
      <c r="B11833" s="168">
        <v>9</v>
      </c>
      <c r="C11833" s="133">
        <v>3</v>
      </c>
      <c r="D11833" s="141">
        <f t="shared" si="1724"/>
        <v>45538</v>
      </c>
      <c r="E11833" s="275">
        <f t="shared" si="1725"/>
        <v>45538</v>
      </c>
      <c r="F11833" s="479" t="s">
        <v>1979</v>
      </c>
      <c r="G11833" s="220" t="s">
        <v>94</v>
      </c>
      <c r="H11833" s="220" t="str" cm="1">
        <f t="array" ref="H11833">IFERROR(INDEX(INVESTOR_LIST[INVESTOR NAME],MATCH(I11833,INVESTOR_LIST[INVESTOR CODE],0),)," ")</f>
        <v xml:space="preserve"> </v>
      </c>
      <c r="I11833" s="142"/>
      <c r="J11833" s="143" t="s">
        <v>79</v>
      </c>
      <c r="K11833" s="226">
        <v>1791900</v>
      </c>
      <c r="L11833" s="226"/>
      <c r="M11833" s="160"/>
    </row>
    <row r="11834" spans="1:13" x14ac:dyDescent="0.2">
      <c r="A11834" s="133">
        <v>2024</v>
      </c>
      <c r="B11834" s="133">
        <v>9</v>
      </c>
      <c r="C11834" s="133">
        <v>3</v>
      </c>
      <c r="D11834" s="141">
        <f t="shared" si="1724"/>
        <v>45538</v>
      </c>
      <c r="E11834" s="275">
        <f t="shared" si="1725"/>
        <v>45538</v>
      </c>
      <c r="F11834" s="481"/>
      <c r="G11834" s="174" t="s">
        <v>94</v>
      </c>
      <c r="H11834" s="174" t="str" cm="1">
        <f t="array" ref="H11834">IFERROR(INDEX(INVESTOR_LIST[INVESTOR NAME],MATCH(I11834,INVESTOR_LIST[INVESTOR CODE],0),)," ")</f>
        <v xml:space="preserve"> </v>
      </c>
      <c r="J11834" s="149" t="s">
        <v>80</v>
      </c>
      <c r="K11834" s="218">
        <v>3225.4196000000002</v>
      </c>
      <c r="L11834" s="133"/>
    </row>
    <row r="11835" spans="1:13" x14ac:dyDescent="0.2">
      <c r="A11835" s="163">
        <v>2024</v>
      </c>
      <c r="B11835" s="163">
        <v>9</v>
      </c>
      <c r="C11835" s="163">
        <v>3</v>
      </c>
      <c r="D11835" s="280">
        <f t="shared" si="1724"/>
        <v>45538</v>
      </c>
      <c r="E11835" s="281">
        <f t="shared" si="1725"/>
        <v>45538</v>
      </c>
      <c r="F11835" s="480"/>
      <c r="G11835" s="221" t="s">
        <v>94</v>
      </c>
      <c r="H11835" s="221" t="str" cm="1">
        <f t="array" ref="H11835">IFERROR(INDEX(INVESTOR_LIST[INVESTOR NAME],MATCH(I11835,INVESTOR_LIST[INVESTOR CODE],0),)," ")</f>
        <v xml:space="preserve"> </v>
      </c>
      <c r="I11835" s="145"/>
      <c r="J11835" s="146" t="s">
        <v>147</v>
      </c>
      <c r="K11835" s="219"/>
      <c r="L11835" s="219">
        <v>1795125.4195999999</v>
      </c>
    </row>
    <row r="11836" spans="1:13" ht="56.25" x14ac:dyDescent="0.2">
      <c r="A11836" s="168">
        <v>2024</v>
      </c>
      <c r="B11836" s="168">
        <v>9</v>
      </c>
      <c r="C11836" s="133">
        <v>4</v>
      </c>
      <c r="D11836" s="141">
        <f t="shared" ref="D11836:D11838" si="1726">DATE(A11836,B11836,C11836)</f>
        <v>45539</v>
      </c>
      <c r="E11836" s="275">
        <f t="shared" ref="E11836:E11838" si="1727">DATE(A11836,B11836,C11836)</f>
        <v>45539</v>
      </c>
      <c r="F11836" s="479" t="s">
        <v>964</v>
      </c>
      <c r="G11836" s="220" t="s">
        <v>74</v>
      </c>
      <c r="H11836" s="142" t="str" cm="1">
        <f t="array" ref="H11836">IFERROR(INDEX(INVESTOR_LIST[INVESTOR NAME],MATCH(I11836,INVESTOR_LIST[INVESTOR CODE],0),)," ")</f>
        <v>EKUSH WEALTH MANAGEMENT LIMITED</v>
      </c>
      <c r="I11836" s="142" t="s">
        <v>371</v>
      </c>
      <c r="J11836" s="168" t="s">
        <v>52</v>
      </c>
      <c r="K11836" s="226">
        <v>1100000</v>
      </c>
      <c r="L11836" s="226"/>
    </row>
    <row r="11837" spans="1:13" ht="56.25" x14ac:dyDescent="0.2">
      <c r="A11837" s="133">
        <v>2024</v>
      </c>
      <c r="B11837" s="133">
        <v>9</v>
      </c>
      <c r="C11837" s="133">
        <v>4</v>
      </c>
      <c r="D11837" s="141">
        <f t="shared" si="1726"/>
        <v>45539</v>
      </c>
      <c r="E11837" s="275">
        <f t="shared" si="1727"/>
        <v>45539</v>
      </c>
      <c r="F11837" s="481"/>
      <c r="G11837" s="174" t="s">
        <v>74</v>
      </c>
      <c r="H11837" s="148" t="str" cm="1">
        <f t="array" ref="H11837">IFERROR(INDEX(INVESTOR_LIST[INVESTOR NAME],MATCH(I11837,INVESTOR_LIST[INVESTOR CODE],0),)," ")</f>
        <v>EKUSH WEALTH MANAGEMENT LIMITED</v>
      </c>
      <c r="I11837" s="148" t="s">
        <v>371</v>
      </c>
      <c r="J11837" s="133" t="s">
        <v>13</v>
      </c>
      <c r="K11837" s="218"/>
      <c r="L11837" s="218">
        <v>837780</v>
      </c>
    </row>
    <row r="11838" spans="1:13" ht="56.25" x14ac:dyDescent="0.2">
      <c r="A11838" s="163">
        <v>2024</v>
      </c>
      <c r="B11838" s="163">
        <v>9</v>
      </c>
      <c r="C11838" s="163">
        <v>4</v>
      </c>
      <c r="D11838" s="280">
        <f t="shared" si="1726"/>
        <v>45539</v>
      </c>
      <c r="E11838" s="281">
        <f t="shared" si="1727"/>
        <v>45539</v>
      </c>
      <c r="F11838" s="480"/>
      <c r="G11838" s="221" t="s">
        <v>74</v>
      </c>
      <c r="H11838" s="145" t="str" cm="1">
        <f t="array" ref="H11838">IFERROR(INDEX(INVESTOR_LIST[INVESTOR NAME],MATCH(I11838,INVESTOR_LIST[INVESTOR CODE],0),)," ")</f>
        <v>EKUSH WEALTH MANAGEMENT LIMITED</v>
      </c>
      <c r="I11838" s="145" t="s">
        <v>371</v>
      </c>
      <c r="J11838" s="163" t="s">
        <v>53</v>
      </c>
      <c r="K11838" s="219"/>
      <c r="L11838" s="219">
        <v>262220</v>
      </c>
    </row>
    <row r="11839" spans="1:13" ht="56.25" x14ac:dyDescent="0.2">
      <c r="A11839" s="168">
        <v>2024</v>
      </c>
      <c r="B11839" s="168">
        <v>9</v>
      </c>
      <c r="C11839" s="133">
        <v>4</v>
      </c>
      <c r="D11839" s="141">
        <f t="shared" ref="D11839:D11843" si="1728">DATE(A11839,B11839,C11839)</f>
        <v>45539</v>
      </c>
      <c r="E11839" s="275">
        <f t="shared" ref="E11839:E11843" si="1729">DATE(A11839,B11839,C11839)</f>
        <v>45539</v>
      </c>
      <c r="F11839" s="479" t="s">
        <v>964</v>
      </c>
      <c r="G11839" s="220" t="s">
        <v>74</v>
      </c>
      <c r="H11839" s="142" t="str" cm="1">
        <f t="array" ref="H11839">IFERROR(INDEX(INVESTOR_LIST[INVESTOR NAME],MATCH(I11839,INVESTOR_LIST[INVESTOR CODE],0),)," ")</f>
        <v>EKUSH WEALTH MANAGEMENT LIMITED</v>
      </c>
      <c r="I11839" s="142" t="s">
        <v>371</v>
      </c>
      <c r="J11839" s="168" t="s">
        <v>52</v>
      </c>
      <c r="K11839" s="226">
        <v>400000</v>
      </c>
      <c r="L11839" s="226"/>
    </row>
    <row r="11840" spans="1:13" ht="56.25" x14ac:dyDescent="0.2">
      <c r="A11840" s="133">
        <v>2024</v>
      </c>
      <c r="B11840" s="133">
        <v>9</v>
      </c>
      <c r="C11840" s="133">
        <v>4</v>
      </c>
      <c r="D11840" s="141">
        <f t="shared" si="1728"/>
        <v>45539</v>
      </c>
      <c r="E11840" s="275">
        <f t="shared" si="1729"/>
        <v>45539</v>
      </c>
      <c r="F11840" s="481"/>
      <c r="G11840" s="174" t="s">
        <v>74</v>
      </c>
      <c r="H11840" s="148" t="str" cm="1">
        <f t="array" ref="H11840">IFERROR(INDEX(INVESTOR_LIST[INVESTOR NAME],MATCH(I11840,INVESTOR_LIST[INVESTOR CODE],0),)," ")</f>
        <v>EKUSH WEALTH MANAGEMENT LIMITED</v>
      </c>
      <c r="I11840" s="148" t="s">
        <v>371</v>
      </c>
      <c r="J11840" s="133" t="s">
        <v>13</v>
      </c>
      <c r="K11840" s="218"/>
      <c r="L11840" s="218">
        <v>304650</v>
      </c>
    </row>
    <row r="11841" spans="1:12" ht="56.25" x14ac:dyDescent="0.2">
      <c r="A11841" s="163">
        <v>2024</v>
      </c>
      <c r="B11841" s="163">
        <v>9</v>
      </c>
      <c r="C11841" s="163">
        <v>4</v>
      </c>
      <c r="D11841" s="280">
        <f t="shared" si="1728"/>
        <v>45539</v>
      </c>
      <c r="E11841" s="281">
        <f t="shared" si="1729"/>
        <v>45539</v>
      </c>
      <c r="F11841" s="480"/>
      <c r="G11841" s="221" t="s">
        <v>74</v>
      </c>
      <c r="H11841" s="145" t="str" cm="1">
        <f t="array" ref="H11841">IFERROR(INDEX(INVESTOR_LIST[INVESTOR NAME],MATCH(I11841,INVESTOR_LIST[INVESTOR CODE],0),)," ")</f>
        <v>EKUSH WEALTH MANAGEMENT LIMITED</v>
      </c>
      <c r="I11841" s="145" t="s">
        <v>371</v>
      </c>
      <c r="J11841" s="163" t="s">
        <v>53</v>
      </c>
      <c r="K11841" s="219"/>
      <c r="L11841" s="219">
        <v>95350</v>
      </c>
    </row>
    <row r="11842" spans="1:12" ht="11.25" customHeight="1" x14ac:dyDescent="0.2">
      <c r="A11842" s="168">
        <v>2024</v>
      </c>
      <c r="B11842" s="133">
        <v>9</v>
      </c>
      <c r="C11842" s="168">
        <v>4</v>
      </c>
      <c r="D11842" s="141">
        <f t="shared" si="1728"/>
        <v>45539</v>
      </c>
      <c r="E11842" s="275">
        <f t="shared" si="1729"/>
        <v>45539</v>
      </c>
      <c r="F11842" s="479" t="s">
        <v>1965</v>
      </c>
      <c r="G11842" s="220" t="s">
        <v>74</v>
      </c>
      <c r="H11842" s="220" t="str" cm="1">
        <f t="array" ref="H11842">IFERROR(INDEX(INVESTOR_LIST[INVESTOR NAME],MATCH(I11842,INVESTOR_LIST[INVESTOR CODE],0),)," ")</f>
        <v xml:space="preserve"> </v>
      </c>
      <c r="I11842" s="142"/>
      <c r="J11842" s="143" t="s">
        <v>147</v>
      </c>
      <c r="K11842" s="226">
        <v>347624.6</v>
      </c>
      <c r="L11842" s="226"/>
    </row>
    <row r="11843" spans="1:12" x14ac:dyDescent="0.2">
      <c r="A11843" s="163">
        <v>2024</v>
      </c>
      <c r="B11843" s="163">
        <v>9</v>
      </c>
      <c r="C11843" s="163">
        <v>4</v>
      </c>
      <c r="D11843" s="280">
        <f t="shared" si="1728"/>
        <v>45539</v>
      </c>
      <c r="E11843" s="281">
        <f t="shared" si="1729"/>
        <v>45539</v>
      </c>
      <c r="F11843" s="480"/>
      <c r="G11843" s="221" t="s">
        <v>74</v>
      </c>
      <c r="H11843" s="221" t="str" cm="1">
        <f t="array" ref="H11843">IFERROR(INDEX(INVESTOR_LIST[INVESTOR NAME],MATCH(I11843,INVESTOR_LIST[INVESTOR CODE],0),)," ")</f>
        <v xml:space="preserve"> </v>
      </c>
      <c r="I11843" s="145" t="s">
        <v>348</v>
      </c>
      <c r="J11843" s="146" t="s">
        <v>52</v>
      </c>
      <c r="K11843" s="219"/>
      <c r="L11843" s="219">
        <v>347624.6</v>
      </c>
    </row>
    <row r="11844" spans="1:12" ht="11.25" customHeight="1" x14ac:dyDescent="0.2">
      <c r="A11844" s="168">
        <v>2024</v>
      </c>
      <c r="B11844" s="133">
        <v>9</v>
      </c>
      <c r="C11844" s="168">
        <v>4</v>
      </c>
      <c r="D11844" s="141">
        <f t="shared" ref="D11844:D11876" si="1730">DATE(A11844,B11844,C11844)</f>
        <v>45539</v>
      </c>
      <c r="E11844" s="275">
        <f t="shared" ref="E11844:E11876" si="1731">DATE(A11844,B11844,C11844)</f>
        <v>45539</v>
      </c>
      <c r="F11844" s="479" t="s">
        <v>1768</v>
      </c>
      <c r="G11844" s="220" t="s">
        <v>74</v>
      </c>
      <c r="H11844" s="220" t="str" cm="1">
        <f t="array" ref="H11844">IFERROR(INDEX(INVESTOR_LIST[INVESTOR NAME],MATCH(I11844,INVESTOR_LIST[INVESTOR CODE],0),)," ")</f>
        <v xml:space="preserve"> </v>
      </c>
      <c r="I11844" s="142"/>
      <c r="J11844" s="143" t="s">
        <v>147</v>
      </c>
      <c r="K11844" s="226">
        <v>1795125.42</v>
      </c>
      <c r="L11844" s="226"/>
    </row>
    <row r="11845" spans="1:12" x14ac:dyDescent="0.2">
      <c r="A11845" s="163">
        <v>2024</v>
      </c>
      <c r="B11845" s="163">
        <v>9</v>
      </c>
      <c r="C11845" s="163">
        <v>4</v>
      </c>
      <c r="D11845" s="280">
        <f t="shared" si="1730"/>
        <v>45539</v>
      </c>
      <c r="E11845" s="281">
        <f t="shared" si="1731"/>
        <v>45539</v>
      </c>
      <c r="F11845" s="480"/>
      <c r="G11845" s="221" t="s">
        <v>74</v>
      </c>
      <c r="H11845" s="221" t="str" cm="1">
        <f t="array" ref="H11845">IFERROR(INDEX(INVESTOR_LIST[INVESTOR NAME],MATCH(I11845,INVESTOR_LIST[INVESTOR CODE],0),)," ")</f>
        <v xml:space="preserve"> </v>
      </c>
      <c r="I11845" s="145" t="s">
        <v>348</v>
      </c>
      <c r="J11845" s="146" t="s">
        <v>52</v>
      </c>
      <c r="K11845" s="219"/>
      <c r="L11845" s="219">
        <v>1795125.42</v>
      </c>
    </row>
    <row r="11846" spans="1:12" x14ac:dyDescent="0.2">
      <c r="A11846" s="133">
        <v>2024</v>
      </c>
      <c r="B11846" s="133">
        <v>9</v>
      </c>
      <c r="C11846" s="168">
        <v>4</v>
      </c>
      <c r="D11846" s="141">
        <f t="shared" si="1730"/>
        <v>45539</v>
      </c>
      <c r="E11846" s="275">
        <f t="shared" si="1731"/>
        <v>45539</v>
      </c>
      <c r="F11846" s="479" t="s">
        <v>1943</v>
      </c>
      <c r="G11846" s="174" t="s">
        <v>74</v>
      </c>
      <c r="H11846" s="148" t="str" cm="1">
        <f t="array" ref="H11846">IFERROR(INDEX(INVESTOR_LIST[INVESTOR NAME],MATCH(I11846,INVESTOR_LIST[INVESTOR CODE],0),)," ")</f>
        <v xml:space="preserve"> </v>
      </c>
      <c r="I11846" s="148" t="s">
        <v>348</v>
      </c>
      <c r="J11846" s="133" t="s">
        <v>61</v>
      </c>
      <c r="K11846" s="172">
        <v>158</v>
      </c>
    </row>
    <row r="11847" spans="1:12" x14ac:dyDescent="0.2">
      <c r="A11847" s="163">
        <v>2024</v>
      </c>
      <c r="B11847" s="163">
        <v>9</v>
      </c>
      <c r="C11847" s="163">
        <v>4</v>
      </c>
      <c r="D11847" s="280">
        <f t="shared" si="1730"/>
        <v>45539</v>
      </c>
      <c r="E11847" s="281">
        <f t="shared" si="1731"/>
        <v>45539</v>
      </c>
      <c r="F11847" s="480"/>
      <c r="G11847" s="221" t="s">
        <v>74</v>
      </c>
      <c r="H11847" s="145" t="str" cm="1">
        <f t="array" ref="H11847">IFERROR(INDEX(INVESTOR_LIST[INVESTOR NAME],MATCH(I11847,INVESTOR_LIST[INVESTOR CODE],0),)," ")</f>
        <v xml:space="preserve"> </v>
      </c>
      <c r="I11847" s="145" t="s">
        <v>348</v>
      </c>
      <c r="J11847" s="163" t="s">
        <v>52</v>
      </c>
      <c r="K11847" s="219"/>
      <c r="L11847" s="219">
        <v>158</v>
      </c>
    </row>
    <row r="11848" spans="1:12" x14ac:dyDescent="0.2">
      <c r="A11848" s="133">
        <v>2024</v>
      </c>
      <c r="B11848" s="168">
        <v>9</v>
      </c>
      <c r="C11848" s="168">
        <v>5</v>
      </c>
      <c r="D11848" s="141">
        <f t="shared" si="1730"/>
        <v>45540</v>
      </c>
      <c r="E11848" s="275">
        <f t="shared" si="1731"/>
        <v>45540</v>
      </c>
      <c r="F11848" s="481" t="s">
        <v>982</v>
      </c>
      <c r="G11848" s="174" t="s">
        <v>74</v>
      </c>
      <c r="H11848" s="174" t="str" cm="1">
        <f t="array" ref="H11848">IFERROR(INDEX(INVESTOR_LIST[INVESTOR NAME],MATCH(I11848,INVESTOR_LIST[INVESTOR CODE],0),)," ")</f>
        <v xml:space="preserve"> </v>
      </c>
      <c r="I11848" s="148" t="s">
        <v>348</v>
      </c>
      <c r="J11848" s="149" t="s">
        <v>163</v>
      </c>
      <c r="K11848" s="218">
        <v>2875</v>
      </c>
      <c r="L11848" s="218"/>
    </row>
    <row r="11849" spans="1:12" x14ac:dyDescent="0.2">
      <c r="A11849" s="133">
        <v>2024</v>
      </c>
      <c r="B11849" s="133">
        <v>9</v>
      </c>
      <c r="C11849" s="133">
        <v>5</v>
      </c>
      <c r="D11849" s="141">
        <f t="shared" si="1730"/>
        <v>45540</v>
      </c>
      <c r="E11849" s="275">
        <f t="shared" si="1731"/>
        <v>45540</v>
      </c>
      <c r="F11849" s="481"/>
      <c r="G11849" s="174" t="s">
        <v>201</v>
      </c>
      <c r="H11849" s="174" t="str" cm="1">
        <f t="array" ref="H11849">IFERROR(INDEX(INVESTOR_LIST[INVESTOR NAME],MATCH(I11849,INVESTOR_LIST[INVESTOR CODE],0),)," ")</f>
        <v xml:space="preserve"> </v>
      </c>
      <c r="J11849" s="149" t="s">
        <v>1906</v>
      </c>
      <c r="K11849" s="218"/>
      <c r="L11849" s="218">
        <v>125</v>
      </c>
    </row>
    <row r="11850" spans="1:12" x14ac:dyDescent="0.2">
      <c r="A11850" s="163">
        <v>2024</v>
      </c>
      <c r="B11850" s="163">
        <v>9</v>
      </c>
      <c r="C11850" s="163">
        <v>5</v>
      </c>
      <c r="D11850" s="280">
        <f t="shared" si="1730"/>
        <v>45540</v>
      </c>
      <c r="E11850" s="281">
        <f t="shared" si="1731"/>
        <v>45540</v>
      </c>
      <c r="F11850" s="480"/>
      <c r="G11850" s="221" t="s">
        <v>74</v>
      </c>
      <c r="H11850" s="221" t="str" cm="1">
        <f t="array" ref="H11850">IFERROR(INDEX(INVESTOR_LIST[INVESTOR NAME],MATCH(I11850,INVESTOR_LIST[INVESTOR CODE],0),)," ")</f>
        <v xml:space="preserve"> </v>
      </c>
      <c r="I11850" s="145" t="s">
        <v>348</v>
      </c>
      <c r="J11850" s="146" t="s">
        <v>52</v>
      </c>
      <c r="K11850" s="219"/>
      <c r="L11850" s="219">
        <v>2750</v>
      </c>
    </row>
    <row r="11851" spans="1:12" x14ac:dyDescent="0.2">
      <c r="A11851" s="168">
        <v>2024</v>
      </c>
      <c r="B11851" s="168">
        <v>9</v>
      </c>
      <c r="C11851" s="133">
        <v>5</v>
      </c>
      <c r="D11851" s="141">
        <f t="shared" si="1730"/>
        <v>45540</v>
      </c>
      <c r="E11851" s="275">
        <f t="shared" si="1731"/>
        <v>45540</v>
      </c>
      <c r="F11851" s="479" t="s">
        <v>1319</v>
      </c>
      <c r="G11851" s="220" t="s">
        <v>74</v>
      </c>
      <c r="H11851" s="142" t="str" cm="1">
        <f t="array" ref="H11851">IFERROR(INDEX(INVESTOR_LIST[INVESTOR NAME],MATCH(I11851,INVESTOR_LIST[INVESTOR CODE],0),)," ")</f>
        <v xml:space="preserve"> </v>
      </c>
      <c r="I11851" s="142"/>
      <c r="J11851" s="168" t="s">
        <v>52</v>
      </c>
      <c r="K11851" s="226">
        <v>52000</v>
      </c>
      <c r="L11851" s="226"/>
    </row>
    <row r="11852" spans="1:12" x14ac:dyDescent="0.2">
      <c r="A11852" s="133">
        <v>2024</v>
      </c>
      <c r="B11852" s="133">
        <v>9</v>
      </c>
      <c r="C11852" s="133">
        <v>5</v>
      </c>
      <c r="D11852" s="141">
        <f t="shared" si="1730"/>
        <v>45540</v>
      </c>
      <c r="E11852" s="275">
        <f t="shared" si="1731"/>
        <v>45540</v>
      </c>
      <c r="F11852" s="481"/>
      <c r="G11852" s="174" t="s">
        <v>74</v>
      </c>
      <c r="H11852" s="148" t="str" cm="1">
        <f t="array" ref="H11852">IFERROR(INDEX(INVESTOR_LIST[INVESTOR NAME],MATCH(I11852,INVESTOR_LIST[INVESTOR CODE],0),)," ")</f>
        <v xml:space="preserve"> </v>
      </c>
      <c r="J11852" s="133" t="s">
        <v>13</v>
      </c>
      <c r="K11852" s="218"/>
      <c r="L11852" s="218">
        <v>39610</v>
      </c>
    </row>
    <row r="11853" spans="1:12" x14ac:dyDescent="0.2">
      <c r="A11853" s="163">
        <v>2024</v>
      </c>
      <c r="B11853" s="163">
        <v>9</v>
      </c>
      <c r="C11853" s="163">
        <v>5</v>
      </c>
      <c r="D11853" s="280">
        <f t="shared" si="1730"/>
        <v>45540</v>
      </c>
      <c r="E11853" s="281">
        <f t="shared" si="1731"/>
        <v>45540</v>
      </c>
      <c r="F11853" s="480"/>
      <c r="G11853" s="221" t="s">
        <v>74</v>
      </c>
      <c r="H11853" s="145" t="str" cm="1">
        <f t="array" ref="H11853">IFERROR(INDEX(INVESTOR_LIST[INVESTOR NAME],MATCH(I11853,INVESTOR_LIST[INVESTOR CODE],0),)," ")</f>
        <v xml:space="preserve"> </v>
      </c>
      <c r="I11853" s="145"/>
      <c r="J11853" s="163" t="s">
        <v>53</v>
      </c>
      <c r="K11853" s="219"/>
      <c r="L11853" s="219">
        <v>12390</v>
      </c>
    </row>
    <row r="11854" spans="1:12" x14ac:dyDescent="0.2">
      <c r="A11854" s="325">
        <v>2024</v>
      </c>
      <c r="B11854" s="325">
        <v>9</v>
      </c>
      <c r="C11854" s="325">
        <v>5</v>
      </c>
      <c r="D11854" s="326">
        <f t="shared" si="1730"/>
        <v>45540</v>
      </c>
      <c r="E11854" s="327">
        <f t="shared" si="1731"/>
        <v>45540</v>
      </c>
      <c r="F11854" s="473" t="s">
        <v>1940</v>
      </c>
      <c r="G11854" s="340" t="s">
        <v>94</v>
      </c>
      <c r="H11854" s="340" t="str" cm="1">
        <f t="array" ref="H11854">IFERROR(INDEX(INVESTOR_LIST[INVESTOR NAME],MATCH(I11854,INVESTOR_LIST[INVESTOR CODE],0),)," ")</f>
        <v xml:space="preserve"> </v>
      </c>
      <c r="I11854" s="341" t="s">
        <v>348</v>
      </c>
      <c r="J11854" s="374" t="s">
        <v>133</v>
      </c>
      <c r="K11854" s="375">
        <v>12905.555555555549</v>
      </c>
      <c r="L11854" s="375"/>
    </row>
    <row r="11855" spans="1:12" x14ac:dyDescent="0.2">
      <c r="A11855" s="331">
        <v>2024</v>
      </c>
      <c r="B11855" s="331">
        <v>9</v>
      </c>
      <c r="C11855" s="331">
        <v>5</v>
      </c>
      <c r="D11855" s="326">
        <f t="shared" si="1730"/>
        <v>45540</v>
      </c>
      <c r="E11855" s="327">
        <f t="shared" si="1731"/>
        <v>45540</v>
      </c>
      <c r="F11855" s="474"/>
      <c r="G11855" s="332" t="s">
        <v>94</v>
      </c>
      <c r="H11855" s="332" t="str" cm="1">
        <f t="array" ref="H11855">IFERROR(INDEX(INVESTOR_LIST[INVESTOR NAME],MATCH(I11855,INVESTOR_LIST[INVESTOR CODE],0),)," ")</f>
        <v xml:space="preserve"> </v>
      </c>
      <c r="I11855" s="333" t="s">
        <v>348</v>
      </c>
      <c r="J11855" s="376" t="s">
        <v>60</v>
      </c>
      <c r="K11855" s="334"/>
      <c r="L11855" s="334">
        <v>12905.555555555549</v>
      </c>
    </row>
    <row r="11856" spans="1:12" x14ac:dyDescent="0.2">
      <c r="A11856" s="384">
        <v>2024</v>
      </c>
      <c r="B11856" s="384">
        <v>9</v>
      </c>
      <c r="C11856" s="384">
        <v>5</v>
      </c>
      <c r="D11856" s="385">
        <f t="shared" si="1730"/>
        <v>45540</v>
      </c>
      <c r="E11856" s="386">
        <f t="shared" si="1731"/>
        <v>45540</v>
      </c>
      <c r="F11856" s="475" t="s">
        <v>1966</v>
      </c>
      <c r="G11856" s="387" t="s">
        <v>94</v>
      </c>
      <c r="H11856" s="387" t="str" cm="1">
        <f t="array" ref="H11856">IFERROR(INDEX(INVESTOR_LIST[INVESTOR NAME],MATCH(I11856,INVESTOR_LIST[INVESTOR CODE],0),)," ")</f>
        <v xml:space="preserve"> </v>
      </c>
      <c r="I11856" s="388" t="s">
        <v>348</v>
      </c>
      <c r="J11856" s="389" t="s">
        <v>67</v>
      </c>
      <c r="K11856" s="390">
        <v>12977.23</v>
      </c>
      <c r="L11856" s="390"/>
    </row>
    <row r="11857" spans="1:13" x14ac:dyDescent="0.2">
      <c r="A11857" s="391">
        <v>2024</v>
      </c>
      <c r="B11857" s="391">
        <v>9</v>
      </c>
      <c r="C11857" s="391">
        <v>5</v>
      </c>
      <c r="D11857" s="385">
        <f t="shared" si="1730"/>
        <v>45540</v>
      </c>
      <c r="E11857" s="386">
        <f t="shared" si="1731"/>
        <v>45540</v>
      </c>
      <c r="F11857" s="476"/>
      <c r="G11857" s="392" t="s">
        <v>94</v>
      </c>
      <c r="H11857" s="392" t="str" cm="1">
        <f t="array" ref="H11857">IFERROR(INDEX(INVESTOR_LIST[INVESTOR NAME],MATCH(I11857,INVESTOR_LIST[INVESTOR CODE],0),)," ")</f>
        <v xml:space="preserve"> </v>
      </c>
      <c r="I11857" s="393" t="s">
        <v>348</v>
      </c>
      <c r="J11857" s="394" t="s">
        <v>60</v>
      </c>
      <c r="K11857" s="395"/>
      <c r="L11857" s="395">
        <f>K11856</f>
        <v>12977.23</v>
      </c>
    </row>
    <row r="11858" spans="1:13" x14ac:dyDescent="0.2">
      <c r="A11858" s="343">
        <v>2024</v>
      </c>
      <c r="B11858" s="343">
        <v>9</v>
      </c>
      <c r="C11858" s="343">
        <v>5</v>
      </c>
      <c r="D11858" s="344">
        <f t="shared" si="1730"/>
        <v>45540</v>
      </c>
      <c r="E11858" s="345">
        <f t="shared" si="1731"/>
        <v>45540</v>
      </c>
      <c r="F11858" s="483" t="s">
        <v>1813</v>
      </c>
      <c r="G11858" s="350" t="s">
        <v>94</v>
      </c>
      <c r="H11858" s="350" t="str" cm="1">
        <f t="array" ref="H11858">IFERROR(INDEX(INVESTOR_LIST[INVESTOR NAME],MATCH(I11858,INVESTOR_LIST[INVESTOR CODE],0),)," ")</f>
        <v xml:space="preserve"> </v>
      </c>
      <c r="I11858" s="352" t="s">
        <v>348</v>
      </c>
      <c r="J11858" s="353" t="s">
        <v>1807</v>
      </c>
      <c r="K11858" s="354">
        <v>117036</v>
      </c>
      <c r="L11858" s="354"/>
    </row>
    <row r="11859" spans="1:13" x14ac:dyDescent="0.2">
      <c r="A11859" s="346">
        <v>2024</v>
      </c>
      <c r="B11859" s="346">
        <v>9</v>
      </c>
      <c r="C11859" s="346">
        <v>5</v>
      </c>
      <c r="D11859" s="344">
        <f t="shared" si="1730"/>
        <v>45540</v>
      </c>
      <c r="E11859" s="345">
        <f t="shared" si="1731"/>
        <v>45540</v>
      </c>
      <c r="F11859" s="484"/>
      <c r="G11859" s="347" t="s">
        <v>94</v>
      </c>
      <c r="H11859" s="347" t="str" cm="1">
        <f t="array" ref="H11859">IFERROR(INDEX(INVESTOR_LIST[INVESTOR NAME],MATCH(I11859,INVESTOR_LIST[INVESTOR CODE],0),)," ")</f>
        <v xml:space="preserve"> </v>
      </c>
      <c r="I11859" s="348" t="s">
        <v>348</v>
      </c>
      <c r="J11859" s="355" t="s">
        <v>1798</v>
      </c>
      <c r="K11859" s="349"/>
      <c r="L11859" s="349">
        <f>K11858</f>
        <v>117036</v>
      </c>
    </row>
    <row r="11860" spans="1:13" x14ac:dyDescent="0.2">
      <c r="A11860" s="343">
        <v>2024</v>
      </c>
      <c r="B11860" s="343">
        <v>9</v>
      </c>
      <c r="C11860" s="343">
        <v>5</v>
      </c>
      <c r="D11860" s="344">
        <f t="shared" si="1730"/>
        <v>45540</v>
      </c>
      <c r="E11860" s="345">
        <f t="shared" si="1731"/>
        <v>45540</v>
      </c>
      <c r="F11860" s="483" t="s">
        <v>1913</v>
      </c>
      <c r="G11860" s="350" t="s">
        <v>94</v>
      </c>
      <c r="H11860" s="350" t="str" cm="1">
        <f t="array" ref="H11860">IFERROR(INDEX(INVESTOR_LIST[INVESTOR NAME],MATCH(I11860,INVESTOR_LIST[INVESTOR CODE],0),)," ")</f>
        <v xml:space="preserve"> </v>
      </c>
      <c r="I11860" s="352" t="s">
        <v>348</v>
      </c>
      <c r="J11860" s="353" t="s">
        <v>1799</v>
      </c>
      <c r="K11860" s="354">
        <v>79743.179999999702</v>
      </c>
      <c r="L11860" s="354"/>
    </row>
    <row r="11861" spans="1:13" x14ac:dyDescent="0.2">
      <c r="A11861" s="346">
        <v>2024</v>
      </c>
      <c r="B11861" s="346">
        <v>9</v>
      </c>
      <c r="C11861" s="346">
        <v>5</v>
      </c>
      <c r="D11861" s="344">
        <f t="shared" si="1730"/>
        <v>45540</v>
      </c>
      <c r="E11861" s="345">
        <f t="shared" si="1731"/>
        <v>45540</v>
      </c>
      <c r="F11861" s="484"/>
      <c r="G11861" s="347" t="s">
        <v>94</v>
      </c>
      <c r="H11861" s="347" t="str" cm="1">
        <f t="array" ref="H11861">IFERROR(INDEX(INVESTOR_LIST[INVESTOR NAME],MATCH(I11861,INVESTOR_LIST[INVESTOR CODE],0),)," ")</f>
        <v xml:space="preserve"> </v>
      </c>
      <c r="I11861" s="348" t="s">
        <v>348</v>
      </c>
      <c r="J11861" s="355" t="s">
        <v>1808</v>
      </c>
      <c r="K11861" s="349"/>
      <c r="L11861" s="349">
        <f>K11860</f>
        <v>79743.179999999702</v>
      </c>
    </row>
    <row r="11862" spans="1:13" ht="11.25" customHeight="1" x14ac:dyDescent="0.2">
      <c r="A11862" s="238">
        <v>2024</v>
      </c>
      <c r="B11862" s="238">
        <v>9</v>
      </c>
      <c r="C11862" s="238">
        <v>5</v>
      </c>
      <c r="D11862" s="270">
        <f t="shared" si="1730"/>
        <v>45540</v>
      </c>
      <c r="E11862" s="279">
        <f t="shared" si="1731"/>
        <v>45540</v>
      </c>
      <c r="F11862" s="477" t="s">
        <v>347</v>
      </c>
      <c r="G11862" s="239" t="s">
        <v>94</v>
      </c>
      <c r="H11862" s="239" t="str" cm="1">
        <f t="array" ref="H11862">IFERROR(INDEX(INVESTOR_LIST[INVESTOR NAME],MATCH(I11862,INVESTOR_LIST[INVESTOR CODE],0),)," ")</f>
        <v xml:space="preserve"> </v>
      </c>
      <c r="I11862" s="262" t="s">
        <v>348</v>
      </c>
      <c r="J11862" s="240" t="s">
        <v>108</v>
      </c>
      <c r="K11862" s="241">
        <v>764095.90999999642</v>
      </c>
      <c r="L11862" s="241"/>
    </row>
    <row r="11863" spans="1:13" x14ac:dyDescent="0.2">
      <c r="A11863" s="242">
        <v>2024</v>
      </c>
      <c r="B11863" s="242">
        <v>9</v>
      </c>
      <c r="C11863" s="242">
        <v>5</v>
      </c>
      <c r="D11863" s="270">
        <f t="shared" si="1730"/>
        <v>45540</v>
      </c>
      <c r="E11863" s="279">
        <f t="shared" si="1731"/>
        <v>45540</v>
      </c>
      <c r="F11863" s="478"/>
      <c r="G11863" s="243" t="s">
        <v>94</v>
      </c>
      <c r="H11863" s="243" t="str" cm="1">
        <f t="array" ref="H11863">IFERROR(INDEX(INVESTOR_LIST[INVESTOR NAME],MATCH(I11863,INVESTOR_LIST[INVESTOR CODE],0),)," ")</f>
        <v xml:space="preserve"> </v>
      </c>
      <c r="I11863" s="263" t="s">
        <v>348</v>
      </c>
      <c r="J11863" s="244" t="s">
        <v>82</v>
      </c>
      <c r="K11863" s="245"/>
      <c r="L11863" s="245">
        <f>K11862</f>
        <v>764095.90999999642</v>
      </c>
    </row>
    <row r="11864" spans="1:13" ht="11.25" customHeight="1" x14ac:dyDescent="0.2">
      <c r="A11864" s="246">
        <v>2024</v>
      </c>
      <c r="B11864" s="238">
        <v>9</v>
      </c>
      <c r="C11864" s="238">
        <v>5</v>
      </c>
      <c r="D11864" s="270">
        <f t="shared" si="1730"/>
        <v>45540</v>
      </c>
      <c r="E11864" s="279">
        <f t="shared" si="1731"/>
        <v>45540</v>
      </c>
      <c r="F11864" s="482" t="s">
        <v>148</v>
      </c>
      <c r="G11864" s="247" t="s">
        <v>94</v>
      </c>
      <c r="H11864" s="247" t="str" cm="1">
        <f t="array" ref="H11864">IFERROR(INDEX(INVESTOR_LIST[INVESTOR NAME],MATCH(I11864,INVESTOR_LIST[INVESTOR CODE],0),)," ")</f>
        <v xml:space="preserve"> </v>
      </c>
      <c r="I11864" s="248" t="s">
        <v>348</v>
      </c>
      <c r="J11864" s="249" t="s">
        <v>95</v>
      </c>
      <c r="K11864" s="250">
        <v>2747.2527472527472</v>
      </c>
      <c r="L11864" s="241"/>
    </row>
    <row r="11865" spans="1:13" x14ac:dyDescent="0.2">
      <c r="A11865" s="242">
        <v>2024</v>
      </c>
      <c r="B11865" s="242">
        <v>9</v>
      </c>
      <c r="C11865" s="242">
        <v>5</v>
      </c>
      <c r="D11865" s="270">
        <f t="shared" si="1730"/>
        <v>45540</v>
      </c>
      <c r="E11865" s="279">
        <f t="shared" si="1731"/>
        <v>45540</v>
      </c>
      <c r="F11865" s="478"/>
      <c r="G11865" s="243" t="s">
        <v>94</v>
      </c>
      <c r="H11865" s="243" t="str" cm="1">
        <f t="array" ref="H11865">IFERROR(INDEX(INVESTOR_LIST[INVESTOR NAME],MATCH(I11865,INVESTOR_LIST[INVESTOR CODE],0),)," ")</f>
        <v xml:space="preserve"> </v>
      </c>
      <c r="I11865" s="263" t="s">
        <v>348</v>
      </c>
      <c r="J11865" s="244" t="s">
        <v>63</v>
      </c>
      <c r="K11865" s="245"/>
      <c r="L11865" s="245">
        <v>2747.2527472527472</v>
      </c>
    </row>
    <row r="11866" spans="1:13" x14ac:dyDescent="0.2">
      <c r="A11866" s="246">
        <v>2024</v>
      </c>
      <c r="B11866" s="238">
        <v>9</v>
      </c>
      <c r="C11866" s="238">
        <v>5</v>
      </c>
      <c r="D11866" s="270">
        <f t="shared" si="1730"/>
        <v>45540</v>
      </c>
      <c r="E11866" s="279">
        <f t="shared" si="1731"/>
        <v>45540</v>
      </c>
      <c r="F11866" s="482" t="s">
        <v>137</v>
      </c>
      <c r="G11866" s="247" t="s">
        <v>94</v>
      </c>
      <c r="H11866" s="247" t="str" cm="1">
        <f t="array" ref="H11866">IFERROR(INDEX(INVESTOR_LIST[INVESTOR NAME],MATCH(I11866,INVESTOR_LIST[INVESTOR CODE],0),)," ")</f>
        <v xml:space="preserve"> </v>
      </c>
      <c r="I11866" s="248" t="s">
        <v>348</v>
      </c>
      <c r="J11866" s="249" t="s">
        <v>97</v>
      </c>
      <c r="K11866" s="250">
        <f>M11866</f>
        <v>59330.40187926517</v>
      </c>
      <c r="L11866" s="252"/>
      <c r="M11866" s="264">
        <v>59330.40187926517</v>
      </c>
    </row>
    <row r="11867" spans="1:13" x14ac:dyDescent="0.2">
      <c r="A11867" s="242">
        <v>2024</v>
      </c>
      <c r="B11867" s="242">
        <v>9</v>
      </c>
      <c r="C11867" s="242">
        <v>5</v>
      </c>
      <c r="D11867" s="270">
        <f t="shared" si="1730"/>
        <v>45540</v>
      </c>
      <c r="E11867" s="279">
        <f t="shared" si="1731"/>
        <v>45540</v>
      </c>
      <c r="F11867" s="478"/>
      <c r="G11867" s="243" t="s">
        <v>94</v>
      </c>
      <c r="H11867" s="243" t="str" cm="1">
        <f t="array" ref="H11867">IFERROR(INDEX(INVESTOR_LIST[INVESTOR NAME],MATCH(I11867,INVESTOR_LIST[INVESTOR CODE],0),)," ")</f>
        <v xml:space="preserve"> </v>
      </c>
      <c r="I11867" s="263" t="s">
        <v>348</v>
      </c>
      <c r="J11867" s="244" t="s">
        <v>47</v>
      </c>
      <c r="K11867" s="245"/>
      <c r="L11867" s="245">
        <f>K11866</f>
        <v>59330.40187926517</v>
      </c>
      <c r="M11867" s="264">
        <v>2726.1354785786434</v>
      </c>
    </row>
    <row r="11868" spans="1:13" x14ac:dyDescent="0.2">
      <c r="A11868" s="246">
        <v>2024</v>
      </c>
      <c r="B11868" s="238">
        <v>9</v>
      </c>
      <c r="C11868" s="238">
        <v>5</v>
      </c>
      <c r="D11868" s="270">
        <f t="shared" si="1730"/>
        <v>45540</v>
      </c>
      <c r="E11868" s="279">
        <f t="shared" si="1731"/>
        <v>45540</v>
      </c>
      <c r="F11868" s="482" t="s">
        <v>138</v>
      </c>
      <c r="G11868" s="247" t="s">
        <v>94</v>
      </c>
      <c r="H11868" s="247" t="str" cm="1">
        <f t="array" ref="H11868">IFERROR(INDEX(INVESTOR_LIST[INVESTOR NAME],MATCH(I11868,INVESTOR_LIST[INVESTOR CODE],0),)," ")</f>
        <v xml:space="preserve"> </v>
      </c>
      <c r="I11868" s="248" t="s">
        <v>348</v>
      </c>
      <c r="J11868" s="249" t="s">
        <v>100</v>
      </c>
      <c r="K11868" s="250">
        <f>M11867</f>
        <v>2726.1354785786434</v>
      </c>
      <c r="L11868" s="252"/>
    </row>
    <row r="11869" spans="1:13" x14ac:dyDescent="0.2">
      <c r="A11869" s="242">
        <v>2024</v>
      </c>
      <c r="B11869" s="242">
        <v>9</v>
      </c>
      <c r="C11869" s="242">
        <v>5</v>
      </c>
      <c r="D11869" s="321">
        <f t="shared" si="1730"/>
        <v>45540</v>
      </c>
      <c r="E11869" s="322">
        <f t="shared" si="1731"/>
        <v>45540</v>
      </c>
      <c r="F11869" s="478"/>
      <c r="G11869" s="243" t="s">
        <v>94</v>
      </c>
      <c r="H11869" s="243" t="str" cm="1">
        <f t="array" ref="H11869">IFERROR(INDEX(INVESTOR_LIST[INVESTOR NAME],MATCH(I11869,INVESTOR_LIST[INVESTOR CODE],0),)," ")</f>
        <v xml:space="preserve"> </v>
      </c>
      <c r="I11869" s="263" t="s">
        <v>348</v>
      </c>
      <c r="J11869" s="244" t="s">
        <v>48</v>
      </c>
      <c r="K11869" s="245"/>
      <c r="L11869" s="245">
        <f>K11868</f>
        <v>2726.1354785786434</v>
      </c>
    </row>
    <row r="11870" spans="1:13" x14ac:dyDescent="0.2">
      <c r="A11870" s="168">
        <v>2024</v>
      </c>
      <c r="B11870" s="168">
        <v>9</v>
      </c>
      <c r="C11870" s="133">
        <v>8</v>
      </c>
      <c r="D11870" s="141">
        <f t="shared" si="1730"/>
        <v>45543</v>
      </c>
      <c r="E11870" s="275">
        <f t="shared" si="1731"/>
        <v>45543</v>
      </c>
      <c r="F11870" s="479" t="s">
        <v>1974</v>
      </c>
      <c r="G11870" s="220" t="s">
        <v>94</v>
      </c>
      <c r="H11870" s="220" t="str" cm="1">
        <f t="array" ref="H11870">IFERROR(INDEX(INVESTOR_LIST[INVESTOR NAME],MATCH(I11870,INVESTOR_LIST[INVESTOR CODE],0),)," ")</f>
        <v xml:space="preserve"> </v>
      </c>
      <c r="I11870" s="142"/>
      <c r="J11870" s="143" t="s">
        <v>79</v>
      </c>
      <c r="K11870" s="226">
        <v>1994990</v>
      </c>
      <c r="L11870" s="226"/>
      <c r="M11870" s="160"/>
    </row>
    <row r="11871" spans="1:13" x14ac:dyDescent="0.2">
      <c r="A11871" s="133">
        <v>2024</v>
      </c>
      <c r="B11871" s="133">
        <v>9</v>
      </c>
      <c r="C11871" s="133">
        <v>8</v>
      </c>
      <c r="D11871" s="141">
        <f t="shared" si="1730"/>
        <v>45543</v>
      </c>
      <c r="E11871" s="275">
        <f t="shared" si="1731"/>
        <v>45543</v>
      </c>
      <c r="F11871" s="481"/>
      <c r="G11871" s="174" t="s">
        <v>94</v>
      </c>
      <c r="H11871" s="174" t="str" cm="1">
        <f t="array" ref="H11871">IFERROR(INDEX(INVESTOR_LIST[INVESTOR NAME],MATCH(I11871,INVESTOR_LIST[INVESTOR CODE],0),)," ")</f>
        <v xml:space="preserve"> </v>
      </c>
      <c r="J11871" s="149" t="s">
        <v>80</v>
      </c>
      <c r="K11871" s="218">
        <v>3590.982</v>
      </c>
      <c r="L11871" s="133"/>
    </row>
    <row r="11872" spans="1:13" x14ac:dyDescent="0.2">
      <c r="A11872" s="163">
        <v>2024</v>
      </c>
      <c r="B11872" s="163">
        <v>9</v>
      </c>
      <c r="C11872" s="163">
        <v>8</v>
      </c>
      <c r="D11872" s="280">
        <f t="shared" si="1730"/>
        <v>45543</v>
      </c>
      <c r="E11872" s="281">
        <f t="shared" si="1731"/>
        <v>45543</v>
      </c>
      <c r="F11872" s="480"/>
      <c r="G11872" s="221" t="s">
        <v>94</v>
      </c>
      <c r="H11872" s="221" t="str" cm="1">
        <f t="array" ref="H11872">IFERROR(INDEX(INVESTOR_LIST[INVESTOR NAME],MATCH(I11872,INVESTOR_LIST[INVESTOR CODE],0),)," ")</f>
        <v xml:space="preserve"> </v>
      </c>
      <c r="I11872" s="145"/>
      <c r="J11872" s="146" t="s">
        <v>147</v>
      </c>
      <c r="K11872" s="219"/>
      <c r="L11872" s="219">
        <v>1998580.9820000001</v>
      </c>
    </row>
    <row r="11873" spans="1:12" x14ac:dyDescent="0.2">
      <c r="A11873" s="133">
        <v>2024</v>
      </c>
      <c r="B11873" s="168">
        <v>9</v>
      </c>
      <c r="C11873" s="168">
        <v>8</v>
      </c>
      <c r="D11873" s="141">
        <f>DATE(A11873,B11873,C11873)</f>
        <v>45543</v>
      </c>
      <c r="E11873" s="275">
        <f>DATE(A11873,B11873,C11873)</f>
        <v>45543</v>
      </c>
      <c r="F11873" s="479" t="s">
        <v>1950</v>
      </c>
      <c r="G11873" s="174" t="s">
        <v>74</v>
      </c>
      <c r="H11873" s="148" t="str" cm="1">
        <f t="array" ref="H11873">IFERROR(INDEX(INVESTOR_LIST[INVESTOR NAME],MATCH(I11873,INVESTOR_LIST[INVESTOR CODE],0),)," ")</f>
        <v xml:space="preserve"> </v>
      </c>
      <c r="I11873" s="148" t="s">
        <v>348</v>
      </c>
      <c r="J11873" s="133" t="s">
        <v>61</v>
      </c>
      <c r="K11873" s="172">
        <v>100</v>
      </c>
    </row>
    <row r="11874" spans="1:12" x14ac:dyDescent="0.2">
      <c r="A11874" s="163">
        <v>2024</v>
      </c>
      <c r="B11874" s="163">
        <v>9</v>
      </c>
      <c r="C11874" s="163">
        <v>8</v>
      </c>
      <c r="D11874" s="280">
        <f>DATE(A11874,B11874,C11874)</f>
        <v>45543</v>
      </c>
      <c r="E11874" s="281">
        <f>DATE(A11874,B11874,C11874)</f>
        <v>45543</v>
      </c>
      <c r="F11874" s="480"/>
      <c r="G11874" s="221" t="s">
        <v>74</v>
      </c>
      <c r="H11874" s="145" t="str" cm="1">
        <f t="array" ref="H11874">IFERROR(INDEX(INVESTOR_LIST[INVESTOR NAME],MATCH(I11874,INVESTOR_LIST[INVESTOR CODE],0),)," ")</f>
        <v xml:space="preserve"> </v>
      </c>
      <c r="I11874" s="145" t="s">
        <v>348</v>
      </c>
      <c r="J11874" s="163" t="s">
        <v>52</v>
      </c>
      <c r="K11874" s="219"/>
      <c r="L11874" s="219">
        <v>100</v>
      </c>
    </row>
    <row r="11875" spans="1:12" ht="11.25" customHeight="1" x14ac:dyDescent="0.2">
      <c r="A11875" s="168">
        <v>2024</v>
      </c>
      <c r="B11875" s="133">
        <v>9</v>
      </c>
      <c r="C11875" s="168">
        <v>9</v>
      </c>
      <c r="D11875" s="141">
        <f t="shared" si="1730"/>
        <v>45544</v>
      </c>
      <c r="E11875" s="275">
        <f t="shared" si="1731"/>
        <v>45544</v>
      </c>
      <c r="F11875" s="479" t="s">
        <v>1965</v>
      </c>
      <c r="G11875" s="220" t="s">
        <v>74</v>
      </c>
      <c r="H11875" s="220" t="str" cm="1">
        <f t="array" ref="H11875">IFERROR(INDEX(INVESTOR_LIST[INVESTOR NAME],MATCH(I11875,INVESTOR_LIST[INVESTOR CODE],0),)," ")</f>
        <v xml:space="preserve"> </v>
      </c>
      <c r="I11875" s="142"/>
      <c r="J11875" s="143" t="s">
        <v>147</v>
      </c>
      <c r="K11875" s="226">
        <v>1998580.98</v>
      </c>
      <c r="L11875" s="226"/>
    </row>
    <row r="11876" spans="1:12" x14ac:dyDescent="0.2">
      <c r="A11876" s="163">
        <v>2024</v>
      </c>
      <c r="B11876" s="163">
        <v>9</v>
      </c>
      <c r="C11876" s="163">
        <v>9</v>
      </c>
      <c r="D11876" s="280">
        <f t="shared" si="1730"/>
        <v>45544</v>
      </c>
      <c r="E11876" s="281">
        <f t="shared" si="1731"/>
        <v>45544</v>
      </c>
      <c r="F11876" s="480"/>
      <c r="G11876" s="221" t="s">
        <v>74</v>
      </c>
      <c r="H11876" s="221" t="str" cm="1">
        <f t="array" ref="H11876">IFERROR(INDEX(INVESTOR_LIST[INVESTOR NAME],MATCH(I11876,INVESTOR_LIST[INVESTOR CODE],0),)," ")</f>
        <v xml:space="preserve"> </v>
      </c>
      <c r="I11876" s="145" t="s">
        <v>348</v>
      </c>
      <c r="J11876" s="146" t="s">
        <v>52</v>
      </c>
      <c r="K11876" s="219"/>
      <c r="L11876" s="219">
        <v>1998580.98</v>
      </c>
    </row>
    <row r="11877" spans="1:12" x14ac:dyDescent="0.2">
      <c r="A11877" s="133">
        <v>2024</v>
      </c>
      <c r="B11877" s="133">
        <v>9</v>
      </c>
      <c r="C11877" s="168">
        <v>9</v>
      </c>
      <c r="D11877" s="141">
        <f t="shared" ref="D11877:D11908" si="1732">DATE(A11877,B11877,C11877)</f>
        <v>45544</v>
      </c>
      <c r="E11877" s="275">
        <f t="shared" ref="E11877:E11908" si="1733">DATE(A11877,B11877,C11877)</f>
        <v>45544</v>
      </c>
      <c r="F11877" s="479" t="s">
        <v>1943</v>
      </c>
      <c r="G11877" s="174" t="s">
        <v>74</v>
      </c>
      <c r="H11877" s="148" t="str" cm="1">
        <f t="array" ref="H11877">IFERROR(INDEX(INVESTOR_LIST[INVESTOR NAME],MATCH(I11877,INVESTOR_LIST[INVESTOR CODE],0),)," ")</f>
        <v xml:space="preserve"> </v>
      </c>
      <c r="I11877" s="148" t="s">
        <v>348</v>
      </c>
      <c r="J11877" s="133" t="s">
        <v>61</v>
      </c>
      <c r="K11877" s="172">
        <v>100</v>
      </c>
    </row>
    <row r="11878" spans="1:12" x14ac:dyDescent="0.2">
      <c r="A11878" s="163">
        <v>2024</v>
      </c>
      <c r="B11878" s="163">
        <v>9</v>
      </c>
      <c r="C11878" s="163">
        <v>9</v>
      </c>
      <c r="D11878" s="280">
        <f t="shared" si="1732"/>
        <v>45544</v>
      </c>
      <c r="E11878" s="281">
        <f t="shared" si="1733"/>
        <v>45544</v>
      </c>
      <c r="F11878" s="480"/>
      <c r="G11878" s="221" t="s">
        <v>74</v>
      </c>
      <c r="H11878" s="145" t="str" cm="1">
        <f t="array" ref="H11878">IFERROR(INDEX(INVESTOR_LIST[INVESTOR NAME],MATCH(I11878,INVESTOR_LIST[INVESTOR CODE],0),)," ")</f>
        <v xml:space="preserve"> </v>
      </c>
      <c r="I11878" s="145" t="s">
        <v>348</v>
      </c>
      <c r="J11878" s="163" t="s">
        <v>52</v>
      </c>
      <c r="K11878" s="219"/>
      <c r="L11878" s="219">
        <v>100</v>
      </c>
    </row>
    <row r="11879" spans="1:12" x14ac:dyDescent="0.2">
      <c r="A11879" s="325">
        <v>2024</v>
      </c>
      <c r="B11879" s="325">
        <v>9</v>
      </c>
      <c r="C11879" s="325">
        <v>12</v>
      </c>
      <c r="D11879" s="326">
        <f t="shared" si="1732"/>
        <v>45547</v>
      </c>
      <c r="E11879" s="327">
        <f t="shared" si="1733"/>
        <v>45547</v>
      </c>
      <c r="F11879" s="473" t="s">
        <v>1940</v>
      </c>
      <c r="G11879" s="340" t="s">
        <v>94</v>
      </c>
      <c r="H11879" s="340" t="str" cm="1">
        <f t="array" ref="H11879">IFERROR(INDEX(INVESTOR_LIST[INVESTOR NAME],MATCH(I11879,INVESTOR_LIST[INVESTOR CODE],0),)," ")</f>
        <v xml:space="preserve"> </v>
      </c>
      <c r="I11879" s="341" t="s">
        <v>348</v>
      </c>
      <c r="J11879" s="374" t="s">
        <v>133</v>
      </c>
      <c r="K11879" s="375">
        <v>12905.555555555549</v>
      </c>
      <c r="L11879" s="375"/>
    </row>
    <row r="11880" spans="1:12" x14ac:dyDescent="0.2">
      <c r="A11880" s="331">
        <v>2024</v>
      </c>
      <c r="B11880" s="331">
        <v>9</v>
      </c>
      <c r="C11880" s="331">
        <v>12</v>
      </c>
      <c r="D11880" s="326">
        <f t="shared" si="1732"/>
        <v>45547</v>
      </c>
      <c r="E11880" s="327">
        <f t="shared" si="1733"/>
        <v>45547</v>
      </c>
      <c r="F11880" s="474"/>
      <c r="G11880" s="332" t="s">
        <v>94</v>
      </c>
      <c r="H11880" s="332" t="str" cm="1">
        <f t="array" ref="H11880">IFERROR(INDEX(INVESTOR_LIST[INVESTOR NAME],MATCH(I11880,INVESTOR_LIST[INVESTOR CODE],0),)," ")</f>
        <v xml:space="preserve"> </v>
      </c>
      <c r="I11880" s="333" t="s">
        <v>348</v>
      </c>
      <c r="J11880" s="376" t="s">
        <v>60</v>
      </c>
      <c r="K11880" s="334"/>
      <c r="L11880" s="334">
        <v>12905.555555555549</v>
      </c>
    </row>
    <row r="11881" spans="1:12" x14ac:dyDescent="0.2">
      <c r="A11881" s="384">
        <v>2024</v>
      </c>
      <c r="B11881" s="384">
        <v>9</v>
      </c>
      <c r="C11881" s="384">
        <v>12</v>
      </c>
      <c r="D11881" s="385">
        <f t="shared" si="1732"/>
        <v>45547</v>
      </c>
      <c r="E11881" s="386">
        <f t="shared" si="1733"/>
        <v>45547</v>
      </c>
      <c r="F11881" s="475" t="s">
        <v>1966</v>
      </c>
      <c r="G11881" s="387" t="s">
        <v>94</v>
      </c>
      <c r="H11881" s="387" t="str" cm="1">
        <f t="array" ref="H11881">IFERROR(INDEX(INVESTOR_LIST[INVESTOR NAME],MATCH(I11881,INVESTOR_LIST[INVESTOR CODE],0),)," ")</f>
        <v xml:space="preserve"> </v>
      </c>
      <c r="I11881" s="388" t="s">
        <v>348</v>
      </c>
      <c r="J11881" s="389" t="s">
        <v>67</v>
      </c>
      <c r="K11881" s="390">
        <v>9508.84</v>
      </c>
      <c r="L11881" s="390"/>
    </row>
    <row r="11882" spans="1:12" x14ac:dyDescent="0.2">
      <c r="A11882" s="391">
        <v>2024</v>
      </c>
      <c r="B11882" s="391">
        <v>9</v>
      </c>
      <c r="C11882" s="391">
        <v>12</v>
      </c>
      <c r="D11882" s="385">
        <f t="shared" si="1732"/>
        <v>45547</v>
      </c>
      <c r="E11882" s="386">
        <f t="shared" si="1733"/>
        <v>45547</v>
      </c>
      <c r="F11882" s="476"/>
      <c r="G11882" s="392" t="s">
        <v>94</v>
      </c>
      <c r="H11882" s="392" t="str" cm="1">
        <f t="array" ref="H11882">IFERROR(INDEX(INVESTOR_LIST[INVESTOR NAME],MATCH(I11882,INVESTOR_LIST[INVESTOR CODE],0),)," ")</f>
        <v xml:space="preserve"> </v>
      </c>
      <c r="I11882" s="393" t="s">
        <v>348</v>
      </c>
      <c r="J11882" s="394" t="s">
        <v>60</v>
      </c>
      <c r="K11882" s="395"/>
      <c r="L11882" s="395">
        <f>K11881</f>
        <v>9508.84</v>
      </c>
    </row>
    <row r="11883" spans="1:12" x14ac:dyDescent="0.2">
      <c r="A11883" s="343">
        <v>2024</v>
      </c>
      <c r="B11883" s="343">
        <v>9</v>
      </c>
      <c r="C11883" s="343">
        <v>12</v>
      </c>
      <c r="D11883" s="344">
        <f t="shared" si="1732"/>
        <v>45547</v>
      </c>
      <c r="E11883" s="345">
        <f t="shared" si="1733"/>
        <v>45547</v>
      </c>
      <c r="F11883" s="483" t="s">
        <v>1813</v>
      </c>
      <c r="G11883" s="350" t="s">
        <v>94</v>
      </c>
      <c r="H11883" s="350" t="str" cm="1">
        <f t="array" ref="H11883">IFERROR(INDEX(INVESTOR_LIST[INVESTOR NAME],MATCH(I11883,INVESTOR_LIST[INVESTOR CODE],0),)," ")</f>
        <v xml:space="preserve"> </v>
      </c>
      <c r="I11883" s="352" t="s">
        <v>348</v>
      </c>
      <c r="J11883" s="353" t="s">
        <v>1798</v>
      </c>
      <c r="K11883" s="354">
        <v>27108</v>
      </c>
      <c r="L11883" s="354"/>
    </row>
    <row r="11884" spans="1:12" x14ac:dyDescent="0.2">
      <c r="A11884" s="346">
        <v>2024</v>
      </c>
      <c r="B11884" s="346">
        <v>9</v>
      </c>
      <c r="C11884" s="346">
        <v>12</v>
      </c>
      <c r="D11884" s="344">
        <f t="shared" si="1732"/>
        <v>45547</v>
      </c>
      <c r="E11884" s="345">
        <f t="shared" si="1733"/>
        <v>45547</v>
      </c>
      <c r="F11884" s="484"/>
      <c r="G11884" s="347" t="s">
        <v>94</v>
      </c>
      <c r="H11884" s="347" t="str" cm="1">
        <f t="array" ref="H11884">IFERROR(INDEX(INVESTOR_LIST[INVESTOR NAME],MATCH(I11884,INVESTOR_LIST[INVESTOR CODE],0),)," ")</f>
        <v xml:space="preserve"> </v>
      </c>
      <c r="I11884" s="348" t="s">
        <v>348</v>
      </c>
      <c r="J11884" s="355" t="s">
        <v>1807</v>
      </c>
      <c r="K11884" s="349"/>
      <c r="L11884" s="349">
        <f>K11883</f>
        <v>27108</v>
      </c>
    </row>
    <row r="11885" spans="1:12" x14ac:dyDescent="0.2">
      <c r="A11885" s="343">
        <v>2024</v>
      </c>
      <c r="B11885" s="343">
        <v>9</v>
      </c>
      <c r="C11885" s="343">
        <v>12</v>
      </c>
      <c r="D11885" s="344">
        <f t="shared" si="1732"/>
        <v>45547</v>
      </c>
      <c r="E11885" s="345">
        <f t="shared" si="1733"/>
        <v>45547</v>
      </c>
      <c r="F11885" s="483" t="s">
        <v>1913</v>
      </c>
      <c r="G11885" s="350" t="s">
        <v>94</v>
      </c>
      <c r="H11885" s="350" t="str" cm="1">
        <f t="array" ref="H11885">IFERROR(INDEX(INVESTOR_LIST[INVESTOR NAME],MATCH(I11885,INVESTOR_LIST[INVESTOR CODE],0),)," ")</f>
        <v xml:space="preserve"> </v>
      </c>
      <c r="I11885" s="352" t="s">
        <v>348</v>
      </c>
      <c r="J11885" s="353" t="s">
        <v>1799</v>
      </c>
      <c r="K11885" s="354">
        <v>87633.33</v>
      </c>
      <c r="L11885" s="354"/>
    </row>
    <row r="11886" spans="1:12" x14ac:dyDescent="0.2">
      <c r="A11886" s="346">
        <v>2024</v>
      </c>
      <c r="B11886" s="346">
        <v>9</v>
      </c>
      <c r="C11886" s="346">
        <v>12</v>
      </c>
      <c r="D11886" s="344">
        <f t="shared" si="1732"/>
        <v>45547</v>
      </c>
      <c r="E11886" s="345">
        <f t="shared" si="1733"/>
        <v>45547</v>
      </c>
      <c r="F11886" s="484"/>
      <c r="G11886" s="347" t="s">
        <v>94</v>
      </c>
      <c r="H11886" s="347" t="str" cm="1">
        <f t="array" ref="H11886">IFERROR(INDEX(INVESTOR_LIST[INVESTOR NAME],MATCH(I11886,INVESTOR_LIST[INVESTOR CODE],0),)," ")</f>
        <v xml:space="preserve"> </v>
      </c>
      <c r="I11886" s="348" t="s">
        <v>348</v>
      </c>
      <c r="J11886" s="355" t="s">
        <v>1808</v>
      </c>
      <c r="K11886" s="349"/>
      <c r="L11886" s="349">
        <f>K11885</f>
        <v>87633.33</v>
      </c>
    </row>
    <row r="11887" spans="1:12" ht="11.25" customHeight="1" x14ac:dyDescent="0.2">
      <c r="A11887" s="238">
        <v>2024</v>
      </c>
      <c r="B11887" s="238">
        <v>9</v>
      </c>
      <c r="C11887" s="238">
        <v>12</v>
      </c>
      <c r="D11887" s="270">
        <f t="shared" si="1732"/>
        <v>45547</v>
      </c>
      <c r="E11887" s="279">
        <f t="shared" si="1733"/>
        <v>45547</v>
      </c>
      <c r="F11887" s="477" t="s">
        <v>347</v>
      </c>
      <c r="G11887" s="239" t="s">
        <v>94</v>
      </c>
      <c r="H11887" s="239" t="str" cm="1">
        <f t="array" ref="H11887">IFERROR(INDEX(INVESTOR_LIST[INVESTOR NAME],MATCH(I11887,INVESTOR_LIST[INVESTOR CODE],0),)," ")</f>
        <v xml:space="preserve"> </v>
      </c>
      <c r="I11887" s="262" t="s">
        <v>348</v>
      </c>
      <c r="J11887" s="240" t="s">
        <v>82</v>
      </c>
      <c r="K11887" s="241">
        <v>753434.1</v>
      </c>
      <c r="L11887" s="241"/>
    </row>
    <row r="11888" spans="1:12" x14ac:dyDescent="0.2">
      <c r="A11888" s="242">
        <v>2024</v>
      </c>
      <c r="B11888" s="242">
        <v>9</v>
      </c>
      <c r="C11888" s="242">
        <v>12</v>
      </c>
      <c r="D11888" s="270">
        <f t="shared" si="1732"/>
        <v>45547</v>
      </c>
      <c r="E11888" s="279">
        <f t="shared" si="1733"/>
        <v>45547</v>
      </c>
      <c r="F11888" s="478"/>
      <c r="G11888" s="243" t="s">
        <v>94</v>
      </c>
      <c r="H11888" s="243" t="str" cm="1">
        <f t="array" ref="H11888">IFERROR(INDEX(INVESTOR_LIST[INVESTOR NAME],MATCH(I11888,INVESTOR_LIST[INVESTOR CODE],0),)," ")</f>
        <v xml:space="preserve"> </v>
      </c>
      <c r="I11888" s="263" t="s">
        <v>348</v>
      </c>
      <c r="J11888" s="244" t="s">
        <v>108</v>
      </c>
      <c r="K11888" s="245"/>
      <c r="L11888" s="245">
        <f>K11887</f>
        <v>753434.1</v>
      </c>
    </row>
    <row r="11889" spans="1:13" ht="11.25" customHeight="1" x14ac:dyDescent="0.2">
      <c r="A11889" s="246">
        <v>2024</v>
      </c>
      <c r="B11889" s="238">
        <v>9</v>
      </c>
      <c r="C11889" s="238">
        <v>12</v>
      </c>
      <c r="D11889" s="270">
        <f t="shared" si="1732"/>
        <v>45547</v>
      </c>
      <c r="E11889" s="279">
        <f t="shared" si="1733"/>
        <v>45547</v>
      </c>
      <c r="F11889" s="482" t="s">
        <v>148</v>
      </c>
      <c r="G11889" s="247" t="s">
        <v>94</v>
      </c>
      <c r="H11889" s="247" t="str" cm="1">
        <f t="array" ref="H11889">IFERROR(INDEX(INVESTOR_LIST[INVESTOR NAME],MATCH(I11889,INVESTOR_LIST[INVESTOR CODE],0),)," ")</f>
        <v xml:space="preserve"> </v>
      </c>
      <c r="I11889" s="248" t="s">
        <v>348</v>
      </c>
      <c r="J11889" s="249" t="s">
        <v>95</v>
      </c>
      <c r="K11889" s="250">
        <v>2747.2527472527472</v>
      </c>
      <c r="L11889" s="241"/>
    </row>
    <row r="11890" spans="1:13" x14ac:dyDescent="0.2">
      <c r="A11890" s="242">
        <v>2024</v>
      </c>
      <c r="B11890" s="242">
        <v>9</v>
      </c>
      <c r="C11890" s="242">
        <v>12</v>
      </c>
      <c r="D11890" s="270">
        <f t="shared" si="1732"/>
        <v>45547</v>
      </c>
      <c r="E11890" s="279">
        <f t="shared" si="1733"/>
        <v>45547</v>
      </c>
      <c r="F11890" s="478"/>
      <c r="G11890" s="243" t="s">
        <v>94</v>
      </c>
      <c r="H11890" s="243" t="str" cm="1">
        <f t="array" ref="H11890">IFERROR(INDEX(INVESTOR_LIST[INVESTOR NAME],MATCH(I11890,INVESTOR_LIST[INVESTOR CODE],0),)," ")</f>
        <v xml:space="preserve"> </v>
      </c>
      <c r="I11890" s="263" t="s">
        <v>348</v>
      </c>
      <c r="J11890" s="244" t="s">
        <v>63</v>
      </c>
      <c r="K11890" s="245"/>
      <c r="L11890" s="245">
        <v>2747.2527472527472</v>
      </c>
    </row>
    <row r="11891" spans="1:13" x14ac:dyDescent="0.2">
      <c r="A11891" s="246">
        <v>2024</v>
      </c>
      <c r="B11891" s="238">
        <v>9</v>
      </c>
      <c r="C11891" s="238">
        <v>12</v>
      </c>
      <c r="D11891" s="270">
        <f t="shared" si="1732"/>
        <v>45547</v>
      </c>
      <c r="E11891" s="279">
        <f t="shared" si="1733"/>
        <v>45547</v>
      </c>
      <c r="F11891" s="482" t="s">
        <v>137</v>
      </c>
      <c r="G11891" s="247" t="s">
        <v>94</v>
      </c>
      <c r="H11891" s="247" t="str" cm="1">
        <f t="array" ref="H11891">IFERROR(INDEX(INVESTOR_LIST[INVESTOR NAME],MATCH(I11891,INVESTOR_LIST[INVESTOR CODE],0),)," ")</f>
        <v xml:space="preserve"> </v>
      </c>
      <c r="I11891" s="248" t="s">
        <v>348</v>
      </c>
      <c r="J11891" s="249" t="s">
        <v>97</v>
      </c>
      <c r="K11891" s="250">
        <f>M11891</f>
        <v>59067.121623832179</v>
      </c>
      <c r="L11891" s="252"/>
      <c r="M11891" s="264">
        <v>59067.121623832179</v>
      </c>
    </row>
    <row r="11892" spans="1:13" x14ac:dyDescent="0.2">
      <c r="A11892" s="242">
        <v>2024</v>
      </c>
      <c r="B11892" s="242">
        <v>9</v>
      </c>
      <c r="C11892" s="242">
        <v>12</v>
      </c>
      <c r="D11892" s="270">
        <f t="shared" si="1732"/>
        <v>45547</v>
      </c>
      <c r="E11892" s="279">
        <f t="shared" si="1733"/>
        <v>45547</v>
      </c>
      <c r="F11892" s="478"/>
      <c r="G11892" s="243" t="s">
        <v>94</v>
      </c>
      <c r="H11892" s="243" t="str" cm="1">
        <f t="array" ref="H11892">IFERROR(INDEX(INVESTOR_LIST[INVESTOR NAME],MATCH(I11892,INVESTOR_LIST[INVESTOR CODE],0),)," ")</f>
        <v xml:space="preserve"> </v>
      </c>
      <c r="I11892" s="263" t="s">
        <v>348</v>
      </c>
      <c r="J11892" s="244" t="s">
        <v>47</v>
      </c>
      <c r="K11892" s="245"/>
      <c r="L11892" s="245">
        <f>K11891</f>
        <v>59067.121623832179</v>
      </c>
      <c r="M11892" s="264">
        <v>2712.9714658069934</v>
      </c>
    </row>
    <row r="11893" spans="1:13" x14ac:dyDescent="0.2">
      <c r="A11893" s="246">
        <v>2024</v>
      </c>
      <c r="B11893" s="238">
        <v>9</v>
      </c>
      <c r="C11893" s="238">
        <v>12</v>
      </c>
      <c r="D11893" s="270">
        <f t="shared" si="1732"/>
        <v>45547</v>
      </c>
      <c r="E11893" s="279">
        <f t="shared" si="1733"/>
        <v>45547</v>
      </c>
      <c r="F11893" s="482" t="s">
        <v>138</v>
      </c>
      <c r="G11893" s="247" t="s">
        <v>94</v>
      </c>
      <c r="H11893" s="247" t="str" cm="1">
        <f t="array" ref="H11893">IFERROR(INDEX(INVESTOR_LIST[INVESTOR NAME],MATCH(I11893,INVESTOR_LIST[INVESTOR CODE],0),)," ")</f>
        <v xml:space="preserve"> </v>
      </c>
      <c r="I11893" s="248" t="s">
        <v>348</v>
      </c>
      <c r="J11893" s="249" t="s">
        <v>100</v>
      </c>
      <c r="K11893" s="250">
        <f>M11892</f>
        <v>2712.9714658069934</v>
      </c>
      <c r="L11893" s="252"/>
    </row>
    <row r="11894" spans="1:13" x14ac:dyDescent="0.2">
      <c r="A11894" s="242">
        <v>2024</v>
      </c>
      <c r="B11894" s="242">
        <v>9</v>
      </c>
      <c r="C11894" s="242">
        <v>12</v>
      </c>
      <c r="D11894" s="321">
        <f t="shared" si="1732"/>
        <v>45547</v>
      </c>
      <c r="E11894" s="322">
        <f t="shared" si="1733"/>
        <v>45547</v>
      </c>
      <c r="F11894" s="478"/>
      <c r="G11894" s="243" t="s">
        <v>94</v>
      </c>
      <c r="H11894" s="243" t="str" cm="1">
        <f t="array" ref="H11894">IFERROR(INDEX(INVESTOR_LIST[INVESTOR NAME],MATCH(I11894,INVESTOR_LIST[INVESTOR CODE],0),)," ")</f>
        <v xml:space="preserve"> </v>
      </c>
      <c r="I11894" s="263" t="s">
        <v>348</v>
      </c>
      <c r="J11894" s="244" t="s">
        <v>48</v>
      </c>
      <c r="K11894" s="245"/>
      <c r="L11894" s="245">
        <f>K11893</f>
        <v>2712.9714658069934</v>
      </c>
    </row>
    <row r="11895" spans="1:13" x14ac:dyDescent="0.2">
      <c r="A11895" s="168">
        <v>2024</v>
      </c>
      <c r="B11895" s="168">
        <v>9</v>
      </c>
      <c r="C11895" s="133">
        <v>15</v>
      </c>
      <c r="D11895" s="141">
        <f t="shared" si="1732"/>
        <v>45550</v>
      </c>
      <c r="E11895" s="275">
        <f t="shared" si="1733"/>
        <v>45550</v>
      </c>
      <c r="F11895" s="479" t="s">
        <v>1319</v>
      </c>
      <c r="G11895" s="220" t="s">
        <v>74</v>
      </c>
      <c r="H11895" s="142" t="str" cm="1">
        <f t="array" ref="H11895">IFERROR(INDEX(INVESTOR_LIST[INVESTOR NAME],MATCH(I11895,INVESTOR_LIST[INVESTOR CODE],0),)," ")</f>
        <v xml:space="preserve"> </v>
      </c>
      <c r="I11895" s="142"/>
      <c r="J11895" s="168" t="s">
        <v>52</v>
      </c>
      <c r="K11895" s="226">
        <v>14000</v>
      </c>
      <c r="L11895" s="226"/>
    </row>
    <row r="11896" spans="1:13" x14ac:dyDescent="0.2">
      <c r="A11896" s="133">
        <v>2024</v>
      </c>
      <c r="B11896" s="133">
        <v>9</v>
      </c>
      <c r="C11896" s="133">
        <v>15</v>
      </c>
      <c r="D11896" s="141">
        <f t="shared" si="1732"/>
        <v>45550</v>
      </c>
      <c r="E11896" s="275">
        <f t="shared" si="1733"/>
        <v>45550</v>
      </c>
      <c r="F11896" s="481"/>
      <c r="G11896" s="174" t="s">
        <v>74</v>
      </c>
      <c r="H11896" s="148" t="str" cm="1">
        <f t="array" ref="H11896">IFERROR(INDEX(INVESTOR_LIST[INVESTOR NAME],MATCH(I11896,INVESTOR_LIST[INVESTOR CODE],0),)," ")</f>
        <v xml:space="preserve"> </v>
      </c>
      <c r="J11896" s="133" t="s">
        <v>13</v>
      </c>
      <c r="K11896" s="218"/>
      <c r="L11896" s="218">
        <v>10650</v>
      </c>
    </row>
    <row r="11897" spans="1:13" x14ac:dyDescent="0.2">
      <c r="A11897" s="163">
        <v>2024</v>
      </c>
      <c r="B11897" s="163">
        <v>9</v>
      </c>
      <c r="C11897" s="163">
        <v>15</v>
      </c>
      <c r="D11897" s="280">
        <f t="shared" si="1732"/>
        <v>45550</v>
      </c>
      <c r="E11897" s="281">
        <f t="shared" si="1733"/>
        <v>45550</v>
      </c>
      <c r="F11897" s="480"/>
      <c r="G11897" s="221" t="s">
        <v>74</v>
      </c>
      <c r="H11897" s="145" t="str" cm="1">
        <f t="array" ref="H11897">IFERROR(INDEX(INVESTOR_LIST[INVESTOR NAME],MATCH(I11897,INVESTOR_LIST[INVESTOR CODE],0),)," ")</f>
        <v xml:space="preserve"> </v>
      </c>
      <c r="I11897" s="145"/>
      <c r="J11897" s="163" t="s">
        <v>53</v>
      </c>
      <c r="K11897" s="219"/>
      <c r="L11897" s="219">
        <v>3350</v>
      </c>
    </row>
    <row r="11898" spans="1:13" ht="56.25" x14ac:dyDescent="0.2">
      <c r="A11898" s="168">
        <v>2024</v>
      </c>
      <c r="B11898" s="168">
        <v>9</v>
      </c>
      <c r="C11898" s="133">
        <v>17</v>
      </c>
      <c r="D11898" s="141">
        <f t="shared" si="1732"/>
        <v>45552</v>
      </c>
      <c r="E11898" s="275">
        <f t="shared" si="1733"/>
        <v>45552</v>
      </c>
      <c r="F11898" s="479" t="s">
        <v>964</v>
      </c>
      <c r="G11898" s="220" t="s">
        <v>74</v>
      </c>
      <c r="H11898" s="142" t="str" cm="1">
        <f t="array" ref="H11898">IFERROR(INDEX(INVESTOR_LIST[INVESTOR NAME],MATCH(I11898,INVESTOR_LIST[INVESTOR CODE],0),)," ")</f>
        <v>EKUSH WEALTH MANAGEMENT LIMITED</v>
      </c>
      <c r="I11898" s="142" t="s">
        <v>371</v>
      </c>
      <c r="J11898" s="168" t="s">
        <v>52</v>
      </c>
      <c r="K11898" s="226">
        <v>4000000</v>
      </c>
      <c r="L11898" s="226"/>
    </row>
    <row r="11899" spans="1:13" ht="56.25" x14ac:dyDescent="0.2">
      <c r="A11899" s="133">
        <v>2024</v>
      </c>
      <c r="B11899" s="133">
        <v>9</v>
      </c>
      <c r="C11899" s="133">
        <v>17</v>
      </c>
      <c r="D11899" s="141">
        <f t="shared" si="1732"/>
        <v>45552</v>
      </c>
      <c r="E11899" s="275">
        <f t="shared" si="1733"/>
        <v>45552</v>
      </c>
      <c r="F11899" s="481"/>
      <c r="G11899" s="174" t="s">
        <v>74</v>
      </c>
      <c r="H11899" s="148" t="str" cm="1">
        <f t="array" ref="H11899">IFERROR(INDEX(INVESTOR_LIST[INVESTOR NAME],MATCH(I11899,INVESTOR_LIST[INVESTOR CODE],0),)," ")</f>
        <v>EKUSH WEALTH MANAGEMENT LIMITED</v>
      </c>
      <c r="I11899" s="148" t="s">
        <v>371</v>
      </c>
      <c r="J11899" s="133" t="s">
        <v>13</v>
      </c>
      <c r="K11899" s="218"/>
      <c r="L11899" s="218">
        <v>3045300</v>
      </c>
    </row>
    <row r="11900" spans="1:13" ht="56.25" x14ac:dyDescent="0.2">
      <c r="A11900" s="163">
        <v>2024</v>
      </c>
      <c r="B11900" s="163">
        <v>9</v>
      </c>
      <c r="C11900" s="163">
        <v>17</v>
      </c>
      <c r="D11900" s="280">
        <f t="shared" si="1732"/>
        <v>45552</v>
      </c>
      <c r="E11900" s="281">
        <f t="shared" si="1733"/>
        <v>45552</v>
      </c>
      <c r="F11900" s="480"/>
      <c r="G11900" s="221" t="s">
        <v>74</v>
      </c>
      <c r="H11900" s="145" t="str" cm="1">
        <f t="array" ref="H11900">IFERROR(INDEX(INVESTOR_LIST[INVESTOR NAME],MATCH(I11900,INVESTOR_LIST[INVESTOR CODE],0),)," ")</f>
        <v>EKUSH WEALTH MANAGEMENT LIMITED</v>
      </c>
      <c r="I11900" s="145" t="s">
        <v>371</v>
      </c>
      <c r="J11900" s="163" t="s">
        <v>53</v>
      </c>
      <c r="K11900" s="219"/>
      <c r="L11900" s="219">
        <v>954700</v>
      </c>
    </row>
    <row r="11901" spans="1:13" x14ac:dyDescent="0.2">
      <c r="A11901" s="168">
        <v>2024</v>
      </c>
      <c r="B11901" s="168">
        <v>9</v>
      </c>
      <c r="C11901" s="168">
        <v>17</v>
      </c>
      <c r="D11901" s="141">
        <f>DATE(A11901,B11901,C11901)</f>
        <v>45552</v>
      </c>
      <c r="E11901" s="275">
        <f>DATE(A11901,B11901,C11901)</f>
        <v>45552</v>
      </c>
      <c r="F11901" s="479" t="s">
        <v>1982</v>
      </c>
      <c r="G11901" s="220" t="s">
        <v>94</v>
      </c>
      <c r="H11901" s="220" t="str" cm="1">
        <f t="array" ref="H11901">IFERROR(INDEX(INVESTOR_LIST[INVESTOR NAME],MATCH(I11901,INVESTOR_LIST[INVESTOR CODE],0),)," ")</f>
        <v xml:space="preserve"> </v>
      </c>
      <c r="I11901" s="142"/>
      <c r="J11901" s="143" t="s">
        <v>1805</v>
      </c>
      <c r="K11901" s="226">
        <v>2474406.11</v>
      </c>
      <c r="L11901" s="226"/>
      <c r="M11901" s="160"/>
    </row>
    <row r="11902" spans="1:13" x14ac:dyDescent="0.2">
      <c r="A11902" s="133">
        <v>2024</v>
      </c>
      <c r="B11902" s="133">
        <v>9</v>
      </c>
      <c r="C11902" s="133">
        <v>17</v>
      </c>
      <c r="D11902" s="141">
        <f>DATE(A11902,B11902,C11902)</f>
        <v>45552</v>
      </c>
      <c r="E11902" s="275">
        <f>DATE(A11902,B11902,C11902)</f>
        <v>45552</v>
      </c>
      <c r="F11902" s="481"/>
      <c r="G11902" s="174" t="s">
        <v>94</v>
      </c>
      <c r="H11902" s="174" t="str" cm="1">
        <f t="array" ref="H11902">IFERROR(INDEX(INVESTOR_LIST[INVESTOR NAME],MATCH(I11902,INVESTOR_LIST[INVESTOR CODE],0),)," ")</f>
        <v xml:space="preserve"> </v>
      </c>
      <c r="J11902" s="149" t="s">
        <v>80</v>
      </c>
      <c r="K11902" s="218">
        <v>2379.59</v>
      </c>
      <c r="L11902" s="133"/>
    </row>
    <row r="11903" spans="1:13" x14ac:dyDescent="0.2">
      <c r="A11903" s="163">
        <v>2024</v>
      </c>
      <c r="B11903" s="163">
        <v>9</v>
      </c>
      <c r="C11903" s="163">
        <v>17</v>
      </c>
      <c r="D11903" s="280">
        <f>DATE(A11903,B11903,C11903)</f>
        <v>45552</v>
      </c>
      <c r="E11903" s="281">
        <f>DATE(A11903,B11903,C11903)</f>
        <v>45552</v>
      </c>
      <c r="F11903" s="480"/>
      <c r="G11903" s="221" t="s">
        <v>94</v>
      </c>
      <c r="H11903" s="221" t="str" cm="1">
        <f t="array" ref="H11903">IFERROR(INDEX(INVESTOR_LIST[INVESTOR NAME],MATCH(I11903,INVESTOR_LIST[INVESTOR CODE],0),)," ")</f>
        <v xml:space="preserve"> </v>
      </c>
      <c r="I11903" s="145"/>
      <c r="J11903" s="146" t="s">
        <v>147</v>
      </c>
      <c r="K11903" s="219"/>
      <c r="L11903" s="219">
        <v>2476785.7000000002</v>
      </c>
    </row>
    <row r="11904" spans="1:13" x14ac:dyDescent="0.2">
      <c r="A11904" s="133">
        <v>2024</v>
      </c>
      <c r="B11904" s="168">
        <v>9</v>
      </c>
      <c r="C11904" s="168">
        <v>17</v>
      </c>
      <c r="D11904" s="141">
        <f>DATE(A11904,B11904,C11904)</f>
        <v>45552</v>
      </c>
      <c r="E11904" s="275">
        <f>DATE(A11904,B11904,C11904)</f>
        <v>45552</v>
      </c>
      <c r="F11904" s="479" t="s">
        <v>1950</v>
      </c>
      <c r="G11904" s="174" t="s">
        <v>74</v>
      </c>
      <c r="H11904" s="148" t="str" cm="1">
        <f t="array" ref="H11904">IFERROR(INDEX(INVESTOR_LIST[INVESTOR NAME],MATCH(I11904,INVESTOR_LIST[INVESTOR CODE],0),)," ")</f>
        <v xml:space="preserve"> </v>
      </c>
      <c r="I11904" s="148" t="s">
        <v>348</v>
      </c>
      <c r="J11904" s="133" t="s">
        <v>61</v>
      </c>
      <c r="K11904" s="172">
        <v>100</v>
      </c>
    </row>
    <row r="11905" spans="1:17" x14ac:dyDescent="0.2">
      <c r="A11905" s="163">
        <v>2024</v>
      </c>
      <c r="B11905" s="163">
        <v>9</v>
      </c>
      <c r="C11905" s="163">
        <v>17</v>
      </c>
      <c r="D11905" s="280">
        <f>DATE(A11905,B11905,C11905)</f>
        <v>45552</v>
      </c>
      <c r="E11905" s="281">
        <f>DATE(A11905,B11905,C11905)</f>
        <v>45552</v>
      </c>
      <c r="F11905" s="480"/>
      <c r="G11905" s="221" t="s">
        <v>74</v>
      </c>
      <c r="H11905" s="145" t="str" cm="1">
        <f t="array" ref="H11905">IFERROR(INDEX(INVESTOR_LIST[INVESTOR NAME],MATCH(I11905,INVESTOR_LIST[INVESTOR CODE],0),)," ")</f>
        <v xml:space="preserve"> </v>
      </c>
      <c r="I11905" s="145" t="s">
        <v>348</v>
      </c>
      <c r="J11905" s="163" t="s">
        <v>52</v>
      </c>
      <c r="K11905" s="219"/>
      <c r="L11905" s="219">
        <v>100</v>
      </c>
    </row>
    <row r="11906" spans="1:17" ht="45" x14ac:dyDescent="0.2">
      <c r="A11906" s="168">
        <v>2024</v>
      </c>
      <c r="B11906" s="168">
        <v>9</v>
      </c>
      <c r="C11906" s="133">
        <v>18</v>
      </c>
      <c r="D11906" s="141">
        <f t="shared" si="1732"/>
        <v>45553</v>
      </c>
      <c r="E11906" s="275">
        <f t="shared" si="1733"/>
        <v>45553</v>
      </c>
      <c r="F11906" s="479" t="s">
        <v>1315</v>
      </c>
      <c r="G11906" s="220" t="s">
        <v>74</v>
      </c>
      <c r="H11906" s="142" t="str" cm="1">
        <f t="array" ref="H11906">IFERROR(INDEX(INVESTOR_LIST[INVESTOR NAME],MATCH(I11906,INVESTOR_LIST[INVESTOR CODE],0),)," ")</f>
        <v>SHAHRIAR MAHMOOD</v>
      </c>
      <c r="I11906" s="142" t="s">
        <v>476</v>
      </c>
      <c r="J11906" s="168" t="s">
        <v>13</v>
      </c>
      <c r="K11906" s="226">
        <v>173600</v>
      </c>
      <c r="L11906" s="226"/>
    </row>
    <row r="11907" spans="1:17" ht="45" x14ac:dyDescent="0.2">
      <c r="A11907" s="133">
        <v>2024</v>
      </c>
      <c r="B11907" s="133">
        <v>9</v>
      </c>
      <c r="C11907" s="133">
        <v>18</v>
      </c>
      <c r="D11907" s="141">
        <f t="shared" si="1732"/>
        <v>45553</v>
      </c>
      <c r="E11907" s="275">
        <f t="shared" si="1733"/>
        <v>45553</v>
      </c>
      <c r="F11907" s="481"/>
      <c r="G11907" s="174" t="s">
        <v>74</v>
      </c>
      <c r="H11907" s="148" t="str" cm="1">
        <f t="array" ref="H11907">IFERROR(INDEX(INVESTOR_LIST[INVESTOR NAME],MATCH(I11907,INVESTOR_LIST[INVESTOR CODE],0),)," ")</f>
        <v>SHAHRIAR MAHMOOD</v>
      </c>
      <c r="I11907" s="148" t="s">
        <v>476</v>
      </c>
      <c r="J11907" s="133" t="s">
        <v>53</v>
      </c>
      <c r="K11907" s="218">
        <v>54423.600000000006</v>
      </c>
      <c r="L11907" s="218"/>
    </row>
    <row r="11908" spans="1:17" ht="45" x14ac:dyDescent="0.2">
      <c r="A11908" s="163">
        <v>2024</v>
      </c>
      <c r="B11908" s="163">
        <v>9</v>
      </c>
      <c r="C11908" s="163">
        <v>18</v>
      </c>
      <c r="D11908" s="280">
        <f t="shared" si="1732"/>
        <v>45553</v>
      </c>
      <c r="E11908" s="281">
        <f t="shared" si="1733"/>
        <v>45553</v>
      </c>
      <c r="F11908" s="480"/>
      <c r="G11908" s="221" t="s">
        <v>74</v>
      </c>
      <c r="H11908" s="145" t="str" cm="1">
        <f t="array" ref="H11908">IFERROR(INDEX(INVESTOR_LIST[INVESTOR NAME],MATCH(I11908,INVESTOR_LIST[INVESTOR CODE],0),)," ")</f>
        <v>SHAHRIAR MAHMOOD</v>
      </c>
      <c r="I11908" s="145" t="s">
        <v>476</v>
      </c>
      <c r="J11908" s="163" t="s">
        <v>52</v>
      </c>
      <c r="K11908" s="219"/>
      <c r="L11908" s="219">
        <v>228023.6</v>
      </c>
    </row>
    <row r="11909" spans="1:17" x14ac:dyDescent="0.2">
      <c r="A11909" s="133">
        <v>2024</v>
      </c>
      <c r="B11909" s="133">
        <v>9</v>
      </c>
      <c r="C11909" s="168">
        <v>18</v>
      </c>
      <c r="D11909" s="141">
        <f t="shared" ref="D11909:D11910" si="1734">DATE(A11909,B11909,C11909)</f>
        <v>45553</v>
      </c>
      <c r="E11909" s="275">
        <f t="shared" ref="E11909:E11910" si="1735">DATE(A11909,B11909,C11909)</f>
        <v>45553</v>
      </c>
      <c r="F11909" s="479" t="s">
        <v>1943</v>
      </c>
      <c r="G11909" s="174" t="s">
        <v>74</v>
      </c>
      <c r="H11909" s="148" t="str" cm="1">
        <f t="array" ref="H11909">IFERROR(INDEX(INVESTOR_LIST[INVESTOR NAME],MATCH(I11909,INVESTOR_LIST[INVESTOR CODE],0),)," ")</f>
        <v xml:space="preserve"> </v>
      </c>
      <c r="I11909" s="148" t="s">
        <v>348</v>
      </c>
      <c r="J11909" s="133" t="s">
        <v>61</v>
      </c>
      <c r="K11909" s="172">
        <v>100</v>
      </c>
    </row>
    <row r="11910" spans="1:17" x14ac:dyDescent="0.2">
      <c r="A11910" s="163">
        <v>2024</v>
      </c>
      <c r="B11910" s="163">
        <v>9</v>
      </c>
      <c r="C11910" s="163">
        <v>18</v>
      </c>
      <c r="D11910" s="280">
        <f t="shared" si="1734"/>
        <v>45553</v>
      </c>
      <c r="E11910" s="281">
        <f t="shared" si="1735"/>
        <v>45553</v>
      </c>
      <c r="F11910" s="480"/>
      <c r="G11910" s="221" t="s">
        <v>74</v>
      </c>
      <c r="H11910" s="145" t="str" cm="1">
        <f t="array" ref="H11910">IFERROR(INDEX(INVESTOR_LIST[INVESTOR NAME],MATCH(I11910,INVESTOR_LIST[INVESTOR CODE],0),)," ")</f>
        <v xml:space="preserve"> </v>
      </c>
      <c r="I11910" s="145" t="s">
        <v>348</v>
      </c>
      <c r="J11910" s="163" t="s">
        <v>52</v>
      </c>
      <c r="K11910" s="219"/>
      <c r="L11910" s="219">
        <v>100</v>
      </c>
    </row>
    <row r="11911" spans="1:17" ht="56.25" x14ac:dyDescent="0.2">
      <c r="A11911" s="168">
        <v>2024</v>
      </c>
      <c r="B11911" s="168">
        <v>9</v>
      </c>
      <c r="C11911" s="133">
        <v>18</v>
      </c>
      <c r="D11911" s="141">
        <f t="shared" ref="D11911:D11943" si="1736">DATE(A11911,B11911,C11911)</f>
        <v>45553</v>
      </c>
      <c r="E11911" s="275">
        <f t="shared" ref="E11911:E11943" si="1737">DATE(A11911,B11911,C11911)</f>
        <v>45553</v>
      </c>
      <c r="F11911" s="479" t="s">
        <v>1315</v>
      </c>
      <c r="G11911" s="220" t="s">
        <v>74</v>
      </c>
      <c r="H11911" s="142" t="str" cm="1">
        <f t="array" ref="H11911">IFERROR(INDEX(INVESTOR_LIST[INVESTOR NAME],MATCH(I11911,INVESTOR_LIST[INVESTOR CODE],0),)," ")</f>
        <v>MUHAMMAD SHOHIDUZZAMAN</v>
      </c>
      <c r="I11911" s="142" t="s">
        <v>1663</v>
      </c>
      <c r="J11911" s="168" t="s">
        <v>13</v>
      </c>
      <c r="K11911" s="226">
        <v>1663480</v>
      </c>
      <c r="L11911" s="226"/>
    </row>
    <row r="11912" spans="1:17" ht="56.25" x14ac:dyDescent="0.2">
      <c r="A11912" s="133">
        <v>2024</v>
      </c>
      <c r="B11912" s="133">
        <v>9</v>
      </c>
      <c r="C11912" s="133">
        <v>18</v>
      </c>
      <c r="D11912" s="141">
        <f t="shared" si="1736"/>
        <v>45553</v>
      </c>
      <c r="E11912" s="275">
        <f t="shared" si="1737"/>
        <v>45553</v>
      </c>
      <c r="F11912" s="481"/>
      <c r="G11912" s="174" t="s">
        <v>74</v>
      </c>
      <c r="H11912" s="148" t="str" cm="1">
        <f t="array" ref="H11912">IFERROR(INDEX(INVESTOR_LIST[INVESTOR NAME],MATCH(I11912,INVESTOR_LIST[INVESTOR CODE],0),)," ")</f>
        <v>MUHAMMAD SHOHIDUZZAMAN</v>
      </c>
      <c r="I11912" s="148" t="s">
        <v>1663</v>
      </c>
      <c r="J11912" s="133" t="s">
        <v>53</v>
      </c>
      <c r="K11912" s="218">
        <v>521500.98</v>
      </c>
      <c r="L11912" s="218"/>
    </row>
    <row r="11913" spans="1:17" ht="56.25" x14ac:dyDescent="0.2">
      <c r="A11913" s="163">
        <v>2024</v>
      </c>
      <c r="B11913" s="163">
        <v>9</v>
      </c>
      <c r="C11913" s="163">
        <v>18</v>
      </c>
      <c r="D11913" s="280">
        <f t="shared" si="1736"/>
        <v>45553</v>
      </c>
      <c r="E11913" s="281">
        <f t="shared" si="1737"/>
        <v>45553</v>
      </c>
      <c r="F11913" s="480"/>
      <c r="G11913" s="221" t="s">
        <v>74</v>
      </c>
      <c r="H11913" s="145" t="str" cm="1">
        <f t="array" ref="H11913">IFERROR(INDEX(INVESTOR_LIST[INVESTOR NAME],MATCH(I11913,INVESTOR_LIST[INVESTOR CODE],0),)," ")</f>
        <v>MUHAMMAD SHOHIDUZZAMAN</v>
      </c>
      <c r="I11913" s="145" t="s">
        <v>1663</v>
      </c>
      <c r="J11913" s="163" t="s">
        <v>52</v>
      </c>
      <c r="K11913" s="219"/>
      <c r="L11913" s="219">
        <v>2184980.98</v>
      </c>
    </row>
    <row r="11914" spans="1:17" x14ac:dyDescent="0.2">
      <c r="A11914" s="168">
        <v>2024</v>
      </c>
      <c r="B11914" s="168">
        <v>9</v>
      </c>
      <c r="C11914" s="168">
        <v>18</v>
      </c>
      <c r="D11914" s="141">
        <f t="shared" si="1736"/>
        <v>45553</v>
      </c>
      <c r="E11914" s="275">
        <f t="shared" si="1737"/>
        <v>45553</v>
      </c>
      <c r="F11914" s="479" t="s">
        <v>1993</v>
      </c>
      <c r="G11914" s="174" t="s">
        <v>74</v>
      </c>
      <c r="H11914" s="174" t="str" cm="1">
        <f t="array" ref="H11914">IFERROR(INDEX(INVESTOR_LIST[INVESTOR NAME],MATCH(I11914,INVESTOR_LIST[INVESTOR CODE],0),)," ")</f>
        <v xml:space="preserve"> </v>
      </c>
      <c r="I11914" s="148" t="s">
        <v>348</v>
      </c>
      <c r="J11914" s="143" t="s">
        <v>1805</v>
      </c>
      <c r="K11914" s="218">
        <v>4149590.43</v>
      </c>
      <c r="L11914" s="218"/>
      <c r="M11914" s="147"/>
      <c r="Q11914" s="133" t="s">
        <v>348</v>
      </c>
    </row>
    <row r="11915" spans="1:17" x14ac:dyDescent="0.2">
      <c r="A11915" s="163">
        <v>2024</v>
      </c>
      <c r="B11915" s="163">
        <v>9</v>
      </c>
      <c r="C11915" s="163">
        <v>18</v>
      </c>
      <c r="D11915" s="280">
        <f t="shared" si="1736"/>
        <v>45553</v>
      </c>
      <c r="E11915" s="281">
        <f t="shared" si="1737"/>
        <v>45553</v>
      </c>
      <c r="F11915" s="480"/>
      <c r="G11915" s="221" t="s">
        <v>74</v>
      </c>
      <c r="H11915" s="221" t="str" cm="1">
        <f t="array" ref="H11915">IFERROR(INDEX(INVESTOR_LIST[INVESTOR NAME],MATCH(I11915,INVESTOR_LIST[INVESTOR CODE],0),)," ")</f>
        <v xml:space="preserve"> </v>
      </c>
      <c r="I11915" s="145"/>
      <c r="J11915" s="146" t="s">
        <v>52</v>
      </c>
      <c r="K11915" s="219"/>
      <c r="L11915" s="219">
        <v>4149590.43</v>
      </c>
      <c r="M11915" s="147"/>
      <c r="Q11915" s="133" t="s">
        <v>348</v>
      </c>
    </row>
    <row r="11916" spans="1:17" x14ac:dyDescent="0.2">
      <c r="A11916" s="133">
        <v>2024</v>
      </c>
      <c r="B11916" s="133">
        <v>9</v>
      </c>
      <c r="C11916" s="133">
        <v>18</v>
      </c>
      <c r="D11916" s="147">
        <f t="shared" si="1736"/>
        <v>45553</v>
      </c>
      <c r="E11916" s="311">
        <f t="shared" si="1737"/>
        <v>45553</v>
      </c>
      <c r="F11916" s="479" t="s">
        <v>1943</v>
      </c>
      <c r="G11916" s="174" t="s">
        <v>74</v>
      </c>
      <c r="H11916" s="148" t="str" cm="1">
        <f t="array" ref="H11916">IFERROR(INDEX(INVESTOR_LIST[INVESTOR NAME],MATCH(I11916,INVESTOR_LIST[INVESTOR CODE],0),)," ")</f>
        <v xml:space="preserve"> </v>
      </c>
      <c r="I11916" s="148" t="s">
        <v>348</v>
      </c>
      <c r="J11916" s="133" t="s">
        <v>61</v>
      </c>
      <c r="K11916" s="172">
        <v>100</v>
      </c>
    </row>
    <row r="11917" spans="1:17" x14ac:dyDescent="0.2">
      <c r="A11917" s="163">
        <v>2024</v>
      </c>
      <c r="B11917" s="163">
        <v>9</v>
      </c>
      <c r="C11917" s="163">
        <v>18</v>
      </c>
      <c r="D11917" s="280">
        <f t="shared" si="1736"/>
        <v>45553</v>
      </c>
      <c r="E11917" s="281">
        <f t="shared" si="1737"/>
        <v>45553</v>
      </c>
      <c r="F11917" s="480"/>
      <c r="G11917" s="221" t="s">
        <v>74</v>
      </c>
      <c r="H11917" s="145" t="str" cm="1">
        <f t="array" ref="H11917">IFERROR(INDEX(INVESTOR_LIST[INVESTOR NAME],MATCH(I11917,INVESTOR_LIST[INVESTOR CODE],0),)," ")</f>
        <v xml:space="preserve"> </v>
      </c>
      <c r="I11917" s="145" t="s">
        <v>348</v>
      </c>
      <c r="J11917" s="163" t="s">
        <v>52</v>
      </c>
      <c r="K11917" s="219"/>
      <c r="L11917" s="219">
        <v>100</v>
      </c>
    </row>
    <row r="11918" spans="1:17" ht="11.25" customHeight="1" x14ac:dyDescent="0.2">
      <c r="A11918" s="168">
        <v>2024</v>
      </c>
      <c r="B11918" s="133">
        <v>9</v>
      </c>
      <c r="C11918" s="168">
        <v>18</v>
      </c>
      <c r="D11918" s="141">
        <f t="shared" si="1736"/>
        <v>45553</v>
      </c>
      <c r="E11918" s="275">
        <f t="shared" si="1737"/>
        <v>45553</v>
      </c>
      <c r="F11918" s="479" t="s">
        <v>1983</v>
      </c>
      <c r="G11918" s="220" t="s">
        <v>74</v>
      </c>
      <c r="H11918" s="220" t="str" cm="1">
        <f t="array" ref="H11918">IFERROR(INDEX(INVESTOR_LIST[INVESTOR NAME],MATCH(I11918,INVESTOR_LIST[INVESTOR CODE],0),)," ")</f>
        <v xml:space="preserve"> </v>
      </c>
      <c r="I11918" s="142"/>
      <c r="J11918" s="143" t="s">
        <v>147</v>
      </c>
      <c r="K11918" s="226">
        <v>2476785.7000000002</v>
      </c>
      <c r="L11918" s="226"/>
    </row>
    <row r="11919" spans="1:17" x14ac:dyDescent="0.2">
      <c r="A11919" s="163">
        <v>2024</v>
      </c>
      <c r="B11919" s="163">
        <v>9</v>
      </c>
      <c r="C11919" s="163">
        <v>18</v>
      </c>
      <c r="D11919" s="280">
        <f t="shared" si="1736"/>
        <v>45553</v>
      </c>
      <c r="E11919" s="281">
        <f t="shared" si="1737"/>
        <v>45553</v>
      </c>
      <c r="F11919" s="480"/>
      <c r="G11919" s="221" t="s">
        <v>74</v>
      </c>
      <c r="H11919" s="221" t="str" cm="1">
        <f t="array" ref="H11919">IFERROR(INDEX(INVESTOR_LIST[INVESTOR NAME],MATCH(I11919,INVESTOR_LIST[INVESTOR CODE],0),)," ")</f>
        <v xml:space="preserve"> </v>
      </c>
      <c r="I11919" s="145" t="s">
        <v>348</v>
      </c>
      <c r="J11919" s="146" t="s">
        <v>52</v>
      </c>
      <c r="K11919" s="219"/>
      <c r="L11919" s="219">
        <v>2476785.7000000002</v>
      </c>
    </row>
    <row r="11920" spans="1:17" x14ac:dyDescent="0.2">
      <c r="A11920" s="133">
        <v>2024</v>
      </c>
      <c r="B11920" s="133">
        <v>9</v>
      </c>
      <c r="C11920" s="168">
        <v>18</v>
      </c>
      <c r="D11920" s="141">
        <f t="shared" si="1736"/>
        <v>45553</v>
      </c>
      <c r="E11920" s="275">
        <f t="shared" si="1737"/>
        <v>45553</v>
      </c>
      <c r="F11920" s="481" t="s">
        <v>1928</v>
      </c>
      <c r="G11920" s="174" t="s">
        <v>74</v>
      </c>
      <c r="H11920" s="174" t="str" cm="1">
        <f t="array" ref="H11920">IFERROR(INDEX(INVESTOR_LIST[INVESTOR NAME],MATCH(I11920,INVESTOR_LIST[INVESTOR CODE],0),)," ")</f>
        <v xml:space="preserve"> </v>
      </c>
      <c r="J11920" s="149" t="s">
        <v>534</v>
      </c>
      <c r="K11920" s="218">
        <v>3685.79</v>
      </c>
      <c r="L11920" s="218"/>
      <c r="M11920" s="147"/>
    </row>
    <row r="11921" spans="1:13" x14ac:dyDescent="0.2">
      <c r="A11921" s="133">
        <v>2024</v>
      </c>
      <c r="B11921" s="133">
        <v>9</v>
      </c>
      <c r="C11921" s="133">
        <v>18</v>
      </c>
      <c r="D11921" s="141">
        <f t="shared" ref="D11921:D11922" si="1738">DATE(A11921,B11921,C11921)</f>
        <v>45553</v>
      </c>
      <c r="E11921" s="275">
        <f t="shared" ref="E11921:E11922" si="1739">DATE(A11921,B11921,C11921)</f>
        <v>45553</v>
      </c>
      <c r="F11921" s="481"/>
      <c r="G11921" s="174" t="s">
        <v>74</v>
      </c>
      <c r="H11921" s="174" t="str" cm="1">
        <f t="array" ref="H11921">IFERROR(INDEX(INVESTOR_LIST[INVESTOR NAME],MATCH(I11921,INVESTOR_LIST[INVESTOR CODE],0),)," ")</f>
        <v xml:space="preserve"> </v>
      </c>
      <c r="J11921" s="149" t="s">
        <v>1906</v>
      </c>
      <c r="K11921" s="218">
        <v>375</v>
      </c>
      <c r="L11921" s="218"/>
      <c r="M11921" s="147"/>
    </row>
    <row r="11922" spans="1:13" x14ac:dyDescent="0.2">
      <c r="A11922" s="133">
        <v>2024</v>
      </c>
      <c r="B11922" s="133">
        <v>9</v>
      </c>
      <c r="C11922" s="133">
        <v>18</v>
      </c>
      <c r="D11922" s="141">
        <f t="shared" si="1738"/>
        <v>45553</v>
      </c>
      <c r="E11922" s="275">
        <f t="shared" si="1739"/>
        <v>45553</v>
      </c>
      <c r="F11922" s="481"/>
      <c r="G11922" s="174" t="s">
        <v>74</v>
      </c>
      <c r="H11922" s="174" t="str" cm="1">
        <f t="array" ref="H11922">IFERROR(INDEX(INVESTOR_LIST[INVESTOR NAME],MATCH(I11922,INVESTOR_LIST[INVESTOR CODE],0),)," ")</f>
        <v xml:space="preserve"> </v>
      </c>
      <c r="J11922" s="149" t="s">
        <v>1907</v>
      </c>
      <c r="K11922" s="218">
        <v>150</v>
      </c>
      <c r="L11922" s="218"/>
      <c r="M11922" s="147"/>
    </row>
    <row r="11923" spans="1:13" x14ac:dyDescent="0.2">
      <c r="A11923" s="133">
        <v>2024</v>
      </c>
      <c r="B11923" s="133">
        <v>9</v>
      </c>
      <c r="C11923" s="133">
        <v>18</v>
      </c>
      <c r="D11923" s="141">
        <f t="shared" ref="D11923" si="1740">DATE(A11923,B11923,C11923)</f>
        <v>45553</v>
      </c>
      <c r="E11923" s="275">
        <f t="shared" ref="E11923" si="1741">DATE(A11923,B11923,C11923)</f>
        <v>45553</v>
      </c>
      <c r="F11923" s="481"/>
      <c r="G11923" s="174" t="s">
        <v>74</v>
      </c>
      <c r="H11923" s="174" t="str" cm="1">
        <f t="array" ref="H11923">IFERROR(INDEX(INVESTOR_LIST[INVESTOR NAME],MATCH(I11923,INVESTOR_LIST[INVESTOR CODE],0),)," ")</f>
        <v xml:space="preserve"> </v>
      </c>
      <c r="J11923" s="149" t="s">
        <v>534</v>
      </c>
      <c r="K11923" s="218">
        <v>1257.1099999999999</v>
      </c>
      <c r="L11923" s="218"/>
      <c r="M11923" s="147"/>
    </row>
    <row r="11924" spans="1:13" x14ac:dyDescent="0.2">
      <c r="A11924" s="163">
        <v>2024</v>
      </c>
      <c r="B11924" s="163">
        <v>9</v>
      </c>
      <c r="C11924" s="163">
        <v>18</v>
      </c>
      <c r="D11924" s="280">
        <f t="shared" si="1736"/>
        <v>45553</v>
      </c>
      <c r="E11924" s="281">
        <f t="shared" si="1737"/>
        <v>45553</v>
      </c>
      <c r="F11924" s="480"/>
      <c r="G11924" s="221" t="s">
        <v>74</v>
      </c>
      <c r="H11924" s="221" t="str" cm="1">
        <f t="array" ref="H11924">IFERROR(INDEX(INVESTOR_LIST[INVESTOR NAME],MATCH(I11924,INVESTOR_LIST[INVESTOR CODE],0),)," ")</f>
        <v xml:space="preserve"> </v>
      </c>
      <c r="I11924" s="145"/>
      <c r="J11924" s="146" t="s">
        <v>52</v>
      </c>
      <c r="K11924" s="219"/>
      <c r="L11924" s="219">
        <v>5467.9</v>
      </c>
      <c r="M11924" s="147"/>
    </row>
    <row r="11925" spans="1:13" ht="45" x14ac:dyDescent="0.2">
      <c r="A11925" s="168">
        <v>2024</v>
      </c>
      <c r="B11925" s="168">
        <v>9</v>
      </c>
      <c r="C11925" s="133">
        <v>19</v>
      </c>
      <c r="D11925" s="141">
        <f t="shared" si="1736"/>
        <v>45554</v>
      </c>
      <c r="E11925" s="275">
        <f t="shared" si="1737"/>
        <v>45554</v>
      </c>
      <c r="F11925" s="479" t="s">
        <v>1310</v>
      </c>
      <c r="G11925" s="220" t="s">
        <v>74</v>
      </c>
      <c r="H11925" s="142" t="str" cm="1">
        <f t="array" ref="H11925">IFERROR(INDEX(INVESTOR_LIST[INVESTOR NAME],MATCH(I11925,INVESTOR_LIST[INVESTOR CODE],0),)," ")</f>
        <v>ASHUTOSH TALUKDER</v>
      </c>
      <c r="I11925" s="142" t="s">
        <v>483</v>
      </c>
      <c r="J11925" s="168" t="s">
        <v>13</v>
      </c>
      <c r="K11925" s="226">
        <v>54350</v>
      </c>
      <c r="L11925" s="226"/>
    </row>
    <row r="11926" spans="1:13" ht="45" x14ac:dyDescent="0.2">
      <c r="A11926" s="133">
        <v>2024</v>
      </c>
      <c r="B11926" s="133">
        <v>9</v>
      </c>
      <c r="C11926" s="133">
        <v>19</v>
      </c>
      <c r="D11926" s="141">
        <f t="shared" si="1736"/>
        <v>45554</v>
      </c>
      <c r="E11926" s="275">
        <f t="shared" si="1737"/>
        <v>45554</v>
      </c>
      <c r="F11926" s="481"/>
      <c r="G11926" s="174" t="s">
        <v>74</v>
      </c>
      <c r="H11926" s="148" t="str" cm="1">
        <f t="array" ref="H11926">IFERROR(INDEX(INVESTOR_LIST[INVESTOR NAME],MATCH(I11926,INVESTOR_LIST[INVESTOR CODE],0),)," ")</f>
        <v>ASHUTOSH TALUKDER</v>
      </c>
      <c r="I11926" s="148" t="s">
        <v>483</v>
      </c>
      <c r="J11926" s="133" t="s">
        <v>53</v>
      </c>
      <c r="K11926" s="218">
        <v>17032.926999999996</v>
      </c>
      <c r="L11926" s="218"/>
    </row>
    <row r="11927" spans="1:13" ht="45" x14ac:dyDescent="0.2">
      <c r="A11927" s="163">
        <v>2024</v>
      </c>
      <c r="B11927" s="163">
        <v>9</v>
      </c>
      <c r="C11927" s="163">
        <v>19</v>
      </c>
      <c r="D11927" s="280">
        <f t="shared" si="1736"/>
        <v>45554</v>
      </c>
      <c r="E11927" s="281">
        <f t="shared" si="1737"/>
        <v>45554</v>
      </c>
      <c r="F11927" s="480"/>
      <c r="G11927" s="221" t="s">
        <v>74</v>
      </c>
      <c r="H11927" s="145" t="str" cm="1">
        <f t="array" ref="H11927">IFERROR(INDEX(INVESTOR_LIST[INVESTOR NAME],MATCH(I11927,INVESTOR_LIST[INVESTOR CODE],0),)," ")</f>
        <v>ASHUTOSH TALUKDER</v>
      </c>
      <c r="I11927" s="145" t="s">
        <v>483</v>
      </c>
      <c r="J11927" s="163" t="s">
        <v>52</v>
      </c>
      <c r="K11927" s="219"/>
      <c r="L11927" s="219">
        <v>71382.926999999996</v>
      </c>
    </row>
    <row r="11928" spans="1:13" x14ac:dyDescent="0.2">
      <c r="A11928" s="325">
        <v>2024</v>
      </c>
      <c r="B11928" s="325">
        <v>9</v>
      </c>
      <c r="C11928" s="325">
        <v>19</v>
      </c>
      <c r="D11928" s="326">
        <f t="shared" si="1736"/>
        <v>45554</v>
      </c>
      <c r="E11928" s="327">
        <f t="shared" si="1737"/>
        <v>45554</v>
      </c>
      <c r="F11928" s="473" t="s">
        <v>1940</v>
      </c>
      <c r="G11928" s="340" t="s">
        <v>94</v>
      </c>
      <c r="H11928" s="340" t="str" cm="1">
        <f t="array" ref="H11928">IFERROR(INDEX(INVESTOR_LIST[INVESTOR NAME],MATCH(I11928,INVESTOR_LIST[INVESTOR CODE],0),)," ")</f>
        <v xml:space="preserve"> </v>
      </c>
      <c r="I11928" s="341" t="s">
        <v>348</v>
      </c>
      <c r="J11928" s="374" t="s">
        <v>133</v>
      </c>
      <c r="K11928" s="375">
        <v>12905.555555555549</v>
      </c>
      <c r="L11928" s="375"/>
    </row>
    <row r="11929" spans="1:13" x14ac:dyDescent="0.2">
      <c r="A11929" s="331">
        <v>2024</v>
      </c>
      <c r="B11929" s="331">
        <v>9</v>
      </c>
      <c r="C11929" s="331">
        <v>19</v>
      </c>
      <c r="D11929" s="326">
        <f t="shared" si="1736"/>
        <v>45554</v>
      </c>
      <c r="E11929" s="327">
        <f t="shared" si="1737"/>
        <v>45554</v>
      </c>
      <c r="F11929" s="474"/>
      <c r="G11929" s="332" t="s">
        <v>94</v>
      </c>
      <c r="H11929" s="332" t="str" cm="1">
        <f t="array" ref="H11929">IFERROR(INDEX(INVESTOR_LIST[INVESTOR NAME],MATCH(I11929,INVESTOR_LIST[INVESTOR CODE],0),)," ")</f>
        <v xml:space="preserve"> </v>
      </c>
      <c r="I11929" s="333" t="s">
        <v>348</v>
      </c>
      <c r="J11929" s="376" t="s">
        <v>60</v>
      </c>
      <c r="K11929" s="334"/>
      <c r="L11929" s="334">
        <v>12905.555555555549</v>
      </c>
    </row>
    <row r="11930" spans="1:13" x14ac:dyDescent="0.2">
      <c r="A11930" s="384">
        <v>2024</v>
      </c>
      <c r="B11930" s="384">
        <v>9</v>
      </c>
      <c r="C11930" s="384">
        <v>19</v>
      </c>
      <c r="D11930" s="385">
        <f t="shared" si="1736"/>
        <v>45554</v>
      </c>
      <c r="E11930" s="386">
        <f t="shared" si="1737"/>
        <v>45554</v>
      </c>
      <c r="F11930" s="475" t="s">
        <v>1966</v>
      </c>
      <c r="G11930" s="387" t="s">
        <v>94</v>
      </c>
      <c r="H11930" s="387" t="str" cm="1">
        <f t="array" ref="H11930">IFERROR(INDEX(INVESTOR_LIST[INVESTOR NAME],MATCH(I11930,INVESTOR_LIST[INVESTOR CODE],0),)," ")</f>
        <v xml:space="preserve"> </v>
      </c>
      <c r="I11930" s="388" t="s">
        <v>348</v>
      </c>
      <c r="J11930" s="389" t="s">
        <v>67</v>
      </c>
      <c r="K11930" s="390">
        <v>5307.27</v>
      </c>
      <c r="L11930" s="390"/>
    </row>
    <row r="11931" spans="1:13" x14ac:dyDescent="0.2">
      <c r="A11931" s="391">
        <v>2024</v>
      </c>
      <c r="B11931" s="391">
        <v>9</v>
      </c>
      <c r="C11931" s="391">
        <v>19</v>
      </c>
      <c r="D11931" s="385">
        <f t="shared" si="1736"/>
        <v>45554</v>
      </c>
      <c r="E11931" s="386">
        <f t="shared" si="1737"/>
        <v>45554</v>
      </c>
      <c r="F11931" s="476"/>
      <c r="G11931" s="392" t="s">
        <v>94</v>
      </c>
      <c r="H11931" s="392" t="str" cm="1">
        <f t="array" ref="H11931">IFERROR(INDEX(INVESTOR_LIST[INVESTOR NAME],MATCH(I11931,INVESTOR_LIST[INVESTOR CODE],0),)," ")</f>
        <v xml:space="preserve"> </v>
      </c>
      <c r="I11931" s="393" t="s">
        <v>348</v>
      </c>
      <c r="J11931" s="394" t="s">
        <v>60</v>
      </c>
      <c r="K11931" s="395"/>
      <c r="L11931" s="395">
        <f>K11930</f>
        <v>5307.27</v>
      </c>
    </row>
    <row r="11932" spans="1:13" x14ac:dyDescent="0.2">
      <c r="A11932" s="343">
        <v>2024</v>
      </c>
      <c r="B11932" s="343">
        <v>9</v>
      </c>
      <c r="C11932" s="343">
        <v>19</v>
      </c>
      <c r="D11932" s="344">
        <f t="shared" si="1736"/>
        <v>45554</v>
      </c>
      <c r="E11932" s="345">
        <f t="shared" si="1737"/>
        <v>45554</v>
      </c>
      <c r="F11932" s="483" t="s">
        <v>1813</v>
      </c>
      <c r="G11932" s="350" t="s">
        <v>94</v>
      </c>
      <c r="H11932" s="350" t="str" cm="1">
        <f t="array" ref="H11932">IFERROR(INDEX(INVESTOR_LIST[INVESTOR NAME],MATCH(I11932,INVESTOR_LIST[INVESTOR CODE],0),)," ")</f>
        <v xml:space="preserve"> </v>
      </c>
      <c r="I11932" s="352" t="s">
        <v>348</v>
      </c>
      <c r="J11932" s="353" t="s">
        <v>1798</v>
      </c>
      <c r="K11932" s="354">
        <v>25996</v>
      </c>
      <c r="L11932" s="354"/>
    </row>
    <row r="11933" spans="1:13" x14ac:dyDescent="0.2">
      <c r="A11933" s="346">
        <v>2024</v>
      </c>
      <c r="B11933" s="346">
        <v>9</v>
      </c>
      <c r="C11933" s="346">
        <v>19</v>
      </c>
      <c r="D11933" s="344">
        <f t="shared" si="1736"/>
        <v>45554</v>
      </c>
      <c r="E11933" s="345">
        <f t="shared" si="1737"/>
        <v>45554</v>
      </c>
      <c r="F11933" s="484"/>
      <c r="G11933" s="347" t="s">
        <v>94</v>
      </c>
      <c r="H11933" s="347" t="str" cm="1">
        <f t="array" ref="H11933">IFERROR(INDEX(INVESTOR_LIST[INVESTOR NAME],MATCH(I11933,INVESTOR_LIST[INVESTOR CODE],0),)," ")</f>
        <v xml:space="preserve"> </v>
      </c>
      <c r="I11933" s="348" t="s">
        <v>348</v>
      </c>
      <c r="J11933" s="355" t="s">
        <v>1807</v>
      </c>
      <c r="K11933" s="349"/>
      <c r="L11933" s="349">
        <f>K11932</f>
        <v>25996</v>
      </c>
    </row>
    <row r="11934" spans="1:13" x14ac:dyDescent="0.2">
      <c r="A11934" s="343">
        <v>2024</v>
      </c>
      <c r="B11934" s="343">
        <v>9</v>
      </c>
      <c r="C11934" s="343">
        <v>19</v>
      </c>
      <c r="D11934" s="344">
        <f t="shared" si="1736"/>
        <v>45554</v>
      </c>
      <c r="E11934" s="345">
        <f t="shared" si="1737"/>
        <v>45554</v>
      </c>
      <c r="F11934" s="483" t="s">
        <v>1913</v>
      </c>
      <c r="G11934" s="350" t="s">
        <v>94</v>
      </c>
      <c r="H11934" s="350" t="str" cm="1">
        <f t="array" ref="H11934">IFERROR(INDEX(INVESTOR_LIST[INVESTOR NAME],MATCH(I11934,INVESTOR_LIST[INVESTOR CODE],0),)," ")</f>
        <v xml:space="preserve"> </v>
      </c>
      <c r="I11934" s="352" t="s">
        <v>348</v>
      </c>
      <c r="J11934" s="353" t="s">
        <v>1799</v>
      </c>
      <c r="K11934" s="354">
        <v>90855.175000006449</v>
      </c>
      <c r="L11934" s="354"/>
    </row>
    <row r="11935" spans="1:13" x14ac:dyDescent="0.2">
      <c r="A11935" s="346">
        <v>2024</v>
      </c>
      <c r="B11935" s="346">
        <v>9</v>
      </c>
      <c r="C11935" s="346">
        <v>19</v>
      </c>
      <c r="D11935" s="344">
        <f t="shared" si="1736"/>
        <v>45554</v>
      </c>
      <c r="E11935" s="345">
        <f t="shared" si="1737"/>
        <v>45554</v>
      </c>
      <c r="F11935" s="484"/>
      <c r="G11935" s="347" t="s">
        <v>94</v>
      </c>
      <c r="H11935" s="347" t="str" cm="1">
        <f t="array" ref="H11935">IFERROR(INDEX(INVESTOR_LIST[INVESTOR NAME],MATCH(I11935,INVESTOR_LIST[INVESTOR CODE],0),)," ")</f>
        <v xml:space="preserve"> </v>
      </c>
      <c r="I11935" s="348" t="s">
        <v>348</v>
      </c>
      <c r="J11935" s="355" t="s">
        <v>1808</v>
      </c>
      <c r="K11935" s="349"/>
      <c r="L11935" s="349">
        <f>K11934</f>
        <v>90855.175000006449</v>
      </c>
    </row>
    <row r="11936" spans="1:13" ht="11.25" customHeight="1" x14ac:dyDescent="0.2">
      <c r="A11936" s="238">
        <v>2024</v>
      </c>
      <c r="B11936" s="238">
        <v>9</v>
      </c>
      <c r="C11936" s="238">
        <v>19</v>
      </c>
      <c r="D11936" s="270">
        <f t="shared" si="1736"/>
        <v>45554</v>
      </c>
      <c r="E11936" s="279">
        <f t="shared" si="1737"/>
        <v>45554</v>
      </c>
      <c r="F11936" s="477" t="s">
        <v>347</v>
      </c>
      <c r="G11936" s="239" t="s">
        <v>94</v>
      </c>
      <c r="H11936" s="239" t="str" cm="1">
        <f t="array" ref="H11936">IFERROR(INDEX(INVESTOR_LIST[INVESTOR NAME],MATCH(I11936,INVESTOR_LIST[INVESTOR CODE],0),)," ")</f>
        <v xml:space="preserve"> </v>
      </c>
      <c r="I11936" s="262" t="s">
        <v>348</v>
      </c>
      <c r="J11936" s="240" t="s">
        <v>82</v>
      </c>
      <c r="K11936" s="241">
        <v>663047.48999997228</v>
      </c>
      <c r="L11936" s="241"/>
    </row>
    <row r="11937" spans="1:13" x14ac:dyDescent="0.2">
      <c r="A11937" s="242">
        <v>2024</v>
      </c>
      <c r="B11937" s="242">
        <v>9</v>
      </c>
      <c r="C11937" s="242">
        <v>19</v>
      </c>
      <c r="D11937" s="270">
        <f t="shared" si="1736"/>
        <v>45554</v>
      </c>
      <c r="E11937" s="279">
        <f t="shared" si="1737"/>
        <v>45554</v>
      </c>
      <c r="F11937" s="478"/>
      <c r="G11937" s="243" t="s">
        <v>94</v>
      </c>
      <c r="H11937" s="243" t="str" cm="1">
        <f t="array" ref="H11937">IFERROR(INDEX(INVESTOR_LIST[INVESTOR NAME],MATCH(I11937,INVESTOR_LIST[INVESTOR CODE],0),)," ")</f>
        <v xml:space="preserve"> </v>
      </c>
      <c r="I11937" s="263" t="s">
        <v>348</v>
      </c>
      <c r="J11937" s="244" t="s">
        <v>108</v>
      </c>
      <c r="K11937" s="245"/>
      <c r="L11937" s="245">
        <f>K11936</f>
        <v>663047.48999997228</v>
      </c>
    </row>
    <row r="11938" spans="1:13" ht="11.25" customHeight="1" x14ac:dyDescent="0.2">
      <c r="A11938" s="246">
        <v>2024</v>
      </c>
      <c r="B11938" s="238">
        <v>9</v>
      </c>
      <c r="C11938" s="238">
        <v>19</v>
      </c>
      <c r="D11938" s="270">
        <f t="shared" si="1736"/>
        <v>45554</v>
      </c>
      <c r="E11938" s="279">
        <f t="shared" si="1737"/>
        <v>45554</v>
      </c>
      <c r="F11938" s="482" t="s">
        <v>148</v>
      </c>
      <c r="G11938" s="247" t="s">
        <v>94</v>
      </c>
      <c r="H11938" s="247" t="str" cm="1">
        <f t="array" ref="H11938">IFERROR(INDEX(INVESTOR_LIST[INVESTOR NAME],MATCH(I11938,INVESTOR_LIST[INVESTOR CODE],0),)," ")</f>
        <v xml:space="preserve"> </v>
      </c>
      <c r="I11938" s="248" t="s">
        <v>348</v>
      </c>
      <c r="J11938" s="249" t="s">
        <v>95</v>
      </c>
      <c r="K11938" s="250">
        <v>2747.2527472527472</v>
      </c>
      <c r="L11938" s="241"/>
    </row>
    <row r="11939" spans="1:13" x14ac:dyDescent="0.2">
      <c r="A11939" s="242">
        <v>2024</v>
      </c>
      <c r="B11939" s="242">
        <v>9</v>
      </c>
      <c r="C11939" s="242">
        <v>19</v>
      </c>
      <c r="D11939" s="270">
        <f t="shared" si="1736"/>
        <v>45554</v>
      </c>
      <c r="E11939" s="279">
        <f t="shared" si="1737"/>
        <v>45554</v>
      </c>
      <c r="F11939" s="478"/>
      <c r="G11939" s="243" t="s">
        <v>94</v>
      </c>
      <c r="H11939" s="243" t="str" cm="1">
        <f t="array" ref="H11939">IFERROR(INDEX(INVESTOR_LIST[INVESTOR NAME],MATCH(I11939,INVESTOR_LIST[INVESTOR CODE],0),)," ")</f>
        <v xml:space="preserve"> </v>
      </c>
      <c r="I11939" s="263" t="s">
        <v>348</v>
      </c>
      <c r="J11939" s="244" t="s">
        <v>63</v>
      </c>
      <c r="K11939" s="245"/>
      <c r="L11939" s="245">
        <v>2747.2527472527472</v>
      </c>
    </row>
    <row r="11940" spans="1:13" x14ac:dyDescent="0.2">
      <c r="A11940" s="246">
        <v>2024</v>
      </c>
      <c r="B11940" s="238">
        <v>9</v>
      </c>
      <c r="C11940" s="238">
        <v>19</v>
      </c>
      <c r="D11940" s="270">
        <f t="shared" si="1736"/>
        <v>45554</v>
      </c>
      <c r="E11940" s="279">
        <f t="shared" si="1737"/>
        <v>45554</v>
      </c>
      <c r="F11940" s="482" t="s">
        <v>137</v>
      </c>
      <c r="G11940" s="247" t="s">
        <v>94</v>
      </c>
      <c r="H11940" s="247" t="str" cm="1">
        <f t="array" ref="H11940">IFERROR(INDEX(INVESTOR_LIST[INVESTOR NAME],MATCH(I11940,INVESTOR_LIST[INVESTOR CODE],0),)," ")</f>
        <v xml:space="preserve"> </v>
      </c>
      <c r="I11940" s="248" t="s">
        <v>348</v>
      </c>
      <c r="J11940" s="249" t="s">
        <v>97</v>
      </c>
      <c r="K11940" s="250">
        <f>M11940</f>
        <v>59426.414953953157</v>
      </c>
      <c r="L11940" s="252"/>
      <c r="M11940" s="264">
        <v>59426.414953953157</v>
      </c>
    </row>
    <row r="11941" spans="1:13" x14ac:dyDescent="0.2">
      <c r="A11941" s="242">
        <v>2024</v>
      </c>
      <c r="B11941" s="242">
        <v>9</v>
      </c>
      <c r="C11941" s="242">
        <v>19</v>
      </c>
      <c r="D11941" s="270">
        <f t="shared" si="1736"/>
        <v>45554</v>
      </c>
      <c r="E11941" s="279">
        <f t="shared" si="1737"/>
        <v>45554</v>
      </c>
      <c r="F11941" s="478"/>
      <c r="G11941" s="243" t="s">
        <v>94</v>
      </c>
      <c r="H11941" s="243" t="str" cm="1">
        <f t="array" ref="H11941">IFERROR(INDEX(INVESTOR_LIST[INVESTOR NAME],MATCH(I11941,INVESTOR_LIST[INVESTOR CODE],0),)," ")</f>
        <v xml:space="preserve"> </v>
      </c>
      <c r="I11941" s="263" t="s">
        <v>348</v>
      </c>
      <c r="J11941" s="244" t="s">
        <v>47</v>
      </c>
      <c r="K11941" s="245"/>
      <c r="L11941" s="245">
        <f>K11940</f>
        <v>59426.414953953157</v>
      </c>
      <c r="M11941" s="264">
        <v>2730.9361323130424</v>
      </c>
    </row>
    <row r="11942" spans="1:13" x14ac:dyDescent="0.2">
      <c r="A11942" s="246">
        <v>2024</v>
      </c>
      <c r="B11942" s="238">
        <v>9</v>
      </c>
      <c r="C11942" s="238">
        <v>19</v>
      </c>
      <c r="D11942" s="270">
        <f t="shared" si="1736"/>
        <v>45554</v>
      </c>
      <c r="E11942" s="279">
        <f t="shared" si="1737"/>
        <v>45554</v>
      </c>
      <c r="F11942" s="482" t="s">
        <v>138</v>
      </c>
      <c r="G11942" s="247" t="s">
        <v>94</v>
      </c>
      <c r="H11942" s="247" t="str" cm="1">
        <f t="array" ref="H11942">IFERROR(INDEX(INVESTOR_LIST[INVESTOR NAME],MATCH(I11942,INVESTOR_LIST[INVESTOR CODE],0),)," ")</f>
        <v xml:space="preserve"> </v>
      </c>
      <c r="I11942" s="248" t="s">
        <v>348</v>
      </c>
      <c r="J11942" s="249" t="s">
        <v>100</v>
      </c>
      <c r="K11942" s="250">
        <f>M11941</f>
        <v>2730.9361323130424</v>
      </c>
      <c r="L11942" s="252"/>
    </row>
    <row r="11943" spans="1:13" x14ac:dyDescent="0.2">
      <c r="A11943" s="242">
        <v>2024</v>
      </c>
      <c r="B11943" s="242">
        <v>9</v>
      </c>
      <c r="C11943" s="242">
        <v>19</v>
      </c>
      <c r="D11943" s="321">
        <f t="shared" si="1736"/>
        <v>45554</v>
      </c>
      <c r="E11943" s="322">
        <f t="shared" si="1737"/>
        <v>45554</v>
      </c>
      <c r="F11943" s="478"/>
      <c r="G11943" s="243" t="s">
        <v>94</v>
      </c>
      <c r="H11943" s="243" t="str" cm="1">
        <f t="array" ref="H11943">IFERROR(INDEX(INVESTOR_LIST[INVESTOR NAME],MATCH(I11943,INVESTOR_LIST[INVESTOR CODE],0),)," ")</f>
        <v xml:space="preserve"> </v>
      </c>
      <c r="I11943" s="263" t="s">
        <v>348</v>
      </c>
      <c r="J11943" s="244" t="s">
        <v>48</v>
      </c>
      <c r="K11943" s="245"/>
      <c r="L11943" s="245">
        <f>K11942</f>
        <v>2730.9361323130424</v>
      </c>
    </row>
    <row r="11944" spans="1:13" ht="45" x14ac:dyDescent="0.2">
      <c r="A11944" s="168">
        <v>2024</v>
      </c>
      <c r="B11944" s="168">
        <v>9</v>
      </c>
      <c r="C11944" s="133">
        <v>22</v>
      </c>
      <c r="D11944" s="141">
        <f t="shared" ref="D11944:D11963" si="1742">DATE(A11944,B11944,C11944)</f>
        <v>45557</v>
      </c>
      <c r="E11944" s="275">
        <f t="shared" ref="E11944:E11963" si="1743">DATE(A11944,B11944,C11944)</f>
        <v>45557</v>
      </c>
      <c r="F11944" s="479" t="s">
        <v>1315</v>
      </c>
      <c r="G11944" s="220" t="s">
        <v>74</v>
      </c>
      <c r="H11944" s="142" t="str" cm="1">
        <f t="array" ref="H11944">IFERROR(INDEX(INVESTOR_LIST[INVESTOR NAME],MATCH(I11944,INVESTOR_LIST[INVESTOR CODE],0),)," ")</f>
        <v>MD. NIAZ MURSHED</v>
      </c>
      <c r="I11944" s="142" t="s">
        <v>646</v>
      </c>
      <c r="J11944" s="168" t="s">
        <v>13</v>
      </c>
      <c r="K11944" s="226">
        <v>229340</v>
      </c>
      <c r="L11944" s="226"/>
    </row>
    <row r="11945" spans="1:13" ht="45" x14ac:dyDescent="0.2">
      <c r="A11945" s="133">
        <v>2024</v>
      </c>
      <c r="B11945" s="133">
        <v>9</v>
      </c>
      <c r="C11945" s="133">
        <v>22</v>
      </c>
      <c r="D11945" s="141">
        <f t="shared" si="1742"/>
        <v>45557</v>
      </c>
      <c r="E11945" s="275">
        <f t="shared" si="1743"/>
        <v>45557</v>
      </c>
      <c r="F11945" s="481"/>
      <c r="G11945" s="174" t="s">
        <v>74</v>
      </c>
      <c r="H11945" s="148" t="str" cm="1">
        <f t="array" ref="H11945">IFERROR(INDEX(INVESTOR_LIST[INVESTOR NAME],MATCH(I11945,INVESTOR_LIST[INVESTOR CODE],0),)," ")</f>
        <v>MD. NIAZ MURSHED</v>
      </c>
      <c r="I11945" s="148" t="s">
        <v>646</v>
      </c>
      <c r="J11945" s="133" t="s">
        <v>53</v>
      </c>
      <c r="K11945" s="218">
        <v>70660</v>
      </c>
      <c r="L11945" s="218"/>
    </row>
    <row r="11946" spans="1:13" ht="45" x14ac:dyDescent="0.2">
      <c r="A11946" s="163">
        <v>2024</v>
      </c>
      <c r="B11946" s="163">
        <v>9</v>
      </c>
      <c r="C11946" s="163">
        <v>22</v>
      </c>
      <c r="D11946" s="280">
        <f t="shared" si="1742"/>
        <v>45557</v>
      </c>
      <c r="E11946" s="281">
        <f t="shared" si="1743"/>
        <v>45557</v>
      </c>
      <c r="F11946" s="480"/>
      <c r="G11946" s="221" t="s">
        <v>74</v>
      </c>
      <c r="H11946" s="145" t="str" cm="1">
        <f t="array" ref="H11946">IFERROR(INDEX(INVESTOR_LIST[INVESTOR NAME],MATCH(I11946,INVESTOR_LIST[INVESTOR CODE],0),)," ")</f>
        <v>MD. NIAZ MURSHED</v>
      </c>
      <c r="I11946" s="145" t="s">
        <v>646</v>
      </c>
      <c r="J11946" s="163" t="s">
        <v>52</v>
      </c>
      <c r="K11946" s="219"/>
      <c r="L11946" s="219">
        <v>300000</v>
      </c>
    </row>
    <row r="11947" spans="1:13" x14ac:dyDescent="0.2">
      <c r="A11947" s="133">
        <v>2024</v>
      </c>
      <c r="B11947" s="133">
        <v>9</v>
      </c>
      <c r="C11947" s="133">
        <v>22</v>
      </c>
      <c r="D11947" s="147">
        <f t="shared" si="1742"/>
        <v>45557</v>
      </c>
      <c r="E11947" s="311">
        <f t="shared" si="1743"/>
        <v>45557</v>
      </c>
      <c r="F11947" s="479" t="s">
        <v>1943</v>
      </c>
      <c r="G11947" s="174" t="s">
        <v>74</v>
      </c>
      <c r="H11947" s="148" t="str" cm="1">
        <f t="array" ref="H11947">IFERROR(INDEX(INVESTOR_LIST[INVESTOR NAME],MATCH(I11947,INVESTOR_LIST[INVESTOR CODE],0),)," ")</f>
        <v xml:space="preserve"> </v>
      </c>
      <c r="I11947" s="148" t="s">
        <v>348</v>
      </c>
      <c r="J11947" s="133" t="s">
        <v>61</v>
      </c>
      <c r="K11947" s="172">
        <v>58</v>
      </c>
    </row>
    <row r="11948" spans="1:13" x14ac:dyDescent="0.2">
      <c r="A11948" s="163">
        <v>2024</v>
      </c>
      <c r="B11948" s="163">
        <v>9</v>
      </c>
      <c r="C11948" s="163">
        <v>22</v>
      </c>
      <c r="D11948" s="280">
        <f t="shared" si="1742"/>
        <v>45557</v>
      </c>
      <c r="E11948" s="281">
        <f t="shared" si="1743"/>
        <v>45557</v>
      </c>
      <c r="F11948" s="480"/>
      <c r="G11948" s="221" t="s">
        <v>74</v>
      </c>
      <c r="H11948" s="145" t="str" cm="1">
        <f t="array" ref="H11948">IFERROR(INDEX(INVESTOR_LIST[INVESTOR NAME],MATCH(I11948,INVESTOR_LIST[INVESTOR CODE],0),)," ")</f>
        <v xml:space="preserve"> </v>
      </c>
      <c r="I11948" s="145" t="s">
        <v>348</v>
      </c>
      <c r="J11948" s="163" t="s">
        <v>52</v>
      </c>
      <c r="K11948" s="219"/>
      <c r="L11948" s="219">
        <v>58</v>
      </c>
    </row>
    <row r="11949" spans="1:13" x14ac:dyDescent="0.2">
      <c r="A11949" s="133">
        <v>2024</v>
      </c>
      <c r="B11949" s="133">
        <v>8</v>
      </c>
      <c r="C11949" s="168">
        <v>13</v>
      </c>
      <c r="D11949" s="141">
        <f t="shared" si="1742"/>
        <v>45517</v>
      </c>
      <c r="E11949" s="275">
        <f t="shared" si="1743"/>
        <v>45517</v>
      </c>
      <c r="F11949" s="479" t="s">
        <v>1999</v>
      </c>
      <c r="G11949" s="174" t="s">
        <v>74</v>
      </c>
      <c r="H11949" s="148" t="str" cm="1">
        <f t="array" ref="H11949">IFERROR(INDEX(INVESTOR_LIST[INVESTOR NAME],MATCH(I11949,INVESTOR_LIST[INVESTOR CODE],0),)," ")</f>
        <v xml:space="preserve"> </v>
      </c>
      <c r="I11949" s="148" t="s">
        <v>348</v>
      </c>
      <c r="J11949" s="133" t="s">
        <v>52</v>
      </c>
      <c r="K11949" s="172">
        <v>145187.5</v>
      </c>
    </row>
    <row r="11950" spans="1:13" x14ac:dyDescent="0.2">
      <c r="A11950" s="163">
        <v>2024</v>
      </c>
      <c r="B11950" s="163">
        <v>9</v>
      </c>
      <c r="C11950" s="163">
        <v>22</v>
      </c>
      <c r="D11950" s="280">
        <f t="shared" si="1742"/>
        <v>45557</v>
      </c>
      <c r="E11950" s="281">
        <f t="shared" si="1743"/>
        <v>45557</v>
      </c>
      <c r="F11950" s="480"/>
      <c r="G11950" s="221" t="s">
        <v>74</v>
      </c>
      <c r="H11950" s="145" t="str" cm="1">
        <f t="array" ref="H11950">IFERROR(INDEX(INVESTOR_LIST[INVESTOR NAME],MATCH(I11950,INVESTOR_LIST[INVESTOR CODE],0),)," ")</f>
        <v xml:space="preserve"> </v>
      </c>
      <c r="I11950" s="145" t="s">
        <v>348</v>
      </c>
      <c r="J11950" s="163" t="s">
        <v>133</v>
      </c>
      <c r="K11950" s="219"/>
      <c r="L11950" s="219">
        <v>145187.5</v>
      </c>
    </row>
    <row r="11951" spans="1:13" x14ac:dyDescent="0.2">
      <c r="A11951" s="133">
        <v>2024</v>
      </c>
      <c r="B11951" s="133">
        <v>8</v>
      </c>
      <c r="C11951" s="168">
        <v>13</v>
      </c>
      <c r="D11951" s="141">
        <f t="shared" ref="D11951:D11952" si="1744">DATE(A11951,B11951,C11951)</f>
        <v>45517</v>
      </c>
      <c r="E11951" s="275">
        <f t="shared" ref="E11951:E11952" si="1745">DATE(A11951,B11951,C11951)</f>
        <v>45517</v>
      </c>
      <c r="F11951" s="479" t="s">
        <v>1999</v>
      </c>
      <c r="G11951" s="174" t="s">
        <v>74</v>
      </c>
      <c r="H11951" s="148" t="str" cm="1">
        <f t="array" ref="H11951">IFERROR(INDEX(INVESTOR_LIST[INVESTOR NAME],MATCH(I11951,INVESTOR_LIST[INVESTOR CODE],0),)," ")</f>
        <v xml:space="preserve"> </v>
      </c>
      <c r="I11951" s="148" t="s">
        <v>348</v>
      </c>
      <c r="J11951" s="133" t="s">
        <v>52</v>
      </c>
      <c r="K11951" s="172">
        <v>48395.83</v>
      </c>
    </row>
    <row r="11952" spans="1:13" x14ac:dyDescent="0.2">
      <c r="A11952" s="163">
        <v>2024</v>
      </c>
      <c r="B11952" s="163">
        <v>9</v>
      </c>
      <c r="C11952" s="163">
        <v>22</v>
      </c>
      <c r="D11952" s="280">
        <f t="shared" si="1744"/>
        <v>45557</v>
      </c>
      <c r="E11952" s="281">
        <f t="shared" si="1745"/>
        <v>45557</v>
      </c>
      <c r="F11952" s="480"/>
      <c r="G11952" s="221" t="s">
        <v>74</v>
      </c>
      <c r="H11952" s="145" t="str" cm="1">
        <f t="array" ref="H11952">IFERROR(INDEX(INVESTOR_LIST[INVESTOR NAME],MATCH(I11952,INVESTOR_LIST[INVESTOR CODE],0),)," ")</f>
        <v xml:space="preserve"> </v>
      </c>
      <c r="I11952" s="145" t="s">
        <v>348</v>
      </c>
      <c r="J11952" s="163" t="s">
        <v>133</v>
      </c>
      <c r="K11952" s="219"/>
      <c r="L11952" s="219">
        <v>48395.83</v>
      </c>
    </row>
    <row r="11953" spans="1:17" x14ac:dyDescent="0.2">
      <c r="A11953" s="168">
        <v>2024</v>
      </c>
      <c r="B11953" s="168">
        <v>9</v>
      </c>
      <c r="C11953" s="168">
        <v>23</v>
      </c>
      <c r="D11953" s="141">
        <f t="shared" si="1742"/>
        <v>45558</v>
      </c>
      <c r="E11953" s="275">
        <f t="shared" si="1743"/>
        <v>45558</v>
      </c>
      <c r="F11953" s="479" t="s">
        <v>362</v>
      </c>
      <c r="G11953" s="220" t="s">
        <v>74</v>
      </c>
      <c r="H11953" s="220" t="str" cm="1">
        <f t="array" ref="H11953">IFERROR(INDEX(INVESTOR_LIST[INVESTOR NAME],MATCH(I11953,INVESTOR_LIST[INVESTOR CODE],0),)," ")</f>
        <v xml:space="preserve"> </v>
      </c>
      <c r="I11953" s="142" t="s">
        <v>348</v>
      </c>
      <c r="J11953" s="143" t="s">
        <v>104</v>
      </c>
      <c r="K11953" s="226">
        <v>12571.05</v>
      </c>
      <c r="L11953" s="226"/>
    </row>
    <row r="11954" spans="1:17" x14ac:dyDescent="0.2">
      <c r="A11954" s="133">
        <v>2024</v>
      </c>
      <c r="B11954" s="133">
        <v>9</v>
      </c>
      <c r="C11954" s="133">
        <v>23</v>
      </c>
      <c r="D11954" s="147">
        <f t="shared" si="1742"/>
        <v>45558</v>
      </c>
      <c r="E11954" s="311">
        <f t="shared" si="1743"/>
        <v>45558</v>
      </c>
      <c r="F11954" s="481"/>
      <c r="G11954" s="174" t="s">
        <v>74</v>
      </c>
      <c r="H11954" s="174" t="str" cm="1">
        <f t="array" ref="H11954">IFERROR(INDEX(INVESTOR_LIST[INVESTOR NAME],MATCH(I11954,INVESTOR_LIST[INVESTOR CODE],0),)," ")</f>
        <v xml:space="preserve"> </v>
      </c>
      <c r="J11954" s="149" t="s">
        <v>534</v>
      </c>
      <c r="K11954" s="218"/>
      <c r="L11954" s="218">
        <v>1257.1099999999999</v>
      </c>
    </row>
    <row r="11955" spans="1:17" x14ac:dyDescent="0.2">
      <c r="A11955" s="163">
        <v>2024</v>
      </c>
      <c r="B11955" s="163">
        <v>9</v>
      </c>
      <c r="C11955" s="163">
        <v>23</v>
      </c>
      <c r="D11955" s="144">
        <f t="shared" si="1742"/>
        <v>45558</v>
      </c>
      <c r="E11955" s="313">
        <f t="shared" si="1743"/>
        <v>45558</v>
      </c>
      <c r="F11955" s="480"/>
      <c r="G11955" s="221" t="s">
        <v>74</v>
      </c>
      <c r="H11955" s="221" t="str" cm="1">
        <f t="array" ref="H11955">IFERROR(INDEX(INVESTOR_LIST[INVESTOR NAME],MATCH(I11955,INVESTOR_LIST[INVESTOR CODE],0),)," ")</f>
        <v xml:space="preserve"> </v>
      </c>
      <c r="I11955" s="145" t="s">
        <v>348</v>
      </c>
      <c r="J11955" s="146" t="s">
        <v>52</v>
      </c>
      <c r="K11955" s="219"/>
      <c r="L11955" s="219">
        <v>11313.94</v>
      </c>
    </row>
    <row r="11956" spans="1:17" x14ac:dyDescent="0.2">
      <c r="A11956" s="168">
        <v>2024</v>
      </c>
      <c r="B11956" s="168">
        <v>9</v>
      </c>
      <c r="C11956" s="168">
        <v>23</v>
      </c>
      <c r="D11956" s="141">
        <f t="shared" si="1742"/>
        <v>45558</v>
      </c>
      <c r="E11956" s="275">
        <f t="shared" si="1743"/>
        <v>45558</v>
      </c>
      <c r="F11956" s="479" t="s">
        <v>1985</v>
      </c>
      <c r="G11956" s="220" t="s">
        <v>74</v>
      </c>
      <c r="H11956" s="220" t="str" cm="1">
        <f t="array" ref="H11956">IFERROR(INDEX(INVESTOR_LIST[INVESTOR NAME],MATCH(I11956,INVESTOR_LIST[INVESTOR CODE],0),)," ")</f>
        <v xml:space="preserve"> </v>
      </c>
      <c r="I11956" s="142" t="s">
        <v>348</v>
      </c>
      <c r="J11956" s="143" t="s">
        <v>322</v>
      </c>
      <c r="K11956" s="226">
        <v>42386.62</v>
      </c>
      <c r="L11956" s="226"/>
    </row>
    <row r="11957" spans="1:17" x14ac:dyDescent="0.2">
      <c r="A11957" s="133">
        <v>2024</v>
      </c>
      <c r="B11957" s="133">
        <v>9</v>
      </c>
      <c r="C11957" s="133">
        <v>23</v>
      </c>
      <c r="D11957" s="141">
        <f t="shared" si="1742"/>
        <v>45558</v>
      </c>
      <c r="E11957" s="275">
        <f t="shared" si="1743"/>
        <v>45558</v>
      </c>
      <c r="F11957" s="481"/>
      <c r="G11957" s="174" t="s">
        <v>74</v>
      </c>
      <c r="H11957" s="174" t="str" cm="1">
        <f t="array" ref="H11957">IFERROR(INDEX(INVESTOR_LIST[INVESTOR NAME],MATCH(I11957,INVESTOR_LIST[INVESTOR CODE],0),)," ")</f>
        <v xml:space="preserve"> </v>
      </c>
      <c r="J11957" s="149" t="s">
        <v>534</v>
      </c>
      <c r="K11957" s="218"/>
      <c r="L11957" s="218">
        <v>3685.79</v>
      </c>
    </row>
    <row r="11958" spans="1:17" x14ac:dyDescent="0.2">
      <c r="A11958" s="163">
        <v>2024</v>
      </c>
      <c r="B11958" s="163">
        <v>9</v>
      </c>
      <c r="C11958" s="163">
        <v>23</v>
      </c>
      <c r="D11958" s="280">
        <f t="shared" si="1742"/>
        <v>45558</v>
      </c>
      <c r="E11958" s="281">
        <f t="shared" si="1743"/>
        <v>45558</v>
      </c>
      <c r="F11958" s="480"/>
      <c r="G11958" s="221" t="s">
        <v>74</v>
      </c>
      <c r="H11958" s="221" t="str" cm="1">
        <f t="array" ref="H11958">IFERROR(INDEX(INVESTOR_LIST[INVESTOR NAME],MATCH(I11958,INVESTOR_LIST[INVESTOR CODE],0),)," ")</f>
        <v xml:space="preserve"> </v>
      </c>
      <c r="I11958" s="145" t="s">
        <v>348</v>
      </c>
      <c r="J11958" s="146" t="s">
        <v>52</v>
      </c>
      <c r="K11958" s="219"/>
      <c r="L11958" s="219">
        <v>38700.83</v>
      </c>
    </row>
    <row r="11959" spans="1:17" x14ac:dyDescent="0.2">
      <c r="A11959" s="133">
        <v>2024</v>
      </c>
      <c r="B11959" s="133">
        <v>9</v>
      </c>
      <c r="C11959" s="133">
        <v>23</v>
      </c>
      <c r="D11959" s="141">
        <f t="shared" si="1742"/>
        <v>45558</v>
      </c>
      <c r="E11959" s="275">
        <f t="shared" si="1743"/>
        <v>45558</v>
      </c>
      <c r="F11959" s="481" t="s">
        <v>1984</v>
      </c>
      <c r="G11959" s="174" t="s">
        <v>94</v>
      </c>
      <c r="H11959" s="174" t="str" cm="1">
        <f t="array" ref="H11959">IFERROR(INDEX(INVESTOR_LIST[INVESTOR NAME],MATCH(I11959,INVESTOR_LIST[INVESTOR CODE],0),)," ")</f>
        <v xml:space="preserve"> </v>
      </c>
      <c r="I11959" s="148" t="s">
        <v>348</v>
      </c>
      <c r="J11959" s="149" t="s">
        <v>52</v>
      </c>
      <c r="K11959" s="218">
        <v>351800</v>
      </c>
      <c r="L11959" s="218"/>
    </row>
    <row r="11960" spans="1:17" x14ac:dyDescent="0.2">
      <c r="A11960" s="163">
        <v>2024</v>
      </c>
      <c r="B11960" s="163">
        <v>9</v>
      </c>
      <c r="C11960" s="163">
        <v>23</v>
      </c>
      <c r="D11960" s="141">
        <f t="shared" si="1742"/>
        <v>45558</v>
      </c>
      <c r="E11960" s="275">
        <f t="shared" si="1743"/>
        <v>45558</v>
      </c>
      <c r="F11960" s="480"/>
      <c r="G11960" s="221" t="s">
        <v>94</v>
      </c>
      <c r="H11960" s="221" t="str" cm="1">
        <f t="array" ref="H11960">IFERROR(INDEX(INVESTOR_LIST[INVESTOR NAME],MATCH(I11960,INVESTOR_LIST[INVESTOR CODE],0),)," ")</f>
        <v xml:space="preserve"> </v>
      </c>
      <c r="I11960" s="145" t="s">
        <v>348</v>
      </c>
      <c r="J11960" s="146" t="s">
        <v>168</v>
      </c>
      <c r="K11960" s="219"/>
      <c r="L11960" s="219">
        <v>351800</v>
      </c>
    </row>
    <row r="11961" spans="1:17" x14ac:dyDescent="0.2">
      <c r="A11961" s="133">
        <v>2024</v>
      </c>
      <c r="B11961" s="168">
        <v>9</v>
      </c>
      <c r="C11961" s="168">
        <v>23</v>
      </c>
      <c r="D11961" s="141">
        <f t="shared" si="1742"/>
        <v>45558</v>
      </c>
      <c r="E11961" s="275">
        <f t="shared" si="1743"/>
        <v>45558</v>
      </c>
      <c r="F11961" s="479" t="s">
        <v>275</v>
      </c>
      <c r="G11961" s="174" t="s">
        <v>74</v>
      </c>
      <c r="H11961" s="174" t="str" cm="1">
        <f t="array" ref="H11961">IFERROR(INDEX(INVESTOR_LIST[INVESTOR NAME],MATCH(I11961,INVESTOR_LIST[INVESTOR CODE],0),)," ")</f>
        <v xml:space="preserve"> </v>
      </c>
      <c r="I11961" s="148" t="s">
        <v>348</v>
      </c>
      <c r="J11961" s="149" t="s">
        <v>163</v>
      </c>
      <c r="K11961" s="218">
        <v>1575</v>
      </c>
      <c r="L11961" s="218"/>
      <c r="M11961" s="147"/>
      <c r="Q11961" s="133" t="s">
        <v>348</v>
      </c>
    </row>
    <row r="11962" spans="1:17" x14ac:dyDescent="0.2">
      <c r="A11962" s="133">
        <v>2024</v>
      </c>
      <c r="B11962" s="133">
        <v>9</v>
      </c>
      <c r="C11962" s="133">
        <v>23</v>
      </c>
      <c r="D11962" s="141">
        <f t="shared" si="1742"/>
        <v>45558</v>
      </c>
      <c r="E11962" s="275">
        <f t="shared" si="1743"/>
        <v>45558</v>
      </c>
      <c r="F11962" s="481"/>
      <c r="G11962" s="174" t="s">
        <v>74</v>
      </c>
      <c r="H11962" s="174" t="str" cm="1">
        <f t="array" ref="H11962">IFERROR(INDEX(INVESTOR_LIST[INVESTOR NAME],MATCH(I11962,INVESTOR_LIST[INVESTOR CODE],0),)," ")</f>
        <v xml:space="preserve"> </v>
      </c>
      <c r="J11962" s="149" t="s">
        <v>1907</v>
      </c>
      <c r="K11962" s="218"/>
      <c r="L11962" s="218">
        <v>150</v>
      </c>
      <c r="M11962" s="147"/>
    </row>
    <row r="11963" spans="1:17" x14ac:dyDescent="0.2">
      <c r="A11963" s="163">
        <v>2024</v>
      </c>
      <c r="B11963" s="163">
        <v>9</v>
      </c>
      <c r="C11963" s="163">
        <v>23</v>
      </c>
      <c r="D11963" s="280">
        <f t="shared" si="1742"/>
        <v>45558</v>
      </c>
      <c r="E11963" s="281">
        <f t="shared" si="1743"/>
        <v>45558</v>
      </c>
      <c r="F11963" s="480"/>
      <c r="G11963" s="221" t="s">
        <v>74</v>
      </c>
      <c r="H11963" s="221" t="str" cm="1">
        <f t="array" ref="H11963">IFERROR(INDEX(INVESTOR_LIST[INVESTOR NAME],MATCH(I11963,INVESTOR_LIST[INVESTOR CODE],0),)," ")</f>
        <v xml:space="preserve"> </v>
      </c>
      <c r="I11963" s="145"/>
      <c r="J11963" s="146" t="s">
        <v>52</v>
      </c>
      <c r="K11963" s="219"/>
      <c r="L11963" s="219">
        <v>1425</v>
      </c>
      <c r="M11963" s="147"/>
      <c r="Q11963" s="133" t="s">
        <v>348</v>
      </c>
    </row>
    <row r="11964" spans="1:17" ht="33.75" x14ac:dyDescent="0.2">
      <c r="A11964" s="168">
        <v>2024</v>
      </c>
      <c r="B11964" s="168">
        <v>9</v>
      </c>
      <c r="C11964" s="168">
        <v>23</v>
      </c>
      <c r="D11964" s="141">
        <f t="shared" ref="D11964:D11994" si="1746">DATE(A11964,B11964,C11964)</f>
        <v>45558</v>
      </c>
      <c r="E11964" s="275">
        <f t="shared" ref="E11964:E11994" si="1747">DATE(A11964,B11964,C11964)</f>
        <v>45558</v>
      </c>
      <c r="F11964" s="479" t="s">
        <v>1315</v>
      </c>
      <c r="G11964" s="220" t="s">
        <v>74</v>
      </c>
      <c r="H11964" s="142" t="str" cm="1">
        <f t="array" ref="H11964">IFERROR(INDEX(INVESTOR_LIST[INVESTOR NAME],MATCH(I11964,INVESTOR_LIST[INVESTOR CODE],0),)," ")</f>
        <v>FAKARUDDIN ALI AHMED</v>
      </c>
      <c r="I11964" s="142" t="s">
        <v>458</v>
      </c>
      <c r="J11964" s="168" t="s">
        <v>13</v>
      </c>
      <c r="K11964" s="226">
        <v>152890</v>
      </c>
      <c r="L11964" s="226"/>
    </row>
    <row r="11965" spans="1:17" ht="33.75" x14ac:dyDescent="0.2">
      <c r="A11965" s="133">
        <v>2024</v>
      </c>
      <c r="B11965" s="133">
        <v>9</v>
      </c>
      <c r="C11965" s="133">
        <v>23</v>
      </c>
      <c r="D11965" s="141">
        <f t="shared" si="1746"/>
        <v>45558</v>
      </c>
      <c r="E11965" s="275">
        <f t="shared" si="1747"/>
        <v>45558</v>
      </c>
      <c r="F11965" s="481"/>
      <c r="G11965" s="174" t="s">
        <v>74</v>
      </c>
      <c r="H11965" s="148" t="str" cm="1">
        <f t="array" ref="H11965">IFERROR(INDEX(INVESTOR_LIST[INVESTOR NAME],MATCH(I11965,INVESTOR_LIST[INVESTOR CODE],0),)," ")</f>
        <v>FAKARUDDIN ALI AHMED</v>
      </c>
      <c r="I11965" s="148" t="s">
        <v>458</v>
      </c>
      <c r="J11965" s="133" t="s">
        <v>53</v>
      </c>
      <c r="K11965" s="218">
        <v>47110</v>
      </c>
      <c r="L11965" s="218"/>
    </row>
    <row r="11966" spans="1:17" ht="33.75" x14ac:dyDescent="0.2">
      <c r="A11966" s="163">
        <v>2024</v>
      </c>
      <c r="B11966" s="163">
        <v>9</v>
      </c>
      <c r="C11966" s="163">
        <v>23</v>
      </c>
      <c r="D11966" s="280">
        <f t="shared" si="1746"/>
        <v>45558</v>
      </c>
      <c r="E11966" s="281">
        <f t="shared" si="1747"/>
        <v>45558</v>
      </c>
      <c r="F11966" s="480"/>
      <c r="G11966" s="221" t="s">
        <v>74</v>
      </c>
      <c r="H11966" s="145" t="str" cm="1">
        <f t="array" ref="H11966">IFERROR(INDEX(INVESTOR_LIST[INVESTOR NAME],MATCH(I11966,INVESTOR_LIST[INVESTOR CODE],0),)," ")</f>
        <v>FAKARUDDIN ALI AHMED</v>
      </c>
      <c r="I11966" s="145" t="s">
        <v>458</v>
      </c>
      <c r="J11966" s="163" t="s">
        <v>52</v>
      </c>
      <c r="K11966" s="219"/>
      <c r="L11966" s="219">
        <v>200000</v>
      </c>
    </row>
    <row r="11967" spans="1:17" x14ac:dyDescent="0.2">
      <c r="A11967" s="133">
        <v>2024</v>
      </c>
      <c r="B11967" s="168">
        <v>9</v>
      </c>
      <c r="C11967" s="168">
        <v>25</v>
      </c>
      <c r="D11967" s="141">
        <f t="shared" si="1746"/>
        <v>45560</v>
      </c>
      <c r="E11967" s="275">
        <f t="shared" si="1747"/>
        <v>45560</v>
      </c>
      <c r="F11967" s="481" t="s">
        <v>982</v>
      </c>
      <c r="G11967" s="174" t="s">
        <v>74</v>
      </c>
      <c r="H11967" s="174" t="str" cm="1">
        <f t="array" ref="H11967">IFERROR(INDEX(INVESTOR_LIST[INVESTOR NAME],MATCH(I11967,INVESTOR_LIST[INVESTOR CODE],0),)," ")</f>
        <v xml:space="preserve"> </v>
      </c>
      <c r="I11967" s="148" t="s">
        <v>348</v>
      </c>
      <c r="J11967" s="149" t="s">
        <v>163</v>
      </c>
      <c r="K11967" s="218">
        <v>5750</v>
      </c>
      <c r="L11967" s="218"/>
    </row>
    <row r="11968" spans="1:17" x14ac:dyDescent="0.2">
      <c r="A11968" s="133">
        <v>2024</v>
      </c>
      <c r="B11968" s="133">
        <v>9</v>
      </c>
      <c r="C11968" s="133">
        <v>25</v>
      </c>
      <c r="D11968" s="141">
        <f t="shared" si="1746"/>
        <v>45560</v>
      </c>
      <c r="E11968" s="275">
        <f t="shared" si="1747"/>
        <v>45560</v>
      </c>
      <c r="F11968" s="481"/>
      <c r="G11968" s="174" t="s">
        <v>201</v>
      </c>
      <c r="H11968" s="174" t="str" cm="1">
        <f t="array" ref="H11968">IFERROR(INDEX(INVESTOR_LIST[INVESTOR NAME],MATCH(I11968,INVESTOR_LIST[INVESTOR CODE],0),)," ")</f>
        <v xml:space="preserve"> </v>
      </c>
      <c r="J11968" s="149" t="s">
        <v>1906</v>
      </c>
      <c r="K11968" s="218"/>
      <c r="L11968" s="218">
        <v>250</v>
      </c>
    </row>
    <row r="11969" spans="1:12" x14ac:dyDescent="0.2">
      <c r="A11969" s="163">
        <v>2024</v>
      </c>
      <c r="B11969" s="163">
        <v>9</v>
      </c>
      <c r="C11969" s="163">
        <v>25</v>
      </c>
      <c r="D11969" s="280">
        <f t="shared" si="1746"/>
        <v>45560</v>
      </c>
      <c r="E11969" s="281">
        <f t="shared" si="1747"/>
        <v>45560</v>
      </c>
      <c r="F11969" s="480"/>
      <c r="G11969" s="221" t="s">
        <v>74</v>
      </c>
      <c r="H11969" s="221" t="str" cm="1">
        <f t="array" ref="H11969">IFERROR(INDEX(INVESTOR_LIST[INVESTOR NAME],MATCH(I11969,INVESTOR_LIST[INVESTOR CODE],0),)," ")</f>
        <v xml:space="preserve"> </v>
      </c>
      <c r="I11969" s="145" t="s">
        <v>348</v>
      </c>
      <c r="J11969" s="146" t="s">
        <v>52</v>
      </c>
      <c r="K11969" s="219"/>
      <c r="L11969" s="219">
        <v>5500</v>
      </c>
    </row>
    <row r="11970" spans="1:12" x14ac:dyDescent="0.2">
      <c r="A11970" s="133">
        <v>2024</v>
      </c>
      <c r="B11970" s="133">
        <v>9</v>
      </c>
      <c r="C11970" s="133">
        <v>25</v>
      </c>
      <c r="D11970" s="141">
        <f t="shared" si="1746"/>
        <v>45560</v>
      </c>
      <c r="E11970" s="275">
        <f t="shared" si="1747"/>
        <v>45560</v>
      </c>
      <c r="F11970" s="481" t="s">
        <v>1986</v>
      </c>
      <c r="G11970" s="174" t="s">
        <v>94</v>
      </c>
      <c r="H11970" s="174" t="str" cm="1">
        <f t="array" ref="H11970">IFERROR(INDEX(INVESTOR_LIST[INVESTOR NAME],MATCH(I11970,INVESTOR_LIST[INVESTOR CODE],0),)," ")</f>
        <v xml:space="preserve"> </v>
      </c>
      <c r="J11970" s="149" t="s">
        <v>190</v>
      </c>
      <c r="K11970" s="218">
        <v>1392489</v>
      </c>
      <c r="L11970" s="133"/>
    </row>
    <row r="11971" spans="1:12" x14ac:dyDescent="0.2">
      <c r="A11971" s="133">
        <v>2024</v>
      </c>
      <c r="B11971" s="133">
        <v>9</v>
      </c>
      <c r="C11971" s="133">
        <v>25</v>
      </c>
      <c r="D11971" s="141">
        <f t="shared" si="1746"/>
        <v>45560</v>
      </c>
      <c r="E11971" s="275">
        <f t="shared" si="1747"/>
        <v>45560</v>
      </c>
      <c r="F11971" s="481"/>
      <c r="G11971" s="174" t="s">
        <v>94</v>
      </c>
      <c r="H11971" s="174" t="str" cm="1">
        <f t="array" ref="H11971">IFERROR(INDEX(INVESTOR_LIST[INVESTOR NAME],MATCH(I11971,INVESTOR_LIST[INVESTOR CODE],0),)," ")</f>
        <v xml:space="preserve"> </v>
      </c>
      <c r="J11971" s="149" t="s">
        <v>80</v>
      </c>
      <c r="K11971" s="218">
        <v>2511</v>
      </c>
      <c r="L11971" s="218"/>
    </row>
    <row r="11972" spans="1:12" x14ac:dyDescent="0.2">
      <c r="A11972" s="133">
        <v>2024</v>
      </c>
      <c r="B11972" s="133">
        <v>9</v>
      </c>
      <c r="C11972" s="133">
        <v>25</v>
      </c>
      <c r="D11972" s="141">
        <f t="shared" si="1746"/>
        <v>45560</v>
      </c>
      <c r="E11972" s="275">
        <f t="shared" si="1747"/>
        <v>45560</v>
      </c>
      <c r="F11972" s="481"/>
      <c r="G11972" s="174" t="s">
        <v>94</v>
      </c>
      <c r="H11972" s="174" t="str" cm="1">
        <f t="array" ref="H11972">IFERROR(INDEX(INVESTOR_LIST[INVESTOR NAME],MATCH(I11972,INVESTOR_LIST[INVESTOR CODE],0),)," ")</f>
        <v xml:space="preserve"> </v>
      </c>
      <c r="J11972" s="149" t="s">
        <v>191</v>
      </c>
      <c r="K11972" s="218">
        <v>113710.02</v>
      </c>
      <c r="L11972" s="218"/>
    </row>
    <row r="11973" spans="1:12" x14ac:dyDescent="0.2">
      <c r="A11973" s="163">
        <v>2024</v>
      </c>
      <c r="B11973" s="163">
        <v>9</v>
      </c>
      <c r="C11973" s="163">
        <v>25</v>
      </c>
      <c r="D11973" s="280">
        <f t="shared" si="1746"/>
        <v>45560</v>
      </c>
      <c r="E11973" s="281">
        <f t="shared" si="1747"/>
        <v>45560</v>
      </c>
      <c r="F11973" s="480"/>
      <c r="G11973" s="221" t="s">
        <v>94</v>
      </c>
      <c r="H11973" s="145" t="str" cm="1">
        <f t="array" ref="H11973">IFERROR(INDEX(INVESTOR_LIST[INVESTOR NAME],MATCH(I11973,INVESTOR_LIST[INVESTOR CODE],0),)," ")</f>
        <v xml:space="preserve"> </v>
      </c>
      <c r="I11973" s="145"/>
      <c r="J11973" s="163" t="s">
        <v>79</v>
      </c>
      <c r="K11973" s="219"/>
      <c r="L11973" s="219">
        <v>1508710.02</v>
      </c>
    </row>
    <row r="11974" spans="1:12" x14ac:dyDescent="0.2">
      <c r="A11974" s="168">
        <v>2024</v>
      </c>
      <c r="B11974" s="168">
        <v>9</v>
      </c>
      <c r="C11974" s="133">
        <v>26</v>
      </c>
      <c r="D11974" s="141">
        <f t="shared" si="1746"/>
        <v>45561</v>
      </c>
      <c r="E11974" s="275">
        <f t="shared" si="1747"/>
        <v>45561</v>
      </c>
      <c r="F11974" s="479" t="s">
        <v>1319</v>
      </c>
      <c r="G11974" s="220" t="s">
        <v>74</v>
      </c>
      <c r="H11974" s="142" t="str" cm="1">
        <f t="array" ref="H11974">IFERROR(INDEX(INVESTOR_LIST[INVESTOR NAME],MATCH(I11974,INVESTOR_LIST[INVESTOR CODE],0),)," ")</f>
        <v xml:space="preserve"> </v>
      </c>
      <c r="I11974" s="142"/>
      <c r="J11974" s="168" t="s">
        <v>52</v>
      </c>
      <c r="K11974" s="226">
        <v>101000</v>
      </c>
      <c r="L11974" s="226"/>
    </row>
    <row r="11975" spans="1:12" x14ac:dyDescent="0.2">
      <c r="A11975" s="133">
        <v>2024</v>
      </c>
      <c r="B11975" s="133">
        <v>9</v>
      </c>
      <c r="C11975" s="133">
        <v>26</v>
      </c>
      <c r="D11975" s="141">
        <f t="shared" si="1746"/>
        <v>45561</v>
      </c>
      <c r="E11975" s="275">
        <f t="shared" si="1747"/>
        <v>45561</v>
      </c>
      <c r="F11975" s="481"/>
      <c r="G11975" s="174" t="s">
        <v>74</v>
      </c>
      <c r="H11975" s="148" t="str" cm="1">
        <f t="array" ref="H11975">IFERROR(INDEX(INVESTOR_LIST[INVESTOR NAME],MATCH(I11975,INVESTOR_LIST[INVESTOR CODE],0),)," ")</f>
        <v xml:space="preserve"> </v>
      </c>
      <c r="J11975" s="133" t="s">
        <v>13</v>
      </c>
      <c r="K11975" s="218"/>
      <c r="L11975" s="218">
        <v>77200</v>
      </c>
    </row>
    <row r="11976" spans="1:12" x14ac:dyDescent="0.2">
      <c r="A11976" s="163">
        <v>2024</v>
      </c>
      <c r="B11976" s="163">
        <v>9</v>
      </c>
      <c r="C11976" s="163">
        <v>26</v>
      </c>
      <c r="D11976" s="280">
        <f t="shared" si="1746"/>
        <v>45561</v>
      </c>
      <c r="E11976" s="281">
        <f t="shared" si="1747"/>
        <v>45561</v>
      </c>
      <c r="F11976" s="480"/>
      <c r="G11976" s="221" t="s">
        <v>74</v>
      </c>
      <c r="H11976" s="145" t="str" cm="1">
        <f t="array" ref="H11976">IFERROR(INDEX(INVESTOR_LIST[INVESTOR NAME],MATCH(I11976,INVESTOR_LIST[INVESTOR CODE],0),)," ")</f>
        <v xml:space="preserve"> </v>
      </c>
      <c r="I11976" s="145"/>
      <c r="J11976" s="163" t="s">
        <v>53</v>
      </c>
      <c r="K11976" s="219"/>
      <c r="L11976" s="219">
        <v>23800</v>
      </c>
    </row>
    <row r="11977" spans="1:12" x14ac:dyDescent="0.2">
      <c r="A11977" s="325">
        <v>2024</v>
      </c>
      <c r="B11977" s="325">
        <v>9</v>
      </c>
      <c r="C11977" s="325">
        <v>26</v>
      </c>
      <c r="D11977" s="326">
        <f t="shared" si="1746"/>
        <v>45561</v>
      </c>
      <c r="E11977" s="327">
        <f t="shared" si="1747"/>
        <v>45561</v>
      </c>
      <c r="F11977" s="473" t="s">
        <v>1940</v>
      </c>
      <c r="G11977" s="340" t="s">
        <v>94</v>
      </c>
      <c r="H11977" s="340" t="str" cm="1">
        <f t="array" ref="H11977">IFERROR(INDEX(INVESTOR_LIST[INVESTOR NAME],MATCH(I11977,INVESTOR_LIST[INVESTOR CODE],0),)," ")</f>
        <v xml:space="preserve"> </v>
      </c>
      <c r="I11977" s="341" t="s">
        <v>348</v>
      </c>
      <c r="J11977" s="374" t="s">
        <v>133</v>
      </c>
      <c r="K11977" s="375">
        <v>12905.555555555549</v>
      </c>
      <c r="L11977" s="375"/>
    </row>
    <row r="11978" spans="1:12" x14ac:dyDescent="0.2">
      <c r="A11978" s="331">
        <v>2024</v>
      </c>
      <c r="B11978" s="331">
        <v>9</v>
      </c>
      <c r="C11978" s="331">
        <v>26</v>
      </c>
      <c r="D11978" s="326">
        <f t="shared" si="1746"/>
        <v>45561</v>
      </c>
      <c r="E11978" s="327">
        <f t="shared" si="1747"/>
        <v>45561</v>
      </c>
      <c r="F11978" s="474"/>
      <c r="G11978" s="332" t="s">
        <v>94</v>
      </c>
      <c r="H11978" s="332" t="str" cm="1">
        <f t="array" ref="H11978">IFERROR(INDEX(INVESTOR_LIST[INVESTOR NAME],MATCH(I11978,INVESTOR_LIST[INVESTOR CODE],0),)," ")</f>
        <v xml:space="preserve"> </v>
      </c>
      <c r="I11978" s="333" t="s">
        <v>348</v>
      </c>
      <c r="J11978" s="376" t="s">
        <v>60</v>
      </c>
      <c r="K11978" s="334"/>
      <c r="L11978" s="334">
        <f>K11977</f>
        <v>12905.555555555549</v>
      </c>
    </row>
    <row r="11979" spans="1:12" x14ac:dyDescent="0.2">
      <c r="A11979" s="384">
        <v>2024</v>
      </c>
      <c r="B11979" s="384">
        <v>9</v>
      </c>
      <c r="C11979" s="384">
        <v>26</v>
      </c>
      <c r="D11979" s="385">
        <f t="shared" si="1746"/>
        <v>45561</v>
      </c>
      <c r="E11979" s="386">
        <f t="shared" si="1747"/>
        <v>45561</v>
      </c>
      <c r="F11979" s="475" t="s">
        <v>1966</v>
      </c>
      <c r="G11979" s="387" t="s">
        <v>94</v>
      </c>
      <c r="H11979" s="387" t="str" cm="1">
        <f t="array" ref="H11979">IFERROR(INDEX(INVESTOR_LIST[INVESTOR NAME],MATCH(I11979,INVESTOR_LIST[INVESTOR CODE],0),)," ")</f>
        <v xml:space="preserve"> </v>
      </c>
      <c r="I11979" s="388" t="s">
        <v>348</v>
      </c>
      <c r="J11979" s="389" t="s">
        <v>67</v>
      </c>
      <c r="K11979" s="390">
        <v>854.68</v>
      </c>
      <c r="L11979" s="390"/>
    </row>
    <row r="11980" spans="1:12" x14ac:dyDescent="0.2">
      <c r="A11980" s="391">
        <v>2024</v>
      </c>
      <c r="B11980" s="391">
        <v>9</v>
      </c>
      <c r="C11980" s="391">
        <v>26</v>
      </c>
      <c r="D11980" s="385">
        <f t="shared" si="1746"/>
        <v>45561</v>
      </c>
      <c r="E11980" s="386">
        <f t="shared" si="1747"/>
        <v>45561</v>
      </c>
      <c r="F11980" s="476"/>
      <c r="G11980" s="392" t="s">
        <v>94</v>
      </c>
      <c r="H11980" s="392" t="str" cm="1">
        <f t="array" ref="H11980">IFERROR(INDEX(INVESTOR_LIST[INVESTOR NAME],MATCH(I11980,INVESTOR_LIST[INVESTOR CODE],0),)," ")</f>
        <v xml:space="preserve"> </v>
      </c>
      <c r="I11980" s="393" t="s">
        <v>348</v>
      </c>
      <c r="J11980" s="394" t="s">
        <v>60</v>
      </c>
      <c r="K11980" s="395"/>
      <c r="L11980" s="395">
        <f>K11979</f>
        <v>854.68</v>
      </c>
    </row>
    <row r="11981" spans="1:12" x14ac:dyDescent="0.2">
      <c r="A11981" s="343">
        <v>2024</v>
      </c>
      <c r="B11981" s="343">
        <v>9</v>
      </c>
      <c r="C11981" s="343">
        <v>26</v>
      </c>
      <c r="D11981" s="344">
        <f t="shared" si="1746"/>
        <v>45561</v>
      </c>
      <c r="E11981" s="345">
        <f t="shared" si="1747"/>
        <v>45561</v>
      </c>
      <c r="F11981" s="483" t="s">
        <v>1813</v>
      </c>
      <c r="G11981" s="350" t="s">
        <v>94</v>
      </c>
      <c r="H11981" s="350" t="str" cm="1">
        <f t="array" ref="H11981">IFERROR(INDEX(INVESTOR_LIST[INVESTOR NAME],MATCH(I11981,INVESTOR_LIST[INVESTOR CODE],0),)," ")</f>
        <v xml:space="preserve"> </v>
      </c>
      <c r="I11981" s="352" t="s">
        <v>348</v>
      </c>
      <c r="J11981" s="353" t="s">
        <v>1798</v>
      </c>
      <c r="K11981" s="354">
        <v>26258</v>
      </c>
      <c r="L11981" s="354"/>
    </row>
    <row r="11982" spans="1:12" x14ac:dyDescent="0.2">
      <c r="A11982" s="346">
        <v>2024</v>
      </c>
      <c r="B11982" s="346">
        <v>9</v>
      </c>
      <c r="C11982" s="346">
        <v>26</v>
      </c>
      <c r="D11982" s="344">
        <f t="shared" si="1746"/>
        <v>45561</v>
      </c>
      <c r="E11982" s="345">
        <f t="shared" si="1747"/>
        <v>45561</v>
      </c>
      <c r="F11982" s="484"/>
      <c r="G11982" s="347" t="s">
        <v>94</v>
      </c>
      <c r="H11982" s="347" t="str" cm="1">
        <f t="array" ref="H11982">IFERROR(INDEX(INVESTOR_LIST[INVESTOR NAME],MATCH(I11982,INVESTOR_LIST[INVESTOR CODE],0),)," ")</f>
        <v xml:space="preserve"> </v>
      </c>
      <c r="I11982" s="348" t="s">
        <v>348</v>
      </c>
      <c r="J11982" s="355" t="s">
        <v>1807</v>
      </c>
      <c r="K11982" s="349"/>
      <c r="L11982" s="349">
        <f>K11981</f>
        <v>26258</v>
      </c>
    </row>
    <row r="11983" spans="1:12" x14ac:dyDescent="0.2">
      <c r="A11983" s="343">
        <v>2024</v>
      </c>
      <c r="B11983" s="343">
        <v>9</v>
      </c>
      <c r="C11983" s="343">
        <v>26</v>
      </c>
      <c r="D11983" s="344">
        <f t="shared" si="1746"/>
        <v>45561</v>
      </c>
      <c r="E11983" s="345">
        <f t="shared" si="1747"/>
        <v>45561</v>
      </c>
      <c r="F11983" s="483" t="s">
        <v>1913</v>
      </c>
      <c r="G11983" s="350" t="s">
        <v>94</v>
      </c>
      <c r="H11983" s="350" t="str" cm="1">
        <f t="array" ref="H11983">IFERROR(INDEX(INVESTOR_LIST[INVESTOR NAME],MATCH(I11983,INVESTOR_LIST[INVESTOR CODE],0),)," ")</f>
        <v xml:space="preserve"> </v>
      </c>
      <c r="I11983" s="352" t="s">
        <v>348</v>
      </c>
      <c r="J11983" s="353" t="s">
        <v>1799</v>
      </c>
      <c r="K11983" s="354">
        <v>91700.264999993145</v>
      </c>
      <c r="L11983" s="354"/>
    </row>
    <row r="11984" spans="1:12" x14ac:dyDescent="0.2">
      <c r="A11984" s="346">
        <v>2024</v>
      </c>
      <c r="B11984" s="346">
        <v>9</v>
      </c>
      <c r="C11984" s="346">
        <v>26</v>
      </c>
      <c r="D11984" s="344">
        <f t="shared" si="1746"/>
        <v>45561</v>
      </c>
      <c r="E11984" s="345">
        <f t="shared" si="1747"/>
        <v>45561</v>
      </c>
      <c r="F11984" s="484"/>
      <c r="G11984" s="347" t="s">
        <v>94</v>
      </c>
      <c r="H11984" s="347" t="str" cm="1">
        <f t="array" ref="H11984">IFERROR(INDEX(INVESTOR_LIST[INVESTOR NAME],MATCH(I11984,INVESTOR_LIST[INVESTOR CODE],0),)," ")</f>
        <v xml:space="preserve"> </v>
      </c>
      <c r="I11984" s="348" t="s">
        <v>348</v>
      </c>
      <c r="J11984" s="355" t="s">
        <v>1808</v>
      </c>
      <c r="K11984" s="349"/>
      <c r="L11984" s="349">
        <f>K11983</f>
        <v>91700.264999993145</v>
      </c>
    </row>
    <row r="11985" spans="1:17" ht="11.25" customHeight="1" x14ac:dyDescent="0.2">
      <c r="A11985" s="238">
        <v>2024</v>
      </c>
      <c r="B11985" s="238">
        <v>9</v>
      </c>
      <c r="C11985" s="238">
        <v>26</v>
      </c>
      <c r="D11985" s="270">
        <f t="shared" si="1746"/>
        <v>45561</v>
      </c>
      <c r="E11985" s="279">
        <f t="shared" si="1747"/>
        <v>45561</v>
      </c>
      <c r="F11985" s="477" t="s">
        <v>347</v>
      </c>
      <c r="G11985" s="239" t="s">
        <v>94</v>
      </c>
      <c r="H11985" s="239" t="str" cm="1">
        <f t="array" ref="H11985">IFERROR(INDEX(INVESTOR_LIST[INVESTOR NAME],MATCH(I11985,INVESTOR_LIST[INVESTOR CODE],0),)," ")</f>
        <v xml:space="preserve"> </v>
      </c>
      <c r="I11985" s="262" t="s">
        <v>348</v>
      </c>
      <c r="J11985" s="240" t="s">
        <v>108</v>
      </c>
      <c r="K11985" s="241">
        <v>98288.259999975562</v>
      </c>
      <c r="L11985" s="241"/>
    </row>
    <row r="11986" spans="1:17" x14ac:dyDescent="0.2">
      <c r="A11986" s="242">
        <v>2024</v>
      </c>
      <c r="B11986" s="242">
        <v>9</v>
      </c>
      <c r="C11986" s="242">
        <v>26</v>
      </c>
      <c r="D11986" s="270">
        <f t="shared" si="1746"/>
        <v>45561</v>
      </c>
      <c r="E11986" s="279">
        <f t="shared" si="1747"/>
        <v>45561</v>
      </c>
      <c r="F11986" s="478"/>
      <c r="G11986" s="243" t="s">
        <v>94</v>
      </c>
      <c r="H11986" s="243" t="str" cm="1">
        <f t="array" ref="H11986">IFERROR(INDEX(INVESTOR_LIST[INVESTOR NAME],MATCH(I11986,INVESTOR_LIST[INVESTOR CODE],0),)," ")</f>
        <v xml:space="preserve"> </v>
      </c>
      <c r="I11986" s="263" t="s">
        <v>348</v>
      </c>
      <c r="J11986" s="244" t="s">
        <v>82</v>
      </c>
      <c r="K11986" s="245"/>
      <c r="L11986" s="245">
        <f>K11985</f>
        <v>98288.259999975562</v>
      </c>
    </row>
    <row r="11987" spans="1:17" ht="11.25" customHeight="1" x14ac:dyDescent="0.2">
      <c r="A11987" s="246">
        <v>2024</v>
      </c>
      <c r="B11987" s="238">
        <v>9</v>
      </c>
      <c r="C11987" s="238">
        <v>26</v>
      </c>
      <c r="D11987" s="270">
        <f t="shared" si="1746"/>
        <v>45561</v>
      </c>
      <c r="E11987" s="279">
        <f t="shared" si="1747"/>
        <v>45561</v>
      </c>
      <c r="F11987" s="482" t="s">
        <v>148</v>
      </c>
      <c r="G11987" s="247" t="s">
        <v>94</v>
      </c>
      <c r="H11987" s="247" t="str" cm="1">
        <f t="array" ref="H11987">IFERROR(INDEX(INVESTOR_LIST[INVESTOR NAME],MATCH(I11987,INVESTOR_LIST[INVESTOR CODE],0),)," ")</f>
        <v xml:space="preserve"> </v>
      </c>
      <c r="I11987" s="248" t="s">
        <v>348</v>
      </c>
      <c r="J11987" s="249" t="s">
        <v>95</v>
      </c>
      <c r="K11987" s="250">
        <v>2747.2527472527472</v>
      </c>
      <c r="L11987" s="241"/>
    </row>
    <row r="11988" spans="1:17" x14ac:dyDescent="0.2">
      <c r="A11988" s="242">
        <v>2024</v>
      </c>
      <c r="B11988" s="242">
        <v>9</v>
      </c>
      <c r="C11988" s="242">
        <v>26</v>
      </c>
      <c r="D11988" s="270">
        <f t="shared" si="1746"/>
        <v>45561</v>
      </c>
      <c r="E11988" s="279">
        <f t="shared" si="1747"/>
        <v>45561</v>
      </c>
      <c r="F11988" s="478"/>
      <c r="G11988" s="243" t="s">
        <v>94</v>
      </c>
      <c r="H11988" s="243" t="str" cm="1">
        <f t="array" ref="H11988">IFERROR(INDEX(INVESTOR_LIST[INVESTOR NAME],MATCH(I11988,INVESTOR_LIST[INVESTOR CODE],0),)," ")</f>
        <v xml:space="preserve"> </v>
      </c>
      <c r="I11988" s="263" t="s">
        <v>348</v>
      </c>
      <c r="J11988" s="244" t="s">
        <v>63</v>
      </c>
      <c r="K11988" s="245"/>
      <c r="L11988" s="245">
        <v>2747.2527472527472</v>
      </c>
    </row>
    <row r="11989" spans="1:17" x14ac:dyDescent="0.2">
      <c r="A11989" s="246">
        <v>2024</v>
      </c>
      <c r="B11989" s="238">
        <v>9</v>
      </c>
      <c r="C11989" s="238">
        <v>26</v>
      </c>
      <c r="D11989" s="270">
        <f t="shared" si="1746"/>
        <v>45561</v>
      </c>
      <c r="E11989" s="279">
        <f t="shared" si="1747"/>
        <v>45561</v>
      </c>
      <c r="F11989" s="482" t="s">
        <v>137</v>
      </c>
      <c r="G11989" s="247" t="s">
        <v>94</v>
      </c>
      <c r="H11989" s="247" t="str" cm="1">
        <f t="array" ref="H11989">IFERROR(INDEX(INVESTOR_LIST[INVESTOR NAME],MATCH(I11989,INVESTOR_LIST[INVESTOR CODE],0),)," ")</f>
        <v xml:space="preserve"> </v>
      </c>
      <c r="I11989" s="248" t="s">
        <v>348</v>
      </c>
      <c r="J11989" s="249" t="s">
        <v>97</v>
      </c>
      <c r="K11989" s="250">
        <f>M11989</f>
        <v>59267.852638960387</v>
      </c>
      <c r="L11989" s="252"/>
      <c r="M11989" s="264">
        <v>59267.852638960387</v>
      </c>
    </row>
    <row r="11990" spans="1:17" x14ac:dyDescent="0.2">
      <c r="A11990" s="242">
        <v>2024</v>
      </c>
      <c r="B11990" s="242">
        <v>9</v>
      </c>
      <c r="C11990" s="242">
        <v>26</v>
      </c>
      <c r="D11990" s="270">
        <f t="shared" si="1746"/>
        <v>45561</v>
      </c>
      <c r="E11990" s="279">
        <f t="shared" si="1747"/>
        <v>45561</v>
      </c>
      <c r="F11990" s="478"/>
      <c r="G11990" s="243" t="s">
        <v>94</v>
      </c>
      <c r="H11990" s="243" t="str" cm="1">
        <f t="array" ref="H11990">IFERROR(INDEX(INVESTOR_LIST[INVESTOR NAME],MATCH(I11990,INVESTOR_LIST[INVESTOR CODE],0),)," ")</f>
        <v xml:space="preserve"> </v>
      </c>
      <c r="I11990" s="263" t="s">
        <v>348</v>
      </c>
      <c r="J11990" s="244" t="s">
        <v>47</v>
      </c>
      <c r="K11990" s="245"/>
      <c r="L11990" s="245">
        <f>K11989</f>
        <v>59267.852638960387</v>
      </c>
      <c r="M11990" s="264">
        <v>2723.008016563404</v>
      </c>
    </row>
    <row r="11991" spans="1:17" x14ac:dyDescent="0.2">
      <c r="A11991" s="246">
        <v>2024</v>
      </c>
      <c r="B11991" s="238">
        <v>9</v>
      </c>
      <c r="C11991" s="238">
        <v>26</v>
      </c>
      <c r="D11991" s="270">
        <f t="shared" si="1746"/>
        <v>45561</v>
      </c>
      <c r="E11991" s="279">
        <f t="shared" si="1747"/>
        <v>45561</v>
      </c>
      <c r="F11991" s="482" t="s">
        <v>138</v>
      </c>
      <c r="G11991" s="247" t="s">
        <v>94</v>
      </c>
      <c r="H11991" s="247" t="str" cm="1">
        <f t="array" ref="H11991">IFERROR(INDEX(INVESTOR_LIST[INVESTOR NAME],MATCH(I11991,INVESTOR_LIST[INVESTOR CODE],0),)," ")</f>
        <v xml:space="preserve"> </v>
      </c>
      <c r="I11991" s="248" t="s">
        <v>348</v>
      </c>
      <c r="J11991" s="249" t="s">
        <v>100</v>
      </c>
      <c r="K11991" s="250">
        <f>M11990</f>
        <v>2723.008016563404</v>
      </c>
      <c r="L11991" s="252"/>
    </row>
    <row r="11992" spans="1:17" x14ac:dyDescent="0.2">
      <c r="A11992" s="242">
        <v>2024</v>
      </c>
      <c r="B11992" s="242">
        <v>9</v>
      </c>
      <c r="C11992" s="242">
        <v>26</v>
      </c>
      <c r="D11992" s="321">
        <f t="shared" si="1746"/>
        <v>45561</v>
      </c>
      <c r="E11992" s="322">
        <f t="shared" si="1747"/>
        <v>45561</v>
      </c>
      <c r="F11992" s="478"/>
      <c r="G11992" s="243" t="s">
        <v>94</v>
      </c>
      <c r="H11992" s="243" t="str" cm="1">
        <f t="array" ref="H11992">IFERROR(INDEX(INVESTOR_LIST[INVESTOR NAME],MATCH(I11992,INVESTOR_LIST[INVESTOR CODE],0),)," ")</f>
        <v xml:space="preserve"> </v>
      </c>
      <c r="I11992" s="263" t="s">
        <v>348</v>
      </c>
      <c r="J11992" s="244" t="s">
        <v>48</v>
      </c>
      <c r="K11992" s="245"/>
      <c r="L11992" s="245">
        <f>K11991</f>
        <v>2723.008016563404</v>
      </c>
    </row>
    <row r="11993" spans="1:17" ht="11.25" customHeight="1" x14ac:dyDescent="0.2">
      <c r="A11993" s="168">
        <v>2024</v>
      </c>
      <c r="B11993" s="133">
        <v>9</v>
      </c>
      <c r="C11993" s="133">
        <v>29</v>
      </c>
      <c r="D11993" s="141">
        <f t="shared" si="1746"/>
        <v>45564</v>
      </c>
      <c r="E11993" s="275">
        <f t="shared" si="1747"/>
        <v>45564</v>
      </c>
      <c r="F11993" s="479" t="s">
        <v>1987</v>
      </c>
      <c r="G11993" s="220" t="s">
        <v>74</v>
      </c>
      <c r="H11993" s="220" t="str" cm="1">
        <f t="array" ref="H11993">IFERROR(INDEX(INVESTOR_LIST[INVESTOR NAME],MATCH(I11993,INVESTOR_LIST[INVESTOR CODE],0),)," ")</f>
        <v xml:space="preserve"> </v>
      </c>
      <c r="I11993" s="142"/>
      <c r="J11993" s="143" t="s">
        <v>52</v>
      </c>
      <c r="K11993" s="226">
        <v>1392489</v>
      </c>
      <c r="L11993" s="226"/>
    </row>
    <row r="11994" spans="1:17" x14ac:dyDescent="0.2">
      <c r="A11994" s="163">
        <v>2024</v>
      </c>
      <c r="B11994" s="163">
        <v>9</v>
      </c>
      <c r="C11994" s="163">
        <v>29</v>
      </c>
      <c r="D11994" s="280">
        <f t="shared" si="1746"/>
        <v>45564</v>
      </c>
      <c r="E11994" s="281">
        <f t="shared" si="1747"/>
        <v>45564</v>
      </c>
      <c r="F11994" s="480"/>
      <c r="G11994" s="221" t="s">
        <v>74</v>
      </c>
      <c r="H11994" s="221" t="str" cm="1">
        <f t="array" ref="H11994">IFERROR(INDEX(INVESTOR_LIST[INVESTOR NAME],MATCH(I11994,INVESTOR_LIST[INVESTOR CODE],0),)," ")</f>
        <v xml:space="preserve"> </v>
      </c>
      <c r="I11994" s="145"/>
      <c r="J11994" s="146" t="s">
        <v>190</v>
      </c>
      <c r="K11994" s="219"/>
      <c r="L11994" s="219">
        <v>1392489</v>
      </c>
    </row>
    <row r="11995" spans="1:17" ht="33.75" x14ac:dyDescent="0.2">
      <c r="A11995" s="168">
        <v>2024</v>
      </c>
      <c r="B11995" s="168">
        <v>9</v>
      </c>
      <c r="C11995" s="133">
        <v>29</v>
      </c>
      <c r="D11995" s="141">
        <f t="shared" ref="D11995:D11997" si="1748">DATE(A11995,B11995,C11995)</f>
        <v>45564</v>
      </c>
      <c r="E11995" s="275">
        <f t="shared" ref="E11995:E11997" si="1749">DATE(A11995,B11995,C11995)</f>
        <v>45564</v>
      </c>
      <c r="F11995" s="479" t="s">
        <v>964</v>
      </c>
      <c r="G11995" s="220" t="s">
        <v>74</v>
      </c>
      <c r="H11995" s="142" t="str" cm="1">
        <f t="array" ref="H11995">IFERROR(INDEX(INVESTOR_LIST[INVESTOR NAME],MATCH(I11995,INVESTOR_LIST[INVESTOR CODE],0),)," ")</f>
        <v>KAZI AHSAN MARUF</v>
      </c>
      <c r="I11995" s="142" t="s">
        <v>423</v>
      </c>
      <c r="J11995" s="168" t="s">
        <v>52</v>
      </c>
      <c r="K11995" s="226">
        <v>20000</v>
      </c>
      <c r="L11995" s="226"/>
    </row>
    <row r="11996" spans="1:17" ht="33.75" x14ac:dyDescent="0.2">
      <c r="A11996" s="133">
        <v>2024</v>
      </c>
      <c r="B11996" s="133">
        <v>9</v>
      </c>
      <c r="C11996" s="133">
        <v>29</v>
      </c>
      <c r="D11996" s="141">
        <f t="shared" si="1748"/>
        <v>45564</v>
      </c>
      <c r="E11996" s="275">
        <f t="shared" si="1749"/>
        <v>45564</v>
      </c>
      <c r="F11996" s="481"/>
      <c r="G11996" s="174" t="s">
        <v>74</v>
      </c>
      <c r="H11996" s="148" t="str" cm="1">
        <f t="array" ref="H11996">IFERROR(INDEX(INVESTOR_LIST[INVESTOR NAME],MATCH(I11996,INVESTOR_LIST[INVESTOR CODE],0),)," ")</f>
        <v>KAZI AHSAN MARUF</v>
      </c>
      <c r="I11996" s="148" t="s">
        <v>423</v>
      </c>
      <c r="J11996" s="133" t="s">
        <v>13</v>
      </c>
      <c r="K11996" s="218"/>
      <c r="L11996" s="218">
        <v>15290</v>
      </c>
    </row>
    <row r="11997" spans="1:17" ht="33.75" x14ac:dyDescent="0.2">
      <c r="A11997" s="163">
        <v>2024</v>
      </c>
      <c r="B11997" s="163">
        <v>9</v>
      </c>
      <c r="C11997" s="163">
        <v>29</v>
      </c>
      <c r="D11997" s="280">
        <f t="shared" si="1748"/>
        <v>45564</v>
      </c>
      <c r="E11997" s="281">
        <f t="shared" si="1749"/>
        <v>45564</v>
      </c>
      <c r="F11997" s="480"/>
      <c r="G11997" s="221" t="s">
        <v>74</v>
      </c>
      <c r="H11997" s="145" t="str" cm="1">
        <f t="array" ref="H11997">IFERROR(INDEX(INVESTOR_LIST[INVESTOR NAME],MATCH(I11997,INVESTOR_LIST[INVESTOR CODE],0),)," ")</f>
        <v>KAZI AHSAN MARUF</v>
      </c>
      <c r="I11997" s="145" t="s">
        <v>423</v>
      </c>
      <c r="J11997" s="163" t="s">
        <v>53</v>
      </c>
      <c r="K11997" s="219"/>
      <c r="L11997" s="219">
        <v>4710</v>
      </c>
    </row>
    <row r="11998" spans="1:17" ht="11.25" customHeight="1" x14ac:dyDescent="0.2">
      <c r="A11998" s="133">
        <v>2024</v>
      </c>
      <c r="B11998" s="168">
        <v>9</v>
      </c>
      <c r="C11998" s="168">
        <v>30</v>
      </c>
      <c r="D11998" s="141">
        <f>DATE(A11998,B11998,C11998)</f>
        <v>45565</v>
      </c>
      <c r="E11998" s="275">
        <f>DATE(A11998,B11998,C11998)</f>
        <v>45565</v>
      </c>
      <c r="F11998" s="481" t="s">
        <v>1988</v>
      </c>
      <c r="G11998" s="174" t="s">
        <v>74</v>
      </c>
      <c r="H11998" s="174" t="str" cm="1">
        <f t="array" ref="H11998">IFERROR(INDEX(INVESTOR_LIST[INVESTOR NAME],MATCH(I11998,INVESTOR_LIST[INVESTOR CODE],0),)," ")</f>
        <v xml:space="preserve"> </v>
      </c>
      <c r="I11998" s="148" t="s">
        <v>348</v>
      </c>
      <c r="J11998" s="149" t="s">
        <v>52</v>
      </c>
      <c r="K11998" s="218">
        <v>4162351.02</v>
      </c>
      <c r="L11998" s="218"/>
      <c r="M11998" s="147"/>
      <c r="Q11998" s="133" t="s">
        <v>348</v>
      </c>
    </row>
    <row r="11999" spans="1:17" x14ac:dyDescent="0.2">
      <c r="A11999" s="133">
        <v>2024</v>
      </c>
      <c r="B11999" s="133">
        <v>9</v>
      </c>
      <c r="C11999" s="133">
        <v>30</v>
      </c>
      <c r="D11999" s="141">
        <f t="shared" ref="D11999" si="1750">DATE(A11999,B11999,C11999)</f>
        <v>45565</v>
      </c>
      <c r="E11999" s="275">
        <f t="shared" ref="E11999" si="1751">DATE(A11999,B11999,C11999)</f>
        <v>45565</v>
      </c>
      <c r="F11999" s="481"/>
      <c r="G11999" s="174" t="s">
        <v>74</v>
      </c>
      <c r="H11999" s="174" t="str" cm="1">
        <f t="array" ref="H11999">IFERROR(INDEX(INVESTOR_LIST[INVESTOR NAME],MATCH(I11999,INVESTOR_LIST[INVESTOR CODE],0),)," ")</f>
        <v xml:space="preserve"> </v>
      </c>
      <c r="J11999" s="149" t="s">
        <v>1810</v>
      </c>
      <c r="K11999" s="218"/>
      <c r="L11999" s="218">
        <v>12760.59</v>
      </c>
      <c r="M11999" s="147"/>
    </row>
    <row r="12000" spans="1:17" x14ac:dyDescent="0.2">
      <c r="A12000" s="163">
        <v>2024</v>
      </c>
      <c r="B12000" s="163">
        <v>9</v>
      </c>
      <c r="C12000" s="163">
        <v>30</v>
      </c>
      <c r="D12000" s="280">
        <f>DATE(A12000,B12000,C12000)</f>
        <v>45565</v>
      </c>
      <c r="E12000" s="281">
        <f>DATE(A12000,B12000,C12000)</f>
        <v>45565</v>
      </c>
      <c r="F12000" s="480"/>
      <c r="G12000" s="221" t="s">
        <v>74</v>
      </c>
      <c r="H12000" s="221" t="str" cm="1">
        <f t="array" ref="H12000">IFERROR(INDEX(INVESTOR_LIST[INVESTOR NAME],MATCH(I12000,INVESTOR_LIST[INVESTOR CODE],0),)," ")</f>
        <v xml:space="preserve"> </v>
      </c>
      <c r="I12000" s="145"/>
      <c r="J12000" s="146" t="s">
        <v>1805</v>
      </c>
      <c r="K12000" s="219"/>
      <c r="L12000" s="219">
        <v>4149590.43</v>
      </c>
      <c r="M12000" s="147"/>
      <c r="Q12000" s="133" t="s">
        <v>348</v>
      </c>
    </row>
    <row r="12001" spans="1:17" x14ac:dyDescent="0.2">
      <c r="A12001" s="133">
        <v>2024</v>
      </c>
      <c r="B12001" s="133">
        <v>9</v>
      </c>
      <c r="C12001" s="133">
        <v>30</v>
      </c>
      <c r="D12001" s="147">
        <f t="shared" ref="D12001:D12034" si="1752">DATE(A12001,B12001,C12001)</f>
        <v>45565</v>
      </c>
      <c r="E12001" s="311">
        <f t="shared" ref="E12001:E12034" si="1753">DATE(A12001,B12001,C12001)</f>
        <v>45565</v>
      </c>
      <c r="F12001" s="479" t="s">
        <v>1943</v>
      </c>
      <c r="G12001" s="174" t="s">
        <v>74</v>
      </c>
      <c r="H12001" s="148" t="str" cm="1">
        <f t="array" ref="H12001">IFERROR(INDEX(INVESTOR_LIST[INVESTOR NAME],MATCH(I12001,INVESTOR_LIST[INVESTOR CODE],0),)," ")</f>
        <v xml:space="preserve"> </v>
      </c>
      <c r="I12001" s="148" t="s">
        <v>348</v>
      </c>
      <c r="J12001" s="133" t="s">
        <v>61</v>
      </c>
      <c r="K12001" s="172">
        <v>58</v>
      </c>
    </row>
    <row r="12002" spans="1:17" x14ac:dyDescent="0.2">
      <c r="A12002" s="163">
        <v>2024</v>
      </c>
      <c r="B12002" s="163">
        <v>9</v>
      </c>
      <c r="C12002" s="163">
        <v>30</v>
      </c>
      <c r="D12002" s="280">
        <f t="shared" si="1752"/>
        <v>45565</v>
      </c>
      <c r="E12002" s="281">
        <f t="shared" si="1753"/>
        <v>45565</v>
      </c>
      <c r="F12002" s="480"/>
      <c r="G12002" s="221" t="s">
        <v>74</v>
      </c>
      <c r="H12002" s="145" t="str" cm="1">
        <f t="array" ref="H12002">IFERROR(INDEX(INVESTOR_LIST[INVESTOR NAME],MATCH(I12002,INVESTOR_LIST[INVESTOR CODE],0),)," ")</f>
        <v xml:space="preserve"> </v>
      </c>
      <c r="I12002" s="145" t="s">
        <v>348</v>
      </c>
      <c r="J12002" s="163" t="s">
        <v>52</v>
      </c>
      <c r="K12002" s="219"/>
      <c r="L12002" s="219">
        <v>58</v>
      </c>
    </row>
    <row r="12003" spans="1:17" ht="33.75" x14ac:dyDescent="0.2">
      <c r="A12003" s="168">
        <v>2024</v>
      </c>
      <c r="B12003" s="168">
        <v>10</v>
      </c>
      <c r="C12003" s="168">
        <v>3</v>
      </c>
      <c r="D12003" s="141">
        <f t="shared" si="1752"/>
        <v>45568</v>
      </c>
      <c r="E12003" s="275">
        <f t="shared" si="1753"/>
        <v>45568</v>
      </c>
      <c r="F12003" s="479" t="s">
        <v>1315</v>
      </c>
      <c r="G12003" s="220" t="s">
        <v>74</v>
      </c>
      <c r="H12003" s="142" t="str" cm="1">
        <f t="array" ref="H12003">IFERROR(INDEX(INVESTOR_LIST[INVESTOR NAME],MATCH(I12003,INVESTOR_LIST[INVESTOR CODE],0),)," ")</f>
        <v>UMME SALMA KATHA</v>
      </c>
      <c r="I12003" s="142" t="s">
        <v>830</v>
      </c>
      <c r="J12003" s="168" t="s">
        <v>13</v>
      </c>
      <c r="K12003" s="226">
        <v>1240000</v>
      </c>
      <c r="L12003" s="226"/>
    </row>
    <row r="12004" spans="1:17" ht="33.75" x14ac:dyDescent="0.2">
      <c r="A12004" s="133">
        <v>2024</v>
      </c>
      <c r="B12004" s="133">
        <v>10</v>
      </c>
      <c r="C12004" s="133">
        <v>3</v>
      </c>
      <c r="D12004" s="141">
        <f t="shared" si="1752"/>
        <v>45568</v>
      </c>
      <c r="E12004" s="275">
        <f t="shared" si="1753"/>
        <v>45568</v>
      </c>
      <c r="F12004" s="481"/>
      <c r="G12004" s="174" t="s">
        <v>74</v>
      </c>
      <c r="H12004" s="148" t="str" cm="1">
        <f t="array" ref="H12004">IFERROR(INDEX(INVESTOR_LIST[INVESTOR NAME],MATCH(I12004,INVESTOR_LIST[INVESTOR CODE],0),)," ")</f>
        <v>UMME SALMA KATHA</v>
      </c>
      <c r="I12004" s="148" t="s">
        <v>830</v>
      </c>
      <c r="J12004" s="133" t="s">
        <v>53</v>
      </c>
      <c r="K12004" s="218">
        <v>381796</v>
      </c>
      <c r="L12004" s="218"/>
    </row>
    <row r="12005" spans="1:17" ht="33.75" x14ac:dyDescent="0.2">
      <c r="A12005" s="163">
        <v>2024</v>
      </c>
      <c r="B12005" s="163">
        <v>10</v>
      </c>
      <c r="C12005" s="163">
        <v>3</v>
      </c>
      <c r="D12005" s="280">
        <f t="shared" si="1752"/>
        <v>45568</v>
      </c>
      <c r="E12005" s="281">
        <f t="shared" si="1753"/>
        <v>45568</v>
      </c>
      <c r="F12005" s="480"/>
      <c r="G12005" s="221" t="s">
        <v>74</v>
      </c>
      <c r="H12005" s="145" t="str" cm="1">
        <f t="array" ref="H12005">IFERROR(INDEX(INVESTOR_LIST[INVESTOR NAME],MATCH(I12005,INVESTOR_LIST[INVESTOR CODE],0),)," ")</f>
        <v>UMME SALMA KATHA</v>
      </c>
      <c r="I12005" s="145" t="s">
        <v>830</v>
      </c>
      <c r="J12005" s="163" t="s">
        <v>52</v>
      </c>
      <c r="K12005" s="219"/>
      <c r="L12005" s="219">
        <v>1621796</v>
      </c>
    </row>
    <row r="12006" spans="1:17" x14ac:dyDescent="0.2">
      <c r="A12006" s="168">
        <v>2024</v>
      </c>
      <c r="B12006" s="168">
        <v>10</v>
      </c>
      <c r="C12006" s="168">
        <v>3</v>
      </c>
      <c r="D12006" s="141">
        <f t="shared" si="1752"/>
        <v>45568</v>
      </c>
      <c r="E12006" s="275">
        <f t="shared" si="1753"/>
        <v>45568</v>
      </c>
      <c r="F12006" s="479" t="s">
        <v>1979</v>
      </c>
      <c r="G12006" s="220" t="s">
        <v>94</v>
      </c>
      <c r="H12006" s="220" t="str" cm="1">
        <f t="array" ref="H12006">IFERROR(INDEX(INVESTOR_LIST[INVESTOR NAME],MATCH(I12006,INVESTOR_LIST[INVESTOR CODE],0),)," ")</f>
        <v xml:space="preserve"> </v>
      </c>
      <c r="I12006" s="142"/>
      <c r="J12006" s="143" t="s">
        <v>79</v>
      </c>
      <c r="K12006" s="226">
        <v>982715.5</v>
      </c>
      <c r="L12006" s="226"/>
      <c r="M12006" s="160"/>
    </row>
    <row r="12007" spans="1:17" x14ac:dyDescent="0.2">
      <c r="A12007" s="133">
        <v>2024</v>
      </c>
      <c r="B12007" s="133">
        <v>10</v>
      </c>
      <c r="C12007" s="133">
        <v>3</v>
      </c>
      <c r="D12007" s="141">
        <f t="shared" si="1752"/>
        <v>45568</v>
      </c>
      <c r="E12007" s="275">
        <f t="shared" si="1753"/>
        <v>45568</v>
      </c>
      <c r="F12007" s="481"/>
      <c r="G12007" s="174" t="s">
        <v>94</v>
      </c>
      <c r="H12007" s="174" t="str" cm="1">
        <f t="array" ref="H12007">IFERROR(INDEX(INVESTOR_LIST[INVESTOR NAME],MATCH(I12007,INVESTOR_LIST[INVESTOR CODE],0),)," ")</f>
        <v xml:space="preserve"> </v>
      </c>
      <c r="J12007" s="149" t="s">
        <v>80</v>
      </c>
      <c r="K12007" s="218">
        <v>1768.8878999999999</v>
      </c>
      <c r="L12007" s="133"/>
    </row>
    <row r="12008" spans="1:17" x14ac:dyDescent="0.2">
      <c r="A12008" s="163">
        <v>2024</v>
      </c>
      <c r="B12008" s="163">
        <v>10</v>
      </c>
      <c r="C12008" s="163">
        <v>3</v>
      </c>
      <c r="D12008" s="280">
        <f t="shared" si="1752"/>
        <v>45568</v>
      </c>
      <c r="E12008" s="281">
        <f t="shared" si="1753"/>
        <v>45568</v>
      </c>
      <c r="F12008" s="480"/>
      <c r="G12008" s="221" t="s">
        <v>94</v>
      </c>
      <c r="H12008" s="221" t="str" cm="1">
        <f t="array" ref="H12008">IFERROR(INDEX(INVESTOR_LIST[INVESTOR NAME],MATCH(I12008,INVESTOR_LIST[INVESTOR CODE],0),)," ")</f>
        <v xml:space="preserve"> </v>
      </c>
      <c r="I12008" s="145"/>
      <c r="J12008" s="146" t="s">
        <v>147</v>
      </c>
      <c r="K12008" s="219"/>
      <c r="L12008" s="219">
        <v>984484.39</v>
      </c>
    </row>
    <row r="12009" spans="1:17" ht="11.25" customHeight="1" x14ac:dyDescent="0.2">
      <c r="A12009" s="133">
        <v>2024</v>
      </c>
      <c r="B12009" s="168">
        <v>10</v>
      </c>
      <c r="C12009" s="168">
        <v>3</v>
      </c>
      <c r="D12009" s="141">
        <f>DATE(A12009,B12009,C12009)</f>
        <v>45568</v>
      </c>
      <c r="E12009" s="275">
        <f>DATE(A12009,B12009,C12009)</f>
        <v>45568</v>
      </c>
      <c r="F12009" s="481" t="s">
        <v>1989</v>
      </c>
      <c r="G12009" s="174" t="s">
        <v>74</v>
      </c>
      <c r="H12009" s="174" t="str" cm="1">
        <f t="array" ref="H12009">IFERROR(INDEX(INVESTOR_LIST[INVESTOR NAME],MATCH(I12009,INVESTOR_LIST[INVESTOR CODE],0),)," ")</f>
        <v xml:space="preserve"> </v>
      </c>
      <c r="I12009" s="148" t="s">
        <v>348</v>
      </c>
      <c r="J12009" s="149" t="s">
        <v>52</v>
      </c>
      <c r="K12009" s="218">
        <v>13549061.84</v>
      </c>
      <c r="L12009" s="218"/>
      <c r="M12009" s="147"/>
      <c r="Q12009" s="133" t="s">
        <v>348</v>
      </c>
    </row>
    <row r="12010" spans="1:17" x14ac:dyDescent="0.2">
      <c r="A12010" s="133">
        <v>2024</v>
      </c>
      <c r="B12010" s="133">
        <v>10</v>
      </c>
      <c r="C12010" s="133">
        <v>3</v>
      </c>
      <c r="D12010" s="141">
        <f t="shared" ref="D12010" si="1754">DATE(A12010,B12010,C12010)</f>
        <v>45568</v>
      </c>
      <c r="E12010" s="275">
        <f t="shared" ref="E12010" si="1755">DATE(A12010,B12010,C12010)</f>
        <v>45568</v>
      </c>
      <c r="F12010" s="481"/>
      <c r="G12010" s="174" t="s">
        <v>74</v>
      </c>
      <c r="H12010" s="174" t="str" cm="1">
        <f t="array" ref="H12010">IFERROR(INDEX(INVESTOR_LIST[INVESTOR NAME],MATCH(I12010,INVESTOR_LIST[INVESTOR CODE],0),)," ")</f>
        <v xml:space="preserve"> </v>
      </c>
      <c r="J12010" s="149" t="s">
        <v>1810</v>
      </c>
      <c r="K12010" s="218"/>
      <c r="L12010" s="218">
        <v>230892.82666666619</v>
      </c>
      <c r="M12010" s="147"/>
    </row>
    <row r="12011" spans="1:17" x14ac:dyDescent="0.2">
      <c r="A12011" s="163">
        <v>2024</v>
      </c>
      <c r="B12011" s="163">
        <v>10</v>
      </c>
      <c r="C12011" s="163">
        <v>3</v>
      </c>
      <c r="D12011" s="280">
        <f>DATE(A12011,B12011,C12011)</f>
        <v>45568</v>
      </c>
      <c r="E12011" s="281">
        <f>DATE(A12011,B12011,C12011)</f>
        <v>45568</v>
      </c>
      <c r="F12011" s="480"/>
      <c r="G12011" s="221" t="s">
        <v>74</v>
      </c>
      <c r="H12011" s="221" t="str" cm="1">
        <f t="array" ref="H12011">IFERROR(INDEX(INVESTOR_LIST[INVESTOR NAME],MATCH(I12011,INVESTOR_LIST[INVESTOR CODE],0),)," ")</f>
        <v xml:space="preserve"> </v>
      </c>
      <c r="I12011" s="145"/>
      <c r="J12011" s="146" t="s">
        <v>1805</v>
      </c>
      <c r="K12011" s="219"/>
      <c r="L12011" s="219">
        <v>13318169.013333334</v>
      </c>
      <c r="M12011" s="147"/>
      <c r="Q12011" s="133" t="s">
        <v>348</v>
      </c>
    </row>
    <row r="12012" spans="1:17" x14ac:dyDescent="0.2">
      <c r="A12012" s="168">
        <v>2024</v>
      </c>
      <c r="B12012" s="168">
        <v>10</v>
      </c>
      <c r="C12012" s="168">
        <v>3</v>
      </c>
      <c r="D12012" s="141">
        <f t="shared" ref="D12012:D12013" si="1756">DATE(A12012,B12012,C12012)</f>
        <v>45568</v>
      </c>
      <c r="E12012" s="275">
        <f t="shared" ref="E12012:E12013" si="1757">DATE(A12012,B12012,C12012)</f>
        <v>45568</v>
      </c>
      <c r="F12012" s="479" t="s">
        <v>1990</v>
      </c>
      <c r="G12012" s="220" t="s">
        <v>94</v>
      </c>
      <c r="H12012" s="220"/>
      <c r="I12012" s="142" t="s">
        <v>348</v>
      </c>
      <c r="J12012" s="143" t="s">
        <v>52</v>
      </c>
      <c r="K12012" s="226">
        <v>900000</v>
      </c>
      <c r="L12012" s="226"/>
    </row>
    <row r="12013" spans="1:17" x14ac:dyDescent="0.2">
      <c r="A12013" s="163">
        <v>2024</v>
      </c>
      <c r="B12013" s="163">
        <v>10</v>
      </c>
      <c r="C12013" s="163">
        <v>3</v>
      </c>
      <c r="D12013" s="141">
        <f t="shared" si="1756"/>
        <v>45568</v>
      </c>
      <c r="E12013" s="275">
        <f t="shared" si="1757"/>
        <v>45568</v>
      </c>
      <c r="F12013" s="480"/>
      <c r="G12013" s="221" t="s">
        <v>94</v>
      </c>
      <c r="H12013" s="221"/>
      <c r="I12013" s="145" t="s">
        <v>348</v>
      </c>
      <c r="J12013" s="146" t="s">
        <v>60</v>
      </c>
      <c r="K12013" s="219"/>
      <c r="L12013" s="219">
        <v>900000</v>
      </c>
    </row>
    <row r="12014" spans="1:17" x14ac:dyDescent="0.2">
      <c r="A12014" s="325">
        <v>2024</v>
      </c>
      <c r="B12014" s="325">
        <v>10</v>
      </c>
      <c r="C12014" s="325">
        <v>3</v>
      </c>
      <c r="D12014" s="326">
        <f t="shared" si="1752"/>
        <v>45568</v>
      </c>
      <c r="E12014" s="327">
        <f t="shared" si="1753"/>
        <v>45568</v>
      </c>
      <c r="F12014" s="473" t="s">
        <v>1940</v>
      </c>
      <c r="G12014" s="340" t="s">
        <v>94</v>
      </c>
      <c r="H12014" s="340"/>
      <c r="I12014" s="341" t="s">
        <v>348</v>
      </c>
      <c r="J12014" s="374" t="s">
        <v>133</v>
      </c>
      <c r="K12014" s="375">
        <v>12905.555555555549</v>
      </c>
      <c r="L12014" s="375"/>
    </row>
    <row r="12015" spans="1:17" x14ac:dyDescent="0.2">
      <c r="A12015" s="331">
        <v>2024</v>
      </c>
      <c r="B12015" s="331">
        <v>10</v>
      </c>
      <c r="C12015" s="331">
        <v>3</v>
      </c>
      <c r="D12015" s="326">
        <f t="shared" si="1752"/>
        <v>45568</v>
      </c>
      <c r="E12015" s="327">
        <f t="shared" si="1753"/>
        <v>45568</v>
      </c>
      <c r="F12015" s="474"/>
      <c r="G12015" s="332" t="s">
        <v>94</v>
      </c>
      <c r="H12015" s="332"/>
      <c r="I12015" s="333" t="s">
        <v>348</v>
      </c>
      <c r="J12015" s="376" t="s">
        <v>60</v>
      </c>
      <c r="K12015" s="334"/>
      <c r="L12015" s="334">
        <v>12905.555555555549</v>
      </c>
    </row>
    <row r="12016" spans="1:17" x14ac:dyDescent="0.2">
      <c r="A12016" s="384">
        <v>2024</v>
      </c>
      <c r="B12016" s="384">
        <v>10</v>
      </c>
      <c r="C12016" s="384">
        <v>3</v>
      </c>
      <c r="D12016" s="385">
        <f t="shared" si="1752"/>
        <v>45568</v>
      </c>
      <c r="E12016" s="386">
        <f t="shared" si="1753"/>
        <v>45568</v>
      </c>
      <c r="F12016" s="475" t="s">
        <v>1966</v>
      </c>
      <c r="G12016" s="387" t="s">
        <v>94</v>
      </c>
      <c r="H12016" s="387"/>
      <c r="I12016" s="388" t="s">
        <v>348</v>
      </c>
      <c r="J12016" s="389" t="s">
        <v>67</v>
      </c>
      <c r="K12016" s="390">
        <v>16231.6</v>
      </c>
      <c r="L12016" s="390"/>
    </row>
    <row r="12017" spans="1:13" x14ac:dyDescent="0.2">
      <c r="A12017" s="391">
        <v>2024</v>
      </c>
      <c r="B12017" s="391">
        <v>10</v>
      </c>
      <c r="C12017" s="391">
        <v>3</v>
      </c>
      <c r="D12017" s="385">
        <f t="shared" si="1752"/>
        <v>45568</v>
      </c>
      <c r="E12017" s="386">
        <f t="shared" si="1753"/>
        <v>45568</v>
      </c>
      <c r="F12017" s="476"/>
      <c r="G12017" s="392" t="s">
        <v>94</v>
      </c>
      <c r="H12017" s="392"/>
      <c r="I12017" s="393" t="s">
        <v>348</v>
      </c>
      <c r="J12017" s="394" t="s">
        <v>60</v>
      </c>
      <c r="K12017" s="395"/>
      <c r="L12017" s="395">
        <f>K12016</f>
        <v>16231.6</v>
      </c>
    </row>
    <row r="12018" spans="1:13" x14ac:dyDescent="0.2">
      <c r="A12018" s="343">
        <v>2024</v>
      </c>
      <c r="B12018" s="343">
        <v>10</v>
      </c>
      <c r="C12018" s="343">
        <v>3</v>
      </c>
      <c r="D12018" s="344">
        <f t="shared" si="1752"/>
        <v>45568</v>
      </c>
      <c r="E12018" s="345">
        <f t="shared" si="1753"/>
        <v>45568</v>
      </c>
      <c r="F12018" s="483" t="s">
        <v>1813</v>
      </c>
      <c r="G12018" s="350" t="s">
        <v>94</v>
      </c>
      <c r="H12018" s="350"/>
      <c r="I12018" s="352" t="s">
        <v>348</v>
      </c>
      <c r="J12018" s="353" t="s">
        <v>1798</v>
      </c>
      <c r="K12018" s="354">
        <v>25630</v>
      </c>
      <c r="L12018" s="354"/>
    </row>
    <row r="12019" spans="1:13" x14ac:dyDescent="0.2">
      <c r="A12019" s="346">
        <v>2024</v>
      </c>
      <c r="B12019" s="346">
        <v>10</v>
      </c>
      <c r="C12019" s="346">
        <v>3</v>
      </c>
      <c r="D12019" s="344">
        <f t="shared" si="1752"/>
        <v>45568</v>
      </c>
      <c r="E12019" s="345">
        <f t="shared" si="1753"/>
        <v>45568</v>
      </c>
      <c r="F12019" s="484"/>
      <c r="G12019" s="347" t="s">
        <v>94</v>
      </c>
      <c r="H12019" s="347"/>
      <c r="I12019" s="348" t="s">
        <v>348</v>
      </c>
      <c r="J12019" s="355" t="s">
        <v>1807</v>
      </c>
      <c r="K12019" s="349"/>
      <c r="L12019" s="349">
        <f>K12018</f>
        <v>25630</v>
      </c>
    </row>
    <row r="12020" spans="1:13" x14ac:dyDescent="0.2">
      <c r="A12020" s="343">
        <v>2024</v>
      </c>
      <c r="B12020" s="343">
        <v>10</v>
      </c>
      <c r="C12020" s="343">
        <v>3</v>
      </c>
      <c r="D12020" s="344">
        <f t="shared" si="1752"/>
        <v>45568</v>
      </c>
      <c r="E12020" s="345">
        <f t="shared" si="1753"/>
        <v>45568</v>
      </c>
      <c r="F12020" s="483" t="s">
        <v>1913</v>
      </c>
      <c r="G12020" s="350" t="s">
        <v>94</v>
      </c>
      <c r="H12020" s="350"/>
      <c r="I12020" s="352" t="s">
        <v>348</v>
      </c>
      <c r="J12020" s="353" t="s">
        <v>1808</v>
      </c>
      <c r="K12020" s="354">
        <v>1065593.5516666621</v>
      </c>
      <c r="L12020" s="354"/>
    </row>
    <row r="12021" spans="1:13" x14ac:dyDescent="0.2">
      <c r="A12021" s="346">
        <v>2024</v>
      </c>
      <c r="B12021" s="346">
        <v>10</v>
      </c>
      <c r="C12021" s="346">
        <v>3</v>
      </c>
      <c r="D12021" s="344">
        <f t="shared" si="1752"/>
        <v>45568</v>
      </c>
      <c r="E12021" s="345">
        <f t="shared" si="1753"/>
        <v>45568</v>
      </c>
      <c r="F12021" s="484"/>
      <c r="G12021" s="347" t="s">
        <v>94</v>
      </c>
      <c r="H12021" s="347"/>
      <c r="I12021" s="348" t="s">
        <v>348</v>
      </c>
      <c r="J12021" s="355" t="s">
        <v>1799</v>
      </c>
      <c r="K12021" s="349"/>
      <c r="L12021" s="349">
        <f>K12020</f>
        <v>1065593.5516666621</v>
      </c>
    </row>
    <row r="12022" spans="1:13" ht="11.25" customHeight="1" x14ac:dyDescent="0.2">
      <c r="A12022" s="238">
        <v>2024</v>
      </c>
      <c r="B12022" s="238">
        <v>10</v>
      </c>
      <c r="C12022" s="238">
        <v>3</v>
      </c>
      <c r="D12022" s="270">
        <f t="shared" si="1752"/>
        <v>45568</v>
      </c>
      <c r="E12022" s="279">
        <f t="shared" si="1753"/>
        <v>45568</v>
      </c>
      <c r="F12022" s="477" t="s">
        <v>347</v>
      </c>
      <c r="G12022" s="239" t="s">
        <v>94</v>
      </c>
      <c r="H12022" s="239"/>
      <c r="I12022" s="262" t="s">
        <v>348</v>
      </c>
      <c r="J12022" s="240" t="s">
        <v>82</v>
      </c>
      <c r="K12022" s="241">
        <v>1374586.049999997</v>
      </c>
      <c r="L12022" s="241"/>
    </row>
    <row r="12023" spans="1:13" x14ac:dyDescent="0.2">
      <c r="A12023" s="242">
        <v>2024</v>
      </c>
      <c r="B12023" s="242">
        <v>10</v>
      </c>
      <c r="C12023" s="242">
        <v>3</v>
      </c>
      <c r="D12023" s="270">
        <f t="shared" si="1752"/>
        <v>45568</v>
      </c>
      <c r="E12023" s="279">
        <f t="shared" si="1753"/>
        <v>45568</v>
      </c>
      <c r="F12023" s="478"/>
      <c r="G12023" s="243" t="s">
        <v>94</v>
      </c>
      <c r="H12023" s="243"/>
      <c r="I12023" s="263" t="s">
        <v>348</v>
      </c>
      <c r="J12023" s="244" t="s">
        <v>108</v>
      </c>
      <c r="K12023" s="245"/>
      <c r="L12023" s="245">
        <f>K12022</f>
        <v>1374586.049999997</v>
      </c>
    </row>
    <row r="12024" spans="1:13" ht="11.25" customHeight="1" x14ac:dyDescent="0.2">
      <c r="A12024" s="246">
        <v>2024</v>
      </c>
      <c r="B12024" s="238">
        <v>10</v>
      </c>
      <c r="C12024" s="238">
        <v>3</v>
      </c>
      <c r="D12024" s="270">
        <f t="shared" si="1752"/>
        <v>45568</v>
      </c>
      <c r="E12024" s="279">
        <f t="shared" si="1753"/>
        <v>45568</v>
      </c>
      <c r="F12024" s="482" t="s">
        <v>148</v>
      </c>
      <c r="G12024" s="247" t="s">
        <v>94</v>
      </c>
      <c r="H12024" s="247"/>
      <c r="I12024" s="248" t="s">
        <v>348</v>
      </c>
      <c r="J12024" s="249" t="s">
        <v>95</v>
      </c>
      <c r="K12024" s="250">
        <v>2747.2527472527472</v>
      </c>
      <c r="L12024" s="241"/>
    </row>
    <row r="12025" spans="1:13" x14ac:dyDescent="0.2">
      <c r="A12025" s="242">
        <v>2024</v>
      </c>
      <c r="B12025" s="242">
        <v>10</v>
      </c>
      <c r="C12025" s="242">
        <v>3</v>
      </c>
      <c r="D12025" s="270">
        <f t="shared" si="1752"/>
        <v>45568</v>
      </c>
      <c r="E12025" s="279">
        <f t="shared" si="1753"/>
        <v>45568</v>
      </c>
      <c r="F12025" s="478"/>
      <c r="G12025" s="243" t="s">
        <v>94</v>
      </c>
      <c r="H12025" s="243"/>
      <c r="I12025" s="263" t="s">
        <v>348</v>
      </c>
      <c r="J12025" s="244" t="s">
        <v>63</v>
      </c>
      <c r="K12025" s="245"/>
      <c r="L12025" s="245">
        <v>2747.2527472527472</v>
      </c>
    </row>
    <row r="12026" spans="1:13" x14ac:dyDescent="0.2">
      <c r="A12026" s="246">
        <v>2024</v>
      </c>
      <c r="B12026" s="238">
        <v>10</v>
      </c>
      <c r="C12026" s="238">
        <v>3</v>
      </c>
      <c r="D12026" s="270">
        <f t="shared" si="1752"/>
        <v>45568</v>
      </c>
      <c r="E12026" s="279">
        <f t="shared" si="1753"/>
        <v>45568</v>
      </c>
      <c r="F12026" s="482" t="s">
        <v>137</v>
      </c>
      <c r="G12026" s="247" t="s">
        <v>94</v>
      </c>
      <c r="H12026" s="247"/>
      <c r="I12026" s="248" t="s">
        <v>348</v>
      </c>
      <c r="J12026" s="249" t="s">
        <v>97</v>
      </c>
      <c r="K12026" s="250">
        <f>M12026</f>
        <v>58148.991250049519</v>
      </c>
      <c r="L12026" s="252"/>
      <c r="M12026" s="264">
        <v>58148.991250049519</v>
      </c>
    </row>
    <row r="12027" spans="1:13" x14ac:dyDescent="0.2">
      <c r="A12027" s="242">
        <v>2024</v>
      </c>
      <c r="B12027" s="242">
        <v>10</v>
      </c>
      <c r="C12027" s="242">
        <v>3</v>
      </c>
      <c r="D12027" s="270">
        <f t="shared" si="1752"/>
        <v>45568</v>
      </c>
      <c r="E12027" s="279">
        <f t="shared" si="1753"/>
        <v>45568</v>
      </c>
      <c r="F12027" s="478"/>
      <c r="G12027" s="243" t="s">
        <v>94</v>
      </c>
      <c r="H12027" s="243"/>
      <c r="I12027" s="263" t="s">
        <v>348</v>
      </c>
      <c r="J12027" s="244" t="s">
        <v>47</v>
      </c>
      <c r="K12027" s="245"/>
      <c r="L12027" s="245">
        <f>K12026</f>
        <v>58148.991250049519</v>
      </c>
      <c r="M12027" s="264">
        <v>2667.0649471178604</v>
      </c>
    </row>
    <row r="12028" spans="1:13" x14ac:dyDescent="0.2">
      <c r="A12028" s="246">
        <v>2024</v>
      </c>
      <c r="B12028" s="238">
        <v>10</v>
      </c>
      <c r="C12028" s="238">
        <v>3</v>
      </c>
      <c r="D12028" s="270">
        <f t="shared" si="1752"/>
        <v>45568</v>
      </c>
      <c r="E12028" s="279">
        <f t="shared" si="1753"/>
        <v>45568</v>
      </c>
      <c r="F12028" s="482" t="s">
        <v>138</v>
      </c>
      <c r="G12028" s="247" t="s">
        <v>94</v>
      </c>
      <c r="H12028" s="247"/>
      <c r="I12028" s="248" t="s">
        <v>348</v>
      </c>
      <c r="J12028" s="249" t="s">
        <v>100</v>
      </c>
      <c r="K12028" s="250">
        <f>M12027</f>
        <v>2667.0649471178604</v>
      </c>
      <c r="L12028" s="252"/>
    </row>
    <row r="12029" spans="1:13" x14ac:dyDescent="0.2">
      <c r="A12029" s="242">
        <v>2024</v>
      </c>
      <c r="B12029" s="242">
        <v>10</v>
      </c>
      <c r="C12029" s="242">
        <v>3</v>
      </c>
      <c r="D12029" s="321">
        <f t="shared" si="1752"/>
        <v>45568</v>
      </c>
      <c r="E12029" s="322">
        <f t="shared" si="1753"/>
        <v>45568</v>
      </c>
      <c r="F12029" s="478"/>
      <c r="G12029" s="243" t="s">
        <v>94</v>
      </c>
      <c r="H12029" s="243"/>
      <c r="I12029" s="263" t="s">
        <v>348</v>
      </c>
      <c r="J12029" s="244" t="s">
        <v>48</v>
      </c>
      <c r="K12029" s="245"/>
      <c r="L12029" s="245">
        <f>K12028</f>
        <v>2667.0649471178604</v>
      </c>
    </row>
    <row r="12030" spans="1:13" x14ac:dyDescent="0.2">
      <c r="A12030" s="168">
        <v>2024</v>
      </c>
      <c r="B12030" s="168">
        <v>10</v>
      </c>
      <c r="C12030" s="133">
        <v>5</v>
      </c>
      <c r="D12030" s="141">
        <f t="shared" si="1752"/>
        <v>45570</v>
      </c>
      <c r="E12030" s="275">
        <f t="shared" si="1753"/>
        <v>45570</v>
      </c>
      <c r="F12030" s="479" t="s">
        <v>1319</v>
      </c>
      <c r="G12030" s="220" t="s">
        <v>74</v>
      </c>
      <c r="H12030" s="142" t="str" cm="1">
        <f t="array" ref="H12030">IFERROR(INDEX(INVESTOR_LIST[INVESTOR NAME],MATCH(I12030,INVESTOR_LIST[INVESTOR CODE],0),)," ")</f>
        <v xml:space="preserve"> </v>
      </c>
      <c r="I12030" s="142"/>
      <c r="J12030" s="168" t="s">
        <v>52</v>
      </c>
      <c r="K12030" s="226">
        <v>52000</v>
      </c>
      <c r="L12030" s="226"/>
    </row>
    <row r="12031" spans="1:13" x14ac:dyDescent="0.2">
      <c r="A12031" s="133">
        <v>2024</v>
      </c>
      <c r="B12031" s="133">
        <v>10</v>
      </c>
      <c r="C12031" s="133">
        <v>5</v>
      </c>
      <c r="D12031" s="141">
        <f t="shared" si="1752"/>
        <v>45570</v>
      </c>
      <c r="E12031" s="275">
        <f t="shared" si="1753"/>
        <v>45570</v>
      </c>
      <c r="F12031" s="481"/>
      <c r="G12031" s="174" t="s">
        <v>74</v>
      </c>
      <c r="H12031" s="148" t="str" cm="1">
        <f t="array" ref="H12031">IFERROR(INDEX(INVESTOR_LIST[INVESTOR NAME],MATCH(I12031,INVESTOR_LIST[INVESTOR CODE],0),)," ")</f>
        <v xml:space="preserve"> </v>
      </c>
      <c r="J12031" s="133" t="s">
        <v>13</v>
      </c>
      <c r="K12031" s="218"/>
      <c r="L12031" s="218">
        <v>40130</v>
      </c>
    </row>
    <row r="12032" spans="1:13" x14ac:dyDescent="0.2">
      <c r="A12032" s="163">
        <v>2024</v>
      </c>
      <c r="B12032" s="163">
        <v>10</v>
      </c>
      <c r="C12032" s="163">
        <v>5</v>
      </c>
      <c r="D12032" s="280">
        <f t="shared" si="1752"/>
        <v>45570</v>
      </c>
      <c r="E12032" s="281">
        <f t="shared" si="1753"/>
        <v>45570</v>
      </c>
      <c r="F12032" s="480"/>
      <c r="G12032" s="221" t="s">
        <v>74</v>
      </c>
      <c r="H12032" s="145" t="str" cm="1">
        <f t="array" ref="H12032">IFERROR(INDEX(INVESTOR_LIST[INVESTOR NAME],MATCH(I12032,INVESTOR_LIST[INVESTOR CODE],0),)," ")</f>
        <v xml:space="preserve"> </v>
      </c>
      <c r="I12032" s="145"/>
      <c r="J12032" s="163" t="s">
        <v>53</v>
      </c>
      <c r="K12032" s="219"/>
      <c r="L12032" s="219">
        <v>11870</v>
      </c>
    </row>
    <row r="12033" spans="1:13" ht="11.25" customHeight="1" x14ac:dyDescent="0.2">
      <c r="A12033" s="168">
        <v>2024</v>
      </c>
      <c r="B12033" s="133">
        <v>10</v>
      </c>
      <c r="C12033" s="168">
        <v>6</v>
      </c>
      <c r="D12033" s="141">
        <f t="shared" si="1752"/>
        <v>45571</v>
      </c>
      <c r="E12033" s="275">
        <f t="shared" si="1753"/>
        <v>45571</v>
      </c>
      <c r="F12033" s="479" t="s">
        <v>1768</v>
      </c>
      <c r="G12033" s="220" t="s">
        <v>74</v>
      </c>
      <c r="H12033" s="220" t="str" cm="1">
        <f t="array" ref="H12033">IFERROR(INDEX(INVESTOR_LIST[INVESTOR NAME],MATCH(I12033,INVESTOR_LIST[INVESTOR CODE],0),)," ")</f>
        <v xml:space="preserve"> </v>
      </c>
      <c r="I12033" s="142"/>
      <c r="J12033" s="143" t="s">
        <v>147</v>
      </c>
      <c r="K12033" s="226">
        <v>984484.39</v>
      </c>
      <c r="L12033" s="226"/>
    </row>
    <row r="12034" spans="1:13" x14ac:dyDescent="0.2">
      <c r="A12034" s="163">
        <v>2024</v>
      </c>
      <c r="B12034" s="163">
        <v>10</v>
      </c>
      <c r="C12034" s="163">
        <v>6</v>
      </c>
      <c r="D12034" s="280">
        <f t="shared" si="1752"/>
        <v>45571</v>
      </c>
      <c r="E12034" s="281">
        <f t="shared" si="1753"/>
        <v>45571</v>
      </c>
      <c r="F12034" s="480"/>
      <c r="G12034" s="221" t="s">
        <v>74</v>
      </c>
      <c r="H12034" s="221" t="str" cm="1">
        <f t="array" ref="H12034">IFERROR(INDEX(INVESTOR_LIST[INVESTOR NAME],MATCH(I12034,INVESTOR_LIST[INVESTOR CODE],0),)," ")</f>
        <v xml:space="preserve"> </v>
      </c>
      <c r="I12034" s="145" t="s">
        <v>348</v>
      </c>
      <c r="J12034" s="146" t="s">
        <v>52</v>
      </c>
      <c r="K12034" s="219"/>
      <c r="L12034" s="219">
        <v>984484.39</v>
      </c>
    </row>
    <row r="12035" spans="1:13" x14ac:dyDescent="0.2">
      <c r="A12035" s="168">
        <v>2024</v>
      </c>
      <c r="B12035" s="168">
        <v>10</v>
      </c>
      <c r="C12035" s="168">
        <v>6</v>
      </c>
      <c r="D12035" s="141">
        <f t="shared" ref="D12035:D12043" si="1758">DATE(A12035,B12035,C12035)</f>
        <v>45571</v>
      </c>
      <c r="E12035" s="275">
        <f t="shared" ref="E12035:E12043" si="1759">DATE(A12035,B12035,C12035)</f>
        <v>45571</v>
      </c>
      <c r="F12035" s="479" t="s">
        <v>1979</v>
      </c>
      <c r="G12035" s="220" t="s">
        <v>94</v>
      </c>
      <c r="H12035" s="220" t="str" cm="1">
        <f t="array" ref="H12035">IFERROR(INDEX(INVESTOR_LIST[INVESTOR NAME],MATCH(I12035,INVESTOR_LIST[INVESTOR CODE],0),)," ")</f>
        <v xml:space="preserve"> </v>
      </c>
      <c r="I12035" s="142"/>
      <c r="J12035" s="143" t="s">
        <v>79</v>
      </c>
      <c r="K12035" s="226">
        <v>437711</v>
      </c>
      <c r="L12035" s="226"/>
      <c r="M12035" s="160"/>
    </row>
    <row r="12036" spans="1:13" x14ac:dyDescent="0.2">
      <c r="A12036" s="133">
        <v>2024</v>
      </c>
      <c r="B12036" s="133">
        <v>10</v>
      </c>
      <c r="C12036" s="133">
        <v>6</v>
      </c>
      <c r="D12036" s="141">
        <f t="shared" si="1758"/>
        <v>45571</v>
      </c>
      <c r="E12036" s="275">
        <f t="shared" si="1759"/>
        <v>45571</v>
      </c>
      <c r="F12036" s="481"/>
      <c r="G12036" s="174" t="s">
        <v>94</v>
      </c>
      <c r="H12036" s="174" t="str" cm="1">
        <f t="array" ref="H12036">IFERROR(INDEX(INVESTOR_LIST[INVESTOR NAME],MATCH(I12036,INVESTOR_LIST[INVESTOR CODE],0),)," ")</f>
        <v xml:space="preserve"> </v>
      </c>
      <c r="J12036" s="149" t="s">
        <v>80</v>
      </c>
      <c r="K12036" s="218">
        <v>787.87980000000005</v>
      </c>
      <c r="L12036" s="133"/>
    </row>
    <row r="12037" spans="1:13" x14ac:dyDescent="0.2">
      <c r="A12037" s="163">
        <v>2024</v>
      </c>
      <c r="B12037" s="163">
        <v>10</v>
      </c>
      <c r="C12037" s="163">
        <v>6</v>
      </c>
      <c r="D12037" s="280">
        <f t="shared" si="1758"/>
        <v>45571</v>
      </c>
      <c r="E12037" s="281">
        <f t="shared" si="1759"/>
        <v>45571</v>
      </c>
      <c r="F12037" s="480"/>
      <c r="G12037" s="221" t="s">
        <v>94</v>
      </c>
      <c r="H12037" s="221" t="str" cm="1">
        <f t="array" ref="H12037">IFERROR(INDEX(INVESTOR_LIST[INVESTOR NAME],MATCH(I12037,INVESTOR_LIST[INVESTOR CODE],0),)," ")</f>
        <v xml:space="preserve"> </v>
      </c>
      <c r="I12037" s="145"/>
      <c r="J12037" s="146" t="s">
        <v>147</v>
      </c>
      <c r="K12037" s="219"/>
      <c r="L12037" s="219">
        <v>438498.8798</v>
      </c>
    </row>
    <row r="12038" spans="1:13" x14ac:dyDescent="0.2">
      <c r="A12038" s="133">
        <v>2024</v>
      </c>
      <c r="B12038" s="133">
        <v>10</v>
      </c>
      <c r="C12038" s="133">
        <v>6</v>
      </c>
      <c r="D12038" s="147">
        <f t="shared" si="1758"/>
        <v>45571</v>
      </c>
      <c r="E12038" s="311">
        <f t="shared" si="1759"/>
        <v>45571</v>
      </c>
      <c r="F12038" s="479" t="s">
        <v>1943</v>
      </c>
      <c r="G12038" s="174" t="s">
        <v>74</v>
      </c>
      <c r="H12038" s="148" t="str" cm="1">
        <f t="array" ref="H12038">IFERROR(INDEX(INVESTOR_LIST[INVESTOR NAME],MATCH(I12038,INVESTOR_LIST[INVESTOR CODE],0),)," ")</f>
        <v xml:space="preserve"> </v>
      </c>
      <c r="I12038" s="148" t="s">
        <v>348</v>
      </c>
      <c r="J12038" s="133" t="s">
        <v>61</v>
      </c>
      <c r="K12038" s="172">
        <v>100</v>
      </c>
    </row>
    <row r="12039" spans="1:13" x14ac:dyDescent="0.2">
      <c r="A12039" s="163">
        <v>2024</v>
      </c>
      <c r="B12039" s="163">
        <v>10</v>
      </c>
      <c r="C12039" s="163">
        <v>6</v>
      </c>
      <c r="D12039" s="280">
        <f t="shared" si="1758"/>
        <v>45571</v>
      </c>
      <c r="E12039" s="281">
        <f t="shared" si="1759"/>
        <v>45571</v>
      </c>
      <c r="F12039" s="480"/>
      <c r="G12039" s="221" t="s">
        <v>74</v>
      </c>
      <c r="H12039" s="145" t="str" cm="1">
        <f t="array" ref="H12039">IFERROR(INDEX(INVESTOR_LIST[INVESTOR NAME],MATCH(I12039,INVESTOR_LIST[INVESTOR CODE],0),)," ")</f>
        <v xml:space="preserve"> </v>
      </c>
      <c r="I12039" s="145" t="s">
        <v>348</v>
      </c>
      <c r="J12039" s="163" t="s">
        <v>52</v>
      </c>
      <c r="K12039" s="219"/>
      <c r="L12039" s="219">
        <v>100</v>
      </c>
    </row>
    <row r="12040" spans="1:13" ht="11.25" customHeight="1" x14ac:dyDescent="0.2">
      <c r="A12040" s="168">
        <v>2024</v>
      </c>
      <c r="B12040" s="133">
        <v>10</v>
      </c>
      <c r="C12040" s="168">
        <v>7</v>
      </c>
      <c r="D12040" s="141">
        <f t="shared" si="1758"/>
        <v>45572</v>
      </c>
      <c r="E12040" s="275">
        <f t="shared" si="1759"/>
        <v>45572</v>
      </c>
      <c r="F12040" s="479" t="s">
        <v>1768</v>
      </c>
      <c r="G12040" s="220" t="s">
        <v>74</v>
      </c>
      <c r="H12040" s="220" t="str" cm="1">
        <f t="array" ref="H12040">IFERROR(INDEX(INVESTOR_LIST[INVESTOR NAME],MATCH(I12040,INVESTOR_LIST[INVESTOR CODE],0),)," ")</f>
        <v xml:space="preserve"> </v>
      </c>
      <c r="I12040" s="142"/>
      <c r="J12040" s="143" t="s">
        <v>147</v>
      </c>
      <c r="K12040" s="226">
        <v>438498.88</v>
      </c>
      <c r="L12040" s="226"/>
    </row>
    <row r="12041" spans="1:13" x14ac:dyDescent="0.2">
      <c r="A12041" s="163">
        <v>2024</v>
      </c>
      <c r="B12041" s="163">
        <v>10</v>
      </c>
      <c r="C12041" s="163">
        <v>7</v>
      </c>
      <c r="D12041" s="280">
        <f t="shared" si="1758"/>
        <v>45572</v>
      </c>
      <c r="E12041" s="281">
        <f t="shared" si="1759"/>
        <v>45572</v>
      </c>
      <c r="F12041" s="480"/>
      <c r="G12041" s="221" t="s">
        <v>74</v>
      </c>
      <c r="H12041" s="221" t="str" cm="1">
        <f t="array" ref="H12041">IFERROR(INDEX(INVESTOR_LIST[INVESTOR NAME],MATCH(I12041,INVESTOR_LIST[INVESTOR CODE],0),)," ")</f>
        <v xml:space="preserve"> </v>
      </c>
      <c r="I12041" s="145" t="s">
        <v>348</v>
      </c>
      <c r="J12041" s="146" t="s">
        <v>52</v>
      </c>
      <c r="K12041" s="219"/>
      <c r="L12041" s="219">
        <v>438498.88</v>
      </c>
    </row>
    <row r="12042" spans="1:13" x14ac:dyDescent="0.2">
      <c r="A12042" s="168">
        <v>2024</v>
      </c>
      <c r="B12042" s="133">
        <v>10</v>
      </c>
      <c r="C12042" s="168">
        <v>7</v>
      </c>
      <c r="D12042" s="141">
        <f t="shared" si="1758"/>
        <v>45572</v>
      </c>
      <c r="E12042" s="275">
        <f t="shared" si="1759"/>
        <v>45572</v>
      </c>
      <c r="F12042" s="479" t="s">
        <v>907</v>
      </c>
      <c r="G12042" s="220" t="s">
        <v>74</v>
      </c>
      <c r="H12042" s="220" t="str" cm="1">
        <f t="array" ref="H12042">IFERROR(INDEX(INVESTOR_LIST[INVESTOR NAME],MATCH(I12042,INVESTOR_LIST[INVESTOR CODE],0),)," ")</f>
        <v xml:space="preserve"> </v>
      </c>
      <c r="I12042" s="142" t="s">
        <v>348</v>
      </c>
      <c r="J12042" s="143" t="s">
        <v>104</v>
      </c>
      <c r="K12042" s="226">
        <v>26000</v>
      </c>
      <c r="L12042" s="226"/>
    </row>
    <row r="12043" spans="1:13" x14ac:dyDescent="0.2">
      <c r="A12043" s="163">
        <v>2024</v>
      </c>
      <c r="B12043" s="163">
        <v>10</v>
      </c>
      <c r="C12043" s="163">
        <v>7</v>
      </c>
      <c r="D12043" s="280">
        <f t="shared" si="1758"/>
        <v>45572</v>
      </c>
      <c r="E12043" s="281">
        <f t="shared" si="1759"/>
        <v>45572</v>
      </c>
      <c r="F12043" s="480"/>
      <c r="G12043" s="221" t="s">
        <v>74</v>
      </c>
      <c r="H12043" s="221" t="str" cm="1">
        <f t="array" ref="H12043">IFERROR(INDEX(INVESTOR_LIST[INVESTOR NAME],MATCH(I12043,INVESTOR_LIST[INVESTOR CODE],0),)," ")</f>
        <v xml:space="preserve"> </v>
      </c>
      <c r="I12043" s="145" t="s">
        <v>348</v>
      </c>
      <c r="J12043" s="146" t="s">
        <v>52</v>
      </c>
      <c r="K12043" s="219"/>
      <c r="L12043" s="219">
        <v>26000</v>
      </c>
    </row>
    <row r="12044" spans="1:13" x14ac:dyDescent="0.2">
      <c r="A12044" s="168">
        <v>2024</v>
      </c>
      <c r="B12044" s="168">
        <v>10</v>
      </c>
      <c r="C12044" s="168">
        <v>7</v>
      </c>
      <c r="D12044" s="141">
        <f t="shared" ref="D12044:D12048" si="1760">DATE(A12044,B12044,C12044)</f>
        <v>45572</v>
      </c>
      <c r="E12044" s="275">
        <f t="shared" ref="E12044:E12048" si="1761">DATE(A12044,B12044,C12044)</f>
        <v>45572</v>
      </c>
      <c r="F12044" s="479" t="s">
        <v>1979</v>
      </c>
      <c r="G12044" s="220" t="s">
        <v>94</v>
      </c>
      <c r="H12044" s="220" t="str" cm="1">
        <f t="array" ref="H12044">IFERROR(INDEX(INVESTOR_LIST[INVESTOR NAME],MATCH(I12044,INVESTOR_LIST[INVESTOR CODE],0),)," ")</f>
        <v xml:space="preserve"> </v>
      </c>
      <c r="I12044" s="142"/>
      <c r="J12044" s="143" t="s">
        <v>79</v>
      </c>
      <c r="K12044" s="226">
        <v>960280</v>
      </c>
      <c r="L12044" s="226"/>
      <c r="M12044" s="160"/>
    </row>
    <row r="12045" spans="1:13" x14ac:dyDescent="0.2">
      <c r="A12045" s="133">
        <v>2024</v>
      </c>
      <c r="B12045" s="133">
        <v>10</v>
      </c>
      <c r="C12045" s="133">
        <v>7</v>
      </c>
      <c r="D12045" s="141">
        <f t="shared" si="1760"/>
        <v>45572</v>
      </c>
      <c r="E12045" s="275">
        <f t="shared" si="1761"/>
        <v>45572</v>
      </c>
      <c r="F12045" s="481"/>
      <c r="G12045" s="174" t="s">
        <v>94</v>
      </c>
      <c r="H12045" s="174" t="str" cm="1">
        <f t="array" ref="H12045">IFERROR(INDEX(INVESTOR_LIST[INVESTOR NAME],MATCH(I12045,INVESTOR_LIST[INVESTOR CODE],0),)," ")</f>
        <v xml:space="preserve"> </v>
      </c>
      <c r="J12045" s="149" t="s">
        <v>80</v>
      </c>
      <c r="K12045" s="218">
        <v>1728.5039999999999</v>
      </c>
      <c r="L12045" s="133"/>
    </row>
    <row r="12046" spans="1:13" x14ac:dyDescent="0.2">
      <c r="A12046" s="163">
        <v>2024</v>
      </c>
      <c r="B12046" s="163">
        <v>10</v>
      </c>
      <c r="C12046" s="163">
        <v>7</v>
      </c>
      <c r="D12046" s="280">
        <f t="shared" si="1760"/>
        <v>45572</v>
      </c>
      <c r="E12046" s="281">
        <f t="shared" si="1761"/>
        <v>45572</v>
      </c>
      <c r="F12046" s="480"/>
      <c r="G12046" s="221" t="s">
        <v>94</v>
      </c>
      <c r="H12046" s="221" t="str" cm="1">
        <f t="array" ref="H12046">IFERROR(INDEX(INVESTOR_LIST[INVESTOR NAME],MATCH(I12046,INVESTOR_LIST[INVESTOR CODE],0),)," ")</f>
        <v xml:space="preserve"> </v>
      </c>
      <c r="I12046" s="145"/>
      <c r="J12046" s="146" t="s">
        <v>147</v>
      </c>
      <c r="K12046" s="219"/>
      <c r="L12046" s="219">
        <v>962008.50399999996</v>
      </c>
    </row>
    <row r="12047" spans="1:13" ht="11.25" customHeight="1" x14ac:dyDescent="0.2">
      <c r="A12047" s="168">
        <v>2024</v>
      </c>
      <c r="B12047" s="133">
        <v>10</v>
      </c>
      <c r="C12047" s="168">
        <v>8</v>
      </c>
      <c r="D12047" s="141">
        <f t="shared" si="1760"/>
        <v>45573</v>
      </c>
      <c r="E12047" s="275">
        <f t="shared" si="1761"/>
        <v>45573</v>
      </c>
      <c r="F12047" s="479" t="s">
        <v>1768</v>
      </c>
      <c r="G12047" s="220" t="s">
        <v>74</v>
      </c>
      <c r="H12047" s="220" t="str" cm="1">
        <f t="array" ref="H12047">IFERROR(INDEX(INVESTOR_LIST[INVESTOR NAME],MATCH(I12047,INVESTOR_LIST[INVESTOR CODE],0),)," ")</f>
        <v xml:space="preserve"> </v>
      </c>
      <c r="I12047" s="142"/>
      <c r="J12047" s="143" t="s">
        <v>147</v>
      </c>
      <c r="K12047" s="226">
        <v>962008.5</v>
      </c>
      <c r="L12047" s="226"/>
    </row>
    <row r="12048" spans="1:13" x14ac:dyDescent="0.2">
      <c r="A12048" s="163">
        <v>2024</v>
      </c>
      <c r="B12048" s="163">
        <v>10</v>
      </c>
      <c r="C12048" s="163">
        <v>8</v>
      </c>
      <c r="D12048" s="280">
        <f t="shared" si="1760"/>
        <v>45573</v>
      </c>
      <c r="E12048" s="281">
        <f t="shared" si="1761"/>
        <v>45573</v>
      </c>
      <c r="F12048" s="480"/>
      <c r="G12048" s="221" t="s">
        <v>74</v>
      </c>
      <c r="H12048" s="221" t="str" cm="1">
        <f t="array" ref="H12048">IFERROR(INDEX(INVESTOR_LIST[INVESTOR NAME],MATCH(I12048,INVESTOR_LIST[INVESTOR CODE],0),)," ")</f>
        <v xml:space="preserve"> </v>
      </c>
      <c r="I12048" s="145" t="s">
        <v>348</v>
      </c>
      <c r="J12048" s="146" t="s">
        <v>52</v>
      </c>
      <c r="K12048" s="219"/>
      <c r="L12048" s="219">
        <v>962008.5</v>
      </c>
    </row>
    <row r="12049" spans="1:17" x14ac:dyDescent="0.2">
      <c r="A12049" s="168">
        <v>2024</v>
      </c>
      <c r="B12049" s="168">
        <v>10</v>
      </c>
      <c r="C12049" s="168">
        <v>8</v>
      </c>
      <c r="D12049" s="141">
        <f t="shared" ref="D12049:D12053" si="1762">DATE(A12049,B12049,C12049)</f>
        <v>45573</v>
      </c>
      <c r="E12049" s="275">
        <f t="shared" ref="E12049:E12053" si="1763">DATE(A12049,B12049,C12049)</f>
        <v>45573</v>
      </c>
      <c r="F12049" s="479" t="s">
        <v>1991</v>
      </c>
      <c r="G12049" s="220" t="s">
        <v>94</v>
      </c>
      <c r="H12049" s="220" t="str" cm="1">
        <f t="array" ref="H12049">IFERROR(INDEX(INVESTOR_LIST[INVESTOR NAME],MATCH(I12049,INVESTOR_LIST[INVESTOR CODE],0),)," ")</f>
        <v xml:space="preserve"> </v>
      </c>
      <c r="I12049" s="142"/>
      <c r="J12049" s="143" t="s">
        <v>79</v>
      </c>
      <c r="K12049" s="226">
        <v>1943311.4</v>
      </c>
      <c r="L12049" s="226"/>
      <c r="M12049" s="160"/>
    </row>
    <row r="12050" spans="1:17" x14ac:dyDescent="0.2">
      <c r="A12050" s="133">
        <v>2024</v>
      </c>
      <c r="B12050" s="133">
        <v>10</v>
      </c>
      <c r="C12050" s="133">
        <v>8</v>
      </c>
      <c r="D12050" s="141">
        <f t="shared" si="1762"/>
        <v>45573</v>
      </c>
      <c r="E12050" s="275">
        <f t="shared" si="1763"/>
        <v>45573</v>
      </c>
      <c r="F12050" s="481"/>
      <c r="G12050" s="174" t="s">
        <v>94</v>
      </c>
      <c r="H12050" s="174" t="str" cm="1">
        <f t="array" ref="H12050">IFERROR(INDEX(INVESTOR_LIST[INVESTOR NAME],MATCH(I12050,INVESTOR_LIST[INVESTOR CODE],0),)," ")</f>
        <v xml:space="preserve"> </v>
      </c>
      <c r="J12050" s="149" t="s">
        <v>80</v>
      </c>
      <c r="K12050" s="218">
        <v>3497.96</v>
      </c>
      <c r="L12050" s="133"/>
    </row>
    <row r="12051" spans="1:17" x14ac:dyDescent="0.2">
      <c r="A12051" s="163">
        <v>2024</v>
      </c>
      <c r="B12051" s="163">
        <v>10</v>
      </c>
      <c r="C12051" s="163">
        <v>8</v>
      </c>
      <c r="D12051" s="280">
        <f t="shared" si="1762"/>
        <v>45573</v>
      </c>
      <c r="E12051" s="281">
        <f t="shared" si="1763"/>
        <v>45573</v>
      </c>
      <c r="F12051" s="480"/>
      <c r="G12051" s="221" t="s">
        <v>94</v>
      </c>
      <c r="H12051" s="221" t="str" cm="1">
        <f t="array" ref="H12051">IFERROR(INDEX(INVESTOR_LIST[INVESTOR NAME],MATCH(I12051,INVESTOR_LIST[INVESTOR CODE],0),)," ")</f>
        <v xml:space="preserve"> </v>
      </c>
      <c r="I12051" s="145"/>
      <c r="J12051" s="146" t="s">
        <v>147</v>
      </c>
      <c r="K12051" s="219"/>
      <c r="L12051" s="219">
        <v>1946809.36</v>
      </c>
    </row>
    <row r="12052" spans="1:17" x14ac:dyDescent="0.2">
      <c r="A12052" s="133">
        <v>2024</v>
      </c>
      <c r="B12052" s="133">
        <v>10</v>
      </c>
      <c r="C12052" s="133">
        <v>8</v>
      </c>
      <c r="D12052" s="147">
        <f t="shared" si="1762"/>
        <v>45573</v>
      </c>
      <c r="E12052" s="311">
        <f t="shared" si="1763"/>
        <v>45573</v>
      </c>
      <c r="F12052" s="479" t="s">
        <v>1943</v>
      </c>
      <c r="G12052" s="174" t="s">
        <v>74</v>
      </c>
      <c r="H12052" s="148" t="str" cm="1">
        <f t="array" ref="H12052">IFERROR(INDEX(INVESTOR_LIST[INVESTOR NAME],MATCH(I12052,INVESTOR_LIST[INVESTOR CODE],0),)," ")</f>
        <v xml:space="preserve"> </v>
      </c>
      <c r="I12052" s="148" t="s">
        <v>348</v>
      </c>
      <c r="J12052" s="133" t="s">
        <v>61</v>
      </c>
      <c r="K12052" s="172">
        <v>100</v>
      </c>
    </row>
    <row r="12053" spans="1:17" x14ac:dyDescent="0.2">
      <c r="A12053" s="163">
        <v>2024</v>
      </c>
      <c r="B12053" s="163">
        <v>10</v>
      </c>
      <c r="C12053" s="163">
        <v>8</v>
      </c>
      <c r="D12053" s="280">
        <f t="shared" si="1762"/>
        <v>45573</v>
      </c>
      <c r="E12053" s="281">
        <f t="shared" si="1763"/>
        <v>45573</v>
      </c>
      <c r="F12053" s="480"/>
      <c r="G12053" s="221" t="s">
        <v>74</v>
      </c>
      <c r="H12053" s="145" t="str" cm="1">
        <f t="array" ref="H12053">IFERROR(INDEX(INVESTOR_LIST[INVESTOR NAME],MATCH(I12053,INVESTOR_LIST[INVESTOR CODE],0),)," ")</f>
        <v xml:space="preserve"> </v>
      </c>
      <c r="I12053" s="145" t="s">
        <v>348</v>
      </c>
      <c r="J12053" s="163" t="s">
        <v>52</v>
      </c>
      <c r="K12053" s="219"/>
      <c r="L12053" s="219">
        <v>100</v>
      </c>
    </row>
    <row r="12054" spans="1:17" x14ac:dyDescent="0.2">
      <c r="A12054" s="168">
        <v>2024</v>
      </c>
      <c r="B12054" s="168">
        <v>10</v>
      </c>
      <c r="C12054" s="168">
        <v>9</v>
      </c>
      <c r="D12054" s="141">
        <f t="shared" ref="D12054:D12088" si="1764">DATE(A12054,B12054,C12054)</f>
        <v>45574</v>
      </c>
      <c r="E12054" s="275">
        <f t="shared" ref="E12054:E12088" si="1765">DATE(A12054,B12054,C12054)</f>
        <v>45574</v>
      </c>
      <c r="F12054" s="479" t="s">
        <v>1991</v>
      </c>
      <c r="G12054" s="220" t="s">
        <v>94</v>
      </c>
      <c r="H12054" s="220" t="str" cm="1">
        <f t="array" ref="H12054">IFERROR(INDEX(INVESTOR_LIST[INVESTOR NAME],MATCH(I12054,INVESTOR_LIST[INVESTOR CODE],0),)," ")</f>
        <v xml:space="preserve"> </v>
      </c>
      <c r="I12054" s="142"/>
      <c r="J12054" s="143" t="s">
        <v>79</v>
      </c>
      <c r="K12054" s="226">
        <v>169050</v>
      </c>
      <c r="L12054" s="226"/>
      <c r="M12054" s="160"/>
    </row>
    <row r="12055" spans="1:17" x14ac:dyDescent="0.2">
      <c r="A12055" s="133">
        <v>2024</v>
      </c>
      <c r="B12055" s="133">
        <v>10</v>
      </c>
      <c r="C12055" s="133">
        <v>9</v>
      </c>
      <c r="D12055" s="141">
        <f t="shared" si="1764"/>
        <v>45574</v>
      </c>
      <c r="E12055" s="275">
        <f t="shared" si="1765"/>
        <v>45574</v>
      </c>
      <c r="F12055" s="481"/>
      <c r="G12055" s="174" t="s">
        <v>94</v>
      </c>
      <c r="H12055" s="174" t="str" cm="1">
        <f t="array" ref="H12055">IFERROR(INDEX(INVESTOR_LIST[INVESTOR NAME],MATCH(I12055,INVESTOR_LIST[INVESTOR CODE],0),)," ")</f>
        <v xml:space="preserve"> </v>
      </c>
      <c r="J12055" s="149" t="s">
        <v>80</v>
      </c>
      <c r="K12055" s="218">
        <v>304.29000000000002</v>
      </c>
      <c r="L12055" s="133"/>
    </row>
    <row r="12056" spans="1:17" x14ac:dyDescent="0.2">
      <c r="A12056" s="163">
        <v>2024</v>
      </c>
      <c r="B12056" s="163">
        <v>10</v>
      </c>
      <c r="C12056" s="163">
        <v>9</v>
      </c>
      <c r="D12056" s="280">
        <f t="shared" si="1764"/>
        <v>45574</v>
      </c>
      <c r="E12056" s="281">
        <f t="shared" si="1765"/>
        <v>45574</v>
      </c>
      <c r="F12056" s="480"/>
      <c r="G12056" s="221" t="s">
        <v>94</v>
      </c>
      <c r="H12056" s="221" t="str" cm="1">
        <f t="array" ref="H12056">IFERROR(INDEX(INVESTOR_LIST[INVESTOR NAME],MATCH(I12056,INVESTOR_LIST[INVESTOR CODE],0),)," ")</f>
        <v xml:space="preserve"> </v>
      </c>
      <c r="I12056" s="145"/>
      <c r="J12056" s="146" t="s">
        <v>147</v>
      </c>
      <c r="K12056" s="219"/>
      <c r="L12056" s="219">
        <v>169354.29</v>
      </c>
    </row>
    <row r="12057" spans="1:17" x14ac:dyDescent="0.2">
      <c r="A12057" s="168">
        <v>2024</v>
      </c>
      <c r="B12057" s="168">
        <v>10</v>
      </c>
      <c r="C12057" s="168">
        <v>9</v>
      </c>
      <c r="D12057" s="141">
        <f t="shared" si="1764"/>
        <v>45574</v>
      </c>
      <c r="E12057" s="275">
        <f t="shared" si="1765"/>
        <v>45574</v>
      </c>
      <c r="F12057" s="479" t="s">
        <v>1992</v>
      </c>
      <c r="G12057" s="174" t="s">
        <v>74</v>
      </c>
      <c r="H12057" s="174" t="str" cm="1">
        <f t="array" ref="H12057">IFERROR(INDEX(INVESTOR_LIST[INVESTOR NAME],MATCH(I12057,INVESTOR_LIST[INVESTOR CODE],0),)," ")</f>
        <v xml:space="preserve"> </v>
      </c>
      <c r="I12057" s="148" t="s">
        <v>348</v>
      </c>
      <c r="J12057" s="143" t="s">
        <v>1805</v>
      </c>
      <c r="K12057" s="218">
        <v>7505482.5</v>
      </c>
      <c r="L12057" s="218"/>
      <c r="M12057" s="147"/>
      <c r="Q12057" s="133" t="s">
        <v>348</v>
      </c>
    </row>
    <row r="12058" spans="1:17" x14ac:dyDescent="0.2">
      <c r="A12058" s="163">
        <v>2024</v>
      </c>
      <c r="B12058" s="163">
        <v>10</v>
      </c>
      <c r="C12058" s="163">
        <v>9</v>
      </c>
      <c r="D12058" s="280">
        <f t="shared" si="1764"/>
        <v>45574</v>
      </c>
      <c r="E12058" s="281">
        <f t="shared" si="1765"/>
        <v>45574</v>
      </c>
      <c r="F12058" s="480"/>
      <c r="G12058" s="221" t="s">
        <v>74</v>
      </c>
      <c r="H12058" s="221" t="str" cm="1">
        <f t="array" ref="H12058">IFERROR(INDEX(INVESTOR_LIST[INVESTOR NAME],MATCH(I12058,INVESTOR_LIST[INVESTOR CODE],0),)," ")</f>
        <v xml:space="preserve"> </v>
      </c>
      <c r="I12058" s="145"/>
      <c r="J12058" s="146" t="s">
        <v>52</v>
      </c>
      <c r="K12058" s="219"/>
      <c r="L12058" s="219">
        <v>7505482.5</v>
      </c>
      <c r="M12058" s="147"/>
      <c r="Q12058" s="133" t="s">
        <v>348</v>
      </c>
    </row>
    <row r="12059" spans="1:17" x14ac:dyDescent="0.2">
      <c r="A12059" s="325">
        <v>2024</v>
      </c>
      <c r="B12059" s="325">
        <v>10</v>
      </c>
      <c r="C12059" s="325">
        <v>9</v>
      </c>
      <c r="D12059" s="326">
        <f t="shared" si="1764"/>
        <v>45574</v>
      </c>
      <c r="E12059" s="327">
        <f t="shared" si="1765"/>
        <v>45574</v>
      </c>
      <c r="F12059" s="473" t="s">
        <v>1940</v>
      </c>
      <c r="G12059" s="340" t="s">
        <v>94</v>
      </c>
      <c r="H12059" s="340"/>
      <c r="I12059" s="341" t="s">
        <v>348</v>
      </c>
      <c r="J12059" s="374" t="s">
        <v>133</v>
      </c>
      <c r="K12059" s="375">
        <v>12905.555555555549</v>
      </c>
      <c r="L12059" s="375"/>
    </row>
    <row r="12060" spans="1:17" x14ac:dyDescent="0.2">
      <c r="A12060" s="331">
        <v>2024</v>
      </c>
      <c r="B12060" s="331">
        <v>10</v>
      </c>
      <c r="C12060" s="331">
        <v>9</v>
      </c>
      <c r="D12060" s="326">
        <f t="shared" si="1764"/>
        <v>45574</v>
      </c>
      <c r="E12060" s="327">
        <f t="shared" si="1765"/>
        <v>45574</v>
      </c>
      <c r="F12060" s="474"/>
      <c r="G12060" s="332" t="s">
        <v>94</v>
      </c>
      <c r="H12060" s="332"/>
      <c r="I12060" s="333" t="s">
        <v>348</v>
      </c>
      <c r="J12060" s="376" t="s">
        <v>60</v>
      </c>
      <c r="K12060" s="334"/>
      <c r="L12060" s="334">
        <v>12905.555555555549</v>
      </c>
    </row>
    <row r="12061" spans="1:17" x14ac:dyDescent="0.2">
      <c r="A12061" s="384">
        <v>2024</v>
      </c>
      <c r="B12061" s="384">
        <v>10</v>
      </c>
      <c r="C12061" s="384">
        <v>9</v>
      </c>
      <c r="D12061" s="385">
        <f t="shared" si="1764"/>
        <v>45574</v>
      </c>
      <c r="E12061" s="386">
        <f t="shared" si="1765"/>
        <v>45574</v>
      </c>
      <c r="F12061" s="475" t="s">
        <v>1966</v>
      </c>
      <c r="G12061" s="387" t="s">
        <v>94</v>
      </c>
      <c r="H12061" s="387"/>
      <c r="I12061" s="388" t="s">
        <v>348</v>
      </c>
      <c r="J12061" s="389" t="s">
        <v>67</v>
      </c>
      <c r="K12061" s="390">
        <v>18564.55</v>
      </c>
      <c r="L12061" s="390"/>
    </row>
    <row r="12062" spans="1:17" x14ac:dyDescent="0.2">
      <c r="A12062" s="391">
        <v>2024</v>
      </c>
      <c r="B12062" s="391">
        <v>10</v>
      </c>
      <c r="C12062" s="391">
        <v>9</v>
      </c>
      <c r="D12062" s="385">
        <f t="shared" si="1764"/>
        <v>45574</v>
      </c>
      <c r="E12062" s="386">
        <f t="shared" si="1765"/>
        <v>45574</v>
      </c>
      <c r="F12062" s="476"/>
      <c r="G12062" s="392" t="s">
        <v>94</v>
      </c>
      <c r="H12062" s="392"/>
      <c r="I12062" s="393" t="s">
        <v>348</v>
      </c>
      <c r="J12062" s="394" t="s">
        <v>60</v>
      </c>
      <c r="K12062" s="395"/>
      <c r="L12062" s="395">
        <f>K12061</f>
        <v>18564.55</v>
      </c>
    </row>
    <row r="12063" spans="1:17" x14ac:dyDescent="0.2">
      <c r="A12063" s="343">
        <v>2024</v>
      </c>
      <c r="B12063" s="343">
        <v>10</v>
      </c>
      <c r="C12063" s="343">
        <v>9</v>
      </c>
      <c r="D12063" s="344">
        <f t="shared" si="1764"/>
        <v>45574</v>
      </c>
      <c r="E12063" s="345">
        <f t="shared" si="1765"/>
        <v>45574</v>
      </c>
      <c r="F12063" s="483" t="s">
        <v>1813</v>
      </c>
      <c r="G12063" s="350" t="s">
        <v>94</v>
      </c>
      <c r="H12063" s="350"/>
      <c r="I12063" s="352" t="s">
        <v>348</v>
      </c>
      <c r="J12063" s="353" t="s">
        <v>1798</v>
      </c>
      <c r="K12063" s="354">
        <v>26342</v>
      </c>
      <c r="L12063" s="354"/>
    </row>
    <row r="12064" spans="1:17" x14ac:dyDescent="0.2">
      <c r="A12064" s="346">
        <v>2024</v>
      </c>
      <c r="B12064" s="346">
        <v>10</v>
      </c>
      <c r="C12064" s="346">
        <v>9</v>
      </c>
      <c r="D12064" s="344">
        <f t="shared" si="1764"/>
        <v>45574</v>
      </c>
      <c r="E12064" s="345">
        <f t="shared" si="1765"/>
        <v>45574</v>
      </c>
      <c r="F12064" s="484"/>
      <c r="G12064" s="347" t="s">
        <v>94</v>
      </c>
      <c r="H12064" s="347"/>
      <c r="I12064" s="348" t="s">
        <v>348</v>
      </c>
      <c r="J12064" s="355" t="s">
        <v>1807</v>
      </c>
      <c r="K12064" s="349"/>
      <c r="L12064" s="349">
        <f>K12063</f>
        <v>26342</v>
      </c>
    </row>
    <row r="12065" spans="1:13" x14ac:dyDescent="0.2">
      <c r="A12065" s="343">
        <v>2024</v>
      </c>
      <c r="B12065" s="343">
        <v>10</v>
      </c>
      <c r="C12065" s="343">
        <v>9</v>
      </c>
      <c r="D12065" s="344">
        <f t="shared" si="1764"/>
        <v>45574</v>
      </c>
      <c r="E12065" s="345">
        <f t="shared" si="1765"/>
        <v>45574</v>
      </c>
      <c r="F12065" s="483" t="s">
        <v>1913</v>
      </c>
      <c r="G12065" s="350" t="s">
        <v>94</v>
      </c>
      <c r="H12065" s="350"/>
      <c r="I12065" s="352" t="s">
        <v>348</v>
      </c>
      <c r="J12065" s="353" t="s">
        <v>1799</v>
      </c>
      <c r="K12065" s="354">
        <v>70102.015000000596</v>
      </c>
      <c r="L12065" s="354"/>
    </row>
    <row r="12066" spans="1:13" x14ac:dyDescent="0.2">
      <c r="A12066" s="346">
        <v>2024</v>
      </c>
      <c r="B12066" s="346">
        <v>10</v>
      </c>
      <c r="C12066" s="346">
        <v>9</v>
      </c>
      <c r="D12066" s="344">
        <f t="shared" si="1764"/>
        <v>45574</v>
      </c>
      <c r="E12066" s="345">
        <f t="shared" si="1765"/>
        <v>45574</v>
      </c>
      <c r="F12066" s="484"/>
      <c r="G12066" s="347" t="s">
        <v>94</v>
      </c>
      <c r="H12066" s="347"/>
      <c r="I12066" s="348" t="s">
        <v>348</v>
      </c>
      <c r="J12066" s="355" t="s">
        <v>1808</v>
      </c>
      <c r="K12066" s="349"/>
      <c r="L12066" s="349">
        <f>K12065</f>
        <v>70102.015000000596</v>
      </c>
    </row>
    <row r="12067" spans="1:13" ht="11.25" customHeight="1" x14ac:dyDescent="0.2">
      <c r="A12067" s="238">
        <v>2024</v>
      </c>
      <c r="B12067" s="238">
        <v>10</v>
      </c>
      <c r="C12067" s="238">
        <v>9</v>
      </c>
      <c r="D12067" s="270">
        <f t="shared" si="1764"/>
        <v>45574</v>
      </c>
      <c r="E12067" s="279">
        <f t="shared" si="1765"/>
        <v>45574</v>
      </c>
      <c r="F12067" s="477" t="s">
        <v>347</v>
      </c>
      <c r="G12067" s="239" t="s">
        <v>94</v>
      </c>
      <c r="H12067" s="239"/>
      <c r="I12067" s="262" t="s">
        <v>348</v>
      </c>
      <c r="J12067" s="240" t="s">
        <v>82</v>
      </c>
      <c r="K12067" s="241">
        <v>692914.87000001967</v>
      </c>
      <c r="L12067" s="241"/>
    </row>
    <row r="12068" spans="1:13" x14ac:dyDescent="0.2">
      <c r="A12068" s="242">
        <v>2024</v>
      </c>
      <c r="B12068" s="242">
        <v>10</v>
      </c>
      <c r="C12068" s="242">
        <v>9</v>
      </c>
      <c r="D12068" s="270">
        <f t="shared" si="1764"/>
        <v>45574</v>
      </c>
      <c r="E12068" s="279">
        <f t="shared" si="1765"/>
        <v>45574</v>
      </c>
      <c r="F12068" s="478"/>
      <c r="G12068" s="243" t="s">
        <v>94</v>
      </c>
      <c r="H12068" s="243"/>
      <c r="I12068" s="263" t="s">
        <v>348</v>
      </c>
      <c r="J12068" s="244" t="s">
        <v>108</v>
      </c>
      <c r="K12068" s="245"/>
      <c r="L12068" s="245">
        <f>K12067</f>
        <v>692914.87000001967</v>
      </c>
    </row>
    <row r="12069" spans="1:13" ht="11.25" customHeight="1" x14ac:dyDescent="0.2">
      <c r="A12069" s="246">
        <v>2024</v>
      </c>
      <c r="B12069" s="238">
        <v>10</v>
      </c>
      <c r="C12069" s="238">
        <v>9</v>
      </c>
      <c r="D12069" s="270">
        <f t="shared" si="1764"/>
        <v>45574</v>
      </c>
      <c r="E12069" s="279">
        <f t="shared" si="1765"/>
        <v>45574</v>
      </c>
      <c r="F12069" s="482" t="s">
        <v>148</v>
      </c>
      <c r="G12069" s="247" t="s">
        <v>94</v>
      </c>
      <c r="H12069" s="247"/>
      <c r="I12069" s="248" t="s">
        <v>348</v>
      </c>
      <c r="J12069" s="249" t="s">
        <v>95</v>
      </c>
      <c r="K12069" s="250">
        <v>2747.2527472527472</v>
      </c>
      <c r="L12069" s="241"/>
    </row>
    <row r="12070" spans="1:13" x14ac:dyDescent="0.2">
      <c r="A12070" s="242">
        <v>2024</v>
      </c>
      <c r="B12070" s="242">
        <v>10</v>
      </c>
      <c r="C12070" s="242">
        <v>9</v>
      </c>
      <c r="D12070" s="270">
        <f t="shared" si="1764"/>
        <v>45574</v>
      </c>
      <c r="E12070" s="279">
        <f t="shared" si="1765"/>
        <v>45574</v>
      </c>
      <c r="F12070" s="478"/>
      <c r="G12070" s="243" t="s">
        <v>94</v>
      </c>
      <c r="H12070" s="243"/>
      <c r="I12070" s="263" t="s">
        <v>348</v>
      </c>
      <c r="J12070" s="244" t="s">
        <v>63</v>
      </c>
      <c r="K12070" s="245"/>
      <c r="L12070" s="245">
        <v>2747.2527472527472</v>
      </c>
    </row>
    <row r="12071" spans="1:13" x14ac:dyDescent="0.2">
      <c r="A12071" s="246">
        <v>2024</v>
      </c>
      <c r="B12071" s="238">
        <v>10</v>
      </c>
      <c r="C12071" s="238">
        <v>9</v>
      </c>
      <c r="D12071" s="270">
        <f t="shared" si="1764"/>
        <v>45574</v>
      </c>
      <c r="E12071" s="279">
        <f t="shared" si="1765"/>
        <v>45574</v>
      </c>
      <c r="F12071" s="482" t="s">
        <v>137</v>
      </c>
      <c r="G12071" s="247" t="s">
        <v>94</v>
      </c>
      <c r="H12071" s="247"/>
      <c r="I12071" s="248" t="s">
        <v>348</v>
      </c>
      <c r="J12071" s="249" t="s">
        <v>97</v>
      </c>
      <c r="K12071" s="250">
        <f>M12071</f>
        <v>57914.83953261764</v>
      </c>
      <c r="L12071" s="252"/>
      <c r="M12071" s="264">
        <v>57914.83953261764</v>
      </c>
    </row>
    <row r="12072" spans="1:13" x14ac:dyDescent="0.2">
      <c r="A12072" s="242">
        <v>2024</v>
      </c>
      <c r="B12072" s="242">
        <v>10</v>
      </c>
      <c r="C12072" s="242">
        <v>9</v>
      </c>
      <c r="D12072" s="270">
        <f t="shared" si="1764"/>
        <v>45574</v>
      </c>
      <c r="E12072" s="279">
        <f t="shared" si="1765"/>
        <v>45574</v>
      </c>
      <c r="F12072" s="478"/>
      <c r="G12072" s="243" t="s">
        <v>94</v>
      </c>
      <c r="H12072" s="243"/>
      <c r="I12072" s="263" t="s">
        <v>348</v>
      </c>
      <c r="J12072" s="244" t="s">
        <v>47</v>
      </c>
      <c r="K12072" s="245"/>
      <c r="L12072" s="245">
        <f>K12071</f>
        <v>57914.83953261764</v>
      </c>
      <c r="M12072" s="264">
        <v>2655.3573612462665</v>
      </c>
    </row>
    <row r="12073" spans="1:13" x14ac:dyDescent="0.2">
      <c r="A12073" s="246">
        <v>2024</v>
      </c>
      <c r="B12073" s="238">
        <v>10</v>
      </c>
      <c r="C12073" s="238">
        <v>9</v>
      </c>
      <c r="D12073" s="270">
        <f t="shared" si="1764"/>
        <v>45574</v>
      </c>
      <c r="E12073" s="279">
        <f t="shared" si="1765"/>
        <v>45574</v>
      </c>
      <c r="F12073" s="482" t="s">
        <v>138</v>
      </c>
      <c r="G12073" s="247" t="s">
        <v>94</v>
      </c>
      <c r="H12073" s="247"/>
      <c r="I12073" s="248" t="s">
        <v>348</v>
      </c>
      <c r="J12073" s="249" t="s">
        <v>100</v>
      </c>
      <c r="K12073" s="250">
        <f>M12072</f>
        <v>2655.3573612462665</v>
      </c>
      <c r="L12073" s="252"/>
    </row>
    <row r="12074" spans="1:13" x14ac:dyDescent="0.2">
      <c r="A12074" s="242">
        <v>2024</v>
      </c>
      <c r="B12074" s="242">
        <v>10</v>
      </c>
      <c r="C12074" s="242">
        <v>9</v>
      </c>
      <c r="D12074" s="321">
        <f t="shared" si="1764"/>
        <v>45574</v>
      </c>
      <c r="E12074" s="322">
        <f t="shared" si="1765"/>
        <v>45574</v>
      </c>
      <c r="F12074" s="478"/>
      <c r="G12074" s="243" t="s">
        <v>94</v>
      </c>
      <c r="H12074" s="243"/>
      <c r="I12074" s="263" t="s">
        <v>348</v>
      </c>
      <c r="J12074" s="244" t="s">
        <v>48</v>
      </c>
      <c r="K12074" s="245"/>
      <c r="L12074" s="245">
        <f>K12073</f>
        <v>2655.3573612462665</v>
      </c>
    </row>
    <row r="12075" spans="1:13" ht="11.25" customHeight="1" x14ac:dyDescent="0.2">
      <c r="A12075" s="168">
        <v>2024</v>
      </c>
      <c r="B12075" s="133">
        <v>10</v>
      </c>
      <c r="C12075" s="168">
        <v>14</v>
      </c>
      <c r="D12075" s="141">
        <f t="shared" si="1764"/>
        <v>45579</v>
      </c>
      <c r="E12075" s="275">
        <f t="shared" si="1765"/>
        <v>45579</v>
      </c>
      <c r="F12075" s="479" t="s">
        <v>1994</v>
      </c>
      <c r="G12075" s="220" t="s">
        <v>74</v>
      </c>
      <c r="H12075" s="220" t="str" cm="1">
        <f t="array" ref="H12075">IFERROR(INDEX(INVESTOR_LIST[INVESTOR NAME],MATCH(I12075,INVESTOR_LIST[INVESTOR CODE],0),)," ")</f>
        <v xml:space="preserve"> </v>
      </c>
      <c r="I12075" s="142"/>
      <c r="J12075" s="143" t="s">
        <v>147</v>
      </c>
      <c r="K12075" s="226">
        <v>1946809.36</v>
      </c>
      <c r="L12075" s="226"/>
    </row>
    <row r="12076" spans="1:13" x14ac:dyDescent="0.2">
      <c r="A12076" s="163">
        <v>2024</v>
      </c>
      <c r="B12076" s="163">
        <v>10</v>
      </c>
      <c r="C12076" s="163">
        <v>14</v>
      </c>
      <c r="D12076" s="280">
        <f t="shared" si="1764"/>
        <v>45579</v>
      </c>
      <c r="E12076" s="281">
        <f t="shared" si="1765"/>
        <v>45579</v>
      </c>
      <c r="F12076" s="480"/>
      <c r="G12076" s="221" t="s">
        <v>74</v>
      </c>
      <c r="H12076" s="221" t="str" cm="1">
        <f t="array" ref="H12076">IFERROR(INDEX(INVESTOR_LIST[INVESTOR NAME],MATCH(I12076,INVESTOR_LIST[INVESTOR CODE],0),)," ")</f>
        <v xml:space="preserve"> </v>
      </c>
      <c r="I12076" s="145" t="s">
        <v>348</v>
      </c>
      <c r="J12076" s="146" t="s">
        <v>52</v>
      </c>
      <c r="K12076" s="219"/>
      <c r="L12076" s="219">
        <v>1946809.36</v>
      </c>
    </row>
    <row r="12077" spans="1:13" ht="11.25" customHeight="1" x14ac:dyDescent="0.2">
      <c r="A12077" s="168">
        <v>2024</v>
      </c>
      <c r="B12077" s="133">
        <v>10</v>
      </c>
      <c r="C12077" s="168">
        <v>15</v>
      </c>
      <c r="D12077" s="141">
        <f t="shared" ref="D12077:D12080" si="1766">DATE(A12077,B12077,C12077)</f>
        <v>45580</v>
      </c>
      <c r="E12077" s="275">
        <f t="shared" ref="E12077:E12080" si="1767">DATE(A12077,B12077,C12077)</f>
        <v>45580</v>
      </c>
      <c r="F12077" s="479" t="s">
        <v>1994</v>
      </c>
      <c r="G12077" s="220" t="s">
        <v>74</v>
      </c>
      <c r="H12077" s="220" t="str" cm="1">
        <f t="array" ref="H12077">IFERROR(INDEX(INVESTOR_LIST[INVESTOR NAME],MATCH(I12077,INVESTOR_LIST[INVESTOR CODE],0),)," ")</f>
        <v xml:space="preserve"> </v>
      </c>
      <c r="I12077" s="142"/>
      <c r="J12077" s="143" t="s">
        <v>147</v>
      </c>
      <c r="K12077" s="226">
        <v>169354.29</v>
      </c>
      <c r="L12077" s="226"/>
    </row>
    <row r="12078" spans="1:13" x14ac:dyDescent="0.2">
      <c r="A12078" s="163">
        <v>2024</v>
      </c>
      <c r="B12078" s="163">
        <v>10</v>
      </c>
      <c r="C12078" s="163">
        <v>15</v>
      </c>
      <c r="D12078" s="280">
        <f t="shared" si="1766"/>
        <v>45580</v>
      </c>
      <c r="E12078" s="281">
        <f t="shared" si="1767"/>
        <v>45580</v>
      </c>
      <c r="F12078" s="480"/>
      <c r="G12078" s="221" t="s">
        <v>74</v>
      </c>
      <c r="H12078" s="221" t="str" cm="1">
        <f t="array" ref="H12078">IFERROR(INDEX(INVESTOR_LIST[INVESTOR NAME],MATCH(I12078,INVESTOR_LIST[INVESTOR CODE],0),)," ")</f>
        <v xml:space="preserve"> </v>
      </c>
      <c r="I12078" s="145" t="s">
        <v>348</v>
      </c>
      <c r="J12078" s="146" t="s">
        <v>52</v>
      </c>
      <c r="K12078" s="219"/>
      <c r="L12078" s="219">
        <v>169354.29</v>
      </c>
    </row>
    <row r="12079" spans="1:13" x14ac:dyDescent="0.2">
      <c r="A12079" s="133">
        <v>2024</v>
      </c>
      <c r="B12079" s="133">
        <v>10</v>
      </c>
      <c r="C12079" s="133">
        <v>15</v>
      </c>
      <c r="D12079" s="147">
        <f t="shared" si="1766"/>
        <v>45580</v>
      </c>
      <c r="E12079" s="311">
        <f t="shared" si="1767"/>
        <v>45580</v>
      </c>
      <c r="F12079" s="479" t="s">
        <v>1943</v>
      </c>
      <c r="G12079" s="174" t="s">
        <v>74</v>
      </c>
      <c r="H12079" s="148" t="str" cm="1">
        <f t="array" ref="H12079">IFERROR(INDEX(INVESTOR_LIST[INVESTOR NAME],MATCH(I12079,INVESTOR_LIST[INVESTOR CODE],0),)," ")</f>
        <v xml:space="preserve"> </v>
      </c>
      <c r="I12079" s="148" t="s">
        <v>348</v>
      </c>
      <c r="J12079" s="133" t="s">
        <v>61</v>
      </c>
      <c r="K12079" s="172">
        <v>58</v>
      </c>
    </row>
    <row r="12080" spans="1:13" x14ac:dyDescent="0.2">
      <c r="A12080" s="163">
        <v>2024</v>
      </c>
      <c r="B12080" s="163">
        <v>10</v>
      </c>
      <c r="C12080" s="163">
        <v>15</v>
      </c>
      <c r="D12080" s="280">
        <f t="shared" si="1766"/>
        <v>45580</v>
      </c>
      <c r="E12080" s="281">
        <f t="shared" si="1767"/>
        <v>45580</v>
      </c>
      <c r="F12080" s="480"/>
      <c r="G12080" s="221" t="s">
        <v>74</v>
      </c>
      <c r="H12080" s="145" t="str" cm="1">
        <f t="array" ref="H12080">IFERROR(INDEX(INVESTOR_LIST[INVESTOR NAME],MATCH(I12080,INVESTOR_LIST[INVESTOR CODE],0),)," ")</f>
        <v xml:space="preserve"> </v>
      </c>
      <c r="I12080" s="145" t="s">
        <v>348</v>
      </c>
      <c r="J12080" s="163" t="s">
        <v>52</v>
      </c>
      <c r="K12080" s="219"/>
      <c r="L12080" s="219">
        <v>58</v>
      </c>
    </row>
    <row r="12081" spans="1:12" x14ac:dyDescent="0.2">
      <c r="A12081" s="168">
        <v>2024</v>
      </c>
      <c r="B12081" s="168">
        <v>10</v>
      </c>
      <c r="C12081" s="168">
        <v>15</v>
      </c>
      <c r="D12081" s="141">
        <f t="shared" si="1764"/>
        <v>45580</v>
      </c>
      <c r="E12081" s="275">
        <f t="shared" si="1765"/>
        <v>45580</v>
      </c>
      <c r="F12081" s="479" t="s">
        <v>1315</v>
      </c>
      <c r="G12081" s="220" t="s">
        <v>74</v>
      </c>
      <c r="H12081" s="142" t="str" cm="1">
        <f t="array" ref="H12081">IFERROR(INDEX(INVESTOR_LIST[INVESTOR NAME],MATCH(I12081,INVESTOR_LIST[INVESTOR CODE],0),)," ")</f>
        <v xml:space="preserve"> </v>
      </c>
      <c r="I12081" s="142" t="s">
        <v>1969</v>
      </c>
      <c r="J12081" s="168" t="s">
        <v>13</v>
      </c>
      <c r="K12081" s="226">
        <v>781830</v>
      </c>
      <c r="L12081" s="226"/>
    </row>
    <row r="12082" spans="1:12" x14ac:dyDescent="0.2">
      <c r="A12082" s="133">
        <v>2024</v>
      </c>
      <c r="B12082" s="133">
        <v>10</v>
      </c>
      <c r="C12082" s="133">
        <v>15</v>
      </c>
      <c r="D12082" s="141">
        <f t="shared" si="1764"/>
        <v>45580</v>
      </c>
      <c r="E12082" s="275">
        <f t="shared" si="1765"/>
        <v>45580</v>
      </c>
      <c r="F12082" s="481"/>
      <c r="G12082" s="174" t="s">
        <v>74</v>
      </c>
      <c r="H12082" s="148" t="str" cm="1">
        <f t="array" ref="H12082">IFERROR(INDEX(INVESTOR_LIST[INVESTOR NAME],MATCH(I12082,INVESTOR_LIST[INVESTOR CODE],0),)," ")</f>
        <v xml:space="preserve"> </v>
      </c>
      <c r="I12082" s="148" t="s">
        <v>1969</v>
      </c>
      <c r="J12082" s="133" t="s">
        <v>53</v>
      </c>
      <c r="K12082" s="218">
        <v>226417.96999999997</v>
      </c>
      <c r="L12082" s="218"/>
    </row>
    <row r="12083" spans="1:12" x14ac:dyDescent="0.2">
      <c r="A12083" s="163">
        <v>2024</v>
      </c>
      <c r="B12083" s="163">
        <v>10</v>
      </c>
      <c r="C12083" s="163">
        <v>15</v>
      </c>
      <c r="D12083" s="280">
        <f t="shared" si="1764"/>
        <v>45580</v>
      </c>
      <c r="E12083" s="281">
        <f t="shared" si="1765"/>
        <v>45580</v>
      </c>
      <c r="F12083" s="480"/>
      <c r="G12083" s="221" t="s">
        <v>74</v>
      </c>
      <c r="H12083" s="145" t="str" cm="1">
        <f t="array" ref="H12083">IFERROR(INDEX(INVESTOR_LIST[INVESTOR NAME],MATCH(I12083,INVESTOR_LIST[INVESTOR CODE],0),)," ")</f>
        <v xml:space="preserve"> </v>
      </c>
      <c r="I12083" s="145" t="s">
        <v>1969</v>
      </c>
      <c r="J12083" s="163" t="s">
        <v>52</v>
      </c>
      <c r="K12083" s="219"/>
      <c r="L12083" s="219">
        <v>1008247.97</v>
      </c>
    </row>
    <row r="12084" spans="1:12" x14ac:dyDescent="0.2">
      <c r="A12084" s="133">
        <v>2024</v>
      </c>
      <c r="B12084" s="133">
        <v>10</v>
      </c>
      <c r="C12084" s="133">
        <v>15</v>
      </c>
      <c r="D12084" s="147">
        <f t="shared" si="1764"/>
        <v>45580</v>
      </c>
      <c r="E12084" s="311">
        <f t="shared" si="1765"/>
        <v>45580</v>
      </c>
      <c r="F12084" s="479" t="s">
        <v>1943</v>
      </c>
      <c r="G12084" s="174" t="s">
        <v>74</v>
      </c>
      <c r="H12084" s="148" t="str" cm="1">
        <f t="array" ref="H12084">IFERROR(INDEX(INVESTOR_LIST[INVESTOR NAME],MATCH(I12084,INVESTOR_LIST[INVESTOR CODE],0),)," ")</f>
        <v xml:space="preserve"> </v>
      </c>
      <c r="I12084" s="148" t="s">
        <v>348</v>
      </c>
      <c r="J12084" s="133" t="s">
        <v>61</v>
      </c>
      <c r="K12084" s="172">
        <v>100</v>
      </c>
    </row>
    <row r="12085" spans="1:12" x14ac:dyDescent="0.2">
      <c r="A12085" s="163">
        <v>2024</v>
      </c>
      <c r="B12085" s="163">
        <v>10</v>
      </c>
      <c r="C12085" s="163">
        <v>15</v>
      </c>
      <c r="D12085" s="280">
        <f t="shared" si="1764"/>
        <v>45580</v>
      </c>
      <c r="E12085" s="281">
        <f t="shared" si="1765"/>
        <v>45580</v>
      </c>
      <c r="F12085" s="480"/>
      <c r="G12085" s="221" t="s">
        <v>74</v>
      </c>
      <c r="H12085" s="145" t="str" cm="1">
        <f t="array" ref="H12085">IFERROR(INDEX(INVESTOR_LIST[INVESTOR NAME],MATCH(I12085,INVESTOR_LIST[INVESTOR CODE],0),)," ")</f>
        <v xml:space="preserve"> </v>
      </c>
      <c r="I12085" s="145" t="s">
        <v>348</v>
      </c>
      <c r="J12085" s="163" t="s">
        <v>52</v>
      </c>
      <c r="K12085" s="219"/>
      <c r="L12085" s="219">
        <v>100</v>
      </c>
    </row>
    <row r="12086" spans="1:12" x14ac:dyDescent="0.2">
      <c r="A12086" s="168">
        <v>2024</v>
      </c>
      <c r="B12086" s="168">
        <v>10</v>
      </c>
      <c r="C12086" s="133">
        <v>15</v>
      </c>
      <c r="D12086" s="141">
        <f t="shared" si="1764"/>
        <v>45580</v>
      </c>
      <c r="E12086" s="275">
        <f t="shared" si="1765"/>
        <v>45580</v>
      </c>
      <c r="F12086" s="479" t="s">
        <v>1319</v>
      </c>
      <c r="G12086" s="220" t="s">
        <v>74</v>
      </c>
      <c r="H12086" s="142" t="str" cm="1">
        <f t="array" ref="H12086">IFERROR(INDEX(INVESTOR_LIST[INVESTOR NAME],MATCH(I12086,INVESTOR_LIST[INVESTOR CODE],0),)," ")</f>
        <v xml:space="preserve"> </v>
      </c>
      <c r="I12086" s="142"/>
      <c r="J12086" s="168" t="s">
        <v>52</v>
      </c>
      <c r="K12086" s="226">
        <v>12000</v>
      </c>
      <c r="L12086" s="226"/>
    </row>
    <row r="12087" spans="1:12" x14ac:dyDescent="0.2">
      <c r="A12087" s="133">
        <v>2024</v>
      </c>
      <c r="B12087" s="133">
        <v>10</v>
      </c>
      <c r="C12087" s="133">
        <v>15</v>
      </c>
      <c r="D12087" s="141">
        <f t="shared" si="1764"/>
        <v>45580</v>
      </c>
      <c r="E12087" s="275">
        <f t="shared" si="1765"/>
        <v>45580</v>
      </c>
      <c r="F12087" s="481"/>
      <c r="G12087" s="174" t="s">
        <v>74</v>
      </c>
      <c r="H12087" s="148" t="str" cm="1">
        <f t="array" ref="H12087">IFERROR(INDEX(INVESTOR_LIST[INVESTOR NAME],MATCH(I12087,INVESTOR_LIST[INVESTOR CODE],0),)," ")</f>
        <v xml:space="preserve"> </v>
      </c>
      <c r="J12087" s="133" t="s">
        <v>13</v>
      </c>
      <c r="K12087" s="218"/>
      <c r="L12087" s="218">
        <v>9300</v>
      </c>
    </row>
    <row r="12088" spans="1:12" x14ac:dyDescent="0.2">
      <c r="A12088" s="163">
        <v>2024</v>
      </c>
      <c r="B12088" s="163">
        <v>10</v>
      </c>
      <c r="C12088" s="163">
        <v>15</v>
      </c>
      <c r="D12088" s="280">
        <f t="shared" si="1764"/>
        <v>45580</v>
      </c>
      <c r="E12088" s="281">
        <f t="shared" si="1765"/>
        <v>45580</v>
      </c>
      <c r="F12088" s="480"/>
      <c r="G12088" s="221" t="s">
        <v>74</v>
      </c>
      <c r="H12088" s="145" t="str" cm="1">
        <f t="array" ref="H12088">IFERROR(INDEX(INVESTOR_LIST[INVESTOR NAME],MATCH(I12088,INVESTOR_LIST[INVESTOR CODE],0),)," ")</f>
        <v xml:space="preserve"> </v>
      </c>
      <c r="I12088" s="145"/>
      <c r="J12088" s="163" t="s">
        <v>53</v>
      </c>
      <c r="K12088" s="219"/>
      <c r="L12088" s="219">
        <v>2700</v>
      </c>
    </row>
    <row r="12089" spans="1:12" x14ac:dyDescent="0.2">
      <c r="A12089" s="325">
        <v>2024</v>
      </c>
      <c r="B12089" s="325">
        <v>10</v>
      </c>
      <c r="C12089" s="325">
        <v>17</v>
      </c>
      <c r="D12089" s="326">
        <f t="shared" ref="D12089:D12108" si="1768">DATE(A12089,B12089,C12089)</f>
        <v>45582</v>
      </c>
      <c r="E12089" s="327">
        <f t="shared" ref="E12089:E12108" si="1769">DATE(A12089,B12089,C12089)</f>
        <v>45582</v>
      </c>
      <c r="F12089" s="473" t="s">
        <v>1940</v>
      </c>
      <c r="G12089" s="340" t="s">
        <v>94</v>
      </c>
      <c r="H12089" s="340"/>
      <c r="I12089" s="341" t="s">
        <v>348</v>
      </c>
      <c r="J12089" s="374" t="s">
        <v>133</v>
      </c>
      <c r="K12089" s="375">
        <v>12905.555555555549</v>
      </c>
      <c r="L12089" s="375"/>
    </row>
    <row r="12090" spans="1:12" x14ac:dyDescent="0.2">
      <c r="A12090" s="331">
        <v>2024</v>
      </c>
      <c r="B12090" s="331">
        <v>10</v>
      </c>
      <c r="C12090" s="331">
        <v>17</v>
      </c>
      <c r="D12090" s="326">
        <f t="shared" si="1768"/>
        <v>45582</v>
      </c>
      <c r="E12090" s="327">
        <f t="shared" si="1769"/>
        <v>45582</v>
      </c>
      <c r="F12090" s="474"/>
      <c r="G12090" s="332" t="s">
        <v>94</v>
      </c>
      <c r="H12090" s="332"/>
      <c r="I12090" s="333" t="s">
        <v>348</v>
      </c>
      <c r="J12090" s="376" t="s">
        <v>60</v>
      </c>
      <c r="K12090" s="334"/>
      <c r="L12090" s="334">
        <v>12905.555555555549</v>
      </c>
    </row>
    <row r="12091" spans="1:12" x14ac:dyDescent="0.2">
      <c r="A12091" s="384">
        <v>2024</v>
      </c>
      <c r="B12091" s="384">
        <v>10</v>
      </c>
      <c r="C12091" s="384">
        <v>17</v>
      </c>
      <c r="D12091" s="385">
        <f t="shared" si="1768"/>
        <v>45582</v>
      </c>
      <c r="E12091" s="386">
        <f t="shared" si="1769"/>
        <v>45582</v>
      </c>
      <c r="F12091" s="475" t="s">
        <v>1966</v>
      </c>
      <c r="G12091" s="387" t="s">
        <v>94</v>
      </c>
      <c r="H12091" s="387"/>
      <c r="I12091" s="388" t="s">
        <v>348</v>
      </c>
      <c r="J12091" s="389" t="s">
        <v>67</v>
      </c>
      <c r="K12091" s="390">
        <v>9723.1299999999992</v>
      </c>
      <c r="L12091" s="390"/>
    </row>
    <row r="12092" spans="1:12" x14ac:dyDescent="0.2">
      <c r="A12092" s="391">
        <v>2024</v>
      </c>
      <c r="B12092" s="391">
        <v>10</v>
      </c>
      <c r="C12092" s="391">
        <v>17</v>
      </c>
      <c r="D12092" s="385">
        <f t="shared" si="1768"/>
        <v>45582</v>
      </c>
      <c r="E12092" s="386">
        <f t="shared" si="1769"/>
        <v>45582</v>
      </c>
      <c r="F12092" s="476"/>
      <c r="G12092" s="392" t="s">
        <v>94</v>
      </c>
      <c r="H12092" s="392"/>
      <c r="I12092" s="393" t="s">
        <v>348</v>
      </c>
      <c r="J12092" s="394" t="s">
        <v>60</v>
      </c>
      <c r="K12092" s="395"/>
      <c r="L12092" s="395">
        <f>K12091</f>
        <v>9723.1299999999992</v>
      </c>
    </row>
    <row r="12093" spans="1:12" x14ac:dyDescent="0.2">
      <c r="A12093" s="343">
        <v>2024</v>
      </c>
      <c r="B12093" s="343">
        <v>10</v>
      </c>
      <c r="C12093" s="343">
        <v>17</v>
      </c>
      <c r="D12093" s="344">
        <f t="shared" si="1768"/>
        <v>45582</v>
      </c>
      <c r="E12093" s="345">
        <f t="shared" si="1769"/>
        <v>45582</v>
      </c>
      <c r="F12093" s="483" t="s">
        <v>1813</v>
      </c>
      <c r="G12093" s="350" t="s">
        <v>94</v>
      </c>
      <c r="H12093" s="350"/>
      <c r="I12093" s="352" t="s">
        <v>348</v>
      </c>
      <c r="J12093" s="353" t="s">
        <v>1798</v>
      </c>
      <c r="K12093" s="354">
        <v>25625</v>
      </c>
      <c r="L12093" s="354"/>
    </row>
    <row r="12094" spans="1:12" x14ac:dyDescent="0.2">
      <c r="A12094" s="346">
        <v>2024</v>
      </c>
      <c r="B12094" s="346">
        <v>10</v>
      </c>
      <c r="C12094" s="346">
        <v>17</v>
      </c>
      <c r="D12094" s="344">
        <f t="shared" si="1768"/>
        <v>45582</v>
      </c>
      <c r="E12094" s="345">
        <f t="shared" si="1769"/>
        <v>45582</v>
      </c>
      <c r="F12094" s="484"/>
      <c r="G12094" s="347" t="s">
        <v>94</v>
      </c>
      <c r="H12094" s="347"/>
      <c r="I12094" s="348" t="s">
        <v>348</v>
      </c>
      <c r="J12094" s="355" t="s">
        <v>1807</v>
      </c>
      <c r="K12094" s="349"/>
      <c r="L12094" s="349">
        <f>K12093</f>
        <v>25625</v>
      </c>
    </row>
    <row r="12095" spans="1:12" x14ac:dyDescent="0.2">
      <c r="A12095" s="343">
        <v>2024</v>
      </c>
      <c r="B12095" s="343">
        <v>10</v>
      </c>
      <c r="C12095" s="343">
        <v>17</v>
      </c>
      <c r="D12095" s="344">
        <f t="shared" si="1768"/>
        <v>45582</v>
      </c>
      <c r="E12095" s="345">
        <f t="shared" si="1769"/>
        <v>45582</v>
      </c>
      <c r="F12095" s="483" t="s">
        <v>1913</v>
      </c>
      <c r="G12095" s="350" t="s">
        <v>94</v>
      </c>
      <c r="H12095" s="350"/>
      <c r="I12095" s="352" t="s">
        <v>348</v>
      </c>
      <c r="J12095" s="353" t="s">
        <v>1799</v>
      </c>
      <c r="K12095" s="354">
        <v>66419.289999999106</v>
      </c>
      <c r="L12095" s="354"/>
    </row>
    <row r="12096" spans="1:12" x14ac:dyDescent="0.2">
      <c r="A12096" s="346">
        <v>2024</v>
      </c>
      <c r="B12096" s="346">
        <v>10</v>
      </c>
      <c r="C12096" s="346">
        <v>17</v>
      </c>
      <c r="D12096" s="344">
        <f t="shared" si="1768"/>
        <v>45582</v>
      </c>
      <c r="E12096" s="345">
        <f t="shared" si="1769"/>
        <v>45582</v>
      </c>
      <c r="F12096" s="484"/>
      <c r="G12096" s="347" t="s">
        <v>94</v>
      </c>
      <c r="H12096" s="347"/>
      <c r="I12096" s="348" t="s">
        <v>348</v>
      </c>
      <c r="J12096" s="355" t="s">
        <v>1808</v>
      </c>
      <c r="K12096" s="349"/>
      <c r="L12096" s="349">
        <f>K12095</f>
        <v>66419.289999999106</v>
      </c>
    </row>
    <row r="12097" spans="1:13" ht="11.25" customHeight="1" x14ac:dyDescent="0.2">
      <c r="A12097" s="238">
        <v>2024</v>
      </c>
      <c r="B12097" s="238">
        <v>10</v>
      </c>
      <c r="C12097" s="238">
        <v>17</v>
      </c>
      <c r="D12097" s="270">
        <f t="shared" si="1768"/>
        <v>45582</v>
      </c>
      <c r="E12097" s="279">
        <f t="shared" si="1769"/>
        <v>45582</v>
      </c>
      <c r="F12097" s="477" t="s">
        <v>347</v>
      </c>
      <c r="G12097" s="239" t="s">
        <v>94</v>
      </c>
      <c r="H12097" s="239"/>
      <c r="I12097" s="262" t="s">
        <v>348</v>
      </c>
      <c r="J12097" s="240" t="s">
        <v>82</v>
      </c>
      <c r="K12097" s="241">
        <v>1646630.2399999797</v>
      </c>
      <c r="L12097" s="241"/>
    </row>
    <row r="12098" spans="1:13" x14ac:dyDescent="0.2">
      <c r="A12098" s="242">
        <v>2024</v>
      </c>
      <c r="B12098" s="242">
        <v>10</v>
      </c>
      <c r="C12098" s="242">
        <v>17</v>
      </c>
      <c r="D12098" s="270">
        <f t="shared" si="1768"/>
        <v>45582</v>
      </c>
      <c r="E12098" s="279">
        <f t="shared" si="1769"/>
        <v>45582</v>
      </c>
      <c r="F12098" s="478"/>
      <c r="G12098" s="243" t="s">
        <v>94</v>
      </c>
      <c r="H12098" s="243"/>
      <c r="I12098" s="263" t="s">
        <v>348</v>
      </c>
      <c r="J12098" s="244" t="s">
        <v>108</v>
      </c>
      <c r="K12098" s="245"/>
      <c r="L12098" s="245">
        <f>K12097</f>
        <v>1646630.2399999797</v>
      </c>
    </row>
    <row r="12099" spans="1:13" ht="11.25" customHeight="1" x14ac:dyDescent="0.2">
      <c r="A12099" s="246">
        <v>2024</v>
      </c>
      <c r="B12099" s="238">
        <v>10</v>
      </c>
      <c r="C12099" s="238">
        <v>17</v>
      </c>
      <c r="D12099" s="270">
        <f t="shared" si="1768"/>
        <v>45582</v>
      </c>
      <c r="E12099" s="279">
        <f t="shared" si="1769"/>
        <v>45582</v>
      </c>
      <c r="F12099" s="482" t="s">
        <v>148</v>
      </c>
      <c r="G12099" s="247" t="s">
        <v>94</v>
      </c>
      <c r="H12099" s="247"/>
      <c r="I12099" s="248" t="s">
        <v>348</v>
      </c>
      <c r="J12099" s="249" t="s">
        <v>95</v>
      </c>
      <c r="K12099" s="250">
        <v>2747.2527472527472</v>
      </c>
      <c r="L12099" s="241"/>
    </row>
    <row r="12100" spans="1:13" x14ac:dyDescent="0.2">
      <c r="A12100" s="242">
        <v>2024</v>
      </c>
      <c r="B12100" s="242">
        <v>10</v>
      </c>
      <c r="C12100" s="242">
        <v>17</v>
      </c>
      <c r="D12100" s="270">
        <f t="shared" si="1768"/>
        <v>45582</v>
      </c>
      <c r="E12100" s="279">
        <f t="shared" si="1769"/>
        <v>45582</v>
      </c>
      <c r="F12100" s="478"/>
      <c r="G12100" s="243" t="s">
        <v>94</v>
      </c>
      <c r="H12100" s="243"/>
      <c r="I12100" s="263" t="s">
        <v>348</v>
      </c>
      <c r="J12100" s="244" t="s">
        <v>63</v>
      </c>
      <c r="K12100" s="245"/>
      <c r="L12100" s="245">
        <v>2747.2527472527472</v>
      </c>
    </row>
    <row r="12101" spans="1:13" x14ac:dyDescent="0.2">
      <c r="A12101" s="246">
        <v>2024</v>
      </c>
      <c r="B12101" s="238">
        <v>10</v>
      </c>
      <c r="C12101" s="238">
        <v>17</v>
      </c>
      <c r="D12101" s="270">
        <f t="shared" si="1768"/>
        <v>45582</v>
      </c>
      <c r="E12101" s="279">
        <f t="shared" si="1769"/>
        <v>45582</v>
      </c>
      <c r="F12101" s="482" t="s">
        <v>137</v>
      </c>
      <c r="G12101" s="247" t="s">
        <v>94</v>
      </c>
      <c r="H12101" s="247"/>
      <c r="I12101" s="248" t="s">
        <v>348</v>
      </c>
      <c r="J12101" s="249" t="s">
        <v>97</v>
      </c>
      <c r="K12101" s="250">
        <f>M12101</f>
        <v>56917.850039545323</v>
      </c>
      <c r="L12101" s="252"/>
      <c r="M12101" s="264">
        <v>56917.850039545323</v>
      </c>
    </row>
    <row r="12102" spans="1:13" x14ac:dyDescent="0.2">
      <c r="A12102" s="242">
        <v>2024</v>
      </c>
      <c r="B12102" s="242">
        <v>10</v>
      </c>
      <c r="C12102" s="242">
        <v>17</v>
      </c>
      <c r="D12102" s="270">
        <f t="shared" si="1768"/>
        <v>45582</v>
      </c>
      <c r="E12102" s="279">
        <f t="shared" si="1769"/>
        <v>45582</v>
      </c>
      <c r="F12102" s="478"/>
      <c r="G12102" s="243" t="s">
        <v>94</v>
      </c>
      <c r="H12102" s="243"/>
      <c r="I12102" s="263" t="s">
        <v>348</v>
      </c>
      <c r="J12102" s="244" t="s">
        <v>47</v>
      </c>
      <c r="K12102" s="245"/>
      <c r="L12102" s="245">
        <f>K12101</f>
        <v>56917.850039545323</v>
      </c>
      <c r="M12102" s="264">
        <v>2605.5078865926507</v>
      </c>
    </row>
    <row r="12103" spans="1:13" x14ac:dyDescent="0.2">
      <c r="A12103" s="246">
        <v>2024</v>
      </c>
      <c r="B12103" s="238">
        <v>10</v>
      </c>
      <c r="C12103" s="238">
        <v>17</v>
      </c>
      <c r="D12103" s="270">
        <f t="shared" si="1768"/>
        <v>45582</v>
      </c>
      <c r="E12103" s="279">
        <f t="shared" si="1769"/>
        <v>45582</v>
      </c>
      <c r="F12103" s="482" t="s">
        <v>138</v>
      </c>
      <c r="G12103" s="247" t="s">
        <v>94</v>
      </c>
      <c r="H12103" s="247"/>
      <c r="I12103" s="248" t="s">
        <v>348</v>
      </c>
      <c r="J12103" s="249" t="s">
        <v>100</v>
      </c>
      <c r="K12103" s="250">
        <f>M12102</f>
        <v>2605.5078865926507</v>
      </c>
      <c r="L12103" s="252"/>
    </row>
    <row r="12104" spans="1:13" x14ac:dyDescent="0.2">
      <c r="A12104" s="242">
        <v>2024</v>
      </c>
      <c r="B12104" s="242">
        <v>10</v>
      </c>
      <c r="C12104" s="242">
        <v>17</v>
      </c>
      <c r="D12104" s="321">
        <f t="shared" si="1768"/>
        <v>45582</v>
      </c>
      <c r="E12104" s="322">
        <f t="shared" si="1769"/>
        <v>45582</v>
      </c>
      <c r="F12104" s="478"/>
      <c r="G12104" s="243" t="s">
        <v>94</v>
      </c>
      <c r="H12104" s="243"/>
      <c r="I12104" s="263" t="s">
        <v>348</v>
      </c>
      <c r="J12104" s="244" t="s">
        <v>48</v>
      </c>
      <c r="K12104" s="245"/>
      <c r="L12104" s="245">
        <f>K12103</f>
        <v>2605.5078865926507</v>
      </c>
    </row>
    <row r="12105" spans="1:13" x14ac:dyDescent="0.2">
      <c r="A12105" s="133">
        <v>2024</v>
      </c>
      <c r="B12105" s="133">
        <v>10</v>
      </c>
      <c r="C12105" s="133">
        <v>20</v>
      </c>
      <c r="D12105" s="141">
        <f t="shared" si="1768"/>
        <v>45585</v>
      </c>
      <c r="E12105" s="275">
        <f t="shared" si="1769"/>
        <v>45585</v>
      </c>
      <c r="F12105" s="481" t="s">
        <v>1995</v>
      </c>
      <c r="G12105" s="174" t="s">
        <v>94</v>
      </c>
      <c r="H12105" s="174" t="str" cm="1">
        <f t="array" ref="H12105">IFERROR(INDEX(INVESTOR_LIST[INVESTOR NAME],MATCH(I12105,INVESTOR_LIST[INVESTOR CODE],0),)," ")</f>
        <v xml:space="preserve"> </v>
      </c>
      <c r="J12105" s="149" t="s">
        <v>80</v>
      </c>
      <c r="K12105" s="218">
        <v>1334.6168</v>
      </c>
      <c r="L12105" s="133"/>
    </row>
    <row r="12106" spans="1:13" x14ac:dyDescent="0.2">
      <c r="A12106" s="133">
        <v>2024</v>
      </c>
      <c r="B12106" s="133">
        <v>10</v>
      </c>
      <c r="C12106" s="133">
        <v>20</v>
      </c>
      <c r="D12106" s="141">
        <f t="shared" si="1768"/>
        <v>45585</v>
      </c>
      <c r="E12106" s="275">
        <f t="shared" si="1769"/>
        <v>45585</v>
      </c>
      <c r="F12106" s="481"/>
      <c r="G12106" s="174" t="s">
        <v>94</v>
      </c>
      <c r="H12106" s="174" t="str" cm="1">
        <f t="array" ref="H12106">IFERROR(INDEX(INVESTOR_LIST[INVESTOR NAME],MATCH(I12106,INVESTOR_LIST[INVESTOR CODE],0),)," ")</f>
        <v xml:space="preserve"> </v>
      </c>
      <c r="J12106" s="149" t="s">
        <v>190</v>
      </c>
      <c r="K12106" s="218">
        <v>740119.18270027463</v>
      </c>
      <c r="L12106" s="218"/>
      <c r="M12106" s="176"/>
    </row>
    <row r="12107" spans="1:13" x14ac:dyDescent="0.2">
      <c r="A12107" s="133">
        <v>2024</v>
      </c>
      <c r="B12107" s="133">
        <v>10</v>
      </c>
      <c r="C12107" s="133">
        <v>20</v>
      </c>
      <c r="D12107" s="141">
        <f t="shared" si="1768"/>
        <v>45585</v>
      </c>
      <c r="E12107" s="275">
        <f t="shared" si="1769"/>
        <v>45585</v>
      </c>
      <c r="F12107" s="481"/>
      <c r="G12107" s="174" t="s">
        <v>94</v>
      </c>
      <c r="H12107" s="174" t="str" cm="1">
        <f t="array" ref="H12107">IFERROR(INDEX(INVESTOR_LIST[INVESTOR NAME],MATCH(I12107,INVESTOR_LIST[INVESTOR CODE],0),)," ")</f>
        <v xml:space="preserve"> </v>
      </c>
      <c r="J12107" s="149" t="s">
        <v>191</v>
      </c>
      <c r="K12107" s="218">
        <v>104190.02</v>
      </c>
      <c r="L12107" s="218"/>
    </row>
    <row r="12108" spans="1:13" x14ac:dyDescent="0.2">
      <c r="A12108" s="163">
        <v>2024</v>
      </c>
      <c r="B12108" s="163">
        <v>10</v>
      </c>
      <c r="C12108" s="163">
        <v>20</v>
      </c>
      <c r="D12108" s="280">
        <f t="shared" si="1768"/>
        <v>45585</v>
      </c>
      <c r="E12108" s="281">
        <f t="shared" si="1769"/>
        <v>45585</v>
      </c>
      <c r="F12108" s="480"/>
      <c r="G12108" s="221" t="s">
        <v>94</v>
      </c>
      <c r="H12108" s="145" t="str" cm="1">
        <f t="array" ref="H12108">IFERROR(INDEX(INVESTOR_LIST[INVESTOR NAME],MATCH(I12108,INVESTOR_LIST[INVESTOR CODE],0),)," ")</f>
        <v xml:space="preserve"> </v>
      </c>
      <c r="I12108" s="145"/>
      <c r="J12108" s="163" t="s">
        <v>79</v>
      </c>
      <c r="K12108" s="219"/>
      <c r="L12108" s="219">
        <v>845643.82</v>
      </c>
    </row>
    <row r="12109" spans="1:13" x14ac:dyDescent="0.2">
      <c r="A12109" s="133">
        <v>2024</v>
      </c>
      <c r="B12109" s="133">
        <v>10</v>
      </c>
      <c r="C12109" s="133">
        <v>21</v>
      </c>
      <c r="D12109" s="141">
        <f t="shared" ref="D12109:D12116" si="1770">DATE(A12109,B12109,C12109)</f>
        <v>45586</v>
      </c>
      <c r="E12109" s="275">
        <f t="shared" ref="E12109:E12116" si="1771">DATE(A12109,B12109,C12109)</f>
        <v>45586</v>
      </c>
      <c r="F12109" s="481" t="s">
        <v>1995</v>
      </c>
      <c r="G12109" s="174" t="s">
        <v>94</v>
      </c>
      <c r="H12109" s="174" t="str" cm="1">
        <f t="array" ref="H12109">IFERROR(INDEX(INVESTOR_LIST[INVESTOR NAME],MATCH(I12109,INVESTOR_LIST[INVESTOR CODE],0),)," ")</f>
        <v xml:space="preserve"> </v>
      </c>
      <c r="J12109" s="149" t="s">
        <v>80</v>
      </c>
      <c r="K12109" s="218">
        <v>666</v>
      </c>
      <c r="L12109" s="133"/>
    </row>
    <row r="12110" spans="1:13" x14ac:dyDescent="0.2">
      <c r="A12110" s="133">
        <v>2024</v>
      </c>
      <c r="B12110" s="133">
        <v>10</v>
      </c>
      <c r="C12110" s="133">
        <v>21</v>
      </c>
      <c r="D12110" s="141">
        <f t="shared" si="1770"/>
        <v>45586</v>
      </c>
      <c r="E12110" s="275">
        <f t="shared" si="1771"/>
        <v>45586</v>
      </c>
      <c r="F12110" s="481"/>
      <c r="G12110" s="174" t="s">
        <v>94</v>
      </c>
      <c r="H12110" s="174" t="str" cm="1">
        <f t="array" ref="H12110">IFERROR(INDEX(INVESTOR_LIST[INVESTOR NAME],MATCH(I12110,INVESTOR_LIST[INVESTOR CODE],0),)," ")</f>
        <v xml:space="preserve"> </v>
      </c>
      <c r="J12110" s="149" t="s">
        <v>190</v>
      </c>
      <c r="K12110" s="218">
        <v>369334</v>
      </c>
      <c r="L12110" s="218"/>
      <c r="M12110" s="176"/>
    </row>
    <row r="12111" spans="1:13" x14ac:dyDescent="0.2">
      <c r="A12111" s="133">
        <v>2024</v>
      </c>
      <c r="B12111" s="133">
        <v>10</v>
      </c>
      <c r="C12111" s="133">
        <v>21</v>
      </c>
      <c r="D12111" s="141">
        <f t="shared" si="1770"/>
        <v>45586</v>
      </c>
      <c r="E12111" s="275">
        <f t="shared" si="1771"/>
        <v>45586</v>
      </c>
      <c r="F12111" s="481"/>
      <c r="G12111" s="174" t="s">
        <v>94</v>
      </c>
      <c r="H12111" s="174" t="str" cm="1">
        <f t="array" ref="H12111">IFERROR(INDEX(INVESTOR_LIST[INVESTOR NAME],MATCH(I12111,INVESTOR_LIST[INVESTOR CODE],0),)," ")</f>
        <v xml:space="preserve"> </v>
      </c>
      <c r="J12111" s="149" t="s">
        <v>191</v>
      </c>
      <c r="K12111" s="218">
        <v>52821.91</v>
      </c>
      <c r="L12111" s="218"/>
    </row>
    <row r="12112" spans="1:13" x14ac:dyDescent="0.2">
      <c r="A12112" s="163">
        <v>2024</v>
      </c>
      <c r="B12112" s="163">
        <v>10</v>
      </c>
      <c r="C12112" s="163">
        <v>21</v>
      </c>
      <c r="D12112" s="280">
        <f t="shared" si="1770"/>
        <v>45586</v>
      </c>
      <c r="E12112" s="281">
        <f t="shared" si="1771"/>
        <v>45586</v>
      </c>
      <c r="F12112" s="480"/>
      <c r="G12112" s="221" t="s">
        <v>94</v>
      </c>
      <c r="H12112" s="145" t="str" cm="1">
        <f t="array" ref="H12112">IFERROR(INDEX(INVESTOR_LIST[INVESTOR NAME],MATCH(I12112,INVESTOR_LIST[INVESTOR CODE],0),)," ")</f>
        <v xml:space="preserve"> </v>
      </c>
      <c r="I12112" s="145"/>
      <c r="J12112" s="163" t="s">
        <v>79</v>
      </c>
      <c r="K12112" s="219"/>
      <c r="L12112" s="219">
        <v>422821.91</v>
      </c>
    </row>
    <row r="12113" spans="1:17" ht="11.25" customHeight="1" x14ac:dyDescent="0.2">
      <c r="A12113" s="168">
        <v>2024</v>
      </c>
      <c r="B12113" s="133">
        <v>10</v>
      </c>
      <c r="C12113" s="133">
        <v>22</v>
      </c>
      <c r="D12113" s="141">
        <f t="shared" si="1770"/>
        <v>45587</v>
      </c>
      <c r="E12113" s="275">
        <f t="shared" si="1771"/>
        <v>45587</v>
      </c>
      <c r="F12113" s="479" t="s">
        <v>1959</v>
      </c>
      <c r="G12113" s="220" t="s">
        <v>74</v>
      </c>
      <c r="H12113" s="220" t="str" cm="1">
        <f t="array" ref="H12113">IFERROR(INDEX(INVESTOR_LIST[INVESTOR NAME],MATCH(I12113,INVESTOR_LIST[INVESTOR CODE],0),)," ")</f>
        <v xml:space="preserve"> </v>
      </c>
      <c r="I12113" s="142"/>
      <c r="J12113" s="143" t="s">
        <v>52</v>
      </c>
      <c r="K12113" s="226">
        <v>740119.18</v>
      </c>
      <c r="L12113" s="226"/>
    </row>
    <row r="12114" spans="1:17" x14ac:dyDescent="0.2">
      <c r="A12114" s="163">
        <v>2024</v>
      </c>
      <c r="B12114" s="163">
        <v>10</v>
      </c>
      <c r="C12114" s="163">
        <v>22</v>
      </c>
      <c r="D12114" s="280">
        <f t="shared" si="1770"/>
        <v>45587</v>
      </c>
      <c r="E12114" s="281">
        <f t="shared" si="1771"/>
        <v>45587</v>
      </c>
      <c r="F12114" s="480"/>
      <c r="G12114" s="221" t="s">
        <v>74</v>
      </c>
      <c r="H12114" s="221" t="str" cm="1">
        <f t="array" ref="H12114">IFERROR(INDEX(INVESTOR_LIST[INVESTOR NAME],MATCH(I12114,INVESTOR_LIST[INVESTOR CODE],0),)," ")</f>
        <v xml:space="preserve"> </v>
      </c>
      <c r="I12114" s="145"/>
      <c r="J12114" s="146" t="s">
        <v>190</v>
      </c>
      <c r="K12114" s="219"/>
      <c r="L12114" s="219">
        <v>740119.18</v>
      </c>
    </row>
    <row r="12115" spans="1:17" x14ac:dyDescent="0.2">
      <c r="A12115" s="168">
        <v>2024</v>
      </c>
      <c r="B12115" s="168">
        <v>10</v>
      </c>
      <c r="C12115" s="168">
        <v>23</v>
      </c>
      <c r="D12115" s="141">
        <f t="shared" si="1770"/>
        <v>45588</v>
      </c>
      <c r="E12115" s="275">
        <f t="shared" si="1771"/>
        <v>45588</v>
      </c>
      <c r="F12115" s="479" t="s">
        <v>1996</v>
      </c>
      <c r="G12115" s="174" t="s">
        <v>74</v>
      </c>
      <c r="H12115" s="174" t="str" cm="1">
        <f t="array" ref="H12115">IFERROR(INDEX(INVESTOR_LIST[INVESTOR NAME],MATCH(I12115,INVESTOR_LIST[INVESTOR CODE],0),)," ")</f>
        <v xml:space="preserve"> </v>
      </c>
      <c r="I12115" s="148" t="s">
        <v>348</v>
      </c>
      <c r="J12115" s="143" t="s">
        <v>1805</v>
      </c>
      <c r="K12115" s="218">
        <v>977416.52</v>
      </c>
      <c r="L12115" s="218"/>
      <c r="M12115" s="147"/>
      <c r="Q12115" s="133" t="s">
        <v>348</v>
      </c>
    </row>
    <row r="12116" spans="1:17" x14ac:dyDescent="0.2">
      <c r="A12116" s="163">
        <v>2024</v>
      </c>
      <c r="B12116" s="163">
        <v>10</v>
      </c>
      <c r="C12116" s="163">
        <v>23</v>
      </c>
      <c r="D12116" s="280">
        <f t="shared" si="1770"/>
        <v>45588</v>
      </c>
      <c r="E12116" s="281">
        <f t="shared" si="1771"/>
        <v>45588</v>
      </c>
      <c r="F12116" s="480"/>
      <c r="G12116" s="221" t="s">
        <v>74</v>
      </c>
      <c r="H12116" s="221" t="str" cm="1">
        <f t="array" ref="H12116">IFERROR(INDEX(INVESTOR_LIST[INVESTOR NAME],MATCH(I12116,INVESTOR_LIST[INVESTOR CODE],0),)," ")</f>
        <v xml:space="preserve"> </v>
      </c>
      <c r="I12116" s="145"/>
      <c r="J12116" s="146" t="s">
        <v>52</v>
      </c>
      <c r="K12116" s="219"/>
      <c r="L12116" s="219">
        <v>977416.52</v>
      </c>
      <c r="M12116" s="147"/>
      <c r="Q12116" s="133" t="s">
        <v>348</v>
      </c>
    </row>
    <row r="12117" spans="1:17" ht="11.25" customHeight="1" x14ac:dyDescent="0.2">
      <c r="A12117" s="168">
        <v>2024</v>
      </c>
      <c r="B12117" s="133">
        <v>10</v>
      </c>
      <c r="C12117" s="168">
        <v>23</v>
      </c>
      <c r="D12117" s="141">
        <f t="shared" ref="D12117:D12158" si="1772">DATE(A12117,B12117,C12117)</f>
        <v>45588</v>
      </c>
      <c r="E12117" s="275">
        <f t="shared" ref="E12117:E12158" si="1773">DATE(A12117,B12117,C12117)</f>
        <v>45588</v>
      </c>
      <c r="F12117" s="479" t="s">
        <v>1959</v>
      </c>
      <c r="G12117" s="220" t="s">
        <v>74</v>
      </c>
      <c r="H12117" s="220" t="str" cm="1">
        <f t="array" ref="H12117">IFERROR(INDEX(INVESTOR_LIST[INVESTOR NAME],MATCH(I12117,INVESTOR_LIST[INVESTOR CODE],0),)," ")</f>
        <v xml:space="preserve"> </v>
      </c>
      <c r="I12117" s="142"/>
      <c r="J12117" s="143" t="s">
        <v>52</v>
      </c>
      <c r="K12117" s="226">
        <v>369334</v>
      </c>
      <c r="L12117" s="226"/>
    </row>
    <row r="12118" spans="1:17" x14ac:dyDescent="0.2">
      <c r="A12118" s="163">
        <v>2024</v>
      </c>
      <c r="B12118" s="163">
        <v>10</v>
      </c>
      <c r="C12118" s="163">
        <v>23</v>
      </c>
      <c r="D12118" s="280">
        <f t="shared" si="1772"/>
        <v>45588</v>
      </c>
      <c r="E12118" s="281">
        <f t="shared" si="1773"/>
        <v>45588</v>
      </c>
      <c r="F12118" s="480"/>
      <c r="G12118" s="221" t="s">
        <v>74</v>
      </c>
      <c r="H12118" s="221" t="str" cm="1">
        <f t="array" ref="H12118">IFERROR(INDEX(INVESTOR_LIST[INVESTOR NAME],MATCH(I12118,INVESTOR_LIST[INVESTOR CODE],0),)," ")</f>
        <v xml:space="preserve"> </v>
      </c>
      <c r="I12118" s="145"/>
      <c r="J12118" s="146" t="s">
        <v>190</v>
      </c>
      <c r="K12118" s="219"/>
      <c r="L12118" s="219">
        <v>369334</v>
      </c>
    </row>
    <row r="12119" spans="1:17" x14ac:dyDescent="0.2">
      <c r="A12119" s="133">
        <v>2024</v>
      </c>
      <c r="B12119" s="168">
        <v>10</v>
      </c>
      <c r="C12119" s="168">
        <v>23</v>
      </c>
      <c r="D12119" s="141">
        <f t="shared" si="1772"/>
        <v>45588</v>
      </c>
      <c r="E12119" s="275">
        <f t="shared" si="1773"/>
        <v>45588</v>
      </c>
      <c r="F12119" s="479" t="s">
        <v>275</v>
      </c>
      <c r="G12119" s="174" t="s">
        <v>74</v>
      </c>
      <c r="H12119" s="174" t="str" cm="1">
        <f t="array" ref="H12119">IFERROR(INDEX(INVESTOR_LIST[INVESTOR NAME],MATCH(I12119,INVESTOR_LIST[INVESTOR CODE],0),)," ")</f>
        <v xml:space="preserve"> </v>
      </c>
      <c r="I12119" s="148" t="s">
        <v>348</v>
      </c>
      <c r="J12119" s="149" t="s">
        <v>163</v>
      </c>
      <c r="K12119" s="218">
        <v>1575</v>
      </c>
      <c r="L12119" s="218"/>
      <c r="M12119" s="147"/>
      <c r="Q12119" s="133" t="s">
        <v>348</v>
      </c>
    </row>
    <row r="12120" spans="1:17" x14ac:dyDescent="0.2">
      <c r="A12120" s="133">
        <v>2024</v>
      </c>
      <c r="B12120" s="133">
        <v>10</v>
      </c>
      <c r="C12120" s="133">
        <v>23</v>
      </c>
      <c r="D12120" s="141">
        <f t="shared" si="1772"/>
        <v>45588</v>
      </c>
      <c r="E12120" s="275">
        <f t="shared" si="1773"/>
        <v>45588</v>
      </c>
      <c r="F12120" s="481"/>
      <c r="G12120" s="174" t="s">
        <v>74</v>
      </c>
      <c r="H12120" s="174" t="str" cm="1">
        <f t="array" ref="H12120">IFERROR(INDEX(INVESTOR_LIST[INVESTOR NAME],MATCH(I12120,INVESTOR_LIST[INVESTOR CODE],0),)," ")</f>
        <v xml:space="preserve"> </v>
      </c>
      <c r="J12120" s="149" t="s">
        <v>1907</v>
      </c>
      <c r="K12120" s="218"/>
      <c r="L12120" s="218">
        <v>150</v>
      </c>
      <c r="M12120" s="147"/>
    </row>
    <row r="12121" spans="1:17" x14ac:dyDescent="0.2">
      <c r="A12121" s="163">
        <v>2024</v>
      </c>
      <c r="B12121" s="163">
        <v>10</v>
      </c>
      <c r="C12121" s="163">
        <v>23</v>
      </c>
      <c r="D12121" s="280">
        <f t="shared" si="1772"/>
        <v>45588</v>
      </c>
      <c r="E12121" s="281">
        <f t="shared" si="1773"/>
        <v>45588</v>
      </c>
      <c r="F12121" s="480"/>
      <c r="G12121" s="221" t="s">
        <v>74</v>
      </c>
      <c r="H12121" s="221" t="str" cm="1">
        <f t="array" ref="H12121">IFERROR(INDEX(INVESTOR_LIST[INVESTOR NAME],MATCH(I12121,INVESTOR_LIST[INVESTOR CODE],0),)," ")</f>
        <v xml:space="preserve"> </v>
      </c>
      <c r="I12121" s="145"/>
      <c r="J12121" s="146" t="s">
        <v>52</v>
      </c>
      <c r="K12121" s="219"/>
      <c r="L12121" s="219">
        <v>1425</v>
      </c>
      <c r="M12121" s="147"/>
      <c r="Q12121" s="133" t="s">
        <v>348</v>
      </c>
    </row>
    <row r="12122" spans="1:17" x14ac:dyDescent="0.2">
      <c r="A12122" s="133">
        <v>2024</v>
      </c>
      <c r="B12122" s="133">
        <v>10</v>
      </c>
      <c r="C12122" s="133">
        <v>24</v>
      </c>
      <c r="D12122" s="141">
        <f t="shared" si="1772"/>
        <v>45589</v>
      </c>
      <c r="E12122" s="275">
        <f t="shared" si="1773"/>
        <v>45589</v>
      </c>
      <c r="F12122" s="481" t="s">
        <v>1995</v>
      </c>
      <c r="G12122" s="174" t="s">
        <v>94</v>
      </c>
      <c r="H12122" s="174" t="str" cm="1">
        <f t="array" ref="H12122">IFERROR(INDEX(INVESTOR_LIST[INVESTOR NAME],MATCH(I12122,INVESTOR_LIST[INVESTOR CODE],0),)," ")</f>
        <v xml:space="preserve"> </v>
      </c>
      <c r="J12122" s="149" t="s">
        <v>80</v>
      </c>
      <c r="K12122" s="218">
        <v>2357.3910999999998</v>
      </c>
      <c r="L12122" s="133"/>
    </row>
    <row r="12123" spans="1:17" x14ac:dyDescent="0.2">
      <c r="A12123" s="133">
        <v>2024</v>
      </c>
      <c r="B12123" s="133">
        <v>10</v>
      </c>
      <c r="C12123" s="133">
        <v>24</v>
      </c>
      <c r="D12123" s="141">
        <f t="shared" si="1772"/>
        <v>45589</v>
      </c>
      <c r="E12123" s="275">
        <f t="shared" si="1773"/>
        <v>45589</v>
      </c>
      <c r="F12123" s="481"/>
      <c r="G12123" s="174" t="s">
        <v>94</v>
      </c>
      <c r="H12123" s="174" t="str" cm="1">
        <f t="array" ref="H12123">IFERROR(INDEX(INVESTOR_LIST[INVESTOR NAME],MATCH(I12123,INVESTOR_LIST[INVESTOR CODE],0),)," ")</f>
        <v xml:space="preserve"> </v>
      </c>
      <c r="J12123" s="149" t="s">
        <v>190</v>
      </c>
      <c r="K12123" s="218">
        <v>1307304.4088999999</v>
      </c>
      <c r="L12123" s="218"/>
      <c r="M12123" s="176"/>
    </row>
    <row r="12124" spans="1:17" x14ac:dyDescent="0.2">
      <c r="A12124" s="133">
        <v>2024</v>
      </c>
      <c r="B12124" s="133">
        <v>10</v>
      </c>
      <c r="C12124" s="133">
        <v>24</v>
      </c>
      <c r="D12124" s="141">
        <f t="shared" si="1772"/>
        <v>45589</v>
      </c>
      <c r="E12124" s="275">
        <f t="shared" si="1773"/>
        <v>45589</v>
      </c>
      <c r="F12124" s="481"/>
      <c r="G12124" s="174" t="s">
        <v>94</v>
      </c>
      <c r="H12124" s="174" t="str" cm="1">
        <f t="array" ref="H12124">IFERROR(INDEX(INVESTOR_LIST[INVESTOR NAME],MATCH(I12124,INVESTOR_LIST[INVESTOR CODE],0),)," ")</f>
        <v xml:space="preserve"> </v>
      </c>
      <c r="J12124" s="149" t="s">
        <v>191</v>
      </c>
      <c r="K12124" s="218">
        <v>45932.77</v>
      </c>
      <c r="L12124" s="218"/>
    </row>
    <row r="12125" spans="1:17" x14ac:dyDescent="0.2">
      <c r="A12125" s="163">
        <v>2024</v>
      </c>
      <c r="B12125" s="163">
        <v>10</v>
      </c>
      <c r="C12125" s="163">
        <v>24</v>
      </c>
      <c r="D12125" s="280">
        <f t="shared" si="1772"/>
        <v>45589</v>
      </c>
      <c r="E12125" s="281">
        <f t="shared" si="1773"/>
        <v>45589</v>
      </c>
      <c r="F12125" s="480"/>
      <c r="G12125" s="221" t="s">
        <v>94</v>
      </c>
      <c r="H12125" s="145" t="str" cm="1">
        <f t="array" ref="H12125">IFERROR(INDEX(INVESTOR_LIST[INVESTOR NAME],MATCH(I12125,INVESTOR_LIST[INVESTOR CODE],0),)," ")</f>
        <v xml:space="preserve"> </v>
      </c>
      <c r="I12125" s="145"/>
      <c r="J12125" s="163" t="s">
        <v>79</v>
      </c>
      <c r="K12125" s="219"/>
      <c r="L12125" s="219">
        <v>1355594.57</v>
      </c>
    </row>
    <row r="12126" spans="1:17" x14ac:dyDescent="0.2">
      <c r="A12126" s="133">
        <v>2024</v>
      </c>
      <c r="B12126" s="133">
        <v>10</v>
      </c>
      <c r="C12126" s="133">
        <v>24</v>
      </c>
      <c r="D12126" s="141">
        <f t="shared" ref="D12126:D12134" si="1774">DATE(A12126,B12126,C12126)</f>
        <v>45589</v>
      </c>
      <c r="E12126" s="275">
        <f t="shared" ref="E12126:E12134" si="1775">DATE(A12126,B12126,C12126)</f>
        <v>45589</v>
      </c>
      <c r="F12126" s="481" t="s">
        <v>1986</v>
      </c>
      <c r="G12126" s="174" t="s">
        <v>94</v>
      </c>
      <c r="H12126" s="174" t="str" cm="1">
        <f t="array" ref="H12126">IFERROR(INDEX(INVESTOR_LIST[INVESTOR NAME],MATCH(I12126,INVESTOR_LIST[INVESTOR CODE],0),)," ")</f>
        <v xml:space="preserve"> </v>
      </c>
      <c r="J12126" s="149" t="s">
        <v>80</v>
      </c>
      <c r="K12126" s="218">
        <v>1979.55</v>
      </c>
      <c r="L12126" s="133"/>
    </row>
    <row r="12127" spans="1:17" x14ac:dyDescent="0.2">
      <c r="A12127" s="133">
        <v>2024</v>
      </c>
      <c r="B12127" s="133">
        <v>10</v>
      </c>
      <c r="C12127" s="133">
        <v>24</v>
      </c>
      <c r="D12127" s="141">
        <f t="shared" si="1774"/>
        <v>45589</v>
      </c>
      <c r="E12127" s="275">
        <f t="shared" si="1775"/>
        <v>45589</v>
      </c>
      <c r="F12127" s="481"/>
      <c r="G12127" s="174" t="s">
        <v>94</v>
      </c>
      <c r="H12127" s="174" t="str" cm="1">
        <f t="array" ref="H12127">IFERROR(INDEX(INVESTOR_LIST[INVESTOR NAME],MATCH(I12127,INVESTOR_LIST[INVESTOR CODE],0),)," ")</f>
        <v xml:space="preserve"> </v>
      </c>
      <c r="J12127" s="149" t="s">
        <v>190</v>
      </c>
      <c r="K12127" s="218">
        <v>1097770.45</v>
      </c>
      <c r="L12127" s="218"/>
      <c r="M12127" s="176"/>
    </row>
    <row r="12128" spans="1:17" x14ac:dyDescent="0.2">
      <c r="A12128" s="133">
        <v>2024</v>
      </c>
      <c r="B12128" s="133">
        <v>10</v>
      </c>
      <c r="C12128" s="133">
        <v>24</v>
      </c>
      <c r="D12128" s="141">
        <f t="shared" si="1774"/>
        <v>45589</v>
      </c>
      <c r="E12128" s="275">
        <f t="shared" si="1775"/>
        <v>45589</v>
      </c>
      <c r="F12128" s="481"/>
      <c r="G12128" s="174" t="s">
        <v>94</v>
      </c>
      <c r="H12128" s="174" t="str" cm="1">
        <f t="array" ref="H12128">IFERROR(INDEX(INVESTOR_LIST[INVESTOR NAME],MATCH(I12128,INVESTOR_LIST[INVESTOR CODE],0),)," ")</f>
        <v xml:space="preserve"> </v>
      </c>
      <c r="J12128" s="149" t="s">
        <v>191</v>
      </c>
      <c r="K12128" s="218">
        <v>29912.14</v>
      </c>
      <c r="L12128" s="218"/>
    </row>
    <row r="12129" spans="1:12" x14ac:dyDescent="0.2">
      <c r="A12129" s="163">
        <v>2024</v>
      </c>
      <c r="B12129" s="163">
        <v>10</v>
      </c>
      <c r="C12129" s="163">
        <v>24</v>
      </c>
      <c r="D12129" s="280">
        <f t="shared" si="1774"/>
        <v>45589</v>
      </c>
      <c r="E12129" s="281">
        <f t="shared" si="1775"/>
        <v>45589</v>
      </c>
      <c r="F12129" s="480"/>
      <c r="G12129" s="221" t="s">
        <v>94</v>
      </c>
      <c r="H12129" s="145" t="str" cm="1">
        <f t="array" ref="H12129">IFERROR(INDEX(INVESTOR_LIST[INVESTOR NAME],MATCH(I12129,INVESTOR_LIST[INVESTOR CODE],0),)," ")</f>
        <v xml:space="preserve"> </v>
      </c>
      <c r="I12129" s="145"/>
      <c r="J12129" s="163" t="s">
        <v>79</v>
      </c>
      <c r="K12129" s="219"/>
      <c r="L12129" s="219">
        <v>1129662.1399999999</v>
      </c>
    </row>
    <row r="12130" spans="1:12" x14ac:dyDescent="0.2">
      <c r="A12130" s="168">
        <v>2024</v>
      </c>
      <c r="B12130" s="168">
        <v>10</v>
      </c>
      <c r="C12130" s="168">
        <v>24</v>
      </c>
      <c r="D12130" s="141">
        <f t="shared" si="1774"/>
        <v>45589</v>
      </c>
      <c r="E12130" s="275">
        <f t="shared" si="1775"/>
        <v>45589</v>
      </c>
      <c r="F12130" s="479" t="s">
        <v>1998</v>
      </c>
      <c r="G12130" s="174" t="s">
        <v>74</v>
      </c>
      <c r="H12130" s="148" t="str" cm="1">
        <f t="array" ref="H12130">IFERROR(INDEX(INVESTOR_LIST[INVESTOR NAME],MATCH(I12130,INVESTOR_LIST[INVESTOR CODE],0),)," ")</f>
        <v xml:space="preserve"> </v>
      </c>
      <c r="I12130" s="148" t="s">
        <v>348</v>
      </c>
      <c r="J12130" s="133" t="s">
        <v>47</v>
      </c>
      <c r="K12130" s="172">
        <v>710000</v>
      </c>
    </row>
    <row r="12131" spans="1:12" x14ac:dyDescent="0.2">
      <c r="A12131" s="133">
        <v>2024</v>
      </c>
      <c r="B12131" s="133">
        <v>10</v>
      </c>
      <c r="C12131" s="133">
        <v>24</v>
      </c>
      <c r="D12131" s="141">
        <f t="shared" si="1774"/>
        <v>45589</v>
      </c>
      <c r="E12131" s="275">
        <f t="shared" si="1775"/>
        <v>45589</v>
      </c>
      <c r="F12131" s="481"/>
      <c r="G12131" s="174" t="s">
        <v>74</v>
      </c>
      <c r="H12131" s="148" t="str" cm="1">
        <f t="array" ref="H12131">IFERROR(INDEX(INVESTOR_LIST[INVESTOR NAME],MATCH(I12131,INVESTOR_LIST[INVESTOR CODE],0),)," ")</f>
        <v xml:space="preserve"> </v>
      </c>
      <c r="J12131" s="133" t="s">
        <v>534</v>
      </c>
      <c r="K12131" s="218"/>
      <c r="L12131" s="218">
        <v>106500</v>
      </c>
    </row>
    <row r="12132" spans="1:12" x14ac:dyDescent="0.2">
      <c r="A12132" s="163">
        <v>2024</v>
      </c>
      <c r="B12132" s="163">
        <v>10</v>
      </c>
      <c r="C12132" s="163">
        <v>24</v>
      </c>
      <c r="D12132" s="280">
        <f t="shared" si="1774"/>
        <v>45589</v>
      </c>
      <c r="E12132" s="281">
        <f t="shared" si="1775"/>
        <v>45589</v>
      </c>
      <c r="F12132" s="480"/>
      <c r="G12132" s="221" t="s">
        <v>74</v>
      </c>
      <c r="H12132" s="145" t="str" cm="1">
        <f t="array" ref="H12132">IFERROR(INDEX(INVESTOR_LIST[INVESTOR NAME],MATCH(I12132,INVESTOR_LIST[INVESTOR CODE],0),)," ")</f>
        <v xml:space="preserve"> </v>
      </c>
      <c r="I12132" s="145" t="s">
        <v>348</v>
      </c>
      <c r="J12132" s="163" t="s">
        <v>52</v>
      </c>
      <c r="K12132" s="219"/>
      <c r="L12132" s="219">
        <v>603500</v>
      </c>
    </row>
    <row r="12133" spans="1:12" x14ac:dyDescent="0.2">
      <c r="A12133" s="133">
        <v>2024</v>
      </c>
      <c r="B12133" s="133">
        <v>10</v>
      </c>
      <c r="C12133" s="133">
        <v>24</v>
      </c>
      <c r="D12133" s="147">
        <f t="shared" si="1774"/>
        <v>45589</v>
      </c>
      <c r="E12133" s="311">
        <f t="shared" si="1775"/>
        <v>45589</v>
      </c>
      <c r="F12133" s="479" t="s">
        <v>1943</v>
      </c>
      <c r="G12133" s="174" t="s">
        <v>74</v>
      </c>
      <c r="H12133" s="148" t="str" cm="1">
        <f t="array" ref="H12133">IFERROR(INDEX(INVESTOR_LIST[INVESTOR NAME],MATCH(I12133,INVESTOR_LIST[INVESTOR CODE],0),)," ")</f>
        <v xml:space="preserve"> </v>
      </c>
      <c r="I12133" s="148" t="s">
        <v>348</v>
      </c>
      <c r="J12133" s="133" t="s">
        <v>61</v>
      </c>
      <c r="K12133" s="172">
        <v>100</v>
      </c>
    </row>
    <row r="12134" spans="1:12" x14ac:dyDescent="0.2">
      <c r="A12134" s="163">
        <v>2024</v>
      </c>
      <c r="B12134" s="163">
        <v>10</v>
      </c>
      <c r="C12134" s="163">
        <v>24</v>
      </c>
      <c r="D12134" s="280">
        <f t="shared" si="1774"/>
        <v>45589</v>
      </c>
      <c r="E12134" s="281">
        <f t="shared" si="1775"/>
        <v>45589</v>
      </c>
      <c r="F12134" s="480"/>
      <c r="G12134" s="221" t="s">
        <v>74</v>
      </c>
      <c r="H12134" s="145" t="str" cm="1">
        <f t="array" ref="H12134">IFERROR(INDEX(INVESTOR_LIST[INVESTOR NAME],MATCH(I12134,INVESTOR_LIST[INVESTOR CODE],0),)," ")</f>
        <v xml:space="preserve"> </v>
      </c>
      <c r="I12134" s="145" t="s">
        <v>348</v>
      </c>
      <c r="J12134" s="163" t="s">
        <v>52</v>
      </c>
      <c r="K12134" s="219"/>
      <c r="L12134" s="219">
        <v>100</v>
      </c>
    </row>
    <row r="12135" spans="1:12" x14ac:dyDescent="0.2">
      <c r="A12135" s="325">
        <v>2024</v>
      </c>
      <c r="B12135" s="325">
        <v>10</v>
      </c>
      <c r="C12135" s="325">
        <v>24</v>
      </c>
      <c r="D12135" s="326">
        <f t="shared" si="1772"/>
        <v>45589</v>
      </c>
      <c r="E12135" s="327">
        <f t="shared" si="1773"/>
        <v>45589</v>
      </c>
      <c r="F12135" s="473" t="s">
        <v>1940</v>
      </c>
      <c r="G12135" s="340" t="s">
        <v>94</v>
      </c>
      <c r="H12135" s="340" t="str" cm="1">
        <f t="array" ref="H12135">IFERROR(INDEX(INVESTOR_LIST[INVESTOR NAME],MATCH(I12135,INVESTOR_LIST[INVESTOR CODE],0),)," ")</f>
        <v xml:space="preserve"> </v>
      </c>
      <c r="I12135" s="341" t="s">
        <v>348</v>
      </c>
      <c r="J12135" s="374" t="s">
        <v>133</v>
      </c>
      <c r="K12135" s="375">
        <v>12905.555555555549</v>
      </c>
      <c r="L12135" s="375"/>
    </row>
    <row r="12136" spans="1:12" x14ac:dyDescent="0.2">
      <c r="A12136" s="331">
        <v>2024</v>
      </c>
      <c r="B12136" s="331">
        <v>10</v>
      </c>
      <c r="C12136" s="331">
        <v>24</v>
      </c>
      <c r="D12136" s="326">
        <f t="shared" si="1772"/>
        <v>45589</v>
      </c>
      <c r="E12136" s="327">
        <f t="shared" si="1773"/>
        <v>45589</v>
      </c>
      <c r="F12136" s="474"/>
      <c r="G12136" s="332" t="s">
        <v>94</v>
      </c>
      <c r="H12136" s="332" t="str" cm="1">
        <f t="array" ref="H12136">IFERROR(INDEX(INVESTOR_LIST[INVESTOR NAME],MATCH(I12136,INVESTOR_LIST[INVESTOR CODE],0),)," ")</f>
        <v xml:space="preserve"> </v>
      </c>
      <c r="I12136" s="333" t="s">
        <v>348</v>
      </c>
      <c r="J12136" s="376" t="s">
        <v>60</v>
      </c>
      <c r="K12136" s="334"/>
      <c r="L12136" s="334">
        <v>12905.555555555549</v>
      </c>
    </row>
    <row r="12137" spans="1:12" x14ac:dyDescent="0.2">
      <c r="A12137" s="384">
        <v>2024</v>
      </c>
      <c r="B12137" s="384">
        <v>10</v>
      </c>
      <c r="C12137" s="384">
        <v>24</v>
      </c>
      <c r="D12137" s="385">
        <f t="shared" si="1772"/>
        <v>45589</v>
      </c>
      <c r="E12137" s="386">
        <f t="shared" si="1773"/>
        <v>45589</v>
      </c>
      <c r="F12137" s="475" t="s">
        <v>1966</v>
      </c>
      <c r="G12137" s="387" t="s">
        <v>94</v>
      </c>
      <c r="H12137" s="387" t="str" cm="1">
        <f t="array" ref="H12137">IFERROR(INDEX(INVESTOR_LIST[INVESTOR NAME],MATCH(I12137,INVESTOR_LIST[INVESTOR CODE],0),)," ")</f>
        <v xml:space="preserve"> </v>
      </c>
      <c r="I12137" s="388" t="s">
        <v>348</v>
      </c>
      <c r="J12137" s="389" t="s">
        <v>67</v>
      </c>
      <c r="K12137" s="390">
        <v>8715.6</v>
      </c>
      <c r="L12137" s="390"/>
    </row>
    <row r="12138" spans="1:12" x14ac:dyDescent="0.2">
      <c r="A12138" s="391">
        <v>2024</v>
      </c>
      <c r="B12138" s="391">
        <v>10</v>
      </c>
      <c r="C12138" s="391">
        <v>24</v>
      </c>
      <c r="D12138" s="385">
        <f t="shared" si="1772"/>
        <v>45589</v>
      </c>
      <c r="E12138" s="386">
        <f t="shared" si="1773"/>
        <v>45589</v>
      </c>
      <c r="F12138" s="476"/>
      <c r="G12138" s="392" t="s">
        <v>94</v>
      </c>
      <c r="H12138" s="392" t="str" cm="1">
        <f t="array" ref="H12138">IFERROR(INDEX(INVESTOR_LIST[INVESTOR NAME],MATCH(I12138,INVESTOR_LIST[INVESTOR CODE],0),)," ")</f>
        <v xml:space="preserve"> </v>
      </c>
      <c r="I12138" s="393" t="s">
        <v>348</v>
      </c>
      <c r="J12138" s="394" t="s">
        <v>60</v>
      </c>
      <c r="K12138" s="395"/>
      <c r="L12138" s="395">
        <f>K12137</f>
        <v>8715.6</v>
      </c>
    </row>
    <row r="12139" spans="1:12" x14ac:dyDescent="0.2">
      <c r="A12139" s="343">
        <v>2024</v>
      </c>
      <c r="B12139" s="343">
        <v>10</v>
      </c>
      <c r="C12139" s="343">
        <v>24</v>
      </c>
      <c r="D12139" s="344">
        <f t="shared" si="1772"/>
        <v>45589</v>
      </c>
      <c r="E12139" s="345">
        <f t="shared" si="1773"/>
        <v>45589</v>
      </c>
      <c r="F12139" s="483" t="s">
        <v>1813</v>
      </c>
      <c r="G12139" s="350" t="s">
        <v>94</v>
      </c>
      <c r="H12139" s="350" t="str" cm="1">
        <f t="array" ref="H12139">IFERROR(INDEX(INVESTOR_LIST[INVESTOR NAME],MATCH(I12139,INVESTOR_LIST[INVESTOR CODE],0),)," ")</f>
        <v xml:space="preserve"> </v>
      </c>
      <c r="I12139" s="352" t="s">
        <v>348</v>
      </c>
      <c r="J12139" s="353" t="s">
        <v>1798</v>
      </c>
      <c r="K12139" s="354">
        <v>21481</v>
      </c>
      <c r="L12139" s="354"/>
    </row>
    <row r="12140" spans="1:12" x14ac:dyDescent="0.2">
      <c r="A12140" s="346">
        <v>2024</v>
      </c>
      <c r="B12140" s="346">
        <v>10</v>
      </c>
      <c r="C12140" s="346">
        <v>24</v>
      </c>
      <c r="D12140" s="344">
        <f t="shared" si="1772"/>
        <v>45589</v>
      </c>
      <c r="E12140" s="345">
        <f t="shared" si="1773"/>
        <v>45589</v>
      </c>
      <c r="F12140" s="484"/>
      <c r="G12140" s="347" t="s">
        <v>94</v>
      </c>
      <c r="H12140" s="347" t="str" cm="1">
        <f t="array" ref="H12140">IFERROR(INDEX(INVESTOR_LIST[INVESTOR NAME],MATCH(I12140,INVESTOR_LIST[INVESTOR CODE],0),)," ")</f>
        <v xml:space="preserve"> </v>
      </c>
      <c r="I12140" s="348" t="s">
        <v>348</v>
      </c>
      <c r="J12140" s="355" t="s">
        <v>1807</v>
      </c>
      <c r="K12140" s="349"/>
      <c r="L12140" s="349">
        <f>K12139</f>
        <v>21481</v>
      </c>
    </row>
    <row r="12141" spans="1:12" x14ac:dyDescent="0.2">
      <c r="A12141" s="343">
        <v>2024</v>
      </c>
      <c r="B12141" s="343">
        <v>10</v>
      </c>
      <c r="C12141" s="343">
        <v>24</v>
      </c>
      <c r="D12141" s="344">
        <f t="shared" si="1772"/>
        <v>45589</v>
      </c>
      <c r="E12141" s="345">
        <f t="shared" si="1773"/>
        <v>45589</v>
      </c>
      <c r="F12141" s="483" t="s">
        <v>1913</v>
      </c>
      <c r="G12141" s="350" t="s">
        <v>94</v>
      </c>
      <c r="H12141" s="350" t="str" cm="1">
        <f t="array" ref="H12141">IFERROR(INDEX(INVESTOR_LIST[INVESTOR NAME],MATCH(I12141,INVESTOR_LIST[INVESTOR CODE],0),)," ")</f>
        <v xml:space="preserve"> </v>
      </c>
      <c r="I12141" s="352" t="s">
        <v>348</v>
      </c>
      <c r="J12141" s="353" t="s">
        <v>1799</v>
      </c>
      <c r="K12141" s="354">
        <v>62639.449999999255</v>
      </c>
      <c r="L12141" s="354"/>
    </row>
    <row r="12142" spans="1:12" x14ac:dyDescent="0.2">
      <c r="A12142" s="346">
        <v>2024</v>
      </c>
      <c r="B12142" s="346">
        <v>10</v>
      </c>
      <c r="C12142" s="346">
        <v>24</v>
      </c>
      <c r="D12142" s="344">
        <f t="shared" si="1772"/>
        <v>45589</v>
      </c>
      <c r="E12142" s="345">
        <f t="shared" si="1773"/>
        <v>45589</v>
      </c>
      <c r="F12142" s="484"/>
      <c r="G12142" s="347" t="s">
        <v>94</v>
      </c>
      <c r="H12142" s="347" t="str" cm="1">
        <f t="array" ref="H12142">IFERROR(INDEX(INVESTOR_LIST[INVESTOR NAME],MATCH(I12142,INVESTOR_LIST[INVESTOR CODE],0),)," ")</f>
        <v xml:space="preserve"> </v>
      </c>
      <c r="I12142" s="348" t="s">
        <v>348</v>
      </c>
      <c r="J12142" s="355" t="s">
        <v>1808</v>
      </c>
      <c r="K12142" s="349"/>
      <c r="L12142" s="349">
        <f>K12141</f>
        <v>62639.449999999255</v>
      </c>
    </row>
    <row r="12143" spans="1:12" ht="11.25" customHeight="1" x14ac:dyDescent="0.2">
      <c r="A12143" s="238">
        <v>2024</v>
      </c>
      <c r="B12143" s="238">
        <v>10</v>
      </c>
      <c r="C12143" s="238">
        <v>24</v>
      </c>
      <c r="D12143" s="270">
        <f t="shared" si="1772"/>
        <v>45589</v>
      </c>
      <c r="E12143" s="279">
        <f t="shared" si="1773"/>
        <v>45589</v>
      </c>
      <c r="F12143" s="477" t="s">
        <v>347</v>
      </c>
      <c r="G12143" s="239" t="s">
        <v>94</v>
      </c>
      <c r="H12143" s="239" t="str" cm="1">
        <f t="array" ref="H12143">IFERROR(INDEX(INVESTOR_LIST[INVESTOR NAME],MATCH(I12143,INVESTOR_LIST[INVESTOR CODE],0),)," ")</f>
        <v xml:space="preserve"> </v>
      </c>
      <c r="I12143" s="262" t="s">
        <v>348</v>
      </c>
      <c r="J12143" s="240" t="s">
        <v>82</v>
      </c>
      <c r="K12143" s="241">
        <v>1527906.5700000226</v>
      </c>
      <c r="L12143" s="241"/>
    </row>
    <row r="12144" spans="1:12" x14ac:dyDescent="0.2">
      <c r="A12144" s="242">
        <v>2024</v>
      </c>
      <c r="B12144" s="242">
        <v>10</v>
      </c>
      <c r="C12144" s="242">
        <v>24</v>
      </c>
      <c r="D12144" s="270">
        <f t="shared" si="1772"/>
        <v>45589</v>
      </c>
      <c r="E12144" s="279">
        <f t="shared" si="1773"/>
        <v>45589</v>
      </c>
      <c r="F12144" s="478"/>
      <c r="G12144" s="243" t="s">
        <v>94</v>
      </c>
      <c r="H12144" s="243" t="str" cm="1">
        <f t="array" ref="H12144">IFERROR(INDEX(INVESTOR_LIST[INVESTOR NAME],MATCH(I12144,INVESTOR_LIST[INVESTOR CODE],0),)," ")</f>
        <v xml:space="preserve"> </v>
      </c>
      <c r="I12144" s="263" t="s">
        <v>348</v>
      </c>
      <c r="J12144" s="244" t="s">
        <v>108</v>
      </c>
      <c r="K12144" s="245"/>
      <c r="L12144" s="245">
        <f>K12143</f>
        <v>1527906.5700000226</v>
      </c>
    </row>
    <row r="12145" spans="1:13" ht="11.25" customHeight="1" x14ac:dyDescent="0.2">
      <c r="A12145" s="246">
        <v>2024</v>
      </c>
      <c r="B12145" s="238">
        <v>10</v>
      </c>
      <c r="C12145" s="238">
        <v>24</v>
      </c>
      <c r="D12145" s="270">
        <f t="shared" si="1772"/>
        <v>45589</v>
      </c>
      <c r="E12145" s="279">
        <f t="shared" si="1773"/>
        <v>45589</v>
      </c>
      <c r="F12145" s="482" t="s">
        <v>148</v>
      </c>
      <c r="G12145" s="247" t="s">
        <v>94</v>
      </c>
      <c r="H12145" s="247" t="str" cm="1">
        <f t="array" ref="H12145">IFERROR(INDEX(INVESTOR_LIST[INVESTOR NAME],MATCH(I12145,INVESTOR_LIST[INVESTOR CODE],0),)," ")</f>
        <v xml:space="preserve"> </v>
      </c>
      <c r="I12145" s="248" t="s">
        <v>348</v>
      </c>
      <c r="J12145" s="249" t="s">
        <v>95</v>
      </c>
      <c r="K12145" s="250">
        <v>2747.2527472527472</v>
      </c>
      <c r="L12145" s="241"/>
    </row>
    <row r="12146" spans="1:13" x14ac:dyDescent="0.2">
      <c r="A12146" s="242">
        <v>2024</v>
      </c>
      <c r="B12146" s="242">
        <v>10</v>
      </c>
      <c r="C12146" s="242">
        <v>24</v>
      </c>
      <c r="D12146" s="270">
        <f t="shared" si="1772"/>
        <v>45589</v>
      </c>
      <c r="E12146" s="279">
        <f t="shared" si="1773"/>
        <v>45589</v>
      </c>
      <c r="F12146" s="478"/>
      <c r="G12146" s="243" t="s">
        <v>94</v>
      </c>
      <c r="H12146" s="243" t="str" cm="1">
        <f t="array" ref="H12146">IFERROR(INDEX(INVESTOR_LIST[INVESTOR NAME],MATCH(I12146,INVESTOR_LIST[INVESTOR CODE],0),)," ")</f>
        <v xml:space="preserve"> </v>
      </c>
      <c r="I12146" s="263" t="s">
        <v>348</v>
      </c>
      <c r="J12146" s="244" t="s">
        <v>63</v>
      </c>
      <c r="K12146" s="245"/>
      <c r="L12146" s="245">
        <v>2747.2527472527472</v>
      </c>
    </row>
    <row r="12147" spans="1:13" x14ac:dyDescent="0.2">
      <c r="A12147" s="246">
        <v>2024</v>
      </c>
      <c r="B12147" s="238">
        <v>10</v>
      </c>
      <c r="C12147" s="238">
        <v>24</v>
      </c>
      <c r="D12147" s="270">
        <f t="shared" si="1772"/>
        <v>45589</v>
      </c>
      <c r="E12147" s="279">
        <f t="shared" si="1773"/>
        <v>45589</v>
      </c>
      <c r="F12147" s="482" t="s">
        <v>137</v>
      </c>
      <c r="G12147" s="247" t="s">
        <v>94</v>
      </c>
      <c r="H12147" s="247" t="str" cm="1">
        <f t="array" ref="H12147">IFERROR(INDEX(INVESTOR_LIST[INVESTOR NAME],MATCH(I12147,INVESTOR_LIST[INVESTOR CODE],0),)," ")</f>
        <v xml:space="preserve"> </v>
      </c>
      <c r="I12147" s="248" t="s">
        <v>348</v>
      </c>
      <c r="J12147" s="249" t="s">
        <v>97</v>
      </c>
      <c r="K12147" s="250">
        <f>M12147</f>
        <v>56277.818494785162</v>
      </c>
      <c r="L12147" s="252"/>
      <c r="M12147" s="264">
        <v>56277.818494785162</v>
      </c>
    </row>
    <row r="12148" spans="1:13" x14ac:dyDescent="0.2">
      <c r="A12148" s="242">
        <v>2024</v>
      </c>
      <c r="B12148" s="242">
        <v>10</v>
      </c>
      <c r="C12148" s="242">
        <v>24</v>
      </c>
      <c r="D12148" s="270">
        <f t="shared" si="1772"/>
        <v>45589</v>
      </c>
      <c r="E12148" s="279">
        <f t="shared" si="1773"/>
        <v>45589</v>
      </c>
      <c r="F12148" s="478"/>
      <c r="G12148" s="243" t="s">
        <v>94</v>
      </c>
      <c r="H12148" s="243" t="str" cm="1">
        <f t="array" ref="H12148">IFERROR(INDEX(INVESTOR_LIST[INVESTOR NAME],MATCH(I12148,INVESTOR_LIST[INVESTOR CODE],0),)," ")</f>
        <v xml:space="preserve"> </v>
      </c>
      <c r="I12148" s="263" t="s">
        <v>348</v>
      </c>
      <c r="J12148" s="244" t="s">
        <v>47</v>
      </c>
      <c r="K12148" s="245"/>
      <c r="L12148" s="245">
        <f>K12147</f>
        <v>56277.818494785162</v>
      </c>
      <c r="M12148" s="264">
        <v>2573.5063093546432</v>
      </c>
    </row>
    <row r="12149" spans="1:13" x14ac:dyDescent="0.2">
      <c r="A12149" s="246">
        <v>2024</v>
      </c>
      <c r="B12149" s="238">
        <v>10</v>
      </c>
      <c r="C12149" s="238">
        <v>24</v>
      </c>
      <c r="D12149" s="270">
        <f t="shared" si="1772"/>
        <v>45589</v>
      </c>
      <c r="E12149" s="279">
        <f t="shared" si="1773"/>
        <v>45589</v>
      </c>
      <c r="F12149" s="482" t="s">
        <v>138</v>
      </c>
      <c r="G12149" s="247" t="s">
        <v>94</v>
      </c>
      <c r="H12149" s="247" t="str" cm="1">
        <f t="array" ref="H12149">IFERROR(INDEX(INVESTOR_LIST[INVESTOR NAME],MATCH(I12149,INVESTOR_LIST[INVESTOR CODE],0),)," ")</f>
        <v xml:space="preserve"> </v>
      </c>
      <c r="I12149" s="248" t="s">
        <v>348</v>
      </c>
      <c r="J12149" s="249" t="s">
        <v>100</v>
      </c>
      <c r="K12149" s="250">
        <f>M12148</f>
        <v>2573.5063093546432</v>
      </c>
      <c r="L12149" s="252"/>
    </row>
    <row r="12150" spans="1:13" x14ac:dyDescent="0.2">
      <c r="A12150" s="242">
        <v>2024</v>
      </c>
      <c r="B12150" s="242">
        <v>10</v>
      </c>
      <c r="C12150" s="242">
        <v>24</v>
      </c>
      <c r="D12150" s="321">
        <f t="shared" si="1772"/>
        <v>45589</v>
      </c>
      <c r="E12150" s="322">
        <f t="shared" si="1773"/>
        <v>45589</v>
      </c>
      <c r="F12150" s="478"/>
      <c r="G12150" s="243" t="s">
        <v>94</v>
      </c>
      <c r="H12150" s="243" t="str" cm="1">
        <f t="array" ref="H12150">IFERROR(INDEX(INVESTOR_LIST[INVESTOR NAME],MATCH(I12150,INVESTOR_LIST[INVESTOR CODE],0),)," ")</f>
        <v xml:space="preserve"> </v>
      </c>
      <c r="I12150" s="263" t="s">
        <v>348</v>
      </c>
      <c r="J12150" s="244" t="s">
        <v>48</v>
      </c>
      <c r="K12150" s="245"/>
      <c r="L12150" s="245">
        <f>K12149</f>
        <v>2573.5063093546432</v>
      </c>
    </row>
    <row r="12151" spans="1:13" x14ac:dyDescent="0.2">
      <c r="A12151" s="133">
        <v>2024</v>
      </c>
      <c r="B12151" s="133">
        <v>10</v>
      </c>
      <c r="C12151" s="133">
        <v>27</v>
      </c>
      <c r="D12151" s="147">
        <f>DATE(A12151,B12151,C12151)</f>
        <v>45592</v>
      </c>
      <c r="E12151" s="311">
        <f>DATE(A12151,B12151,C12151)</f>
        <v>45592</v>
      </c>
      <c r="F12151" s="479" t="s">
        <v>1943</v>
      </c>
      <c r="G12151" s="174" t="s">
        <v>74</v>
      </c>
      <c r="H12151" s="148" t="str" cm="1">
        <f t="array" ref="H12151">IFERROR(INDEX(INVESTOR_LIST[INVESTOR NAME],MATCH(I12151,INVESTOR_LIST[INVESTOR CODE],0),)," ")</f>
        <v xml:space="preserve"> </v>
      </c>
      <c r="I12151" s="148" t="s">
        <v>348</v>
      </c>
      <c r="J12151" s="133" t="s">
        <v>61</v>
      </c>
      <c r="K12151" s="172">
        <v>100</v>
      </c>
    </row>
    <row r="12152" spans="1:13" x14ac:dyDescent="0.2">
      <c r="A12152" s="163">
        <v>2024</v>
      </c>
      <c r="B12152" s="163">
        <v>10</v>
      </c>
      <c r="C12152" s="163">
        <v>27</v>
      </c>
      <c r="D12152" s="280">
        <f>DATE(A12152,B12152,C12152)</f>
        <v>45592</v>
      </c>
      <c r="E12152" s="281">
        <f>DATE(A12152,B12152,C12152)</f>
        <v>45592</v>
      </c>
      <c r="F12152" s="480"/>
      <c r="G12152" s="221" t="s">
        <v>74</v>
      </c>
      <c r="H12152" s="145" t="str" cm="1">
        <f t="array" ref="H12152">IFERROR(INDEX(INVESTOR_LIST[INVESTOR NAME],MATCH(I12152,INVESTOR_LIST[INVESTOR CODE],0),)," ")</f>
        <v xml:space="preserve"> </v>
      </c>
      <c r="I12152" s="145" t="s">
        <v>348</v>
      </c>
      <c r="J12152" s="163" t="s">
        <v>52</v>
      </c>
      <c r="K12152" s="219"/>
      <c r="L12152" s="219">
        <v>100</v>
      </c>
    </row>
    <row r="12153" spans="1:13" x14ac:dyDescent="0.2">
      <c r="A12153" s="168">
        <v>2024</v>
      </c>
      <c r="B12153" s="168">
        <v>10</v>
      </c>
      <c r="C12153" s="133">
        <v>27</v>
      </c>
      <c r="D12153" s="141">
        <f t="shared" ref="D12153:D12155" si="1776">DATE(A12153,B12153,C12153)</f>
        <v>45592</v>
      </c>
      <c r="E12153" s="275">
        <f t="shared" ref="E12153:E12155" si="1777">DATE(A12153,B12153,C12153)</f>
        <v>45592</v>
      </c>
      <c r="F12153" s="479" t="s">
        <v>1319</v>
      </c>
      <c r="G12153" s="220" t="s">
        <v>74</v>
      </c>
      <c r="H12153" s="142" t="str" cm="1">
        <f t="array" ref="H12153">IFERROR(INDEX(INVESTOR_LIST[INVESTOR NAME],MATCH(I12153,INVESTOR_LIST[INVESTOR CODE],0),)," ")</f>
        <v xml:space="preserve"> </v>
      </c>
      <c r="I12153" s="142"/>
      <c r="J12153" s="168" t="s">
        <v>52</v>
      </c>
      <c r="K12153" s="226">
        <v>71000</v>
      </c>
      <c r="L12153" s="226"/>
    </row>
    <row r="12154" spans="1:13" x14ac:dyDescent="0.2">
      <c r="A12154" s="133">
        <v>2024</v>
      </c>
      <c r="B12154" s="133">
        <v>10</v>
      </c>
      <c r="C12154" s="133">
        <v>27</v>
      </c>
      <c r="D12154" s="141">
        <f t="shared" si="1776"/>
        <v>45592</v>
      </c>
      <c r="E12154" s="275">
        <f t="shared" si="1777"/>
        <v>45592</v>
      </c>
      <c r="F12154" s="481"/>
      <c r="G12154" s="174" t="s">
        <v>74</v>
      </c>
      <c r="H12154" s="148" t="str" cm="1">
        <f t="array" ref="H12154">IFERROR(INDEX(INVESTOR_LIST[INVESTOR NAME],MATCH(I12154,INVESTOR_LIST[INVESTOR CODE],0),)," ")</f>
        <v xml:space="preserve"> </v>
      </c>
      <c r="J12154" s="133" t="s">
        <v>13</v>
      </c>
      <c r="K12154" s="218"/>
      <c r="L12154" s="218">
        <v>56420</v>
      </c>
    </row>
    <row r="12155" spans="1:13" x14ac:dyDescent="0.2">
      <c r="A12155" s="163">
        <v>2024</v>
      </c>
      <c r="B12155" s="163">
        <v>10</v>
      </c>
      <c r="C12155" s="163">
        <v>27</v>
      </c>
      <c r="D12155" s="280">
        <f t="shared" si="1776"/>
        <v>45592</v>
      </c>
      <c r="E12155" s="281">
        <f t="shared" si="1777"/>
        <v>45592</v>
      </c>
      <c r="F12155" s="480"/>
      <c r="G12155" s="221" t="s">
        <v>74</v>
      </c>
      <c r="H12155" s="145" t="str" cm="1">
        <f t="array" ref="H12155">IFERROR(INDEX(INVESTOR_LIST[INVESTOR NAME],MATCH(I12155,INVESTOR_LIST[INVESTOR CODE],0),)," ")</f>
        <v xml:space="preserve"> </v>
      </c>
      <c r="I12155" s="145"/>
      <c r="J12155" s="163" t="s">
        <v>53</v>
      </c>
      <c r="K12155" s="219"/>
      <c r="L12155" s="219">
        <v>14580</v>
      </c>
    </row>
    <row r="12156" spans="1:13" x14ac:dyDescent="0.2">
      <c r="A12156" s="168">
        <v>2024</v>
      </c>
      <c r="B12156" s="168">
        <v>10</v>
      </c>
      <c r="C12156" s="168">
        <v>28</v>
      </c>
      <c r="D12156" s="141">
        <f t="shared" si="1772"/>
        <v>45593</v>
      </c>
      <c r="E12156" s="275">
        <f t="shared" si="1773"/>
        <v>45593</v>
      </c>
      <c r="F12156" s="479" t="s">
        <v>1997</v>
      </c>
      <c r="G12156" s="220" t="s">
        <v>74</v>
      </c>
      <c r="H12156" s="142" t="str" cm="1">
        <f t="array" ref="H12156">IFERROR(INDEX(INVESTOR_LIST[INVESTOR NAME],MATCH(I12156,INVESTOR_LIST[INVESTOR CODE],0),)," ")</f>
        <v xml:space="preserve"> </v>
      </c>
      <c r="I12156" s="142"/>
      <c r="J12156" s="168" t="s">
        <v>48</v>
      </c>
      <c r="K12156" s="226">
        <v>65115.64</v>
      </c>
      <c r="L12156" s="226"/>
    </row>
    <row r="12157" spans="1:13" x14ac:dyDescent="0.2">
      <c r="A12157" s="133">
        <v>2024</v>
      </c>
      <c r="B12157" s="133">
        <v>10</v>
      </c>
      <c r="C12157" s="133">
        <v>28</v>
      </c>
      <c r="D12157" s="141">
        <f t="shared" si="1772"/>
        <v>45593</v>
      </c>
      <c r="E12157" s="275">
        <f t="shared" si="1773"/>
        <v>45593</v>
      </c>
      <c r="F12157" s="481"/>
      <c r="G12157" s="174" t="s">
        <v>74</v>
      </c>
      <c r="H12157" s="148" t="str" cm="1">
        <f t="array" ref="H12157">IFERROR(INDEX(INVESTOR_LIST[INVESTOR NAME],MATCH(I12157,INVESTOR_LIST[INVESTOR CODE],0),)," ")</f>
        <v xml:space="preserve"> </v>
      </c>
      <c r="J12157" s="133" t="s">
        <v>534</v>
      </c>
      <c r="K12157" s="218"/>
      <c r="L12157" s="218">
        <v>6421.56</v>
      </c>
    </row>
    <row r="12158" spans="1:13" x14ac:dyDescent="0.2">
      <c r="A12158" s="163">
        <v>2024</v>
      </c>
      <c r="B12158" s="163">
        <v>10</v>
      </c>
      <c r="C12158" s="163">
        <v>28</v>
      </c>
      <c r="D12158" s="280">
        <f t="shared" si="1772"/>
        <v>45593</v>
      </c>
      <c r="E12158" s="281">
        <f t="shared" si="1773"/>
        <v>45593</v>
      </c>
      <c r="F12158" s="480"/>
      <c r="G12158" s="221" t="s">
        <v>74</v>
      </c>
      <c r="H12158" s="145" t="str" cm="1">
        <f t="array" ref="H12158">IFERROR(INDEX(INVESTOR_LIST[INVESTOR NAME],MATCH(I12158,INVESTOR_LIST[INVESTOR CODE],0),)," ")</f>
        <v xml:space="preserve"> </v>
      </c>
      <c r="I12158" s="145"/>
      <c r="J12158" s="163" t="s">
        <v>52</v>
      </c>
      <c r="K12158" s="219"/>
      <c r="L12158" s="219">
        <v>58694.080000000002</v>
      </c>
    </row>
    <row r="12159" spans="1:13" ht="11.25" customHeight="1" x14ac:dyDescent="0.2">
      <c r="A12159" s="168">
        <v>2024</v>
      </c>
      <c r="B12159" s="133">
        <v>10</v>
      </c>
      <c r="C12159" s="168">
        <v>28</v>
      </c>
      <c r="D12159" s="141">
        <f t="shared" ref="D12159:D12160" si="1778">DATE(A12159,B12159,C12159)</f>
        <v>45593</v>
      </c>
      <c r="E12159" s="275">
        <f t="shared" ref="E12159:E12160" si="1779">DATE(A12159,B12159,C12159)</f>
        <v>45593</v>
      </c>
      <c r="F12159" s="479" t="s">
        <v>1959</v>
      </c>
      <c r="G12159" s="220" t="s">
        <v>74</v>
      </c>
      <c r="H12159" s="220" t="str" cm="1">
        <f t="array" ref="H12159">IFERROR(INDEX(INVESTOR_LIST[INVESTOR NAME],MATCH(I12159,INVESTOR_LIST[INVESTOR CODE],0),)," ")</f>
        <v xml:space="preserve"> </v>
      </c>
      <c r="I12159" s="142"/>
      <c r="J12159" s="143" t="s">
        <v>52</v>
      </c>
      <c r="K12159" s="226">
        <v>1307304.4099999999</v>
      </c>
      <c r="L12159" s="226"/>
    </row>
    <row r="12160" spans="1:13" x14ac:dyDescent="0.2">
      <c r="A12160" s="163">
        <v>2024</v>
      </c>
      <c r="B12160" s="163">
        <v>10</v>
      </c>
      <c r="C12160" s="163">
        <v>28</v>
      </c>
      <c r="D12160" s="280">
        <f t="shared" si="1778"/>
        <v>45593</v>
      </c>
      <c r="E12160" s="281">
        <f t="shared" si="1779"/>
        <v>45593</v>
      </c>
      <c r="F12160" s="480"/>
      <c r="G12160" s="221" t="s">
        <v>74</v>
      </c>
      <c r="H12160" s="221" t="str" cm="1">
        <f t="array" ref="H12160">IFERROR(INDEX(INVESTOR_LIST[INVESTOR NAME],MATCH(I12160,INVESTOR_LIST[INVESTOR CODE],0),)," ")</f>
        <v xml:space="preserve"> </v>
      </c>
      <c r="I12160" s="145"/>
      <c r="J12160" s="146" t="s">
        <v>190</v>
      </c>
      <c r="K12160" s="219"/>
      <c r="L12160" s="219">
        <v>1307304.4099999999</v>
      </c>
    </row>
    <row r="12161" spans="1:13" ht="11.25" customHeight="1" x14ac:dyDescent="0.2">
      <c r="A12161" s="168">
        <v>2024</v>
      </c>
      <c r="B12161" s="133">
        <v>10</v>
      </c>
      <c r="C12161" s="168">
        <v>28</v>
      </c>
      <c r="D12161" s="141">
        <f t="shared" ref="D12161:D12224" si="1780">DATE(A12161,B12161,C12161)</f>
        <v>45593</v>
      </c>
      <c r="E12161" s="275">
        <f t="shared" ref="E12161:E12224" si="1781">DATE(A12161,B12161,C12161)</f>
        <v>45593</v>
      </c>
      <c r="F12161" s="479" t="s">
        <v>1987</v>
      </c>
      <c r="G12161" s="220" t="s">
        <v>74</v>
      </c>
      <c r="H12161" s="220" t="str" cm="1">
        <f t="array" ref="H12161">IFERROR(INDEX(INVESTOR_LIST[INVESTOR NAME],MATCH(I12161,INVESTOR_LIST[INVESTOR CODE],0),)," ")</f>
        <v xml:space="preserve"> </v>
      </c>
      <c r="I12161" s="142"/>
      <c r="J12161" s="143" t="s">
        <v>52</v>
      </c>
      <c r="K12161" s="226">
        <v>1097770.45</v>
      </c>
      <c r="L12161" s="226"/>
    </row>
    <row r="12162" spans="1:13" x14ac:dyDescent="0.2">
      <c r="A12162" s="163">
        <v>2024</v>
      </c>
      <c r="B12162" s="163">
        <v>10</v>
      </c>
      <c r="C12162" s="163">
        <v>28</v>
      </c>
      <c r="D12162" s="280">
        <f t="shared" si="1780"/>
        <v>45593</v>
      </c>
      <c r="E12162" s="281">
        <f t="shared" si="1781"/>
        <v>45593</v>
      </c>
      <c r="F12162" s="480"/>
      <c r="G12162" s="221" t="s">
        <v>74</v>
      </c>
      <c r="H12162" s="221" t="str" cm="1">
        <f t="array" ref="H12162">IFERROR(INDEX(INVESTOR_LIST[INVESTOR NAME],MATCH(I12162,INVESTOR_LIST[INVESTOR CODE],0),)," ")</f>
        <v xml:space="preserve"> </v>
      </c>
      <c r="I12162" s="145"/>
      <c r="J12162" s="146" t="s">
        <v>190</v>
      </c>
      <c r="K12162" s="219"/>
      <c r="L12162" s="219">
        <v>1097770.45</v>
      </c>
    </row>
    <row r="12163" spans="1:13" x14ac:dyDescent="0.2">
      <c r="A12163" s="168">
        <v>2024</v>
      </c>
      <c r="B12163" s="168">
        <v>10</v>
      </c>
      <c r="C12163" s="168">
        <v>28</v>
      </c>
      <c r="D12163" s="141">
        <f t="shared" si="1780"/>
        <v>45593</v>
      </c>
      <c r="E12163" s="275">
        <f t="shared" si="1781"/>
        <v>45593</v>
      </c>
      <c r="F12163" s="479" t="s">
        <v>1979</v>
      </c>
      <c r="G12163" s="220" t="s">
        <v>94</v>
      </c>
      <c r="H12163" s="220" t="str" cm="1">
        <f t="array" ref="H12163">IFERROR(INDEX(INVESTOR_LIST[INVESTOR NAME],MATCH(I12163,INVESTOR_LIST[INVESTOR CODE],0),)," ")</f>
        <v xml:space="preserve"> </v>
      </c>
      <c r="I12163" s="142"/>
      <c r="J12163" s="143" t="s">
        <v>79</v>
      </c>
      <c r="K12163" s="226">
        <v>1925706.7</v>
      </c>
      <c r="L12163" s="226"/>
      <c r="M12163" s="160"/>
    </row>
    <row r="12164" spans="1:13" x14ac:dyDescent="0.2">
      <c r="A12164" s="133">
        <v>2024</v>
      </c>
      <c r="B12164" s="133">
        <v>10</v>
      </c>
      <c r="C12164" s="133">
        <v>28</v>
      </c>
      <c r="D12164" s="141">
        <f t="shared" si="1780"/>
        <v>45593</v>
      </c>
      <c r="E12164" s="275">
        <f t="shared" si="1781"/>
        <v>45593</v>
      </c>
      <c r="F12164" s="481"/>
      <c r="G12164" s="174" t="s">
        <v>94</v>
      </c>
      <c r="H12164" s="174" t="str" cm="1">
        <f t="array" ref="H12164">IFERROR(INDEX(INVESTOR_LIST[INVESTOR NAME],MATCH(I12164,INVESTOR_LIST[INVESTOR CODE],0),)," ")</f>
        <v xml:space="preserve"> </v>
      </c>
      <c r="J12164" s="149" t="s">
        <v>80</v>
      </c>
      <c r="K12164" s="218">
        <v>3466.2719999999999</v>
      </c>
      <c r="L12164" s="133"/>
    </row>
    <row r="12165" spans="1:13" x14ac:dyDescent="0.2">
      <c r="A12165" s="163">
        <v>2024</v>
      </c>
      <c r="B12165" s="163">
        <v>10</v>
      </c>
      <c r="C12165" s="163">
        <v>28</v>
      </c>
      <c r="D12165" s="280">
        <f t="shared" si="1780"/>
        <v>45593</v>
      </c>
      <c r="E12165" s="281">
        <f t="shared" si="1781"/>
        <v>45593</v>
      </c>
      <c r="F12165" s="480"/>
      <c r="G12165" s="221" t="s">
        <v>94</v>
      </c>
      <c r="H12165" s="221" t="str" cm="1">
        <f t="array" ref="H12165">IFERROR(INDEX(INVESTOR_LIST[INVESTOR NAME],MATCH(I12165,INVESTOR_LIST[INVESTOR CODE],0),)," ")</f>
        <v xml:space="preserve"> </v>
      </c>
      <c r="I12165" s="145"/>
      <c r="J12165" s="146" t="s">
        <v>147</v>
      </c>
      <c r="K12165" s="219"/>
      <c r="L12165" s="219">
        <v>1929172.9720000001</v>
      </c>
    </row>
    <row r="12166" spans="1:13" ht="11.25" customHeight="1" x14ac:dyDescent="0.2">
      <c r="A12166" s="168">
        <v>2024</v>
      </c>
      <c r="B12166" s="133">
        <v>10</v>
      </c>
      <c r="C12166" s="168">
        <v>29</v>
      </c>
      <c r="D12166" s="141">
        <f t="shared" si="1780"/>
        <v>45594</v>
      </c>
      <c r="E12166" s="275">
        <f t="shared" si="1781"/>
        <v>45594</v>
      </c>
      <c r="F12166" s="479" t="s">
        <v>1768</v>
      </c>
      <c r="G12166" s="220" t="s">
        <v>74</v>
      </c>
      <c r="H12166" s="220" t="str" cm="1">
        <f t="array" ref="H12166">IFERROR(INDEX(INVESTOR_LIST[INVESTOR NAME],MATCH(I12166,INVESTOR_LIST[INVESTOR CODE],0),)," ")</f>
        <v xml:space="preserve"> </v>
      </c>
      <c r="I12166" s="142"/>
      <c r="J12166" s="143" t="s">
        <v>147</v>
      </c>
      <c r="K12166" s="226">
        <v>1929172.97</v>
      </c>
      <c r="L12166" s="226"/>
    </row>
    <row r="12167" spans="1:13" x14ac:dyDescent="0.2">
      <c r="A12167" s="163">
        <v>2024</v>
      </c>
      <c r="B12167" s="163">
        <v>10</v>
      </c>
      <c r="C12167" s="163">
        <v>29</v>
      </c>
      <c r="D12167" s="280">
        <f t="shared" si="1780"/>
        <v>45594</v>
      </c>
      <c r="E12167" s="281">
        <f t="shared" si="1781"/>
        <v>45594</v>
      </c>
      <c r="F12167" s="480"/>
      <c r="G12167" s="221" t="s">
        <v>74</v>
      </c>
      <c r="H12167" s="221" t="str" cm="1">
        <f t="array" ref="H12167">IFERROR(INDEX(INVESTOR_LIST[INVESTOR NAME],MATCH(I12167,INVESTOR_LIST[INVESTOR CODE],0),)," ")</f>
        <v xml:space="preserve"> </v>
      </c>
      <c r="I12167" s="145" t="s">
        <v>348</v>
      </c>
      <c r="J12167" s="146" t="s">
        <v>52</v>
      </c>
      <c r="K12167" s="219"/>
      <c r="L12167" s="219">
        <v>1929172.97</v>
      </c>
    </row>
    <row r="12168" spans="1:13" x14ac:dyDescent="0.2">
      <c r="A12168" s="133">
        <v>2024</v>
      </c>
      <c r="B12168" s="133">
        <v>10</v>
      </c>
      <c r="C12168" s="133">
        <v>29</v>
      </c>
      <c r="D12168" s="147">
        <f>DATE(A12168,B12168,C12168)</f>
        <v>45594</v>
      </c>
      <c r="E12168" s="311">
        <f>DATE(A12168,B12168,C12168)</f>
        <v>45594</v>
      </c>
      <c r="F12168" s="479" t="s">
        <v>1943</v>
      </c>
      <c r="G12168" s="174" t="s">
        <v>74</v>
      </c>
      <c r="H12168" s="148" t="str" cm="1">
        <f t="array" ref="H12168">IFERROR(INDEX(INVESTOR_LIST[INVESTOR NAME],MATCH(I12168,INVESTOR_LIST[INVESTOR CODE],0),)," ")</f>
        <v xml:space="preserve"> </v>
      </c>
      <c r="I12168" s="148" t="s">
        <v>348</v>
      </c>
      <c r="J12168" s="133" t="s">
        <v>61</v>
      </c>
      <c r="K12168" s="172">
        <v>100</v>
      </c>
    </row>
    <row r="12169" spans="1:13" x14ac:dyDescent="0.2">
      <c r="A12169" s="163">
        <v>2024</v>
      </c>
      <c r="B12169" s="163">
        <v>10</v>
      </c>
      <c r="C12169" s="163">
        <v>29</v>
      </c>
      <c r="D12169" s="280">
        <f>DATE(A12169,B12169,C12169)</f>
        <v>45594</v>
      </c>
      <c r="E12169" s="281">
        <f>DATE(A12169,B12169,C12169)</f>
        <v>45594</v>
      </c>
      <c r="F12169" s="480"/>
      <c r="G12169" s="221" t="s">
        <v>74</v>
      </c>
      <c r="H12169" s="145" t="str" cm="1">
        <f t="array" ref="H12169">IFERROR(INDEX(INVESTOR_LIST[INVESTOR NAME],MATCH(I12169,INVESTOR_LIST[INVESTOR CODE],0),)," ")</f>
        <v xml:space="preserve"> </v>
      </c>
      <c r="I12169" s="145" t="s">
        <v>348</v>
      </c>
      <c r="J12169" s="163" t="s">
        <v>52</v>
      </c>
      <c r="K12169" s="219"/>
      <c r="L12169" s="219">
        <v>100</v>
      </c>
    </row>
    <row r="12170" spans="1:13" x14ac:dyDescent="0.2">
      <c r="A12170" s="133">
        <v>2024</v>
      </c>
      <c r="B12170" s="133">
        <v>10</v>
      </c>
      <c r="C12170" s="133">
        <v>29</v>
      </c>
      <c r="D12170" s="141">
        <f t="shared" si="1780"/>
        <v>45594</v>
      </c>
      <c r="E12170" s="275">
        <f t="shared" si="1781"/>
        <v>45594</v>
      </c>
      <c r="F12170" s="481" t="s">
        <v>1968</v>
      </c>
      <c r="G12170" s="174" t="s">
        <v>94</v>
      </c>
      <c r="H12170" s="174" t="str" cm="1">
        <f t="array" ref="H12170">IFERROR(INDEX(INVESTOR_LIST[INVESTOR NAME],MATCH(I12170,INVESTOR_LIST[INVESTOR CODE],0),)," ")</f>
        <v xml:space="preserve"> </v>
      </c>
      <c r="J12170" s="149" t="s">
        <v>79</v>
      </c>
      <c r="K12170" s="218">
        <v>580000</v>
      </c>
      <c r="L12170" s="218"/>
      <c r="M12170" s="160"/>
    </row>
    <row r="12171" spans="1:13" x14ac:dyDescent="0.2">
      <c r="A12171" s="133">
        <v>2024</v>
      </c>
      <c r="B12171" s="133">
        <v>10</v>
      </c>
      <c r="C12171" s="133">
        <v>29</v>
      </c>
      <c r="D12171" s="141">
        <f t="shared" si="1780"/>
        <v>45594</v>
      </c>
      <c r="E12171" s="275">
        <f t="shared" si="1781"/>
        <v>45594</v>
      </c>
      <c r="F12171" s="481"/>
      <c r="G12171" s="174" t="s">
        <v>94</v>
      </c>
      <c r="H12171" s="174" t="str" cm="1">
        <f t="array" ref="H12171">IFERROR(INDEX(INVESTOR_LIST[INVESTOR NAME],MATCH(I12171,INVESTOR_LIST[INVESTOR CODE],0),)," ")</f>
        <v xml:space="preserve"> </v>
      </c>
      <c r="J12171" s="149" t="s">
        <v>80</v>
      </c>
      <c r="K12171" s="218">
        <v>1981.8043</v>
      </c>
      <c r="L12171" s="133"/>
    </row>
    <row r="12172" spans="1:13" x14ac:dyDescent="0.2">
      <c r="A12172" s="133">
        <v>2024</v>
      </c>
      <c r="B12172" s="133">
        <v>10</v>
      </c>
      <c r="C12172" s="133">
        <v>29</v>
      </c>
      <c r="D12172" s="141">
        <f t="shared" si="1780"/>
        <v>45594</v>
      </c>
      <c r="E12172" s="275">
        <f t="shared" si="1781"/>
        <v>45594</v>
      </c>
      <c r="F12172" s="481"/>
      <c r="G12172" s="174" t="s">
        <v>94</v>
      </c>
      <c r="H12172" s="174" t="str" cm="1">
        <f t="array" ref="H12172">IFERROR(INDEX(INVESTOR_LIST[INVESTOR NAME],MATCH(I12172,INVESTOR_LIST[INVESTOR CODE],0),)," ")</f>
        <v xml:space="preserve"> </v>
      </c>
      <c r="J12172" s="396" t="s">
        <v>147</v>
      </c>
      <c r="K12172" s="254"/>
      <c r="L12172" s="254">
        <v>60979.4</v>
      </c>
    </row>
    <row r="12173" spans="1:13" x14ac:dyDescent="0.2">
      <c r="A12173" s="133">
        <v>2024</v>
      </c>
      <c r="B12173" s="133">
        <v>10</v>
      </c>
      <c r="C12173" s="133">
        <v>29</v>
      </c>
      <c r="D12173" s="141">
        <f t="shared" si="1780"/>
        <v>45594</v>
      </c>
      <c r="E12173" s="275">
        <f t="shared" si="1781"/>
        <v>45594</v>
      </c>
      <c r="F12173" s="481"/>
      <c r="G12173" s="174" t="s">
        <v>94</v>
      </c>
      <c r="H12173" s="174" t="str" cm="1">
        <f t="array" ref="H12173">IFERROR(INDEX(INVESTOR_LIST[INVESTOR NAME],MATCH(I12173,INVESTOR_LIST[INVESTOR CODE],0),)," ")</f>
        <v xml:space="preserve"> </v>
      </c>
      <c r="J12173" s="149" t="s">
        <v>191</v>
      </c>
      <c r="K12173" s="218">
        <v>70652.3</v>
      </c>
      <c r="L12173" s="218"/>
    </row>
    <row r="12174" spans="1:13" x14ac:dyDescent="0.2">
      <c r="A12174" s="163">
        <v>2024</v>
      </c>
      <c r="B12174" s="163">
        <v>10</v>
      </c>
      <c r="C12174" s="163">
        <v>29</v>
      </c>
      <c r="D12174" s="280">
        <f t="shared" si="1780"/>
        <v>45594</v>
      </c>
      <c r="E12174" s="281">
        <f t="shared" si="1781"/>
        <v>45594</v>
      </c>
      <c r="F12174" s="480"/>
      <c r="G12174" s="221" t="s">
        <v>94</v>
      </c>
      <c r="H12174" s="145" t="str" cm="1">
        <f t="array" ref="H12174">IFERROR(INDEX(INVESTOR_LIST[INVESTOR NAME],MATCH(I12174,INVESTOR_LIST[INVESTOR CODE],0),)," ")</f>
        <v xml:space="preserve"> </v>
      </c>
      <c r="I12174" s="145"/>
      <c r="J12174" s="163" t="s">
        <v>79</v>
      </c>
      <c r="K12174" s="219"/>
      <c r="L12174" s="219">
        <v>591654.69999999995</v>
      </c>
    </row>
    <row r="12175" spans="1:13" x14ac:dyDescent="0.2">
      <c r="A12175" s="133">
        <v>2024</v>
      </c>
      <c r="B12175" s="133">
        <v>10</v>
      </c>
      <c r="C12175" s="133">
        <v>29</v>
      </c>
      <c r="D12175" s="141">
        <f t="shared" ref="D12175:D12187" si="1782">DATE(A12175,B12175,C12175)</f>
        <v>45594</v>
      </c>
      <c r="E12175" s="275">
        <f t="shared" ref="E12175:E12187" si="1783">DATE(A12175,B12175,C12175)</f>
        <v>45594</v>
      </c>
      <c r="F12175" s="481" t="s">
        <v>1767</v>
      </c>
      <c r="G12175" s="174" t="s">
        <v>94</v>
      </c>
      <c r="H12175" s="174" t="str" cm="1">
        <f t="array" ref="H12175">IFERROR(INDEX(INVESTOR_LIST[INVESTOR NAME],MATCH(I12175,INVESTOR_LIST[INVESTOR CODE],0),)," ")</f>
        <v xml:space="preserve"> </v>
      </c>
      <c r="J12175" s="149" t="s">
        <v>79</v>
      </c>
      <c r="K12175" s="218">
        <v>221200</v>
      </c>
      <c r="L12175" s="218"/>
      <c r="M12175" s="160"/>
    </row>
    <row r="12176" spans="1:13" x14ac:dyDescent="0.2">
      <c r="A12176" s="133">
        <v>2024</v>
      </c>
      <c r="B12176" s="133">
        <v>10</v>
      </c>
      <c r="C12176" s="133">
        <v>29</v>
      </c>
      <c r="D12176" s="141">
        <f t="shared" si="1782"/>
        <v>45594</v>
      </c>
      <c r="E12176" s="275">
        <f t="shared" si="1783"/>
        <v>45594</v>
      </c>
      <c r="F12176" s="481"/>
      <c r="G12176" s="174" t="s">
        <v>94</v>
      </c>
      <c r="H12176" s="174" t="str" cm="1">
        <f t="array" ref="H12176">IFERROR(INDEX(INVESTOR_LIST[INVESTOR NAME],MATCH(I12176,INVESTOR_LIST[INVESTOR CODE],0),)," ")</f>
        <v xml:space="preserve"> </v>
      </c>
      <c r="J12176" s="149" t="s">
        <v>80</v>
      </c>
      <c r="K12176" s="218">
        <v>1552.86</v>
      </c>
      <c r="L12176" s="133"/>
    </row>
    <row r="12177" spans="1:13" x14ac:dyDescent="0.2">
      <c r="A12177" s="133">
        <v>2024</v>
      </c>
      <c r="B12177" s="133">
        <v>10</v>
      </c>
      <c r="C12177" s="133">
        <v>29</v>
      </c>
      <c r="D12177" s="141">
        <f t="shared" si="1782"/>
        <v>45594</v>
      </c>
      <c r="E12177" s="275">
        <f t="shared" si="1783"/>
        <v>45594</v>
      </c>
      <c r="F12177" s="481"/>
      <c r="G12177" s="174" t="s">
        <v>94</v>
      </c>
      <c r="H12177" s="174" t="str" cm="1">
        <f t="array" ref="H12177">IFERROR(INDEX(INVESTOR_LIST[INVESTOR NAME],MATCH(I12177,INVESTOR_LIST[INVESTOR CODE],0),)," ")</f>
        <v xml:space="preserve"> </v>
      </c>
      <c r="J12177" s="149" t="s">
        <v>190</v>
      </c>
      <c r="K12177" s="218">
        <v>418747.14</v>
      </c>
      <c r="L12177" s="218"/>
    </row>
    <row r="12178" spans="1:13" x14ac:dyDescent="0.2">
      <c r="A12178" s="133">
        <v>2024</v>
      </c>
      <c r="B12178" s="133">
        <v>10</v>
      </c>
      <c r="C12178" s="133">
        <v>29</v>
      </c>
      <c r="D12178" s="141">
        <f t="shared" si="1782"/>
        <v>45594</v>
      </c>
      <c r="E12178" s="275">
        <f t="shared" si="1783"/>
        <v>45594</v>
      </c>
      <c r="F12178" s="481"/>
      <c r="G12178" s="174" t="s">
        <v>94</v>
      </c>
      <c r="H12178" s="174" t="str" cm="1">
        <f t="array" ref="H12178">IFERROR(INDEX(INVESTOR_LIST[INVESTOR NAME],MATCH(I12178,INVESTOR_LIST[INVESTOR CODE],0),)," ")</f>
        <v xml:space="preserve"> </v>
      </c>
      <c r="J12178" s="149" t="s">
        <v>191</v>
      </c>
      <c r="K12178" s="218"/>
      <c r="L12178" s="218">
        <v>116040.06</v>
      </c>
    </row>
    <row r="12179" spans="1:13" x14ac:dyDescent="0.2">
      <c r="A12179" s="163">
        <v>2024</v>
      </c>
      <c r="B12179" s="163">
        <v>10</v>
      </c>
      <c r="C12179" s="163">
        <v>29</v>
      </c>
      <c r="D12179" s="280">
        <f t="shared" si="1782"/>
        <v>45594</v>
      </c>
      <c r="E12179" s="281">
        <f t="shared" si="1783"/>
        <v>45594</v>
      </c>
      <c r="F12179" s="480"/>
      <c r="G12179" s="221" t="s">
        <v>94</v>
      </c>
      <c r="H12179" s="145" t="str" cm="1">
        <f t="array" ref="H12179">IFERROR(INDEX(INVESTOR_LIST[INVESTOR NAME],MATCH(I12179,INVESTOR_LIST[INVESTOR CODE],0),)," ")</f>
        <v xml:space="preserve"> </v>
      </c>
      <c r="I12179" s="145"/>
      <c r="J12179" s="163" t="s">
        <v>79</v>
      </c>
      <c r="K12179" s="219"/>
      <c r="L12179" s="219">
        <v>525459.93999999994</v>
      </c>
    </row>
    <row r="12180" spans="1:13" x14ac:dyDescent="0.2">
      <c r="A12180" s="133">
        <v>2024</v>
      </c>
      <c r="B12180" s="133">
        <v>10</v>
      </c>
      <c r="C12180" s="133">
        <v>30</v>
      </c>
      <c r="D12180" s="141">
        <f t="shared" si="1782"/>
        <v>45595</v>
      </c>
      <c r="E12180" s="275">
        <f t="shared" si="1783"/>
        <v>45595</v>
      </c>
      <c r="F12180" s="481" t="s">
        <v>1968</v>
      </c>
      <c r="G12180" s="174" t="s">
        <v>94</v>
      </c>
      <c r="H12180" s="174" t="str" cm="1">
        <f t="array" ref="H12180">IFERROR(INDEX(INVESTOR_LIST[INVESTOR NAME],MATCH(I12180,INVESTOR_LIST[INVESTOR CODE],0),)," ")</f>
        <v xml:space="preserve"> </v>
      </c>
      <c r="J12180" s="149" t="s">
        <v>79</v>
      </c>
      <c r="K12180" s="218">
        <v>472400</v>
      </c>
      <c r="L12180" s="218"/>
      <c r="M12180" s="160"/>
    </row>
    <row r="12181" spans="1:13" x14ac:dyDescent="0.2">
      <c r="A12181" s="133">
        <v>2024</v>
      </c>
      <c r="B12181" s="133">
        <v>10</v>
      </c>
      <c r="C12181" s="133">
        <v>30</v>
      </c>
      <c r="D12181" s="141">
        <f t="shared" si="1782"/>
        <v>45595</v>
      </c>
      <c r="E12181" s="275">
        <f t="shared" si="1783"/>
        <v>45595</v>
      </c>
      <c r="F12181" s="481"/>
      <c r="G12181" s="174" t="s">
        <v>94</v>
      </c>
      <c r="H12181" s="174" t="str" cm="1">
        <f t="array" ref="H12181">IFERROR(INDEX(INVESTOR_LIST[INVESTOR NAME],MATCH(I12181,INVESTOR_LIST[INVESTOR CODE],0),)," ")</f>
        <v xml:space="preserve"> </v>
      </c>
      <c r="J12181" s="149" t="s">
        <v>80</v>
      </c>
      <c r="K12181" s="218">
        <v>1823.8586</v>
      </c>
      <c r="L12181" s="133"/>
    </row>
    <row r="12182" spans="1:13" x14ac:dyDescent="0.2">
      <c r="A12182" s="133">
        <v>2024</v>
      </c>
      <c r="B12182" s="133">
        <v>10</v>
      </c>
      <c r="C12182" s="133">
        <v>30</v>
      </c>
      <c r="D12182" s="141">
        <f t="shared" si="1782"/>
        <v>45595</v>
      </c>
      <c r="E12182" s="275">
        <f t="shared" si="1783"/>
        <v>45595</v>
      </c>
      <c r="F12182" s="481"/>
      <c r="G12182" s="174" t="s">
        <v>94</v>
      </c>
      <c r="H12182" s="174" t="str" cm="1">
        <f t="array" ref="H12182">IFERROR(INDEX(INVESTOR_LIST[INVESTOR NAME],MATCH(I12182,INVESTOR_LIST[INVESTOR CODE],0),)," ")</f>
        <v xml:space="preserve"> </v>
      </c>
      <c r="J12182" s="396" t="s">
        <v>190</v>
      </c>
      <c r="K12182" s="254">
        <v>66630.94</v>
      </c>
      <c r="L12182" s="254"/>
    </row>
    <row r="12183" spans="1:13" x14ac:dyDescent="0.2">
      <c r="A12183" s="133">
        <v>2024</v>
      </c>
      <c r="B12183" s="133">
        <v>10</v>
      </c>
      <c r="C12183" s="133">
        <v>30</v>
      </c>
      <c r="D12183" s="141">
        <f t="shared" si="1782"/>
        <v>45595</v>
      </c>
      <c r="E12183" s="275">
        <f t="shared" si="1783"/>
        <v>45595</v>
      </c>
      <c r="F12183" s="481"/>
      <c r="G12183" s="174" t="s">
        <v>94</v>
      </c>
      <c r="H12183" s="174" t="str" cm="1">
        <f t="array" ref="H12183">IFERROR(INDEX(INVESTOR_LIST[INVESTOR NAME],MATCH(I12183,INVESTOR_LIST[INVESTOR CODE],0),)," ")</f>
        <v xml:space="preserve"> </v>
      </c>
      <c r="J12183" s="149" t="s">
        <v>191</v>
      </c>
      <c r="K12183" s="218"/>
      <c r="L12183" s="218">
        <v>18000.93</v>
      </c>
    </row>
    <row r="12184" spans="1:13" x14ac:dyDescent="0.2">
      <c r="A12184" s="163">
        <v>2024</v>
      </c>
      <c r="B12184" s="163">
        <v>10</v>
      </c>
      <c r="C12184" s="163">
        <v>30</v>
      </c>
      <c r="D12184" s="280">
        <f t="shared" si="1782"/>
        <v>45595</v>
      </c>
      <c r="E12184" s="281">
        <f t="shared" si="1783"/>
        <v>45595</v>
      </c>
      <c r="F12184" s="480"/>
      <c r="G12184" s="221" t="s">
        <v>94</v>
      </c>
      <c r="H12184" s="145" t="str" cm="1">
        <f t="array" ref="H12184">IFERROR(INDEX(INVESTOR_LIST[INVESTOR NAME],MATCH(I12184,INVESTOR_LIST[INVESTOR CODE],0),)," ")</f>
        <v xml:space="preserve"> </v>
      </c>
      <c r="I12184" s="145"/>
      <c r="J12184" s="163" t="s">
        <v>79</v>
      </c>
      <c r="K12184" s="219"/>
      <c r="L12184" s="219">
        <v>522853.87</v>
      </c>
    </row>
    <row r="12185" spans="1:13" ht="33.75" x14ac:dyDescent="0.2">
      <c r="A12185" s="168">
        <v>2024</v>
      </c>
      <c r="B12185" s="168">
        <v>10</v>
      </c>
      <c r="C12185" s="133">
        <v>31</v>
      </c>
      <c r="D12185" s="141">
        <f t="shared" si="1782"/>
        <v>45596</v>
      </c>
      <c r="E12185" s="275">
        <f t="shared" si="1783"/>
        <v>45596</v>
      </c>
      <c r="F12185" s="479" t="s">
        <v>1898</v>
      </c>
      <c r="G12185" s="220" t="s">
        <v>74</v>
      </c>
      <c r="H12185" s="142" t="str" cm="1">
        <f t="array" ref="H12185">IFERROR(INDEX(INVESTOR_LIST[INVESTOR NAME],MATCH(I12185,INVESTOR_LIST[INVESTOR CODE],0),)," ")</f>
        <v>HASIB MUSTABSIR</v>
      </c>
      <c r="I12185" s="142" t="s">
        <v>521</v>
      </c>
      <c r="J12185" s="168" t="s">
        <v>52</v>
      </c>
      <c r="K12185" s="226">
        <v>700000</v>
      </c>
      <c r="L12185" s="226"/>
    </row>
    <row r="12186" spans="1:13" ht="33.75" x14ac:dyDescent="0.2">
      <c r="A12186" s="133">
        <v>2024</v>
      </c>
      <c r="B12186" s="133">
        <v>10</v>
      </c>
      <c r="C12186" s="133">
        <v>31</v>
      </c>
      <c r="D12186" s="141">
        <f t="shared" si="1782"/>
        <v>45596</v>
      </c>
      <c r="E12186" s="275">
        <f t="shared" si="1783"/>
        <v>45596</v>
      </c>
      <c r="F12186" s="481"/>
      <c r="G12186" s="174" t="s">
        <v>74</v>
      </c>
      <c r="H12186" s="148" t="str" cm="1">
        <f t="array" ref="H12186">IFERROR(INDEX(INVESTOR_LIST[INVESTOR NAME],MATCH(I12186,INVESTOR_LIST[INVESTOR CODE],0),)," ")</f>
        <v>HASIB MUSTABSIR</v>
      </c>
      <c r="I12186" s="148" t="s">
        <v>521</v>
      </c>
      <c r="J12186" s="133" t="s">
        <v>13</v>
      </c>
      <c r="K12186" s="218"/>
      <c r="L12186" s="218">
        <v>556310</v>
      </c>
    </row>
    <row r="12187" spans="1:13" ht="33.75" x14ac:dyDescent="0.2">
      <c r="A12187" s="163">
        <v>2024</v>
      </c>
      <c r="B12187" s="163">
        <v>10</v>
      </c>
      <c r="C12187" s="163">
        <v>31</v>
      </c>
      <c r="D12187" s="280">
        <f t="shared" si="1782"/>
        <v>45596</v>
      </c>
      <c r="E12187" s="281">
        <f t="shared" si="1783"/>
        <v>45596</v>
      </c>
      <c r="F12187" s="480"/>
      <c r="G12187" s="221" t="s">
        <v>74</v>
      </c>
      <c r="H12187" s="145" t="str" cm="1">
        <f t="array" ref="H12187">IFERROR(INDEX(INVESTOR_LIST[INVESTOR NAME],MATCH(I12187,INVESTOR_LIST[INVESTOR CODE],0),)," ")</f>
        <v>HASIB MUSTABSIR</v>
      </c>
      <c r="I12187" s="145" t="s">
        <v>521</v>
      </c>
      <c r="J12187" s="163" t="s">
        <v>53</v>
      </c>
      <c r="K12187" s="219"/>
      <c r="L12187" s="219">
        <v>143690</v>
      </c>
    </row>
    <row r="12188" spans="1:13" ht="22.5" x14ac:dyDescent="0.2">
      <c r="A12188" s="168">
        <v>2024</v>
      </c>
      <c r="B12188" s="168">
        <v>10</v>
      </c>
      <c r="C12188" s="133">
        <v>31</v>
      </c>
      <c r="D12188" s="141">
        <f t="shared" ref="D12188:D12190" si="1784">DATE(A12188,B12188,C12188)</f>
        <v>45596</v>
      </c>
      <c r="E12188" s="275">
        <f t="shared" ref="E12188:E12190" si="1785">DATE(A12188,B12188,C12188)</f>
        <v>45596</v>
      </c>
      <c r="F12188" s="479" t="s">
        <v>1898</v>
      </c>
      <c r="G12188" s="220" t="s">
        <v>74</v>
      </c>
      <c r="H12188" s="142" t="str" cm="1">
        <f t="array" ref="H12188">IFERROR(INDEX(INVESTOR_LIST[INVESTOR NAME],MATCH(I12188,INVESTOR_LIST[INVESTOR CODE],0),)," ")</f>
        <v>SULTANA RAZIA</v>
      </c>
      <c r="I12188" s="142" t="s">
        <v>698</v>
      </c>
      <c r="J12188" s="168" t="s">
        <v>52</v>
      </c>
      <c r="K12188" s="226">
        <v>1000000</v>
      </c>
      <c r="L12188" s="226"/>
    </row>
    <row r="12189" spans="1:13" ht="22.5" x14ac:dyDescent="0.2">
      <c r="A12189" s="133">
        <v>2024</v>
      </c>
      <c r="B12189" s="133">
        <v>10</v>
      </c>
      <c r="C12189" s="133">
        <v>31</v>
      </c>
      <c r="D12189" s="141">
        <f t="shared" si="1784"/>
        <v>45596</v>
      </c>
      <c r="E12189" s="275">
        <f t="shared" si="1785"/>
        <v>45596</v>
      </c>
      <c r="F12189" s="481"/>
      <c r="G12189" s="174" t="s">
        <v>74</v>
      </c>
      <c r="H12189" s="148" t="str" cm="1">
        <f t="array" ref="H12189">IFERROR(INDEX(INVESTOR_LIST[INVESTOR NAME],MATCH(I12189,INVESTOR_LIST[INVESTOR CODE],0),)," ")</f>
        <v>SULTANA RAZIA</v>
      </c>
      <c r="I12189" s="148" t="s">
        <v>698</v>
      </c>
      <c r="J12189" s="133" t="s">
        <v>13</v>
      </c>
      <c r="K12189" s="218"/>
      <c r="L12189" s="218">
        <v>794720</v>
      </c>
    </row>
    <row r="12190" spans="1:13" ht="22.5" x14ac:dyDescent="0.2">
      <c r="A12190" s="163">
        <v>2024</v>
      </c>
      <c r="B12190" s="163">
        <v>10</v>
      </c>
      <c r="C12190" s="163">
        <v>31</v>
      </c>
      <c r="D12190" s="280">
        <f t="shared" si="1784"/>
        <v>45596</v>
      </c>
      <c r="E12190" s="281">
        <f t="shared" si="1785"/>
        <v>45596</v>
      </c>
      <c r="F12190" s="480"/>
      <c r="G12190" s="221" t="s">
        <v>74</v>
      </c>
      <c r="H12190" s="145" t="str" cm="1">
        <f t="array" ref="H12190">IFERROR(INDEX(INVESTOR_LIST[INVESTOR NAME],MATCH(I12190,INVESTOR_LIST[INVESTOR CODE],0),)," ")</f>
        <v>SULTANA RAZIA</v>
      </c>
      <c r="I12190" s="145" t="s">
        <v>698</v>
      </c>
      <c r="J12190" s="163" t="s">
        <v>53</v>
      </c>
      <c r="K12190" s="219"/>
      <c r="L12190" s="219">
        <v>205280</v>
      </c>
    </row>
    <row r="12191" spans="1:13" ht="12.75" customHeight="1" x14ac:dyDescent="0.2">
      <c r="A12191" s="168">
        <v>2024</v>
      </c>
      <c r="B12191" s="168">
        <v>10</v>
      </c>
      <c r="C12191" s="133">
        <v>31</v>
      </c>
      <c r="D12191" s="141">
        <f t="shared" ref="D12191:D12206" si="1786">DATE(A12191,B12191,C12191)</f>
        <v>45596</v>
      </c>
      <c r="E12191" s="275">
        <f t="shared" ref="E12191:E12206" si="1787">DATE(A12191,B12191,C12191)</f>
        <v>45596</v>
      </c>
      <c r="F12191" s="479" t="s">
        <v>1898</v>
      </c>
      <c r="G12191" s="220" t="s">
        <v>74</v>
      </c>
      <c r="H12191" s="142" t="str" cm="1">
        <f t="array" ref="H12191">IFERROR(INDEX(INVESTOR_LIST[INVESTOR NAME],MATCH(I12191,INVESTOR_LIST[INVESTOR CODE],0),)," ")</f>
        <v>EKUSH WEALTH MANAGEMENT LIMITED</v>
      </c>
      <c r="I12191" s="142" t="s">
        <v>371</v>
      </c>
      <c r="J12191" s="168" t="s">
        <v>52</v>
      </c>
      <c r="K12191" s="226">
        <v>1000000</v>
      </c>
      <c r="L12191" s="226"/>
    </row>
    <row r="12192" spans="1:13" ht="10.5" customHeight="1" x14ac:dyDescent="0.2">
      <c r="A12192" s="133">
        <v>2024</v>
      </c>
      <c r="B12192" s="133">
        <v>10</v>
      </c>
      <c r="C12192" s="133">
        <v>31</v>
      </c>
      <c r="D12192" s="141">
        <f t="shared" si="1786"/>
        <v>45596</v>
      </c>
      <c r="E12192" s="275">
        <f t="shared" si="1787"/>
        <v>45596</v>
      </c>
      <c r="F12192" s="481"/>
      <c r="G12192" s="174" t="s">
        <v>74</v>
      </c>
      <c r="H12192" s="148" t="str" cm="1">
        <f t="array" ref="H12192">IFERROR(INDEX(INVESTOR_LIST[INVESTOR NAME],MATCH(I12192,INVESTOR_LIST[INVESTOR CODE],0),)," ")</f>
        <v>EKUSH WEALTH MANAGEMENT LIMITED</v>
      </c>
      <c r="I12192" s="148" t="s">
        <v>371</v>
      </c>
      <c r="J12192" s="133" t="s">
        <v>13</v>
      </c>
      <c r="K12192" s="218"/>
      <c r="L12192" s="218">
        <v>794720</v>
      </c>
    </row>
    <row r="12193" spans="1:13" ht="11.25" customHeight="1" x14ac:dyDescent="0.2">
      <c r="A12193" s="163">
        <v>2024</v>
      </c>
      <c r="B12193" s="163">
        <v>10</v>
      </c>
      <c r="C12193" s="163">
        <v>31</v>
      </c>
      <c r="D12193" s="280">
        <f t="shared" si="1786"/>
        <v>45596</v>
      </c>
      <c r="E12193" s="281">
        <f t="shared" si="1787"/>
        <v>45596</v>
      </c>
      <c r="F12193" s="480"/>
      <c r="G12193" s="221" t="s">
        <v>74</v>
      </c>
      <c r="H12193" s="145" t="str" cm="1">
        <f t="array" ref="H12193">IFERROR(INDEX(INVESTOR_LIST[INVESTOR NAME],MATCH(I12193,INVESTOR_LIST[INVESTOR CODE],0),)," ")</f>
        <v>EKUSH WEALTH MANAGEMENT LIMITED</v>
      </c>
      <c r="I12193" s="145" t="s">
        <v>371</v>
      </c>
      <c r="J12193" s="163" t="s">
        <v>53</v>
      </c>
      <c r="K12193" s="219"/>
      <c r="L12193" s="219">
        <v>205280</v>
      </c>
    </row>
    <row r="12194" spans="1:13" ht="11.25" customHeight="1" x14ac:dyDescent="0.2">
      <c r="A12194" s="168">
        <v>2024</v>
      </c>
      <c r="B12194" s="133">
        <v>10</v>
      </c>
      <c r="C12194" s="168">
        <v>31</v>
      </c>
      <c r="D12194" s="141">
        <f t="shared" si="1786"/>
        <v>45596</v>
      </c>
      <c r="E12194" s="275">
        <f t="shared" si="1787"/>
        <v>45596</v>
      </c>
      <c r="F12194" s="479" t="s">
        <v>1757</v>
      </c>
      <c r="G12194" s="220" t="s">
        <v>74</v>
      </c>
      <c r="H12194" s="220" t="str" cm="1">
        <f t="array" ref="H12194">IFERROR(INDEX(INVESTOR_LIST[INVESTOR NAME],MATCH(I12194,INVESTOR_LIST[INVESTOR CODE],0),)," ")</f>
        <v xml:space="preserve"> </v>
      </c>
      <c r="I12194" s="142"/>
      <c r="J12194" s="143" t="s">
        <v>52</v>
      </c>
      <c r="K12194" s="226">
        <v>418747.14</v>
      </c>
      <c r="L12194" s="226"/>
    </row>
    <row r="12195" spans="1:13" x14ac:dyDescent="0.2">
      <c r="A12195" s="163">
        <v>2024</v>
      </c>
      <c r="B12195" s="163">
        <v>10</v>
      </c>
      <c r="C12195" s="163">
        <v>31</v>
      </c>
      <c r="D12195" s="280">
        <f t="shared" si="1786"/>
        <v>45596</v>
      </c>
      <c r="E12195" s="281">
        <f t="shared" si="1787"/>
        <v>45596</v>
      </c>
      <c r="F12195" s="480"/>
      <c r="G12195" s="221" t="s">
        <v>74</v>
      </c>
      <c r="H12195" s="221" t="str" cm="1">
        <f t="array" ref="H12195">IFERROR(INDEX(INVESTOR_LIST[INVESTOR NAME],MATCH(I12195,INVESTOR_LIST[INVESTOR CODE],0),)," ")</f>
        <v xml:space="preserve"> </v>
      </c>
      <c r="I12195" s="145"/>
      <c r="J12195" s="146" t="s">
        <v>190</v>
      </c>
      <c r="K12195" s="219"/>
      <c r="L12195" s="219">
        <v>418747.14</v>
      </c>
    </row>
    <row r="12196" spans="1:13" x14ac:dyDescent="0.2">
      <c r="A12196" s="133">
        <v>2024</v>
      </c>
      <c r="B12196" s="168">
        <v>10</v>
      </c>
      <c r="C12196" s="168">
        <v>31</v>
      </c>
      <c r="D12196" s="141">
        <f t="shared" si="1786"/>
        <v>45596</v>
      </c>
      <c r="E12196" s="275">
        <f t="shared" si="1787"/>
        <v>45596</v>
      </c>
      <c r="F12196" s="481" t="s">
        <v>982</v>
      </c>
      <c r="G12196" s="174" t="s">
        <v>74</v>
      </c>
      <c r="H12196" s="174" t="str" cm="1">
        <f t="array" ref="H12196">IFERROR(INDEX(INVESTOR_LIST[INVESTOR NAME],MATCH(I12196,INVESTOR_LIST[INVESTOR CODE],0),)," ")</f>
        <v xml:space="preserve"> </v>
      </c>
      <c r="I12196" s="148" t="s">
        <v>348</v>
      </c>
      <c r="J12196" s="149" t="s">
        <v>163</v>
      </c>
      <c r="K12196" s="218">
        <v>5750</v>
      </c>
      <c r="L12196" s="218"/>
    </row>
    <row r="12197" spans="1:13" x14ac:dyDescent="0.2">
      <c r="A12197" s="133">
        <v>2024</v>
      </c>
      <c r="B12197" s="133">
        <v>10</v>
      </c>
      <c r="C12197" s="133">
        <v>31</v>
      </c>
      <c r="D12197" s="141">
        <f t="shared" si="1786"/>
        <v>45596</v>
      </c>
      <c r="E12197" s="275">
        <f t="shared" si="1787"/>
        <v>45596</v>
      </c>
      <c r="F12197" s="481"/>
      <c r="G12197" s="174" t="s">
        <v>201</v>
      </c>
      <c r="H12197" s="174" t="str" cm="1">
        <f t="array" ref="H12197">IFERROR(INDEX(INVESTOR_LIST[INVESTOR NAME],MATCH(I12197,INVESTOR_LIST[INVESTOR CODE],0),)," ")</f>
        <v xml:space="preserve"> </v>
      </c>
      <c r="J12197" s="149" t="s">
        <v>1906</v>
      </c>
      <c r="K12197" s="218"/>
      <c r="L12197" s="218">
        <v>250</v>
      </c>
    </row>
    <row r="12198" spans="1:13" x14ac:dyDescent="0.2">
      <c r="A12198" s="163">
        <v>2024</v>
      </c>
      <c r="B12198" s="163">
        <v>10</v>
      </c>
      <c r="C12198" s="163">
        <v>31</v>
      </c>
      <c r="D12198" s="280">
        <f t="shared" si="1786"/>
        <v>45596</v>
      </c>
      <c r="E12198" s="281">
        <f t="shared" si="1787"/>
        <v>45596</v>
      </c>
      <c r="F12198" s="480"/>
      <c r="G12198" s="221" t="s">
        <v>74</v>
      </c>
      <c r="H12198" s="221" t="str" cm="1">
        <f t="array" ref="H12198">IFERROR(INDEX(INVESTOR_LIST[INVESTOR NAME],MATCH(I12198,INVESTOR_LIST[INVESTOR CODE],0),)," ")</f>
        <v xml:space="preserve"> </v>
      </c>
      <c r="I12198" s="145" t="s">
        <v>348</v>
      </c>
      <c r="J12198" s="146" t="s">
        <v>52</v>
      </c>
      <c r="K12198" s="219"/>
      <c r="L12198" s="219">
        <v>5500</v>
      </c>
    </row>
    <row r="12199" spans="1:13" ht="11.25" customHeight="1" x14ac:dyDescent="0.2">
      <c r="A12199" s="168">
        <v>2024</v>
      </c>
      <c r="B12199" s="133">
        <v>10</v>
      </c>
      <c r="C12199" s="168">
        <v>31</v>
      </c>
      <c r="D12199" s="141">
        <f t="shared" si="1786"/>
        <v>45596</v>
      </c>
      <c r="E12199" s="275">
        <f t="shared" si="1787"/>
        <v>45596</v>
      </c>
      <c r="F12199" s="479" t="s">
        <v>1965</v>
      </c>
      <c r="G12199" s="220" t="s">
        <v>74</v>
      </c>
      <c r="H12199" s="220" t="str" cm="1">
        <f t="array" ref="H12199">IFERROR(INDEX(INVESTOR_LIST[INVESTOR NAME],MATCH(I12199,INVESTOR_LIST[INVESTOR CODE],0),)," ")</f>
        <v xml:space="preserve"> </v>
      </c>
      <c r="I12199" s="142"/>
      <c r="J12199" s="143" t="s">
        <v>147</v>
      </c>
      <c r="K12199" s="226">
        <v>60979.4</v>
      </c>
      <c r="L12199" s="226"/>
    </row>
    <row r="12200" spans="1:13" x14ac:dyDescent="0.2">
      <c r="A12200" s="163">
        <v>2024</v>
      </c>
      <c r="B12200" s="163">
        <v>10</v>
      </c>
      <c r="C12200" s="163">
        <v>31</v>
      </c>
      <c r="D12200" s="280">
        <f t="shared" si="1786"/>
        <v>45596</v>
      </c>
      <c r="E12200" s="281">
        <f t="shared" si="1787"/>
        <v>45596</v>
      </c>
      <c r="F12200" s="480"/>
      <c r="G12200" s="221" t="s">
        <v>74</v>
      </c>
      <c r="H12200" s="221" t="str" cm="1">
        <f t="array" ref="H12200">IFERROR(INDEX(INVESTOR_LIST[INVESTOR NAME],MATCH(I12200,INVESTOR_LIST[INVESTOR CODE],0),)," ")</f>
        <v xml:space="preserve"> </v>
      </c>
      <c r="I12200" s="145" t="s">
        <v>348</v>
      </c>
      <c r="J12200" s="146" t="s">
        <v>52</v>
      </c>
      <c r="K12200" s="219"/>
      <c r="L12200" s="219">
        <v>60979.4</v>
      </c>
    </row>
    <row r="12201" spans="1:13" x14ac:dyDescent="0.2">
      <c r="A12201" s="168">
        <v>2024</v>
      </c>
      <c r="B12201" s="168">
        <v>10</v>
      </c>
      <c r="C12201" s="168">
        <v>31</v>
      </c>
      <c r="D12201" s="141">
        <f t="shared" si="1786"/>
        <v>45596</v>
      </c>
      <c r="E12201" s="275">
        <f t="shared" si="1787"/>
        <v>45596</v>
      </c>
      <c r="F12201" s="479" t="s">
        <v>1979</v>
      </c>
      <c r="G12201" s="220" t="s">
        <v>94</v>
      </c>
      <c r="H12201" s="220" t="str" cm="1">
        <f t="array" ref="H12201">IFERROR(INDEX(INVESTOR_LIST[INVESTOR NAME],MATCH(I12201,INVESTOR_LIST[INVESTOR CODE],0),)," ")</f>
        <v xml:space="preserve"> </v>
      </c>
      <c r="I12201" s="142"/>
      <c r="J12201" s="143" t="s">
        <v>79</v>
      </c>
      <c r="K12201" s="226">
        <v>2333978.4</v>
      </c>
      <c r="L12201" s="226"/>
      <c r="M12201" s="160"/>
    </row>
    <row r="12202" spans="1:13" x14ac:dyDescent="0.2">
      <c r="A12202" s="133">
        <v>2024</v>
      </c>
      <c r="B12202" s="133">
        <v>10</v>
      </c>
      <c r="C12202" s="133">
        <v>31</v>
      </c>
      <c r="D12202" s="141">
        <f t="shared" si="1786"/>
        <v>45596</v>
      </c>
      <c r="E12202" s="275">
        <f t="shared" si="1787"/>
        <v>45596</v>
      </c>
      <c r="F12202" s="481"/>
      <c r="G12202" s="174" t="s">
        <v>94</v>
      </c>
      <c r="H12202" s="174" t="str" cm="1">
        <f t="array" ref="H12202">IFERROR(INDEX(INVESTOR_LIST[INVESTOR NAME],MATCH(I12202,INVESTOR_LIST[INVESTOR CODE],0),)," ")</f>
        <v xml:space="preserve"> </v>
      </c>
      <c r="J12202" s="149" t="s">
        <v>80</v>
      </c>
      <c r="K12202" s="218">
        <v>4201.1612999999998</v>
      </c>
      <c r="L12202" s="133"/>
    </row>
    <row r="12203" spans="1:13" x14ac:dyDescent="0.2">
      <c r="A12203" s="163">
        <v>2024</v>
      </c>
      <c r="B12203" s="163">
        <v>10</v>
      </c>
      <c r="C12203" s="163">
        <v>31</v>
      </c>
      <c r="D12203" s="280">
        <f t="shared" si="1786"/>
        <v>45596</v>
      </c>
      <c r="E12203" s="281">
        <f t="shared" si="1787"/>
        <v>45596</v>
      </c>
      <c r="F12203" s="480"/>
      <c r="G12203" s="221" t="s">
        <v>94</v>
      </c>
      <c r="H12203" s="221" t="str" cm="1">
        <f t="array" ref="H12203">IFERROR(INDEX(INVESTOR_LIST[INVESTOR NAME],MATCH(I12203,INVESTOR_LIST[INVESTOR CODE],0),)," ")</f>
        <v xml:space="preserve"> </v>
      </c>
      <c r="I12203" s="145"/>
      <c r="J12203" s="397" t="s">
        <v>147</v>
      </c>
      <c r="K12203" s="398"/>
      <c r="L12203" s="398">
        <v>2338179.5613000002</v>
      </c>
    </row>
    <row r="12204" spans="1:13" ht="33.75" x14ac:dyDescent="0.2">
      <c r="A12204" s="168">
        <v>2024</v>
      </c>
      <c r="B12204" s="168">
        <v>10</v>
      </c>
      <c r="C12204" s="168">
        <v>31</v>
      </c>
      <c r="D12204" s="141">
        <f t="shared" si="1786"/>
        <v>45596</v>
      </c>
      <c r="E12204" s="275">
        <f t="shared" si="1787"/>
        <v>45596</v>
      </c>
      <c r="F12204" s="479" t="s">
        <v>1310</v>
      </c>
      <c r="G12204" s="220" t="s">
        <v>74</v>
      </c>
      <c r="H12204" s="142" t="str" cm="1">
        <f t="array" ref="H12204">IFERROR(INDEX(INVESTOR_LIST[INVESTOR NAME],MATCH(I12204,INVESTOR_LIST[INVESTOR CODE],0),)," ")</f>
        <v>FARHANA AKHTER</v>
      </c>
      <c r="I12204" s="142" t="s">
        <v>665</v>
      </c>
      <c r="J12204" s="168" t="s">
        <v>13</v>
      </c>
      <c r="K12204" s="226">
        <v>20090</v>
      </c>
      <c r="L12204" s="226"/>
    </row>
    <row r="12205" spans="1:13" ht="33.75" x14ac:dyDescent="0.2">
      <c r="A12205" s="133">
        <v>2024</v>
      </c>
      <c r="B12205" s="133">
        <v>10</v>
      </c>
      <c r="C12205" s="133">
        <v>31</v>
      </c>
      <c r="D12205" s="141">
        <f t="shared" si="1786"/>
        <v>45596</v>
      </c>
      <c r="E12205" s="275">
        <f t="shared" si="1787"/>
        <v>45596</v>
      </c>
      <c r="F12205" s="481"/>
      <c r="G12205" s="174" t="s">
        <v>74</v>
      </c>
      <c r="H12205" s="148" t="str" cm="1">
        <f t="array" ref="H12205">IFERROR(INDEX(INVESTOR_LIST[INVESTOR NAME],MATCH(I12205,INVESTOR_LIST[INVESTOR CODE],0),)," ")</f>
        <v>FARHANA AKHTER</v>
      </c>
      <c r="I12205" s="148" t="s">
        <v>665</v>
      </c>
      <c r="J12205" s="133" t="s">
        <v>53</v>
      </c>
      <c r="K12205" s="218">
        <v>5189.25</v>
      </c>
      <c r="L12205" s="218"/>
    </row>
    <row r="12206" spans="1:13" ht="33.75" x14ac:dyDescent="0.2">
      <c r="A12206" s="163">
        <v>2024</v>
      </c>
      <c r="B12206" s="163">
        <v>10</v>
      </c>
      <c r="C12206" s="163">
        <v>31</v>
      </c>
      <c r="D12206" s="280">
        <f t="shared" si="1786"/>
        <v>45596</v>
      </c>
      <c r="E12206" s="281">
        <f t="shared" si="1787"/>
        <v>45596</v>
      </c>
      <c r="F12206" s="480"/>
      <c r="G12206" s="221" t="s">
        <v>74</v>
      </c>
      <c r="H12206" s="145" t="str" cm="1">
        <f t="array" ref="H12206">IFERROR(INDEX(INVESTOR_LIST[INVESTOR NAME],MATCH(I12206,INVESTOR_LIST[INVESTOR CODE],0),)," ")</f>
        <v>FARHANA AKHTER</v>
      </c>
      <c r="I12206" s="145" t="s">
        <v>665</v>
      </c>
      <c r="J12206" s="163" t="s">
        <v>52</v>
      </c>
      <c r="K12206" s="219"/>
      <c r="L12206" s="219">
        <v>25279.25</v>
      </c>
    </row>
    <row r="12207" spans="1:13" x14ac:dyDescent="0.2">
      <c r="A12207" s="133">
        <v>2024</v>
      </c>
      <c r="B12207" s="133">
        <v>10</v>
      </c>
      <c r="C12207" s="133">
        <v>31</v>
      </c>
      <c r="D12207" s="147">
        <f>DATE(A12207,B12207,C12207)</f>
        <v>45596</v>
      </c>
      <c r="E12207" s="311">
        <f>DATE(A12207,B12207,C12207)</f>
        <v>45596</v>
      </c>
      <c r="F12207" s="479" t="s">
        <v>1943</v>
      </c>
      <c r="G12207" s="174" t="s">
        <v>74</v>
      </c>
      <c r="H12207" s="148" t="str" cm="1">
        <f t="array" ref="H12207">IFERROR(INDEX(INVESTOR_LIST[INVESTOR NAME],MATCH(I12207,INVESTOR_LIST[INVESTOR CODE],0),)," ")</f>
        <v xml:space="preserve"> </v>
      </c>
      <c r="I12207" s="148" t="s">
        <v>348</v>
      </c>
      <c r="J12207" s="133" t="s">
        <v>61</v>
      </c>
      <c r="K12207" s="172">
        <v>120</v>
      </c>
    </row>
    <row r="12208" spans="1:13" x14ac:dyDescent="0.2">
      <c r="A12208" s="163">
        <v>2024</v>
      </c>
      <c r="B12208" s="163">
        <v>10</v>
      </c>
      <c r="C12208" s="163">
        <v>31</v>
      </c>
      <c r="D12208" s="280">
        <f>DATE(A12208,B12208,C12208)</f>
        <v>45596</v>
      </c>
      <c r="E12208" s="281">
        <f>DATE(A12208,B12208,C12208)</f>
        <v>45596</v>
      </c>
      <c r="F12208" s="480"/>
      <c r="G12208" s="221" t="s">
        <v>74</v>
      </c>
      <c r="H12208" s="145" t="str" cm="1">
        <f t="array" ref="H12208">IFERROR(INDEX(INVESTOR_LIST[INVESTOR NAME],MATCH(I12208,INVESTOR_LIST[INVESTOR CODE],0),)," ")</f>
        <v xml:space="preserve"> </v>
      </c>
      <c r="I12208" s="145" t="s">
        <v>348</v>
      </c>
      <c r="J12208" s="163" t="s">
        <v>52</v>
      </c>
      <c r="K12208" s="219"/>
      <c r="L12208" s="219">
        <v>120</v>
      </c>
    </row>
    <row r="12209" spans="1:13" x14ac:dyDescent="0.2">
      <c r="A12209" s="325">
        <v>2024</v>
      </c>
      <c r="B12209" s="325">
        <v>10</v>
      </c>
      <c r="C12209" s="325">
        <v>31</v>
      </c>
      <c r="D12209" s="326">
        <f t="shared" si="1780"/>
        <v>45596</v>
      </c>
      <c r="E12209" s="327">
        <f t="shared" si="1781"/>
        <v>45596</v>
      </c>
      <c r="F12209" s="473" t="s">
        <v>1940</v>
      </c>
      <c r="G12209" s="340" t="s">
        <v>94</v>
      </c>
      <c r="H12209" s="340" t="str" cm="1">
        <f t="array" ref="H12209">IFERROR(INDEX(INVESTOR_LIST[INVESTOR NAME],MATCH(I12209,INVESTOR_LIST[INVESTOR CODE],0),)," ")</f>
        <v xml:space="preserve"> </v>
      </c>
      <c r="I12209" s="341" t="s">
        <v>348</v>
      </c>
      <c r="J12209" s="374" t="s">
        <v>133</v>
      </c>
      <c r="K12209" s="375">
        <v>12905.555555555549</v>
      </c>
      <c r="L12209" s="375"/>
    </row>
    <row r="12210" spans="1:13" x14ac:dyDescent="0.2">
      <c r="A12210" s="331">
        <v>2024</v>
      </c>
      <c r="B12210" s="331">
        <v>10</v>
      </c>
      <c r="C12210" s="331">
        <v>31</v>
      </c>
      <c r="D12210" s="326">
        <f t="shared" si="1780"/>
        <v>45596</v>
      </c>
      <c r="E12210" s="327">
        <f t="shared" si="1781"/>
        <v>45596</v>
      </c>
      <c r="F12210" s="474"/>
      <c r="G12210" s="332" t="s">
        <v>94</v>
      </c>
      <c r="H12210" s="332" t="str" cm="1">
        <f t="array" ref="H12210">IFERROR(INDEX(INVESTOR_LIST[INVESTOR NAME],MATCH(I12210,INVESTOR_LIST[INVESTOR CODE],0),)," ")</f>
        <v xml:space="preserve"> </v>
      </c>
      <c r="I12210" s="333" t="s">
        <v>348</v>
      </c>
      <c r="J12210" s="376" t="s">
        <v>60</v>
      </c>
      <c r="K12210" s="334"/>
      <c r="L12210" s="334">
        <v>12905.555555555549</v>
      </c>
    </row>
    <row r="12211" spans="1:13" x14ac:dyDescent="0.2">
      <c r="A12211" s="384">
        <v>2024</v>
      </c>
      <c r="B12211" s="384">
        <v>10</v>
      </c>
      <c r="C12211" s="384">
        <v>31</v>
      </c>
      <c r="D12211" s="385">
        <f t="shared" si="1780"/>
        <v>45596</v>
      </c>
      <c r="E12211" s="386">
        <f t="shared" si="1781"/>
        <v>45596</v>
      </c>
      <c r="F12211" s="475" t="s">
        <v>1966</v>
      </c>
      <c r="G12211" s="387" t="s">
        <v>94</v>
      </c>
      <c r="H12211" s="387" t="str" cm="1">
        <f t="array" ref="H12211">IFERROR(INDEX(INVESTOR_LIST[INVESTOR NAME],MATCH(I12211,INVESTOR_LIST[INVESTOR CODE],0),)," ")</f>
        <v xml:space="preserve"> </v>
      </c>
      <c r="I12211" s="388" t="s">
        <v>348</v>
      </c>
      <c r="J12211" s="389" t="s">
        <v>67</v>
      </c>
      <c r="K12211" s="390">
        <v>4020.95</v>
      </c>
      <c r="L12211" s="390"/>
    </row>
    <row r="12212" spans="1:13" x14ac:dyDescent="0.2">
      <c r="A12212" s="391">
        <v>2024</v>
      </c>
      <c r="B12212" s="391">
        <v>10</v>
      </c>
      <c r="C12212" s="391">
        <v>31</v>
      </c>
      <c r="D12212" s="385">
        <f t="shared" si="1780"/>
        <v>45596</v>
      </c>
      <c r="E12212" s="386">
        <f t="shared" si="1781"/>
        <v>45596</v>
      </c>
      <c r="F12212" s="476"/>
      <c r="G12212" s="392" t="s">
        <v>94</v>
      </c>
      <c r="H12212" s="392" t="str" cm="1">
        <f t="array" ref="H12212">IFERROR(INDEX(INVESTOR_LIST[INVESTOR NAME],MATCH(I12212,INVESTOR_LIST[INVESTOR CODE],0),)," ")</f>
        <v xml:space="preserve"> </v>
      </c>
      <c r="I12212" s="393" t="s">
        <v>348</v>
      </c>
      <c r="J12212" s="394" t="s">
        <v>60</v>
      </c>
      <c r="K12212" s="395"/>
      <c r="L12212" s="395">
        <f>K12211</f>
        <v>4020.95</v>
      </c>
    </row>
    <row r="12213" spans="1:13" x14ac:dyDescent="0.2">
      <c r="A12213" s="343">
        <v>2024</v>
      </c>
      <c r="B12213" s="343">
        <v>10</v>
      </c>
      <c r="C12213" s="343">
        <v>31</v>
      </c>
      <c r="D12213" s="344">
        <f t="shared" si="1780"/>
        <v>45596</v>
      </c>
      <c r="E12213" s="345">
        <f t="shared" si="1781"/>
        <v>45596</v>
      </c>
      <c r="F12213" s="483" t="s">
        <v>1813</v>
      </c>
      <c r="G12213" s="350" t="s">
        <v>94</v>
      </c>
      <c r="H12213" s="350" t="str" cm="1">
        <f t="array" ref="H12213">IFERROR(INDEX(INVESTOR_LIST[INVESTOR NAME],MATCH(I12213,INVESTOR_LIST[INVESTOR CODE],0),)," ")</f>
        <v xml:space="preserve"> </v>
      </c>
      <c r="I12213" s="352" t="s">
        <v>348</v>
      </c>
      <c r="J12213" s="353" t="s">
        <v>1798</v>
      </c>
      <c r="K12213" s="354">
        <v>26413</v>
      </c>
      <c r="L12213" s="354"/>
    </row>
    <row r="12214" spans="1:13" x14ac:dyDescent="0.2">
      <c r="A12214" s="346">
        <v>2024</v>
      </c>
      <c r="B12214" s="346">
        <v>10</v>
      </c>
      <c r="C12214" s="346">
        <v>31</v>
      </c>
      <c r="D12214" s="344">
        <f t="shared" si="1780"/>
        <v>45596</v>
      </c>
      <c r="E12214" s="345">
        <f t="shared" si="1781"/>
        <v>45596</v>
      </c>
      <c r="F12214" s="484"/>
      <c r="G12214" s="347" t="s">
        <v>94</v>
      </c>
      <c r="H12214" s="347" t="str" cm="1">
        <f t="array" ref="H12214">IFERROR(INDEX(INVESTOR_LIST[INVESTOR NAME],MATCH(I12214,INVESTOR_LIST[INVESTOR CODE],0),)," ")</f>
        <v xml:space="preserve"> </v>
      </c>
      <c r="I12214" s="348" t="s">
        <v>348</v>
      </c>
      <c r="J12214" s="355" t="s">
        <v>1807</v>
      </c>
      <c r="K12214" s="349"/>
      <c r="L12214" s="349">
        <f>K12213</f>
        <v>26413</v>
      </c>
    </row>
    <row r="12215" spans="1:13" x14ac:dyDescent="0.2">
      <c r="A12215" s="343">
        <v>2024</v>
      </c>
      <c r="B12215" s="343">
        <v>10</v>
      </c>
      <c r="C12215" s="343">
        <v>31</v>
      </c>
      <c r="D12215" s="344">
        <f t="shared" si="1780"/>
        <v>45596</v>
      </c>
      <c r="E12215" s="345">
        <f t="shared" si="1781"/>
        <v>45596</v>
      </c>
      <c r="F12215" s="483" t="s">
        <v>1913</v>
      </c>
      <c r="G12215" s="350" t="s">
        <v>94</v>
      </c>
      <c r="H12215" s="350" t="str" cm="1">
        <f t="array" ref="H12215">IFERROR(INDEX(INVESTOR_LIST[INVESTOR NAME],MATCH(I12215,INVESTOR_LIST[INVESTOR CODE],0),)," ")</f>
        <v xml:space="preserve"> </v>
      </c>
      <c r="I12215" s="352" t="s">
        <v>348</v>
      </c>
      <c r="J12215" s="353" t="s">
        <v>1799</v>
      </c>
      <c r="K12215" s="354">
        <v>68972.754999998957</v>
      </c>
      <c r="L12215" s="354"/>
    </row>
    <row r="12216" spans="1:13" x14ac:dyDescent="0.2">
      <c r="A12216" s="346">
        <v>2024</v>
      </c>
      <c r="B12216" s="346">
        <v>10</v>
      </c>
      <c r="C12216" s="346">
        <v>31</v>
      </c>
      <c r="D12216" s="344">
        <f t="shared" si="1780"/>
        <v>45596</v>
      </c>
      <c r="E12216" s="345">
        <f t="shared" si="1781"/>
        <v>45596</v>
      </c>
      <c r="F12216" s="484"/>
      <c r="G12216" s="347" t="s">
        <v>94</v>
      </c>
      <c r="H12216" s="347" t="str" cm="1">
        <f t="array" ref="H12216">IFERROR(INDEX(INVESTOR_LIST[INVESTOR NAME],MATCH(I12216,INVESTOR_LIST[INVESTOR CODE],0),)," ")</f>
        <v xml:space="preserve"> </v>
      </c>
      <c r="I12216" s="348" t="s">
        <v>348</v>
      </c>
      <c r="J12216" s="355" t="s">
        <v>1808</v>
      </c>
      <c r="K12216" s="349"/>
      <c r="L12216" s="349">
        <f>K12215</f>
        <v>68972.754999998957</v>
      </c>
    </row>
    <row r="12217" spans="1:13" ht="11.25" customHeight="1" x14ac:dyDescent="0.2">
      <c r="A12217" s="238">
        <v>2024</v>
      </c>
      <c r="B12217" s="238">
        <v>10</v>
      </c>
      <c r="C12217" s="238">
        <v>31</v>
      </c>
      <c r="D12217" s="270">
        <f t="shared" si="1780"/>
        <v>45596</v>
      </c>
      <c r="E12217" s="279">
        <f t="shared" si="1781"/>
        <v>45596</v>
      </c>
      <c r="F12217" s="477" t="s">
        <v>347</v>
      </c>
      <c r="G12217" s="239" t="s">
        <v>94</v>
      </c>
      <c r="H12217" s="239" t="str" cm="1">
        <f t="array" ref="H12217">IFERROR(INDEX(INVESTOR_LIST[INVESTOR NAME],MATCH(I12217,INVESTOR_LIST[INVESTOR CODE],0),)," ")</f>
        <v xml:space="preserve"> </v>
      </c>
      <c r="I12217" s="262" t="s">
        <v>348</v>
      </c>
      <c r="J12217" s="240" t="s">
        <v>108</v>
      </c>
      <c r="K12217" s="241">
        <v>2167782.9100000113</v>
      </c>
      <c r="L12217" s="241"/>
    </row>
    <row r="12218" spans="1:13" x14ac:dyDescent="0.2">
      <c r="A12218" s="242">
        <v>2024</v>
      </c>
      <c r="B12218" s="242">
        <v>10</v>
      </c>
      <c r="C12218" s="242">
        <v>31</v>
      </c>
      <c r="D12218" s="270">
        <f t="shared" si="1780"/>
        <v>45596</v>
      </c>
      <c r="E12218" s="279">
        <f t="shared" si="1781"/>
        <v>45596</v>
      </c>
      <c r="F12218" s="478"/>
      <c r="G12218" s="243" t="s">
        <v>94</v>
      </c>
      <c r="H12218" s="243" t="str" cm="1">
        <f t="array" ref="H12218">IFERROR(INDEX(INVESTOR_LIST[INVESTOR NAME],MATCH(I12218,INVESTOR_LIST[INVESTOR CODE],0),)," ")</f>
        <v xml:space="preserve"> </v>
      </c>
      <c r="I12218" s="263" t="s">
        <v>348</v>
      </c>
      <c r="J12218" s="244" t="s">
        <v>82</v>
      </c>
      <c r="K12218" s="245"/>
      <c r="L12218" s="245">
        <f>K12217</f>
        <v>2167782.9100000113</v>
      </c>
    </row>
    <row r="12219" spans="1:13" ht="11.25" customHeight="1" x14ac:dyDescent="0.2">
      <c r="A12219" s="246">
        <v>2024</v>
      </c>
      <c r="B12219" s="238">
        <v>10</v>
      </c>
      <c r="C12219" s="238">
        <v>31</v>
      </c>
      <c r="D12219" s="270">
        <f t="shared" si="1780"/>
        <v>45596</v>
      </c>
      <c r="E12219" s="279">
        <f t="shared" si="1781"/>
        <v>45596</v>
      </c>
      <c r="F12219" s="482" t="s">
        <v>148</v>
      </c>
      <c r="G12219" s="247" t="s">
        <v>94</v>
      </c>
      <c r="H12219" s="247" t="str" cm="1">
        <f t="array" ref="H12219">IFERROR(INDEX(INVESTOR_LIST[INVESTOR NAME],MATCH(I12219,INVESTOR_LIST[INVESTOR CODE],0),)," ")</f>
        <v xml:space="preserve"> </v>
      </c>
      <c r="I12219" s="248" t="s">
        <v>348</v>
      </c>
      <c r="J12219" s="249" t="s">
        <v>95</v>
      </c>
      <c r="K12219" s="250">
        <v>2747.2527472527472</v>
      </c>
      <c r="L12219" s="241"/>
    </row>
    <row r="12220" spans="1:13" x14ac:dyDescent="0.2">
      <c r="A12220" s="242">
        <v>2024</v>
      </c>
      <c r="B12220" s="242">
        <v>10</v>
      </c>
      <c r="C12220" s="242">
        <v>31</v>
      </c>
      <c r="D12220" s="270">
        <f t="shared" si="1780"/>
        <v>45596</v>
      </c>
      <c r="E12220" s="279">
        <f t="shared" si="1781"/>
        <v>45596</v>
      </c>
      <c r="F12220" s="478"/>
      <c r="G12220" s="243" t="s">
        <v>94</v>
      </c>
      <c r="H12220" s="243" t="str" cm="1">
        <f t="array" ref="H12220">IFERROR(INDEX(INVESTOR_LIST[INVESTOR NAME],MATCH(I12220,INVESTOR_LIST[INVESTOR CODE],0),)," ")</f>
        <v xml:space="preserve"> </v>
      </c>
      <c r="I12220" s="263" t="s">
        <v>348</v>
      </c>
      <c r="J12220" s="244" t="s">
        <v>63</v>
      </c>
      <c r="K12220" s="245"/>
      <c r="L12220" s="245">
        <v>2747.2527472527472</v>
      </c>
    </row>
    <row r="12221" spans="1:13" x14ac:dyDescent="0.2">
      <c r="A12221" s="246">
        <v>2024</v>
      </c>
      <c r="B12221" s="238">
        <v>10</v>
      </c>
      <c r="C12221" s="238">
        <v>31</v>
      </c>
      <c r="D12221" s="270">
        <f t="shared" si="1780"/>
        <v>45596</v>
      </c>
      <c r="E12221" s="279">
        <f t="shared" si="1781"/>
        <v>45596</v>
      </c>
      <c r="F12221" s="482" t="s">
        <v>137</v>
      </c>
      <c r="G12221" s="247" t="s">
        <v>94</v>
      </c>
      <c r="H12221" s="247" t="str" cm="1">
        <f t="array" ref="H12221">IFERROR(INDEX(INVESTOR_LIST[INVESTOR NAME],MATCH(I12221,INVESTOR_LIST[INVESTOR CODE],0),)," ")</f>
        <v xml:space="preserve"> </v>
      </c>
      <c r="I12221" s="248" t="s">
        <v>348</v>
      </c>
      <c r="J12221" s="249" t="s">
        <v>97</v>
      </c>
      <c r="K12221" s="250">
        <f>M12221</f>
        <v>58213.905082017547</v>
      </c>
      <c r="L12221" s="252"/>
      <c r="M12221" s="264">
        <v>58213.905082017547</v>
      </c>
    </row>
    <row r="12222" spans="1:13" x14ac:dyDescent="0.2">
      <c r="A12222" s="242">
        <v>2024</v>
      </c>
      <c r="B12222" s="242">
        <v>10</v>
      </c>
      <c r="C12222" s="242">
        <v>31</v>
      </c>
      <c r="D12222" s="270">
        <f t="shared" si="1780"/>
        <v>45596</v>
      </c>
      <c r="E12222" s="279">
        <f t="shared" si="1781"/>
        <v>45596</v>
      </c>
      <c r="F12222" s="478"/>
      <c r="G12222" s="243" t="s">
        <v>94</v>
      </c>
      <c r="H12222" s="243" t="str" cm="1">
        <f t="array" ref="H12222">IFERROR(INDEX(INVESTOR_LIST[INVESTOR NAME],MATCH(I12222,INVESTOR_LIST[INVESTOR CODE],0),)," ")</f>
        <v xml:space="preserve"> </v>
      </c>
      <c r="I12222" s="263" t="s">
        <v>348</v>
      </c>
      <c r="J12222" s="244" t="s">
        <v>47</v>
      </c>
      <c r="K12222" s="245"/>
      <c r="L12222" s="245">
        <f>K12221</f>
        <v>58213.905082017547</v>
      </c>
      <c r="M12222" s="264">
        <v>2670.310638716262</v>
      </c>
    </row>
    <row r="12223" spans="1:13" x14ac:dyDescent="0.2">
      <c r="A12223" s="246">
        <v>2024</v>
      </c>
      <c r="B12223" s="238">
        <v>10</v>
      </c>
      <c r="C12223" s="238">
        <v>31</v>
      </c>
      <c r="D12223" s="270">
        <f t="shared" si="1780"/>
        <v>45596</v>
      </c>
      <c r="E12223" s="279">
        <f t="shared" si="1781"/>
        <v>45596</v>
      </c>
      <c r="F12223" s="482" t="s">
        <v>138</v>
      </c>
      <c r="G12223" s="247" t="s">
        <v>94</v>
      </c>
      <c r="H12223" s="247" t="str" cm="1">
        <f t="array" ref="H12223">IFERROR(INDEX(INVESTOR_LIST[INVESTOR NAME],MATCH(I12223,INVESTOR_LIST[INVESTOR CODE],0),)," ")</f>
        <v xml:space="preserve"> </v>
      </c>
      <c r="I12223" s="248" t="s">
        <v>348</v>
      </c>
      <c r="J12223" s="249" t="s">
        <v>100</v>
      </c>
      <c r="K12223" s="250">
        <f>M12222</f>
        <v>2670.310638716262</v>
      </c>
      <c r="L12223" s="252"/>
    </row>
    <row r="12224" spans="1:13" x14ac:dyDescent="0.2">
      <c r="A12224" s="242">
        <v>2024</v>
      </c>
      <c r="B12224" s="242">
        <v>10</v>
      </c>
      <c r="C12224" s="242">
        <v>31</v>
      </c>
      <c r="D12224" s="321">
        <f t="shared" si="1780"/>
        <v>45596</v>
      </c>
      <c r="E12224" s="322">
        <f t="shared" si="1781"/>
        <v>45596</v>
      </c>
      <c r="F12224" s="478"/>
      <c r="G12224" s="243" t="s">
        <v>94</v>
      </c>
      <c r="H12224" s="243" t="str" cm="1">
        <f t="array" ref="H12224">IFERROR(INDEX(INVESTOR_LIST[INVESTOR NAME],MATCH(I12224,INVESTOR_LIST[INVESTOR CODE],0),)," ")</f>
        <v xml:space="preserve"> </v>
      </c>
      <c r="I12224" s="263" t="s">
        <v>348</v>
      </c>
      <c r="J12224" s="244" t="s">
        <v>48</v>
      </c>
      <c r="K12224" s="245"/>
      <c r="L12224" s="245">
        <f>K12223</f>
        <v>2670.310638716262</v>
      </c>
    </row>
    <row r="12225" spans="1:13" x14ac:dyDescent="0.2">
      <c r="A12225" s="168">
        <v>2024</v>
      </c>
      <c r="B12225" s="168">
        <v>11</v>
      </c>
      <c r="C12225" s="168">
        <v>3</v>
      </c>
      <c r="D12225" s="141">
        <f t="shared" ref="D12225:D12229" si="1788">DATE(A12225,B12225,C12225)</f>
        <v>45599</v>
      </c>
      <c r="E12225" s="275">
        <f t="shared" ref="E12225:E12229" si="1789">DATE(A12225,B12225,C12225)</f>
        <v>45599</v>
      </c>
      <c r="F12225" s="479" t="s">
        <v>1974</v>
      </c>
      <c r="G12225" s="220" t="s">
        <v>94</v>
      </c>
      <c r="H12225" s="220" t="str" cm="1">
        <f t="array" ref="H12225">IFERROR(INDEX(INVESTOR_LIST[INVESTOR NAME],MATCH(I12225,INVESTOR_LIST[INVESTOR CODE],0),)," ")</f>
        <v xml:space="preserve"> </v>
      </c>
      <c r="I12225" s="142"/>
      <c r="J12225" s="143" t="s">
        <v>79</v>
      </c>
      <c r="K12225" s="226">
        <v>1169500</v>
      </c>
      <c r="L12225" s="226"/>
      <c r="M12225" s="160"/>
    </row>
    <row r="12226" spans="1:13" x14ac:dyDescent="0.2">
      <c r="A12226" s="133">
        <v>2024</v>
      </c>
      <c r="B12226" s="133">
        <v>11</v>
      </c>
      <c r="C12226" s="133">
        <v>3</v>
      </c>
      <c r="D12226" s="141">
        <f t="shared" si="1788"/>
        <v>45599</v>
      </c>
      <c r="E12226" s="275">
        <f t="shared" si="1789"/>
        <v>45599</v>
      </c>
      <c r="F12226" s="481"/>
      <c r="G12226" s="174" t="s">
        <v>94</v>
      </c>
      <c r="H12226" s="174" t="str" cm="1">
        <f t="array" ref="H12226">IFERROR(INDEX(INVESTOR_LIST[INVESTOR NAME],MATCH(I12226,INVESTOR_LIST[INVESTOR CODE],0),)," ")</f>
        <v xml:space="preserve"> </v>
      </c>
      <c r="J12226" s="149" t="s">
        <v>80</v>
      </c>
      <c r="K12226" s="218">
        <v>2105.1</v>
      </c>
      <c r="L12226" s="133"/>
    </row>
    <row r="12227" spans="1:13" x14ac:dyDescent="0.2">
      <c r="A12227" s="163">
        <v>2024</v>
      </c>
      <c r="B12227" s="163">
        <v>11</v>
      </c>
      <c r="C12227" s="163">
        <v>3</v>
      </c>
      <c r="D12227" s="280">
        <f t="shared" si="1788"/>
        <v>45599</v>
      </c>
      <c r="E12227" s="281">
        <f t="shared" si="1789"/>
        <v>45599</v>
      </c>
      <c r="F12227" s="480"/>
      <c r="G12227" s="221" t="s">
        <v>94</v>
      </c>
      <c r="H12227" s="221" t="str" cm="1">
        <f t="array" ref="H12227">IFERROR(INDEX(INVESTOR_LIST[INVESTOR NAME],MATCH(I12227,INVESTOR_LIST[INVESTOR CODE],0),)," ")</f>
        <v xml:space="preserve"> </v>
      </c>
      <c r="I12227" s="145"/>
      <c r="J12227" s="146" t="s">
        <v>147</v>
      </c>
      <c r="K12227" s="219"/>
      <c r="L12227" s="219">
        <v>1171605.1000000001</v>
      </c>
    </row>
    <row r="12228" spans="1:13" ht="11.25" customHeight="1" x14ac:dyDescent="0.2">
      <c r="A12228" s="168">
        <v>2024</v>
      </c>
      <c r="B12228" s="133">
        <v>11</v>
      </c>
      <c r="C12228" s="168">
        <v>3</v>
      </c>
      <c r="D12228" s="141">
        <f t="shared" si="1788"/>
        <v>45599</v>
      </c>
      <c r="E12228" s="275">
        <f t="shared" si="1789"/>
        <v>45599</v>
      </c>
      <c r="F12228" s="479" t="s">
        <v>1768</v>
      </c>
      <c r="G12228" s="220" t="s">
        <v>74</v>
      </c>
      <c r="H12228" s="220" t="str" cm="1">
        <f t="array" ref="H12228">IFERROR(INDEX(INVESTOR_LIST[INVESTOR NAME],MATCH(I12228,INVESTOR_LIST[INVESTOR CODE],0),)," ")</f>
        <v xml:space="preserve"> </v>
      </c>
      <c r="I12228" s="142"/>
      <c r="J12228" s="143" t="s">
        <v>147</v>
      </c>
      <c r="K12228" s="226">
        <v>2338179.56</v>
      </c>
      <c r="L12228" s="226"/>
    </row>
    <row r="12229" spans="1:13" x14ac:dyDescent="0.2">
      <c r="A12229" s="163">
        <v>2024</v>
      </c>
      <c r="B12229" s="163">
        <v>11</v>
      </c>
      <c r="C12229" s="163">
        <v>3</v>
      </c>
      <c r="D12229" s="280">
        <f t="shared" si="1788"/>
        <v>45599</v>
      </c>
      <c r="E12229" s="281">
        <f t="shared" si="1789"/>
        <v>45599</v>
      </c>
      <c r="F12229" s="480"/>
      <c r="G12229" s="221" t="s">
        <v>74</v>
      </c>
      <c r="H12229" s="221" t="str" cm="1">
        <f t="array" ref="H12229">IFERROR(INDEX(INVESTOR_LIST[INVESTOR NAME],MATCH(I12229,INVESTOR_LIST[INVESTOR CODE],0),)," ")</f>
        <v xml:space="preserve"> </v>
      </c>
      <c r="I12229" s="145" t="s">
        <v>348</v>
      </c>
      <c r="J12229" s="146" t="s">
        <v>52</v>
      </c>
      <c r="K12229" s="219"/>
      <c r="L12229" s="219">
        <v>2338179.56</v>
      </c>
    </row>
    <row r="12230" spans="1:13" x14ac:dyDescent="0.2">
      <c r="A12230" s="133">
        <v>2024</v>
      </c>
      <c r="B12230" s="133">
        <v>11</v>
      </c>
      <c r="C12230" s="168">
        <v>3</v>
      </c>
      <c r="D12230" s="147">
        <f>DATE(A12230,B12230,C12230)</f>
        <v>45599</v>
      </c>
      <c r="E12230" s="311">
        <f>DATE(A12230,B12230,C12230)</f>
        <v>45599</v>
      </c>
      <c r="F12230" s="479" t="s">
        <v>1943</v>
      </c>
      <c r="G12230" s="174" t="s">
        <v>74</v>
      </c>
      <c r="H12230" s="148" t="str" cm="1">
        <f t="array" ref="H12230">IFERROR(INDEX(INVESTOR_LIST[INVESTOR NAME],MATCH(I12230,INVESTOR_LIST[INVESTOR CODE],0),)," ")</f>
        <v xml:space="preserve"> </v>
      </c>
      <c r="I12230" s="148" t="s">
        <v>348</v>
      </c>
      <c r="J12230" s="133" t="s">
        <v>61</v>
      </c>
      <c r="K12230" s="172">
        <v>100</v>
      </c>
    </row>
    <row r="12231" spans="1:13" x14ac:dyDescent="0.2">
      <c r="A12231" s="163">
        <v>2024</v>
      </c>
      <c r="B12231" s="163">
        <v>11</v>
      </c>
      <c r="C12231" s="163">
        <v>3</v>
      </c>
      <c r="D12231" s="280">
        <f>DATE(A12231,B12231,C12231)</f>
        <v>45599</v>
      </c>
      <c r="E12231" s="281">
        <f>DATE(A12231,B12231,C12231)</f>
        <v>45599</v>
      </c>
      <c r="F12231" s="480"/>
      <c r="G12231" s="221" t="s">
        <v>74</v>
      </c>
      <c r="H12231" s="145" t="str" cm="1">
        <f t="array" ref="H12231">IFERROR(INDEX(INVESTOR_LIST[INVESTOR NAME],MATCH(I12231,INVESTOR_LIST[INVESTOR CODE],0),)," ")</f>
        <v xml:space="preserve"> </v>
      </c>
      <c r="I12231" s="145" t="s">
        <v>348</v>
      </c>
      <c r="J12231" s="163" t="s">
        <v>52</v>
      </c>
      <c r="K12231" s="219"/>
      <c r="L12231" s="219">
        <v>100</v>
      </c>
    </row>
    <row r="12232" spans="1:13" ht="11.25" customHeight="1" x14ac:dyDescent="0.2">
      <c r="A12232" s="168">
        <v>2024</v>
      </c>
      <c r="B12232" s="133">
        <v>11</v>
      </c>
      <c r="C12232" s="168">
        <v>4</v>
      </c>
      <c r="D12232" s="141">
        <f t="shared" ref="D12232:D12248" si="1790">DATE(A12232,B12232,C12232)</f>
        <v>45600</v>
      </c>
      <c r="E12232" s="275">
        <f t="shared" ref="E12232:E12248" si="1791">DATE(A12232,B12232,C12232)</f>
        <v>45600</v>
      </c>
      <c r="F12232" s="479" t="s">
        <v>1965</v>
      </c>
      <c r="G12232" s="220" t="s">
        <v>74</v>
      </c>
      <c r="H12232" s="220" t="str" cm="1">
        <f t="array" ref="H12232">IFERROR(INDEX(INVESTOR_LIST[INVESTOR NAME],MATCH(I12232,INVESTOR_LIST[INVESTOR CODE],0),)," ")</f>
        <v xml:space="preserve"> </v>
      </c>
      <c r="I12232" s="142"/>
      <c r="J12232" s="143" t="s">
        <v>147</v>
      </c>
      <c r="K12232" s="226">
        <v>60979.4</v>
      </c>
      <c r="L12232" s="226"/>
    </row>
    <row r="12233" spans="1:13" x14ac:dyDescent="0.2">
      <c r="A12233" s="163">
        <v>2024</v>
      </c>
      <c r="B12233" s="163">
        <v>11</v>
      </c>
      <c r="C12233" s="163">
        <v>4</v>
      </c>
      <c r="D12233" s="280">
        <f t="shared" si="1790"/>
        <v>45600</v>
      </c>
      <c r="E12233" s="281">
        <f t="shared" si="1791"/>
        <v>45600</v>
      </c>
      <c r="F12233" s="480"/>
      <c r="G12233" s="221" t="s">
        <v>74</v>
      </c>
      <c r="H12233" s="221" t="str" cm="1">
        <f t="array" ref="H12233">IFERROR(INDEX(INVESTOR_LIST[INVESTOR NAME],MATCH(I12233,INVESTOR_LIST[INVESTOR CODE],0),)," ")</f>
        <v xml:space="preserve"> </v>
      </c>
      <c r="I12233" s="145" t="s">
        <v>348</v>
      </c>
      <c r="J12233" s="146" t="s">
        <v>52</v>
      </c>
      <c r="K12233" s="219"/>
      <c r="L12233" s="219">
        <v>60979.4</v>
      </c>
    </row>
    <row r="12234" spans="1:13" ht="11.25" customHeight="1" x14ac:dyDescent="0.2">
      <c r="A12234" s="168">
        <v>2024</v>
      </c>
      <c r="B12234" s="133">
        <v>11</v>
      </c>
      <c r="C12234" s="168">
        <v>4</v>
      </c>
      <c r="D12234" s="141">
        <f t="shared" si="1790"/>
        <v>45600</v>
      </c>
      <c r="E12234" s="275">
        <f t="shared" si="1791"/>
        <v>45600</v>
      </c>
      <c r="F12234" s="479" t="s">
        <v>1959</v>
      </c>
      <c r="G12234" s="220" t="s">
        <v>74</v>
      </c>
      <c r="H12234" s="220" t="str" cm="1">
        <f t="array" ref="H12234">IFERROR(INDEX(INVESTOR_LIST[INVESTOR NAME],MATCH(I12234,INVESTOR_LIST[INVESTOR CODE],0),)," ")</f>
        <v xml:space="preserve"> </v>
      </c>
      <c r="I12234" s="142"/>
      <c r="J12234" s="143" t="s">
        <v>52</v>
      </c>
      <c r="K12234" s="226">
        <v>66630.929999999993</v>
      </c>
      <c r="L12234" s="226"/>
    </row>
    <row r="12235" spans="1:13" x14ac:dyDescent="0.2">
      <c r="A12235" s="163">
        <v>2024</v>
      </c>
      <c r="B12235" s="163">
        <v>11</v>
      </c>
      <c r="C12235" s="163">
        <v>4</v>
      </c>
      <c r="D12235" s="280">
        <f t="shared" si="1790"/>
        <v>45600</v>
      </c>
      <c r="E12235" s="281">
        <f t="shared" si="1791"/>
        <v>45600</v>
      </c>
      <c r="F12235" s="480"/>
      <c r="G12235" s="221" t="s">
        <v>74</v>
      </c>
      <c r="H12235" s="221" t="str" cm="1">
        <f t="array" ref="H12235">IFERROR(INDEX(INVESTOR_LIST[INVESTOR NAME],MATCH(I12235,INVESTOR_LIST[INVESTOR CODE],0),)," ")</f>
        <v xml:space="preserve"> </v>
      </c>
      <c r="I12235" s="145"/>
      <c r="J12235" s="146" t="s">
        <v>190</v>
      </c>
      <c r="K12235" s="219"/>
      <c r="L12235" s="219">
        <v>66630.929999999993</v>
      </c>
    </row>
    <row r="12236" spans="1:13" x14ac:dyDescent="0.2">
      <c r="A12236" s="168">
        <v>2024</v>
      </c>
      <c r="B12236" s="168">
        <v>11</v>
      </c>
      <c r="C12236" s="133">
        <v>4</v>
      </c>
      <c r="D12236" s="141">
        <f t="shared" si="1790"/>
        <v>45600</v>
      </c>
      <c r="E12236" s="275">
        <f t="shared" si="1791"/>
        <v>45600</v>
      </c>
      <c r="F12236" s="479" t="s">
        <v>1974</v>
      </c>
      <c r="G12236" s="220" t="s">
        <v>94</v>
      </c>
      <c r="H12236" s="220" t="str" cm="1">
        <f t="array" ref="H12236">IFERROR(INDEX(INVESTOR_LIST[INVESTOR NAME],MATCH(I12236,INVESTOR_LIST[INVESTOR CODE],0),)," ")</f>
        <v xml:space="preserve"> </v>
      </c>
      <c r="I12236" s="142"/>
      <c r="J12236" s="143" t="s">
        <v>79</v>
      </c>
      <c r="K12236" s="226">
        <v>465000</v>
      </c>
      <c r="L12236" s="226"/>
      <c r="M12236" s="160"/>
    </row>
    <row r="12237" spans="1:13" x14ac:dyDescent="0.2">
      <c r="A12237" s="133">
        <v>2024</v>
      </c>
      <c r="B12237" s="133">
        <v>11</v>
      </c>
      <c r="C12237" s="133">
        <v>4</v>
      </c>
      <c r="D12237" s="141">
        <f t="shared" si="1790"/>
        <v>45600</v>
      </c>
      <c r="E12237" s="275">
        <f t="shared" si="1791"/>
        <v>45600</v>
      </c>
      <c r="F12237" s="481"/>
      <c r="G12237" s="174" t="s">
        <v>94</v>
      </c>
      <c r="H12237" s="174" t="str" cm="1">
        <f t="array" ref="H12237">IFERROR(INDEX(INVESTOR_LIST[INVESTOR NAME],MATCH(I12237,INVESTOR_LIST[INVESTOR CODE],0),)," ")</f>
        <v xml:space="preserve"> </v>
      </c>
      <c r="J12237" s="149" t="s">
        <v>80</v>
      </c>
      <c r="K12237" s="218">
        <v>837</v>
      </c>
      <c r="L12237" s="133"/>
    </row>
    <row r="12238" spans="1:13" x14ac:dyDescent="0.2">
      <c r="A12238" s="163">
        <v>2024</v>
      </c>
      <c r="B12238" s="163">
        <v>11</v>
      </c>
      <c r="C12238" s="163">
        <v>4</v>
      </c>
      <c r="D12238" s="280">
        <f t="shared" si="1790"/>
        <v>45600</v>
      </c>
      <c r="E12238" s="281">
        <f t="shared" si="1791"/>
        <v>45600</v>
      </c>
      <c r="F12238" s="480"/>
      <c r="G12238" s="221" t="s">
        <v>94</v>
      </c>
      <c r="H12238" s="221" t="str" cm="1">
        <f t="array" ref="H12238">IFERROR(INDEX(INVESTOR_LIST[INVESTOR NAME],MATCH(I12238,INVESTOR_LIST[INVESTOR CODE],0),)," ")</f>
        <v xml:space="preserve"> </v>
      </c>
      <c r="I12238" s="145"/>
      <c r="J12238" s="146" t="s">
        <v>147</v>
      </c>
      <c r="K12238" s="219"/>
      <c r="L12238" s="219">
        <v>465837</v>
      </c>
    </row>
    <row r="12239" spans="1:13" ht="10.5" customHeight="1" x14ac:dyDescent="0.2">
      <c r="A12239" s="168">
        <v>2024</v>
      </c>
      <c r="B12239" s="168">
        <v>11</v>
      </c>
      <c r="C12239" s="133">
        <v>5</v>
      </c>
      <c r="D12239" s="141">
        <f t="shared" si="1790"/>
        <v>45601</v>
      </c>
      <c r="E12239" s="275">
        <f t="shared" si="1791"/>
        <v>45601</v>
      </c>
      <c r="F12239" s="479" t="s">
        <v>1319</v>
      </c>
      <c r="G12239" s="220" t="s">
        <v>74</v>
      </c>
      <c r="H12239" s="142" t="str" cm="1">
        <f t="array" ref="H12239">IFERROR(INDEX(INVESTOR_LIST[INVESTOR NAME],MATCH(I12239,INVESTOR_LIST[INVESTOR CODE],0),)," ")</f>
        <v xml:space="preserve"> </v>
      </c>
      <c r="I12239" s="142"/>
      <c r="J12239" s="168" t="s">
        <v>52</v>
      </c>
      <c r="K12239" s="226">
        <v>52000</v>
      </c>
      <c r="L12239" s="226"/>
    </row>
    <row r="12240" spans="1:13" ht="10.5" customHeight="1" x14ac:dyDescent="0.2">
      <c r="A12240" s="133">
        <v>2024</v>
      </c>
      <c r="B12240" s="133">
        <v>11</v>
      </c>
      <c r="C12240" s="133">
        <v>5</v>
      </c>
      <c r="D12240" s="141">
        <f t="shared" si="1790"/>
        <v>45601</v>
      </c>
      <c r="E12240" s="275">
        <f t="shared" si="1791"/>
        <v>45601</v>
      </c>
      <c r="F12240" s="481"/>
      <c r="G12240" s="174" t="s">
        <v>74</v>
      </c>
      <c r="H12240" s="148" t="str" cm="1">
        <f t="array" ref="H12240">IFERROR(INDEX(INVESTOR_LIST[INVESTOR NAME],MATCH(I12240,INVESTOR_LIST[INVESTOR CODE],0),)," ")</f>
        <v xml:space="preserve"> </v>
      </c>
      <c r="J12240" s="133" t="s">
        <v>13</v>
      </c>
      <c r="K12240" s="218"/>
      <c r="L12240" s="218">
        <v>40650</v>
      </c>
    </row>
    <row r="12241" spans="1:13" ht="11.25" customHeight="1" x14ac:dyDescent="0.2">
      <c r="A12241" s="163">
        <v>2024</v>
      </c>
      <c r="B12241" s="163">
        <v>11</v>
      </c>
      <c r="C12241" s="163">
        <v>5</v>
      </c>
      <c r="D12241" s="280">
        <f t="shared" si="1790"/>
        <v>45601</v>
      </c>
      <c r="E12241" s="281">
        <f t="shared" si="1791"/>
        <v>45601</v>
      </c>
      <c r="F12241" s="480"/>
      <c r="G12241" s="221" t="s">
        <v>74</v>
      </c>
      <c r="H12241" s="145" t="str" cm="1">
        <f t="array" ref="H12241">IFERROR(INDEX(INVESTOR_LIST[INVESTOR NAME],MATCH(I12241,INVESTOR_LIST[INVESTOR CODE],0),)," ")</f>
        <v xml:space="preserve"> </v>
      </c>
      <c r="I12241" s="145"/>
      <c r="J12241" s="163" t="s">
        <v>53</v>
      </c>
      <c r="K12241" s="219"/>
      <c r="L12241" s="219">
        <v>11350</v>
      </c>
    </row>
    <row r="12242" spans="1:13" x14ac:dyDescent="0.2">
      <c r="A12242" s="168">
        <v>2024</v>
      </c>
      <c r="B12242" s="168">
        <v>11</v>
      </c>
      <c r="C12242" s="133">
        <v>5</v>
      </c>
      <c r="D12242" s="141">
        <f t="shared" si="1790"/>
        <v>45601</v>
      </c>
      <c r="E12242" s="275">
        <f t="shared" si="1791"/>
        <v>45601</v>
      </c>
      <c r="F12242" s="479" t="s">
        <v>1974</v>
      </c>
      <c r="G12242" s="220" t="s">
        <v>94</v>
      </c>
      <c r="H12242" s="220" t="str" cm="1">
        <f t="array" ref="H12242">IFERROR(INDEX(INVESTOR_LIST[INVESTOR NAME],MATCH(I12242,INVESTOR_LIST[INVESTOR CODE],0),)," ")</f>
        <v xml:space="preserve"> </v>
      </c>
      <c r="I12242" s="142"/>
      <c r="J12242" s="143" t="s">
        <v>79</v>
      </c>
      <c r="K12242" s="226">
        <v>2248900</v>
      </c>
      <c r="L12242" s="226"/>
      <c r="M12242" s="160"/>
    </row>
    <row r="12243" spans="1:13" x14ac:dyDescent="0.2">
      <c r="A12243" s="133">
        <v>2024</v>
      </c>
      <c r="B12243" s="133">
        <v>11</v>
      </c>
      <c r="C12243" s="133">
        <v>5</v>
      </c>
      <c r="D12243" s="141">
        <f t="shared" si="1790"/>
        <v>45601</v>
      </c>
      <c r="E12243" s="275">
        <f t="shared" si="1791"/>
        <v>45601</v>
      </c>
      <c r="F12243" s="481"/>
      <c r="G12243" s="174" t="s">
        <v>94</v>
      </c>
      <c r="H12243" s="174" t="str" cm="1">
        <f t="array" ref="H12243">IFERROR(INDEX(INVESTOR_LIST[INVESTOR NAME],MATCH(I12243,INVESTOR_LIST[INVESTOR CODE],0),)," ")</f>
        <v xml:space="preserve"> </v>
      </c>
      <c r="J12243" s="149" t="s">
        <v>80</v>
      </c>
      <c r="K12243" s="218">
        <v>4048.02</v>
      </c>
      <c r="L12243" s="133"/>
    </row>
    <row r="12244" spans="1:13" x14ac:dyDescent="0.2">
      <c r="A12244" s="163">
        <v>2024</v>
      </c>
      <c r="B12244" s="163">
        <v>11</v>
      </c>
      <c r="C12244" s="163">
        <v>5</v>
      </c>
      <c r="D12244" s="280">
        <f t="shared" si="1790"/>
        <v>45601</v>
      </c>
      <c r="E12244" s="281">
        <f t="shared" si="1791"/>
        <v>45601</v>
      </c>
      <c r="F12244" s="480"/>
      <c r="G12244" s="221" t="s">
        <v>94</v>
      </c>
      <c r="H12244" s="221" t="str" cm="1">
        <f t="array" ref="H12244">IFERROR(INDEX(INVESTOR_LIST[INVESTOR NAME],MATCH(I12244,INVESTOR_LIST[INVESTOR CODE],0),)," ")</f>
        <v xml:space="preserve"> </v>
      </c>
      <c r="I12244" s="145"/>
      <c r="J12244" s="146" t="s">
        <v>147</v>
      </c>
      <c r="K12244" s="219"/>
      <c r="L12244" s="219">
        <v>2252948.02</v>
      </c>
    </row>
    <row r="12245" spans="1:13" ht="11.25" customHeight="1" x14ac:dyDescent="0.2">
      <c r="A12245" s="168">
        <v>2024</v>
      </c>
      <c r="B12245" s="133">
        <v>11</v>
      </c>
      <c r="C12245" s="168">
        <v>5</v>
      </c>
      <c r="D12245" s="141">
        <f t="shared" si="1790"/>
        <v>45601</v>
      </c>
      <c r="E12245" s="275">
        <f t="shared" si="1791"/>
        <v>45601</v>
      </c>
      <c r="F12245" s="479" t="s">
        <v>1965</v>
      </c>
      <c r="G12245" s="220" t="s">
        <v>74</v>
      </c>
      <c r="H12245" s="220" t="str" cm="1">
        <f t="array" ref="H12245">IFERROR(INDEX(INVESTOR_LIST[INVESTOR NAME],MATCH(I12245,INVESTOR_LIST[INVESTOR CODE],0),)," ")</f>
        <v xml:space="preserve"> </v>
      </c>
      <c r="I12245" s="142"/>
      <c r="J12245" s="143" t="s">
        <v>147</v>
      </c>
      <c r="K12245" s="226">
        <v>1171605.1000000001</v>
      </c>
      <c r="L12245" s="226"/>
    </row>
    <row r="12246" spans="1:13" x14ac:dyDescent="0.2">
      <c r="A12246" s="163">
        <v>2024</v>
      </c>
      <c r="B12246" s="163">
        <v>11</v>
      </c>
      <c r="C12246" s="163">
        <v>5</v>
      </c>
      <c r="D12246" s="280">
        <f t="shared" si="1790"/>
        <v>45601</v>
      </c>
      <c r="E12246" s="281">
        <f t="shared" si="1791"/>
        <v>45601</v>
      </c>
      <c r="F12246" s="480"/>
      <c r="G12246" s="221" t="s">
        <v>74</v>
      </c>
      <c r="H12246" s="221" t="str" cm="1">
        <f t="array" ref="H12246">IFERROR(INDEX(INVESTOR_LIST[INVESTOR NAME],MATCH(I12246,INVESTOR_LIST[INVESTOR CODE],0),)," ")</f>
        <v xml:space="preserve"> </v>
      </c>
      <c r="I12246" s="145" t="s">
        <v>348</v>
      </c>
      <c r="J12246" s="146" t="s">
        <v>52</v>
      </c>
      <c r="K12246" s="219"/>
      <c r="L12246" s="219">
        <v>1171605.1000000001</v>
      </c>
    </row>
    <row r="12247" spans="1:13" ht="11.25" customHeight="1" x14ac:dyDescent="0.2">
      <c r="A12247" s="168">
        <v>2024</v>
      </c>
      <c r="B12247" s="133">
        <v>11</v>
      </c>
      <c r="C12247" s="168">
        <v>5</v>
      </c>
      <c r="D12247" s="141">
        <f t="shared" si="1790"/>
        <v>45601</v>
      </c>
      <c r="E12247" s="275">
        <f t="shared" si="1791"/>
        <v>45601</v>
      </c>
      <c r="F12247" s="479" t="s">
        <v>1965</v>
      </c>
      <c r="G12247" s="220" t="s">
        <v>74</v>
      </c>
      <c r="H12247" s="220" t="str" cm="1">
        <f t="array" ref="H12247">IFERROR(INDEX(INVESTOR_LIST[INVESTOR NAME],MATCH(I12247,INVESTOR_LIST[INVESTOR CODE],0),)," ")</f>
        <v xml:space="preserve"> </v>
      </c>
      <c r="I12247" s="142"/>
      <c r="J12247" s="143" t="s">
        <v>147</v>
      </c>
      <c r="K12247" s="226">
        <v>465837</v>
      </c>
      <c r="L12247" s="226"/>
    </row>
    <row r="12248" spans="1:13" x14ac:dyDescent="0.2">
      <c r="A12248" s="163">
        <v>2024</v>
      </c>
      <c r="B12248" s="163">
        <v>11</v>
      </c>
      <c r="C12248" s="163">
        <v>5</v>
      </c>
      <c r="D12248" s="280">
        <f t="shared" si="1790"/>
        <v>45601</v>
      </c>
      <c r="E12248" s="281">
        <f t="shared" si="1791"/>
        <v>45601</v>
      </c>
      <c r="F12248" s="480"/>
      <c r="G12248" s="221" t="s">
        <v>74</v>
      </c>
      <c r="H12248" s="221" t="str" cm="1">
        <f t="array" ref="H12248">IFERROR(INDEX(INVESTOR_LIST[INVESTOR NAME],MATCH(I12248,INVESTOR_LIST[INVESTOR CODE],0),)," ")</f>
        <v xml:space="preserve"> </v>
      </c>
      <c r="I12248" s="145" t="s">
        <v>348</v>
      </c>
      <c r="J12248" s="146" t="s">
        <v>52</v>
      </c>
      <c r="K12248" s="219"/>
      <c r="L12248" s="219">
        <v>465837</v>
      </c>
    </row>
    <row r="12249" spans="1:13" x14ac:dyDescent="0.2">
      <c r="A12249" s="133">
        <v>2024</v>
      </c>
      <c r="B12249" s="133">
        <v>11</v>
      </c>
      <c r="C12249" s="168">
        <v>5</v>
      </c>
      <c r="D12249" s="147">
        <f>DATE(A12249,B12249,C12249)</f>
        <v>45601</v>
      </c>
      <c r="E12249" s="311">
        <f>DATE(A12249,B12249,C12249)</f>
        <v>45601</v>
      </c>
      <c r="F12249" s="479" t="s">
        <v>1943</v>
      </c>
      <c r="G12249" s="174" t="s">
        <v>74</v>
      </c>
      <c r="H12249" s="148" t="str" cm="1">
        <f t="array" ref="H12249">IFERROR(INDEX(INVESTOR_LIST[INVESTOR NAME],MATCH(I12249,INVESTOR_LIST[INVESTOR CODE],0),)," ")</f>
        <v xml:space="preserve"> </v>
      </c>
      <c r="I12249" s="148" t="s">
        <v>348</v>
      </c>
      <c r="J12249" s="133" t="s">
        <v>61</v>
      </c>
      <c r="K12249" s="172">
        <v>158</v>
      </c>
    </row>
    <row r="12250" spans="1:13" x14ac:dyDescent="0.2">
      <c r="A12250" s="163">
        <v>2024</v>
      </c>
      <c r="B12250" s="163">
        <v>11</v>
      </c>
      <c r="C12250" s="163">
        <v>5</v>
      </c>
      <c r="D12250" s="280">
        <f>DATE(A12250,B12250,C12250)</f>
        <v>45601</v>
      </c>
      <c r="E12250" s="281">
        <f>DATE(A12250,B12250,C12250)</f>
        <v>45601</v>
      </c>
      <c r="F12250" s="480"/>
      <c r="G12250" s="221" t="s">
        <v>74</v>
      </c>
      <c r="H12250" s="145" t="str" cm="1">
        <f t="array" ref="H12250">IFERROR(INDEX(INVESTOR_LIST[INVESTOR NAME],MATCH(I12250,INVESTOR_LIST[INVESTOR CODE],0),)," ")</f>
        <v xml:space="preserve"> </v>
      </c>
      <c r="I12250" s="145" t="s">
        <v>348</v>
      </c>
      <c r="J12250" s="163" t="s">
        <v>52</v>
      </c>
      <c r="K12250" s="219"/>
      <c r="L12250" s="219">
        <v>158</v>
      </c>
    </row>
    <row r="12251" spans="1:13" x14ac:dyDescent="0.2">
      <c r="A12251" s="133">
        <v>2024</v>
      </c>
      <c r="B12251" s="133">
        <v>11</v>
      </c>
      <c r="C12251" s="168">
        <v>5</v>
      </c>
      <c r="D12251" s="147">
        <f>DATE(A12251,B12251,C12251)</f>
        <v>45601</v>
      </c>
      <c r="E12251" s="311">
        <f>DATE(A12251,B12251,C12251)</f>
        <v>45601</v>
      </c>
      <c r="F12251" s="479" t="s">
        <v>1950</v>
      </c>
      <c r="G12251" s="174" t="s">
        <v>74</v>
      </c>
      <c r="H12251" s="148" t="str" cm="1">
        <f t="array" ref="H12251">IFERROR(INDEX(INVESTOR_LIST[INVESTOR NAME],MATCH(I12251,INVESTOR_LIST[INVESTOR CODE],0),)," ")</f>
        <v xml:space="preserve"> </v>
      </c>
      <c r="I12251" s="148" t="s">
        <v>348</v>
      </c>
      <c r="J12251" s="133" t="s">
        <v>61</v>
      </c>
      <c r="K12251" s="172">
        <v>100</v>
      </c>
    </row>
    <row r="12252" spans="1:13" x14ac:dyDescent="0.2">
      <c r="A12252" s="163">
        <v>2024</v>
      </c>
      <c r="B12252" s="163">
        <v>11</v>
      </c>
      <c r="C12252" s="163">
        <v>5</v>
      </c>
      <c r="D12252" s="280">
        <f>DATE(A12252,B12252,C12252)</f>
        <v>45601</v>
      </c>
      <c r="E12252" s="281">
        <f>DATE(A12252,B12252,C12252)</f>
        <v>45601</v>
      </c>
      <c r="F12252" s="480"/>
      <c r="G12252" s="221" t="s">
        <v>74</v>
      </c>
      <c r="H12252" s="145" t="str" cm="1">
        <f t="array" ref="H12252">IFERROR(INDEX(INVESTOR_LIST[INVESTOR NAME],MATCH(I12252,INVESTOR_LIST[INVESTOR CODE],0),)," ")</f>
        <v xml:space="preserve"> </v>
      </c>
      <c r="I12252" s="145" t="s">
        <v>348</v>
      </c>
      <c r="J12252" s="163" t="s">
        <v>52</v>
      </c>
      <c r="K12252" s="219"/>
      <c r="L12252" s="219">
        <v>100</v>
      </c>
    </row>
    <row r="12253" spans="1:13" x14ac:dyDescent="0.2">
      <c r="A12253" s="133">
        <v>2024</v>
      </c>
      <c r="B12253" s="133">
        <v>11</v>
      </c>
      <c r="C12253" s="133">
        <v>6</v>
      </c>
      <c r="D12253" s="141">
        <f t="shared" ref="D12253:D12259" si="1792">DATE(A12253,B12253,C12253)</f>
        <v>45602</v>
      </c>
      <c r="E12253" s="275">
        <f t="shared" ref="E12253:E12259" si="1793">DATE(A12253,B12253,C12253)</f>
        <v>45602</v>
      </c>
      <c r="F12253" s="481" t="s">
        <v>1767</v>
      </c>
      <c r="G12253" s="174" t="s">
        <v>94</v>
      </c>
      <c r="H12253" s="174" t="str" cm="1">
        <f t="array" ref="H12253">IFERROR(INDEX(INVESTOR_LIST[INVESTOR NAME],MATCH(I12253,INVESTOR_LIST[INVESTOR CODE],0),)," ")</f>
        <v xml:space="preserve"> </v>
      </c>
      <c r="J12253" s="149" t="s">
        <v>79</v>
      </c>
      <c r="K12253" s="218">
        <v>241706.5</v>
      </c>
      <c r="L12253" s="218"/>
      <c r="M12253" s="160"/>
    </row>
    <row r="12254" spans="1:13" x14ac:dyDescent="0.2">
      <c r="A12254" s="133">
        <v>2024</v>
      </c>
      <c r="B12254" s="133">
        <v>11</v>
      </c>
      <c r="C12254" s="133">
        <v>6</v>
      </c>
      <c r="D12254" s="141">
        <f t="shared" si="1792"/>
        <v>45602</v>
      </c>
      <c r="E12254" s="275">
        <f t="shared" si="1793"/>
        <v>45602</v>
      </c>
      <c r="F12254" s="481"/>
      <c r="G12254" s="174" t="s">
        <v>94</v>
      </c>
      <c r="H12254" s="174" t="str" cm="1">
        <f t="array" ref="H12254">IFERROR(INDEX(INVESTOR_LIST[INVESTOR NAME],MATCH(I12254,INVESTOR_LIST[INVESTOR CODE],0),)," ")</f>
        <v xml:space="preserve"> </v>
      </c>
      <c r="J12254" s="149" t="s">
        <v>80</v>
      </c>
      <c r="K12254" s="218">
        <v>906.67169999999999</v>
      </c>
      <c r="L12254" s="133"/>
    </row>
    <row r="12255" spans="1:13" x14ac:dyDescent="0.2">
      <c r="A12255" s="133">
        <v>2024</v>
      </c>
      <c r="B12255" s="133">
        <v>11</v>
      </c>
      <c r="C12255" s="133">
        <v>6</v>
      </c>
      <c r="D12255" s="141">
        <f t="shared" si="1792"/>
        <v>45602</v>
      </c>
      <c r="E12255" s="275">
        <f t="shared" si="1793"/>
        <v>45602</v>
      </c>
      <c r="F12255" s="481"/>
      <c r="G12255" s="174" t="s">
        <v>94</v>
      </c>
      <c r="H12255" s="174" t="str" cm="1">
        <f t="array" ref="H12255">IFERROR(INDEX(INVESTOR_LIST[INVESTOR NAME],MATCH(I12255,INVESTOR_LIST[INVESTOR CODE],0),)," ")</f>
        <v xml:space="preserve"> </v>
      </c>
      <c r="J12255" s="149" t="s">
        <v>190</v>
      </c>
      <c r="K12255" s="218">
        <v>19386.830000000002</v>
      </c>
      <c r="L12255" s="218"/>
    </row>
    <row r="12256" spans="1:13" x14ac:dyDescent="0.2">
      <c r="A12256" s="133">
        <v>2024</v>
      </c>
      <c r="B12256" s="133">
        <v>11</v>
      </c>
      <c r="C12256" s="133">
        <v>6</v>
      </c>
      <c r="D12256" s="141">
        <f t="shared" si="1792"/>
        <v>45602</v>
      </c>
      <c r="E12256" s="275">
        <f t="shared" si="1793"/>
        <v>45602</v>
      </c>
      <c r="F12256" s="481"/>
      <c r="G12256" s="174" t="s">
        <v>94</v>
      </c>
      <c r="H12256" s="174" t="str" cm="1">
        <f t="array" ref="H12256">IFERROR(INDEX(INVESTOR_LIST[INVESTOR NAME],MATCH(I12256,INVESTOR_LIST[INVESTOR CODE],0),)," ")</f>
        <v xml:space="preserve"> </v>
      </c>
      <c r="J12256" s="149" t="s">
        <v>191</v>
      </c>
      <c r="K12256" s="218"/>
      <c r="L12256" s="218">
        <v>66420.259999999995</v>
      </c>
    </row>
    <row r="12257" spans="1:13" x14ac:dyDescent="0.2">
      <c r="A12257" s="163">
        <v>2024</v>
      </c>
      <c r="B12257" s="163">
        <v>11</v>
      </c>
      <c r="C12257" s="163">
        <v>6</v>
      </c>
      <c r="D12257" s="280">
        <f t="shared" si="1792"/>
        <v>45602</v>
      </c>
      <c r="E12257" s="281">
        <f t="shared" si="1793"/>
        <v>45602</v>
      </c>
      <c r="F12257" s="480"/>
      <c r="G12257" s="221" t="s">
        <v>94</v>
      </c>
      <c r="H12257" s="145" t="str" cm="1">
        <f t="array" ref="H12257">IFERROR(INDEX(INVESTOR_LIST[INVESTOR NAME],MATCH(I12257,INVESTOR_LIST[INVESTOR CODE],0),)," ")</f>
        <v xml:space="preserve"> </v>
      </c>
      <c r="I12257" s="145"/>
      <c r="J12257" s="163" t="s">
        <v>79</v>
      </c>
      <c r="K12257" s="219"/>
      <c r="L12257" s="219">
        <v>195579.74</v>
      </c>
    </row>
    <row r="12258" spans="1:13" ht="11.25" customHeight="1" x14ac:dyDescent="0.2">
      <c r="A12258" s="168">
        <v>2024</v>
      </c>
      <c r="B12258" s="133">
        <v>11</v>
      </c>
      <c r="C12258" s="168">
        <v>6</v>
      </c>
      <c r="D12258" s="141">
        <f t="shared" si="1792"/>
        <v>45602</v>
      </c>
      <c r="E12258" s="275">
        <f t="shared" si="1793"/>
        <v>45602</v>
      </c>
      <c r="F12258" s="479" t="s">
        <v>1965</v>
      </c>
      <c r="G12258" s="220" t="s">
        <v>74</v>
      </c>
      <c r="H12258" s="220" t="str" cm="1">
        <f t="array" ref="H12258">IFERROR(INDEX(INVESTOR_LIST[INVESTOR NAME],MATCH(I12258,INVESTOR_LIST[INVESTOR CODE],0),)," ")</f>
        <v xml:space="preserve"> </v>
      </c>
      <c r="I12258" s="142"/>
      <c r="J12258" s="143" t="s">
        <v>147</v>
      </c>
      <c r="K12258" s="226">
        <v>2252948.02</v>
      </c>
      <c r="L12258" s="226"/>
    </row>
    <row r="12259" spans="1:13" x14ac:dyDescent="0.2">
      <c r="A12259" s="163">
        <v>2024</v>
      </c>
      <c r="B12259" s="163">
        <v>11</v>
      </c>
      <c r="C12259" s="163">
        <v>6</v>
      </c>
      <c r="D12259" s="280">
        <f t="shared" si="1792"/>
        <v>45602</v>
      </c>
      <c r="E12259" s="281">
        <f t="shared" si="1793"/>
        <v>45602</v>
      </c>
      <c r="F12259" s="480"/>
      <c r="G12259" s="221" t="s">
        <v>74</v>
      </c>
      <c r="H12259" s="221" t="str" cm="1">
        <f t="array" ref="H12259">IFERROR(INDEX(INVESTOR_LIST[INVESTOR NAME],MATCH(I12259,INVESTOR_LIST[INVESTOR CODE],0),)," ")</f>
        <v xml:space="preserve"> </v>
      </c>
      <c r="I12259" s="145" t="s">
        <v>348</v>
      </c>
      <c r="J12259" s="146" t="s">
        <v>52</v>
      </c>
      <c r="K12259" s="219"/>
      <c r="L12259" s="219">
        <v>2252948.02</v>
      </c>
    </row>
    <row r="12260" spans="1:13" x14ac:dyDescent="0.2">
      <c r="A12260" s="133">
        <v>2024</v>
      </c>
      <c r="B12260" s="133">
        <v>11</v>
      </c>
      <c r="C12260" s="168">
        <v>6</v>
      </c>
      <c r="D12260" s="147">
        <f>DATE(A12260,B12260,C12260)</f>
        <v>45602</v>
      </c>
      <c r="E12260" s="311">
        <f>DATE(A12260,B12260,C12260)</f>
        <v>45602</v>
      </c>
      <c r="F12260" s="479" t="s">
        <v>1943</v>
      </c>
      <c r="G12260" s="174" t="s">
        <v>74</v>
      </c>
      <c r="H12260" s="148" t="str" cm="1">
        <f t="array" ref="H12260">IFERROR(INDEX(INVESTOR_LIST[INVESTOR NAME],MATCH(I12260,INVESTOR_LIST[INVESTOR CODE],0),)," ")</f>
        <v xml:space="preserve"> </v>
      </c>
      <c r="I12260" s="148" t="s">
        <v>348</v>
      </c>
      <c r="J12260" s="133" t="s">
        <v>61</v>
      </c>
      <c r="K12260" s="172">
        <v>100</v>
      </c>
    </row>
    <row r="12261" spans="1:13" x14ac:dyDescent="0.2">
      <c r="A12261" s="163">
        <v>2024</v>
      </c>
      <c r="B12261" s="163">
        <v>11</v>
      </c>
      <c r="C12261" s="163">
        <v>6</v>
      </c>
      <c r="D12261" s="280">
        <f>DATE(A12261,B12261,C12261)</f>
        <v>45602</v>
      </c>
      <c r="E12261" s="281">
        <f>DATE(A12261,B12261,C12261)</f>
        <v>45602</v>
      </c>
      <c r="F12261" s="480"/>
      <c r="G12261" s="221" t="s">
        <v>74</v>
      </c>
      <c r="H12261" s="145" t="str" cm="1">
        <f t="array" ref="H12261">IFERROR(INDEX(INVESTOR_LIST[INVESTOR NAME],MATCH(I12261,INVESTOR_LIST[INVESTOR CODE],0),)," ")</f>
        <v xml:space="preserve"> </v>
      </c>
      <c r="I12261" s="145" t="s">
        <v>348</v>
      </c>
      <c r="J12261" s="163" t="s">
        <v>52</v>
      </c>
      <c r="K12261" s="219"/>
      <c r="L12261" s="219">
        <v>100</v>
      </c>
    </row>
    <row r="12262" spans="1:13" ht="11.25" customHeight="1" x14ac:dyDescent="0.2">
      <c r="A12262" s="168">
        <v>2024</v>
      </c>
      <c r="B12262" s="168">
        <v>11</v>
      </c>
      <c r="C12262" s="168">
        <v>7</v>
      </c>
      <c r="D12262" s="141">
        <f t="shared" ref="D12262:D12287" si="1794">DATE(A12262,B12262,C12262)</f>
        <v>45603</v>
      </c>
      <c r="E12262" s="275">
        <f t="shared" ref="E12262:E12287" si="1795">DATE(A12262,B12262,C12262)</f>
        <v>45603</v>
      </c>
      <c r="F12262" s="479" t="s">
        <v>1898</v>
      </c>
      <c r="G12262" s="220" t="s">
        <v>74</v>
      </c>
      <c r="H12262" s="142" t="str" cm="1">
        <f t="array" ref="H12262">IFERROR(INDEX(INVESTOR_LIST[INVESTOR NAME],MATCH(I12262,INVESTOR_LIST[INVESTOR CODE],0),)," ")</f>
        <v>EKUSH WEALTH MANAGEMENT LIMITED</v>
      </c>
      <c r="I12262" s="142" t="s">
        <v>371</v>
      </c>
      <c r="J12262" s="168" t="s">
        <v>52</v>
      </c>
      <c r="K12262" s="226">
        <v>1000000</v>
      </c>
      <c r="L12262" s="226"/>
    </row>
    <row r="12263" spans="1:13" ht="11.25" customHeight="1" x14ac:dyDescent="0.2">
      <c r="A12263" s="133">
        <v>2024</v>
      </c>
      <c r="B12263" s="133">
        <v>11</v>
      </c>
      <c r="C12263" s="133">
        <v>7</v>
      </c>
      <c r="D12263" s="141">
        <f t="shared" si="1794"/>
        <v>45603</v>
      </c>
      <c r="E12263" s="275">
        <f t="shared" si="1795"/>
        <v>45603</v>
      </c>
      <c r="F12263" s="481"/>
      <c r="G12263" s="174" t="s">
        <v>74</v>
      </c>
      <c r="H12263" s="148" t="str" cm="1">
        <f t="array" ref="H12263">IFERROR(INDEX(INVESTOR_LIST[INVESTOR NAME],MATCH(I12263,INVESTOR_LIST[INVESTOR CODE],0),)," ")</f>
        <v>EKUSH WEALTH MANAGEMENT LIMITED</v>
      </c>
      <c r="I12263" s="148" t="s">
        <v>371</v>
      </c>
      <c r="J12263" s="133" t="s">
        <v>13</v>
      </c>
      <c r="K12263" s="218"/>
      <c r="L12263" s="218">
        <v>781740</v>
      </c>
    </row>
    <row r="12264" spans="1:13" ht="11.25" customHeight="1" x14ac:dyDescent="0.2">
      <c r="A12264" s="163">
        <v>2024</v>
      </c>
      <c r="B12264" s="163">
        <v>11</v>
      </c>
      <c r="C12264" s="163">
        <v>7</v>
      </c>
      <c r="D12264" s="280">
        <f t="shared" si="1794"/>
        <v>45603</v>
      </c>
      <c r="E12264" s="281">
        <f t="shared" si="1795"/>
        <v>45603</v>
      </c>
      <c r="F12264" s="480"/>
      <c r="G12264" s="221" t="s">
        <v>74</v>
      </c>
      <c r="H12264" s="145" t="str" cm="1">
        <f t="array" ref="H12264">IFERROR(INDEX(INVESTOR_LIST[INVESTOR NAME],MATCH(I12264,INVESTOR_LIST[INVESTOR CODE],0),)," ")</f>
        <v>EKUSH WEALTH MANAGEMENT LIMITED</v>
      </c>
      <c r="I12264" s="145" t="s">
        <v>371</v>
      </c>
      <c r="J12264" s="163" t="s">
        <v>53</v>
      </c>
      <c r="K12264" s="219"/>
      <c r="L12264" s="219">
        <v>218260</v>
      </c>
    </row>
    <row r="12265" spans="1:13" x14ac:dyDescent="0.2">
      <c r="A12265" s="133">
        <v>2024</v>
      </c>
      <c r="B12265" s="133">
        <v>11</v>
      </c>
      <c r="C12265" s="133">
        <v>7</v>
      </c>
      <c r="D12265" s="141">
        <f t="shared" si="1794"/>
        <v>45603</v>
      </c>
      <c r="E12265" s="275">
        <f t="shared" si="1795"/>
        <v>45603</v>
      </c>
      <c r="F12265" s="481" t="s">
        <v>1995</v>
      </c>
      <c r="G12265" s="174" t="s">
        <v>94</v>
      </c>
      <c r="H12265" s="174" t="str" cm="1">
        <f t="array" ref="H12265">IFERROR(INDEX(INVESTOR_LIST[INVESTOR NAME],MATCH(I12265,INVESTOR_LIST[INVESTOR CODE],0),)," ")</f>
        <v xml:space="preserve"> </v>
      </c>
      <c r="J12265" s="149" t="s">
        <v>80</v>
      </c>
      <c r="K12265" s="218">
        <v>2204.6392000000001</v>
      </c>
      <c r="L12265" s="133"/>
    </row>
    <row r="12266" spans="1:13" x14ac:dyDescent="0.2">
      <c r="A12266" s="133">
        <v>2024</v>
      </c>
      <c r="B12266" s="133">
        <v>11</v>
      </c>
      <c r="C12266" s="133">
        <v>7</v>
      </c>
      <c r="D12266" s="141">
        <f t="shared" si="1794"/>
        <v>45603</v>
      </c>
      <c r="E12266" s="275">
        <f t="shared" si="1795"/>
        <v>45603</v>
      </c>
      <c r="F12266" s="481"/>
      <c r="G12266" s="174" t="s">
        <v>94</v>
      </c>
      <c r="H12266" s="174" t="str" cm="1">
        <f t="array" ref="H12266">IFERROR(INDEX(INVESTOR_LIST[INVESTOR NAME],MATCH(I12266,INVESTOR_LIST[INVESTOR CODE],0),)," ")</f>
        <v xml:space="preserve"> </v>
      </c>
      <c r="J12266" s="149" t="s">
        <v>190</v>
      </c>
      <c r="K12266" s="218">
        <v>1222594.9608</v>
      </c>
      <c r="L12266" s="218"/>
      <c r="M12266" s="176"/>
    </row>
    <row r="12267" spans="1:13" x14ac:dyDescent="0.2">
      <c r="A12267" s="133">
        <v>2024</v>
      </c>
      <c r="B12267" s="133">
        <v>11</v>
      </c>
      <c r="C12267" s="133">
        <v>7</v>
      </c>
      <c r="D12267" s="141">
        <f t="shared" si="1794"/>
        <v>45603</v>
      </c>
      <c r="E12267" s="275">
        <f t="shared" si="1795"/>
        <v>45603</v>
      </c>
      <c r="F12267" s="481"/>
      <c r="G12267" s="174" t="s">
        <v>94</v>
      </c>
      <c r="H12267" s="174" t="str" cm="1">
        <f t="array" ref="H12267">IFERROR(INDEX(INVESTOR_LIST[INVESTOR NAME],MATCH(I12267,INVESTOR_LIST[INVESTOR CODE],0),)," ")</f>
        <v xml:space="preserve"> </v>
      </c>
      <c r="J12267" s="149" t="s">
        <v>191</v>
      </c>
      <c r="K12267" s="218"/>
      <c r="L12267" s="218">
        <v>195657.77</v>
      </c>
    </row>
    <row r="12268" spans="1:13" x14ac:dyDescent="0.2">
      <c r="A12268" s="163">
        <v>2024</v>
      </c>
      <c r="B12268" s="163">
        <v>11</v>
      </c>
      <c r="C12268" s="163">
        <v>7</v>
      </c>
      <c r="D12268" s="280">
        <f t="shared" si="1794"/>
        <v>45603</v>
      </c>
      <c r="E12268" s="281">
        <f t="shared" si="1795"/>
        <v>45603</v>
      </c>
      <c r="F12268" s="480"/>
      <c r="G12268" s="221" t="s">
        <v>94</v>
      </c>
      <c r="H12268" s="145" t="str" cm="1">
        <f t="array" ref="H12268">IFERROR(INDEX(INVESTOR_LIST[INVESTOR NAME],MATCH(I12268,INVESTOR_LIST[INVESTOR CODE],0),)," ")</f>
        <v xml:space="preserve"> </v>
      </c>
      <c r="I12268" s="145"/>
      <c r="J12268" s="163" t="s">
        <v>79</v>
      </c>
      <c r="K12268" s="219"/>
      <c r="L12268" s="219">
        <v>1029141.83</v>
      </c>
    </row>
    <row r="12269" spans="1:13" x14ac:dyDescent="0.2">
      <c r="A12269" s="325">
        <v>2024</v>
      </c>
      <c r="B12269" s="325">
        <v>11</v>
      </c>
      <c r="C12269" s="325">
        <v>7</v>
      </c>
      <c r="D12269" s="326">
        <f t="shared" si="1794"/>
        <v>45603</v>
      </c>
      <c r="E12269" s="327">
        <f t="shared" si="1795"/>
        <v>45603</v>
      </c>
      <c r="F12269" s="473" t="s">
        <v>1940</v>
      </c>
      <c r="G12269" s="340" t="s">
        <v>94</v>
      </c>
      <c r="H12269" s="340" t="str" cm="1">
        <f t="array" ref="H12269">IFERROR(INDEX(INVESTOR_LIST[INVESTOR NAME],MATCH(I12269,INVESTOR_LIST[INVESTOR CODE],0),)," ")</f>
        <v xml:space="preserve"> </v>
      </c>
      <c r="I12269" s="341" t="s">
        <v>348</v>
      </c>
      <c r="J12269" s="374" t="s">
        <v>133</v>
      </c>
      <c r="K12269" s="375">
        <v>12905.555555555549</v>
      </c>
      <c r="L12269" s="375"/>
    </row>
    <row r="12270" spans="1:13" x14ac:dyDescent="0.2">
      <c r="A12270" s="331">
        <v>2024</v>
      </c>
      <c r="B12270" s="331">
        <v>11</v>
      </c>
      <c r="C12270" s="331">
        <v>7</v>
      </c>
      <c r="D12270" s="326">
        <f t="shared" si="1794"/>
        <v>45603</v>
      </c>
      <c r="E12270" s="327">
        <f t="shared" si="1795"/>
        <v>45603</v>
      </c>
      <c r="F12270" s="474"/>
      <c r="G12270" s="332" t="s">
        <v>94</v>
      </c>
      <c r="H12270" s="332" t="str" cm="1">
        <f t="array" ref="H12270">IFERROR(INDEX(INVESTOR_LIST[INVESTOR NAME],MATCH(I12270,INVESTOR_LIST[INVESTOR CODE],0),)," ")</f>
        <v xml:space="preserve"> </v>
      </c>
      <c r="I12270" s="333" t="s">
        <v>348</v>
      </c>
      <c r="J12270" s="376" t="s">
        <v>60</v>
      </c>
      <c r="K12270" s="334"/>
      <c r="L12270" s="334">
        <v>12905.555555555549</v>
      </c>
    </row>
    <row r="12271" spans="1:13" x14ac:dyDescent="0.2">
      <c r="A12271" s="384">
        <v>2024</v>
      </c>
      <c r="B12271" s="384">
        <v>11</v>
      </c>
      <c r="C12271" s="384">
        <v>7</v>
      </c>
      <c r="D12271" s="385">
        <f t="shared" si="1794"/>
        <v>45603</v>
      </c>
      <c r="E12271" s="386">
        <f t="shared" si="1795"/>
        <v>45603</v>
      </c>
      <c r="F12271" s="475" t="s">
        <v>1966</v>
      </c>
      <c r="G12271" s="387" t="s">
        <v>94</v>
      </c>
      <c r="H12271" s="387" t="str" cm="1">
        <f t="array" ref="H12271">IFERROR(INDEX(INVESTOR_LIST[INVESTOR NAME],MATCH(I12271,INVESTOR_LIST[INVESTOR CODE],0),)," ")</f>
        <v xml:space="preserve"> </v>
      </c>
      <c r="I12271" s="388" t="s">
        <v>348</v>
      </c>
      <c r="J12271" s="389" t="s">
        <v>67</v>
      </c>
      <c r="K12271" s="390">
        <v>2583.1799999999998</v>
      </c>
      <c r="L12271" s="390"/>
    </row>
    <row r="12272" spans="1:13" x14ac:dyDescent="0.2">
      <c r="A12272" s="391">
        <v>2024</v>
      </c>
      <c r="B12272" s="391">
        <v>11</v>
      </c>
      <c r="C12272" s="391">
        <v>7</v>
      </c>
      <c r="D12272" s="385">
        <f t="shared" si="1794"/>
        <v>45603</v>
      </c>
      <c r="E12272" s="386">
        <f t="shared" si="1795"/>
        <v>45603</v>
      </c>
      <c r="F12272" s="476"/>
      <c r="G12272" s="392" t="s">
        <v>94</v>
      </c>
      <c r="H12272" s="392" t="str" cm="1">
        <f t="array" ref="H12272">IFERROR(INDEX(INVESTOR_LIST[INVESTOR NAME],MATCH(I12272,INVESTOR_LIST[INVESTOR CODE],0),)," ")</f>
        <v xml:space="preserve"> </v>
      </c>
      <c r="I12272" s="393" t="s">
        <v>348</v>
      </c>
      <c r="J12272" s="394" t="s">
        <v>60</v>
      </c>
      <c r="K12272" s="395"/>
      <c r="L12272" s="395">
        <f>K12271</f>
        <v>2583.1799999999998</v>
      </c>
    </row>
    <row r="12273" spans="1:13" x14ac:dyDescent="0.2">
      <c r="A12273" s="343">
        <v>2024</v>
      </c>
      <c r="B12273" s="343">
        <v>11</v>
      </c>
      <c r="C12273" s="343">
        <v>7</v>
      </c>
      <c r="D12273" s="344">
        <f t="shared" si="1794"/>
        <v>45603</v>
      </c>
      <c r="E12273" s="345">
        <f t="shared" si="1795"/>
        <v>45603</v>
      </c>
      <c r="F12273" s="483" t="s">
        <v>1813</v>
      </c>
      <c r="G12273" s="350" t="s">
        <v>94</v>
      </c>
      <c r="H12273" s="350" t="str" cm="1">
        <f t="array" ref="H12273">IFERROR(INDEX(INVESTOR_LIST[INVESTOR NAME],MATCH(I12273,INVESTOR_LIST[INVESTOR CODE],0),)," ")</f>
        <v xml:space="preserve"> </v>
      </c>
      <c r="I12273" s="352" t="s">
        <v>348</v>
      </c>
      <c r="J12273" s="353" t="s">
        <v>1798</v>
      </c>
      <c r="K12273" s="354">
        <v>26468</v>
      </c>
      <c r="L12273" s="354"/>
    </row>
    <row r="12274" spans="1:13" x14ac:dyDescent="0.2">
      <c r="A12274" s="346">
        <v>2024</v>
      </c>
      <c r="B12274" s="346">
        <v>11</v>
      </c>
      <c r="C12274" s="346">
        <v>7</v>
      </c>
      <c r="D12274" s="344">
        <f t="shared" si="1794"/>
        <v>45603</v>
      </c>
      <c r="E12274" s="345">
        <f t="shared" si="1795"/>
        <v>45603</v>
      </c>
      <c r="F12274" s="484"/>
      <c r="G12274" s="347" t="s">
        <v>94</v>
      </c>
      <c r="H12274" s="347" t="str" cm="1">
        <f t="array" ref="H12274">IFERROR(INDEX(INVESTOR_LIST[INVESTOR NAME],MATCH(I12274,INVESTOR_LIST[INVESTOR CODE],0),)," ")</f>
        <v xml:space="preserve"> </v>
      </c>
      <c r="I12274" s="348" t="s">
        <v>348</v>
      </c>
      <c r="J12274" s="355" t="s">
        <v>1807</v>
      </c>
      <c r="K12274" s="349"/>
      <c r="L12274" s="349">
        <f>K12273</f>
        <v>26468</v>
      </c>
    </row>
    <row r="12275" spans="1:13" x14ac:dyDescent="0.2">
      <c r="A12275" s="343">
        <v>2024</v>
      </c>
      <c r="B12275" s="343">
        <v>11</v>
      </c>
      <c r="C12275" s="343">
        <v>7</v>
      </c>
      <c r="D12275" s="344">
        <f t="shared" si="1794"/>
        <v>45603</v>
      </c>
      <c r="E12275" s="345">
        <f t="shared" si="1795"/>
        <v>45603</v>
      </c>
      <c r="F12275" s="483" t="s">
        <v>1913</v>
      </c>
      <c r="G12275" s="350" t="s">
        <v>94</v>
      </c>
      <c r="H12275" s="350" t="str" cm="1">
        <f t="array" ref="H12275">IFERROR(INDEX(INVESTOR_LIST[INVESTOR NAME],MATCH(I12275,INVESTOR_LIST[INVESTOR CODE],0),)," ")</f>
        <v xml:space="preserve"> </v>
      </c>
      <c r="I12275" s="352" t="s">
        <v>348</v>
      </c>
      <c r="J12275" s="353" t="s">
        <v>1799</v>
      </c>
      <c r="K12275" s="354">
        <v>39741.765000000596</v>
      </c>
      <c r="L12275" s="354"/>
    </row>
    <row r="12276" spans="1:13" x14ac:dyDescent="0.2">
      <c r="A12276" s="346">
        <v>2024</v>
      </c>
      <c r="B12276" s="346">
        <v>11</v>
      </c>
      <c r="C12276" s="346">
        <v>7</v>
      </c>
      <c r="D12276" s="344">
        <f t="shared" si="1794"/>
        <v>45603</v>
      </c>
      <c r="E12276" s="345">
        <f t="shared" si="1795"/>
        <v>45603</v>
      </c>
      <c r="F12276" s="484"/>
      <c r="G12276" s="347" t="s">
        <v>94</v>
      </c>
      <c r="H12276" s="347" t="str" cm="1">
        <f t="array" ref="H12276">IFERROR(INDEX(INVESTOR_LIST[INVESTOR NAME],MATCH(I12276,INVESTOR_LIST[INVESTOR CODE],0),)," ")</f>
        <v xml:space="preserve"> </v>
      </c>
      <c r="I12276" s="348" t="s">
        <v>348</v>
      </c>
      <c r="J12276" s="355" t="s">
        <v>1808</v>
      </c>
      <c r="K12276" s="349"/>
      <c r="L12276" s="349">
        <f>K12275</f>
        <v>39741.765000000596</v>
      </c>
    </row>
    <row r="12277" spans="1:13" ht="11.25" customHeight="1" x14ac:dyDescent="0.2">
      <c r="A12277" s="238">
        <v>2024</v>
      </c>
      <c r="B12277" s="238">
        <v>11</v>
      </c>
      <c r="C12277" s="238">
        <v>7</v>
      </c>
      <c r="D12277" s="270">
        <f t="shared" si="1794"/>
        <v>45603</v>
      </c>
      <c r="E12277" s="279">
        <f t="shared" si="1795"/>
        <v>45603</v>
      </c>
      <c r="F12277" s="477" t="s">
        <v>347</v>
      </c>
      <c r="G12277" s="239" t="s">
        <v>94</v>
      </c>
      <c r="H12277" s="239" t="str" cm="1">
        <f t="array" ref="H12277">IFERROR(INDEX(INVESTOR_LIST[INVESTOR NAME],MATCH(I12277,INVESTOR_LIST[INVESTOR CODE],0),)," ")</f>
        <v xml:space="preserve"> </v>
      </c>
      <c r="I12277" s="262" t="s">
        <v>348</v>
      </c>
      <c r="J12277" s="240" t="s">
        <v>108</v>
      </c>
      <c r="K12277" s="241">
        <v>396076.68999996781</v>
      </c>
      <c r="L12277" s="241"/>
    </row>
    <row r="12278" spans="1:13" x14ac:dyDescent="0.2">
      <c r="A12278" s="242">
        <v>2024</v>
      </c>
      <c r="B12278" s="242">
        <v>11</v>
      </c>
      <c r="C12278" s="242">
        <v>7</v>
      </c>
      <c r="D12278" s="270">
        <f t="shared" si="1794"/>
        <v>45603</v>
      </c>
      <c r="E12278" s="279">
        <f t="shared" si="1795"/>
        <v>45603</v>
      </c>
      <c r="F12278" s="478"/>
      <c r="G12278" s="243" t="s">
        <v>94</v>
      </c>
      <c r="H12278" s="243" t="str" cm="1">
        <f t="array" ref="H12278">IFERROR(INDEX(INVESTOR_LIST[INVESTOR NAME],MATCH(I12278,INVESTOR_LIST[INVESTOR CODE],0),)," ")</f>
        <v xml:space="preserve"> </v>
      </c>
      <c r="I12278" s="263" t="s">
        <v>348</v>
      </c>
      <c r="J12278" s="244" t="s">
        <v>82</v>
      </c>
      <c r="K12278" s="245"/>
      <c r="L12278" s="245">
        <f>K12277</f>
        <v>396076.68999996781</v>
      </c>
    </row>
    <row r="12279" spans="1:13" ht="11.25" customHeight="1" x14ac:dyDescent="0.2">
      <c r="A12279" s="246">
        <v>2024</v>
      </c>
      <c r="B12279" s="238">
        <v>11</v>
      </c>
      <c r="C12279" s="238">
        <v>7</v>
      </c>
      <c r="D12279" s="270">
        <f t="shared" si="1794"/>
        <v>45603</v>
      </c>
      <c r="E12279" s="279">
        <f t="shared" si="1795"/>
        <v>45603</v>
      </c>
      <c r="F12279" s="482" t="s">
        <v>148</v>
      </c>
      <c r="G12279" s="247" t="s">
        <v>94</v>
      </c>
      <c r="H12279" s="247" t="str" cm="1">
        <f t="array" ref="H12279">IFERROR(INDEX(INVESTOR_LIST[INVESTOR NAME],MATCH(I12279,INVESTOR_LIST[INVESTOR CODE],0),)," ")</f>
        <v xml:space="preserve"> </v>
      </c>
      <c r="I12279" s="248" t="s">
        <v>348</v>
      </c>
      <c r="J12279" s="249" t="s">
        <v>95</v>
      </c>
      <c r="K12279" s="250">
        <v>2747.2527472527472</v>
      </c>
      <c r="L12279" s="241"/>
    </row>
    <row r="12280" spans="1:13" x14ac:dyDescent="0.2">
      <c r="A12280" s="242">
        <v>2024</v>
      </c>
      <c r="B12280" s="242">
        <v>11</v>
      </c>
      <c r="C12280" s="242">
        <v>7</v>
      </c>
      <c r="D12280" s="270">
        <f t="shared" si="1794"/>
        <v>45603</v>
      </c>
      <c r="E12280" s="279">
        <f t="shared" si="1795"/>
        <v>45603</v>
      </c>
      <c r="F12280" s="478"/>
      <c r="G12280" s="243" t="s">
        <v>94</v>
      </c>
      <c r="H12280" s="243" t="str" cm="1">
        <f t="array" ref="H12280">IFERROR(INDEX(INVESTOR_LIST[INVESTOR NAME],MATCH(I12280,INVESTOR_LIST[INVESTOR CODE],0),)," ")</f>
        <v xml:space="preserve"> </v>
      </c>
      <c r="I12280" s="263" t="s">
        <v>348</v>
      </c>
      <c r="J12280" s="244" t="s">
        <v>63</v>
      </c>
      <c r="K12280" s="245"/>
      <c r="L12280" s="245">
        <v>2747.2527472527472</v>
      </c>
    </row>
    <row r="12281" spans="1:13" x14ac:dyDescent="0.2">
      <c r="A12281" s="246">
        <v>2024</v>
      </c>
      <c r="B12281" s="238">
        <v>11</v>
      </c>
      <c r="C12281" s="238">
        <v>7</v>
      </c>
      <c r="D12281" s="270">
        <f t="shared" si="1794"/>
        <v>45603</v>
      </c>
      <c r="E12281" s="279">
        <f t="shared" si="1795"/>
        <v>45603</v>
      </c>
      <c r="F12281" s="482" t="s">
        <v>137</v>
      </c>
      <c r="G12281" s="247" t="s">
        <v>94</v>
      </c>
      <c r="H12281" s="247" t="str" cm="1">
        <f t="array" ref="H12281">IFERROR(INDEX(INVESTOR_LIST[INVESTOR NAME],MATCH(I12281,INVESTOR_LIST[INVESTOR CODE],0),)," ")</f>
        <v xml:space="preserve"> </v>
      </c>
      <c r="I12281" s="248" t="s">
        <v>348</v>
      </c>
      <c r="J12281" s="249" t="s">
        <v>97</v>
      </c>
      <c r="K12281" s="250">
        <f>M12281</f>
        <v>58095.538643474298</v>
      </c>
      <c r="L12281" s="252"/>
      <c r="M12281" s="264">
        <v>58095.538643474298</v>
      </c>
    </row>
    <row r="12282" spans="1:13" x14ac:dyDescent="0.2">
      <c r="A12282" s="242">
        <v>2024</v>
      </c>
      <c r="B12282" s="242">
        <v>11</v>
      </c>
      <c r="C12282" s="242">
        <v>7</v>
      </c>
      <c r="D12282" s="270">
        <f t="shared" si="1794"/>
        <v>45603</v>
      </c>
      <c r="E12282" s="279">
        <f t="shared" si="1795"/>
        <v>45603</v>
      </c>
      <c r="F12282" s="478"/>
      <c r="G12282" s="243" t="s">
        <v>94</v>
      </c>
      <c r="H12282" s="243" t="str" cm="1">
        <f t="array" ref="H12282">IFERROR(INDEX(INVESTOR_LIST[INVESTOR NAME],MATCH(I12282,INVESTOR_LIST[INVESTOR CODE],0),)," ")</f>
        <v xml:space="preserve"> </v>
      </c>
      <c r="I12282" s="263" t="s">
        <v>348</v>
      </c>
      <c r="J12282" s="244" t="s">
        <v>47</v>
      </c>
      <c r="K12282" s="245"/>
      <c r="L12282" s="245">
        <f>K12281</f>
        <v>58095.538643474298</v>
      </c>
      <c r="M12282" s="264">
        <v>2664.3923167890994</v>
      </c>
    </row>
    <row r="12283" spans="1:13" x14ac:dyDescent="0.2">
      <c r="A12283" s="246">
        <v>2024</v>
      </c>
      <c r="B12283" s="238">
        <v>11</v>
      </c>
      <c r="C12283" s="238">
        <v>7</v>
      </c>
      <c r="D12283" s="270">
        <f t="shared" si="1794"/>
        <v>45603</v>
      </c>
      <c r="E12283" s="279">
        <f t="shared" si="1795"/>
        <v>45603</v>
      </c>
      <c r="F12283" s="482" t="s">
        <v>138</v>
      </c>
      <c r="G12283" s="247" t="s">
        <v>94</v>
      </c>
      <c r="H12283" s="247" t="str" cm="1">
        <f t="array" ref="H12283">IFERROR(INDEX(INVESTOR_LIST[INVESTOR NAME],MATCH(I12283,INVESTOR_LIST[INVESTOR CODE],0),)," ")</f>
        <v xml:space="preserve"> </v>
      </c>
      <c r="I12283" s="248" t="s">
        <v>348</v>
      </c>
      <c r="J12283" s="249" t="s">
        <v>100</v>
      </c>
      <c r="K12283" s="250">
        <f>M12282</f>
        <v>2664.3923167890994</v>
      </c>
      <c r="L12283" s="252"/>
    </row>
    <row r="12284" spans="1:13" x14ac:dyDescent="0.2">
      <c r="A12284" s="242">
        <v>2024</v>
      </c>
      <c r="B12284" s="242">
        <v>11</v>
      </c>
      <c r="C12284" s="242">
        <v>7</v>
      </c>
      <c r="D12284" s="321">
        <f t="shared" si="1794"/>
        <v>45603</v>
      </c>
      <c r="E12284" s="322">
        <f t="shared" si="1795"/>
        <v>45603</v>
      </c>
      <c r="F12284" s="478"/>
      <c r="G12284" s="243" t="s">
        <v>94</v>
      </c>
      <c r="H12284" s="243" t="str" cm="1">
        <f t="array" ref="H12284">IFERROR(INDEX(INVESTOR_LIST[INVESTOR NAME],MATCH(I12284,INVESTOR_LIST[INVESTOR CODE],0),)," ")</f>
        <v xml:space="preserve"> </v>
      </c>
      <c r="I12284" s="263" t="s">
        <v>348</v>
      </c>
      <c r="J12284" s="244" t="s">
        <v>48</v>
      </c>
      <c r="K12284" s="245"/>
      <c r="L12284" s="245">
        <f>K12283</f>
        <v>2664.3923167890994</v>
      </c>
    </row>
    <row r="12285" spans="1:13" ht="11.25" customHeight="1" x14ac:dyDescent="0.2">
      <c r="A12285" s="168">
        <v>2024</v>
      </c>
      <c r="B12285" s="168">
        <v>11</v>
      </c>
      <c r="C12285" s="168">
        <v>10</v>
      </c>
      <c r="D12285" s="141">
        <f t="shared" si="1794"/>
        <v>45606</v>
      </c>
      <c r="E12285" s="275">
        <f t="shared" si="1795"/>
        <v>45606</v>
      </c>
      <c r="F12285" s="479" t="s">
        <v>1315</v>
      </c>
      <c r="G12285" s="220" t="s">
        <v>74</v>
      </c>
      <c r="H12285" s="142" t="str" cm="1">
        <f t="array" ref="H12285">IFERROR(INDEX(INVESTOR_LIST[INVESTOR NAME],MATCH(I12285,INVESTOR_LIST[INVESTOR CODE],0),)," ")</f>
        <v>FATEMA-TUZ JOHURA NILA</v>
      </c>
      <c r="I12285" s="142" t="s">
        <v>682</v>
      </c>
      <c r="J12285" s="168" t="s">
        <v>13</v>
      </c>
      <c r="K12285" s="226">
        <v>196300</v>
      </c>
      <c r="L12285" s="226"/>
    </row>
    <row r="12286" spans="1:13" ht="11.25" customHeight="1" x14ac:dyDescent="0.2">
      <c r="A12286" s="133">
        <v>2024</v>
      </c>
      <c r="B12286" s="133">
        <v>11</v>
      </c>
      <c r="C12286" s="133">
        <v>10</v>
      </c>
      <c r="D12286" s="141">
        <f t="shared" si="1794"/>
        <v>45606</v>
      </c>
      <c r="E12286" s="275">
        <f t="shared" si="1795"/>
        <v>45606</v>
      </c>
      <c r="F12286" s="481"/>
      <c r="G12286" s="174" t="s">
        <v>74</v>
      </c>
      <c r="H12286" s="148" t="str" cm="1">
        <f t="array" ref="H12286">IFERROR(INDEX(INVESTOR_LIST[INVESTOR NAME],MATCH(I12286,INVESTOR_LIST[INVESTOR CODE],0),)," ")</f>
        <v>FATEMA-TUZ JOHURA NILA</v>
      </c>
      <c r="I12286" s="148" t="s">
        <v>682</v>
      </c>
      <c r="J12286" s="133" t="s">
        <v>53</v>
      </c>
      <c r="K12286" s="218">
        <v>56024.02</v>
      </c>
      <c r="L12286" s="218"/>
    </row>
    <row r="12287" spans="1:13" ht="11.25" customHeight="1" x14ac:dyDescent="0.2">
      <c r="A12287" s="163">
        <v>2024</v>
      </c>
      <c r="B12287" s="163">
        <v>11</v>
      </c>
      <c r="C12287" s="163">
        <v>10</v>
      </c>
      <c r="D12287" s="280">
        <f t="shared" si="1794"/>
        <v>45606</v>
      </c>
      <c r="E12287" s="281">
        <f t="shared" si="1795"/>
        <v>45606</v>
      </c>
      <c r="F12287" s="480"/>
      <c r="G12287" s="221" t="s">
        <v>74</v>
      </c>
      <c r="H12287" s="145" t="str" cm="1">
        <f t="array" ref="H12287">IFERROR(INDEX(INVESTOR_LIST[INVESTOR NAME],MATCH(I12287,INVESTOR_LIST[INVESTOR CODE],0),)," ")</f>
        <v>FATEMA-TUZ JOHURA NILA</v>
      </c>
      <c r="I12287" s="145" t="s">
        <v>682</v>
      </c>
      <c r="J12287" s="163" t="s">
        <v>52</v>
      </c>
      <c r="K12287" s="219"/>
      <c r="L12287" s="219">
        <v>252324.02</v>
      </c>
    </row>
    <row r="12288" spans="1:13" x14ac:dyDescent="0.2">
      <c r="A12288" s="133">
        <v>2024</v>
      </c>
      <c r="B12288" s="133">
        <v>11</v>
      </c>
      <c r="C12288" s="168">
        <v>10</v>
      </c>
      <c r="D12288" s="147">
        <f>DATE(A12288,B12288,C12288)</f>
        <v>45606</v>
      </c>
      <c r="E12288" s="311">
        <f>DATE(A12288,B12288,C12288)</f>
        <v>45606</v>
      </c>
      <c r="F12288" s="479" t="s">
        <v>1943</v>
      </c>
      <c r="G12288" s="174" t="s">
        <v>74</v>
      </c>
      <c r="H12288" s="148" t="str" cm="1">
        <f t="array" ref="H12288">IFERROR(INDEX(INVESTOR_LIST[INVESTOR NAME],MATCH(I12288,INVESTOR_LIST[INVESTOR CODE],0),)," ")</f>
        <v xml:space="preserve"> </v>
      </c>
      <c r="I12288" s="148" t="s">
        <v>348</v>
      </c>
      <c r="J12288" s="133" t="s">
        <v>61</v>
      </c>
      <c r="K12288" s="172">
        <v>58</v>
      </c>
    </row>
    <row r="12289" spans="1:13" x14ac:dyDescent="0.2">
      <c r="A12289" s="163">
        <v>2024</v>
      </c>
      <c r="B12289" s="163">
        <v>11</v>
      </c>
      <c r="C12289" s="163">
        <v>10</v>
      </c>
      <c r="D12289" s="280">
        <f>DATE(A12289,B12289,C12289)</f>
        <v>45606</v>
      </c>
      <c r="E12289" s="281">
        <f>DATE(A12289,B12289,C12289)</f>
        <v>45606</v>
      </c>
      <c r="F12289" s="480"/>
      <c r="G12289" s="221" t="s">
        <v>74</v>
      </c>
      <c r="H12289" s="145" t="str" cm="1">
        <f t="array" ref="H12289">IFERROR(INDEX(INVESTOR_LIST[INVESTOR NAME],MATCH(I12289,INVESTOR_LIST[INVESTOR CODE],0),)," ")</f>
        <v xml:space="preserve"> </v>
      </c>
      <c r="I12289" s="145" t="s">
        <v>348</v>
      </c>
      <c r="J12289" s="163" t="s">
        <v>52</v>
      </c>
      <c r="K12289" s="219"/>
      <c r="L12289" s="219">
        <v>58</v>
      </c>
    </row>
    <row r="12290" spans="1:13" ht="11.25" customHeight="1" x14ac:dyDescent="0.2">
      <c r="A12290" s="168">
        <v>2024</v>
      </c>
      <c r="B12290" s="133">
        <v>11</v>
      </c>
      <c r="C12290" s="168">
        <v>10</v>
      </c>
      <c r="D12290" s="141">
        <f t="shared" ref="D12290:D12304" si="1796">DATE(A12290,B12290,C12290)</f>
        <v>45606</v>
      </c>
      <c r="E12290" s="275">
        <f t="shared" ref="E12290:E12304" si="1797">DATE(A12290,B12290,C12290)</f>
        <v>45606</v>
      </c>
      <c r="F12290" s="479" t="s">
        <v>2000</v>
      </c>
      <c r="G12290" s="220" t="s">
        <v>74</v>
      </c>
      <c r="H12290" s="220" t="str" cm="1">
        <f t="array" ref="H12290">IFERROR(INDEX(INVESTOR_LIST[INVESTOR NAME],MATCH(I12290,INVESTOR_LIST[INVESTOR CODE],0),)," ")</f>
        <v xml:space="preserve"> </v>
      </c>
      <c r="I12290" s="142"/>
      <c r="J12290" s="143" t="s">
        <v>52</v>
      </c>
      <c r="K12290" s="226">
        <v>19387</v>
      </c>
      <c r="L12290" s="226"/>
    </row>
    <row r="12291" spans="1:13" x14ac:dyDescent="0.2">
      <c r="A12291" s="163">
        <v>2024</v>
      </c>
      <c r="B12291" s="163">
        <v>11</v>
      </c>
      <c r="C12291" s="163">
        <v>10</v>
      </c>
      <c r="D12291" s="280">
        <f t="shared" si="1796"/>
        <v>45606</v>
      </c>
      <c r="E12291" s="281">
        <f t="shared" si="1797"/>
        <v>45606</v>
      </c>
      <c r="F12291" s="480"/>
      <c r="G12291" s="221" t="s">
        <v>74</v>
      </c>
      <c r="H12291" s="221" t="str" cm="1">
        <f t="array" ref="H12291">IFERROR(INDEX(INVESTOR_LIST[INVESTOR NAME],MATCH(I12291,INVESTOR_LIST[INVESTOR CODE],0),)," ")</f>
        <v xml:space="preserve"> </v>
      </c>
      <c r="I12291" s="145"/>
      <c r="J12291" s="146" t="s">
        <v>190</v>
      </c>
      <c r="K12291" s="219"/>
      <c r="L12291" s="219">
        <v>19387</v>
      </c>
    </row>
    <row r="12292" spans="1:13" ht="11.25" customHeight="1" x14ac:dyDescent="0.2">
      <c r="A12292" s="168">
        <v>2024</v>
      </c>
      <c r="B12292" s="133">
        <v>11</v>
      </c>
      <c r="C12292" s="168">
        <v>11</v>
      </c>
      <c r="D12292" s="141">
        <f t="shared" si="1796"/>
        <v>45607</v>
      </c>
      <c r="E12292" s="275">
        <f t="shared" si="1797"/>
        <v>45607</v>
      </c>
      <c r="F12292" s="479" t="s">
        <v>2001</v>
      </c>
      <c r="G12292" s="220" t="s">
        <v>74</v>
      </c>
      <c r="H12292" s="220" t="str" cm="1">
        <f t="array" ref="H12292">IFERROR(INDEX(INVESTOR_LIST[INVESTOR NAME],MATCH(I12292,INVESTOR_LIST[INVESTOR CODE],0),)," ")</f>
        <v xml:space="preserve"> </v>
      </c>
      <c r="I12292" s="142"/>
      <c r="J12292" s="143" t="s">
        <v>52</v>
      </c>
      <c r="K12292" s="226">
        <v>1222594.96</v>
      </c>
      <c r="L12292" s="226"/>
    </row>
    <row r="12293" spans="1:13" x14ac:dyDescent="0.2">
      <c r="A12293" s="163">
        <v>2024</v>
      </c>
      <c r="B12293" s="163">
        <v>11</v>
      </c>
      <c r="C12293" s="163">
        <v>11</v>
      </c>
      <c r="D12293" s="280">
        <f t="shared" si="1796"/>
        <v>45607</v>
      </c>
      <c r="E12293" s="281">
        <f t="shared" si="1797"/>
        <v>45607</v>
      </c>
      <c r="F12293" s="480"/>
      <c r="G12293" s="221" t="s">
        <v>74</v>
      </c>
      <c r="H12293" s="221" t="str" cm="1">
        <f t="array" ref="H12293">IFERROR(INDEX(INVESTOR_LIST[INVESTOR NAME],MATCH(I12293,INVESTOR_LIST[INVESTOR CODE],0),)," ")</f>
        <v xml:space="preserve"> </v>
      </c>
      <c r="I12293" s="145"/>
      <c r="J12293" s="146" t="s">
        <v>190</v>
      </c>
      <c r="K12293" s="219"/>
      <c r="L12293" s="219">
        <v>1222594.9608</v>
      </c>
    </row>
    <row r="12294" spans="1:13" x14ac:dyDescent="0.2">
      <c r="A12294" s="133">
        <v>2024</v>
      </c>
      <c r="B12294" s="133">
        <v>11</v>
      </c>
      <c r="C12294" s="133">
        <v>11</v>
      </c>
      <c r="D12294" s="141">
        <f t="shared" si="1796"/>
        <v>45607</v>
      </c>
      <c r="E12294" s="275">
        <f t="shared" si="1797"/>
        <v>45607</v>
      </c>
      <c r="F12294" s="481" t="s">
        <v>1767</v>
      </c>
      <c r="G12294" s="174" t="s">
        <v>94</v>
      </c>
      <c r="H12294" s="174" t="str" cm="1">
        <f t="array" ref="H12294">IFERROR(INDEX(INVESTOR_LIST[INVESTOR NAME],MATCH(I12294,INVESTOR_LIST[INVESTOR CODE],0),)," ")</f>
        <v xml:space="preserve"> </v>
      </c>
      <c r="J12294" s="149" t="s">
        <v>79</v>
      </c>
      <c r="K12294" s="218">
        <v>1633473.8</v>
      </c>
      <c r="L12294" s="218"/>
      <c r="M12294" s="160"/>
    </row>
    <row r="12295" spans="1:13" x14ac:dyDescent="0.2">
      <c r="A12295" s="133">
        <v>2024</v>
      </c>
      <c r="B12295" s="133">
        <v>11</v>
      </c>
      <c r="C12295" s="133">
        <v>11</v>
      </c>
      <c r="D12295" s="141">
        <f t="shared" si="1796"/>
        <v>45607</v>
      </c>
      <c r="E12295" s="275">
        <f t="shared" si="1797"/>
        <v>45607</v>
      </c>
      <c r="F12295" s="481"/>
      <c r="G12295" s="174" t="s">
        <v>94</v>
      </c>
      <c r="H12295" s="174" t="str" cm="1">
        <f t="array" ref="H12295">IFERROR(INDEX(INVESTOR_LIST[INVESTOR NAME],MATCH(I12295,INVESTOR_LIST[INVESTOR CODE],0),)," ")</f>
        <v xml:space="preserve"> </v>
      </c>
      <c r="J12295" s="149" t="s">
        <v>80</v>
      </c>
      <c r="K12295" s="218">
        <v>5019.1157000000003</v>
      </c>
      <c r="L12295" s="133"/>
    </row>
    <row r="12296" spans="1:13" x14ac:dyDescent="0.2">
      <c r="A12296" s="133">
        <v>2024</v>
      </c>
      <c r="B12296" s="133">
        <v>11</v>
      </c>
      <c r="C12296" s="133">
        <v>11</v>
      </c>
      <c r="D12296" s="141">
        <f t="shared" si="1796"/>
        <v>45607</v>
      </c>
      <c r="E12296" s="275">
        <f t="shared" si="1797"/>
        <v>45607</v>
      </c>
      <c r="F12296" s="481"/>
      <c r="G12296" s="174" t="s">
        <v>94</v>
      </c>
      <c r="H12296" s="174" t="str" cm="1">
        <f t="array" ref="H12296">IFERROR(INDEX(INVESTOR_LIST[INVESTOR NAME],MATCH(I12296,INVESTOR_LIST[INVESTOR CODE],0),)," ")</f>
        <v xml:space="preserve"> </v>
      </c>
      <c r="J12296" s="149" t="s">
        <v>147</v>
      </c>
      <c r="K12296" s="218"/>
      <c r="L12296" s="218">
        <v>483569.12</v>
      </c>
    </row>
    <row r="12297" spans="1:13" x14ac:dyDescent="0.2">
      <c r="A12297" s="133">
        <v>2024</v>
      </c>
      <c r="B12297" s="133">
        <v>11</v>
      </c>
      <c r="C12297" s="133">
        <v>11</v>
      </c>
      <c r="D12297" s="141">
        <f t="shared" si="1796"/>
        <v>45607</v>
      </c>
      <c r="E12297" s="275">
        <f t="shared" si="1797"/>
        <v>45607</v>
      </c>
      <c r="F12297" s="481"/>
      <c r="G12297" s="174" t="s">
        <v>94</v>
      </c>
      <c r="H12297" s="174" t="str" cm="1">
        <f t="array" ref="H12297">IFERROR(INDEX(INVESTOR_LIST[INVESTOR NAME],MATCH(I12297,INVESTOR_LIST[INVESTOR CODE],0),)," ")</f>
        <v xml:space="preserve"> </v>
      </c>
      <c r="J12297" s="149" t="s">
        <v>191</v>
      </c>
      <c r="K12297" s="218"/>
      <c r="L12297" s="218">
        <v>201389.59</v>
      </c>
    </row>
    <row r="12298" spans="1:13" x14ac:dyDescent="0.2">
      <c r="A12298" s="163">
        <v>2024</v>
      </c>
      <c r="B12298" s="163">
        <v>11</v>
      </c>
      <c r="C12298" s="163">
        <v>11</v>
      </c>
      <c r="D12298" s="280">
        <f t="shared" si="1796"/>
        <v>45607</v>
      </c>
      <c r="E12298" s="281">
        <f t="shared" si="1797"/>
        <v>45607</v>
      </c>
      <c r="F12298" s="480"/>
      <c r="G12298" s="221" t="s">
        <v>94</v>
      </c>
      <c r="H12298" s="145" t="str" cm="1">
        <f t="array" ref="H12298">IFERROR(INDEX(INVESTOR_LIST[INVESTOR NAME],MATCH(I12298,INVESTOR_LIST[INVESTOR CODE],0),)," ")</f>
        <v xml:space="preserve"> </v>
      </c>
      <c r="I12298" s="145"/>
      <c r="J12298" s="163" t="s">
        <v>79</v>
      </c>
      <c r="K12298" s="219"/>
      <c r="L12298" s="219">
        <v>953534.21</v>
      </c>
    </row>
    <row r="12299" spans="1:13" x14ac:dyDescent="0.2">
      <c r="A12299" s="168">
        <v>2024</v>
      </c>
      <c r="B12299" s="168">
        <v>11</v>
      </c>
      <c r="C12299" s="133">
        <v>12</v>
      </c>
      <c r="D12299" s="141">
        <f t="shared" si="1796"/>
        <v>45608</v>
      </c>
      <c r="E12299" s="275">
        <f t="shared" si="1797"/>
        <v>45608</v>
      </c>
      <c r="F12299" s="479" t="s">
        <v>1979</v>
      </c>
      <c r="G12299" s="220" t="s">
        <v>94</v>
      </c>
      <c r="H12299" s="220" t="str" cm="1">
        <f t="array" ref="H12299">IFERROR(INDEX(INVESTOR_LIST[INVESTOR NAME],MATCH(I12299,INVESTOR_LIST[INVESTOR CODE],0),)," ")</f>
        <v xml:space="preserve"> </v>
      </c>
      <c r="I12299" s="142"/>
      <c r="J12299" s="143" t="s">
        <v>79</v>
      </c>
      <c r="K12299" s="226">
        <v>692701.5</v>
      </c>
      <c r="L12299" s="226"/>
      <c r="M12299" s="160"/>
    </row>
    <row r="12300" spans="1:13" x14ac:dyDescent="0.2">
      <c r="A12300" s="133">
        <v>2024</v>
      </c>
      <c r="B12300" s="133">
        <v>11</v>
      </c>
      <c r="C12300" s="133">
        <v>12</v>
      </c>
      <c r="D12300" s="141">
        <f t="shared" si="1796"/>
        <v>45608</v>
      </c>
      <c r="E12300" s="275">
        <f t="shared" si="1797"/>
        <v>45608</v>
      </c>
      <c r="F12300" s="481"/>
      <c r="G12300" s="174" t="s">
        <v>94</v>
      </c>
      <c r="H12300" s="174" t="str" cm="1">
        <f t="array" ref="H12300">IFERROR(INDEX(INVESTOR_LIST[INVESTOR NAME],MATCH(I12300,INVESTOR_LIST[INVESTOR CODE],0),)," ")</f>
        <v xml:space="preserve"> </v>
      </c>
      <c r="J12300" s="149" t="s">
        <v>80</v>
      </c>
      <c r="K12300" s="218">
        <v>1246.8626999999999</v>
      </c>
      <c r="L12300" s="133"/>
    </row>
    <row r="12301" spans="1:13" x14ac:dyDescent="0.2">
      <c r="A12301" s="163">
        <v>2024</v>
      </c>
      <c r="B12301" s="163">
        <v>11</v>
      </c>
      <c r="C12301" s="163">
        <v>12</v>
      </c>
      <c r="D12301" s="280">
        <f t="shared" si="1796"/>
        <v>45608</v>
      </c>
      <c r="E12301" s="281">
        <f t="shared" si="1797"/>
        <v>45608</v>
      </c>
      <c r="F12301" s="480"/>
      <c r="G12301" s="221" t="s">
        <v>94</v>
      </c>
      <c r="H12301" s="221" t="str" cm="1">
        <f t="array" ref="H12301">IFERROR(INDEX(INVESTOR_LIST[INVESTOR NAME],MATCH(I12301,INVESTOR_LIST[INVESTOR CODE],0),)," ")</f>
        <v xml:space="preserve"> </v>
      </c>
      <c r="I12301" s="145"/>
      <c r="J12301" s="146" t="s">
        <v>147</v>
      </c>
      <c r="K12301" s="219"/>
      <c r="L12301" s="219">
        <v>693948.36270000006</v>
      </c>
    </row>
    <row r="12302" spans="1:13" ht="10.5" customHeight="1" x14ac:dyDescent="0.2">
      <c r="A12302" s="168">
        <v>2024</v>
      </c>
      <c r="B12302" s="168">
        <v>11</v>
      </c>
      <c r="C12302" s="133">
        <v>12</v>
      </c>
      <c r="D12302" s="141">
        <f t="shared" si="1796"/>
        <v>45608</v>
      </c>
      <c r="E12302" s="275">
        <f t="shared" si="1797"/>
        <v>45608</v>
      </c>
      <c r="F12302" s="479" t="s">
        <v>1898</v>
      </c>
      <c r="G12302" s="220" t="s">
        <v>74</v>
      </c>
      <c r="H12302" s="142" t="str" cm="1">
        <f t="array" ref="H12302">IFERROR(INDEX(INVESTOR_LIST[INVESTOR NAME],MATCH(I12302,INVESTOR_LIST[INVESTOR CODE],0),)," ")</f>
        <v>SWADESH RANJAN SAHA</v>
      </c>
      <c r="I12302" s="142" t="s">
        <v>461</v>
      </c>
      <c r="J12302" s="168" t="s">
        <v>52</v>
      </c>
      <c r="K12302" s="226">
        <v>2500000</v>
      </c>
      <c r="L12302" s="226"/>
    </row>
    <row r="12303" spans="1:13" ht="10.5" customHeight="1" x14ac:dyDescent="0.2">
      <c r="A12303" s="133">
        <v>2024</v>
      </c>
      <c r="B12303" s="133">
        <v>11</v>
      </c>
      <c r="C12303" s="133">
        <v>12</v>
      </c>
      <c r="D12303" s="141">
        <f t="shared" si="1796"/>
        <v>45608</v>
      </c>
      <c r="E12303" s="275">
        <f t="shared" si="1797"/>
        <v>45608</v>
      </c>
      <c r="F12303" s="481"/>
      <c r="G12303" s="174" t="s">
        <v>74</v>
      </c>
      <c r="H12303" s="148" t="str" cm="1">
        <f t="array" ref="H12303">IFERROR(INDEX(INVESTOR_LIST[INVESTOR NAME],MATCH(I12303,INVESTOR_LIST[INVESTOR CODE],0),)," ")</f>
        <v>SWADESH RANJAN SAHA</v>
      </c>
      <c r="I12303" s="148" t="s">
        <v>461</v>
      </c>
      <c r="J12303" s="133" t="s">
        <v>13</v>
      </c>
      <c r="K12303" s="218"/>
      <c r="L12303" s="218">
        <v>1944920</v>
      </c>
    </row>
    <row r="12304" spans="1:13" ht="11.25" customHeight="1" x14ac:dyDescent="0.2">
      <c r="A12304" s="163">
        <v>2024</v>
      </c>
      <c r="B12304" s="163">
        <v>11</v>
      </c>
      <c r="C12304" s="163">
        <v>12</v>
      </c>
      <c r="D12304" s="280">
        <f t="shared" si="1796"/>
        <v>45608</v>
      </c>
      <c r="E12304" s="281">
        <f t="shared" si="1797"/>
        <v>45608</v>
      </c>
      <c r="F12304" s="480"/>
      <c r="G12304" s="221" t="s">
        <v>74</v>
      </c>
      <c r="H12304" s="145" t="str" cm="1">
        <f t="array" ref="H12304">IFERROR(INDEX(INVESTOR_LIST[INVESTOR NAME],MATCH(I12304,INVESTOR_LIST[INVESTOR CODE],0),)," ")</f>
        <v>SWADESH RANJAN SAHA</v>
      </c>
      <c r="I12304" s="145" t="s">
        <v>461</v>
      </c>
      <c r="J12304" s="163" t="s">
        <v>53</v>
      </c>
      <c r="K12304" s="219"/>
      <c r="L12304" s="219">
        <v>555080</v>
      </c>
    </row>
    <row r="12305" spans="1:13" x14ac:dyDescent="0.2">
      <c r="A12305" s="133">
        <v>2024</v>
      </c>
      <c r="B12305" s="133">
        <v>11</v>
      </c>
      <c r="C12305" s="168">
        <v>12</v>
      </c>
      <c r="D12305" s="147">
        <f>DATE(A12305,B12305,C12305)</f>
        <v>45608</v>
      </c>
      <c r="E12305" s="311">
        <f>DATE(A12305,B12305,C12305)</f>
        <v>45608</v>
      </c>
      <c r="F12305" s="479" t="s">
        <v>1943</v>
      </c>
      <c r="G12305" s="174" t="s">
        <v>74</v>
      </c>
      <c r="H12305" s="148" t="str" cm="1">
        <f t="array" ref="H12305">IFERROR(INDEX(INVESTOR_LIST[INVESTOR NAME],MATCH(I12305,INVESTOR_LIST[INVESTOR CODE],0),)," ")</f>
        <v xml:space="preserve"> </v>
      </c>
      <c r="I12305" s="148" t="s">
        <v>348</v>
      </c>
      <c r="J12305" s="133" t="s">
        <v>61</v>
      </c>
      <c r="K12305" s="172">
        <v>25</v>
      </c>
    </row>
    <row r="12306" spans="1:13" x14ac:dyDescent="0.2">
      <c r="A12306" s="163">
        <v>2024</v>
      </c>
      <c r="B12306" s="163">
        <v>11</v>
      </c>
      <c r="C12306" s="163">
        <v>12</v>
      </c>
      <c r="D12306" s="280">
        <f>DATE(A12306,B12306,C12306)</f>
        <v>45608</v>
      </c>
      <c r="E12306" s="281">
        <f>DATE(A12306,B12306,C12306)</f>
        <v>45608</v>
      </c>
      <c r="F12306" s="480"/>
      <c r="G12306" s="221" t="s">
        <v>74</v>
      </c>
      <c r="H12306" s="145" t="str" cm="1">
        <f t="array" ref="H12306">IFERROR(INDEX(INVESTOR_LIST[INVESTOR NAME],MATCH(I12306,INVESTOR_LIST[INVESTOR CODE],0),)," ")</f>
        <v xml:space="preserve"> </v>
      </c>
      <c r="I12306" s="145" t="s">
        <v>348</v>
      </c>
      <c r="J12306" s="163" t="s">
        <v>52</v>
      </c>
      <c r="K12306" s="219"/>
      <c r="L12306" s="219">
        <v>25</v>
      </c>
    </row>
    <row r="12307" spans="1:13" x14ac:dyDescent="0.2">
      <c r="A12307" s="133">
        <v>2024</v>
      </c>
      <c r="B12307" s="133">
        <v>11</v>
      </c>
      <c r="C12307" s="168">
        <v>12</v>
      </c>
      <c r="D12307" s="147">
        <f t="shared" ref="D12307:D12308" si="1798">DATE(A12307,B12307,C12307)</f>
        <v>45608</v>
      </c>
      <c r="E12307" s="311">
        <f t="shared" ref="E12307:E12308" si="1799">DATE(A12307,B12307,C12307)</f>
        <v>45608</v>
      </c>
      <c r="F12307" s="479" t="s">
        <v>1950</v>
      </c>
      <c r="G12307" s="174" t="s">
        <v>74</v>
      </c>
      <c r="H12307" s="148" t="str" cm="1">
        <f t="array" ref="H12307">IFERROR(INDEX(INVESTOR_LIST[INVESTOR NAME],MATCH(I12307,INVESTOR_LIST[INVESTOR CODE],0),)," ")</f>
        <v xml:space="preserve"> </v>
      </c>
      <c r="I12307" s="148" t="s">
        <v>348</v>
      </c>
      <c r="J12307" s="133" t="s">
        <v>61</v>
      </c>
      <c r="K12307" s="172">
        <v>100</v>
      </c>
    </row>
    <row r="12308" spans="1:13" x14ac:dyDescent="0.2">
      <c r="A12308" s="163">
        <v>2024</v>
      </c>
      <c r="B12308" s="163">
        <v>11</v>
      </c>
      <c r="C12308" s="163">
        <v>12</v>
      </c>
      <c r="D12308" s="280">
        <f t="shared" si="1798"/>
        <v>45608</v>
      </c>
      <c r="E12308" s="281">
        <f t="shared" si="1799"/>
        <v>45608</v>
      </c>
      <c r="F12308" s="480"/>
      <c r="G12308" s="221" t="s">
        <v>74</v>
      </c>
      <c r="H12308" s="145" t="str" cm="1">
        <f t="array" ref="H12308">IFERROR(INDEX(INVESTOR_LIST[INVESTOR NAME],MATCH(I12308,INVESTOR_LIST[INVESTOR CODE],0),)," ")</f>
        <v xml:space="preserve"> </v>
      </c>
      <c r="I12308" s="145" t="s">
        <v>348</v>
      </c>
      <c r="J12308" s="163" t="s">
        <v>52</v>
      </c>
      <c r="K12308" s="219"/>
      <c r="L12308" s="219">
        <v>100</v>
      </c>
    </row>
    <row r="12309" spans="1:13" x14ac:dyDescent="0.2">
      <c r="A12309" s="133">
        <v>2024</v>
      </c>
      <c r="B12309" s="133">
        <v>11</v>
      </c>
      <c r="C12309" s="168">
        <v>12</v>
      </c>
      <c r="D12309" s="141">
        <f t="shared" ref="D12309:D12348" si="1800">DATE(A12309,B12309,C12309)</f>
        <v>45608</v>
      </c>
      <c r="E12309" s="275">
        <f t="shared" ref="E12309:E12348" si="1801">DATE(A12309,B12309,C12309)</f>
        <v>45608</v>
      </c>
      <c r="F12309" s="481" t="s">
        <v>1928</v>
      </c>
      <c r="G12309" s="174" t="s">
        <v>74</v>
      </c>
      <c r="H12309" s="174" t="str" cm="1">
        <f t="array" ref="H12309">IFERROR(INDEX(INVESTOR_LIST[INVESTOR NAME],MATCH(I12309,INVESTOR_LIST[INVESTOR CODE],0),)," ")</f>
        <v xml:space="preserve"> </v>
      </c>
      <c r="J12309" s="149" t="s">
        <v>534</v>
      </c>
      <c r="K12309" s="218">
        <v>112921.44600000011</v>
      </c>
      <c r="L12309" s="218"/>
      <c r="M12309" s="147"/>
    </row>
    <row r="12310" spans="1:13" x14ac:dyDescent="0.2">
      <c r="A12310" s="133">
        <v>2024</v>
      </c>
      <c r="B12310" s="133">
        <v>11</v>
      </c>
      <c r="C12310" s="133">
        <v>12</v>
      </c>
      <c r="D12310" s="141">
        <f t="shared" si="1800"/>
        <v>45608</v>
      </c>
      <c r="E12310" s="275">
        <f t="shared" si="1801"/>
        <v>45608</v>
      </c>
      <c r="F12310" s="481"/>
      <c r="G12310" s="174" t="s">
        <v>74</v>
      </c>
      <c r="H12310" s="174" t="str" cm="1">
        <f t="array" ref="H12310">IFERROR(INDEX(INVESTOR_LIST[INVESTOR NAME],MATCH(I12310,INVESTOR_LIST[INVESTOR CODE],0),)," ")</f>
        <v xml:space="preserve"> </v>
      </c>
      <c r="J12310" s="149" t="s">
        <v>1906</v>
      </c>
      <c r="K12310" s="218">
        <v>250</v>
      </c>
      <c r="L12310" s="218"/>
      <c r="M12310" s="147"/>
    </row>
    <row r="12311" spans="1:13" x14ac:dyDescent="0.2">
      <c r="A12311" s="133">
        <v>2024</v>
      </c>
      <c r="B12311" s="133">
        <v>11</v>
      </c>
      <c r="C12311" s="133">
        <v>12</v>
      </c>
      <c r="D12311" s="141">
        <f t="shared" si="1800"/>
        <v>45608</v>
      </c>
      <c r="E12311" s="275">
        <f t="shared" si="1801"/>
        <v>45608</v>
      </c>
      <c r="F12311" s="481"/>
      <c r="G12311" s="174" t="s">
        <v>74</v>
      </c>
      <c r="H12311" s="174" t="str" cm="1">
        <f t="array" ref="H12311">IFERROR(INDEX(INVESTOR_LIST[INVESTOR NAME],MATCH(I12311,INVESTOR_LIST[INVESTOR CODE],0),)," ")</f>
        <v xml:space="preserve"> </v>
      </c>
      <c r="J12311" s="149" t="s">
        <v>1907</v>
      </c>
      <c r="K12311" s="218">
        <v>150</v>
      </c>
      <c r="L12311" s="218"/>
      <c r="M12311" s="147"/>
    </row>
    <row r="12312" spans="1:13" x14ac:dyDescent="0.2">
      <c r="A12312" s="133">
        <v>2024</v>
      </c>
      <c r="B12312" s="133">
        <v>11</v>
      </c>
      <c r="C12312" s="133">
        <v>12</v>
      </c>
      <c r="D12312" s="141">
        <f t="shared" si="1800"/>
        <v>45608</v>
      </c>
      <c r="E12312" s="275">
        <f t="shared" si="1801"/>
        <v>45608</v>
      </c>
      <c r="F12312" s="481"/>
      <c r="G12312" s="174" t="s">
        <v>74</v>
      </c>
      <c r="H12312" s="174" t="str" cm="1">
        <f t="array" ref="H12312">IFERROR(INDEX(INVESTOR_LIST[INVESTOR NAME],MATCH(I12312,INVESTOR_LIST[INVESTOR CODE],0),)," ")</f>
        <v xml:space="preserve"> </v>
      </c>
      <c r="J12312" s="149" t="s">
        <v>534</v>
      </c>
      <c r="K12312" s="218"/>
      <c r="L12312" s="218"/>
      <c r="M12312" s="147"/>
    </row>
    <row r="12313" spans="1:13" x14ac:dyDescent="0.2">
      <c r="A12313" s="163">
        <v>2024</v>
      </c>
      <c r="B12313" s="163">
        <v>11</v>
      </c>
      <c r="C12313" s="163">
        <v>12</v>
      </c>
      <c r="D12313" s="280">
        <f t="shared" si="1800"/>
        <v>45608</v>
      </c>
      <c r="E12313" s="281">
        <f t="shared" si="1801"/>
        <v>45608</v>
      </c>
      <c r="F12313" s="480"/>
      <c r="G12313" s="221" t="s">
        <v>74</v>
      </c>
      <c r="H12313" s="221" t="str" cm="1">
        <f t="array" ref="H12313">IFERROR(INDEX(INVESTOR_LIST[INVESTOR NAME],MATCH(I12313,INVESTOR_LIST[INVESTOR CODE],0),)," ")</f>
        <v xml:space="preserve"> </v>
      </c>
      <c r="I12313" s="145"/>
      <c r="J12313" s="146" t="s">
        <v>52</v>
      </c>
      <c r="K12313" s="219"/>
      <c r="L12313" s="219">
        <v>113321.45</v>
      </c>
      <c r="M12313" s="147"/>
    </row>
    <row r="12314" spans="1:13" ht="11.25" customHeight="1" x14ac:dyDescent="0.2">
      <c r="A12314" s="168">
        <v>2024</v>
      </c>
      <c r="B12314" s="168">
        <v>11</v>
      </c>
      <c r="C12314" s="168">
        <v>13</v>
      </c>
      <c r="D12314" s="141">
        <f t="shared" si="1800"/>
        <v>45609</v>
      </c>
      <c r="E12314" s="275">
        <f t="shared" si="1801"/>
        <v>45609</v>
      </c>
      <c r="F12314" s="479" t="s">
        <v>1315</v>
      </c>
      <c r="G12314" s="220" t="s">
        <v>74</v>
      </c>
      <c r="H12314" s="142" t="str" cm="1">
        <f t="array" ref="H12314">IFERROR(INDEX(INVESTOR_LIST[INVESTOR NAME],MATCH(I12314,INVESTOR_LIST[INVESTOR CODE],0),)," ")</f>
        <v>REZIA RAHMAT</v>
      </c>
      <c r="I12314" s="142" t="s">
        <v>530</v>
      </c>
      <c r="J12314" s="168" t="s">
        <v>13</v>
      </c>
      <c r="K12314" s="226">
        <v>140510</v>
      </c>
      <c r="L12314" s="226"/>
    </row>
    <row r="12315" spans="1:13" ht="11.25" customHeight="1" x14ac:dyDescent="0.2">
      <c r="A12315" s="133">
        <v>2024</v>
      </c>
      <c r="B12315" s="133">
        <v>11</v>
      </c>
      <c r="C12315" s="133">
        <v>13</v>
      </c>
      <c r="D12315" s="141">
        <f t="shared" si="1800"/>
        <v>45609</v>
      </c>
      <c r="E12315" s="275">
        <f t="shared" si="1801"/>
        <v>45609</v>
      </c>
      <c r="F12315" s="481"/>
      <c r="G12315" s="174" t="s">
        <v>74</v>
      </c>
      <c r="H12315" s="148" t="str" cm="1">
        <f t="array" ref="H12315">IFERROR(INDEX(INVESTOR_LIST[INVESTOR NAME],MATCH(I12315,INVESTOR_LIST[INVESTOR CODE],0),)," ")</f>
        <v>REZIA RAHMAT</v>
      </c>
      <c r="I12315" s="148" t="s">
        <v>530</v>
      </c>
      <c r="J12315" s="133" t="s">
        <v>53</v>
      </c>
      <c r="K12315" s="218">
        <v>40101.549999999988</v>
      </c>
      <c r="L12315" s="218"/>
    </row>
    <row r="12316" spans="1:13" ht="11.25" customHeight="1" x14ac:dyDescent="0.2">
      <c r="A12316" s="163">
        <v>2024</v>
      </c>
      <c r="B12316" s="163">
        <v>11</v>
      </c>
      <c r="C12316" s="163">
        <v>13</v>
      </c>
      <c r="D12316" s="280">
        <f t="shared" si="1800"/>
        <v>45609</v>
      </c>
      <c r="E12316" s="281">
        <f t="shared" si="1801"/>
        <v>45609</v>
      </c>
      <c r="F12316" s="480"/>
      <c r="G12316" s="221" t="s">
        <v>74</v>
      </c>
      <c r="H12316" s="145" t="str" cm="1">
        <f t="array" ref="H12316">IFERROR(INDEX(INVESTOR_LIST[INVESTOR NAME],MATCH(I12316,INVESTOR_LIST[INVESTOR CODE],0),)," ")</f>
        <v>REZIA RAHMAT</v>
      </c>
      <c r="I12316" s="145" t="s">
        <v>530</v>
      </c>
      <c r="J12316" s="163" t="s">
        <v>52</v>
      </c>
      <c r="K12316" s="219"/>
      <c r="L12316" s="219">
        <v>180611.55</v>
      </c>
    </row>
    <row r="12317" spans="1:13" ht="11.25" customHeight="1" x14ac:dyDescent="0.2">
      <c r="A12317" s="168">
        <v>2024</v>
      </c>
      <c r="B12317" s="168">
        <v>11</v>
      </c>
      <c r="C12317" s="168">
        <v>13</v>
      </c>
      <c r="D12317" s="141">
        <f t="shared" si="1800"/>
        <v>45609</v>
      </c>
      <c r="E12317" s="275">
        <f t="shared" si="1801"/>
        <v>45609</v>
      </c>
      <c r="F12317" s="479" t="s">
        <v>1315</v>
      </c>
      <c r="G12317" s="220" t="s">
        <v>74</v>
      </c>
      <c r="H12317" s="142" t="str" cm="1">
        <f t="array" ref="H12317">IFERROR(INDEX(INVESTOR_LIST[INVESTOR NAME],MATCH(I12317,INVESTOR_LIST[INVESTOR CODE],0),)," ")</f>
        <v>MADHURI KUNDU</v>
      </c>
      <c r="I12317" s="142" t="s">
        <v>503</v>
      </c>
      <c r="J12317" s="168" t="s">
        <v>13</v>
      </c>
      <c r="K12317" s="226">
        <v>419460</v>
      </c>
      <c r="L12317" s="226"/>
    </row>
    <row r="12318" spans="1:13" ht="11.25" customHeight="1" x14ac:dyDescent="0.2">
      <c r="A12318" s="133">
        <v>2024</v>
      </c>
      <c r="B12318" s="133">
        <v>11</v>
      </c>
      <c r="C12318" s="133">
        <v>13</v>
      </c>
      <c r="D12318" s="141">
        <f t="shared" si="1800"/>
        <v>45609</v>
      </c>
      <c r="E12318" s="275">
        <f t="shared" si="1801"/>
        <v>45609</v>
      </c>
      <c r="F12318" s="481"/>
      <c r="G12318" s="174" t="s">
        <v>74</v>
      </c>
      <c r="H12318" s="148" t="str" cm="1">
        <f t="array" ref="H12318">IFERROR(INDEX(INVESTOR_LIST[INVESTOR NAME],MATCH(I12318,INVESTOR_LIST[INVESTOR CODE],0),)," ")</f>
        <v>MADHURI KUNDU</v>
      </c>
      <c r="I12318" s="148" t="s">
        <v>503</v>
      </c>
      <c r="J12318" s="133" t="s">
        <v>53</v>
      </c>
      <c r="K12318" s="218">
        <v>119713.88</v>
      </c>
      <c r="L12318" s="218"/>
    </row>
    <row r="12319" spans="1:13" ht="11.25" customHeight="1" x14ac:dyDescent="0.2">
      <c r="A12319" s="163">
        <v>2024</v>
      </c>
      <c r="B12319" s="163">
        <v>11</v>
      </c>
      <c r="C12319" s="163">
        <v>13</v>
      </c>
      <c r="D12319" s="280">
        <f t="shared" si="1800"/>
        <v>45609</v>
      </c>
      <c r="E12319" s="281">
        <f t="shared" si="1801"/>
        <v>45609</v>
      </c>
      <c r="F12319" s="480"/>
      <c r="G12319" s="221" t="s">
        <v>74</v>
      </c>
      <c r="H12319" s="145" t="str" cm="1">
        <f t="array" ref="H12319">IFERROR(INDEX(INVESTOR_LIST[INVESTOR NAME],MATCH(I12319,INVESTOR_LIST[INVESTOR CODE],0),)," ")</f>
        <v>MADHURI KUNDU</v>
      </c>
      <c r="I12319" s="145" t="s">
        <v>503</v>
      </c>
      <c r="J12319" s="163" t="s">
        <v>52</v>
      </c>
      <c r="K12319" s="219"/>
      <c r="L12319" s="219">
        <v>539173.88</v>
      </c>
    </row>
    <row r="12320" spans="1:13" ht="11.25" customHeight="1" x14ac:dyDescent="0.2">
      <c r="A12320" s="168">
        <v>2024</v>
      </c>
      <c r="B12320" s="133">
        <v>11</v>
      </c>
      <c r="C12320" s="168">
        <v>13</v>
      </c>
      <c r="D12320" s="141">
        <f t="shared" si="1800"/>
        <v>45609</v>
      </c>
      <c r="E12320" s="275">
        <f t="shared" si="1801"/>
        <v>45609</v>
      </c>
      <c r="F12320" s="479" t="s">
        <v>2002</v>
      </c>
      <c r="G12320" s="220" t="s">
        <v>74</v>
      </c>
      <c r="H12320" s="220" t="str" cm="1">
        <f t="array" ref="H12320">IFERROR(INDEX(INVESTOR_LIST[INVESTOR NAME],MATCH(I12320,INVESTOR_LIST[INVESTOR CODE],0),)," ")</f>
        <v xml:space="preserve"> </v>
      </c>
      <c r="I12320" s="142"/>
      <c r="J12320" s="143" t="s">
        <v>147</v>
      </c>
      <c r="K12320" s="226">
        <v>693948.36</v>
      </c>
      <c r="L12320" s="226"/>
    </row>
    <row r="12321" spans="1:12" x14ac:dyDescent="0.2">
      <c r="A12321" s="163">
        <v>2024</v>
      </c>
      <c r="B12321" s="163">
        <v>11</v>
      </c>
      <c r="C12321" s="163">
        <v>13</v>
      </c>
      <c r="D12321" s="280">
        <f t="shared" si="1800"/>
        <v>45609</v>
      </c>
      <c r="E12321" s="281">
        <f t="shared" si="1801"/>
        <v>45609</v>
      </c>
      <c r="F12321" s="480"/>
      <c r="G12321" s="221" t="s">
        <v>74</v>
      </c>
      <c r="H12321" s="221" t="str" cm="1">
        <f t="array" ref="H12321">IFERROR(INDEX(INVESTOR_LIST[INVESTOR NAME],MATCH(I12321,INVESTOR_LIST[INVESTOR CODE],0),)," ")</f>
        <v xml:space="preserve"> </v>
      </c>
      <c r="I12321" s="145" t="s">
        <v>348</v>
      </c>
      <c r="J12321" s="146" t="s">
        <v>52</v>
      </c>
      <c r="K12321" s="219"/>
      <c r="L12321" s="219">
        <v>693948.36</v>
      </c>
    </row>
    <row r="12322" spans="1:12" ht="11.25" customHeight="1" x14ac:dyDescent="0.2">
      <c r="A12322" s="168">
        <v>2024</v>
      </c>
      <c r="B12322" s="133">
        <v>11</v>
      </c>
      <c r="C12322" s="168">
        <v>13</v>
      </c>
      <c r="D12322" s="141">
        <f t="shared" si="1800"/>
        <v>45609</v>
      </c>
      <c r="E12322" s="275">
        <f t="shared" si="1801"/>
        <v>45609</v>
      </c>
      <c r="F12322" s="479" t="s">
        <v>2002</v>
      </c>
      <c r="G12322" s="220" t="s">
        <v>74</v>
      </c>
      <c r="H12322" s="220" t="str" cm="1">
        <f t="array" ref="H12322">IFERROR(INDEX(INVESTOR_LIST[INVESTOR NAME],MATCH(I12322,INVESTOR_LIST[INVESTOR CODE],0),)," ")</f>
        <v xml:space="preserve"> </v>
      </c>
      <c r="I12322" s="142"/>
      <c r="J12322" s="143" t="s">
        <v>147</v>
      </c>
      <c r="K12322" s="226">
        <v>483569.12</v>
      </c>
      <c r="L12322" s="226"/>
    </row>
    <row r="12323" spans="1:12" x14ac:dyDescent="0.2">
      <c r="A12323" s="163">
        <v>2024</v>
      </c>
      <c r="B12323" s="163">
        <v>11</v>
      </c>
      <c r="C12323" s="163">
        <v>13</v>
      </c>
      <c r="D12323" s="280">
        <f t="shared" si="1800"/>
        <v>45609</v>
      </c>
      <c r="E12323" s="281">
        <f t="shared" si="1801"/>
        <v>45609</v>
      </c>
      <c r="F12323" s="480"/>
      <c r="G12323" s="221" t="s">
        <v>74</v>
      </c>
      <c r="H12323" s="221" t="str" cm="1">
        <f t="array" ref="H12323">IFERROR(INDEX(INVESTOR_LIST[INVESTOR NAME],MATCH(I12323,INVESTOR_LIST[INVESTOR CODE],0),)," ")</f>
        <v xml:space="preserve"> </v>
      </c>
      <c r="I12323" s="145" t="s">
        <v>348</v>
      </c>
      <c r="J12323" s="146" t="s">
        <v>52</v>
      </c>
      <c r="K12323" s="219"/>
      <c r="L12323" s="219">
        <v>483569.12</v>
      </c>
    </row>
    <row r="12324" spans="1:12" ht="11.25" customHeight="1" x14ac:dyDescent="0.2">
      <c r="A12324" s="168">
        <v>2024</v>
      </c>
      <c r="B12324" s="133">
        <v>11</v>
      </c>
      <c r="C12324" s="168">
        <v>13</v>
      </c>
      <c r="D12324" s="141">
        <f t="shared" si="1800"/>
        <v>45609</v>
      </c>
      <c r="E12324" s="275">
        <f t="shared" si="1801"/>
        <v>45609</v>
      </c>
      <c r="F12324" s="479" t="s">
        <v>2003</v>
      </c>
      <c r="G12324" s="220" t="s">
        <v>74</v>
      </c>
      <c r="H12324" s="220" t="str" cm="1">
        <f t="array" ref="H12324">IFERROR(INDEX(INVESTOR_LIST[INVESTOR NAME],MATCH(I12324,INVESTOR_LIST[INVESTOR CODE],0),)," ")</f>
        <v xml:space="preserve"> </v>
      </c>
      <c r="I12324" s="142"/>
      <c r="J12324" s="143" t="s">
        <v>52</v>
      </c>
      <c r="K12324" s="226">
        <v>60979.4</v>
      </c>
      <c r="L12324" s="226"/>
    </row>
    <row r="12325" spans="1:12" x14ac:dyDescent="0.2">
      <c r="A12325" s="163">
        <v>2024</v>
      </c>
      <c r="B12325" s="163">
        <v>11</v>
      </c>
      <c r="C12325" s="163">
        <v>13</v>
      </c>
      <c r="D12325" s="280">
        <f t="shared" si="1800"/>
        <v>45609</v>
      </c>
      <c r="E12325" s="281">
        <f t="shared" si="1801"/>
        <v>45609</v>
      </c>
      <c r="F12325" s="480"/>
      <c r="G12325" s="221" t="s">
        <v>74</v>
      </c>
      <c r="H12325" s="221" t="str" cm="1">
        <f t="array" ref="H12325">IFERROR(INDEX(INVESTOR_LIST[INVESTOR NAME],MATCH(I12325,INVESTOR_LIST[INVESTOR CODE],0),)," ")</f>
        <v xml:space="preserve"> </v>
      </c>
      <c r="I12325" s="145" t="s">
        <v>348</v>
      </c>
      <c r="J12325" s="146" t="s">
        <v>147</v>
      </c>
      <c r="K12325" s="219"/>
      <c r="L12325" s="219">
        <v>60979.4</v>
      </c>
    </row>
    <row r="12326" spans="1:12" x14ac:dyDescent="0.2">
      <c r="A12326" s="133">
        <v>2024</v>
      </c>
      <c r="B12326" s="133">
        <v>11</v>
      </c>
      <c r="C12326" s="168">
        <v>13</v>
      </c>
      <c r="D12326" s="147">
        <f>DATE(A12326,B12326,C12326)</f>
        <v>45609</v>
      </c>
      <c r="E12326" s="311">
        <f>DATE(A12326,B12326,C12326)</f>
        <v>45609</v>
      </c>
      <c r="F12326" s="479" t="s">
        <v>1943</v>
      </c>
      <c r="G12326" s="174" t="s">
        <v>74</v>
      </c>
      <c r="H12326" s="148" t="str" cm="1">
        <f t="array" ref="H12326">IFERROR(INDEX(INVESTOR_LIST[INVESTOR NAME],MATCH(I12326,INVESTOR_LIST[INVESTOR CODE],0),)," ")</f>
        <v xml:space="preserve"> </v>
      </c>
      <c r="I12326" s="148" t="s">
        <v>348</v>
      </c>
      <c r="J12326" s="133" t="s">
        <v>61</v>
      </c>
      <c r="K12326" s="172">
        <v>158</v>
      </c>
    </row>
    <row r="12327" spans="1:12" x14ac:dyDescent="0.2">
      <c r="A12327" s="163">
        <v>2024</v>
      </c>
      <c r="B12327" s="163">
        <v>11</v>
      </c>
      <c r="C12327" s="163">
        <v>13</v>
      </c>
      <c r="D12327" s="280">
        <f>DATE(A12327,B12327,C12327)</f>
        <v>45609</v>
      </c>
      <c r="E12327" s="281">
        <f>DATE(A12327,B12327,C12327)</f>
        <v>45609</v>
      </c>
      <c r="F12327" s="480"/>
      <c r="G12327" s="221" t="s">
        <v>74</v>
      </c>
      <c r="H12327" s="145" t="str" cm="1">
        <f t="array" ref="H12327">IFERROR(INDEX(INVESTOR_LIST[INVESTOR NAME],MATCH(I12327,INVESTOR_LIST[INVESTOR CODE],0),)," ")</f>
        <v xml:space="preserve"> </v>
      </c>
      <c r="I12327" s="145" t="s">
        <v>348</v>
      </c>
      <c r="J12327" s="163" t="s">
        <v>52</v>
      </c>
      <c r="K12327" s="219"/>
      <c r="L12327" s="219">
        <v>158</v>
      </c>
    </row>
    <row r="12328" spans="1:12" x14ac:dyDescent="0.2">
      <c r="A12328" s="168">
        <v>2024</v>
      </c>
      <c r="B12328" s="168">
        <v>11</v>
      </c>
      <c r="C12328" s="168">
        <v>14</v>
      </c>
      <c r="D12328" s="141">
        <f t="shared" si="1800"/>
        <v>45610</v>
      </c>
      <c r="E12328" s="275">
        <f t="shared" si="1801"/>
        <v>45610</v>
      </c>
      <c r="F12328" s="479" t="s">
        <v>2004</v>
      </c>
      <c r="G12328" s="220" t="s">
        <v>94</v>
      </c>
      <c r="H12328" s="220" t="str" cm="1">
        <f t="array" ref="H12328">IFERROR(INDEX(INVESTOR_LIST[INVESTOR NAME],MATCH(I12328,INVESTOR_LIST[INVESTOR CODE],0),)," ")</f>
        <v xml:space="preserve"> </v>
      </c>
      <c r="I12328" s="142" t="s">
        <v>348</v>
      </c>
      <c r="J12328" s="143" t="s">
        <v>1806</v>
      </c>
      <c r="K12328" s="226">
        <v>137375</v>
      </c>
      <c r="L12328" s="226"/>
    </row>
    <row r="12329" spans="1:12" x14ac:dyDescent="0.2">
      <c r="A12329" s="163">
        <v>2024</v>
      </c>
      <c r="B12329" s="163">
        <v>11</v>
      </c>
      <c r="C12329" s="163">
        <v>14</v>
      </c>
      <c r="D12329" s="141">
        <f t="shared" si="1800"/>
        <v>45610</v>
      </c>
      <c r="E12329" s="275">
        <f t="shared" si="1801"/>
        <v>45610</v>
      </c>
      <c r="F12329" s="480"/>
      <c r="G12329" s="221" t="s">
        <v>94</v>
      </c>
      <c r="H12329" s="221" t="str" cm="1">
        <f t="array" ref="H12329">IFERROR(INDEX(INVESTOR_LIST[INVESTOR NAME],MATCH(I12329,INVESTOR_LIST[INVESTOR CODE],0),)," ")</f>
        <v xml:space="preserve"> </v>
      </c>
      <c r="I12329" s="145" t="s">
        <v>348</v>
      </c>
      <c r="J12329" s="146" t="s">
        <v>60</v>
      </c>
      <c r="K12329" s="219"/>
      <c r="L12329" s="219">
        <f>K12328</f>
        <v>137375</v>
      </c>
    </row>
    <row r="12330" spans="1:12" x14ac:dyDescent="0.2">
      <c r="A12330" s="325">
        <v>2024</v>
      </c>
      <c r="B12330" s="325">
        <v>11</v>
      </c>
      <c r="C12330" s="325">
        <v>14</v>
      </c>
      <c r="D12330" s="326">
        <f t="shared" si="1800"/>
        <v>45610</v>
      </c>
      <c r="E12330" s="327">
        <f t="shared" si="1801"/>
        <v>45610</v>
      </c>
      <c r="F12330" s="473" t="s">
        <v>1940</v>
      </c>
      <c r="G12330" s="340" t="s">
        <v>94</v>
      </c>
      <c r="H12330" s="340" t="str" cm="1">
        <f t="array" ref="H12330">IFERROR(INDEX(INVESTOR_LIST[INVESTOR NAME],MATCH(I12330,INVESTOR_LIST[INVESTOR CODE],0),)," ")</f>
        <v xml:space="preserve"> </v>
      </c>
      <c r="I12330" s="341" t="s">
        <v>348</v>
      </c>
      <c r="J12330" s="374" t="s">
        <v>133</v>
      </c>
      <c r="K12330" s="375">
        <v>12905.555555555549</v>
      </c>
      <c r="L12330" s="375"/>
    </row>
    <row r="12331" spans="1:12" x14ac:dyDescent="0.2">
      <c r="A12331" s="331">
        <v>2024</v>
      </c>
      <c r="B12331" s="331">
        <v>11</v>
      </c>
      <c r="C12331" s="331">
        <v>14</v>
      </c>
      <c r="D12331" s="326">
        <f t="shared" si="1800"/>
        <v>45610</v>
      </c>
      <c r="E12331" s="327">
        <f t="shared" si="1801"/>
        <v>45610</v>
      </c>
      <c r="F12331" s="474"/>
      <c r="G12331" s="332" t="s">
        <v>94</v>
      </c>
      <c r="H12331" s="332" t="str" cm="1">
        <f t="array" ref="H12331">IFERROR(INDEX(INVESTOR_LIST[INVESTOR NAME],MATCH(I12331,INVESTOR_LIST[INVESTOR CODE],0),)," ")</f>
        <v xml:space="preserve"> </v>
      </c>
      <c r="I12331" s="333" t="s">
        <v>348</v>
      </c>
      <c r="J12331" s="376" t="s">
        <v>60</v>
      </c>
      <c r="K12331" s="334"/>
      <c r="L12331" s="334">
        <v>12905.555555555549</v>
      </c>
    </row>
    <row r="12332" spans="1:12" x14ac:dyDescent="0.2">
      <c r="A12332" s="384">
        <v>2024</v>
      </c>
      <c r="B12332" s="384">
        <v>11</v>
      </c>
      <c r="C12332" s="384">
        <v>14</v>
      </c>
      <c r="D12332" s="385">
        <f t="shared" si="1800"/>
        <v>45610</v>
      </c>
      <c r="E12332" s="386">
        <f t="shared" si="1801"/>
        <v>45610</v>
      </c>
      <c r="F12332" s="475" t="s">
        <v>1966</v>
      </c>
      <c r="G12332" s="387" t="s">
        <v>94</v>
      </c>
      <c r="H12332" s="387" t="str" cm="1">
        <f t="array" ref="H12332">IFERROR(INDEX(INVESTOR_LIST[INVESTOR NAME],MATCH(I12332,INVESTOR_LIST[INVESTOR CODE],0),)," ")</f>
        <v xml:space="preserve"> </v>
      </c>
      <c r="I12332" s="388" t="s">
        <v>348</v>
      </c>
      <c r="J12332" s="389" t="s">
        <v>67</v>
      </c>
      <c r="K12332" s="390">
        <v>7115.87</v>
      </c>
      <c r="L12332" s="390"/>
    </row>
    <row r="12333" spans="1:12" x14ac:dyDescent="0.2">
      <c r="A12333" s="391">
        <v>2024</v>
      </c>
      <c r="B12333" s="391">
        <v>11</v>
      </c>
      <c r="C12333" s="391">
        <v>14</v>
      </c>
      <c r="D12333" s="385">
        <f t="shared" si="1800"/>
        <v>45610</v>
      </c>
      <c r="E12333" s="386">
        <f t="shared" si="1801"/>
        <v>45610</v>
      </c>
      <c r="F12333" s="476"/>
      <c r="G12333" s="392" t="s">
        <v>94</v>
      </c>
      <c r="H12333" s="392" t="str" cm="1">
        <f t="array" ref="H12333">IFERROR(INDEX(INVESTOR_LIST[INVESTOR NAME],MATCH(I12333,INVESTOR_LIST[INVESTOR CODE],0),)," ")</f>
        <v xml:space="preserve"> </v>
      </c>
      <c r="I12333" s="393" t="s">
        <v>348</v>
      </c>
      <c r="J12333" s="394" t="s">
        <v>60</v>
      </c>
      <c r="K12333" s="395"/>
      <c r="L12333" s="395">
        <f>K12332</f>
        <v>7115.87</v>
      </c>
    </row>
    <row r="12334" spans="1:12" x14ac:dyDescent="0.2">
      <c r="A12334" s="343">
        <v>2024</v>
      </c>
      <c r="B12334" s="343">
        <v>11</v>
      </c>
      <c r="C12334" s="343">
        <v>14</v>
      </c>
      <c r="D12334" s="344">
        <f t="shared" si="1800"/>
        <v>45610</v>
      </c>
      <c r="E12334" s="345">
        <f t="shared" si="1801"/>
        <v>45610</v>
      </c>
      <c r="F12334" s="483" t="s">
        <v>1813</v>
      </c>
      <c r="G12334" s="350" t="s">
        <v>94</v>
      </c>
      <c r="H12334" s="350" t="str" cm="1">
        <f t="array" ref="H12334">IFERROR(INDEX(INVESTOR_LIST[INVESTOR NAME],MATCH(I12334,INVESTOR_LIST[INVESTOR CODE],0),)," ")</f>
        <v xml:space="preserve"> </v>
      </c>
      <c r="I12334" s="352" t="s">
        <v>348</v>
      </c>
      <c r="J12334" s="353" t="s">
        <v>1798</v>
      </c>
      <c r="K12334" s="354">
        <v>26533</v>
      </c>
      <c r="L12334" s="354"/>
    </row>
    <row r="12335" spans="1:12" x14ac:dyDescent="0.2">
      <c r="A12335" s="346">
        <v>2024</v>
      </c>
      <c r="B12335" s="346">
        <v>11</v>
      </c>
      <c r="C12335" s="346">
        <v>14</v>
      </c>
      <c r="D12335" s="344">
        <f t="shared" si="1800"/>
        <v>45610</v>
      </c>
      <c r="E12335" s="345">
        <f t="shared" si="1801"/>
        <v>45610</v>
      </c>
      <c r="F12335" s="484"/>
      <c r="G12335" s="347" t="s">
        <v>94</v>
      </c>
      <c r="H12335" s="347" t="str" cm="1">
        <f t="array" ref="H12335">IFERROR(INDEX(INVESTOR_LIST[INVESTOR NAME],MATCH(I12335,INVESTOR_LIST[INVESTOR CODE],0),)," ")</f>
        <v xml:space="preserve"> </v>
      </c>
      <c r="I12335" s="348" t="s">
        <v>348</v>
      </c>
      <c r="J12335" s="355" t="s">
        <v>1807</v>
      </c>
      <c r="K12335" s="349"/>
      <c r="L12335" s="349">
        <f>K12334</f>
        <v>26533</v>
      </c>
    </row>
    <row r="12336" spans="1:12" x14ac:dyDescent="0.2">
      <c r="A12336" s="343">
        <v>2024</v>
      </c>
      <c r="B12336" s="343">
        <v>11</v>
      </c>
      <c r="C12336" s="343">
        <v>14</v>
      </c>
      <c r="D12336" s="344">
        <f t="shared" si="1800"/>
        <v>45610</v>
      </c>
      <c r="E12336" s="345">
        <f t="shared" si="1801"/>
        <v>45610</v>
      </c>
      <c r="F12336" s="483" t="s">
        <v>1913</v>
      </c>
      <c r="G12336" s="350" t="s">
        <v>94</v>
      </c>
      <c r="H12336" s="350" t="str" cm="1">
        <f t="array" ref="H12336">IFERROR(INDEX(INVESTOR_LIST[INVESTOR NAME],MATCH(I12336,INVESTOR_LIST[INVESTOR CODE],0),)," ")</f>
        <v xml:space="preserve"> </v>
      </c>
      <c r="I12336" s="352" t="s">
        <v>348</v>
      </c>
      <c r="J12336" s="353" t="s">
        <v>1808</v>
      </c>
      <c r="K12336" s="354">
        <v>121301.82500000298</v>
      </c>
      <c r="L12336" s="354"/>
    </row>
    <row r="12337" spans="1:13" x14ac:dyDescent="0.2">
      <c r="A12337" s="346">
        <v>2024</v>
      </c>
      <c r="B12337" s="346">
        <v>11</v>
      </c>
      <c r="C12337" s="346">
        <v>14</v>
      </c>
      <c r="D12337" s="344">
        <f t="shared" si="1800"/>
        <v>45610</v>
      </c>
      <c r="E12337" s="345">
        <f t="shared" si="1801"/>
        <v>45610</v>
      </c>
      <c r="F12337" s="484"/>
      <c r="G12337" s="347" t="s">
        <v>94</v>
      </c>
      <c r="H12337" s="347" t="str" cm="1">
        <f t="array" ref="H12337">IFERROR(INDEX(INVESTOR_LIST[INVESTOR NAME],MATCH(I12337,INVESTOR_LIST[INVESTOR CODE],0),)," ")</f>
        <v xml:space="preserve"> </v>
      </c>
      <c r="I12337" s="348" t="s">
        <v>348</v>
      </c>
      <c r="J12337" s="355" t="s">
        <v>1799</v>
      </c>
      <c r="K12337" s="349"/>
      <c r="L12337" s="349">
        <f>K12336</f>
        <v>121301.82500000298</v>
      </c>
    </row>
    <row r="12338" spans="1:13" ht="11.25" customHeight="1" x14ac:dyDescent="0.2">
      <c r="A12338" s="238">
        <v>2024</v>
      </c>
      <c r="B12338" s="238">
        <v>11</v>
      </c>
      <c r="C12338" s="238">
        <v>14</v>
      </c>
      <c r="D12338" s="270">
        <f t="shared" si="1800"/>
        <v>45610</v>
      </c>
      <c r="E12338" s="279">
        <f t="shared" si="1801"/>
        <v>45610</v>
      </c>
      <c r="F12338" s="477" t="s">
        <v>347</v>
      </c>
      <c r="G12338" s="239" t="s">
        <v>94</v>
      </c>
      <c r="H12338" s="239" t="str" cm="1">
        <f t="array" ref="H12338">IFERROR(INDEX(INVESTOR_LIST[INVESTOR NAME],MATCH(I12338,INVESTOR_LIST[INVESTOR CODE],0),)," ")</f>
        <v xml:space="preserve"> </v>
      </c>
      <c r="I12338" s="262" t="s">
        <v>348</v>
      </c>
      <c r="J12338" s="240" t="s">
        <v>82</v>
      </c>
      <c r="K12338" s="241">
        <v>28715.969999969006</v>
      </c>
      <c r="L12338" s="241"/>
    </row>
    <row r="12339" spans="1:13" x14ac:dyDescent="0.2">
      <c r="A12339" s="242">
        <v>2024</v>
      </c>
      <c r="B12339" s="242">
        <v>11</v>
      </c>
      <c r="C12339" s="242">
        <v>14</v>
      </c>
      <c r="D12339" s="270">
        <f t="shared" si="1800"/>
        <v>45610</v>
      </c>
      <c r="E12339" s="279">
        <f t="shared" si="1801"/>
        <v>45610</v>
      </c>
      <c r="F12339" s="478"/>
      <c r="G12339" s="243" t="s">
        <v>94</v>
      </c>
      <c r="H12339" s="243" t="str" cm="1">
        <f t="array" ref="H12339">IFERROR(INDEX(INVESTOR_LIST[INVESTOR NAME],MATCH(I12339,INVESTOR_LIST[INVESTOR CODE],0),)," ")</f>
        <v xml:space="preserve"> </v>
      </c>
      <c r="I12339" s="263" t="s">
        <v>348</v>
      </c>
      <c r="J12339" s="244" t="s">
        <v>108</v>
      </c>
      <c r="K12339" s="245"/>
      <c r="L12339" s="245">
        <f>K12338</f>
        <v>28715.969999969006</v>
      </c>
    </row>
    <row r="12340" spans="1:13" ht="11.25" customHeight="1" x14ac:dyDescent="0.2">
      <c r="A12340" s="246">
        <v>2024</v>
      </c>
      <c r="B12340" s="238">
        <v>11</v>
      </c>
      <c r="C12340" s="238">
        <v>14</v>
      </c>
      <c r="D12340" s="270">
        <f t="shared" si="1800"/>
        <v>45610</v>
      </c>
      <c r="E12340" s="279">
        <f t="shared" si="1801"/>
        <v>45610</v>
      </c>
      <c r="F12340" s="482" t="s">
        <v>148</v>
      </c>
      <c r="G12340" s="247" t="s">
        <v>94</v>
      </c>
      <c r="H12340" s="247" t="str" cm="1">
        <f t="array" ref="H12340">IFERROR(INDEX(INVESTOR_LIST[INVESTOR NAME],MATCH(I12340,INVESTOR_LIST[INVESTOR CODE],0),)," ")</f>
        <v xml:space="preserve"> </v>
      </c>
      <c r="I12340" s="248" t="s">
        <v>348</v>
      </c>
      <c r="J12340" s="249" t="s">
        <v>95</v>
      </c>
      <c r="K12340" s="250">
        <v>2747.2527472527472</v>
      </c>
      <c r="L12340" s="241"/>
    </row>
    <row r="12341" spans="1:13" x14ac:dyDescent="0.2">
      <c r="A12341" s="242">
        <v>2024</v>
      </c>
      <c r="B12341" s="242">
        <v>11</v>
      </c>
      <c r="C12341" s="242">
        <v>14</v>
      </c>
      <c r="D12341" s="270">
        <f t="shared" si="1800"/>
        <v>45610</v>
      </c>
      <c r="E12341" s="279">
        <f t="shared" si="1801"/>
        <v>45610</v>
      </c>
      <c r="F12341" s="478"/>
      <c r="G12341" s="243" t="s">
        <v>94</v>
      </c>
      <c r="H12341" s="243" t="str" cm="1">
        <f t="array" ref="H12341">IFERROR(INDEX(INVESTOR_LIST[INVESTOR NAME],MATCH(I12341,INVESTOR_LIST[INVESTOR CODE],0),)," ")</f>
        <v xml:space="preserve"> </v>
      </c>
      <c r="I12341" s="263" t="s">
        <v>348</v>
      </c>
      <c r="J12341" s="244" t="s">
        <v>63</v>
      </c>
      <c r="K12341" s="245"/>
      <c r="L12341" s="245">
        <v>2747.2527472527472</v>
      </c>
    </row>
    <row r="12342" spans="1:13" x14ac:dyDescent="0.2">
      <c r="A12342" s="246">
        <v>2024</v>
      </c>
      <c r="B12342" s="238">
        <v>11</v>
      </c>
      <c r="C12342" s="238">
        <v>14</v>
      </c>
      <c r="D12342" s="270">
        <f t="shared" si="1800"/>
        <v>45610</v>
      </c>
      <c r="E12342" s="279">
        <f t="shared" si="1801"/>
        <v>45610</v>
      </c>
      <c r="F12342" s="482" t="s">
        <v>137</v>
      </c>
      <c r="G12342" s="247" t="s">
        <v>94</v>
      </c>
      <c r="H12342" s="247" t="str" cm="1">
        <f t="array" ref="H12342">IFERROR(INDEX(INVESTOR_LIST[INVESTOR NAME],MATCH(I12342,INVESTOR_LIST[INVESTOR CODE],0),)," ")</f>
        <v xml:space="preserve"> </v>
      </c>
      <c r="I12342" s="248" t="s">
        <v>348</v>
      </c>
      <c r="J12342" s="249" t="s">
        <v>97</v>
      </c>
      <c r="K12342" s="250">
        <f>M12342</f>
        <v>58768.910777492754</v>
      </c>
      <c r="L12342" s="252"/>
      <c r="M12342" s="264">
        <v>58768.910777492754</v>
      </c>
    </row>
    <row r="12343" spans="1:13" x14ac:dyDescent="0.2">
      <c r="A12343" s="242">
        <v>2024</v>
      </c>
      <c r="B12343" s="242">
        <v>11</v>
      </c>
      <c r="C12343" s="242">
        <v>14</v>
      </c>
      <c r="D12343" s="270">
        <f t="shared" si="1800"/>
        <v>45610</v>
      </c>
      <c r="E12343" s="279">
        <f t="shared" si="1801"/>
        <v>45610</v>
      </c>
      <c r="F12343" s="478"/>
      <c r="G12343" s="243" t="s">
        <v>94</v>
      </c>
      <c r="H12343" s="243" t="str" cm="1">
        <f t="array" ref="H12343">IFERROR(INDEX(INVESTOR_LIST[INVESTOR NAME],MATCH(I12343,INVESTOR_LIST[INVESTOR CODE],0),)," ")</f>
        <v xml:space="preserve"> </v>
      </c>
      <c r="I12343" s="263" t="s">
        <v>348</v>
      </c>
      <c r="J12343" s="244" t="s">
        <v>47</v>
      </c>
      <c r="K12343" s="245"/>
      <c r="L12343" s="245">
        <f>K12342</f>
        <v>58768.910777492754</v>
      </c>
      <c r="M12343" s="264">
        <v>2698.0609234900226</v>
      </c>
    </row>
    <row r="12344" spans="1:13" x14ac:dyDescent="0.2">
      <c r="A12344" s="246">
        <v>2024</v>
      </c>
      <c r="B12344" s="238">
        <v>11</v>
      </c>
      <c r="C12344" s="238">
        <v>14</v>
      </c>
      <c r="D12344" s="270">
        <f t="shared" si="1800"/>
        <v>45610</v>
      </c>
      <c r="E12344" s="279">
        <f t="shared" si="1801"/>
        <v>45610</v>
      </c>
      <c r="F12344" s="482" t="s">
        <v>138</v>
      </c>
      <c r="G12344" s="247" t="s">
        <v>94</v>
      </c>
      <c r="H12344" s="247" t="str" cm="1">
        <f t="array" ref="H12344">IFERROR(INDEX(INVESTOR_LIST[INVESTOR NAME],MATCH(I12344,INVESTOR_LIST[INVESTOR CODE],0),)," ")</f>
        <v xml:space="preserve"> </v>
      </c>
      <c r="I12344" s="248" t="s">
        <v>348</v>
      </c>
      <c r="J12344" s="249" t="s">
        <v>100</v>
      </c>
      <c r="K12344" s="250">
        <f>M12343</f>
        <v>2698.0609234900226</v>
      </c>
      <c r="L12344" s="252"/>
    </row>
    <row r="12345" spans="1:13" x14ac:dyDescent="0.2">
      <c r="A12345" s="242">
        <v>2024</v>
      </c>
      <c r="B12345" s="242">
        <v>11</v>
      </c>
      <c r="C12345" s="242">
        <v>14</v>
      </c>
      <c r="D12345" s="321">
        <f t="shared" si="1800"/>
        <v>45610</v>
      </c>
      <c r="E12345" s="322">
        <f t="shared" si="1801"/>
        <v>45610</v>
      </c>
      <c r="F12345" s="478"/>
      <c r="G12345" s="243" t="s">
        <v>94</v>
      </c>
      <c r="H12345" s="243" t="str" cm="1">
        <f t="array" ref="H12345">IFERROR(INDEX(INVESTOR_LIST[INVESTOR NAME],MATCH(I12345,INVESTOR_LIST[INVESTOR CODE],0),)," ")</f>
        <v xml:space="preserve"> </v>
      </c>
      <c r="I12345" s="263" t="s">
        <v>348</v>
      </c>
      <c r="J12345" s="244" t="s">
        <v>48</v>
      </c>
      <c r="K12345" s="245"/>
      <c r="L12345" s="245">
        <f>K12344</f>
        <v>2698.0609234900226</v>
      </c>
    </row>
    <row r="12346" spans="1:13" ht="10.5" customHeight="1" x14ac:dyDescent="0.2">
      <c r="A12346" s="168">
        <v>2024</v>
      </c>
      <c r="B12346" s="168">
        <v>11</v>
      </c>
      <c r="C12346" s="133">
        <v>17</v>
      </c>
      <c r="D12346" s="141">
        <f t="shared" si="1800"/>
        <v>45613</v>
      </c>
      <c r="E12346" s="275">
        <f t="shared" si="1801"/>
        <v>45613</v>
      </c>
      <c r="F12346" s="479" t="s">
        <v>1319</v>
      </c>
      <c r="G12346" s="220" t="s">
        <v>74</v>
      </c>
      <c r="H12346" s="142" t="str" cm="1">
        <f t="array" ref="H12346">IFERROR(INDEX(INVESTOR_LIST[INVESTOR NAME],MATCH(I12346,INVESTOR_LIST[INVESTOR CODE],0),)," ")</f>
        <v xml:space="preserve"> </v>
      </c>
      <c r="I12346" s="142"/>
      <c r="J12346" s="168" t="s">
        <v>52</v>
      </c>
      <c r="K12346" s="226">
        <v>12000</v>
      </c>
      <c r="L12346" s="226"/>
    </row>
    <row r="12347" spans="1:13" ht="10.5" customHeight="1" x14ac:dyDescent="0.2">
      <c r="A12347" s="133">
        <v>2024</v>
      </c>
      <c r="B12347" s="133">
        <v>11</v>
      </c>
      <c r="C12347" s="133">
        <v>17</v>
      </c>
      <c r="D12347" s="141">
        <f t="shared" si="1800"/>
        <v>45613</v>
      </c>
      <c r="E12347" s="275">
        <f t="shared" si="1801"/>
        <v>45613</v>
      </c>
      <c r="F12347" s="481"/>
      <c r="G12347" s="174" t="s">
        <v>74</v>
      </c>
      <c r="H12347" s="148" t="str" cm="1">
        <f t="array" ref="H12347">IFERROR(INDEX(INVESTOR_LIST[INVESTOR NAME],MATCH(I12347,INVESTOR_LIST[INVESTOR CODE],0),)," ")</f>
        <v xml:space="preserve"> </v>
      </c>
      <c r="J12347" s="133" t="s">
        <v>13</v>
      </c>
      <c r="K12347" s="218"/>
      <c r="L12347" s="218">
        <v>9320</v>
      </c>
    </row>
    <row r="12348" spans="1:13" ht="11.25" customHeight="1" x14ac:dyDescent="0.2">
      <c r="A12348" s="163">
        <v>2024</v>
      </c>
      <c r="B12348" s="163">
        <v>11</v>
      </c>
      <c r="C12348" s="163">
        <v>17</v>
      </c>
      <c r="D12348" s="280">
        <f t="shared" si="1800"/>
        <v>45613</v>
      </c>
      <c r="E12348" s="281">
        <f t="shared" si="1801"/>
        <v>45613</v>
      </c>
      <c r="F12348" s="480"/>
      <c r="G12348" s="221" t="s">
        <v>74</v>
      </c>
      <c r="H12348" s="145" t="str" cm="1">
        <f t="array" ref="H12348">IFERROR(INDEX(INVESTOR_LIST[INVESTOR NAME],MATCH(I12348,INVESTOR_LIST[INVESTOR CODE],0),)," ")</f>
        <v xml:space="preserve"> </v>
      </c>
      <c r="I12348" s="145"/>
      <c r="J12348" s="163" t="s">
        <v>53</v>
      </c>
      <c r="K12348" s="219"/>
      <c r="L12348" s="219">
        <v>2680</v>
      </c>
    </row>
    <row r="12349" spans="1:13" x14ac:dyDescent="0.2">
      <c r="A12349" s="168">
        <v>2024</v>
      </c>
      <c r="B12349" s="168">
        <v>11</v>
      </c>
      <c r="C12349" s="168">
        <v>17</v>
      </c>
      <c r="D12349" s="141">
        <f t="shared" ref="D12349:D12362" si="1802">DATE(A12349,B12349,C12349)</f>
        <v>45613</v>
      </c>
      <c r="E12349" s="275">
        <f t="shared" ref="E12349:E12362" si="1803">DATE(A12349,B12349,C12349)</f>
        <v>45613</v>
      </c>
      <c r="F12349" s="479" t="s">
        <v>2005</v>
      </c>
      <c r="G12349" s="220" t="s">
        <v>94</v>
      </c>
      <c r="H12349" s="220" t="str" cm="1">
        <f t="array" ref="H12349">IFERROR(INDEX(INVESTOR_LIST[INVESTOR NAME],MATCH(I12349,INVESTOR_LIST[INVESTOR CODE],0),)," ")</f>
        <v xml:space="preserve"> </v>
      </c>
      <c r="I12349" s="142" t="s">
        <v>348</v>
      </c>
      <c r="J12349" s="143" t="s">
        <v>52</v>
      </c>
      <c r="K12349" s="226">
        <v>137375</v>
      </c>
      <c r="L12349" s="226"/>
    </row>
    <row r="12350" spans="1:13" x14ac:dyDescent="0.2">
      <c r="A12350" s="163">
        <v>2024</v>
      </c>
      <c r="B12350" s="163">
        <v>11</v>
      </c>
      <c r="C12350" s="163">
        <v>17</v>
      </c>
      <c r="D12350" s="141">
        <f t="shared" si="1802"/>
        <v>45613</v>
      </c>
      <c r="E12350" s="275">
        <f t="shared" si="1803"/>
        <v>45613</v>
      </c>
      <c r="F12350" s="480"/>
      <c r="G12350" s="221" t="s">
        <v>94</v>
      </c>
      <c r="H12350" s="221" t="str" cm="1">
        <f t="array" ref="H12350">IFERROR(INDEX(INVESTOR_LIST[INVESTOR NAME],MATCH(I12350,INVESTOR_LIST[INVESTOR CODE],0),)," ")</f>
        <v xml:space="preserve"> </v>
      </c>
      <c r="I12350" s="145" t="s">
        <v>348</v>
      </c>
      <c r="J12350" s="146" t="s">
        <v>1806</v>
      </c>
      <c r="K12350" s="219"/>
      <c r="L12350" s="219">
        <f>K12349</f>
        <v>137375</v>
      </c>
    </row>
    <row r="12351" spans="1:13" x14ac:dyDescent="0.2">
      <c r="A12351" s="133">
        <v>2024</v>
      </c>
      <c r="B12351" s="133">
        <v>11</v>
      </c>
      <c r="C12351" s="168">
        <v>17</v>
      </c>
      <c r="D12351" s="141">
        <f t="shared" si="1802"/>
        <v>45613</v>
      </c>
      <c r="E12351" s="275">
        <f t="shared" si="1803"/>
        <v>45613</v>
      </c>
      <c r="F12351" s="481" t="s">
        <v>2006</v>
      </c>
      <c r="G12351" s="174" t="s">
        <v>74</v>
      </c>
      <c r="H12351" s="174" t="str" cm="1">
        <f t="array" ref="H12351">IFERROR(INDEX(INVESTOR_LIST[INVESTOR NAME],MATCH(I12351,INVESTOR_LIST[INVESTOR CODE],0),)," ")</f>
        <v xml:space="preserve"> </v>
      </c>
      <c r="J12351" s="149" t="s">
        <v>534</v>
      </c>
      <c r="K12351" s="218">
        <v>303.2</v>
      </c>
      <c r="L12351" s="218"/>
      <c r="M12351" s="147"/>
    </row>
    <row r="12352" spans="1:13" x14ac:dyDescent="0.2">
      <c r="A12352" s="163">
        <v>2024</v>
      </c>
      <c r="B12352" s="163">
        <v>11</v>
      </c>
      <c r="C12352" s="163">
        <v>17</v>
      </c>
      <c r="D12352" s="280">
        <f t="shared" si="1802"/>
        <v>45613</v>
      </c>
      <c r="E12352" s="281">
        <f t="shared" si="1803"/>
        <v>45613</v>
      </c>
      <c r="F12352" s="480"/>
      <c r="G12352" s="221" t="s">
        <v>74</v>
      </c>
      <c r="H12352" s="221" t="str" cm="1">
        <f t="array" ref="H12352">IFERROR(INDEX(INVESTOR_LIST[INVESTOR NAME],MATCH(I12352,INVESTOR_LIST[INVESTOR CODE],0),)," ")</f>
        <v xml:space="preserve"> </v>
      </c>
      <c r="I12352" s="145"/>
      <c r="J12352" s="146" t="s">
        <v>52</v>
      </c>
      <c r="K12352" s="219"/>
      <c r="L12352" s="219">
        <v>303.2</v>
      </c>
      <c r="M12352" s="147"/>
    </row>
    <row r="12353" spans="1:17" x14ac:dyDescent="0.2">
      <c r="A12353" s="168">
        <v>2024</v>
      </c>
      <c r="B12353" s="168">
        <v>11</v>
      </c>
      <c r="C12353" s="168">
        <v>18</v>
      </c>
      <c r="D12353" s="141">
        <f t="shared" si="1802"/>
        <v>45614</v>
      </c>
      <c r="E12353" s="275">
        <f t="shared" si="1803"/>
        <v>45614</v>
      </c>
      <c r="F12353" s="479" t="s">
        <v>1998</v>
      </c>
      <c r="G12353" s="174" t="s">
        <v>74</v>
      </c>
      <c r="H12353" s="148" t="str" cm="1">
        <f t="array" ref="H12353">IFERROR(INDEX(INVESTOR_LIST[INVESTOR NAME],MATCH(I12353,INVESTOR_LIST[INVESTOR CODE],0),)," ")</f>
        <v xml:space="preserve"> </v>
      </c>
      <c r="I12353" s="148" t="s">
        <v>348</v>
      </c>
      <c r="J12353" s="133" t="s">
        <v>47</v>
      </c>
      <c r="K12353" s="172">
        <v>180000</v>
      </c>
    </row>
    <row r="12354" spans="1:17" x14ac:dyDescent="0.2">
      <c r="A12354" s="133">
        <v>2024</v>
      </c>
      <c r="B12354" s="133">
        <v>11</v>
      </c>
      <c r="C12354" s="133">
        <v>18</v>
      </c>
      <c r="D12354" s="141">
        <f t="shared" si="1802"/>
        <v>45614</v>
      </c>
      <c r="E12354" s="275">
        <f t="shared" si="1803"/>
        <v>45614</v>
      </c>
      <c r="F12354" s="481"/>
      <c r="G12354" s="174" t="s">
        <v>74</v>
      </c>
      <c r="H12354" s="148" t="str" cm="1">
        <f t="array" ref="H12354">IFERROR(INDEX(INVESTOR_LIST[INVESTOR NAME],MATCH(I12354,INVESTOR_LIST[INVESTOR CODE],0),)," ")</f>
        <v xml:space="preserve"> </v>
      </c>
      <c r="J12354" s="133" t="s">
        <v>534</v>
      </c>
      <c r="K12354" s="218"/>
      <c r="L12354" s="218">
        <v>27000</v>
      </c>
    </row>
    <row r="12355" spans="1:17" x14ac:dyDescent="0.2">
      <c r="A12355" s="163">
        <v>2024</v>
      </c>
      <c r="B12355" s="163">
        <v>11</v>
      </c>
      <c r="C12355" s="163">
        <v>18</v>
      </c>
      <c r="D12355" s="280">
        <f t="shared" si="1802"/>
        <v>45614</v>
      </c>
      <c r="E12355" s="281">
        <f t="shared" si="1803"/>
        <v>45614</v>
      </c>
      <c r="F12355" s="480"/>
      <c r="G12355" s="221" t="s">
        <v>74</v>
      </c>
      <c r="H12355" s="145" t="str" cm="1">
        <f t="array" ref="H12355">IFERROR(INDEX(INVESTOR_LIST[INVESTOR NAME],MATCH(I12355,INVESTOR_LIST[INVESTOR CODE],0),)," ")</f>
        <v xml:space="preserve"> </v>
      </c>
      <c r="I12355" s="145" t="s">
        <v>348</v>
      </c>
      <c r="J12355" s="163" t="s">
        <v>52</v>
      </c>
      <c r="K12355" s="219"/>
      <c r="L12355" s="219">
        <v>153000</v>
      </c>
    </row>
    <row r="12356" spans="1:17" x14ac:dyDescent="0.2">
      <c r="A12356" s="133">
        <v>2024</v>
      </c>
      <c r="B12356" s="168">
        <v>11</v>
      </c>
      <c r="C12356" s="168">
        <v>18</v>
      </c>
      <c r="D12356" s="141">
        <f t="shared" ref="D12356:D12357" si="1804">DATE(A12356,B12356,C12356)</f>
        <v>45614</v>
      </c>
      <c r="E12356" s="275">
        <f t="shared" ref="E12356:E12357" si="1805">DATE(A12356,B12356,C12356)</f>
        <v>45614</v>
      </c>
      <c r="F12356" s="481" t="s">
        <v>2009</v>
      </c>
      <c r="G12356" s="174" t="s">
        <v>94</v>
      </c>
      <c r="H12356" s="174" t="str" cm="1">
        <f t="array" ref="H12356">IFERROR(INDEX(INVESTOR_LIST[INVESTOR NAME],MATCH(I12356,INVESTOR_LIST[INVESTOR CODE],0),)," ")</f>
        <v xml:space="preserve"> </v>
      </c>
      <c r="I12356" s="148" t="s">
        <v>348</v>
      </c>
      <c r="J12356" s="149" t="s">
        <v>168</v>
      </c>
      <c r="K12356" s="218">
        <v>172260</v>
      </c>
      <c r="L12356" s="218"/>
    </row>
    <row r="12357" spans="1:17" x14ac:dyDescent="0.2">
      <c r="A12357" s="163">
        <v>2024</v>
      </c>
      <c r="B12357" s="163">
        <v>11</v>
      </c>
      <c r="C12357" s="163">
        <v>18</v>
      </c>
      <c r="D12357" s="141">
        <f t="shared" si="1804"/>
        <v>45614</v>
      </c>
      <c r="E12357" s="275">
        <f t="shared" si="1805"/>
        <v>45614</v>
      </c>
      <c r="F12357" s="480"/>
      <c r="G12357" s="221" t="s">
        <v>94</v>
      </c>
      <c r="H12357" s="221" t="str" cm="1">
        <f t="array" ref="H12357">IFERROR(INDEX(INVESTOR_LIST[INVESTOR NAME],MATCH(I12357,INVESTOR_LIST[INVESTOR CODE],0),)," ")</f>
        <v xml:space="preserve"> </v>
      </c>
      <c r="I12357" s="145" t="s">
        <v>348</v>
      </c>
      <c r="J12357" s="146" t="s">
        <v>166</v>
      </c>
      <c r="K12357" s="219"/>
      <c r="L12357" s="219">
        <v>172260</v>
      </c>
    </row>
    <row r="12358" spans="1:17" x14ac:dyDescent="0.2">
      <c r="A12358" s="133">
        <v>2024</v>
      </c>
      <c r="B12358" s="168">
        <v>11</v>
      </c>
      <c r="C12358" s="168">
        <v>19</v>
      </c>
      <c r="D12358" s="141">
        <f t="shared" si="1802"/>
        <v>45615</v>
      </c>
      <c r="E12358" s="275">
        <f t="shared" si="1803"/>
        <v>45615</v>
      </c>
      <c r="F12358" s="479" t="s">
        <v>275</v>
      </c>
      <c r="G12358" s="174" t="s">
        <v>74</v>
      </c>
      <c r="H12358" s="174" t="str" cm="1">
        <f t="array" ref="H12358">IFERROR(INDEX(INVESTOR_LIST[INVESTOR NAME],MATCH(I12358,INVESTOR_LIST[INVESTOR CODE],0),)," ")</f>
        <v xml:space="preserve"> </v>
      </c>
      <c r="I12358" s="148" t="s">
        <v>348</v>
      </c>
      <c r="J12358" s="149" t="s">
        <v>163</v>
      </c>
      <c r="K12358" s="218">
        <v>1575</v>
      </c>
      <c r="L12358" s="218"/>
      <c r="M12358" s="147"/>
      <c r="Q12358" s="133" t="s">
        <v>348</v>
      </c>
    </row>
    <row r="12359" spans="1:17" x14ac:dyDescent="0.2">
      <c r="A12359" s="133">
        <v>2024</v>
      </c>
      <c r="B12359" s="133">
        <v>11</v>
      </c>
      <c r="C12359" s="133">
        <v>19</v>
      </c>
      <c r="D12359" s="141">
        <f t="shared" si="1802"/>
        <v>45615</v>
      </c>
      <c r="E12359" s="275">
        <f t="shared" si="1803"/>
        <v>45615</v>
      </c>
      <c r="F12359" s="481"/>
      <c r="G12359" s="174" t="s">
        <v>74</v>
      </c>
      <c r="H12359" s="174" t="str" cm="1">
        <f t="array" ref="H12359">IFERROR(INDEX(INVESTOR_LIST[INVESTOR NAME],MATCH(I12359,INVESTOR_LIST[INVESTOR CODE],0),)," ")</f>
        <v xml:space="preserve"> </v>
      </c>
      <c r="J12359" s="149" t="s">
        <v>1907</v>
      </c>
      <c r="K12359" s="218"/>
      <c r="L12359" s="218">
        <v>150</v>
      </c>
      <c r="M12359" s="147"/>
    </row>
    <row r="12360" spans="1:17" x14ac:dyDescent="0.2">
      <c r="A12360" s="163">
        <v>2024</v>
      </c>
      <c r="B12360" s="163">
        <v>11</v>
      </c>
      <c r="C12360" s="163">
        <v>19</v>
      </c>
      <c r="D12360" s="280">
        <f t="shared" si="1802"/>
        <v>45615</v>
      </c>
      <c r="E12360" s="281">
        <f t="shared" si="1803"/>
        <v>45615</v>
      </c>
      <c r="F12360" s="480"/>
      <c r="G12360" s="221" t="s">
        <v>74</v>
      </c>
      <c r="H12360" s="221" t="str" cm="1">
        <f t="array" ref="H12360">IFERROR(INDEX(INVESTOR_LIST[INVESTOR NAME],MATCH(I12360,INVESTOR_LIST[INVESTOR CODE],0),)," ")</f>
        <v xml:space="preserve"> </v>
      </c>
      <c r="I12360" s="145"/>
      <c r="J12360" s="146" t="s">
        <v>52</v>
      </c>
      <c r="K12360" s="219"/>
      <c r="L12360" s="219">
        <v>1425</v>
      </c>
      <c r="M12360" s="147"/>
      <c r="Q12360" s="133" t="s">
        <v>348</v>
      </c>
    </row>
    <row r="12361" spans="1:17" x14ac:dyDescent="0.2">
      <c r="A12361" s="133">
        <v>2024</v>
      </c>
      <c r="B12361" s="168">
        <v>11</v>
      </c>
      <c r="C12361" s="168">
        <v>18</v>
      </c>
      <c r="D12361" s="141">
        <f t="shared" si="1802"/>
        <v>45614</v>
      </c>
      <c r="E12361" s="275">
        <f t="shared" si="1803"/>
        <v>45614</v>
      </c>
      <c r="F12361" s="481" t="s">
        <v>2008</v>
      </c>
      <c r="G12361" s="174" t="s">
        <v>94</v>
      </c>
      <c r="H12361" s="174" t="str" cm="1">
        <f t="array" ref="H12361">IFERROR(INDEX(INVESTOR_LIST[INVESTOR NAME],MATCH(I12361,INVESTOR_LIST[INVESTOR CODE],0),)," ")</f>
        <v xml:space="preserve"> </v>
      </c>
      <c r="I12361" s="148" t="s">
        <v>348</v>
      </c>
      <c r="J12361" s="149" t="s">
        <v>168</v>
      </c>
      <c r="K12361" s="218">
        <v>38760</v>
      </c>
      <c r="L12361" s="218"/>
    </row>
    <row r="12362" spans="1:17" x14ac:dyDescent="0.2">
      <c r="A12362" s="163">
        <v>2024</v>
      </c>
      <c r="B12362" s="163">
        <v>11</v>
      </c>
      <c r="C12362" s="163">
        <v>18</v>
      </c>
      <c r="D12362" s="141">
        <f t="shared" si="1802"/>
        <v>45614</v>
      </c>
      <c r="E12362" s="275">
        <f t="shared" si="1803"/>
        <v>45614</v>
      </c>
      <c r="F12362" s="480"/>
      <c r="G12362" s="221" t="s">
        <v>94</v>
      </c>
      <c r="H12362" s="221" t="str" cm="1">
        <f t="array" ref="H12362">IFERROR(INDEX(INVESTOR_LIST[INVESTOR NAME],MATCH(I12362,INVESTOR_LIST[INVESTOR CODE],0),)," ")</f>
        <v xml:space="preserve"> </v>
      </c>
      <c r="I12362" s="145" t="s">
        <v>348</v>
      </c>
      <c r="J12362" s="146" t="s">
        <v>166</v>
      </c>
      <c r="K12362" s="219"/>
      <c r="L12362" s="219">
        <v>38760</v>
      </c>
    </row>
    <row r="12363" spans="1:17" x14ac:dyDescent="0.2">
      <c r="A12363" s="133">
        <v>2024</v>
      </c>
      <c r="B12363" s="168">
        <v>11</v>
      </c>
      <c r="C12363" s="168">
        <v>20</v>
      </c>
      <c r="D12363" s="141">
        <f t="shared" ref="D12363:D12364" si="1806">DATE(A12363,B12363,C12363)</f>
        <v>45616</v>
      </c>
      <c r="E12363" s="275">
        <f t="shared" ref="E12363:E12364" si="1807">DATE(A12363,B12363,C12363)</f>
        <v>45616</v>
      </c>
      <c r="F12363" s="481" t="s">
        <v>2010</v>
      </c>
      <c r="G12363" s="174" t="s">
        <v>94</v>
      </c>
      <c r="H12363" s="174" t="str" cm="1">
        <f t="array" ref="H12363">IFERROR(INDEX(INVESTOR_LIST[INVESTOR NAME],MATCH(I12363,INVESTOR_LIST[INVESTOR CODE],0),)," ")</f>
        <v xml:space="preserve"> </v>
      </c>
      <c r="I12363" s="148" t="s">
        <v>348</v>
      </c>
      <c r="J12363" s="149" t="s">
        <v>168</v>
      </c>
      <c r="K12363" s="218">
        <v>68250</v>
      </c>
      <c r="L12363" s="218"/>
    </row>
    <row r="12364" spans="1:17" x14ac:dyDescent="0.2">
      <c r="A12364" s="163">
        <v>2024</v>
      </c>
      <c r="B12364" s="163">
        <v>11</v>
      </c>
      <c r="C12364" s="163">
        <v>20</v>
      </c>
      <c r="D12364" s="141">
        <f t="shared" si="1806"/>
        <v>45616</v>
      </c>
      <c r="E12364" s="275">
        <f t="shared" si="1807"/>
        <v>45616</v>
      </c>
      <c r="F12364" s="480"/>
      <c r="G12364" s="221" t="s">
        <v>94</v>
      </c>
      <c r="H12364" s="221" t="str" cm="1">
        <f t="array" ref="H12364">IFERROR(INDEX(INVESTOR_LIST[INVESTOR NAME],MATCH(I12364,INVESTOR_LIST[INVESTOR CODE],0),)," ")</f>
        <v xml:space="preserve"> </v>
      </c>
      <c r="I12364" s="145" t="s">
        <v>348</v>
      </c>
      <c r="J12364" s="146" t="s">
        <v>166</v>
      </c>
      <c r="K12364" s="219"/>
      <c r="L12364" s="218">
        <v>68250</v>
      </c>
    </row>
    <row r="12365" spans="1:17" ht="11.25" customHeight="1" x14ac:dyDescent="0.2">
      <c r="A12365" s="133">
        <v>2024</v>
      </c>
      <c r="B12365" s="168">
        <v>11</v>
      </c>
      <c r="C12365" s="168">
        <v>20</v>
      </c>
      <c r="D12365" s="141">
        <f>DATE(A12365,B12365,C12365)</f>
        <v>45616</v>
      </c>
      <c r="E12365" s="275">
        <f>DATE(A12365,B12365,C12365)</f>
        <v>45616</v>
      </c>
      <c r="F12365" s="481" t="s">
        <v>2007</v>
      </c>
      <c r="G12365" s="174" t="s">
        <v>74</v>
      </c>
      <c r="H12365" s="174" t="str" cm="1">
        <f t="array" ref="H12365">IFERROR(INDEX(INVESTOR_LIST[INVESTOR NAME],MATCH(I12365,INVESTOR_LIST[INVESTOR CODE],0),)," ")</f>
        <v xml:space="preserve"> </v>
      </c>
      <c r="I12365" s="148" t="s">
        <v>348</v>
      </c>
      <c r="J12365" s="149" t="s">
        <v>52</v>
      </c>
      <c r="K12365" s="218">
        <v>981826.31</v>
      </c>
      <c r="L12365" s="218"/>
      <c r="M12365" s="147"/>
      <c r="Q12365" s="133" t="s">
        <v>348</v>
      </c>
    </row>
    <row r="12366" spans="1:17" x14ac:dyDescent="0.2">
      <c r="A12366" s="133">
        <v>2024</v>
      </c>
      <c r="B12366" s="133">
        <v>11</v>
      </c>
      <c r="C12366" s="133">
        <v>20</v>
      </c>
      <c r="D12366" s="141">
        <f t="shared" ref="D12366" si="1808">DATE(A12366,B12366,C12366)</f>
        <v>45616</v>
      </c>
      <c r="E12366" s="275">
        <f t="shared" ref="E12366" si="1809">DATE(A12366,B12366,C12366)</f>
        <v>45616</v>
      </c>
      <c r="F12366" s="481"/>
      <c r="G12366" s="174" t="s">
        <v>74</v>
      </c>
      <c r="H12366" s="174" t="str" cm="1">
        <f t="array" ref="H12366">IFERROR(INDEX(INVESTOR_LIST[INVESTOR NAME],MATCH(I12366,INVESTOR_LIST[INVESTOR CODE],0),)," ")</f>
        <v xml:space="preserve"> </v>
      </c>
      <c r="J12366" s="149" t="s">
        <v>1810</v>
      </c>
      <c r="K12366" s="218"/>
      <c r="L12366" s="218">
        <v>4409.7900000000373</v>
      </c>
      <c r="M12366" s="147"/>
    </row>
    <row r="12367" spans="1:17" x14ac:dyDescent="0.2">
      <c r="A12367" s="163">
        <v>2024</v>
      </c>
      <c r="B12367" s="163">
        <v>11</v>
      </c>
      <c r="C12367" s="163">
        <v>20</v>
      </c>
      <c r="D12367" s="280">
        <f>DATE(A12367,B12367,C12367)</f>
        <v>45616</v>
      </c>
      <c r="E12367" s="281">
        <f>DATE(A12367,B12367,C12367)</f>
        <v>45616</v>
      </c>
      <c r="F12367" s="480"/>
      <c r="G12367" s="221" t="s">
        <v>74</v>
      </c>
      <c r="H12367" s="221" t="str" cm="1">
        <f t="array" ref="H12367">IFERROR(INDEX(INVESTOR_LIST[INVESTOR NAME],MATCH(I12367,INVESTOR_LIST[INVESTOR CODE],0),)," ")</f>
        <v xml:space="preserve"> </v>
      </c>
      <c r="I12367" s="145"/>
      <c r="J12367" s="146" t="s">
        <v>1805</v>
      </c>
      <c r="K12367" s="219"/>
      <c r="L12367" s="219">
        <v>977416.52</v>
      </c>
      <c r="M12367" s="147"/>
      <c r="Q12367" s="133" t="s">
        <v>348</v>
      </c>
    </row>
    <row r="12368" spans="1:17" x14ac:dyDescent="0.2">
      <c r="A12368" s="168">
        <v>2024</v>
      </c>
      <c r="B12368" s="168">
        <v>11</v>
      </c>
      <c r="C12368" s="168">
        <v>20</v>
      </c>
      <c r="D12368" s="141">
        <f t="shared" ref="D12368:D12370" si="1810">DATE(A12368,B12368,C12368)</f>
        <v>45616</v>
      </c>
      <c r="E12368" s="275">
        <f t="shared" ref="E12368:E12370" si="1811">DATE(A12368,B12368,C12368)</f>
        <v>45616</v>
      </c>
      <c r="F12368" s="479" t="s">
        <v>362</v>
      </c>
      <c r="G12368" s="220" t="s">
        <v>74</v>
      </c>
      <c r="H12368" s="220" t="str" cm="1">
        <f t="array" ref="H12368">IFERROR(INDEX(INVESTOR_LIST[INVESTOR NAME],MATCH(I12368,INVESTOR_LIST[INVESTOR CODE],0),)," ")</f>
        <v xml:space="preserve"> </v>
      </c>
      <c r="I12368" s="142" t="s">
        <v>348</v>
      </c>
      <c r="J12368" s="143" t="s">
        <v>104</v>
      </c>
      <c r="K12368" s="226">
        <v>1599.39</v>
      </c>
      <c r="L12368" s="226"/>
    </row>
    <row r="12369" spans="1:13" x14ac:dyDescent="0.2">
      <c r="A12369" s="133">
        <v>2024</v>
      </c>
      <c r="B12369" s="133">
        <v>11</v>
      </c>
      <c r="C12369" s="133">
        <v>20</v>
      </c>
      <c r="D12369" s="147">
        <f t="shared" si="1810"/>
        <v>45616</v>
      </c>
      <c r="E12369" s="311">
        <f t="shared" si="1811"/>
        <v>45616</v>
      </c>
      <c r="F12369" s="481"/>
      <c r="G12369" s="174" t="s">
        <v>74</v>
      </c>
      <c r="H12369" s="174" t="str" cm="1">
        <f t="array" ref="H12369">IFERROR(INDEX(INVESTOR_LIST[INVESTOR NAME],MATCH(I12369,INVESTOR_LIST[INVESTOR CODE],0),)," ")</f>
        <v xml:space="preserve"> </v>
      </c>
      <c r="J12369" s="149" t="s">
        <v>534</v>
      </c>
      <c r="K12369" s="218"/>
      <c r="L12369" s="218">
        <v>159.94</v>
      </c>
    </row>
    <row r="12370" spans="1:13" x14ac:dyDescent="0.2">
      <c r="A12370" s="163">
        <v>2024</v>
      </c>
      <c r="B12370" s="163">
        <v>11</v>
      </c>
      <c r="C12370" s="163">
        <v>20</v>
      </c>
      <c r="D12370" s="144">
        <f t="shared" si="1810"/>
        <v>45616</v>
      </c>
      <c r="E12370" s="313">
        <f t="shared" si="1811"/>
        <v>45616</v>
      </c>
      <c r="F12370" s="480"/>
      <c r="G12370" s="221" t="s">
        <v>74</v>
      </c>
      <c r="H12370" s="221" t="str" cm="1">
        <f t="array" ref="H12370">IFERROR(INDEX(INVESTOR_LIST[INVESTOR NAME],MATCH(I12370,INVESTOR_LIST[INVESTOR CODE],0),)," ")</f>
        <v xml:space="preserve"> </v>
      </c>
      <c r="I12370" s="145" t="s">
        <v>348</v>
      </c>
      <c r="J12370" s="146" t="s">
        <v>52</v>
      </c>
      <c r="K12370" s="219"/>
      <c r="L12370" s="219">
        <v>1439.45</v>
      </c>
    </row>
    <row r="12371" spans="1:13" x14ac:dyDescent="0.2">
      <c r="A12371" s="168">
        <v>2024</v>
      </c>
      <c r="B12371" s="168">
        <v>11</v>
      </c>
      <c r="C12371" s="168">
        <v>20</v>
      </c>
      <c r="D12371" s="141">
        <f t="shared" ref="D12371:D12391" si="1812">DATE(A12371,B12371,C12371)</f>
        <v>45616</v>
      </c>
      <c r="E12371" s="275">
        <f t="shared" ref="E12371:E12391" si="1813">DATE(A12371,B12371,C12371)</f>
        <v>45616</v>
      </c>
      <c r="F12371" s="479" t="s">
        <v>362</v>
      </c>
      <c r="G12371" s="220" t="s">
        <v>74</v>
      </c>
      <c r="H12371" s="220" t="str" cm="1">
        <f t="array" ref="H12371">IFERROR(INDEX(INVESTOR_LIST[INVESTOR NAME],MATCH(I12371,INVESTOR_LIST[INVESTOR CODE],0),)," ")</f>
        <v xml:space="preserve"> </v>
      </c>
      <c r="I12371" s="142" t="s">
        <v>348</v>
      </c>
      <c r="J12371" s="143" t="s">
        <v>104</v>
      </c>
      <c r="K12371" s="226">
        <v>1432.56</v>
      </c>
      <c r="L12371" s="226"/>
    </row>
    <row r="12372" spans="1:13" x14ac:dyDescent="0.2">
      <c r="A12372" s="133">
        <v>2024</v>
      </c>
      <c r="B12372" s="133">
        <v>11</v>
      </c>
      <c r="C12372" s="133">
        <v>20</v>
      </c>
      <c r="D12372" s="147">
        <f t="shared" si="1812"/>
        <v>45616</v>
      </c>
      <c r="E12372" s="311">
        <f t="shared" si="1813"/>
        <v>45616</v>
      </c>
      <c r="F12372" s="481"/>
      <c r="G12372" s="174" t="s">
        <v>74</v>
      </c>
      <c r="H12372" s="174" t="str" cm="1">
        <f t="array" ref="H12372">IFERROR(INDEX(INVESTOR_LIST[INVESTOR NAME],MATCH(I12372,INVESTOR_LIST[INVESTOR CODE],0),)," ")</f>
        <v xml:space="preserve"> </v>
      </c>
      <c r="J12372" s="149" t="s">
        <v>534</v>
      </c>
      <c r="K12372" s="218"/>
      <c r="L12372" s="218">
        <v>143.26</v>
      </c>
    </row>
    <row r="12373" spans="1:13" x14ac:dyDescent="0.2">
      <c r="A12373" s="163">
        <v>2024</v>
      </c>
      <c r="B12373" s="163">
        <v>11</v>
      </c>
      <c r="C12373" s="163">
        <v>20</v>
      </c>
      <c r="D12373" s="144">
        <f t="shared" si="1812"/>
        <v>45616</v>
      </c>
      <c r="E12373" s="313">
        <f t="shared" si="1813"/>
        <v>45616</v>
      </c>
      <c r="F12373" s="480"/>
      <c r="G12373" s="221" t="s">
        <v>74</v>
      </c>
      <c r="H12373" s="221" t="str" cm="1">
        <f t="array" ref="H12373">IFERROR(INDEX(INVESTOR_LIST[INVESTOR NAME],MATCH(I12373,INVESTOR_LIST[INVESTOR CODE],0),)," ")</f>
        <v xml:space="preserve"> </v>
      </c>
      <c r="I12373" s="145" t="s">
        <v>348</v>
      </c>
      <c r="J12373" s="146" t="s">
        <v>52</v>
      </c>
      <c r="K12373" s="219"/>
      <c r="L12373" s="219">
        <v>1289.3</v>
      </c>
    </row>
    <row r="12374" spans="1:13" x14ac:dyDescent="0.2">
      <c r="A12374" s="168">
        <v>2024</v>
      </c>
      <c r="B12374" s="168">
        <v>11</v>
      </c>
      <c r="C12374" s="168">
        <v>21</v>
      </c>
      <c r="D12374" s="141">
        <f t="shared" si="1812"/>
        <v>45617</v>
      </c>
      <c r="E12374" s="275">
        <f t="shared" si="1813"/>
        <v>45617</v>
      </c>
      <c r="F12374" s="479" t="s">
        <v>2026</v>
      </c>
      <c r="G12374" s="220" t="s">
        <v>74</v>
      </c>
      <c r="H12374" s="142" t="str" cm="1">
        <f t="array" ref="H12374">IFERROR(INDEX(INVESTOR_LIST[INVESTOR NAME],MATCH(I12374,INVESTOR_LIST[INVESTOR CODE],0),)," ")</f>
        <v xml:space="preserve"> </v>
      </c>
      <c r="I12374" s="142"/>
      <c r="J12374" s="168" t="s">
        <v>168</v>
      </c>
      <c r="K12374" s="226">
        <v>396198</v>
      </c>
      <c r="L12374" s="226"/>
    </row>
    <row r="12375" spans="1:13" x14ac:dyDescent="0.2">
      <c r="A12375" s="163">
        <v>2024</v>
      </c>
      <c r="B12375" s="163">
        <v>11</v>
      </c>
      <c r="C12375" s="163">
        <v>21</v>
      </c>
      <c r="D12375" s="141">
        <f t="shared" si="1812"/>
        <v>45617</v>
      </c>
      <c r="E12375" s="275">
        <f t="shared" si="1813"/>
        <v>45617</v>
      </c>
      <c r="F12375" s="480"/>
      <c r="G12375" s="221" t="s">
        <v>74</v>
      </c>
      <c r="H12375" s="145" t="str" cm="1">
        <f t="array" ref="H12375">IFERROR(INDEX(INVESTOR_LIST[INVESTOR NAME],MATCH(I12375,INVESTOR_LIST[INVESTOR CODE],0),)," ")</f>
        <v xml:space="preserve"> </v>
      </c>
      <c r="I12375" s="145"/>
      <c r="J12375" s="163" t="s">
        <v>166</v>
      </c>
      <c r="K12375" s="219"/>
      <c r="L12375" s="219">
        <v>396198</v>
      </c>
    </row>
    <row r="12376" spans="1:13" x14ac:dyDescent="0.2">
      <c r="A12376" s="325">
        <v>2024</v>
      </c>
      <c r="B12376" s="325">
        <v>11</v>
      </c>
      <c r="C12376" s="325">
        <v>21</v>
      </c>
      <c r="D12376" s="326">
        <f t="shared" si="1812"/>
        <v>45617</v>
      </c>
      <c r="E12376" s="327">
        <f t="shared" si="1813"/>
        <v>45617</v>
      </c>
      <c r="F12376" s="473" t="s">
        <v>1940</v>
      </c>
      <c r="G12376" s="340" t="s">
        <v>94</v>
      </c>
      <c r="H12376" s="340" t="str" cm="1">
        <f t="array" ref="H12376">IFERROR(INDEX(INVESTOR_LIST[INVESTOR NAME],MATCH(I12376,INVESTOR_LIST[INVESTOR CODE],0),)," ")</f>
        <v xml:space="preserve"> </v>
      </c>
      <c r="I12376" s="341" t="s">
        <v>348</v>
      </c>
      <c r="J12376" s="374" t="s">
        <v>133</v>
      </c>
      <c r="K12376" s="375">
        <v>12905.555555555549</v>
      </c>
      <c r="L12376" s="375"/>
    </row>
    <row r="12377" spans="1:13" x14ac:dyDescent="0.2">
      <c r="A12377" s="331">
        <v>2024</v>
      </c>
      <c r="B12377" s="331">
        <v>11</v>
      </c>
      <c r="C12377" s="331">
        <v>21</v>
      </c>
      <c r="D12377" s="326">
        <f t="shared" si="1812"/>
        <v>45617</v>
      </c>
      <c r="E12377" s="327">
        <f t="shared" si="1813"/>
        <v>45617</v>
      </c>
      <c r="F12377" s="474"/>
      <c r="G12377" s="332" t="s">
        <v>94</v>
      </c>
      <c r="H12377" s="332" t="str" cm="1">
        <f t="array" ref="H12377">IFERROR(INDEX(INVESTOR_LIST[INVESTOR NAME],MATCH(I12377,INVESTOR_LIST[INVESTOR CODE],0),)," ")</f>
        <v xml:space="preserve"> </v>
      </c>
      <c r="I12377" s="333" t="s">
        <v>348</v>
      </c>
      <c r="J12377" s="376" t="s">
        <v>60</v>
      </c>
      <c r="K12377" s="334"/>
      <c r="L12377" s="334">
        <v>12905.555555555549</v>
      </c>
    </row>
    <row r="12378" spans="1:13" x14ac:dyDescent="0.2">
      <c r="A12378" s="384">
        <v>2024</v>
      </c>
      <c r="B12378" s="384">
        <v>11</v>
      </c>
      <c r="C12378" s="384">
        <v>21</v>
      </c>
      <c r="D12378" s="385">
        <f t="shared" si="1812"/>
        <v>45617</v>
      </c>
      <c r="E12378" s="386">
        <f t="shared" si="1813"/>
        <v>45617</v>
      </c>
      <c r="F12378" s="475" t="s">
        <v>1966</v>
      </c>
      <c r="G12378" s="387" t="s">
        <v>94</v>
      </c>
      <c r="H12378" s="387" t="str" cm="1">
        <f t="array" ref="H12378">IFERROR(INDEX(INVESTOR_LIST[INVESTOR NAME],MATCH(I12378,INVESTOR_LIST[INVESTOR CODE],0),)," ")</f>
        <v xml:space="preserve"> </v>
      </c>
      <c r="I12378" s="388" t="s">
        <v>348</v>
      </c>
      <c r="J12378" s="389" t="s">
        <v>67</v>
      </c>
      <c r="K12378" s="390">
        <v>9242.2900000000009</v>
      </c>
      <c r="L12378" s="390"/>
    </row>
    <row r="12379" spans="1:13" x14ac:dyDescent="0.2">
      <c r="A12379" s="391">
        <v>2024</v>
      </c>
      <c r="B12379" s="391">
        <v>11</v>
      </c>
      <c r="C12379" s="391">
        <v>21</v>
      </c>
      <c r="D12379" s="385">
        <f t="shared" si="1812"/>
        <v>45617</v>
      </c>
      <c r="E12379" s="386">
        <f t="shared" si="1813"/>
        <v>45617</v>
      </c>
      <c r="F12379" s="476"/>
      <c r="G12379" s="392" t="s">
        <v>94</v>
      </c>
      <c r="H12379" s="392" t="str" cm="1">
        <f t="array" ref="H12379">IFERROR(INDEX(INVESTOR_LIST[INVESTOR NAME],MATCH(I12379,INVESTOR_LIST[INVESTOR CODE],0),)," ")</f>
        <v xml:space="preserve"> </v>
      </c>
      <c r="I12379" s="393" t="s">
        <v>348</v>
      </c>
      <c r="J12379" s="394" t="s">
        <v>60</v>
      </c>
      <c r="K12379" s="395"/>
      <c r="L12379" s="395">
        <f>K12378</f>
        <v>9242.2900000000009</v>
      </c>
    </row>
    <row r="12380" spans="1:13" x14ac:dyDescent="0.2">
      <c r="A12380" s="343">
        <v>2024</v>
      </c>
      <c r="B12380" s="343">
        <v>11</v>
      </c>
      <c r="C12380" s="343">
        <v>21</v>
      </c>
      <c r="D12380" s="344">
        <f t="shared" si="1812"/>
        <v>45617</v>
      </c>
      <c r="E12380" s="345">
        <f t="shared" si="1813"/>
        <v>45617</v>
      </c>
      <c r="F12380" s="483" t="s">
        <v>1813</v>
      </c>
      <c r="G12380" s="350" t="s">
        <v>94</v>
      </c>
      <c r="H12380" s="350" t="str" cm="1">
        <f t="array" ref="H12380">IFERROR(INDEX(INVESTOR_LIST[INVESTOR NAME],MATCH(I12380,INVESTOR_LIST[INVESTOR CODE],0),)," ")</f>
        <v xml:space="preserve"> </v>
      </c>
      <c r="I12380" s="352" t="s">
        <v>348</v>
      </c>
      <c r="J12380" s="353" t="s">
        <v>1798</v>
      </c>
      <c r="K12380" s="354">
        <v>26605</v>
      </c>
      <c r="L12380" s="354"/>
      <c r="M12380" s="133">
        <v>0</v>
      </c>
    </row>
    <row r="12381" spans="1:13" x14ac:dyDescent="0.2">
      <c r="A12381" s="346">
        <v>2024</v>
      </c>
      <c r="B12381" s="346">
        <v>11</v>
      </c>
      <c r="C12381" s="346">
        <v>21</v>
      </c>
      <c r="D12381" s="344">
        <f t="shared" si="1812"/>
        <v>45617</v>
      </c>
      <c r="E12381" s="345">
        <f t="shared" si="1813"/>
        <v>45617</v>
      </c>
      <c r="F12381" s="484"/>
      <c r="G12381" s="347" t="s">
        <v>94</v>
      </c>
      <c r="H12381" s="347" t="str" cm="1">
        <f t="array" ref="H12381">IFERROR(INDEX(INVESTOR_LIST[INVESTOR NAME],MATCH(I12381,INVESTOR_LIST[INVESTOR CODE],0),)," ")</f>
        <v xml:space="preserve"> </v>
      </c>
      <c r="I12381" s="348" t="s">
        <v>348</v>
      </c>
      <c r="J12381" s="355" t="s">
        <v>1807</v>
      </c>
      <c r="K12381" s="349"/>
      <c r="L12381" s="349">
        <f>K12380</f>
        <v>26605</v>
      </c>
    </row>
    <row r="12382" spans="1:13" x14ac:dyDescent="0.2">
      <c r="A12382" s="343">
        <v>2024</v>
      </c>
      <c r="B12382" s="343">
        <v>11</v>
      </c>
      <c r="C12382" s="343">
        <v>21</v>
      </c>
      <c r="D12382" s="344">
        <f t="shared" si="1812"/>
        <v>45617</v>
      </c>
      <c r="E12382" s="345">
        <f t="shared" si="1813"/>
        <v>45617</v>
      </c>
      <c r="F12382" s="483" t="s">
        <v>1913</v>
      </c>
      <c r="G12382" s="350" t="s">
        <v>94</v>
      </c>
      <c r="H12382" s="350" t="str" cm="1">
        <f t="array" ref="H12382">IFERROR(INDEX(INVESTOR_LIST[INVESTOR NAME],MATCH(I12382,INVESTOR_LIST[INVESTOR CODE],0),)," ")</f>
        <v xml:space="preserve"> </v>
      </c>
      <c r="I12382" s="352" t="s">
        <v>348</v>
      </c>
      <c r="J12382" s="353" t="s">
        <v>1799</v>
      </c>
      <c r="K12382" s="354">
        <v>64421.690000001341</v>
      </c>
      <c r="L12382" s="354"/>
      <c r="M12382" s="133">
        <v>0</v>
      </c>
    </row>
    <row r="12383" spans="1:13" x14ac:dyDescent="0.2">
      <c r="A12383" s="346">
        <v>2024</v>
      </c>
      <c r="B12383" s="346">
        <v>11</v>
      </c>
      <c r="C12383" s="346">
        <v>21</v>
      </c>
      <c r="D12383" s="344">
        <f t="shared" si="1812"/>
        <v>45617</v>
      </c>
      <c r="E12383" s="345">
        <f t="shared" si="1813"/>
        <v>45617</v>
      </c>
      <c r="F12383" s="484"/>
      <c r="G12383" s="347" t="s">
        <v>94</v>
      </c>
      <c r="H12383" s="347" t="str" cm="1">
        <f t="array" ref="H12383">IFERROR(INDEX(INVESTOR_LIST[INVESTOR NAME],MATCH(I12383,INVESTOR_LIST[INVESTOR CODE],0),)," ")</f>
        <v xml:space="preserve"> </v>
      </c>
      <c r="I12383" s="348" t="s">
        <v>348</v>
      </c>
      <c r="J12383" s="355" t="s">
        <v>1808</v>
      </c>
      <c r="K12383" s="349"/>
      <c r="L12383" s="349">
        <f>K12382</f>
        <v>64421.690000001341</v>
      </c>
    </row>
    <row r="12384" spans="1:13" ht="11.25" customHeight="1" x14ac:dyDescent="0.2">
      <c r="A12384" s="238">
        <v>2024</v>
      </c>
      <c r="B12384" s="238">
        <v>11</v>
      </c>
      <c r="C12384" s="238">
        <v>21</v>
      </c>
      <c r="D12384" s="270">
        <f t="shared" si="1812"/>
        <v>45617</v>
      </c>
      <c r="E12384" s="279">
        <f t="shared" si="1813"/>
        <v>45617</v>
      </c>
      <c r="F12384" s="477" t="s">
        <v>347</v>
      </c>
      <c r="G12384" s="239" t="s">
        <v>94</v>
      </c>
      <c r="H12384" s="239" t="str" cm="1">
        <f t="array" ref="H12384">IFERROR(INDEX(INVESTOR_LIST[INVESTOR NAME],MATCH(I12384,INVESTOR_LIST[INVESTOR CODE],0),)," ")</f>
        <v xml:space="preserve"> </v>
      </c>
      <c r="I12384" s="262" t="s">
        <v>348</v>
      </c>
      <c r="J12384" s="240" t="s">
        <v>82</v>
      </c>
      <c r="K12384" s="241">
        <v>1974597.7900000066</v>
      </c>
      <c r="L12384" s="241"/>
      <c r="M12384" s="133">
        <v>13139541.900000483</v>
      </c>
    </row>
    <row r="12385" spans="1:17" x14ac:dyDescent="0.2">
      <c r="A12385" s="242">
        <v>2024</v>
      </c>
      <c r="B12385" s="242">
        <v>11</v>
      </c>
      <c r="C12385" s="242">
        <v>21</v>
      </c>
      <c r="D12385" s="270">
        <f t="shared" si="1812"/>
        <v>45617</v>
      </c>
      <c r="E12385" s="279">
        <f t="shared" si="1813"/>
        <v>45617</v>
      </c>
      <c r="F12385" s="478"/>
      <c r="G12385" s="243" t="s">
        <v>94</v>
      </c>
      <c r="H12385" s="243" t="str" cm="1">
        <f t="array" ref="H12385">IFERROR(INDEX(INVESTOR_LIST[INVESTOR NAME],MATCH(I12385,INVESTOR_LIST[INVESTOR CODE],0),)," ")</f>
        <v xml:space="preserve"> </v>
      </c>
      <c r="I12385" s="263" t="s">
        <v>348</v>
      </c>
      <c r="J12385" s="244" t="s">
        <v>108</v>
      </c>
      <c r="K12385" s="245"/>
      <c r="L12385" s="245">
        <f>K12384</f>
        <v>1974597.7900000066</v>
      </c>
    </row>
    <row r="12386" spans="1:17" ht="11.25" customHeight="1" x14ac:dyDescent="0.2">
      <c r="A12386" s="246">
        <v>2024</v>
      </c>
      <c r="B12386" s="238">
        <v>11</v>
      </c>
      <c r="C12386" s="238">
        <v>21</v>
      </c>
      <c r="D12386" s="270">
        <f t="shared" si="1812"/>
        <v>45617</v>
      </c>
      <c r="E12386" s="279">
        <f t="shared" si="1813"/>
        <v>45617</v>
      </c>
      <c r="F12386" s="482" t="s">
        <v>148</v>
      </c>
      <c r="G12386" s="247" t="s">
        <v>94</v>
      </c>
      <c r="H12386" s="247" t="str" cm="1">
        <f t="array" ref="H12386">IFERROR(INDEX(INVESTOR_LIST[INVESTOR NAME],MATCH(I12386,INVESTOR_LIST[INVESTOR CODE],0),)," ")</f>
        <v xml:space="preserve"> </v>
      </c>
      <c r="I12386" s="248" t="s">
        <v>348</v>
      </c>
      <c r="J12386" s="249" t="s">
        <v>95</v>
      </c>
      <c r="K12386" s="250">
        <v>2747.2527472527472</v>
      </c>
      <c r="L12386" s="241"/>
    </row>
    <row r="12387" spans="1:17" x14ac:dyDescent="0.2">
      <c r="A12387" s="242">
        <v>2024</v>
      </c>
      <c r="B12387" s="242">
        <v>11</v>
      </c>
      <c r="C12387" s="242">
        <v>21</v>
      </c>
      <c r="D12387" s="270">
        <f t="shared" si="1812"/>
        <v>45617</v>
      </c>
      <c r="E12387" s="279">
        <f t="shared" si="1813"/>
        <v>45617</v>
      </c>
      <c r="F12387" s="478"/>
      <c r="G12387" s="243" t="s">
        <v>94</v>
      </c>
      <c r="H12387" s="243" t="str" cm="1">
        <f t="array" ref="H12387">IFERROR(INDEX(INVESTOR_LIST[INVESTOR NAME],MATCH(I12387,INVESTOR_LIST[INVESTOR CODE],0),)," ")</f>
        <v xml:space="preserve"> </v>
      </c>
      <c r="I12387" s="263" t="s">
        <v>348</v>
      </c>
      <c r="J12387" s="244" t="s">
        <v>63</v>
      </c>
      <c r="K12387" s="245"/>
      <c r="L12387" s="245">
        <v>2747.2527472527472</v>
      </c>
    </row>
    <row r="12388" spans="1:17" x14ac:dyDescent="0.2">
      <c r="A12388" s="246">
        <v>2024</v>
      </c>
      <c r="B12388" s="238">
        <v>11</v>
      </c>
      <c r="C12388" s="238">
        <v>21</v>
      </c>
      <c r="D12388" s="270">
        <f t="shared" si="1812"/>
        <v>45617</v>
      </c>
      <c r="E12388" s="279">
        <f t="shared" si="1813"/>
        <v>45617</v>
      </c>
      <c r="F12388" s="482" t="s">
        <v>137</v>
      </c>
      <c r="G12388" s="247" t="s">
        <v>94</v>
      </c>
      <c r="H12388" s="247" t="str" cm="1">
        <f t="array" ref="H12388">IFERROR(INDEX(INVESTOR_LIST[INVESTOR NAME],MATCH(I12388,INVESTOR_LIST[INVESTOR CODE],0),)," ")</f>
        <v xml:space="preserve"> </v>
      </c>
      <c r="I12388" s="248" t="s">
        <v>348</v>
      </c>
      <c r="J12388" s="249" t="s">
        <v>97</v>
      </c>
      <c r="K12388" s="250">
        <f>M12388</f>
        <v>58970.065997687903</v>
      </c>
      <c r="L12388" s="252"/>
      <c r="M12388" s="264">
        <v>58970.065997687903</v>
      </c>
    </row>
    <row r="12389" spans="1:17" x14ac:dyDescent="0.2">
      <c r="A12389" s="242">
        <v>2024</v>
      </c>
      <c r="B12389" s="242">
        <v>11</v>
      </c>
      <c r="C12389" s="242">
        <v>21</v>
      </c>
      <c r="D12389" s="270">
        <f t="shared" si="1812"/>
        <v>45617</v>
      </c>
      <c r="E12389" s="279">
        <f t="shared" si="1813"/>
        <v>45617</v>
      </c>
      <c r="F12389" s="478"/>
      <c r="G12389" s="243" t="s">
        <v>94</v>
      </c>
      <c r="H12389" s="243" t="str" cm="1">
        <f t="array" ref="H12389">IFERROR(INDEX(INVESTOR_LIST[INVESTOR NAME],MATCH(I12389,INVESTOR_LIST[INVESTOR CODE],0),)," ")</f>
        <v xml:space="preserve"> </v>
      </c>
      <c r="I12389" s="263" t="s">
        <v>348</v>
      </c>
      <c r="J12389" s="244" t="s">
        <v>47</v>
      </c>
      <c r="K12389" s="245"/>
      <c r="L12389" s="245">
        <f>K12388</f>
        <v>58970.065997687903</v>
      </c>
      <c r="M12389" s="264">
        <v>2708.1186844997796</v>
      </c>
    </row>
    <row r="12390" spans="1:17" x14ac:dyDescent="0.2">
      <c r="A12390" s="246">
        <v>2024</v>
      </c>
      <c r="B12390" s="238">
        <v>11</v>
      </c>
      <c r="C12390" s="238">
        <v>21</v>
      </c>
      <c r="D12390" s="270">
        <f t="shared" si="1812"/>
        <v>45617</v>
      </c>
      <c r="E12390" s="279">
        <f t="shared" si="1813"/>
        <v>45617</v>
      </c>
      <c r="F12390" s="482" t="s">
        <v>138</v>
      </c>
      <c r="G12390" s="247" t="s">
        <v>94</v>
      </c>
      <c r="H12390" s="247" t="str" cm="1">
        <f t="array" ref="H12390">IFERROR(INDEX(INVESTOR_LIST[INVESTOR NAME],MATCH(I12390,INVESTOR_LIST[INVESTOR CODE],0),)," ")</f>
        <v xml:space="preserve"> </v>
      </c>
      <c r="I12390" s="248" t="s">
        <v>348</v>
      </c>
      <c r="J12390" s="249" t="s">
        <v>100</v>
      </c>
      <c r="K12390" s="250">
        <f>M12389</f>
        <v>2708.1186844997796</v>
      </c>
      <c r="L12390" s="252"/>
    </row>
    <row r="12391" spans="1:17" x14ac:dyDescent="0.2">
      <c r="A12391" s="242">
        <v>2024</v>
      </c>
      <c r="B12391" s="242">
        <v>11</v>
      </c>
      <c r="C12391" s="242">
        <v>21</v>
      </c>
      <c r="D12391" s="321">
        <f t="shared" si="1812"/>
        <v>45617</v>
      </c>
      <c r="E12391" s="322">
        <f t="shared" si="1813"/>
        <v>45617</v>
      </c>
      <c r="F12391" s="478"/>
      <c r="G12391" s="243" t="s">
        <v>94</v>
      </c>
      <c r="H12391" s="243" t="str" cm="1">
        <f t="array" ref="H12391">IFERROR(INDEX(INVESTOR_LIST[INVESTOR NAME],MATCH(I12391,INVESTOR_LIST[INVESTOR CODE],0),)," ")</f>
        <v xml:space="preserve"> </v>
      </c>
      <c r="I12391" s="263" t="s">
        <v>348</v>
      </c>
      <c r="J12391" s="244" t="s">
        <v>48</v>
      </c>
      <c r="K12391" s="245"/>
      <c r="L12391" s="245">
        <f>K12390</f>
        <v>2708.1186844997796</v>
      </c>
    </row>
    <row r="12392" spans="1:17" ht="11.25" customHeight="1" x14ac:dyDescent="0.2">
      <c r="A12392" s="133">
        <v>2024</v>
      </c>
      <c r="B12392" s="168">
        <v>11</v>
      </c>
      <c r="C12392" s="168">
        <v>26</v>
      </c>
      <c r="D12392" s="141">
        <f>DATE(A12392,B12392,C12392)</f>
        <v>45622</v>
      </c>
      <c r="E12392" s="275">
        <f>DATE(A12392,B12392,C12392)</f>
        <v>45622</v>
      </c>
      <c r="F12392" s="481" t="s">
        <v>2011</v>
      </c>
      <c r="G12392" s="174" t="s">
        <v>74</v>
      </c>
      <c r="H12392" s="174" t="str" cm="1">
        <f t="array" ref="H12392">IFERROR(INDEX(INVESTOR_LIST[INVESTOR NAME],MATCH(I12392,INVESTOR_LIST[INVESTOR CODE],0),)," ")</f>
        <v xml:space="preserve"> </v>
      </c>
      <c r="I12392" s="148" t="s">
        <v>348</v>
      </c>
      <c r="J12392" s="149" t="s">
        <v>52</v>
      </c>
      <c r="K12392" s="218">
        <v>5000000</v>
      </c>
      <c r="L12392" s="218"/>
      <c r="M12392" s="147"/>
      <c r="Q12392" s="133" t="s">
        <v>348</v>
      </c>
    </row>
    <row r="12393" spans="1:17" x14ac:dyDescent="0.2">
      <c r="A12393" s="133">
        <v>2024</v>
      </c>
      <c r="B12393" s="133">
        <v>11</v>
      </c>
      <c r="C12393" s="133">
        <v>26</v>
      </c>
      <c r="D12393" s="141">
        <f t="shared" ref="D12393" si="1814">DATE(A12393,B12393,C12393)</f>
        <v>45622</v>
      </c>
      <c r="E12393" s="275">
        <f t="shared" ref="E12393" si="1815">DATE(A12393,B12393,C12393)</f>
        <v>45622</v>
      </c>
      <c r="F12393" s="481"/>
      <c r="G12393" s="174" t="s">
        <v>74</v>
      </c>
      <c r="H12393" s="174" t="str" cm="1">
        <f t="array" ref="H12393">IFERROR(INDEX(INVESTOR_LIST[INVESTOR NAME],MATCH(I12393,INVESTOR_LIST[INVESTOR CODE],0),)," ")</f>
        <v xml:space="preserve"> </v>
      </c>
      <c r="J12393" s="149" t="s">
        <v>1809</v>
      </c>
      <c r="K12393" s="218"/>
      <c r="L12393" s="218">
        <v>139830</v>
      </c>
      <c r="M12393" s="147"/>
    </row>
    <row r="12394" spans="1:17" x14ac:dyDescent="0.2">
      <c r="A12394" s="163">
        <v>2024</v>
      </c>
      <c r="B12394" s="163">
        <v>11</v>
      </c>
      <c r="C12394" s="163">
        <v>26</v>
      </c>
      <c r="D12394" s="280">
        <f>DATE(A12394,B12394,C12394)</f>
        <v>45622</v>
      </c>
      <c r="E12394" s="281">
        <f>DATE(A12394,B12394,C12394)</f>
        <v>45622</v>
      </c>
      <c r="F12394" s="480"/>
      <c r="G12394" s="221" t="s">
        <v>74</v>
      </c>
      <c r="H12394" s="221" t="str" cm="1">
        <f t="array" ref="H12394">IFERROR(INDEX(INVESTOR_LIST[INVESTOR NAME],MATCH(I12394,INVESTOR_LIST[INVESTOR CODE],0),)," ")</f>
        <v xml:space="preserve"> </v>
      </c>
      <c r="I12394" s="145"/>
      <c r="J12394" s="146" t="s">
        <v>1764</v>
      </c>
      <c r="K12394" s="219"/>
      <c r="L12394" s="219">
        <v>4860170</v>
      </c>
      <c r="M12394" s="147"/>
      <c r="Q12394" s="133" t="s">
        <v>348</v>
      </c>
    </row>
    <row r="12395" spans="1:17" ht="10.5" customHeight="1" x14ac:dyDescent="0.2">
      <c r="A12395" s="168">
        <v>2024</v>
      </c>
      <c r="B12395" s="168">
        <v>11</v>
      </c>
      <c r="C12395" s="133">
        <v>26</v>
      </c>
      <c r="D12395" s="141">
        <f t="shared" ref="D12395:D12397" si="1816">DATE(A12395,B12395,C12395)</f>
        <v>45622</v>
      </c>
      <c r="E12395" s="275">
        <f t="shared" ref="E12395:E12397" si="1817">DATE(A12395,B12395,C12395)</f>
        <v>45622</v>
      </c>
      <c r="F12395" s="479" t="s">
        <v>1319</v>
      </c>
      <c r="G12395" s="220" t="s">
        <v>74</v>
      </c>
      <c r="H12395" s="142" t="str" cm="1">
        <f t="array" ref="H12395">IFERROR(INDEX(INVESTOR_LIST[INVESTOR NAME],MATCH(I12395,INVESTOR_LIST[INVESTOR CODE],0),)," ")</f>
        <v xml:space="preserve"> </v>
      </c>
      <c r="I12395" s="142"/>
      <c r="J12395" s="168" t="s">
        <v>52</v>
      </c>
      <c r="K12395" s="226">
        <v>111000</v>
      </c>
      <c r="L12395" s="226"/>
    </row>
    <row r="12396" spans="1:17" ht="10.5" customHeight="1" x14ac:dyDescent="0.2">
      <c r="A12396" s="133">
        <v>2024</v>
      </c>
      <c r="B12396" s="133">
        <v>11</v>
      </c>
      <c r="C12396" s="133">
        <v>26</v>
      </c>
      <c r="D12396" s="141">
        <f t="shared" si="1816"/>
        <v>45622</v>
      </c>
      <c r="E12396" s="275">
        <f t="shared" si="1817"/>
        <v>45622</v>
      </c>
      <c r="F12396" s="481"/>
      <c r="G12396" s="174" t="s">
        <v>74</v>
      </c>
      <c r="H12396" s="148" t="str" cm="1">
        <f t="array" ref="H12396">IFERROR(INDEX(INVESTOR_LIST[INVESTOR NAME],MATCH(I12396,INVESTOR_LIST[INVESTOR CODE],0),)," ")</f>
        <v xml:space="preserve"> </v>
      </c>
      <c r="J12396" s="133" t="s">
        <v>13</v>
      </c>
      <c r="K12396" s="218"/>
      <c r="L12396" s="218">
        <v>87170</v>
      </c>
    </row>
    <row r="12397" spans="1:17" ht="11.25" customHeight="1" x14ac:dyDescent="0.2">
      <c r="A12397" s="163">
        <v>2024</v>
      </c>
      <c r="B12397" s="163">
        <v>11</v>
      </c>
      <c r="C12397" s="163">
        <v>26</v>
      </c>
      <c r="D12397" s="280">
        <f t="shared" si="1816"/>
        <v>45622</v>
      </c>
      <c r="E12397" s="281">
        <f t="shared" si="1817"/>
        <v>45622</v>
      </c>
      <c r="F12397" s="480"/>
      <c r="G12397" s="221" t="s">
        <v>74</v>
      </c>
      <c r="H12397" s="145" t="str" cm="1">
        <f t="array" ref="H12397">IFERROR(INDEX(INVESTOR_LIST[INVESTOR NAME],MATCH(I12397,INVESTOR_LIST[INVESTOR CODE],0),)," ")</f>
        <v xml:space="preserve"> </v>
      </c>
      <c r="I12397" s="145"/>
      <c r="J12397" s="163" t="s">
        <v>53</v>
      </c>
      <c r="K12397" s="219"/>
      <c r="L12397" s="219">
        <v>23830</v>
      </c>
    </row>
    <row r="12398" spans="1:17" ht="11.25" customHeight="1" x14ac:dyDescent="0.2">
      <c r="A12398" s="133">
        <v>2024</v>
      </c>
      <c r="B12398" s="168">
        <v>11</v>
      </c>
      <c r="C12398" s="168">
        <v>28</v>
      </c>
      <c r="D12398" s="141">
        <f>DATE(A12398,B12398,C12398)</f>
        <v>45624</v>
      </c>
      <c r="E12398" s="275">
        <f>DATE(A12398,B12398,C12398)</f>
        <v>45624</v>
      </c>
      <c r="F12398" s="481" t="s">
        <v>2012</v>
      </c>
      <c r="G12398" s="174" t="s">
        <v>74</v>
      </c>
      <c r="H12398" s="174" t="str" cm="1">
        <f t="array" ref="H12398">IFERROR(INDEX(INVESTOR_LIST[INVESTOR NAME],MATCH(I12398,INVESTOR_LIST[INVESTOR CODE],0),)," ")</f>
        <v xml:space="preserve"> </v>
      </c>
      <c r="I12398" s="148" t="s">
        <v>348</v>
      </c>
      <c r="J12398" s="149" t="s">
        <v>52</v>
      </c>
      <c r="K12398" s="218">
        <v>7586487</v>
      </c>
      <c r="L12398" s="218"/>
      <c r="M12398" s="147"/>
      <c r="Q12398" s="133" t="s">
        <v>348</v>
      </c>
    </row>
    <row r="12399" spans="1:17" x14ac:dyDescent="0.2">
      <c r="A12399" s="133">
        <v>2024</v>
      </c>
      <c r="B12399" s="133">
        <v>11</v>
      </c>
      <c r="C12399" s="133">
        <v>28</v>
      </c>
      <c r="D12399" s="141">
        <f t="shared" ref="D12399" si="1818">DATE(A12399,B12399,C12399)</f>
        <v>45624</v>
      </c>
      <c r="E12399" s="275">
        <f t="shared" ref="E12399" si="1819">DATE(A12399,B12399,C12399)</f>
        <v>45624</v>
      </c>
      <c r="F12399" s="481"/>
      <c r="G12399" s="174" t="s">
        <v>74</v>
      </c>
      <c r="H12399" s="174" t="str" cm="1">
        <f t="array" ref="H12399">IFERROR(INDEX(INVESTOR_LIST[INVESTOR NAME],MATCH(I12399,INVESTOR_LIST[INVESTOR CODE],0),)," ")</f>
        <v xml:space="preserve"> </v>
      </c>
      <c r="J12399" s="149" t="s">
        <v>1810</v>
      </c>
      <c r="K12399" s="218"/>
      <c r="L12399" s="218">
        <v>81004.5</v>
      </c>
      <c r="M12399" s="147"/>
    </row>
    <row r="12400" spans="1:17" x14ac:dyDescent="0.2">
      <c r="A12400" s="163">
        <v>2024</v>
      </c>
      <c r="B12400" s="163">
        <v>11</v>
      </c>
      <c r="C12400" s="163">
        <v>28</v>
      </c>
      <c r="D12400" s="280">
        <f>DATE(A12400,B12400,C12400)</f>
        <v>45624</v>
      </c>
      <c r="E12400" s="281">
        <f>DATE(A12400,B12400,C12400)</f>
        <v>45624</v>
      </c>
      <c r="F12400" s="480"/>
      <c r="G12400" s="221" t="s">
        <v>74</v>
      </c>
      <c r="H12400" s="221" t="str" cm="1">
        <f t="array" ref="H12400">IFERROR(INDEX(INVESTOR_LIST[INVESTOR NAME],MATCH(I12400,INVESTOR_LIST[INVESTOR CODE],0),)," ")</f>
        <v xml:space="preserve"> </v>
      </c>
      <c r="I12400" s="145"/>
      <c r="J12400" s="146" t="s">
        <v>1805</v>
      </c>
      <c r="K12400" s="219"/>
      <c r="L12400" s="219">
        <v>7505482.5</v>
      </c>
      <c r="M12400" s="147"/>
      <c r="Q12400" s="133" t="s">
        <v>348</v>
      </c>
    </row>
    <row r="12401" spans="1:13" x14ac:dyDescent="0.2">
      <c r="A12401" s="133">
        <v>2024</v>
      </c>
      <c r="B12401" s="133">
        <v>11</v>
      </c>
      <c r="C12401" s="168">
        <v>28</v>
      </c>
      <c r="D12401" s="147">
        <f>DATE(A12401,B12401,C12401)</f>
        <v>45624</v>
      </c>
      <c r="E12401" s="311">
        <f>DATE(A12401,B12401,C12401)</f>
        <v>45624</v>
      </c>
      <c r="F12401" s="479" t="s">
        <v>1943</v>
      </c>
      <c r="G12401" s="174" t="s">
        <v>74</v>
      </c>
      <c r="H12401" s="148" t="str" cm="1">
        <f t="array" ref="H12401">IFERROR(INDEX(INVESTOR_LIST[INVESTOR NAME],MATCH(I12401,INVESTOR_LIST[INVESTOR CODE],0),)," ")</f>
        <v xml:space="preserve"> </v>
      </c>
      <c r="I12401" s="148" t="s">
        <v>348</v>
      </c>
      <c r="J12401" s="133" t="s">
        <v>61</v>
      </c>
      <c r="K12401" s="172">
        <v>100</v>
      </c>
    </row>
    <row r="12402" spans="1:13" x14ac:dyDescent="0.2">
      <c r="A12402" s="163">
        <v>2024</v>
      </c>
      <c r="B12402" s="163">
        <v>11</v>
      </c>
      <c r="C12402" s="163">
        <v>28</v>
      </c>
      <c r="D12402" s="280">
        <f>DATE(A12402,B12402,C12402)</f>
        <v>45624</v>
      </c>
      <c r="E12402" s="281">
        <f>DATE(A12402,B12402,C12402)</f>
        <v>45624</v>
      </c>
      <c r="F12402" s="480"/>
      <c r="G12402" s="221" t="s">
        <v>74</v>
      </c>
      <c r="H12402" s="145" t="str" cm="1">
        <f t="array" ref="H12402">IFERROR(INDEX(INVESTOR_LIST[INVESTOR NAME],MATCH(I12402,INVESTOR_LIST[INVESTOR CODE],0),)," ")</f>
        <v xml:space="preserve"> </v>
      </c>
      <c r="I12402" s="145" t="s">
        <v>348</v>
      </c>
      <c r="J12402" s="163" t="s">
        <v>52</v>
      </c>
      <c r="K12402" s="219"/>
      <c r="L12402" s="219">
        <v>100</v>
      </c>
    </row>
    <row r="12403" spans="1:13" x14ac:dyDescent="0.2">
      <c r="A12403" s="168">
        <v>2024</v>
      </c>
      <c r="B12403" s="168">
        <v>11</v>
      </c>
      <c r="C12403" s="133">
        <v>28</v>
      </c>
      <c r="D12403" s="141">
        <f t="shared" ref="D12403:D12405" si="1820">DATE(A12403,B12403,C12403)</f>
        <v>45624</v>
      </c>
      <c r="E12403" s="275">
        <f t="shared" ref="E12403:E12405" si="1821">DATE(A12403,B12403,C12403)</f>
        <v>45624</v>
      </c>
      <c r="F12403" s="479" t="s">
        <v>1979</v>
      </c>
      <c r="G12403" s="220" t="s">
        <v>94</v>
      </c>
      <c r="H12403" s="220" t="str" cm="1">
        <f t="array" ref="H12403">IFERROR(INDEX(INVESTOR_LIST[INVESTOR NAME],MATCH(I12403,INVESTOR_LIST[INVESTOR CODE],0),)," ")</f>
        <v xml:space="preserve"> </v>
      </c>
      <c r="I12403" s="142"/>
      <c r="J12403" s="143" t="s">
        <v>79</v>
      </c>
      <c r="K12403" s="226">
        <v>1332813.5</v>
      </c>
      <c r="L12403" s="226"/>
      <c r="M12403" s="160"/>
    </row>
    <row r="12404" spans="1:13" x14ac:dyDescent="0.2">
      <c r="A12404" s="133">
        <v>2024</v>
      </c>
      <c r="B12404" s="133">
        <v>11</v>
      </c>
      <c r="C12404" s="133">
        <v>28</v>
      </c>
      <c r="D12404" s="141">
        <f t="shared" si="1820"/>
        <v>45624</v>
      </c>
      <c r="E12404" s="275">
        <f t="shared" si="1821"/>
        <v>45624</v>
      </c>
      <c r="F12404" s="481"/>
      <c r="G12404" s="174" t="s">
        <v>94</v>
      </c>
      <c r="H12404" s="174" t="str" cm="1">
        <f t="array" ref="H12404">IFERROR(INDEX(INVESTOR_LIST[INVESTOR NAME],MATCH(I12404,INVESTOR_LIST[INVESTOR CODE],0),)," ")</f>
        <v xml:space="preserve"> </v>
      </c>
      <c r="J12404" s="149" t="s">
        <v>80</v>
      </c>
      <c r="K12404" s="218">
        <v>2399.06</v>
      </c>
      <c r="L12404" s="133"/>
    </row>
    <row r="12405" spans="1:13" x14ac:dyDescent="0.2">
      <c r="A12405" s="163">
        <v>2024</v>
      </c>
      <c r="B12405" s="163">
        <v>11</v>
      </c>
      <c r="C12405" s="163">
        <v>28</v>
      </c>
      <c r="D12405" s="280">
        <f t="shared" si="1820"/>
        <v>45624</v>
      </c>
      <c r="E12405" s="281">
        <f t="shared" si="1821"/>
        <v>45624</v>
      </c>
      <c r="F12405" s="480"/>
      <c r="G12405" s="221" t="s">
        <v>94</v>
      </c>
      <c r="H12405" s="221" t="str" cm="1">
        <f t="array" ref="H12405">IFERROR(INDEX(INVESTOR_LIST[INVESTOR NAME],MATCH(I12405,INVESTOR_LIST[INVESTOR CODE],0),)," ")</f>
        <v xml:space="preserve"> </v>
      </c>
      <c r="I12405" s="145"/>
      <c r="J12405" s="146" t="s">
        <v>147</v>
      </c>
      <c r="K12405" s="219"/>
      <c r="L12405" s="219">
        <v>1335212.56</v>
      </c>
    </row>
    <row r="12406" spans="1:13" x14ac:dyDescent="0.2">
      <c r="A12406" s="325">
        <v>2024</v>
      </c>
      <c r="B12406" s="325">
        <v>11</v>
      </c>
      <c r="C12406" s="325">
        <v>28</v>
      </c>
      <c r="D12406" s="326">
        <f t="shared" ref="D12406:D12426" si="1822">DATE(A12406,B12406,C12406)</f>
        <v>45624</v>
      </c>
      <c r="E12406" s="327">
        <f t="shared" ref="E12406:E12426" si="1823">DATE(A12406,B12406,C12406)</f>
        <v>45624</v>
      </c>
      <c r="F12406" s="473" t="s">
        <v>1940</v>
      </c>
      <c r="G12406" s="340" t="s">
        <v>94</v>
      </c>
      <c r="H12406" s="340" t="str" cm="1">
        <f t="array" ref="H12406">IFERROR(INDEX(INVESTOR_LIST[INVESTOR NAME],MATCH(I12406,INVESTOR_LIST[INVESTOR CODE],0),)," ")</f>
        <v xml:space="preserve"> </v>
      </c>
      <c r="I12406" s="341" t="s">
        <v>348</v>
      </c>
      <c r="J12406" s="374" t="s">
        <v>133</v>
      </c>
      <c r="K12406" s="375">
        <v>12905.555555555549</v>
      </c>
      <c r="L12406" s="375"/>
    </row>
    <row r="12407" spans="1:13" x14ac:dyDescent="0.2">
      <c r="A12407" s="331">
        <v>2024</v>
      </c>
      <c r="B12407" s="331">
        <v>11</v>
      </c>
      <c r="C12407" s="331">
        <v>28</v>
      </c>
      <c r="D12407" s="326">
        <f t="shared" si="1822"/>
        <v>45624</v>
      </c>
      <c r="E12407" s="327">
        <f t="shared" si="1823"/>
        <v>45624</v>
      </c>
      <c r="F12407" s="474"/>
      <c r="G12407" s="332" t="s">
        <v>94</v>
      </c>
      <c r="H12407" s="332" t="str" cm="1">
        <f t="array" ref="H12407">IFERROR(INDEX(INVESTOR_LIST[INVESTOR NAME],MATCH(I12407,INVESTOR_LIST[INVESTOR CODE],0),)," ")</f>
        <v xml:space="preserve"> </v>
      </c>
      <c r="I12407" s="333" t="s">
        <v>348</v>
      </c>
      <c r="J12407" s="376" t="s">
        <v>60</v>
      </c>
      <c r="K12407" s="334"/>
      <c r="L12407" s="334">
        <v>12905.555555555549</v>
      </c>
    </row>
    <row r="12408" spans="1:13" x14ac:dyDescent="0.2">
      <c r="A12408" s="384">
        <v>2024</v>
      </c>
      <c r="B12408" s="384">
        <v>11</v>
      </c>
      <c r="C12408" s="384">
        <v>28</v>
      </c>
      <c r="D12408" s="385">
        <f t="shared" si="1822"/>
        <v>45624</v>
      </c>
      <c r="E12408" s="386">
        <f t="shared" si="1823"/>
        <v>45624</v>
      </c>
      <c r="F12408" s="475" t="s">
        <v>1966</v>
      </c>
      <c r="G12408" s="387" t="s">
        <v>94</v>
      </c>
      <c r="H12408" s="387" t="str" cm="1">
        <f t="array" ref="H12408">IFERROR(INDEX(INVESTOR_LIST[INVESTOR NAME],MATCH(I12408,INVESTOR_LIST[INVESTOR CODE],0),)," ")</f>
        <v xml:space="preserve"> </v>
      </c>
      <c r="I12408" s="388" t="s">
        <v>348</v>
      </c>
      <c r="J12408" s="389" t="s">
        <v>67</v>
      </c>
      <c r="K12408" s="390">
        <v>20148.490000000002</v>
      </c>
      <c r="L12408" s="390"/>
    </row>
    <row r="12409" spans="1:13" x14ac:dyDescent="0.2">
      <c r="A12409" s="391">
        <v>2024</v>
      </c>
      <c r="B12409" s="391">
        <v>11</v>
      </c>
      <c r="C12409" s="391">
        <v>28</v>
      </c>
      <c r="D12409" s="385">
        <f t="shared" si="1822"/>
        <v>45624</v>
      </c>
      <c r="E12409" s="386">
        <f t="shared" si="1823"/>
        <v>45624</v>
      </c>
      <c r="F12409" s="476"/>
      <c r="G12409" s="392" t="s">
        <v>94</v>
      </c>
      <c r="H12409" s="392" t="str" cm="1">
        <f t="array" ref="H12409">IFERROR(INDEX(INVESTOR_LIST[INVESTOR NAME],MATCH(I12409,INVESTOR_LIST[INVESTOR CODE],0),)," ")</f>
        <v xml:space="preserve"> </v>
      </c>
      <c r="I12409" s="393" t="s">
        <v>348</v>
      </c>
      <c r="J12409" s="394" t="s">
        <v>60</v>
      </c>
      <c r="K12409" s="395"/>
      <c r="L12409" s="395">
        <f>K12408</f>
        <v>20148.490000000002</v>
      </c>
    </row>
    <row r="12410" spans="1:13" x14ac:dyDescent="0.2">
      <c r="A12410" s="343">
        <v>2024</v>
      </c>
      <c r="B12410" s="343">
        <v>11</v>
      </c>
      <c r="C12410" s="343">
        <v>28</v>
      </c>
      <c r="D12410" s="344">
        <f t="shared" si="1822"/>
        <v>45624</v>
      </c>
      <c r="E12410" s="345">
        <f t="shared" si="1823"/>
        <v>45624</v>
      </c>
      <c r="F12410" s="483" t="s">
        <v>1813</v>
      </c>
      <c r="G12410" s="350" t="s">
        <v>94</v>
      </c>
      <c r="H12410" s="350" t="str" cm="1">
        <f t="array" ref="H12410">IFERROR(INDEX(INVESTOR_LIST[INVESTOR NAME],MATCH(I12410,INVESTOR_LIST[INVESTOR CODE],0),)," ")</f>
        <v xml:space="preserve"> </v>
      </c>
      <c r="I12410" s="352" t="s">
        <v>348</v>
      </c>
      <c r="J12410" s="353" t="s">
        <v>1807</v>
      </c>
      <c r="K12410" s="354">
        <v>119518</v>
      </c>
      <c r="L12410" s="354"/>
      <c r="M12410" s="133">
        <v>0</v>
      </c>
    </row>
    <row r="12411" spans="1:13" x14ac:dyDescent="0.2">
      <c r="A12411" s="346">
        <v>2024</v>
      </c>
      <c r="B12411" s="346">
        <v>11</v>
      </c>
      <c r="C12411" s="346">
        <v>28</v>
      </c>
      <c r="D12411" s="344">
        <f t="shared" si="1822"/>
        <v>45624</v>
      </c>
      <c r="E12411" s="345">
        <f t="shared" si="1823"/>
        <v>45624</v>
      </c>
      <c r="F12411" s="484"/>
      <c r="G12411" s="347" t="s">
        <v>94</v>
      </c>
      <c r="H12411" s="347" t="str" cm="1">
        <f t="array" ref="H12411">IFERROR(INDEX(INVESTOR_LIST[INVESTOR NAME],MATCH(I12411,INVESTOR_LIST[INVESTOR CODE],0),)," ")</f>
        <v xml:space="preserve"> </v>
      </c>
      <c r="I12411" s="348" t="s">
        <v>348</v>
      </c>
      <c r="J12411" s="355" t="s">
        <v>1798</v>
      </c>
      <c r="K12411" s="349"/>
      <c r="L12411" s="349">
        <f>K12410</f>
        <v>119518</v>
      </c>
    </row>
    <row r="12412" spans="1:13" x14ac:dyDescent="0.2">
      <c r="A12412" s="343">
        <v>2024</v>
      </c>
      <c r="B12412" s="343">
        <v>11</v>
      </c>
      <c r="C12412" s="343">
        <v>28</v>
      </c>
      <c r="D12412" s="344">
        <f t="shared" si="1822"/>
        <v>45624</v>
      </c>
      <c r="E12412" s="345">
        <f t="shared" si="1823"/>
        <v>45624</v>
      </c>
      <c r="F12412" s="483" t="s">
        <v>1913</v>
      </c>
      <c r="G12412" s="350" t="s">
        <v>94</v>
      </c>
      <c r="H12412" s="350" t="str" cm="1">
        <f t="array" ref="H12412">IFERROR(INDEX(INVESTOR_LIST[INVESTOR NAME],MATCH(I12412,INVESTOR_LIST[INVESTOR CODE],0),)," ")</f>
        <v xml:space="preserve"> </v>
      </c>
      <c r="I12412" s="352" t="s">
        <v>348</v>
      </c>
      <c r="J12412" s="353" t="s">
        <v>1808</v>
      </c>
      <c r="K12412" s="354">
        <v>17610.210000000894</v>
      </c>
      <c r="L12412" s="354"/>
      <c r="M12412" s="133">
        <v>0</v>
      </c>
    </row>
    <row r="12413" spans="1:13" x14ac:dyDescent="0.2">
      <c r="A12413" s="346">
        <v>2024</v>
      </c>
      <c r="B12413" s="346">
        <v>11</v>
      </c>
      <c r="C12413" s="346">
        <v>28</v>
      </c>
      <c r="D12413" s="344">
        <f t="shared" si="1822"/>
        <v>45624</v>
      </c>
      <c r="E12413" s="345">
        <f t="shared" si="1823"/>
        <v>45624</v>
      </c>
      <c r="F12413" s="484"/>
      <c r="G12413" s="347" t="s">
        <v>94</v>
      </c>
      <c r="H12413" s="347" t="str" cm="1">
        <f t="array" ref="H12413">IFERROR(INDEX(INVESTOR_LIST[INVESTOR NAME],MATCH(I12413,INVESTOR_LIST[INVESTOR CODE],0),)," ")</f>
        <v xml:space="preserve"> </v>
      </c>
      <c r="I12413" s="348" t="s">
        <v>348</v>
      </c>
      <c r="J12413" s="355" t="s">
        <v>1799</v>
      </c>
      <c r="K12413" s="349"/>
      <c r="L12413" s="349">
        <f>K12412</f>
        <v>17610.210000000894</v>
      </c>
    </row>
    <row r="12414" spans="1:13" ht="11.25" customHeight="1" x14ac:dyDescent="0.2">
      <c r="A12414" s="238">
        <v>2024</v>
      </c>
      <c r="B12414" s="238">
        <v>11</v>
      </c>
      <c r="C12414" s="238">
        <v>28</v>
      </c>
      <c r="D12414" s="270">
        <f t="shared" si="1822"/>
        <v>45624</v>
      </c>
      <c r="E12414" s="279">
        <f t="shared" si="1823"/>
        <v>45624</v>
      </c>
      <c r="F12414" s="477" t="s">
        <v>347</v>
      </c>
      <c r="G12414" s="239" t="s">
        <v>94</v>
      </c>
      <c r="H12414" s="239" t="str" cm="1">
        <f t="array" ref="H12414">IFERROR(INDEX(INVESTOR_LIST[INVESTOR NAME],MATCH(I12414,INVESTOR_LIST[INVESTOR CODE],0),)," ")</f>
        <v xml:space="preserve"> </v>
      </c>
      <c r="I12414" s="262" t="s">
        <v>348</v>
      </c>
      <c r="J12414" s="240" t="s">
        <v>82</v>
      </c>
      <c r="K12414" s="241">
        <v>793951.8599999994</v>
      </c>
      <c r="L12414" s="241"/>
      <c r="M12414" s="133">
        <v>13139541.900000483</v>
      </c>
    </row>
    <row r="12415" spans="1:13" x14ac:dyDescent="0.2">
      <c r="A12415" s="242">
        <v>2024</v>
      </c>
      <c r="B12415" s="242">
        <v>11</v>
      </c>
      <c r="C12415" s="242">
        <v>28</v>
      </c>
      <c r="D12415" s="270">
        <f t="shared" si="1822"/>
        <v>45624</v>
      </c>
      <c r="E12415" s="279">
        <f t="shared" si="1823"/>
        <v>45624</v>
      </c>
      <c r="F12415" s="478"/>
      <c r="G12415" s="243" t="s">
        <v>94</v>
      </c>
      <c r="H12415" s="243" t="str" cm="1">
        <f t="array" ref="H12415">IFERROR(INDEX(INVESTOR_LIST[INVESTOR NAME],MATCH(I12415,INVESTOR_LIST[INVESTOR CODE],0),)," ")</f>
        <v xml:space="preserve"> </v>
      </c>
      <c r="I12415" s="263" t="s">
        <v>348</v>
      </c>
      <c r="J12415" s="244" t="s">
        <v>108</v>
      </c>
      <c r="K12415" s="245"/>
      <c r="L12415" s="245">
        <f>K12414</f>
        <v>793951.8599999994</v>
      </c>
    </row>
    <row r="12416" spans="1:13" ht="11.25" customHeight="1" x14ac:dyDescent="0.2">
      <c r="A12416" s="246">
        <v>2024</v>
      </c>
      <c r="B12416" s="238">
        <v>11</v>
      </c>
      <c r="C12416" s="238">
        <v>28</v>
      </c>
      <c r="D12416" s="270">
        <f t="shared" si="1822"/>
        <v>45624</v>
      </c>
      <c r="E12416" s="279">
        <f t="shared" si="1823"/>
        <v>45624</v>
      </c>
      <c r="F12416" s="482" t="s">
        <v>148</v>
      </c>
      <c r="G12416" s="247" t="s">
        <v>94</v>
      </c>
      <c r="H12416" s="247" t="str" cm="1">
        <f t="array" ref="H12416">IFERROR(INDEX(INVESTOR_LIST[INVESTOR NAME],MATCH(I12416,INVESTOR_LIST[INVESTOR CODE],0),)," ")</f>
        <v xml:space="preserve"> </v>
      </c>
      <c r="I12416" s="248" t="s">
        <v>348</v>
      </c>
      <c r="J12416" s="249" t="s">
        <v>95</v>
      </c>
      <c r="K12416" s="250">
        <v>2747.2527472527472</v>
      </c>
      <c r="L12416" s="241"/>
    </row>
    <row r="12417" spans="1:17" x14ac:dyDescent="0.2">
      <c r="A12417" s="242">
        <v>2024</v>
      </c>
      <c r="B12417" s="242">
        <v>11</v>
      </c>
      <c r="C12417" s="242">
        <v>28</v>
      </c>
      <c r="D12417" s="270">
        <f t="shared" si="1822"/>
        <v>45624</v>
      </c>
      <c r="E12417" s="279">
        <f t="shared" si="1823"/>
        <v>45624</v>
      </c>
      <c r="F12417" s="478"/>
      <c r="G12417" s="243" t="s">
        <v>94</v>
      </c>
      <c r="H12417" s="243" t="str" cm="1">
        <f t="array" ref="H12417">IFERROR(INDEX(INVESTOR_LIST[INVESTOR NAME],MATCH(I12417,INVESTOR_LIST[INVESTOR CODE],0),)," ")</f>
        <v xml:space="preserve"> </v>
      </c>
      <c r="I12417" s="263" t="s">
        <v>348</v>
      </c>
      <c r="J12417" s="244" t="s">
        <v>63</v>
      </c>
      <c r="K12417" s="245"/>
      <c r="L12417" s="245">
        <v>2747.2527472527472</v>
      </c>
    </row>
    <row r="12418" spans="1:17" x14ac:dyDescent="0.2">
      <c r="A12418" s="246">
        <v>2024</v>
      </c>
      <c r="B12418" s="238">
        <v>11</v>
      </c>
      <c r="C12418" s="238">
        <v>28</v>
      </c>
      <c r="D12418" s="270">
        <f t="shared" si="1822"/>
        <v>45624</v>
      </c>
      <c r="E12418" s="279">
        <f t="shared" si="1823"/>
        <v>45624</v>
      </c>
      <c r="F12418" s="482" t="s">
        <v>137</v>
      </c>
      <c r="G12418" s="247" t="s">
        <v>94</v>
      </c>
      <c r="H12418" s="247" t="str" cm="1">
        <f t="array" ref="H12418">IFERROR(INDEX(INVESTOR_LIST[INVESTOR NAME],MATCH(I12418,INVESTOR_LIST[INVESTOR CODE],0),)," ")</f>
        <v xml:space="preserve"> </v>
      </c>
      <c r="I12418" s="248" t="s">
        <v>348</v>
      </c>
      <c r="J12418" s="249" t="s">
        <v>97</v>
      </c>
      <c r="K12418" s="250">
        <f>M12418</f>
        <v>58725.603127736402</v>
      </c>
      <c r="L12418" s="252"/>
      <c r="M12418" s="264">
        <v>58725.603127736402</v>
      </c>
    </row>
    <row r="12419" spans="1:17" x14ac:dyDescent="0.2">
      <c r="A12419" s="242">
        <v>2024</v>
      </c>
      <c r="B12419" s="242">
        <v>11</v>
      </c>
      <c r="C12419" s="242">
        <v>28</v>
      </c>
      <c r="D12419" s="270">
        <f t="shared" si="1822"/>
        <v>45624</v>
      </c>
      <c r="E12419" s="279">
        <f t="shared" si="1823"/>
        <v>45624</v>
      </c>
      <c r="F12419" s="478"/>
      <c r="G12419" s="243" t="s">
        <v>94</v>
      </c>
      <c r="H12419" s="243" t="str" cm="1">
        <f t="array" ref="H12419">IFERROR(INDEX(INVESTOR_LIST[INVESTOR NAME],MATCH(I12419,INVESTOR_LIST[INVESTOR CODE],0),)," ")</f>
        <v xml:space="preserve"> </v>
      </c>
      <c r="I12419" s="263" t="s">
        <v>348</v>
      </c>
      <c r="J12419" s="244" t="s">
        <v>47</v>
      </c>
      <c r="K12419" s="245"/>
      <c r="L12419" s="245">
        <f>K12418</f>
        <v>58725.603127736402</v>
      </c>
      <c r="M12419" s="264">
        <v>2695.8955410022049</v>
      </c>
    </row>
    <row r="12420" spans="1:17" x14ac:dyDescent="0.2">
      <c r="A12420" s="246">
        <v>2024</v>
      </c>
      <c r="B12420" s="238">
        <v>11</v>
      </c>
      <c r="C12420" s="238">
        <v>28</v>
      </c>
      <c r="D12420" s="270">
        <f t="shared" si="1822"/>
        <v>45624</v>
      </c>
      <c r="E12420" s="279">
        <f t="shared" si="1823"/>
        <v>45624</v>
      </c>
      <c r="F12420" s="482" t="s">
        <v>138</v>
      </c>
      <c r="G12420" s="247" t="s">
        <v>94</v>
      </c>
      <c r="H12420" s="247" t="str" cm="1">
        <f t="array" ref="H12420">IFERROR(INDEX(INVESTOR_LIST[INVESTOR NAME],MATCH(I12420,INVESTOR_LIST[INVESTOR CODE],0),)," ")</f>
        <v xml:space="preserve"> </v>
      </c>
      <c r="I12420" s="248" t="s">
        <v>348</v>
      </c>
      <c r="J12420" s="249" t="s">
        <v>100</v>
      </c>
      <c r="K12420" s="250">
        <f>M12419</f>
        <v>2695.8955410022049</v>
      </c>
      <c r="L12420" s="252"/>
    </row>
    <row r="12421" spans="1:17" x14ac:dyDescent="0.2">
      <c r="A12421" s="242">
        <v>2024</v>
      </c>
      <c r="B12421" s="242">
        <v>11</v>
      </c>
      <c r="C12421" s="242">
        <v>28</v>
      </c>
      <c r="D12421" s="321">
        <f t="shared" si="1822"/>
        <v>45624</v>
      </c>
      <c r="E12421" s="322">
        <f t="shared" si="1823"/>
        <v>45624</v>
      </c>
      <c r="F12421" s="478"/>
      <c r="G12421" s="243" t="s">
        <v>94</v>
      </c>
      <c r="H12421" s="243" t="str" cm="1">
        <f t="array" ref="H12421">IFERROR(INDEX(INVESTOR_LIST[INVESTOR NAME],MATCH(I12421,INVESTOR_LIST[INVESTOR CODE],0),)," ")</f>
        <v xml:space="preserve"> </v>
      </c>
      <c r="I12421" s="263" t="s">
        <v>348</v>
      </c>
      <c r="J12421" s="244" t="s">
        <v>48</v>
      </c>
      <c r="K12421" s="245"/>
      <c r="L12421" s="245">
        <f>K12420</f>
        <v>2695.8955410022049</v>
      </c>
    </row>
    <row r="12422" spans="1:17" ht="11.25" customHeight="1" x14ac:dyDescent="0.2">
      <c r="A12422" s="168">
        <v>2024</v>
      </c>
      <c r="B12422" s="168">
        <v>12</v>
      </c>
      <c r="C12422" s="168">
        <v>1</v>
      </c>
      <c r="D12422" s="141">
        <f t="shared" si="1822"/>
        <v>45627</v>
      </c>
      <c r="E12422" s="275">
        <f t="shared" si="1823"/>
        <v>45627</v>
      </c>
      <c r="F12422" s="479" t="s">
        <v>1315</v>
      </c>
      <c r="G12422" s="220" t="s">
        <v>74</v>
      </c>
      <c r="H12422" s="142" t="str" cm="1">
        <f t="array" ref="H12422">IFERROR(INDEX(INVESTOR_LIST[INVESTOR NAME],MATCH(I12422,INVESTOR_LIST[INVESTOR CODE],0),)," ")</f>
        <v>MINHAJ UDDIN</v>
      </c>
      <c r="I12422" s="142" t="s">
        <v>390</v>
      </c>
      <c r="J12422" s="168" t="s">
        <v>13</v>
      </c>
      <c r="K12422" s="226">
        <v>78920</v>
      </c>
      <c r="L12422" s="226"/>
    </row>
    <row r="12423" spans="1:17" ht="11.25" customHeight="1" x14ac:dyDescent="0.2">
      <c r="A12423" s="133">
        <v>2024</v>
      </c>
      <c r="B12423" s="133">
        <v>12</v>
      </c>
      <c r="C12423" s="133">
        <v>1</v>
      </c>
      <c r="D12423" s="141">
        <f t="shared" si="1822"/>
        <v>45627</v>
      </c>
      <c r="E12423" s="275">
        <f t="shared" si="1823"/>
        <v>45627</v>
      </c>
      <c r="F12423" s="481"/>
      <c r="G12423" s="174" t="s">
        <v>74</v>
      </c>
      <c r="H12423" s="148" t="str" cm="1">
        <f t="array" ref="H12423">IFERROR(INDEX(INVESTOR_LIST[INVESTOR NAME],MATCH(I12423,INVESTOR_LIST[INVESTOR CODE],0),)," ")</f>
        <v>MINHAJ UDDIN</v>
      </c>
      <c r="I12423" s="148" t="s">
        <v>390</v>
      </c>
      <c r="J12423" s="133" t="s">
        <v>53</v>
      </c>
      <c r="K12423" s="218">
        <v>21080</v>
      </c>
      <c r="L12423" s="218"/>
    </row>
    <row r="12424" spans="1:17" ht="11.25" customHeight="1" x14ac:dyDescent="0.2">
      <c r="A12424" s="163">
        <v>2024</v>
      </c>
      <c r="B12424" s="163">
        <v>12</v>
      </c>
      <c r="C12424" s="163">
        <v>1</v>
      </c>
      <c r="D12424" s="280">
        <f t="shared" si="1822"/>
        <v>45627</v>
      </c>
      <c r="E12424" s="281">
        <f t="shared" si="1823"/>
        <v>45627</v>
      </c>
      <c r="F12424" s="480"/>
      <c r="G12424" s="221" t="s">
        <v>74</v>
      </c>
      <c r="H12424" s="145" t="str" cm="1">
        <f t="array" ref="H12424">IFERROR(INDEX(INVESTOR_LIST[INVESTOR NAME],MATCH(I12424,INVESTOR_LIST[INVESTOR CODE],0),)," ")</f>
        <v>MINHAJ UDDIN</v>
      </c>
      <c r="I12424" s="145" t="s">
        <v>390</v>
      </c>
      <c r="J12424" s="163" t="s">
        <v>52</v>
      </c>
      <c r="K12424" s="219"/>
      <c r="L12424" s="219">
        <v>100000</v>
      </c>
    </row>
    <row r="12425" spans="1:17" ht="11.25" customHeight="1" x14ac:dyDescent="0.2">
      <c r="A12425" s="168">
        <v>2024</v>
      </c>
      <c r="B12425" s="133">
        <v>12</v>
      </c>
      <c r="C12425" s="168">
        <v>1</v>
      </c>
      <c r="D12425" s="141">
        <f t="shared" si="1822"/>
        <v>45627</v>
      </c>
      <c r="E12425" s="275">
        <f t="shared" si="1823"/>
        <v>45627</v>
      </c>
      <c r="F12425" s="479" t="s">
        <v>2002</v>
      </c>
      <c r="G12425" s="220" t="s">
        <v>74</v>
      </c>
      <c r="H12425" s="220" t="str" cm="1">
        <f t="array" ref="H12425">IFERROR(INDEX(INVESTOR_LIST[INVESTOR NAME],MATCH(I12425,INVESTOR_LIST[INVESTOR CODE],0),)," ")</f>
        <v xml:space="preserve"> </v>
      </c>
      <c r="I12425" s="142"/>
      <c r="J12425" s="143" t="s">
        <v>147</v>
      </c>
      <c r="K12425" s="226">
        <v>1335212.56</v>
      </c>
      <c r="L12425" s="226"/>
    </row>
    <row r="12426" spans="1:17" x14ac:dyDescent="0.2">
      <c r="A12426" s="163">
        <v>2024</v>
      </c>
      <c r="B12426" s="163">
        <v>12</v>
      </c>
      <c r="C12426" s="163">
        <v>1</v>
      </c>
      <c r="D12426" s="280">
        <f t="shared" si="1822"/>
        <v>45627</v>
      </c>
      <c r="E12426" s="281">
        <f t="shared" si="1823"/>
        <v>45627</v>
      </c>
      <c r="F12426" s="480"/>
      <c r="G12426" s="221" t="s">
        <v>74</v>
      </c>
      <c r="H12426" s="221" t="str" cm="1">
        <f t="array" ref="H12426">IFERROR(INDEX(INVESTOR_LIST[INVESTOR NAME],MATCH(I12426,INVESTOR_LIST[INVESTOR CODE],0),)," ")</f>
        <v xml:space="preserve"> </v>
      </c>
      <c r="I12426" s="145" t="s">
        <v>348</v>
      </c>
      <c r="J12426" s="146" t="s">
        <v>52</v>
      </c>
      <c r="K12426" s="219"/>
      <c r="L12426" s="219">
        <v>1335212.56</v>
      </c>
    </row>
    <row r="12427" spans="1:17" x14ac:dyDescent="0.2">
      <c r="A12427" s="133">
        <v>2024</v>
      </c>
      <c r="B12427" s="133">
        <v>12</v>
      </c>
      <c r="C12427" s="168">
        <v>1</v>
      </c>
      <c r="D12427" s="147">
        <f>DATE(A12427,B12427,C12427)</f>
        <v>45627</v>
      </c>
      <c r="E12427" s="311">
        <f>DATE(A12427,B12427,C12427)</f>
        <v>45627</v>
      </c>
      <c r="F12427" s="479" t="s">
        <v>1943</v>
      </c>
      <c r="G12427" s="174" t="s">
        <v>74</v>
      </c>
      <c r="H12427" s="148" t="str" cm="1">
        <f t="array" ref="H12427">IFERROR(INDEX(INVESTOR_LIST[INVESTOR NAME],MATCH(I12427,INVESTOR_LIST[INVESTOR CODE],0),)," ")</f>
        <v xml:space="preserve"> </v>
      </c>
      <c r="I12427" s="148" t="s">
        <v>348</v>
      </c>
      <c r="J12427" s="133" t="s">
        <v>61</v>
      </c>
      <c r="K12427" s="172">
        <v>100</v>
      </c>
    </row>
    <row r="12428" spans="1:17" x14ac:dyDescent="0.2">
      <c r="A12428" s="163">
        <v>2024</v>
      </c>
      <c r="B12428" s="163">
        <v>12</v>
      </c>
      <c r="C12428" s="163">
        <v>1</v>
      </c>
      <c r="D12428" s="280">
        <f>DATE(A12428,B12428,C12428)</f>
        <v>45627</v>
      </c>
      <c r="E12428" s="281">
        <f>DATE(A12428,B12428,C12428)</f>
        <v>45627</v>
      </c>
      <c r="F12428" s="480"/>
      <c r="G12428" s="221" t="s">
        <v>74</v>
      </c>
      <c r="H12428" s="145" t="str" cm="1">
        <f t="array" ref="H12428">IFERROR(INDEX(INVESTOR_LIST[INVESTOR NAME],MATCH(I12428,INVESTOR_LIST[INVESTOR CODE],0),)," ")</f>
        <v xml:space="preserve"> </v>
      </c>
      <c r="I12428" s="145" t="s">
        <v>348</v>
      </c>
      <c r="J12428" s="163" t="s">
        <v>52</v>
      </c>
      <c r="K12428" s="219"/>
      <c r="L12428" s="219">
        <v>100</v>
      </c>
    </row>
    <row r="12429" spans="1:17" ht="11.25" customHeight="1" x14ac:dyDescent="0.2">
      <c r="A12429" s="133">
        <v>2024</v>
      </c>
      <c r="B12429" s="168">
        <v>12</v>
      </c>
      <c r="C12429" s="168">
        <v>2</v>
      </c>
      <c r="D12429" s="141">
        <f>DATE(A12429,B12429,C12429)</f>
        <v>45628</v>
      </c>
      <c r="E12429" s="275">
        <f>DATE(A12429,B12429,C12429)</f>
        <v>45628</v>
      </c>
      <c r="F12429" s="481" t="s">
        <v>2013</v>
      </c>
      <c r="G12429" s="174" t="s">
        <v>74</v>
      </c>
      <c r="H12429" s="174" t="str" cm="1">
        <f t="array" ref="H12429">IFERROR(INDEX(INVESTOR_LIST[INVESTOR NAME],MATCH(I12429,INVESTOR_LIST[INVESTOR CODE],0),)," ")</f>
        <v xml:space="preserve"> </v>
      </c>
      <c r="I12429" s="148" t="s">
        <v>348</v>
      </c>
      <c r="J12429" s="149" t="s">
        <v>52</v>
      </c>
      <c r="K12429" s="218">
        <v>7000000</v>
      </c>
      <c r="L12429" s="218"/>
      <c r="M12429" s="147"/>
      <c r="Q12429" s="133" t="s">
        <v>348</v>
      </c>
    </row>
    <row r="12430" spans="1:17" x14ac:dyDescent="0.2">
      <c r="A12430" s="133">
        <v>2024</v>
      </c>
      <c r="B12430" s="133">
        <v>12</v>
      </c>
      <c r="C12430" s="133">
        <v>2</v>
      </c>
      <c r="D12430" s="141">
        <f t="shared" ref="D12430" si="1824">DATE(A12430,B12430,C12430)</f>
        <v>45628</v>
      </c>
      <c r="E12430" s="275">
        <f t="shared" ref="E12430" si="1825">DATE(A12430,B12430,C12430)</f>
        <v>45628</v>
      </c>
      <c r="F12430" s="481"/>
      <c r="G12430" s="174" t="s">
        <v>74</v>
      </c>
      <c r="H12430" s="174" t="str" cm="1">
        <f t="array" ref="H12430">IFERROR(INDEX(INVESTOR_LIST[INVESTOR NAME],MATCH(I12430,INVESTOR_LIST[INVESTOR CODE],0),)," ")</f>
        <v xml:space="preserve"> </v>
      </c>
      <c r="J12430" s="149" t="s">
        <v>1809</v>
      </c>
      <c r="K12430" s="218"/>
      <c r="L12430" s="218">
        <v>196035</v>
      </c>
      <c r="M12430" s="147"/>
    </row>
    <row r="12431" spans="1:17" x14ac:dyDescent="0.2">
      <c r="A12431" s="163">
        <v>2024</v>
      </c>
      <c r="B12431" s="163">
        <v>12</v>
      </c>
      <c r="C12431" s="163">
        <v>2</v>
      </c>
      <c r="D12431" s="280">
        <f>DATE(A12431,B12431,C12431)</f>
        <v>45628</v>
      </c>
      <c r="E12431" s="281">
        <f>DATE(A12431,B12431,C12431)</f>
        <v>45628</v>
      </c>
      <c r="F12431" s="480"/>
      <c r="G12431" s="221" t="s">
        <v>74</v>
      </c>
      <c r="H12431" s="221" t="str" cm="1">
        <f t="array" ref="H12431">IFERROR(INDEX(INVESTOR_LIST[INVESTOR NAME],MATCH(I12431,INVESTOR_LIST[INVESTOR CODE],0),)," ")</f>
        <v xml:space="preserve"> </v>
      </c>
      <c r="I12431" s="145"/>
      <c r="J12431" s="146" t="s">
        <v>1764</v>
      </c>
      <c r="K12431" s="219"/>
      <c r="L12431" s="219">
        <v>6803965</v>
      </c>
      <c r="M12431" s="147"/>
      <c r="Q12431" s="133" t="s">
        <v>348</v>
      </c>
    </row>
    <row r="12432" spans="1:17" ht="10.5" customHeight="1" x14ac:dyDescent="0.2">
      <c r="A12432" s="168">
        <v>2024</v>
      </c>
      <c r="B12432" s="168">
        <v>12</v>
      </c>
      <c r="C12432" s="168">
        <v>5</v>
      </c>
      <c r="D12432" s="141">
        <f>DATE(A12432,B12432,C12432)</f>
        <v>45631</v>
      </c>
      <c r="E12432" s="275">
        <f>DATE(A12432,B12432,C12432)</f>
        <v>45631</v>
      </c>
      <c r="F12432" s="479" t="s">
        <v>1319</v>
      </c>
      <c r="G12432" s="220" t="s">
        <v>74</v>
      </c>
      <c r="H12432" s="142" t="str" cm="1">
        <f t="array" ref="H12432">IFERROR(INDEX(INVESTOR_LIST[INVESTOR NAME],MATCH(I12432,INVESTOR_LIST[INVESTOR CODE],0),)," ")</f>
        <v xml:space="preserve"> </v>
      </c>
      <c r="I12432" s="142"/>
      <c r="J12432" s="168" t="s">
        <v>52</v>
      </c>
      <c r="K12432" s="226">
        <v>52000</v>
      </c>
      <c r="L12432" s="226"/>
    </row>
    <row r="12433" spans="1:13" ht="10.5" customHeight="1" x14ac:dyDescent="0.2">
      <c r="A12433" s="133">
        <v>2024</v>
      </c>
      <c r="B12433" s="133">
        <v>12</v>
      </c>
      <c r="C12433" s="133">
        <v>5</v>
      </c>
      <c r="D12433" s="141">
        <f>DATE(A12433,B12433,C12433)</f>
        <v>45631</v>
      </c>
      <c r="E12433" s="275">
        <f>DATE(A12433,B12433,C12433)</f>
        <v>45631</v>
      </c>
      <c r="F12433" s="481"/>
      <c r="G12433" s="174" t="s">
        <v>74</v>
      </c>
      <c r="H12433" s="148" t="str" cm="1">
        <f t="array" ref="H12433">IFERROR(INDEX(INVESTOR_LIST[INVESTOR NAME],MATCH(I12433,INVESTOR_LIST[INVESTOR CODE],0),)," ")</f>
        <v xml:space="preserve"> </v>
      </c>
      <c r="J12433" s="133" t="s">
        <v>13</v>
      </c>
      <c r="K12433" s="218"/>
      <c r="L12433" s="218">
        <v>41020</v>
      </c>
    </row>
    <row r="12434" spans="1:13" ht="11.25" customHeight="1" x14ac:dyDescent="0.2">
      <c r="A12434" s="163">
        <v>2024</v>
      </c>
      <c r="B12434" s="163">
        <v>12</v>
      </c>
      <c r="C12434" s="163">
        <v>5</v>
      </c>
      <c r="D12434" s="280">
        <f>DATE(A12434,B12434,C12434)</f>
        <v>45631</v>
      </c>
      <c r="E12434" s="281">
        <f>DATE(A12434,B12434,C12434)</f>
        <v>45631</v>
      </c>
      <c r="F12434" s="480"/>
      <c r="G12434" s="221" t="s">
        <v>74</v>
      </c>
      <c r="H12434" s="145" t="str" cm="1">
        <f t="array" ref="H12434">IFERROR(INDEX(INVESTOR_LIST[INVESTOR NAME],MATCH(I12434,INVESTOR_LIST[INVESTOR CODE],0),)," ")</f>
        <v xml:space="preserve"> </v>
      </c>
      <c r="I12434" s="145"/>
      <c r="J12434" s="163" t="s">
        <v>53</v>
      </c>
      <c r="K12434" s="219"/>
      <c r="L12434" s="219">
        <v>10980</v>
      </c>
    </row>
    <row r="12435" spans="1:13" x14ac:dyDescent="0.2">
      <c r="A12435" s="325">
        <v>2024</v>
      </c>
      <c r="B12435" s="325">
        <v>12</v>
      </c>
      <c r="C12435" s="325">
        <v>5</v>
      </c>
      <c r="D12435" s="326">
        <f t="shared" ref="D12435:D12457" si="1826">DATE(A12435,B12435,C12435)</f>
        <v>45631</v>
      </c>
      <c r="E12435" s="327">
        <f t="shared" ref="E12435:E12457" si="1827">DATE(A12435,B12435,C12435)</f>
        <v>45631</v>
      </c>
      <c r="F12435" s="473" t="s">
        <v>1940</v>
      </c>
      <c r="G12435" s="340" t="s">
        <v>94</v>
      </c>
      <c r="H12435" s="340" t="str" cm="1">
        <f t="array" ref="H12435">IFERROR(INDEX(INVESTOR_LIST[INVESTOR NAME],MATCH(I12435,INVESTOR_LIST[INVESTOR CODE],0),)," ")</f>
        <v xml:space="preserve"> </v>
      </c>
      <c r="I12435" s="341" t="s">
        <v>348</v>
      </c>
      <c r="J12435" s="374" t="s">
        <v>133</v>
      </c>
      <c r="K12435" s="375">
        <v>12905.555555555549</v>
      </c>
      <c r="L12435" s="375"/>
    </row>
    <row r="12436" spans="1:13" x14ac:dyDescent="0.2">
      <c r="A12436" s="331">
        <v>2024</v>
      </c>
      <c r="B12436" s="331">
        <v>12</v>
      </c>
      <c r="C12436" s="331">
        <v>5</v>
      </c>
      <c r="D12436" s="326">
        <f t="shared" si="1826"/>
        <v>45631</v>
      </c>
      <c r="E12436" s="327">
        <f t="shared" si="1827"/>
        <v>45631</v>
      </c>
      <c r="F12436" s="474"/>
      <c r="G12436" s="332" t="s">
        <v>94</v>
      </c>
      <c r="H12436" s="332" t="str" cm="1">
        <f t="array" ref="H12436">IFERROR(INDEX(INVESTOR_LIST[INVESTOR NAME],MATCH(I12436,INVESTOR_LIST[INVESTOR CODE],0),)," ")</f>
        <v xml:space="preserve"> </v>
      </c>
      <c r="I12436" s="333" t="s">
        <v>348</v>
      </c>
      <c r="J12436" s="376" t="s">
        <v>60</v>
      </c>
      <c r="K12436" s="334"/>
      <c r="L12436" s="334">
        <v>12905.555555555549</v>
      </c>
    </row>
    <row r="12437" spans="1:13" x14ac:dyDescent="0.2">
      <c r="A12437" s="384">
        <v>2024</v>
      </c>
      <c r="B12437" s="384">
        <v>12</v>
      </c>
      <c r="C12437" s="384">
        <v>5</v>
      </c>
      <c r="D12437" s="385">
        <f t="shared" si="1826"/>
        <v>45631</v>
      </c>
      <c r="E12437" s="386">
        <f t="shared" si="1827"/>
        <v>45631</v>
      </c>
      <c r="F12437" s="475" t="s">
        <v>1966</v>
      </c>
      <c r="G12437" s="387" t="s">
        <v>94</v>
      </c>
      <c r="H12437" s="387" t="str" cm="1">
        <f t="array" ref="H12437">IFERROR(INDEX(INVESTOR_LIST[INVESTOR NAME],MATCH(I12437,INVESTOR_LIST[INVESTOR CODE],0),)," ")</f>
        <v xml:space="preserve"> </v>
      </c>
      <c r="I12437" s="388" t="s">
        <v>348</v>
      </c>
      <c r="J12437" s="389" t="s">
        <v>67</v>
      </c>
      <c r="K12437" s="390">
        <v>35602.370000000003</v>
      </c>
      <c r="L12437" s="390"/>
    </row>
    <row r="12438" spans="1:13" x14ac:dyDescent="0.2">
      <c r="A12438" s="391">
        <v>2024</v>
      </c>
      <c r="B12438" s="391">
        <v>12</v>
      </c>
      <c r="C12438" s="391">
        <v>5</v>
      </c>
      <c r="D12438" s="385">
        <f t="shared" si="1826"/>
        <v>45631</v>
      </c>
      <c r="E12438" s="386">
        <f t="shared" si="1827"/>
        <v>45631</v>
      </c>
      <c r="F12438" s="476"/>
      <c r="G12438" s="392" t="s">
        <v>94</v>
      </c>
      <c r="H12438" s="392" t="str" cm="1">
        <f t="array" ref="H12438">IFERROR(INDEX(INVESTOR_LIST[INVESTOR NAME],MATCH(I12438,INVESTOR_LIST[INVESTOR CODE],0),)," ")</f>
        <v xml:space="preserve"> </v>
      </c>
      <c r="I12438" s="393" t="s">
        <v>348</v>
      </c>
      <c r="J12438" s="394" t="s">
        <v>60</v>
      </c>
      <c r="K12438" s="395"/>
      <c r="L12438" s="395">
        <f>K12437</f>
        <v>35602.370000000003</v>
      </c>
    </row>
    <row r="12439" spans="1:13" x14ac:dyDescent="0.2">
      <c r="A12439" s="343">
        <v>2024</v>
      </c>
      <c r="B12439" s="343">
        <v>12</v>
      </c>
      <c r="C12439" s="343">
        <v>5</v>
      </c>
      <c r="D12439" s="344">
        <f t="shared" si="1826"/>
        <v>45631</v>
      </c>
      <c r="E12439" s="345">
        <f t="shared" si="1827"/>
        <v>45631</v>
      </c>
      <c r="F12439" s="483" t="s">
        <v>1813</v>
      </c>
      <c r="G12439" s="350" t="s">
        <v>94</v>
      </c>
      <c r="H12439" s="350" t="str" cm="1">
        <f t="array" ref="H12439">IFERROR(INDEX(INVESTOR_LIST[INVESTOR NAME],MATCH(I12439,INVESTOR_LIST[INVESTOR CODE],0),)," ")</f>
        <v xml:space="preserve"> </v>
      </c>
      <c r="I12439" s="352" t="s">
        <v>348</v>
      </c>
      <c r="J12439" s="353" t="s">
        <v>1807</v>
      </c>
      <c r="K12439" s="354">
        <v>191590</v>
      </c>
      <c r="L12439" s="354"/>
      <c r="M12439" s="133">
        <v>0</v>
      </c>
    </row>
    <row r="12440" spans="1:13" x14ac:dyDescent="0.2">
      <c r="A12440" s="346">
        <v>2024</v>
      </c>
      <c r="B12440" s="346">
        <v>12</v>
      </c>
      <c r="C12440" s="346">
        <v>5</v>
      </c>
      <c r="D12440" s="344">
        <f t="shared" si="1826"/>
        <v>45631</v>
      </c>
      <c r="E12440" s="345">
        <f t="shared" si="1827"/>
        <v>45631</v>
      </c>
      <c r="F12440" s="484"/>
      <c r="G12440" s="347" t="s">
        <v>94</v>
      </c>
      <c r="H12440" s="347" t="str" cm="1">
        <f t="array" ref="H12440">IFERROR(INDEX(INVESTOR_LIST[INVESTOR NAME],MATCH(I12440,INVESTOR_LIST[INVESTOR CODE],0),)," ")</f>
        <v xml:space="preserve"> </v>
      </c>
      <c r="I12440" s="348" t="s">
        <v>348</v>
      </c>
      <c r="J12440" s="355" t="s">
        <v>1798</v>
      </c>
      <c r="K12440" s="349"/>
      <c r="L12440" s="349">
        <f>K12439</f>
        <v>191590</v>
      </c>
    </row>
    <row r="12441" spans="1:13" x14ac:dyDescent="0.2">
      <c r="A12441" s="343">
        <v>2024</v>
      </c>
      <c r="B12441" s="343">
        <v>12</v>
      </c>
      <c r="C12441" s="343">
        <v>5</v>
      </c>
      <c r="D12441" s="344">
        <f t="shared" si="1826"/>
        <v>45631</v>
      </c>
      <c r="E12441" s="345">
        <f t="shared" si="1827"/>
        <v>45631</v>
      </c>
      <c r="F12441" s="483" t="s">
        <v>1913</v>
      </c>
      <c r="G12441" s="350" t="s">
        <v>94</v>
      </c>
      <c r="H12441" s="350" t="str" cm="1">
        <f t="array" ref="H12441">IFERROR(INDEX(INVESTOR_LIST[INVESTOR NAME],MATCH(I12441,INVESTOR_LIST[INVESTOR CODE],0),)," ")</f>
        <v xml:space="preserve"> </v>
      </c>
      <c r="I12441" s="352" t="s">
        <v>348</v>
      </c>
      <c r="J12441" s="353" t="s">
        <v>1799</v>
      </c>
      <c r="K12441" s="354">
        <v>49985.089999999851</v>
      </c>
      <c r="L12441" s="354"/>
      <c r="M12441" s="133">
        <v>0</v>
      </c>
    </row>
    <row r="12442" spans="1:13" x14ac:dyDescent="0.2">
      <c r="A12442" s="346">
        <v>2024</v>
      </c>
      <c r="B12442" s="346">
        <v>12</v>
      </c>
      <c r="C12442" s="346">
        <v>5</v>
      </c>
      <c r="D12442" s="344">
        <f t="shared" si="1826"/>
        <v>45631</v>
      </c>
      <c r="E12442" s="345">
        <f t="shared" si="1827"/>
        <v>45631</v>
      </c>
      <c r="F12442" s="484"/>
      <c r="G12442" s="347" t="s">
        <v>94</v>
      </c>
      <c r="H12442" s="347" t="str" cm="1">
        <f t="array" ref="H12442">IFERROR(INDEX(INVESTOR_LIST[INVESTOR NAME],MATCH(I12442,INVESTOR_LIST[INVESTOR CODE],0),)," ")</f>
        <v xml:space="preserve"> </v>
      </c>
      <c r="I12442" s="348" t="s">
        <v>348</v>
      </c>
      <c r="J12442" s="355" t="s">
        <v>1808</v>
      </c>
      <c r="K12442" s="349"/>
      <c r="L12442" s="349">
        <f>K12441</f>
        <v>49985.089999999851</v>
      </c>
    </row>
    <row r="12443" spans="1:13" ht="11.25" customHeight="1" x14ac:dyDescent="0.2">
      <c r="A12443" s="238">
        <v>2024</v>
      </c>
      <c r="B12443" s="238">
        <v>12</v>
      </c>
      <c r="C12443" s="238">
        <v>5</v>
      </c>
      <c r="D12443" s="270">
        <f t="shared" si="1826"/>
        <v>45631</v>
      </c>
      <c r="E12443" s="279">
        <f t="shared" si="1827"/>
        <v>45631</v>
      </c>
      <c r="F12443" s="477" t="s">
        <v>347</v>
      </c>
      <c r="G12443" s="239" t="s">
        <v>94</v>
      </c>
      <c r="H12443" s="239" t="str" cm="1">
        <f t="array" ref="H12443">IFERROR(INDEX(INVESTOR_LIST[INVESTOR NAME],MATCH(I12443,INVESTOR_LIST[INVESTOR CODE],0),)," ")</f>
        <v xml:space="preserve"> </v>
      </c>
      <c r="I12443" s="262" t="s">
        <v>348</v>
      </c>
      <c r="J12443" s="240" t="s">
        <v>108</v>
      </c>
      <c r="K12443" s="241">
        <v>38685.529999986291</v>
      </c>
      <c r="L12443" s="241"/>
      <c r="M12443" s="133">
        <v>13139541.900000483</v>
      </c>
    </row>
    <row r="12444" spans="1:13" x14ac:dyDescent="0.2">
      <c r="A12444" s="242">
        <v>2024</v>
      </c>
      <c r="B12444" s="242">
        <v>12</v>
      </c>
      <c r="C12444" s="242">
        <v>5</v>
      </c>
      <c r="D12444" s="270">
        <f t="shared" si="1826"/>
        <v>45631</v>
      </c>
      <c r="E12444" s="279">
        <f t="shared" si="1827"/>
        <v>45631</v>
      </c>
      <c r="F12444" s="478"/>
      <c r="G12444" s="243" t="s">
        <v>94</v>
      </c>
      <c r="H12444" s="243" t="str" cm="1">
        <f t="array" ref="H12444">IFERROR(INDEX(INVESTOR_LIST[INVESTOR NAME],MATCH(I12444,INVESTOR_LIST[INVESTOR CODE],0),)," ")</f>
        <v xml:space="preserve"> </v>
      </c>
      <c r="I12444" s="263" t="s">
        <v>348</v>
      </c>
      <c r="J12444" s="244" t="s">
        <v>82</v>
      </c>
      <c r="K12444" s="245"/>
      <c r="L12444" s="245">
        <f>K12443</f>
        <v>38685.529999986291</v>
      </c>
    </row>
    <row r="12445" spans="1:13" ht="11.25" customHeight="1" x14ac:dyDescent="0.2">
      <c r="A12445" s="246">
        <v>2024</v>
      </c>
      <c r="B12445" s="238">
        <v>12</v>
      </c>
      <c r="C12445" s="238">
        <v>5</v>
      </c>
      <c r="D12445" s="270">
        <f t="shared" si="1826"/>
        <v>45631</v>
      </c>
      <c r="E12445" s="279">
        <f t="shared" si="1827"/>
        <v>45631</v>
      </c>
      <c r="F12445" s="482" t="s">
        <v>148</v>
      </c>
      <c r="G12445" s="247" t="s">
        <v>94</v>
      </c>
      <c r="H12445" s="247" t="str" cm="1">
        <f t="array" ref="H12445">IFERROR(INDEX(INVESTOR_LIST[INVESTOR NAME],MATCH(I12445,INVESTOR_LIST[INVESTOR CODE],0),)," ")</f>
        <v xml:space="preserve"> </v>
      </c>
      <c r="I12445" s="248" t="s">
        <v>348</v>
      </c>
      <c r="J12445" s="249" t="s">
        <v>95</v>
      </c>
      <c r="K12445" s="250">
        <v>2747.2527472527472</v>
      </c>
      <c r="L12445" s="241"/>
    </row>
    <row r="12446" spans="1:13" x14ac:dyDescent="0.2">
      <c r="A12446" s="242">
        <v>2024</v>
      </c>
      <c r="B12446" s="242">
        <v>12</v>
      </c>
      <c r="C12446" s="242">
        <v>5</v>
      </c>
      <c r="D12446" s="270">
        <f t="shared" si="1826"/>
        <v>45631</v>
      </c>
      <c r="E12446" s="279">
        <f t="shared" si="1827"/>
        <v>45631</v>
      </c>
      <c r="F12446" s="478"/>
      <c r="G12446" s="243" t="s">
        <v>94</v>
      </c>
      <c r="H12446" s="243" t="str" cm="1">
        <f t="array" ref="H12446">IFERROR(INDEX(INVESTOR_LIST[INVESTOR NAME],MATCH(I12446,INVESTOR_LIST[INVESTOR CODE],0),)," ")</f>
        <v xml:space="preserve"> </v>
      </c>
      <c r="I12446" s="263" t="s">
        <v>348</v>
      </c>
      <c r="J12446" s="244" t="s">
        <v>63</v>
      </c>
      <c r="K12446" s="245"/>
      <c r="L12446" s="245">
        <v>2747.2527472527472</v>
      </c>
    </row>
    <row r="12447" spans="1:13" x14ac:dyDescent="0.2">
      <c r="A12447" s="246">
        <v>2024</v>
      </c>
      <c r="B12447" s="238">
        <v>12</v>
      </c>
      <c r="C12447" s="238">
        <v>5</v>
      </c>
      <c r="D12447" s="270">
        <f t="shared" si="1826"/>
        <v>45631</v>
      </c>
      <c r="E12447" s="279">
        <f t="shared" si="1827"/>
        <v>45631</v>
      </c>
      <c r="F12447" s="482" t="s">
        <v>137</v>
      </c>
      <c r="G12447" s="247" t="s">
        <v>94</v>
      </c>
      <c r="H12447" s="247" t="str" cm="1">
        <f t="array" ref="H12447">IFERROR(INDEX(INVESTOR_LIST[INVESTOR NAME],MATCH(I12447,INVESTOR_LIST[INVESTOR CODE],0),)," ")</f>
        <v xml:space="preserve"> </v>
      </c>
      <c r="I12447" s="248" t="s">
        <v>348</v>
      </c>
      <c r="J12447" s="249" t="s">
        <v>97</v>
      </c>
      <c r="K12447" s="250">
        <f>M12447</f>
        <v>58717.842640867006</v>
      </c>
      <c r="L12447" s="252"/>
      <c r="M12447" s="264">
        <v>58717.842640867006</v>
      </c>
    </row>
    <row r="12448" spans="1:13" x14ac:dyDescent="0.2">
      <c r="A12448" s="242">
        <v>2024</v>
      </c>
      <c r="B12448" s="242">
        <v>12</v>
      </c>
      <c r="C12448" s="242">
        <v>5</v>
      </c>
      <c r="D12448" s="270">
        <f t="shared" si="1826"/>
        <v>45631</v>
      </c>
      <c r="E12448" s="279">
        <f t="shared" si="1827"/>
        <v>45631</v>
      </c>
      <c r="F12448" s="478"/>
      <c r="G12448" s="243" t="s">
        <v>94</v>
      </c>
      <c r="H12448" s="243" t="str" cm="1">
        <f t="array" ref="H12448">IFERROR(INDEX(INVESTOR_LIST[INVESTOR NAME],MATCH(I12448,INVESTOR_LIST[INVESTOR CODE],0),)," ")</f>
        <v xml:space="preserve"> </v>
      </c>
      <c r="I12448" s="263" t="s">
        <v>348</v>
      </c>
      <c r="J12448" s="244" t="s">
        <v>47</v>
      </c>
      <c r="K12448" s="245"/>
      <c r="L12448" s="245">
        <f>K12447</f>
        <v>58717.842640867006</v>
      </c>
      <c r="M12448" s="264">
        <v>2695.5075166587349</v>
      </c>
    </row>
    <row r="12449" spans="1:13" x14ac:dyDescent="0.2">
      <c r="A12449" s="246">
        <v>2024</v>
      </c>
      <c r="B12449" s="238">
        <v>12</v>
      </c>
      <c r="C12449" s="238">
        <v>5</v>
      </c>
      <c r="D12449" s="270">
        <f t="shared" si="1826"/>
        <v>45631</v>
      </c>
      <c r="E12449" s="279">
        <f t="shared" si="1827"/>
        <v>45631</v>
      </c>
      <c r="F12449" s="482" t="s">
        <v>138</v>
      </c>
      <c r="G12449" s="247" t="s">
        <v>94</v>
      </c>
      <c r="H12449" s="247" t="str" cm="1">
        <f t="array" ref="H12449">IFERROR(INDEX(INVESTOR_LIST[INVESTOR NAME],MATCH(I12449,INVESTOR_LIST[INVESTOR CODE],0),)," ")</f>
        <v xml:space="preserve"> </v>
      </c>
      <c r="I12449" s="248" t="s">
        <v>348</v>
      </c>
      <c r="J12449" s="249" t="s">
        <v>100</v>
      </c>
      <c r="K12449" s="250">
        <f>M12448</f>
        <v>2695.5075166587349</v>
      </c>
      <c r="L12449" s="252"/>
    </row>
    <row r="12450" spans="1:13" x14ac:dyDescent="0.2">
      <c r="A12450" s="242">
        <v>2024</v>
      </c>
      <c r="B12450" s="242">
        <v>12</v>
      </c>
      <c r="C12450" s="242">
        <v>5</v>
      </c>
      <c r="D12450" s="321">
        <f t="shared" si="1826"/>
        <v>45631</v>
      </c>
      <c r="E12450" s="322">
        <f t="shared" si="1827"/>
        <v>45631</v>
      </c>
      <c r="F12450" s="478"/>
      <c r="G12450" s="243" t="s">
        <v>94</v>
      </c>
      <c r="H12450" s="243" t="str" cm="1">
        <f t="array" ref="H12450">IFERROR(INDEX(INVESTOR_LIST[INVESTOR NAME],MATCH(I12450,INVESTOR_LIST[INVESTOR CODE],0),)," ")</f>
        <v xml:space="preserve"> </v>
      </c>
      <c r="I12450" s="263" t="s">
        <v>348</v>
      </c>
      <c r="J12450" s="244" t="s">
        <v>48</v>
      </c>
      <c r="K12450" s="245"/>
      <c r="L12450" s="245">
        <f>K12449</f>
        <v>2695.5075166587349</v>
      </c>
    </row>
    <row r="12451" spans="1:13" ht="11.25" customHeight="1" x14ac:dyDescent="0.2">
      <c r="A12451" s="168">
        <v>2024</v>
      </c>
      <c r="B12451" s="168">
        <v>12</v>
      </c>
      <c r="C12451" s="168">
        <v>9</v>
      </c>
      <c r="D12451" s="141">
        <f t="shared" si="1826"/>
        <v>45635</v>
      </c>
      <c r="E12451" s="275">
        <f t="shared" si="1827"/>
        <v>45635</v>
      </c>
      <c r="F12451" s="479" t="s">
        <v>1310</v>
      </c>
      <c r="G12451" s="220" t="s">
        <v>74</v>
      </c>
      <c r="H12451" s="142" t="str" cm="1">
        <f t="array" ref="H12451">IFERROR(INDEX(INVESTOR_LIST[INVESTOR NAME],MATCH(I12451,INVESTOR_LIST[INVESTOR CODE],0),)," ")</f>
        <v>REDOY BARMON</v>
      </c>
      <c r="I12451" s="142" t="s">
        <v>928</v>
      </c>
      <c r="J12451" s="168" t="s">
        <v>13</v>
      </c>
      <c r="K12451" s="226">
        <v>52970</v>
      </c>
      <c r="L12451" s="226"/>
    </row>
    <row r="12452" spans="1:13" ht="11.25" customHeight="1" x14ac:dyDescent="0.2">
      <c r="A12452" s="133">
        <v>2024</v>
      </c>
      <c r="B12452" s="133">
        <v>12</v>
      </c>
      <c r="C12452" s="133">
        <v>9</v>
      </c>
      <c r="D12452" s="141">
        <f t="shared" si="1826"/>
        <v>45635</v>
      </c>
      <c r="E12452" s="275">
        <f t="shared" si="1827"/>
        <v>45635</v>
      </c>
      <c r="F12452" s="481"/>
      <c r="G12452" s="174" t="s">
        <v>74</v>
      </c>
      <c r="H12452" s="148" t="str" cm="1">
        <f t="array" ref="H12452">IFERROR(INDEX(INVESTOR_LIST[INVESTOR NAME],MATCH(I12452,INVESTOR_LIST[INVESTOR CODE],0),)," ")</f>
        <v>REDOY BARMON</v>
      </c>
      <c r="I12452" s="148" t="s">
        <v>928</v>
      </c>
      <c r="J12452" s="133" t="s">
        <v>53</v>
      </c>
      <c r="K12452" s="218">
        <v>14185.369999999995</v>
      </c>
      <c r="L12452" s="218"/>
    </row>
    <row r="12453" spans="1:13" ht="11.25" customHeight="1" x14ac:dyDescent="0.2">
      <c r="A12453" s="163">
        <v>2024</v>
      </c>
      <c r="B12453" s="163">
        <v>12</v>
      </c>
      <c r="C12453" s="133">
        <v>9</v>
      </c>
      <c r="D12453" s="280">
        <f t="shared" si="1826"/>
        <v>45635</v>
      </c>
      <c r="E12453" s="281">
        <f t="shared" si="1827"/>
        <v>45635</v>
      </c>
      <c r="F12453" s="480"/>
      <c r="G12453" s="221" t="s">
        <v>74</v>
      </c>
      <c r="H12453" s="145" t="str" cm="1">
        <f t="array" ref="H12453">IFERROR(INDEX(INVESTOR_LIST[INVESTOR NAME],MATCH(I12453,INVESTOR_LIST[INVESTOR CODE],0),)," ")</f>
        <v>REDOY BARMON</v>
      </c>
      <c r="I12453" s="145" t="s">
        <v>928</v>
      </c>
      <c r="J12453" s="163" t="s">
        <v>52</v>
      </c>
      <c r="K12453" s="219"/>
      <c r="L12453" s="219">
        <v>67155.37</v>
      </c>
    </row>
    <row r="12454" spans="1:13" x14ac:dyDescent="0.2">
      <c r="A12454" s="133">
        <v>2024</v>
      </c>
      <c r="B12454" s="133">
        <v>12</v>
      </c>
      <c r="C12454" s="168">
        <v>10</v>
      </c>
      <c r="D12454" s="141">
        <f t="shared" si="1826"/>
        <v>45636</v>
      </c>
      <c r="E12454" s="275">
        <f t="shared" si="1827"/>
        <v>45636</v>
      </c>
      <c r="F12454" s="481" t="s">
        <v>2006</v>
      </c>
      <c r="G12454" s="174" t="s">
        <v>74</v>
      </c>
      <c r="H12454" s="174" t="str" cm="1">
        <f t="array" ref="H12454">IFERROR(INDEX(INVESTOR_LIST[INVESTOR NAME],MATCH(I12454,INVESTOR_LIST[INVESTOR CODE],0),)," ")</f>
        <v xml:space="preserve"> </v>
      </c>
      <c r="J12454" s="149" t="s">
        <v>534</v>
      </c>
      <c r="K12454" s="218">
        <v>27000</v>
      </c>
      <c r="L12454" s="218"/>
      <c r="M12454" s="147"/>
    </row>
    <row r="12455" spans="1:13" x14ac:dyDescent="0.2">
      <c r="A12455" s="133">
        <v>2024</v>
      </c>
      <c r="B12455" s="133">
        <v>12</v>
      </c>
      <c r="C12455" s="133">
        <v>10</v>
      </c>
      <c r="D12455" s="141">
        <f t="shared" si="1826"/>
        <v>45636</v>
      </c>
      <c r="E12455" s="275">
        <f t="shared" si="1827"/>
        <v>45636</v>
      </c>
      <c r="F12455" s="481"/>
      <c r="G12455" s="174" t="s">
        <v>74</v>
      </c>
      <c r="H12455" s="174" t="str" cm="1">
        <f t="array" ref="H12455">IFERROR(INDEX(INVESTOR_LIST[INVESTOR NAME],MATCH(I12455,INVESTOR_LIST[INVESTOR CODE],0),)," ")</f>
        <v xml:space="preserve"> </v>
      </c>
      <c r="J12455" s="149" t="s">
        <v>1907</v>
      </c>
      <c r="K12455" s="218">
        <v>150</v>
      </c>
      <c r="L12455" s="218"/>
      <c r="M12455" s="147"/>
    </row>
    <row r="12456" spans="1:13" x14ac:dyDescent="0.2">
      <c r="A12456" s="133">
        <v>2024</v>
      </c>
      <c r="B12456" s="133">
        <v>12</v>
      </c>
      <c r="C12456" s="133">
        <v>10</v>
      </c>
      <c r="D12456" s="141">
        <f t="shared" ref="D12456" si="1828">DATE(A12456,B12456,C12456)</f>
        <v>45636</v>
      </c>
      <c r="E12456" s="275">
        <f t="shared" ref="E12456" si="1829">DATE(A12456,B12456,C12456)</f>
        <v>45636</v>
      </c>
      <c r="F12456" s="481"/>
      <c r="G12456" s="174" t="s">
        <v>74</v>
      </c>
      <c r="H12456" s="174" t="str" cm="1">
        <f t="array" ref="H12456">IFERROR(INDEX(INVESTOR_LIST[INVESTOR NAME],MATCH(I12456,INVESTOR_LIST[INVESTOR CODE],0),)," ")</f>
        <v xml:space="preserve"> </v>
      </c>
      <c r="J12456" s="149" t="s">
        <v>534</v>
      </c>
      <c r="K12456" s="218">
        <v>151.01</v>
      </c>
      <c r="L12456" s="218"/>
      <c r="M12456" s="147"/>
    </row>
    <row r="12457" spans="1:13" x14ac:dyDescent="0.2">
      <c r="A12457" s="163">
        <v>2024</v>
      </c>
      <c r="B12457" s="163">
        <v>12</v>
      </c>
      <c r="C12457" s="163">
        <v>10</v>
      </c>
      <c r="D12457" s="280">
        <f t="shared" si="1826"/>
        <v>45636</v>
      </c>
      <c r="E12457" s="281">
        <f t="shared" si="1827"/>
        <v>45636</v>
      </c>
      <c r="F12457" s="480"/>
      <c r="G12457" s="221" t="s">
        <v>74</v>
      </c>
      <c r="H12457" s="221" t="str" cm="1">
        <f t="array" ref="H12457">IFERROR(INDEX(INVESTOR_LIST[INVESTOR NAME],MATCH(I12457,INVESTOR_LIST[INVESTOR CODE],0),)," ")</f>
        <v xml:space="preserve"> </v>
      </c>
      <c r="I12457" s="145"/>
      <c r="J12457" s="146" t="s">
        <v>52</v>
      </c>
      <c r="K12457" s="219"/>
      <c r="L12457" s="219">
        <v>27301.01</v>
      </c>
      <c r="M12457" s="147"/>
    </row>
    <row r="12458" spans="1:13" ht="11.25" customHeight="1" x14ac:dyDescent="0.2">
      <c r="A12458" s="168">
        <v>2024</v>
      </c>
      <c r="B12458" s="168">
        <v>12</v>
      </c>
      <c r="C12458" s="168">
        <v>12</v>
      </c>
      <c r="D12458" s="141">
        <f t="shared" ref="D12458:D12460" si="1830">DATE(A12458,B12458,C12458)</f>
        <v>45638</v>
      </c>
      <c r="E12458" s="275">
        <f t="shared" ref="E12458:E12460" si="1831">DATE(A12458,B12458,C12458)</f>
        <v>45638</v>
      </c>
      <c r="F12458" s="479" t="s">
        <v>1310</v>
      </c>
      <c r="G12458" s="220" t="s">
        <v>74</v>
      </c>
      <c r="H12458" s="142" t="str" cm="1">
        <f t="array" ref="H12458">IFERROR(INDEX(INVESTOR_LIST[INVESTOR NAME],MATCH(I12458,INVESTOR_LIST[INVESTOR CODE],0),)," ")</f>
        <v>CHANCHAL KUMAR SAHA</v>
      </c>
      <c r="I12458" s="142" t="s">
        <v>771</v>
      </c>
      <c r="J12458" s="168" t="s">
        <v>13</v>
      </c>
      <c r="K12458" s="226">
        <v>102440</v>
      </c>
      <c r="L12458" s="226"/>
    </row>
    <row r="12459" spans="1:13" ht="11.25" customHeight="1" x14ac:dyDescent="0.2">
      <c r="A12459" s="133">
        <v>2024</v>
      </c>
      <c r="B12459" s="133">
        <v>12</v>
      </c>
      <c r="C12459" s="133">
        <v>12</v>
      </c>
      <c r="D12459" s="141">
        <f t="shared" si="1830"/>
        <v>45638</v>
      </c>
      <c r="E12459" s="275">
        <f t="shared" si="1831"/>
        <v>45638</v>
      </c>
      <c r="F12459" s="481"/>
      <c r="G12459" s="174" t="s">
        <v>74</v>
      </c>
      <c r="H12459" s="148" t="str" cm="1">
        <f t="array" ref="H12459">IFERROR(INDEX(INVESTOR_LIST[INVESTOR NAME],MATCH(I12459,INVESTOR_LIST[INVESTOR CODE],0),)," ")</f>
        <v>CHANCHAL KUMAR SAHA</v>
      </c>
      <c r="I12459" s="148" t="s">
        <v>771</v>
      </c>
      <c r="J12459" s="133" t="s">
        <v>53</v>
      </c>
      <c r="K12459" s="218">
        <v>27433.429999999993</v>
      </c>
      <c r="L12459" s="218"/>
    </row>
    <row r="12460" spans="1:13" ht="11.25" customHeight="1" x14ac:dyDescent="0.2">
      <c r="A12460" s="163">
        <v>2024</v>
      </c>
      <c r="B12460" s="163">
        <v>12</v>
      </c>
      <c r="C12460" s="133">
        <v>12</v>
      </c>
      <c r="D12460" s="280">
        <f t="shared" si="1830"/>
        <v>45638</v>
      </c>
      <c r="E12460" s="281">
        <f t="shared" si="1831"/>
        <v>45638</v>
      </c>
      <c r="F12460" s="480"/>
      <c r="G12460" s="221" t="s">
        <v>74</v>
      </c>
      <c r="H12460" s="145" t="str" cm="1">
        <f t="array" ref="H12460">IFERROR(INDEX(INVESTOR_LIST[INVESTOR NAME],MATCH(I12460,INVESTOR_LIST[INVESTOR CODE],0),)," ")</f>
        <v>CHANCHAL KUMAR SAHA</v>
      </c>
      <c r="I12460" s="145" t="s">
        <v>771</v>
      </c>
      <c r="J12460" s="163" t="s">
        <v>52</v>
      </c>
      <c r="K12460" s="219"/>
      <c r="L12460" s="219">
        <v>129873.43</v>
      </c>
    </row>
    <row r="12461" spans="1:13" ht="11.25" customHeight="1" x14ac:dyDescent="0.2">
      <c r="A12461" s="168">
        <v>2024</v>
      </c>
      <c r="B12461" s="168">
        <v>12</v>
      </c>
      <c r="C12461" s="168">
        <v>12</v>
      </c>
      <c r="D12461" s="141">
        <f t="shared" ref="D12461:D12463" si="1832">DATE(A12461,B12461,C12461)</f>
        <v>45638</v>
      </c>
      <c r="E12461" s="275">
        <f t="shared" ref="E12461:E12463" si="1833">DATE(A12461,B12461,C12461)</f>
        <v>45638</v>
      </c>
      <c r="F12461" s="479" t="s">
        <v>1448</v>
      </c>
      <c r="G12461" s="220" t="s">
        <v>74</v>
      </c>
      <c r="H12461" s="142" t="str" cm="1">
        <f t="array" ref="H12461">IFERROR(INDEX(INVESTOR_LIST[INVESTOR NAME],MATCH(I12461,INVESTOR_LIST[INVESTOR CODE],0),)," ")</f>
        <v>N M AL HOSSAIN</v>
      </c>
      <c r="I12461" s="142" t="s">
        <v>470</v>
      </c>
      <c r="J12461" s="168" t="s">
        <v>13</v>
      </c>
      <c r="K12461" s="226">
        <v>458980</v>
      </c>
      <c r="L12461" s="226"/>
    </row>
    <row r="12462" spans="1:13" ht="11.25" customHeight="1" x14ac:dyDescent="0.2">
      <c r="A12462" s="133">
        <v>2024</v>
      </c>
      <c r="B12462" s="133">
        <v>12</v>
      </c>
      <c r="C12462" s="133">
        <v>12</v>
      </c>
      <c r="D12462" s="141">
        <f t="shared" si="1832"/>
        <v>45638</v>
      </c>
      <c r="E12462" s="275">
        <f t="shared" si="1833"/>
        <v>45638</v>
      </c>
      <c r="F12462" s="481"/>
      <c r="G12462" s="174" t="s">
        <v>74</v>
      </c>
      <c r="H12462" s="148" t="str" cm="1">
        <f t="array" ref="H12462">IFERROR(INDEX(INVESTOR_LIST[INVESTOR NAME],MATCH(I12462,INVESTOR_LIST[INVESTOR CODE],0),)," ")</f>
        <v>N M AL HOSSAIN</v>
      </c>
      <c r="I12462" s="148" t="s">
        <v>470</v>
      </c>
      <c r="J12462" s="133" t="s">
        <v>53</v>
      </c>
      <c r="K12462" s="218">
        <v>122914.844</v>
      </c>
      <c r="L12462" s="218"/>
    </row>
    <row r="12463" spans="1:13" ht="11.25" customHeight="1" x14ac:dyDescent="0.2">
      <c r="A12463" s="163">
        <v>2024</v>
      </c>
      <c r="B12463" s="163">
        <v>12</v>
      </c>
      <c r="C12463" s="133">
        <v>12</v>
      </c>
      <c r="D12463" s="280">
        <f t="shared" si="1832"/>
        <v>45638</v>
      </c>
      <c r="E12463" s="281">
        <f t="shared" si="1833"/>
        <v>45638</v>
      </c>
      <c r="F12463" s="480"/>
      <c r="G12463" s="221" t="s">
        <v>74</v>
      </c>
      <c r="H12463" s="145" t="str" cm="1">
        <f t="array" ref="H12463">IFERROR(INDEX(INVESTOR_LIST[INVESTOR NAME],MATCH(I12463,INVESTOR_LIST[INVESTOR CODE],0),)," ")</f>
        <v>N M AL HOSSAIN</v>
      </c>
      <c r="I12463" s="145" t="s">
        <v>470</v>
      </c>
      <c r="J12463" s="163" t="s">
        <v>52</v>
      </c>
      <c r="K12463" s="219"/>
      <c r="L12463" s="219">
        <v>581894.84400000004</v>
      </c>
    </row>
    <row r="12464" spans="1:13" x14ac:dyDescent="0.2">
      <c r="A12464" s="133">
        <v>2024</v>
      </c>
      <c r="B12464" s="133">
        <v>12</v>
      </c>
      <c r="C12464" s="168">
        <v>12</v>
      </c>
      <c r="D12464" s="147">
        <f>DATE(A12464,B12464,C12464)</f>
        <v>45638</v>
      </c>
      <c r="E12464" s="311">
        <f>DATE(A12464,B12464,C12464)</f>
        <v>45638</v>
      </c>
      <c r="F12464" s="479" t="s">
        <v>1943</v>
      </c>
      <c r="G12464" s="174" t="s">
        <v>74</v>
      </c>
      <c r="H12464" s="148" t="str" cm="1">
        <f t="array" ref="H12464">IFERROR(INDEX(INVESTOR_LIST[INVESTOR NAME],MATCH(I12464,INVESTOR_LIST[INVESTOR CODE],0),)," ")</f>
        <v xml:space="preserve"> </v>
      </c>
      <c r="I12464" s="148" t="s">
        <v>348</v>
      </c>
      <c r="J12464" s="133" t="s">
        <v>61</v>
      </c>
      <c r="K12464" s="172">
        <v>100</v>
      </c>
    </row>
    <row r="12465" spans="1:13" x14ac:dyDescent="0.2">
      <c r="A12465" s="163">
        <v>2024</v>
      </c>
      <c r="B12465" s="163">
        <v>12</v>
      </c>
      <c r="C12465" s="163">
        <v>12</v>
      </c>
      <c r="D12465" s="280">
        <f>DATE(A12465,B12465,C12465)</f>
        <v>45638</v>
      </c>
      <c r="E12465" s="281">
        <f>DATE(A12465,B12465,C12465)</f>
        <v>45638</v>
      </c>
      <c r="F12465" s="480"/>
      <c r="G12465" s="221" t="s">
        <v>74</v>
      </c>
      <c r="H12465" s="145" t="str" cm="1">
        <f t="array" ref="H12465">IFERROR(INDEX(INVESTOR_LIST[INVESTOR NAME],MATCH(I12465,INVESTOR_LIST[INVESTOR CODE],0),)," ")</f>
        <v xml:space="preserve"> </v>
      </c>
      <c r="I12465" s="145" t="s">
        <v>348</v>
      </c>
      <c r="J12465" s="163" t="s">
        <v>52</v>
      </c>
      <c r="K12465" s="219"/>
      <c r="L12465" s="219">
        <v>100</v>
      </c>
    </row>
    <row r="12466" spans="1:13" x14ac:dyDescent="0.2">
      <c r="A12466" s="133">
        <v>2024</v>
      </c>
      <c r="B12466" s="168">
        <v>12</v>
      </c>
      <c r="C12466" s="168">
        <v>11</v>
      </c>
      <c r="D12466" s="141">
        <f t="shared" ref="D12466:D12470" si="1834">DATE(A12466,B12466,C12466)</f>
        <v>45637</v>
      </c>
      <c r="E12466" s="275">
        <f t="shared" ref="E12466:E12470" si="1835">DATE(A12466,B12466,C12466)</f>
        <v>45637</v>
      </c>
      <c r="F12466" s="481" t="s">
        <v>982</v>
      </c>
      <c r="G12466" s="174" t="s">
        <v>74</v>
      </c>
      <c r="H12466" s="174" t="str" cm="1">
        <f t="array" ref="H12466">IFERROR(INDEX(INVESTOR_LIST[INVESTOR NAME],MATCH(I12466,INVESTOR_LIST[INVESTOR CODE],0),)," ")</f>
        <v xml:space="preserve"> </v>
      </c>
      <c r="I12466" s="148" t="s">
        <v>348</v>
      </c>
      <c r="J12466" s="149" t="s">
        <v>163</v>
      </c>
      <c r="K12466" s="218">
        <v>5750</v>
      </c>
      <c r="L12466" s="218"/>
    </row>
    <row r="12467" spans="1:13" x14ac:dyDescent="0.2">
      <c r="A12467" s="133">
        <v>2024</v>
      </c>
      <c r="B12467" s="133">
        <v>12</v>
      </c>
      <c r="C12467" s="133">
        <v>11</v>
      </c>
      <c r="D12467" s="141">
        <f t="shared" si="1834"/>
        <v>45637</v>
      </c>
      <c r="E12467" s="275">
        <f t="shared" si="1835"/>
        <v>45637</v>
      </c>
      <c r="F12467" s="481"/>
      <c r="G12467" s="174" t="s">
        <v>201</v>
      </c>
      <c r="H12467" s="174" t="str" cm="1">
        <f t="array" ref="H12467">IFERROR(INDEX(INVESTOR_LIST[INVESTOR NAME],MATCH(I12467,INVESTOR_LIST[INVESTOR CODE],0),)," ")</f>
        <v xml:space="preserve"> </v>
      </c>
      <c r="J12467" s="149" t="s">
        <v>1906</v>
      </c>
      <c r="K12467" s="218"/>
      <c r="L12467" s="218">
        <v>250</v>
      </c>
    </row>
    <row r="12468" spans="1:13" x14ac:dyDescent="0.2">
      <c r="A12468" s="163">
        <v>2024</v>
      </c>
      <c r="B12468" s="163">
        <v>12</v>
      </c>
      <c r="C12468" s="133">
        <v>11</v>
      </c>
      <c r="D12468" s="280">
        <f t="shared" si="1834"/>
        <v>45637</v>
      </c>
      <c r="E12468" s="281">
        <f t="shared" si="1835"/>
        <v>45637</v>
      </c>
      <c r="F12468" s="480"/>
      <c r="G12468" s="221" t="s">
        <v>74</v>
      </c>
      <c r="H12468" s="221" t="str" cm="1">
        <f t="array" ref="H12468">IFERROR(INDEX(INVESTOR_LIST[INVESTOR NAME],MATCH(I12468,INVESTOR_LIST[INVESTOR CODE],0),)," ")</f>
        <v xml:space="preserve"> </v>
      </c>
      <c r="I12468" s="145" t="s">
        <v>348</v>
      </c>
      <c r="J12468" s="146" t="s">
        <v>52</v>
      </c>
      <c r="K12468" s="219"/>
      <c r="L12468" s="219">
        <v>5500</v>
      </c>
    </row>
    <row r="12469" spans="1:13" x14ac:dyDescent="0.2">
      <c r="A12469" s="133">
        <v>2024</v>
      </c>
      <c r="B12469" s="168">
        <v>12</v>
      </c>
      <c r="C12469" s="168">
        <v>12</v>
      </c>
      <c r="D12469" s="141">
        <f t="shared" si="1834"/>
        <v>45638</v>
      </c>
      <c r="E12469" s="275">
        <f t="shared" si="1835"/>
        <v>45638</v>
      </c>
      <c r="F12469" s="481" t="s">
        <v>1825</v>
      </c>
      <c r="G12469" s="174" t="s">
        <v>94</v>
      </c>
      <c r="H12469" s="174" t="str" cm="1">
        <f t="array" ref="H12469">IFERROR(INDEX(INVESTOR_LIST[INVESTOR NAME],MATCH(I12469,INVESTOR_LIST[INVESTOR CODE],0),)," ")</f>
        <v xml:space="preserve"> </v>
      </c>
      <c r="I12469" s="148" t="s">
        <v>348</v>
      </c>
      <c r="J12469" s="149" t="s">
        <v>168</v>
      </c>
      <c r="K12469" s="218">
        <v>47987.199999999997</v>
      </c>
      <c r="L12469" s="218"/>
    </row>
    <row r="12470" spans="1:13" x14ac:dyDescent="0.2">
      <c r="A12470" s="163">
        <v>2024</v>
      </c>
      <c r="B12470" s="163">
        <v>12</v>
      </c>
      <c r="C12470" s="163">
        <v>12</v>
      </c>
      <c r="D12470" s="141">
        <f t="shared" si="1834"/>
        <v>45638</v>
      </c>
      <c r="E12470" s="275">
        <f t="shared" si="1835"/>
        <v>45638</v>
      </c>
      <c r="F12470" s="480"/>
      <c r="G12470" s="221" t="s">
        <v>94</v>
      </c>
      <c r="H12470" s="221" t="str" cm="1">
        <f t="array" ref="H12470">IFERROR(INDEX(INVESTOR_LIST[INVESTOR NAME],MATCH(I12470,INVESTOR_LIST[INVESTOR CODE],0),)," ")</f>
        <v xml:space="preserve"> </v>
      </c>
      <c r="I12470" s="145" t="s">
        <v>348</v>
      </c>
      <c r="J12470" s="146" t="s">
        <v>166</v>
      </c>
      <c r="K12470" s="219"/>
      <c r="L12470" s="219">
        <v>47987.199999999997</v>
      </c>
    </row>
    <row r="12471" spans="1:13" x14ac:dyDescent="0.2">
      <c r="A12471" s="325">
        <v>2024</v>
      </c>
      <c r="B12471" s="325">
        <v>12</v>
      </c>
      <c r="C12471" s="325">
        <v>12</v>
      </c>
      <c r="D12471" s="326">
        <f t="shared" ref="D12471:D12496" si="1836">DATE(A12471,B12471,C12471)</f>
        <v>45638</v>
      </c>
      <c r="E12471" s="327">
        <f t="shared" ref="E12471:E12496" si="1837">DATE(A12471,B12471,C12471)</f>
        <v>45638</v>
      </c>
      <c r="F12471" s="473" t="s">
        <v>1940</v>
      </c>
      <c r="G12471" s="340" t="s">
        <v>94</v>
      </c>
      <c r="H12471" s="340" t="str" cm="1">
        <f t="array" ref="H12471">IFERROR(INDEX(INVESTOR_LIST[INVESTOR NAME],MATCH(I12471,INVESTOR_LIST[INVESTOR CODE],0),)," ")</f>
        <v xml:space="preserve"> </v>
      </c>
      <c r="I12471" s="341" t="s">
        <v>348</v>
      </c>
      <c r="J12471" s="374" t="s">
        <v>133</v>
      </c>
      <c r="K12471" s="375">
        <v>12905.555555555549</v>
      </c>
      <c r="L12471" s="375"/>
    </row>
    <row r="12472" spans="1:13" x14ac:dyDescent="0.2">
      <c r="A12472" s="331">
        <v>2024</v>
      </c>
      <c r="B12472" s="331">
        <v>12</v>
      </c>
      <c r="C12472" s="331">
        <v>12</v>
      </c>
      <c r="D12472" s="326">
        <f t="shared" si="1836"/>
        <v>45638</v>
      </c>
      <c r="E12472" s="327">
        <f t="shared" si="1837"/>
        <v>45638</v>
      </c>
      <c r="F12472" s="474"/>
      <c r="G12472" s="332" t="s">
        <v>94</v>
      </c>
      <c r="H12472" s="332" t="str" cm="1">
        <f t="array" ref="H12472">IFERROR(INDEX(INVESTOR_LIST[INVESTOR NAME],MATCH(I12472,INVESTOR_LIST[INVESTOR CODE],0),)," ")</f>
        <v xml:space="preserve"> </v>
      </c>
      <c r="I12472" s="333" t="s">
        <v>348</v>
      </c>
      <c r="J12472" s="376" t="s">
        <v>60</v>
      </c>
      <c r="K12472" s="334"/>
      <c r="L12472" s="334">
        <v>12905.555555555549</v>
      </c>
    </row>
    <row r="12473" spans="1:13" x14ac:dyDescent="0.2">
      <c r="A12473" s="384">
        <v>2024</v>
      </c>
      <c r="B12473" s="384">
        <v>12</v>
      </c>
      <c r="C12473" s="384">
        <v>12</v>
      </c>
      <c r="D12473" s="385">
        <f t="shared" si="1836"/>
        <v>45638</v>
      </c>
      <c r="E12473" s="386">
        <f t="shared" si="1837"/>
        <v>45638</v>
      </c>
      <c r="F12473" s="475" t="s">
        <v>1966</v>
      </c>
      <c r="G12473" s="387" t="s">
        <v>94</v>
      </c>
      <c r="H12473" s="387" t="str" cm="1">
        <f t="array" ref="H12473">IFERROR(INDEX(INVESTOR_LIST[INVESTOR NAME],MATCH(I12473,INVESTOR_LIST[INVESTOR CODE],0),)," ")</f>
        <v xml:space="preserve"> </v>
      </c>
      <c r="I12473" s="388" t="s">
        <v>348</v>
      </c>
      <c r="J12473" s="389" t="s">
        <v>67</v>
      </c>
      <c r="K12473" s="390">
        <v>36526.07</v>
      </c>
      <c r="L12473" s="390"/>
    </row>
    <row r="12474" spans="1:13" x14ac:dyDescent="0.2">
      <c r="A12474" s="391">
        <v>2024</v>
      </c>
      <c r="B12474" s="391">
        <v>12</v>
      </c>
      <c r="C12474" s="391">
        <v>12</v>
      </c>
      <c r="D12474" s="385">
        <f t="shared" si="1836"/>
        <v>45638</v>
      </c>
      <c r="E12474" s="386">
        <f t="shared" si="1837"/>
        <v>45638</v>
      </c>
      <c r="F12474" s="476"/>
      <c r="G12474" s="392" t="s">
        <v>94</v>
      </c>
      <c r="H12474" s="392" t="str" cm="1">
        <f t="array" ref="H12474">IFERROR(INDEX(INVESTOR_LIST[INVESTOR NAME],MATCH(I12474,INVESTOR_LIST[INVESTOR CODE],0),)," ")</f>
        <v xml:space="preserve"> </v>
      </c>
      <c r="I12474" s="393" t="s">
        <v>348</v>
      </c>
      <c r="J12474" s="394" t="s">
        <v>60</v>
      </c>
      <c r="K12474" s="395"/>
      <c r="L12474" s="395">
        <f>K12473</f>
        <v>36526.07</v>
      </c>
    </row>
    <row r="12475" spans="1:13" x14ac:dyDescent="0.2">
      <c r="A12475" s="343">
        <v>2024</v>
      </c>
      <c r="B12475" s="343">
        <v>12</v>
      </c>
      <c r="C12475" s="343">
        <v>12</v>
      </c>
      <c r="D12475" s="344">
        <f t="shared" si="1836"/>
        <v>45638</v>
      </c>
      <c r="E12475" s="345">
        <f t="shared" si="1837"/>
        <v>45638</v>
      </c>
      <c r="F12475" s="483" t="s">
        <v>1813</v>
      </c>
      <c r="G12475" s="350" t="s">
        <v>94</v>
      </c>
      <c r="H12475" s="350" t="str" cm="1">
        <f t="array" ref="H12475">IFERROR(INDEX(INVESTOR_LIST[INVESTOR NAME],MATCH(I12475,INVESTOR_LIST[INVESTOR CODE],0),)," ")</f>
        <v xml:space="preserve"> </v>
      </c>
      <c r="I12475" s="352" t="s">
        <v>348</v>
      </c>
      <c r="J12475" s="353" t="s">
        <v>1807</v>
      </c>
      <c r="K12475" s="354">
        <v>0</v>
      </c>
      <c r="L12475" s="354"/>
      <c r="M12475" s="133">
        <v>0</v>
      </c>
    </row>
    <row r="12476" spans="1:13" x14ac:dyDescent="0.2">
      <c r="A12476" s="346">
        <v>2024</v>
      </c>
      <c r="B12476" s="346">
        <v>12</v>
      </c>
      <c r="C12476" s="346">
        <v>12</v>
      </c>
      <c r="D12476" s="344">
        <f t="shared" si="1836"/>
        <v>45638</v>
      </c>
      <c r="E12476" s="345">
        <f t="shared" si="1837"/>
        <v>45638</v>
      </c>
      <c r="F12476" s="484"/>
      <c r="G12476" s="347" t="s">
        <v>94</v>
      </c>
      <c r="H12476" s="347" t="str" cm="1">
        <f t="array" ref="H12476">IFERROR(INDEX(INVESTOR_LIST[INVESTOR NAME],MATCH(I12476,INVESTOR_LIST[INVESTOR CODE],0),)," ")</f>
        <v xml:space="preserve"> </v>
      </c>
      <c r="I12476" s="348" t="s">
        <v>348</v>
      </c>
      <c r="J12476" s="355" t="s">
        <v>1798</v>
      </c>
      <c r="K12476" s="349"/>
      <c r="L12476" s="349">
        <f>K12475</f>
        <v>0</v>
      </c>
    </row>
    <row r="12477" spans="1:13" x14ac:dyDescent="0.2">
      <c r="A12477" s="343">
        <v>2024</v>
      </c>
      <c r="B12477" s="343">
        <v>12</v>
      </c>
      <c r="C12477" s="343">
        <v>12</v>
      </c>
      <c r="D12477" s="344">
        <f t="shared" si="1836"/>
        <v>45638</v>
      </c>
      <c r="E12477" s="345">
        <f t="shared" si="1837"/>
        <v>45638</v>
      </c>
      <c r="F12477" s="483" t="s">
        <v>1913</v>
      </c>
      <c r="G12477" s="350" t="s">
        <v>94</v>
      </c>
      <c r="H12477" s="350" t="str" cm="1">
        <f t="array" ref="H12477">IFERROR(INDEX(INVESTOR_LIST[INVESTOR NAME],MATCH(I12477,INVESTOR_LIST[INVESTOR CODE],0),)," ")</f>
        <v xml:space="preserve"> </v>
      </c>
      <c r="I12477" s="352" t="s">
        <v>348</v>
      </c>
      <c r="J12477" s="353" t="s">
        <v>1799</v>
      </c>
      <c r="K12477" s="354">
        <v>55925.265000000596</v>
      </c>
      <c r="L12477" s="354"/>
      <c r="M12477" s="133">
        <v>0</v>
      </c>
    </row>
    <row r="12478" spans="1:13" x14ac:dyDescent="0.2">
      <c r="A12478" s="346">
        <v>2024</v>
      </c>
      <c r="B12478" s="346">
        <v>12</v>
      </c>
      <c r="C12478" s="346">
        <v>12</v>
      </c>
      <c r="D12478" s="344">
        <f t="shared" si="1836"/>
        <v>45638</v>
      </c>
      <c r="E12478" s="345">
        <f t="shared" si="1837"/>
        <v>45638</v>
      </c>
      <c r="F12478" s="484"/>
      <c r="G12478" s="347" t="s">
        <v>94</v>
      </c>
      <c r="H12478" s="347" t="str" cm="1">
        <f t="array" ref="H12478">IFERROR(INDEX(INVESTOR_LIST[INVESTOR NAME],MATCH(I12478,INVESTOR_LIST[INVESTOR CODE],0),)," ")</f>
        <v xml:space="preserve"> </v>
      </c>
      <c r="I12478" s="348" t="s">
        <v>348</v>
      </c>
      <c r="J12478" s="355" t="s">
        <v>1808</v>
      </c>
      <c r="K12478" s="349"/>
      <c r="L12478" s="349">
        <f>K12477</f>
        <v>55925.265000000596</v>
      </c>
    </row>
    <row r="12479" spans="1:13" ht="11.25" customHeight="1" x14ac:dyDescent="0.2">
      <c r="A12479" s="238">
        <v>2024</v>
      </c>
      <c r="B12479" s="238">
        <v>12</v>
      </c>
      <c r="C12479" s="238">
        <v>12</v>
      </c>
      <c r="D12479" s="270">
        <f t="shared" si="1836"/>
        <v>45638</v>
      </c>
      <c r="E12479" s="279">
        <f t="shared" si="1837"/>
        <v>45638</v>
      </c>
      <c r="F12479" s="477" t="s">
        <v>347</v>
      </c>
      <c r="G12479" s="239" t="s">
        <v>94</v>
      </c>
      <c r="H12479" s="239" t="str" cm="1">
        <f t="array" ref="H12479">IFERROR(INDEX(INVESTOR_LIST[INVESTOR NAME],MATCH(I12479,INVESTOR_LIST[INVESTOR CODE],0),)," ")</f>
        <v xml:space="preserve"> </v>
      </c>
      <c r="I12479" s="262" t="s">
        <v>348</v>
      </c>
      <c r="J12479" s="240" t="s">
        <v>82</v>
      </c>
      <c r="K12479" s="241">
        <v>421403.70999999344</v>
      </c>
      <c r="L12479" s="241"/>
      <c r="M12479" s="133">
        <v>13139541.900000483</v>
      </c>
    </row>
    <row r="12480" spans="1:13" x14ac:dyDescent="0.2">
      <c r="A12480" s="242">
        <v>2024</v>
      </c>
      <c r="B12480" s="242">
        <v>12</v>
      </c>
      <c r="C12480" s="242">
        <v>12</v>
      </c>
      <c r="D12480" s="270">
        <f t="shared" si="1836"/>
        <v>45638</v>
      </c>
      <c r="E12480" s="279">
        <f t="shared" si="1837"/>
        <v>45638</v>
      </c>
      <c r="F12480" s="478"/>
      <c r="G12480" s="243" t="s">
        <v>94</v>
      </c>
      <c r="H12480" s="243" t="str" cm="1">
        <f t="array" ref="H12480">IFERROR(INDEX(INVESTOR_LIST[INVESTOR NAME],MATCH(I12480,INVESTOR_LIST[INVESTOR CODE],0),)," ")</f>
        <v xml:space="preserve"> </v>
      </c>
      <c r="I12480" s="263" t="s">
        <v>348</v>
      </c>
      <c r="J12480" s="244" t="s">
        <v>108</v>
      </c>
      <c r="K12480" s="245"/>
      <c r="L12480" s="245">
        <f>K12479</f>
        <v>421403.70999999344</v>
      </c>
    </row>
    <row r="12481" spans="1:13" ht="11.25" customHeight="1" x14ac:dyDescent="0.2">
      <c r="A12481" s="246">
        <v>2024</v>
      </c>
      <c r="B12481" s="238">
        <v>12</v>
      </c>
      <c r="C12481" s="238">
        <v>12</v>
      </c>
      <c r="D12481" s="270">
        <f t="shared" si="1836"/>
        <v>45638</v>
      </c>
      <c r="E12481" s="279">
        <f t="shared" si="1837"/>
        <v>45638</v>
      </c>
      <c r="F12481" s="482" t="s">
        <v>148</v>
      </c>
      <c r="G12481" s="247" t="s">
        <v>94</v>
      </c>
      <c r="H12481" s="247" t="str" cm="1">
        <f t="array" ref="H12481">IFERROR(INDEX(INVESTOR_LIST[INVESTOR NAME],MATCH(I12481,INVESTOR_LIST[INVESTOR CODE],0),)," ")</f>
        <v xml:space="preserve"> </v>
      </c>
      <c r="I12481" s="248" t="s">
        <v>348</v>
      </c>
      <c r="J12481" s="249" t="s">
        <v>95</v>
      </c>
      <c r="K12481" s="250">
        <v>2747.2527472527472</v>
      </c>
      <c r="L12481" s="241"/>
    </row>
    <row r="12482" spans="1:13" x14ac:dyDescent="0.2">
      <c r="A12482" s="242">
        <v>2024</v>
      </c>
      <c r="B12482" s="242">
        <v>12</v>
      </c>
      <c r="C12482" s="242">
        <v>12</v>
      </c>
      <c r="D12482" s="270">
        <f t="shared" si="1836"/>
        <v>45638</v>
      </c>
      <c r="E12482" s="279">
        <f t="shared" si="1837"/>
        <v>45638</v>
      </c>
      <c r="F12482" s="478"/>
      <c r="G12482" s="243" t="s">
        <v>94</v>
      </c>
      <c r="H12482" s="243" t="str" cm="1">
        <f t="array" ref="H12482">IFERROR(INDEX(INVESTOR_LIST[INVESTOR NAME],MATCH(I12482,INVESTOR_LIST[INVESTOR CODE],0),)," ")</f>
        <v xml:space="preserve"> </v>
      </c>
      <c r="I12482" s="263" t="s">
        <v>348</v>
      </c>
      <c r="J12482" s="244" t="s">
        <v>63</v>
      </c>
      <c r="K12482" s="245"/>
      <c r="L12482" s="245">
        <v>2747.2527472527472</v>
      </c>
    </row>
    <row r="12483" spans="1:13" x14ac:dyDescent="0.2">
      <c r="A12483" s="246">
        <v>2024</v>
      </c>
      <c r="B12483" s="238">
        <v>12</v>
      </c>
      <c r="C12483" s="238">
        <v>12</v>
      </c>
      <c r="D12483" s="270">
        <f t="shared" si="1836"/>
        <v>45638</v>
      </c>
      <c r="E12483" s="279">
        <f t="shared" si="1837"/>
        <v>45638</v>
      </c>
      <c r="F12483" s="482" t="s">
        <v>137</v>
      </c>
      <c r="G12483" s="247" t="s">
        <v>94</v>
      </c>
      <c r="H12483" s="247" t="str" cm="1">
        <f t="array" ref="H12483">IFERROR(INDEX(INVESTOR_LIST[INVESTOR NAME],MATCH(I12483,INVESTOR_LIST[INVESTOR CODE],0),)," ")</f>
        <v xml:space="preserve"> </v>
      </c>
      <c r="I12483" s="248" t="s">
        <v>348</v>
      </c>
      <c r="J12483" s="249" t="s">
        <v>97</v>
      </c>
      <c r="K12483" s="250">
        <f>M12483</f>
        <v>58289.780499963468</v>
      </c>
      <c r="L12483" s="252"/>
      <c r="M12483" s="264">
        <v>58289.780499963468</v>
      </c>
    </row>
    <row r="12484" spans="1:13" x14ac:dyDescent="0.2">
      <c r="A12484" s="242">
        <v>2024</v>
      </c>
      <c r="B12484" s="242">
        <v>12</v>
      </c>
      <c r="C12484" s="242">
        <v>12</v>
      </c>
      <c r="D12484" s="270">
        <f t="shared" si="1836"/>
        <v>45638</v>
      </c>
      <c r="E12484" s="279">
        <f t="shared" si="1837"/>
        <v>45638</v>
      </c>
      <c r="F12484" s="478"/>
      <c r="G12484" s="243" t="s">
        <v>94</v>
      </c>
      <c r="H12484" s="243" t="str" cm="1">
        <f t="array" ref="H12484">IFERROR(INDEX(INVESTOR_LIST[INVESTOR NAME],MATCH(I12484,INVESTOR_LIST[INVESTOR CODE],0),)," ")</f>
        <v xml:space="preserve"> </v>
      </c>
      <c r="I12484" s="263" t="s">
        <v>348</v>
      </c>
      <c r="J12484" s="244" t="s">
        <v>47</v>
      </c>
      <c r="K12484" s="245"/>
      <c r="L12484" s="245">
        <f>K12483</f>
        <v>58289.780499963468</v>
      </c>
      <c r="M12484" s="264">
        <v>2674.1044096135574</v>
      </c>
    </row>
    <row r="12485" spans="1:13" x14ac:dyDescent="0.2">
      <c r="A12485" s="246">
        <v>2024</v>
      </c>
      <c r="B12485" s="238">
        <v>12</v>
      </c>
      <c r="C12485" s="238">
        <v>12</v>
      </c>
      <c r="D12485" s="270">
        <f t="shared" si="1836"/>
        <v>45638</v>
      </c>
      <c r="E12485" s="279">
        <f t="shared" si="1837"/>
        <v>45638</v>
      </c>
      <c r="F12485" s="482" t="s">
        <v>138</v>
      </c>
      <c r="G12485" s="247" t="s">
        <v>94</v>
      </c>
      <c r="H12485" s="247" t="str" cm="1">
        <f t="array" ref="H12485">IFERROR(INDEX(INVESTOR_LIST[INVESTOR NAME],MATCH(I12485,INVESTOR_LIST[INVESTOR CODE],0),)," ")</f>
        <v xml:space="preserve"> </v>
      </c>
      <c r="I12485" s="248" t="s">
        <v>348</v>
      </c>
      <c r="J12485" s="249" t="s">
        <v>100</v>
      </c>
      <c r="K12485" s="250">
        <f>M12484</f>
        <v>2674.1044096135574</v>
      </c>
      <c r="L12485" s="252"/>
    </row>
    <row r="12486" spans="1:13" x14ac:dyDescent="0.2">
      <c r="A12486" s="242">
        <v>2024</v>
      </c>
      <c r="B12486" s="242">
        <v>12</v>
      </c>
      <c r="C12486" s="242">
        <v>12</v>
      </c>
      <c r="D12486" s="321">
        <f t="shared" si="1836"/>
        <v>45638</v>
      </c>
      <c r="E12486" s="322">
        <f t="shared" si="1837"/>
        <v>45638</v>
      </c>
      <c r="F12486" s="478"/>
      <c r="G12486" s="243" t="s">
        <v>94</v>
      </c>
      <c r="H12486" s="243" t="str" cm="1">
        <f t="array" ref="H12486">IFERROR(INDEX(INVESTOR_LIST[INVESTOR NAME],MATCH(I12486,INVESTOR_LIST[INVESTOR CODE],0),)," ")</f>
        <v xml:space="preserve"> </v>
      </c>
      <c r="I12486" s="263" t="s">
        <v>348</v>
      </c>
      <c r="J12486" s="244" t="s">
        <v>48</v>
      </c>
      <c r="K12486" s="245"/>
      <c r="L12486" s="245">
        <f>K12485</f>
        <v>2674.1044096135574</v>
      </c>
    </row>
    <row r="12487" spans="1:13" ht="10.5" customHeight="1" x14ac:dyDescent="0.2">
      <c r="A12487" s="168">
        <v>2024</v>
      </c>
      <c r="B12487" s="168">
        <v>12</v>
      </c>
      <c r="C12487" s="168">
        <v>15</v>
      </c>
      <c r="D12487" s="141">
        <f>DATE(A12487,B12487,C12487)</f>
        <v>45641</v>
      </c>
      <c r="E12487" s="275">
        <f>DATE(A12487,B12487,C12487)</f>
        <v>45641</v>
      </c>
      <c r="F12487" s="479" t="s">
        <v>1319</v>
      </c>
      <c r="G12487" s="220" t="s">
        <v>74</v>
      </c>
      <c r="H12487" s="142" t="str" cm="1">
        <f t="array" ref="H12487">IFERROR(INDEX(INVESTOR_LIST[INVESTOR NAME],MATCH(I12487,INVESTOR_LIST[INVESTOR CODE],0),)," ")</f>
        <v xml:space="preserve"> </v>
      </c>
      <c r="I12487" s="142"/>
      <c r="J12487" s="168" t="s">
        <v>52</v>
      </c>
      <c r="K12487" s="226">
        <v>2000</v>
      </c>
      <c r="L12487" s="226"/>
    </row>
    <row r="12488" spans="1:13" ht="10.5" customHeight="1" x14ac:dyDescent="0.2">
      <c r="A12488" s="133">
        <v>2024</v>
      </c>
      <c r="B12488" s="133">
        <v>12</v>
      </c>
      <c r="C12488" s="133">
        <v>15</v>
      </c>
      <c r="D12488" s="141">
        <f>DATE(A12488,B12488,C12488)</f>
        <v>45641</v>
      </c>
      <c r="E12488" s="275">
        <f>DATE(A12488,B12488,C12488)</f>
        <v>45641</v>
      </c>
      <c r="F12488" s="481"/>
      <c r="G12488" s="174" t="s">
        <v>74</v>
      </c>
      <c r="H12488" s="148" t="str" cm="1">
        <f t="array" ref="H12488">IFERROR(INDEX(INVESTOR_LIST[INVESTOR NAME],MATCH(I12488,INVESTOR_LIST[INVESTOR CODE],0),)," ")</f>
        <v xml:space="preserve"> </v>
      </c>
      <c r="J12488" s="133" t="s">
        <v>13</v>
      </c>
      <c r="K12488" s="218"/>
      <c r="L12488" s="218">
        <v>1580</v>
      </c>
    </row>
    <row r="12489" spans="1:13" ht="11.25" customHeight="1" x14ac:dyDescent="0.2">
      <c r="A12489" s="163">
        <v>2024</v>
      </c>
      <c r="B12489" s="163">
        <v>12</v>
      </c>
      <c r="C12489" s="163">
        <v>15</v>
      </c>
      <c r="D12489" s="280">
        <f>DATE(A12489,B12489,C12489)</f>
        <v>45641</v>
      </c>
      <c r="E12489" s="281">
        <f>DATE(A12489,B12489,C12489)</f>
        <v>45641</v>
      </c>
      <c r="F12489" s="480"/>
      <c r="G12489" s="221" t="s">
        <v>74</v>
      </c>
      <c r="H12489" s="145" t="str" cm="1">
        <f t="array" ref="H12489">IFERROR(INDEX(INVESTOR_LIST[INVESTOR NAME],MATCH(I12489,INVESTOR_LIST[INVESTOR CODE],0),)," ")</f>
        <v xml:space="preserve"> </v>
      </c>
      <c r="I12489" s="145"/>
      <c r="J12489" s="163" t="s">
        <v>53</v>
      </c>
      <c r="K12489" s="219"/>
      <c r="L12489" s="219">
        <v>420</v>
      </c>
    </row>
    <row r="12490" spans="1:13" x14ac:dyDescent="0.2">
      <c r="A12490" s="168">
        <v>2024</v>
      </c>
      <c r="B12490" s="168">
        <v>12</v>
      </c>
      <c r="C12490" s="168">
        <v>15</v>
      </c>
      <c r="D12490" s="141">
        <f t="shared" ref="D12490:D12493" si="1838">DATE(A12490,B12490,C12490)</f>
        <v>45641</v>
      </c>
      <c r="E12490" s="275">
        <f t="shared" ref="E12490:E12493" si="1839">DATE(A12490,B12490,C12490)</f>
        <v>45641</v>
      </c>
      <c r="F12490" s="479" t="s">
        <v>2014</v>
      </c>
      <c r="G12490" s="220" t="s">
        <v>94</v>
      </c>
      <c r="H12490" s="220" t="str" cm="1">
        <f t="array" ref="H12490">IFERROR(INDEX(INVESTOR_LIST[INVESTOR NAME],MATCH(I12490,INVESTOR_LIST[INVESTOR CODE],0),)," ")</f>
        <v xml:space="preserve"> </v>
      </c>
      <c r="I12490" s="142" t="s">
        <v>348</v>
      </c>
      <c r="J12490" s="143" t="s">
        <v>52</v>
      </c>
      <c r="K12490" s="226">
        <v>207000</v>
      </c>
      <c r="L12490" s="226"/>
    </row>
    <row r="12491" spans="1:13" x14ac:dyDescent="0.2">
      <c r="A12491" s="163">
        <v>2024</v>
      </c>
      <c r="B12491" s="163">
        <v>12</v>
      </c>
      <c r="C12491" s="163">
        <v>15</v>
      </c>
      <c r="D12491" s="141">
        <f t="shared" si="1838"/>
        <v>45641</v>
      </c>
      <c r="E12491" s="275">
        <f t="shared" si="1839"/>
        <v>45641</v>
      </c>
      <c r="F12491" s="480"/>
      <c r="G12491" s="221" t="s">
        <v>94</v>
      </c>
      <c r="H12491" s="221" t="str" cm="1">
        <f t="array" ref="H12491">IFERROR(INDEX(INVESTOR_LIST[INVESTOR NAME],MATCH(I12491,INVESTOR_LIST[INVESTOR CODE],0),)," ")</f>
        <v xml:space="preserve"> </v>
      </c>
      <c r="I12491" s="145" t="s">
        <v>348</v>
      </c>
      <c r="J12491" s="146" t="s">
        <v>60</v>
      </c>
      <c r="K12491" s="219"/>
      <c r="L12491" s="219">
        <f>K12490</f>
        <v>207000</v>
      </c>
    </row>
    <row r="12492" spans="1:13" x14ac:dyDescent="0.2">
      <c r="A12492" s="133">
        <v>2024</v>
      </c>
      <c r="B12492" s="168">
        <v>12</v>
      </c>
      <c r="C12492" s="168">
        <v>15</v>
      </c>
      <c r="D12492" s="141">
        <f t="shared" si="1838"/>
        <v>45641</v>
      </c>
      <c r="E12492" s="275">
        <f t="shared" si="1839"/>
        <v>45641</v>
      </c>
      <c r="F12492" s="481" t="s">
        <v>2015</v>
      </c>
      <c r="G12492" s="174" t="s">
        <v>94</v>
      </c>
      <c r="H12492" s="174" t="str" cm="1">
        <f t="array" ref="H12492">IFERROR(INDEX(INVESTOR_LIST[INVESTOR NAME],MATCH(I12492,INVESTOR_LIST[INVESTOR CODE],0),)," ")</f>
        <v xml:space="preserve"> </v>
      </c>
      <c r="I12492" s="148" t="s">
        <v>348</v>
      </c>
      <c r="J12492" s="149" t="s">
        <v>52</v>
      </c>
      <c r="K12492" s="218">
        <v>172260</v>
      </c>
      <c r="L12492" s="218"/>
    </row>
    <row r="12493" spans="1:13" x14ac:dyDescent="0.2">
      <c r="A12493" s="163">
        <v>2024</v>
      </c>
      <c r="B12493" s="163">
        <v>12</v>
      </c>
      <c r="C12493" s="163">
        <v>15</v>
      </c>
      <c r="D12493" s="141">
        <f t="shared" si="1838"/>
        <v>45641</v>
      </c>
      <c r="E12493" s="275">
        <f t="shared" si="1839"/>
        <v>45641</v>
      </c>
      <c r="F12493" s="480"/>
      <c r="G12493" s="221" t="s">
        <v>94</v>
      </c>
      <c r="H12493" s="221" t="str" cm="1">
        <f t="array" ref="H12493">IFERROR(INDEX(INVESTOR_LIST[INVESTOR NAME],MATCH(I12493,INVESTOR_LIST[INVESTOR CODE],0),)," ")</f>
        <v xml:space="preserve"> </v>
      </c>
      <c r="I12493" s="145" t="s">
        <v>348</v>
      </c>
      <c r="J12493" s="146" t="s">
        <v>168</v>
      </c>
      <c r="K12493" s="219"/>
      <c r="L12493" s="218">
        <v>172260</v>
      </c>
    </row>
    <row r="12494" spans="1:13" ht="11.25" customHeight="1" x14ac:dyDescent="0.2">
      <c r="A12494" s="168">
        <v>2024</v>
      </c>
      <c r="B12494" s="168">
        <v>12</v>
      </c>
      <c r="C12494" s="168">
        <v>17</v>
      </c>
      <c r="D12494" s="141">
        <f t="shared" si="1836"/>
        <v>45643</v>
      </c>
      <c r="E12494" s="275">
        <f t="shared" si="1837"/>
        <v>45643</v>
      </c>
      <c r="F12494" s="479" t="s">
        <v>1315</v>
      </c>
      <c r="G12494" s="220" t="s">
        <v>74</v>
      </c>
      <c r="H12494" s="142" t="str" cm="1">
        <f t="array" ref="H12494">IFERROR(INDEX(INVESTOR_LIST[INVESTOR NAME],MATCH(I12494,INVESTOR_LIST[INVESTOR CODE],0),)," ")</f>
        <v>SAJAL KANTI HOWLADER</v>
      </c>
      <c r="I12494" s="142" t="s">
        <v>1342</v>
      </c>
      <c r="J12494" s="168" t="s">
        <v>13</v>
      </c>
      <c r="K12494" s="226">
        <v>1000000</v>
      </c>
      <c r="L12494" s="226"/>
    </row>
    <row r="12495" spans="1:13" ht="11.25" customHeight="1" x14ac:dyDescent="0.2">
      <c r="A12495" s="133">
        <v>2024</v>
      </c>
      <c r="B12495" s="133">
        <v>12</v>
      </c>
      <c r="C12495" s="133">
        <v>17</v>
      </c>
      <c r="D12495" s="141">
        <f t="shared" si="1836"/>
        <v>45643</v>
      </c>
      <c r="E12495" s="275">
        <f t="shared" si="1837"/>
        <v>45643</v>
      </c>
      <c r="F12495" s="481"/>
      <c r="G12495" s="174" t="s">
        <v>74</v>
      </c>
      <c r="H12495" s="148" t="str" cm="1">
        <f t="array" ref="H12495">IFERROR(INDEX(INVESTOR_LIST[INVESTOR NAME],MATCH(I12495,INVESTOR_LIST[INVESTOR CODE],0),)," ")</f>
        <v>SAJAL KANTI HOWLADER</v>
      </c>
      <c r="I12495" s="148" t="s">
        <v>1342</v>
      </c>
      <c r="J12495" s="133" t="s">
        <v>53</v>
      </c>
      <c r="K12495" s="218">
        <v>264300</v>
      </c>
      <c r="L12495" s="218"/>
    </row>
    <row r="12496" spans="1:13" ht="11.25" customHeight="1" x14ac:dyDescent="0.2">
      <c r="A12496" s="163">
        <v>2024</v>
      </c>
      <c r="B12496" s="163">
        <v>12</v>
      </c>
      <c r="C12496" s="133">
        <v>17</v>
      </c>
      <c r="D12496" s="280">
        <f t="shared" si="1836"/>
        <v>45643</v>
      </c>
      <c r="E12496" s="281">
        <f t="shared" si="1837"/>
        <v>45643</v>
      </c>
      <c r="F12496" s="480"/>
      <c r="G12496" s="221" t="s">
        <v>74</v>
      </c>
      <c r="H12496" s="145" t="str" cm="1">
        <f t="array" ref="H12496">IFERROR(INDEX(INVESTOR_LIST[INVESTOR NAME],MATCH(I12496,INVESTOR_LIST[INVESTOR CODE],0),)," ")</f>
        <v>SAJAL KANTI HOWLADER</v>
      </c>
      <c r="I12496" s="145" t="s">
        <v>1342</v>
      </c>
      <c r="J12496" s="163" t="s">
        <v>52</v>
      </c>
      <c r="K12496" s="219"/>
      <c r="L12496" s="219">
        <v>1264300</v>
      </c>
    </row>
    <row r="12497" spans="1:12" ht="11.25" customHeight="1" x14ac:dyDescent="0.2">
      <c r="A12497" s="168">
        <v>2024</v>
      </c>
      <c r="B12497" s="168">
        <v>12</v>
      </c>
      <c r="C12497" s="168">
        <v>17</v>
      </c>
      <c r="D12497" s="141">
        <f t="shared" ref="D12497:D12499" si="1840">DATE(A12497,B12497,C12497)</f>
        <v>45643</v>
      </c>
      <c r="E12497" s="275">
        <f t="shared" ref="E12497:E12499" si="1841">DATE(A12497,B12497,C12497)</f>
        <v>45643</v>
      </c>
      <c r="F12497" s="479" t="s">
        <v>1315</v>
      </c>
      <c r="G12497" s="220" t="s">
        <v>74</v>
      </c>
      <c r="H12497" s="142" t="str" cm="1">
        <f t="array" ref="H12497">IFERROR(INDEX(INVESTOR_LIST[INVESTOR NAME],MATCH(I12497,INVESTOR_LIST[INVESTOR CODE],0),)," ")</f>
        <v>CRAB EMPLOYEES PROVIDENT FUND</v>
      </c>
      <c r="I12497" s="142" t="s">
        <v>391</v>
      </c>
      <c r="J12497" s="168" t="s">
        <v>13</v>
      </c>
      <c r="K12497" s="226">
        <v>250000</v>
      </c>
      <c r="L12497" s="226"/>
    </row>
    <row r="12498" spans="1:12" ht="11.25" customHeight="1" x14ac:dyDescent="0.2">
      <c r="A12498" s="133">
        <v>2024</v>
      </c>
      <c r="B12498" s="133">
        <v>12</v>
      </c>
      <c r="C12498" s="133">
        <v>17</v>
      </c>
      <c r="D12498" s="141">
        <f t="shared" si="1840"/>
        <v>45643</v>
      </c>
      <c r="E12498" s="275">
        <f t="shared" si="1841"/>
        <v>45643</v>
      </c>
      <c r="F12498" s="481"/>
      <c r="G12498" s="174" t="s">
        <v>74</v>
      </c>
      <c r="H12498" s="148" t="str" cm="1">
        <f t="array" ref="H12498">IFERROR(INDEX(INVESTOR_LIST[INVESTOR NAME],MATCH(I12498,INVESTOR_LIST[INVESTOR CODE],0),)," ")</f>
        <v>CRAB EMPLOYEES PROVIDENT FUND</v>
      </c>
      <c r="I12498" s="148" t="s">
        <v>391</v>
      </c>
      <c r="J12498" s="133" t="s">
        <v>53</v>
      </c>
      <c r="K12498" s="218">
        <v>66075</v>
      </c>
      <c r="L12498" s="218"/>
    </row>
    <row r="12499" spans="1:12" ht="11.25" customHeight="1" x14ac:dyDescent="0.2">
      <c r="A12499" s="163">
        <v>2024</v>
      </c>
      <c r="B12499" s="163">
        <v>12</v>
      </c>
      <c r="C12499" s="133">
        <v>17</v>
      </c>
      <c r="D12499" s="280">
        <f t="shared" si="1840"/>
        <v>45643</v>
      </c>
      <c r="E12499" s="281">
        <f t="shared" si="1841"/>
        <v>45643</v>
      </c>
      <c r="F12499" s="480"/>
      <c r="G12499" s="221" t="s">
        <v>74</v>
      </c>
      <c r="H12499" s="145" t="str" cm="1">
        <f t="array" ref="H12499">IFERROR(INDEX(INVESTOR_LIST[INVESTOR NAME],MATCH(I12499,INVESTOR_LIST[INVESTOR CODE],0),)," ")</f>
        <v>CRAB EMPLOYEES PROVIDENT FUND</v>
      </c>
      <c r="I12499" s="145" t="s">
        <v>391</v>
      </c>
      <c r="J12499" s="163" t="s">
        <v>52</v>
      </c>
      <c r="K12499" s="219"/>
      <c r="L12499" s="219">
        <v>316075</v>
      </c>
    </row>
    <row r="12500" spans="1:12" ht="11.25" customHeight="1" x14ac:dyDescent="0.2">
      <c r="A12500" s="168">
        <v>2024</v>
      </c>
      <c r="B12500" s="168">
        <v>12</v>
      </c>
      <c r="C12500" s="168">
        <v>17</v>
      </c>
      <c r="D12500" s="141">
        <f t="shared" ref="D12500:D12502" si="1842">DATE(A12500,B12500,C12500)</f>
        <v>45643</v>
      </c>
      <c r="E12500" s="275">
        <f t="shared" ref="E12500:E12502" si="1843">DATE(A12500,B12500,C12500)</f>
        <v>45643</v>
      </c>
      <c r="F12500" s="479" t="s">
        <v>1315</v>
      </c>
      <c r="G12500" s="220" t="s">
        <v>74</v>
      </c>
      <c r="H12500" s="142" t="str" cm="1">
        <f t="array" ref="H12500">IFERROR(INDEX(INVESTOR_LIST[INVESTOR NAME],MATCH(I12500,INVESTOR_LIST[INVESTOR CODE],0),)," ")</f>
        <v>CRAB EMPLOYEES GRATUITY FUND</v>
      </c>
      <c r="I12500" s="142" t="s">
        <v>392</v>
      </c>
      <c r="J12500" s="168" t="s">
        <v>13</v>
      </c>
      <c r="K12500" s="226">
        <v>250000</v>
      </c>
      <c r="L12500" s="226"/>
    </row>
    <row r="12501" spans="1:12" ht="11.25" customHeight="1" x14ac:dyDescent="0.2">
      <c r="A12501" s="133">
        <v>2024</v>
      </c>
      <c r="B12501" s="133">
        <v>12</v>
      </c>
      <c r="C12501" s="133">
        <v>17</v>
      </c>
      <c r="D12501" s="141">
        <f t="shared" si="1842"/>
        <v>45643</v>
      </c>
      <c r="E12501" s="275">
        <f t="shared" si="1843"/>
        <v>45643</v>
      </c>
      <c r="F12501" s="481"/>
      <c r="G12501" s="174" t="s">
        <v>74</v>
      </c>
      <c r="H12501" s="148" t="str" cm="1">
        <f t="array" ref="H12501">IFERROR(INDEX(INVESTOR_LIST[INVESTOR NAME],MATCH(I12501,INVESTOR_LIST[INVESTOR CODE],0),)," ")</f>
        <v>CRAB EMPLOYEES GRATUITY FUND</v>
      </c>
      <c r="I12501" s="148" t="s">
        <v>392</v>
      </c>
      <c r="J12501" s="133" t="s">
        <v>53</v>
      </c>
      <c r="K12501" s="218">
        <v>66075</v>
      </c>
      <c r="L12501" s="218"/>
    </row>
    <row r="12502" spans="1:12" ht="11.25" customHeight="1" x14ac:dyDescent="0.2">
      <c r="A12502" s="163">
        <v>2024</v>
      </c>
      <c r="B12502" s="163">
        <v>12</v>
      </c>
      <c r="C12502" s="133">
        <v>17</v>
      </c>
      <c r="D12502" s="280">
        <f t="shared" si="1842"/>
        <v>45643</v>
      </c>
      <c r="E12502" s="281">
        <f t="shared" si="1843"/>
        <v>45643</v>
      </c>
      <c r="F12502" s="480"/>
      <c r="G12502" s="221" t="s">
        <v>74</v>
      </c>
      <c r="H12502" s="145" t="str" cm="1">
        <f t="array" ref="H12502">IFERROR(INDEX(INVESTOR_LIST[INVESTOR NAME],MATCH(I12502,INVESTOR_LIST[INVESTOR CODE],0),)," ")</f>
        <v>CRAB EMPLOYEES GRATUITY FUND</v>
      </c>
      <c r="I12502" s="145" t="s">
        <v>392</v>
      </c>
      <c r="J12502" s="163" t="s">
        <v>52</v>
      </c>
      <c r="K12502" s="219"/>
      <c r="L12502" s="219">
        <v>316075</v>
      </c>
    </row>
    <row r="12503" spans="1:12" ht="11.25" customHeight="1" x14ac:dyDescent="0.2">
      <c r="A12503" s="168">
        <v>2024</v>
      </c>
      <c r="B12503" s="168">
        <v>12</v>
      </c>
      <c r="C12503" s="168">
        <v>17</v>
      </c>
      <c r="D12503" s="141">
        <f t="shared" ref="D12503:D12529" si="1844">DATE(A12503,B12503,C12503)</f>
        <v>45643</v>
      </c>
      <c r="E12503" s="275">
        <f t="shared" ref="E12503:E12529" si="1845">DATE(A12503,B12503,C12503)</f>
        <v>45643</v>
      </c>
      <c r="F12503" s="479" t="s">
        <v>1310</v>
      </c>
      <c r="G12503" s="220" t="s">
        <v>74</v>
      </c>
      <c r="H12503" s="142" t="str" cm="1">
        <f t="array" ref="H12503">IFERROR(INDEX(INVESTOR_LIST[INVESTOR NAME],MATCH(I12503,INVESTOR_LIST[INVESTOR CODE],0),)," ")</f>
        <v>SARWAR</v>
      </c>
      <c r="I12503" s="142" t="s">
        <v>859</v>
      </c>
      <c r="J12503" s="168" t="s">
        <v>13</v>
      </c>
      <c r="K12503" s="226">
        <v>53120</v>
      </c>
      <c r="L12503" s="226"/>
    </row>
    <row r="12504" spans="1:12" ht="11.25" customHeight="1" x14ac:dyDescent="0.2">
      <c r="A12504" s="133">
        <v>2024</v>
      </c>
      <c r="B12504" s="133">
        <v>12</v>
      </c>
      <c r="C12504" s="133">
        <v>17</v>
      </c>
      <c r="D12504" s="141">
        <f t="shared" si="1844"/>
        <v>45643</v>
      </c>
      <c r="E12504" s="275">
        <f t="shared" si="1845"/>
        <v>45643</v>
      </c>
      <c r="F12504" s="481"/>
      <c r="G12504" s="174" t="s">
        <v>74</v>
      </c>
      <c r="H12504" s="148" t="str" cm="1">
        <f t="array" ref="H12504">IFERROR(INDEX(INVESTOR_LIST[INVESTOR NAME],MATCH(I12504,INVESTOR_LIST[INVESTOR CODE],0),)," ")</f>
        <v>SARWAR</v>
      </c>
      <c r="I12504" s="148" t="s">
        <v>859</v>
      </c>
      <c r="J12504" s="133" t="s">
        <v>53</v>
      </c>
      <c r="K12504" s="218">
        <v>14039.619999999995</v>
      </c>
      <c r="L12504" s="218"/>
    </row>
    <row r="12505" spans="1:12" ht="11.25" customHeight="1" x14ac:dyDescent="0.2">
      <c r="A12505" s="163">
        <v>2024</v>
      </c>
      <c r="B12505" s="163">
        <v>12</v>
      </c>
      <c r="C12505" s="133">
        <v>17</v>
      </c>
      <c r="D12505" s="280">
        <f t="shared" si="1844"/>
        <v>45643</v>
      </c>
      <c r="E12505" s="281">
        <f t="shared" si="1845"/>
        <v>45643</v>
      </c>
      <c r="F12505" s="480"/>
      <c r="G12505" s="221" t="s">
        <v>74</v>
      </c>
      <c r="H12505" s="145" t="str" cm="1">
        <f t="array" ref="H12505">IFERROR(INDEX(INVESTOR_LIST[INVESTOR NAME],MATCH(I12505,INVESTOR_LIST[INVESTOR CODE],0),)," ")</f>
        <v>SARWAR</v>
      </c>
      <c r="I12505" s="145" t="s">
        <v>859</v>
      </c>
      <c r="J12505" s="163" t="s">
        <v>52</v>
      </c>
      <c r="K12505" s="219"/>
      <c r="L12505" s="219">
        <v>67159.62</v>
      </c>
    </row>
    <row r="12506" spans="1:12" x14ac:dyDescent="0.2">
      <c r="A12506" s="168">
        <v>2024</v>
      </c>
      <c r="B12506" s="168">
        <v>12</v>
      </c>
      <c r="C12506" s="168">
        <v>17</v>
      </c>
      <c r="D12506" s="141">
        <f t="shared" si="1844"/>
        <v>45643</v>
      </c>
      <c r="E12506" s="275">
        <f t="shared" si="1845"/>
        <v>45643</v>
      </c>
      <c r="F12506" s="479" t="s">
        <v>362</v>
      </c>
      <c r="G12506" s="220" t="s">
        <v>74</v>
      </c>
      <c r="H12506" s="220" t="str" cm="1">
        <f t="array" ref="H12506">IFERROR(INDEX(INVESTOR_LIST[INVESTOR NAME],MATCH(I12506,INVESTOR_LIST[INVESTOR CODE],0),)," ")</f>
        <v xml:space="preserve"> </v>
      </c>
      <c r="I12506" s="142" t="s">
        <v>348</v>
      </c>
      <c r="J12506" s="143" t="s">
        <v>104</v>
      </c>
      <c r="K12506" s="226">
        <v>1510.08</v>
      </c>
      <c r="L12506" s="226"/>
    </row>
    <row r="12507" spans="1:12" x14ac:dyDescent="0.2">
      <c r="A12507" s="133">
        <v>2024</v>
      </c>
      <c r="B12507" s="133">
        <v>12</v>
      </c>
      <c r="C12507" s="133">
        <v>17</v>
      </c>
      <c r="D12507" s="147">
        <f t="shared" si="1844"/>
        <v>45643</v>
      </c>
      <c r="E12507" s="311">
        <f t="shared" si="1845"/>
        <v>45643</v>
      </c>
      <c r="F12507" s="481"/>
      <c r="G12507" s="174" t="s">
        <v>74</v>
      </c>
      <c r="H12507" s="174" t="str" cm="1">
        <f t="array" ref="H12507">IFERROR(INDEX(INVESTOR_LIST[INVESTOR NAME],MATCH(I12507,INVESTOR_LIST[INVESTOR CODE],0),)," ")</f>
        <v xml:space="preserve"> </v>
      </c>
      <c r="J12507" s="149" t="s">
        <v>534</v>
      </c>
      <c r="K12507" s="218"/>
      <c r="L12507" s="218">
        <v>151.01</v>
      </c>
    </row>
    <row r="12508" spans="1:12" x14ac:dyDescent="0.2">
      <c r="A12508" s="163">
        <v>2024</v>
      </c>
      <c r="B12508" s="163">
        <v>12</v>
      </c>
      <c r="C12508" s="133">
        <v>17</v>
      </c>
      <c r="D12508" s="144">
        <f t="shared" si="1844"/>
        <v>45643</v>
      </c>
      <c r="E12508" s="313">
        <f t="shared" si="1845"/>
        <v>45643</v>
      </c>
      <c r="F12508" s="480"/>
      <c r="G12508" s="221" t="s">
        <v>74</v>
      </c>
      <c r="H12508" s="221" t="str" cm="1">
        <f t="array" ref="H12508">IFERROR(INDEX(INVESTOR_LIST[INVESTOR NAME],MATCH(I12508,INVESTOR_LIST[INVESTOR CODE],0),)," ")</f>
        <v xml:space="preserve"> </v>
      </c>
      <c r="I12508" s="145" t="s">
        <v>348</v>
      </c>
      <c r="J12508" s="146" t="s">
        <v>52</v>
      </c>
      <c r="K12508" s="219"/>
      <c r="L12508" s="219">
        <v>1359.07</v>
      </c>
    </row>
    <row r="12509" spans="1:12" x14ac:dyDescent="0.2">
      <c r="A12509" s="168">
        <v>2024</v>
      </c>
      <c r="B12509" s="168">
        <v>12</v>
      </c>
      <c r="C12509" s="168">
        <v>17</v>
      </c>
      <c r="D12509" s="141">
        <f t="shared" si="1844"/>
        <v>45643</v>
      </c>
      <c r="E12509" s="275">
        <f t="shared" si="1845"/>
        <v>45643</v>
      </c>
      <c r="F12509" s="479" t="s">
        <v>1998</v>
      </c>
      <c r="G12509" s="174" t="s">
        <v>74</v>
      </c>
      <c r="H12509" s="148" t="str" cm="1">
        <f t="array" ref="H12509">IFERROR(INDEX(INVESTOR_LIST[INVESTOR NAME],MATCH(I12509,INVESTOR_LIST[INVESTOR CODE],0),)," ")</f>
        <v xml:space="preserve"> </v>
      </c>
      <c r="I12509" s="148" t="s">
        <v>348</v>
      </c>
      <c r="J12509" s="133" t="s">
        <v>47</v>
      </c>
      <c r="K12509" s="172">
        <v>464817.27</v>
      </c>
    </row>
    <row r="12510" spans="1:12" x14ac:dyDescent="0.2">
      <c r="A12510" s="133">
        <v>2024</v>
      </c>
      <c r="B12510" s="133">
        <v>12</v>
      </c>
      <c r="C12510" s="133">
        <v>17</v>
      </c>
      <c r="D12510" s="141">
        <f t="shared" si="1844"/>
        <v>45643</v>
      </c>
      <c r="E12510" s="275">
        <f t="shared" si="1845"/>
        <v>45643</v>
      </c>
      <c r="F12510" s="481"/>
      <c r="G12510" s="174" t="s">
        <v>74</v>
      </c>
      <c r="H12510" s="148" t="str" cm="1">
        <f t="array" ref="H12510">IFERROR(INDEX(INVESTOR_LIST[INVESTOR NAME],MATCH(I12510,INVESTOR_LIST[INVESTOR CODE],0),)," ")</f>
        <v xml:space="preserve"> </v>
      </c>
      <c r="J12510" s="133" t="s">
        <v>534</v>
      </c>
      <c r="K12510" s="218"/>
      <c r="L12510" s="218">
        <v>69722.59</v>
      </c>
    </row>
    <row r="12511" spans="1:12" x14ac:dyDescent="0.2">
      <c r="A12511" s="163">
        <v>2024</v>
      </c>
      <c r="B12511" s="163">
        <v>12</v>
      </c>
      <c r="C12511" s="133">
        <v>17</v>
      </c>
      <c r="D12511" s="280">
        <f t="shared" si="1844"/>
        <v>45643</v>
      </c>
      <c r="E12511" s="281">
        <f t="shared" si="1845"/>
        <v>45643</v>
      </c>
      <c r="F12511" s="480"/>
      <c r="G12511" s="221" t="s">
        <v>74</v>
      </c>
      <c r="H12511" s="145" t="str" cm="1">
        <f t="array" ref="H12511">IFERROR(INDEX(INVESTOR_LIST[INVESTOR NAME],MATCH(I12511,INVESTOR_LIST[INVESTOR CODE],0),)," ")</f>
        <v xml:space="preserve"> </v>
      </c>
      <c r="I12511" s="145" t="s">
        <v>348</v>
      </c>
      <c r="J12511" s="163" t="s">
        <v>52</v>
      </c>
      <c r="K12511" s="219"/>
      <c r="L12511" s="219">
        <v>395094.68</v>
      </c>
    </row>
    <row r="12512" spans="1:12" ht="11.25" customHeight="1" x14ac:dyDescent="0.2">
      <c r="A12512" s="133">
        <v>2024</v>
      </c>
      <c r="B12512" s="168">
        <v>12</v>
      </c>
      <c r="C12512" s="168">
        <v>17</v>
      </c>
      <c r="D12512" s="141">
        <f t="shared" si="1844"/>
        <v>45643</v>
      </c>
      <c r="E12512" s="275">
        <f t="shared" si="1845"/>
        <v>45643</v>
      </c>
      <c r="F12512" s="479" t="s">
        <v>2016</v>
      </c>
      <c r="G12512" s="174" t="s">
        <v>94</v>
      </c>
      <c r="H12512" s="174" t="str" cm="1">
        <f t="array" ref="H12512">IFERROR(INDEX(INVESTOR_LIST[INVESTOR NAME],MATCH(I12512,INVESTOR_LIST[INVESTOR CODE],0),)," ")</f>
        <v xml:space="preserve"> </v>
      </c>
      <c r="I12512" s="148" t="s">
        <v>348</v>
      </c>
      <c r="J12512" s="149" t="s">
        <v>52</v>
      </c>
      <c r="K12512" s="218">
        <v>38760</v>
      </c>
      <c r="L12512" s="218"/>
    </row>
    <row r="12513" spans="1:13" x14ac:dyDescent="0.2">
      <c r="A12513" s="163">
        <v>2024</v>
      </c>
      <c r="B12513" s="163">
        <v>12</v>
      </c>
      <c r="C12513" s="163">
        <v>17</v>
      </c>
      <c r="D12513" s="141">
        <f t="shared" si="1844"/>
        <v>45643</v>
      </c>
      <c r="E12513" s="275">
        <f t="shared" si="1845"/>
        <v>45643</v>
      </c>
      <c r="F12513" s="480"/>
      <c r="G12513" s="221" t="s">
        <v>94</v>
      </c>
      <c r="H12513" s="221" t="str" cm="1">
        <f t="array" ref="H12513">IFERROR(INDEX(INVESTOR_LIST[INVESTOR NAME],MATCH(I12513,INVESTOR_LIST[INVESTOR CODE],0),)," ")</f>
        <v xml:space="preserve"> </v>
      </c>
      <c r="I12513" s="145" t="s">
        <v>348</v>
      </c>
      <c r="J12513" s="146" t="s">
        <v>168</v>
      </c>
      <c r="K12513" s="219"/>
      <c r="L12513" s="219">
        <v>38760</v>
      </c>
    </row>
    <row r="12514" spans="1:13" x14ac:dyDescent="0.2">
      <c r="A12514" s="325">
        <v>2024</v>
      </c>
      <c r="B12514" s="325">
        <v>12</v>
      </c>
      <c r="C12514" s="325">
        <v>17</v>
      </c>
      <c r="D12514" s="326">
        <f t="shared" si="1844"/>
        <v>45643</v>
      </c>
      <c r="E12514" s="327">
        <f t="shared" si="1845"/>
        <v>45643</v>
      </c>
      <c r="F12514" s="473" t="s">
        <v>1940</v>
      </c>
      <c r="G12514" s="340" t="s">
        <v>94</v>
      </c>
      <c r="H12514" s="340" t="str" cm="1">
        <f t="array" ref="H12514">IFERROR(INDEX(INVESTOR_LIST[INVESTOR NAME],MATCH(I12514,INVESTOR_LIST[INVESTOR CODE],0),)," ")</f>
        <v xml:space="preserve"> </v>
      </c>
      <c r="I12514" s="341" t="s">
        <v>348</v>
      </c>
      <c r="J12514" s="374" t="s">
        <v>133</v>
      </c>
      <c r="K12514" s="375">
        <v>12905.555555555549</v>
      </c>
      <c r="L12514" s="375"/>
    </row>
    <row r="12515" spans="1:13" x14ac:dyDescent="0.2">
      <c r="A12515" s="331">
        <v>2024</v>
      </c>
      <c r="B12515" s="331">
        <v>12</v>
      </c>
      <c r="C12515" s="331">
        <v>17</v>
      </c>
      <c r="D12515" s="326">
        <f t="shared" si="1844"/>
        <v>45643</v>
      </c>
      <c r="E12515" s="327">
        <f t="shared" si="1845"/>
        <v>45643</v>
      </c>
      <c r="F12515" s="474"/>
      <c r="G12515" s="332" t="s">
        <v>94</v>
      </c>
      <c r="H12515" s="332" t="str" cm="1">
        <f t="array" ref="H12515">IFERROR(INDEX(INVESTOR_LIST[INVESTOR NAME],MATCH(I12515,INVESTOR_LIST[INVESTOR CODE],0),)," ")</f>
        <v xml:space="preserve"> </v>
      </c>
      <c r="I12515" s="333" t="s">
        <v>348</v>
      </c>
      <c r="J12515" s="376" t="s">
        <v>60</v>
      </c>
      <c r="K12515" s="334"/>
      <c r="L12515" s="334">
        <v>12905.555555555549</v>
      </c>
    </row>
    <row r="12516" spans="1:13" x14ac:dyDescent="0.2">
      <c r="A12516" s="384">
        <v>2024</v>
      </c>
      <c r="B12516" s="384">
        <v>12</v>
      </c>
      <c r="C12516" s="384">
        <v>17</v>
      </c>
      <c r="D12516" s="385">
        <f t="shared" si="1844"/>
        <v>45643</v>
      </c>
      <c r="E12516" s="386">
        <f t="shared" si="1845"/>
        <v>45643</v>
      </c>
      <c r="F12516" s="475" t="s">
        <v>1966</v>
      </c>
      <c r="G12516" s="387" t="s">
        <v>94</v>
      </c>
      <c r="H12516" s="387" t="str" cm="1">
        <f t="array" ref="H12516">IFERROR(INDEX(INVESTOR_LIST[INVESTOR NAME],MATCH(I12516,INVESTOR_LIST[INVESTOR CODE],0),)," ")</f>
        <v xml:space="preserve"> </v>
      </c>
      <c r="I12516" s="388" t="s">
        <v>348</v>
      </c>
      <c r="J12516" s="389" t="s">
        <v>67</v>
      </c>
      <c r="K12516" s="390">
        <v>34040.18</v>
      </c>
      <c r="L12516" s="390"/>
    </row>
    <row r="12517" spans="1:13" x14ac:dyDescent="0.2">
      <c r="A12517" s="391">
        <v>2024</v>
      </c>
      <c r="B12517" s="391">
        <v>12</v>
      </c>
      <c r="C12517" s="391">
        <v>17</v>
      </c>
      <c r="D12517" s="385">
        <f t="shared" si="1844"/>
        <v>45643</v>
      </c>
      <c r="E12517" s="386">
        <f t="shared" si="1845"/>
        <v>45643</v>
      </c>
      <c r="F12517" s="476"/>
      <c r="G12517" s="392" t="s">
        <v>94</v>
      </c>
      <c r="H12517" s="392" t="str" cm="1">
        <f t="array" ref="H12517">IFERROR(INDEX(INVESTOR_LIST[INVESTOR NAME],MATCH(I12517,INVESTOR_LIST[INVESTOR CODE],0),)," ")</f>
        <v xml:space="preserve"> </v>
      </c>
      <c r="I12517" s="393" t="s">
        <v>348</v>
      </c>
      <c r="J12517" s="394" t="s">
        <v>60</v>
      </c>
      <c r="K12517" s="395"/>
      <c r="L12517" s="395">
        <f>K12516</f>
        <v>34040.18</v>
      </c>
    </row>
    <row r="12518" spans="1:13" x14ac:dyDescent="0.2">
      <c r="A12518" s="343">
        <v>2024</v>
      </c>
      <c r="B12518" s="343">
        <v>12</v>
      </c>
      <c r="C12518" s="343">
        <v>17</v>
      </c>
      <c r="D12518" s="344">
        <f t="shared" si="1844"/>
        <v>45643</v>
      </c>
      <c r="E12518" s="345">
        <f t="shared" si="1845"/>
        <v>45643</v>
      </c>
      <c r="F12518" s="483" t="s">
        <v>1813</v>
      </c>
      <c r="G12518" s="350" t="s">
        <v>94</v>
      </c>
      <c r="H12518" s="350" t="str" cm="1">
        <f t="array" ref="H12518">IFERROR(INDEX(INVESTOR_LIST[INVESTOR NAME],MATCH(I12518,INVESTOR_LIST[INVESTOR CODE],0),)," ")</f>
        <v xml:space="preserve"> </v>
      </c>
      <c r="I12518" s="352" t="s">
        <v>348</v>
      </c>
      <c r="J12518" s="353" t="s">
        <v>1807</v>
      </c>
      <c r="K12518" s="354">
        <v>0</v>
      </c>
      <c r="L12518" s="354"/>
      <c r="M12518" s="133">
        <v>0</v>
      </c>
    </row>
    <row r="12519" spans="1:13" x14ac:dyDescent="0.2">
      <c r="A12519" s="346">
        <v>2024</v>
      </c>
      <c r="B12519" s="346">
        <v>12</v>
      </c>
      <c r="C12519" s="346">
        <v>17</v>
      </c>
      <c r="D12519" s="344">
        <f t="shared" si="1844"/>
        <v>45643</v>
      </c>
      <c r="E12519" s="345">
        <f t="shared" si="1845"/>
        <v>45643</v>
      </c>
      <c r="F12519" s="484"/>
      <c r="G12519" s="347" t="s">
        <v>94</v>
      </c>
      <c r="H12519" s="347" t="str" cm="1">
        <f t="array" ref="H12519">IFERROR(INDEX(INVESTOR_LIST[INVESTOR NAME],MATCH(I12519,INVESTOR_LIST[INVESTOR CODE],0),)," ")</f>
        <v xml:space="preserve"> </v>
      </c>
      <c r="I12519" s="348" t="s">
        <v>348</v>
      </c>
      <c r="J12519" s="355" t="s">
        <v>1798</v>
      </c>
      <c r="K12519" s="349"/>
      <c r="L12519" s="349">
        <f>K12518</f>
        <v>0</v>
      </c>
    </row>
    <row r="12520" spans="1:13" x14ac:dyDescent="0.2">
      <c r="A12520" s="343">
        <v>2024</v>
      </c>
      <c r="B12520" s="343">
        <v>12</v>
      </c>
      <c r="C12520" s="343">
        <v>17</v>
      </c>
      <c r="D12520" s="344">
        <f t="shared" si="1844"/>
        <v>45643</v>
      </c>
      <c r="E12520" s="345">
        <f t="shared" si="1845"/>
        <v>45643</v>
      </c>
      <c r="F12520" s="483" t="s">
        <v>1913</v>
      </c>
      <c r="G12520" s="350" t="s">
        <v>94</v>
      </c>
      <c r="H12520" s="350" t="str" cm="1">
        <f t="array" ref="H12520">IFERROR(INDEX(INVESTOR_LIST[INVESTOR NAME],MATCH(I12520,INVESTOR_LIST[INVESTOR CODE],0),)," ")</f>
        <v xml:space="preserve"> </v>
      </c>
      <c r="I12520" s="352" t="s">
        <v>348</v>
      </c>
      <c r="J12520" s="353" t="s">
        <v>1808</v>
      </c>
      <c r="K12520" s="354">
        <v>157458.38999999687</v>
      </c>
      <c r="L12520" s="354"/>
      <c r="M12520" s="133">
        <v>0</v>
      </c>
    </row>
    <row r="12521" spans="1:13" x14ac:dyDescent="0.2">
      <c r="A12521" s="346">
        <v>2024</v>
      </c>
      <c r="B12521" s="346">
        <v>12</v>
      </c>
      <c r="C12521" s="346">
        <v>17</v>
      </c>
      <c r="D12521" s="344">
        <f t="shared" si="1844"/>
        <v>45643</v>
      </c>
      <c r="E12521" s="345">
        <f t="shared" si="1845"/>
        <v>45643</v>
      </c>
      <c r="F12521" s="484"/>
      <c r="G12521" s="347" t="s">
        <v>94</v>
      </c>
      <c r="H12521" s="347" t="str" cm="1">
        <f t="array" ref="H12521">IFERROR(INDEX(INVESTOR_LIST[INVESTOR NAME],MATCH(I12521,INVESTOR_LIST[INVESTOR CODE],0),)," ")</f>
        <v xml:space="preserve"> </v>
      </c>
      <c r="I12521" s="348" t="s">
        <v>348</v>
      </c>
      <c r="J12521" s="355" t="s">
        <v>1799</v>
      </c>
      <c r="K12521" s="349"/>
      <c r="L12521" s="349">
        <f>K12520</f>
        <v>157458.38999999687</v>
      </c>
    </row>
    <row r="12522" spans="1:13" ht="11.25" customHeight="1" x14ac:dyDescent="0.2">
      <c r="A12522" s="238">
        <v>2024</v>
      </c>
      <c r="B12522" s="238">
        <v>12</v>
      </c>
      <c r="C12522" s="238">
        <v>17</v>
      </c>
      <c r="D12522" s="270">
        <f t="shared" si="1844"/>
        <v>45643</v>
      </c>
      <c r="E12522" s="279">
        <f t="shared" si="1845"/>
        <v>45643</v>
      </c>
      <c r="F12522" s="477" t="s">
        <v>347</v>
      </c>
      <c r="G12522" s="239" t="s">
        <v>94</v>
      </c>
      <c r="H12522" s="239" t="str" cm="1">
        <f t="array" ref="H12522">IFERROR(INDEX(INVESTOR_LIST[INVESTOR NAME],MATCH(I12522,INVESTOR_LIST[INVESTOR CODE],0),)," ")</f>
        <v xml:space="preserve"> </v>
      </c>
      <c r="I12522" s="262" t="s">
        <v>348</v>
      </c>
      <c r="J12522" s="240" t="s">
        <v>108</v>
      </c>
      <c r="K12522" s="241">
        <v>1311640.4600000083</v>
      </c>
      <c r="L12522" s="241"/>
      <c r="M12522" s="133">
        <v>13139541.900000483</v>
      </c>
    </row>
    <row r="12523" spans="1:13" x14ac:dyDescent="0.2">
      <c r="A12523" s="242">
        <v>2024</v>
      </c>
      <c r="B12523" s="242">
        <v>12</v>
      </c>
      <c r="C12523" s="242">
        <v>17</v>
      </c>
      <c r="D12523" s="270">
        <f t="shared" si="1844"/>
        <v>45643</v>
      </c>
      <c r="E12523" s="279">
        <f t="shared" si="1845"/>
        <v>45643</v>
      </c>
      <c r="F12523" s="478"/>
      <c r="G12523" s="243" t="s">
        <v>94</v>
      </c>
      <c r="H12523" s="243" t="str" cm="1">
        <f t="array" ref="H12523">IFERROR(INDEX(INVESTOR_LIST[INVESTOR NAME],MATCH(I12523,INVESTOR_LIST[INVESTOR CODE],0),)," ")</f>
        <v xml:space="preserve"> </v>
      </c>
      <c r="I12523" s="263" t="s">
        <v>348</v>
      </c>
      <c r="J12523" s="244" t="s">
        <v>82</v>
      </c>
      <c r="K12523" s="245"/>
      <c r="L12523" s="245">
        <f>K12522</f>
        <v>1311640.4600000083</v>
      </c>
    </row>
    <row r="12524" spans="1:13" ht="11.25" customHeight="1" x14ac:dyDescent="0.2">
      <c r="A12524" s="246">
        <v>2024</v>
      </c>
      <c r="B12524" s="238">
        <v>12</v>
      </c>
      <c r="C12524" s="238">
        <v>17</v>
      </c>
      <c r="D12524" s="270">
        <f t="shared" si="1844"/>
        <v>45643</v>
      </c>
      <c r="E12524" s="279">
        <f t="shared" si="1845"/>
        <v>45643</v>
      </c>
      <c r="F12524" s="482" t="s">
        <v>148</v>
      </c>
      <c r="G12524" s="247" t="s">
        <v>94</v>
      </c>
      <c r="H12524" s="247" t="str" cm="1">
        <f t="array" ref="H12524">IFERROR(INDEX(INVESTOR_LIST[INVESTOR NAME],MATCH(I12524,INVESTOR_LIST[INVESTOR CODE],0),)," ")</f>
        <v xml:space="preserve"> </v>
      </c>
      <c r="I12524" s="248" t="s">
        <v>348</v>
      </c>
      <c r="J12524" s="249" t="s">
        <v>95</v>
      </c>
      <c r="K12524" s="250">
        <v>2747.2527472527472</v>
      </c>
      <c r="L12524" s="241"/>
    </row>
    <row r="12525" spans="1:13" x14ac:dyDescent="0.2">
      <c r="A12525" s="242">
        <v>2024</v>
      </c>
      <c r="B12525" s="242">
        <v>12</v>
      </c>
      <c r="C12525" s="242">
        <v>17</v>
      </c>
      <c r="D12525" s="270">
        <f t="shared" si="1844"/>
        <v>45643</v>
      </c>
      <c r="E12525" s="279">
        <f t="shared" si="1845"/>
        <v>45643</v>
      </c>
      <c r="F12525" s="478"/>
      <c r="G12525" s="243" t="s">
        <v>94</v>
      </c>
      <c r="H12525" s="243" t="str" cm="1">
        <f t="array" ref="H12525">IFERROR(INDEX(INVESTOR_LIST[INVESTOR NAME],MATCH(I12525,INVESTOR_LIST[INVESTOR CODE],0),)," ")</f>
        <v xml:space="preserve"> </v>
      </c>
      <c r="I12525" s="263" t="s">
        <v>348</v>
      </c>
      <c r="J12525" s="244" t="s">
        <v>63</v>
      </c>
      <c r="K12525" s="245"/>
      <c r="L12525" s="245">
        <v>2747.2527472527472</v>
      </c>
    </row>
    <row r="12526" spans="1:13" x14ac:dyDescent="0.2">
      <c r="A12526" s="246">
        <v>2024</v>
      </c>
      <c r="B12526" s="238">
        <v>12</v>
      </c>
      <c r="C12526" s="238">
        <v>17</v>
      </c>
      <c r="D12526" s="270">
        <f t="shared" si="1844"/>
        <v>45643</v>
      </c>
      <c r="E12526" s="279">
        <f t="shared" si="1845"/>
        <v>45643</v>
      </c>
      <c r="F12526" s="482" t="s">
        <v>137</v>
      </c>
      <c r="G12526" s="247" t="s">
        <v>94</v>
      </c>
      <c r="H12526" s="247" t="str" cm="1">
        <f t="array" ref="H12526">IFERROR(INDEX(INVESTOR_LIST[INVESTOR NAME],MATCH(I12526,INVESTOR_LIST[INVESTOR CODE],0),)," ")</f>
        <v xml:space="preserve"> </v>
      </c>
      <c r="I12526" s="248" t="s">
        <v>348</v>
      </c>
      <c r="J12526" s="249" t="s">
        <v>97</v>
      </c>
      <c r="K12526" s="250">
        <f>M12526</f>
        <v>57042.863595309122</v>
      </c>
      <c r="L12526" s="252"/>
      <c r="M12526" s="264">
        <v>57042.863595309122</v>
      </c>
    </row>
    <row r="12527" spans="1:13" x14ac:dyDescent="0.2">
      <c r="A12527" s="242">
        <v>2024</v>
      </c>
      <c r="B12527" s="242">
        <v>12</v>
      </c>
      <c r="C12527" s="242">
        <v>17</v>
      </c>
      <c r="D12527" s="270">
        <f t="shared" si="1844"/>
        <v>45643</v>
      </c>
      <c r="E12527" s="279">
        <f t="shared" si="1845"/>
        <v>45643</v>
      </c>
      <c r="F12527" s="478"/>
      <c r="G12527" s="243" t="s">
        <v>94</v>
      </c>
      <c r="H12527" s="243" t="str" cm="1">
        <f t="array" ref="H12527">IFERROR(INDEX(INVESTOR_LIST[INVESTOR NAME],MATCH(I12527,INVESTOR_LIST[INVESTOR CODE],0),)," ")</f>
        <v xml:space="preserve"> </v>
      </c>
      <c r="I12527" s="263" t="s">
        <v>348</v>
      </c>
      <c r="J12527" s="244" t="s">
        <v>47</v>
      </c>
      <c r="K12527" s="245"/>
      <c r="L12527" s="245">
        <f>K12526</f>
        <v>57042.863595309122</v>
      </c>
      <c r="M12527" s="264">
        <v>2611.7585643808407</v>
      </c>
    </row>
    <row r="12528" spans="1:13" x14ac:dyDescent="0.2">
      <c r="A12528" s="246">
        <v>2024</v>
      </c>
      <c r="B12528" s="238">
        <v>12</v>
      </c>
      <c r="C12528" s="238">
        <v>17</v>
      </c>
      <c r="D12528" s="270">
        <f t="shared" si="1844"/>
        <v>45643</v>
      </c>
      <c r="E12528" s="279">
        <f t="shared" si="1845"/>
        <v>45643</v>
      </c>
      <c r="F12528" s="482" t="s">
        <v>138</v>
      </c>
      <c r="G12528" s="247" t="s">
        <v>94</v>
      </c>
      <c r="H12528" s="247" t="str" cm="1">
        <f t="array" ref="H12528">IFERROR(INDEX(INVESTOR_LIST[INVESTOR NAME],MATCH(I12528,INVESTOR_LIST[INVESTOR CODE],0),)," ")</f>
        <v xml:space="preserve"> </v>
      </c>
      <c r="I12528" s="248" t="s">
        <v>348</v>
      </c>
      <c r="J12528" s="249" t="s">
        <v>100</v>
      </c>
      <c r="K12528" s="250">
        <f>M12527</f>
        <v>2611.7585643808407</v>
      </c>
      <c r="L12528" s="252"/>
    </row>
    <row r="12529" spans="1:13" x14ac:dyDescent="0.2">
      <c r="A12529" s="242">
        <v>2024</v>
      </c>
      <c r="B12529" s="242">
        <v>12</v>
      </c>
      <c r="C12529" s="242">
        <v>17</v>
      </c>
      <c r="D12529" s="321">
        <f t="shared" si="1844"/>
        <v>45643</v>
      </c>
      <c r="E12529" s="322">
        <f t="shared" si="1845"/>
        <v>45643</v>
      </c>
      <c r="F12529" s="478"/>
      <c r="G12529" s="243" t="s">
        <v>94</v>
      </c>
      <c r="H12529" s="243" t="str" cm="1">
        <f t="array" ref="H12529">IFERROR(INDEX(INVESTOR_LIST[INVESTOR NAME],MATCH(I12529,INVESTOR_LIST[INVESTOR CODE],0),)," ")</f>
        <v xml:space="preserve"> </v>
      </c>
      <c r="I12529" s="263" t="s">
        <v>348</v>
      </c>
      <c r="J12529" s="244" t="s">
        <v>48</v>
      </c>
      <c r="K12529" s="245"/>
      <c r="L12529" s="245">
        <f>K12528</f>
        <v>2611.7585643808407</v>
      </c>
    </row>
    <row r="12530" spans="1:13" ht="11.25" customHeight="1" x14ac:dyDescent="0.2">
      <c r="A12530" s="168">
        <v>2024</v>
      </c>
      <c r="B12530" s="168">
        <v>12</v>
      </c>
      <c r="C12530" s="168">
        <v>24</v>
      </c>
      <c r="D12530" s="141">
        <f t="shared" ref="D12530:D12594" si="1846">DATE(A12530,B12530,C12530)</f>
        <v>45650</v>
      </c>
      <c r="E12530" s="275">
        <f t="shared" ref="E12530:E12594" si="1847">DATE(A12530,B12530,C12530)</f>
        <v>45650</v>
      </c>
      <c r="F12530" s="479" t="s">
        <v>1310</v>
      </c>
      <c r="G12530" s="220" t="s">
        <v>74</v>
      </c>
      <c r="H12530" s="142" t="str" cm="1">
        <f t="array" ref="H12530">IFERROR(INDEX(INVESTOR_LIST[INVESTOR NAME],MATCH(I12530,INVESTOR_LIST[INVESTOR CODE],0),)," ")</f>
        <v>TOWHIDUR RAHMAN CHOWDHURY</v>
      </c>
      <c r="I12530" s="142" t="s">
        <v>1384</v>
      </c>
      <c r="J12530" s="168" t="s">
        <v>13</v>
      </c>
      <c r="K12530" s="226">
        <v>100000</v>
      </c>
      <c r="L12530" s="226"/>
    </row>
    <row r="12531" spans="1:13" ht="11.25" customHeight="1" x14ac:dyDescent="0.2">
      <c r="A12531" s="133">
        <v>2024</v>
      </c>
      <c r="B12531" s="133">
        <v>12</v>
      </c>
      <c r="C12531" s="133">
        <v>24</v>
      </c>
      <c r="D12531" s="141">
        <f t="shared" si="1846"/>
        <v>45650</v>
      </c>
      <c r="E12531" s="275">
        <f t="shared" si="1847"/>
        <v>45650</v>
      </c>
      <c r="F12531" s="481"/>
      <c r="G12531" s="174" t="s">
        <v>74</v>
      </c>
      <c r="H12531" s="148" t="str" cm="1">
        <f t="array" ref="H12531">IFERROR(INDEX(INVESTOR_LIST[INVESTOR NAME],MATCH(I12531,INVESTOR_LIST[INVESTOR CODE],0),)," ")</f>
        <v>TOWHIDUR RAHMAN CHOWDHURY</v>
      </c>
      <c r="I12531" s="148" t="s">
        <v>1384</v>
      </c>
      <c r="J12531" s="133" t="s">
        <v>53</v>
      </c>
      <c r="K12531" s="218">
        <v>27670</v>
      </c>
      <c r="L12531" s="218"/>
    </row>
    <row r="12532" spans="1:13" ht="11.25" customHeight="1" x14ac:dyDescent="0.2">
      <c r="A12532" s="163">
        <v>2024</v>
      </c>
      <c r="B12532" s="163">
        <v>12</v>
      </c>
      <c r="C12532" s="133">
        <v>24</v>
      </c>
      <c r="D12532" s="280">
        <f t="shared" si="1846"/>
        <v>45650</v>
      </c>
      <c r="E12532" s="281">
        <f t="shared" si="1847"/>
        <v>45650</v>
      </c>
      <c r="F12532" s="480"/>
      <c r="G12532" s="221" t="s">
        <v>74</v>
      </c>
      <c r="H12532" s="145" t="str" cm="1">
        <f t="array" ref="H12532">IFERROR(INDEX(INVESTOR_LIST[INVESTOR NAME],MATCH(I12532,INVESTOR_LIST[INVESTOR CODE],0),)," ")</f>
        <v>TOWHIDUR RAHMAN CHOWDHURY</v>
      </c>
      <c r="I12532" s="145" t="s">
        <v>1384</v>
      </c>
      <c r="J12532" s="163" t="s">
        <v>52</v>
      </c>
      <c r="K12532" s="219"/>
      <c r="L12532" s="219">
        <v>127670</v>
      </c>
    </row>
    <row r="12533" spans="1:13" ht="10.5" customHeight="1" x14ac:dyDescent="0.2">
      <c r="A12533" s="168">
        <v>2024</v>
      </c>
      <c r="B12533" s="168">
        <v>12</v>
      </c>
      <c r="C12533" s="168">
        <v>26</v>
      </c>
      <c r="D12533" s="141">
        <f>DATE(A12533,B12533,C12533)</f>
        <v>45652</v>
      </c>
      <c r="E12533" s="275">
        <f>DATE(A12533,B12533,C12533)</f>
        <v>45652</v>
      </c>
      <c r="F12533" s="479" t="s">
        <v>1319</v>
      </c>
      <c r="G12533" s="220" t="s">
        <v>74</v>
      </c>
      <c r="H12533" s="142" t="str" cm="1">
        <f t="array" ref="H12533">IFERROR(INDEX(INVESTOR_LIST[INVESTOR NAME],MATCH(I12533,INVESTOR_LIST[INVESTOR CODE],0),)," ")</f>
        <v xml:space="preserve"> </v>
      </c>
      <c r="I12533" s="142"/>
      <c r="J12533" s="168" t="s">
        <v>52</v>
      </c>
      <c r="K12533" s="226">
        <v>106000</v>
      </c>
      <c r="L12533" s="226"/>
    </row>
    <row r="12534" spans="1:13" ht="10.5" customHeight="1" x14ac:dyDescent="0.2">
      <c r="A12534" s="133">
        <v>2024</v>
      </c>
      <c r="B12534" s="133">
        <v>12</v>
      </c>
      <c r="C12534" s="133">
        <v>26</v>
      </c>
      <c r="D12534" s="141">
        <f>DATE(A12534,B12534,C12534)</f>
        <v>45652</v>
      </c>
      <c r="E12534" s="275">
        <f>DATE(A12534,B12534,C12534)</f>
        <v>45652</v>
      </c>
      <c r="F12534" s="481"/>
      <c r="G12534" s="174" t="s">
        <v>74</v>
      </c>
      <c r="H12534" s="148" t="str" cm="1">
        <f t="array" ref="H12534">IFERROR(INDEX(INVESTOR_LIST[INVESTOR NAME],MATCH(I12534,INVESTOR_LIST[INVESTOR CODE],0),)," ")</f>
        <v xml:space="preserve"> </v>
      </c>
      <c r="J12534" s="133" t="s">
        <v>13</v>
      </c>
      <c r="K12534" s="218"/>
      <c r="L12534" s="218">
        <v>83320</v>
      </c>
    </row>
    <row r="12535" spans="1:13" ht="11.25" customHeight="1" x14ac:dyDescent="0.2">
      <c r="A12535" s="163">
        <v>2024</v>
      </c>
      <c r="B12535" s="163">
        <v>12</v>
      </c>
      <c r="C12535" s="163">
        <v>26</v>
      </c>
      <c r="D12535" s="280">
        <f>DATE(A12535,B12535,C12535)</f>
        <v>45652</v>
      </c>
      <c r="E12535" s="281">
        <f>DATE(A12535,B12535,C12535)</f>
        <v>45652</v>
      </c>
      <c r="F12535" s="480"/>
      <c r="G12535" s="221" t="s">
        <v>74</v>
      </c>
      <c r="H12535" s="145" t="str" cm="1">
        <f t="array" ref="H12535">IFERROR(INDEX(INVESTOR_LIST[INVESTOR NAME],MATCH(I12535,INVESTOR_LIST[INVESTOR CODE],0),)," ")</f>
        <v xml:space="preserve"> </v>
      </c>
      <c r="I12535" s="145"/>
      <c r="J12535" s="163" t="s">
        <v>53</v>
      </c>
      <c r="K12535" s="219"/>
      <c r="L12535" s="219">
        <v>22680</v>
      </c>
    </row>
    <row r="12536" spans="1:13" x14ac:dyDescent="0.2">
      <c r="A12536" s="133">
        <v>2024</v>
      </c>
      <c r="B12536" s="133">
        <v>12</v>
      </c>
      <c r="C12536" s="168">
        <v>26</v>
      </c>
      <c r="D12536" s="147">
        <f t="shared" ref="D12536:D12537" si="1848">DATE(A12536,B12536,C12536)</f>
        <v>45652</v>
      </c>
      <c r="E12536" s="311">
        <f t="shared" ref="E12536:E12537" si="1849">DATE(A12536,B12536,C12536)</f>
        <v>45652</v>
      </c>
      <c r="F12536" s="479" t="s">
        <v>1953</v>
      </c>
      <c r="G12536" s="174" t="s">
        <v>74</v>
      </c>
      <c r="H12536" s="148" t="str" cm="1">
        <f t="array" ref="H12536">IFERROR(INDEX(INVESTOR_LIST[INVESTOR NAME],MATCH(I12536,INVESTOR_LIST[INVESTOR CODE],0),)," ")</f>
        <v xml:space="preserve"> </v>
      </c>
      <c r="I12536" s="148" t="s">
        <v>348</v>
      </c>
      <c r="J12536" s="133" t="s">
        <v>61</v>
      </c>
      <c r="K12536" s="172">
        <v>920</v>
      </c>
    </row>
    <row r="12537" spans="1:13" x14ac:dyDescent="0.2">
      <c r="A12537" s="163">
        <v>2024</v>
      </c>
      <c r="B12537" s="163">
        <v>12</v>
      </c>
      <c r="C12537" s="163">
        <v>26</v>
      </c>
      <c r="D12537" s="280">
        <f t="shared" si="1848"/>
        <v>45652</v>
      </c>
      <c r="E12537" s="281">
        <f t="shared" si="1849"/>
        <v>45652</v>
      </c>
      <c r="F12537" s="480"/>
      <c r="G12537" s="221" t="s">
        <v>74</v>
      </c>
      <c r="H12537" s="145" t="str" cm="1">
        <f t="array" ref="H12537">IFERROR(INDEX(INVESTOR_LIST[INVESTOR NAME],MATCH(I12537,INVESTOR_LIST[INVESTOR CODE],0),)," ")</f>
        <v xml:space="preserve"> </v>
      </c>
      <c r="I12537" s="145" t="s">
        <v>348</v>
      </c>
      <c r="J12537" s="163" t="s">
        <v>52</v>
      </c>
      <c r="K12537" s="219"/>
      <c r="L12537" s="219">
        <v>920</v>
      </c>
    </row>
    <row r="12538" spans="1:13" x14ac:dyDescent="0.2">
      <c r="A12538" s="325">
        <v>2024</v>
      </c>
      <c r="B12538" s="325">
        <v>12</v>
      </c>
      <c r="C12538" s="325">
        <v>26</v>
      </c>
      <c r="D12538" s="326">
        <f t="shared" si="1846"/>
        <v>45652</v>
      </c>
      <c r="E12538" s="327">
        <f t="shared" si="1847"/>
        <v>45652</v>
      </c>
      <c r="F12538" s="473" t="s">
        <v>1940</v>
      </c>
      <c r="G12538" s="340" t="s">
        <v>94</v>
      </c>
      <c r="H12538" s="340" t="str" cm="1">
        <f t="array" ref="H12538">IFERROR(INDEX(INVESTOR_LIST[INVESTOR NAME],MATCH(I12538,INVESTOR_LIST[INVESTOR CODE],0),)," ")</f>
        <v xml:space="preserve"> </v>
      </c>
      <c r="I12538" s="341" t="s">
        <v>348</v>
      </c>
      <c r="J12538" s="374" t="s">
        <v>133</v>
      </c>
      <c r="K12538" s="375">
        <v>12905.555555555549</v>
      </c>
      <c r="L12538" s="375"/>
    </row>
    <row r="12539" spans="1:13" x14ac:dyDescent="0.2">
      <c r="A12539" s="331">
        <v>2024</v>
      </c>
      <c r="B12539" s="331">
        <v>12</v>
      </c>
      <c r="C12539" s="331">
        <v>26</v>
      </c>
      <c r="D12539" s="326">
        <f t="shared" si="1846"/>
        <v>45652</v>
      </c>
      <c r="E12539" s="327">
        <f t="shared" si="1847"/>
        <v>45652</v>
      </c>
      <c r="F12539" s="474"/>
      <c r="G12539" s="332" t="s">
        <v>94</v>
      </c>
      <c r="H12539" s="332" t="str" cm="1">
        <f t="array" ref="H12539">IFERROR(INDEX(INVESTOR_LIST[INVESTOR NAME],MATCH(I12539,INVESTOR_LIST[INVESTOR CODE],0),)," ")</f>
        <v xml:space="preserve"> </v>
      </c>
      <c r="I12539" s="333" t="s">
        <v>348</v>
      </c>
      <c r="J12539" s="376" t="s">
        <v>60</v>
      </c>
      <c r="K12539" s="334"/>
      <c r="L12539" s="334">
        <v>12905.555555555549</v>
      </c>
    </row>
    <row r="12540" spans="1:13" x14ac:dyDescent="0.2">
      <c r="A12540" s="384">
        <v>2024</v>
      </c>
      <c r="B12540" s="384">
        <v>12</v>
      </c>
      <c r="C12540" s="384">
        <v>26</v>
      </c>
      <c r="D12540" s="385">
        <f t="shared" si="1846"/>
        <v>45652</v>
      </c>
      <c r="E12540" s="386">
        <f t="shared" si="1847"/>
        <v>45652</v>
      </c>
      <c r="F12540" s="475" t="s">
        <v>1966</v>
      </c>
      <c r="G12540" s="387" t="s">
        <v>94</v>
      </c>
      <c r="H12540" s="387" t="str" cm="1">
        <f t="array" ref="H12540">IFERROR(INDEX(INVESTOR_LIST[INVESTOR NAME],MATCH(I12540,INVESTOR_LIST[INVESTOR CODE],0),)," ")</f>
        <v xml:space="preserve"> </v>
      </c>
      <c r="I12540" s="388" t="s">
        <v>348</v>
      </c>
      <c r="J12540" s="389" t="s">
        <v>67</v>
      </c>
      <c r="K12540" s="390">
        <v>32940.199999999997</v>
      </c>
      <c r="L12540" s="390"/>
    </row>
    <row r="12541" spans="1:13" x14ac:dyDescent="0.2">
      <c r="A12541" s="391">
        <v>2024</v>
      </c>
      <c r="B12541" s="391">
        <v>12</v>
      </c>
      <c r="C12541" s="391">
        <v>26</v>
      </c>
      <c r="D12541" s="385">
        <f t="shared" si="1846"/>
        <v>45652</v>
      </c>
      <c r="E12541" s="386">
        <f t="shared" si="1847"/>
        <v>45652</v>
      </c>
      <c r="F12541" s="476"/>
      <c r="G12541" s="392" t="s">
        <v>94</v>
      </c>
      <c r="H12541" s="392" t="str" cm="1">
        <f t="array" ref="H12541">IFERROR(INDEX(INVESTOR_LIST[INVESTOR NAME],MATCH(I12541,INVESTOR_LIST[INVESTOR CODE],0),)," ")</f>
        <v xml:space="preserve"> </v>
      </c>
      <c r="I12541" s="393" t="s">
        <v>348</v>
      </c>
      <c r="J12541" s="394" t="s">
        <v>60</v>
      </c>
      <c r="K12541" s="395"/>
      <c r="L12541" s="395">
        <f>K12540</f>
        <v>32940.199999999997</v>
      </c>
    </row>
    <row r="12542" spans="1:13" x14ac:dyDescent="0.2">
      <c r="A12542" s="343">
        <v>2024</v>
      </c>
      <c r="B12542" s="343">
        <v>12</v>
      </c>
      <c r="C12542" s="343">
        <v>26</v>
      </c>
      <c r="D12542" s="344">
        <f t="shared" si="1846"/>
        <v>45652</v>
      </c>
      <c r="E12542" s="345">
        <f t="shared" si="1847"/>
        <v>45652</v>
      </c>
      <c r="F12542" s="483" t="s">
        <v>1813</v>
      </c>
      <c r="G12542" s="350" t="s">
        <v>94</v>
      </c>
      <c r="H12542" s="350" t="str" cm="1">
        <f t="array" ref="H12542">IFERROR(INDEX(INVESTOR_LIST[INVESTOR NAME],MATCH(I12542,INVESTOR_LIST[INVESTOR CODE],0),)," ")</f>
        <v xml:space="preserve"> </v>
      </c>
      <c r="I12542" s="352" t="s">
        <v>348</v>
      </c>
      <c r="J12542" s="353" t="s">
        <v>1807</v>
      </c>
      <c r="K12542" s="354">
        <v>0</v>
      </c>
      <c r="L12542" s="354"/>
      <c r="M12542" s="133">
        <v>0</v>
      </c>
    </row>
    <row r="12543" spans="1:13" x14ac:dyDescent="0.2">
      <c r="A12543" s="346">
        <v>2024</v>
      </c>
      <c r="B12543" s="346">
        <v>12</v>
      </c>
      <c r="C12543" s="346">
        <v>26</v>
      </c>
      <c r="D12543" s="344">
        <f t="shared" si="1846"/>
        <v>45652</v>
      </c>
      <c r="E12543" s="345">
        <f t="shared" si="1847"/>
        <v>45652</v>
      </c>
      <c r="F12543" s="484"/>
      <c r="G12543" s="347" t="s">
        <v>94</v>
      </c>
      <c r="H12543" s="347" t="str" cm="1">
        <f t="array" ref="H12543">IFERROR(INDEX(INVESTOR_LIST[INVESTOR NAME],MATCH(I12543,INVESTOR_LIST[INVESTOR CODE],0),)," ")</f>
        <v xml:space="preserve"> </v>
      </c>
      <c r="I12543" s="348" t="s">
        <v>348</v>
      </c>
      <c r="J12543" s="355" t="s">
        <v>1798</v>
      </c>
      <c r="K12543" s="349"/>
      <c r="L12543" s="349">
        <f>K12542</f>
        <v>0</v>
      </c>
    </row>
    <row r="12544" spans="1:13" x14ac:dyDescent="0.2">
      <c r="A12544" s="343">
        <v>2024</v>
      </c>
      <c r="B12544" s="343">
        <v>12</v>
      </c>
      <c r="C12544" s="343">
        <v>26</v>
      </c>
      <c r="D12544" s="344">
        <f t="shared" si="1846"/>
        <v>45652</v>
      </c>
      <c r="E12544" s="345">
        <f t="shared" si="1847"/>
        <v>45652</v>
      </c>
      <c r="F12544" s="483" t="s">
        <v>1913</v>
      </c>
      <c r="G12544" s="350" t="s">
        <v>94</v>
      </c>
      <c r="H12544" s="350" t="str" cm="1">
        <f t="array" ref="H12544">IFERROR(INDEX(INVESTOR_LIST[INVESTOR NAME],MATCH(I12544,INVESTOR_LIST[INVESTOR CODE],0),)," ")</f>
        <v xml:space="preserve"> </v>
      </c>
      <c r="I12544" s="352" t="s">
        <v>348</v>
      </c>
      <c r="J12544" s="353" t="s">
        <v>1799</v>
      </c>
      <c r="K12544" s="354">
        <v>49666.569999996573</v>
      </c>
      <c r="L12544" s="354"/>
      <c r="M12544" s="133">
        <v>0</v>
      </c>
    </row>
    <row r="12545" spans="1:13" x14ac:dyDescent="0.2">
      <c r="A12545" s="346">
        <v>2024</v>
      </c>
      <c r="B12545" s="346">
        <v>12</v>
      </c>
      <c r="C12545" s="346">
        <v>26</v>
      </c>
      <c r="D12545" s="344">
        <f t="shared" si="1846"/>
        <v>45652</v>
      </c>
      <c r="E12545" s="345">
        <f t="shared" si="1847"/>
        <v>45652</v>
      </c>
      <c r="F12545" s="484"/>
      <c r="G12545" s="347" t="s">
        <v>94</v>
      </c>
      <c r="H12545" s="347" t="str" cm="1">
        <f t="array" ref="H12545">IFERROR(INDEX(INVESTOR_LIST[INVESTOR NAME],MATCH(I12545,INVESTOR_LIST[INVESTOR CODE],0),)," ")</f>
        <v xml:space="preserve"> </v>
      </c>
      <c r="I12545" s="348" t="s">
        <v>348</v>
      </c>
      <c r="J12545" s="355" t="s">
        <v>1808</v>
      </c>
      <c r="K12545" s="349"/>
      <c r="L12545" s="349">
        <f>K12544</f>
        <v>49666.569999996573</v>
      </c>
    </row>
    <row r="12546" spans="1:13" ht="11.25" customHeight="1" x14ac:dyDescent="0.2">
      <c r="A12546" s="238">
        <v>2024</v>
      </c>
      <c r="B12546" s="238">
        <v>12</v>
      </c>
      <c r="C12546" s="238">
        <v>26</v>
      </c>
      <c r="D12546" s="270">
        <f t="shared" si="1846"/>
        <v>45652</v>
      </c>
      <c r="E12546" s="279">
        <f t="shared" si="1847"/>
        <v>45652</v>
      </c>
      <c r="F12546" s="477" t="s">
        <v>347</v>
      </c>
      <c r="G12546" s="239" t="s">
        <v>94</v>
      </c>
      <c r="H12546" s="239" t="str" cm="1">
        <f t="array" ref="H12546">IFERROR(INDEX(INVESTOR_LIST[INVESTOR NAME],MATCH(I12546,INVESTOR_LIST[INVESTOR CODE],0),)," ")</f>
        <v xml:space="preserve"> </v>
      </c>
      <c r="I12546" s="262" t="s">
        <v>348</v>
      </c>
      <c r="J12546" s="240" t="s">
        <v>82</v>
      </c>
      <c r="K12546" s="241">
        <v>504543.38000001013</v>
      </c>
      <c r="L12546" s="241"/>
      <c r="M12546" s="133">
        <v>13139541.900000483</v>
      </c>
    </row>
    <row r="12547" spans="1:13" x14ac:dyDescent="0.2">
      <c r="A12547" s="242">
        <v>2024</v>
      </c>
      <c r="B12547" s="242">
        <v>12</v>
      </c>
      <c r="C12547" s="242">
        <v>26</v>
      </c>
      <c r="D12547" s="270">
        <f t="shared" si="1846"/>
        <v>45652</v>
      </c>
      <c r="E12547" s="279">
        <f t="shared" si="1847"/>
        <v>45652</v>
      </c>
      <c r="F12547" s="478"/>
      <c r="G12547" s="243" t="s">
        <v>94</v>
      </c>
      <c r="H12547" s="243" t="str" cm="1">
        <f t="array" ref="H12547">IFERROR(INDEX(INVESTOR_LIST[INVESTOR NAME],MATCH(I12547,INVESTOR_LIST[INVESTOR CODE],0),)," ")</f>
        <v xml:space="preserve"> </v>
      </c>
      <c r="I12547" s="263" t="s">
        <v>348</v>
      </c>
      <c r="J12547" s="244" t="s">
        <v>108</v>
      </c>
      <c r="K12547" s="245"/>
      <c r="L12547" s="245">
        <f>K12546</f>
        <v>504543.38000001013</v>
      </c>
    </row>
    <row r="12548" spans="1:13" ht="11.25" customHeight="1" x14ac:dyDescent="0.2">
      <c r="A12548" s="246">
        <v>2024</v>
      </c>
      <c r="B12548" s="238">
        <v>12</v>
      </c>
      <c r="C12548" s="238">
        <v>26</v>
      </c>
      <c r="D12548" s="270">
        <f t="shared" si="1846"/>
        <v>45652</v>
      </c>
      <c r="E12548" s="279">
        <f t="shared" si="1847"/>
        <v>45652</v>
      </c>
      <c r="F12548" s="482" t="s">
        <v>148</v>
      </c>
      <c r="G12548" s="247" t="s">
        <v>94</v>
      </c>
      <c r="H12548" s="247" t="str" cm="1">
        <f t="array" ref="H12548">IFERROR(INDEX(INVESTOR_LIST[INVESTOR NAME],MATCH(I12548,INVESTOR_LIST[INVESTOR CODE],0),)," ")</f>
        <v xml:space="preserve"> </v>
      </c>
      <c r="I12548" s="248" t="s">
        <v>348</v>
      </c>
      <c r="J12548" s="249" t="s">
        <v>95</v>
      </c>
      <c r="K12548" s="250">
        <v>2747.2527472527472</v>
      </c>
      <c r="L12548" s="241"/>
    </row>
    <row r="12549" spans="1:13" x14ac:dyDescent="0.2">
      <c r="A12549" s="242">
        <v>2024</v>
      </c>
      <c r="B12549" s="242">
        <v>12</v>
      </c>
      <c r="C12549" s="242">
        <v>26</v>
      </c>
      <c r="D12549" s="270">
        <f t="shared" si="1846"/>
        <v>45652</v>
      </c>
      <c r="E12549" s="279">
        <f t="shared" si="1847"/>
        <v>45652</v>
      </c>
      <c r="F12549" s="478"/>
      <c r="G12549" s="243" t="s">
        <v>94</v>
      </c>
      <c r="H12549" s="243" t="str" cm="1">
        <f t="array" ref="H12549">IFERROR(INDEX(INVESTOR_LIST[INVESTOR NAME],MATCH(I12549,INVESTOR_LIST[INVESTOR CODE],0),)," ")</f>
        <v xml:space="preserve"> </v>
      </c>
      <c r="I12549" s="263" t="s">
        <v>348</v>
      </c>
      <c r="J12549" s="244" t="s">
        <v>63</v>
      </c>
      <c r="K12549" s="245"/>
      <c r="L12549" s="245">
        <v>2747.2527472527472</v>
      </c>
    </row>
    <row r="12550" spans="1:13" x14ac:dyDescent="0.2">
      <c r="A12550" s="246">
        <v>2024</v>
      </c>
      <c r="B12550" s="238">
        <v>12</v>
      </c>
      <c r="C12550" s="238">
        <v>26</v>
      </c>
      <c r="D12550" s="270">
        <f t="shared" si="1846"/>
        <v>45652</v>
      </c>
      <c r="E12550" s="279">
        <f t="shared" si="1847"/>
        <v>45652</v>
      </c>
      <c r="F12550" s="482" t="s">
        <v>137</v>
      </c>
      <c r="G12550" s="247" t="s">
        <v>94</v>
      </c>
      <c r="H12550" s="247" t="str" cm="1">
        <f t="array" ref="H12550">IFERROR(INDEX(INVESTOR_LIST[INVESTOR NAME],MATCH(I12550,INVESTOR_LIST[INVESTOR CODE],0),)," ")</f>
        <v xml:space="preserve"> </v>
      </c>
      <c r="I12550" s="248" t="s">
        <v>348</v>
      </c>
      <c r="J12550" s="249" t="s">
        <v>97</v>
      </c>
      <c r="K12550" s="250">
        <f>M12550</f>
        <v>57821.393591712425</v>
      </c>
      <c r="L12550" s="252"/>
      <c r="M12550" s="264">
        <v>57821.393591712425</v>
      </c>
    </row>
    <row r="12551" spans="1:13" x14ac:dyDescent="0.2">
      <c r="A12551" s="242">
        <v>2024</v>
      </c>
      <c r="B12551" s="242">
        <v>12</v>
      </c>
      <c r="C12551" s="242">
        <v>26</v>
      </c>
      <c r="D12551" s="270">
        <f t="shared" si="1846"/>
        <v>45652</v>
      </c>
      <c r="E12551" s="279">
        <f t="shared" si="1847"/>
        <v>45652</v>
      </c>
      <c r="F12551" s="478"/>
      <c r="G12551" s="243" t="s">
        <v>94</v>
      </c>
      <c r="H12551" s="243" t="str" cm="1">
        <f t="array" ref="H12551">IFERROR(INDEX(INVESTOR_LIST[INVESTOR NAME],MATCH(I12551,INVESTOR_LIST[INVESTOR CODE],0),)," ")</f>
        <v xml:space="preserve"> </v>
      </c>
      <c r="I12551" s="263" t="s">
        <v>348</v>
      </c>
      <c r="J12551" s="244" t="s">
        <v>47</v>
      </c>
      <c r="K12551" s="245"/>
      <c r="L12551" s="245">
        <f>K12550</f>
        <v>57821.393591712425</v>
      </c>
      <c r="M12551" s="264">
        <v>2650.6850642010058</v>
      </c>
    </row>
    <row r="12552" spans="1:13" x14ac:dyDescent="0.2">
      <c r="A12552" s="246">
        <v>2024</v>
      </c>
      <c r="B12552" s="238">
        <v>12</v>
      </c>
      <c r="C12552" s="238">
        <v>26</v>
      </c>
      <c r="D12552" s="270">
        <f t="shared" si="1846"/>
        <v>45652</v>
      </c>
      <c r="E12552" s="279">
        <f t="shared" si="1847"/>
        <v>45652</v>
      </c>
      <c r="F12552" s="482" t="s">
        <v>138</v>
      </c>
      <c r="G12552" s="247" t="s">
        <v>94</v>
      </c>
      <c r="H12552" s="247" t="str" cm="1">
        <f t="array" ref="H12552">IFERROR(INDEX(INVESTOR_LIST[INVESTOR NAME],MATCH(I12552,INVESTOR_LIST[INVESTOR CODE],0),)," ")</f>
        <v xml:space="preserve"> </v>
      </c>
      <c r="I12552" s="248" t="s">
        <v>348</v>
      </c>
      <c r="J12552" s="249" t="s">
        <v>100</v>
      </c>
      <c r="K12552" s="250">
        <f>M12551</f>
        <v>2650.6850642010058</v>
      </c>
      <c r="L12552" s="252"/>
    </row>
    <row r="12553" spans="1:13" x14ac:dyDescent="0.2">
      <c r="A12553" s="242">
        <v>2024</v>
      </c>
      <c r="B12553" s="242">
        <v>12</v>
      </c>
      <c r="C12553" s="242">
        <v>26</v>
      </c>
      <c r="D12553" s="321">
        <f t="shared" si="1846"/>
        <v>45652</v>
      </c>
      <c r="E12553" s="322">
        <f t="shared" si="1847"/>
        <v>45652</v>
      </c>
      <c r="F12553" s="478"/>
      <c r="G12553" s="243" t="s">
        <v>94</v>
      </c>
      <c r="H12553" s="243" t="str" cm="1">
        <f t="array" ref="H12553">IFERROR(INDEX(INVESTOR_LIST[INVESTOR NAME],MATCH(I12553,INVESTOR_LIST[INVESTOR CODE],0),)," ")</f>
        <v xml:space="preserve"> </v>
      </c>
      <c r="I12553" s="263" t="s">
        <v>348</v>
      </c>
      <c r="J12553" s="244" t="s">
        <v>48</v>
      </c>
      <c r="K12553" s="245"/>
      <c r="L12553" s="245">
        <f>K12552</f>
        <v>2650.6850642010058</v>
      </c>
    </row>
    <row r="12554" spans="1:13" x14ac:dyDescent="0.2">
      <c r="A12554" s="133">
        <v>2024</v>
      </c>
      <c r="B12554" s="133">
        <v>12</v>
      </c>
      <c r="C12554" s="168">
        <v>29</v>
      </c>
      <c r="D12554" s="147">
        <f t="shared" ref="D12554:D12561" si="1850">DATE(A12554,B12554,C12554)</f>
        <v>45655</v>
      </c>
      <c r="E12554" s="311">
        <f t="shared" ref="E12554:E12561" si="1851">DATE(A12554,B12554,C12554)</f>
        <v>45655</v>
      </c>
      <c r="F12554" s="479" t="s">
        <v>1943</v>
      </c>
      <c r="G12554" s="174" t="s">
        <v>74</v>
      </c>
      <c r="H12554" s="148" t="str" cm="1">
        <f t="array" ref="H12554">IFERROR(INDEX(INVESTOR_LIST[INVESTOR NAME],MATCH(I12554,INVESTOR_LIST[INVESTOR CODE],0),)," ")</f>
        <v xml:space="preserve"> </v>
      </c>
      <c r="I12554" s="148" t="s">
        <v>348</v>
      </c>
      <c r="J12554" s="133" t="s">
        <v>61</v>
      </c>
      <c r="K12554" s="172">
        <v>575</v>
      </c>
    </row>
    <row r="12555" spans="1:13" x14ac:dyDescent="0.2">
      <c r="A12555" s="163">
        <v>2024</v>
      </c>
      <c r="B12555" s="163">
        <v>12</v>
      </c>
      <c r="C12555" s="163">
        <v>29</v>
      </c>
      <c r="D12555" s="280">
        <f t="shared" si="1850"/>
        <v>45655</v>
      </c>
      <c r="E12555" s="281">
        <f t="shared" si="1851"/>
        <v>45655</v>
      </c>
      <c r="F12555" s="480"/>
      <c r="G12555" s="221" t="s">
        <v>74</v>
      </c>
      <c r="H12555" s="145" t="str" cm="1">
        <f t="array" ref="H12555">IFERROR(INDEX(INVESTOR_LIST[INVESTOR NAME],MATCH(I12555,INVESTOR_LIST[INVESTOR CODE],0),)," ")</f>
        <v xml:space="preserve"> </v>
      </c>
      <c r="I12555" s="145" t="s">
        <v>348</v>
      </c>
      <c r="J12555" s="163" t="s">
        <v>52</v>
      </c>
      <c r="K12555" s="219"/>
      <c r="L12555" s="219">
        <v>575</v>
      </c>
    </row>
    <row r="12556" spans="1:13" x14ac:dyDescent="0.2">
      <c r="A12556" s="133">
        <v>2024</v>
      </c>
      <c r="B12556" s="133">
        <v>12</v>
      </c>
      <c r="C12556" s="168">
        <v>29</v>
      </c>
      <c r="D12556" s="147">
        <f t="shared" si="1850"/>
        <v>45655</v>
      </c>
      <c r="E12556" s="311">
        <f t="shared" si="1851"/>
        <v>45655</v>
      </c>
      <c r="F12556" s="479" t="s">
        <v>1943</v>
      </c>
      <c r="G12556" s="174" t="s">
        <v>74</v>
      </c>
      <c r="H12556" s="148" t="str" cm="1">
        <f t="array" ref="H12556">IFERROR(INDEX(INVESTOR_LIST[INVESTOR NAME],MATCH(I12556,INVESTOR_LIST[INVESTOR CODE],0),)," ")</f>
        <v xml:space="preserve"> </v>
      </c>
      <c r="I12556" s="148" t="s">
        <v>348</v>
      </c>
      <c r="J12556" s="133" t="s">
        <v>61</v>
      </c>
      <c r="K12556" s="172">
        <v>345</v>
      </c>
    </row>
    <row r="12557" spans="1:13" x14ac:dyDescent="0.2">
      <c r="A12557" s="163">
        <v>2024</v>
      </c>
      <c r="B12557" s="163">
        <v>12</v>
      </c>
      <c r="C12557" s="163">
        <v>29</v>
      </c>
      <c r="D12557" s="280">
        <f t="shared" si="1850"/>
        <v>45655</v>
      </c>
      <c r="E12557" s="281">
        <f t="shared" si="1851"/>
        <v>45655</v>
      </c>
      <c r="F12557" s="480"/>
      <c r="G12557" s="221" t="s">
        <v>74</v>
      </c>
      <c r="H12557" s="145" t="str" cm="1">
        <f t="array" ref="H12557">IFERROR(INDEX(INVESTOR_LIST[INVESTOR NAME],MATCH(I12557,INVESTOR_LIST[INVESTOR CODE],0),)," ")</f>
        <v xml:space="preserve"> </v>
      </c>
      <c r="I12557" s="145" t="s">
        <v>348</v>
      </c>
      <c r="J12557" s="163" t="s">
        <v>52</v>
      </c>
      <c r="K12557" s="219"/>
      <c r="L12557" s="219">
        <v>345</v>
      </c>
    </row>
    <row r="12558" spans="1:13" x14ac:dyDescent="0.2">
      <c r="A12558" s="133">
        <v>2024</v>
      </c>
      <c r="B12558" s="133">
        <v>12</v>
      </c>
      <c r="C12558" s="168">
        <v>29</v>
      </c>
      <c r="D12558" s="147">
        <f t="shared" si="1850"/>
        <v>45655</v>
      </c>
      <c r="E12558" s="311">
        <f t="shared" si="1851"/>
        <v>45655</v>
      </c>
      <c r="F12558" s="479" t="s">
        <v>1943</v>
      </c>
      <c r="G12558" s="174" t="s">
        <v>74</v>
      </c>
      <c r="H12558" s="148" t="str" cm="1">
        <f t="array" ref="H12558">IFERROR(INDEX(INVESTOR_LIST[INVESTOR NAME],MATCH(I12558,INVESTOR_LIST[INVESTOR CODE],0),)," ")</f>
        <v xml:space="preserve"> </v>
      </c>
      <c r="I12558" s="148" t="s">
        <v>348</v>
      </c>
      <c r="J12558" s="133" t="s">
        <v>61</v>
      </c>
      <c r="K12558" s="172">
        <v>345</v>
      </c>
    </row>
    <row r="12559" spans="1:13" x14ac:dyDescent="0.2">
      <c r="A12559" s="163">
        <v>2024</v>
      </c>
      <c r="B12559" s="163">
        <v>12</v>
      </c>
      <c r="C12559" s="163">
        <v>29</v>
      </c>
      <c r="D12559" s="280">
        <f t="shared" si="1850"/>
        <v>45655</v>
      </c>
      <c r="E12559" s="281">
        <f t="shared" si="1851"/>
        <v>45655</v>
      </c>
      <c r="F12559" s="480"/>
      <c r="G12559" s="221" t="s">
        <v>74</v>
      </c>
      <c r="H12559" s="145" t="str" cm="1">
        <f t="array" ref="H12559">IFERROR(INDEX(INVESTOR_LIST[INVESTOR NAME],MATCH(I12559,INVESTOR_LIST[INVESTOR CODE],0),)," ")</f>
        <v xml:space="preserve"> </v>
      </c>
      <c r="I12559" s="145" t="s">
        <v>348</v>
      </c>
      <c r="J12559" s="163" t="s">
        <v>52</v>
      </c>
      <c r="K12559" s="219"/>
      <c r="L12559" s="219">
        <v>345</v>
      </c>
    </row>
    <row r="12560" spans="1:13" x14ac:dyDescent="0.2">
      <c r="A12560" s="133">
        <v>2024</v>
      </c>
      <c r="B12560" s="133">
        <v>12</v>
      </c>
      <c r="C12560" s="168">
        <v>29</v>
      </c>
      <c r="D12560" s="147">
        <f t="shared" si="1850"/>
        <v>45655</v>
      </c>
      <c r="E12560" s="311">
        <f t="shared" si="1851"/>
        <v>45655</v>
      </c>
      <c r="F12560" s="479" t="s">
        <v>1950</v>
      </c>
      <c r="G12560" s="174" t="s">
        <v>74</v>
      </c>
      <c r="H12560" s="148" t="str" cm="1">
        <f t="array" ref="H12560">IFERROR(INDEX(INVESTOR_LIST[INVESTOR NAME],MATCH(I12560,INVESTOR_LIST[INVESTOR CODE],0),)," ")</f>
        <v xml:space="preserve"> </v>
      </c>
      <c r="I12560" s="148" t="s">
        <v>348</v>
      </c>
      <c r="J12560" s="133" t="s">
        <v>61</v>
      </c>
      <c r="K12560" s="172">
        <v>345</v>
      </c>
    </row>
    <row r="12561" spans="1:12" x14ac:dyDescent="0.2">
      <c r="A12561" s="163">
        <v>2024</v>
      </c>
      <c r="B12561" s="163">
        <v>12</v>
      </c>
      <c r="C12561" s="163">
        <v>29</v>
      </c>
      <c r="D12561" s="280">
        <f t="shared" si="1850"/>
        <v>45655</v>
      </c>
      <c r="E12561" s="281">
        <f t="shared" si="1851"/>
        <v>45655</v>
      </c>
      <c r="F12561" s="480"/>
      <c r="G12561" s="221" t="s">
        <v>74</v>
      </c>
      <c r="H12561" s="145" t="str" cm="1">
        <f t="array" ref="H12561">IFERROR(INDEX(INVESTOR_LIST[INVESTOR NAME],MATCH(I12561,INVESTOR_LIST[INVESTOR CODE],0),)," ")</f>
        <v xml:space="preserve"> </v>
      </c>
      <c r="I12561" s="145" t="s">
        <v>348</v>
      </c>
      <c r="J12561" s="163" t="s">
        <v>52</v>
      </c>
      <c r="K12561" s="219"/>
      <c r="L12561" s="219">
        <v>345</v>
      </c>
    </row>
    <row r="12562" spans="1:12" ht="11.25" customHeight="1" x14ac:dyDescent="0.2">
      <c r="A12562" s="168">
        <v>2024</v>
      </c>
      <c r="B12562" s="168">
        <v>12</v>
      </c>
      <c r="C12562" s="168">
        <v>30</v>
      </c>
      <c r="D12562" s="141">
        <f t="shared" ref="D12562:D12564" si="1852">DATE(A12562,B12562,C12562)</f>
        <v>45656</v>
      </c>
      <c r="E12562" s="275">
        <f t="shared" ref="E12562:E12564" si="1853">DATE(A12562,B12562,C12562)</f>
        <v>45656</v>
      </c>
      <c r="F12562" s="479" t="s">
        <v>1315</v>
      </c>
      <c r="G12562" s="220" t="s">
        <v>74</v>
      </c>
      <c r="H12562" s="142" t="str" cm="1">
        <f t="array" ref="H12562">IFERROR(INDEX(INVESTOR_LIST[INVESTOR NAME],MATCH(I12562,INVESTOR_LIST[INVESTOR CODE],0),)," ")</f>
        <v>CHAYAN KUMAR BARUA</v>
      </c>
      <c r="I12562" s="142" t="s">
        <v>888</v>
      </c>
      <c r="J12562" s="168" t="s">
        <v>13</v>
      </c>
      <c r="K12562" s="226">
        <v>34080</v>
      </c>
      <c r="L12562" s="226"/>
    </row>
    <row r="12563" spans="1:12" ht="11.25" customHeight="1" x14ac:dyDescent="0.2">
      <c r="A12563" s="133">
        <v>2024</v>
      </c>
      <c r="B12563" s="133">
        <v>12</v>
      </c>
      <c r="C12563" s="133">
        <v>30</v>
      </c>
      <c r="D12563" s="141">
        <f t="shared" si="1852"/>
        <v>45656</v>
      </c>
      <c r="E12563" s="275">
        <f t="shared" si="1853"/>
        <v>45656</v>
      </c>
      <c r="F12563" s="481"/>
      <c r="G12563" s="174" t="s">
        <v>74</v>
      </c>
      <c r="H12563" s="148" t="str" cm="1">
        <f t="array" ref="H12563">IFERROR(INDEX(INVESTOR_LIST[INVESTOR NAME],MATCH(I12563,INVESTOR_LIST[INVESTOR CODE],0),)," ")</f>
        <v>CHAYAN KUMAR BARUA</v>
      </c>
      <c r="I12563" s="148" t="s">
        <v>888</v>
      </c>
      <c r="J12563" s="133" t="s">
        <v>53</v>
      </c>
      <c r="K12563" s="218">
        <v>9279.9800000000032</v>
      </c>
      <c r="L12563" s="218"/>
    </row>
    <row r="12564" spans="1:12" ht="11.25" customHeight="1" x14ac:dyDescent="0.2">
      <c r="A12564" s="163">
        <v>2024</v>
      </c>
      <c r="B12564" s="163">
        <v>12</v>
      </c>
      <c r="C12564" s="133">
        <v>30</v>
      </c>
      <c r="D12564" s="280">
        <f t="shared" si="1852"/>
        <v>45656</v>
      </c>
      <c r="E12564" s="281">
        <f t="shared" si="1853"/>
        <v>45656</v>
      </c>
      <c r="F12564" s="480"/>
      <c r="G12564" s="221" t="s">
        <v>74</v>
      </c>
      <c r="H12564" s="145" t="str" cm="1">
        <f t="array" ref="H12564">IFERROR(INDEX(INVESTOR_LIST[INVESTOR NAME],MATCH(I12564,INVESTOR_LIST[INVESTOR CODE],0),)," ")</f>
        <v>CHAYAN KUMAR BARUA</v>
      </c>
      <c r="I12564" s="145" t="s">
        <v>888</v>
      </c>
      <c r="J12564" s="163" t="s">
        <v>52</v>
      </c>
      <c r="K12564" s="219"/>
      <c r="L12564" s="219">
        <v>43359.98</v>
      </c>
    </row>
    <row r="12565" spans="1:12" ht="11.25" customHeight="1" x14ac:dyDescent="0.2">
      <c r="A12565" s="168">
        <v>2024</v>
      </c>
      <c r="B12565" s="168">
        <v>12</v>
      </c>
      <c r="C12565" s="168">
        <v>30</v>
      </c>
      <c r="D12565" s="141">
        <f t="shared" ref="D12565:D12570" si="1854">DATE(A12565,B12565,C12565)</f>
        <v>45656</v>
      </c>
      <c r="E12565" s="275">
        <f t="shared" ref="E12565:E12570" si="1855">DATE(A12565,B12565,C12565)</f>
        <v>45656</v>
      </c>
      <c r="F12565" s="479" t="s">
        <v>1315</v>
      </c>
      <c r="G12565" s="220" t="s">
        <v>74</v>
      </c>
      <c r="H12565" s="142" t="str" cm="1">
        <f t="array" ref="H12565">IFERROR(INDEX(INVESTOR_LIST[INVESTOR NAME],MATCH(I12565,INVESTOR_LIST[INVESTOR CODE],0),)," ")</f>
        <v>ASRAFUZZAMAN</v>
      </c>
      <c r="I12565" s="142" t="s">
        <v>834</v>
      </c>
      <c r="J12565" s="168" t="s">
        <v>13</v>
      </c>
      <c r="K12565" s="226">
        <v>95910</v>
      </c>
      <c r="L12565" s="226"/>
    </row>
    <row r="12566" spans="1:12" ht="11.25" customHeight="1" x14ac:dyDescent="0.2">
      <c r="A12566" s="133">
        <v>2024</v>
      </c>
      <c r="B12566" s="133">
        <v>12</v>
      </c>
      <c r="C12566" s="133">
        <v>30</v>
      </c>
      <c r="D12566" s="141">
        <f t="shared" si="1854"/>
        <v>45656</v>
      </c>
      <c r="E12566" s="275">
        <f t="shared" si="1855"/>
        <v>45656</v>
      </c>
      <c r="F12566" s="481"/>
      <c r="G12566" s="174" t="s">
        <v>74</v>
      </c>
      <c r="H12566" s="148" t="str" cm="1">
        <f t="array" ref="H12566">IFERROR(INDEX(INVESTOR_LIST[INVESTOR NAME],MATCH(I12566,INVESTOR_LIST[INVESTOR CODE],0),)," ")</f>
        <v>ASRAFUZZAMAN</v>
      </c>
      <c r="I12566" s="148" t="s">
        <v>834</v>
      </c>
      <c r="J12566" s="133" t="s">
        <v>53</v>
      </c>
      <c r="K12566" s="218">
        <v>26116.29</v>
      </c>
      <c r="L12566" s="218"/>
    </row>
    <row r="12567" spans="1:12" ht="11.25" customHeight="1" x14ac:dyDescent="0.2">
      <c r="A12567" s="163">
        <v>2024</v>
      </c>
      <c r="B12567" s="163">
        <v>12</v>
      </c>
      <c r="C12567" s="133">
        <v>30</v>
      </c>
      <c r="D12567" s="280">
        <f t="shared" si="1854"/>
        <v>45656</v>
      </c>
      <c r="E12567" s="281">
        <f t="shared" si="1855"/>
        <v>45656</v>
      </c>
      <c r="F12567" s="480"/>
      <c r="G12567" s="221" t="s">
        <v>74</v>
      </c>
      <c r="H12567" s="145" t="str" cm="1">
        <f t="array" ref="H12567">IFERROR(INDEX(INVESTOR_LIST[INVESTOR NAME],MATCH(I12567,INVESTOR_LIST[INVESTOR CODE],0),)," ")</f>
        <v>ASRAFUZZAMAN</v>
      </c>
      <c r="I12567" s="145" t="s">
        <v>834</v>
      </c>
      <c r="J12567" s="163" t="s">
        <v>52</v>
      </c>
      <c r="K12567" s="219"/>
      <c r="L12567" s="219">
        <v>122026.29</v>
      </c>
    </row>
    <row r="12568" spans="1:12" x14ac:dyDescent="0.2">
      <c r="A12568" s="133">
        <v>2024</v>
      </c>
      <c r="B12568" s="133">
        <v>12</v>
      </c>
      <c r="C12568" s="168">
        <v>30</v>
      </c>
      <c r="D12568" s="141">
        <f t="shared" si="1854"/>
        <v>45656</v>
      </c>
      <c r="E12568" s="275">
        <f t="shared" si="1855"/>
        <v>45656</v>
      </c>
      <c r="F12568" s="479" t="s">
        <v>2018</v>
      </c>
      <c r="G12568" s="174" t="s">
        <v>74</v>
      </c>
      <c r="H12568" s="148" t="str" cm="1">
        <f t="array" ref="H12568">IFERROR(INDEX(INVESTOR_LIST[INVESTOR NAME],MATCH(I12568,INVESTOR_LIST[INVESTOR CODE],0),)," ")</f>
        <v xml:space="preserve"> </v>
      </c>
      <c r="I12568" s="148" t="s">
        <v>348</v>
      </c>
      <c r="J12568" s="133" t="s">
        <v>52</v>
      </c>
      <c r="K12568" s="172">
        <v>34182</v>
      </c>
    </row>
    <row r="12569" spans="1:12" x14ac:dyDescent="0.2">
      <c r="A12569" s="133">
        <v>2024</v>
      </c>
      <c r="B12569" s="133">
        <v>12</v>
      </c>
      <c r="C12569" s="133">
        <v>30</v>
      </c>
      <c r="D12569" s="280">
        <f t="shared" ref="D12569" si="1856">DATE(A12569,B12569,C12569)</f>
        <v>45656</v>
      </c>
      <c r="E12569" s="281">
        <f t="shared" ref="E12569" si="1857">DATE(A12569,B12569,C12569)</f>
        <v>45656</v>
      </c>
      <c r="F12569" s="481"/>
      <c r="G12569" s="174" t="s">
        <v>74</v>
      </c>
      <c r="H12569" s="148" t="str" cm="1">
        <f t="array" ref="H12569">IFERROR(INDEX(INVESTOR_LIST[INVESTOR NAME],MATCH(I12569,INVESTOR_LIST[INVESTOR CODE],0),)," ")</f>
        <v xml:space="preserve"> </v>
      </c>
      <c r="I12569" s="148" t="s">
        <v>348</v>
      </c>
      <c r="J12569" s="133" t="s">
        <v>60</v>
      </c>
      <c r="K12569" s="218"/>
      <c r="L12569" s="218">
        <v>3652.7</v>
      </c>
    </row>
    <row r="12570" spans="1:12" x14ac:dyDescent="0.2">
      <c r="A12570" s="163">
        <v>2024</v>
      </c>
      <c r="B12570" s="163">
        <v>12</v>
      </c>
      <c r="C12570" s="163">
        <v>30</v>
      </c>
      <c r="D12570" s="280">
        <f t="shared" si="1854"/>
        <v>45656</v>
      </c>
      <c r="E12570" s="281">
        <f t="shared" si="1855"/>
        <v>45656</v>
      </c>
      <c r="F12570" s="480"/>
      <c r="G12570" s="221" t="s">
        <v>74</v>
      </c>
      <c r="H12570" s="145" t="str" cm="1">
        <f t="array" ref="H12570">IFERROR(INDEX(INVESTOR_LIST[INVESTOR NAME],MATCH(I12570,INVESTOR_LIST[INVESTOR CODE],0),)," ")</f>
        <v xml:space="preserve"> </v>
      </c>
      <c r="I12570" s="145" t="s">
        <v>348</v>
      </c>
      <c r="J12570" s="163" t="s">
        <v>67</v>
      </c>
      <c r="K12570" s="219"/>
      <c r="L12570" s="219">
        <v>30529.3</v>
      </c>
    </row>
    <row r="12571" spans="1:12" x14ac:dyDescent="0.2">
      <c r="A12571" s="133">
        <v>2024</v>
      </c>
      <c r="B12571" s="133">
        <v>12</v>
      </c>
      <c r="C12571" s="168">
        <v>30</v>
      </c>
      <c r="D12571" s="141">
        <f t="shared" ref="D12571:D12573" si="1858">DATE(A12571,B12571,C12571)</f>
        <v>45656</v>
      </c>
      <c r="E12571" s="275">
        <f t="shared" ref="E12571:E12573" si="1859">DATE(A12571,B12571,C12571)</f>
        <v>45656</v>
      </c>
      <c r="F12571" s="479" t="s">
        <v>2018</v>
      </c>
      <c r="G12571" s="174" t="s">
        <v>74</v>
      </c>
      <c r="H12571" s="148" t="str" cm="1">
        <f t="array" ref="H12571">IFERROR(INDEX(INVESTOR_LIST[INVESTOR NAME],MATCH(I12571,INVESTOR_LIST[INVESTOR CODE],0),)," ")</f>
        <v xml:space="preserve"> </v>
      </c>
      <c r="I12571" s="148" t="s">
        <v>348</v>
      </c>
      <c r="J12571" s="133" t="s">
        <v>52</v>
      </c>
      <c r="K12571" s="172">
        <v>490616</v>
      </c>
    </row>
    <row r="12572" spans="1:12" x14ac:dyDescent="0.2">
      <c r="A12572" s="133">
        <v>2024</v>
      </c>
      <c r="B12572" s="133">
        <v>12</v>
      </c>
      <c r="C12572" s="133">
        <v>30</v>
      </c>
      <c r="D12572" s="280">
        <f t="shared" si="1858"/>
        <v>45656</v>
      </c>
      <c r="E12572" s="281">
        <f t="shared" si="1859"/>
        <v>45656</v>
      </c>
      <c r="F12572" s="481"/>
      <c r="G12572" s="174" t="s">
        <v>74</v>
      </c>
      <c r="H12572" s="148" t="str" cm="1">
        <f t="array" ref="H12572">IFERROR(INDEX(INVESTOR_LIST[INVESTOR NAME],MATCH(I12572,INVESTOR_LIST[INVESTOR CODE],0),)," ")</f>
        <v xml:space="preserve"> </v>
      </c>
      <c r="I12572" s="148" t="s">
        <v>348</v>
      </c>
      <c r="J12572" s="133" t="s">
        <v>60</v>
      </c>
      <c r="K12572" s="218"/>
      <c r="L12572" s="218">
        <v>4541.16</v>
      </c>
    </row>
    <row r="12573" spans="1:12" x14ac:dyDescent="0.2">
      <c r="A12573" s="163">
        <v>2024</v>
      </c>
      <c r="B12573" s="163">
        <v>12</v>
      </c>
      <c r="C12573" s="163">
        <v>30</v>
      </c>
      <c r="D12573" s="280">
        <f t="shared" si="1858"/>
        <v>45656</v>
      </c>
      <c r="E12573" s="281">
        <f t="shared" si="1859"/>
        <v>45656</v>
      </c>
      <c r="F12573" s="480"/>
      <c r="G12573" s="221" t="s">
        <v>74</v>
      </c>
      <c r="H12573" s="145" t="str" cm="1">
        <f t="array" ref="H12573">IFERROR(INDEX(INVESTOR_LIST[INVESTOR NAME],MATCH(I12573,INVESTOR_LIST[INVESTOR CODE],0),)," ")</f>
        <v xml:space="preserve"> </v>
      </c>
      <c r="I12573" s="145" t="s">
        <v>348</v>
      </c>
      <c r="J12573" s="163" t="s">
        <v>67</v>
      </c>
      <c r="K12573" s="219"/>
      <c r="L12573" s="219">
        <v>486074.84</v>
      </c>
    </row>
    <row r="12574" spans="1:12" x14ac:dyDescent="0.2">
      <c r="A12574" s="133">
        <v>2024</v>
      </c>
      <c r="B12574" s="133">
        <v>12</v>
      </c>
      <c r="C12574" s="168">
        <v>30</v>
      </c>
      <c r="D12574" s="147">
        <f>DATE(A12574,B12574,C12574)</f>
        <v>45656</v>
      </c>
      <c r="E12574" s="311">
        <f>DATE(A12574,B12574,C12574)</f>
        <v>45656</v>
      </c>
      <c r="F12574" s="479" t="s">
        <v>1943</v>
      </c>
      <c r="G12574" s="174" t="s">
        <v>74</v>
      </c>
      <c r="H12574" s="148" t="str" cm="1">
        <f t="array" ref="H12574">IFERROR(INDEX(INVESTOR_LIST[INVESTOR NAME],MATCH(I12574,INVESTOR_LIST[INVESTOR CODE],0),)," ")</f>
        <v xml:space="preserve"> </v>
      </c>
      <c r="I12574" s="148" t="s">
        <v>348</v>
      </c>
      <c r="J12574" s="133" t="s">
        <v>61</v>
      </c>
      <c r="K12574" s="172">
        <v>3000</v>
      </c>
    </row>
    <row r="12575" spans="1:12" x14ac:dyDescent="0.2">
      <c r="A12575" s="163">
        <v>2024</v>
      </c>
      <c r="B12575" s="163">
        <v>12</v>
      </c>
      <c r="C12575" s="163">
        <v>30</v>
      </c>
      <c r="D12575" s="280">
        <f>DATE(A12575,B12575,C12575)</f>
        <v>45656</v>
      </c>
      <c r="E12575" s="281">
        <f>DATE(A12575,B12575,C12575)</f>
        <v>45656</v>
      </c>
      <c r="F12575" s="480"/>
      <c r="G12575" s="221" t="s">
        <v>74</v>
      </c>
      <c r="H12575" s="145" t="str" cm="1">
        <f t="array" ref="H12575">IFERROR(INDEX(INVESTOR_LIST[INVESTOR NAME],MATCH(I12575,INVESTOR_LIST[INVESTOR CODE],0),)," ")</f>
        <v xml:space="preserve"> </v>
      </c>
      <c r="I12575" s="145" t="s">
        <v>348</v>
      </c>
      <c r="J12575" s="163" t="s">
        <v>52</v>
      </c>
      <c r="K12575" s="219"/>
      <c r="L12575" s="219">
        <v>3000</v>
      </c>
    </row>
    <row r="12576" spans="1:12" x14ac:dyDescent="0.2">
      <c r="A12576" s="133">
        <v>2024</v>
      </c>
      <c r="B12576" s="133">
        <v>12</v>
      </c>
      <c r="C12576" s="168">
        <v>30</v>
      </c>
      <c r="D12576" s="147">
        <f>DATE(A12576,B12576,C12576)</f>
        <v>45656</v>
      </c>
      <c r="E12576" s="311">
        <f>DATE(A12576,B12576,C12576)</f>
        <v>45656</v>
      </c>
      <c r="F12576" s="479" t="s">
        <v>1943</v>
      </c>
      <c r="G12576" s="174" t="s">
        <v>74</v>
      </c>
      <c r="H12576" s="148" t="str" cm="1">
        <f t="array" ref="H12576">IFERROR(INDEX(INVESTOR_LIST[INVESTOR NAME],MATCH(I12576,INVESTOR_LIST[INVESTOR CODE],0),)," ")</f>
        <v xml:space="preserve"> </v>
      </c>
      <c r="I12576" s="148" t="s">
        <v>348</v>
      </c>
      <c r="J12576" s="133" t="s">
        <v>61</v>
      </c>
      <c r="K12576" s="172">
        <v>20000</v>
      </c>
    </row>
    <row r="12577" spans="1:12" x14ac:dyDescent="0.2">
      <c r="A12577" s="163">
        <v>2024</v>
      </c>
      <c r="B12577" s="163">
        <v>12</v>
      </c>
      <c r="C12577" s="163">
        <v>30</v>
      </c>
      <c r="D12577" s="280">
        <f>DATE(A12577,B12577,C12577)</f>
        <v>45656</v>
      </c>
      <c r="E12577" s="281">
        <f>DATE(A12577,B12577,C12577)</f>
        <v>45656</v>
      </c>
      <c r="F12577" s="480"/>
      <c r="G12577" s="221" t="s">
        <v>74</v>
      </c>
      <c r="H12577" s="145" t="str" cm="1">
        <f t="array" ref="H12577">IFERROR(INDEX(INVESTOR_LIST[INVESTOR NAME],MATCH(I12577,INVESTOR_LIST[INVESTOR CODE],0),)," ")</f>
        <v xml:space="preserve"> </v>
      </c>
      <c r="I12577" s="145" t="s">
        <v>348</v>
      </c>
      <c r="J12577" s="163" t="s">
        <v>52</v>
      </c>
      <c r="K12577" s="219"/>
      <c r="L12577" s="219">
        <v>20000</v>
      </c>
    </row>
    <row r="12578" spans="1:12" x14ac:dyDescent="0.2">
      <c r="A12578" s="133">
        <v>2024</v>
      </c>
      <c r="B12578" s="133">
        <v>12</v>
      </c>
      <c r="C12578" s="168">
        <v>30</v>
      </c>
      <c r="D12578" s="147">
        <f t="shared" ref="D12578:D12584" si="1860">DATE(A12578,B12578,C12578)</f>
        <v>45656</v>
      </c>
      <c r="E12578" s="311">
        <f t="shared" ref="E12578:E12584" si="1861">DATE(A12578,B12578,C12578)</f>
        <v>45656</v>
      </c>
      <c r="F12578" s="479" t="s">
        <v>1951</v>
      </c>
      <c r="G12578" s="174" t="s">
        <v>74</v>
      </c>
      <c r="H12578" s="148" t="str" cm="1">
        <f t="array" ref="H12578">IFERROR(INDEX(INVESTOR_LIST[INVESTOR NAME],MATCH(I12578,INVESTOR_LIST[INVESTOR CODE],0),)," ")</f>
        <v xml:space="preserve"> </v>
      </c>
      <c r="I12578" s="148" t="s">
        <v>348</v>
      </c>
      <c r="J12578" s="133" t="s">
        <v>61</v>
      </c>
      <c r="K12578" s="172">
        <v>10805</v>
      </c>
    </row>
    <row r="12579" spans="1:12" x14ac:dyDescent="0.2">
      <c r="A12579" s="163">
        <v>2024</v>
      </c>
      <c r="B12579" s="163">
        <v>12</v>
      </c>
      <c r="C12579" s="163">
        <v>30</v>
      </c>
      <c r="D12579" s="280">
        <f t="shared" si="1860"/>
        <v>45656</v>
      </c>
      <c r="E12579" s="281">
        <f t="shared" si="1861"/>
        <v>45656</v>
      </c>
      <c r="F12579" s="480"/>
      <c r="G12579" s="221" t="s">
        <v>74</v>
      </c>
      <c r="H12579" s="145" t="str" cm="1">
        <f t="array" ref="H12579">IFERROR(INDEX(INVESTOR_LIST[INVESTOR NAME],MATCH(I12579,INVESTOR_LIST[INVESTOR CODE],0),)," ")</f>
        <v xml:space="preserve"> </v>
      </c>
      <c r="I12579" s="145" t="s">
        <v>348</v>
      </c>
      <c r="J12579" s="163" t="s">
        <v>52</v>
      </c>
      <c r="K12579" s="219"/>
      <c r="L12579" s="219">
        <v>10805</v>
      </c>
    </row>
    <row r="12580" spans="1:12" x14ac:dyDescent="0.2">
      <c r="A12580" s="133">
        <v>2024</v>
      </c>
      <c r="B12580" s="133">
        <v>12</v>
      </c>
      <c r="C12580" s="168">
        <v>30</v>
      </c>
      <c r="D12580" s="147">
        <f t="shared" si="1860"/>
        <v>45656</v>
      </c>
      <c r="E12580" s="311">
        <f t="shared" si="1861"/>
        <v>45656</v>
      </c>
      <c r="F12580" s="479" t="s">
        <v>1955</v>
      </c>
      <c r="G12580" s="174" t="s">
        <v>74</v>
      </c>
      <c r="H12580" s="148" t="str" cm="1">
        <f t="array" ref="H12580">IFERROR(INDEX(INVESTOR_LIST[INVESTOR NAME],MATCH(I12580,INVESTOR_LIST[INVESTOR CODE],0),)," ")</f>
        <v xml:space="preserve"> </v>
      </c>
      <c r="I12580" s="148" t="s">
        <v>348</v>
      </c>
      <c r="J12580" s="133" t="s">
        <v>61</v>
      </c>
      <c r="K12580" s="172">
        <v>115</v>
      </c>
    </row>
    <row r="12581" spans="1:12" x14ac:dyDescent="0.2">
      <c r="A12581" s="163">
        <v>2024</v>
      </c>
      <c r="B12581" s="163">
        <v>12</v>
      </c>
      <c r="C12581" s="163">
        <v>30</v>
      </c>
      <c r="D12581" s="280">
        <f t="shared" si="1860"/>
        <v>45656</v>
      </c>
      <c r="E12581" s="281">
        <f t="shared" si="1861"/>
        <v>45656</v>
      </c>
      <c r="F12581" s="480"/>
      <c r="G12581" s="221" t="s">
        <v>74</v>
      </c>
      <c r="H12581" s="145" t="str" cm="1">
        <f t="array" ref="H12581">IFERROR(INDEX(INVESTOR_LIST[INVESTOR NAME],MATCH(I12581,INVESTOR_LIST[INVESTOR CODE],0),)," ")</f>
        <v xml:space="preserve"> </v>
      </c>
      <c r="I12581" s="145" t="s">
        <v>348</v>
      </c>
      <c r="J12581" s="163" t="s">
        <v>52</v>
      </c>
      <c r="K12581" s="219"/>
      <c r="L12581" s="219">
        <v>115</v>
      </c>
    </row>
    <row r="12582" spans="1:12" x14ac:dyDescent="0.2">
      <c r="A12582" s="133">
        <v>2024</v>
      </c>
      <c r="B12582" s="133">
        <v>12</v>
      </c>
      <c r="C12582" s="168">
        <v>30</v>
      </c>
      <c r="D12582" s="141">
        <f t="shared" si="1860"/>
        <v>45656</v>
      </c>
      <c r="E12582" s="275">
        <f t="shared" si="1861"/>
        <v>45656</v>
      </c>
      <c r="F12582" s="479" t="s">
        <v>1949</v>
      </c>
      <c r="G12582" s="174" t="s">
        <v>74</v>
      </c>
      <c r="H12582" s="148" t="str" cm="1">
        <f t="array" ref="H12582">IFERROR(INDEX(INVESTOR_LIST[INVESTOR NAME],MATCH(I12582,INVESTOR_LIST[INVESTOR CODE],0),)," ")</f>
        <v xml:space="preserve"> </v>
      </c>
      <c r="I12582" s="148" t="s">
        <v>348</v>
      </c>
      <c r="J12582" s="133" t="s">
        <v>52</v>
      </c>
      <c r="K12582" s="172">
        <v>184694.07</v>
      </c>
    </row>
    <row r="12583" spans="1:12" x14ac:dyDescent="0.2">
      <c r="A12583" s="133">
        <v>2024</v>
      </c>
      <c r="B12583" s="133">
        <v>12</v>
      </c>
      <c r="C12583" s="133">
        <v>30</v>
      </c>
      <c r="D12583" s="280">
        <f t="shared" si="1860"/>
        <v>45656</v>
      </c>
      <c r="E12583" s="281">
        <f t="shared" si="1861"/>
        <v>45656</v>
      </c>
      <c r="F12583" s="481"/>
      <c r="G12583" s="174" t="s">
        <v>74</v>
      </c>
      <c r="H12583" s="148" t="str" cm="1">
        <f t="array" ref="H12583">IFERROR(INDEX(INVESTOR_LIST[INVESTOR NAME],MATCH(I12583,INVESTOR_LIST[INVESTOR CODE],0),)," ")</f>
        <v xml:space="preserve"> </v>
      </c>
      <c r="I12583" s="148" t="s">
        <v>348</v>
      </c>
      <c r="J12583" s="133" t="s">
        <v>60</v>
      </c>
      <c r="K12583" s="218"/>
      <c r="L12583" s="218">
        <v>22412.49</v>
      </c>
    </row>
    <row r="12584" spans="1:12" x14ac:dyDescent="0.2">
      <c r="A12584" s="163">
        <v>2024</v>
      </c>
      <c r="B12584" s="163">
        <v>12</v>
      </c>
      <c r="C12584" s="163">
        <v>30</v>
      </c>
      <c r="D12584" s="280">
        <f t="shared" si="1860"/>
        <v>45656</v>
      </c>
      <c r="E12584" s="281">
        <f t="shared" si="1861"/>
        <v>45656</v>
      </c>
      <c r="F12584" s="480"/>
      <c r="G12584" s="221" t="s">
        <v>74</v>
      </c>
      <c r="H12584" s="145" t="str" cm="1">
        <f t="array" ref="H12584">IFERROR(INDEX(INVESTOR_LIST[INVESTOR NAME],MATCH(I12584,INVESTOR_LIST[INVESTOR CODE],0),)," ")</f>
        <v xml:space="preserve"> </v>
      </c>
      <c r="I12584" s="145" t="s">
        <v>348</v>
      </c>
      <c r="J12584" s="163" t="s">
        <v>67</v>
      </c>
      <c r="K12584" s="219"/>
      <c r="L12584" s="219">
        <v>162281.57999999999</v>
      </c>
    </row>
    <row r="12585" spans="1:12" x14ac:dyDescent="0.2">
      <c r="A12585" s="133">
        <v>2024</v>
      </c>
      <c r="B12585" s="133">
        <v>12</v>
      </c>
      <c r="C12585" s="168">
        <v>30</v>
      </c>
      <c r="D12585" s="147">
        <f t="shared" ref="D12585:D12591" si="1862">DATE(A12585,B12585,C12585)</f>
        <v>45656</v>
      </c>
      <c r="E12585" s="311">
        <f t="shared" ref="E12585:E12591" si="1863">DATE(A12585,B12585,C12585)</f>
        <v>45656</v>
      </c>
      <c r="F12585" s="479" t="s">
        <v>1950</v>
      </c>
      <c r="G12585" s="174" t="s">
        <v>74</v>
      </c>
      <c r="H12585" s="148" t="str" cm="1">
        <f t="array" ref="H12585">IFERROR(INDEX(INVESTOR_LIST[INVESTOR NAME],MATCH(I12585,INVESTOR_LIST[INVESTOR CODE],0),)," ")</f>
        <v xml:space="preserve"> </v>
      </c>
      <c r="I12585" s="148" t="s">
        <v>348</v>
      </c>
      <c r="J12585" s="133" t="s">
        <v>61</v>
      </c>
      <c r="K12585" s="172">
        <v>5000</v>
      </c>
    </row>
    <row r="12586" spans="1:12" x14ac:dyDescent="0.2">
      <c r="A12586" s="163">
        <v>2024</v>
      </c>
      <c r="B12586" s="163">
        <v>12</v>
      </c>
      <c r="C12586" s="163">
        <v>30</v>
      </c>
      <c r="D12586" s="280">
        <f t="shared" si="1862"/>
        <v>45656</v>
      </c>
      <c r="E12586" s="281">
        <f t="shared" si="1863"/>
        <v>45656</v>
      </c>
      <c r="F12586" s="480"/>
      <c r="G12586" s="221" t="s">
        <v>74</v>
      </c>
      <c r="H12586" s="145" t="str" cm="1">
        <f t="array" ref="H12586">IFERROR(INDEX(INVESTOR_LIST[INVESTOR NAME],MATCH(I12586,INVESTOR_LIST[INVESTOR CODE],0),)," ")</f>
        <v xml:space="preserve"> </v>
      </c>
      <c r="I12586" s="145" t="s">
        <v>348</v>
      </c>
      <c r="J12586" s="163" t="s">
        <v>52</v>
      </c>
      <c r="K12586" s="219"/>
      <c r="L12586" s="219">
        <v>5000</v>
      </c>
    </row>
    <row r="12587" spans="1:12" x14ac:dyDescent="0.2">
      <c r="A12587" s="133">
        <v>2024</v>
      </c>
      <c r="B12587" s="133">
        <v>12</v>
      </c>
      <c r="C12587" s="168">
        <v>31</v>
      </c>
      <c r="D12587" s="141">
        <f t="shared" si="1862"/>
        <v>45657</v>
      </c>
      <c r="E12587" s="275">
        <f t="shared" si="1863"/>
        <v>45657</v>
      </c>
      <c r="F12587" s="479" t="s">
        <v>1954</v>
      </c>
      <c r="G12587" s="174" t="s">
        <v>74</v>
      </c>
      <c r="H12587" s="148" t="str" cm="1">
        <f t="array" ref="H12587">IFERROR(INDEX(INVESTOR_LIST[INVESTOR NAME],MATCH(I12587,INVESTOR_LIST[INVESTOR CODE],0),)," ")</f>
        <v xml:space="preserve"> </v>
      </c>
      <c r="I12587" s="148" t="s">
        <v>348</v>
      </c>
      <c r="J12587" s="133" t="s">
        <v>52</v>
      </c>
      <c r="K12587" s="172">
        <v>35.71</v>
      </c>
    </row>
    <row r="12588" spans="1:12" x14ac:dyDescent="0.2">
      <c r="A12588" s="133">
        <v>2024</v>
      </c>
      <c r="B12588" s="133">
        <v>12</v>
      </c>
      <c r="C12588" s="133">
        <v>31</v>
      </c>
      <c r="D12588" s="280">
        <f t="shared" si="1862"/>
        <v>45657</v>
      </c>
      <c r="E12588" s="281">
        <f t="shared" si="1863"/>
        <v>45657</v>
      </c>
      <c r="F12588" s="481"/>
      <c r="G12588" s="174" t="s">
        <v>74</v>
      </c>
      <c r="H12588" s="148" t="str" cm="1">
        <f t="array" ref="H12588">IFERROR(INDEX(INVESTOR_LIST[INVESTOR NAME],MATCH(I12588,INVESTOR_LIST[INVESTOR CODE],0),)," ")</f>
        <v xml:space="preserve"> </v>
      </c>
      <c r="I12588" s="148" t="s">
        <v>348</v>
      </c>
      <c r="J12588" s="133" t="s">
        <v>60</v>
      </c>
      <c r="K12588" s="218">
        <v>5.78</v>
      </c>
      <c r="L12588" s="218"/>
    </row>
    <row r="12589" spans="1:12" x14ac:dyDescent="0.2">
      <c r="A12589" s="163">
        <v>2024</v>
      </c>
      <c r="B12589" s="163">
        <v>12</v>
      </c>
      <c r="C12589" s="163">
        <v>31</v>
      </c>
      <c r="D12589" s="280">
        <f t="shared" si="1862"/>
        <v>45657</v>
      </c>
      <c r="E12589" s="281">
        <f t="shared" si="1863"/>
        <v>45657</v>
      </c>
      <c r="F12589" s="480"/>
      <c r="G12589" s="221" t="s">
        <v>74</v>
      </c>
      <c r="H12589" s="145" t="str" cm="1">
        <f t="array" ref="H12589">IFERROR(INDEX(INVESTOR_LIST[INVESTOR NAME],MATCH(I12589,INVESTOR_LIST[INVESTOR CODE],0),)," ")</f>
        <v xml:space="preserve"> </v>
      </c>
      <c r="I12589" s="145" t="s">
        <v>348</v>
      </c>
      <c r="J12589" s="163" t="s">
        <v>67</v>
      </c>
      <c r="K12589" s="219"/>
      <c r="L12589" s="219">
        <v>41.49</v>
      </c>
    </row>
    <row r="12590" spans="1:12" x14ac:dyDescent="0.2">
      <c r="A12590" s="133">
        <v>2024</v>
      </c>
      <c r="B12590" s="133">
        <v>12</v>
      </c>
      <c r="C12590" s="168">
        <v>30</v>
      </c>
      <c r="D12590" s="147">
        <f t="shared" si="1862"/>
        <v>45656</v>
      </c>
      <c r="E12590" s="311">
        <f t="shared" si="1863"/>
        <v>45656</v>
      </c>
      <c r="F12590" s="479" t="s">
        <v>1953</v>
      </c>
      <c r="G12590" s="174" t="s">
        <v>74</v>
      </c>
      <c r="H12590" s="148" t="str" cm="1">
        <f t="array" ref="H12590">IFERROR(INDEX(INVESTOR_LIST[INVESTOR NAME],MATCH(I12590,INVESTOR_LIST[INVESTOR CODE],0),)," ")</f>
        <v xml:space="preserve"> </v>
      </c>
      <c r="I12590" s="148" t="s">
        <v>348</v>
      </c>
      <c r="J12590" s="133" t="s">
        <v>61</v>
      </c>
      <c r="K12590" s="172">
        <v>5.36</v>
      </c>
    </row>
    <row r="12591" spans="1:12" x14ac:dyDescent="0.2">
      <c r="A12591" s="163">
        <v>2024</v>
      </c>
      <c r="B12591" s="163">
        <v>12</v>
      </c>
      <c r="C12591" s="163">
        <v>30</v>
      </c>
      <c r="D12591" s="280">
        <f t="shared" si="1862"/>
        <v>45656</v>
      </c>
      <c r="E12591" s="281">
        <f t="shared" si="1863"/>
        <v>45656</v>
      </c>
      <c r="F12591" s="480"/>
      <c r="G12591" s="221" t="s">
        <v>74</v>
      </c>
      <c r="H12591" s="145" t="str" cm="1">
        <f t="array" ref="H12591">IFERROR(INDEX(INVESTOR_LIST[INVESTOR NAME],MATCH(I12591,INVESTOR_LIST[INVESTOR CODE],0),)," ")</f>
        <v xml:space="preserve"> </v>
      </c>
      <c r="I12591" s="145" t="s">
        <v>348</v>
      </c>
      <c r="J12591" s="163" t="s">
        <v>52</v>
      </c>
      <c r="K12591" s="219"/>
      <c r="L12591" s="219">
        <v>5.36</v>
      </c>
    </row>
    <row r="12592" spans="1:12" x14ac:dyDescent="0.2">
      <c r="A12592" s="133">
        <v>2024</v>
      </c>
      <c r="B12592" s="133">
        <v>12</v>
      </c>
      <c r="C12592" s="168">
        <v>31</v>
      </c>
      <c r="D12592" s="141">
        <f t="shared" si="1846"/>
        <v>45657</v>
      </c>
      <c r="E12592" s="275">
        <f t="shared" si="1847"/>
        <v>45657</v>
      </c>
      <c r="F12592" s="479" t="s">
        <v>2017</v>
      </c>
      <c r="G12592" s="174" t="s">
        <v>74</v>
      </c>
      <c r="H12592" s="148" t="str" cm="1">
        <f t="array" ref="H12592">IFERROR(INDEX(INVESTOR_LIST[INVESTOR NAME],MATCH(I12592,INVESTOR_LIST[INVESTOR CODE],0),)," ")</f>
        <v xml:space="preserve"> </v>
      </c>
      <c r="I12592" s="148" t="s">
        <v>348</v>
      </c>
      <c r="J12592" s="133" t="s">
        <v>52</v>
      </c>
      <c r="K12592" s="172">
        <v>7222.1</v>
      </c>
    </row>
    <row r="12593" spans="1:14" x14ac:dyDescent="0.2">
      <c r="A12593" s="133">
        <v>2024</v>
      </c>
      <c r="B12593" s="133">
        <v>12</v>
      </c>
      <c r="C12593" s="133">
        <v>31</v>
      </c>
      <c r="D12593" s="280">
        <f t="shared" si="1846"/>
        <v>45657</v>
      </c>
      <c r="E12593" s="281">
        <f t="shared" si="1847"/>
        <v>45657</v>
      </c>
      <c r="F12593" s="481"/>
      <c r="G12593" s="174" t="s">
        <v>74</v>
      </c>
      <c r="H12593" s="148" t="str" cm="1">
        <f t="array" ref="H12593">IFERROR(INDEX(INVESTOR_LIST[INVESTOR NAME],MATCH(I12593,INVESTOR_LIST[INVESTOR CODE],0),)," ")</f>
        <v xml:space="preserve"> </v>
      </c>
      <c r="I12593" s="148" t="s">
        <v>348</v>
      </c>
      <c r="J12593" s="133" t="s">
        <v>60</v>
      </c>
      <c r="K12593" s="218"/>
      <c r="L12593" s="218">
        <v>263.66000000000003</v>
      </c>
    </row>
    <row r="12594" spans="1:14" x14ac:dyDescent="0.2">
      <c r="A12594" s="163">
        <v>2024</v>
      </c>
      <c r="B12594" s="163">
        <v>12</v>
      </c>
      <c r="C12594" s="163">
        <v>31</v>
      </c>
      <c r="D12594" s="280">
        <f t="shared" si="1846"/>
        <v>45657</v>
      </c>
      <c r="E12594" s="281">
        <f t="shared" si="1847"/>
        <v>45657</v>
      </c>
      <c r="F12594" s="480"/>
      <c r="G12594" s="221" t="s">
        <v>74</v>
      </c>
      <c r="H12594" s="145" t="str" cm="1">
        <f t="array" ref="H12594">IFERROR(INDEX(INVESTOR_LIST[INVESTOR NAME],MATCH(I12594,INVESTOR_LIST[INVESTOR CODE],0),)," ")</f>
        <v xml:space="preserve"> </v>
      </c>
      <c r="I12594" s="145" t="s">
        <v>348</v>
      </c>
      <c r="J12594" s="163" t="s">
        <v>67</v>
      </c>
      <c r="K12594" s="219"/>
      <c r="L12594" s="219">
        <v>6958.46</v>
      </c>
    </row>
    <row r="12595" spans="1:14" x14ac:dyDescent="0.2">
      <c r="A12595" s="133">
        <v>2024</v>
      </c>
      <c r="B12595" s="133">
        <v>12</v>
      </c>
      <c r="C12595" s="168">
        <v>31</v>
      </c>
      <c r="D12595" s="141">
        <f t="shared" ref="D12595:D12627" si="1864">DATE(A12595,B12595,C12595)</f>
        <v>45657</v>
      </c>
      <c r="E12595" s="275">
        <f t="shared" ref="E12595:E12627" si="1865">DATE(A12595,B12595,C12595)</f>
        <v>45657</v>
      </c>
      <c r="F12595" s="479" t="s">
        <v>2017</v>
      </c>
      <c r="G12595" s="174" t="s">
        <v>74</v>
      </c>
      <c r="H12595" s="148" t="str" cm="1">
        <f t="array" ref="H12595">IFERROR(INDEX(INVESTOR_LIST[INVESTOR NAME],MATCH(I12595,INVESTOR_LIST[INVESTOR CODE],0),)," ")</f>
        <v xml:space="preserve"> </v>
      </c>
      <c r="I12595" s="148" t="s">
        <v>348</v>
      </c>
      <c r="J12595" s="133" t="s">
        <v>52</v>
      </c>
      <c r="K12595" s="172">
        <v>1994.13</v>
      </c>
    </row>
    <row r="12596" spans="1:14" x14ac:dyDescent="0.2">
      <c r="A12596" s="133">
        <v>2024</v>
      </c>
      <c r="B12596" s="133">
        <v>12</v>
      </c>
      <c r="C12596" s="133">
        <v>31</v>
      </c>
      <c r="D12596" s="280">
        <f t="shared" si="1864"/>
        <v>45657</v>
      </c>
      <c r="E12596" s="281">
        <f t="shared" si="1865"/>
        <v>45657</v>
      </c>
      <c r="F12596" s="481"/>
      <c r="G12596" s="174" t="s">
        <v>74</v>
      </c>
      <c r="H12596" s="148" t="str" cm="1">
        <f t="array" ref="H12596">IFERROR(INDEX(INVESTOR_LIST[INVESTOR NAME],MATCH(I12596,INVESTOR_LIST[INVESTOR CODE],0),)," ")</f>
        <v xml:space="preserve"> </v>
      </c>
      <c r="I12596" s="148" t="s">
        <v>348</v>
      </c>
      <c r="J12596" s="133" t="s">
        <v>60</v>
      </c>
      <c r="K12596" s="218"/>
      <c r="L12596" s="218">
        <v>326.04000000000002</v>
      </c>
    </row>
    <row r="12597" spans="1:14" x14ac:dyDescent="0.2">
      <c r="A12597" s="163">
        <v>2024</v>
      </c>
      <c r="B12597" s="163">
        <v>12</v>
      </c>
      <c r="C12597" s="163">
        <v>31</v>
      </c>
      <c r="D12597" s="280">
        <f t="shared" si="1864"/>
        <v>45657</v>
      </c>
      <c r="E12597" s="281">
        <f t="shared" si="1865"/>
        <v>45657</v>
      </c>
      <c r="F12597" s="480"/>
      <c r="G12597" s="221" t="s">
        <v>74</v>
      </c>
      <c r="H12597" s="145" t="str" cm="1">
        <f t="array" ref="H12597">IFERROR(INDEX(INVESTOR_LIST[INVESTOR NAME],MATCH(I12597,INVESTOR_LIST[INVESTOR CODE],0),)," ")</f>
        <v xml:space="preserve"> </v>
      </c>
      <c r="I12597" s="145" t="s">
        <v>348</v>
      </c>
      <c r="J12597" s="163" t="s">
        <v>67</v>
      </c>
      <c r="K12597" s="219"/>
      <c r="L12597" s="219">
        <v>1668.07</v>
      </c>
    </row>
    <row r="12598" spans="1:14" x14ac:dyDescent="0.2">
      <c r="A12598" s="133">
        <v>2024</v>
      </c>
      <c r="B12598" s="133">
        <v>12</v>
      </c>
      <c r="C12598" s="168">
        <v>31</v>
      </c>
      <c r="D12598" s="141">
        <f>DATE(A12598,B12598,C12598)</f>
        <v>45657</v>
      </c>
      <c r="E12598" s="275">
        <f>DATE(A12598,B12598,C12598)</f>
        <v>45657</v>
      </c>
      <c r="F12598" s="479" t="s">
        <v>973</v>
      </c>
      <c r="G12598" s="174" t="s">
        <v>94</v>
      </c>
      <c r="H12598" s="148" t="str" cm="1">
        <f t="array" ref="H12598">IFERROR(INDEX(INVESTOR_LIST[INVESTOR NAME],MATCH(I12598,INVESTOR_LIST[INVESTOR CODE],0),)," ")</f>
        <v xml:space="preserve"> </v>
      </c>
      <c r="I12598" s="148" t="s">
        <v>348</v>
      </c>
      <c r="J12598" s="133" t="s">
        <v>103</v>
      </c>
      <c r="K12598" s="172">
        <v>46000</v>
      </c>
    </row>
    <row r="12599" spans="1:14" x14ac:dyDescent="0.2">
      <c r="A12599" s="163">
        <v>2024</v>
      </c>
      <c r="B12599" s="163">
        <v>12</v>
      </c>
      <c r="C12599" s="163">
        <v>31</v>
      </c>
      <c r="D12599" s="280">
        <f>DATE(A12599,B12599,C12599)</f>
        <v>45657</v>
      </c>
      <c r="E12599" s="281">
        <f>DATE(A12599,B12599,C12599)</f>
        <v>45657</v>
      </c>
      <c r="F12599" s="480"/>
      <c r="G12599" s="221" t="s">
        <v>94</v>
      </c>
      <c r="H12599" s="145" t="str" cm="1">
        <f t="array" ref="H12599">IFERROR(INDEX(INVESTOR_LIST[INVESTOR NAME],MATCH(I12599,INVESTOR_LIST[INVESTOR CODE],0),)," ")</f>
        <v xml:space="preserve"> </v>
      </c>
      <c r="I12599" s="145" t="s">
        <v>348</v>
      </c>
      <c r="J12599" s="163" t="s">
        <v>50</v>
      </c>
      <c r="K12599" s="219"/>
      <c r="L12599" s="219">
        <v>46000</v>
      </c>
    </row>
    <row r="12600" spans="1:14" x14ac:dyDescent="0.2">
      <c r="A12600" s="133">
        <v>2024</v>
      </c>
      <c r="B12600" s="133">
        <v>12</v>
      </c>
      <c r="C12600" s="168">
        <v>31</v>
      </c>
      <c r="D12600" s="141">
        <f t="shared" ref="D12600:D12608" si="1866">DATE(A12600,B12600,C12600)</f>
        <v>45657</v>
      </c>
      <c r="E12600" s="275">
        <f t="shared" ref="E12600:E12608" si="1867">DATE(A12600,B12600,C12600)</f>
        <v>45657</v>
      </c>
      <c r="F12600" s="479" t="s">
        <v>1952</v>
      </c>
      <c r="G12600" s="174" t="s">
        <v>74</v>
      </c>
      <c r="H12600" s="148" t="str" cm="1">
        <f t="array" ref="H12600">IFERROR(INDEX(INVESTOR_LIST[INVESTOR NAME],MATCH(I12600,INVESTOR_LIST[INVESTOR CODE],0),)," ")</f>
        <v xml:space="preserve"> </v>
      </c>
      <c r="I12600" s="148" t="s">
        <v>348</v>
      </c>
      <c r="J12600" s="133" t="s">
        <v>52</v>
      </c>
      <c r="K12600" s="172">
        <v>6000.49</v>
      </c>
    </row>
    <row r="12601" spans="1:14" x14ac:dyDescent="0.2">
      <c r="A12601" s="133">
        <v>2024</v>
      </c>
      <c r="B12601" s="133">
        <v>12</v>
      </c>
      <c r="C12601" s="133">
        <v>31</v>
      </c>
      <c r="D12601" s="280">
        <f t="shared" si="1866"/>
        <v>45657</v>
      </c>
      <c r="E12601" s="281">
        <f t="shared" si="1867"/>
        <v>45657</v>
      </c>
      <c r="F12601" s="481"/>
      <c r="G12601" s="174" t="s">
        <v>74</v>
      </c>
      <c r="H12601" s="148" t="str" cm="1">
        <f t="array" ref="H12601">IFERROR(INDEX(INVESTOR_LIST[INVESTOR NAME],MATCH(I12601,INVESTOR_LIST[INVESTOR CODE],0),)," ")</f>
        <v xml:space="preserve"> </v>
      </c>
      <c r="I12601" s="148" t="s">
        <v>348</v>
      </c>
      <c r="J12601" s="133" t="s">
        <v>60</v>
      </c>
      <c r="K12601" s="218"/>
      <c r="L12601" s="218">
        <v>882.29</v>
      </c>
    </row>
    <row r="12602" spans="1:14" x14ac:dyDescent="0.2">
      <c r="A12602" s="163">
        <v>2024</v>
      </c>
      <c r="B12602" s="163">
        <v>12</v>
      </c>
      <c r="C12602" s="163">
        <v>31</v>
      </c>
      <c r="D12602" s="280">
        <f t="shared" si="1866"/>
        <v>45657</v>
      </c>
      <c r="E12602" s="281">
        <f t="shared" si="1867"/>
        <v>45657</v>
      </c>
      <c r="F12602" s="480"/>
      <c r="G12602" s="221" t="s">
        <v>74</v>
      </c>
      <c r="H12602" s="145" t="str" cm="1">
        <f t="array" ref="H12602">IFERROR(INDEX(INVESTOR_LIST[INVESTOR NAME],MATCH(I12602,INVESTOR_LIST[INVESTOR CODE],0),)," ")</f>
        <v xml:space="preserve"> </v>
      </c>
      <c r="I12602" s="145" t="s">
        <v>348</v>
      </c>
      <c r="J12602" s="163" t="s">
        <v>67</v>
      </c>
      <c r="K12602" s="219"/>
      <c r="L12602" s="219">
        <v>5118.2</v>
      </c>
    </row>
    <row r="12603" spans="1:14" x14ac:dyDescent="0.2">
      <c r="A12603" s="133">
        <v>2024</v>
      </c>
      <c r="B12603" s="133">
        <v>12</v>
      </c>
      <c r="C12603" s="168">
        <v>31</v>
      </c>
      <c r="D12603" s="147">
        <f t="shared" si="1866"/>
        <v>45657</v>
      </c>
      <c r="E12603" s="311">
        <f t="shared" si="1867"/>
        <v>45657</v>
      </c>
      <c r="F12603" s="479" t="s">
        <v>1951</v>
      </c>
      <c r="G12603" s="174" t="s">
        <v>74</v>
      </c>
      <c r="H12603" s="148" t="str" cm="1">
        <f t="array" ref="H12603">IFERROR(INDEX(INVESTOR_LIST[INVESTOR NAME],MATCH(I12603,INVESTOR_LIST[INVESTOR CODE],0),)," ")</f>
        <v xml:space="preserve"> </v>
      </c>
      <c r="I12603" s="148" t="s">
        <v>348</v>
      </c>
      <c r="J12603" s="133" t="s">
        <v>61</v>
      </c>
      <c r="K12603" s="172">
        <v>1800</v>
      </c>
    </row>
    <row r="12604" spans="1:14" x14ac:dyDescent="0.2">
      <c r="A12604" s="163">
        <v>2024</v>
      </c>
      <c r="B12604" s="163">
        <v>12</v>
      </c>
      <c r="C12604" s="163">
        <v>31</v>
      </c>
      <c r="D12604" s="280">
        <f t="shared" si="1866"/>
        <v>45657</v>
      </c>
      <c r="E12604" s="281">
        <f t="shared" si="1867"/>
        <v>45657</v>
      </c>
      <c r="F12604" s="480"/>
      <c r="G12604" s="221" t="s">
        <v>74</v>
      </c>
      <c r="H12604" s="145" t="str" cm="1">
        <f t="array" ref="H12604">IFERROR(INDEX(INVESTOR_LIST[INVESTOR NAME],MATCH(I12604,INVESTOR_LIST[INVESTOR CODE],0),)," ")</f>
        <v xml:space="preserve"> </v>
      </c>
      <c r="I12604" s="145" t="s">
        <v>348</v>
      </c>
      <c r="J12604" s="163" t="s">
        <v>52</v>
      </c>
      <c r="K12604" s="219"/>
      <c r="L12604" s="219">
        <v>1800</v>
      </c>
    </row>
    <row r="12605" spans="1:14" x14ac:dyDescent="0.2">
      <c r="A12605" s="133">
        <v>2024</v>
      </c>
      <c r="B12605" s="168">
        <v>12</v>
      </c>
      <c r="C12605" s="168">
        <v>31</v>
      </c>
      <c r="D12605" s="141">
        <f t="shared" si="1866"/>
        <v>45657</v>
      </c>
      <c r="E12605" s="275">
        <f t="shared" si="1867"/>
        <v>45657</v>
      </c>
      <c r="F12605" s="481" t="s">
        <v>2025</v>
      </c>
      <c r="G12605" s="174" t="s">
        <v>94</v>
      </c>
      <c r="H12605" s="174" t="str" cm="1">
        <f t="array" ref="H12605">IFERROR(INDEX(INVESTOR_LIST[INVESTOR NAME],MATCH(I12605,INVESTOR_LIST[INVESTOR CODE],0),)," ")</f>
        <v xml:space="preserve"> </v>
      </c>
      <c r="I12605" s="148" t="s">
        <v>348</v>
      </c>
      <c r="J12605" s="149" t="s">
        <v>166</v>
      </c>
      <c r="K12605" s="218">
        <v>51000</v>
      </c>
      <c r="L12605" s="218"/>
      <c r="N12605" s="176"/>
    </row>
    <row r="12606" spans="1:14" x14ac:dyDescent="0.2">
      <c r="A12606" s="163">
        <v>2024</v>
      </c>
      <c r="B12606" s="163">
        <v>12</v>
      </c>
      <c r="C12606" s="163">
        <v>31</v>
      </c>
      <c r="D12606" s="141">
        <f t="shared" si="1866"/>
        <v>45657</v>
      </c>
      <c r="E12606" s="275">
        <f t="shared" si="1867"/>
        <v>45657</v>
      </c>
      <c r="F12606" s="480"/>
      <c r="G12606" s="221" t="s">
        <v>94</v>
      </c>
      <c r="H12606" s="221" t="str" cm="1">
        <f t="array" ref="H12606">IFERROR(INDEX(INVESTOR_LIST[INVESTOR NAME],MATCH(I12606,INVESTOR_LIST[INVESTOR CODE],0),)," ")</f>
        <v xml:space="preserve"> </v>
      </c>
      <c r="I12606" s="145" t="s">
        <v>348</v>
      </c>
      <c r="J12606" s="146" t="s">
        <v>168</v>
      </c>
      <c r="K12606" s="219"/>
      <c r="L12606" s="219">
        <v>51000</v>
      </c>
    </row>
    <row r="12607" spans="1:14" x14ac:dyDescent="0.2">
      <c r="A12607" s="399">
        <v>2024</v>
      </c>
      <c r="B12607" s="399">
        <v>12</v>
      </c>
      <c r="C12607" s="399">
        <v>31</v>
      </c>
      <c r="D12607" s="400">
        <f t="shared" si="1866"/>
        <v>45657</v>
      </c>
      <c r="E12607" s="401">
        <f t="shared" si="1867"/>
        <v>45657</v>
      </c>
      <c r="F12607" s="512" t="s">
        <v>2019</v>
      </c>
      <c r="G12607" s="402" t="s">
        <v>94</v>
      </c>
      <c r="H12607" s="402" t="str" cm="1">
        <f t="array" ref="H12607">IFERROR(INDEX(INVESTOR_LIST[INVESTOR NAME],MATCH(I12607,INVESTOR_LIST[INVESTOR CODE],0),)," ")</f>
        <v xml:space="preserve"> </v>
      </c>
      <c r="I12607" s="403" t="s">
        <v>348</v>
      </c>
      <c r="J12607" s="404" t="s">
        <v>60</v>
      </c>
      <c r="K12607" s="405">
        <v>9650.8600000000788</v>
      </c>
      <c r="L12607" s="405"/>
    </row>
    <row r="12608" spans="1:14" x14ac:dyDescent="0.2">
      <c r="A12608" s="406">
        <v>2024</v>
      </c>
      <c r="B12608" s="406">
        <v>12</v>
      </c>
      <c r="C12608" s="406">
        <v>31</v>
      </c>
      <c r="D12608" s="400">
        <f t="shared" si="1866"/>
        <v>45657</v>
      </c>
      <c r="E12608" s="401">
        <f t="shared" si="1867"/>
        <v>45657</v>
      </c>
      <c r="F12608" s="513"/>
      <c r="G12608" s="407" t="s">
        <v>94</v>
      </c>
      <c r="H12608" s="407" t="str" cm="1">
        <f t="array" ref="H12608">IFERROR(INDEX(INVESTOR_LIST[INVESTOR NAME],MATCH(I12608,INVESTOR_LIST[INVESTOR CODE],0),)," ")</f>
        <v xml:space="preserve"> </v>
      </c>
      <c r="I12608" s="408" t="s">
        <v>348</v>
      </c>
      <c r="J12608" s="409" t="s">
        <v>67</v>
      </c>
      <c r="K12608" s="410"/>
      <c r="L12608" s="410">
        <v>9650.8600000000788</v>
      </c>
    </row>
    <row r="12609" spans="1:17" x14ac:dyDescent="0.2">
      <c r="A12609" s="325">
        <v>2024</v>
      </c>
      <c r="B12609" s="325">
        <v>12</v>
      </c>
      <c r="C12609" s="325">
        <v>31</v>
      </c>
      <c r="D12609" s="326">
        <f t="shared" si="1864"/>
        <v>45657</v>
      </c>
      <c r="E12609" s="327">
        <f t="shared" si="1865"/>
        <v>45657</v>
      </c>
      <c r="F12609" s="473" t="s">
        <v>1940</v>
      </c>
      <c r="G12609" s="340" t="s">
        <v>94</v>
      </c>
      <c r="H12609" s="340" t="str" cm="1">
        <f t="array" ref="H12609">IFERROR(INDEX(INVESTOR_LIST[INVESTOR NAME],MATCH(I12609,INVESTOR_LIST[INVESTOR CODE],0),)," ")</f>
        <v xml:space="preserve"> </v>
      </c>
      <c r="I12609" s="341" t="s">
        <v>348</v>
      </c>
      <c r="J12609" s="374" t="s">
        <v>133</v>
      </c>
      <c r="K12609" s="334">
        <v>12905.55</v>
      </c>
      <c r="L12609" s="375"/>
      <c r="M12609" s="133">
        <v>12905.555555555549</v>
      </c>
    </row>
    <row r="12610" spans="1:17" x14ac:dyDescent="0.2">
      <c r="A12610" s="331">
        <v>2024</v>
      </c>
      <c r="B12610" s="331">
        <v>12</v>
      </c>
      <c r="C12610" s="331">
        <v>31</v>
      </c>
      <c r="D12610" s="326">
        <f t="shared" si="1864"/>
        <v>45657</v>
      </c>
      <c r="E12610" s="327">
        <f t="shared" si="1865"/>
        <v>45657</v>
      </c>
      <c r="F12610" s="474"/>
      <c r="G12610" s="332" t="s">
        <v>94</v>
      </c>
      <c r="H12610" s="332" t="str" cm="1">
        <f t="array" ref="H12610">IFERROR(INDEX(INVESTOR_LIST[INVESTOR NAME],MATCH(I12610,INVESTOR_LIST[INVESTOR CODE],0),)," ")</f>
        <v xml:space="preserve"> </v>
      </c>
      <c r="I12610" s="333" t="s">
        <v>348</v>
      </c>
      <c r="J12610" s="376" t="s">
        <v>60</v>
      </c>
      <c r="K12610" s="334"/>
      <c r="L12610" s="334">
        <v>12905.55</v>
      </c>
    </row>
    <row r="12611" spans="1:17" x14ac:dyDescent="0.2">
      <c r="A12611" s="343">
        <v>2024</v>
      </c>
      <c r="B12611" s="343">
        <v>12</v>
      </c>
      <c r="C12611" s="343">
        <v>31</v>
      </c>
      <c r="D12611" s="344">
        <f t="shared" si="1864"/>
        <v>45657</v>
      </c>
      <c r="E12611" s="345">
        <f t="shared" si="1865"/>
        <v>45657</v>
      </c>
      <c r="F12611" s="483" t="s">
        <v>1813</v>
      </c>
      <c r="G12611" s="350" t="s">
        <v>94</v>
      </c>
      <c r="H12611" s="350" t="str" cm="1">
        <f t="array" ref="H12611">IFERROR(INDEX(INVESTOR_LIST[INVESTOR NAME],MATCH(I12611,INVESTOR_LIST[INVESTOR CODE],0),)," ")</f>
        <v xml:space="preserve"> </v>
      </c>
      <c r="I12611" s="352" t="s">
        <v>348</v>
      </c>
      <c r="J12611" s="353" t="s">
        <v>1807</v>
      </c>
      <c r="K12611" s="354">
        <v>0</v>
      </c>
      <c r="L12611" s="354"/>
      <c r="M12611" s="133">
        <v>0</v>
      </c>
    </row>
    <row r="12612" spans="1:17" x14ac:dyDescent="0.2">
      <c r="A12612" s="346">
        <v>2024</v>
      </c>
      <c r="B12612" s="346">
        <v>12</v>
      </c>
      <c r="C12612" s="346">
        <v>31</v>
      </c>
      <c r="D12612" s="344">
        <f t="shared" si="1864"/>
        <v>45657</v>
      </c>
      <c r="E12612" s="345">
        <f t="shared" si="1865"/>
        <v>45657</v>
      </c>
      <c r="F12612" s="484"/>
      <c r="G12612" s="347" t="s">
        <v>94</v>
      </c>
      <c r="H12612" s="347" t="str" cm="1">
        <f t="array" ref="H12612">IFERROR(INDEX(INVESTOR_LIST[INVESTOR NAME],MATCH(I12612,INVESTOR_LIST[INVESTOR CODE],0),)," ")</f>
        <v xml:space="preserve"> </v>
      </c>
      <c r="I12612" s="348" t="s">
        <v>348</v>
      </c>
      <c r="J12612" s="355" t="s">
        <v>1798</v>
      </c>
      <c r="K12612" s="349"/>
      <c r="L12612" s="349">
        <f>K12611</f>
        <v>0</v>
      </c>
    </row>
    <row r="12613" spans="1:17" x14ac:dyDescent="0.2">
      <c r="A12613" s="343">
        <v>2024</v>
      </c>
      <c r="B12613" s="343">
        <v>12</v>
      </c>
      <c r="C12613" s="343">
        <v>31</v>
      </c>
      <c r="D12613" s="344">
        <f t="shared" si="1864"/>
        <v>45657</v>
      </c>
      <c r="E12613" s="345">
        <f t="shared" si="1865"/>
        <v>45657</v>
      </c>
      <c r="F12613" s="483" t="s">
        <v>1913</v>
      </c>
      <c r="G12613" s="350" t="s">
        <v>94</v>
      </c>
      <c r="H12613" s="350" t="str" cm="1">
        <f t="array" ref="H12613">IFERROR(INDEX(INVESTOR_LIST[INVESTOR NAME],MATCH(I12613,INVESTOR_LIST[INVESTOR CODE],0),)," ")</f>
        <v xml:space="preserve"> </v>
      </c>
      <c r="I12613" s="352" t="s">
        <v>348</v>
      </c>
      <c r="J12613" s="353" t="s">
        <v>1799</v>
      </c>
      <c r="K12613" s="354">
        <v>28508.554999999702</v>
      </c>
      <c r="L12613" s="354"/>
      <c r="M12613" s="133">
        <v>0</v>
      </c>
    </row>
    <row r="12614" spans="1:17" x14ac:dyDescent="0.2">
      <c r="A12614" s="346">
        <v>2024</v>
      </c>
      <c r="B12614" s="346">
        <v>12</v>
      </c>
      <c r="C12614" s="346">
        <v>31</v>
      </c>
      <c r="D12614" s="344">
        <f t="shared" si="1864"/>
        <v>45657</v>
      </c>
      <c r="E12614" s="345">
        <f t="shared" si="1865"/>
        <v>45657</v>
      </c>
      <c r="F12614" s="484"/>
      <c r="G12614" s="347" t="s">
        <v>94</v>
      </c>
      <c r="H12614" s="347" t="str" cm="1">
        <f t="array" ref="H12614">IFERROR(INDEX(INVESTOR_LIST[INVESTOR NAME],MATCH(I12614,INVESTOR_LIST[INVESTOR CODE],0),)," ")</f>
        <v xml:space="preserve"> </v>
      </c>
      <c r="I12614" s="348" t="s">
        <v>348</v>
      </c>
      <c r="J12614" s="355" t="s">
        <v>1808</v>
      </c>
      <c r="K12614" s="349"/>
      <c r="L12614" s="349">
        <f>K12613</f>
        <v>28508.554999999702</v>
      </c>
    </row>
    <row r="12615" spans="1:17" ht="11.25" customHeight="1" x14ac:dyDescent="0.2">
      <c r="A12615" s="238">
        <v>2024</v>
      </c>
      <c r="B12615" s="238">
        <v>12</v>
      </c>
      <c r="C12615" s="238">
        <v>31</v>
      </c>
      <c r="D12615" s="270">
        <f t="shared" si="1864"/>
        <v>45657</v>
      </c>
      <c r="E12615" s="279">
        <f t="shared" si="1865"/>
        <v>45657</v>
      </c>
      <c r="F12615" s="477" t="s">
        <v>347</v>
      </c>
      <c r="G12615" s="239" t="s">
        <v>94</v>
      </c>
      <c r="H12615" s="239" t="str" cm="1">
        <f t="array" ref="H12615">IFERROR(INDEX(INVESTOR_LIST[INVESTOR NAME],MATCH(I12615,INVESTOR_LIST[INVESTOR CODE],0),)," ")</f>
        <v xml:space="preserve"> </v>
      </c>
      <c r="I12615" s="262" t="s">
        <v>348</v>
      </c>
      <c r="J12615" s="240" t="s">
        <v>108</v>
      </c>
      <c r="K12615" s="241">
        <v>367145.10000000894</v>
      </c>
      <c r="L12615" s="241"/>
      <c r="M12615" s="133">
        <v>13139541.900000483</v>
      </c>
    </row>
    <row r="12616" spans="1:17" x14ac:dyDescent="0.2">
      <c r="A12616" s="242">
        <v>2024</v>
      </c>
      <c r="B12616" s="242">
        <v>12</v>
      </c>
      <c r="C12616" s="242">
        <v>31</v>
      </c>
      <c r="D12616" s="270">
        <f t="shared" si="1864"/>
        <v>45657</v>
      </c>
      <c r="E12616" s="279">
        <f t="shared" si="1865"/>
        <v>45657</v>
      </c>
      <c r="F12616" s="478"/>
      <c r="G12616" s="243" t="s">
        <v>94</v>
      </c>
      <c r="H12616" s="243" t="str" cm="1">
        <f t="array" ref="H12616">IFERROR(INDEX(INVESTOR_LIST[INVESTOR NAME],MATCH(I12616,INVESTOR_LIST[INVESTOR CODE],0),)," ")</f>
        <v xml:space="preserve"> </v>
      </c>
      <c r="I12616" s="263" t="s">
        <v>348</v>
      </c>
      <c r="J12616" s="244" t="s">
        <v>82</v>
      </c>
      <c r="K12616" s="245"/>
      <c r="L12616" s="245">
        <f>K12615</f>
        <v>367145.10000000894</v>
      </c>
    </row>
    <row r="12617" spans="1:17" ht="11.25" customHeight="1" x14ac:dyDescent="0.2">
      <c r="A12617" s="246">
        <v>2024</v>
      </c>
      <c r="B12617" s="238">
        <v>12</v>
      </c>
      <c r="C12617" s="238">
        <v>31</v>
      </c>
      <c r="D12617" s="270">
        <f t="shared" si="1864"/>
        <v>45657</v>
      </c>
      <c r="E12617" s="279">
        <f t="shared" si="1865"/>
        <v>45657</v>
      </c>
      <c r="F12617" s="482" t="s">
        <v>148</v>
      </c>
      <c r="G12617" s="247" t="s">
        <v>94</v>
      </c>
      <c r="H12617" s="247" t="str" cm="1">
        <f t="array" ref="H12617">IFERROR(INDEX(INVESTOR_LIST[INVESTOR NAME],MATCH(I12617,INVESTOR_LIST[INVESTOR CODE],0),)," ")</f>
        <v xml:space="preserve"> </v>
      </c>
      <c r="I12617" s="248" t="s">
        <v>348</v>
      </c>
      <c r="J12617" s="249" t="s">
        <v>95</v>
      </c>
      <c r="K12617" s="250">
        <f>M12617/7*5</f>
        <v>1962.3233908948193</v>
      </c>
      <c r="L12617" s="241"/>
      <c r="M12617" s="133">
        <v>2747.2527472527472</v>
      </c>
    </row>
    <row r="12618" spans="1:17" x14ac:dyDescent="0.2">
      <c r="A12618" s="242">
        <v>2024</v>
      </c>
      <c r="B12618" s="242">
        <v>12</v>
      </c>
      <c r="C12618" s="242">
        <v>31</v>
      </c>
      <c r="D12618" s="270">
        <f t="shared" si="1864"/>
        <v>45657</v>
      </c>
      <c r="E12618" s="279">
        <f t="shared" si="1865"/>
        <v>45657</v>
      </c>
      <c r="F12618" s="478"/>
      <c r="G12618" s="243" t="s">
        <v>94</v>
      </c>
      <c r="H12618" s="243" t="str" cm="1">
        <f t="array" ref="H12618">IFERROR(INDEX(INVESTOR_LIST[INVESTOR NAME],MATCH(I12618,INVESTOR_LIST[INVESTOR CODE],0),)," ")</f>
        <v xml:space="preserve"> </v>
      </c>
      <c r="I12618" s="263" t="s">
        <v>348</v>
      </c>
      <c r="J12618" s="244" t="s">
        <v>63</v>
      </c>
      <c r="K12618" s="245"/>
      <c r="L12618" s="245">
        <f>K12617</f>
        <v>1962.3233908948193</v>
      </c>
    </row>
    <row r="12619" spans="1:17" x14ac:dyDescent="0.2">
      <c r="A12619" s="246">
        <v>2024</v>
      </c>
      <c r="B12619" s="238">
        <v>12</v>
      </c>
      <c r="C12619" s="238">
        <v>31</v>
      </c>
      <c r="D12619" s="270">
        <f t="shared" si="1864"/>
        <v>45657</v>
      </c>
      <c r="E12619" s="279">
        <f t="shared" si="1865"/>
        <v>45657</v>
      </c>
      <c r="F12619" s="482" t="s">
        <v>137</v>
      </c>
      <c r="G12619" s="247" t="s">
        <v>94</v>
      </c>
      <c r="H12619" s="247" t="str" cm="1">
        <f t="array" ref="H12619">IFERROR(INDEX(INVESTOR_LIST[INVESTOR NAME],MATCH(I12619,INVESTOR_LIST[INVESTOR CODE],0),)," ")</f>
        <v xml:space="preserve"> </v>
      </c>
      <c r="I12619" s="248" t="s">
        <v>348</v>
      </c>
      <c r="J12619" s="249" t="s">
        <v>97</v>
      </c>
      <c r="K12619" s="250">
        <f>M12619/7*5</f>
        <v>41300.995422651729</v>
      </c>
      <c r="L12619" s="252"/>
      <c r="M12619" s="264">
        <v>57821.393591712425</v>
      </c>
    </row>
    <row r="12620" spans="1:17" x14ac:dyDescent="0.2">
      <c r="A12620" s="242">
        <v>2024</v>
      </c>
      <c r="B12620" s="242">
        <v>12</v>
      </c>
      <c r="C12620" s="242">
        <v>31</v>
      </c>
      <c r="D12620" s="270">
        <f t="shared" si="1864"/>
        <v>45657</v>
      </c>
      <c r="E12620" s="279">
        <f t="shared" si="1865"/>
        <v>45657</v>
      </c>
      <c r="F12620" s="478"/>
      <c r="G12620" s="243" t="s">
        <v>94</v>
      </c>
      <c r="H12620" s="243" t="str" cm="1">
        <f t="array" ref="H12620">IFERROR(INDEX(INVESTOR_LIST[INVESTOR NAME],MATCH(I12620,INVESTOR_LIST[INVESTOR CODE],0),)," ")</f>
        <v xml:space="preserve"> </v>
      </c>
      <c r="I12620" s="263" t="s">
        <v>348</v>
      </c>
      <c r="J12620" s="244" t="s">
        <v>47</v>
      </c>
      <c r="K12620" s="245"/>
      <c r="L12620" s="245">
        <f>K12619</f>
        <v>41300.995422651729</v>
      </c>
      <c r="M12620" s="264">
        <v>2650.6850642010058</v>
      </c>
    </row>
    <row r="12621" spans="1:17" x14ac:dyDescent="0.2">
      <c r="A12621" s="246">
        <v>2024</v>
      </c>
      <c r="B12621" s="238">
        <v>12</v>
      </c>
      <c r="C12621" s="238">
        <v>31</v>
      </c>
      <c r="D12621" s="270">
        <f t="shared" si="1864"/>
        <v>45657</v>
      </c>
      <c r="E12621" s="279">
        <f t="shared" si="1865"/>
        <v>45657</v>
      </c>
      <c r="F12621" s="482" t="s">
        <v>138</v>
      </c>
      <c r="G12621" s="247" t="s">
        <v>94</v>
      </c>
      <c r="H12621" s="247" t="str" cm="1">
        <f t="array" ref="H12621">IFERROR(INDEX(INVESTOR_LIST[INVESTOR NAME],MATCH(I12621,INVESTOR_LIST[INVESTOR CODE],0),)," ")</f>
        <v xml:space="preserve"> </v>
      </c>
      <c r="I12621" s="248" t="s">
        <v>348</v>
      </c>
      <c r="J12621" s="249" t="s">
        <v>100</v>
      </c>
      <c r="K12621" s="250">
        <f>M12620/7*5</f>
        <v>1893.3464744292901</v>
      </c>
      <c r="L12621" s="252"/>
    </row>
    <row r="12622" spans="1:17" x14ac:dyDescent="0.2">
      <c r="A12622" s="242">
        <v>2024</v>
      </c>
      <c r="B12622" s="242">
        <v>12</v>
      </c>
      <c r="C12622" s="242">
        <v>31</v>
      </c>
      <c r="D12622" s="321">
        <f t="shared" si="1864"/>
        <v>45657</v>
      </c>
      <c r="E12622" s="322">
        <f t="shared" si="1865"/>
        <v>45657</v>
      </c>
      <c r="F12622" s="478"/>
      <c r="G12622" s="243" t="s">
        <v>94</v>
      </c>
      <c r="H12622" s="243" t="str" cm="1">
        <f t="array" ref="H12622">IFERROR(INDEX(INVESTOR_LIST[INVESTOR NAME],MATCH(I12622,INVESTOR_LIST[INVESTOR CODE],0),)," ")</f>
        <v xml:space="preserve"> </v>
      </c>
      <c r="I12622" s="263" t="s">
        <v>348</v>
      </c>
      <c r="J12622" s="244" t="s">
        <v>48</v>
      </c>
      <c r="K12622" s="245"/>
      <c r="L12622" s="245">
        <f>K12621</f>
        <v>1893.3464744292901</v>
      </c>
    </row>
    <row r="12623" spans="1:17" x14ac:dyDescent="0.2">
      <c r="A12623" s="133">
        <v>2025</v>
      </c>
      <c r="B12623" s="133">
        <v>1</v>
      </c>
      <c r="C12623" s="133">
        <v>1</v>
      </c>
      <c r="D12623" s="141">
        <f>DATE(A12623,B12623,C12623)</f>
        <v>45658</v>
      </c>
      <c r="E12623" s="275">
        <f>DATE(A12623,B12623,C12623)</f>
        <v>45658</v>
      </c>
      <c r="F12623" s="479" t="s">
        <v>2033</v>
      </c>
      <c r="G12623" s="174" t="s">
        <v>94</v>
      </c>
      <c r="H12623" s="174" t="str" cm="1">
        <f t="array" ref="H12623">IFERROR(INDEX(INVESTOR_LIST[INVESTOR NAME],MATCH(I12623,INVESTOR_LIST[INVESTOR CODE],0),)," ")</f>
        <v xml:space="preserve"> </v>
      </c>
      <c r="I12623" s="148" t="s">
        <v>348</v>
      </c>
      <c r="J12623" s="149" t="s">
        <v>359</v>
      </c>
      <c r="K12623" s="218">
        <v>5412013.5</v>
      </c>
      <c r="L12623" s="218"/>
      <c r="Q12623" s="133" t="s">
        <v>348</v>
      </c>
    </row>
    <row r="12624" spans="1:17" x14ac:dyDescent="0.2">
      <c r="A12624" s="163">
        <v>2025</v>
      </c>
      <c r="B12624" s="163">
        <v>1</v>
      </c>
      <c r="C12624" s="163">
        <v>1</v>
      </c>
      <c r="D12624" s="141">
        <f>DATE(A12624,B12624,C12624)</f>
        <v>45658</v>
      </c>
      <c r="E12624" s="275">
        <f>DATE(A12624,B12624,C12624)</f>
        <v>45658</v>
      </c>
      <c r="F12624" s="480"/>
      <c r="G12624" s="221" t="s">
        <v>94</v>
      </c>
      <c r="H12624" s="221" t="str" cm="1">
        <f t="array" ref="H12624">IFERROR(INDEX(INVESTOR_LIST[INVESTOR NAME],MATCH(I12624,INVESTOR_LIST[INVESTOR CODE],0),)," ")</f>
        <v xml:space="preserve"> </v>
      </c>
      <c r="I12624" s="145" t="s">
        <v>348</v>
      </c>
      <c r="J12624" s="146" t="s">
        <v>358</v>
      </c>
      <c r="K12624" s="219"/>
      <c r="L12624" s="219">
        <v>5412013.5</v>
      </c>
      <c r="Q12624" s="133" t="s">
        <v>348</v>
      </c>
    </row>
    <row r="12625" spans="1:13" x14ac:dyDescent="0.2">
      <c r="A12625" s="133">
        <v>2025</v>
      </c>
      <c r="B12625" s="168">
        <v>1</v>
      </c>
      <c r="C12625" s="168">
        <v>1</v>
      </c>
      <c r="D12625" s="141">
        <f t="shared" si="1864"/>
        <v>45658</v>
      </c>
      <c r="E12625" s="275">
        <f t="shared" si="1865"/>
        <v>45658</v>
      </c>
      <c r="F12625" s="481" t="s">
        <v>982</v>
      </c>
      <c r="G12625" s="174" t="s">
        <v>74</v>
      </c>
      <c r="H12625" s="174" t="str" cm="1">
        <f t="array" ref="H12625">IFERROR(INDEX(INVESTOR_LIST[INVESTOR NAME],MATCH(I12625,INVESTOR_LIST[INVESTOR CODE],0),)," ")</f>
        <v xml:space="preserve"> </v>
      </c>
      <c r="I12625" s="148" t="s">
        <v>348</v>
      </c>
      <c r="J12625" s="149" t="s">
        <v>163</v>
      </c>
      <c r="K12625" s="218">
        <v>5750</v>
      </c>
      <c r="L12625" s="218"/>
      <c r="M12625" s="264"/>
    </row>
    <row r="12626" spans="1:13" x14ac:dyDescent="0.2">
      <c r="A12626" s="133">
        <v>2025</v>
      </c>
      <c r="B12626" s="133">
        <v>1</v>
      </c>
      <c r="C12626" s="133">
        <v>1</v>
      </c>
      <c r="D12626" s="141">
        <f t="shared" si="1864"/>
        <v>45658</v>
      </c>
      <c r="E12626" s="275">
        <f t="shared" si="1865"/>
        <v>45658</v>
      </c>
      <c r="F12626" s="481"/>
      <c r="G12626" s="174" t="s">
        <v>201</v>
      </c>
      <c r="H12626" s="174" t="str" cm="1">
        <f t="array" ref="H12626">IFERROR(INDEX(INVESTOR_LIST[INVESTOR NAME],MATCH(I12626,INVESTOR_LIST[INVESTOR CODE],0),)," ")</f>
        <v xml:space="preserve"> </v>
      </c>
      <c r="J12626" s="149" t="s">
        <v>1906</v>
      </c>
      <c r="K12626" s="218"/>
      <c r="L12626" s="218">
        <v>250</v>
      </c>
    </row>
    <row r="12627" spans="1:13" x14ac:dyDescent="0.2">
      <c r="A12627" s="163">
        <v>2025</v>
      </c>
      <c r="B12627" s="163">
        <v>1</v>
      </c>
      <c r="C12627" s="133">
        <v>1</v>
      </c>
      <c r="D12627" s="280">
        <f t="shared" si="1864"/>
        <v>45658</v>
      </c>
      <c r="E12627" s="281">
        <f t="shared" si="1865"/>
        <v>45658</v>
      </c>
      <c r="F12627" s="480"/>
      <c r="G12627" s="221" t="s">
        <v>74</v>
      </c>
      <c r="H12627" s="221" t="str" cm="1">
        <f t="array" ref="H12627">IFERROR(INDEX(INVESTOR_LIST[INVESTOR NAME],MATCH(I12627,INVESTOR_LIST[INVESTOR CODE],0),)," ")</f>
        <v xml:space="preserve"> </v>
      </c>
      <c r="I12627" s="145" t="s">
        <v>348</v>
      </c>
      <c r="J12627" s="146" t="s">
        <v>52</v>
      </c>
      <c r="K12627" s="219"/>
      <c r="L12627" s="219">
        <v>5500</v>
      </c>
    </row>
    <row r="12628" spans="1:13" x14ac:dyDescent="0.2">
      <c r="A12628" s="133">
        <v>2025</v>
      </c>
      <c r="B12628" s="133">
        <v>1</v>
      </c>
      <c r="C12628" s="168">
        <v>1</v>
      </c>
      <c r="D12628" s="147">
        <f>DATE(A12628,B12628,C12628)</f>
        <v>45658</v>
      </c>
      <c r="E12628" s="311">
        <f>DATE(A12628,B12628,C12628)</f>
        <v>45658</v>
      </c>
      <c r="F12628" s="479" t="s">
        <v>1956</v>
      </c>
      <c r="G12628" s="174" t="s">
        <v>74</v>
      </c>
      <c r="H12628" s="148" t="str" cm="1">
        <f t="array" ref="H12628">IFERROR(INDEX(INVESTOR_LIST[INVESTOR NAME],MATCH(I12628,INVESTOR_LIST[INVESTOR CODE],0),)," ")</f>
        <v xml:space="preserve"> </v>
      </c>
      <c r="I12628" s="148" t="s">
        <v>348</v>
      </c>
      <c r="J12628" s="133" t="s">
        <v>61</v>
      </c>
      <c r="K12628" s="172">
        <v>3345</v>
      </c>
    </row>
    <row r="12629" spans="1:13" x14ac:dyDescent="0.2">
      <c r="A12629" s="163">
        <v>2025</v>
      </c>
      <c r="B12629" s="163">
        <v>1</v>
      </c>
      <c r="C12629" s="163">
        <v>1</v>
      </c>
      <c r="D12629" s="280">
        <f>DATE(A12629,B12629,C12629)</f>
        <v>45658</v>
      </c>
      <c r="E12629" s="281">
        <f>DATE(A12629,B12629,C12629)</f>
        <v>45658</v>
      </c>
      <c r="F12629" s="480"/>
      <c r="G12629" s="221" t="s">
        <v>74</v>
      </c>
      <c r="H12629" s="145" t="str" cm="1">
        <f t="array" ref="H12629">IFERROR(INDEX(INVESTOR_LIST[INVESTOR NAME],MATCH(I12629,INVESTOR_LIST[INVESTOR CODE],0),)," ")</f>
        <v xml:space="preserve"> </v>
      </c>
      <c r="I12629" s="145" t="s">
        <v>348</v>
      </c>
      <c r="J12629" s="163" t="s">
        <v>52</v>
      </c>
      <c r="K12629" s="219"/>
      <c r="L12629" s="219">
        <v>3345</v>
      </c>
    </row>
    <row r="12630" spans="1:13" x14ac:dyDescent="0.2">
      <c r="A12630" s="133">
        <v>2025</v>
      </c>
      <c r="B12630" s="133">
        <v>1</v>
      </c>
      <c r="C12630" s="168">
        <v>1</v>
      </c>
      <c r="D12630" s="147">
        <f>DATE(A12630,B12630,C12630)</f>
        <v>45658</v>
      </c>
      <c r="E12630" s="311">
        <f>DATE(A12630,B12630,C12630)</f>
        <v>45658</v>
      </c>
      <c r="F12630" s="479" t="s">
        <v>1956</v>
      </c>
      <c r="G12630" s="174" t="s">
        <v>74</v>
      </c>
      <c r="H12630" s="148" t="str" cm="1">
        <f t="array" ref="H12630">IFERROR(INDEX(INVESTOR_LIST[INVESTOR NAME],MATCH(I12630,INVESTOR_LIST[INVESTOR CODE],0),)," ")</f>
        <v xml:space="preserve"> </v>
      </c>
      <c r="I12630" s="148" t="s">
        <v>348</v>
      </c>
      <c r="J12630" s="133" t="s">
        <v>61</v>
      </c>
      <c r="K12630" s="172">
        <v>495</v>
      </c>
    </row>
    <row r="12631" spans="1:13" x14ac:dyDescent="0.2">
      <c r="A12631" s="163">
        <v>2025</v>
      </c>
      <c r="B12631" s="163">
        <v>1</v>
      </c>
      <c r="C12631" s="163">
        <v>1</v>
      </c>
      <c r="D12631" s="280">
        <f>DATE(A12631,B12631,C12631)</f>
        <v>45658</v>
      </c>
      <c r="E12631" s="281">
        <f>DATE(A12631,B12631,C12631)</f>
        <v>45658</v>
      </c>
      <c r="F12631" s="480"/>
      <c r="G12631" s="221" t="s">
        <v>74</v>
      </c>
      <c r="H12631" s="145" t="str" cm="1">
        <f t="array" ref="H12631">IFERROR(INDEX(INVESTOR_LIST[INVESTOR NAME],MATCH(I12631,INVESTOR_LIST[INVESTOR CODE],0),)," ")</f>
        <v xml:space="preserve"> </v>
      </c>
      <c r="I12631" s="145" t="s">
        <v>348</v>
      </c>
      <c r="J12631" s="163" t="s">
        <v>52</v>
      </c>
      <c r="K12631" s="219"/>
      <c r="L12631" s="219">
        <v>495</v>
      </c>
    </row>
    <row r="12632" spans="1:13" x14ac:dyDescent="0.2">
      <c r="A12632" s="133">
        <v>2025</v>
      </c>
      <c r="B12632" s="133">
        <v>1</v>
      </c>
      <c r="C12632" s="168">
        <v>1</v>
      </c>
      <c r="D12632" s="141">
        <f t="shared" ref="D12632:D12633" si="1868">DATE(A12632,B12632,C12632)</f>
        <v>45658</v>
      </c>
      <c r="E12632" s="275">
        <f t="shared" ref="E12632:E12633" si="1869">DATE(A12632,B12632,C12632)</f>
        <v>45658</v>
      </c>
      <c r="F12632" s="479" t="s">
        <v>1999</v>
      </c>
      <c r="G12632" s="174" t="s">
        <v>74</v>
      </c>
      <c r="H12632" s="148" t="str">
        <f t="array" ref="H12632">IFERROR(INDEX([2]!INVESTOR_LIST[INVESTOR NAME],MATCH(I12632,[2]!INVESTOR_LIST[INVESTOR CODE],0),)," ")</f>
        <v xml:space="preserve"> </v>
      </c>
      <c r="I12632" s="148" t="s">
        <v>348</v>
      </c>
      <c r="J12632" s="133" t="s">
        <v>52</v>
      </c>
      <c r="K12632" s="172">
        <f>48395.83+145187.5</f>
        <v>193583.33000000002</v>
      </c>
    </row>
    <row r="12633" spans="1:13" x14ac:dyDescent="0.2">
      <c r="A12633" s="163">
        <v>2025</v>
      </c>
      <c r="B12633" s="163">
        <v>1</v>
      </c>
      <c r="C12633" s="163">
        <v>1</v>
      </c>
      <c r="D12633" s="280">
        <f t="shared" si="1868"/>
        <v>45658</v>
      </c>
      <c r="E12633" s="281">
        <f t="shared" si="1869"/>
        <v>45658</v>
      </c>
      <c r="F12633" s="480"/>
      <c r="G12633" s="221" t="s">
        <v>74</v>
      </c>
      <c r="H12633" s="145" t="str">
        <f t="array" ref="H12633">IFERROR(INDEX([2]!INVESTOR_LIST[INVESTOR NAME],MATCH(I12633,[2]!INVESTOR_LIST[INVESTOR CODE],0),)," ")</f>
        <v xml:space="preserve"> </v>
      </c>
      <c r="I12633" s="145" t="s">
        <v>348</v>
      </c>
      <c r="J12633" s="163" t="s">
        <v>133</v>
      </c>
      <c r="K12633" s="219"/>
      <c r="L12633" s="219">
        <v>193583.33000000002</v>
      </c>
    </row>
    <row r="12634" spans="1:13" x14ac:dyDescent="0.2">
      <c r="A12634" s="168">
        <v>2025</v>
      </c>
      <c r="B12634" s="168">
        <v>1</v>
      </c>
      <c r="C12634" s="133">
        <v>2</v>
      </c>
      <c r="D12634" s="141">
        <f t="shared" ref="D12634:D12657" si="1870">DATE(A12634,B12634,C12634)</f>
        <v>45659</v>
      </c>
      <c r="E12634" s="275">
        <f t="shared" ref="E12634:E12657" si="1871">DATE(A12634,B12634,C12634)</f>
        <v>45659</v>
      </c>
      <c r="F12634" s="479" t="s">
        <v>1979</v>
      </c>
      <c r="G12634" s="220" t="s">
        <v>94</v>
      </c>
      <c r="H12634" s="220" t="str" cm="1">
        <f t="array" ref="H12634">IFERROR(INDEX(INVESTOR_LIST[INVESTOR NAME],MATCH(I12634,INVESTOR_LIST[INVESTOR CODE],0),)," ")</f>
        <v xml:space="preserve"> </v>
      </c>
      <c r="I12634" s="142"/>
      <c r="J12634" s="143" t="s">
        <v>79</v>
      </c>
      <c r="K12634" s="226">
        <v>489000</v>
      </c>
      <c r="L12634" s="226"/>
    </row>
    <row r="12635" spans="1:13" x14ac:dyDescent="0.2">
      <c r="A12635" s="133">
        <v>2025</v>
      </c>
      <c r="B12635" s="133">
        <v>1</v>
      </c>
      <c r="C12635" s="133">
        <v>2</v>
      </c>
      <c r="D12635" s="141">
        <f t="shared" si="1870"/>
        <v>45659</v>
      </c>
      <c r="E12635" s="275">
        <f t="shared" si="1871"/>
        <v>45659</v>
      </c>
      <c r="F12635" s="481"/>
      <c r="G12635" s="174" t="s">
        <v>94</v>
      </c>
      <c r="H12635" s="174" t="str" cm="1">
        <f t="array" ref="H12635">IFERROR(INDEX(INVESTOR_LIST[INVESTOR NAME],MATCH(I12635,INVESTOR_LIST[INVESTOR CODE],0),)," ")</f>
        <v xml:space="preserve"> </v>
      </c>
      <c r="J12635" s="149" t="s">
        <v>80</v>
      </c>
      <c r="K12635" s="218">
        <v>880.2</v>
      </c>
      <c r="L12635" s="133"/>
    </row>
    <row r="12636" spans="1:13" x14ac:dyDescent="0.2">
      <c r="A12636" s="163">
        <v>2025</v>
      </c>
      <c r="B12636" s="163">
        <v>1</v>
      </c>
      <c r="C12636" s="163">
        <v>2</v>
      </c>
      <c r="D12636" s="280">
        <f t="shared" si="1870"/>
        <v>45659</v>
      </c>
      <c r="E12636" s="281">
        <f t="shared" si="1871"/>
        <v>45659</v>
      </c>
      <c r="F12636" s="480"/>
      <c r="G12636" s="221" t="s">
        <v>94</v>
      </c>
      <c r="H12636" s="221" t="str" cm="1">
        <f t="array" ref="H12636">IFERROR(INDEX(INVESTOR_LIST[INVESTOR NAME],MATCH(I12636,INVESTOR_LIST[INVESTOR CODE],0),)," ")</f>
        <v xml:space="preserve"> </v>
      </c>
      <c r="I12636" s="145"/>
      <c r="J12636" s="146" t="s">
        <v>147</v>
      </c>
      <c r="K12636" s="219"/>
      <c r="L12636" s="219">
        <v>489880.2</v>
      </c>
    </row>
    <row r="12637" spans="1:13" x14ac:dyDescent="0.2">
      <c r="A12637" s="168">
        <v>2025</v>
      </c>
      <c r="B12637" s="168">
        <v>1</v>
      </c>
      <c r="C12637" s="133">
        <v>2</v>
      </c>
      <c r="D12637" s="141">
        <f t="shared" si="1870"/>
        <v>45659</v>
      </c>
      <c r="E12637" s="275">
        <f t="shared" si="1871"/>
        <v>45659</v>
      </c>
      <c r="F12637" s="479" t="s">
        <v>275</v>
      </c>
      <c r="G12637" s="174" t="s">
        <v>74</v>
      </c>
      <c r="H12637" s="174" t="str" cm="1">
        <f t="array" ref="H12637">IFERROR(INDEX(INVESTOR_LIST[INVESTOR NAME],MATCH(I12637,INVESTOR_LIST[INVESTOR CODE],0),)," ")</f>
        <v xml:space="preserve"> </v>
      </c>
      <c r="I12637" s="148" t="s">
        <v>348</v>
      </c>
      <c r="J12637" s="149" t="s">
        <v>163</v>
      </c>
      <c r="K12637" s="218">
        <v>1575</v>
      </c>
      <c r="L12637" s="218"/>
    </row>
    <row r="12638" spans="1:13" x14ac:dyDescent="0.2">
      <c r="A12638" s="133">
        <v>2025</v>
      </c>
      <c r="B12638" s="133">
        <v>1</v>
      </c>
      <c r="C12638" s="133">
        <v>2</v>
      </c>
      <c r="D12638" s="141">
        <f t="shared" si="1870"/>
        <v>45659</v>
      </c>
      <c r="E12638" s="275">
        <f t="shared" si="1871"/>
        <v>45659</v>
      </c>
      <c r="F12638" s="481"/>
      <c r="G12638" s="174" t="s">
        <v>74</v>
      </c>
      <c r="H12638" s="174" t="str" cm="1">
        <f t="array" ref="H12638">IFERROR(INDEX(INVESTOR_LIST[INVESTOR NAME],MATCH(I12638,INVESTOR_LIST[INVESTOR CODE],0),)," ")</f>
        <v xml:space="preserve"> </v>
      </c>
      <c r="J12638" s="149" t="s">
        <v>1907</v>
      </c>
      <c r="K12638" s="218"/>
      <c r="L12638" s="218">
        <v>150</v>
      </c>
    </row>
    <row r="12639" spans="1:13" x14ac:dyDescent="0.2">
      <c r="A12639" s="163">
        <v>2025</v>
      </c>
      <c r="B12639" s="163">
        <v>1</v>
      </c>
      <c r="C12639" s="163">
        <v>2</v>
      </c>
      <c r="D12639" s="280">
        <f t="shared" si="1870"/>
        <v>45659</v>
      </c>
      <c r="E12639" s="281">
        <f t="shared" si="1871"/>
        <v>45659</v>
      </c>
      <c r="F12639" s="480"/>
      <c r="G12639" s="221" t="s">
        <v>74</v>
      </c>
      <c r="H12639" s="221" t="str" cm="1">
        <f t="array" ref="H12639">IFERROR(INDEX(INVESTOR_LIST[INVESTOR NAME],MATCH(I12639,INVESTOR_LIST[INVESTOR CODE],0),)," ")</f>
        <v xml:space="preserve"> </v>
      </c>
      <c r="I12639" s="145"/>
      <c r="J12639" s="146" t="s">
        <v>52</v>
      </c>
      <c r="K12639" s="219"/>
      <c r="L12639" s="219">
        <v>1425</v>
      </c>
    </row>
    <row r="12640" spans="1:13" x14ac:dyDescent="0.2">
      <c r="A12640" s="133">
        <v>2025</v>
      </c>
      <c r="B12640" s="168">
        <v>1</v>
      </c>
      <c r="C12640" s="168">
        <v>2</v>
      </c>
      <c r="D12640" s="141">
        <f t="shared" si="1870"/>
        <v>45659</v>
      </c>
      <c r="E12640" s="275">
        <f t="shared" si="1871"/>
        <v>45659</v>
      </c>
      <c r="F12640" s="481" t="s">
        <v>1825</v>
      </c>
      <c r="G12640" s="174" t="s">
        <v>94</v>
      </c>
      <c r="H12640" s="174" t="str" cm="1">
        <f t="array" ref="H12640">IFERROR(INDEX(INVESTOR_LIST[INVESTOR NAME],MATCH(I12640,INVESTOR_LIST[INVESTOR CODE],0),)," ")</f>
        <v xml:space="preserve"> </v>
      </c>
      <c r="I12640" s="148" t="s">
        <v>348</v>
      </c>
      <c r="J12640" s="149" t="s">
        <v>52</v>
      </c>
      <c r="K12640" s="218">
        <v>47987.199999999997</v>
      </c>
      <c r="L12640" s="218"/>
    </row>
    <row r="12641" spans="1:12" x14ac:dyDescent="0.2">
      <c r="A12641" s="163">
        <v>2025</v>
      </c>
      <c r="B12641" s="163">
        <v>1</v>
      </c>
      <c r="C12641" s="163">
        <v>2</v>
      </c>
      <c r="D12641" s="141">
        <f t="shared" si="1870"/>
        <v>45659</v>
      </c>
      <c r="E12641" s="275">
        <f t="shared" si="1871"/>
        <v>45659</v>
      </c>
      <c r="F12641" s="480"/>
      <c r="G12641" s="221" t="s">
        <v>94</v>
      </c>
      <c r="H12641" s="221" t="str" cm="1">
        <f t="array" ref="H12641">IFERROR(INDEX(INVESTOR_LIST[INVESTOR NAME],MATCH(I12641,INVESTOR_LIST[INVESTOR CODE],0),)," ")</f>
        <v xml:space="preserve"> </v>
      </c>
      <c r="I12641" s="145" t="s">
        <v>348</v>
      </c>
      <c r="J12641" s="146" t="s">
        <v>168</v>
      </c>
      <c r="K12641" s="219"/>
      <c r="L12641" s="219">
        <v>47987.199999999997</v>
      </c>
    </row>
    <row r="12642" spans="1:12" x14ac:dyDescent="0.2">
      <c r="A12642" s="325">
        <v>2025</v>
      </c>
      <c r="B12642" s="325">
        <v>1</v>
      </c>
      <c r="C12642" s="325">
        <v>2</v>
      </c>
      <c r="D12642" s="326">
        <f t="shared" si="1870"/>
        <v>45659</v>
      </c>
      <c r="E12642" s="327">
        <f t="shared" si="1871"/>
        <v>45659</v>
      </c>
      <c r="F12642" s="473" t="s">
        <v>1940</v>
      </c>
      <c r="G12642" s="340" t="s">
        <v>94</v>
      </c>
      <c r="H12642" s="340" t="str" cm="1">
        <f t="array" ref="H12642">IFERROR(INDEX(INVESTOR_LIST[INVESTOR NAME],MATCH(I12642,INVESTOR_LIST[INVESTOR CODE],0),)," ")</f>
        <v xml:space="preserve"> </v>
      </c>
      <c r="I12642" s="341" t="s">
        <v>348</v>
      </c>
      <c r="J12642" s="374" t="s">
        <v>133</v>
      </c>
      <c r="K12642" s="375">
        <v>12905.56</v>
      </c>
      <c r="L12642" s="375"/>
    </row>
    <row r="12643" spans="1:12" x14ac:dyDescent="0.2">
      <c r="A12643" s="331">
        <v>2025</v>
      </c>
      <c r="B12643" s="331">
        <v>1</v>
      </c>
      <c r="C12643" s="331">
        <v>2</v>
      </c>
      <c r="D12643" s="326">
        <f t="shared" si="1870"/>
        <v>45659</v>
      </c>
      <c r="E12643" s="327">
        <f t="shared" si="1871"/>
        <v>45659</v>
      </c>
      <c r="F12643" s="474"/>
      <c r="G12643" s="332" t="s">
        <v>94</v>
      </c>
      <c r="H12643" s="332" t="str" cm="1">
        <f t="array" ref="H12643">IFERROR(INDEX(INVESTOR_LIST[INVESTOR NAME],MATCH(I12643,INVESTOR_LIST[INVESTOR CODE],0),)," ")</f>
        <v xml:space="preserve"> </v>
      </c>
      <c r="I12643" s="333" t="s">
        <v>348</v>
      </c>
      <c r="J12643" s="376" t="s">
        <v>60</v>
      </c>
      <c r="K12643" s="334"/>
      <c r="L12643" s="334">
        <v>12905.56</v>
      </c>
    </row>
    <row r="12644" spans="1:12" x14ac:dyDescent="0.2">
      <c r="A12644" s="384">
        <v>2025</v>
      </c>
      <c r="B12644" s="384">
        <v>1</v>
      </c>
      <c r="C12644" s="384">
        <v>2</v>
      </c>
      <c r="D12644" s="385">
        <f t="shared" si="1870"/>
        <v>45659</v>
      </c>
      <c r="E12644" s="386">
        <f t="shared" si="1871"/>
        <v>45659</v>
      </c>
      <c r="F12644" s="475" t="s">
        <v>1966</v>
      </c>
      <c r="G12644" s="387" t="s">
        <v>94</v>
      </c>
      <c r="H12644" s="387" t="str" cm="1">
        <f t="array" ref="H12644">IFERROR(INDEX(INVESTOR_LIST[INVESTOR NAME],MATCH(I12644,INVESTOR_LIST[INVESTOR CODE],0),)," ")</f>
        <v xml:space="preserve"> </v>
      </c>
      <c r="I12644" s="388" t="s">
        <v>348</v>
      </c>
      <c r="J12644" s="389" t="s">
        <v>67</v>
      </c>
      <c r="K12644" s="390">
        <v>19306.28</v>
      </c>
      <c r="L12644" s="390"/>
    </row>
    <row r="12645" spans="1:12" x14ac:dyDescent="0.2">
      <c r="A12645" s="391">
        <v>2025</v>
      </c>
      <c r="B12645" s="391">
        <v>1</v>
      </c>
      <c r="C12645" s="391">
        <v>2</v>
      </c>
      <c r="D12645" s="385">
        <f t="shared" si="1870"/>
        <v>45659</v>
      </c>
      <c r="E12645" s="386">
        <f t="shared" si="1871"/>
        <v>45659</v>
      </c>
      <c r="F12645" s="476"/>
      <c r="G12645" s="392" t="s">
        <v>94</v>
      </c>
      <c r="H12645" s="392" t="str" cm="1">
        <f t="array" ref="H12645">IFERROR(INDEX(INVESTOR_LIST[INVESTOR NAME],MATCH(I12645,INVESTOR_LIST[INVESTOR CODE],0),)," ")</f>
        <v xml:space="preserve"> </v>
      </c>
      <c r="I12645" s="393" t="s">
        <v>348</v>
      </c>
      <c r="J12645" s="394" t="s">
        <v>60</v>
      </c>
      <c r="K12645" s="395"/>
      <c r="L12645" s="395">
        <v>19306.28</v>
      </c>
    </row>
    <row r="12646" spans="1:12" x14ac:dyDescent="0.2">
      <c r="A12646" s="343">
        <v>2025</v>
      </c>
      <c r="B12646" s="343">
        <v>1</v>
      </c>
      <c r="C12646" s="343">
        <v>2</v>
      </c>
      <c r="D12646" s="344">
        <f t="shared" si="1870"/>
        <v>45659</v>
      </c>
      <c r="E12646" s="345">
        <f t="shared" si="1871"/>
        <v>45659</v>
      </c>
      <c r="F12646" s="483" t="s">
        <v>1813</v>
      </c>
      <c r="G12646" s="350" t="s">
        <v>94</v>
      </c>
      <c r="H12646" s="350" t="str" cm="1">
        <f t="array" ref="H12646">IFERROR(INDEX(INVESTOR_LIST[INVESTOR NAME],MATCH(I12646,INVESTOR_LIST[INVESTOR CODE],0),)," ")</f>
        <v xml:space="preserve"> </v>
      </c>
      <c r="I12646" s="352" t="s">
        <v>348</v>
      </c>
      <c r="J12646" s="353" t="s">
        <v>1807</v>
      </c>
      <c r="K12646" s="354">
        <v>0</v>
      </c>
      <c r="L12646" s="354"/>
    </row>
    <row r="12647" spans="1:12" x14ac:dyDescent="0.2">
      <c r="A12647" s="346">
        <v>2025</v>
      </c>
      <c r="B12647" s="346">
        <v>1</v>
      </c>
      <c r="C12647" s="346">
        <v>2</v>
      </c>
      <c r="D12647" s="344">
        <f t="shared" si="1870"/>
        <v>45659</v>
      </c>
      <c r="E12647" s="345">
        <f t="shared" si="1871"/>
        <v>45659</v>
      </c>
      <c r="F12647" s="484"/>
      <c r="G12647" s="347" t="s">
        <v>94</v>
      </c>
      <c r="H12647" s="347" t="str" cm="1">
        <f t="array" ref="H12647">IFERROR(INDEX(INVESTOR_LIST[INVESTOR NAME],MATCH(I12647,INVESTOR_LIST[INVESTOR CODE],0),)," ")</f>
        <v xml:space="preserve"> </v>
      </c>
      <c r="I12647" s="348" t="s">
        <v>348</v>
      </c>
      <c r="J12647" s="355" t="s">
        <v>1798</v>
      </c>
      <c r="K12647" s="349"/>
      <c r="L12647" s="349">
        <v>0</v>
      </c>
    </row>
    <row r="12648" spans="1:12" x14ac:dyDescent="0.2">
      <c r="A12648" s="343">
        <v>2025</v>
      </c>
      <c r="B12648" s="343">
        <v>1</v>
      </c>
      <c r="C12648" s="343">
        <v>2</v>
      </c>
      <c r="D12648" s="344">
        <f t="shared" si="1870"/>
        <v>45659</v>
      </c>
      <c r="E12648" s="345">
        <f t="shared" si="1871"/>
        <v>45659</v>
      </c>
      <c r="F12648" s="483" t="s">
        <v>1913</v>
      </c>
      <c r="G12648" s="350" t="s">
        <v>94</v>
      </c>
      <c r="H12648" s="350" t="str" cm="1">
        <f t="array" ref="H12648">IFERROR(INDEX(INVESTOR_LIST[INVESTOR NAME],MATCH(I12648,INVESTOR_LIST[INVESTOR CODE],0),)," ")</f>
        <v xml:space="preserve"> </v>
      </c>
      <c r="I12648" s="352" t="s">
        <v>348</v>
      </c>
      <c r="J12648" s="353" t="s">
        <v>1799</v>
      </c>
      <c r="K12648" s="354"/>
      <c r="L12648" s="354"/>
    </row>
    <row r="12649" spans="1:12" x14ac:dyDescent="0.2">
      <c r="A12649" s="346">
        <v>2025</v>
      </c>
      <c r="B12649" s="346">
        <v>1</v>
      </c>
      <c r="C12649" s="346">
        <v>2</v>
      </c>
      <c r="D12649" s="344">
        <f t="shared" si="1870"/>
        <v>45659</v>
      </c>
      <c r="E12649" s="345">
        <f t="shared" si="1871"/>
        <v>45659</v>
      </c>
      <c r="F12649" s="484"/>
      <c r="G12649" s="347" t="s">
        <v>94</v>
      </c>
      <c r="H12649" s="347" t="str" cm="1">
        <f t="array" ref="H12649">IFERROR(INDEX(INVESTOR_LIST[INVESTOR NAME],MATCH(I12649,INVESTOR_LIST[INVESTOR CODE],0),)," ")</f>
        <v xml:space="preserve"> </v>
      </c>
      <c r="I12649" s="348" t="s">
        <v>348</v>
      </c>
      <c r="J12649" s="355" t="s">
        <v>1808</v>
      </c>
      <c r="K12649" s="349"/>
      <c r="L12649" s="349">
        <v>0</v>
      </c>
    </row>
    <row r="12650" spans="1:12" x14ac:dyDescent="0.2">
      <c r="A12650" s="238">
        <v>2025</v>
      </c>
      <c r="B12650" s="238">
        <v>1</v>
      </c>
      <c r="C12650" s="238">
        <v>2</v>
      </c>
      <c r="D12650" s="270">
        <f t="shared" si="1870"/>
        <v>45659</v>
      </c>
      <c r="E12650" s="279">
        <f t="shared" si="1871"/>
        <v>45659</v>
      </c>
      <c r="F12650" s="477" t="s">
        <v>347</v>
      </c>
      <c r="G12650" s="239" t="s">
        <v>94</v>
      </c>
      <c r="H12650" s="239" t="str" cm="1">
        <f t="array" ref="H12650">IFERROR(INDEX(INVESTOR_LIST[INVESTOR NAME],MATCH(I12650,INVESTOR_LIST[INVESTOR CODE],0),)," ")</f>
        <v xml:space="preserve"> </v>
      </c>
      <c r="I12650" s="262" t="s">
        <v>348</v>
      </c>
      <c r="J12650" s="240" t="s">
        <v>108</v>
      </c>
      <c r="K12650" s="241"/>
      <c r="L12650" s="241"/>
    </row>
    <row r="12651" spans="1:12" x14ac:dyDescent="0.2">
      <c r="A12651" s="242">
        <v>2025</v>
      </c>
      <c r="B12651" s="242">
        <v>1</v>
      </c>
      <c r="C12651" s="242">
        <v>2</v>
      </c>
      <c r="D12651" s="270">
        <f t="shared" si="1870"/>
        <v>45659</v>
      </c>
      <c r="E12651" s="279">
        <f t="shared" si="1871"/>
        <v>45659</v>
      </c>
      <c r="F12651" s="478"/>
      <c r="G12651" s="243" t="s">
        <v>94</v>
      </c>
      <c r="H12651" s="243" t="str" cm="1">
        <f t="array" ref="H12651">IFERROR(INDEX(INVESTOR_LIST[INVESTOR NAME],MATCH(I12651,INVESTOR_LIST[INVESTOR CODE],0),)," ")</f>
        <v xml:space="preserve"> </v>
      </c>
      <c r="I12651" s="263" t="s">
        <v>348</v>
      </c>
      <c r="J12651" s="244" t="s">
        <v>82</v>
      </c>
      <c r="K12651" s="245"/>
      <c r="L12651" s="245">
        <v>0</v>
      </c>
    </row>
    <row r="12652" spans="1:12" ht="22.5" x14ac:dyDescent="0.2">
      <c r="A12652" s="246">
        <v>2025</v>
      </c>
      <c r="B12652" s="238">
        <v>1</v>
      </c>
      <c r="C12652" s="238">
        <v>2</v>
      </c>
      <c r="D12652" s="270">
        <f t="shared" si="1870"/>
        <v>45659</v>
      </c>
      <c r="E12652" s="279">
        <f t="shared" si="1871"/>
        <v>45659</v>
      </c>
      <c r="F12652" s="482" t="s">
        <v>148</v>
      </c>
      <c r="G12652" s="247" t="s">
        <v>94</v>
      </c>
      <c r="H12652" s="247" t="str" cm="1">
        <f t="array" ref="H12652">IFERROR(INDEX(INVESTOR_LIST[INVESTOR NAME],MATCH(I12652,INVESTOR_LIST[INVESTOR CODE],0),)," ")</f>
        <v xml:space="preserve"> </v>
      </c>
      <c r="I12652" s="248" t="s">
        <v>348</v>
      </c>
      <c r="J12652" s="249" t="s">
        <v>95</v>
      </c>
      <c r="K12652" s="250">
        <v>784.92935635792787</v>
      </c>
      <c r="L12652" s="241"/>
    </row>
    <row r="12653" spans="1:12" x14ac:dyDescent="0.2">
      <c r="A12653" s="242">
        <v>2025</v>
      </c>
      <c r="B12653" s="242">
        <v>1</v>
      </c>
      <c r="C12653" s="242">
        <v>2</v>
      </c>
      <c r="D12653" s="270">
        <f t="shared" si="1870"/>
        <v>45659</v>
      </c>
      <c r="E12653" s="279">
        <f t="shared" si="1871"/>
        <v>45659</v>
      </c>
      <c r="F12653" s="478"/>
      <c r="G12653" s="243" t="s">
        <v>94</v>
      </c>
      <c r="H12653" s="243" t="str" cm="1">
        <f t="array" ref="H12653">IFERROR(INDEX(INVESTOR_LIST[INVESTOR NAME],MATCH(I12653,INVESTOR_LIST[INVESTOR CODE],0),)," ")</f>
        <v xml:space="preserve"> </v>
      </c>
      <c r="I12653" s="263" t="s">
        <v>348</v>
      </c>
      <c r="J12653" s="244" t="s">
        <v>63</v>
      </c>
      <c r="K12653" s="245"/>
      <c r="L12653" s="245">
        <v>784.92935635792787</v>
      </c>
    </row>
    <row r="12654" spans="1:12" x14ac:dyDescent="0.2">
      <c r="A12654" s="246">
        <v>2025</v>
      </c>
      <c r="B12654" s="238">
        <v>1</v>
      </c>
      <c r="C12654" s="238">
        <v>2</v>
      </c>
      <c r="D12654" s="270">
        <f t="shared" si="1870"/>
        <v>45659</v>
      </c>
      <c r="E12654" s="279">
        <f t="shared" si="1871"/>
        <v>45659</v>
      </c>
      <c r="F12654" s="482" t="s">
        <v>137</v>
      </c>
      <c r="G12654" s="247" t="s">
        <v>94</v>
      </c>
      <c r="H12654" s="247" t="str" cm="1">
        <f t="array" ref="H12654">IFERROR(INDEX(INVESTOR_LIST[INVESTOR NAME],MATCH(I12654,INVESTOR_LIST[INVESTOR CODE],0),)," ")</f>
        <v xml:space="preserve"> </v>
      </c>
      <c r="I12654" s="248" t="s">
        <v>348</v>
      </c>
      <c r="J12654" s="249" t="s">
        <v>97</v>
      </c>
      <c r="K12654" s="250">
        <v>17214.972297580855</v>
      </c>
      <c r="L12654" s="252"/>
    </row>
    <row r="12655" spans="1:12" x14ac:dyDescent="0.2">
      <c r="A12655" s="242">
        <v>2025</v>
      </c>
      <c r="B12655" s="242">
        <v>1</v>
      </c>
      <c r="C12655" s="242">
        <v>2</v>
      </c>
      <c r="D12655" s="270">
        <f t="shared" si="1870"/>
        <v>45659</v>
      </c>
      <c r="E12655" s="279">
        <f t="shared" si="1871"/>
        <v>45659</v>
      </c>
      <c r="F12655" s="478"/>
      <c r="G12655" s="243" t="s">
        <v>94</v>
      </c>
      <c r="H12655" s="243" t="str" cm="1">
        <f t="array" ref="H12655">IFERROR(INDEX(INVESTOR_LIST[INVESTOR NAME],MATCH(I12655,INVESTOR_LIST[INVESTOR CODE],0),)," ")</f>
        <v xml:space="preserve"> </v>
      </c>
      <c r="I12655" s="263" t="s">
        <v>348</v>
      </c>
      <c r="J12655" s="244" t="s">
        <v>47</v>
      </c>
      <c r="K12655" s="245"/>
      <c r="L12655" s="245">
        <v>17214.972297580855</v>
      </c>
    </row>
    <row r="12656" spans="1:12" x14ac:dyDescent="0.2">
      <c r="A12656" s="246">
        <v>2025</v>
      </c>
      <c r="B12656" s="238">
        <v>1</v>
      </c>
      <c r="C12656" s="238">
        <v>2</v>
      </c>
      <c r="D12656" s="270">
        <f t="shared" si="1870"/>
        <v>45659</v>
      </c>
      <c r="E12656" s="279">
        <f t="shared" si="1871"/>
        <v>45659</v>
      </c>
      <c r="F12656" s="482" t="s">
        <v>138</v>
      </c>
      <c r="G12656" s="247" t="s">
        <v>94</v>
      </c>
      <c r="H12656" s="247" t="str" cm="1">
        <f t="array" ref="H12656">IFERROR(INDEX(INVESTOR_LIST[INVESTOR NAME],MATCH(I12656,INVESTOR_LIST[INVESTOR CODE],0),)," ")</f>
        <v xml:space="preserve"> </v>
      </c>
      <c r="I12656" s="248" t="s">
        <v>348</v>
      </c>
      <c r="J12656" s="249" t="s">
        <v>100</v>
      </c>
      <c r="K12656" s="250">
        <v>792.06729619772386</v>
      </c>
      <c r="L12656" s="252"/>
    </row>
    <row r="12657" spans="1:12" x14ac:dyDescent="0.2">
      <c r="A12657" s="242">
        <v>2025</v>
      </c>
      <c r="B12657" s="242">
        <v>1</v>
      </c>
      <c r="C12657" s="242">
        <v>2</v>
      </c>
      <c r="D12657" s="321">
        <f t="shared" si="1870"/>
        <v>45659</v>
      </c>
      <c r="E12657" s="322">
        <f t="shared" si="1871"/>
        <v>45659</v>
      </c>
      <c r="F12657" s="478"/>
      <c r="G12657" s="243" t="s">
        <v>94</v>
      </c>
      <c r="H12657" s="243" t="str" cm="1">
        <f t="array" ref="H12657">IFERROR(INDEX(INVESTOR_LIST[INVESTOR NAME],MATCH(I12657,INVESTOR_LIST[INVESTOR CODE],0),)," ")</f>
        <v xml:space="preserve"> </v>
      </c>
      <c r="I12657" s="263" t="s">
        <v>348</v>
      </c>
      <c r="J12657" s="244" t="s">
        <v>48</v>
      </c>
      <c r="K12657" s="245"/>
      <c r="L12657" s="245">
        <v>792.06729619772386</v>
      </c>
    </row>
    <row r="12658" spans="1:12" x14ac:dyDescent="0.2">
      <c r="A12658" s="168">
        <v>2025</v>
      </c>
      <c r="B12658" s="168">
        <v>1</v>
      </c>
      <c r="C12658" s="168">
        <v>5</v>
      </c>
      <c r="D12658" s="141">
        <f>DATE(A12658,B12658,C12658)</f>
        <v>45662</v>
      </c>
      <c r="E12658" s="275">
        <f>DATE(A12658,B12658,C12658)</f>
        <v>45662</v>
      </c>
      <c r="F12658" s="479" t="s">
        <v>1319</v>
      </c>
      <c r="G12658" s="220" t="s">
        <v>74</v>
      </c>
      <c r="H12658" s="142" t="str" cm="1">
        <f t="array" ref="H12658">IFERROR(INDEX(INVESTOR_LIST[INVESTOR NAME],MATCH(I12658,INVESTOR_LIST[INVESTOR CODE],0),)," ")</f>
        <v xml:space="preserve"> </v>
      </c>
      <c r="I12658" s="142"/>
      <c r="J12658" s="168" t="s">
        <v>52</v>
      </c>
      <c r="K12658" s="226">
        <v>30000</v>
      </c>
      <c r="L12658" s="226"/>
    </row>
    <row r="12659" spans="1:12" x14ac:dyDescent="0.2">
      <c r="A12659" s="133">
        <v>2025</v>
      </c>
      <c r="B12659" s="133">
        <v>1</v>
      </c>
      <c r="C12659" s="133">
        <v>5</v>
      </c>
      <c r="D12659" s="141">
        <f>DATE(A12659,B12659,C12659)</f>
        <v>45662</v>
      </c>
      <c r="E12659" s="275">
        <f>DATE(A12659,B12659,C12659)</f>
        <v>45662</v>
      </c>
      <c r="F12659" s="481"/>
      <c r="G12659" s="174" t="s">
        <v>74</v>
      </c>
      <c r="H12659" s="148" t="str" cm="1">
        <f t="array" ref="H12659">IFERROR(INDEX(INVESTOR_LIST[INVESTOR NAME],MATCH(I12659,INVESTOR_LIST[INVESTOR CODE],0),)," ")</f>
        <v xml:space="preserve"> </v>
      </c>
      <c r="J12659" s="133" t="s">
        <v>13</v>
      </c>
      <c r="K12659" s="218"/>
      <c r="L12659" s="218">
        <v>23270</v>
      </c>
    </row>
    <row r="12660" spans="1:12" x14ac:dyDescent="0.2">
      <c r="A12660" s="163">
        <v>2025</v>
      </c>
      <c r="B12660" s="163">
        <v>1</v>
      </c>
      <c r="C12660" s="163">
        <v>5</v>
      </c>
      <c r="D12660" s="280">
        <f>DATE(A12660,B12660,C12660)</f>
        <v>45662</v>
      </c>
      <c r="E12660" s="281">
        <f>DATE(A12660,B12660,C12660)</f>
        <v>45662</v>
      </c>
      <c r="F12660" s="480"/>
      <c r="G12660" s="221" t="s">
        <v>74</v>
      </c>
      <c r="H12660" s="145" t="str" cm="1">
        <f t="array" ref="H12660">IFERROR(INDEX(INVESTOR_LIST[INVESTOR NAME],MATCH(I12660,INVESTOR_LIST[INVESTOR CODE],0),)," ")</f>
        <v xml:space="preserve"> </v>
      </c>
      <c r="I12660" s="145"/>
      <c r="J12660" s="163" t="s">
        <v>53</v>
      </c>
      <c r="K12660" s="219"/>
      <c r="L12660" s="219">
        <v>6730</v>
      </c>
    </row>
    <row r="12661" spans="1:12" x14ac:dyDescent="0.2">
      <c r="A12661" s="168">
        <v>2025</v>
      </c>
      <c r="B12661" s="133">
        <v>1</v>
      </c>
      <c r="C12661" s="168">
        <v>6</v>
      </c>
      <c r="D12661" s="141">
        <f t="shared" ref="D12661:D12662" si="1872">DATE(A12661,B12661,C12661)</f>
        <v>45663</v>
      </c>
      <c r="E12661" s="275">
        <f t="shared" ref="E12661:E12662" si="1873">DATE(A12661,B12661,C12661)</f>
        <v>45663</v>
      </c>
      <c r="F12661" s="479" t="s">
        <v>2002</v>
      </c>
      <c r="G12661" s="220" t="s">
        <v>74</v>
      </c>
      <c r="H12661" s="220" t="str" cm="1">
        <f t="array" ref="H12661">IFERROR(INDEX(INVESTOR_LIST[INVESTOR NAME],MATCH(I12661,INVESTOR_LIST[INVESTOR CODE],0),)," ")</f>
        <v xml:space="preserve"> </v>
      </c>
      <c r="I12661" s="142"/>
      <c r="J12661" s="143" t="s">
        <v>147</v>
      </c>
      <c r="K12661" s="226">
        <v>489880.2</v>
      </c>
      <c r="L12661" s="226"/>
    </row>
    <row r="12662" spans="1:12" x14ac:dyDescent="0.2">
      <c r="A12662" s="163">
        <v>2025</v>
      </c>
      <c r="B12662" s="163">
        <v>1</v>
      </c>
      <c r="C12662" s="163">
        <v>6</v>
      </c>
      <c r="D12662" s="280">
        <f t="shared" si="1872"/>
        <v>45663</v>
      </c>
      <c r="E12662" s="281">
        <f t="shared" si="1873"/>
        <v>45663</v>
      </c>
      <c r="F12662" s="480"/>
      <c r="G12662" s="221" t="s">
        <v>74</v>
      </c>
      <c r="H12662" s="221" t="str" cm="1">
        <f t="array" ref="H12662">IFERROR(INDEX(INVESTOR_LIST[INVESTOR NAME],MATCH(I12662,INVESTOR_LIST[INVESTOR CODE],0),)," ")</f>
        <v xml:space="preserve"> </v>
      </c>
      <c r="I12662" s="145" t="s">
        <v>348</v>
      </c>
      <c r="J12662" s="146" t="s">
        <v>52</v>
      </c>
      <c r="K12662" s="219"/>
      <c r="L12662" s="219">
        <v>489880.2</v>
      </c>
    </row>
    <row r="12663" spans="1:12" x14ac:dyDescent="0.2">
      <c r="A12663" s="133">
        <v>2025</v>
      </c>
      <c r="B12663" s="133">
        <v>1</v>
      </c>
      <c r="C12663" s="168">
        <v>6</v>
      </c>
      <c r="D12663" s="147">
        <f>DATE(A12663,B12663,C12663)</f>
        <v>45663</v>
      </c>
      <c r="E12663" s="311">
        <f>DATE(A12663,B12663,C12663)</f>
        <v>45663</v>
      </c>
      <c r="F12663" s="479" t="s">
        <v>1956</v>
      </c>
      <c r="G12663" s="174" t="s">
        <v>74</v>
      </c>
      <c r="H12663" s="148" t="str" cm="1">
        <f t="array" ref="H12663">IFERROR(INDEX(INVESTOR_LIST[INVESTOR NAME],MATCH(I12663,INVESTOR_LIST[INVESTOR CODE],0),)," ")</f>
        <v xml:space="preserve"> </v>
      </c>
      <c r="I12663" s="148" t="s">
        <v>348</v>
      </c>
      <c r="J12663" s="133" t="s">
        <v>61</v>
      </c>
      <c r="K12663" s="172">
        <v>58</v>
      </c>
    </row>
    <row r="12664" spans="1:12" x14ac:dyDescent="0.2">
      <c r="A12664" s="163">
        <v>2025</v>
      </c>
      <c r="B12664" s="163">
        <v>1</v>
      </c>
      <c r="C12664" s="163">
        <v>6</v>
      </c>
      <c r="D12664" s="280">
        <f>DATE(A12664,B12664,C12664)</f>
        <v>45663</v>
      </c>
      <c r="E12664" s="281">
        <f>DATE(A12664,B12664,C12664)</f>
        <v>45663</v>
      </c>
      <c r="F12664" s="480"/>
      <c r="G12664" s="221" t="s">
        <v>74</v>
      </c>
      <c r="H12664" s="145" t="str" cm="1">
        <f t="array" ref="H12664">IFERROR(INDEX(INVESTOR_LIST[INVESTOR NAME],MATCH(I12664,INVESTOR_LIST[INVESTOR CODE],0),)," ")</f>
        <v xml:space="preserve"> </v>
      </c>
      <c r="I12664" s="145" t="s">
        <v>348</v>
      </c>
      <c r="J12664" s="163" t="s">
        <v>52</v>
      </c>
      <c r="K12664" s="219"/>
      <c r="L12664" s="219">
        <v>58</v>
      </c>
    </row>
    <row r="12665" spans="1:12" x14ac:dyDescent="0.2">
      <c r="A12665" s="133">
        <v>2025</v>
      </c>
      <c r="B12665" s="133">
        <v>1</v>
      </c>
      <c r="C12665" s="168">
        <v>6</v>
      </c>
      <c r="D12665" s="147">
        <f>DATE(A12665,B12665,C12665)</f>
        <v>45663</v>
      </c>
      <c r="E12665" s="311">
        <f>DATE(A12665,B12665,C12665)</f>
        <v>45663</v>
      </c>
      <c r="F12665" s="479" t="s">
        <v>1950</v>
      </c>
      <c r="G12665" s="174" t="s">
        <v>74</v>
      </c>
      <c r="H12665" s="148" t="str">
        <f t="array" ref="H12665">IFERROR(INDEX([3]!INVESTOR_LIST[INVESTOR NAME],MATCH(I12665,[3]!INVESTOR_LIST[INVESTOR CODE],0),)," ")</f>
        <v xml:space="preserve"> </v>
      </c>
      <c r="I12665" s="148" t="s">
        <v>348</v>
      </c>
      <c r="J12665" s="133" t="s">
        <v>61</v>
      </c>
      <c r="K12665" s="172">
        <v>100</v>
      </c>
    </row>
    <row r="12666" spans="1:12" x14ac:dyDescent="0.2">
      <c r="A12666" s="163">
        <v>2025</v>
      </c>
      <c r="B12666" s="163">
        <v>1</v>
      </c>
      <c r="C12666" s="163">
        <v>6</v>
      </c>
      <c r="D12666" s="280">
        <f>DATE(A12666,B12666,C12666)</f>
        <v>45663</v>
      </c>
      <c r="E12666" s="281">
        <f>DATE(A12666,B12666,C12666)</f>
        <v>45663</v>
      </c>
      <c r="F12666" s="480"/>
      <c r="G12666" s="221" t="s">
        <v>74</v>
      </c>
      <c r="H12666" s="145" t="str">
        <f t="array" ref="H12666">IFERROR(INDEX([3]!INVESTOR_LIST[INVESTOR NAME],MATCH(I12666,[3]!INVESTOR_LIST[INVESTOR CODE],0),)," ")</f>
        <v xml:space="preserve"> </v>
      </c>
      <c r="I12666" s="145" t="s">
        <v>348</v>
      </c>
      <c r="J12666" s="163" t="s">
        <v>52</v>
      </c>
      <c r="K12666" s="219"/>
      <c r="L12666" s="219">
        <v>100</v>
      </c>
    </row>
    <row r="12667" spans="1:12" x14ac:dyDescent="0.2">
      <c r="A12667" s="168">
        <v>2025</v>
      </c>
      <c r="B12667" s="168">
        <v>1</v>
      </c>
      <c r="C12667" s="133">
        <v>7</v>
      </c>
      <c r="D12667" s="141">
        <f t="shared" ref="D12667:D12671" si="1874">DATE(A12667,B12667,C12667)</f>
        <v>45664</v>
      </c>
      <c r="E12667" s="275">
        <f t="shared" ref="E12667:E12671" si="1875">DATE(A12667,B12667,C12667)</f>
        <v>45664</v>
      </c>
      <c r="F12667" s="479" t="s">
        <v>1979</v>
      </c>
      <c r="G12667" s="220" t="s">
        <v>94</v>
      </c>
      <c r="H12667" s="220" t="str" cm="1">
        <f t="array" ref="H12667">IFERROR(INDEX(INVESTOR_LIST[INVESTOR NAME],MATCH(I12667,INVESTOR_LIST[INVESTOR CODE],0),)," ")</f>
        <v xml:space="preserve"> </v>
      </c>
      <c r="I12667" s="142"/>
      <c r="J12667" s="143" t="s">
        <v>79</v>
      </c>
      <c r="K12667" s="226">
        <v>945000</v>
      </c>
      <c r="L12667" s="226"/>
    </row>
    <row r="12668" spans="1:12" x14ac:dyDescent="0.2">
      <c r="A12668" s="133">
        <v>2025</v>
      </c>
      <c r="B12668" s="133">
        <v>1</v>
      </c>
      <c r="C12668" s="133">
        <v>7</v>
      </c>
      <c r="D12668" s="141">
        <f t="shared" si="1874"/>
        <v>45664</v>
      </c>
      <c r="E12668" s="275">
        <f t="shared" si="1875"/>
        <v>45664</v>
      </c>
      <c r="F12668" s="481"/>
      <c r="G12668" s="174" t="s">
        <v>94</v>
      </c>
      <c r="H12668" s="174" t="str" cm="1">
        <f t="array" ref="H12668">IFERROR(INDEX(INVESTOR_LIST[INVESTOR NAME],MATCH(I12668,INVESTOR_LIST[INVESTOR CODE],0),)," ")</f>
        <v xml:space="preserve"> </v>
      </c>
      <c r="J12668" s="149" t="s">
        <v>80</v>
      </c>
      <c r="K12668" s="218">
        <v>1701</v>
      </c>
      <c r="L12668" s="133"/>
    </row>
    <row r="12669" spans="1:12" x14ac:dyDescent="0.2">
      <c r="A12669" s="163">
        <v>2025</v>
      </c>
      <c r="B12669" s="163">
        <v>1</v>
      </c>
      <c r="C12669" s="163">
        <v>7</v>
      </c>
      <c r="D12669" s="280">
        <f t="shared" si="1874"/>
        <v>45664</v>
      </c>
      <c r="E12669" s="281">
        <f t="shared" si="1875"/>
        <v>45664</v>
      </c>
      <c r="F12669" s="480"/>
      <c r="G12669" s="221" t="s">
        <v>94</v>
      </c>
      <c r="H12669" s="221" t="str" cm="1">
        <f t="array" ref="H12669">IFERROR(INDEX(INVESTOR_LIST[INVESTOR NAME],MATCH(I12669,INVESTOR_LIST[INVESTOR CODE],0),)," ")</f>
        <v xml:space="preserve"> </v>
      </c>
      <c r="I12669" s="145"/>
      <c r="J12669" s="146" t="s">
        <v>147</v>
      </c>
      <c r="K12669" s="219"/>
      <c r="L12669" s="219">
        <v>946701</v>
      </c>
    </row>
    <row r="12670" spans="1:12" x14ac:dyDescent="0.2">
      <c r="A12670" s="168">
        <v>2025</v>
      </c>
      <c r="B12670" s="133">
        <v>1</v>
      </c>
      <c r="C12670" s="168">
        <v>8</v>
      </c>
      <c r="D12670" s="141">
        <f t="shared" si="1874"/>
        <v>45665</v>
      </c>
      <c r="E12670" s="275">
        <f t="shared" si="1875"/>
        <v>45665</v>
      </c>
      <c r="F12670" s="479" t="s">
        <v>2002</v>
      </c>
      <c r="G12670" s="220" t="s">
        <v>74</v>
      </c>
      <c r="H12670" s="220" t="str" cm="1">
        <f t="array" ref="H12670">IFERROR(INDEX(INVESTOR_LIST[INVESTOR NAME],MATCH(I12670,INVESTOR_LIST[INVESTOR CODE],0),)," ")</f>
        <v xml:space="preserve"> </v>
      </c>
      <c r="I12670" s="142"/>
      <c r="J12670" s="143" t="s">
        <v>147</v>
      </c>
      <c r="K12670" s="226">
        <v>946701</v>
      </c>
      <c r="L12670" s="226"/>
    </row>
    <row r="12671" spans="1:12" x14ac:dyDescent="0.2">
      <c r="A12671" s="163">
        <v>2025</v>
      </c>
      <c r="B12671" s="163">
        <v>1</v>
      </c>
      <c r="C12671" s="163">
        <v>8</v>
      </c>
      <c r="D12671" s="280">
        <f t="shared" si="1874"/>
        <v>45665</v>
      </c>
      <c r="E12671" s="281">
        <f t="shared" si="1875"/>
        <v>45665</v>
      </c>
      <c r="F12671" s="480"/>
      <c r="G12671" s="221" t="s">
        <v>74</v>
      </c>
      <c r="H12671" s="221" t="str" cm="1">
        <f t="array" ref="H12671">IFERROR(INDEX(INVESTOR_LIST[INVESTOR NAME],MATCH(I12671,INVESTOR_LIST[INVESTOR CODE],0),)," ")</f>
        <v xml:space="preserve"> </v>
      </c>
      <c r="I12671" s="145" t="s">
        <v>348</v>
      </c>
      <c r="J12671" s="146" t="s">
        <v>52</v>
      </c>
      <c r="K12671" s="219"/>
      <c r="L12671" s="219">
        <v>946701</v>
      </c>
    </row>
    <row r="12672" spans="1:12" x14ac:dyDescent="0.2">
      <c r="A12672" s="133">
        <v>2025</v>
      </c>
      <c r="B12672" s="133">
        <v>1</v>
      </c>
      <c r="C12672" s="168">
        <v>8</v>
      </c>
      <c r="D12672" s="147">
        <f>DATE(A12672,B12672,C12672)</f>
        <v>45665</v>
      </c>
      <c r="E12672" s="311">
        <f>DATE(A12672,B12672,C12672)</f>
        <v>45665</v>
      </c>
      <c r="F12672" s="479" t="s">
        <v>1956</v>
      </c>
      <c r="G12672" s="174" t="s">
        <v>74</v>
      </c>
      <c r="H12672" s="148" t="str" cm="1">
        <f t="array" ref="H12672">IFERROR(INDEX(INVESTOR_LIST[INVESTOR NAME],MATCH(I12672,INVESTOR_LIST[INVESTOR CODE],0),)," ")</f>
        <v xml:space="preserve"> </v>
      </c>
      <c r="I12672" s="148" t="s">
        <v>348</v>
      </c>
      <c r="J12672" s="133" t="s">
        <v>61</v>
      </c>
      <c r="K12672" s="172">
        <v>100</v>
      </c>
    </row>
    <row r="12673" spans="1:12" x14ac:dyDescent="0.2">
      <c r="A12673" s="163">
        <v>2025</v>
      </c>
      <c r="B12673" s="163">
        <v>1</v>
      </c>
      <c r="C12673" s="163">
        <v>8</v>
      </c>
      <c r="D12673" s="280">
        <f>DATE(A12673,B12673,C12673)</f>
        <v>45665</v>
      </c>
      <c r="E12673" s="281">
        <f>DATE(A12673,B12673,C12673)</f>
        <v>45665</v>
      </c>
      <c r="F12673" s="480"/>
      <c r="G12673" s="221" t="s">
        <v>74</v>
      </c>
      <c r="H12673" s="145" t="str" cm="1">
        <f t="array" ref="H12673">IFERROR(INDEX(INVESTOR_LIST[INVESTOR NAME],MATCH(I12673,INVESTOR_LIST[INVESTOR CODE],0),)," ")</f>
        <v xml:space="preserve"> </v>
      </c>
      <c r="I12673" s="145" t="s">
        <v>348</v>
      </c>
      <c r="J12673" s="163" t="s">
        <v>52</v>
      </c>
      <c r="K12673" s="219"/>
      <c r="L12673" s="219">
        <v>100</v>
      </c>
    </row>
    <row r="12674" spans="1:12" x14ac:dyDescent="0.2">
      <c r="A12674" s="325">
        <v>2025</v>
      </c>
      <c r="B12674" s="325">
        <v>1</v>
      </c>
      <c r="C12674" s="325">
        <v>9</v>
      </c>
      <c r="D12674" s="326">
        <f t="shared" ref="D12674:D12692" si="1876">DATE(A12674,B12674,C12674)</f>
        <v>45666</v>
      </c>
      <c r="E12674" s="327">
        <f t="shared" ref="E12674:E12692" si="1877">DATE(A12674,B12674,C12674)</f>
        <v>45666</v>
      </c>
      <c r="F12674" s="473" t="s">
        <v>1940</v>
      </c>
      <c r="G12674" s="340" t="s">
        <v>94</v>
      </c>
      <c r="H12674" s="340" t="str" cm="1">
        <f t="array" ref="H12674">IFERROR(INDEX(INVESTOR_LIST[INVESTOR NAME],MATCH(I12674,INVESTOR_LIST[INVESTOR CODE],0),)," ")</f>
        <v xml:space="preserve"> </v>
      </c>
      <c r="I12674" s="341" t="s">
        <v>348</v>
      </c>
      <c r="J12674" s="374" t="s">
        <v>133</v>
      </c>
      <c r="K12674" s="375">
        <v>12905.56</v>
      </c>
      <c r="L12674" s="375"/>
    </row>
    <row r="12675" spans="1:12" x14ac:dyDescent="0.2">
      <c r="A12675" s="331">
        <v>2025</v>
      </c>
      <c r="B12675" s="331">
        <v>1</v>
      </c>
      <c r="C12675" s="331">
        <v>9</v>
      </c>
      <c r="D12675" s="326">
        <f t="shared" si="1876"/>
        <v>45666</v>
      </c>
      <c r="E12675" s="327">
        <f t="shared" si="1877"/>
        <v>45666</v>
      </c>
      <c r="F12675" s="474"/>
      <c r="G12675" s="332" t="s">
        <v>94</v>
      </c>
      <c r="H12675" s="332" t="str" cm="1">
        <f t="array" ref="H12675">IFERROR(INDEX(INVESTOR_LIST[INVESTOR NAME],MATCH(I12675,INVESTOR_LIST[INVESTOR CODE],0),)," ")</f>
        <v xml:space="preserve"> </v>
      </c>
      <c r="I12675" s="333" t="s">
        <v>348</v>
      </c>
      <c r="J12675" s="376" t="s">
        <v>60</v>
      </c>
      <c r="K12675" s="334"/>
      <c r="L12675" s="334">
        <v>12905.555555555549</v>
      </c>
    </row>
    <row r="12676" spans="1:12" x14ac:dyDescent="0.2">
      <c r="A12676" s="384">
        <v>2025</v>
      </c>
      <c r="B12676" s="384">
        <v>1</v>
      </c>
      <c r="C12676" s="384">
        <v>9</v>
      </c>
      <c r="D12676" s="385">
        <f t="shared" si="1876"/>
        <v>45666</v>
      </c>
      <c r="E12676" s="386">
        <f t="shared" si="1877"/>
        <v>45666</v>
      </c>
      <c r="F12676" s="475" t="s">
        <v>1966</v>
      </c>
      <c r="G12676" s="387" t="s">
        <v>94</v>
      </c>
      <c r="H12676" s="387" t="str" cm="1">
        <f t="array" ref="H12676">IFERROR(INDEX(INVESTOR_LIST[INVESTOR NAME],MATCH(I12676,INVESTOR_LIST[INVESTOR CODE],0),)," ")</f>
        <v xml:space="preserve"> </v>
      </c>
      <c r="I12676" s="388" t="s">
        <v>348</v>
      </c>
      <c r="J12676" s="389" t="s">
        <v>67</v>
      </c>
      <c r="K12676" s="390">
        <v>31786.13</v>
      </c>
      <c r="L12676" s="390"/>
    </row>
    <row r="12677" spans="1:12" x14ac:dyDescent="0.2">
      <c r="A12677" s="391">
        <v>2025</v>
      </c>
      <c r="B12677" s="391">
        <v>1</v>
      </c>
      <c r="C12677" s="391">
        <v>9</v>
      </c>
      <c r="D12677" s="385">
        <f t="shared" si="1876"/>
        <v>45666</v>
      </c>
      <c r="E12677" s="386">
        <f t="shared" si="1877"/>
        <v>45666</v>
      </c>
      <c r="F12677" s="476"/>
      <c r="G12677" s="392" t="s">
        <v>94</v>
      </c>
      <c r="H12677" s="392" t="str" cm="1">
        <f t="array" ref="H12677">IFERROR(INDEX(INVESTOR_LIST[INVESTOR NAME],MATCH(I12677,INVESTOR_LIST[INVESTOR CODE],0),)," ")</f>
        <v xml:space="preserve"> </v>
      </c>
      <c r="I12677" s="393" t="s">
        <v>348</v>
      </c>
      <c r="J12677" s="394" t="s">
        <v>60</v>
      </c>
      <c r="K12677" s="395"/>
      <c r="L12677" s="395">
        <v>31786.13</v>
      </c>
    </row>
    <row r="12678" spans="1:12" x14ac:dyDescent="0.2">
      <c r="A12678" s="343">
        <v>2025</v>
      </c>
      <c r="B12678" s="343">
        <v>1</v>
      </c>
      <c r="C12678" s="343">
        <v>9</v>
      </c>
      <c r="D12678" s="344">
        <f t="shared" si="1876"/>
        <v>45666</v>
      </c>
      <c r="E12678" s="345">
        <f t="shared" si="1877"/>
        <v>45666</v>
      </c>
      <c r="F12678" s="483" t="s">
        <v>1813</v>
      </c>
      <c r="G12678" s="350" t="s">
        <v>94</v>
      </c>
      <c r="H12678" s="350" t="str" cm="1">
        <f t="array" ref="H12678">IFERROR(INDEX(INVESTOR_LIST[INVESTOR NAME],MATCH(I12678,INVESTOR_LIST[INVESTOR CODE],0),)," ")</f>
        <v xml:space="preserve"> </v>
      </c>
      <c r="I12678" s="352" t="s">
        <v>348</v>
      </c>
      <c r="J12678" s="353" t="s">
        <v>1807</v>
      </c>
      <c r="K12678" s="354">
        <v>0</v>
      </c>
      <c r="L12678" s="354"/>
    </row>
    <row r="12679" spans="1:12" x14ac:dyDescent="0.2">
      <c r="A12679" s="346">
        <v>2025</v>
      </c>
      <c r="B12679" s="346">
        <v>1</v>
      </c>
      <c r="C12679" s="346">
        <v>9</v>
      </c>
      <c r="D12679" s="344">
        <f t="shared" si="1876"/>
        <v>45666</v>
      </c>
      <c r="E12679" s="345">
        <f t="shared" si="1877"/>
        <v>45666</v>
      </c>
      <c r="F12679" s="484"/>
      <c r="G12679" s="347" t="s">
        <v>94</v>
      </c>
      <c r="H12679" s="347" t="str" cm="1">
        <f t="array" ref="H12679">IFERROR(INDEX(INVESTOR_LIST[INVESTOR NAME],MATCH(I12679,INVESTOR_LIST[INVESTOR CODE],0),)," ")</f>
        <v xml:space="preserve"> </v>
      </c>
      <c r="I12679" s="348" t="s">
        <v>348</v>
      </c>
      <c r="J12679" s="355" t="s">
        <v>1798</v>
      </c>
      <c r="K12679" s="349"/>
      <c r="L12679" s="349">
        <v>0</v>
      </c>
    </row>
    <row r="12680" spans="1:12" x14ac:dyDescent="0.2">
      <c r="A12680" s="343">
        <v>2025</v>
      </c>
      <c r="B12680" s="343">
        <v>1</v>
      </c>
      <c r="C12680" s="343">
        <v>9</v>
      </c>
      <c r="D12680" s="344">
        <f t="shared" si="1876"/>
        <v>45666</v>
      </c>
      <c r="E12680" s="345">
        <f t="shared" si="1877"/>
        <v>45666</v>
      </c>
      <c r="F12680" s="483" t="s">
        <v>1913</v>
      </c>
      <c r="G12680" s="350" t="s">
        <v>94</v>
      </c>
      <c r="H12680" s="350" t="str" cm="1">
        <f t="array" ref="H12680">IFERROR(INDEX(INVESTOR_LIST[INVESTOR NAME],MATCH(I12680,INVESTOR_LIST[INVESTOR CODE],0),)," ")</f>
        <v xml:space="preserve"> </v>
      </c>
      <c r="I12680" s="352" t="s">
        <v>348</v>
      </c>
      <c r="J12680" s="353" t="s">
        <v>1799</v>
      </c>
      <c r="K12680" s="354">
        <v>121393.125</v>
      </c>
      <c r="L12680" s="354"/>
    </row>
    <row r="12681" spans="1:12" x14ac:dyDescent="0.2">
      <c r="A12681" s="346">
        <v>2025</v>
      </c>
      <c r="B12681" s="346">
        <v>1</v>
      </c>
      <c r="C12681" s="346">
        <v>9</v>
      </c>
      <c r="D12681" s="344">
        <f t="shared" si="1876"/>
        <v>45666</v>
      </c>
      <c r="E12681" s="345">
        <f t="shared" si="1877"/>
        <v>45666</v>
      </c>
      <c r="F12681" s="484"/>
      <c r="G12681" s="347" t="s">
        <v>94</v>
      </c>
      <c r="H12681" s="347" t="str" cm="1">
        <f t="array" ref="H12681">IFERROR(INDEX(INVESTOR_LIST[INVESTOR NAME],MATCH(I12681,INVESTOR_LIST[INVESTOR CODE],0),)," ")</f>
        <v xml:space="preserve"> </v>
      </c>
      <c r="I12681" s="348" t="s">
        <v>348</v>
      </c>
      <c r="J12681" s="355" t="s">
        <v>1808</v>
      </c>
      <c r="K12681" s="349"/>
      <c r="L12681" s="349">
        <v>121393.125</v>
      </c>
    </row>
    <row r="12682" spans="1:12" x14ac:dyDescent="0.2">
      <c r="A12682" s="238">
        <v>2025</v>
      </c>
      <c r="B12682" s="238">
        <v>1</v>
      </c>
      <c r="C12682" s="238">
        <v>9</v>
      </c>
      <c r="D12682" s="270">
        <f t="shared" si="1876"/>
        <v>45666</v>
      </c>
      <c r="E12682" s="279">
        <f t="shared" si="1877"/>
        <v>45666</v>
      </c>
      <c r="F12682" s="477" t="s">
        <v>347</v>
      </c>
      <c r="G12682" s="239" t="s">
        <v>94</v>
      </c>
      <c r="H12682" s="239" t="str" cm="1">
        <f t="array" ref="H12682">IFERROR(INDEX(INVESTOR_LIST[INVESTOR NAME],MATCH(I12682,INVESTOR_LIST[INVESTOR CODE],0),)," ")</f>
        <v xml:space="preserve"> </v>
      </c>
      <c r="I12682" s="262" t="s">
        <v>348</v>
      </c>
      <c r="J12682" s="240" t="s">
        <v>108</v>
      </c>
      <c r="K12682" s="241">
        <v>910595.84999997914</v>
      </c>
      <c r="L12682" s="241"/>
    </row>
    <row r="12683" spans="1:12" x14ac:dyDescent="0.2">
      <c r="A12683" s="242">
        <v>2025</v>
      </c>
      <c r="B12683" s="242">
        <v>1</v>
      </c>
      <c r="C12683" s="242">
        <v>9</v>
      </c>
      <c r="D12683" s="270">
        <f t="shared" si="1876"/>
        <v>45666</v>
      </c>
      <c r="E12683" s="279">
        <f t="shared" si="1877"/>
        <v>45666</v>
      </c>
      <c r="F12683" s="478"/>
      <c r="G12683" s="243" t="s">
        <v>94</v>
      </c>
      <c r="H12683" s="243" t="str" cm="1">
        <f t="array" ref="H12683">IFERROR(INDEX(INVESTOR_LIST[INVESTOR NAME],MATCH(I12683,INVESTOR_LIST[INVESTOR CODE],0),)," ")</f>
        <v xml:space="preserve"> </v>
      </c>
      <c r="I12683" s="263" t="s">
        <v>348</v>
      </c>
      <c r="J12683" s="244" t="s">
        <v>82</v>
      </c>
      <c r="K12683" s="245"/>
      <c r="L12683" s="245">
        <v>910595.84999997914</v>
      </c>
    </row>
    <row r="12684" spans="1:12" ht="22.5" x14ac:dyDescent="0.2">
      <c r="A12684" s="246">
        <v>2025</v>
      </c>
      <c r="B12684" s="238">
        <v>1</v>
      </c>
      <c r="C12684" s="238">
        <v>9</v>
      </c>
      <c r="D12684" s="270">
        <f t="shared" si="1876"/>
        <v>45666</v>
      </c>
      <c r="E12684" s="279">
        <f t="shared" si="1877"/>
        <v>45666</v>
      </c>
      <c r="F12684" s="482" t="s">
        <v>148</v>
      </c>
      <c r="G12684" s="247" t="s">
        <v>94</v>
      </c>
      <c r="H12684" s="247" t="str" cm="1">
        <f t="array" ref="H12684">IFERROR(INDEX(INVESTOR_LIST[INVESTOR NAME],MATCH(I12684,INVESTOR_LIST[INVESTOR CODE],0),)," ")</f>
        <v xml:space="preserve"> </v>
      </c>
      <c r="I12684" s="248" t="s">
        <v>348</v>
      </c>
      <c r="J12684" s="249" t="s">
        <v>95</v>
      </c>
      <c r="K12684" s="250">
        <v>2747.2527472527472</v>
      </c>
      <c r="L12684" s="241"/>
    </row>
    <row r="12685" spans="1:12" x14ac:dyDescent="0.2">
      <c r="A12685" s="242">
        <v>2025</v>
      </c>
      <c r="B12685" s="242">
        <v>1</v>
      </c>
      <c r="C12685" s="242">
        <v>9</v>
      </c>
      <c r="D12685" s="270">
        <f t="shared" si="1876"/>
        <v>45666</v>
      </c>
      <c r="E12685" s="279">
        <f t="shared" si="1877"/>
        <v>45666</v>
      </c>
      <c r="F12685" s="478"/>
      <c r="G12685" s="243" t="s">
        <v>94</v>
      </c>
      <c r="H12685" s="243" t="str" cm="1">
        <f t="array" ref="H12685">IFERROR(INDEX(INVESTOR_LIST[INVESTOR NAME],MATCH(I12685,INVESTOR_LIST[INVESTOR CODE],0),)," ")</f>
        <v xml:space="preserve"> </v>
      </c>
      <c r="I12685" s="263" t="s">
        <v>348</v>
      </c>
      <c r="J12685" s="244" t="s">
        <v>63</v>
      </c>
      <c r="K12685" s="245"/>
      <c r="L12685" s="245">
        <v>2747.2527472527472</v>
      </c>
    </row>
    <row r="12686" spans="1:12" x14ac:dyDescent="0.2">
      <c r="A12686" s="246">
        <v>2025</v>
      </c>
      <c r="B12686" s="238">
        <v>1</v>
      </c>
      <c r="C12686" s="238">
        <v>9</v>
      </c>
      <c r="D12686" s="270">
        <f t="shared" si="1876"/>
        <v>45666</v>
      </c>
      <c r="E12686" s="279">
        <f t="shared" si="1877"/>
        <v>45666</v>
      </c>
      <c r="F12686" s="482" t="s">
        <v>137</v>
      </c>
      <c r="G12686" s="247" t="s">
        <v>94</v>
      </c>
      <c r="H12686" s="247" t="str" cm="1">
        <f t="array" ref="H12686">IFERROR(INDEX(INVESTOR_LIST[INVESTOR NAME],MATCH(I12686,INVESTOR_LIST[INVESTOR CODE],0),)," ")</f>
        <v xml:space="preserve"> </v>
      </c>
      <c r="I12686" s="248" t="s">
        <v>348</v>
      </c>
      <c r="J12686" s="249" t="s">
        <v>97</v>
      </c>
      <c r="K12686" s="250">
        <v>58234.5648307515</v>
      </c>
      <c r="L12686" s="252"/>
    </row>
    <row r="12687" spans="1:12" x14ac:dyDescent="0.2">
      <c r="A12687" s="242">
        <v>2025</v>
      </c>
      <c r="B12687" s="242">
        <v>1</v>
      </c>
      <c r="C12687" s="242">
        <v>9</v>
      </c>
      <c r="D12687" s="270">
        <f t="shared" si="1876"/>
        <v>45666</v>
      </c>
      <c r="E12687" s="279">
        <f t="shared" si="1877"/>
        <v>45666</v>
      </c>
      <c r="F12687" s="478"/>
      <c r="G12687" s="243" t="s">
        <v>94</v>
      </c>
      <c r="H12687" s="243" t="str" cm="1">
        <f t="array" ref="H12687">IFERROR(INDEX(INVESTOR_LIST[INVESTOR NAME],MATCH(I12687,INVESTOR_LIST[INVESTOR CODE],0),)," ")</f>
        <v xml:space="preserve"> </v>
      </c>
      <c r="I12687" s="263" t="s">
        <v>348</v>
      </c>
      <c r="J12687" s="244" t="s">
        <v>47</v>
      </c>
      <c r="K12687" s="245"/>
      <c r="L12687" s="245">
        <v>58234.5648307515</v>
      </c>
    </row>
    <row r="12688" spans="1:12" x14ac:dyDescent="0.2">
      <c r="A12688" s="246">
        <v>2025</v>
      </c>
      <c r="B12688" s="238">
        <v>1</v>
      </c>
      <c r="C12688" s="238">
        <v>9</v>
      </c>
      <c r="D12688" s="270">
        <f t="shared" si="1876"/>
        <v>45666</v>
      </c>
      <c r="E12688" s="279">
        <f t="shared" si="1877"/>
        <v>45666</v>
      </c>
      <c r="F12688" s="482" t="s">
        <v>138</v>
      </c>
      <c r="G12688" s="247" t="s">
        <v>94</v>
      </c>
      <c r="H12688" s="247" t="str" cm="1">
        <f t="array" ref="H12688">IFERROR(INDEX(INVESTOR_LIST[INVESTOR NAME],MATCH(I12688,INVESTOR_LIST[INVESTOR CODE],0),)," ")</f>
        <v xml:space="preserve"> </v>
      </c>
      <c r="I12688" s="248" t="s">
        <v>348</v>
      </c>
      <c r="J12688" s="249" t="s">
        <v>100</v>
      </c>
      <c r="K12688" s="250">
        <v>2671.3436261529596</v>
      </c>
      <c r="L12688" s="252"/>
    </row>
    <row r="12689" spans="1:12" x14ac:dyDescent="0.2">
      <c r="A12689" s="242">
        <v>2025</v>
      </c>
      <c r="B12689" s="242">
        <v>1</v>
      </c>
      <c r="C12689" s="242">
        <v>9</v>
      </c>
      <c r="D12689" s="321">
        <f t="shared" si="1876"/>
        <v>45666</v>
      </c>
      <c r="E12689" s="322">
        <f t="shared" si="1877"/>
        <v>45666</v>
      </c>
      <c r="F12689" s="478"/>
      <c r="G12689" s="243" t="s">
        <v>94</v>
      </c>
      <c r="H12689" s="243" t="str" cm="1">
        <f t="array" ref="H12689">IFERROR(INDEX(INVESTOR_LIST[INVESTOR NAME],MATCH(I12689,INVESTOR_LIST[INVESTOR CODE],0),)," ")</f>
        <v xml:space="preserve"> </v>
      </c>
      <c r="I12689" s="263" t="s">
        <v>348</v>
      </c>
      <c r="J12689" s="244" t="s">
        <v>48</v>
      </c>
      <c r="K12689" s="245"/>
      <c r="L12689" s="245">
        <v>2671.3436261529596</v>
      </c>
    </row>
    <row r="12690" spans="1:12" x14ac:dyDescent="0.2">
      <c r="A12690" s="133">
        <v>2025</v>
      </c>
      <c r="B12690" s="133">
        <v>1</v>
      </c>
      <c r="C12690" s="168">
        <v>13</v>
      </c>
      <c r="D12690" s="141">
        <f t="shared" si="1876"/>
        <v>45670</v>
      </c>
      <c r="E12690" s="275">
        <f t="shared" si="1877"/>
        <v>45670</v>
      </c>
      <c r="F12690" s="481" t="s">
        <v>2006</v>
      </c>
      <c r="G12690" s="174" t="s">
        <v>74</v>
      </c>
      <c r="H12690" s="174" t="str" cm="1">
        <f t="array" ref="H12690">IFERROR(INDEX(INVESTOR_LIST[INVESTOR NAME],MATCH(I12690,INVESTOR_LIST[INVESTOR CODE],0),)," ")</f>
        <v xml:space="preserve"> </v>
      </c>
      <c r="J12690" s="149" t="s">
        <v>534</v>
      </c>
      <c r="K12690" s="218">
        <v>69722.59</v>
      </c>
      <c r="L12690" s="218"/>
    </row>
    <row r="12691" spans="1:12" x14ac:dyDescent="0.2">
      <c r="A12691" s="133">
        <v>2025</v>
      </c>
      <c r="B12691" s="133">
        <v>1</v>
      </c>
      <c r="C12691" s="133">
        <v>13</v>
      </c>
      <c r="D12691" s="141">
        <f t="shared" ref="D12691" si="1878">DATE(A12691,B12691,C12691)</f>
        <v>45670</v>
      </c>
      <c r="E12691" s="275">
        <f t="shared" ref="E12691" si="1879">DATE(A12691,B12691,C12691)</f>
        <v>45670</v>
      </c>
      <c r="F12691" s="481"/>
      <c r="G12691" s="174" t="s">
        <v>74</v>
      </c>
      <c r="H12691" s="174"/>
      <c r="J12691" s="149" t="s">
        <v>1906</v>
      </c>
      <c r="K12691" s="218">
        <v>250</v>
      </c>
      <c r="L12691" s="218"/>
    </row>
    <row r="12692" spans="1:12" x14ac:dyDescent="0.2">
      <c r="A12692" s="163">
        <v>2025</v>
      </c>
      <c r="B12692" s="163">
        <v>1</v>
      </c>
      <c r="C12692" s="163">
        <v>13</v>
      </c>
      <c r="D12692" s="280">
        <f t="shared" si="1876"/>
        <v>45670</v>
      </c>
      <c r="E12692" s="281">
        <f t="shared" si="1877"/>
        <v>45670</v>
      </c>
      <c r="F12692" s="480"/>
      <c r="G12692" s="221" t="s">
        <v>74</v>
      </c>
      <c r="H12692" s="221" t="str" cm="1">
        <f t="array" ref="H12692">IFERROR(INDEX(INVESTOR_LIST[INVESTOR NAME],MATCH(I12692,INVESTOR_LIST[INVESTOR CODE],0),)," ")</f>
        <v xml:space="preserve"> </v>
      </c>
      <c r="I12692" s="145"/>
      <c r="J12692" s="146" t="s">
        <v>52</v>
      </c>
      <c r="K12692" s="219"/>
      <c r="L12692" s="219">
        <v>69972.59</v>
      </c>
    </row>
    <row r="12693" spans="1:12" x14ac:dyDescent="0.2">
      <c r="A12693" s="133">
        <v>2025</v>
      </c>
      <c r="B12693" s="133">
        <v>1</v>
      </c>
      <c r="C12693" s="168">
        <v>14</v>
      </c>
      <c r="D12693" s="141">
        <f>DATE(A12693,B12693,C12693)</f>
        <v>45671</v>
      </c>
      <c r="E12693" s="275">
        <f>DATE(A12693,B12693,C12693)</f>
        <v>45671</v>
      </c>
      <c r="F12693" s="481" t="s">
        <v>2027</v>
      </c>
      <c r="G12693" s="174" t="s">
        <v>94</v>
      </c>
      <c r="H12693" s="174" t="str" cm="1">
        <f t="array" ref="H12693">IFERROR(INDEX(INVESTOR_LIST[INVESTOR NAME],MATCH(I12693,INVESTOR_LIST[INVESTOR CODE],0),)," ")</f>
        <v xml:space="preserve"> </v>
      </c>
      <c r="I12693" s="148" t="s">
        <v>348</v>
      </c>
      <c r="J12693" s="149" t="s">
        <v>52</v>
      </c>
      <c r="K12693" s="218">
        <v>396198</v>
      </c>
      <c r="L12693" s="218"/>
    </row>
    <row r="12694" spans="1:12" x14ac:dyDescent="0.2">
      <c r="A12694" s="163">
        <v>2025</v>
      </c>
      <c r="B12694" s="163">
        <v>1</v>
      </c>
      <c r="C12694" s="163">
        <v>14</v>
      </c>
      <c r="D12694" s="141">
        <f>DATE(A12694,B12694,C12694)</f>
        <v>45671</v>
      </c>
      <c r="E12694" s="275">
        <f>DATE(A12694,B12694,C12694)</f>
        <v>45671</v>
      </c>
      <c r="F12694" s="480"/>
      <c r="G12694" s="221" t="s">
        <v>94</v>
      </c>
      <c r="H12694" s="221" t="str" cm="1">
        <f t="array" ref="H12694">IFERROR(INDEX(INVESTOR_LIST[INVESTOR NAME],MATCH(I12694,INVESTOR_LIST[INVESTOR CODE],0),)," ")</f>
        <v xml:space="preserve"> </v>
      </c>
      <c r="I12694" s="145" t="s">
        <v>348</v>
      </c>
      <c r="J12694" s="146" t="s">
        <v>168</v>
      </c>
      <c r="K12694" s="219"/>
      <c r="L12694" s="219">
        <v>396198</v>
      </c>
    </row>
    <row r="12695" spans="1:12" x14ac:dyDescent="0.2">
      <c r="A12695" s="168">
        <v>2025</v>
      </c>
      <c r="B12695" s="168">
        <v>1</v>
      </c>
      <c r="C12695" s="168">
        <v>15</v>
      </c>
      <c r="D12695" s="141">
        <f>DATE(A12695,B12695,C12695)</f>
        <v>45672</v>
      </c>
      <c r="E12695" s="275">
        <f>DATE(A12695,B12695,C12695)</f>
        <v>45672</v>
      </c>
      <c r="F12695" s="479" t="s">
        <v>1319</v>
      </c>
      <c r="G12695" s="220" t="s">
        <v>74</v>
      </c>
      <c r="H12695" s="142" t="str" cm="1">
        <f t="array" ref="H12695">IFERROR(INDEX(INVESTOR_LIST[INVESTOR NAME],MATCH(I12695,INVESTOR_LIST[INVESTOR CODE],0),)," ")</f>
        <v xml:space="preserve"> </v>
      </c>
      <c r="I12695" s="142"/>
      <c r="J12695" s="168" t="s">
        <v>52</v>
      </c>
      <c r="K12695" s="226">
        <v>2000</v>
      </c>
      <c r="L12695" s="226"/>
    </row>
    <row r="12696" spans="1:12" x14ac:dyDescent="0.2">
      <c r="A12696" s="133">
        <v>2025</v>
      </c>
      <c r="B12696" s="133">
        <v>1</v>
      </c>
      <c r="C12696" s="133">
        <v>15</v>
      </c>
      <c r="D12696" s="141">
        <f>DATE(A12696,B12696,C12696)</f>
        <v>45672</v>
      </c>
      <c r="E12696" s="275">
        <f>DATE(A12696,B12696,C12696)</f>
        <v>45672</v>
      </c>
      <c r="F12696" s="481"/>
      <c r="G12696" s="174" t="s">
        <v>74</v>
      </c>
      <c r="H12696" s="148" t="str" cm="1">
        <f t="array" ref="H12696">IFERROR(INDEX(INVESTOR_LIST[INVESTOR NAME],MATCH(I12696,INVESTOR_LIST[INVESTOR CODE],0),)," ")</f>
        <v xml:space="preserve"> </v>
      </c>
      <c r="J12696" s="133" t="s">
        <v>13</v>
      </c>
      <c r="K12696" s="218"/>
      <c r="L12696" s="218">
        <v>1560</v>
      </c>
    </row>
    <row r="12697" spans="1:12" x14ac:dyDescent="0.2">
      <c r="A12697" s="163">
        <v>2025</v>
      </c>
      <c r="B12697" s="163">
        <v>1</v>
      </c>
      <c r="C12697" s="163">
        <v>15</v>
      </c>
      <c r="D12697" s="280">
        <f>DATE(A12697,B12697,C12697)</f>
        <v>45672</v>
      </c>
      <c r="E12697" s="281">
        <f>DATE(A12697,B12697,C12697)</f>
        <v>45672</v>
      </c>
      <c r="F12697" s="480"/>
      <c r="G12697" s="221" t="s">
        <v>74</v>
      </c>
      <c r="H12697" s="145" t="str" cm="1">
        <f t="array" ref="H12697">IFERROR(INDEX(INVESTOR_LIST[INVESTOR NAME],MATCH(I12697,INVESTOR_LIST[INVESTOR CODE],0),)," ")</f>
        <v xml:space="preserve"> </v>
      </c>
      <c r="I12697" s="145"/>
      <c r="J12697" s="163" t="s">
        <v>53</v>
      </c>
      <c r="K12697" s="219"/>
      <c r="L12697" s="219">
        <v>440</v>
      </c>
    </row>
    <row r="12698" spans="1:12" x14ac:dyDescent="0.2">
      <c r="A12698" s="168">
        <v>2025</v>
      </c>
      <c r="B12698" s="168">
        <v>1</v>
      </c>
      <c r="C12698" s="168">
        <v>16</v>
      </c>
      <c r="D12698" s="141">
        <f t="shared" ref="D12698:D12699" si="1880">DATE(A12698,B12698,C12698)</f>
        <v>45673</v>
      </c>
      <c r="E12698" s="275">
        <f t="shared" ref="E12698:E12699" si="1881">DATE(A12698,B12698,C12698)</f>
        <v>45673</v>
      </c>
      <c r="F12698" s="479" t="s">
        <v>2034</v>
      </c>
      <c r="G12698" s="220" t="s">
        <v>74</v>
      </c>
      <c r="H12698" s="142" t="str" cm="1">
        <f t="array" ref="H12698">IFERROR(INDEX(INVESTOR_LIST[INVESTOR NAME],MATCH(I12698,INVESTOR_LIST[INVESTOR CODE],0),)," ")</f>
        <v xml:space="preserve"> </v>
      </c>
      <c r="I12698" s="142"/>
      <c r="J12698" s="168" t="s">
        <v>358</v>
      </c>
      <c r="K12698" s="226">
        <v>1005</v>
      </c>
      <c r="L12698" s="226"/>
    </row>
    <row r="12699" spans="1:12" x14ac:dyDescent="0.2">
      <c r="A12699" s="133">
        <v>2025</v>
      </c>
      <c r="B12699" s="133">
        <v>1</v>
      </c>
      <c r="C12699" s="133">
        <v>16</v>
      </c>
      <c r="D12699" s="141">
        <f t="shared" si="1880"/>
        <v>45673</v>
      </c>
      <c r="E12699" s="275">
        <f t="shared" si="1881"/>
        <v>45673</v>
      </c>
      <c r="F12699" s="481"/>
      <c r="G12699" s="174" t="s">
        <v>74</v>
      </c>
      <c r="H12699" s="148" t="str" cm="1">
        <f t="array" ref="H12699">IFERROR(INDEX(INVESTOR_LIST[INVESTOR NAME],MATCH(I12699,INVESTOR_LIST[INVESTOR CODE],0),)," ")</f>
        <v xml:space="preserve"> </v>
      </c>
      <c r="J12699" s="133" t="s">
        <v>534</v>
      </c>
      <c r="K12699" s="218"/>
      <c r="L12699" s="218">
        <v>100.5</v>
      </c>
    </row>
    <row r="12700" spans="1:12" x14ac:dyDescent="0.2">
      <c r="A12700" s="133">
        <v>2025</v>
      </c>
      <c r="B12700" s="133">
        <v>1</v>
      </c>
      <c r="C12700" s="133">
        <v>16</v>
      </c>
      <c r="D12700" s="141">
        <f>DATE(A12700,B12700,C12700)</f>
        <v>45673</v>
      </c>
      <c r="E12700" s="275">
        <f>DATE(A12700,B12700,C12700)</f>
        <v>45673</v>
      </c>
      <c r="F12700" s="481"/>
      <c r="G12700" s="174" t="s">
        <v>74</v>
      </c>
      <c r="H12700" s="148" t="str" cm="1">
        <f t="array" ref="H12700">IFERROR(INDEX(INVESTOR_LIST[INVESTOR NAME],MATCH(I12700,INVESTOR_LIST[INVESTOR CODE],0),)," ")</f>
        <v xml:space="preserve"> </v>
      </c>
      <c r="J12700" s="133" t="s">
        <v>13</v>
      </c>
      <c r="K12700" s="218"/>
      <c r="L12700" s="218">
        <v>900</v>
      </c>
    </row>
    <row r="12701" spans="1:12" x14ac:dyDescent="0.2">
      <c r="A12701" s="163">
        <v>2025</v>
      </c>
      <c r="B12701" s="163">
        <v>1</v>
      </c>
      <c r="C12701" s="163">
        <v>16</v>
      </c>
      <c r="D12701" s="280">
        <f>DATE(A12701,B12701,C12701)</f>
        <v>45673</v>
      </c>
      <c r="E12701" s="281">
        <f>DATE(A12701,B12701,C12701)</f>
        <v>45673</v>
      </c>
      <c r="F12701" s="481"/>
      <c r="G12701" s="221" t="s">
        <v>74</v>
      </c>
      <c r="H12701" s="145" t="str" cm="1">
        <f t="array" ref="H12701">IFERROR(INDEX(INVESTOR_LIST[INVESTOR NAME],MATCH(I12701,INVESTOR_LIST[INVESTOR CODE],0),)," ")</f>
        <v xml:space="preserve"> </v>
      </c>
      <c r="I12701" s="145"/>
      <c r="J12701" s="163" t="s">
        <v>53</v>
      </c>
      <c r="K12701" s="219"/>
      <c r="L12701" s="219">
        <v>4.5</v>
      </c>
    </row>
    <row r="12702" spans="1:12" ht="33.75" x14ac:dyDescent="0.2">
      <c r="A12702" s="168">
        <v>2025</v>
      </c>
      <c r="B12702" s="168">
        <v>1</v>
      </c>
      <c r="C12702" s="168">
        <v>16</v>
      </c>
      <c r="D12702" s="141">
        <f t="shared" ref="D12702:D12724" si="1882">DATE(A12702,B12702,C12702)</f>
        <v>45673</v>
      </c>
      <c r="E12702" s="275">
        <f t="shared" ref="E12702:E12724" si="1883">DATE(A12702,B12702,C12702)</f>
        <v>45673</v>
      </c>
      <c r="F12702" s="479" t="s">
        <v>1315</v>
      </c>
      <c r="G12702" s="220" t="s">
        <v>74</v>
      </c>
      <c r="H12702" s="142" t="str" cm="1">
        <f t="array" ref="H12702">IFERROR(INDEX(INVESTOR_LIST[INVESTOR NAME],MATCH(I12702,INVESTOR_LIST[INVESTOR CODE],0),)," ")</f>
        <v>MD KAMAL HOSSAIN</v>
      </c>
      <c r="I12702" s="142" t="s">
        <v>723</v>
      </c>
      <c r="J12702" s="168" t="s">
        <v>13</v>
      </c>
      <c r="K12702" s="226">
        <v>21000</v>
      </c>
      <c r="L12702" s="226"/>
    </row>
    <row r="12703" spans="1:12" ht="33.75" x14ac:dyDescent="0.2">
      <c r="A12703" s="133">
        <v>2025</v>
      </c>
      <c r="B12703" s="133">
        <v>1</v>
      </c>
      <c r="C12703" s="133">
        <v>16</v>
      </c>
      <c r="D12703" s="141">
        <f t="shared" si="1882"/>
        <v>45673</v>
      </c>
      <c r="E12703" s="275">
        <f t="shared" si="1883"/>
        <v>45673</v>
      </c>
      <c r="F12703" s="481"/>
      <c r="G12703" s="174" t="s">
        <v>74</v>
      </c>
      <c r="H12703" s="148" t="str" cm="1">
        <f t="array" ref="H12703">IFERROR(INDEX(INVESTOR_LIST[INVESTOR NAME],MATCH(I12703,INVESTOR_LIST[INVESTOR CODE],0),)," ")</f>
        <v>MD KAMAL HOSSAIN</v>
      </c>
      <c r="I12703" s="148" t="s">
        <v>723</v>
      </c>
      <c r="J12703" s="133" t="s">
        <v>53</v>
      </c>
      <c r="K12703" s="218">
        <v>4842.57</v>
      </c>
      <c r="L12703" s="218"/>
    </row>
    <row r="12704" spans="1:12" ht="33.75" x14ac:dyDescent="0.2">
      <c r="A12704" s="163">
        <v>2025</v>
      </c>
      <c r="B12704" s="163">
        <v>1</v>
      </c>
      <c r="C12704" s="133">
        <v>16</v>
      </c>
      <c r="D12704" s="280">
        <f t="shared" si="1882"/>
        <v>45673</v>
      </c>
      <c r="E12704" s="281">
        <f t="shared" si="1883"/>
        <v>45673</v>
      </c>
      <c r="F12704" s="480"/>
      <c r="G12704" s="221" t="s">
        <v>74</v>
      </c>
      <c r="H12704" s="145" t="str" cm="1">
        <f t="array" ref="H12704">IFERROR(INDEX(INVESTOR_LIST[INVESTOR NAME],MATCH(I12704,INVESTOR_LIST[INVESTOR CODE],0),)," ")</f>
        <v>MD KAMAL HOSSAIN</v>
      </c>
      <c r="I12704" s="145" t="s">
        <v>723</v>
      </c>
      <c r="J12704" s="163" t="s">
        <v>52</v>
      </c>
      <c r="K12704" s="219"/>
      <c r="L12704" s="219">
        <v>25842.57</v>
      </c>
    </row>
    <row r="12705" spans="1:12" x14ac:dyDescent="0.2">
      <c r="A12705" s="133">
        <v>2025</v>
      </c>
      <c r="B12705" s="133">
        <v>1</v>
      </c>
      <c r="C12705" s="168">
        <v>16</v>
      </c>
      <c r="D12705" s="141">
        <f t="shared" si="1882"/>
        <v>45673</v>
      </c>
      <c r="E12705" s="275">
        <f t="shared" si="1883"/>
        <v>45673</v>
      </c>
      <c r="F12705" s="481" t="s">
        <v>2028</v>
      </c>
      <c r="G12705" s="174" t="s">
        <v>94</v>
      </c>
      <c r="H12705" s="174" t="str" cm="1">
        <f t="array" ref="H12705">IFERROR(INDEX(INVESTOR_LIST[INVESTOR NAME],MATCH(I12705,INVESTOR_LIST[INVESTOR CODE],0),)," ")</f>
        <v xml:space="preserve"> </v>
      </c>
      <c r="I12705" s="148" t="s">
        <v>348</v>
      </c>
      <c r="J12705" s="149" t="s">
        <v>52</v>
      </c>
      <c r="K12705" s="218">
        <v>68250</v>
      </c>
      <c r="L12705" s="218"/>
    </row>
    <row r="12706" spans="1:12" x14ac:dyDescent="0.2">
      <c r="A12706" s="163">
        <v>2025</v>
      </c>
      <c r="B12706" s="163">
        <v>1</v>
      </c>
      <c r="C12706" s="163">
        <v>16</v>
      </c>
      <c r="D12706" s="141">
        <f t="shared" si="1882"/>
        <v>45673</v>
      </c>
      <c r="E12706" s="275">
        <f t="shared" si="1883"/>
        <v>45673</v>
      </c>
      <c r="F12706" s="480"/>
      <c r="G12706" s="221" t="s">
        <v>94</v>
      </c>
      <c r="H12706" s="221" t="str" cm="1">
        <f t="array" ref="H12706">IFERROR(INDEX(INVESTOR_LIST[INVESTOR NAME],MATCH(I12706,INVESTOR_LIST[INVESTOR CODE],0),)," ")</f>
        <v xml:space="preserve"> </v>
      </c>
      <c r="I12706" s="145" t="s">
        <v>348</v>
      </c>
      <c r="J12706" s="146" t="s">
        <v>168</v>
      </c>
      <c r="K12706" s="219"/>
      <c r="L12706" s="218">
        <v>68250</v>
      </c>
    </row>
    <row r="12707" spans="1:12" x14ac:dyDescent="0.2">
      <c r="A12707" s="325">
        <v>2025</v>
      </c>
      <c r="B12707" s="325">
        <v>1</v>
      </c>
      <c r="C12707" s="325">
        <v>16</v>
      </c>
      <c r="D12707" s="326">
        <f t="shared" si="1882"/>
        <v>45673</v>
      </c>
      <c r="E12707" s="327">
        <f t="shared" si="1883"/>
        <v>45673</v>
      </c>
      <c r="F12707" s="473" t="s">
        <v>1940</v>
      </c>
      <c r="G12707" s="340" t="s">
        <v>94</v>
      </c>
      <c r="H12707" s="340" t="str" cm="1">
        <f t="array" ref="H12707">IFERROR(INDEX(INVESTOR_LIST[INVESTOR NAME],MATCH(I12707,INVESTOR_LIST[INVESTOR CODE],0),)," ")</f>
        <v xml:space="preserve"> </v>
      </c>
      <c r="I12707" s="341" t="s">
        <v>348</v>
      </c>
      <c r="J12707" s="374" t="s">
        <v>133</v>
      </c>
      <c r="K12707" s="375">
        <v>12905.555555555549</v>
      </c>
      <c r="L12707" s="375"/>
    </row>
    <row r="12708" spans="1:12" x14ac:dyDescent="0.2">
      <c r="A12708" s="331">
        <v>2025</v>
      </c>
      <c r="B12708" s="331">
        <v>1</v>
      </c>
      <c r="C12708" s="331">
        <v>16</v>
      </c>
      <c r="D12708" s="326">
        <f t="shared" si="1882"/>
        <v>45673</v>
      </c>
      <c r="E12708" s="327">
        <f t="shared" si="1883"/>
        <v>45673</v>
      </c>
      <c r="F12708" s="474"/>
      <c r="G12708" s="332" t="s">
        <v>94</v>
      </c>
      <c r="H12708" s="332" t="str" cm="1">
        <f t="array" ref="H12708">IFERROR(INDEX(INVESTOR_LIST[INVESTOR NAME],MATCH(I12708,INVESTOR_LIST[INVESTOR CODE],0),)," ")</f>
        <v xml:space="preserve"> </v>
      </c>
      <c r="I12708" s="333" t="s">
        <v>348</v>
      </c>
      <c r="J12708" s="376" t="s">
        <v>60</v>
      </c>
      <c r="K12708" s="334"/>
      <c r="L12708" s="334">
        <v>12905.555555555549</v>
      </c>
    </row>
    <row r="12709" spans="1:12" x14ac:dyDescent="0.2">
      <c r="A12709" s="384">
        <v>2025</v>
      </c>
      <c r="B12709" s="384">
        <v>1</v>
      </c>
      <c r="C12709" s="384">
        <v>16</v>
      </c>
      <c r="D12709" s="385">
        <f t="shared" si="1882"/>
        <v>45673</v>
      </c>
      <c r="E12709" s="386">
        <f t="shared" si="1883"/>
        <v>45673</v>
      </c>
      <c r="F12709" s="475" t="s">
        <v>1966</v>
      </c>
      <c r="G12709" s="387" t="s">
        <v>94</v>
      </c>
      <c r="H12709" s="387" t="str" cm="1">
        <f t="array" ref="H12709">IFERROR(INDEX(INVESTOR_LIST[INVESTOR NAME],MATCH(I12709,INVESTOR_LIST[INVESTOR CODE],0),)," ")</f>
        <v xml:space="preserve"> </v>
      </c>
      <c r="I12709" s="388" t="s">
        <v>348</v>
      </c>
      <c r="J12709" s="389" t="s">
        <v>67</v>
      </c>
      <c r="K12709" s="390">
        <v>43003.360000000001</v>
      </c>
      <c r="L12709" s="390"/>
    </row>
    <row r="12710" spans="1:12" x14ac:dyDescent="0.2">
      <c r="A12710" s="391">
        <v>2025</v>
      </c>
      <c r="B12710" s="391">
        <v>1</v>
      </c>
      <c r="C12710" s="391">
        <v>16</v>
      </c>
      <c r="D12710" s="385">
        <f t="shared" si="1882"/>
        <v>45673</v>
      </c>
      <c r="E12710" s="386">
        <f t="shared" si="1883"/>
        <v>45673</v>
      </c>
      <c r="F12710" s="476"/>
      <c r="G12710" s="392" t="s">
        <v>94</v>
      </c>
      <c r="H12710" s="392" t="str" cm="1">
        <f t="array" ref="H12710">IFERROR(INDEX(INVESTOR_LIST[INVESTOR NAME],MATCH(I12710,INVESTOR_LIST[INVESTOR CODE],0),)," ")</f>
        <v xml:space="preserve"> </v>
      </c>
      <c r="I12710" s="393" t="s">
        <v>348</v>
      </c>
      <c r="J12710" s="394" t="s">
        <v>60</v>
      </c>
      <c r="K12710" s="395"/>
      <c r="L12710" s="395">
        <v>43003.360000000001</v>
      </c>
    </row>
    <row r="12711" spans="1:12" x14ac:dyDescent="0.2">
      <c r="A12711" s="343">
        <v>2025</v>
      </c>
      <c r="B12711" s="343">
        <v>1</v>
      </c>
      <c r="C12711" s="343">
        <v>16</v>
      </c>
      <c r="D12711" s="344">
        <f t="shared" si="1882"/>
        <v>45673</v>
      </c>
      <c r="E12711" s="345">
        <f t="shared" si="1883"/>
        <v>45673</v>
      </c>
      <c r="F12711" s="483" t="s">
        <v>1813</v>
      </c>
      <c r="G12711" s="350" t="s">
        <v>94</v>
      </c>
      <c r="H12711" s="350" t="str" cm="1">
        <f t="array" ref="H12711">IFERROR(INDEX(INVESTOR_LIST[INVESTOR NAME],MATCH(I12711,INVESTOR_LIST[INVESTOR CODE],0),)," ")</f>
        <v xml:space="preserve"> </v>
      </c>
      <c r="I12711" s="352" t="s">
        <v>348</v>
      </c>
      <c r="J12711" s="353" t="s">
        <v>1807</v>
      </c>
      <c r="K12711" s="354">
        <v>0</v>
      </c>
      <c r="L12711" s="354"/>
    </row>
    <row r="12712" spans="1:12" x14ac:dyDescent="0.2">
      <c r="A12712" s="346">
        <v>2025</v>
      </c>
      <c r="B12712" s="346">
        <v>1</v>
      </c>
      <c r="C12712" s="346">
        <v>16</v>
      </c>
      <c r="D12712" s="344">
        <f t="shared" si="1882"/>
        <v>45673</v>
      </c>
      <c r="E12712" s="345">
        <f t="shared" si="1883"/>
        <v>45673</v>
      </c>
      <c r="F12712" s="484"/>
      <c r="G12712" s="347" t="s">
        <v>94</v>
      </c>
      <c r="H12712" s="347" t="str" cm="1">
        <f t="array" ref="H12712">IFERROR(INDEX(INVESTOR_LIST[INVESTOR NAME],MATCH(I12712,INVESTOR_LIST[INVESTOR CODE],0),)," ")</f>
        <v xml:space="preserve"> </v>
      </c>
      <c r="I12712" s="348" t="s">
        <v>348</v>
      </c>
      <c r="J12712" s="355" t="s">
        <v>1798</v>
      </c>
      <c r="K12712" s="349"/>
      <c r="L12712" s="349">
        <v>0</v>
      </c>
    </row>
    <row r="12713" spans="1:12" x14ac:dyDescent="0.2">
      <c r="A12713" s="343">
        <v>2025</v>
      </c>
      <c r="B12713" s="343">
        <v>1</v>
      </c>
      <c r="C12713" s="343">
        <v>16</v>
      </c>
      <c r="D12713" s="344">
        <f t="shared" si="1882"/>
        <v>45673</v>
      </c>
      <c r="E12713" s="345">
        <f t="shared" si="1883"/>
        <v>45673</v>
      </c>
      <c r="F12713" s="483" t="s">
        <v>1913</v>
      </c>
      <c r="G12713" s="350" t="s">
        <v>94</v>
      </c>
      <c r="H12713" s="350" t="str" cm="1">
        <f t="array" ref="H12713">IFERROR(INDEX(INVESTOR_LIST[INVESTOR NAME],MATCH(I12713,INVESTOR_LIST[INVESTOR CODE],0),)," ")</f>
        <v xml:space="preserve"> </v>
      </c>
      <c r="I12713" s="352" t="s">
        <v>348</v>
      </c>
      <c r="J12713" s="353" t="s">
        <v>1799</v>
      </c>
      <c r="K12713" s="354">
        <v>71612.044999998063</v>
      </c>
      <c r="L12713" s="354"/>
    </row>
    <row r="12714" spans="1:12" x14ac:dyDescent="0.2">
      <c r="A12714" s="346">
        <v>2025</v>
      </c>
      <c r="B12714" s="346">
        <v>1</v>
      </c>
      <c r="C12714" s="346">
        <v>16</v>
      </c>
      <c r="D12714" s="344">
        <f t="shared" si="1882"/>
        <v>45673</v>
      </c>
      <c r="E12714" s="345">
        <f t="shared" si="1883"/>
        <v>45673</v>
      </c>
      <c r="F12714" s="484"/>
      <c r="G12714" s="347" t="s">
        <v>94</v>
      </c>
      <c r="H12714" s="347" t="str" cm="1">
        <f t="array" ref="H12714">IFERROR(INDEX(INVESTOR_LIST[INVESTOR NAME],MATCH(I12714,INVESTOR_LIST[INVESTOR CODE],0),)," ")</f>
        <v xml:space="preserve"> </v>
      </c>
      <c r="I12714" s="348" t="s">
        <v>348</v>
      </c>
      <c r="J12714" s="355" t="s">
        <v>1808</v>
      </c>
      <c r="K12714" s="349"/>
      <c r="L12714" s="349">
        <v>71612.044999998063</v>
      </c>
    </row>
    <row r="12715" spans="1:12" x14ac:dyDescent="0.2">
      <c r="A12715" s="238">
        <v>2025</v>
      </c>
      <c r="B12715" s="238">
        <v>1</v>
      </c>
      <c r="C12715" s="238">
        <v>16</v>
      </c>
      <c r="D12715" s="270">
        <f t="shared" si="1882"/>
        <v>45673</v>
      </c>
      <c r="E12715" s="279">
        <f t="shared" si="1883"/>
        <v>45673</v>
      </c>
      <c r="F12715" s="477" t="s">
        <v>347</v>
      </c>
      <c r="G12715" s="239" t="s">
        <v>94</v>
      </c>
      <c r="H12715" s="239" t="str" cm="1">
        <f t="array" ref="H12715">IFERROR(INDEX(INVESTOR_LIST[INVESTOR NAME],MATCH(I12715,INVESTOR_LIST[INVESTOR CODE],0),)," ")</f>
        <v xml:space="preserve"> </v>
      </c>
      <c r="I12715" s="262" t="s">
        <v>348</v>
      </c>
      <c r="J12715" s="240" t="s">
        <v>82</v>
      </c>
      <c r="K12715" s="241">
        <v>806489.67999957502</v>
      </c>
      <c r="L12715" s="241"/>
    </row>
    <row r="12716" spans="1:12" x14ac:dyDescent="0.2">
      <c r="A12716" s="242">
        <v>2025</v>
      </c>
      <c r="B12716" s="242">
        <v>1</v>
      </c>
      <c r="C12716" s="242">
        <v>16</v>
      </c>
      <c r="D12716" s="270">
        <f t="shared" si="1882"/>
        <v>45673</v>
      </c>
      <c r="E12716" s="279">
        <f t="shared" si="1883"/>
        <v>45673</v>
      </c>
      <c r="F12716" s="478"/>
      <c r="G12716" s="243" t="s">
        <v>94</v>
      </c>
      <c r="H12716" s="243" t="str" cm="1">
        <f t="array" ref="H12716">IFERROR(INDEX(INVESTOR_LIST[INVESTOR NAME],MATCH(I12716,INVESTOR_LIST[INVESTOR CODE],0),)," ")</f>
        <v xml:space="preserve"> </v>
      </c>
      <c r="I12716" s="263" t="s">
        <v>348</v>
      </c>
      <c r="J12716" s="244" t="s">
        <v>108</v>
      </c>
      <c r="K12716" s="245"/>
      <c r="L12716" s="245">
        <v>806489.67999957502</v>
      </c>
    </row>
    <row r="12717" spans="1:12" ht="22.5" x14ac:dyDescent="0.2">
      <c r="A12717" s="246">
        <v>2025</v>
      </c>
      <c r="B12717" s="238">
        <v>1</v>
      </c>
      <c r="C12717" s="238">
        <v>16</v>
      </c>
      <c r="D12717" s="270">
        <f t="shared" si="1882"/>
        <v>45673</v>
      </c>
      <c r="E12717" s="279">
        <f t="shared" si="1883"/>
        <v>45673</v>
      </c>
      <c r="F12717" s="482" t="s">
        <v>148</v>
      </c>
      <c r="G12717" s="247" t="s">
        <v>94</v>
      </c>
      <c r="H12717" s="247" t="str" cm="1">
        <f t="array" ref="H12717">IFERROR(INDEX(INVESTOR_LIST[INVESTOR NAME],MATCH(I12717,INVESTOR_LIST[INVESTOR CODE],0),)," ")</f>
        <v xml:space="preserve"> </v>
      </c>
      <c r="I12717" s="248" t="s">
        <v>348</v>
      </c>
      <c r="J12717" s="249" t="s">
        <v>95</v>
      </c>
      <c r="K12717" s="250">
        <v>2747.2527472527472</v>
      </c>
      <c r="L12717" s="241"/>
    </row>
    <row r="12718" spans="1:12" x14ac:dyDescent="0.2">
      <c r="A12718" s="242">
        <v>2025</v>
      </c>
      <c r="B12718" s="242">
        <v>1</v>
      </c>
      <c r="C12718" s="242">
        <v>16</v>
      </c>
      <c r="D12718" s="270">
        <f t="shared" si="1882"/>
        <v>45673</v>
      </c>
      <c r="E12718" s="279">
        <f t="shared" si="1883"/>
        <v>45673</v>
      </c>
      <c r="F12718" s="478"/>
      <c r="G12718" s="243" t="s">
        <v>94</v>
      </c>
      <c r="H12718" s="243" t="str" cm="1">
        <f t="array" ref="H12718">IFERROR(INDEX(INVESTOR_LIST[INVESTOR NAME],MATCH(I12718,INVESTOR_LIST[INVESTOR CODE],0),)," ")</f>
        <v xml:space="preserve"> </v>
      </c>
      <c r="I12718" s="263" t="s">
        <v>348</v>
      </c>
      <c r="J12718" s="244" t="s">
        <v>63</v>
      </c>
      <c r="K12718" s="245"/>
      <c r="L12718" s="245">
        <v>2747.2527472527472</v>
      </c>
    </row>
    <row r="12719" spans="1:12" x14ac:dyDescent="0.2">
      <c r="A12719" s="246">
        <v>2025</v>
      </c>
      <c r="B12719" s="238">
        <v>1</v>
      </c>
      <c r="C12719" s="238">
        <v>16</v>
      </c>
      <c r="D12719" s="270">
        <f t="shared" si="1882"/>
        <v>45673</v>
      </c>
      <c r="E12719" s="279">
        <f t="shared" si="1883"/>
        <v>45673</v>
      </c>
      <c r="F12719" s="482" t="s">
        <v>137</v>
      </c>
      <c r="G12719" s="247" t="s">
        <v>94</v>
      </c>
      <c r="H12719" s="247" t="str" cm="1">
        <f t="array" ref="H12719">IFERROR(INDEX(INVESTOR_LIST[INVESTOR NAME],MATCH(I12719,INVESTOR_LIST[INVESTOR CODE],0),)," ")</f>
        <v xml:space="preserve"> </v>
      </c>
      <c r="I12719" s="248" t="s">
        <v>348</v>
      </c>
      <c r="J12719" s="249" t="s">
        <v>97</v>
      </c>
      <c r="K12719" s="250">
        <v>58183.961580502226</v>
      </c>
      <c r="L12719" s="252"/>
    </row>
    <row r="12720" spans="1:12" x14ac:dyDescent="0.2">
      <c r="A12720" s="242">
        <v>2025</v>
      </c>
      <c r="B12720" s="242">
        <v>1</v>
      </c>
      <c r="C12720" s="242">
        <v>16</v>
      </c>
      <c r="D12720" s="270">
        <f t="shared" si="1882"/>
        <v>45673</v>
      </c>
      <c r="E12720" s="279">
        <f t="shared" si="1883"/>
        <v>45673</v>
      </c>
      <c r="F12720" s="478"/>
      <c r="G12720" s="243" t="s">
        <v>94</v>
      </c>
      <c r="H12720" s="243" t="str" cm="1">
        <f t="array" ref="H12720">IFERROR(INDEX(INVESTOR_LIST[INVESTOR NAME],MATCH(I12720,INVESTOR_LIST[INVESTOR CODE],0),)," ")</f>
        <v xml:space="preserve"> </v>
      </c>
      <c r="I12720" s="263" t="s">
        <v>348</v>
      </c>
      <c r="J12720" s="244" t="s">
        <v>47</v>
      </c>
      <c r="K12720" s="245"/>
      <c r="L12720" s="245">
        <v>58183.961580502226</v>
      </c>
    </row>
    <row r="12721" spans="1:13" x14ac:dyDescent="0.2">
      <c r="A12721" s="246">
        <v>2025</v>
      </c>
      <c r="B12721" s="238">
        <v>1</v>
      </c>
      <c r="C12721" s="238">
        <v>16</v>
      </c>
      <c r="D12721" s="270">
        <f t="shared" si="1882"/>
        <v>45673</v>
      </c>
      <c r="E12721" s="279">
        <f t="shared" si="1883"/>
        <v>45673</v>
      </c>
      <c r="F12721" s="482" t="s">
        <v>138</v>
      </c>
      <c r="G12721" s="247" t="s">
        <v>94</v>
      </c>
      <c r="H12721" s="247" t="str" cm="1">
        <f t="array" ref="H12721">IFERROR(INDEX(INVESTOR_LIST[INVESTOR NAME],MATCH(I12721,INVESTOR_LIST[INVESTOR CODE],0),)," ")</f>
        <v xml:space="preserve"> </v>
      </c>
      <c r="I12721" s="248" t="s">
        <v>348</v>
      </c>
      <c r="J12721" s="249" t="s">
        <v>100</v>
      </c>
      <c r="K12721" s="250">
        <v>2668.8134636404961</v>
      </c>
      <c r="L12721" s="252"/>
    </row>
    <row r="12722" spans="1:13" x14ac:dyDescent="0.2">
      <c r="A12722" s="242">
        <v>2025</v>
      </c>
      <c r="B12722" s="242">
        <v>1</v>
      </c>
      <c r="C12722" s="242">
        <v>16</v>
      </c>
      <c r="D12722" s="321">
        <f t="shared" si="1882"/>
        <v>45673</v>
      </c>
      <c r="E12722" s="322">
        <f t="shared" si="1883"/>
        <v>45673</v>
      </c>
      <c r="F12722" s="478"/>
      <c r="G12722" s="243" t="s">
        <v>94</v>
      </c>
      <c r="H12722" s="243" t="str" cm="1">
        <f t="array" ref="H12722">IFERROR(INDEX(INVESTOR_LIST[INVESTOR NAME],MATCH(I12722,INVESTOR_LIST[INVESTOR CODE],0),)," ")</f>
        <v xml:space="preserve"> </v>
      </c>
      <c r="I12722" s="263" t="s">
        <v>348</v>
      </c>
      <c r="J12722" s="244" t="s">
        <v>48</v>
      </c>
      <c r="K12722" s="245"/>
      <c r="L12722" s="245">
        <v>2668.8134636404961</v>
      </c>
    </row>
    <row r="12723" spans="1:13" x14ac:dyDescent="0.2">
      <c r="A12723" s="168">
        <v>2025</v>
      </c>
      <c r="B12723" s="168">
        <v>1</v>
      </c>
      <c r="C12723" s="168">
        <v>19</v>
      </c>
      <c r="D12723" s="141">
        <f t="shared" si="1882"/>
        <v>45676</v>
      </c>
      <c r="E12723" s="275">
        <f t="shared" si="1883"/>
        <v>45676</v>
      </c>
      <c r="F12723" s="479" t="s">
        <v>1380</v>
      </c>
      <c r="G12723" s="220" t="s">
        <v>74</v>
      </c>
      <c r="H12723" s="220" t="str" cm="1">
        <f t="array" ref="H12723">IFERROR(INDEX(INVESTOR_LIST[INVESTOR NAME],MATCH(I12723,INVESTOR_LIST[INVESTOR CODE],0),)," ")</f>
        <v xml:space="preserve"> </v>
      </c>
      <c r="I12723" s="142"/>
      <c r="J12723" s="143" t="s">
        <v>96</v>
      </c>
      <c r="K12723" s="226">
        <v>6000000</v>
      </c>
      <c r="L12723" s="226"/>
    </row>
    <row r="12724" spans="1:13" x14ac:dyDescent="0.2">
      <c r="A12724" s="163">
        <v>2025</v>
      </c>
      <c r="B12724" s="163">
        <v>1</v>
      </c>
      <c r="C12724" s="163">
        <v>19</v>
      </c>
      <c r="D12724" s="280">
        <f t="shared" si="1882"/>
        <v>45676</v>
      </c>
      <c r="E12724" s="281">
        <f t="shared" si="1883"/>
        <v>45676</v>
      </c>
      <c r="F12724" s="480"/>
      <c r="G12724" s="221" t="s">
        <v>74</v>
      </c>
      <c r="H12724" s="221" t="str" cm="1">
        <f t="array" ref="H12724">IFERROR(INDEX(INVESTOR_LIST[INVESTOR NAME],MATCH(I12724,INVESTOR_LIST[INVESTOR CODE],0),)," ")</f>
        <v xml:space="preserve"> </v>
      </c>
      <c r="I12724" s="145" t="s">
        <v>348</v>
      </c>
      <c r="J12724" s="146" t="s">
        <v>52</v>
      </c>
      <c r="K12724" s="219"/>
      <c r="L12724" s="219">
        <v>6000000</v>
      </c>
    </row>
    <row r="12725" spans="1:13" x14ac:dyDescent="0.2">
      <c r="A12725" s="133">
        <v>2025</v>
      </c>
      <c r="B12725" s="133">
        <v>1</v>
      </c>
      <c r="C12725" s="133">
        <v>19</v>
      </c>
      <c r="D12725" s="147">
        <f>DATE(A12725,B12725,C12725)</f>
        <v>45676</v>
      </c>
      <c r="E12725" s="311">
        <f>DATE(A12725,B12725,C12725)</f>
        <v>45676</v>
      </c>
      <c r="F12725" s="481" t="s">
        <v>1943</v>
      </c>
      <c r="G12725" s="174" t="s">
        <v>74</v>
      </c>
      <c r="H12725" s="148" t="str" cm="1">
        <f t="array" ref="H12725">IFERROR(INDEX(INVESTOR_LIST[INVESTOR NAME],MATCH(I12725,INVESTOR_LIST[INVESTOR CODE],0),)," ")</f>
        <v xml:space="preserve"> </v>
      </c>
      <c r="I12725" s="148" t="s">
        <v>348</v>
      </c>
      <c r="J12725" s="133" t="s">
        <v>61</v>
      </c>
      <c r="K12725" s="172">
        <v>100</v>
      </c>
    </row>
    <row r="12726" spans="1:13" x14ac:dyDescent="0.2">
      <c r="A12726" s="163">
        <v>2025</v>
      </c>
      <c r="B12726" s="163">
        <v>1</v>
      </c>
      <c r="C12726" s="163">
        <v>19</v>
      </c>
      <c r="D12726" s="280">
        <f>DATE(A12726,B12726,C12726)</f>
        <v>45676</v>
      </c>
      <c r="E12726" s="281">
        <f>DATE(A12726,B12726,C12726)</f>
        <v>45676</v>
      </c>
      <c r="F12726" s="480"/>
      <c r="G12726" s="221" t="s">
        <v>74</v>
      </c>
      <c r="H12726" s="145" t="str" cm="1">
        <f t="array" ref="H12726">IFERROR(INDEX(INVESTOR_LIST[INVESTOR NAME],MATCH(I12726,INVESTOR_LIST[INVESTOR CODE],0),)," ")</f>
        <v xml:space="preserve"> </v>
      </c>
      <c r="I12726" s="145" t="s">
        <v>348</v>
      </c>
      <c r="J12726" s="163" t="s">
        <v>52</v>
      </c>
      <c r="K12726" s="219"/>
      <c r="L12726" s="219">
        <v>100</v>
      </c>
    </row>
    <row r="12727" spans="1:13" x14ac:dyDescent="0.2">
      <c r="A12727" s="133">
        <v>2025</v>
      </c>
      <c r="B12727" s="133">
        <v>1</v>
      </c>
      <c r="C12727" s="133">
        <v>19</v>
      </c>
      <c r="D12727" s="141">
        <f t="shared" ref="D12727:D12758" si="1884">DATE(A12727,B12727,C12727)</f>
        <v>45676</v>
      </c>
      <c r="E12727" s="275">
        <f t="shared" ref="E12727:E12758" si="1885">DATE(A12727,B12727,C12727)</f>
        <v>45676</v>
      </c>
      <c r="F12727" s="481" t="s">
        <v>2006</v>
      </c>
      <c r="G12727" s="174" t="s">
        <v>74</v>
      </c>
      <c r="H12727" s="174" t="str" cm="1">
        <f t="array" ref="H12727">IFERROR(INDEX(INVESTOR_LIST[INVESTOR NAME],MATCH(I12727,INVESTOR_LIST[INVESTOR CODE],0),)," ")</f>
        <v xml:space="preserve"> </v>
      </c>
      <c r="J12727" s="149" t="s">
        <v>534</v>
      </c>
      <c r="K12727" s="218">
        <v>16.63</v>
      </c>
      <c r="L12727" s="218"/>
    </row>
    <row r="12728" spans="1:13" x14ac:dyDescent="0.2">
      <c r="A12728" s="163">
        <v>2025</v>
      </c>
      <c r="B12728" s="163">
        <v>1</v>
      </c>
      <c r="C12728" s="163">
        <v>19</v>
      </c>
      <c r="D12728" s="280">
        <f t="shared" si="1884"/>
        <v>45676</v>
      </c>
      <c r="E12728" s="281">
        <f t="shared" si="1885"/>
        <v>45676</v>
      </c>
      <c r="F12728" s="480"/>
      <c r="G12728" s="221" t="s">
        <v>74</v>
      </c>
      <c r="H12728" s="221" t="str" cm="1">
        <f t="array" ref="H12728">IFERROR(INDEX(INVESTOR_LIST[INVESTOR NAME],MATCH(I12728,INVESTOR_LIST[INVESTOR CODE],0),)," ")</f>
        <v xml:space="preserve"> </v>
      </c>
      <c r="I12728" s="145"/>
      <c r="J12728" s="146" t="s">
        <v>52</v>
      </c>
      <c r="K12728" s="219"/>
      <c r="L12728" s="219">
        <v>16.63</v>
      </c>
    </row>
    <row r="12729" spans="1:13" x14ac:dyDescent="0.2">
      <c r="A12729" s="133">
        <v>2025</v>
      </c>
      <c r="B12729" s="168">
        <v>1</v>
      </c>
      <c r="C12729" s="168">
        <v>21</v>
      </c>
      <c r="D12729" s="141">
        <f t="shared" si="1884"/>
        <v>45678</v>
      </c>
      <c r="E12729" s="275">
        <f t="shared" si="1885"/>
        <v>45678</v>
      </c>
      <c r="F12729" s="479" t="s">
        <v>362</v>
      </c>
      <c r="G12729" s="220" t="s">
        <v>74</v>
      </c>
      <c r="H12729" s="220" t="str" cm="1">
        <f t="array" ref="H12729">IFERROR(INDEX(INVESTOR_LIST[INVESTOR NAME],MATCH(I12729,INVESTOR_LIST[INVESTOR CODE],0),)," ")</f>
        <v xml:space="preserve"> </v>
      </c>
      <c r="I12729" s="142" t="s">
        <v>348</v>
      </c>
      <c r="J12729" s="143" t="s">
        <v>104</v>
      </c>
      <c r="K12729" s="226">
        <v>166.34</v>
      </c>
      <c r="L12729" s="226"/>
    </row>
    <row r="12730" spans="1:13" x14ac:dyDescent="0.2">
      <c r="A12730" s="133">
        <v>2025</v>
      </c>
      <c r="B12730" s="133">
        <v>1</v>
      </c>
      <c r="C12730" s="133">
        <v>21</v>
      </c>
      <c r="D12730" s="280">
        <f t="shared" si="1884"/>
        <v>45678</v>
      </c>
      <c r="E12730" s="281">
        <f t="shared" si="1885"/>
        <v>45678</v>
      </c>
      <c r="F12730" s="481"/>
      <c r="G12730" s="174" t="s">
        <v>74</v>
      </c>
      <c r="H12730" s="174" t="str" cm="1">
        <f t="array" ref="H12730">IFERROR(INDEX(INVESTOR_LIST[INVESTOR NAME],MATCH(I12730,INVESTOR_LIST[INVESTOR CODE],0),)," ")</f>
        <v xml:space="preserve"> </v>
      </c>
      <c r="J12730" s="149" t="s">
        <v>534</v>
      </c>
      <c r="K12730" s="218"/>
      <c r="L12730" s="218">
        <v>16.63</v>
      </c>
    </row>
    <row r="12731" spans="1:13" x14ac:dyDescent="0.2">
      <c r="A12731" s="163">
        <v>2025</v>
      </c>
      <c r="B12731" s="163">
        <v>1</v>
      </c>
      <c r="C12731" s="133">
        <v>21</v>
      </c>
      <c r="D12731" s="144">
        <f t="shared" si="1884"/>
        <v>45678</v>
      </c>
      <c r="E12731" s="313">
        <f t="shared" si="1885"/>
        <v>45678</v>
      </c>
      <c r="F12731" s="480"/>
      <c r="G12731" s="221" t="s">
        <v>74</v>
      </c>
      <c r="H12731" s="221" t="str" cm="1">
        <f t="array" ref="H12731">IFERROR(INDEX(INVESTOR_LIST[INVESTOR NAME],MATCH(I12731,INVESTOR_LIST[INVESTOR CODE],0),)," ")</f>
        <v xml:space="preserve"> </v>
      </c>
      <c r="I12731" s="145" t="s">
        <v>348</v>
      </c>
      <c r="J12731" s="146" t="s">
        <v>52</v>
      </c>
      <c r="K12731" s="219"/>
      <c r="L12731" s="219">
        <v>149.71</v>
      </c>
    </row>
    <row r="12732" spans="1:13" x14ac:dyDescent="0.2">
      <c r="A12732" s="133">
        <v>2025</v>
      </c>
      <c r="B12732" s="168">
        <v>1</v>
      </c>
      <c r="C12732" s="168">
        <v>23</v>
      </c>
      <c r="D12732" s="141">
        <f t="shared" si="1884"/>
        <v>45680</v>
      </c>
      <c r="E12732" s="275">
        <f t="shared" si="1885"/>
        <v>45680</v>
      </c>
      <c r="F12732" s="481" t="s">
        <v>982</v>
      </c>
      <c r="G12732" s="174" t="s">
        <v>74</v>
      </c>
      <c r="H12732" s="174" t="str" cm="1">
        <f t="array" ref="H12732">IFERROR(INDEX(INVESTOR_LIST[INVESTOR NAME],MATCH(I12732,INVESTOR_LIST[INVESTOR CODE],0),)," ")</f>
        <v xml:space="preserve"> </v>
      </c>
      <c r="I12732" s="148" t="s">
        <v>348</v>
      </c>
      <c r="J12732" s="149" t="s">
        <v>163</v>
      </c>
      <c r="K12732" s="218">
        <v>5750</v>
      </c>
      <c r="L12732" s="218"/>
      <c r="M12732" s="264"/>
    </row>
    <row r="12733" spans="1:13" x14ac:dyDescent="0.2">
      <c r="A12733" s="133">
        <v>2025</v>
      </c>
      <c r="B12733" s="133">
        <v>1</v>
      </c>
      <c r="C12733" s="133">
        <v>23</v>
      </c>
      <c r="D12733" s="141">
        <f t="shared" si="1884"/>
        <v>45680</v>
      </c>
      <c r="E12733" s="275">
        <f t="shared" si="1885"/>
        <v>45680</v>
      </c>
      <c r="F12733" s="481"/>
      <c r="G12733" s="174" t="s">
        <v>201</v>
      </c>
      <c r="H12733" s="174" t="str" cm="1">
        <f t="array" ref="H12733">IFERROR(INDEX(INVESTOR_LIST[INVESTOR NAME],MATCH(I12733,INVESTOR_LIST[INVESTOR CODE],0),)," ")</f>
        <v xml:space="preserve"> </v>
      </c>
      <c r="J12733" s="149" t="s">
        <v>1906</v>
      </c>
      <c r="K12733" s="218"/>
      <c r="L12733" s="218">
        <v>250</v>
      </c>
    </row>
    <row r="12734" spans="1:13" x14ac:dyDescent="0.2">
      <c r="A12734" s="163">
        <v>2025</v>
      </c>
      <c r="B12734" s="163">
        <v>1</v>
      </c>
      <c r="C12734" s="133">
        <v>23</v>
      </c>
      <c r="D12734" s="280">
        <f t="shared" si="1884"/>
        <v>45680</v>
      </c>
      <c r="E12734" s="281">
        <f t="shared" si="1885"/>
        <v>45680</v>
      </c>
      <c r="F12734" s="480"/>
      <c r="G12734" s="221" t="s">
        <v>74</v>
      </c>
      <c r="H12734" s="221" t="str" cm="1">
        <f t="array" ref="H12734">IFERROR(INDEX(INVESTOR_LIST[INVESTOR NAME],MATCH(I12734,INVESTOR_LIST[INVESTOR CODE],0),)," ")</f>
        <v xml:space="preserve"> </v>
      </c>
      <c r="I12734" s="145" t="s">
        <v>348</v>
      </c>
      <c r="J12734" s="146" t="s">
        <v>52</v>
      </c>
      <c r="K12734" s="219"/>
      <c r="L12734" s="219">
        <v>5500</v>
      </c>
    </row>
    <row r="12735" spans="1:13" x14ac:dyDescent="0.2">
      <c r="A12735" s="325">
        <v>2025</v>
      </c>
      <c r="B12735" s="325">
        <v>1</v>
      </c>
      <c r="C12735" s="325">
        <v>23</v>
      </c>
      <c r="D12735" s="326">
        <f t="shared" si="1884"/>
        <v>45680</v>
      </c>
      <c r="E12735" s="327">
        <f t="shared" si="1885"/>
        <v>45680</v>
      </c>
      <c r="F12735" s="473" t="s">
        <v>1940</v>
      </c>
      <c r="G12735" s="340" t="s">
        <v>94</v>
      </c>
      <c r="H12735" s="340" t="str" cm="1">
        <f t="array" ref="H12735">IFERROR(INDEX(INVESTOR_LIST[INVESTOR NAME],MATCH(I12735,INVESTOR_LIST[INVESTOR CODE],0),)," ")</f>
        <v xml:space="preserve"> </v>
      </c>
      <c r="I12735" s="341" t="s">
        <v>348</v>
      </c>
      <c r="J12735" s="374" t="s">
        <v>133</v>
      </c>
      <c r="K12735" s="375">
        <v>12905.56</v>
      </c>
      <c r="L12735" s="375"/>
    </row>
    <row r="12736" spans="1:13" x14ac:dyDescent="0.2">
      <c r="A12736" s="331">
        <v>2025</v>
      </c>
      <c r="B12736" s="331">
        <v>1</v>
      </c>
      <c r="C12736" s="331">
        <v>23</v>
      </c>
      <c r="D12736" s="326">
        <f t="shared" si="1884"/>
        <v>45680</v>
      </c>
      <c r="E12736" s="327">
        <f t="shared" si="1885"/>
        <v>45680</v>
      </c>
      <c r="F12736" s="474"/>
      <c r="G12736" s="332" t="s">
        <v>94</v>
      </c>
      <c r="H12736" s="332" t="str" cm="1">
        <f t="array" ref="H12736">IFERROR(INDEX(INVESTOR_LIST[INVESTOR NAME],MATCH(I12736,INVESTOR_LIST[INVESTOR CODE],0),)," ")</f>
        <v xml:space="preserve"> </v>
      </c>
      <c r="I12736" s="333" t="s">
        <v>348</v>
      </c>
      <c r="J12736" s="376" t="s">
        <v>60</v>
      </c>
      <c r="K12736" s="334"/>
      <c r="L12736" s="334">
        <v>12905.56</v>
      </c>
    </row>
    <row r="12737" spans="1:13" x14ac:dyDescent="0.2">
      <c r="A12737" s="325">
        <v>2025</v>
      </c>
      <c r="B12737" s="325">
        <v>1</v>
      </c>
      <c r="C12737" s="325">
        <v>23</v>
      </c>
      <c r="D12737" s="326">
        <f t="shared" ref="D12737:D12738" si="1886">DATE(A12737,B12737,C12737)</f>
        <v>45680</v>
      </c>
      <c r="E12737" s="327">
        <f t="shared" ref="E12737:E12738" si="1887">DATE(A12737,B12737,C12737)</f>
        <v>45680</v>
      </c>
      <c r="F12737" s="473" t="s">
        <v>2029</v>
      </c>
      <c r="G12737" s="340" t="s">
        <v>94</v>
      </c>
      <c r="H12737" s="340" t="str" cm="1">
        <f t="array" ref="H12737">IFERROR(INDEX(INVESTOR_LIST[INVESTOR NAME],MATCH(I12737,INVESTOR_LIST[INVESTOR CODE],0),)," ")</f>
        <v xml:space="preserve"> </v>
      </c>
      <c r="I12737" s="341" t="s">
        <v>348</v>
      </c>
      <c r="J12737" s="374" t="s">
        <v>133</v>
      </c>
      <c r="K12737" s="375">
        <v>14134.615384615385</v>
      </c>
      <c r="L12737" s="375"/>
    </row>
    <row r="12738" spans="1:13" x14ac:dyDescent="0.2">
      <c r="A12738" s="331">
        <v>2025</v>
      </c>
      <c r="B12738" s="331">
        <v>1</v>
      </c>
      <c r="C12738" s="331">
        <v>23</v>
      </c>
      <c r="D12738" s="326">
        <f t="shared" si="1886"/>
        <v>45680</v>
      </c>
      <c r="E12738" s="327">
        <f t="shared" si="1887"/>
        <v>45680</v>
      </c>
      <c r="F12738" s="474"/>
      <c r="G12738" s="332" t="s">
        <v>94</v>
      </c>
      <c r="H12738" s="332" t="str" cm="1">
        <f t="array" ref="H12738">IFERROR(INDEX(INVESTOR_LIST[INVESTOR NAME],MATCH(I12738,INVESTOR_LIST[INVESTOR CODE],0),)," ")</f>
        <v xml:space="preserve"> </v>
      </c>
      <c r="I12738" s="333" t="s">
        <v>348</v>
      </c>
      <c r="J12738" s="376" t="s">
        <v>60</v>
      </c>
      <c r="K12738" s="334"/>
      <c r="L12738" s="334">
        <f>K12737</f>
        <v>14134.615384615385</v>
      </c>
    </row>
    <row r="12739" spans="1:13" x14ac:dyDescent="0.2">
      <c r="A12739" s="384">
        <v>2025</v>
      </c>
      <c r="B12739" s="384">
        <v>1</v>
      </c>
      <c r="C12739" s="384">
        <v>23</v>
      </c>
      <c r="D12739" s="385">
        <f t="shared" si="1884"/>
        <v>45680</v>
      </c>
      <c r="E12739" s="386">
        <f t="shared" si="1885"/>
        <v>45680</v>
      </c>
      <c r="F12739" s="475" t="s">
        <v>1966</v>
      </c>
      <c r="G12739" s="387" t="s">
        <v>94</v>
      </c>
      <c r="H12739" s="387" t="str" cm="1">
        <f t="array" ref="H12739">IFERROR(INDEX(INVESTOR_LIST[INVESTOR NAME],MATCH(I12739,INVESTOR_LIST[INVESTOR CODE],0),)," ")</f>
        <v xml:space="preserve"> </v>
      </c>
      <c r="I12739" s="388" t="s">
        <v>348</v>
      </c>
      <c r="J12739" s="389" t="s">
        <v>67</v>
      </c>
      <c r="K12739" s="390">
        <v>34478.879999999997</v>
      </c>
      <c r="L12739" s="390"/>
    </row>
    <row r="12740" spans="1:13" x14ac:dyDescent="0.2">
      <c r="A12740" s="391">
        <v>2025</v>
      </c>
      <c r="B12740" s="391">
        <v>1</v>
      </c>
      <c r="C12740" s="391">
        <v>23</v>
      </c>
      <c r="D12740" s="385">
        <f t="shared" si="1884"/>
        <v>45680</v>
      </c>
      <c r="E12740" s="386">
        <f t="shared" si="1885"/>
        <v>45680</v>
      </c>
      <c r="F12740" s="476"/>
      <c r="G12740" s="392" t="s">
        <v>94</v>
      </c>
      <c r="H12740" s="392" t="str" cm="1">
        <f t="array" ref="H12740">IFERROR(INDEX(INVESTOR_LIST[INVESTOR NAME],MATCH(I12740,INVESTOR_LIST[INVESTOR CODE],0),)," ")</f>
        <v xml:space="preserve"> </v>
      </c>
      <c r="I12740" s="393" t="s">
        <v>348</v>
      </c>
      <c r="J12740" s="394" t="s">
        <v>60</v>
      </c>
      <c r="K12740" s="395"/>
      <c r="L12740" s="395">
        <f>K12739</f>
        <v>34478.879999999997</v>
      </c>
    </row>
    <row r="12741" spans="1:13" x14ac:dyDescent="0.2">
      <c r="A12741" s="343">
        <v>2025</v>
      </c>
      <c r="B12741" s="343">
        <v>1</v>
      </c>
      <c r="C12741" s="343">
        <v>23</v>
      </c>
      <c r="D12741" s="344">
        <f t="shared" si="1884"/>
        <v>45680</v>
      </c>
      <c r="E12741" s="345">
        <f t="shared" si="1885"/>
        <v>45680</v>
      </c>
      <c r="F12741" s="483" t="s">
        <v>1813</v>
      </c>
      <c r="G12741" s="350" t="s">
        <v>94</v>
      </c>
      <c r="H12741" s="350" t="str" cm="1">
        <f t="array" ref="H12741">IFERROR(INDEX(INVESTOR_LIST[INVESTOR NAME],MATCH(I12741,INVESTOR_LIST[INVESTOR CODE],0),)," ")</f>
        <v xml:space="preserve"> </v>
      </c>
      <c r="I12741" s="352" t="s">
        <v>348</v>
      </c>
      <c r="J12741" s="353" t="s">
        <v>1807</v>
      </c>
      <c r="K12741" s="354">
        <v>0</v>
      </c>
      <c r="L12741" s="354"/>
      <c r="M12741" s="133">
        <v>0</v>
      </c>
    </row>
    <row r="12742" spans="1:13" x14ac:dyDescent="0.2">
      <c r="A12742" s="346">
        <v>2025</v>
      </c>
      <c r="B12742" s="346">
        <v>1</v>
      </c>
      <c r="C12742" s="346">
        <v>23</v>
      </c>
      <c r="D12742" s="344">
        <f t="shared" si="1884"/>
        <v>45680</v>
      </c>
      <c r="E12742" s="345">
        <f t="shared" si="1885"/>
        <v>45680</v>
      </c>
      <c r="F12742" s="484"/>
      <c r="G12742" s="347" t="s">
        <v>94</v>
      </c>
      <c r="H12742" s="347" t="str" cm="1">
        <f t="array" ref="H12742">IFERROR(INDEX(INVESTOR_LIST[INVESTOR NAME],MATCH(I12742,INVESTOR_LIST[INVESTOR CODE],0),)," ")</f>
        <v xml:space="preserve"> </v>
      </c>
      <c r="I12742" s="348" t="s">
        <v>348</v>
      </c>
      <c r="J12742" s="355" t="s">
        <v>1798</v>
      </c>
      <c r="K12742" s="349"/>
      <c r="L12742" s="349">
        <v>0</v>
      </c>
    </row>
    <row r="12743" spans="1:13" x14ac:dyDescent="0.2">
      <c r="A12743" s="343">
        <v>2025</v>
      </c>
      <c r="B12743" s="343">
        <v>1</v>
      </c>
      <c r="C12743" s="343">
        <v>23</v>
      </c>
      <c r="D12743" s="344">
        <f t="shared" si="1884"/>
        <v>45680</v>
      </c>
      <c r="E12743" s="345">
        <f t="shared" si="1885"/>
        <v>45680</v>
      </c>
      <c r="F12743" s="483" t="s">
        <v>1913</v>
      </c>
      <c r="G12743" s="350" t="s">
        <v>94</v>
      </c>
      <c r="H12743" s="350" t="str" cm="1">
        <f t="array" ref="H12743">IFERROR(INDEX(INVESTOR_LIST[INVESTOR NAME],MATCH(I12743,INVESTOR_LIST[INVESTOR CODE],0),)," ")</f>
        <v xml:space="preserve"> </v>
      </c>
      <c r="I12743" s="352" t="s">
        <v>348</v>
      </c>
      <c r="J12743" s="353" t="s">
        <v>1799</v>
      </c>
      <c r="K12743" s="354">
        <v>49316.260000005364</v>
      </c>
      <c r="L12743" s="354"/>
      <c r="M12743" s="133">
        <v>0</v>
      </c>
    </row>
    <row r="12744" spans="1:13" x14ac:dyDescent="0.2">
      <c r="A12744" s="346">
        <v>2025</v>
      </c>
      <c r="B12744" s="346">
        <v>1</v>
      </c>
      <c r="C12744" s="346">
        <v>23</v>
      </c>
      <c r="D12744" s="344">
        <f t="shared" si="1884"/>
        <v>45680</v>
      </c>
      <c r="E12744" s="345">
        <f t="shared" si="1885"/>
        <v>45680</v>
      </c>
      <c r="F12744" s="484"/>
      <c r="G12744" s="347" t="s">
        <v>94</v>
      </c>
      <c r="H12744" s="347" t="str" cm="1">
        <f t="array" ref="H12744">IFERROR(INDEX(INVESTOR_LIST[INVESTOR NAME],MATCH(I12744,INVESTOR_LIST[INVESTOR CODE],0),)," ")</f>
        <v xml:space="preserve"> </v>
      </c>
      <c r="I12744" s="348" t="s">
        <v>348</v>
      </c>
      <c r="J12744" s="355" t="s">
        <v>1808</v>
      </c>
      <c r="K12744" s="349"/>
      <c r="L12744" s="349">
        <f>K12743</f>
        <v>49316.260000005364</v>
      </c>
    </row>
    <row r="12745" spans="1:13" x14ac:dyDescent="0.2">
      <c r="A12745" s="238">
        <v>2025</v>
      </c>
      <c r="B12745" s="238">
        <v>1</v>
      </c>
      <c r="C12745" s="238">
        <v>23</v>
      </c>
      <c r="D12745" s="270">
        <f t="shared" si="1884"/>
        <v>45680</v>
      </c>
      <c r="E12745" s="279">
        <f t="shared" si="1885"/>
        <v>45680</v>
      </c>
      <c r="F12745" s="477" t="s">
        <v>347</v>
      </c>
      <c r="G12745" s="239" t="s">
        <v>94</v>
      </c>
      <c r="H12745" s="239" t="str" cm="1">
        <f t="array" ref="H12745">IFERROR(INDEX(INVESTOR_LIST[INVESTOR NAME],MATCH(I12745,INVESTOR_LIST[INVESTOR CODE],0),)," ")</f>
        <v xml:space="preserve"> </v>
      </c>
      <c r="I12745" s="262" t="s">
        <v>348</v>
      </c>
      <c r="J12745" s="240" t="s">
        <v>108</v>
      </c>
      <c r="K12745" s="241">
        <v>920414.59000000358</v>
      </c>
      <c r="L12745" s="241"/>
      <c r="M12745" s="133">
        <v>13139541.900000483</v>
      </c>
    </row>
    <row r="12746" spans="1:13" x14ac:dyDescent="0.2">
      <c r="A12746" s="242">
        <v>2025</v>
      </c>
      <c r="B12746" s="242">
        <v>1</v>
      </c>
      <c r="C12746" s="242">
        <v>23</v>
      </c>
      <c r="D12746" s="270">
        <f t="shared" si="1884"/>
        <v>45680</v>
      </c>
      <c r="E12746" s="279">
        <f t="shared" si="1885"/>
        <v>45680</v>
      </c>
      <c r="F12746" s="478"/>
      <c r="G12746" s="243" t="s">
        <v>94</v>
      </c>
      <c r="H12746" s="243" t="str" cm="1">
        <f t="array" ref="H12746">IFERROR(INDEX(INVESTOR_LIST[INVESTOR NAME],MATCH(I12746,INVESTOR_LIST[INVESTOR CODE],0),)," ")</f>
        <v xml:space="preserve"> </v>
      </c>
      <c r="I12746" s="263" t="s">
        <v>348</v>
      </c>
      <c r="J12746" s="244" t="s">
        <v>82</v>
      </c>
      <c r="K12746" s="245"/>
      <c r="L12746" s="245">
        <f>K12745</f>
        <v>920414.59000000358</v>
      </c>
    </row>
    <row r="12747" spans="1:13" ht="22.5" x14ac:dyDescent="0.2">
      <c r="A12747" s="246">
        <v>2025</v>
      </c>
      <c r="B12747" s="238">
        <v>1</v>
      </c>
      <c r="C12747" s="238">
        <v>23</v>
      </c>
      <c r="D12747" s="270">
        <f t="shared" si="1884"/>
        <v>45680</v>
      </c>
      <c r="E12747" s="279">
        <f t="shared" si="1885"/>
        <v>45680</v>
      </c>
      <c r="F12747" s="482" t="s">
        <v>148</v>
      </c>
      <c r="G12747" s="247" t="s">
        <v>94</v>
      </c>
      <c r="H12747" s="247" t="str" cm="1">
        <f t="array" ref="H12747">IFERROR(INDEX(INVESTOR_LIST[INVESTOR NAME],MATCH(I12747,INVESTOR_LIST[INVESTOR CODE],0),)," ")</f>
        <v xml:space="preserve"> </v>
      </c>
      <c r="I12747" s="248" t="s">
        <v>348</v>
      </c>
      <c r="J12747" s="249" t="s">
        <v>95</v>
      </c>
      <c r="K12747" s="250">
        <v>2747.2527472527472</v>
      </c>
      <c r="L12747" s="241"/>
    </row>
    <row r="12748" spans="1:13" x14ac:dyDescent="0.2">
      <c r="A12748" s="242">
        <v>2025</v>
      </c>
      <c r="B12748" s="242">
        <v>1</v>
      </c>
      <c r="C12748" s="242">
        <v>23</v>
      </c>
      <c r="D12748" s="270">
        <f t="shared" si="1884"/>
        <v>45680</v>
      </c>
      <c r="E12748" s="279">
        <f t="shared" si="1885"/>
        <v>45680</v>
      </c>
      <c r="F12748" s="478"/>
      <c r="G12748" s="243" t="s">
        <v>94</v>
      </c>
      <c r="H12748" s="243" t="str" cm="1">
        <f t="array" ref="H12748">IFERROR(INDEX(INVESTOR_LIST[INVESTOR NAME],MATCH(I12748,INVESTOR_LIST[INVESTOR CODE],0),)," ")</f>
        <v xml:space="preserve"> </v>
      </c>
      <c r="I12748" s="263" t="s">
        <v>348</v>
      </c>
      <c r="J12748" s="244" t="s">
        <v>63</v>
      </c>
      <c r="K12748" s="245"/>
      <c r="L12748" s="245">
        <v>2747.2527472527472</v>
      </c>
    </row>
    <row r="12749" spans="1:13" x14ac:dyDescent="0.2">
      <c r="A12749" s="246">
        <v>2025</v>
      </c>
      <c r="B12749" s="238">
        <v>1</v>
      </c>
      <c r="C12749" s="238">
        <v>23</v>
      </c>
      <c r="D12749" s="270">
        <f t="shared" si="1884"/>
        <v>45680</v>
      </c>
      <c r="E12749" s="279">
        <f t="shared" si="1885"/>
        <v>45680</v>
      </c>
      <c r="F12749" s="482" t="s">
        <v>137</v>
      </c>
      <c r="G12749" s="247" t="s">
        <v>94</v>
      </c>
      <c r="H12749" s="247" t="str" cm="1">
        <f t="array" ref="H12749">IFERROR(INDEX(INVESTOR_LIST[INVESTOR NAME],MATCH(I12749,INVESTOR_LIST[INVESTOR CODE],0),)," ")</f>
        <v xml:space="preserve"> </v>
      </c>
      <c r="I12749" s="248" t="s">
        <v>348</v>
      </c>
      <c r="J12749" s="249" t="s">
        <v>97</v>
      </c>
      <c r="K12749" s="250">
        <v>58464.644911096737</v>
      </c>
      <c r="L12749" s="252"/>
      <c r="M12749" s="133">
        <v>58464.644911096737</v>
      </c>
    </row>
    <row r="12750" spans="1:13" x14ac:dyDescent="0.2">
      <c r="A12750" s="242">
        <v>2025</v>
      </c>
      <c r="B12750" s="242">
        <v>1</v>
      </c>
      <c r="C12750" s="242">
        <v>23</v>
      </c>
      <c r="D12750" s="270">
        <f t="shared" si="1884"/>
        <v>45680</v>
      </c>
      <c r="E12750" s="279">
        <f t="shared" si="1885"/>
        <v>45680</v>
      </c>
      <c r="F12750" s="478"/>
      <c r="G12750" s="243" t="s">
        <v>94</v>
      </c>
      <c r="H12750" s="243" t="str" cm="1">
        <f t="array" ref="H12750">IFERROR(INDEX(INVESTOR_LIST[INVESTOR NAME],MATCH(I12750,INVESTOR_LIST[INVESTOR CODE],0),)," ")</f>
        <v xml:space="preserve"> </v>
      </c>
      <c r="I12750" s="263" t="s">
        <v>348</v>
      </c>
      <c r="J12750" s="244" t="s">
        <v>47</v>
      </c>
      <c r="K12750" s="245"/>
      <c r="L12750" s="245">
        <f>K12749</f>
        <v>58464.644911096737</v>
      </c>
      <c r="M12750" s="133">
        <v>2682.8476301702217</v>
      </c>
    </row>
    <row r="12751" spans="1:13" x14ac:dyDescent="0.2">
      <c r="A12751" s="246">
        <v>2025</v>
      </c>
      <c r="B12751" s="238">
        <v>1</v>
      </c>
      <c r="C12751" s="238">
        <v>23</v>
      </c>
      <c r="D12751" s="270">
        <f t="shared" si="1884"/>
        <v>45680</v>
      </c>
      <c r="E12751" s="279">
        <f t="shared" si="1885"/>
        <v>45680</v>
      </c>
      <c r="F12751" s="482" t="s">
        <v>138</v>
      </c>
      <c r="G12751" s="247" t="s">
        <v>94</v>
      </c>
      <c r="H12751" s="247" t="str" cm="1">
        <f t="array" ref="H12751">IFERROR(INDEX(INVESTOR_LIST[INVESTOR NAME],MATCH(I12751,INVESTOR_LIST[INVESTOR CODE],0),)," ")</f>
        <v xml:space="preserve"> </v>
      </c>
      <c r="I12751" s="248" t="s">
        <v>348</v>
      </c>
      <c r="J12751" s="249" t="s">
        <v>100</v>
      </c>
      <c r="K12751" s="250">
        <v>2682.8476301702217</v>
      </c>
      <c r="L12751" s="252"/>
    </row>
    <row r="12752" spans="1:13" x14ac:dyDescent="0.2">
      <c r="A12752" s="242">
        <v>2025</v>
      </c>
      <c r="B12752" s="242">
        <v>1</v>
      </c>
      <c r="C12752" s="242">
        <v>23</v>
      </c>
      <c r="D12752" s="321">
        <f t="shared" si="1884"/>
        <v>45680</v>
      </c>
      <c r="E12752" s="322">
        <f t="shared" si="1885"/>
        <v>45680</v>
      </c>
      <c r="F12752" s="478"/>
      <c r="G12752" s="243" t="s">
        <v>94</v>
      </c>
      <c r="H12752" s="243" t="str" cm="1">
        <f t="array" ref="H12752">IFERROR(INDEX(INVESTOR_LIST[INVESTOR NAME],MATCH(I12752,INVESTOR_LIST[INVESTOR CODE],0),)," ")</f>
        <v xml:space="preserve"> </v>
      </c>
      <c r="I12752" s="263" t="s">
        <v>348</v>
      </c>
      <c r="J12752" s="244" t="s">
        <v>48</v>
      </c>
      <c r="K12752" s="245"/>
      <c r="L12752" s="245">
        <f>K12751</f>
        <v>2682.8476301702217</v>
      </c>
    </row>
    <row r="12753" spans="1:17" x14ac:dyDescent="0.2">
      <c r="A12753" s="168">
        <v>2025</v>
      </c>
      <c r="B12753" s="168">
        <v>1</v>
      </c>
      <c r="C12753" s="168">
        <v>26</v>
      </c>
      <c r="D12753" s="141">
        <f>DATE(A12753,B12753,C12753)</f>
        <v>45683</v>
      </c>
      <c r="E12753" s="275">
        <f>DATE(A12753,B12753,C12753)</f>
        <v>45683</v>
      </c>
      <c r="F12753" s="479" t="s">
        <v>1319</v>
      </c>
      <c r="G12753" s="220" t="s">
        <v>74</v>
      </c>
      <c r="H12753" s="142" t="str" cm="1">
        <f t="array" ref="H12753">IFERROR(INDEX(INVESTOR_LIST[INVESTOR NAME],MATCH(I12753,INVESTOR_LIST[INVESTOR CODE],0),)," ")</f>
        <v xml:space="preserve"> </v>
      </c>
      <c r="I12753" s="142"/>
      <c r="J12753" s="168" t="s">
        <v>52</v>
      </c>
      <c r="K12753" s="226">
        <v>101000</v>
      </c>
      <c r="L12753" s="226"/>
    </row>
    <row r="12754" spans="1:17" x14ac:dyDescent="0.2">
      <c r="A12754" s="133">
        <v>2025</v>
      </c>
      <c r="B12754" s="133">
        <v>1</v>
      </c>
      <c r="C12754" s="133">
        <v>26</v>
      </c>
      <c r="D12754" s="141">
        <f>DATE(A12754,B12754,C12754)</f>
        <v>45683</v>
      </c>
      <c r="E12754" s="275">
        <f>DATE(A12754,B12754,C12754)</f>
        <v>45683</v>
      </c>
      <c r="F12754" s="481"/>
      <c r="G12754" s="174" t="s">
        <v>74</v>
      </c>
      <c r="H12754" s="148" t="str" cm="1">
        <f t="array" ref="H12754">IFERROR(INDEX(INVESTOR_LIST[INVESTOR NAME],MATCH(I12754,INVESTOR_LIST[INVESTOR CODE],0),)," ")</f>
        <v xml:space="preserve"> </v>
      </c>
      <c r="J12754" s="133" t="s">
        <v>13</v>
      </c>
      <c r="K12754" s="218"/>
      <c r="L12754" s="218">
        <v>78410</v>
      </c>
    </row>
    <row r="12755" spans="1:17" x14ac:dyDescent="0.2">
      <c r="A12755" s="163">
        <v>2025</v>
      </c>
      <c r="B12755" s="163">
        <v>1</v>
      </c>
      <c r="C12755" s="163">
        <v>26</v>
      </c>
      <c r="D12755" s="280">
        <f>DATE(A12755,B12755,C12755)</f>
        <v>45683</v>
      </c>
      <c r="E12755" s="281">
        <f>DATE(A12755,B12755,C12755)</f>
        <v>45683</v>
      </c>
      <c r="F12755" s="480"/>
      <c r="G12755" s="221" t="s">
        <v>74</v>
      </c>
      <c r="H12755" s="145" t="str" cm="1">
        <f t="array" ref="H12755">IFERROR(INDEX(INVESTOR_LIST[INVESTOR NAME],MATCH(I12755,INVESTOR_LIST[INVESTOR CODE],0),)," ")</f>
        <v xml:space="preserve"> </v>
      </c>
      <c r="I12755" s="145"/>
      <c r="J12755" s="163" t="s">
        <v>53</v>
      </c>
      <c r="K12755" s="219"/>
      <c r="L12755" s="219">
        <v>22590</v>
      </c>
    </row>
    <row r="12756" spans="1:17" x14ac:dyDescent="0.2">
      <c r="A12756" s="168">
        <v>2025</v>
      </c>
      <c r="B12756" s="168">
        <v>1</v>
      </c>
      <c r="C12756" s="133">
        <v>27</v>
      </c>
      <c r="D12756" s="141">
        <f t="shared" si="1884"/>
        <v>45684</v>
      </c>
      <c r="E12756" s="275">
        <f t="shared" si="1885"/>
        <v>45684</v>
      </c>
      <c r="F12756" s="479" t="s">
        <v>275</v>
      </c>
      <c r="G12756" s="174" t="s">
        <v>74</v>
      </c>
      <c r="H12756" s="174" t="str" cm="1">
        <f t="array" ref="H12756">IFERROR(INDEX(INVESTOR_LIST[INVESTOR NAME],MATCH(I12756,INVESTOR_LIST[INVESTOR CODE],0),)," ")</f>
        <v xml:space="preserve"> </v>
      </c>
      <c r="I12756" s="148" t="s">
        <v>348</v>
      </c>
      <c r="J12756" s="149" t="s">
        <v>163</v>
      </c>
      <c r="K12756" s="218">
        <v>1575</v>
      </c>
      <c r="L12756" s="218"/>
    </row>
    <row r="12757" spans="1:17" x14ac:dyDescent="0.2">
      <c r="A12757" s="133">
        <v>2025</v>
      </c>
      <c r="B12757" s="133">
        <v>1</v>
      </c>
      <c r="C12757" s="133">
        <v>27</v>
      </c>
      <c r="D12757" s="141">
        <f t="shared" si="1884"/>
        <v>45684</v>
      </c>
      <c r="E12757" s="275">
        <f t="shared" si="1885"/>
        <v>45684</v>
      </c>
      <c r="F12757" s="481"/>
      <c r="G12757" s="174" t="s">
        <v>74</v>
      </c>
      <c r="H12757" s="174" t="str" cm="1">
        <f t="array" ref="H12757">IFERROR(INDEX(INVESTOR_LIST[INVESTOR NAME],MATCH(I12757,INVESTOR_LIST[INVESTOR CODE],0),)," ")</f>
        <v xml:space="preserve"> </v>
      </c>
      <c r="J12757" s="149" t="s">
        <v>1907</v>
      </c>
      <c r="K12757" s="218"/>
      <c r="L12757" s="218">
        <v>150</v>
      </c>
    </row>
    <row r="12758" spans="1:17" x14ac:dyDescent="0.2">
      <c r="A12758" s="163">
        <v>2025</v>
      </c>
      <c r="B12758" s="163">
        <v>1</v>
      </c>
      <c r="C12758" s="163">
        <v>27</v>
      </c>
      <c r="D12758" s="280">
        <f t="shared" si="1884"/>
        <v>45684</v>
      </c>
      <c r="E12758" s="281">
        <f t="shared" si="1885"/>
        <v>45684</v>
      </c>
      <c r="F12758" s="480"/>
      <c r="G12758" s="221" t="s">
        <v>74</v>
      </c>
      <c r="H12758" s="221" t="str" cm="1">
        <f t="array" ref="H12758">IFERROR(INDEX(INVESTOR_LIST[INVESTOR NAME],MATCH(I12758,INVESTOR_LIST[INVESTOR CODE],0),)," ")</f>
        <v xml:space="preserve"> </v>
      </c>
      <c r="I12758" s="145"/>
      <c r="J12758" s="146" t="s">
        <v>52</v>
      </c>
      <c r="K12758" s="219"/>
      <c r="L12758" s="219">
        <v>1425</v>
      </c>
    </row>
    <row r="12759" spans="1:17" x14ac:dyDescent="0.2">
      <c r="A12759" s="133">
        <v>2025</v>
      </c>
      <c r="B12759" s="133">
        <v>1</v>
      </c>
      <c r="C12759" s="133">
        <v>28</v>
      </c>
      <c r="D12759" s="147">
        <f>DATE(A12759,B12759,C12759)</f>
        <v>45685</v>
      </c>
      <c r="E12759" s="311">
        <f>DATE(A12759,B12759,C12759)</f>
        <v>45685</v>
      </c>
      <c r="F12759" s="481" t="s">
        <v>1943</v>
      </c>
      <c r="G12759" s="174" t="s">
        <v>74</v>
      </c>
      <c r="H12759" s="148" t="str" cm="1">
        <f t="array" ref="H12759">IFERROR(INDEX(INVESTOR_LIST[INVESTOR NAME],MATCH(I12759,INVESTOR_LIST[INVESTOR CODE],0),)," ")</f>
        <v xml:space="preserve"> </v>
      </c>
      <c r="I12759" s="148" t="s">
        <v>348</v>
      </c>
      <c r="J12759" s="133" t="s">
        <v>61</v>
      </c>
      <c r="K12759" s="172">
        <v>100</v>
      </c>
    </row>
    <row r="12760" spans="1:17" x14ac:dyDescent="0.2">
      <c r="A12760" s="163">
        <v>2025</v>
      </c>
      <c r="B12760" s="163">
        <v>1</v>
      </c>
      <c r="C12760" s="163">
        <v>28</v>
      </c>
      <c r="D12760" s="280">
        <f>DATE(A12760,B12760,C12760)</f>
        <v>45685</v>
      </c>
      <c r="E12760" s="281">
        <f>DATE(A12760,B12760,C12760)</f>
        <v>45685</v>
      </c>
      <c r="F12760" s="480"/>
      <c r="G12760" s="221" t="s">
        <v>74</v>
      </c>
      <c r="H12760" s="145" t="str" cm="1">
        <f t="array" ref="H12760">IFERROR(INDEX(INVESTOR_LIST[INVESTOR NAME],MATCH(I12760,INVESTOR_LIST[INVESTOR CODE],0),)," ")</f>
        <v xml:space="preserve"> </v>
      </c>
      <c r="I12760" s="145" t="s">
        <v>348</v>
      </c>
      <c r="J12760" s="163" t="s">
        <v>52</v>
      </c>
      <c r="K12760" s="219"/>
      <c r="L12760" s="219">
        <v>100</v>
      </c>
    </row>
    <row r="12761" spans="1:17" x14ac:dyDescent="0.2">
      <c r="A12761" s="133">
        <v>2025</v>
      </c>
      <c r="B12761" s="133">
        <v>1</v>
      </c>
      <c r="C12761" s="133">
        <v>28</v>
      </c>
      <c r="D12761" s="141">
        <f t="shared" ref="D12761:D12764" si="1888">DATE(A12761,B12761,C12761)</f>
        <v>45685</v>
      </c>
      <c r="E12761" s="275">
        <f t="shared" ref="E12761:E12764" si="1889">DATE(A12761,B12761,C12761)</f>
        <v>45685</v>
      </c>
      <c r="F12761" s="481" t="s">
        <v>1977</v>
      </c>
      <c r="G12761" s="174" t="s">
        <v>94</v>
      </c>
      <c r="H12761" s="174" t="str" cm="1">
        <f t="array" ref="H12761">IFERROR(INDEX(INVESTOR_LIST[INVESTOR NAME],MATCH(I12761,INVESTOR_LIST[INVESTOR CODE],0),)," ")</f>
        <v xml:space="preserve"> </v>
      </c>
      <c r="J12761" s="149" t="s">
        <v>190</v>
      </c>
      <c r="K12761" s="218">
        <v>1318711.1399999999</v>
      </c>
      <c r="L12761" s="133"/>
    </row>
    <row r="12762" spans="1:17" x14ac:dyDescent="0.2">
      <c r="A12762" s="133">
        <v>2025</v>
      </c>
      <c r="B12762" s="133">
        <v>1</v>
      </c>
      <c r="C12762" s="133">
        <v>28</v>
      </c>
      <c r="D12762" s="141">
        <f t="shared" si="1888"/>
        <v>45685</v>
      </c>
      <c r="E12762" s="275">
        <f t="shared" si="1889"/>
        <v>45685</v>
      </c>
      <c r="F12762" s="481"/>
      <c r="G12762" s="174" t="s">
        <v>94</v>
      </c>
      <c r="H12762" s="174" t="str" cm="1">
        <f t="array" ref="H12762">IFERROR(INDEX(INVESTOR_LIST[INVESTOR NAME],MATCH(I12762,INVESTOR_LIST[INVESTOR CODE],0),)," ")</f>
        <v xml:space="preserve"> </v>
      </c>
      <c r="J12762" s="149" t="s">
        <v>80</v>
      </c>
      <c r="K12762" s="218">
        <v>2377.96</v>
      </c>
      <c r="L12762" s="218"/>
      <c r="M12762" s="176"/>
    </row>
    <row r="12763" spans="1:17" x14ac:dyDescent="0.2">
      <c r="A12763" s="133">
        <v>2025</v>
      </c>
      <c r="B12763" s="133">
        <v>1</v>
      </c>
      <c r="C12763" s="133">
        <v>28</v>
      </c>
      <c r="D12763" s="141">
        <f t="shared" si="1888"/>
        <v>45685</v>
      </c>
      <c r="E12763" s="275">
        <f t="shared" si="1889"/>
        <v>45685</v>
      </c>
      <c r="F12763" s="481"/>
      <c r="G12763" s="174" t="s">
        <v>94</v>
      </c>
      <c r="H12763" s="174" t="str" cm="1">
        <f t="array" ref="H12763">IFERROR(INDEX(INVESTOR_LIST[INVESTOR NAME],MATCH(I12763,INVESTOR_LIST[INVESTOR CODE],0),)," ")</f>
        <v xml:space="preserve"> </v>
      </c>
      <c r="J12763" s="149" t="s">
        <v>191</v>
      </c>
      <c r="K12763" s="218">
        <v>616290.68999999994</v>
      </c>
      <c r="L12763" s="218"/>
    </row>
    <row r="12764" spans="1:17" x14ac:dyDescent="0.2">
      <c r="A12764" s="163">
        <v>2025</v>
      </c>
      <c r="B12764" s="163">
        <v>1</v>
      </c>
      <c r="C12764" s="163">
        <v>28</v>
      </c>
      <c r="D12764" s="280">
        <f t="shared" si="1888"/>
        <v>45685</v>
      </c>
      <c r="E12764" s="281">
        <f t="shared" si="1889"/>
        <v>45685</v>
      </c>
      <c r="F12764" s="480"/>
      <c r="G12764" s="221" t="s">
        <v>94</v>
      </c>
      <c r="H12764" s="145" t="str" cm="1">
        <f t="array" ref="H12764">IFERROR(INDEX(INVESTOR_LIST[INVESTOR NAME],MATCH(I12764,INVESTOR_LIST[INVESTOR CODE],0),)," ")</f>
        <v xml:space="preserve"> </v>
      </c>
      <c r="I12764" s="145"/>
      <c r="J12764" s="163" t="s">
        <v>79</v>
      </c>
      <c r="K12764" s="219"/>
      <c r="L12764" s="219">
        <v>1937379.79</v>
      </c>
    </row>
    <row r="12765" spans="1:17" x14ac:dyDescent="0.2">
      <c r="A12765" s="133">
        <v>2025</v>
      </c>
      <c r="B12765" s="133">
        <v>1</v>
      </c>
      <c r="C12765" s="133">
        <v>29</v>
      </c>
      <c r="D12765" s="141">
        <f t="shared" ref="D12765:D12798" si="1890">DATE(A12765,B12765,C12765)</f>
        <v>45686</v>
      </c>
      <c r="E12765" s="275">
        <f t="shared" ref="E12765:E12798" si="1891">DATE(A12765,B12765,C12765)</f>
        <v>45686</v>
      </c>
      <c r="F12765" s="479" t="s">
        <v>2030</v>
      </c>
      <c r="G12765" s="174" t="s">
        <v>74</v>
      </c>
      <c r="H12765" s="174" t="str" cm="1">
        <f t="array" ref="H12765">IFERROR(INDEX(INVESTOR_LIST[INVESTOR NAME],MATCH(I12765,INVESTOR_LIST[INVESTOR CODE],0),)," ")</f>
        <v xml:space="preserve"> </v>
      </c>
      <c r="I12765" s="148" t="s">
        <v>348</v>
      </c>
      <c r="J12765" s="143" t="s">
        <v>1805</v>
      </c>
      <c r="K12765" s="218">
        <v>1981803.98</v>
      </c>
      <c r="L12765" s="218"/>
      <c r="M12765" s="147"/>
      <c r="Q12765" s="133" t="s">
        <v>348</v>
      </c>
    </row>
    <row r="12766" spans="1:17" x14ac:dyDescent="0.2">
      <c r="A12766" s="163">
        <v>2025</v>
      </c>
      <c r="B12766" s="163">
        <v>1</v>
      </c>
      <c r="C12766" s="163">
        <v>29</v>
      </c>
      <c r="D12766" s="280">
        <f t="shared" si="1890"/>
        <v>45686</v>
      </c>
      <c r="E12766" s="281">
        <f t="shared" si="1891"/>
        <v>45686</v>
      </c>
      <c r="F12766" s="480"/>
      <c r="G12766" s="221" t="s">
        <v>74</v>
      </c>
      <c r="H12766" s="221" t="str" cm="1">
        <f t="array" ref="H12766">IFERROR(INDEX(INVESTOR_LIST[INVESTOR NAME],MATCH(I12766,INVESTOR_LIST[INVESTOR CODE],0),)," ")</f>
        <v xml:space="preserve"> </v>
      </c>
      <c r="I12766" s="145"/>
      <c r="J12766" s="146" t="s">
        <v>52</v>
      </c>
      <c r="K12766" s="219"/>
      <c r="L12766" s="219">
        <v>1981803.98</v>
      </c>
      <c r="M12766" s="147"/>
      <c r="Q12766" s="133" t="s">
        <v>348</v>
      </c>
    </row>
    <row r="12767" spans="1:17" x14ac:dyDescent="0.2">
      <c r="A12767" s="133">
        <v>2025</v>
      </c>
      <c r="B12767" s="133">
        <v>1</v>
      </c>
      <c r="C12767" s="133">
        <v>29</v>
      </c>
      <c r="D12767" s="141">
        <f t="shared" si="1890"/>
        <v>45686</v>
      </c>
      <c r="E12767" s="275">
        <f t="shared" si="1891"/>
        <v>45686</v>
      </c>
      <c r="F12767" s="481" t="s">
        <v>1977</v>
      </c>
      <c r="G12767" s="174" t="s">
        <v>94</v>
      </c>
      <c r="H12767" s="174" t="str" cm="1">
        <f t="array" ref="H12767">IFERROR(INDEX(INVESTOR_LIST[INVESTOR NAME],MATCH(I12767,INVESTOR_LIST[INVESTOR CODE],0),)," ")</f>
        <v xml:space="preserve"> </v>
      </c>
      <c r="J12767" s="149" t="s">
        <v>190</v>
      </c>
      <c r="K12767" s="218">
        <v>1400262</v>
      </c>
      <c r="L12767" s="133"/>
    </row>
    <row r="12768" spans="1:17" x14ac:dyDescent="0.2">
      <c r="A12768" s="133">
        <v>2025</v>
      </c>
      <c r="B12768" s="133">
        <v>1</v>
      </c>
      <c r="C12768" s="133">
        <v>29</v>
      </c>
      <c r="D12768" s="141">
        <f t="shared" si="1890"/>
        <v>45686</v>
      </c>
      <c r="E12768" s="275">
        <f t="shared" si="1891"/>
        <v>45686</v>
      </c>
      <c r="F12768" s="481"/>
      <c r="G12768" s="174" t="s">
        <v>94</v>
      </c>
      <c r="H12768" s="174" t="str" cm="1">
        <f t="array" ref="H12768">IFERROR(INDEX(INVESTOR_LIST[INVESTOR NAME],MATCH(I12768,INVESTOR_LIST[INVESTOR CODE],0),)," ")</f>
        <v xml:space="preserve"> </v>
      </c>
      <c r="J12768" s="149" t="s">
        <v>80</v>
      </c>
      <c r="K12768" s="218">
        <v>2525.1</v>
      </c>
      <c r="L12768" s="218"/>
      <c r="M12768" s="176"/>
    </row>
    <row r="12769" spans="1:13" x14ac:dyDescent="0.2">
      <c r="A12769" s="133">
        <v>2025</v>
      </c>
      <c r="B12769" s="133">
        <v>1</v>
      </c>
      <c r="C12769" s="133">
        <v>29</v>
      </c>
      <c r="D12769" s="141">
        <f t="shared" si="1890"/>
        <v>45686</v>
      </c>
      <c r="E12769" s="275">
        <f t="shared" si="1891"/>
        <v>45686</v>
      </c>
      <c r="F12769" s="481"/>
      <c r="G12769" s="174" t="s">
        <v>94</v>
      </c>
      <c r="H12769" s="174" t="str" cm="1">
        <f t="array" ref="H12769">IFERROR(INDEX(INVESTOR_LIST[INVESTOR NAME],MATCH(I12769,INVESTOR_LIST[INVESTOR CODE],0),)," ")</f>
        <v xml:space="preserve"> </v>
      </c>
      <c r="J12769" s="149" t="s">
        <v>191</v>
      </c>
      <c r="K12769" s="218">
        <v>701982.31</v>
      </c>
      <c r="L12769" s="218"/>
    </row>
    <row r="12770" spans="1:13" x14ac:dyDescent="0.2">
      <c r="A12770" s="163">
        <v>2025</v>
      </c>
      <c r="B12770" s="163">
        <v>1</v>
      </c>
      <c r="C12770" s="163">
        <v>29</v>
      </c>
      <c r="D12770" s="280">
        <f t="shared" si="1890"/>
        <v>45686</v>
      </c>
      <c r="E12770" s="281">
        <f t="shared" si="1891"/>
        <v>45686</v>
      </c>
      <c r="F12770" s="480"/>
      <c r="G12770" s="221" t="s">
        <v>94</v>
      </c>
      <c r="H12770" s="145" t="str" cm="1">
        <f t="array" ref="H12770">IFERROR(INDEX(INVESTOR_LIST[INVESTOR NAME],MATCH(I12770,INVESTOR_LIST[INVESTOR CODE],0),)," ")</f>
        <v xml:space="preserve"> </v>
      </c>
      <c r="I12770" s="145"/>
      <c r="J12770" s="163" t="s">
        <v>79</v>
      </c>
      <c r="K12770" s="219"/>
      <c r="L12770" s="219">
        <v>2104769.41</v>
      </c>
    </row>
    <row r="12771" spans="1:13" x14ac:dyDescent="0.2">
      <c r="A12771" s="168">
        <v>2025</v>
      </c>
      <c r="B12771" s="168">
        <v>1</v>
      </c>
      <c r="C12771" s="133">
        <v>30</v>
      </c>
      <c r="D12771" s="141">
        <f t="shared" si="1890"/>
        <v>45687</v>
      </c>
      <c r="E12771" s="275">
        <f t="shared" si="1891"/>
        <v>45687</v>
      </c>
      <c r="F12771" s="479" t="s">
        <v>1979</v>
      </c>
      <c r="G12771" s="220" t="s">
        <v>94</v>
      </c>
      <c r="H12771" s="220" t="str" cm="1">
        <f t="array" ref="H12771">IFERROR(INDEX(INVESTOR_LIST[INVESTOR NAME],MATCH(I12771,INVESTOR_LIST[INVESTOR CODE],0),)," ")</f>
        <v xml:space="preserve"> </v>
      </c>
      <c r="I12771" s="142"/>
      <c r="J12771" s="143" t="s">
        <v>79</v>
      </c>
      <c r="K12771" s="226">
        <v>379573</v>
      </c>
      <c r="L12771" s="226"/>
    </row>
    <row r="12772" spans="1:13" x14ac:dyDescent="0.2">
      <c r="A12772" s="133">
        <v>2025</v>
      </c>
      <c r="B12772" s="133">
        <v>1</v>
      </c>
      <c r="C12772" s="133">
        <v>30</v>
      </c>
      <c r="D12772" s="141">
        <f t="shared" si="1890"/>
        <v>45687</v>
      </c>
      <c r="E12772" s="275">
        <f t="shared" si="1891"/>
        <v>45687</v>
      </c>
      <c r="F12772" s="481"/>
      <c r="G12772" s="174" t="s">
        <v>94</v>
      </c>
      <c r="H12772" s="174" t="str" cm="1">
        <f t="array" ref="H12772">IFERROR(INDEX(INVESTOR_LIST[INVESTOR NAME],MATCH(I12772,INVESTOR_LIST[INVESTOR CODE],0),)," ")</f>
        <v xml:space="preserve"> </v>
      </c>
      <c r="J12772" s="149" t="s">
        <v>80</v>
      </c>
      <c r="K12772" s="218">
        <v>683.23140000000001</v>
      </c>
      <c r="L12772" s="133"/>
    </row>
    <row r="12773" spans="1:13" x14ac:dyDescent="0.2">
      <c r="A12773" s="163">
        <v>2025</v>
      </c>
      <c r="B12773" s="163">
        <v>1</v>
      </c>
      <c r="C12773" s="163">
        <v>30</v>
      </c>
      <c r="D12773" s="280">
        <f t="shared" si="1890"/>
        <v>45687</v>
      </c>
      <c r="E12773" s="281">
        <f t="shared" si="1891"/>
        <v>45687</v>
      </c>
      <c r="F12773" s="480"/>
      <c r="G12773" s="221" t="s">
        <v>94</v>
      </c>
      <c r="H12773" s="221" t="str" cm="1">
        <f t="array" ref="H12773">IFERROR(INDEX(INVESTOR_LIST[INVESTOR NAME],MATCH(I12773,INVESTOR_LIST[INVESTOR CODE],0),)," ")</f>
        <v xml:space="preserve"> </v>
      </c>
      <c r="I12773" s="145"/>
      <c r="J12773" s="146" t="s">
        <v>147</v>
      </c>
      <c r="K12773" s="219"/>
      <c r="L12773" s="219">
        <v>380256.23139999999</v>
      </c>
    </row>
    <row r="12774" spans="1:13" ht="11.25" customHeight="1" x14ac:dyDescent="0.2">
      <c r="A12774" s="168">
        <v>2025</v>
      </c>
      <c r="B12774" s="133">
        <v>1</v>
      </c>
      <c r="C12774" s="168">
        <v>30</v>
      </c>
      <c r="D12774" s="141">
        <f t="shared" si="1890"/>
        <v>45687</v>
      </c>
      <c r="E12774" s="275">
        <f t="shared" si="1891"/>
        <v>45687</v>
      </c>
      <c r="F12774" s="479" t="s">
        <v>2031</v>
      </c>
      <c r="G12774" s="220" t="s">
        <v>74</v>
      </c>
      <c r="H12774" s="220" t="str" cm="1">
        <f t="array" ref="H12774">IFERROR(INDEX(INVESTOR_LIST[INVESTOR NAME],MATCH(I12774,INVESTOR_LIST[INVESTOR CODE],0),)," ")</f>
        <v xml:space="preserve"> </v>
      </c>
      <c r="I12774" s="142"/>
      <c r="J12774" s="420" t="s">
        <v>52</v>
      </c>
      <c r="K12774" s="421">
        <v>1316186</v>
      </c>
      <c r="L12774" s="421"/>
    </row>
    <row r="12775" spans="1:13" x14ac:dyDescent="0.2">
      <c r="A12775" s="163">
        <v>2025</v>
      </c>
      <c r="B12775" s="163">
        <v>1</v>
      </c>
      <c r="C12775" s="163">
        <v>30</v>
      </c>
      <c r="D12775" s="280">
        <f t="shared" si="1890"/>
        <v>45687</v>
      </c>
      <c r="E12775" s="281">
        <f t="shared" si="1891"/>
        <v>45687</v>
      </c>
      <c r="F12775" s="480"/>
      <c r="G12775" s="221" t="s">
        <v>74</v>
      </c>
      <c r="H12775" s="221" t="str" cm="1">
        <f t="array" ref="H12775">IFERROR(INDEX(INVESTOR_LIST[INVESTOR NAME],MATCH(I12775,INVESTOR_LIST[INVESTOR CODE],0),)," ")</f>
        <v xml:space="preserve"> </v>
      </c>
      <c r="I12775" s="145"/>
      <c r="J12775" s="422" t="s">
        <v>190</v>
      </c>
      <c r="K12775" s="423"/>
      <c r="L12775" s="423">
        <v>1316186</v>
      </c>
    </row>
    <row r="12776" spans="1:13" x14ac:dyDescent="0.2">
      <c r="A12776" s="325">
        <v>2025</v>
      </c>
      <c r="B12776" s="325">
        <v>1</v>
      </c>
      <c r="C12776" s="325">
        <v>30</v>
      </c>
      <c r="D12776" s="326">
        <f t="shared" si="1890"/>
        <v>45687</v>
      </c>
      <c r="E12776" s="327">
        <f t="shared" si="1891"/>
        <v>45687</v>
      </c>
      <c r="F12776" s="473" t="s">
        <v>1940</v>
      </c>
      <c r="G12776" s="340" t="s">
        <v>94</v>
      </c>
      <c r="H12776" s="340" t="str" cm="1">
        <f t="array" ref="H12776">IFERROR(INDEX(INVESTOR_LIST[INVESTOR NAME],MATCH(I12776,INVESTOR_LIST[INVESTOR CODE],0),)," ")</f>
        <v xml:space="preserve"> </v>
      </c>
      <c r="I12776" s="341" t="s">
        <v>348</v>
      </c>
      <c r="J12776" s="374" t="s">
        <v>133</v>
      </c>
      <c r="K12776" s="375">
        <v>12905.56</v>
      </c>
      <c r="L12776" s="375"/>
    </row>
    <row r="12777" spans="1:13" x14ac:dyDescent="0.2">
      <c r="A12777" s="331">
        <v>2025</v>
      </c>
      <c r="B12777" s="331">
        <v>1</v>
      </c>
      <c r="C12777" s="331">
        <v>30</v>
      </c>
      <c r="D12777" s="326">
        <f t="shared" si="1890"/>
        <v>45687</v>
      </c>
      <c r="E12777" s="327">
        <f t="shared" si="1891"/>
        <v>45687</v>
      </c>
      <c r="F12777" s="474"/>
      <c r="G12777" s="332" t="s">
        <v>94</v>
      </c>
      <c r="H12777" s="332" t="str" cm="1">
        <f t="array" ref="H12777">IFERROR(INDEX(INVESTOR_LIST[INVESTOR NAME],MATCH(I12777,INVESTOR_LIST[INVESTOR CODE],0),)," ")</f>
        <v xml:space="preserve"> </v>
      </c>
      <c r="I12777" s="333" t="s">
        <v>348</v>
      </c>
      <c r="J12777" s="376" t="s">
        <v>60</v>
      </c>
      <c r="K12777" s="334"/>
      <c r="L12777" s="334">
        <v>12905.56</v>
      </c>
    </row>
    <row r="12778" spans="1:13" x14ac:dyDescent="0.2">
      <c r="A12778" s="325">
        <v>2025</v>
      </c>
      <c r="B12778" s="325">
        <v>1</v>
      </c>
      <c r="C12778" s="325">
        <v>30</v>
      </c>
      <c r="D12778" s="326">
        <f t="shared" si="1890"/>
        <v>45687</v>
      </c>
      <c r="E12778" s="327">
        <f t="shared" si="1891"/>
        <v>45687</v>
      </c>
      <c r="F12778" s="473" t="s">
        <v>2029</v>
      </c>
      <c r="G12778" s="340" t="s">
        <v>94</v>
      </c>
      <c r="H12778" s="340" t="str" cm="1">
        <f t="array" ref="H12778">IFERROR(INDEX(INVESTOR_LIST[INVESTOR NAME],MATCH(I12778,INVESTOR_LIST[INVESTOR CODE],0),)," ")</f>
        <v xml:space="preserve"> </v>
      </c>
      <c r="I12778" s="341" t="s">
        <v>348</v>
      </c>
      <c r="J12778" s="374" t="s">
        <v>133</v>
      </c>
      <c r="K12778" s="375">
        <v>14134.615384615385</v>
      </c>
      <c r="L12778" s="375"/>
    </row>
    <row r="12779" spans="1:13" x14ac:dyDescent="0.2">
      <c r="A12779" s="331">
        <v>2025</v>
      </c>
      <c r="B12779" s="331">
        <v>1</v>
      </c>
      <c r="C12779" s="331">
        <v>30</v>
      </c>
      <c r="D12779" s="326">
        <f t="shared" si="1890"/>
        <v>45687</v>
      </c>
      <c r="E12779" s="327">
        <f t="shared" si="1891"/>
        <v>45687</v>
      </c>
      <c r="F12779" s="474"/>
      <c r="G12779" s="332" t="s">
        <v>94</v>
      </c>
      <c r="H12779" s="332" t="str" cm="1">
        <f t="array" ref="H12779">IFERROR(INDEX(INVESTOR_LIST[INVESTOR NAME],MATCH(I12779,INVESTOR_LIST[INVESTOR CODE],0),)," ")</f>
        <v xml:space="preserve"> </v>
      </c>
      <c r="I12779" s="333" t="s">
        <v>348</v>
      </c>
      <c r="J12779" s="376" t="s">
        <v>60</v>
      </c>
      <c r="K12779" s="334"/>
      <c r="L12779" s="334">
        <f>K12778</f>
        <v>14134.615384615385</v>
      </c>
    </row>
    <row r="12780" spans="1:13" x14ac:dyDescent="0.2">
      <c r="A12780" s="384">
        <v>2025</v>
      </c>
      <c r="B12780" s="384">
        <v>1</v>
      </c>
      <c r="C12780" s="384">
        <v>30</v>
      </c>
      <c r="D12780" s="385">
        <f t="shared" si="1890"/>
        <v>45687</v>
      </c>
      <c r="E12780" s="386">
        <f t="shared" si="1891"/>
        <v>45687</v>
      </c>
      <c r="F12780" s="475" t="s">
        <v>1966</v>
      </c>
      <c r="G12780" s="387" t="s">
        <v>94</v>
      </c>
      <c r="H12780" s="387" t="str" cm="1">
        <f t="array" ref="H12780">IFERROR(INDEX(INVESTOR_LIST[INVESTOR NAME],MATCH(I12780,INVESTOR_LIST[INVESTOR CODE],0),)," ")</f>
        <v xml:space="preserve"> </v>
      </c>
      <c r="I12780" s="388" t="s">
        <v>348</v>
      </c>
      <c r="J12780" s="389" t="s">
        <v>67</v>
      </c>
      <c r="K12780" s="390">
        <v>21627</v>
      </c>
      <c r="L12780" s="390"/>
    </row>
    <row r="12781" spans="1:13" x14ac:dyDescent="0.2">
      <c r="A12781" s="391">
        <v>2025</v>
      </c>
      <c r="B12781" s="391">
        <v>1</v>
      </c>
      <c r="C12781" s="391">
        <v>30</v>
      </c>
      <c r="D12781" s="385">
        <f t="shared" si="1890"/>
        <v>45687</v>
      </c>
      <c r="E12781" s="386">
        <f t="shared" si="1891"/>
        <v>45687</v>
      </c>
      <c r="F12781" s="476"/>
      <c r="G12781" s="392" t="s">
        <v>94</v>
      </c>
      <c r="H12781" s="392" t="str" cm="1">
        <f t="array" ref="H12781">IFERROR(INDEX(INVESTOR_LIST[INVESTOR NAME],MATCH(I12781,INVESTOR_LIST[INVESTOR CODE],0),)," ")</f>
        <v xml:space="preserve"> </v>
      </c>
      <c r="I12781" s="393" t="s">
        <v>348</v>
      </c>
      <c r="J12781" s="394" t="s">
        <v>60</v>
      </c>
      <c r="K12781" s="395"/>
      <c r="L12781" s="395">
        <f>K12780</f>
        <v>21627</v>
      </c>
    </row>
    <row r="12782" spans="1:13" x14ac:dyDescent="0.2">
      <c r="A12782" s="343">
        <v>2025</v>
      </c>
      <c r="B12782" s="343">
        <v>1</v>
      </c>
      <c r="C12782" s="343">
        <v>30</v>
      </c>
      <c r="D12782" s="344">
        <f t="shared" si="1890"/>
        <v>45687</v>
      </c>
      <c r="E12782" s="345">
        <f t="shared" si="1891"/>
        <v>45687</v>
      </c>
      <c r="F12782" s="483" t="s">
        <v>1813</v>
      </c>
      <c r="G12782" s="350" t="s">
        <v>94</v>
      </c>
      <c r="H12782" s="350" t="str" cm="1">
        <f t="array" ref="H12782">IFERROR(INDEX(INVESTOR_LIST[INVESTOR NAME],MATCH(I12782,INVESTOR_LIST[INVESTOR CODE],0),)," ")</f>
        <v xml:space="preserve"> </v>
      </c>
      <c r="I12782" s="352" t="s">
        <v>348</v>
      </c>
      <c r="J12782" s="353" t="s">
        <v>1807</v>
      </c>
      <c r="K12782" s="354">
        <v>0</v>
      </c>
      <c r="L12782" s="354"/>
      <c r="M12782" s="133">
        <v>0</v>
      </c>
    </row>
    <row r="12783" spans="1:13" x14ac:dyDescent="0.2">
      <c r="A12783" s="346">
        <v>2025</v>
      </c>
      <c r="B12783" s="346">
        <v>1</v>
      </c>
      <c r="C12783" s="346">
        <v>30</v>
      </c>
      <c r="D12783" s="344">
        <f t="shared" si="1890"/>
        <v>45687</v>
      </c>
      <c r="E12783" s="345">
        <f t="shared" si="1891"/>
        <v>45687</v>
      </c>
      <c r="F12783" s="484"/>
      <c r="G12783" s="347" t="s">
        <v>94</v>
      </c>
      <c r="H12783" s="347" t="str" cm="1">
        <f t="array" ref="H12783">IFERROR(INDEX(INVESTOR_LIST[INVESTOR NAME],MATCH(I12783,INVESTOR_LIST[INVESTOR CODE],0),)," ")</f>
        <v xml:space="preserve"> </v>
      </c>
      <c r="I12783" s="348" t="s">
        <v>348</v>
      </c>
      <c r="J12783" s="355" t="s">
        <v>1798</v>
      </c>
      <c r="K12783" s="349"/>
      <c r="L12783" s="349">
        <v>0</v>
      </c>
    </row>
    <row r="12784" spans="1:13" x14ac:dyDescent="0.2">
      <c r="A12784" s="343">
        <v>2025</v>
      </c>
      <c r="B12784" s="343">
        <v>1</v>
      </c>
      <c r="C12784" s="343">
        <v>30</v>
      </c>
      <c r="D12784" s="344">
        <f t="shared" si="1890"/>
        <v>45687</v>
      </c>
      <c r="E12784" s="345">
        <f t="shared" si="1891"/>
        <v>45687</v>
      </c>
      <c r="F12784" s="483" t="s">
        <v>1913</v>
      </c>
      <c r="G12784" s="350" t="s">
        <v>94</v>
      </c>
      <c r="H12784" s="350" t="str" cm="1">
        <f t="array" ref="H12784">IFERROR(INDEX(INVESTOR_LIST[INVESTOR NAME],MATCH(I12784,INVESTOR_LIST[INVESTOR CODE],0),)," ")</f>
        <v xml:space="preserve"> </v>
      </c>
      <c r="I12784" s="352" t="s">
        <v>348</v>
      </c>
      <c r="J12784" s="353" t="s">
        <v>1799</v>
      </c>
      <c r="K12784" s="354">
        <v>37912.739999994636</v>
      </c>
      <c r="L12784" s="354"/>
      <c r="M12784" s="133">
        <v>0</v>
      </c>
    </row>
    <row r="12785" spans="1:13" x14ac:dyDescent="0.2">
      <c r="A12785" s="346">
        <v>2025</v>
      </c>
      <c r="B12785" s="346">
        <v>1</v>
      </c>
      <c r="C12785" s="346">
        <v>30</v>
      </c>
      <c r="D12785" s="344">
        <f t="shared" si="1890"/>
        <v>45687</v>
      </c>
      <c r="E12785" s="345">
        <f t="shared" si="1891"/>
        <v>45687</v>
      </c>
      <c r="F12785" s="484"/>
      <c r="G12785" s="347" t="s">
        <v>94</v>
      </c>
      <c r="H12785" s="347" t="str" cm="1">
        <f t="array" ref="H12785">IFERROR(INDEX(INVESTOR_LIST[INVESTOR NAME],MATCH(I12785,INVESTOR_LIST[INVESTOR CODE],0),)," ")</f>
        <v xml:space="preserve"> </v>
      </c>
      <c r="I12785" s="348" t="s">
        <v>348</v>
      </c>
      <c r="J12785" s="355" t="s">
        <v>1808</v>
      </c>
      <c r="K12785" s="349"/>
      <c r="L12785" s="349">
        <f>K12784</f>
        <v>37912.739999994636</v>
      </c>
    </row>
    <row r="12786" spans="1:13" x14ac:dyDescent="0.2">
      <c r="A12786" s="238">
        <v>2025</v>
      </c>
      <c r="B12786" s="238">
        <v>1</v>
      </c>
      <c r="C12786" s="238">
        <v>30</v>
      </c>
      <c r="D12786" s="270">
        <f t="shared" si="1890"/>
        <v>45687</v>
      </c>
      <c r="E12786" s="279">
        <f t="shared" si="1891"/>
        <v>45687</v>
      </c>
      <c r="F12786" s="477" t="s">
        <v>347</v>
      </c>
      <c r="G12786" s="239" t="s">
        <v>94</v>
      </c>
      <c r="H12786" s="239" t="str" cm="1">
        <f t="array" ref="H12786">IFERROR(INDEX(INVESTOR_LIST[INVESTOR NAME],MATCH(I12786,INVESTOR_LIST[INVESTOR CODE],0),)," ")</f>
        <v xml:space="preserve"> </v>
      </c>
      <c r="I12786" s="262" t="s">
        <v>348</v>
      </c>
      <c r="J12786" s="240" t="s">
        <v>108</v>
      </c>
      <c r="K12786" s="241">
        <v>1917331.5399999768</v>
      </c>
      <c r="L12786" s="241"/>
      <c r="M12786" s="133">
        <v>13139541.900000483</v>
      </c>
    </row>
    <row r="12787" spans="1:13" x14ac:dyDescent="0.2">
      <c r="A12787" s="242">
        <v>2025</v>
      </c>
      <c r="B12787" s="242">
        <v>1</v>
      </c>
      <c r="C12787" s="242">
        <v>30</v>
      </c>
      <c r="D12787" s="270">
        <f t="shared" si="1890"/>
        <v>45687</v>
      </c>
      <c r="E12787" s="279">
        <f t="shared" si="1891"/>
        <v>45687</v>
      </c>
      <c r="F12787" s="478"/>
      <c r="G12787" s="243" t="s">
        <v>94</v>
      </c>
      <c r="H12787" s="243" t="str" cm="1">
        <f t="array" ref="H12787">IFERROR(INDEX(INVESTOR_LIST[INVESTOR NAME],MATCH(I12787,INVESTOR_LIST[INVESTOR CODE],0),)," ")</f>
        <v xml:space="preserve"> </v>
      </c>
      <c r="I12787" s="263" t="s">
        <v>348</v>
      </c>
      <c r="J12787" s="244" t="s">
        <v>82</v>
      </c>
      <c r="K12787" s="245"/>
      <c r="L12787" s="245">
        <f>K12786</f>
        <v>1917331.5399999768</v>
      </c>
    </row>
    <row r="12788" spans="1:13" ht="22.5" x14ac:dyDescent="0.2">
      <c r="A12788" s="246">
        <v>2025</v>
      </c>
      <c r="B12788" s="238">
        <v>1</v>
      </c>
      <c r="C12788" s="238">
        <v>30</v>
      </c>
      <c r="D12788" s="270">
        <f t="shared" si="1890"/>
        <v>45687</v>
      </c>
      <c r="E12788" s="279">
        <f t="shared" si="1891"/>
        <v>45687</v>
      </c>
      <c r="F12788" s="482" t="s">
        <v>148</v>
      </c>
      <c r="G12788" s="247" t="s">
        <v>94</v>
      </c>
      <c r="H12788" s="247" t="str" cm="1">
        <f t="array" ref="H12788">IFERROR(INDEX(INVESTOR_LIST[INVESTOR NAME],MATCH(I12788,INVESTOR_LIST[INVESTOR CODE],0),)," ")</f>
        <v xml:space="preserve"> </v>
      </c>
      <c r="I12788" s="248" t="s">
        <v>348</v>
      </c>
      <c r="J12788" s="249" t="s">
        <v>95</v>
      </c>
      <c r="K12788" s="250">
        <v>2747.2527472527472</v>
      </c>
      <c r="L12788" s="241"/>
    </row>
    <row r="12789" spans="1:13" x14ac:dyDescent="0.2">
      <c r="A12789" s="242">
        <v>2025</v>
      </c>
      <c r="B12789" s="242">
        <v>1</v>
      </c>
      <c r="C12789" s="242">
        <v>30</v>
      </c>
      <c r="D12789" s="270">
        <f t="shared" si="1890"/>
        <v>45687</v>
      </c>
      <c r="E12789" s="279">
        <f t="shared" si="1891"/>
        <v>45687</v>
      </c>
      <c r="F12789" s="478"/>
      <c r="G12789" s="243" t="s">
        <v>94</v>
      </c>
      <c r="H12789" s="243" t="str" cm="1">
        <f t="array" ref="H12789">IFERROR(INDEX(INVESTOR_LIST[INVESTOR NAME],MATCH(I12789,INVESTOR_LIST[INVESTOR CODE],0),)," ")</f>
        <v xml:space="preserve"> </v>
      </c>
      <c r="I12789" s="263" t="s">
        <v>348</v>
      </c>
      <c r="J12789" s="244" t="s">
        <v>63</v>
      </c>
      <c r="K12789" s="245"/>
      <c r="L12789" s="245">
        <v>2747.2527472527472</v>
      </c>
    </row>
    <row r="12790" spans="1:13" x14ac:dyDescent="0.2">
      <c r="A12790" s="246">
        <v>2025</v>
      </c>
      <c r="B12790" s="238">
        <v>1</v>
      </c>
      <c r="C12790" s="238">
        <v>30</v>
      </c>
      <c r="D12790" s="270">
        <f t="shared" si="1890"/>
        <v>45687</v>
      </c>
      <c r="E12790" s="279">
        <f t="shared" si="1891"/>
        <v>45687</v>
      </c>
      <c r="F12790" s="482" t="s">
        <v>137</v>
      </c>
      <c r="G12790" s="247" t="s">
        <v>94</v>
      </c>
      <c r="H12790" s="247" t="str" cm="1">
        <f t="array" ref="H12790">IFERROR(INDEX(INVESTOR_LIST[INVESTOR NAME],MATCH(I12790,INVESTOR_LIST[INVESTOR CODE],0),)," ")</f>
        <v xml:space="preserve"> </v>
      </c>
      <c r="I12790" s="248" t="s">
        <v>348</v>
      </c>
      <c r="J12790" s="249" t="s">
        <v>97</v>
      </c>
      <c r="K12790" s="250">
        <f>M12790</f>
        <v>58740.698268825996</v>
      </c>
      <c r="L12790" s="252"/>
      <c r="M12790" s="133">
        <v>58740.698268825996</v>
      </c>
    </row>
    <row r="12791" spans="1:13" x14ac:dyDescent="0.2">
      <c r="A12791" s="242">
        <v>2025</v>
      </c>
      <c r="B12791" s="242">
        <v>1</v>
      </c>
      <c r="C12791" s="242">
        <v>30</v>
      </c>
      <c r="D12791" s="270">
        <f t="shared" si="1890"/>
        <v>45687</v>
      </c>
      <c r="E12791" s="279">
        <f t="shared" si="1891"/>
        <v>45687</v>
      </c>
      <c r="F12791" s="478"/>
      <c r="G12791" s="243" t="s">
        <v>94</v>
      </c>
      <c r="H12791" s="243" t="str" cm="1">
        <f t="array" ref="H12791">IFERROR(INDEX(INVESTOR_LIST[INVESTOR NAME],MATCH(I12791,INVESTOR_LIST[INVESTOR CODE],0),)," ")</f>
        <v xml:space="preserve"> </v>
      </c>
      <c r="I12791" s="263" t="s">
        <v>348</v>
      </c>
      <c r="J12791" s="244" t="s">
        <v>47</v>
      </c>
      <c r="K12791" s="245"/>
      <c r="L12791" s="245">
        <f>K12790</f>
        <v>58740.698268825996</v>
      </c>
      <c r="M12791" s="133">
        <v>2696.6502980566847</v>
      </c>
    </row>
    <row r="12792" spans="1:13" x14ac:dyDescent="0.2">
      <c r="A12792" s="246">
        <v>2025</v>
      </c>
      <c r="B12792" s="238">
        <v>1</v>
      </c>
      <c r="C12792" s="238">
        <v>30</v>
      </c>
      <c r="D12792" s="270">
        <f t="shared" si="1890"/>
        <v>45687</v>
      </c>
      <c r="E12792" s="279">
        <f t="shared" si="1891"/>
        <v>45687</v>
      </c>
      <c r="F12792" s="482" t="s">
        <v>138</v>
      </c>
      <c r="G12792" s="247" t="s">
        <v>94</v>
      </c>
      <c r="H12792" s="247" t="str" cm="1">
        <f t="array" ref="H12792">IFERROR(INDEX(INVESTOR_LIST[INVESTOR NAME],MATCH(I12792,INVESTOR_LIST[INVESTOR CODE],0),)," ")</f>
        <v xml:space="preserve"> </v>
      </c>
      <c r="I12792" s="248" t="s">
        <v>348</v>
      </c>
      <c r="J12792" s="249" t="s">
        <v>100</v>
      </c>
      <c r="K12792" s="250">
        <f>M12791</f>
        <v>2696.6502980566847</v>
      </c>
      <c r="L12792" s="252"/>
    </row>
    <row r="12793" spans="1:13" x14ac:dyDescent="0.2">
      <c r="A12793" s="242">
        <v>2025</v>
      </c>
      <c r="B12793" s="242">
        <v>1</v>
      </c>
      <c r="C12793" s="242">
        <v>30</v>
      </c>
      <c r="D12793" s="321">
        <f t="shared" si="1890"/>
        <v>45687</v>
      </c>
      <c r="E12793" s="322">
        <f t="shared" si="1891"/>
        <v>45687</v>
      </c>
      <c r="F12793" s="478"/>
      <c r="G12793" s="243" t="s">
        <v>94</v>
      </c>
      <c r="H12793" s="243" t="str" cm="1">
        <f t="array" ref="H12793">IFERROR(INDEX(INVESTOR_LIST[INVESTOR NAME],MATCH(I12793,INVESTOR_LIST[INVESTOR CODE],0),)," ")</f>
        <v xml:space="preserve"> </v>
      </c>
      <c r="I12793" s="263" t="s">
        <v>348</v>
      </c>
      <c r="J12793" s="244" t="s">
        <v>48</v>
      </c>
      <c r="K12793" s="245"/>
      <c r="L12793" s="245">
        <f>K12792</f>
        <v>2696.6502980566847</v>
      </c>
    </row>
    <row r="12794" spans="1:13" x14ac:dyDescent="0.2">
      <c r="A12794" s="168">
        <v>2025</v>
      </c>
      <c r="B12794" s="168">
        <v>2</v>
      </c>
      <c r="C12794" s="133">
        <v>2</v>
      </c>
      <c r="D12794" s="141">
        <f t="shared" ref="D12794:D12796" si="1892">DATE(A12794,B12794,C12794)</f>
        <v>45690</v>
      </c>
      <c r="E12794" s="275">
        <f t="shared" ref="E12794:E12796" si="1893">DATE(A12794,B12794,C12794)</f>
        <v>45690</v>
      </c>
      <c r="F12794" s="479" t="s">
        <v>1979</v>
      </c>
      <c r="G12794" s="220" t="s">
        <v>94</v>
      </c>
      <c r="H12794" s="220" t="str" cm="1">
        <f t="array" ref="H12794">IFERROR(INDEX(INVESTOR_LIST[INVESTOR NAME],MATCH(I12794,INVESTOR_LIST[INVESTOR CODE],0),)," ")</f>
        <v xml:space="preserve"> </v>
      </c>
      <c r="I12794" s="142"/>
      <c r="J12794" s="143" t="s">
        <v>79</v>
      </c>
      <c r="K12794" s="226">
        <v>267100</v>
      </c>
      <c r="L12794" s="226"/>
    </row>
    <row r="12795" spans="1:13" x14ac:dyDescent="0.2">
      <c r="A12795" s="133">
        <v>2025</v>
      </c>
      <c r="B12795" s="133">
        <v>2</v>
      </c>
      <c r="C12795" s="133">
        <v>2</v>
      </c>
      <c r="D12795" s="141">
        <f t="shared" si="1892"/>
        <v>45690</v>
      </c>
      <c r="E12795" s="275">
        <f t="shared" si="1893"/>
        <v>45690</v>
      </c>
      <c r="F12795" s="481"/>
      <c r="G12795" s="174" t="s">
        <v>94</v>
      </c>
      <c r="H12795" s="174" t="str" cm="1">
        <f t="array" ref="H12795">IFERROR(INDEX(INVESTOR_LIST[INVESTOR NAME],MATCH(I12795,INVESTOR_LIST[INVESTOR CODE],0),)," ")</f>
        <v xml:space="preserve"> </v>
      </c>
      <c r="J12795" s="149" t="s">
        <v>80</v>
      </c>
      <c r="K12795" s="218">
        <v>480.78</v>
      </c>
      <c r="L12795" s="133"/>
    </row>
    <row r="12796" spans="1:13" x14ac:dyDescent="0.2">
      <c r="A12796" s="163">
        <v>2025</v>
      </c>
      <c r="B12796" s="163">
        <v>2</v>
      </c>
      <c r="C12796" s="163">
        <v>2</v>
      </c>
      <c r="D12796" s="280">
        <f t="shared" si="1892"/>
        <v>45690</v>
      </c>
      <c r="E12796" s="281">
        <f t="shared" si="1893"/>
        <v>45690</v>
      </c>
      <c r="F12796" s="480"/>
      <c r="G12796" s="221" t="s">
        <v>94</v>
      </c>
      <c r="H12796" s="221" t="str" cm="1">
        <f t="array" ref="H12796">IFERROR(INDEX(INVESTOR_LIST[INVESTOR NAME],MATCH(I12796,INVESTOR_LIST[INVESTOR CODE],0),)," ")</f>
        <v xml:space="preserve"> </v>
      </c>
      <c r="I12796" s="145"/>
      <c r="J12796" s="146" t="s">
        <v>147</v>
      </c>
      <c r="K12796" s="219"/>
      <c r="L12796" s="219">
        <v>267580.78000000003</v>
      </c>
    </row>
    <row r="12797" spans="1:13" x14ac:dyDescent="0.2">
      <c r="A12797" s="168">
        <v>2025</v>
      </c>
      <c r="B12797" s="133">
        <v>2</v>
      </c>
      <c r="C12797" s="168">
        <v>3</v>
      </c>
      <c r="D12797" s="141">
        <f t="shared" si="1890"/>
        <v>45691</v>
      </c>
      <c r="E12797" s="275">
        <f t="shared" si="1891"/>
        <v>45691</v>
      </c>
      <c r="F12797" s="479" t="s">
        <v>2002</v>
      </c>
      <c r="G12797" s="220" t="s">
        <v>74</v>
      </c>
      <c r="H12797" s="220" t="str" cm="1">
        <f t="array" ref="H12797">IFERROR(INDEX(INVESTOR_LIST[INVESTOR NAME],MATCH(I12797,INVESTOR_LIST[INVESTOR CODE],0),)," ")</f>
        <v xml:space="preserve"> </v>
      </c>
      <c r="I12797" s="142"/>
      <c r="J12797" s="143" t="s">
        <v>147</v>
      </c>
      <c r="K12797" s="226">
        <v>380256.23</v>
      </c>
      <c r="L12797" s="226"/>
    </row>
    <row r="12798" spans="1:13" x14ac:dyDescent="0.2">
      <c r="A12798" s="163">
        <v>2025</v>
      </c>
      <c r="B12798" s="163">
        <v>2</v>
      </c>
      <c r="C12798" s="163">
        <v>3</v>
      </c>
      <c r="D12798" s="280">
        <f t="shared" si="1890"/>
        <v>45691</v>
      </c>
      <c r="E12798" s="281">
        <f t="shared" si="1891"/>
        <v>45691</v>
      </c>
      <c r="F12798" s="480"/>
      <c r="G12798" s="221" t="s">
        <v>74</v>
      </c>
      <c r="H12798" s="221" t="str" cm="1">
        <f t="array" ref="H12798">IFERROR(INDEX(INVESTOR_LIST[INVESTOR NAME],MATCH(I12798,INVESTOR_LIST[INVESTOR CODE],0),)," ")</f>
        <v xml:space="preserve"> </v>
      </c>
      <c r="I12798" s="145" t="s">
        <v>348</v>
      </c>
      <c r="J12798" s="146" t="s">
        <v>52</v>
      </c>
      <c r="K12798" s="219"/>
      <c r="L12798" s="219">
        <v>380256.23</v>
      </c>
    </row>
    <row r="12799" spans="1:13" ht="11.25" customHeight="1" x14ac:dyDescent="0.2">
      <c r="A12799" s="168">
        <v>2025</v>
      </c>
      <c r="B12799" s="133">
        <v>2</v>
      </c>
      <c r="C12799" s="168">
        <v>3</v>
      </c>
      <c r="D12799" s="141">
        <f t="shared" ref="D12799:D12807" si="1894">DATE(A12799,B12799,C12799)</f>
        <v>45691</v>
      </c>
      <c r="E12799" s="275">
        <f t="shared" ref="E12799:E12807" si="1895">DATE(A12799,B12799,C12799)</f>
        <v>45691</v>
      </c>
      <c r="F12799" s="479" t="s">
        <v>2031</v>
      </c>
      <c r="G12799" s="220" t="s">
        <v>74</v>
      </c>
      <c r="H12799" s="220" t="str" cm="1">
        <f t="array" ref="H12799">IFERROR(INDEX(INVESTOR_LIST[INVESTOR NAME],MATCH(I12799,INVESTOR_LIST[INVESTOR CODE],0),)," ")</f>
        <v xml:space="preserve"> </v>
      </c>
      <c r="I12799" s="142"/>
      <c r="J12799" s="143" t="s">
        <v>52</v>
      </c>
      <c r="K12799" s="226">
        <v>1400262</v>
      </c>
      <c r="L12799" s="226"/>
    </row>
    <row r="12800" spans="1:13" x14ac:dyDescent="0.2">
      <c r="A12800" s="163">
        <v>2025</v>
      </c>
      <c r="B12800" s="163">
        <v>2</v>
      </c>
      <c r="C12800" s="163">
        <v>3</v>
      </c>
      <c r="D12800" s="280">
        <f t="shared" si="1894"/>
        <v>45691</v>
      </c>
      <c r="E12800" s="281">
        <f t="shared" si="1895"/>
        <v>45691</v>
      </c>
      <c r="F12800" s="480"/>
      <c r="G12800" s="221" t="s">
        <v>74</v>
      </c>
      <c r="H12800" s="221" t="str" cm="1">
        <f t="array" ref="H12800">IFERROR(INDEX(INVESTOR_LIST[INVESTOR NAME],MATCH(I12800,INVESTOR_LIST[INVESTOR CODE],0),)," ")</f>
        <v xml:space="preserve"> </v>
      </c>
      <c r="I12800" s="145"/>
      <c r="J12800" s="146" t="s">
        <v>190</v>
      </c>
      <c r="K12800" s="219"/>
      <c r="L12800" s="219">
        <v>1400262</v>
      </c>
    </row>
    <row r="12801" spans="1:12" x14ac:dyDescent="0.2">
      <c r="A12801" s="168">
        <v>2025</v>
      </c>
      <c r="B12801" s="133">
        <v>2</v>
      </c>
      <c r="C12801" s="168">
        <v>3</v>
      </c>
      <c r="D12801" s="147">
        <f>DATE(A12801,B12801,C12801)</f>
        <v>45691</v>
      </c>
      <c r="E12801" s="311">
        <f>DATE(A12801,B12801,C12801)</f>
        <v>45691</v>
      </c>
      <c r="F12801" s="481" t="s">
        <v>1943</v>
      </c>
      <c r="G12801" s="174" t="s">
        <v>74</v>
      </c>
      <c r="H12801" s="148" t="str" cm="1">
        <f t="array" ref="H12801">IFERROR(INDEX(INVESTOR_LIST[INVESTOR NAME],MATCH(I12801,INVESTOR_LIST[INVESTOR CODE],0),)," ")</f>
        <v xml:space="preserve"> </v>
      </c>
      <c r="I12801" s="148" t="s">
        <v>348</v>
      </c>
      <c r="J12801" s="133" t="s">
        <v>61</v>
      </c>
      <c r="K12801" s="172">
        <v>58</v>
      </c>
    </row>
    <row r="12802" spans="1:12" x14ac:dyDescent="0.2">
      <c r="A12802" s="163">
        <v>2025</v>
      </c>
      <c r="B12802" s="163">
        <v>2</v>
      </c>
      <c r="C12802" s="163">
        <v>3</v>
      </c>
      <c r="D12802" s="280">
        <f>DATE(A12802,B12802,C12802)</f>
        <v>45691</v>
      </c>
      <c r="E12802" s="281">
        <f>DATE(A12802,B12802,C12802)</f>
        <v>45691</v>
      </c>
      <c r="F12802" s="480"/>
      <c r="G12802" s="221" t="s">
        <v>74</v>
      </c>
      <c r="H12802" s="145" t="str" cm="1">
        <f t="array" ref="H12802">IFERROR(INDEX(INVESTOR_LIST[INVESTOR NAME],MATCH(I12802,INVESTOR_LIST[INVESTOR CODE],0),)," ")</f>
        <v xml:space="preserve"> </v>
      </c>
      <c r="I12802" s="145" t="s">
        <v>348</v>
      </c>
      <c r="J12802" s="163" t="s">
        <v>52</v>
      </c>
      <c r="K12802" s="219"/>
      <c r="L12802" s="219">
        <v>58</v>
      </c>
    </row>
    <row r="12803" spans="1:12" x14ac:dyDescent="0.2">
      <c r="A12803" s="168">
        <v>2025</v>
      </c>
      <c r="B12803" s="168">
        <v>2</v>
      </c>
      <c r="C12803" s="133">
        <v>4</v>
      </c>
      <c r="D12803" s="141">
        <f t="shared" ref="D12803:D12805" si="1896">DATE(A12803,B12803,C12803)</f>
        <v>45692</v>
      </c>
      <c r="E12803" s="275">
        <f t="shared" ref="E12803:E12805" si="1897">DATE(A12803,B12803,C12803)</f>
        <v>45692</v>
      </c>
      <c r="F12803" s="479" t="s">
        <v>1979</v>
      </c>
      <c r="G12803" s="220" t="s">
        <v>94</v>
      </c>
      <c r="H12803" s="220" t="str" cm="1">
        <f t="array" ref="H12803">IFERROR(INDEX(INVESTOR_LIST[INVESTOR NAME],MATCH(I12803,INVESTOR_LIST[INVESTOR CODE],0),)," ")</f>
        <v xml:space="preserve"> </v>
      </c>
      <c r="I12803" s="142"/>
      <c r="J12803" s="143" t="s">
        <v>79</v>
      </c>
      <c r="K12803" s="226">
        <v>1451170</v>
      </c>
      <c r="L12803" s="226"/>
    </row>
    <row r="12804" spans="1:12" x14ac:dyDescent="0.2">
      <c r="A12804" s="133">
        <v>2025</v>
      </c>
      <c r="B12804" s="133">
        <v>2</v>
      </c>
      <c r="C12804" s="133">
        <v>4</v>
      </c>
      <c r="D12804" s="141">
        <f t="shared" si="1896"/>
        <v>45692</v>
      </c>
      <c r="E12804" s="275">
        <f t="shared" si="1897"/>
        <v>45692</v>
      </c>
      <c r="F12804" s="481"/>
      <c r="G12804" s="174" t="s">
        <v>94</v>
      </c>
      <c r="H12804" s="174" t="str" cm="1">
        <f t="array" ref="H12804">IFERROR(INDEX(INVESTOR_LIST[INVESTOR NAME],MATCH(I12804,INVESTOR_LIST[INVESTOR CODE],0),)," ")</f>
        <v xml:space="preserve"> </v>
      </c>
      <c r="J12804" s="149" t="s">
        <v>80</v>
      </c>
      <c r="K12804" s="218">
        <v>2612.1060000000002</v>
      </c>
      <c r="L12804" s="133"/>
    </row>
    <row r="12805" spans="1:12" x14ac:dyDescent="0.2">
      <c r="A12805" s="163">
        <v>2025</v>
      </c>
      <c r="B12805" s="163">
        <v>2</v>
      </c>
      <c r="C12805" s="163">
        <v>4</v>
      </c>
      <c r="D12805" s="280">
        <f t="shared" si="1896"/>
        <v>45692</v>
      </c>
      <c r="E12805" s="281">
        <f t="shared" si="1897"/>
        <v>45692</v>
      </c>
      <c r="F12805" s="480"/>
      <c r="G12805" s="221" t="s">
        <v>94</v>
      </c>
      <c r="H12805" s="221" t="str" cm="1">
        <f t="array" ref="H12805">IFERROR(INDEX(INVESTOR_LIST[INVESTOR NAME],MATCH(I12805,INVESTOR_LIST[INVESTOR CODE],0),)," ")</f>
        <v xml:space="preserve"> </v>
      </c>
      <c r="I12805" s="145"/>
      <c r="J12805" s="146" t="s">
        <v>147</v>
      </c>
      <c r="K12805" s="219"/>
      <c r="L12805" s="219">
        <v>1453782.1059999999</v>
      </c>
    </row>
    <row r="12806" spans="1:12" x14ac:dyDescent="0.2">
      <c r="A12806" s="168">
        <v>2025</v>
      </c>
      <c r="B12806" s="133">
        <v>2</v>
      </c>
      <c r="C12806" s="168">
        <v>5</v>
      </c>
      <c r="D12806" s="141">
        <f t="shared" si="1894"/>
        <v>45693</v>
      </c>
      <c r="E12806" s="275">
        <f t="shared" si="1895"/>
        <v>45693</v>
      </c>
      <c r="F12806" s="479" t="s">
        <v>2002</v>
      </c>
      <c r="G12806" s="220" t="s">
        <v>74</v>
      </c>
      <c r="H12806" s="220" t="str" cm="1">
        <f t="array" ref="H12806">IFERROR(INDEX(INVESTOR_LIST[INVESTOR NAME],MATCH(I12806,INVESTOR_LIST[INVESTOR CODE],0),)," ")</f>
        <v xml:space="preserve"> </v>
      </c>
      <c r="I12806" s="142"/>
      <c r="J12806" s="143" t="s">
        <v>147</v>
      </c>
      <c r="K12806" s="226">
        <v>1453782.11</v>
      </c>
      <c r="L12806" s="226"/>
    </row>
    <row r="12807" spans="1:12" x14ac:dyDescent="0.2">
      <c r="A12807" s="163">
        <v>2025</v>
      </c>
      <c r="B12807" s="163">
        <v>2</v>
      </c>
      <c r="C12807" s="163">
        <v>5</v>
      </c>
      <c r="D12807" s="280">
        <f t="shared" si="1894"/>
        <v>45693</v>
      </c>
      <c r="E12807" s="281">
        <f t="shared" si="1895"/>
        <v>45693</v>
      </c>
      <c r="F12807" s="480"/>
      <c r="G12807" s="221" t="s">
        <v>74</v>
      </c>
      <c r="H12807" s="221" t="str" cm="1">
        <f t="array" ref="H12807">IFERROR(INDEX(INVESTOR_LIST[INVESTOR NAME],MATCH(I12807,INVESTOR_LIST[INVESTOR CODE],0),)," ")</f>
        <v xml:space="preserve"> </v>
      </c>
      <c r="I12807" s="145" t="s">
        <v>348</v>
      </c>
      <c r="J12807" s="146" t="s">
        <v>52</v>
      </c>
      <c r="K12807" s="219"/>
      <c r="L12807" s="219">
        <v>1453782.11</v>
      </c>
    </row>
    <row r="12808" spans="1:12" x14ac:dyDescent="0.2">
      <c r="A12808" s="168">
        <v>2025</v>
      </c>
      <c r="B12808" s="133">
        <v>2</v>
      </c>
      <c r="C12808" s="168">
        <v>5</v>
      </c>
      <c r="D12808" s="141">
        <f t="shared" ref="D12808:D12809" si="1898">DATE(A12808,B12808,C12808)</f>
        <v>45693</v>
      </c>
      <c r="E12808" s="275">
        <f t="shared" ref="E12808:E12809" si="1899">DATE(A12808,B12808,C12808)</f>
        <v>45693</v>
      </c>
      <c r="F12808" s="479" t="s">
        <v>2032</v>
      </c>
      <c r="G12808" s="220" t="s">
        <v>74</v>
      </c>
      <c r="H12808" s="220" t="str" cm="1">
        <f t="array" ref="H12808">IFERROR(INDEX(INVESTOR_LIST[INVESTOR NAME],MATCH(I12808,INVESTOR_LIST[INVESTOR CODE],0),)," ")</f>
        <v xml:space="preserve"> </v>
      </c>
      <c r="I12808" s="142"/>
      <c r="J12808" s="143" t="s">
        <v>147</v>
      </c>
      <c r="K12808" s="226">
        <v>267580.78000000003</v>
      </c>
      <c r="L12808" s="226"/>
    </row>
    <row r="12809" spans="1:12" x14ac:dyDescent="0.2">
      <c r="A12809" s="163">
        <v>2025</v>
      </c>
      <c r="B12809" s="163">
        <v>2</v>
      </c>
      <c r="C12809" s="163">
        <v>5</v>
      </c>
      <c r="D12809" s="280">
        <f t="shared" si="1898"/>
        <v>45693</v>
      </c>
      <c r="E12809" s="281">
        <f t="shared" si="1899"/>
        <v>45693</v>
      </c>
      <c r="F12809" s="480"/>
      <c r="G12809" s="221" t="s">
        <v>74</v>
      </c>
      <c r="H12809" s="221" t="str" cm="1">
        <f t="array" ref="H12809">IFERROR(INDEX(INVESTOR_LIST[INVESTOR NAME],MATCH(I12809,INVESTOR_LIST[INVESTOR CODE],0),)," ")</f>
        <v xml:space="preserve"> </v>
      </c>
      <c r="I12809" s="145" t="s">
        <v>348</v>
      </c>
      <c r="J12809" s="146" t="s">
        <v>52</v>
      </c>
      <c r="K12809" s="219"/>
      <c r="L12809" s="219">
        <v>267580.78000000003</v>
      </c>
    </row>
    <row r="12810" spans="1:12" x14ac:dyDescent="0.2">
      <c r="A12810" s="168">
        <v>2025</v>
      </c>
      <c r="B12810" s="133">
        <v>2</v>
      </c>
      <c r="C12810" s="168">
        <v>5</v>
      </c>
      <c r="D12810" s="147">
        <f>DATE(A12810,B12810,C12810)</f>
        <v>45693</v>
      </c>
      <c r="E12810" s="311">
        <f>DATE(A12810,B12810,C12810)</f>
        <v>45693</v>
      </c>
      <c r="F12810" s="481" t="s">
        <v>1943</v>
      </c>
      <c r="G12810" s="174" t="s">
        <v>74</v>
      </c>
      <c r="H12810" s="148" t="str" cm="1">
        <f t="array" ref="H12810">IFERROR(INDEX(INVESTOR_LIST[INVESTOR NAME],MATCH(I12810,INVESTOR_LIST[INVESTOR CODE],0),)," ")</f>
        <v xml:space="preserve"> </v>
      </c>
      <c r="I12810" s="148" t="s">
        <v>348</v>
      </c>
      <c r="J12810" s="133" t="s">
        <v>61</v>
      </c>
      <c r="K12810" s="172">
        <v>158</v>
      </c>
    </row>
    <row r="12811" spans="1:12" x14ac:dyDescent="0.2">
      <c r="A12811" s="163">
        <v>2025</v>
      </c>
      <c r="B12811" s="163">
        <v>2</v>
      </c>
      <c r="C12811" s="163">
        <v>5</v>
      </c>
      <c r="D12811" s="280">
        <f>DATE(A12811,B12811,C12811)</f>
        <v>45693</v>
      </c>
      <c r="E12811" s="281">
        <f>DATE(A12811,B12811,C12811)</f>
        <v>45693</v>
      </c>
      <c r="F12811" s="480"/>
      <c r="G12811" s="221" t="s">
        <v>74</v>
      </c>
      <c r="H12811" s="145" t="str" cm="1">
        <f t="array" ref="H12811">IFERROR(INDEX(INVESTOR_LIST[INVESTOR NAME],MATCH(I12811,INVESTOR_LIST[INVESTOR CODE],0),)," ")</f>
        <v xml:space="preserve"> </v>
      </c>
      <c r="I12811" s="145" t="s">
        <v>348</v>
      </c>
      <c r="J12811" s="163" t="s">
        <v>52</v>
      </c>
      <c r="K12811" s="219"/>
      <c r="L12811" s="219">
        <v>158</v>
      </c>
    </row>
    <row r="12812" spans="1:12" x14ac:dyDescent="0.2">
      <c r="A12812" s="168">
        <v>2025</v>
      </c>
      <c r="B12812" s="168">
        <v>2</v>
      </c>
      <c r="C12812" s="168">
        <v>5</v>
      </c>
      <c r="D12812" s="141">
        <f>DATE(A12812,B12812,C12812)</f>
        <v>45693</v>
      </c>
      <c r="E12812" s="275">
        <f>DATE(A12812,B12812,C12812)</f>
        <v>45693</v>
      </c>
      <c r="F12812" s="479" t="s">
        <v>1319</v>
      </c>
      <c r="G12812" s="220" t="s">
        <v>74</v>
      </c>
      <c r="H12812" s="142" t="str" cm="1">
        <f t="array" ref="H12812">IFERROR(INDEX(INVESTOR_LIST[INVESTOR NAME],MATCH(I12812,INVESTOR_LIST[INVESTOR CODE],0),)," ")</f>
        <v xml:space="preserve"> </v>
      </c>
      <c r="I12812" s="142"/>
      <c r="J12812" s="168" t="s">
        <v>52</v>
      </c>
      <c r="K12812" s="226">
        <v>10000</v>
      </c>
      <c r="L12812" s="226"/>
    </row>
    <row r="12813" spans="1:12" x14ac:dyDescent="0.2">
      <c r="A12813" s="133">
        <v>2025</v>
      </c>
      <c r="B12813" s="133">
        <v>2</v>
      </c>
      <c r="C12813" s="133">
        <v>5</v>
      </c>
      <c r="D12813" s="141">
        <f>DATE(A12813,B12813,C12813)</f>
        <v>45693</v>
      </c>
      <c r="E12813" s="275">
        <f>DATE(A12813,B12813,C12813)</f>
        <v>45693</v>
      </c>
      <c r="F12813" s="481"/>
      <c r="G12813" s="174" t="s">
        <v>74</v>
      </c>
      <c r="H12813" s="148" t="str" cm="1">
        <f t="array" ref="H12813">IFERROR(INDEX(INVESTOR_LIST[INVESTOR NAME],MATCH(I12813,INVESTOR_LIST[INVESTOR CODE],0),)," ")</f>
        <v xml:space="preserve"> </v>
      </c>
      <c r="J12813" s="133" t="s">
        <v>13</v>
      </c>
      <c r="K12813" s="218"/>
      <c r="L12813" s="218">
        <v>7730</v>
      </c>
    </row>
    <row r="12814" spans="1:12" x14ac:dyDescent="0.2">
      <c r="A12814" s="163">
        <v>2025</v>
      </c>
      <c r="B12814" s="163">
        <v>2</v>
      </c>
      <c r="C12814" s="163">
        <v>5</v>
      </c>
      <c r="D12814" s="280">
        <f>DATE(A12814,B12814,C12814)</f>
        <v>45693</v>
      </c>
      <c r="E12814" s="281">
        <f>DATE(A12814,B12814,C12814)</f>
        <v>45693</v>
      </c>
      <c r="F12814" s="480"/>
      <c r="G12814" s="221" t="s">
        <v>74</v>
      </c>
      <c r="H12814" s="145" t="str" cm="1">
        <f t="array" ref="H12814">IFERROR(INDEX(INVESTOR_LIST[INVESTOR NAME],MATCH(I12814,INVESTOR_LIST[INVESTOR CODE],0),)," ")</f>
        <v xml:space="preserve"> </v>
      </c>
      <c r="I12814" s="145"/>
      <c r="J12814" s="163" t="s">
        <v>53</v>
      </c>
      <c r="K12814" s="219"/>
      <c r="L12814" s="219">
        <v>2270</v>
      </c>
    </row>
    <row r="12815" spans="1:12" x14ac:dyDescent="0.2">
      <c r="A12815" s="168">
        <v>2025</v>
      </c>
      <c r="B12815" s="168">
        <v>2</v>
      </c>
      <c r="C12815" s="133">
        <v>6</v>
      </c>
      <c r="D12815" s="141">
        <f t="shared" ref="D12815:D12817" si="1900">DATE(A12815,B12815,C12815)</f>
        <v>45694</v>
      </c>
      <c r="E12815" s="275">
        <f t="shared" ref="E12815:E12817" si="1901">DATE(A12815,B12815,C12815)</f>
        <v>45694</v>
      </c>
      <c r="F12815" s="479" t="s">
        <v>1979</v>
      </c>
      <c r="G12815" s="220" t="s">
        <v>94</v>
      </c>
      <c r="H12815" s="220" t="str" cm="1">
        <f t="array" ref="H12815">IFERROR(INDEX(INVESTOR_LIST[INVESTOR NAME],MATCH(I12815,INVESTOR_LIST[INVESTOR CODE],0),)," ")</f>
        <v xml:space="preserve"> </v>
      </c>
      <c r="I12815" s="142"/>
      <c r="J12815" s="143" t="s">
        <v>79</v>
      </c>
      <c r="K12815" s="226">
        <v>458000</v>
      </c>
      <c r="L12815" s="226"/>
    </row>
    <row r="12816" spans="1:12" x14ac:dyDescent="0.2">
      <c r="A12816" s="133">
        <v>2025</v>
      </c>
      <c r="B12816" s="133">
        <v>2</v>
      </c>
      <c r="C12816" s="133">
        <v>6</v>
      </c>
      <c r="D12816" s="141">
        <f t="shared" si="1900"/>
        <v>45694</v>
      </c>
      <c r="E12816" s="275">
        <f t="shared" si="1901"/>
        <v>45694</v>
      </c>
      <c r="F12816" s="481"/>
      <c r="G12816" s="174" t="s">
        <v>94</v>
      </c>
      <c r="H12816" s="174" t="str" cm="1">
        <f t="array" ref="H12816">IFERROR(INDEX(INVESTOR_LIST[INVESTOR NAME],MATCH(I12816,INVESTOR_LIST[INVESTOR CODE],0),)," ")</f>
        <v xml:space="preserve"> </v>
      </c>
      <c r="J12816" s="149" t="s">
        <v>80</v>
      </c>
      <c r="K12816" s="218">
        <v>824.4</v>
      </c>
      <c r="L12816" s="133"/>
    </row>
    <row r="12817" spans="1:13" x14ac:dyDescent="0.2">
      <c r="A12817" s="163">
        <v>2025</v>
      </c>
      <c r="B12817" s="163">
        <v>2</v>
      </c>
      <c r="C12817" s="163">
        <v>6</v>
      </c>
      <c r="D12817" s="280">
        <f t="shared" si="1900"/>
        <v>45694</v>
      </c>
      <c r="E12817" s="281">
        <f t="shared" si="1901"/>
        <v>45694</v>
      </c>
      <c r="F12817" s="480"/>
      <c r="G12817" s="221" t="s">
        <v>94</v>
      </c>
      <c r="H12817" s="221" t="str" cm="1">
        <f t="array" ref="H12817">IFERROR(INDEX(INVESTOR_LIST[INVESTOR NAME],MATCH(I12817,INVESTOR_LIST[INVESTOR CODE],0),)," ")</f>
        <v xml:space="preserve"> </v>
      </c>
      <c r="I12817" s="145"/>
      <c r="J12817" s="146" t="s">
        <v>147</v>
      </c>
      <c r="K12817" s="219"/>
      <c r="L12817" s="219">
        <v>458824.4</v>
      </c>
    </row>
    <row r="12818" spans="1:13" x14ac:dyDescent="0.2">
      <c r="A12818" s="325">
        <v>2025</v>
      </c>
      <c r="B12818" s="325">
        <v>2</v>
      </c>
      <c r="C12818" s="325">
        <v>6</v>
      </c>
      <c r="D12818" s="326">
        <f t="shared" ref="D12818:D12837" si="1902">DATE(A12818,B12818,C12818)</f>
        <v>45694</v>
      </c>
      <c r="E12818" s="327">
        <f t="shared" ref="E12818:E12837" si="1903">DATE(A12818,B12818,C12818)</f>
        <v>45694</v>
      </c>
      <c r="F12818" s="473" t="s">
        <v>1940</v>
      </c>
      <c r="G12818" s="340" t="s">
        <v>94</v>
      </c>
      <c r="H12818" s="340" t="str" cm="1">
        <f t="array" ref="H12818">IFERROR(INDEX(INVESTOR_LIST[INVESTOR NAME],MATCH(I12818,INVESTOR_LIST[INVESTOR CODE],0),)," ")</f>
        <v xml:space="preserve"> </v>
      </c>
      <c r="I12818" s="341" t="s">
        <v>348</v>
      </c>
      <c r="J12818" s="374" t="s">
        <v>133</v>
      </c>
      <c r="K12818" s="375">
        <v>12905.56</v>
      </c>
      <c r="L12818" s="375"/>
    </row>
    <row r="12819" spans="1:13" x14ac:dyDescent="0.2">
      <c r="A12819" s="331">
        <v>2025</v>
      </c>
      <c r="B12819" s="331">
        <v>2</v>
      </c>
      <c r="C12819" s="331">
        <v>6</v>
      </c>
      <c r="D12819" s="326">
        <f t="shared" si="1902"/>
        <v>45694</v>
      </c>
      <c r="E12819" s="327">
        <f t="shared" si="1903"/>
        <v>45694</v>
      </c>
      <c r="F12819" s="474"/>
      <c r="G12819" s="332" t="s">
        <v>94</v>
      </c>
      <c r="H12819" s="332" t="str" cm="1">
        <f t="array" ref="H12819">IFERROR(INDEX(INVESTOR_LIST[INVESTOR NAME],MATCH(I12819,INVESTOR_LIST[INVESTOR CODE],0),)," ")</f>
        <v xml:space="preserve"> </v>
      </c>
      <c r="I12819" s="333" t="s">
        <v>348</v>
      </c>
      <c r="J12819" s="376" t="s">
        <v>60</v>
      </c>
      <c r="K12819" s="334"/>
      <c r="L12819" s="334">
        <v>12905.56</v>
      </c>
    </row>
    <row r="12820" spans="1:13" x14ac:dyDescent="0.2">
      <c r="A12820" s="325">
        <v>2025</v>
      </c>
      <c r="B12820" s="325">
        <v>2</v>
      </c>
      <c r="C12820" s="325">
        <v>6</v>
      </c>
      <c r="D12820" s="326">
        <f t="shared" si="1902"/>
        <v>45694</v>
      </c>
      <c r="E12820" s="327">
        <f t="shared" si="1903"/>
        <v>45694</v>
      </c>
      <c r="F12820" s="473" t="s">
        <v>2029</v>
      </c>
      <c r="G12820" s="340" t="s">
        <v>94</v>
      </c>
      <c r="H12820" s="340" t="str" cm="1">
        <f t="array" ref="H12820">IFERROR(INDEX(INVESTOR_LIST[INVESTOR NAME],MATCH(I12820,INVESTOR_LIST[INVESTOR CODE],0),)," ")</f>
        <v xml:space="preserve"> </v>
      </c>
      <c r="I12820" s="341" t="s">
        <v>348</v>
      </c>
      <c r="J12820" s="374" t="s">
        <v>133</v>
      </c>
      <c r="K12820" s="375">
        <v>14134.615384615385</v>
      </c>
      <c r="L12820" s="375"/>
    </row>
    <row r="12821" spans="1:13" x14ac:dyDescent="0.2">
      <c r="A12821" s="331">
        <v>2025</v>
      </c>
      <c r="B12821" s="331">
        <v>2</v>
      </c>
      <c r="C12821" s="331">
        <v>6</v>
      </c>
      <c r="D12821" s="326">
        <f t="shared" si="1902"/>
        <v>45694</v>
      </c>
      <c r="E12821" s="327">
        <f t="shared" si="1903"/>
        <v>45694</v>
      </c>
      <c r="F12821" s="474"/>
      <c r="G12821" s="332" t="s">
        <v>94</v>
      </c>
      <c r="H12821" s="332" t="str" cm="1">
        <f t="array" ref="H12821">IFERROR(INDEX(INVESTOR_LIST[INVESTOR NAME],MATCH(I12821,INVESTOR_LIST[INVESTOR CODE],0),)," ")</f>
        <v xml:space="preserve"> </v>
      </c>
      <c r="I12821" s="333" t="s">
        <v>348</v>
      </c>
      <c r="J12821" s="376" t="s">
        <v>60</v>
      </c>
      <c r="K12821" s="334"/>
      <c r="L12821" s="334">
        <f>K12820</f>
        <v>14134.615384615385</v>
      </c>
    </row>
    <row r="12822" spans="1:13" x14ac:dyDescent="0.2">
      <c r="A12822" s="384">
        <v>2025</v>
      </c>
      <c r="B12822" s="384">
        <v>2</v>
      </c>
      <c r="C12822" s="384">
        <v>6</v>
      </c>
      <c r="D12822" s="385">
        <f t="shared" si="1902"/>
        <v>45694</v>
      </c>
      <c r="E12822" s="386">
        <f t="shared" si="1903"/>
        <v>45694</v>
      </c>
      <c r="F12822" s="475" t="s">
        <v>1966</v>
      </c>
      <c r="G12822" s="387" t="s">
        <v>94</v>
      </c>
      <c r="H12822" s="387" t="str" cm="1">
        <f t="array" ref="H12822">IFERROR(INDEX(INVESTOR_LIST[INVESTOR NAME],MATCH(I12822,INVESTOR_LIST[INVESTOR CODE],0),)," ")</f>
        <v xml:space="preserve"> </v>
      </c>
      <c r="I12822" s="388" t="s">
        <v>348</v>
      </c>
      <c r="J12822" s="389" t="s">
        <v>67</v>
      </c>
      <c r="K12822" s="390">
        <v>22045.26</v>
      </c>
      <c r="L12822" s="390"/>
    </row>
    <row r="12823" spans="1:13" x14ac:dyDescent="0.2">
      <c r="A12823" s="391">
        <v>2025</v>
      </c>
      <c r="B12823" s="391">
        <v>2</v>
      </c>
      <c r="C12823" s="391">
        <v>6</v>
      </c>
      <c r="D12823" s="385">
        <f t="shared" si="1902"/>
        <v>45694</v>
      </c>
      <c r="E12823" s="386">
        <f t="shared" si="1903"/>
        <v>45694</v>
      </c>
      <c r="F12823" s="476"/>
      <c r="G12823" s="392" t="s">
        <v>94</v>
      </c>
      <c r="H12823" s="392" t="str" cm="1">
        <f t="array" ref="H12823">IFERROR(INDEX(INVESTOR_LIST[INVESTOR NAME],MATCH(I12823,INVESTOR_LIST[INVESTOR CODE],0),)," ")</f>
        <v xml:space="preserve"> </v>
      </c>
      <c r="I12823" s="393" t="s">
        <v>348</v>
      </c>
      <c r="J12823" s="394" t="s">
        <v>60</v>
      </c>
      <c r="K12823" s="395"/>
      <c r="L12823" s="395">
        <f>K12822</f>
        <v>22045.26</v>
      </c>
    </row>
    <row r="12824" spans="1:13" x14ac:dyDescent="0.2">
      <c r="A12824" s="343">
        <v>2025</v>
      </c>
      <c r="B12824" s="343">
        <v>2</v>
      </c>
      <c r="C12824" s="343">
        <v>6</v>
      </c>
      <c r="D12824" s="344">
        <f t="shared" si="1902"/>
        <v>45694</v>
      </c>
      <c r="E12824" s="345">
        <f t="shared" si="1903"/>
        <v>45694</v>
      </c>
      <c r="F12824" s="483" t="s">
        <v>1813</v>
      </c>
      <c r="G12824" s="350" t="s">
        <v>94</v>
      </c>
      <c r="H12824" s="350" t="str" cm="1">
        <f t="array" ref="H12824">IFERROR(INDEX(INVESTOR_LIST[INVESTOR NAME],MATCH(I12824,INVESTOR_LIST[INVESTOR CODE],0),)," ")</f>
        <v xml:space="preserve"> </v>
      </c>
      <c r="I12824" s="352" t="s">
        <v>348</v>
      </c>
      <c r="J12824" s="353" t="s">
        <v>1807</v>
      </c>
      <c r="K12824" s="354">
        <v>0</v>
      </c>
      <c r="L12824" s="354"/>
      <c r="M12824" s="133">
        <v>0</v>
      </c>
    </row>
    <row r="12825" spans="1:13" x14ac:dyDescent="0.2">
      <c r="A12825" s="346">
        <v>2025</v>
      </c>
      <c r="B12825" s="346">
        <v>2</v>
      </c>
      <c r="C12825" s="346">
        <v>6</v>
      </c>
      <c r="D12825" s="344">
        <f t="shared" si="1902"/>
        <v>45694</v>
      </c>
      <c r="E12825" s="345">
        <f t="shared" si="1903"/>
        <v>45694</v>
      </c>
      <c r="F12825" s="484"/>
      <c r="G12825" s="347" t="s">
        <v>94</v>
      </c>
      <c r="H12825" s="347" t="str" cm="1">
        <f t="array" ref="H12825">IFERROR(INDEX(INVESTOR_LIST[INVESTOR NAME],MATCH(I12825,INVESTOR_LIST[INVESTOR CODE],0),)," ")</f>
        <v xml:space="preserve"> </v>
      </c>
      <c r="I12825" s="348" t="s">
        <v>348</v>
      </c>
      <c r="J12825" s="355" t="s">
        <v>1798</v>
      </c>
      <c r="K12825" s="349"/>
      <c r="L12825" s="349">
        <v>0</v>
      </c>
    </row>
    <row r="12826" spans="1:13" x14ac:dyDescent="0.2">
      <c r="A12826" s="343">
        <v>2025</v>
      </c>
      <c r="B12826" s="343">
        <v>2</v>
      </c>
      <c r="C12826" s="343">
        <v>6</v>
      </c>
      <c r="D12826" s="344">
        <f t="shared" si="1902"/>
        <v>45694</v>
      </c>
      <c r="E12826" s="345">
        <f t="shared" si="1903"/>
        <v>45694</v>
      </c>
      <c r="F12826" s="483" t="s">
        <v>1913</v>
      </c>
      <c r="G12826" s="350" t="s">
        <v>94</v>
      </c>
      <c r="H12826" s="350" t="str" cm="1">
        <f t="array" ref="H12826">IFERROR(INDEX(INVESTOR_LIST[INVESTOR NAME],MATCH(I12826,INVESTOR_LIST[INVESTOR CODE],0),)," ")</f>
        <v xml:space="preserve"> </v>
      </c>
      <c r="I12826" s="352" t="s">
        <v>348</v>
      </c>
      <c r="J12826" s="353" t="s">
        <v>1799</v>
      </c>
      <c r="K12826" s="354">
        <v>371497.18500000238</v>
      </c>
      <c r="L12826" s="354"/>
      <c r="M12826" s="133">
        <v>0</v>
      </c>
    </row>
    <row r="12827" spans="1:13" x14ac:dyDescent="0.2">
      <c r="A12827" s="346">
        <v>2025</v>
      </c>
      <c r="B12827" s="346">
        <v>2</v>
      </c>
      <c r="C12827" s="346">
        <v>6</v>
      </c>
      <c r="D12827" s="344">
        <f t="shared" si="1902"/>
        <v>45694</v>
      </c>
      <c r="E12827" s="345">
        <f t="shared" si="1903"/>
        <v>45694</v>
      </c>
      <c r="F12827" s="484"/>
      <c r="G12827" s="347" t="s">
        <v>94</v>
      </c>
      <c r="H12827" s="347" t="str" cm="1">
        <f t="array" ref="H12827">IFERROR(INDEX(INVESTOR_LIST[INVESTOR NAME],MATCH(I12827,INVESTOR_LIST[INVESTOR CODE],0),)," ")</f>
        <v xml:space="preserve"> </v>
      </c>
      <c r="I12827" s="348" t="s">
        <v>348</v>
      </c>
      <c r="J12827" s="355" t="s">
        <v>1808</v>
      </c>
      <c r="K12827" s="349"/>
      <c r="L12827" s="349">
        <f>K12826</f>
        <v>371497.18500000238</v>
      </c>
    </row>
    <row r="12828" spans="1:13" x14ac:dyDescent="0.2">
      <c r="A12828" s="238">
        <v>2025</v>
      </c>
      <c r="B12828" s="238">
        <v>2</v>
      </c>
      <c r="C12828" s="238">
        <v>6</v>
      </c>
      <c r="D12828" s="270">
        <f t="shared" si="1902"/>
        <v>45694</v>
      </c>
      <c r="E12828" s="279">
        <f t="shared" si="1903"/>
        <v>45694</v>
      </c>
      <c r="F12828" s="477" t="s">
        <v>347</v>
      </c>
      <c r="G12828" s="239" t="s">
        <v>94</v>
      </c>
      <c r="H12828" s="239" t="str" cm="1">
        <f t="array" ref="H12828">IFERROR(INDEX(INVESTOR_LIST[INVESTOR NAME],MATCH(I12828,INVESTOR_LIST[INVESTOR CODE],0),)," ")</f>
        <v xml:space="preserve"> </v>
      </c>
      <c r="I12828" s="262" t="s">
        <v>348</v>
      </c>
      <c r="J12828" s="240" t="s">
        <v>108</v>
      </c>
      <c r="K12828" s="241">
        <v>573454.5000000149</v>
      </c>
      <c r="L12828" s="241"/>
      <c r="M12828" s="133">
        <v>13139541.900000483</v>
      </c>
    </row>
    <row r="12829" spans="1:13" x14ac:dyDescent="0.2">
      <c r="A12829" s="242">
        <v>2025</v>
      </c>
      <c r="B12829" s="242">
        <v>2</v>
      </c>
      <c r="C12829" s="242">
        <v>6</v>
      </c>
      <c r="D12829" s="270">
        <f t="shared" si="1902"/>
        <v>45694</v>
      </c>
      <c r="E12829" s="279">
        <f t="shared" si="1903"/>
        <v>45694</v>
      </c>
      <c r="F12829" s="478"/>
      <c r="G12829" s="243" t="s">
        <v>94</v>
      </c>
      <c r="H12829" s="243" t="str" cm="1">
        <f t="array" ref="H12829">IFERROR(INDEX(INVESTOR_LIST[INVESTOR NAME],MATCH(I12829,INVESTOR_LIST[INVESTOR CODE],0),)," ")</f>
        <v xml:space="preserve"> </v>
      </c>
      <c r="I12829" s="263" t="s">
        <v>348</v>
      </c>
      <c r="J12829" s="244" t="s">
        <v>82</v>
      </c>
      <c r="K12829" s="245"/>
      <c r="L12829" s="245">
        <f>K12828</f>
        <v>573454.5000000149</v>
      </c>
    </row>
    <row r="12830" spans="1:13" ht="22.5" x14ac:dyDescent="0.2">
      <c r="A12830" s="246">
        <v>2025</v>
      </c>
      <c r="B12830" s="238">
        <v>2</v>
      </c>
      <c r="C12830" s="238">
        <v>6</v>
      </c>
      <c r="D12830" s="270">
        <f t="shared" si="1902"/>
        <v>45694</v>
      </c>
      <c r="E12830" s="279">
        <f t="shared" si="1903"/>
        <v>45694</v>
      </c>
      <c r="F12830" s="482" t="s">
        <v>148</v>
      </c>
      <c r="G12830" s="247" t="s">
        <v>94</v>
      </c>
      <c r="H12830" s="247" t="str" cm="1">
        <f t="array" ref="H12830">IFERROR(INDEX(INVESTOR_LIST[INVESTOR NAME],MATCH(I12830,INVESTOR_LIST[INVESTOR CODE],0),)," ")</f>
        <v xml:space="preserve"> </v>
      </c>
      <c r="I12830" s="248" t="s">
        <v>348</v>
      </c>
      <c r="J12830" s="249" t="s">
        <v>95</v>
      </c>
      <c r="K12830" s="250">
        <v>2747.2527472527472</v>
      </c>
      <c r="L12830" s="241"/>
    </row>
    <row r="12831" spans="1:13" x14ac:dyDescent="0.2">
      <c r="A12831" s="242">
        <v>2025</v>
      </c>
      <c r="B12831" s="242">
        <v>2</v>
      </c>
      <c r="C12831" s="242">
        <v>6</v>
      </c>
      <c r="D12831" s="270">
        <f t="shared" si="1902"/>
        <v>45694</v>
      </c>
      <c r="E12831" s="279">
        <f t="shared" si="1903"/>
        <v>45694</v>
      </c>
      <c r="F12831" s="478"/>
      <c r="G12831" s="243" t="s">
        <v>94</v>
      </c>
      <c r="H12831" s="243" t="str" cm="1">
        <f t="array" ref="H12831">IFERROR(INDEX(INVESTOR_LIST[INVESTOR NAME],MATCH(I12831,INVESTOR_LIST[INVESTOR CODE],0),)," ")</f>
        <v xml:space="preserve"> </v>
      </c>
      <c r="I12831" s="263" t="s">
        <v>348</v>
      </c>
      <c r="J12831" s="244" t="s">
        <v>63</v>
      </c>
      <c r="K12831" s="245"/>
      <c r="L12831" s="245">
        <v>2747.2527472527472</v>
      </c>
    </row>
    <row r="12832" spans="1:13" x14ac:dyDescent="0.2">
      <c r="A12832" s="246">
        <v>2025</v>
      </c>
      <c r="B12832" s="238">
        <v>2</v>
      </c>
      <c r="C12832" s="238">
        <v>6</v>
      </c>
      <c r="D12832" s="270">
        <f t="shared" si="1902"/>
        <v>45694</v>
      </c>
      <c r="E12832" s="279">
        <f t="shared" si="1903"/>
        <v>45694</v>
      </c>
      <c r="F12832" s="482" t="s">
        <v>137</v>
      </c>
      <c r="G12832" s="247" t="s">
        <v>94</v>
      </c>
      <c r="H12832" s="247" t="str" cm="1">
        <f t="array" ref="H12832">IFERROR(INDEX(INVESTOR_LIST[INVESTOR NAME],MATCH(I12832,INVESTOR_LIST[INVESTOR CODE],0),)," ")</f>
        <v xml:space="preserve"> </v>
      </c>
      <c r="I12832" s="248" t="s">
        <v>348</v>
      </c>
      <c r="J12832" s="249" t="s">
        <v>97</v>
      </c>
      <c r="K12832" s="250">
        <f>M12832</f>
        <v>59100.03954639157</v>
      </c>
      <c r="L12832" s="252"/>
      <c r="M12832" s="133">
        <v>59100.03954639157</v>
      </c>
    </row>
    <row r="12833" spans="1:13" x14ac:dyDescent="0.2">
      <c r="A12833" s="242">
        <v>2025</v>
      </c>
      <c r="B12833" s="242">
        <v>2</v>
      </c>
      <c r="C12833" s="242">
        <v>6</v>
      </c>
      <c r="D12833" s="270">
        <f t="shared" si="1902"/>
        <v>45694</v>
      </c>
      <c r="E12833" s="279">
        <f t="shared" si="1903"/>
        <v>45694</v>
      </c>
      <c r="F12833" s="478"/>
      <c r="G12833" s="243" t="s">
        <v>94</v>
      </c>
      <c r="H12833" s="243" t="str" cm="1">
        <f t="array" ref="H12833">IFERROR(INDEX(INVESTOR_LIST[INVESTOR NAME],MATCH(I12833,INVESTOR_LIST[INVESTOR CODE],0),)," ")</f>
        <v xml:space="preserve"> </v>
      </c>
      <c r="I12833" s="263" t="s">
        <v>348</v>
      </c>
      <c r="J12833" s="244" t="s">
        <v>47</v>
      </c>
      <c r="K12833" s="245"/>
      <c r="L12833" s="245">
        <f>K12832</f>
        <v>59100.03954639157</v>
      </c>
      <c r="M12833" s="133">
        <v>2714.6173619349638</v>
      </c>
    </row>
    <row r="12834" spans="1:13" x14ac:dyDescent="0.2">
      <c r="A12834" s="246">
        <v>2025</v>
      </c>
      <c r="B12834" s="238">
        <v>2</v>
      </c>
      <c r="C12834" s="238">
        <v>6</v>
      </c>
      <c r="D12834" s="270">
        <f t="shared" si="1902"/>
        <v>45694</v>
      </c>
      <c r="E12834" s="279">
        <f t="shared" si="1903"/>
        <v>45694</v>
      </c>
      <c r="F12834" s="482" t="s">
        <v>138</v>
      </c>
      <c r="G12834" s="247" t="s">
        <v>94</v>
      </c>
      <c r="H12834" s="247" t="str" cm="1">
        <f t="array" ref="H12834">IFERROR(INDEX(INVESTOR_LIST[INVESTOR NAME],MATCH(I12834,INVESTOR_LIST[INVESTOR CODE],0),)," ")</f>
        <v xml:space="preserve"> </v>
      </c>
      <c r="I12834" s="248" t="s">
        <v>348</v>
      </c>
      <c r="J12834" s="249" t="s">
        <v>100</v>
      </c>
      <c r="K12834" s="250">
        <f>M12833</f>
        <v>2714.6173619349638</v>
      </c>
      <c r="L12834" s="252"/>
    </row>
    <row r="12835" spans="1:13" x14ac:dyDescent="0.2">
      <c r="A12835" s="242">
        <v>2025</v>
      </c>
      <c r="B12835" s="242">
        <v>2</v>
      </c>
      <c r="C12835" s="242">
        <v>6</v>
      </c>
      <c r="D12835" s="321">
        <f t="shared" si="1902"/>
        <v>45694</v>
      </c>
      <c r="E12835" s="322">
        <f t="shared" si="1903"/>
        <v>45694</v>
      </c>
      <c r="F12835" s="478"/>
      <c r="G12835" s="243" t="s">
        <v>94</v>
      </c>
      <c r="H12835" s="243" t="str" cm="1">
        <f t="array" ref="H12835">IFERROR(INDEX(INVESTOR_LIST[INVESTOR NAME],MATCH(I12835,INVESTOR_LIST[INVESTOR CODE],0),)," ")</f>
        <v xml:space="preserve"> </v>
      </c>
      <c r="I12835" s="263" t="s">
        <v>348</v>
      </c>
      <c r="J12835" s="244" t="s">
        <v>48</v>
      </c>
      <c r="K12835" s="245"/>
      <c r="L12835" s="245">
        <f>K12834</f>
        <v>2714.6173619349638</v>
      </c>
    </row>
    <row r="12836" spans="1:13" x14ac:dyDescent="0.2">
      <c r="A12836" s="168">
        <v>2025</v>
      </c>
      <c r="B12836" s="133">
        <v>2</v>
      </c>
      <c r="C12836" s="168">
        <v>9</v>
      </c>
      <c r="D12836" s="141">
        <f t="shared" si="1902"/>
        <v>45697</v>
      </c>
      <c r="E12836" s="275">
        <f t="shared" si="1903"/>
        <v>45697</v>
      </c>
      <c r="F12836" s="479" t="s">
        <v>2002</v>
      </c>
      <c r="G12836" s="220" t="s">
        <v>74</v>
      </c>
      <c r="H12836" s="220" t="str" cm="1">
        <f t="array" ref="H12836">IFERROR(INDEX(INVESTOR_LIST[INVESTOR NAME],MATCH(I12836,INVESTOR_LIST[INVESTOR CODE],0),)," ")</f>
        <v xml:space="preserve"> </v>
      </c>
      <c r="I12836" s="142"/>
      <c r="J12836" s="143" t="s">
        <v>147</v>
      </c>
      <c r="K12836" s="226">
        <v>458824.4</v>
      </c>
      <c r="L12836" s="226"/>
    </row>
    <row r="12837" spans="1:13" x14ac:dyDescent="0.2">
      <c r="A12837" s="163">
        <v>2025</v>
      </c>
      <c r="B12837" s="163">
        <v>2</v>
      </c>
      <c r="C12837" s="163">
        <v>9</v>
      </c>
      <c r="D12837" s="280">
        <f t="shared" si="1902"/>
        <v>45697</v>
      </c>
      <c r="E12837" s="281">
        <f t="shared" si="1903"/>
        <v>45697</v>
      </c>
      <c r="F12837" s="480"/>
      <c r="G12837" s="221" t="s">
        <v>74</v>
      </c>
      <c r="H12837" s="221" t="str" cm="1">
        <f t="array" ref="H12837">IFERROR(INDEX(INVESTOR_LIST[INVESTOR NAME],MATCH(I12837,INVESTOR_LIST[INVESTOR CODE],0),)," ")</f>
        <v xml:space="preserve"> </v>
      </c>
      <c r="I12837" s="145" t="s">
        <v>348</v>
      </c>
      <c r="J12837" s="146" t="s">
        <v>52</v>
      </c>
      <c r="K12837" s="219"/>
      <c r="L12837" s="219">
        <v>458824.4</v>
      </c>
    </row>
    <row r="12838" spans="1:13" x14ac:dyDescent="0.2">
      <c r="A12838" s="168">
        <v>2025</v>
      </c>
      <c r="B12838" s="133">
        <v>2</v>
      </c>
      <c r="C12838" s="168">
        <v>9</v>
      </c>
      <c r="D12838" s="147">
        <f>DATE(A12838,B12838,C12838)</f>
        <v>45697</v>
      </c>
      <c r="E12838" s="311">
        <f>DATE(A12838,B12838,C12838)</f>
        <v>45697</v>
      </c>
      <c r="F12838" s="481" t="s">
        <v>1943</v>
      </c>
      <c r="G12838" s="174" t="s">
        <v>74</v>
      </c>
      <c r="H12838" s="148" t="str" cm="1">
        <f t="array" ref="H12838">IFERROR(INDEX(INVESTOR_LIST[INVESTOR NAME],MATCH(I12838,INVESTOR_LIST[INVESTOR CODE],0),)," ")</f>
        <v xml:space="preserve"> </v>
      </c>
      <c r="I12838" s="148" t="s">
        <v>348</v>
      </c>
      <c r="J12838" s="133" t="s">
        <v>61</v>
      </c>
      <c r="K12838" s="172">
        <v>58</v>
      </c>
    </row>
    <row r="12839" spans="1:13" x14ac:dyDescent="0.2">
      <c r="A12839" s="163">
        <v>2025</v>
      </c>
      <c r="B12839" s="163">
        <v>2</v>
      </c>
      <c r="C12839" s="163">
        <v>9</v>
      </c>
      <c r="D12839" s="280">
        <f>DATE(A12839,B12839,C12839)</f>
        <v>45697</v>
      </c>
      <c r="E12839" s="281">
        <f>DATE(A12839,B12839,C12839)</f>
        <v>45697</v>
      </c>
      <c r="F12839" s="480"/>
      <c r="G12839" s="221" t="s">
        <v>74</v>
      </c>
      <c r="H12839" s="145" t="str" cm="1">
        <f t="array" ref="H12839">IFERROR(INDEX(INVESTOR_LIST[INVESTOR NAME],MATCH(I12839,INVESTOR_LIST[INVESTOR CODE],0),)," ")</f>
        <v xml:space="preserve"> </v>
      </c>
      <c r="I12839" s="145" t="s">
        <v>348</v>
      </c>
      <c r="J12839" s="163" t="s">
        <v>52</v>
      </c>
      <c r="K12839" s="219"/>
      <c r="L12839" s="219">
        <v>58</v>
      </c>
    </row>
    <row r="12840" spans="1:13" x14ac:dyDescent="0.2">
      <c r="A12840" s="168">
        <v>2025</v>
      </c>
      <c r="B12840" s="168">
        <v>2</v>
      </c>
      <c r="C12840" s="168">
        <v>12</v>
      </c>
      <c r="D12840" s="141">
        <f t="shared" ref="D12840:D12841" si="1904">DATE(A12840,B12840,C12840)</f>
        <v>45700</v>
      </c>
      <c r="E12840" s="275">
        <f t="shared" ref="E12840:E12841" si="1905">DATE(A12840,B12840,C12840)</f>
        <v>45700</v>
      </c>
      <c r="F12840" s="479" t="s">
        <v>2035</v>
      </c>
      <c r="G12840" s="220" t="s">
        <v>74</v>
      </c>
      <c r="H12840" s="142" t="str" cm="1">
        <f t="array" ref="H12840">IFERROR(INDEX(INVESTOR_LIST[INVESTOR NAME],MATCH(I12840,INVESTOR_LIST[INVESTOR CODE],0),)," ")</f>
        <v xml:space="preserve"> </v>
      </c>
      <c r="I12840" s="142"/>
      <c r="J12840" s="168" t="s">
        <v>358</v>
      </c>
      <c r="K12840" s="226">
        <v>39736</v>
      </c>
      <c r="L12840" s="226"/>
    </row>
    <row r="12841" spans="1:13" x14ac:dyDescent="0.2">
      <c r="A12841" s="133">
        <v>2025</v>
      </c>
      <c r="B12841" s="133">
        <v>2</v>
      </c>
      <c r="C12841" s="133">
        <v>12</v>
      </c>
      <c r="D12841" s="141">
        <f t="shared" si="1904"/>
        <v>45700</v>
      </c>
      <c r="E12841" s="275">
        <f t="shared" si="1905"/>
        <v>45700</v>
      </c>
      <c r="F12841" s="481"/>
      <c r="G12841" s="174" t="s">
        <v>74</v>
      </c>
      <c r="H12841" s="148" t="str" cm="1">
        <f t="array" ref="H12841">IFERROR(INDEX(INVESTOR_LIST[INVESTOR NAME],MATCH(I12841,INVESTOR_LIST[INVESTOR CODE],0),)," ")</f>
        <v xml:space="preserve"> </v>
      </c>
      <c r="J12841" s="133" t="s">
        <v>534</v>
      </c>
      <c r="K12841" s="218"/>
      <c r="L12841" s="218">
        <v>3973.6</v>
      </c>
    </row>
    <row r="12842" spans="1:13" x14ac:dyDescent="0.2">
      <c r="A12842" s="133">
        <v>2025</v>
      </c>
      <c r="B12842" s="133">
        <v>2</v>
      </c>
      <c r="C12842" s="133">
        <v>12</v>
      </c>
      <c r="D12842" s="141">
        <f>DATE(A12842,B12842,C12842)</f>
        <v>45700</v>
      </c>
      <c r="E12842" s="275">
        <f>DATE(A12842,B12842,C12842)</f>
        <v>45700</v>
      </c>
      <c r="F12842" s="481"/>
      <c r="G12842" s="174" t="s">
        <v>74</v>
      </c>
      <c r="H12842" s="148" t="str" cm="1">
        <f t="array" ref="H12842">IFERROR(INDEX(INVESTOR_LIST[INVESTOR NAME],MATCH(I12842,INVESTOR_LIST[INVESTOR CODE],0),)," ")</f>
        <v xml:space="preserve"> </v>
      </c>
      <c r="J12842" s="133" t="s">
        <v>13</v>
      </c>
      <c r="K12842" s="218"/>
      <c r="L12842" s="218">
        <v>35760</v>
      </c>
    </row>
    <row r="12843" spans="1:13" x14ac:dyDescent="0.2">
      <c r="A12843" s="163">
        <v>2025</v>
      </c>
      <c r="B12843" s="163">
        <v>2</v>
      </c>
      <c r="C12843" s="163">
        <v>12</v>
      </c>
      <c r="D12843" s="280">
        <f>DATE(A12843,B12843,C12843)</f>
        <v>45700</v>
      </c>
      <c r="E12843" s="281">
        <f>DATE(A12843,B12843,C12843)</f>
        <v>45700</v>
      </c>
      <c r="F12843" s="481"/>
      <c r="G12843" s="221" t="s">
        <v>74</v>
      </c>
      <c r="H12843" s="145" t="str" cm="1">
        <f t="array" ref="H12843">IFERROR(INDEX(INVESTOR_LIST[INVESTOR NAME],MATCH(I12843,INVESTOR_LIST[INVESTOR CODE],0),)," ")</f>
        <v xml:space="preserve"> </v>
      </c>
      <c r="I12843" s="145"/>
      <c r="J12843" s="163" t="s">
        <v>53</v>
      </c>
      <c r="K12843" s="219"/>
      <c r="L12843" s="219">
        <v>2.4000000000014552</v>
      </c>
    </row>
    <row r="12844" spans="1:13" ht="11.25" customHeight="1" x14ac:dyDescent="0.2">
      <c r="A12844" s="168">
        <v>2025</v>
      </c>
      <c r="B12844" s="168">
        <v>2</v>
      </c>
      <c r="C12844" s="168">
        <v>12</v>
      </c>
      <c r="D12844" s="141">
        <f t="shared" ref="D12844:D12846" si="1906">DATE(A12844,B12844,C12844)</f>
        <v>45700</v>
      </c>
      <c r="E12844" s="275">
        <f t="shared" ref="E12844:E12846" si="1907">DATE(A12844,B12844,C12844)</f>
        <v>45700</v>
      </c>
      <c r="F12844" s="479" t="s">
        <v>1315</v>
      </c>
      <c r="G12844" s="220" t="s">
        <v>74</v>
      </c>
      <c r="H12844" s="142" t="str" cm="1">
        <f t="array" ref="H12844">IFERROR(INDEX(INVESTOR_LIST[INVESTOR NAME],MATCH(I12844,INVESTOR_LIST[INVESTOR CODE],0),)," ")</f>
        <v>SULTANA RAZIA</v>
      </c>
      <c r="I12844" s="142" t="s">
        <v>698</v>
      </c>
      <c r="J12844" s="168" t="s">
        <v>13</v>
      </c>
      <c r="K12844" s="226">
        <v>830480</v>
      </c>
      <c r="L12844" s="226"/>
    </row>
    <row r="12845" spans="1:13" ht="11.25" customHeight="1" x14ac:dyDescent="0.2">
      <c r="A12845" s="133">
        <v>2025</v>
      </c>
      <c r="B12845" s="133">
        <v>2</v>
      </c>
      <c r="C12845" s="133">
        <v>12</v>
      </c>
      <c r="D12845" s="141">
        <f t="shared" si="1906"/>
        <v>45700</v>
      </c>
      <c r="E12845" s="275">
        <f t="shared" si="1907"/>
        <v>45700</v>
      </c>
      <c r="F12845" s="481"/>
      <c r="G12845" s="174" t="s">
        <v>74</v>
      </c>
      <c r="H12845" s="148" t="str" cm="1">
        <f t="array" ref="H12845">IFERROR(INDEX(INVESTOR_LIST[INVESTOR NAME],MATCH(I12845,INVESTOR_LIST[INVESTOR CODE],0),)," ")</f>
        <v>SULTANA RAZIA</v>
      </c>
      <c r="I12845" s="148" t="s">
        <v>698</v>
      </c>
      <c r="J12845" s="133" t="s">
        <v>53</v>
      </c>
      <c r="K12845" s="218">
        <v>204642.8</v>
      </c>
      <c r="L12845" s="218"/>
    </row>
    <row r="12846" spans="1:13" ht="11.25" customHeight="1" x14ac:dyDescent="0.2">
      <c r="A12846" s="163">
        <v>2025</v>
      </c>
      <c r="B12846" s="163">
        <v>2</v>
      </c>
      <c r="C12846" s="163">
        <v>12</v>
      </c>
      <c r="D12846" s="280">
        <f t="shared" si="1906"/>
        <v>45700</v>
      </c>
      <c r="E12846" s="281">
        <f t="shared" si="1907"/>
        <v>45700</v>
      </c>
      <c r="F12846" s="480"/>
      <c r="G12846" s="221" t="s">
        <v>74</v>
      </c>
      <c r="H12846" s="145" t="str" cm="1">
        <f t="array" ref="H12846">IFERROR(INDEX(INVESTOR_LIST[INVESTOR NAME],MATCH(I12846,INVESTOR_LIST[INVESTOR CODE],0),)," ")</f>
        <v>SULTANA RAZIA</v>
      </c>
      <c r="I12846" s="145" t="s">
        <v>698</v>
      </c>
      <c r="J12846" s="163" t="s">
        <v>52</v>
      </c>
      <c r="K12846" s="219"/>
      <c r="L12846" s="219">
        <v>1035122.8</v>
      </c>
    </row>
    <row r="12847" spans="1:13" x14ac:dyDescent="0.2">
      <c r="A12847" s="168">
        <v>2025</v>
      </c>
      <c r="B12847" s="133">
        <v>2</v>
      </c>
      <c r="C12847" s="168">
        <v>12</v>
      </c>
      <c r="D12847" s="147">
        <f>DATE(A12847,B12847,C12847)</f>
        <v>45700</v>
      </c>
      <c r="E12847" s="311">
        <f>DATE(A12847,B12847,C12847)</f>
        <v>45700</v>
      </c>
      <c r="F12847" s="481" t="s">
        <v>1943</v>
      </c>
      <c r="G12847" s="174" t="s">
        <v>74</v>
      </c>
      <c r="H12847" s="148" t="str" cm="1">
        <f t="array" ref="H12847">IFERROR(INDEX(INVESTOR_LIST[INVESTOR NAME],MATCH(I12847,INVESTOR_LIST[INVESTOR CODE],0),)," ")</f>
        <v xml:space="preserve"> </v>
      </c>
      <c r="I12847" s="148" t="s">
        <v>348</v>
      </c>
      <c r="J12847" s="133" t="s">
        <v>61</v>
      </c>
      <c r="K12847" s="172">
        <v>100</v>
      </c>
    </row>
    <row r="12848" spans="1:13" x14ac:dyDescent="0.2">
      <c r="A12848" s="163">
        <v>2025</v>
      </c>
      <c r="B12848" s="163">
        <v>2</v>
      </c>
      <c r="C12848" s="163">
        <v>12</v>
      </c>
      <c r="D12848" s="280">
        <f>DATE(A12848,B12848,C12848)</f>
        <v>45700</v>
      </c>
      <c r="E12848" s="281">
        <f>DATE(A12848,B12848,C12848)</f>
        <v>45700</v>
      </c>
      <c r="F12848" s="480"/>
      <c r="G12848" s="221" t="s">
        <v>74</v>
      </c>
      <c r="H12848" s="145" t="str" cm="1">
        <f t="array" ref="H12848">IFERROR(INDEX(INVESTOR_LIST[INVESTOR NAME],MATCH(I12848,INVESTOR_LIST[INVESTOR CODE],0),)," ")</f>
        <v xml:space="preserve"> </v>
      </c>
      <c r="I12848" s="145" t="s">
        <v>348</v>
      </c>
      <c r="J12848" s="163" t="s">
        <v>52</v>
      </c>
      <c r="K12848" s="219"/>
      <c r="L12848" s="219">
        <v>100</v>
      </c>
    </row>
    <row r="12849" spans="1:13" x14ac:dyDescent="0.2">
      <c r="A12849" s="133">
        <v>2025</v>
      </c>
      <c r="B12849" s="133">
        <v>2</v>
      </c>
      <c r="C12849" s="133">
        <v>12</v>
      </c>
      <c r="D12849" s="141">
        <f t="shared" ref="D12849:D12882" si="1908">DATE(A12849,B12849,C12849)</f>
        <v>45700</v>
      </c>
      <c r="E12849" s="275">
        <f t="shared" ref="E12849:E12882" si="1909">DATE(A12849,B12849,C12849)</f>
        <v>45700</v>
      </c>
      <c r="F12849" s="481" t="s">
        <v>2006</v>
      </c>
      <c r="G12849" s="174" t="s">
        <v>74</v>
      </c>
      <c r="H12849" s="174" t="str" cm="1">
        <f t="array" ref="H12849">IFERROR(INDEX(INVESTOR_LIST[INVESTOR NAME],MATCH(I12849,INVESTOR_LIST[INVESTOR CODE],0),)," ")</f>
        <v xml:space="preserve"> </v>
      </c>
      <c r="J12849" s="149" t="s">
        <v>1906</v>
      </c>
      <c r="K12849" s="218">
        <v>500</v>
      </c>
      <c r="L12849" s="218"/>
    </row>
    <row r="12850" spans="1:13" x14ac:dyDescent="0.2">
      <c r="A12850" s="133">
        <v>2025</v>
      </c>
      <c r="B12850" s="133">
        <v>2</v>
      </c>
      <c r="C12850" s="133">
        <v>12</v>
      </c>
      <c r="D12850" s="141">
        <f t="shared" ref="D12850" si="1910">DATE(A12850,B12850,C12850)</f>
        <v>45700</v>
      </c>
      <c r="E12850" s="275">
        <f t="shared" ref="E12850" si="1911">DATE(A12850,B12850,C12850)</f>
        <v>45700</v>
      </c>
      <c r="F12850" s="481"/>
      <c r="G12850" s="174" t="s">
        <v>74</v>
      </c>
      <c r="H12850" s="174"/>
      <c r="J12850" s="149" t="s">
        <v>1907</v>
      </c>
      <c r="K12850" s="218">
        <v>300</v>
      </c>
      <c r="L12850" s="218"/>
    </row>
    <row r="12851" spans="1:13" x14ac:dyDescent="0.2">
      <c r="A12851" s="163">
        <v>2025</v>
      </c>
      <c r="B12851" s="163">
        <v>2</v>
      </c>
      <c r="C12851" s="163">
        <v>12</v>
      </c>
      <c r="D12851" s="280">
        <f t="shared" si="1908"/>
        <v>45700</v>
      </c>
      <c r="E12851" s="281">
        <f t="shared" si="1909"/>
        <v>45700</v>
      </c>
      <c r="F12851" s="480"/>
      <c r="G12851" s="221" t="s">
        <v>74</v>
      </c>
      <c r="H12851" s="221" t="str" cm="1">
        <f t="array" ref="H12851">IFERROR(INDEX(INVESTOR_LIST[INVESTOR NAME],MATCH(I12851,INVESTOR_LIST[INVESTOR CODE],0),)," ")</f>
        <v xml:space="preserve"> </v>
      </c>
      <c r="I12851" s="145"/>
      <c r="J12851" s="146" t="s">
        <v>52</v>
      </c>
      <c r="K12851" s="219"/>
      <c r="L12851" s="219">
        <v>800</v>
      </c>
    </row>
    <row r="12852" spans="1:13" x14ac:dyDescent="0.2">
      <c r="A12852" s="168">
        <v>2025</v>
      </c>
      <c r="B12852" s="168">
        <v>2</v>
      </c>
      <c r="C12852" s="133">
        <v>13</v>
      </c>
      <c r="D12852" s="141">
        <f t="shared" si="1908"/>
        <v>45701</v>
      </c>
      <c r="E12852" s="275">
        <f t="shared" si="1909"/>
        <v>45701</v>
      </c>
      <c r="F12852" s="479" t="s">
        <v>1979</v>
      </c>
      <c r="G12852" s="220" t="s">
        <v>94</v>
      </c>
      <c r="H12852" s="220" t="str" cm="1">
        <f t="array" ref="H12852">IFERROR(INDEX(INVESTOR_LIST[INVESTOR NAME],MATCH(I12852,INVESTOR_LIST[INVESTOR CODE],0),)," ")</f>
        <v xml:space="preserve"> </v>
      </c>
      <c r="I12852" s="142"/>
      <c r="J12852" s="143" t="s">
        <v>79</v>
      </c>
      <c r="K12852" s="226">
        <v>493600</v>
      </c>
      <c r="L12852" s="226"/>
    </row>
    <row r="12853" spans="1:13" x14ac:dyDescent="0.2">
      <c r="A12853" s="133">
        <v>2025</v>
      </c>
      <c r="B12853" s="133">
        <v>2</v>
      </c>
      <c r="C12853" s="133">
        <v>13</v>
      </c>
      <c r="D12853" s="141">
        <f t="shared" si="1908"/>
        <v>45701</v>
      </c>
      <c r="E12853" s="275">
        <f t="shared" si="1909"/>
        <v>45701</v>
      </c>
      <c r="F12853" s="481"/>
      <c r="G12853" s="174" t="s">
        <v>94</v>
      </c>
      <c r="H12853" s="174" t="str" cm="1">
        <f t="array" ref="H12853">IFERROR(INDEX(INVESTOR_LIST[INVESTOR NAME],MATCH(I12853,INVESTOR_LIST[INVESTOR CODE],0),)," ")</f>
        <v xml:space="preserve"> </v>
      </c>
      <c r="J12853" s="149" t="s">
        <v>80</v>
      </c>
      <c r="K12853" s="218">
        <v>888.48</v>
      </c>
      <c r="L12853" s="133"/>
    </row>
    <row r="12854" spans="1:13" x14ac:dyDescent="0.2">
      <c r="A12854" s="163">
        <v>2025</v>
      </c>
      <c r="B12854" s="163">
        <v>2</v>
      </c>
      <c r="C12854" s="163">
        <v>13</v>
      </c>
      <c r="D12854" s="280">
        <f t="shared" si="1908"/>
        <v>45701</v>
      </c>
      <c r="E12854" s="281">
        <f t="shared" si="1909"/>
        <v>45701</v>
      </c>
      <c r="F12854" s="480"/>
      <c r="G12854" s="221" t="s">
        <v>94</v>
      </c>
      <c r="H12854" s="221" t="str" cm="1">
        <f t="array" ref="H12854">IFERROR(INDEX(INVESTOR_LIST[INVESTOR NAME],MATCH(I12854,INVESTOR_LIST[INVESTOR CODE],0),)," ")</f>
        <v xml:space="preserve"> </v>
      </c>
      <c r="I12854" s="145"/>
      <c r="J12854" s="146" t="s">
        <v>147</v>
      </c>
      <c r="K12854" s="219"/>
      <c r="L12854" s="219">
        <v>494488.48</v>
      </c>
    </row>
    <row r="12855" spans="1:13" x14ac:dyDescent="0.2">
      <c r="A12855" s="325">
        <v>2025</v>
      </c>
      <c r="B12855" s="325">
        <v>2</v>
      </c>
      <c r="C12855" s="325">
        <v>13</v>
      </c>
      <c r="D12855" s="326">
        <f t="shared" si="1908"/>
        <v>45701</v>
      </c>
      <c r="E12855" s="327">
        <f t="shared" si="1909"/>
        <v>45701</v>
      </c>
      <c r="F12855" s="473" t="s">
        <v>1940</v>
      </c>
      <c r="G12855" s="340" t="s">
        <v>94</v>
      </c>
      <c r="H12855" s="340" t="str" cm="1">
        <f t="array" ref="H12855">IFERROR(INDEX(INVESTOR_LIST[INVESTOR NAME],MATCH(I12855,INVESTOR_LIST[INVESTOR CODE],0),)," ")</f>
        <v xml:space="preserve"> </v>
      </c>
      <c r="I12855" s="341" t="s">
        <v>348</v>
      </c>
      <c r="J12855" s="374" t="s">
        <v>133</v>
      </c>
      <c r="K12855" s="375">
        <v>12905.56</v>
      </c>
      <c r="L12855" s="375"/>
    </row>
    <row r="12856" spans="1:13" x14ac:dyDescent="0.2">
      <c r="A12856" s="331">
        <v>2025</v>
      </c>
      <c r="B12856" s="331">
        <v>2</v>
      </c>
      <c r="C12856" s="331">
        <v>13</v>
      </c>
      <c r="D12856" s="326">
        <f t="shared" si="1908"/>
        <v>45701</v>
      </c>
      <c r="E12856" s="327">
        <f t="shared" si="1909"/>
        <v>45701</v>
      </c>
      <c r="F12856" s="474"/>
      <c r="G12856" s="332" t="s">
        <v>94</v>
      </c>
      <c r="H12856" s="332" t="str" cm="1">
        <f t="array" ref="H12856">IFERROR(INDEX(INVESTOR_LIST[INVESTOR NAME],MATCH(I12856,INVESTOR_LIST[INVESTOR CODE],0),)," ")</f>
        <v xml:space="preserve"> </v>
      </c>
      <c r="I12856" s="333" t="s">
        <v>348</v>
      </c>
      <c r="J12856" s="376" t="s">
        <v>60</v>
      </c>
      <c r="K12856" s="334"/>
      <c r="L12856" s="334">
        <v>12905.56</v>
      </c>
    </row>
    <row r="12857" spans="1:13" x14ac:dyDescent="0.2">
      <c r="A12857" s="325">
        <v>2025</v>
      </c>
      <c r="B12857" s="325">
        <v>2</v>
      </c>
      <c r="C12857" s="325">
        <v>13</v>
      </c>
      <c r="D12857" s="326">
        <f t="shared" si="1908"/>
        <v>45701</v>
      </c>
      <c r="E12857" s="327">
        <f t="shared" si="1909"/>
        <v>45701</v>
      </c>
      <c r="F12857" s="473" t="s">
        <v>2029</v>
      </c>
      <c r="G12857" s="340" t="s">
        <v>94</v>
      </c>
      <c r="H12857" s="340" t="str" cm="1">
        <f t="array" ref="H12857">IFERROR(INDEX(INVESTOR_LIST[INVESTOR NAME],MATCH(I12857,INVESTOR_LIST[INVESTOR CODE],0),)," ")</f>
        <v xml:space="preserve"> </v>
      </c>
      <c r="I12857" s="341" t="s">
        <v>348</v>
      </c>
      <c r="J12857" s="374" t="s">
        <v>133</v>
      </c>
      <c r="K12857" s="375">
        <v>14134.615384615385</v>
      </c>
      <c r="L12857" s="375"/>
    </row>
    <row r="12858" spans="1:13" x14ac:dyDescent="0.2">
      <c r="A12858" s="331">
        <v>2025</v>
      </c>
      <c r="B12858" s="331">
        <v>2</v>
      </c>
      <c r="C12858" s="331">
        <v>13</v>
      </c>
      <c r="D12858" s="326">
        <f t="shared" si="1908"/>
        <v>45701</v>
      </c>
      <c r="E12858" s="327">
        <f t="shared" si="1909"/>
        <v>45701</v>
      </c>
      <c r="F12858" s="474"/>
      <c r="G12858" s="332" t="s">
        <v>94</v>
      </c>
      <c r="H12858" s="332" t="str" cm="1">
        <f t="array" ref="H12858">IFERROR(INDEX(INVESTOR_LIST[INVESTOR NAME],MATCH(I12858,INVESTOR_LIST[INVESTOR CODE],0),)," ")</f>
        <v xml:space="preserve"> </v>
      </c>
      <c r="I12858" s="333" t="s">
        <v>348</v>
      </c>
      <c r="J12858" s="376" t="s">
        <v>60</v>
      </c>
      <c r="K12858" s="334"/>
      <c r="L12858" s="334">
        <f>K12857</f>
        <v>14134.615384615385</v>
      </c>
    </row>
    <row r="12859" spans="1:13" x14ac:dyDescent="0.2">
      <c r="A12859" s="384">
        <v>2025</v>
      </c>
      <c r="B12859" s="384">
        <v>2</v>
      </c>
      <c r="C12859" s="384">
        <v>13</v>
      </c>
      <c r="D12859" s="385">
        <f t="shared" si="1908"/>
        <v>45701</v>
      </c>
      <c r="E12859" s="386">
        <f t="shared" si="1909"/>
        <v>45701</v>
      </c>
      <c r="F12859" s="475" t="s">
        <v>1966</v>
      </c>
      <c r="G12859" s="387" t="s">
        <v>94</v>
      </c>
      <c r="H12859" s="387" t="str" cm="1">
        <f t="array" ref="H12859">IFERROR(INDEX(INVESTOR_LIST[INVESTOR NAME],MATCH(I12859,INVESTOR_LIST[INVESTOR CODE],0),)," ")</f>
        <v xml:space="preserve"> </v>
      </c>
      <c r="I12859" s="388" t="s">
        <v>348</v>
      </c>
      <c r="J12859" s="389" t="s">
        <v>67</v>
      </c>
      <c r="K12859" s="390">
        <v>19927.2</v>
      </c>
      <c r="L12859" s="390"/>
    </row>
    <row r="12860" spans="1:13" x14ac:dyDescent="0.2">
      <c r="A12860" s="391">
        <v>2025</v>
      </c>
      <c r="B12860" s="391">
        <v>2</v>
      </c>
      <c r="C12860" s="391">
        <v>13</v>
      </c>
      <c r="D12860" s="385">
        <f t="shared" si="1908"/>
        <v>45701</v>
      </c>
      <c r="E12860" s="386">
        <f t="shared" si="1909"/>
        <v>45701</v>
      </c>
      <c r="F12860" s="476"/>
      <c r="G12860" s="392" t="s">
        <v>94</v>
      </c>
      <c r="H12860" s="392" t="str" cm="1">
        <f t="array" ref="H12860">IFERROR(INDEX(INVESTOR_LIST[INVESTOR NAME],MATCH(I12860,INVESTOR_LIST[INVESTOR CODE],0),)," ")</f>
        <v xml:space="preserve"> </v>
      </c>
      <c r="I12860" s="393" t="s">
        <v>348</v>
      </c>
      <c r="J12860" s="394" t="s">
        <v>60</v>
      </c>
      <c r="K12860" s="395"/>
      <c r="L12860" s="395">
        <f>K12859</f>
        <v>19927.2</v>
      </c>
    </row>
    <row r="12861" spans="1:13" x14ac:dyDescent="0.2">
      <c r="A12861" s="343">
        <v>2025</v>
      </c>
      <c r="B12861" s="343">
        <v>2</v>
      </c>
      <c r="C12861" s="343">
        <v>13</v>
      </c>
      <c r="D12861" s="344">
        <f t="shared" si="1908"/>
        <v>45701</v>
      </c>
      <c r="E12861" s="345">
        <f t="shared" si="1909"/>
        <v>45701</v>
      </c>
      <c r="F12861" s="483" t="s">
        <v>1813</v>
      </c>
      <c r="G12861" s="350" t="s">
        <v>94</v>
      </c>
      <c r="H12861" s="350" t="str" cm="1">
        <f t="array" ref="H12861">IFERROR(INDEX(INVESTOR_LIST[INVESTOR NAME],MATCH(I12861,INVESTOR_LIST[INVESTOR CODE],0),)," ")</f>
        <v xml:space="preserve"> </v>
      </c>
      <c r="I12861" s="352" t="s">
        <v>348</v>
      </c>
      <c r="J12861" s="353" t="s">
        <v>1807</v>
      </c>
      <c r="K12861" s="354">
        <v>0</v>
      </c>
      <c r="L12861" s="354"/>
      <c r="M12861" s="133">
        <v>0</v>
      </c>
    </row>
    <row r="12862" spans="1:13" x14ac:dyDescent="0.2">
      <c r="A12862" s="346">
        <v>2025</v>
      </c>
      <c r="B12862" s="346">
        <v>2</v>
      </c>
      <c r="C12862" s="346">
        <v>13</v>
      </c>
      <c r="D12862" s="344">
        <f t="shared" si="1908"/>
        <v>45701</v>
      </c>
      <c r="E12862" s="345">
        <f t="shared" si="1909"/>
        <v>45701</v>
      </c>
      <c r="F12862" s="484"/>
      <c r="G12862" s="347" t="s">
        <v>94</v>
      </c>
      <c r="H12862" s="347" t="str" cm="1">
        <f t="array" ref="H12862">IFERROR(INDEX(INVESTOR_LIST[INVESTOR NAME],MATCH(I12862,INVESTOR_LIST[INVESTOR CODE],0),)," ")</f>
        <v xml:space="preserve"> </v>
      </c>
      <c r="I12862" s="348" t="s">
        <v>348</v>
      </c>
      <c r="J12862" s="355" t="s">
        <v>1798</v>
      </c>
      <c r="K12862" s="349"/>
      <c r="L12862" s="349">
        <v>0</v>
      </c>
    </row>
    <row r="12863" spans="1:13" x14ac:dyDescent="0.2">
      <c r="A12863" s="343">
        <v>2025</v>
      </c>
      <c r="B12863" s="343">
        <v>2</v>
      </c>
      <c r="C12863" s="343">
        <v>13</v>
      </c>
      <c r="D12863" s="344">
        <f t="shared" si="1908"/>
        <v>45701</v>
      </c>
      <c r="E12863" s="345">
        <f t="shared" si="1909"/>
        <v>45701</v>
      </c>
      <c r="F12863" s="483" t="s">
        <v>1913</v>
      </c>
      <c r="G12863" s="350" t="s">
        <v>94</v>
      </c>
      <c r="H12863" s="350" t="str" cm="1">
        <f t="array" ref="H12863">IFERROR(INDEX(INVESTOR_LIST[INVESTOR NAME],MATCH(I12863,INVESTOR_LIST[INVESTOR CODE],0),)," ")</f>
        <v xml:space="preserve"> </v>
      </c>
      <c r="I12863" s="352" t="s">
        <v>348</v>
      </c>
      <c r="J12863" s="353" t="s">
        <v>1799</v>
      </c>
      <c r="K12863" s="354">
        <v>167401.66999999806</v>
      </c>
      <c r="L12863" s="354"/>
      <c r="M12863" s="133">
        <v>0</v>
      </c>
    </row>
    <row r="12864" spans="1:13" x14ac:dyDescent="0.2">
      <c r="A12864" s="346">
        <v>2025</v>
      </c>
      <c r="B12864" s="346">
        <v>2</v>
      </c>
      <c r="C12864" s="346">
        <v>13</v>
      </c>
      <c r="D12864" s="344">
        <f t="shared" si="1908"/>
        <v>45701</v>
      </c>
      <c r="E12864" s="345">
        <f t="shared" si="1909"/>
        <v>45701</v>
      </c>
      <c r="F12864" s="484"/>
      <c r="G12864" s="347" t="s">
        <v>94</v>
      </c>
      <c r="H12864" s="347" t="str" cm="1">
        <f t="array" ref="H12864">IFERROR(INDEX(INVESTOR_LIST[INVESTOR NAME],MATCH(I12864,INVESTOR_LIST[INVESTOR CODE],0),)," ")</f>
        <v xml:space="preserve"> </v>
      </c>
      <c r="I12864" s="348" t="s">
        <v>348</v>
      </c>
      <c r="J12864" s="355" t="s">
        <v>1808</v>
      </c>
      <c r="K12864" s="349"/>
      <c r="L12864" s="349">
        <f>K12863</f>
        <v>167401.66999999806</v>
      </c>
    </row>
    <row r="12865" spans="1:13" x14ac:dyDescent="0.2">
      <c r="A12865" s="238">
        <v>2025</v>
      </c>
      <c r="B12865" s="238">
        <v>2</v>
      </c>
      <c r="C12865" s="238">
        <v>13</v>
      </c>
      <c r="D12865" s="270">
        <f t="shared" si="1908"/>
        <v>45701</v>
      </c>
      <c r="E12865" s="279">
        <f t="shared" si="1909"/>
        <v>45701</v>
      </c>
      <c r="F12865" s="477" t="s">
        <v>347</v>
      </c>
      <c r="G12865" s="239" t="s">
        <v>94</v>
      </c>
      <c r="H12865" s="239" t="str" cm="1">
        <f t="array" ref="H12865">IFERROR(INDEX(INVESTOR_LIST[INVESTOR NAME],MATCH(I12865,INVESTOR_LIST[INVESTOR CODE],0),)," ")</f>
        <v xml:space="preserve"> </v>
      </c>
      <c r="I12865" s="262" t="s">
        <v>348</v>
      </c>
      <c r="J12865" s="240" t="s">
        <v>108</v>
      </c>
      <c r="K12865" s="241">
        <v>38777.790000006557</v>
      </c>
      <c r="L12865" s="241"/>
      <c r="M12865" s="133">
        <v>13139541.900000483</v>
      </c>
    </row>
    <row r="12866" spans="1:13" x14ac:dyDescent="0.2">
      <c r="A12866" s="242">
        <v>2025</v>
      </c>
      <c r="B12866" s="242">
        <v>2</v>
      </c>
      <c r="C12866" s="242">
        <v>13</v>
      </c>
      <c r="D12866" s="270">
        <f t="shared" si="1908"/>
        <v>45701</v>
      </c>
      <c r="E12866" s="279">
        <f t="shared" si="1909"/>
        <v>45701</v>
      </c>
      <c r="F12866" s="478"/>
      <c r="G12866" s="243" t="s">
        <v>94</v>
      </c>
      <c r="H12866" s="243" t="str" cm="1">
        <f t="array" ref="H12866">IFERROR(INDEX(INVESTOR_LIST[INVESTOR NAME],MATCH(I12866,INVESTOR_LIST[INVESTOR CODE],0),)," ")</f>
        <v xml:space="preserve"> </v>
      </c>
      <c r="I12866" s="263" t="s">
        <v>348</v>
      </c>
      <c r="J12866" s="244" t="s">
        <v>82</v>
      </c>
      <c r="K12866" s="245"/>
      <c r="L12866" s="245">
        <f>K12865</f>
        <v>38777.790000006557</v>
      </c>
    </row>
    <row r="12867" spans="1:13" ht="22.5" x14ac:dyDescent="0.2">
      <c r="A12867" s="246">
        <v>2025</v>
      </c>
      <c r="B12867" s="238">
        <v>2</v>
      </c>
      <c r="C12867" s="238">
        <v>13</v>
      </c>
      <c r="D12867" s="270">
        <f t="shared" si="1908"/>
        <v>45701</v>
      </c>
      <c r="E12867" s="279">
        <f t="shared" si="1909"/>
        <v>45701</v>
      </c>
      <c r="F12867" s="482" t="s">
        <v>148</v>
      </c>
      <c r="G12867" s="247" t="s">
        <v>94</v>
      </c>
      <c r="H12867" s="247" t="str" cm="1">
        <f t="array" ref="H12867">IFERROR(INDEX(INVESTOR_LIST[INVESTOR NAME],MATCH(I12867,INVESTOR_LIST[INVESTOR CODE],0),)," ")</f>
        <v xml:space="preserve"> </v>
      </c>
      <c r="I12867" s="248" t="s">
        <v>348</v>
      </c>
      <c r="J12867" s="249" t="s">
        <v>95</v>
      </c>
      <c r="K12867" s="250">
        <v>2747.2527472527472</v>
      </c>
      <c r="L12867" s="241"/>
    </row>
    <row r="12868" spans="1:13" x14ac:dyDescent="0.2">
      <c r="A12868" s="242">
        <v>2025</v>
      </c>
      <c r="B12868" s="242">
        <v>2</v>
      </c>
      <c r="C12868" s="242">
        <v>13</v>
      </c>
      <c r="D12868" s="270">
        <f t="shared" si="1908"/>
        <v>45701</v>
      </c>
      <c r="E12868" s="279">
        <f t="shared" si="1909"/>
        <v>45701</v>
      </c>
      <c r="F12868" s="478"/>
      <c r="G12868" s="243" t="s">
        <v>94</v>
      </c>
      <c r="H12868" s="243" t="str" cm="1">
        <f t="array" ref="H12868">IFERROR(INDEX(INVESTOR_LIST[INVESTOR NAME],MATCH(I12868,INVESTOR_LIST[INVESTOR CODE],0),)," ")</f>
        <v xml:space="preserve"> </v>
      </c>
      <c r="I12868" s="263" t="s">
        <v>348</v>
      </c>
      <c r="J12868" s="244" t="s">
        <v>63</v>
      </c>
      <c r="K12868" s="245"/>
      <c r="L12868" s="245">
        <v>2747.2527472527472</v>
      </c>
    </row>
    <row r="12869" spans="1:13" x14ac:dyDescent="0.2">
      <c r="A12869" s="246">
        <v>2025</v>
      </c>
      <c r="B12869" s="238">
        <v>2</v>
      </c>
      <c r="C12869" s="238">
        <v>13</v>
      </c>
      <c r="D12869" s="270">
        <f t="shared" si="1908"/>
        <v>45701</v>
      </c>
      <c r="E12869" s="279">
        <f t="shared" si="1909"/>
        <v>45701</v>
      </c>
      <c r="F12869" s="482" t="s">
        <v>137</v>
      </c>
      <c r="G12869" s="247" t="s">
        <v>94</v>
      </c>
      <c r="H12869" s="247" t="str" cm="1">
        <f t="array" ref="H12869">IFERROR(INDEX(INVESTOR_LIST[INVESTOR NAME],MATCH(I12869,INVESTOR_LIST[INVESTOR CODE],0),)," ")</f>
        <v xml:space="preserve"> </v>
      </c>
      <c r="I12869" s="248" t="s">
        <v>348</v>
      </c>
      <c r="J12869" s="249" t="s">
        <v>97</v>
      </c>
      <c r="K12869" s="250">
        <f>M12869</f>
        <v>58773.728487056593</v>
      </c>
      <c r="L12869" s="252"/>
      <c r="M12869" s="133">
        <v>58773.728487056593</v>
      </c>
    </row>
    <row r="12870" spans="1:13" x14ac:dyDescent="0.2">
      <c r="A12870" s="242">
        <v>2025</v>
      </c>
      <c r="B12870" s="242">
        <v>2</v>
      </c>
      <c r="C12870" s="242">
        <v>13</v>
      </c>
      <c r="D12870" s="270">
        <f t="shared" si="1908"/>
        <v>45701</v>
      </c>
      <c r="E12870" s="279">
        <f t="shared" si="1909"/>
        <v>45701</v>
      </c>
      <c r="F12870" s="478"/>
      <c r="G12870" s="243" t="s">
        <v>94</v>
      </c>
      <c r="H12870" s="243" t="str" cm="1">
        <f t="array" ref="H12870">IFERROR(INDEX(INVESTOR_LIST[INVESTOR NAME],MATCH(I12870,INVESTOR_LIST[INVESTOR CODE],0),)," ")</f>
        <v xml:space="preserve"> </v>
      </c>
      <c r="I12870" s="263" t="s">
        <v>348</v>
      </c>
      <c r="J12870" s="244" t="s">
        <v>47</v>
      </c>
      <c r="K12870" s="245"/>
      <c r="L12870" s="245">
        <f>K12869</f>
        <v>58773.728487056593</v>
      </c>
      <c r="M12870" s="133">
        <v>2698.3018089682137</v>
      </c>
    </row>
    <row r="12871" spans="1:13" x14ac:dyDescent="0.2">
      <c r="A12871" s="246">
        <v>2025</v>
      </c>
      <c r="B12871" s="238">
        <v>2</v>
      </c>
      <c r="C12871" s="238">
        <v>13</v>
      </c>
      <c r="D12871" s="270">
        <f t="shared" si="1908"/>
        <v>45701</v>
      </c>
      <c r="E12871" s="279">
        <f t="shared" si="1909"/>
        <v>45701</v>
      </c>
      <c r="F12871" s="482" t="s">
        <v>138</v>
      </c>
      <c r="G12871" s="247" t="s">
        <v>94</v>
      </c>
      <c r="H12871" s="247" t="str" cm="1">
        <f t="array" ref="H12871">IFERROR(INDEX(INVESTOR_LIST[INVESTOR NAME],MATCH(I12871,INVESTOR_LIST[INVESTOR CODE],0),)," ")</f>
        <v xml:space="preserve"> </v>
      </c>
      <c r="I12871" s="248" t="s">
        <v>348</v>
      </c>
      <c r="J12871" s="249" t="s">
        <v>100</v>
      </c>
      <c r="K12871" s="250">
        <f>M12870</f>
        <v>2698.3018089682137</v>
      </c>
      <c r="L12871" s="252"/>
    </row>
    <row r="12872" spans="1:13" x14ac:dyDescent="0.2">
      <c r="A12872" s="242">
        <v>2025</v>
      </c>
      <c r="B12872" s="242">
        <v>2</v>
      </c>
      <c r="C12872" s="242">
        <v>13</v>
      </c>
      <c r="D12872" s="321">
        <f t="shared" si="1908"/>
        <v>45701</v>
      </c>
      <c r="E12872" s="322">
        <f t="shared" si="1909"/>
        <v>45701</v>
      </c>
      <c r="F12872" s="478"/>
      <c r="G12872" s="243" t="s">
        <v>94</v>
      </c>
      <c r="H12872" s="243" t="str" cm="1">
        <f t="array" ref="H12872">IFERROR(INDEX(INVESTOR_LIST[INVESTOR NAME],MATCH(I12872,INVESTOR_LIST[INVESTOR CODE],0),)," ")</f>
        <v xml:space="preserve"> </v>
      </c>
      <c r="I12872" s="263" t="s">
        <v>348</v>
      </c>
      <c r="J12872" s="244" t="s">
        <v>48</v>
      </c>
      <c r="K12872" s="245"/>
      <c r="L12872" s="245">
        <f>K12871</f>
        <v>2698.3018089682137</v>
      </c>
    </row>
    <row r="12873" spans="1:13" x14ac:dyDescent="0.2">
      <c r="A12873" s="168">
        <v>2025</v>
      </c>
      <c r="B12873" s="168">
        <v>2</v>
      </c>
      <c r="C12873" s="168">
        <v>16</v>
      </c>
      <c r="D12873" s="141">
        <f>DATE(A12873,B12873,C12873)</f>
        <v>45704</v>
      </c>
      <c r="E12873" s="275">
        <f>DATE(A12873,B12873,C12873)</f>
        <v>45704</v>
      </c>
      <c r="F12873" s="479" t="s">
        <v>1319</v>
      </c>
      <c r="G12873" s="220" t="s">
        <v>74</v>
      </c>
      <c r="H12873" s="142" t="str" cm="1">
        <f t="array" ref="H12873">IFERROR(INDEX(INVESTOR_LIST[INVESTOR NAME],MATCH(I12873,INVESTOR_LIST[INVESTOR CODE],0),)," ")</f>
        <v xml:space="preserve"> </v>
      </c>
      <c r="I12873" s="142"/>
      <c r="J12873" s="168" t="s">
        <v>52</v>
      </c>
      <c r="K12873" s="226">
        <v>2000</v>
      </c>
      <c r="L12873" s="226"/>
    </row>
    <row r="12874" spans="1:13" x14ac:dyDescent="0.2">
      <c r="A12874" s="133">
        <v>2025</v>
      </c>
      <c r="B12874" s="133">
        <v>2</v>
      </c>
      <c r="C12874" s="133">
        <v>16</v>
      </c>
      <c r="D12874" s="141">
        <f>DATE(A12874,B12874,C12874)</f>
        <v>45704</v>
      </c>
      <c r="E12874" s="275">
        <f>DATE(A12874,B12874,C12874)</f>
        <v>45704</v>
      </c>
      <c r="F12874" s="481"/>
      <c r="G12874" s="174" t="s">
        <v>74</v>
      </c>
      <c r="H12874" s="148" t="str" cm="1">
        <f t="array" ref="H12874">IFERROR(INDEX(INVESTOR_LIST[INVESTOR NAME],MATCH(I12874,INVESTOR_LIST[INVESTOR CODE],0),)," ")</f>
        <v xml:space="preserve"> </v>
      </c>
      <c r="J12874" s="133" t="s">
        <v>13</v>
      </c>
      <c r="K12874" s="218"/>
      <c r="L12874" s="218">
        <v>1600</v>
      </c>
    </row>
    <row r="12875" spans="1:13" x14ac:dyDescent="0.2">
      <c r="A12875" s="163">
        <v>2025</v>
      </c>
      <c r="B12875" s="163">
        <v>2</v>
      </c>
      <c r="C12875" s="163">
        <v>16</v>
      </c>
      <c r="D12875" s="280">
        <f>DATE(A12875,B12875,C12875)</f>
        <v>45704</v>
      </c>
      <c r="E12875" s="281">
        <f>DATE(A12875,B12875,C12875)</f>
        <v>45704</v>
      </c>
      <c r="F12875" s="480"/>
      <c r="G12875" s="221" t="s">
        <v>74</v>
      </c>
      <c r="H12875" s="145" t="str" cm="1">
        <f t="array" ref="H12875">IFERROR(INDEX(INVESTOR_LIST[INVESTOR NAME],MATCH(I12875,INVESTOR_LIST[INVESTOR CODE],0),)," ")</f>
        <v xml:space="preserve"> </v>
      </c>
      <c r="I12875" s="145"/>
      <c r="J12875" s="163" t="s">
        <v>53</v>
      </c>
      <c r="K12875" s="219"/>
      <c r="L12875" s="219">
        <v>400</v>
      </c>
    </row>
    <row r="12876" spans="1:13" x14ac:dyDescent="0.2">
      <c r="A12876" s="168">
        <v>2025</v>
      </c>
      <c r="B12876" s="133">
        <v>2</v>
      </c>
      <c r="C12876" s="168">
        <v>16</v>
      </c>
      <c r="D12876" s="141">
        <f t="shared" si="1908"/>
        <v>45704</v>
      </c>
      <c r="E12876" s="275">
        <f t="shared" si="1909"/>
        <v>45704</v>
      </c>
      <c r="F12876" s="479" t="s">
        <v>2002</v>
      </c>
      <c r="G12876" s="220" t="s">
        <v>74</v>
      </c>
      <c r="H12876" s="220" t="str" cm="1">
        <f t="array" ref="H12876">IFERROR(INDEX(INVESTOR_LIST[INVESTOR NAME],MATCH(I12876,INVESTOR_LIST[INVESTOR CODE],0),)," ")</f>
        <v xml:space="preserve"> </v>
      </c>
      <c r="I12876" s="142"/>
      <c r="J12876" s="143" t="s">
        <v>147</v>
      </c>
      <c r="K12876" s="226">
        <v>494488.48</v>
      </c>
      <c r="L12876" s="226"/>
    </row>
    <row r="12877" spans="1:13" x14ac:dyDescent="0.2">
      <c r="A12877" s="163">
        <v>2025</v>
      </c>
      <c r="B12877" s="163">
        <v>2</v>
      </c>
      <c r="C12877" s="163">
        <v>16</v>
      </c>
      <c r="D12877" s="280">
        <f t="shared" si="1908"/>
        <v>45704</v>
      </c>
      <c r="E12877" s="281">
        <f t="shared" si="1909"/>
        <v>45704</v>
      </c>
      <c r="F12877" s="480"/>
      <c r="G12877" s="221" t="s">
        <v>74</v>
      </c>
      <c r="H12877" s="221" t="str" cm="1">
        <f t="array" ref="H12877">IFERROR(INDEX(INVESTOR_LIST[INVESTOR NAME],MATCH(I12877,INVESTOR_LIST[INVESTOR CODE],0),)," ")</f>
        <v xml:space="preserve"> </v>
      </c>
      <c r="I12877" s="145" t="s">
        <v>348</v>
      </c>
      <c r="J12877" s="146" t="s">
        <v>52</v>
      </c>
      <c r="K12877" s="219"/>
      <c r="L12877" s="219">
        <v>494488.48</v>
      </c>
    </row>
    <row r="12878" spans="1:13" x14ac:dyDescent="0.2">
      <c r="A12878" s="133">
        <v>2025</v>
      </c>
      <c r="B12878" s="133">
        <v>2</v>
      </c>
      <c r="C12878" s="133">
        <v>17</v>
      </c>
      <c r="D12878" s="141">
        <f t="shared" si="1908"/>
        <v>45705</v>
      </c>
      <c r="E12878" s="275">
        <f t="shared" si="1909"/>
        <v>45705</v>
      </c>
      <c r="F12878" s="481" t="s">
        <v>1767</v>
      </c>
      <c r="G12878" s="174" t="s">
        <v>94</v>
      </c>
      <c r="H12878" s="174" t="str" cm="1">
        <f t="array" ref="H12878">IFERROR(INDEX(INVESTOR_LIST[INVESTOR NAME],MATCH(I12878,INVESTOR_LIST[INVESTOR CODE],0),)," ")</f>
        <v xml:space="preserve"> </v>
      </c>
      <c r="J12878" s="149" t="s">
        <v>79</v>
      </c>
      <c r="K12878" s="218">
        <v>779360.1</v>
      </c>
      <c r="L12878" s="218"/>
      <c r="M12878" s="160"/>
    </row>
    <row r="12879" spans="1:13" x14ac:dyDescent="0.2">
      <c r="A12879" s="133">
        <v>2025</v>
      </c>
      <c r="B12879" s="133">
        <v>2</v>
      </c>
      <c r="C12879" s="133">
        <v>17</v>
      </c>
      <c r="D12879" s="141">
        <f t="shared" si="1908"/>
        <v>45705</v>
      </c>
      <c r="E12879" s="275">
        <f t="shared" si="1909"/>
        <v>45705</v>
      </c>
      <c r="F12879" s="481"/>
      <c r="G12879" s="174" t="s">
        <v>94</v>
      </c>
      <c r="H12879" s="174" t="str" cm="1">
        <f t="array" ref="H12879">IFERROR(INDEX(INVESTOR_LIST[INVESTOR NAME],MATCH(I12879,INVESTOR_LIST[INVESTOR CODE],0),)," ")</f>
        <v xml:space="preserve"> </v>
      </c>
      <c r="J12879" s="149" t="s">
        <v>80</v>
      </c>
      <c r="K12879" s="218">
        <v>2645.21</v>
      </c>
      <c r="L12879" s="133"/>
    </row>
    <row r="12880" spans="1:13" x14ac:dyDescent="0.2">
      <c r="A12880" s="133">
        <v>2025</v>
      </c>
      <c r="B12880" s="133">
        <v>2</v>
      </c>
      <c r="C12880" s="133">
        <v>17</v>
      </c>
      <c r="D12880" s="141">
        <f t="shared" si="1908"/>
        <v>45705</v>
      </c>
      <c r="E12880" s="275">
        <f t="shared" si="1909"/>
        <v>45705</v>
      </c>
      <c r="F12880" s="481"/>
      <c r="G12880" s="174" t="s">
        <v>94</v>
      </c>
      <c r="H12880" s="174" t="str" cm="1">
        <f t="array" ref="H12880">IFERROR(INDEX(INVESTOR_LIST[INVESTOR NAME],MATCH(I12880,INVESTOR_LIST[INVESTOR CODE],0),)," ")</f>
        <v xml:space="preserve"> </v>
      </c>
      <c r="J12880" s="149" t="s">
        <v>147</v>
      </c>
      <c r="K12880" s="218"/>
      <c r="L12880" s="218">
        <v>91805.31</v>
      </c>
    </row>
    <row r="12881" spans="1:13" x14ac:dyDescent="0.2">
      <c r="A12881" s="133">
        <v>2025</v>
      </c>
      <c r="B12881" s="133">
        <v>2</v>
      </c>
      <c r="C12881" s="133">
        <v>17</v>
      </c>
      <c r="D12881" s="141">
        <f t="shared" si="1908"/>
        <v>45705</v>
      </c>
      <c r="E12881" s="275">
        <f t="shared" si="1909"/>
        <v>45705</v>
      </c>
      <c r="F12881" s="481"/>
      <c r="G12881" s="174" t="s">
        <v>94</v>
      </c>
      <c r="H12881" s="174" t="str" cm="1">
        <f t="array" ref="H12881">IFERROR(INDEX(INVESTOR_LIST[INVESTOR NAME],MATCH(I12881,INVESTOR_LIST[INVESTOR CODE],0),)," ")</f>
        <v xml:space="preserve"> </v>
      </c>
      <c r="J12881" s="149" t="s">
        <v>191</v>
      </c>
      <c r="K12881" s="218"/>
      <c r="L12881" s="218">
        <v>49209.32</v>
      </c>
    </row>
    <row r="12882" spans="1:13" x14ac:dyDescent="0.2">
      <c r="A12882" s="163">
        <v>2025</v>
      </c>
      <c r="B12882" s="163">
        <v>2</v>
      </c>
      <c r="C12882" s="163">
        <v>17</v>
      </c>
      <c r="D12882" s="280">
        <f t="shared" si="1908"/>
        <v>45705</v>
      </c>
      <c r="E12882" s="281">
        <f t="shared" si="1909"/>
        <v>45705</v>
      </c>
      <c r="F12882" s="480"/>
      <c r="G12882" s="221" t="s">
        <v>94</v>
      </c>
      <c r="H12882" s="145" t="str" cm="1">
        <f t="array" ref="H12882">IFERROR(INDEX(INVESTOR_LIST[INVESTOR NAME],MATCH(I12882,INVESTOR_LIST[INVESTOR CODE],0),)," ")</f>
        <v xml:space="preserve"> </v>
      </c>
      <c r="I12882" s="145"/>
      <c r="J12882" s="163" t="s">
        <v>79</v>
      </c>
      <c r="K12882" s="219"/>
      <c r="L12882" s="219">
        <v>640990.68000000005</v>
      </c>
    </row>
    <row r="12883" spans="1:13" x14ac:dyDescent="0.2">
      <c r="A12883" s="133">
        <v>2025</v>
      </c>
      <c r="B12883" s="133">
        <v>2</v>
      </c>
      <c r="C12883" s="133">
        <v>18</v>
      </c>
      <c r="D12883" s="141">
        <f t="shared" ref="D12883:D12893" si="1912">DATE(A12883,B12883,C12883)</f>
        <v>45706</v>
      </c>
      <c r="E12883" s="275">
        <f t="shared" ref="E12883:E12893" si="1913">DATE(A12883,B12883,C12883)</f>
        <v>45706</v>
      </c>
      <c r="F12883" s="481" t="s">
        <v>1767</v>
      </c>
      <c r="G12883" s="174" t="s">
        <v>94</v>
      </c>
      <c r="H12883" s="174" t="str" cm="1">
        <f t="array" ref="H12883">IFERROR(INDEX(INVESTOR_LIST[INVESTOR NAME],MATCH(I12883,INVESTOR_LIST[INVESTOR CODE],0),)," ")</f>
        <v xml:space="preserve"> </v>
      </c>
      <c r="J12883" s="149" t="s">
        <v>79</v>
      </c>
      <c r="K12883" s="218">
        <v>519060.1</v>
      </c>
      <c r="L12883" s="218"/>
      <c r="M12883" s="160"/>
    </row>
    <row r="12884" spans="1:13" x14ac:dyDescent="0.2">
      <c r="A12884" s="133">
        <v>2025</v>
      </c>
      <c r="B12884" s="133">
        <v>2</v>
      </c>
      <c r="C12884" s="133">
        <v>18</v>
      </c>
      <c r="D12884" s="141">
        <f t="shared" si="1912"/>
        <v>45706</v>
      </c>
      <c r="E12884" s="275">
        <f t="shared" si="1913"/>
        <v>45706</v>
      </c>
      <c r="F12884" s="481"/>
      <c r="G12884" s="174" t="s">
        <v>94</v>
      </c>
      <c r="H12884" s="174" t="str" cm="1">
        <f t="array" ref="H12884">IFERROR(INDEX(INVESTOR_LIST[INVESTOR NAME],MATCH(I12884,INVESTOR_LIST[INVESTOR CODE],0),)," ")</f>
        <v xml:space="preserve"> </v>
      </c>
      <c r="J12884" s="149" t="s">
        <v>80</v>
      </c>
      <c r="K12884" s="218">
        <v>1246.6099999999999</v>
      </c>
      <c r="L12884" s="133"/>
    </row>
    <row r="12885" spans="1:13" x14ac:dyDescent="0.2">
      <c r="A12885" s="133">
        <v>2025</v>
      </c>
      <c r="B12885" s="133">
        <v>2</v>
      </c>
      <c r="C12885" s="133">
        <v>18</v>
      </c>
      <c r="D12885" s="141">
        <f t="shared" si="1912"/>
        <v>45706</v>
      </c>
      <c r="E12885" s="275">
        <f t="shared" si="1913"/>
        <v>45706</v>
      </c>
      <c r="F12885" s="481"/>
      <c r="G12885" s="174" t="s">
        <v>94</v>
      </c>
      <c r="H12885" s="174" t="str" cm="1">
        <f t="array" ref="H12885">IFERROR(INDEX(INVESTOR_LIST[INVESTOR NAME],MATCH(I12885,INVESTOR_LIST[INVESTOR CODE],0),)," ")</f>
        <v xml:space="preserve"> </v>
      </c>
      <c r="J12885" s="149" t="s">
        <v>147</v>
      </c>
      <c r="K12885" s="218"/>
      <c r="L12885" s="218">
        <v>346806.71</v>
      </c>
    </row>
    <row r="12886" spans="1:13" x14ac:dyDescent="0.2">
      <c r="A12886" s="133">
        <v>2025</v>
      </c>
      <c r="B12886" s="133">
        <v>2</v>
      </c>
      <c r="C12886" s="133">
        <v>18</v>
      </c>
      <c r="D12886" s="141">
        <f t="shared" si="1912"/>
        <v>45706</v>
      </c>
      <c r="E12886" s="275">
        <f t="shared" si="1913"/>
        <v>45706</v>
      </c>
      <c r="F12886" s="481"/>
      <c r="G12886" s="174" t="s">
        <v>94</v>
      </c>
      <c r="H12886" s="174" t="str" cm="1">
        <f t="array" ref="H12886">IFERROR(INDEX(INVESTOR_LIST[INVESTOR NAME],MATCH(I12886,INVESTOR_LIST[INVESTOR CODE],0),)," ")</f>
        <v xml:space="preserve"> </v>
      </c>
      <c r="J12886" s="149" t="s">
        <v>191</v>
      </c>
      <c r="K12886" s="218"/>
      <c r="L12886" s="218">
        <v>13252.33</v>
      </c>
    </row>
    <row r="12887" spans="1:13" x14ac:dyDescent="0.2">
      <c r="A12887" s="163">
        <v>2025</v>
      </c>
      <c r="B12887" s="163">
        <v>2</v>
      </c>
      <c r="C12887" s="163">
        <v>18</v>
      </c>
      <c r="D12887" s="280">
        <f t="shared" si="1912"/>
        <v>45706</v>
      </c>
      <c r="E12887" s="281">
        <f t="shared" si="1913"/>
        <v>45706</v>
      </c>
      <c r="F12887" s="480"/>
      <c r="G12887" s="221" t="s">
        <v>94</v>
      </c>
      <c r="H12887" s="145" t="str" cm="1">
        <f t="array" ref="H12887">IFERROR(INDEX(INVESTOR_LIST[INVESTOR NAME],MATCH(I12887,INVESTOR_LIST[INVESTOR CODE],0),)," ")</f>
        <v xml:space="preserve"> </v>
      </c>
      <c r="I12887" s="145"/>
      <c r="J12887" s="163" t="s">
        <v>79</v>
      </c>
      <c r="K12887" s="219"/>
      <c r="L12887" s="219">
        <v>160247.67000000001</v>
      </c>
    </row>
    <row r="12888" spans="1:13" x14ac:dyDescent="0.2">
      <c r="A12888" s="133">
        <v>2025</v>
      </c>
      <c r="B12888" s="133">
        <v>2</v>
      </c>
      <c r="C12888" s="133">
        <v>18</v>
      </c>
      <c r="D12888" s="141">
        <f t="shared" si="1912"/>
        <v>45706</v>
      </c>
      <c r="E12888" s="275">
        <f t="shared" si="1913"/>
        <v>45706</v>
      </c>
      <c r="F12888" s="481" t="s">
        <v>1977</v>
      </c>
      <c r="G12888" s="174" t="s">
        <v>94</v>
      </c>
      <c r="H12888" s="174" t="str" cm="1">
        <f t="array" ref="H12888">IFERROR(INDEX(INVESTOR_LIST[INVESTOR NAME],MATCH(I12888,INVESTOR_LIST[INVESTOR CODE],0),)," ")</f>
        <v xml:space="preserve"> </v>
      </c>
      <c r="J12888" s="149" t="s">
        <v>190</v>
      </c>
      <c r="K12888" s="218">
        <v>691672.64</v>
      </c>
      <c r="L12888" s="133"/>
    </row>
    <row r="12889" spans="1:13" x14ac:dyDescent="0.2">
      <c r="A12889" s="133">
        <v>2025</v>
      </c>
      <c r="B12889" s="133">
        <v>2</v>
      </c>
      <c r="C12889" s="133">
        <v>18</v>
      </c>
      <c r="D12889" s="141">
        <f t="shared" si="1912"/>
        <v>45706</v>
      </c>
      <c r="E12889" s="275">
        <f t="shared" si="1913"/>
        <v>45706</v>
      </c>
      <c r="F12889" s="481"/>
      <c r="G12889" s="174" t="s">
        <v>94</v>
      </c>
      <c r="H12889" s="174" t="str" cm="1">
        <f t="array" ref="H12889">IFERROR(INDEX(INVESTOR_LIST[INVESTOR NAME],MATCH(I12889,INVESTOR_LIST[INVESTOR CODE],0),)," ")</f>
        <v xml:space="preserve"> </v>
      </c>
      <c r="J12889" s="149" t="s">
        <v>80</v>
      </c>
      <c r="K12889" s="218">
        <v>1247.26</v>
      </c>
      <c r="L12889" s="218"/>
      <c r="M12889" s="176"/>
    </row>
    <row r="12890" spans="1:13" x14ac:dyDescent="0.2">
      <c r="A12890" s="133">
        <v>2025</v>
      </c>
      <c r="B12890" s="133">
        <v>2</v>
      </c>
      <c r="C12890" s="133">
        <v>18</v>
      </c>
      <c r="D12890" s="141">
        <f t="shared" si="1912"/>
        <v>45706</v>
      </c>
      <c r="E12890" s="275">
        <f t="shared" si="1913"/>
        <v>45706</v>
      </c>
      <c r="F12890" s="481"/>
      <c r="G12890" s="174" t="s">
        <v>94</v>
      </c>
      <c r="H12890" s="174" t="str" cm="1">
        <f t="array" ref="H12890">IFERROR(INDEX(INVESTOR_LIST[INVESTOR NAME],MATCH(I12890,INVESTOR_LIST[INVESTOR CODE],0),)," ")</f>
        <v xml:space="preserve"> </v>
      </c>
      <c r="J12890" s="149" t="s">
        <v>191</v>
      </c>
      <c r="K12890" s="218"/>
      <c r="L12890" s="218">
        <v>51929.22</v>
      </c>
    </row>
    <row r="12891" spans="1:13" x14ac:dyDescent="0.2">
      <c r="A12891" s="163">
        <v>2025</v>
      </c>
      <c r="B12891" s="163">
        <v>2</v>
      </c>
      <c r="C12891" s="163">
        <v>18</v>
      </c>
      <c r="D12891" s="280">
        <f t="shared" si="1912"/>
        <v>45706</v>
      </c>
      <c r="E12891" s="281">
        <f t="shared" si="1913"/>
        <v>45706</v>
      </c>
      <c r="F12891" s="480"/>
      <c r="G12891" s="221" t="s">
        <v>94</v>
      </c>
      <c r="H12891" s="145" t="str" cm="1">
        <f t="array" ref="H12891">IFERROR(INDEX(INVESTOR_LIST[INVESTOR NAME],MATCH(I12891,INVESTOR_LIST[INVESTOR CODE],0),)," ")</f>
        <v xml:space="preserve"> </v>
      </c>
      <c r="I12891" s="145"/>
      <c r="J12891" s="163" t="s">
        <v>79</v>
      </c>
      <c r="K12891" s="219"/>
      <c r="L12891" s="219">
        <v>640990.68000000005</v>
      </c>
    </row>
    <row r="12892" spans="1:13" x14ac:dyDescent="0.2">
      <c r="A12892" s="168">
        <v>2025</v>
      </c>
      <c r="B12892" s="133">
        <v>2</v>
      </c>
      <c r="C12892" s="168">
        <v>19</v>
      </c>
      <c r="D12892" s="141">
        <f t="shared" si="1912"/>
        <v>45707</v>
      </c>
      <c r="E12892" s="275">
        <f t="shared" si="1913"/>
        <v>45707</v>
      </c>
      <c r="F12892" s="479" t="s">
        <v>2002</v>
      </c>
      <c r="G12892" s="220" t="s">
        <v>74</v>
      </c>
      <c r="H12892" s="220" t="str" cm="1">
        <f t="array" ref="H12892">IFERROR(INDEX(INVESTOR_LIST[INVESTOR NAME],MATCH(I12892,INVESTOR_LIST[INVESTOR CODE],0),)," ")</f>
        <v xml:space="preserve"> </v>
      </c>
      <c r="I12892" s="142"/>
      <c r="J12892" s="143" t="s">
        <v>147</v>
      </c>
      <c r="K12892" s="226">
        <v>91805.31</v>
      </c>
      <c r="L12892" s="226"/>
    </row>
    <row r="12893" spans="1:13" x14ac:dyDescent="0.2">
      <c r="A12893" s="163">
        <v>2025</v>
      </c>
      <c r="B12893" s="163">
        <v>2</v>
      </c>
      <c r="C12893" s="163">
        <v>19</v>
      </c>
      <c r="D12893" s="280">
        <f t="shared" si="1912"/>
        <v>45707</v>
      </c>
      <c r="E12893" s="281">
        <f t="shared" si="1913"/>
        <v>45707</v>
      </c>
      <c r="F12893" s="480"/>
      <c r="G12893" s="221" t="s">
        <v>74</v>
      </c>
      <c r="H12893" s="221" t="str" cm="1">
        <f t="array" ref="H12893">IFERROR(INDEX(INVESTOR_LIST[INVESTOR NAME],MATCH(I12893,INVESTOR_LIST[INVESTOR CODE],0),)," ")</f>
        <v xml:space="preserve"> </v>
      </c>
      <c r="I12893" s="145" t="s">
        <v>348</v>
      </c>
      <c r="J12893" s="146" t="s">
        <v>52</v>
      </c>
      <c r="K12893" s="219"/>
      <c r="L12893" s="219">
        <v>91805.31</v>
      </c>
    </row>
    <row r="12894" spans="1:13" x14ac:dyDescent="0.2">
      <c r="A12894" s="168">
        <v>2025</v>
      </c>
      <c r="B12894" s="133">
        <v>2</v>
      </c>
      <c r="C12894" s="168">
        <v>19</v>
      </c>
      <c r="D12894" s="141">
        <f t="shared" ref="D12894:D12898" si="1914">DATE(A12894,B12894,C12894)</f>
        <v>45707</v>
      </c>
      <c r="E12894" s="275">
        <f t="shared" ref="E12894:E12898" si="1915">DATE(A12894,B12894,C12894)</f>
        <v>45707</v>
      </c>
      <c r="F12894" s="479" t="s">
        <v>2002</v>
      </c>
      <c r="G12894" s="220" t="s">
        <v>74</v>
      </c>
      <c r="H12894" s="220" t="str" cm="1">
        <f t="array" ref="H12894">IFERROR(INDEX(INVESTOR_LIST[INVESTOR NAME],MATCH(I12894,INVESTOR_LIST[INVESTOR CODE],0),)," ")</f>
        <v xml:space="preserve"> </v>
      </c>
      <c r="I12894" s="142"/>
      <c r="J12894" s="143" t="s">
        <v>147</v>
      </c>
      <c r="K12894" s="226">
        <v>346806.71</v>
      </c>
      <c r="L12894" s="226"/>
    </row>
    <row r="12895" spans="1:13" x14ac:dyDescent="0.2">
      <c r="A12895" s="163">
        <v>2025</v>
      </c>
      <c r="B12895" s="163">
        <v>2</v>
      </c>
      <c r="C12895" s="163">
        <v>19</v>
      </c>
      <c r="D12895" s="280">
        <f t="shared" si="1914"/>
        <v>45707</v>
      </c>
      <c r="E12895" s="281">
        <f t="shared" si="1915"/>
        <v>45707</v>
      </c>
      <c r="F12895" s="480"/>
      <c r="G12895" s="221" t="s">
        <v>74</v>
      </c>
      <c r="H12895" s="221" t="str" cm="1">
        <f t="array" ref="H12895">IFERROR(INDEX(INVESTOR_LIST[INVESTOR NAME],MATCH(I12895,INVESTOR_LIST[INVESTOR CODE],0),)," ")</f>
        <v xml:space="preserve"> </v>
      </c>
      <c r="I12895" s="145" t="s">
        <v>348</v>
      </c>
      <c r="J12895" s="146" t="s">
        <v>52</v>
      </c>
      <c r="K12895" s="219"/>
      <c r="L12895" s="219">
        <v>346806.71</v>
      </c>
    </row>
    <row r="12896" spans="1:13" x14ac:dyDescent="0.2">
      <c r="A12896" s="133">
        <v>2025</v>
      </c>
      <c r="B12896" s="133">
        <v>2</v>
      </c>
      <c r="C12896" s="133">
        <v>19</v>
      </c>
      <c r="D12896" s="141">
        <f t="shared" si="1914"/>
        <v>45707</v>
      </c>
      <c r="E12896" s="275">
        <f t="shared" si="1915"/>
        <v>45707</v>
      </c>
      <c r="F12896" s="481" t="s">
        <v>2006</v>
      </c>
      <c r="G12896" s="174" t="s">
        <v>74</v>
      </c>
      <c r="H12896" s="174" t="str" cm="1">
        <f t="array" ref="H12896">IFERROR(INDEX(INVESTOR_LIST[INVESTOR NAME],MATCH(I12896,INVESTOR_LIST[INVESTOR CODE],0),)," ")</f>
        <v xml:space="preserve"> </v>
      </c>
      <c r="J12896" s="149" t="s">
        <v>534</v>
      </c>
      <c r="K12896" s="218">
        <v>4489.0600000000004</v>
      </c>
      <c r="L12896" s="218"/>
    </row>
    <row r="12897" spans="1:13" x14ac:dyDescent="0.2">
      <c r="A12897" s="133">
        <v>2025</v>
      </c>
      <c r="B12897" s="133">
        <v>2</v>
      </c>
      <c r="C12897" s="133">
        <v>19</v>
      </c>
      <c r="D12897" s="141">
        <f t="shared" si="1914"/>
        <v>45707</v>
      </c>
      <c r="E12897" s="275">
        <f t="shared" si="1915"/>
        <v>45707</v>
      </c>
      <c r="F12897" s="481"/>
      <c r="G12897" s="174" t="s">
        <v>74</v>
      </c>
      <c r="H12897" s="174"/>
      <c r="J12897" s="149" t="s">
        <v>534</v>
      </c>
      <c r="K12897" s="218">
        <v>51.67</v>
      </c>
      <c r="L12897" s="218"/>
    </row>
    <row r="12898" spans="1:13" x14ac:dyDescent="0.2">
      <c r="A12898" s="163">
        <v>2025</v>
      </c>
      <c r="B12898" s="163">
        <v>2</v>
      </c>
      <c r="C12898" s="163">
        <v>19</v>
      </c>
      <c r="D12898" s="280">
        <f t="shared" si="1914"/>
        <v>45707</v>
      </c>
      <c r="E12898" s="281">
        <f t="shared" si="1915"/>
        <v>45707</v>
      </c>
      <c r="F12898" s="480"/>
      <c r="G12898" s="221" t="s">
        <v>74</v>
      </c>
      <c r="H12898" s="221" t="str" cm="1">
        <f t="array" ref="H12898">IFERROR(INDEX(INVESTOR_LIST[INVESTOR NAME],MATCH(I12898,INVESTOR_LIST[INVESTOR CODE],0),)," ")</f>
        <v xml:space="preserve"> </v>
      </c>
      <c r="I12898" s="145"/>
      <c r="J12898" s="146" t="s">
        <v>52</v>
      </c>
      <c r="K12898" s="219"/>
      <c r="L12898" s="219">
        <v>4540.7299999999996</v>
      </c>
    </row>
    <row r="12899" spans="1:13" x14ac:dyDescent="0.2">
      <c r="A12899" s="168">
        <v>2025</v>
      </c>
      <c r="B12899" s="133">
        <v>2</v>
      </c>
      <c r="C12899" s="168">
        <v>19</v>
      </c>
      <c r="D12899" s="147">
        <f>DATE(A12899,B12899,C12899)</f>
        <v>45707</v>
      </c>
      <c r="E12899" s="311">
        <f>DATE(A12899,B12899,C12899)</f>
        <v>45707</v>
      </c>
      <c r="F12899" s="481" t="s">
        <v>1943</v>
      </c>
      <c r="G12899" s="174" t="s">
        <v>74</v>
      </c>
      <c r="H12899" s="148" t="str" cm="1">
        <f t="array" ref="H12899">IFERROR(INDEX(INVESTOR_LIST[INVESTOR NAME],MATCH(I12899,INVESTOR_LIST[INVESTOR CODE],0),)," ")</f>
        <v xml:space="preserve"> </v>
      </c>
      <c r="I12899" s="148" t="s">
        <v>348</v>
      </c>
      <c r="J12899" s="133" t="s">
        <v>61</v>
      </c>
      <c r="K12899" s="172">
        <v>116</v>
      </c>
    </row>
    <row r="12900" spans="1:13" x14ac:dyDescent="0.2">
      <c r="A12900" s="163">
        <v>2025</v>
      </c>
      <c r="B12900" s="163">
        <v>2</v>
      </c>
      <c r="C12900" s="163">
        <v>19</v>
      </c>
      <c r="D12900" s="280">
        <f>DATE(A12900,B12900,C12900)</f>
        <v>45707</v>
      </c>
      <c r="E12900" s="281">
        <f>DATE(A12900,B12900,C12900)</f>
        <v>45707</v>
      </c>
      <c r="F12900" s="480"/>
      <c r="G12900" s="221" t="s">
        <v>74</v>
      </c>
      <c r="H12900" s="145" t="str" cm="1">
        <f t="array" ref="H12900">IFERROR(INDEX(INVESTOR_LIST[INVESTOR NAME],MATCH(I12900,INVESTOR_LIST[INVESTOR CODE],0),)," ")</f>
        <v xml:space="preserve"> </v>
      </c>
      <c r="I12900" s="145" t="s">
        <v>348</v>
      </c>
      <c r="J12900" s="163" t="s">
        <v>52</v>
      </c>
      <c r="K12900" s="219"/>
      <c r="L12900" s="219">
        <v>116</v>
      </c>
    </row>
    <row r="12901" spans="1:13" x14ac:dyDescent="0.2">
      <c r="A12901" s="168">
        <v>2025</v>
      </c>
      <c r="B12901" s="168">
        <v>2</v>
      </c>
      <c r="C12901" s="133">
        <v>20</v>
      </c>
      <c r="D12901" s="141">
        <f t="shared" ref="D12901:D12931" si="1916">DATE(A12901,B12901,C12901)</f>
        <v>45708</v>
      </c>
      <c r="E12901" s="275">
        <f t="shared" ref="E12901:E12931" si="1917">DATE(A12901,B12901,C12901)</f>
        <v>45708</v>
      </c>
      <c r="F12901" s="479" t="s">
        <v>1979</v>
      </c>
      <c r="G12901" s="220" t="s">
        <v>94</v>
      </c>
      <c r="H12901" s="220" t="str" cm="1">
        <f t="array" ref="H12901">IFERROR(INDEX(INVESTOR_LIST[INVESTOR NAME],MATCH(I12901,INVESTOR_LIST[INVESTOR CODE],0),)," ")</f>
        <v xml:space="preserve"> </v>
      </c>
      <c r="I12901" s="142"/>
      <c r="J12901" s="143" t="s">
        <v>79</v>
      </c>
      <c r="K12901" s="226">
        <v>432000</v>
      </c>
      <c r="L12901" s="226"/>
    </row>
    <row r="12902" spans="1:13" x14ac:dyDescent="0.2">
      <c r="A12902" s="133">
        <v>2025</v>
      </c>
      <c r="B12902" s="133">
        <v>2</v>
      </c>
      <c r="C12902" s="133">
        <v>20</v>
      </c>
      <c r="D12902" s="141">
        <f t="shared" si="1916"/>
        <v>45708</v>
      </c>
      <c r="E12902" s="275">
        <f t="shared" si="1917"/>
        <v>45708</v>
      </c>
      <c r="F12902" s="481"/>
      <c r="G12902" s="174" t="s">
        <v>94</v>
      </c>
      <c r="H12902" s="174" t="str" cm="1">
        <f t="array" ref="H12902">IFERROR(INDEX(INVESTOR_LIST[INVESTOR NAME],MATCH(I12902,INVESTOR_LIST[INVESTOR CODE],0),)," ")</f>
        <v xml:space="preserve"> </v>
      </c>
      <c r="J12902" s="149" t="s">
        <v>80</v>
      </c>
      <c r="K12902" s="218">
        <v>777.6</v>
      </c>
      <c r="L12902" s="133"/>
    </row>
    <row r="12903" spans="1:13" x14ac:dyDescent="0.2">
      <c r="A12903" s="163">
        <v>2025</v>
      </c>
      <c r="B12903" s="163">
        <v>2</v>
      </c>
      <c r="C12903" s="163">
        <v>20</v>
      </c>
      <c r="D12903" s="280">
        <f t="shared" si="1916"/>
        <v>45708</v>
      </c>
      <c r="E12903" s="281">
        <f t="shared" si="1917"/>
        <v>45708</v>
      </c>
      <c r="F12903" s="480"/>
      <c r="G12903" s="221" t="s">
        <v>94</v>
      </c>
      <c r="H12903" s="221" t="str" cm="1">
        <f t="array" ref="H12903">IFERROR(INDEX(INVESTOR_LIST[INVESTOR NAME],MATCH(I12903,INVESTOR_LIST[INVESTOR CODE],0),)," ")</f>
        <v xml:space="preserve"> </v>
      </c>
      <c r="I12903" s="145"/>
      <c r="J12903" s="146" t="s">
        <v>147</v>
      </c>
      <c r="K12903" s="219"/>
      <c r="L12903" s="219">
        <v>432777.6</v>
      </c>
    </row>
    <row r="12904" spans="1:13" ht="11.25" customHeight="1" x14ac:dyDescent="0.2">
      <c r="A12904" s="168">
        <v>2025</v>
      </c>
      <c r="B12904" s="133">
        <v>2</v>
      </c>
      <c r="C12904" s="168">
        <v>20</v>
      </c>
      <c r="D12904" s="141">
        <f t="shared" si="1916"/>
        <v>45708</v>
      </c>
      <c r="E12904" s="275">
        <f t="shared" si="1917"/>
        <v>45708</v>
      </c>
      <c r="F12904" s="479" t="s">
        <v>2037</v>
      </c>
      <c r="G12904" s="220" t="s">
        <v>74</v>
      </c>
      <c r="H12904" s="220" t="str" cm="1">
        <f t="array" ref="H12904">IFERROR(INDEX(INVESTOR_LIST[INVESTOR NAME],MATCH(I12904,INVESTOR_LIST[INVESTOR CODE],0),)," ")</f>
        <v xml:space="preserve"> </v>
      </c>
      <c r="I12904" s="142"/>
      <c r="J12904" s="143" t="s">
        <v>52</v>
      </c>
      <c r="K12904" s="226">
        <v>691672.64</v>
      </c>
      <c r="L12904" s="226"/>
    </row>
    <row r="12905" spans="1:13" x14ac:dyDescent="0.2">
      <c r="A12905" s="163">
        <v>2025</v>
      </c>
      <c r="B12905" s="163">
        <v>2</v>
      </c>
      <c r="C12905" s="163">
        <v>20</v>
      </c>
      <c r="D12905" s="280">
        <f t="shared" si="1916"/>
        <v>45708</v>
      </c>
      <c r="E12905" s="281">
        <f t="shared" si="1917"/>
        <v>45708</v>
      </c>
      <c r="F12905" s="480"/>
      <c r="G12905" s="221" t="s">
        <v>74</v>
      </c>
      <c r="H12905" s="221" t="str" cm="1">
        <f t="array" ref="H12905">IFERROR(INDEX(INVESTOR_LIST[INVESTOR NAME],MATCH(I12905,INVESTOR_LIST[INVESTOR CODE],0),)," ")</f>
        <v xml:space="preserve"> </v>
      </c>
      <c r="I12905" s="145"/>
      <c r="J12905" s="146" t="s">
        <v>190</v>
      </c>
      <c r="K12905" s="219"/>
      <c r="L12905" s="219">
        <v>691672.64</v>
      </c>
    </row>
    <row r="12906" spans="1:13" x14ac:dyDescent="0.2">
      <c r="A12906" s="325">
        <v>2025</v>
      </c>
      <c r="B12906" s="325">
        <v>2</v>
      </c>
      <c r="C12906" s="325">
        <v>20</v>
      </c>
      <c r="D12906" s="326">
        <f t="shared" si="1916"/>
        <v>45708</v>
      </c>
      <c r="E12906" s="327">
        <f t="shared" si="1917"/>
        <v>45708</v>
      </c>
      <c r="F12906" s="473" t="s">
        <v>1940</v>
      </c>
      <c r="G12906" s="340" t="s">
        <v>94</v>
      </c>
      <c r="H12906" s="340" t="str" cm="1">
        <f t="array" ref="H12906">IFERROR(INDEX(INVESTOR_LIST[INVESTOR NAME],MATCH(I12906,INVESTOR_LIST[INVESTOR CODE],0),)," ")</f>
        <v xml:space="preserve"> </v>
      </c>
      <c r="I12906" s="341" t="s">
        <v>348</v>
      </c>
      <c r="J12906" s="374" t="s">
        <v>133</v>
      </c>
      <c r="K12906" s="375">
        <v>12905.56</v>
      </c>
      <c r="L12906" s="375"/>
    </row>
    <row r="12907" spans="1:13" x14ac:dyDescent="0.2">
      <c r="A12907" s="331">
        <v>2025</v>
      </c>
      <c r="B12907" s="331">
        <v>2</v>
      </c>
      <c r="C12907" s="331">
        <v>20</v>
      </c>
      <c r="D12907" s="326">
        <f t="shared" si="1916"/>
        <v>45708</v>
      </c>
      <c r="E12907" s="327">
        <f t="shared" si="1917"/>
        <v>45708</v>
      </c>
      <c r="F12907" s="474"/>
      <c r="G12907" s="332" t="s">
        <v>94</v>
      </c>
      <c r="H12907" s="332" t="str" cm="1">
        <f t="array" ref="H12907">IFERROR(INDEX(INVESTOR_LIST[INVESTOR NAME],MATCH(I12907,INVESTOR_LIST[INVESTOR CODE],0),)," ")</f>
        <v xml:space="preserve"> </v>
      </c>
      <c r="I12907" s="333" t="s">
        <v>348</v>
      </c>
      <c r="J12907" s="376" t="s">
        <v>60</v>
      </c>
      <c r="K12907" s="334"/>
      <c r="L12907" s="334">
        <v>12905.56</v>
      </c>
    </row>
    <row r="12908" spans="1:13" x14ac:dyDescent="0.2">
      <c r="A12908" s="325">
        <v>2025</v>
      </c>
      <c r="B12908" s="325">
        <v>2</v>
      </c>
      <c r="C12908" s="325">
        <v>20</v>
      </c>
      <c r="D12908" s="326">
        <f t="shared" si="1916"/>
        <v>45708</v>
      </c>
      <c r="E12908" s="327">
        <f t="shared" si="1917"/>
        <v>45708</v>
      </c>
      <c r="F12908" s="473" t="s">
        <v>2029</v>
      </c>
      <c r="G12908" s="340" t="s">
        <v>94</v>
      </c>
      <c r="H12908" s="340" t="str" cm="1">
        <f t="array" ref="H12908">IFERROR(INDEX(INVESTOR_LIST[INVESTOR NAME],MATCH(I12908,INVESTOR_LIST[INVESTOR CODE],0),)," ")</f>
        <v xml:space="preserve"> </v>
      </c>
      <c r="I12908" s="341" t="s">
        <v>348</v>
      </c>
      <c r="J12908" s="374" t="s">
        <v>133</v>
      </c>
      <c r="K12908" s="375">
        <v>14134.615384615385</v>
      </c>
      <c r="L12908" s="375"/>
    </row>
    <row r="12909" spans="1:13" x14ac:dyDescent="0.2">
      <c r="A12909" s="331">
        <v>2025</v>
      </c>
      <c r="B12909" s="331">
        <v>2</v>
      </c>
      <c r="C12909" s="331">
        <v>20</v>
      </c>
      <c r="D12909" s="326">
        <f t="shared" si="1916"/>
        <v>45708</v>
      </c>
      <c r="E12909" s="327">
        <f t="shared" si="1917"/>
        <v>45708</v>
      </c>
      <c r="F12909" s="474"/>
      <c r="G12909" s="332" t="s">
        <v>94</v>
      </c>
      <c r="H12909" s="332" t="str" cm="1">
        <f t="array" ref="H12909">IFERROR(INDEX(INVESTOR_LIST[INVESTOR NAME],MATCH(I12909,INVESTOR_LIST[INVESTOR CODE],0),)," ")</f>
        <v xml:space="preserve"> </v>
      </c>
      <c r="I12909" s="333" t="s">
        <v>348</v>
      </c>
      <c r="J12909" s="376" t="s">
        <v>60</v>
      </c>
      <c r="K12909" s="334"/>
      <c r="L12909" s="334">
        <f>K12908</f>
        <v>14134.615384615385</v>
      </c>
    </row>
    <row r="12910" spans="1:13" x14ac:dyDescent="0.2">
      <c r="A12910" s="384">
        <v>2025</v>
      </c>
      <c r="B12910" s="384">
        <v>2</v>
      </c>
      <c r="C12910" s="384">
        <v>20</v>
      </c>
      <c r="D12910" s="385">
        <f t="shared" si="1916"/>
        <v>45708</v>
      </c>
      <c r="E12910" s="386">
        <f t="shared" si="1917"/>
        <v>45708</v>
      </c>
      <c r="F12910" s="475" t="s">
        <v>1966</v>
      </c>
      <c r="G12910" s="387" t="s">
        <v>94</v>
      </c>
      <c r="H12910" s="387" t="str" cm="1">
        <f t="array" ref="H12910">IFERROR(INDEX(INVESTOR_LIST[INVESTOR NAME],MATCH(I12910,INVESTOR_LIST[INVESTOR CODE],0),)," ")</f>
        <v xml:space="preserve"> </v>
      </c>
      <c r="I12910" s="388" t="s">
        <v>348</v>
      </c>
      <c r="J12910" s="389" t="s">
        <v>67</v>
      </c>
      <c r="K12910" s="390">
        <v>18186.21</v>
      </c>
      <c r="L12910" s="390"/>
    </row>
    <row r="12911" spans="1:13" x14ac:dyDescent="0.2">
      <c r="A12911" s="391">
        <v>2025</v>
      </c>
      <c r="B12911" s="391">
        <v>2</v>
      </c>
      <c r="C12911" s="391">
        <v>20</v>
      </c>
      <c r="D12911" s="385">
        <f t="shared" si="1916"/>
        <v>45708</v>
      </c>
      <c r="E12911" s="386">
        <f t="shared" si="1917"/>
        <v>45708</v>
      </c>
      <c r="F12911" s="476"/>
      <c r="G12911" s="392" t="s">
        <v>94</v>
      </c>
      <c r="H12911" s="392" t="str" cm="1">
        <f t="array" ref="H12911">IFERROR(INDEX(INVESTOR_LIST[INVESTOR NAME],MATCH(I12911,INVESTOR_LIST[INVESTOR CODE],0),)," ")</f>
        <v xml:space="preserve"> </v>
      </c>
      <c r="I12911" s="393" t="s">
        <v>348</v>
      </c>
      <c r="J12911" s="394" t="s">
        <v>60</v>
      </c>
      <c r="K12911" s="395"/>
      <c r="L12911" s="395">
        <f>K12910</f>
        <v>18186.21</v>
      </c>
    </row>
    <row r="12912" spans="1:13" x14ac:dyDescent="0.2">
      <c r="A12912" s="343">
        <v>2025</v>
      </c>
      <c r="B12912" s="343">
        <v>2</v>
      </c>
      <c r="C12912" s="343">
        <v>20</v>
      </c>
      <c r="D12912" s="344">
        <f t="shared" si="1916"/>
        <v>45708</v>
      </c>
      <c r="E12912" s="345">
        <f t="shared" si="1917"/>
        <v>45708</v>
      </c>
      <c r="F12912" s="483" t="s">
        <v>1813</v>
      </c>
      <c r="G12912" s="350" t="s">
        <v>94</v>
      </c>
      <c r="H12912" s="350" t="str" cm="1">
        <f t="array" ref="H12912">IFERROR(INDEX(INVESTOR_LIST[INVESTOR NAME],MATCH(I12912,INVESTOR_LIST[INVESTOR CODE],0),)," ")</f>
        <v xml:space="preserve"> </v>
      </c>
      <c r="I12912" s="352" t="s">
        <v>348</v>
      </c>
      <c r="J12912" s="353" t="s">
        <v>1807</v>
      </c>
      <c r="K12912" s="354">
        <v>0</v>
      </c>
      <c r="L12912" s="354"/>
      <c r="M12912" s="133">
        <v>0</v>
      </c>
    </row>
    <row r="12913" spans="1:13" x14ac:dyDescent="0.2">
      <c r="A12913" s="346">
        <v>2025</v>
      </c>
      <c r="B12913" s="346">
        <v>2</v>
      </c>
      <c r="C12913" s="346">
        <v>20</v>
      </c>
      <c r="D12913" s="344">
        <f t="shared" si="1916"/>
        <v>45708</v>
      </c>
      <c r="E12913" s="345">
        <f t="shared" si="1917"/>
        <v>45708</v>
      </c>
      <c r="F12913" s="484"/>
      <c r="G12913" s="347" t="s">
        <v>94</v>
      </c>
      <c r="H12913" s="347" t="str" cm="1">
        <f t="array" ref="H12913">IFERROR(INDEX(INVESTOR_LIST[INVESTOR NAME],MATCH(I12913,INVESTOR_LIST[INVESTOR CODE],0),)," ")</f>
        <v xml:space="preserve"> </v>
      </c>
      <c r="I12913" s="348" t="s">
        <v>348</v>
      </c>
      <c r="J12913" s="355" t="s">
        <v>1798</v>
      </c>
      <c r="K12913" s="349"/>
      <c r="L12913" s="349">
        <v>0</v>
      </c>
    </row>
    <row r="12914" spans="1:13" x14ac:dyDescent="0.2">
      <c r="A12914" s="343">
        <v>2025</v>
      </c>
      <c r="B12914" s="343">
        <v>2</v>
      </c>
      <c r="C12914" s="343">
        <v>20</v>
      </c>
      <c r="D12914" s="344">
        <f t="shared" si="1916"/>
        <v>45708</v>
      </c>
      <c r="E12914" s="345">
        <f t="shared" si="1917"/>
        <v>45708</v>
      </c>
      <c r="F12914" s="483" t="s">
        <v>1913</v>
      </c>
      <c r="G12914" s="350" t="s">
        <v>94</v>
      </c>
      <c r="H12914" s="350" t="str" cm="1">
        <f t="array" ref="H12914">IFERROR(INDEX(INVESTOR_LIST[INVESTOR NAME],MATCH(I12914,INVESTOR_LIST[INVESTOR CODE],0),)," ")</f>
        <v xml:space="preserve"> </v>
      </c>
      <c r="I12914" s="352" t="s">
        <v>348</v>
      </c>
      <c r="J12914" s="353" t="s">
        <v>1799</v>
      </c>
      <c r="K12914" s="354">
        <v>183453.15999999642</v>
      </c>
      <c r="L12914" s="354"/>
      <c r="M12914" s="133">
        <v>0</v>
      </c>
    </row>
    <row r="12915" spans="1:13" x14ac:dyDescent="0.2">
      <c r="A12915" s="346">
        <v>2025</v>
      </c>
      <c r="B12915" s="346">
        <v>2</v>
      </c>
      <c r="C12915" s="346">
        <v>20</v>
      </c>
      <c r="D12915" s="344">
        <f t="shared" si="1916"/>
        <v>45708</v>
      </c>
      <c r="E12915" s="345">
        <f t="shared" si="1917"/>
        <v>45708</v>
      </c>
      <c r="F12915" s="484"/>
      <c r="G12915" s="347" t="s">
        <v>94</v>
      </c>
      <c r="H12915" s="347" t="str" cm="1">
        <f t="array" ref="H12915">IFERROR(INDEX(INVESTOR_LIST[INVESTOR NAME],MATCH(I12915,INVESTOR_LIST[INVESTOR CODE],0),)," ")</f>
        <v xml:space="preserve"> </v>
      </c>
      <c r="I12915" s="348" t="s">
        <v>348</v>
      </c>
      <c r="J12915" s="355" t="s">
        <v>1808</v>
      </c>
      <c r="K12915" s="349"/>
      <c r="L12915" s="349">
        <f>K12914</f>
        <v>183453.15999999642</v>
      </c>
    </row>
    <row r="12916" spans="1:13" x14ac:dyDescent="0.2">
      <c r="A12916" s="238">
        <v>2025</v>
      </c>
      <c r="B12916" s="238">
        <v>2</v>
      </c>
      <c r="C12916" s="238">
        <v>20</v>
      </c>
      <c r="D12916" s="270">
        <f t="shared" si="1916"/>
        <v>45708</v>
      </c>
      <c r="E12916" s="279">
        <f t="shared" si="1917"/>
        <v>45708</v>
      </c>
      <c r="F12916" s="477" t="s">
        <v>347</v>
      </c>
      <c r="G12916" s="239" t="s">
        <v>94</v>
      </c>
      <c r="H12916" s="239" t="str" cm="1">
        <f t="array" ref="H12916">IFERROR(INDEX(INVESTOR_LIST[INVESTOR NAME],MATCH(I12916,INVESTOR_LIST[INVESTOR CODE],0),)," ")</f>
        <v xml:space="preserve"> </v>
      </c>
      <c r="I12916" s="262" t="s">
        <v>348</v>
      </c>
      <c r="J12916" s="240" t="s">
        <v>108</v>
      </c>
      <c r="K12916" s="241">
        <v>484943.35000000894</v>
      </c>
      <c r="L12916" s="241"/>
      <c r="M12916" s="133">
        <v>13139541.900000483</v>
      </c>
    </row>
    <row r="12917" spans="1:13" x14ac:dyDescent="0.2">
      <c r="A12917" s="242">
        <v>2025</v>
      </c>
      <c r="B12917" s="242">
        <v>2</v>
      </c>
      <c r="C12917" s="242">
        <v>20</v>
      </c>
      <c r="D12917" s="270">
        <f t="shared" si="1916"/>
        <v>45708</v>
      </c>
      <c r="E12917" s="279">
        <f t="shared" si="1917"/>
        <v>45708</v>
      </c>
      <c r="F12917" s="478"/>
      <c r="G12917" s="243" t="s">
        <v>94</v>
      </c>
      <c r="H12917" s="243" t="str" cm="1">
        <f t="array" ref="H12917">IFERROR(INDEX(INVESTOR_LIST[INVESTOR NAME],MATCH(I12917,INVESTOR_LIST[INVESTOR CODE],0),)," ")</f>
        <v xml:space="preserve"> </v>
      </c>
      <c r="I12917" s="263" t="s">
        <v>348</v>
      </c>
      <c r="J12917" s="244" t="s">
        <v>82</v>
      </c>
      <c r="K12917" s="245"/>
      <c r="L12917" s="245">
        <f>K12916</f>
        <v>484943.35000000894</v>
      </c>
    </row>
    <row r="12918" spans="1:13" ht="22.5" x14ac:dyDescent="0.2">
      <c r="A12918" s="246">
        <v>2025</v>
      </c>
      <c r="B12918" s="238">
        <v>2</v>
      </c>
      <c r="C12918" s="238">
        <v>20</v>
      </c>
      <c r="D12918" s="270">
        <f t="shared" si="1916"/>
        <v>45708</v>
      </c>
      <c r="E12918" s="279">
        <f t="shared" si="1917"/>
        <v>45708</v>
      </c>
      <c r="F12918" s="482" t="s">
        <v>148</v>
      </c>
      <c r="G12918" s="247" t="s">
        <v>94</v>
      </c>
      <c r="H12918" s="247" t="str" cm="1">
        <f t="array" ref="H12918">IFERROR(INDEX(INVESTOR_LIST[INVESTOR NAME],MATCH(I12918,INVESTOR_LIST[INVESTOR CODE],0),)," ")</f>
        <v xml:space="preserve"> </v>
      </c>
      <c r="I12918" s="248" t="s">
        <v>348</v>
      </c>
      <c r="J12918" s="249" t="s">
        <v>95</v>
      </c>
      <c r="K12918" s="250">
        <v>2747.2527472527472</v>
      </c>
      <c r="L12918" s="241"/>
    </row>
    <row r="12919" spans="1:13" x14ac:dyDescent="0.2">
      <c r="A12919" s="242">
        <v>2025</v>
      </c>
      <c r="B12919" s="242">
        <v>2</v>
      </c>
      <c r="C12919" s="242">
        <v>20</v>
      </c>
      <c r="D12919" s="270">
        <f t="shared" si="1916"/>
        <v>45708</v>
      </c>
      <c r="E12919" s="279">
        <f t="shared" si="1917"/>
        <v>45708</v>
      </c>
      <c r="F12919" s="478"/>
      <c r="G12919" s="243" t="s">
        <v>94</v>
      </c>
      <c r="H12919" s="243" t="str" cm="1">
        <f t="array" ref="H12919">IFERROR(INDEX(INVESTOR_LIST[INVESTOR NAME],MATCH(I12919,INVESTOR_LIST[INVESTOR CODE],0),)," ")</f>
        <v xml:space="preserve"> </v>
      </c>
      <c r="I12919" s="263" t="s">
        <v>348</v>
      </c>
      <c r="J12919" s="244" t="s">
        <v>63</v>
      </c>
      <c r="K12919" s="245"/>
      <c r="L12919" s="245">
        <v>2747.2527472527472</v>
      </c>
    </row>
    <row r="12920" spans="1:13" x14ac:dyDescent="0.2">
      <c r="A12920" s="246">
        <v>2025</v>
      </c>
      <c r="B12920" s="238">
        <v>2</v>
      </c>
      <c r="C12920" s="238">
        <v>20</v>
      </c>
      <c r="D12920" s="270">
        <f t="shared" si="1916"/>
        <v>45708</v>
      </c>
      <c r="E12920" s="279">
        <f t="shared" si="1917"/>
        <v>45708</v>
      </c>
      <c r="F12920" s="482" t="s">
        <v>137</v>
      </c>
      <c r="G12920" s="247" t="s">
        <v>94</v>
      </c>
      <c r="H12920" s="247" t="str" cm="1">
        <f t="array" ref="H12920">IFERROR(INDEX(INVESTOR_LIST[INVESTOR NAME],MATCH(I12920,INVESTOR_LIST[INVESTOR CODE],0),)," ")</f>
        <v xml:space="preserve"> </v>
      </c>
      <c r="I12920" s="248" t="s">
        <v>348</v>
      </c>
      <c r="J12920" s="249" t="s">
        <v>97</v>
      </c>
      <c r="K12920" s="250">
        <f>M12920</f>
        <v>56998.503564880193</v>
      </c>
      <c r="L12920" s="252"/>
      <c r="M12920" s="133">
        <v>56998.503564880193</v>
      </c>
    </row>
    <row r="12921" spans="1:13" x14ac:dyDescent="0.2">
      <c r="A12921" s="242">
        <v>2025</v>
      </c>
      <c r="B12921" s="242">
        <v>2</v>
      </c>
      <c r="C12921" s="242">
        <v>20</v>
      </c>
      <c r="D12921" s="270">
        <f t="shared" si="1916"/>
        <v>45708</v>
      </c>
      <c r="E12921" s="279">
        <f t="shared" si="1917"/>
        <v>45708</v>
      </c>
      <c r="F12921" s="478"/>
      <c r="G12921" s="243" t="s">
        <v>94</v>
      </c>
      <c r="H12921" s="243" t="str" cm="1">
        <f t="array" ref="H12921">IFERROR(INDEX(INVESTOR_LIST[INVESTOR NAME],MATCH(I12921,INVESTOR_LIST[INVESTOR CODE],0),)," ")</f>
        <v xml:space="preserve"> </v>
      </c>
      <c r="I12921" s="263" t="s">
        <v>348</v>
      </c>
      <c r="J12921" s="244" t="s">
        <v>47</v>
      </c>
      <c r="K12921" s="245"/>
      <c r="L12921" s="245">
        <f>K12920</f>
        <v>56998.503564880193</v>
      </c>
      <c r="M12921" s="133">
        <v>2609.5405628593944</v>
      </c>
    </row>
    <row r="12922" spans="1:13" x14ac:dyDescent="0.2">
      <c r="A12922" s="246">
        <v>2025</v>
      </c>
      <c r="B12922" s="238">
        <v>2</v>
      </c>
      <c r="C12922" s="238">
        <v>20</v>
      </c>
      <c r="D12922" s="270">
        <f t="shared" si="1916"/>
        <v>45708</v>
      </c>
      <c r="E12922" s="279">
        <f t="shared" si="1917"/>
        <v>45708</v>
      </c>
      <c r="F12922" s="482" t="s">
        <v>138</v>
      </c>
      <c r="G12922" s="247" t="s">
        <v>94</v>
      </c>
      <c r="H12922" s="247" t="str" cm="1">
        <f t="array" ref="H12922">IFERROR(INDEX(INVESTOR_LIST[INVESTOR NAME],MATCH(I12922,INVESTOR_LIST[INVESTOR CODE],0),)," ")</f>
        <v xml:space="preserve"> </v>
      </c>
      <c r="I12922" s="248" t="s">
        <v>348</v>
      </c>
      <c r="J12922" s="249" t="s">
        <v>100</v>
      </c>
      <c r="K12922" s="250">
        <f>M12921</f>
        <v>2609.5405628593944</v>
      </c>
      <c r="L12922" s="252"/>
    </row>
    <row r="12923" spans="1:13" x14ac:dyDescent="0.2">
      <c r="A12923" s="242">
        <v>2025</v>
      </c>
      <c r="B12923" s="242">
        <v>2</v>
      </c>
      <c r="C12923" s="242">
        <v>20</v>
      </c>
      <c r="D12923" s="321">
        <f t="shared" si="1916"/>
        <v>45708</v>
      </c>
      <c r="E12923" s="322">
        <f t="shared" si="1917"/>
        <v>45708</v>
      </c>
      <c r="F12923" s="478"/>
      <c r="G12923" s="243" t="s">
        <v>94</v>
      </c>
      <c r="H12923" s="243" t="str" cm="1">
        <f t="array" ref="H12923">IFERROR(INDEX(INVESTOR_LIST[INVESTOR NAME],MATCH(I12923,INVESTOR_LIST[INVESTOR CODE],0),)," ")</f>
        <v xml:space="preserve"> </v>
      </c>
      <c r="I12923" s="263" t="s">
        <v>348</v>
      </c>
      <c r="J12923" s="244" t="s">
        <v>48</v>
      </c>
      <c r="K12923" s="245"/>
      <c r="L12923" s="245">
        <f>K12922</f>
        <v>2609.5405628593944</v>
      </c>
    </row>
    <row r="12924" spans="1:13" x14ac:dyDescent="0.2">
      <c r="A12924" s="133">
        <v>2025</v>
      </c>
      <c r="B12924" s="168">
        <v>2</v>
      </c>
      <c r="C12924" s="133">
        <v>23</v>
      </c>
      <c r="D12924" s="141">
        <f t="shared" si="1916"/>
        <v>45711</v>
      </c>
      <c r="E12924" s="275">
        <f t="shared" si="1917"/>
        <v>45711</v>
      </c>
      <c r="F12924" s="479" t="s">
        <v>362</v>
      </c>
      <c r="G12924" s="220" t="s">
        <v>74</v>
      </c>
      <c r="H12924" s="220" t="str" cm="1">
        <f t="array" ref="H12924">IFERROR(INDEX(INVESTOR_LIST[INVESTOR NAME],MATCH(I12924,INVESTOR_LIST[INVESTOR CODE],0),)," ")</f>
        <v xml:space="preserve"> </v>
      </c>
      <c r="I12924" s="142" t="s">
        <v>348</v>
      </c>
      <c r="J12924" s="143" t="s">
        <v>104</v>
      </c>
      <c r="K12924" s="226">
        <v>516.67999999999995</v>
      </c>
      <c r="L12924" s="226"/>
    </row>
    <row r="12925" spans="1:13" x14ac:dyDescent="0.2">
      <c r="A12925" s="133">
        <v>2025</v>
      </c>
      <c r="B12925" s="133">
        <v>2</v>
      </c>
      <c r="C12925" s="133">
        <v>23</v>
      </c>
      <c r="D12925" s="280">
        <f t="shared" si="1916"/>
        <v>45711</v>
      </c>
      <c r="E12925" s="281">
        <f t="shared" si="1917"/>
        <v>45711</v>
      </c>
      <c r="F12925" s="481"/>
      <c r="G12925" s="174" t="s">
        <v>74</v>
      </c>
      <c r="H12925" s="174" t="str" cm="1">
        <f t="array" ref="H12925">IFERROR(INDEX(INVESTOR_LIST[INVESTOR NAME],MATCH(I12925,INVESTOR_LIST[INVESTOR CODE],0),)," ")</f>
        <v xml:space="preserve"> </v>
      </c>
      <c r="J12925" s="149" t="s">
        <v>534</v>
      </c>
      <c r="K12925" s="218"/>
      <c r="L12925" s="218">
        <v>51.67</v>
      </c>
    </row>
    <row r="12926" spans="1:13" x14ac:dyDescent="0.2">
      <c r="A12926" s="163">
        <v>2025</v>
      </c>
      <c r="B12926" s="163">
        <v>2</v>
      </c>
      <c r="C12926" s="163">
        <v>23</v>
      </c>
      <c r="D12926" s="144">
        <f t="shared" si="1916"/>
        <v>45711</v>
      </c>
      <c r="E12926" s="313">
        <f t="shared" si="1917"/>
        <v>45711</v>
      </c>
      <c r="F12926" s="480"/>
      <c r="G12926" s="221" t="s">
        <v>74</v>
      </c>
      <c r="H12926" s="221" t="str" cm="1">
        <f t="array" ref="H12926">IFERROR(INDEX(INVESTOR_LIST[INVESTOR NAME],MATCH(I12926,INVESTOR_LIST[INVESTOR CODE],0),)," ")</f>
        <v xml:space="preserve"> </v>
      </c>
      <c r="I12926" s="145" t="s">
        <v>348</v>
      </c>
      <c r="J12926" s="146" t="s">
        <v>52</v>
      </c>
      <c r="K12926" s="219"/>
      <c r="L12926" s="219">
        <v>465.01</v>
      </c>
    </row>
    <row r="12927" spans="1:13" x14ac:dyDescent="0.2">
      <c r="A12927" s="133">
        <v>2025</v>
      </c>
      <c r="B12927" s="168">
        <v>2</v>
      </c>
      <c r="C12927" s="133">
        <v>23</v>
      </c>
      <c r="D12927" s="141">
        <f t="shared" si="1916"/>
        <v>45711</v>
      </c>
      <c r="E12927" s="275">
        <f t="shared" si="1917"/>
        <v>45711</v>
      </c>
      <c r="F12927" s="479" t="s">
        <v>2036</v>
      </c>
      <c r="G12927" s="220" t="s">
        <v>74</v>
      </c>
      <c r="H12927" s="220" t="str" cm="1">
        <f t="array" ref="H12927">IFERROR(INDEX(INVESTOR_LIST[INVESTOR NAME],MATCH(I12927,INVESTOR_LIST[INVESTOR CODE],0),)," ")</f>
        <v xml:space="preserve"> </v>
      </c>
      <c r="I12927" s="142" t="s">
        <v>348</v>
      </c>
      <c r="J12927" s="143" t="s">
        <v>322</v>
      </c>
      <c r="K12927" s="226">
        <v>51624.19</v>
      </c>
      <c r="L12927" s="226"/>
    </row>
    <row r="12928" spans="1:13" x14ac:dyDescent="0.2">
      <c r="A12928" s="133">
        <v>2025</v>
      </c>
      <c r="B12928" s="133">
        <v>2</v>
      </c>
      <c r="C12928" s="133">
        <v>23</v>
      </c>
      <c r="D12928" s="141">
        <f t="shared" si="1916"/>
        <v>45711</v>
      </c>
      <c r="E12928" s="275">
        <f t="shared" si="1917"/>
        <v>45711</v>
      </c>
      <c r="F12928" s="481"/>
      <c r="G12928" s="174" t="s">
        <v>74</v>
      </c>
      <c r="H12928" s="174" t="str" cm="1">
        <f t="array" ref="H12928">IFERROR(INDEX(INVESTOR_LIST[INVESTOR NAME],MATCH(I12928,INVESTOR_LIST[INVESTOR CODE],0),)," ")</f>
        <v xml:space="preserve"> </v>
      </c>
      <c r="J12928" s="149" t="s">
        <v>534</v>
      </c>
      <c r="K12928" s="218"/>
      <c r="L12928" s="218">
        <v>4489.0600000000004</v>
      </c>
    </row>
    <row r="12929" spans="1:13" x14ac:dyDescent="0.2">
      <c r="A12929" s="163">
        <v>2025</v>
      </c>
      <c r="B12929" s="163">
        <v>2</v>
      </c>
      <c r="C12929" s="163">
        <v>23</v>
      </c>
      <c r="D12929" s="280">
        <f t="shared" si="1916"/>
        <v>45711</v>
      </c>
      <c r="E12929" s="281">
        <f t="shared" si="1917"/>
        <v>45711</v>
      </c>
      <c r="F12929" s="480"/>
      <c r="G12929" s="221" t="s">
        <v>74</v>
      </c>
      <c r="H12929" s="221" t="str" cm="1">
        <f t="array" ref="H12929">IFERROR(INDEX(INVESTOR_LIST[INVESTOR NAME],MATCH(I12929,INVESTOR_LIST[INVESTOR CODE],0),)," ")</f>
        <v xml:space="preserve"> </v>
      </c>
      <c r="I12929" s="145" t="s">
        <v>348</v>
      </c>
      <c r="J12929" s="146" t="s">
        <v>52</v>
      </c>
      <c r="K12929" s="219"/>
      <c r="L12929" s="219">
        <v>47135.13</v>
      </c>
    </row>
    <row r="12930" spans="1:13" x14ac:dyDescent="0.2">
      <c r="A12930" s="168">
        <v>2025</v>
      </c>
      <c r="B12930" s="133">
        <v>2</v>
      </c>
      <c r="C12930" s="168">
        <v>23</v>
      </c>
      <c r="D12930" s="141">
        <f t="shared" si="1916"/>
        <v>45711</v>
      </c>
      <c r="E12930" s="275">
        <f t="shared" si="1917"/>
        <v>45711</v>
      </c>
      <c r="F12930" s="479" t="s">
        <v>2002</v>
      </c>
      <c r="G12930" s="220" t="s">
        <v>74</v>
      </c>
      <c r="H12930" s="220" t="str" cm="1">
        <f t="array" ref="H12930">IFERROR(INDEX(INVESTOR_LIST[INVESTOR NAME],MATCH(I12930,INVESTOR_LIST[INVESTOR CODE],0),)," ")</f>
        <v xml:space="preserve"> </v>
      </c>
      <c r="I12930" s="142"/>
      <c r="J12930" s="143" t="s">
        <v>147</v>
      </c>
      <c r="K12930" s="226">
        <v>432777.6</v>
      </c>
      <c r="L12930" s="226"/>
    </row>
    <row r="12931" spans="1:13" x14ac:dyDescent="0.2">
      <c r="A12931" s="163">
        <v>2025</v>
      </c>
      <c r="B12931" s="163">
        <v>2</v>
      </c>
      <c r="C12931" s="163">
        <v>23</v>
      </c>
      <c r="D12931" s="280">
        <f t="shared" si="1916"/>
        <v>45711</v>
      </c>
      <c r="E12931" s="281">
        <f t="shared" si="1917"/>
        <v>45711</v>
      </c>
      <c r="F12931" s="480"/>
      <c r="G12931" s="221" t="s">
        <v>74</v>
      </c>
      <c r="H12931" s="221" t="str" cm="1">
        <f t="array" ref="H12931">IFERROR(INDEX(INVESTOR_LIST[INVESTOR NAME],MATCH(I12931,INVESTOR_LIST[INVESTOR CODE],0),)," ")</f>
        <v xml:space="preserve"> </v>
      </c>
      <c r="I12931" s="145" t="s">
        <v>348</v>
      </c>
      <c r="J12931" s="146" t="s">
        <v>52</v>
      </c>
      <c r="K12931" s="219"/>
      <c r="L12931" s="219">
        <v>432777.6</v>
      </c>
    </row>
    <row r="12932" spans="1:13" x14ac:dyDescent="0.2">
      <c r="A12932" s="168">
        <v>2025</v>
      </c>
      <c r="B12932" s="133">
        <v>2</v>
      </c>
      <c r="C12932" s="168">
        <v>23</v>
      </c>
      <c r="D12932" s="147">
        <f>DATE(A12932,B12932,C12932)</f>
        <v>45711</v>
      </c>
      <c r="E12932" s="311">
        <f>DATE(A12932,B12932,C12932)</f>
        <v>45711</v>
      </c>
      <c r="F12932" s="481" t="s">
        <v>1943</v>
      </c>
      <c r="G12932" s="174" t="s">
        <v>74</v>
      </c>
      <c r="H12932" s="148" t="str" cm="1">
        <f t="array" ref="H12932">IFERROR(INDEX(INVESTOR_LIST[INVESTOR NAME],MATCH(I12932,INVESTOR_LIST[INVESTOR CODE],0),)," ")</f>
        <v xml:space="preserve"> </v>
      </c>
      <c r="I12932" s="148" t="s">
        <v>348</v>
      </c>
      <c r="J12932" s="133" t="s">
        <v>61</v>
      </c>
      <c r="K12932" s="172">
        <v>58</v>
      </c>
    </row>
    <row r="12933" spans="1:13" x14ac:dyDescent="0.2">
      <c r="A12933" s="163">
        <v>2025</v>
      </c>
      <c r="B12933" s="163">
        <v>2</v>
      </c>
      <c r="C12933" s="163">
        <v>23</v>
      </c>
      <c r="D12933" s="280">
        <f>DATE(A12933,B12933,C12933)</f>
        <v>45711</v>
      </c>
      <c r="E12933" s="281">
        <f>DATE(A12933,B12933,C12933)</f>
        <v>45711</v>
      </c>
      <c r="F12933" s="480"/>
      <c r="G12933" s="221" t="s">
        <v>74</v>
      </c>
      <c r="H12933" s="145" t="str" cm="1">
        <f t="array" ref="H12933">IFERROR(INDEX(INVESTOR_LIST[INVESTOR NAME],MATCH(I12933,INVESTOR_LIST[INVESTOR CODE],0),)," ")</f>
        <v xml:space="preserve"> </v>
      </c>
      <c r="I12933" s="145" t="s">
        <v>348</v>
      </c>
      <c r="J12933" s="163" t="s">
        <v>52</v>
      </c>
      <c r="K12933" s="219"/>
      <c r="L12933" s="219">
        <v>58</v>
      </c>
    </row>
    <row r="12934" spans="1:13" x14ac:dyDescent="0.2">
      <c r="A12934" s="168">
        <v>2025</v>
      </c>
      <c r="B12934" s="133">
        <v>2</v>
      </c>
      <c r="C12934" s="168">
        <v>23</v>
      </c>
      <c r="D12934" s="141">
        <f t="shared" ref="D12934:D12935" si="1918">DATE(A12934,B12934,C12934)</f>
        <v>45711</v>
      </c>
      <c r="E12934" s="275">
        <f t="shared" ref="E12934:E12935" si="1919">DATE(A12934,B12934,C12934)</f>
        <v>45711</v>
      </c>
      <c r="F12934" s="481" t="s">
        <v>2038</v>
      </c>
      <c r="G12934" s="174" t="s">
        <v>94</v>
      </c>
      <c r="H12934" s="174" t="str" cm="1">
        <f t="array" ref="H12934">IFERROR(INDEX(INVESTOR_LIST[INVESTOR NAME],MATCH(I12934,INVESTOR_LIST[INVESTOR CODE],0),)," ")</f>
        <v xml:space="preserve"> </v>
      </c>
      <c r="I12934" s="148" t="s">
        <v>348</v>
      </c>
      <c r="J12934" s="149" t="s">
        <v>168</v>
      </c>
      <c r="K12934" s="218">
        <v>168432</v>
      </c>
      <c r="L12934" s="218"/>
    </row>
    <row r="12935" spans="1:13" x14ac:dyDescent="0.2">
      <c r="A12935" s="163">
        <v>2025</v>
      </c>
      <c r="B12935" s="163">
        <v>2</v>
      </c>
      <c r="C12935" s="163">
        <v>23</v>
      </c>
      <c r="D12935" s="141">
        <f t="shared" si="1918"/>
        <v>45711</v>
      </c>
      <c r="E12935" s="275">
        <f t="shared" si="1919"/>
        <v>45711</v>
      </c>
      <c r="F12935" s="480"/>
      <c r="G12935" s="221" t="s">
        <v>94</v>
      </c>
      <c r="H12935" s="221" t="str" cm="1">
        <f t="array" ref="H12935">IFERROR(INDEX(INVESTOR_LIST[INVESTOR NAME],MATCH(I12935,INVESTOR_LIST[INVESTOR CODE],0),)," ")</f>
        <v xml:space="preserve"> </v>
      </c>
      <c r="I12935" s="145" t="s">
        <v>348</v>
      </c>
      <c r="J12935" s="146" t="s">
        <v>166</v>
      </c>
      <c r="K12935" s="219"/>
      <c r="L12935" s="219">
        <v>168432</v>
      </c>
    </row>
    <row r="12936" spans="1:13" x14ac:dyDescent="0.2">
      <c r="A12936" s="168">
        <v>2025</v>
      </c>
      <c r="B12936" s="168">
        <v>2</v>
      </c>
      <c r="C12936" s="133">
        <v>24</v>
      </c>
      <c r="D12936" s="141">
        <f t="shared" ref="D12936:D12948" si="1920">DATE(A12936,B12936,C12936)</f>
        <v>45712</v>
      </c>
      <c r="E12936" s="275">
        <f t="shared" ref="E12936:E12948" si="1921">DATE(A12936,B12936,C12936)</f>
        <v>45712</v>
      </c>
      <c r="F12936" s="479" t="s">
        <v>1979</v>
      </c>
      <c r="G12936" s="220" t="s">
        <v>94</v>
      </c>
      <c r="H12936" s="220" t="str" cm="1">
        <f t="array" ref="H12936">IFERROR(INDEX(INVESTOR_LIST[INVESTOR NAME],MATCH(I12936,INVESTOR_LIST[INVESTOR CODE],0),)," ")</f>
        <v xml:space="preserve"> </v>
      </c>
      <c r="I12936" s="142"/>
      <c r="J12936" s="143" t="s">
        <v>79</v>
      </c>
      <c r="K12936" s="226">
        <v>1997388</v>
      </c>
      <c r="L12936" s="226"/>
    </row>
    <row r="12937" spans="1:13" x14ac:dyDescent="0.2">
      <c r="A12937" s="133">
        <v>2025</v>
      </c>
      <c r="B12937" s="133">
        <v>2</v>
      </c>
      <c r="C12937" s="133">
        <v>24</v>
      </c>
      <c r="D12937" s="141">
        <f t="shared" si="1920"/>
        <v>45712</v>
      </c>
      <c r="E12937" s="275">
        <f t="shared" si="1921"/>
        <v>45712</v>
      </c>
      <c r="F12937" s="481"/>
      <c r="G12937" s="174" t="s">
        <v>94</v>
      </c>
      <c r="H12937" s="174" t="str" cm="1">
        <f t="array" ref="H12937">IFERROR(INDEX(INVESTOR_LIST[INVESTOR NAME],MATCH(I12937,INVESTOR_LIST[INVESTOR CODE],0),)," ")</f>
        <v xml:space="preserve"> </v>
      </c>
      <c r="J12937" s="149" t="s">
        <v>80</v>
      </c>
      <c r="K12937" s="218">
        <v>3595.3</v>
      </c>
      <c r="L12937" s="133"/>
    </row>
    <row r="12938" spans="1:13" x14ac:dyDescent="0.2">
      <c r="A12938" s="163">
        <v>2025</v>
      </c>
      <c r="B12938" s="163">
        <v>2</v>
      </c>
      <c r="C12938" s="163">
        <v>24</v>
      </c>
      <c r="D12938" s="280">
        <f t="shared" si="1920"/>
        <v>45712</v>
      </c>
      <c r="E12938" s="281">
        <f t="shared" si="1921"/>
        <v>45712</v>
      </c>
      <c r="F12938" s="480"/>
      <c r="G12938" s="221" t="s">
        <v>94</v>
      </c>
      <c r="H12938" s="221" t="str" cm="1">
        <f t="array" ref="H12938">IFERROR(INDEX(INVESTOR_LIST[INVESTOR NAME],MATCH(I12938,INVESTOR_LIST[INVESTOR CODE],0),)," ")</f>
        <v xml:space="preserve"> </v>
      </c>
      <c r="I12938" s="145"/>
      <c r="J12938" s="146" t="s">
        <v>147</v>
      </c>
      <c r="K12938" s="219"/>
      <c r="L12938" s="219">
        <v>2000983.3</v>
      </c>
    </row>
    <row r="12939" spans="1:13" x14ac:dyDescent="0.2">
      <c r="A12939" s="133">
        <v>2025</v>
      </c>
      <c r="B12939" s="168">
        <v>2</v>
      </c>
      <c r="C12939" s="168">
        <v>24</v>
      </c>
      <c r="D12939" s="141">
        <f t="shared" si="1920"/>
        <v>45712</v>
      </c>
      <c r="E12939" s="275">
        <f t="shared" si="1921"/>
        <v>45712</v>
      </c>
      <c r="F12939" s="481" t="s">
        <v>982</v>
      </c>
      <c r="G12939" s="174" t="s">
        <v>74</v>
      </c>
      <c r="H12939" s="174" t="str" cm="1">
        <f t="array" ref="H12939">IFERROR(INDEX(INVESTOR_LIST[INVESTOR NAME],MATCH(I12939,INVESTOR_LIST[INVESTOR CODE],0),)," ")</f>
        <v xml:space="preserve"> </v>
      </c>
      <c r="I12939" s="148" t="s">
        <v>348</v>
      </c>
      <c r="J12939" s="149" t="s">
        <v>163</v>
      </c>
      <c r="K12939" s="218">
        <v>5750</v>
      </c>
      <c r="L12939" s="218"/>
      <c r="M12939" s="264"/>
    </row>
    <row r="12940" spans="1:13" x14ac:dyDescent="0.2">
      <c r="A12940" s="133">
        <v>2025</v>
      </c>
      <c r="B12940" s="133">
        <v>2</v>
      </c>
      <c r="C12940" s="133">
        <v>24</v>
      </c>
      <c r="D12940" s="141">
        <f t="shared" si="1920"/>
        <v>45712</v>
      </c>
      <c r="E12940" s="275">
        <f t="shared" si="1921"/>
        <v>45712</v>
      </c>
      <c r="F12940" s="481"/>
      <c r="G12940" s="174" t="s">
        <v>74</v>
      </c>
      <c r="H12940" s="174" t="str" cm="1">
        <f t="array" ref="H12940">IFERROR(INDEX(INVESTOR_LIST[INVESTOR NAME],MATCH(I12940,INVESTOR_LIST[INVESTOR CODE],0),)," ")</f>
        <v xml:space="preserve"> </v>
      </c>
      <c r="J12940" s="149" t="s">
        <v>1906</v>
      </c>
      <c r="K12940" s="218"/>
      <c r="L12940" s="218">
        <v>250</v>
      </c>
    </row>
    <row r="12941" spans="1:13" x14ac:dyDescent="0.2">
      <c r="A12941" s="163">
        <v>2025</v>
      </c>
      <c r="B12941" s="163">
        <v>2</v>
      </c>
      <c r="C12941" s="163">
        <v>24</v>
      </c>
      <c r="D12941" s="280">
        <f t="shared" si="1920"/>
        <v>45712</v>
      </c>
      <c r="E12941" s="281">
        <f t="shared" si="1921"/>
        <v>45712</v>
      </c>
      <c r="F12941" s="480"/>
      <c r="G12941" s="221" t="s">
        <v>74</v>
      </c>
      <c r="H12941" s="221" t="str" cm="1">
        <f t="array" ref="H12941">IFERROR(INDEX(INVESTOR_LIST[INVESTOR NAME],MATCH(I12941,INVESTOR_LIST[INVESTOR CODE],0),)," ")</f>
        <v xml:space="preserve"> </v>
      </c>
      <c r="I12941" s="145" t="s">
        <v>348</v>
      </c>
      <c r="J12941" s="146" t="s">
        <v>52</v>
      </c>
      <c r="K12941" s="219"/>
      <c r="L12941" s="219">
        <v>5500</v>
      </c>
    </row>
    <row r="12942" spans="1:13" ht="11.25" customHeight="1" x14ac:dyDescent="0.2">
      <c r="A12942" s="168">
        <v>2025</v>
      </c>
      <c r="B12942" s="133">
        <v>2</v>
      </c>
      <c r="C12942" s="168">
        <v>24</v>
      </c>
      <c r="D12942" s="141">
        <f t="shared" si="1920"/>
        <v>45712</v>
      </c>
      <c r="E12942" s="275">
        <f t="shared" si="1921"/>
        <v>45712</v>
      </c>
      <c r="F12942" s="479" t="s">
        <v>2031</v>
      </c>
      <c r="G12942" s="220" t="s">
        <v>74</v>
      </c>
      <c r="H12942" s="220" t="str" cm="1">
        <f t="array" ref="H12942">IFERROR(INDEX(INVESTOR_LIST[INVESTOR NAME],MATCH(I12942,INVESTOR_LIST[INVESTOR CODE],0),)," ")</f>
        <v xml:space="preserve"> </v>
      </c>
      <c r="I12942" s="142"/>
      <c r="J12942" s="143" t="s">
        <v>52</v>
      </c>
      <c r="K12942" s="226">
        <v>2525</v>
      </c>
      <c r="L12942" s="226"/>
    </row>
    <row r="12943" spans="1:13" x14ac:dyDescent="0.2">
      <c r="A12943" s="163">
        <v>2025</v>
      </c>
      <c r="B12943" s="163">
        <v>2</v>
      </c>
      <c r="C12943" s="163">
        <v>24</v>
      </c>
      <c r="D12943" s="280">
        <f t="shared" si="1920"/>
        <v>45712</v>
      </c>
      <c r="E12943" s="281">
        <f t="shared" si="1921"/>
        <v>45712</v>
      </c>
      <c r="F12943" s="480"/>
      <c r="G12943" s="221" t="s">
        <v>74</v>
      </c>
      <c r="H12943" s="221" t="str" cm="1">
        <f t="array" ref="H12943">IFERROR(INDEX(INVESTOR_LIST[INVESTOR NAME],MATCH(I12943,INVESTOR_LIST[INVESTOR CODE],0),)," ")</f>
        <v xml:space="preserve"> </v>
      </c>
      <c r="I12943" s="145"/>
      <c r="J12943" s="146" t="s">
        <v>190</v>
      </c>
      <c r="K12943" s="219"/>
      <c r="L12943" s="219">
        <v>2525</v>
      </c>
    </row>
    <row r="12944" spans="1:13" x14ac:dyDescent="0.2">
      <c r="A12944" s="168">
        <v>2025</v>
      </c>
      <c r="B12944" s="133">
        <v>2</v>
      </c>
      <c r="C12944" s="168">
        <v>25</v>
      </c>
      <c r="D12944" s="141">
        <f t="shared" si="1920"/>
        <v>45713</v>
      </c>
      <c r="E12944" s="275">
        <f t="shared" si="1921"/>
        <v>45713</v>
      </c>
      <c r="F12944" s="479" t="s">
        <v>2002</v>
      </c>
      <c r="G12944" s="220" t="s">
        <v>74</v>
      </c>
      <c r="H12944" s="220" t="str" cm="1">
        <f t="array" ref="H12944">IFERROR(INDEX(INVESTOR_LIST[INVESTOR NAME],MATCH(I12944,INVESTOR_LIST[INVESTOR CODE],0),)," ")</f>
        <v xml:space="preserve"> </v>
      </c>
      <c r="I12944" s="142"/>
      <c r="J12944" s="143" t="s">
        <v>147</v>
      </c>
      <c r="K12944" s="226">
        <v>2000983.3</v>
      </c>
      <c r="L12944" s="226"/>
    </row>
    <row r="12945" spans="1:12" x14ac:dyDescent="0.2">
      <c r="A12945" s="163">
        <v>2025</v>
      </c>
      <c r="B12945" s="163">
        <v>2</v>
      </c>
      <c r="C12945" s="163">
        <v>25</v>
      </c>
      <c r="D12945" s="280">
        <f t="shared" si="1920"/>
        <v>45713</v>
      </c>
      <c r="E12945" s="281">
        <f t="shared" si="1921"/>
        <v>45713</v>
      </c>
      <c r="F12945" s="480"/>
      <c r="G12945" s="221" t="s">
        <v>74</v>
      </c>
      <c r="H12945" s="221" t="str" cm="1">
        <f t="array" ref="H12945">IFERROR(INDEX(INVESTOR_LIST[INVESTOR NAME],MATCH(I12945,INVESTOR_LIST[INVESTOR CODE],0),)," ")</f>
        <v xml:space="preserve"> </v>
      </c>
      <c r="I12945" s="145" t="s">
        <v>348</v>
      </c>
      <c r="J12945" s="146" t="s">
        <v>52</v>
      </c>
      <c r="K12945" s="219"/>
      <c r="L12945" s="219">
        <v>2000983.3</v>
      </c>
    </row>
    <row r="12946" spans="1:12" x14ac:dyDescent="0.2">
      <c r="A12946" s="168">
        <v>2025</v>
      </c>
      <c r="B12946" s="168">
        <v>2</v>
      </c>
      <c r="C12946" s="133">
        <v>25</v>
      </c>
      <c r="D12946" s="141">
        <f t="shared" si="1920"/>
        <v>45713</v>
      </c>
      <c r="E12946" s="275">
        <f t="shared" si="1921"/>
        <v>45713</v>
      </c>
      <c r="F12946" s="479" t="s">
        <v>275</v>
      </c>
      <c r="G12946" s="174" t="s">
        <v>74</v>
      </c>
      <c r="H12946" s="174" t="str" cm="1">
        <f t="array" ref="H12946">IFERROR(INDEX(INVESTOR_LIST[INVESTOR NAME],MATCH(I12946,INVESTOR_LIST[INVESTOR CODE],0),)," ")</f>
        <v xml:space="preserve"> </v>
      </c>
      <c r="I12946" s="148" t="s">
        <v>348</v>
      </c>
      <c r="J12946" s="149" t="s">
        <v>163</v>
      </c>
      <c r="K12946" s="218">
        <v>1575</v>
      </c>
      <c r="L12946" s="218"/>
    </row>
    <row r="12947" spans="1:12" x14ac:dyDescent="0.2">
      <c r="A12947" s="133">
        <v>2025</v>
      </c>
      <c r="B12947" s="133">
        <v>2</v>
      </c>
      <c r="C12947" s="133">
        <v>25</v>
      </c>
      <c r="D12947" s="141">
        <f t="shared" si="1920"/>
        <v>45713</v>
      </c>
      <c r="E12947" s="275">
        <f t="shared" si="1921"/>
        <v>45713</v>
      </c>
      <c r="F12947" s="481"/>
      <c r="G12947" s="174" t="s">
        <v>74</v>
      </c>
      <c r="H12947" s="174" t="str" cm="1">
        <f t="array" ref="H12947">IFERROR(INDEX(INVESTOR_LIST[INVESTOR NAME],MATCH(I12947,INVESTOR_LIST[INVESTOR CODE],0),)," ")</f>
        <v xml:space="preserve"> </v>
      </c>
      <c r="J12947" s="149" t="s">
        <v>1907</v>
      </c>
      <c r="K12947" s="218"/>
      <c r="L12947" s="218">
        <v>150</v>
      </c>
    </row>
    <row r="12948" spans="1:12" x14ac:dyDescent="0.2">
      <c r="A12948" s="163">
        <v>2025</v>
      </c>
      <c r="B12948" s="163">
        <v>2</v>
      </c>
      <c r="C12948" s="163">
        <v>25</v>
      </c>
      <c r="D12948" s="280">
        <f t="shared" si="1920"/>
        <v>45713</v>
      </c>
      <c r="E12948" s="281">
        <f t="shared" si="1921"/>
        <v>45713</v>
      </c>
      <c r="F12948" s="480"/>
      <c r="G12948" s="221" t="s">
        <v>74</v>
      </c>
      <c r="H12948" s="221" t="str" cm="1">
        <f t="array" ref="H12948">IFERROR(INDEX(INVESTOR_LIST[INVESTOR NAME],MATCH(I12948,INVESTOR_LIST[INVESTOR CODE],0),)," ")</f>
        <v xml:space="preserve"> </v>
      </c>
      <c r="I12948" s="145"/>
      <c r="J12948" s="146" t="s">
        <v>52</v>
      </c>
      <c r="K12948" s="219"/>
      <c r="L12948" s="219">
        <v>1425</v>
      </c>
    </row>
    <row r="12949" spans="1:12" x14ac:dyDescent="0.2">
      <c r="A12949" s="168">
        <v>2025</v>
      </c>
      <c r="B12949" s="168">
        <v>2</v>
      </c>
      <c r="C12949" s="133">
        <v>25</v>
      </c>
      <c r="D12949" s="141">
        <f t="shared" ref="D12949:D13004" si="1922">DATE(A12949,B12949,C12949)</f>
        <v>45713</v>
      </c>
      <c r="E12949" s="275">
        <f t="shared" ref="E12949:E13004" si="1923">DATE(A12949,B12949,C12949)</f>
        <v>45713</v>
      </c>
      <c r="F12949" s="479" t="s">
        <v>1979</v>
      </c>
      <c r="G12949" s="220" t="s">
        <v>94</v>
      </c>
      <c r="H12949" s="220" t="str" cm="1">
        <f t="array" ref="H12949">IFERROR(INDEX(INVESTOR_LIST[INVESTOR NAME],MATCH(I12949,INVESTOR_LIST[INVESTOR CODE],0),)," ")</f>
        <v xml:space="preserve"> </v>
      </c>
      <c r="I12949" s="142"/>
      <c r="J12949" s="143" t="s">
        <v>79</v>
      </c>
      <c r="K12949" s="226">
        <v>1445780.4</v>
      </c>
      <c r="L12949" s="226"/>
    </row>
    <row r="12950" spans="1:12" x14ac:dyDescent="0.2">
      <c r="A12950" s="133">
        <v>2025</v>
      </c>
      <c r="B12950" s="133">
        <v>2</v>
      </c>
      <c r="C12950" s="133">
        <v>25</v>
      </c>
      <c r="D12950" s="141">
        <f t="shared" si="1922"/>
        <v>45713</v>
      </c>
      <c r="E12950" s="275">
        <f t="shared" si="1923"/>
        <v>45713</v>
      </c>
      <c r="F12950" s="481"/>
      <c r="G12950" s="174" t="s">
        <v>94</v>
      </c>
      <c r="H12950" s="174" t="str" cm="1">
        <f t="array" ref="H12950">IFERROR(INDEX(INVESTOR_LIST[INVESTOR NAME],MATCH(I12950,INVESTOR_LIST[INVESTOR CODE],0),)," ")</f>
        <v xml:space="preserve"> </v>
      </c>
      <c r="J12950" s="149" t="s">
        <v>80</v>
      </c>
      <c r="K12950" s="218">
        <v>2602.4</v>
      </c>
      <c r="L12950" s="133"/>
    </row>
    <row r="12951" spans="1:12" x14ac:dyDescent="0.2">
      <c r="A12951" s="163">
        <v>2025</v>
      </c>
      <c r="B12951" s="163">
        <v>2</v>
      </c>
      <c r="C12951" s="163">
        <v>25</v>
      </c>
      <c r="D12951" s="280">
        <f t="shared" si="1922"/>
        <v>45713</v>
      </c>
      <c r="E12951" s="281">
        <f t="shared" si="1923"/>
        <v>45713</v>
      </c>
      <c r="F12951" s="480"/>
      <c r="G12951" s="221" t="s">
        <v>94</v>
      </c>
      <c r="H12951" s="221" t="str" cm="1">
        <f t="array" ref="H12951">IFERROR(INDEX(INVESTOR_LIST[INVESTOR NAME],MATCH(I12951,INVESTOR_LIST[INVESTOR CODE],0),)," ")</f>
        <v xml:space="preserve"> </v>
      </c>
      <c r="I12951" s="145"/>
      <c r="J12951" s="146" t="s">
        <v>147</v>
      </c>
      <c r="K12951" s="219"/>
      <c r="L12951" s="219">
        <v>1448382.8</v>
      </c>
    </row>
    <row r="12952" spans="1:12" x14ac:dyDescent="0.2">
      <c r="A12952" s="168">
        <v>2025</v>
      </c>
      <c r="B12952" s="168">
        <v>2</v>
      </c>
      <c r="C12952" s="133">
        <v>25</v>
      </c>
      <c r="D12952" s="141">
        <f t="shared" si="1922"/>
        <v>45713</v>
      </c>
      <c r="E12952" s="275">
        <f t="shared" si="1923"/>
        <v>45713</v>
      </c>
      <c r="F12952" s="481" t="s">
        <v>2006</v>
      </c>
      <c r="G12952" s="174" t="s">
        <v>74</v>
      </c>
      <c r="H12952" s="174" t="str" cm="1">
        <f t="array" ref="H12952">IFERROR(INDEX(INVESTOR_LIST[INVESTOR NAME],MATCH(I12952,INVESTOR_LIST[INVESTOR CODE],0),)," ")</f>
        <v xml:space="preserve"> </v>
      </c>
      <c r="J12952" s="149" t="s">
        <v>50</v>
      </c>
      <c r="K12952" s="218">
        <v>4000</v>
      </c>
      <c r="L12952" s="218"/>
    </row>
    <row r="12953" spans="1:12" x14ac:dyDescent="0.2">
      <c r="A12953" s="133">
        <v>2025</v>
      </c>
      <c r="B12953" s="133">
        <v>2</v>
      </c>
      <c r="C12953" s="133">
        <v>25</v>
      </c>
      <c r="D12953" s="141">
        <f t="shared" ref="D12953:D12954" si="1924">DATE(A12953,B12953,C12953)</f>
        <v>45713</v>
      </c>
      <c r="E12953" s="275">
        <f t="shared" ref="E12953:E12954" si="1925">DATE(A12953,B12953,C12953)</f>
        <v>45713</v>
      </c>
      <c r="F12953" s="481"/>
      <c r="G12953" s="174" t="s">
        <v>74</v>
      </c>
      <c r="H12953" s="174"/>
      <c r="J12953" s="149" t="s">
        <v>534</v>
      </c>
      <c r="K12953" s="218"/>
      <c r="L12953" s="218">
        <v>4000</v>
      </c>
    </row>
    <row r="12954" spans="1:12" x14ac:dyDescent="0.2">
      <c r="A12954" s="133">
        <v>2025</v>
      </c>
      <c r="B12954" s="133">
        <v>2</v>
      </c>
      <c r="C12954" s="133">
        <v>25</v>
      </c>
      <c r="D12954" s="141">
        <f t="shared" si="1924"/>
        <v>45713</v>
      </c>
      <c r="E12954" s="275">
        <f t="shared" si="1925"/>
        <v>45713</v>
      </c>
      <c r="F12954" s="481"/>
      <c r="G12954" s="174" t="s">
        <v>74</v>
      </c>
      <c r="H12954" s="174"/>
      <c r="J12954" s="149" t="s">
        <v>534</v>
      </c>
      <c r="K12954" s="218">
        <v>4000</v>
      </c>
      <c r="L12954" s="218"/>
    </row>
    <row r="12955" spans="1:12" x14ac:dyDescent="0.2">
      <c r="A12955" s="163">
        <v>2025</v>
      </c>
      <c r="B12955" s="163">
        <v>2</v>
      </c>
      <c r="C12955" s="163">
        <v>25</v>
      </c>
      <c r="D12955" s="280">
        <f t="shared" si="1922"/>
        <v>45713</v>
      </c>
      <c r="E12955" s="281">
        <f t="shared" si="1923"/>
        <v>45713</v>
      </c>
      <c r="F12955" s="480"/>
      <c r="G12955" s="221" t="s">
        <v>74</v>
      </c>
      <c r="H12955" s="221" t="str" cm="1">
        <f t="array" ref="H12955">IFERROR(INDEX(INVESTOR_LIST[INVESTOR NAME],MATCH(I12955,INVESTOR_LIST[INVESTOR CODE],0),)," ")</f>
        <v xml:space="preserve"> </v>
      </c>
      <c r="I12955" s="145"/>
      <c r="J12955" s="146" t="s">
        <v>52</v>
      </c>
      <c r="K12955" s="219"/>
      <c r="L12955" s="219">
        <v>4000</v>
      </c>
    </row>
    <row r="12956" spans="1:12" x14ac:dyDescent="0.2">
      <c r="A12956" s="168">
        <v>2025</v>
      </c>
      <c r="B12956" s="133">
        <v>2</v>
      </c>
      <c r="C12956" s="168">
        <v>25</v>
      </c>
      <c r="D12956" s="147">
        <f>DATE(A12956,B12956,C12956)</f>
        <v>45713</v>
      </c>
      <c r="E12956" s="311">
        <f>DATE(A12956,B12956,C12956)</f>
        <v>45713</v>
      </c>
      <c r="F12956" s="481" t="s">
        <v>1943</v>
      </c>
      <c r="G12956" s="174" t="s">
        <v>74</v>
      </c>
      <c r="H12956" s="148" t="str" cm="1">
        <f t="array" ref="H12956">IFERROR(INDEX(INVESTOR_LIST[INVESTOR NAME],MATCH(I12956,INVESTOR_LIST[INVESTOR CODE],0),)," ")</f>
        <v xml:space="preserve"> </v>
      </c>
      <c r="I12956" s="148" t="s">
        <v>348</v>
      </c>
      <c r="J12956" s="133" t="s">
        <v>61</v>
      </c>
      <c r="K12956" s="172">
        <v>100</v>
      </c>
    </row>
    <row r="12957" spans="1:12" x14ac:dyDescent="0.2">
      <c r="A12957" s="163">
        <v>2025</v>
      </c>
      <c r="B12957" s="163">
        <v>2</v>
      </c>
      <c r="C12957" s="163">
        <v>25</v>
      </c>
      <c r="D12957" s="280">
        <f>DATE(A12957,B12957,C12957)</f>
        <v>45713</v>
      </c>
      <c r="E12957" s="281">
        <f>DATE(A12957,B12957,C12957)</f>
        <v>45713</v>
      </c>
      <c r="F12957" s="480"/>
      <c r="G12957" s="221" t="s">
        <v>74</v>
      </c>
      <c r="H12957" s="145" t="str" cm="1">
        <f t="array" ref="H12957">IFERROR(INDEX(INVESTOR_LIST[INVESTOR NAME],MATCH(I12957,INVESTOR_LIST[INVESTOR CODE],0),)," ")</f>
        <v xml:space="preserve"> </v>
      </c>
      <c r="I12957" s="145" t="s">
        <v>348</v>
      </c>
      <c r="J12957" s="163" t="s">
        <v>52</v>
      </c>
      <c r="K12957" s="219"/>
      <c r="L12957" s="219">
        <v>100</v>
      </c>
    </row>
    <row r="12958" spans="1:12" ht="11.25" customHeight="1" x14ac:dyDescent="0.2">
      <c r="A12958" s="168">
        <v>2025</v>
      </c>
      <c r="B12958" s="168">
        <v>2</v>
      </c>
      <c r="C12958" s="133">
        <v>25</v>
      </c>
      <c r="D12958" s="141">
        <f t="shared" ref="D12958:D12960" si="1926">DATE(A12958,B12958,C12958)</f>
        <v>45713</v>
      </c>
      <c r="E12958" s="275">
        <f t="shared" ref="E12958:E12960" si="1927">DATE(A12958,B12958,C12958)</f>
        <v>45713</v>
      </c>
      <c r="F12958" s="479" t="s">
        <v>1310</v>
      </c>
      <c r="G12958" s="220" t="s">
        <v>74</v>
      </c>
      <c r="H12958" s="142" t="str" cm="1">
        <f t="array" ref="H12958">IFERROR(INDEX(INVESTOR_LIST[INVESTOR NAME],MATCH(I12958,INVESTOR_LIST[INVESTOR CODE],0),)," ")</f>
        <v>RASHEDUL ISLAM</v>
      </c>
      <c r="I12958" s="142" t="s">
        <v>1476</v>
      </c>
      <c r="J12958" s="168" t="s">
        <v>13</v>
      </c>
      <c r="K12958" s="226">
        <v>7930</v>
      </c>
      <c r="L12958" s="226"/>
    </row>
    <row r="12959" spans="1:12" ht="11.25" customHeight="1" x14ac:dyDescent="0.2">
      <c r="A12959" s="133">
        <v>2025</v>
      </c>
      <c r="B12959" s="133">
        <v>2</v>
      </c>
      <c r="C12959" s="133">
        <v>25</v>
      </c>
      <c r="D12959" s="141">
        <f t="shared" si="1926"/>
        <v>45713</v>
      </c>
      <c r="E12959" s="275">
        <f t="shared" si="1927"/>
        <v>45713</v>
      </c>
      <c r="F12959" s="481"/>
      <c r="G12959" s="174" t="s">
        <v>74</v>
      </c>
      <c r="H12959" s="148" t="str" cm="1">
        <f t="array" ref="H12959">IFERROR(INDEX(INVESTOR_LIST[INVESTOR NAME],MATCH(I12959,INVESTOR_LIST[INVESTOR CODE],0),)," ")</f>
        <v>RASHEDUL ISLAM</v>
      </c>
      <c r="I12959" s="148" t="s">
        <v>1476</v>
      </c>
      <c r="J12959" s="133" t="s">
        <v>53</v>
      </c>
      <c r="K12959" s="218">
        <v>2070</v>
      </c>
      <c r="L12959" s="218"/>
    </row>
    <row r="12960" spans="1:12" ht="11.25" customHeight="1" x14ac:dyDescent="0.2">
      <c r="A12960" s="163">
        <v>2025</v>
      </c>
      <c r="B12960" s="163">
        <v>2</v>
      </c>
      <c r="C12960" s="163">
        <v>25</v>
      </c>
      <c r="D12960" s="280">
        <f t="shared" si="1926"/>
        <v>45713</v>
      </c>
      <c r="E12960" s="281">
        <f t="shared" si="1927"/>
        <v>45713</v>
      </c>
      <c r="F12960" s="480"/>
      <c r="G12960" s="221" t="s">
        <v>74</v>
      </c>
      <c r="H12960" s="145" t="str" cm="1">
        <f t="array" ref="H12960">IFERROR(INDEX(INVESTOR_LIST[INVESTOR NAME],MATCH(I12960,INVESTOR_LIST[INVESTOR CODE],0),)," ")</f>
        <v>RASHEDUL ISLAM</v>
      </c>
      <c r="I12960" s="145" t="s">
        <v>1476</v>
      </c>
      <c r="J12960" s="163" t="s">
        <v>52</v>
      </c>
      <c r="K12960" s="219"/>
      <c r="L12960" s="219">
        <v>10000</v>
      </c>
    </row>
    <row r="12961" spans="1:12" ht="11.25" customHeight="1" x14ac:dyDescent="0.2">
      <c r="A12961" s="168">
        <v>2025</v>
      </c>
      <c r="B12961" s="168">
        <v>2</v>
      </c>
      <c r="C12961" s="133">
        <v>26</v>
      </c>
      <c r="D12961" s="141">
        <f t="shared" ref="D12961:D12963" si="1928">DATE(A12961,B12961,C12961)</f>
        <v>45714</v>
      </c>
      <c r="E12961" s="275">
        <f t="shared" ref="E12961:E12963" si="1929">DATE(A12961,B12961,C12961)</f>
        <v>45714</v>
      </c>
      <c r="F12961" s="479" t="s">
        <v>964</v>
      </c>
      <c r="G12961" s="220" t="s">
        <v>74</v>
      </c>
      <c r="H12961" s="142" t="str" cm="1">
        <f t="array" ref="H12961">IFERROR(INDEX(INVESTOR_LIST[INVESTOR NAME],MATCH(I12961,INVESTOR_LIST[INVESTOR CODE],0),)," ")</f>
        <v>KHAN MUHAMMAD KAWSER AHMED</v>
      </c>
      <c r="I12961" s="142" t="s">
        <v>1594</v>
      </c>
      <c r="J12961" s="168" t="s">
        <v>52</v>
      </c>
      <c r="K12961" s="226">
        <v>5000000</v>
      </c>
      <c r="L12961" s="226"/>
    </row>
    <row r="12962" spans="1:12" ht="11.25" customHeight="1" x14ac:dyDescent="0.2">
      <c r="A12962" s="133">
        <v>2025</v>
      </c>
      <c r="B12962" s="133">
        <v>2</v>
      </c>
      <c r="C12962" s="133">
        <v>26</v>
      </c>
      <c r="D12962" s="141">
        <f t="shared" si="1928"/>
        <v>45714</v>
      </c>
      <c r="E12962" s="275">
        <f t="shared" si="1929"/>
        <v>45714</v>
      </c>
      <c r="F12962" s="481"/>
      <c r="G12962" s="174" t="s">
        <v>74</v>
      </c>
      <c r="H12962" s="148" t="str" cm="1">
        <f t="array" ref="H12962">IFERROR(INDEX(INVESTOR_LIST[INVESTOR NAME],MATCH(I12962,INVESTOR_LIST[INVESTOR CODE],0),)," ")</f>
        <v>KHAN MUHAMMAD KAWSER AHMED</v>
      </c>
      <c r="I12962" s="148" t="s">
        <v>1594</v>
      </c>
      <c r="J12962" s="133" t="s">
        <v>13</v>
      </c>
      <c r="K12962" s="218"/>
      <c r="L12962" s="218">
        <v>3964160</v>
      </c>
    </row>
    <row r="12963" spans="1:12" ht="11.25" customHeight="1" x14ac:dyDescent="0.2">
      <c r="A12963" s="163">
        <v>2025</v>
      </c>
      <c r="B12963" s="163">
        <v>2</v>
      </c>
      <c r="C12963" s="163">
        <v>26</v>
      </c>
      <c r="D12963" s="280">
        <f t="shared" si="1928"/>
        <v>45714</v>
      </c>
      <c r="E12963" s="281">
        <f t="shared" si="1929"/>
        <v>45714</v>
      </c>
      <c r="F12963" s="480"/>
      <c r="G12963" s="221" t="s">
        <v>74</v>
      </c>
      <c r="H12963" s="145" t="str" cm="1">
        <f t="array" ref="H12963">IFERROR(INDEX(INVESTOR_LIST[INVESTOR NAME],MATCH(I12963,INVESTOR_LIST[INVESTOR CODE],0),)," ")</f>
        <v>KHAN MUHAMMAD KAWSER AHMED</v>
      </c>
      <c r="I12963" s="145" t="s">
        <v>1594</v>
      </c>
      <c r="J12963" s="163" t="s">
        <v>53</v>
      </c>
      <c r="K12963" s="219"/>
      <c r="L12963" s="219">
        <v>1035840</v>
      </c>
    </row>
    <row r="12964" spans="1:12" ht="11.25" customHeight="1" x14ac:dyDescent="0.2">
      <c r="A12964" s="168">
        <v>2025</v>
      </c>
      <c r="B12964" s="168">
        <v>2</v>
      </c>
      <c r="C12964" s="133">
        <v>26</v>
      </c>
      <c r="D12964" s="141">
        <f t="shared" ref="D12964:D12971" si="1930">DATE(A12964,B12964,C12964)</f>
        <v>45714</v>
      </c>
      <c r="E12964" s="275">
        <f t="shared" ref="E12964:E12971" si="1931">DATE(A12964,B12964,C12964)</f>
        <v>45714</v>
      </c>
      <c r="F12964" s="479" t="s">
        <v>1315</v>
      </c>
      <c r="G12964" s="220" t="s">
        <v>74</v>
      </c>
      <c r="H12964" s="142" t="str" cm="1">
        <f t="array" ref="H12964">IFERROR(INDEX(INVESTOR_LIST[INVESTOR NAME],MATCH(I12964,INVESTOR_LIST[INVESTOR CODE],0),)," ")</f>
        <v>MD MIZANUR RAHMAN</v>
      </c>
      <c r="I12964" s="142" t="s">
        <v>482</v>
      </c>
      <c r="J12964" s="168" t="s">
        <v>13</v>
      </c>
      <c r="K12964" s="226">
        <v>31860</v>
      </c>
      <c r="L12964" s="226"/>
    </row>
    <row r="12965" spans="1:12" ht="11.25" customHeight="1" x14ac:dyDescent="0.2">
      <c r="A12965" s="133">
        <v>2025</v>
      </c>
      <c r="B12965" s="133">
        <v>2</v>
      </c>
      <c r="C12965" s="133">
        <v>26</v>
      </c>
      <c r="D12965" s="141">
        <f t="shared" si="1930"/>
        <v>45714</v>
      </c>
      <c r="E12965" s="275">
        <f t="shared" si="1931"/>
        <v>45714</v>
      </c>
      <c r="F12965" s="481"/>
      <c r="G12965" s="174" t="s">
        <v>74</v>
      </c>
      <c r="H12965" s="148" t="str" cm="1">
        <f t="array" ref="H12965">IFERROR(INDEX(INVESTOR_LIST[INVESTOR NAME],MATCH(I12965,INVESTOR_LIST[INVESTOR CODE],0),)," ")</f>
        <v>MD MIZANUR RAHMAN</v>
      </c>
      <c r="I12965" s="148" t="s">
        <v>482</v>
      </c>
      <c r="J12965" s="133" t="s">
        <v>53</v>
      </c>
      <c r="K12965" s="218">
        <v>8325.0199999999968</v>
      </c>
      <c r="L12965" s="218"/>
    </row>
    <row r="12966" spans="1:12" ht="11.25" customHeight="1" x14ac:dyDescent="0.2">
      <c r="A12966" s="163">
        <v>2025</v>
      </c>
      <c r="B12966" s="163">
        <v>2</v>
      </c>
      <c r="C12966" s="163">
        <v>26</v>
      </c>
      <c r="D12966" s="280">
        <f t="shared" si="1930"/>
        <v>45714</v>
      </c>
      <c r="E12966" s="281">
        <f t="shared" si="1931"/>
        <v>45714</v>
      </c>
      <c r="F12966" s="480"/>
      <c r="G12966" s="221" t="s">
        <v>74</v>
      </c>
      <c r="H12966" s="145" t="str" cm="1">
        <f t="array" ref="H12966">IFERROR(INDEX(INVESTOR_LIST[INVESTOR NAME],MATCH(I12966,INVESTOR_LIST[INVESTOR CODE],0),)," ")</f>
        <v>MD MIZANUR RAHMAN</v>
      </c>
      <c r="I12966" s="145" t="s">
        <v>482</v>
      </c>
      <c r="J12966" s="163" t="s">
        <v>52</v>
      </c>
      <c r="K12966" s="219"/>
      <c r="L12966" s="219">
        <v>40185.019999999997</v>
      </c>
    </row>
    <row r="12967" spans="1:12" x14ac:dyDescent="0.2">
      <c r="A12967" s="168">
        <v>2025</v>
      </c>
      <c r="B12967" s="133">
        <v>2</v>
      </c>
      <c r="C12967" s="168">
        <v>26</v>
      </c>
      <c r="D12967" s="147">
        <f>DATE(A12967,B12967,C12967)</f>
        <v>45714</v>
      </c>
      <c r="E12967" s="311">
        <f>DATE(A12967,B12967,C12967)</f>
        <v>45714</v>
      </c>
      <c r="F12967" s="481" t="s">
        <v>1943</v>
      </c>
      <c r="G12967" s="174" t="s">
        <v>74</v>
      </c>
      <c r="H12967" s="148" t="str" cm="1">
        <f t="array" ref="H12967">IFERROR(INDEX(INVESTOR_LIST[INVESTOR NAME],MATCH(I12967,INVESTOR_LIST[INVESTOR CODE],0),)," ")</f>
        <v xml:space="preserve"> </v>
      </c>
      <c r="I12967" s="148" t="s">
        <v>348</v>
      </c>
      <c r="J12967" s="133" t="s">
        <v>61</v>
      </c>
      <c r="K12967" s="172">
        <v>25</v>
      </c>
    </row>
    <row r="12968" spans="1:12" x14ac:dyDescent="0.2">
      <c r="A12968" s="163">
        <v>2025</v>
      </c>
      <c r="B12968" s="163">
        <v>2</v>
      </c>
      <c r="C12968" s="163">
        <v>26</v>
      </c>
      <c r="D12968" s="280">
        <f>DATE(A12968,B12968,C12968)</f>
        <v>45714</v>
      </c>
      <c r="E12968" s="281">
        <f>DATE(A12968,B12968,C12968)</f>
        <v>45714</v>
      </c>
      <c r="F12968" s="480"/>
      <c r="G12968" s="221" t="s">
        <v>74</v>
      </c>
      <c r="H12968" s="145" t="str" cm="1">
        <f t="array" ref="H12968">IFERROR(INDEX(INVESTOR_LIST[INVESTOR NAME],MATCH(I12968,INVESTOR_LIST[INVESTOR CODE],0),)," ")</f>
        <v xml:space="preserve"> </v>
      </c>
      <c r="I12968" s="145" t="s">
        <v>348</v>
      </c>
      <c r="J12968" s="163" t="s">
        <v>52</v>
      </c>
      <c r="K12968" s="219"/>
      <c r="L12968" s="219">
        <v>25</v>
      </c>
    </row>
    <row r="12969" spans="1:12" ht="11.25" customHeight="1" x14ac:dyDescent="0.2">
      <c r="A12969" s="168">
        <v>2025</v>
      </c>
      <c r="B12969" s="168">
        <v>2</v>
      </c>
      <c r="C12969" s="133">
        <v>26</v>
      </c>
      <c r="D12969" s="141">
        <f t="shared" si="1930"/>
        <v>45714</v>
      </c>
      <c r="E12969" s="275">
        <f t="shared" si="1931"/>
        <v>45714</v>
      </c>
      <c r="F12969" s="479" t="s">
        <v>1319</v>
      </c>
      <c r="G12969" s="220" t="s">
        <v>74</v>
      </c>
      <c r="H12969" s="142" t="str" cm="1">
        <f t="array" ref="H12969">IFERROR(INDEX(INVESTOR_LIST[INVESTOR NAME],MATCH(I12969,INVESTOR_LIST[INVESTOR CODE],0),)," ")</f>
        <v xml:space="preserve"> </v>
      </c>
      <c r="I12969" s="142"/>
      <c r="J12969" s="168" t="s">
        <v>52</v>
      </c>
      <c r="K12969" s="226">
        <v>106000</v>
      </c>
      <c r="L12969" s="226"/>
    </row>
    <row r="12970" spans="1:12" ht="11.25" customHeight="1" x14ac:dyDescent="0.2">
      <c r="A12970" s="133">
        <v>2025</v>
      </c>
      <c r="B12970" s="133">
        <v>2</v>
      </c>
      <c r="C12970" s="133">
        <v>26</v>
      </c>
      <c r="D12970" s="141">
        <f t="shared" si="1930"/>
        <v>45714</v>
      </c>
      <c r="E12970" s="275">
        <f t="shared" si="1931"/>
        <v>45714</v>
      </c>
      <c r="F12970" s="481"/>
      <c r="G12970" s="174" t="s">
        <v>74</v>
      </c>
      <c r="H12970" s="148" t="str" cm="1">
        <f t="array" ref="H12970">IFERROR(INDEX(INVESTOR_LIST[INVESTOR NAME],MATCH(I12970,INVESTOR_LIST[INVESTOR CODE],0),)," ")</f>
        <v xml:space="preserve"> </v>
      </c>
      <c r="J12970" s="133" t="s">
        <v>13</v>
      </c>
      <c r="K12970" s="218"/>
      <c r="L12970" s="218">
        <v>84020</v>
      </c>
    </row>
    <row r="12971" spans="1:12" ht="11.25" customHeight="1" x14ac:dyDescent="0.2">
      <c r="A12971" s="163">
        <v>2025</v>
      </c>
      <c r="B12971" s="163">
        <v>2</v>
      </c>
      <c r="C12971" s="163">
        <v>26</v>
      </c>
      <c r="D12971" s="280">
        <f t="shared" si="1930"/>
        <v>45714</v>
      </c>
      <c r="E12971" s="281">
        <f t="shared" si="1931"/>
        <v>45714</v>
      </c>
      <c r="F12971" s="480"/>
      <c r="G12971" s="221" t="s">
        <v>74</v>
      </c>
      <c r="H12971" s="145" t="str" cm="1">
        <f t="array" ref="H12971">IFERROR(INDEX(INVESTOR_LIST[INVESTOR NAME],MATCH(I12971,INVESTOR_LIST[INVESTOR CODE],0),)," ")</f>
        <v xml:space="preserve"> </v>
      </c>
      <c r="I12971" s="145"/>
      <c r="J12971" s="163" t="s">
        <v>53</v>
      </c>
      <c r="K12971" s="219"/>
      <c r="L12971" s="219">
        <v>21980</v>
      </c>
    </row>
    <row r="12972" spans="1:12" x14ac:dyDescent="0.2">
      <c r="A12972" s="168">
        <v>2025</v>
      </c>
      <c r="B12972" s="133">
        <v>2</v>
      </c>
      <c r="C12972" s="168">
        <v>26</v>
      </c>
      <c r="D12972" s="147">
        <f>DATE(A12972,B12972,C12972)</f>
        <v>45714</v>
      </c>
      <c r="E12972" s="311">
        <f>DATE(A12972,B12972,C12972)</f>
        <v>45714</v>
      </c>
      <c r="F12972" s="481" t="s">
        <v>1943</v>
      </c>
      <c r="G12972" s="174" t="s">
        <v>74</v>
      </c>
      <c r="H12972" s="148" t="str" cm="1">
        <f t="array" ref="H12972">IFERROR(INDEX(INVESTOR_LIST[INVESTOR NAME],MATCH(I12972,INVESTOR_LIST[INVESTOR CODE],0),)," ")</f>
        <v xml:space="preserve"> </v>
      </c>
      <c r="I12972" s="148" t="s">
        <v>348</v>
      </c>
      <c r="J12972" s="133" t="s">
        <v>61</v>
      </c>
      <c r="K12972" s="172">
        <v>100</v>
      </c>
    </row>
    <row r="12973" spans="1:12" x14ac:dyDescent="0.2">
      <c r="A12973" s="163">
        <v>2025</v>
      </c>
      <c r="B12973" s="163">
        <v>2</v>
      </c>
      <c r="C12973" s="163">
        <v>26</v>
      </c>
      <c r="D12973" s="280">
        <f>DATE(A12973,B12973,C12973)</f>
        <v>45714</v>
      </c>
      <c r="E12973" s="281">
        <f>DATE(A12973,B12973,C12973)</f>
        <v>45714</v>
      </c>
      <c r="F12973" s="480"/>
      <c r="G12973" s="221" t="s">
        <v>74</v>
      </c>
      <c r="H12973" s="145" t="str" cm="1">
        <f t="array" ref="H12973">IFERROR(INDEX(INVESTOR_LIST[INVESTOR NAME],MATCH(I12973,INVESTOR_LIST[INVESTOR CODE],0),)," ")</f>
        <v xml:space="preserve"> </v>
      </c>
      <c r="I12973" s="145" t="s">
        <v>348</v>
      </c>
      <c r="J12973" s="163" t="s">
        <v>52</v>
      </c>
      <c r="K12973" s="219"/>
      <c r="L12973" s="219">
        <v>100</v>
      </c>
    </row>
    <row r="12974" spans="1:12" x14ac:dyDescent="0.2">
      <c r="A12974" s="168">
        <v>2025</v>
      </c>
      <c r="B12974" s="133">
        <v>2</v>
      </c>
      <c r="C12974" s="168">
        <v>26</v>
      </c>
      <c r="D12974" s="141">
        <f t="shared" si="1922"/>
        <v>45714</v>
      </c>
      <c r="E12974" s="275">
        <f t="shared" si="1923"/>
        <v>45714</v>
      </c>
      <c r="F12974" s="479" t="s">
        <v>2002</v>
      </c>
      <c r="G12974" s="220" t="s">
        <v>74</v>
      </c>
      <c r="H12974" s="220" t="str" cm="1">
        <f t="array" ref="H12974">IFERROR(INDEX(INVESTOR_LIST[INVESTOR NAME],MATCH(I12974,INVESTOR_LIST[INVESTOR CODE],0),)," ")</f>
        <v xml:space="preserve"> </v>
      </c>
      <c r="I12974" s="142"/>
      <c r="J12974" s="143" t="s">
        <v>147</v>
      </c>
      <c r="K12974" s="226">
        <v>1448382.8</v>
      </c>
      <c r="L12974" s="226"/>
    </row>
    <row r="12975" spans="1:12" x14ac:dyDescent="0.2">
      <c r="A12975" s="163">
        <v>2025</v>
      </c>
      <c r="B12975" s="163">
        <v>2</v>
      </c>
      <c r="C12975" s="163">
        <v>26</v>
      </c>
      <c r="D12975" s="280">
        <f t="shared" si="1922"/>
        <v>45714</v>
      </c>
      <c r="E12975" s="281">
        <f t="shared" si="1923"/>
        <v>45714</v>
      </c>
      <c r="F12975" s="480"/>
      <c r="G12975" s="221" t="s">
        <v>74</v>
      </c>
      <c r="H12975" s="221" t="str" cm="1">
        <f t="array" ref="H12975">IFERROR(INDEX(INVESTOR_LIST[INVESTOR NAME],MATCH(I12975,INVESTOR_LIST[INVESTOR CODE],0),)," ")</f>
        <v xml:space="preserve"> </v>
      </c>
      <c r="I12975" s="145" t="s">
        <v>348</v>
      </c>
      <c r="J12975" s="146" t="s">
        <v>52</v>
      </c>
      <c r="K12975" s="219"/>
      <c r="L12975" s="219">
        <v>1448382.8</v>
      </c>
    </row>
    <row r="12976" spans="1:12" x14ac:dyDescent="0.2">
      <c r="A12976" s="168">
        <v>2025</v>
      </c>
      <c r="B12976" s="168">
        <v>2</v>
      </c>
      <c r="C12976" s="133">
        <v>26</v>
      </c>
      <c r="D12976" s="141">
        <f t="shared" ref="D12976:D12984" si="1932">DATE(A12976,B12976,C12976)</f>
        <v>45714</v>
      </c>
      <c r="E12976" s="275">
        <f t="shared" ref="E12976:E12984" si="1933">DATE(A12976,B12976,C12976)</f>
        <v>45714</v>
      </c>
      <c r="F12976" s="479" t="s">
        <v>1979</v>
      </c>
      <c r="G12976" s="220" t="s">
        <v>94</v>
      </c>
      <c r="H12976" s="220" t="str" cm="1">
        <f t="array" ref="H12976">IFERROR(INDEX(INVESTOR_LIST[INVESTOR NAME],MATCH(I12976,INVESTOR_LIST[INVESTOR CODE],0),)," ")</f>
        <v xml:space="preserve"> </v>
      </c>
      <c r="I12976" s="142"/>
      <c r="J12976" s="143" t="s">
        <v>79</v>
      </c>
      <c r="K12976" s="226">
        <v>1635432.1</v>
      </c>
      <c r="L12976" s="226"/>
    </row>
    <row r="12977" spans="1:12" x14ac:dyDescent="0.2">
      <c r="A12977" s="133">
        <v>2025</v>
      </c>
      <c r="B12977" s="133">
        <v>2</v>
      </c>
      <c r="C12977" s="133">
        <v>26</v>
      </c>
      <c r="D12977" s="141">
        <f t="shared" si="1932"/>
        <v>45714</v>
      </c>
      <c r="E12977" s="275">
        <f t="shared" si="1933"/>
        <v>45714</v>
      </c>
      <c r="F12977" s="481"/>
      <c r="G12977" s="174" t="s">
        <v>94</v>
      </c>
      <c r="H12977" s="174" t="str" cm="1">
        <f t="array" ref="H12977">IFERROR(INDEX(INVESTOR_LIST[INVESTOR NAME],MATCH(I12977,INVESTOR_LIST[INVESTOR CODE],0),)," ")</f>
        <v xml:space="preserve"> </v>
      </c>
      <c r="J12977" s="149" t="s">
        <v>80</v>
      </c>
      <c r="K12977" s="218">
        <v>2943.78</v>
      </c>
      <c r="L12977" s="133"/>
    </row>
    <row r="12978" spans="1:12" x14ac:dyDescent="0.2">
      <c r="A12978" s="163">
        <v>2025</v>
      </c>
      <c r="B12978" s="163">
        <v>2</v>
      </c>
      <c r="C12978" s="163">
        <v>26</v>
      </c>
      <c r="D12978" s="280">
        <f t="shared" si="1932"/>
        <v>45714</v>
      </c>
      <c r="E12978" s="281">
        <f t="shared" si="1933"/>
        <v>45714</v>
      </c>
      <c r="F12978" s="480"/>
      <c r="G12978" s="221" t="s">
        <v>94</v>
      </c>
      <c r="H12978" s="221" t="str" cm="1">
        <f t="array" ref="H12978">IFERROR(INDEX(INVESTOR_LIST[INVESTOR NAME],MATCH(I12978,INVESTOR_LIST[INVESTOR CODE],0),)," ")</f>
        <v xml:space="preserve"> </v>
      </c>
      <c r="I12978" s="145"/>
      <c r="J12978" s="146" t="s">
        <v>147</v>
      </c>
      <c r="K12978" s="219"/>
      <c r="L12978" s="219">
        <v>1638375.88</v>
      </c>
    </row>
    <row r="12979" spans="1:12" x14ac:dyDescent="0.2">
      <c r="A12979" s="168">
        <v>2025</v>
      </c>
      <c r="B12979" s="133">
        <v>2</v>
      </c>
      <c r="C12979" s="168">
        <v>26</v>
      </c>
      <c r="D12979" s="141">
        <f t="shared" si="1932"/>
        <v>45714</v>
      </c>
      <c r="E12979" s="275">
        <f t="shared" si="1933"/>
        <v>45714</v>
      </c>
      <c r="F12979" s="481" t="s">
        <v>2039</v>
      </c>
      <c r="G12979" s="174" t="s">
        <v>94</v>
      </c>
      <c r="H12979" s="174" t="str" cm="1">
        <f t="array" ref="H12979">IFERROR(INDEX(INVESTOR_LIST[INVESTOR NAME],MATCH(I12979,INVESTOR_LIST[INVESTOR CODE],0),)," ")</f>
        <v xml:space="preserve"> </v>
      </c>
      <c r="I12979" s="148" t="s">
        <v>348</v>
      </c>
      <c r="J12979" s="149" t="s">
        <v>168</v>
      </c>
      <c r="K12979" s="218">
        <v>34000</v>
      </c>
      <c r="L12979" s="218"/>
    </row>
    <row r="12980" spans="1:12" x14ac:dyDescent="0.2">
      <c r="A12980" s="163">
        <v>2025</v>
      </c>
      <c r="B12980" s="163">
        <v>2</v>
      </c>
      <c r="C12980" s="163">
        <v>26</v>
      </c>
      <c r="D12980" s="141">
        <f t="shared" si="1932"/>
        <v>45714</v>
      </c>
      <c r="E12980" s="275">
        <f t="shared" si="1933"/>
        <v>45714</v>
      </c>
      <c r="F12980" s="480"/>
      <c r="G12980" s="221" t="s">
        <v>94</v>
      </c>
      <c r="H12980" s="221" t="str" cm="1">
        <f t="array" ref="H12980">IFERROR(INDEX(INVESTOR_LIST[INVESTOR NAME],MATCH(I12980,INVESTOR_LIST[INVESTOR CODE],0),)," ")</f>
        <v xml:space="preserve"> </v>
      </c>
      <c r="I12980" s="145" t="s">
        <v>348</v>
      </c>
      <c r="J12980" s="146" t="s">
        <v>166</v>
      </c>
      <c r="K12980" s="219"/>
      <c r="L12980" s="219">
        <v>34000</v>
      </c>
    </row>
    <row r="12981" spans="1:12" x14ac:dyDescent="0.2">
      <c r="A12981" s="168">
        <v>2025</v>
      </c>
      <c r="B12981" s="133">
        <v>2</v>
      </c>
      <c r="C12981" s="168">
        <v>26</v>
      </c>
      <c r="D12981" s="141">
        <f t="shared" ref="D12981:D12982" si="1934">DATE(A12981,B12981,C12981)</f>
        <v>45714</v>
      </c>
      <c r="E12981" s="275">
        <f t="shared" ref="E12981:E12982" si="1935">DATE(A12981,B12981,C12981)</f>
        <v>45714</v>
      </c>
      <c r="F12981" s="481" t="s">
        <v>2040</v>
      </c>
      <c r="G12981" s="174" t="s">
        <v>94</v>
      </c>
      <c r="H12981" s="174" t="str" cm="1">
        <f t="array" ref="H12981">IFERROR(INDEX(INVESTOR_LIST[INVESTOR NAME],MATCH(I12981,INVESTOR_LIST[INVESTOR CODE],0),)," ")</f>
        <v xml:space="preserve"> </v>
      </c>
      <c r="I12981" s="148" t="s">
        <v>348</v>
      </c>
      <c r="J12981" s="149" t="s">
        <v>168</v>
      </c>
      <c r="K12981" s="218">
        <v>60960</v>
      </c>
      <c r="L12981" s="218"/>
    </row>
    <row r="12982" spans="1:12" x14ac:dyDescent="0.2">
      <c r="A12982" s="163">
        <v>2025</v>
      </c>
      <c r="B12982" s="163">
        <v>2</v>
      </c>
      <c r="C12982" s="163">
        <v>26</v>
      </c>
      <c r="D12982" s="141">
        <f t="shared" si="1934"/>
        <v>45714</v>
      </c>
      <c r="E12982" s="275">
        <f t="shared" si="1935"/>
        <v>45714</v>
      </c>
      <c r="F12982" s="480"/>
      <c r="G12982" s="221" t="s">
        <v>94</v>
      </c>
      <c r="H12982" s="221" t="str" cm="1">
        <f t="array" ref="H12982">IFERROR(INDEX(INVESTOR_LIST[INVESTOR NAME],MATCH(I12982,INVESTOR_LIST[INVESTOR CODE],0),)," ")</f>
        <v xml:space="preserve"> </v>
      </c>
      <c r="I12982" s="145" t="s">
        <v>348</v>
      </c>
      <c r="J12982" s="146" t="s">
        <v>166</v>
      </c>
      <c r="K12982" s="219"/>
      <c r="L12982" s="219">
        <v>60960</v>
      </c>
    </row>
    <row r="12983" spans="1:12" x14ac:dyDescent="0.2">
      <c r="A12983" s="168">
        <v>2025</v>
      </c>
      <c r="B12983" s="133">
        <v>2</v>
      </c>
      <c r="C12983" s="168">
        <v>27</v>
      </c>
      <c r="D12983" s="141">
        <f t="shared" si="1932"/>
        <v>45715</v>
      </c>
      <c r="E12983" s="275">
        <f t="shared" si="1933"/>
        <v>45715</v>
      </c>
      <c r="F12983" s="479" t="s">
        <v>2002</v>
      </c>
      <c r="G12983" s="220" t="s">
        <v>74</v>
      </c>
      <c r="H12983" s="220" t="str" cm="1">
        <f t="array" ref="H12983">IFERROR(INDEX(INVESTOR_LIST[INVESTOR NAME],MATCH(I12983,INVESTOR_LIST[INVESTOR CODE],0),)," ")</f>
        <v xml:space="preserve"> </v>
      </c>
      <c r="I12983" s="142"/>
      <c r="J12983" s="143" t="s">
        <v>147</v>
      </c>
      <c r="K12983" s="226">
        <v>1638375.88</v>
      </c>
      <c r="L12983" s="226"/>
    </row>
    <row r="12984" spans="1:12" x14ac:dyDescent="0.2">
      <c r="A12984" s="163">
        <v>2025</v>
      </c>
      <c r="B12984" s="163">
        <v>2</v>
      </c>
      <c r="C12984" s="163">
        <v>27</v>
      </c>
      <c r="D12984" s="280">
        <f t="shared" si="1932"/>
        <v>45715</v>
      </c>
      <c r="E12984" s="281">
        <f t="shared" si="1933"/>
        <v>45715</v>
      </c>
      <c r="F12984" s="480"/>
      <c r="G12984" s="221" t="s">
        <v>74</v>
      </c>
      <c r="H12984" s="221" t="str" cm="1">
        <f t="array" ref="H12984">IFERROR(INDEX(INVESTOR_LIST[INVESTOR NAME],MATCH(I12984,INVESTOR_LIST[INVESTOR CODE],0),)," ")</f>
        <v xml:space="preserve"> </v>
      </c>
      <c r="I12984" s="145" t="s">
        <v>348</v>
      </c>
      <c r="J12984" s="146" t="s">
        <v>52</v>
      </c>
      <c r="K12984" s="219"/>
      <c r="L12984" s="219">
        <v>1638375.88</v>
      </c>
    </row>
    <row r="12985" spans="1:12" x14ac:dyDescent="0.2">
      <c r="A12985" s="168">
        <v>2025</v>
      </c>
      <c r="B12985" s="133">
        <v>2</v>
      </c>
      <c r="C12985" s="168">
        <v>27</v>
      </c>
      <c r="D12985" s="147">
        <f>DATE(A12985,B12985,C12985)</f>
        <v>45715</v>
      </c>
      <c r="E12985" s="311">
        <f>DATE(A12985,B12985,C12985)</f>
        <v>45715</v>
      </c>
      <c r="F12985" s="481" t="s">
        <v>1943</v>
      </c>
      <c r="G12985" s="174" t="s">
        <v>74</v>
      </c>
      <c r="H12985" s="148" t="str" cm="1">
        <f t="array" ref="H12985">IFERROR(INDEX(INVESTOR_LIST[INVESTOR NAME],MATCH(I12985,INVESTOR_LIST[INVESTOR CODE],0),)," ")</f>
        <v xml:space="preserve"> </v>
      </c>
      <c r="I12985" s="148" t="s">
        <v>348</v>
      </c>
      <c r="J12985" s="133" t="s">
        <v>61</v>
      </c>
      <c r="K12985" s="172">
        <v>100</v>
      </c>
    </row>
    <row r="12986" spans="1:12" x14ac:dyDescent="0.2">
      <c r="A12986" s="163">
        <v>2025</v>
      </c>
      <c r="B12986" s="163">
        <v>2</v>
      </c>
      <c r="C12986" s="163">
        <v>27</v>
      </c>
      <c r="D12986" s="280">
        <f>DATE(A12986,B12986,C12986)</f>
        <v>45715</v>
      </c>
      <c r="E12986" s="281">
        <f>DATE(A12986,B12986,C12986)</f>
        <v>45715</v>
      </c>
      <c r="F12986" s="480"/>
      <c r="G12986" s="221" t="s">
        <v>74</v>
      </c>
      <c r="H12986" s="145" t="str" cm="1">
        <f t="array" ref="H12986">IFERROR(INDEX(INVESTOR_LIST[INVESTOR NAME],MATCH(I12986,INVESTOR_LIST[INVESTOR CODE],0),)," ")</f>
        <v xml:space="preserve"> </v>
      </c>
      <c r="I12986" s="145" t="s">
        <v>348</v>
      </c>
      <c r="J12986" s="163" t="s">
        <v>52</v>
      </c>
      <c r="K12986" s="219"/>
      <c r="L12986" s="219">
        <v>100</v>
      </c>
    </row>
    <row r="12987" spans="1:12" x14ac:dyDescent="0.2">
      <c r="A12987" s="325">
        <v>2025</v>
      </c>
      <c r="B12987" s="325">
        <v>2</v>
      </c>
      <c r="C12987" s="325">
        <v>27</v>
      </c>
      <c r="D12987" s="326">
        <f t="shared" si="1922"/>
        <v>45715</v>
      </c>
      <c r="E12987" s="327">
        <f t="shared" si="1923"/>
        <v>45715</v>
      </c>
      <c r="F12987" s="473" t="s">
        <v>1940</v>
      </c>
      <c r="G12987" s="340" t="s">
        <v>94</v>
      </c>
      <c r="H12987" s="340" t="str" cm="1">
        <f t="array" ref="H12987">IFERROR(INDEX(INVESTOR_LIST[INVESTOR NAME],MATCH(I12987,INVESTOR_LIST[INVESTOR CODE],0),)," ")</f>
        <v xml:space="preserve"> </v>
      </c>
      <c r="I12987" s="341" t="s">
        <v>348</v>
      </c>
      <c r="J12987" s="374" t="s">
        <v>133</v>
      </c>
      <c r="K12987" s="375">
        <v>12905.56</v>
      </c>
      <c r="L12987" s="375"/>
    </row>
    <row r="12988" spans="1:12" x14ac:dyDescent="0.2">
      <c r="A12988" s="331">
        <v>2025</v>
      </c>
      <c r="B12988" s="331">
        <v>2</v>
      </c>
      <c r="C12988" s="331">
        <v>27</v>
      </c>
      <c r="D12988" s="326">
        <f t="shared" si="1922"/>
        <v>45715</v>
      </c>
      <c r="E12988" s="327">
        <f t="shared" si="1923"/>
        <v>45715</v>
      </c>
      <c r="F12988" s="474"/>
      <c r="G12988" s="332" t="s">
        <v>94</v>
      </c>
      <c r="H12988" s="332" t="str" cm="1">
        <f t="array" ref="H12988">IFERROR(INDEX(INVESTOR_LIST[INVESTOR NAME],MATCH(I12988,INVESTOR_LIST[INVESTOR CODE],0),)," ")</f>
        <v xml:space="preserve"> </v>
      </c>
      <c r="I12988" s="333" t="s">
        <v>348</v>
      </c>
      <c r="J12988" s="376" t="s">
        <v>60</v>
      </c>
      <c r="K12988" s="334"/>
      <c r="L12988" s="334">
        <v>12905.56</v>
      </c>
    </row>
    <row r="12989" spans="1:12" x14ac:dyDescent="0.2">
      <c r="A12989" s="325">
        <v>2025</v>
      </c>
      <c r="B12989" s="325">
        <v>2</v>
      </c>
      <c r="C12989" s="325">
        <v>27</v>
      </c>
      <c r="D12989" s="326">
        <f t="shared" si="1922"/>
        <v>45715</v>
      </c>
      <c r="E12989" s="327">
        <f t="shared" si="1923"/>
        <v>45715</v>
      </c>
      <c r="F12989" s="473" t="s">
        <v>2029</v>
      </c>
      <c r="G12989" s="340" t="s">
        <v>94</v>
      </c>
      <c r="H12989" s="340" t="str" cm="1">
        <f t="array" ref="H12989">IFERROR(INDEX(INVESTOR_LIST[INVESTOR NAME],MATCH(I12989,INVESTOR_LIST[INVESTOR CODE],0),)," ")</f>
        <v xml:space="preserve"> </v>
      </c>
      <c r="I12989" s="341" t="s">
        <v>348</v>
      </c>
      <c r="J12989" s="374" t="s">
        <v>133</v>
      </c>
      <c r="K12989" s="375">
        <v>14134.615384615385</v>
      </c>
      <c r="L12989" s="375"/>
    </row>
    <row r="12990" spans="1:12" x14ac:dyDescent="0.2">
      <c r="A12990" s="331">
        <v>2025</v>
      </c>
      <c r="B12990" s="331">
        <v>2</v>
      </c>
      <c r="C12990" s="331">
        <v>27</v>
      </c>
      <c r="D12990" s="326">
        <f t="shared" si="1922"/>
        <v>45715</v>
      </c>
      <c r="E12990" s="327">
        <f t="shared" si="1923"/>
        <v>45715</v>
      </c>
      <c r="F12990" s="474"/>
      <c r="G12990" s="332" t="s">
        <v>94</v>
      </c>
      <c r="H12990" s="332" t="str" cm="1">
        <f t="array" ref="H12990">IFERROR(INDEX(INVESTOR_LIST[INVESTOR NAME],MATCH(I12990,INVESTOR_LIST[INVESTOR CODE],0),)," ")</f>
        <v xml:space="preserve"> </v>
      </c>
      <c r="I12990" s="333" t="s">
        <v>348</v>
      </c>
      <c r="J12990" s="376" t="s">
        <v>60</v>
      </c>
      <c r="K12990" s="334"/>
      <c r="L12990" s="334">
        <f>K12989</f>
        <v>14134.615384615385</v>
      </c>
    </row>
    <row r="12991" spans="1:12" x14ac:dyDescent="0.2">
      <c r="A12991" s="384">
        <v>2025</v>
      </c>
      <c r="B12991" s="384">
        <v>2</v>
      </c>
      <c r="C12991" s="384">
        <v>27</v>
      </c>
      <c r="D12991" s="385">
        <f t="shared" si="1922"/>
        <v>45715</v>
      </c>
      <c r="E12991" s="386">
        <f t="shared" si="1923"/>
        <v>45715</v>
      </c>
      <c r="F12991" s="475" t="s">
        <v>1966</v>
      </c>
      <c r="G12991" s="387" t="s">
        <v>94</v>
      </c>
      <c r="H12991" s="387" t="str" cm="1">
        <f t="array" ref="H12991">IFERROR(INDEX(INVESTOR_LIST[INVESTOR NAME],MATCH(I12991,INVESTOR_LIST[INVESTOR CODE],0),)," ")</f>
        <v xml:space="preserve"> </v>
      </c>
      <c r="I12991" s="388" t="s">
        <v>348</v>
      </c>
      <c r="J12991" s="389" t="s">
        <v>67</v>
      </c>
      <c r="K12991" s="390">
        <v>18105.189999999999</v>
      </c>
      <c r="L12991" s="390"/>
    </row>
    <row r="12992" spans="1:12" x14ac:dyDescent="0.2">
      <c r="A12992" s="391">
        <v>2025</v>
      </c>
      <c r="B12992" s="391">
        <v>2</v>
      </c>
      <c r="C12992" s="391">
        <v>27</v>
      </c>
      <c r="D12992" s="385">
        <f t="shared" si="1922"/>
        <v>45715</v>
      </c>
      <c r="E12992" s="386">
        <f t="shared" si="1923"/>
        <v>45715</v>
      </c>
      <c r="F12992" s="476"/>
      <c r="G12992" s="392" t="s">
        <v>94</v>
      </c>
      <c r="H12992" s="392" t="str" cm="1">
        <f t="array" ref="H12992">IFERROR(INDEX(INVESTOR_LIST[INVESTOR NAME],MATCH(I12992,INVESTOR_LIST[INVESTOR CODE],0),)," ")</f>
        <v xml:space="preserve"> </v>
      </c>
      <c r="I12992" s="393" t="s">
        <v>348</v>
      </c>
      <c r="J12992" s="394" t="s">
        <v>60</v>
      </c>
      <c r="K12992" s="395"/>
      <c r="L12992" s="395">
        <f>K12991</f>
        <v>18105.189999999999</v>
      </c>
    </row>
    <row r="12993" spans="1:14" x14ac:dyDescent="0.2">
      <c r="A12993" s="343">
        <v>2025</v>
      </c>
      <c r="B12993" s="343">
        <v>2</v>
      </c>
      <c r="C12993" s="343">
        <v>27</v>
      </c>
      <c r="D12993" s="344">
        <f t="shared" si="1922"/>
        <v>45715</v>
      </c>
      <c r="E12993" s="345">
        <f t="shared" si="1923"/>
        <v>45715</v>
      </c>
      <c r="F12993" s="483" t="s">
        <v>1813</v>
      </c>
      <c r="G12993" s="350" t="s">
        <v>94</v>
      </c>
      <c r="H12993" s="350" t="str" cm="1">
        <f t="array" ref="H12993">IFERROR(INDEX(INVESTOR_LIST[INVESTOR NAME],MATCH(I12993,INVESTOR_LIST[INVESTOR CODE],0),)," ")</f>
        <v xml:space="preserve"> </v>
      </c>
      <c r="I12993" s="352" t="s">
        <v>348</v>
      </c>
      <c r="J12993" s="353" t="s">
        <v>1807</v>
      </c>
      <c r="K12993" s="354">
        <v>0</v>
      </c>
      <c r="L12993" s="354"/>
      <c r="M12993" s="133">
        <v>0</v>
      </c>
    </row>
    <row r="12994" spans="1:14" x14ac:dyDescent="0.2">
      <c r="A12994" s="346">
        <v>2025</v>
      </c>
      <c r="B12994" s="346">
        <v>2</v>
      </c>
      <c r="C12994" s="346">
        <v>27</v>
      </c>
      <c r="D12994" s="344">
        <f t="shared" si="1922"/>
        <v>45715</v>
      </c>
      <c r="E12994" s="345">
        <f t="shared" si="1923"/>
        <v>45715</v>
      </c>
      <c r="F12994" s="484"/>
      <c r="G12994" s="347" t="s">
        <v>94</v>
      </c>
      <c r="H12994" s="347" t="str" cm="1">
        <f t="array" ref="H12994">IFERROR(INDEX(INVESTOR_LIST[INVESTOR NAME],MATCH(I12994,INVESTOR_LIST[INVESTOR CODE],0),)," ")</f>
        <v xml:space="preserve"> </v>
      </c>
      <c r="I12994" s="348" t="s">
        <v>348</v>
      </c>
      <c r="J12994" s="355" t="s">
        <v>1798</v>
      </c>
      <c r="K12994" s="349"/>
      <c r="L12994" s="349">
        <v>0</v>
      </c>
    </row>
    <row r="12995" spans="1:14" x14ac:dyDescent="0.2">
      <c r="A12995" s="343">
        <v>2025</v>
      </c>
      <c r="B12995" s="343">
        <v>2</v>
      </c>
      <c r="C12995" s="343">
        <v>27</v>
      </c>
      <c r="D12995" s="344">
        <f t="shared" si="1922"/>
        <v>45715</v>
      </c>
      <c r="E12995" s="345">
        <f t="shared" si="1923"/>
        <v>45715</v>
      </c>
      <c r="F12995" s="483" t="s">
        <v>1913</v>
      </c>
      <c r="G12995" s="350" t="s">
        <v>94</v>
      </c>
      <c r="H12995" s="350" t="str" cm="1">
        <f t="array" ref="H12995">IFERROR(INDEX(INVESTOR_LIST[INVESTOR NAME],MATCH(I12995,INVESTOR_LIST[INVESTOR CODE],0),)," ")</f>
        <v xml:space="preserve"> </v>
      </c>
      <c r="I12995" s="352" t="s">
        <v>348</v>
      </c>
      <c r="J12995" s="353" t="s">
        <v>1799</v>
      </c>
      <c r="K12995" s="354">
        <v>116753.64500001073</v>
      </c>
      <c r="L12995" s="354"/>
      <c r="M12995" s="133">
        <v>0</v>
      </c>
    </row>
    <row r="12996" spans="1:14" x14ac:dyDescent="0.2">
      <c r="A12996" s="346">
        <v>2025</v>
      </c>
      <c r="B12996" s="346">
        <v>2</v>
      </c>
      <c r="C12996" s="346">
        <v>27</v>
      </c>
      <c r="D12996" s="344">
        <f t="shared" si="1922"/>
        <v>45715</v>
      </c>
      <c r="E12996" s="345">
        <f t="shared" si="1923"/>
        <v>45715</v>
      </c>
      <c r="F12996" s="484"/>
      <c r="G12996" s="347" t="s">
        <v>94</v>
      </c>
      <c r="H12996" s="347" t="str" cm="1">
        <f t="array" ref="H12996">IFERROR(INDEX(INVESTOR_LIST[INVESTOR NAME],MATCH(I12996,INVESTOR_LIST[INVESTOR CODE],0),)," ")</f>
        <v xml:space="preserve"> </v>
      </c>
      <c r="I12996" s="348" t="s">
        <v>348</v>
      </c>
      <c r="J12996" s="355" t="s">
        <v>1808</v>
      </c>
      <c r="K12996" s="349"/>
      <c r="L12996" s="349">
        <f>K12995</f>
        <v>116753.64500001073</v>
      </c>
    </row>
    <row r="12997" spans="1:14" x14ac:dyDescent="0.2">
      <c r="A12997" s="238">
        <v>2025</v>
      </c>
      <c r="B12997" s="238">
        <v>2</v>
      </c>
      <c r="C12997" s="238">
        <v>27</v>
      </c>
      <c r="D12997" s="270">
        <f t="shared" si="1922"/>
        <v>45715</v>
      </c>
      <c r="E12997" s="279">
        <f t="shared" si="1923"/>
        <v>45715</v>
      </c>
      <c r="F12997" s="477" t="s">
        <v>347</v>
      </c>
      <c r="G12997" s="239" t="s">
        <v>94</v>
      </c>
      <c r="H12997" s="239" t="str" cm="1">
        <f t="array" ref="H12997">IFERROR(INDEX(INVESTOR_LIST[INVESTOR NAME],MATCH(I12997,INVESTOR_LIST[INVESTOR CODE],0),)," ")</f>
        <v xml:space="preserve"> </v>
      </c>
      <c r="I12997" s="262" t="s">
        <v>348</v>
      </c>
      <c r="J12997" s="240" t="s">
        <v>82</v>
      </c>
      <c r="K12997" s="241">
        <v>131144.93000000715</v>
      </c>
      <c r="L12997" s="241"/>
      <c r="M12997" s="133">
        <v>13139541.900000483</v>
      </c>
    </row>
    <row r="12998" spans="1:14" x14ac:dyDescent="0.2">
      <c r="A12998" s="242">
        <v>2025</v>
      </c>
      <c r="B12998" s="242">
        <v>2</v>
      </c>
      <c r="C12998" s="242">
        <v>27</v>
      </c>
      <c r="D12998" s="270">
        <f t="shared" si="1922"/>
        <v>45715</v>
      </c>
      <c r="E12998" s="279">
        <f t="shared" si="1923"/>
        <v>45715</v>
      </c>
      <c r="F12998" s="478"/>
      <c r="G12998" s="243" t="s">
        <v>94</v>
      </c>
      <c r="H12998" s="243" t="str" cm="1">
        <f t="array" ref="H12998">IFERROR(INDEX(INVESTOR_LIST[INVESTOR NAME],MATCH(I12998,INVESTOR_LIST[INVESTOR CODE],0),)," ")</f>
        <v xml:space="preserve"> </v>
      </c>
      <c r="I12998" s="263" t="s">
        <v>348</v>
      </c>
      <c r="J12998" s="244" t="s">
        <v>108</v>
      </c>
      <c r="K12998" s="245"/>
      <c r="L12998" s="245">
        <f>K12997</f>
        <v>131144.93000000715</v>
      </c>
    </row>
    <row r="12999" spans="1:14" ht="22.5" x14ac:dyDescent="0.2">
      <c r="A12999" s="246">
        <v>2025</v>
      </c>
      <c r="B12999" s="238">
        <v>2</v>
      </c>
      <c r="C12999" s="238">
        <v>27</v>
      </c>
      <c r="D12999" s="270">
        <f t="shared" si="1922"/>
        <v>45715</v>
      </c>
      <c r="E12999" s="279">
        <f t="shared" si="1923"/>
        <v>45715</v>
      </c>
      <c r="F12999" s="482" t="s">
        <v>148</v>
      </c>
      <c r="G12999" s="247" t="s">
        <v>94</v>
      </c>
      <c r="H12999" s="247" t="str" cm="1">
        <f t="array" ref="H12999">IFERROR(INDEX(INVESTOR_LIST[INVESTOR NAME],MATCH(I12999,INVESTOR_LIST[INVESTOR CODE],0),)," ")</f>
        <v xml:space="preserve"> </v>
      </c>
      <c r="I12999" s="248" t="s">
        <v>348</v>
      </c>
      <c r="J12999" s="249" t="s">
        <v>95</v>
      </c>
      <c r="K12999" s="250">
        <v>2747.2527472527472</v>
      </c>
      <c r="L12999" s="241"/>
    </row>
    <row r="13000" spans="1:14" x14ac:dyDescent="0.2">
      <c r="A13000" s="242">
        <v>2025</v>
      </c>
      <c r="B13000" s="242">
        <v>2</v>
      </c>
      <c r="C13000" s="242">
        <v>27</v>
      </c>
      <c r="D13000" s="270">
        <f t="shared" si="1922"/>
        <v>45715</v>
      </c>
      <c r="E13000" s="279">
        <f t="shared" si="1923"/>
        <v>45715</v>
      </c>
      <c r="F13000" s="478"/>
      <c r="G13000" s="243" t="s">
        <v>94</v>
      </c>
      <c r="H13000" s="243" t="str" cm="1">
        <f t="array" ref="H13000">IFERROR(INDEX(INVESTOR_LIST[INVESTOR NAME],MATCH(I13000,INVESTOR_LIST[INVESTOR CODE],0),)," ")</f>
        <v xml:space="preserve"> </v>
      </c>
      <c r="I13000" s="263" t="s">
        <v>348</v>
      </c>
      <c r="J13000" s="244" t="s">
        <v>63</v>
      </c>
      <c r="K13000" s="245"/>
      <c r="L13000" s="245">
        <v>2747.2527472527472</v>
      </c>
    </row>
    <row r="13001" spans="1:14" x14ac:dyDescent="0.2">
      <c r="A13001" s="246">
        <v>2025</v>
      </c>
      <c r="B13001" s="238">
        <v>2</v>
      </c>
      <c r="C13001" s="238">
        <v>27</v>
      </c>
      <c r="D13001" s="270">
        <f t="shared" si="1922"/>
        <v>45715</v>
      </c>
      <c r="E13001" s="279">
        <f t="shared" si="1923"/>
        <v>45715</v>
      </c>
      <c r="F13001" s="482" t="s">
        <v>137</v>
      </c>
      <c r="G13001" s="247" t="s">
        <v>94</v>
      </c>
      <c r="H13001" s="247" t="str" cm="1">
        <f t="array" ref="H13001">IFERROR(INDEX(INVESTOR_LIST[INVESTOR NAME],MATCH(I13001,INVESTOR_LIST[INVESTOR CODE],0),)," ")</f>
        <v xml:space="preserve"> </v>
      </c>
      <c r="I13001" s="248" t="s">
        <v>348</v>
      </c>
      <c r="J13001" s="249" t="s">
        <v>97</v>
      </c>
      <c r="K13001" s="250">
        <f>M13001</f>
        <v>59106.544054691592</v>
      </c>
      <c r="L13001" s="252"/>
      <c r="M13001" s="133">
        <v>59106.544054691592</v>
      </c>
    </row>
    <row r="13002" spans="1:14" x14ac:dyDescent="0.2">
      <c r="A13002" s="242">
        <v>2025</v>
      </c>
      <c r="B13002" s="242">
        <v>2</v>
      </c>
      <c r="C13002" s="242">
        <v>27</v>
      </c>
      <c r="D13002" s="270">
        <f t="shared" si="1922"/>
        <v>45715</v>
      </c>
      <c r="E13002" s="279">
        <f t="shared" si="1923"/>
        <v>45715</v>
      </c>
      <c r="F13002" s="478"/>
      <c r="G13002" s="243" t="s">
        <v>94</v>
      </c>
      <c r="H13002" s="243" t="str" cm="1">
        <f t="array" ref="H13002">IFERROR(INDEX(INVESTOR_LIST[INVESTOR NAME],MATCH(I13002,INVESTOR_LIST[INVESTOR CODE],0),)," ")</f>
        <v xml:space="preserve"> </v>
      </c>
      <c r="I13002" s="263" t="s">
        <v>348</v>
      </c>
      <c r="J13002" s="244" t="s">
        <v>47</v>
      </c>
      <c r="K13002" s="245"/>
      <c r="L13002" s="245">
        <f>K13001</f>
        <v>59106.544054691592</v>
      </c>
      <c r="M13002" s="133">
        <v>2714.942587349964</v>
      </c>
    </row>
    <row r="13003" spans="1:14" x14ac:dyDescent="0.2">
      <c r="A13003" s="246">
        <v>2025</v>
      </c>
      <c r="B13003" s="238">
        <v>2</v>
      </c>
      <c r="C13003" s="238">
        <v>27</v>
      </c>
      <c r="D13003" s="270">
        <f t="shared" si="1922"/>
        <v>45715</v>
      </c>
      <c r="E13003" s="279">
        <f t="shared" si="1923"/>
        <v>45715</v>
      </c>
      <c r="F13003" s="482" t="s">
        <v>138</v>
      </c>
      <c r="G13003" s="247" t="s">
        <v>94</v>
      </c>
      <c r="H13003" s="247" t="str" cm="1">
        <f t="array" ref="H13003">IFERROR(INDEX(INVESTOR_LIST[INVESTOR NAME],MATCH(I13003,INVESTOR_LIST[INVESTOR CODE],0),)," ")</f>
        <v xml:space="preserve"> </v>
      </c>
      <c r="I13003" s="248" t="s">
        <v>348</v>
      </c>
      <c r="J13003" s="249" t="s">
        <v>100</v>
      </c>
      <c r="K13003" s="250">
        <f>M13002</f>
        <v>2714.942587349964</v>
      </c>
      <c r="L13003" s="252"/>
    </row>
    <row r="13004" spans="1:14" x14ac:dyDescent="0.2">
      <c r="A13004" s="242">
        <v>2025</v>
      </c>
      <c r="B13004" s="242">
        <v>2</v>
      </c>
      <c r="C13004" s="242">
        <v>27</v>
      </c>
      <c r="D13004" s="321">
        <f t="shared" si="1922"/>
        <v>45715</v>
      </c>
      <c r="E13004" s="322">
        <f t="shared" si="1923"/>
        <v>45715</v>
      </c>
      <c r="F13004" s="478"/>
      <c r="G13004" s="243" t="s">
        <v>94</v>
      </c>
      <c r="H13004" s="243" t="str" cm="1">
        <f t="array" ref="H13004">IFERROR(INDEX(INVESTOR_LIST[INVESTOR NAME],MATCH(I13004,INVESTOR_LIST[INVESTOR CODE],0),)," ")</f>
        <v xml:space="preserve"> </v>
      </c>
      <c r="I13004" s="263" t="s">
        <v>348</v>
      </c>
      <c r="J13004" s="244" t="s">
        <v>48</v>
      </c>
      <c r="K13004" s="245"/>
      <c r="L13004" s="245">
        <f>K13003</f>
        <v>2714.942587349964</v>
      </c>
    </row>
    <row r="13005" spans="1:14" x14ac:dyDescent="0.2">
      <c r="A13005" s="168">
        <v>2025</v>
      </c>
      <c r="B13005" s="168">
        <v>3</v>
      </c>
      <c r="C13005" s="168">
        <v>2</v>
      </c>
      <c r="D13005" s="141">
        <f>DATE(A13005,B13005,C13005)</f>
        <v>45718</v>
      </c>
      <c r="E13005" s="275">
        <f>DATE(A13005,B13005,C13005)</f>
        <v>45718</v>
      </c>
      <c r="F13005" s="479" t="s">
        <v>1911</v>
      </c>
      <c r="G13005" s="174" t="s">
        <v>94</v>
      </c>
      <c r="H13005" s="148" t="str" cm="1">
        <f t="array" ref="H13005">IFERROR(INDEX(INVESTOR_LIST[INVESTOR NAME],MATCH(I13005,INVESTOR_LIST[INVESTOR CODE],0),)," ")</f>
        <v xml:space="preserve"> </v>
      </c>
      <c r="I13005" s="148" t="s">
        <v>348</v>
      </c>
      <c r="J13005" s="133" t="s">
        <v>50</v>
      </c>
      <c r="K13005" s="172">
        <v>42000</v>
      </c>
      <c r="N13005" s="176"/>
    </row>
    <row r="13006" spans="1:14" x14ac:dyDescent="0.2">
      <c r="A13006" s="163">
        <v>2025</v>
      </c>
      <c r="B13006" s="163">
        <v>3</v>
      </c>
      <c r="C13006" s="163">
        <v>2</v>
      </c>
      <c r="D13006" s="280">
        <f>DATE(A13006,B13006,C13006)</f>
        <v>45718</v>
      </c>
      <c r="E13006" s="281">
        <f>DATE(A13006,B13006,C13006)</f>
        <v>45718</v>
      </c>
      <c r="F13006" s="480"/>
      <c r="G13006" s="221" t="s">
        <v>94</v>
      </c>
      <c r="H13006" s="145" t="str" cm="1">
        <f t="array" ref="H13006">IFERROR(INDEX(INVESTOR_LIST[INVESTOR NAME],MATCH(I13006,INVESTOR_LIST[INVESTOR CODE],0),)," ")</f>
        <v xml:space="preserve"> </v>
      </c>
      <c r="I13006" s="145" t="s">
        <v>348</v>
      </c>
      <c r="J13006" s="163" t="s">
        <v>52</v>
      </c>
      <c r="K13006" s="219"/>
      <c r="L13006" s="219">
        <v>42000</v>
      </c>
    </row>
    <row r="13007" spans="1:14" ht="11.25" customHeight="1" x14ac:dyDescent="0.2">
      <c r="A13007" s="168">
        <v>2025</v>
      </c>
      <c r="B13007" s="168">
        <v>3</v>
      </c>
      <c r="C13007" s="133">
        <v>2</v>
      </c>
      <c r="D13007" s="141">
        <f t="shared" ref="D13007:D13039" si="1936">DATE(A13007,B13007,C13007)</f>
        <v>45718</v>
      </c>
      <c r="E13007" s="275">
        <f t="shared" ref="E13007:E13039" si="1937">DATE(A13007,B13007,C13007)</f>
        <v>45718</v>
      </c>
      <c r="F13007" s="479" t="s">
        <v>1315</v>
      </c>
      <c r="G13007" s="220" t="s">
        <v>74</v>
      </c>
      <c r="H13007" s="142" t="str" cm="1">
        <f t="array" ref="H13007">IFERROR(INDEX(INVESTOR_LIST[INVESTOR NAME],MATCH(I13007,INVESTOR_LIST[INVESTOR CODE],0),)," ")</f>
        <v>EKUSH WEALTH MANAGEMENT LIMITED</v>
      </c>
      <c r="I13007" s="142" t="s">
        <v>371</v>
      </c>
      <c r="J13007" s="168" t="s">
        <v>13</v>
      </c>
      <c r="K13007" s="226">
        <v>237590</v>
      </c>
      <c r="L13007" s="226"/>
    </row>
    <row r="13008" spans="1:14" ht="11.25" customHeight="1" x14ac:dyDescent="0.2">
      <c r="A13008" s="133">
        <v>2025</v>
      </c>
      <c r="B13008" s="133">
        <v>3</v>
      </c>
      <c r="C13008" s="133">
        <v>2</v>
      </c>
      <c r="D13008" s="141">
        <f t="shared" si="1936"/>
        <v>45718</v>
      </c>
      <c r="E13008" s="275">
        <f t="shared" si="1937"/>
        <v>45718</v>
      </c>
      <c r="F13008" s="481"/>
      <c r="G13008" s="174" t="s">
        <v>74</v>
      </c>
      <c r="H13008" s="148" t="str" cm="1">
        <f t="array" ref="H13008">IFERROR(INDEX(INVESTOR_LIST[INVESTOR NAME],MATCH(I13008,INVESTOR_LIST[INVESTOR CODE],0),)," ")</f>
        <v>EKUSH WEALTH MANAGEMENT LIMITED</v>
      </c>
      <c r="I13008" s="148" t="s">
        <v>371</v>
      </c>
      <c r="J13008" s="133" t="s">
        <v>53</v>
      </c>
      <c r="K13008" s="218">
        <v>62410</v>
      </c>
      <c r="L13008" s="218"/>
    </row>
    <row r="13009" spans="1:13" ht="11.25" customHeight="1" x14ac:dyDescent="0.2">
      <c r="A13009" s="163">
        <v>2025</v>
      </c>
      <c r="B13009" s="163">
        <v>3</v>
      </c>
      <c r="C13009" s="163">
        <v>2</v>
      </c>
      <c r="D13009" s="280">
        <f t="shared" si="1936"/>
        <v>45718</v>
      </c>
      <c r="E13009" s="281">
        <f t="shared" si="1937"/>
        <v>45718</v>
      </c>
      <c r="F13009" s="480"/>
      <c r="G13009" s="221" t="s">
        <v>74</v>
      </c>
      <c r="H13009" s="145" t="str" cm="1">
        <f t="array" ref="H13009">IFERROR(INDEX(INVESTOR_LIST[INVESTOR NAME],MATCH(I13009,INVESTOR_LIST[INVESTOR CODE],0),)," ")</f>
        <v>EKUSH WEALTH MANAGEMENT LIMITED</v>
      </c>
      <c r="I13009" s="145" t="s">
        <v>371</v>
      </c>
      <c r="J13009" s="163" t="s">
        <v>52</v>
      </c>
      <c r="K13009" s="219"/>
      <c r="L13009" s="219">
        <v>300000</v>
      </c>
    </row>
    <row r="13010" spans="1:13" ht="11.25" customHeight="1" x14ac:dyDescent="0.2">
      <c r="A13010" s="168">
        <v>2025</v>
      </c>
      <c r="B13010" s="168">
        <v>3</v>
      </c>
      <c r="C13010" s="133">
        <v>5</v>
      </c>
      <c r="D13010" s="141">
        <f t="shared" si="1936"/>
        <v>45721</v>
      </c>
      <c r="E13010" s="275">
        <f t="shared" si="1937"/>
        <v>45721</v>
      </c>
      <c r="F13010" s="479" t="s">
        <v>1319</v>
      </c>
      <c r="G13010" s="220" t="s">
        <v>74</v>
      </c>
      <c r="H13010" s="142" t="str" cm="1">
        <f t="array" ref="H13010">IFERROR(INDEX(INVESTOR_LIST[INVESTOR NAME],MATCH(I13010,INVESTOR_LIST[INVESTOR CODE],0),)," ")</f>
        <v xml:space="preserve"> </v>
      </c>
      <c r="I13010" s="142"/>
      <c r="J13010" s="168" t="s">
        <v>52</v>
      </c>
      <c r="K13010" s="226">
        <v>10000</v>
      </c>
      <c r="L13010" s="226"/>
    </row>
    <row r="13011" spans="1:13" ht="11.25" customHeight="1" x14ac:dyDescent="0.2">
      <c r="A13011" s="133">
        <v>2025</v>
      </c>
      <c r="B13011" s="133">
        <v>3</v>
      </c>
      <c r="C13011" s="133">
        <v>5</v>
      </c>
      <c r="D13011" s="141">
        <f t="shared" si="1936"/>
        <v>45721</v>
      </c>
      <c r="E13011" s="275">
        <f t="shared" si="1937"/>
        <v>45721</v>
      </c>
      <c r="F13011" s="481"/>
      <c r="G13011" s="174" t="s">
        <v>74</v>
      </c>
      <c r="H13011" s="148" t="str" cm="1">
        <f t="array" ref="H13011">IFERROR(INDEX(INVESTOR_LIST[INVESTOR NAME],MATCH(I13011,INVESTOR_LIST[INVESTOR CODE],0),)," ")</f>
        <v xml:space="preserve"> </v>
      </c>
      <c r="J13011" s="133" t="s">
        <v>13</v>
      </c>
      <c r="K13011" s="218"/>
      <c r="L13011" s="218">
        <v>7920</v>
      </c>
    </row>
    <row r="13012" spans="1:13" ht="11.25" customHeight="1" x14ac:dyDescent="0.2">
      <c r="A13012" s="163">
        <v>2025</v>
      </c>
      <c r="B13012" s="163">
        <v>3</v>
      </c>
      <c r="C13012" s="163">
        <v>5</v>
      </c>
      <c r="D13012" s="280">
        <f t="shared" si="1936"/>
        <v>45721</v>
      </c>
      <c r="E13012" s="281">
        <f t="shared" si="1937"/>
        <v>45721</v>
      </c>
      <c r="F13012" s="480"/>
      <c r="G13012" s="221" t="s">
        <v>74</v>
      </c>
      <c r="H13012" s="145" t="str" cm="1">
        <f t="array" ref="H13012">IFERROR(INDEX(INVESTOR_LIST[INVESTOR NAME],MATCH(I13012,INVESTOR_LIST[INVESTOR CODE],0),)," ")</f>
        <v xml:space="preserve"> </v>
      </c>
      <c r="I13012" s="145"/>
      <c r="J13012" s="163" t="s">
        <v>53</v>
      </c>
      <c r="K13012" s="219"/>
      <c r="L13012" s="219">
        <v>2080</v>
      </c>
    </row>
    <row r="13013" spans="1:13" x14ac:dyDescent="0.2">
      <c r="A13013" s="325">
        <v>2025</v>
      </c>
      <c r="B13013" s="325">
        <v>3</v>
      </c>
      <c r="C13013" s="325">
        <v>6</v>
      </c>
      <c r="D13013" s="326">
        <f t="shared" si="1936"/>
        <v>45722</v>
      </c>
      <c r="E13013" s="327">
        <f t="shared" si="1937"/>
        <v>45722</v>
      </c>
      <c r="F13013" s="473" t="s">
        <v>1940</v>
      </c>
      <c r="G13013" s="340" t="s">
        <v>94</v>
      </c>
      <c r="H13013" s="340" t="str" cm="1">
        <f t="array" ref="H13013">IFERROR(INDEX(INVESTOR_LIST[INVESTOR NAME],MATCH(I13013,INVESTOR_LIST[INVESTOR CODE],0),)," ")</f>
        <v xml:space="preserve"> </v>
      </c>
      <c r="I13013" s="341" t="s">
        <v>348</v>
      </c>
      <c r="J13013" s="374" t="s">
        <v>133</v>
      </c>
      <c r="K13013" s="375">
        <v>12905.56</v>
      </c>
      <c r="L13013" s="375"/>
    </row>
    <row r="13014" spans="1:13" x14ac:dyDescent="0.2">
      <c r="A13014" s="331">
        <v>2025</v>
      </c>
      <c r="B13014" s="331">
        <v>3</v>
      </c>
      <c r="C13014" s="331">
        <v>6</v>
      </c>
      <c r="D13014" s="326">
        <f t="shared" si="1936"/>
        <v>45722</v>
      </c>
      <c r="E13014" s="327">
        <f t="shared" si="1937"/>
        <v>45722</v>
      </c>
      <c r="F13014" s="474"/>
      <c r="G13014" s="332" t="s">
        <v>94</v>
      </c>
      <c r="H13014" s="332" t="str" cm="1">
        <f t="array" ref="H13014">IFERROR(INDEX(INVESTOR_LIST[INVESTOR NAME],MATCH(I13014,INVESTOR_LIST[INVESTOR CODE],0),)," ")</f>
        <v xml:space="preserve"> </v>
      </c>
      <c r="I13014" s="333" t="s">
        <v>348</v>
      </c>
      <c r="J13014" s="376" t="s">
        <v>60</v>
      </c>
      <c r="K13014" s="334"/>
      <c r="L13014" s="334">
        <v>12905.56</v>
      </c>
    </row>
    <row r="13015" spans="1:13" x14ac:dyDescent="0.2">
      <c r="A13015" s="325">
        <v>2025</v>
      </c>
      <c r="B13015" s="325">
        <v>3</v>
      </c>
      <c r="C13015" s="325">
        <v>6</v>
      </c>
      <c r="D13015" s="326">
        <f t="shared" si="1936"/>
        <v>45722</v>
      </c>
      <c r="E13015" s="327">
        <f t="shared" si="1937"/>
        <v>45722</v>
      </c>
      <c r="F13015" s="473" t="s">
        <v>2029</v>
      </c>
      <c r="G13015" s="340" t="s">
        <v>94</v>
      </c>
      <c r="H13015" s="340" t="str" cm="1">
        <f t="array" ref="H13015">IFERROR(INDEX(INVESTOR_LIST[INVESTOR NAME],MATCH(I13015,INVESTOR_LIST[INVESTOR CODE],0),)," ")</f>
        <v xml:space="preserve"> </v>
      </c>
      <c r="I13015" s="341" t="s">
        <v>348</v>
      </c>
      <c r="J13015" s="374" t="s">
        <v>133</v>
      </c>
      <c r="K13015" s="375">
        <v>14134.615384615385</v>
      </c>
      <c r="L13015" s="375"/>
    </row>
    <row r="13016" spans="1:13" x14ac:dyDescent="0.2">
      <c r="A13016" s="331">
        <v>2025</v>
      </c>
      <c r="B13016" s="331">
        <v>3</v>
      </c>
      <c r="C13016" s="331">
        <v>6</v>
      </c>
      <c r="D13016" s="326">
        <f t="shared" si="1936"/>
        <v>45722</v>
      </c>
      <c r="E13016" s="327">
        <f t="shared" si="1937"/>
        <v>45722</v>
      </c>
      <c r="F13016" s="474"/>
      <c r="G13016" s="332" t="s">
        <v>94</v>
      </c>
      <c r="H13016" s="332" t="str" cm="1">
        <f t="array" ref="H13016">IFERROR(INDEX(INVESTOR_LIST[INVESTOR NAME],MATCH(I13016,INVESTOR_LIST[INVESTOR CODE],0),)," ")</f>
        <v xml:space="preserve"> </v>
      </c>
      <c r="I13016" s="333" t="s">
        <v>348</v>
      </c>
      <c r="J13016" s="376" t="s">
        <v>60</v>
      </c>
      <c r="K13016" s="334"/>
      <c r="L13016" s="334">
        <f>K13015</f>
        <v>14134.615384615385</v>
      </c>
    </row>
    <row r="13017" spans="1:13" x14ac:dyDescent="0.2">
      <c r="A13017" s="384">
        <v>2025</v>
      </c>
      <c r="B13017" s="384">
        <v>3</v>
      </c>
      <c r="C13017" s="384">
        <v>6</v>
      </c>
      <c r="D13017" s="385">
        <f t="shared" si="1936"/>
        <v>45722</v>
      </c>
      <c r="E13017" s="386">
        <f t="shared" si="1937"/>
        <v>45722</v>
      </c>
      <c r="F13017" s="475" t="s">
        <v>1966</v>
      </c>
      <c r="G13017" s="387" t="s">
        <v>94</v>
      </c>
      <c r="H13017" s="387" t="str" cm="1">
        <f t="array" ref="H13017">IFERROR(INDEX(INVESTOR_LIST[INVESTOR NAME],MATCH(I13017,INVESTOR_LIST[INVESTOR CODE],0),)," ")</f>
        <v xml:space="preserve"> </v>
      </c>
      <c r="I13017" s="388" t="s">
        <v>348</v>
      </c>
      <c r="J13017" s="389" t="s">
        <v>67</v>
      </c>
      <c r="K13017" s="390">
        <v>17693.16</v>
      </c>
      <c r="L13017" s="390"/>
    </row>
    <row r="13018" spans="1:13" x14ac:dyDescent="0.2">
      <c r="A13018" s="391">
        <v>2025</v>
      </c>
      <c r="B13018" s="391">
        <v>3</v>
      </c>
      <c r="C13018" s="391">
        <v>6</v>
      </c>
      <c r="D13018" s="385">
        <f t="shared" si="1936"/>
        <v>45722</v>
      </c>
      <c r="E13018" s="386">
        <f t="shared" si="1937"/>
        <v>45722</v>
      </c>
      <c r="F13018" s="476"/>
      <c r="G13018" s="392" t="s">
        <v>94</v>
      </c>
      <c r="H13018" s="392" t="str" cm="1">
        <f t="array" ref="H13018">IFERROR(INDEX(INVESTOR_LIST[INVESTOR NAME],MATCH(I13018,INVESTOR_LIST[INVESTOR CODE],0),)," ")</f>
        <v xml:space="preserve"> </v>
      </c>
      <c r="I13018" s="393" t="s">
        <v>348</v>
      </c>
      <c r="J13018" s="394" t="s">
        <v>60</v>
      </c>
      <c r="K13018" s="395"/>
      <c r="L13018" s="395">
        <f>K13017</f>
        <v>17693.16</v>
      </c>
    </row>
    <row r="13019" spans="1:13" x14ac:dyDescent="0.2">
      <c r="A13019" s="343">
        <v>2025</v>
      </c>
      <c r="B13019" s="343">
        <v>3</v>
      </c>
      <c r="C13019" s="343">
        <v>6</v>
      </c>
      <c r="D13019" s="344">
        <f t="shared" si="1936"/>
        <v>45722</v>
      </c>
      <c r="E13019" s="345">
        <f t="shared" si="1937"/>
        <v>45722</v>
      </c>
      <c r="F13019" s="483" t="s">
        <v>1813</v>
      </c>
      <c r="G13019" s="350" t="s">
        <v>94</v>
      </c>
      <c r="H13019" s="350" t="str" cm="1">
        <f t="array" ref="H13019">IFERROR(INDEX(INVESTOR_LIST[INVESTOR NAME],MATCH(I13019,INVESTOR_LIST[INVESTOR CODE],0),)," ")</f>
        <v xml:space="preserve"> </v>
      </c>
      <c r="I13019" s="352" t="s">
        <v>348</v>
      </c>
      <c r="J13019" s="353" t="s">
        <v>1807</v>
      </c>
      <c r="K13019" s="354">
        <v>0</v>
      </c>
      <c r="L13019" s="354"/>
      <c r="M13019" s="133">
        <v>0</v>
      </c>
    </row>
    <row r="13020" spans="1:13" x14ac:dyDescent="0.2">
      <c r="A13020" s="346">
        <v>2025</v>
      </c>
      <c r="B13020" s="346">
        <v>3</v>
      </c>
      <c r="C13020" s="346">
        <v>6</v>
      </c>
      <c r="D13020" s="344">
        <f t="shared" si="1936"/>
        <v>45722</v>
      </c>
      <c r="E13020" s="345">
        <f t="shared" si="1937"/>
        <v>45722</v>
      </c>
      <c r="F13020" s="484"/>
      <c r="G13020" s="347" t="s">
        <v>94</v>
      </c>
      <c r="H13020" s="347" t="str" cm="1">
        <f t="array" ref="H13020">IFERROR(INDEX(INVESTOR_LIST[INVESTOR NAME],MATCH(I13020,INVESTOR_LIST[INVESTOR CODE],0),)," ")</f>
        <v xml:space="preserve"> </v>
      </c>
      <c r="I13020" s="348" t="s">
        <v>348</v>
      </c>
      <c r="J13020" s="355" t="s">
        <v>1798</v>
      </c>
      <c r="K13020" s="349"/>
      <c r="L13020" s="349">
        <v>0</v>
      </c>
    </row>
    <row r="13021" spans="1:13" x14ac:dyDescent="0.2">
      <c r="A13021" s="343">
        <v>2025</v>
      </c>
      <c r="B13021" s="343">
        <v>3</v>
      </c>
      <c r="C13021" s="343">
        <v>6</v>
      </c>
      <c r="D13021" s="344">
        <f t="shared" si="1936"/>
        <v>45722</v>
      </c>
      <c r="E13021" s="345">
        <f t="shared" si="1937"/>
        <v>45722</v>
      </c>
      <c r="F13021" s="483" t="s">
        <v>1913</v>
      </c>
      <c r="G13021" s="350" t="s">
        <v>94</v>
      </c>
      <c r="H13021" s="350" t="str" cm="1">
        <f t="array" ref="H13021">IFERROR(INDEX(INVESTOR_LIST[INVESTOR NAME],MATCH(I13021,INVESTOR_LIST[INVESTOR CODE],0),)," ")</f>
        <v xml:space="preserve"> </v>
      </c>
      <c r="I13021" s="352" t="s">
        <v>348</v>
      </c>
      <c r="J13021" s="353" t="s">
        <v>1808</v>
      </c>
      <c r="K13021" s="354">
        <v>10843.815000005066</v>
      </c>
      <c r="L13021" s="354"/>
      <c r="M13021" s="133">
        <v>0</v>
      </c>
    </row>
    <row r="13022" spans="1:13" x14ac:dyDescent="0.2">
      <c r="A13022" s="346">
        <v>2025</v>
      </c>
      <c r="B13022" s="346">
        <v>3</v>
      </c>
      <c r="C13022" s="346">
        <v>6</v>
      </c>
      <c r="D13022" s="344">
        <f t="shared" si="1936"/>
        <v>45722</v>
      </c>
      <c r="E13022" s="345">
        <f t="shared" si="1937"/>
        <v>45722</v>
      </c>
      <c r="F13022" s="484"/>
      <c r="G13022" s="347" t="s">
        <v>94</v>
      </c>
      <c r="H13022" s="347" t="str" cm="1">
        <f t="array" ref="H13022">IFERROR(INDEX(INVESTOR_LIST[INVESTOR NAME],MATCH(I13022,INVESTOR_LIST[INVESTOR CODE],0),)," ")</f>
        <v xml:space="preserve"> </v>
      </c>
      <c r="I13022" s="348" t="s">
        <v>348</v>
      </c>
      <c r="J13022" s="355" t="s">
        <v>1799</v>
      </c>
      <c r="K13022" s="349"/>
      <c r="L13022" s="349">
        <f>K13021</f>
        <v>10843.815000005066</v>
      </c>
    </row>
    <row r="13023" spans="1:13" x14ac:dyDescent="0.2">
      <c r="A13023" s="238">
        <v>2025</v>
      </c>
      <c r="B13023" s="238">
        <v>3</v>
      </c>
      <c r="C13023" s="238">
        <v>6</v>
      </c>
      <c r="D13023" s="270">
        <f t="shared" si="1936"/>
        <v>45722</v>
      </c>
      <c r="E13023" s="279">
        <f t="shared" si="1937"/>
        <v>45722</v>
      </c>
      <c r="F13023" s="477" t="s">
        <v>347</v>
      </c>
      <c r="G13023" s="239" t="s">
        <v>94</v>
      </c>
      <c r="H13023" s="239" t="str" cm="1">
        <f t="array" ref="H13023">IFERROR(INDEX(INVESTOR_LIST[INVESTOR NAME],MATCH(I13023,INVESTOR_LIST[INVESTOR CODE],0),)," ")</f>
        <v xml:space="preserve"> </v>
      </c>
      <c r="I13023" s="262" t="s">
        <v>348</v>
      </c>
      <c r="J13023" s="240" t="s">
        <v>82</v>
      </c>
      <c r="K13023" s="241">
        <v>339431.09000000358</v>
      </c>
      <c r="L13023" s="241"/>
      <c r="M13023" s="133">
        <v>13139541.900000483</v>
      </c>
    </row>
    <row r="13024" spans="1:13" x14ac:dyDescent="0.2">
      <c r="A13024" s="242">
        <v>2025</v>
      </c>
      <c r="B13024" s="242">
        <v>3</v>
      </c>
      <c r="C13024" s="242">
        <v>6</v>
      </c>
      <c r="D13024" s="270">
        <f t="shared" si="1936"/>
        <v>45722</v>
      </c>
      <c r="E13024" s="279">
        <f t="shared" si="1937"/>
        <v>45722</v>
      </c>
      <c r="F13024" s="478"/>
      <c r="G13024" s="243" t="s">
        <v>94</v>
      </c>
      <c r="H13024" s="243" t="str" cm="1">
        <f t="array" ref="H13024">IFERROR(INDEX(INVESTOR_LIST[INVESTOR NAME],MATCH(I13024,INVESTOR_LIST[INVESTOR CODE],0),)," ")</f>
        <v xml:space="preserve"> </v>
      </c>
      <c r="I13024" s="263" t="s">
        <v>348</v>
      </c>
      <c r="J13024" s="244" t="s">
        <v>108</v>
      </c>
      <c r="K13024" s="245"/>
      <c r="L13024" s="245">
        <f>K13023</f>
        <v>339431.09000000358</v>
      </c>
    </row>
    <row r="13025" spans="1:15" ht="22.5" x14ac:dyDescent="0.2">
      <c r="A13025" s="246">
        <v>2025</v>
      </c>
      <c r="B13025" s="238">
        <v>3</v>
      </c>
      <c r="C13025" s="238">
        <v>6</v>
      </c>
      <c r="D13025" s="270">
        <f t="shared" si="1936"/>
        <v>45722</v>
      </c>
      <c r="E13025" s="279">
        <f t="shared" si="1937"/>
        <v>45722</v>
      </c>
      <c r="F13025" s="482" t="s">
        <v>148</v>
      </c>
      <c r="G13025" s="247" t="s">
        <v>94</v>
      </c>
      <c r="H13025" s="247" t="str" cm="1">
        <f t="array" ref="H13025">IFERROR(INDEX(INVESTOR_LIST[INVESTOR NAME],MATCH(I13025,INVESTOR_LIST[INVESTOR CODE],0),)," ")</f>
        <v xml:space="preserve"> </v>
      </c>
      <c r="I13025" s="248" t="s">
        <v>348</v>
      </c>
      <c r="J13025" s="249" t="s">
        <v>95</v>
      </c>
      <c r="K13025" s="250">
        <v>2747.2527472527472</v>
      </c>
      <c r="L13025" s="241"/>
    </row>
    <row r="13026" spans="1:15" x14ac:dyDescent="0.2">
      <c r="A13026" s="242">
        <v>2025</v>
      </c>
      <c r="B13026" s="242">
        <v>3</v>
      </c>
      <c r="C13026" s="242">
        <v>6</v>
      </c>
      <c r="D13026" s="270">
        <f t="shared" si="1936"/>
        <v>45722</v>
      </c>
      <c r="E13026" s="279">
        <f t="shared" si="1937"/>
        <v>45722</v>
      </c>
      <c r="F13026" s="478"/>
      <c r="G13026" s="243" t="s">
        <v>94</v>
      </c>
      <c r="H13026" s="243" t="str" cm="1">
        <f t="array" ref="H13026">IFERROR(INDEX(INVESTOR_LIST[INVESTOR NAME],MATCH(I13026,INVESTOR_LIST[INVESTOR CODE],0),)," ")</f>
        <v xml:space="preserve"> </v>
      </c>
      <c r="I13026" s="263" t="s">
        <v>348</v>
      </c>
      <c r="J13026" s="244" t="s">
        <v>63</v>
      </c>
      <c r="K13026" s="245"/>
      <c r="L13026" s="245">
        <v>2747.2527472527472</v>
      </c>
    </row>
    <row r="13027" spans="1:15" x14ac:dyDescent="0.2">
      <c r="A13027" s="246">
        <v>2025</v>
      </c>
      <c r="B13027" s="238">
        <v>3</v>
      </c>
      <c r="C13027" s="238">
        <v>6</v>
      </c>
      <c r="D13027" s="270">
        <f t="shared" si="1936"/>
        <v>45722</v>
      </c>
      <c r="E13027" s="279">
        <f t="shared" si="1937"/>
        <v>45722</v>
      </c>
      <c r="F13027" s="482" t="s">
        <v>137</v>
      </c>
      <c r="G13027" s="247" t="s">
        <v>94</v>
      </c>
      <c r="H13027" s="247" t="str" cm="1">
        <f t="array" ref="H13027">IFERROR(INDEX(INVESTOR_LIST[INVESTOR NAME],MATCH(I13027,INVESTOR_LIST[INVESTOR CODE],0),)," ")</f>
        <v xml:space="preserve"> </v>
      </c>
      <c r="I13027" s="248" t="s">
        <v>348</v>
      </c>
      <c r="J13027" s="249" t="s">
        <v>97</v>
      </c>
      <c r="K13027" s="250">
        <f>M13027</f>
        <v>58751.774758920554</v>
      </c>
      <c r="L13027" s="252"/>
      <c r="M13027" s="133">
        <v>58751.774758920554</v>
      </c>
    </row>
    <row r="13028" spans="1:15" x14ac:dyDescent="0.2">
      <c r="A13028" s="242">
        <v>2025</v>
      </c>
      <c r="B13028" s="242">
        <v>3</v>
      </c>
      <c r="C13028" s="242">
        <v>6</v>
      </c>
      <c r="D13028" s="270">
        <f t="shared" si="1936"/>
        <v>45722</v>
      </c>
      <c r="E13028" s="279">
        <f t="shared" si="1937"/>
        <v>45722</v>
      </c>
      <c r="F13028" s="478"/>
      <c r="G13028" s="243" t="s">
        <v>94</v>
      </c>
      <c r="H13028" s="243" t="str" cm="1">
        <f t="array" ref="H13028">IFERROR(INDEX(INVESTOR_LIST[INVESTOR NAME],MATCH(I13028,INVESTOR_LIST[INVESTOR CODE],0),)," ")</f>
        <v xml:space="preserve"> </v>
      </c>
      <c r="I13028" s="263" t="s">
        <v>348</v>
      </c>
      <c r="J13028" s="244" t="s">
        <v>47</v>
      </c>
      <c r="K13028" s="245"/>
      <c r="L13028" s="245">
        <f>K13027</f>
        <v>58751.774758920554</v>
      </c>
      <c r="M13028" s="133">
        <v>2697.2041225614125</v>
      </c>
    </row>
    <row r="13029" spans="1:15" x14ac:dyDescent="0.2">
      <c r="A13029" s="246">
        <v>2025</v>
      </c>
      <c r="B13029" s="238">
        <v>3</v>
      </c>
      <c r="C13029" s="238">
        <v>6</v>
      </c>
      <c r="D13029" s="270">
        <f t="shared" si="1936"/>
        <v>45722</v>
      </c>
      <c r="E13029" s="279">
        <f t="shared" si="1937"/>
        <v>45722</v>
      </c>
      <c r="F13029" s="482" t="s">
        <v>138</v>
      </c>
      <c r="G13029" s="247" t="s">
        <v>94</v>
      </c>
      <c r="H13029" s="247" t="str" cm="1">
        <f t="array" ref="H13029">IFERROR(INDEX(INVESTOR_LIST[INVESTOR NAME],MATCH(I13029,INVESTOR_LIST[INVESTOR CODE],0),)," ")</f>
        <v xml:space="preserve"> </v>
      </c>
      <c r="I13029" s="248" t="s">
        <v>348</v>
      </c>
      <c r="J13029" s="249" t="s">
        <v>100</v>
      </c>
      <c r="K13029" s="250">
        <f>M13028</f>
        <v>2697.2041225614125</v>
      </c>
      <c r="L13029" s="252"/>
    </row>
    <row r="13030" spans="1:15" x14ac:dyDescent="0.2">
      <c r="A13030" s="242">
        <v>2025</v>
      </c>
      <c r="B13030" s="242">
        <v>3</v>
      </c>
      <c r="C13030" s="242">
        <v>6</v>
      </c>
      <c r="D13030" s="321">
        <f t="shared" si="1936"/>
        <v>45722</v>
      </c>
      <c r="E13030" s="322">
        <f t="shared" si="1937"/>
        <v>45722</v>
      </c>
      <c r="F13030" s="478"/>
      <c r="G13030" s="243" t="s">
        <v>94</v>
      </c>
      <c r="H13030" s="243" t="str" cm="1">
        <f t="array" ref="H13030">IFERROR(INDEX(INVESTOR_LIST[INVESTOR NAME],MATCH(I13030,INVESTOR_LIST[INVESTOR CODE],0),)," ")</f>
        <v xml:space="preserve"> </v>
      </c>
      <c r="I13030" s="263" t="s">
        <v>348</v>
      </c>
      <c r="J13030" s="244" t="s">
        <v>48</v>
      </c>
      <c r="K13030" s="245"/>
      <c r="L13030" s="245">
        <f>K13029</f>
        <v>2697.2041225614125</v>
      </c>
    </row>
    <row r="13031" spans="1:15" x14ac:dyDescent="0.2">
      <c r="A13031" s="133">
        <v>2025</v>
      </c>
      <c r="B13031" s="168">
        <v>3</v>
      </c>
      <c r="C13031" s="168">
        <v>11</v>
      </c>
      <c r="D13031" s="141">
        <f t="shared" si="1936"/>
        <v>45727</v>
      </c>
      <c r="E13031" s="275">
        <f t="shared" si="1937"/>
        <v>45727</v>
      </c>
      <c r="F13031" s="481" t="s">
        <v>982</v>
      </c>
      <c r="G13031" s="174" t="s">
        <v>74</v>
      </c>
      <c r="H13031" s="174" t="str" cm="1">
        <f t="array" ref="H13031">IFERROR(INDEX(INVESTOR_LIST[INVESTOR NAME],MATCH(I13031,INVESTOR_LIST[INVESTOR CODE],0),)," ")</f>
        <v xml:space="preserve"> </v>
      </c>
      <c r="I13031" s="148" t="s">
        <v>348</v>
      </c>
      <c r="J13031" s="149" t="s">
        <v>163</v>
      </c>
      <c r="K13031" s="218">
        <v>5750</v>
      </c>
      <c r="L13031" s="218"/>
      <c r="M13031" s="264"/>
    </row>
    <row r="13032" spans="1:15" x14ac:dyDescent="0.2">
      <c r="A13032" s="133">
        <v>2025</v>
      </c>
      <c r="B13032" s="133">
        <v>3</v>
      </c>
      <c r="C13032" s="133">
        <v>11</v>
      </c>
      <c r="D13032" s="141">
        <f t="shared" si="1936"/>
        <v>45727</v>
      </c>
      <c r="E13032" s="275">
        <f t="shared" si="1937"/>
        <v>45727</v>
      </c>
      <c r="F13032" s="481"/>
      <c r="G13032" s="174" t="s">
        <v>74</v>
      </c>
      <c r="H13032" s="174" t="str" cm="1">
        <f t="array" ref="H13032">IFERROR(INDEX(INVESTOR_LIST[INVESTOR NAME],MATCH(I13032,INVESTOR_LIST[INVESTOR CODE],0),)," ")</f>
        <v xml:space="preserve"> </v>
      </c>
      <c r="J13032" s="149" t="s">
        <v>1906</v>
      </c>
      <c r="K13032" s="218"/>
      <c r="L13032" s="218">
        <v>250</v>
      </c>
    </row>
    <row r="13033" spans="1:15" x14ac:dyDescent="0.2">
      <c r="A13033" s="163">
        <v>2025</v>
      </c>
      <c r="B13033" s="163">
        <v>3</v>
      </c>
      <c r="C13033" s="163">
        <v>11</v>
      </c>
      <c r="D13033" s="280">
        <f t="shared" si="1936"/>
        <v>45727</v>
      </c>
      <c r="E13033" s="281">
        <f t="shared" si="1937"/>
        <v>45727</v>
      </c>
      <c r="F13033" s="480"/>
      <c r="G13033" s="221" t="s">
        <v>74</v>
      </c>
      <c r="H13033" s="221" t="str" cm="1">
        <f t="array" ref="H13033">IFERROR(INDEX(INVESTOR_LIST[INVESTOR NAME],MATCH(I13033,INVESTOR_LIST[INVESTOR CODE],0),)," ")</f>
        <v xml:space="preserve"> </v>
      </c>
      <c r="I13033" s="145" t="s">
        <v>348</v>
      </c>
      <c r="J13033" s="146" t="s">
        <v>52</v>
      </c>
      <c r="K13033" s="219"/>
      <c r="L13033" s="219">
        <v>5500</v>
      </c>
    </row>
    <row r="13034" spans="1:15" x14ac:dyDescent="0.2">
      <c r="A13034" s="168">
        <v>2025</v>
      </c>
      <c r="B13034" s="168">
        <v>3</v>
      </c>
      <c r="C13034" s="133">
        <v>11</v>
      </c>
      <c r="D13034" s="141">
        <f t="shared" si="1936"/>
        <v>45727</v>
      </c>
      <c r="E13034" s="275">
        <f t="shared" si="1937"/>
        <v>45727</v>
      </c>
      <c r="F13034" s="481" t="s">
        <v>2006</v>
      </c>
      <c r="G13034" s="174" t="s">
        <v>74</v>
      </c>
      <c r="H13034" s="174" t="str" cm="1">
        <f t="array" ref="H13034">IFERROR(INDEX(INVESTOR_LIST[INVESTOR NAME],MATCH(I13034,INVESTOR_LIST[INVESTOR CODE],0),)," ")</f>
        <v xml:space="preserve"> </v>
      </c>
      <c r="J13034" s="149" t="s">
        <v>1907</v>
      </c>
      <c r="K13034" s="218">
        <v>250</v>
      </c>
      <c r="L13034" s="218"/>
    </row>
    <row r="13035" spans="1:15" x14ac:dyDescent="0.2">
      <c r="A13035" s="133">
        <v>2025</v>
      </c>
      <c r="B13035" s="133">
        <v>3</v>
      </c>
      <c r="C13035" s="133">
        <v>11</v>
      </c>
      <c r="D13035" s="141">
        <f t="shared" si="1936"/>
        <v>45727</v>
      </c>
      <c r="E13035" s="275">
        <f t="shared" si="1937"/>
        <v>45727</v>
      </c>
      <c r="F13035" s="481"/>
      <c r="G13035" s="174" t="s">
        <v>74</v>
      </c>
      <c r="H13035" s="174"/>
      <c r="J13035" s="149" t="s">
        <v>1906</v>
      </c>
      <c r="K13035" s="218">
        <v>150</v>
      </c>
      <c r="L13035" s="218"/>
    </row>
    <row r="13036" spans="1:15" x14ac:dyDescent="0.2">
      <c r="A13036" s="163">
        <v>2025</v>
      </c>
      <c r="B13036" s="163">
        <v>3</v>
      </c>
      <c r="C13036" s="163">
        <v>11</v>
      </c>
      <c r="D13036" s="280">
        <f t="shared" si="1936"/>
        <v>45727</v>
      </c>
      <c r="E13036" s="281">
        <f t="shared" si="1937"/>
        <v>45727</v>
      </c>
      <c r="F13036" s="480"/>
      <c r="G13036" s="221" t="s">
        <v>74</v>
      </c>
      <c r="H13036" s="221" t="str" cm="1">
        <f t="array" ref="H13036">IFERROR(INDEX(INVESTOR_LIST[INVESTOR NAME],MATCH(I13036,INVESTOR_LIST[INVESTOR CODE],0),)," ")</f>
        <v xml:space="preserve"> </v>
      </c>
      <c r="I13036" s="145"/>
      <c r="J13036" s="146" t="s">
        <v>52</v>
      </c>
      <c r="K13036" s="219"/>
      <c r="L13036" s="219">
        <v>400</v>
      </c>
    </row>
    <row r="13037" spans="1:15" x14ac:dyDescent="0.2">
      <c r="A13037" s="168">
        <v>2025</v>
      </c>
      <c r="B13037" s="168">
        <v>3</v>
      </c>
      <c r="C13037" s="168">
        <v>11</v>
      </c>
      <c r="D13037" s="141">
        <f t="shared" si="1936"/>
        <v>45727</v>
      </c>
      <c r="E13037" s="275">
        <f t="shared" si="1937"/>
        <v>45727</v>
      </c>
      <c r="F13037" s="479" t="s">
        <v>1979</v>
      </c>
      <c r="G13037" s="220" t="s">
        <v>94</v>
      </c>
      <c r="H13037" s="220" t="str" cm="1">
        <f t="array" ref="H13037">IFERROR(INDEX(INVESTOR_LIST[INVESTOR NAME],MATCH(I13037,INVESTOR_LIST[INVESTOR CODE],0),)," ")</f>
        <v xml:space="preserve"> </v>
      </c>
      <c r="I13037" s="142"/>
      <c r="J13037" s="143" t="s">
        <v>79</v>
      </c>
      <c r="K13037" s="226">
        <v>257196</v>
      </c>
      <c r="L13037" s="226"/>
    </row>
    <row r="13038" spans="1:15" x14ac:dyDescent="0.2">
      <c r="A13038" s="133">
        <v>2025</v>
      </c>
      <c r="B13038" s="133">
        <v>3</v>
      </c>
      <c r="C13038" s="133">
        <v>11</v>
      </c>
      <c r="D13038" s="141">
        <f t="shared" si="1936"/>
        <v>45727</v>
      </c>
      <c r="E13038" s="275">
        <f t="shared" si="1937"/>
        <v>45727</v>
      </c>
      <c r="F13038" s="481"/>
      <c r="G13038" s="174" t="s">
        <v>94</v>
      </c>
      <c r="H13038" s="174" t="str" cm="1">
        <f t="array" ref="H13038">IFERROR(INDEX(INVESTOR_LIST[INVESTOR NAME],MATCH(I13038,INVESTOR_LIST[INVESTOR CODE],0),)," ")</f>
        <v xml:space="preserve"> </v>
      </c>
      <c r="J13038" s="149" t="s">
        <v>80</v>
      </c>
      <c r="K13038" s="218">
        <v>462.95</v>
      </c>
      <c r="L13038" s="133"/>
    </row>
    <row r="13039" spans="1:15" x14ac:dyDescent="0.2">
      <c r="A13039" s="163">
        <v>2025</v>
      </c>
      <c r="B13039" s="163">
        <v>3</v>
      </c>
      <c r="C13039" s="163">
        <v>11</v>
      </c>
      <c r="D13039" s="280">
        <f t="shared" si="1936"/>
        <v>45727</v>
      </c>
      <c r="E13039" s="281">
        <f t="shared" si="1937"/>
        <v>45727</v>
      </c>
      <c r="F13039" s="480"/>
      <c r="G13039" s="221" t="s">
        <v>94</v>
      </c>
      <c r="H13039" s="221" t="str" cm="1">
        <f t="array" ref="H13039">IFERROR(INDEX(INVESTOR_LIST[INVESTOR NAME],MATCH(I13039,INVESTOR_LIST[INVESTOR CODE],0),)," ")</f>
        <v xml:space="preserve"> </v>
      </c>
      <c r="I13039" s="145"/>
      <c r="J13039" s="146" t="s">
        <v>147</v>
      </c>
      <c r="K13039" s="219"/>
      <c r="L13039" s="219">
        <v>257658.95</v>
      </c>
    </row>
    <row r="13040" spans="1:15" x14ac:dyDescent="0.2">
      <c r="A13040" s="133">
        <v>2025</v>
      </c>
      <c r="B13040" s="133">
        <v>3</v>
      </c>
      <c r="C13040" s="133">
        <v>12</v>
      </c>
      <c r="D13040" s="141">
        <f>DATE(A13040,B13040,C13040)</f>
        <v>45728</v>
      </c>
      <c r="E13040" s="275">
        <f>DATE(A13040,B13040,C13040)</f>
        <v>45728</v>
      </c>
      <c r="F13040" s="479" t="s">
        <v>2041</v>
      </c>
      <c r="G13040" s="174" t="s">
        <v>94</v>
      </c>
      <c r="H13040" s="174" t="str" cm="1">
        <f t="array" ref="H13040">IFERROR(INDEX(INVESTOR_LIST[INVESTOR NAME],MATCH(I13040,INVESTOR_LIST[INVESTOR CODE],0),)," ")</f>
        <v xml:space="preserve"> </v>
      </c>
      <c r="I13040" s="148" t="s">
        <v>348</v>
      </c>
      <c r="J13040" s="149" t="s">
        <v>358</v>
      </c>
      <c r="K13040" s="218">
        <v>688505.42</v>
      </c>
      <c r="L13040" s="218"/>
      <c r="O13040" s="133" t="s">
        <v>348</v>
      </c>
    </row>
    <row r="13041" spans="1:15" x14ac:dyDescent="0.2">
      <c r="A13041" s="163">
        <v>2025</v>
      </c>
      <c r="B13041" s="163">
        <v>3</v>
      </c>
      <c r="C13041" s="163">
        <v>12</v>
      </c>
      <c r="D13041" s="280">
        <f>DATE(A13041,B13041,C13041)</f>
        <v>45728</v>
      </c>
      <c r="E13041" s="281">
        <f>DATE(A13041,B13041,C13041)</f>
        <v>45728</v>
      </c>
      <c r="F13041" s="480"/>
      <c r="G13041" s="221" t="s">
        <v>94</v>
      </c>
      <c r="H13041" s="221" t="str" cm="1">
        <f t="array" ref="H13041">IFERROR(INDEX(INVESTOR_LIST[INVESTOR NAME],MATCH(I13041,INVESTOR_LIST[INVESTOR CODE],0),)," ")</f>
        <v xml:space="preserve"> </v>
      </c>
      <c r="I13041" s="145" t="s">
        <v>348</v>
      </c>
      <c r="J13041" s="146" t="s">
        <v>534</v>
      </c>
      <c r="K13041" s="219"/>
      <c r="L13041" s="219">
        <v>688505.42</v>
      </c>
      <c r="O13041" s="133" t="s">
        <v>348</v>
      </c>
    </row>
    <row r="13042" spans="1:15" x14ac:dyDescent="0.2">
      <c r="A13042" s="168">
        <v>2025</v>
      </c>
      <c r="B13042" s="168">
        <v>3</v>
      </c>
      <c r="C13042" s="168">
        <v>12</v>
      </c>
      <c r="D13042" s="141">
        <f t="shared" ref="D13042" si="1938">DATE(A13042,B13042,C13042)</f>
        <v>45728</v>
      </c>
      <c r="E13042" s="275">
        <f t="shared" ref="E13042" si="1939">DATE(A13042,B13042,C13042)</f>
        <v>45728</v>
      </c>
      <c r="F13042" s="479" t="s">
        <v>2042</v>
      </c>
      <c r="G13042" s="220" t="s">
        <v>94</v>
      </c>
      <c r="H13042" s="142" t="str" cm="1">
        <f t="array" ref="H13042">IFERROR(INDEX(INVESTOR_LIST[INVESTOR NAME],MATCH(I13042,INVESTOR_LIST[INVESTOR CODE],0),)," ")</f>
        <v xml:space="preserve"> </v>
      </c>
      <c r="I13042" s="142"/>
      <c r="J13042" s="168" t="s">
        <v>358</v>
      </c>
      <c r="K13042" s="226">
        <v>1604731.12</v>
      </c>
      <c r="L13042" s="226"/>
    </row>
    <row r="13043" spans="1:15" x14ac:dyDescent="0.2">
      <c r="A13043" s="133">
        <v>2025</v>
      </c>
      <c r="B13043" s="133">
        <v>3</v>
      </c>
      <c r="C13043" s="133">
        <v>12</v>
      </c>
      <c r="D13043" s="141">
        <f>DATE(A13043,B13043,C13043)</f>
        <v>45728</v>
      </c>
      <c r="E13043" s="275">
        <f>DATE(A13043,B13043,C13043)</f>
        <v>45728</v>
      </c>
      <c r="F13043" s="481"/>
      <c r="G13043" s="174" t="s">
        <v>94</v>
      </c>
      <c r="H13043" s="148" t="str" cm="1">
        <f t="array" ref="H13043">IFERROR(INDEX(INVESTOR_LIST[INVESTOR NAME],MATCH(I13043,INVESTOR_LIST[INVESTOR CODE],0),)," ")</f>
        <v xml:space="preserve"> </v>
      </c>
      <c r="J13043" s="133" t="s">
        <v>13</v>
      </c>
      <c r="K13043" s="218"/>
      <c r="L13043" s="218">
        <v>1274180</v>
      </c>
    </row>
    <row r="13044" spans="1:15" x14ac:dyDescent="0.2">
      <c r="A13044" s="163">
        <v>2025</v>
      </c>
      <c r="B13044" s="163">
        <v>3</v>
      </c>
      <c r="C13044" s="163">
        <v>12</v>
      </c>
      <c r="D13044" s="280">
        <f>DATE(A13044,B13044,C13044)</f>
        <v>45728</v>
      </c>
      <c r="E13044" s="281">
        <f>DATE(A13044,B13044,C13044)</f>
        <v>45728</v>
      </c>
      <c r="F13044" s="480"/>
      <c r="G13044" s="221" t="s">
        <v>94</v>
      </c>
      <c r="H13044" s="145" t="str" cm="1">
        <f t="array" ref="H13044">IFERROR(INDEX(INVESTOR_LIST[INVESTOR NAME],MATCH(I13044,INVESTOR_LIST[INVESTOR CODE],0),)," ")</f>
        <v xml:space="preserve"> </v>
      </c>
      <c r="I13044" s="145"/>
      <c r="J13044" s="163" t="s">
        <v>53</v>
      </c>
      <c r="K13044" s="219"/>
      <c r="L13044" s="219">
        <v>330551.12</v>
      </c>
    </row>
    <row r="13045" spans="1:15" ht="11.25" customHeight="1" x14ac:dyDescent="0.2">
      <c r="A13045" s="168">
        <v>2025</v>
      </c>
      <c r="B13045" s="168">
        <v>3</v>
      </c>
      <c r="C13045" s="133">
        <v>13</v>
      </c>
      <c r="D13045" s="141">
        <f t="shared" ref="D13045:D13050" si="1940">DATE(A13045,B13045,C13045)</f>
        <v>45729</v>
      </c>
      <c r="E13045" s="275">
        <f t="shared" ref="E13045:E13050" si="1941">DATE(A13045,B13045,C13045)</f>
        <v>45729</v>
      </c>
      <c r="F13045" s="479" t="s">
        <v>1315</v>
      </c>
      <c r="G13045" s="220" t="s">
        <v>74</v>
      </c>
      <c r="H13045" s="142" t="str" cm="1">
        <f t="array" ref="H13045">IFERROR(INDEX(INVESTOR_LIST[INVESTOR NAME],MATCH(I13045,INVESTOR_LIST[INVESTOR CODE],0),)," ")</f>
        <v>FARUQUE AHMED &amp; ZAHEDA BEGUM HENA</v>
      </c>
      <c r="I13045" s="142" t="s">
        <v>549</v>
      </c>
      <c r="J13045" s="168" t="s">
        <v>13</v>
      </c>
      <c r="K13045" s="226">
        <v>815000</v>
      </c>
      <c r="L13045" s="226"/>
    </row>
    <row r="13046" spans="1:15" ht="11.25" customHeight="1" x14ac:dyDescent="0.2">
      <c r="A13046" s="133">
        <v>2025</v>
      </c>
      <c r="B13046" s="133">
        <v>3</v>
      </c>
      <c r="C13046" s="133">
        <v>13</v>
      </c>
      <c r="D13046" s="141">
        <f t="shared" si="1940"/>
        <v>45729</v>
      </c>
      <c r="E13046" s="275">
        <f t="shared" si="1941"/>
        <v>45729</v>
      </c>
      <c r="F13046" s="481"/>
      <c r="G13046" s="174" t="s">
        <v>74</v>
      </c>
      <c r="H13046" s="148" t="str" cm="1">
        <f t="array" ref="H13046">IFERROR(INDEX(INVESTOR_LIST[INVESTOR NAME],MATCH(I13046,INVESTOR_LIST[INVESTOR CODE],0),)," ")</f>
        <v>FARUQUE AHMED &amp; ZAHEDA BEGUM HENA</v>
      </c>
      <c r="I13046" s="148" t="s">
        <v>549</v>
      </c>
      <c r="J13046" s="133" t="s">
        <v>53</v>
      </c>
      <c r="K13046" s="218">
        <v>211411</v>
      </c>
      <c r="L13046" s="218"/>
    </row>
    <row r="13047" spans="1:15" ht="11.25" customHeight="1" x14ac:dyDescent="0.2">
      <c r="A13047" s="163">
        <v>2025</v>
      </c>
      <c r="B13047" s="163">
        <v>3</v>
      </c>
      <c r="C13047" s="163">
        <v>13</v>
      </c>
      <c r="D13047" s="280">
        <f t="shared" si="1940"/>
        <v>45729</v>
      </c>
      <c r="E13047" s="281">
        <f t="shared" si="1941"/>
        <v>45729</v>
      </c>
      <c r="F13047" s="480"/>
      <c r="G13047" s="221" t="s">
        <v>74</v>
      </c>
      <c r="H13047" s="145" t="str" cm="1">
        <f t="array" ref="H13047">IFERROR(INDEX(INVESTOR_LIST[INVESTOR NAME],MATCH(I13047,INVESTOR_LIST[INVESTOR CODE],0),)," ")</f>
        <v>FARUQUE AHMED &amp; ZAHEDA BEGUM HENA</v>
      </c>
      <c r="I13047" s="145" t="s">
        <v>549</v>
      </c>
      <c r="J13047" s="163" t="s">
        <v>52</v>
      </c>
      <c r="K13047" s="219"/>
      <c r="L13047" s="219">
        <v>1026411</v>
      </c>
    </row>
    <row r="13048" spans="1:15" ht="11.25" customHeight="1" x14ac:dyDescent="0.2">
      <c r="A13048" s="168">
        <v>2025</v>
      </c>
      <c r="B13048" s="168">
        <v>3</v>
      </c>
      <c r="C13048" s="133">
        <v>13</v>
      </c>
      <c r="D13048" s="141">
        <f t="shared" si="1940"/>
        <v>45729</v>
      </c>
      <c r="E13048" s="275">
        <f t="shared" si="1941"/>
        <v>45729</v>
      </c>
      <c r="F13048" s="479" t="s">
        <v>964</v>
      </c>
      <c r="G13048" s="220" t="s">
        <v>74</v>
      </c>
      <c r="H13048" s="142" t="str" cm="1">
        <f t="array" ref="H13048">IFERROR(INDEX(INVESTOR_LIST[INVESTOR NAME],MATCH(I13048,INVESTOR_LIST[INVESTOR CODE],0),)," ")</f>
        <v>SULTANA RAZIA</v>
      </c>
      <c r="I13048" s="142" t="s">
        <v>698</v>
      </c>
      <c r="J13048" s="168" t="s">
        <v>52</v>
      </c>
      <c r="K13048" s="226">
        <v>1300000</v>
      </c>
      <c r="L13048" s="226"/>
    </row>
    <row r="13049" spans="1:15" ht="11.25" customHeight="1" x14ac:dyDescent="0.2">
      <c r="A13049" s="133">
        <v>2025</v>
      </c>
      <c r="B13049" s="133">
        <v>3</v>
      </c>
      <c r="C13049" s="133">
        <v>13</v>
      </c>
      <c r="D13049" s="141">
        <f t="shared" si="1940"/>
        <v>45729</v>
      </c>
      <c r="E13049" s="275">
        <f t="shared" si="1941"/>
        <v>45729</v>
      </c>
      <c r="F13049" s="481"/>
      <c r="G13049" s="174" t="s">
        <v>74</v>
      </c>
      <c r="H13049" s="148" t="str" cm="1">
        <f t="array" ref="H13049">IFERROR(INDEX(INVESTOR_LIST[INVESTOR NAME],MATCH(I13049,INVESTOR_LIST[INVESTOR CODE],0),)," ")</f>
        <v>SULTANA RAZIA</v>
      </c>
      <c r="I13049" s="148" t="s">
        <v>698</v>
      </c>
      <c r="J13049" s="133" t="s">
        <v>13</v>
      </c>
      <c r="K13049" s="218"/>
      <c r="L13049" s="218">
        <v>1032240</v>
      </c>
    </row>
    <row r="13050" spans="1:15" ht="11.25" customHeight="1" x14ac:dyDescent="0.2">
      <c r="A13050" s="163">
        <v>2025</v>
      </c>
      <c r="B13050" s="163">
        <v>3</v>
      </c>
      <c r="C13050" s="163">
        <v>13</v>
      </c>
      <c r="D13050" s="280">
        <f t="shared" si="1940"/>
        <v>45729</v>
      </c>
      <c r="E13050" s="281">
        <f t="shared" si="1941"/>
        <v>45729</v>
      </c>
      <c r="F13050" s="480"/>
      <c r="G13050" s="221" t="s">
        <v>74</v>
      </c>
      <c r="H13050" s="145" t="str" cm="1">
        <f t="array" ref="H13050">IFERROR(INDEX(INVESTOR_LIST[INVESTOR NAME],MATCH(I13050,INVESTOR_LIST[INVESTOR CODE],0),)," ")</f>
        <v>SULTANA RAZIA</v>
      </c>
      <c r="I13050" s="145" t="s">
        <v>698</v>
      </c>
      <c r="J13050" s="163" t="s">
        <v>53</v>
      </c>
      <c r="K13050" s="219"/>
      <c r="L13050" s="219">
        <v>267760</v>
      </c>
    </row>
    <row r="13051" spans="1:15" ht="11.25" customHeight="1" x14ac:dyDescent="0.2">
      <c r="A13051" s="168">
        <v>2025</v>
      </c>
      <c r="B13051" s="168">
        <v>3</v>
      </c>
      <c r="C13051" s="133">
        <v>13</v>
      </c>
      <c r="D13051" s="141">
        <f t="shared" ref="D13051:D13114" si="1942">DATE(A13051,B13051,C13051)</f>
        <v>45729</v>
      </c>
      <c r="E13051" s="275">
        <f t="shared" ref="E13051:E13114" si="1943">DATE(A13051,B13051,C13051)</f>
        <v>45729</v>
      </c>
      <c r="F13051" s="479" t="s">
        <v>964</v>
      </c>
      <c r="G13051" s="220" t="s">
        <v>74</v>
      </c>
      <c r="H13051" s="142" t="str" cm="1">
        <f t="array" ref="H13051">IFERROR(INDEX(INVESTOR_LIST[INVESTOR NAME],MATCH(I13051,INVESTOR_LIST[INVESTOR CODE],0),)," ")</f>
        <v>SULTANA RAZIA</v>
      </c>
      <c r="I13051" s="142" t="s">
        <v>698</v>
      </c>
      <c r="J13051" s="168" t="s">
        <v>52</v>
      </c>
      <c r="K13051" s="226">
        <v>1500000</v>
      </c>
      <c r="L13051" s="226"/>
    </row>
    <row r="13052" spans="1:15" ht="11.25" customHeight="1" x14ac:dyDescent="0.2">
      <c r="A13052" s="133">
        <v>2025</v>
      </c>
      <c r="B13052" s="133">
        <v>3</v>
      </c>
      <c r="C13052" s="133">
        <v>13</v>
      </c>
      <c r="D13052" s="141">
        <f t="shared" si="1942"/>
        <v>45729</v>
      </c>
      <c r="E13052" s="275">
        <f t="shared" si="1943"/>
        <v>45729</v>
      </c>
      <c r="F13052" s="481"/>
      <c r="G13052" s="174" t="s">
        <v>74</v>
      </c>
      <c r="H13052" s="148" t="str" cm="1">
        <f t="array" ref="H13052">IFERROR(INDEX(INVESTOR_LIST[INVESTOR NAME],MATCH(I13052,INVESTOR_LIST[INVESTOR CODE],0),)," ")</f>
        <v>SULTANA RAZIA</v>
      </c>
      <c r="I13052" s="148" t="s">
        <v>698</v>
      </c>
      <c r="J13052" s="133" t="s">
        <v>13</v>
      </c>
      <c r="K13052" s="218"/>
      <c r="L13052" s="218">
        <v>1191040</v>
      </c>
    </row>
    <row r="13053" spans="1:15" ht="11.25" customHeight="1" x14ac:dyDescent="0.2">
      <c r="A13053" s="163">
        <v>2025</v>
      </c>
      <c r="B13053" s="163">
        <v>3</v>
      </c>
      <c r="C13053" s="163">
        <v>13</v>
      </c>
      <c r="D13053" s="280">
        <f t="shared" si="1942"/>
        <v>45729</v>
      </c>
      <c r="E13053" s="281">
        <f t="shared" si="1943"/>
        <v>45729</v>
      </c>
      <c r="F13053" s="480"/>
      <c r="G13053" s="221" t="s">
        <v>74</v>
      </c>
      <c r="H13053" s="145" t="str" cm="1">
        <f t="array" ref="H13053">IFERROR(INDEX(INVESTOR_LIST[INVESTOR NAME],MATCH(I13053,INVESTOR_LIST[INVESTOR CODE],0),)," ")</f>
        <v>SULTANA RAZIA</v>
      </c>
      <c r="I13053" s="145" t="s">
        <v>698</v>
      </c>
      <c r="J13053" s="163" t="s">
        <v>53</v>
      </c>
      <c r="K13053" s="219"/>
      <c r="L13053" s="219">
        <v>308960</v>
      </c>
    </row>
    <row r="13054" spans="1:15" x14ac:dyDescent="0.2">
      <c r="A13054" s="168">
        <v>2025</v>
      </c>
      <c r="B13054" s="133">
        <v>3</v>
      </c>
      <c r="C13054" s="168">
        <v>13</v>
      </c>
      <c r="D13054" s="141">
        <f t="shared" si="1942"/>
        <v>45729</v>
      </c>
      <c r="E13054" s="275">
        <f t="shared" si="1943"/>
        <v>45729</v>
      </c>
      <c r="F13054" s="479" t="s">
        <v>2002</v>
      </c>
      <c r="G13054" s="220" t="s">
        <v>74</v>
      </c>
      <c r="H13054" s="220" t="str" cm="1">
        <f t="array" ref="H13054">IFERROR(INDEX(INVESTOR_LIST[INVESTOR NAME],MATCH(I13054,INVESTOR_LIST[INVESTOR CODE],0),)," ")</f>
        <v xml:space="preserve"> </v>
      </c>
      <c r="I13054" s="142"/>
      <c r="J13054" s="143" t="s">
        <v>147</v>
      </c>
      <c r="K13054" s="226">
        <v>257658.95</v>
      </c>
      <c r="L13054" s="226"/>
    </row>
    <row r="13055" spans="1:15" x14ac:dyDescent="0.2">
      <c r="A13055" s="163">
        <v>2025</v>
      </c>
      <c r="B13055" s="163">
        <v>3</v>
      </c>
      <c r="C13055" s="163">
        <v>13</v>
      </c>
      <c r="D13055" s="280">
        <f t="shared" si="1942"/>
        <v>45729</v>
      </c>
      <c r="E13055" s="281">
        <f t="shared" si="1943"/>
        <v>45729</v>
      </c>
      <c r="F13055" s="480"/>
      <c r="G13055" s="221" t="s">
        <v>74</v>
      </c>
      <c r="H13055" s="221" t="str" cm="1">
        <f t="array" ref="H13055">IFERROR(INDEX(INVESTOR_LIST[INVESTOR NAME],MATCH(I13055,INVESTOR_LIST[INVESTOR CODE],0),)," ")</f>
        <v xml:space="preserve"> </v>
      </c>
      <c r="I13055" s="145" t="s">
        <v>348</v>
      </c>
      <c r="J13055" s="146" t="s">
        <v>52</v>
      </c>
      <c r="K13055" s="219"/>
      <c r="L13055" s="219">
        <v>257658.95</v>
      </c>
    </row>
    <row r="13056" spans="1:15" x14ac:dyDescent="0.2">
      <c r="A13056" s="168">
        <v>2025</v>
      </c>
      <c r="B13056" s="133">
        <v>3</v>
      </c>
      <c r="C13056" s="168">
        <v>13</v>
      </c>
      <c r="D13056" s="147">
        <f>DATE(A13056,B13056,C13056)</f>
        <v>45729</v>
      </c>
      <c r="E13056" s="311">
        <f>DATE(A13056,B13056,C13056)</f>
        <v>45729</v>
      </c>
      <c r="F13056" s="481" t="s">
        <v>1943</v>
      </c>
      <c r="G13056" s="174" t="s">
        <v>74</v>
      </c>
      <c r="H13056" s="148" t="str" cm="1">
        <f t="array" ref="H13056">IFERROR(INDEX(INVESTOR_LIST[INVESTOR NAME],MATCH(I13056,INVESTOR_LIST[INVESTOR CODE],0),)," ")</f>
        <v xml:space="preserve"> </v>
      </c>
      <c r="I13056" s="148" t="s">
        <v>348</v>
      </c>
      <c r="J13056" s="133" t="s">
        <v>61</v>
      </c>
      <c r="K13056" s="172">
        <v>58</v>
      </c>
    </row>
    <row r="13057" spans="1:13" x14ac:dyDescent="0.2">
      <c r="A13057" s="163">
        <v>2025</v>
      </c>
      <c r="B13057" s="163">
        <v>3</v>
      </c>
      <c r="C13057" s="163">
        <v>13</v>
      </c>
      <c r="D13057" s="280">
        <f>DATE(A13057,B13057,C13057)</f>
        <v>45729</v>
      </c>
      <c r="E13057" s="281">
        <f>DATE(A13057,B13057,C13057)</f>
        <v>45729</v>
      </c>
      <c r="F13057" s="480"/>
      <c r="G13057" s="221" t="s">
        <v>74</v>
      </c>
      <c r="H13057" s="145" t="str" cm="1">
        <f t="array" ref="H13057">IFERROR(INDEX(INVESTOR_LIST[INVESTOR NAME],MATCH(I13057,INVESTOR_LIST[INVESTOR CODE],0),)," ")</f>
        <v xml:space="preserve"> </v>
      </c>
      <c r="I13057" s="145" t="s">
        <v>348</v>
      </c>
      <c r="J13057" s="163" t="s">
        <v>52</v>
      </c>
      <c r="K13057" s="219"/>
      <c r="L13057" s="219">
        <v>58</v>
      </c>
    </row>
    <row r="13058" spans="1:13" x14ac:dyDescent="0.2">
      <c r="A13058" s="168">
        <v>2025</v>
      </c>
      <c r="B13058" s="133">
        <v>3</v>
      </c>
      <c r="C13058" s="168">
        <v>13</v>
      </c>
      <c r="D13058" s="147">
        <f>DATE(A13058,B13058,C13058)</f>
        <v>45729</v>
      </c>
      <c r="E13058" s="311">
        <f>DATE(A13058,B13058,C13058)</f>
        <v>45729</v>
      </c>
      <c r="F13058" s="481" t="s">
        <v>1943</v>
      </c>
      <c r="G13058" s="174" t="s">
        <v>74</v>
      </c>
      <c r="H13058" s="148" t="str" cm="1">
        <f t="array" ref="H13058">IFERROR(INDEX(INVESTOR_LIST[INVESTOR NAME],MATCH(I13058,INVESTOR_LIST[INVESTOR CODE],0),)," ")</f>
        <v xml:space="preserve"> </v>
      </c>
      <c r="I13058" s="148" t="s">
        <v>348</v>
      </c>
      <c r="J13058" s="133" t="s">
        <v>61</v>
      </c>
      <c r="K13058" s="172">
        <v>120</v>
      </c>
    </row>
    <row r="13059" spans="1:13" x14ac:dyDescent="0.2">
      <c r="A13059" s="163">
        <v>2025</v>
      </c>
      <c r="B13059" s="163">
        <v>3</v>
      </c>
      <c r="C13059" s="163">
        <v>13</v>
      </c>
      <c r="D13059" s="280">
        <f>DATE(A13059,B13059,C13059)</f>
        <v>45729</v>
      </c>
      <c r="E13059" s="281">
        <f>DATE(A13059,B13059,C13059)</f>
        <v>45729</v>
      </c>
      <c r="F13059" s="480"/>
      <c r="G13059" s="221" t="s">
        <v>74</v>
      </c>
      <c r="H13059" s="145" t="str" cm="1">
        <f t="array" ref="H13059">IFERROR(INDEX(INVESTOR_LIST[INVESTOR NAME],MATCH(I13059,INVESTOR_LIST[INVESTOR CODE],0),)," ")</f>
        <v xml:space="preserve"> </v>
      </c>
      <c r="I13059" s="145" t="s">
        <v>348</v>
      </c>
      <c r="J13059" s="163" t="s">
        <v>52</v>
      </c>
      <c r="K13059" s="219"/>
      <c r="L13059" s="219">
        <v>120</v>
      </c>
    </row>
    <row r="13060" spans="1:13" x14ac:dyDescent="0.2">
      <c r="A13060" s="325">
        <v>2025</v>
      </c>
      <c r="B13060" s="325">
        <v>3</v>
      </c>
      <c r="C13060" s="325">
        <v>13</v>
      </c>
      <c r="D13060" s="326">
        <f t="shared" si="1942"/>
        <v>45729</v>
      </c>
      <c r="E13060" s="327">
        <f t="shared" si="1943"/>
        <v>45729</v>
      </c>
      <c r="F13060" s="473" t="s">
        <v>1940</v>
      </c>
      <c r="G13060" s="340" t="s">
        <v>94</v>
      </c>
      <c r="H13060" s="340" t="str" cm="1">
        <f t="array" ref="H13060">IFERROR(INDEX(INVESTOR_LIST[INVESTOR NAME],MATCH(I13060,INVESTOR_LIST[INVESTOR CODE],0),)," ")</f>
        <v xml:space="preserve"> </v>
      </c>
      <c r="I13060" s="341" t="s">
        <v>348</v>
      </c>
      <c r="J13060" s="374" t="s">
        <v>133</v>
      </c>
      <c r="K13060" s="375">
        <v>12905.56</v>
      </c>
      <c r="L13060" s="375"/>
    </row>
    <row r="13061" spans="1:13" x14ac:dyDescent="0.2">
      <c r="A13061" s="331">
        <v>2025</v>
      </c>
      <c r="B13061" s="331">
        <v>3</v>
      </c>
      <c r="C13061" s="331">
        <v>13</v>
      </c>
      <c r="D13061" s="326">
        <f t="shared" si="1942"/>
        <v>45729</v>
      </c>
      <c r="E13061" s="327">
        <f t="shared" si="1943"/>
        <v>45729</v>
      </c>
      <c r="F13061" s="474"/>
      <c r="G13061" s="332" t="s">
        <v>94</v>
      </c>
      <c r="H13061" s="332" t="str" cm="1">
        <f t="array" ref="H13061">IFERROR(INDEX(INVESTOR_LIST[INVESTOR NAME],MATCH(I13061,INVESTOR_LIST[INVESTOR CODE],0),)," ")</f>
        <v xml:space="preserve"> </v>
      </c>
      <c r="I13061" s="333" t="s">
        <v>348</v>
      </c>
      <c r="J13061" s="376" t="s">
        <v>60</v>
      </c>
      <c r="K13061" s="334"/>
      <c r="L13061" s="334">
        <v>12905.56</v>
      </c>
    </row>
    <row r="13062" spans="1:13" x14ac:dyDescent="0.2">
      <c r="A13062" s="325">
        <v>2025</v>
      </c>
      <c r="B13062" s="325">
        <v>3</v>
      </c>
      <c r="C13062" s="325">
        <v>13</v>
      </c>
      <c r="D13062" s="326">
        <f t="shared" si="1942"/>
        <v>45729</v>
      </c>
      <c r="E13062" s="327">
        <f t="shared" si="1943"/>
        <v>45729</v>
      </c>
      <c r="F13062" s="473" t="s">
        <v>2029</v>
      </c>
      <c r="G13062" s="340" t="s">
        <v>94</v>
      </c>
      <c r="H13062" s="340" t="str" cm="1">
        <f t="array" ref="H13062">IFERROR(INDEX(INVESTOR_LIST[INVESTOR NAME],MATCH(I13062,INVESTOR_LIST[INVESTOR CODE],0),)," ")</f>
        <v xml:space="preserve"> </v>
      </c>
      <c r="I13062" s="341" t="s">
        <v>348</v>
      </c>
      <c r="J13062" s="374" t="s">
        <v>133</v>
      </c>
      <c r="K13062" s="375">
        <v>14134.615384615385</v>
      </c>
      <c r="L13062" s="375"/>
    </row>
    <row r="13063" spans="1:13" x14ac:dyDescent="0.2">
      <c r="A13063" s="331">
        <v>2025</v>
      </c>
      <c r="B13063" s="331">
        <v>3</v>
      </c>
      <c r="C13063" s="331">
        <v>13</v>
      </c>
      <c r="D13063" s="326">
        <f t="shared" si="1942"/>
        <v>45729</v>
      </c>
      <c r="E13063" s="327">
        <f t="shared" si="1943"/>
        <v>45729</v>
      </c>
      <c r="F13063" s="474"/>
      <c r="G13063" s="332" t="s">
        <v>94</v>
      </c>
      <c r="H13063" s="332" t="str" cm="1">
        <f t="array" ref="H13063">IFERROR(INDEX(INVESTOR_LIST[INVESTOR NAME],MATCH(I13063,INVESTOR_LIST[INVESTOR CODE],0),)," ")</f>
        <v xml:space="preserve"> </v>
      </c>
      <c r="I13063" s="333" t="s">
        <v>348</v>
      </c>
      <c r="J13063" s="376" t="s">
        <v>60</v>
      </c>
      <c r="K13063" s="334"/>
      <c r="L13063" s="334">
        <f>K13062</f>
        <v>14134.615384615385</v>
      </c>
    </row>
    <row r="13064" spans="1:13" x14ac:dyDescent="0.2">
      <c r="A13064" s="384">
        <v>2025</v>
      </c>
      <c r="B13064" s="384">
        <v>3</v>
      </c>
      <c r="C13064" s="384">
        <v>13</v>
      </c>
      <c r="D13064" s="385">
        <f t="shared" si="1942"/>
        <v>45729</v>
      </c>
      <c r="E13064" s="386">
        <f t="shared" si="1943"/>
        <v>45729</v>
      </c>
      <c r="F13064" s="475" t="s">
        <v>1966</v>
      </c>
      <c r="G13064" s="387" t="s">
        <v>94</v>
      </c>
      <c r="H13064" s="387" t="str" cm="1">
        <f t="array" ref="H13064">IFERROR(INDEX(INVESTOR_LIST[INVESTOR NAME],MATCH(I13064,INVESTOR_LIST[INVESTOR CODE],0),)," ")</f>
        <v xml:space="preserve"> </v>
      </c>
      <c r="I13064" s="388" t="s">
        <v>348</v>
      </c>
      <c r="J13064" s="389" t="s">
        <v>67</v>
      </c>
      <c r="K13064" s="390">
        <v>18576.97</v>
      </c>
      <c r="L13064" s="390"/>
    </row>
    <row r="13065" spans="1:13" x14ac:dyDescent="0.2">
      <c r="A13065" s="391">
        <v>2025</v>
      </c>
      <c r="B13065" s="391">
        <v>3</v>
      </c>
      <c r="C13065" s="391">
        <v>13</v>
      </c>
      <c r="D13065" s="385">
        <f t="shared" si="1942"/>
        <v>45729</v>
      </c>
      <c r="E13065" s="386">
        <f t="shared" si="1943"/>
        <v>45729</v>
      </c>
      <c r="F13065" s="476"/>
      <c r="G13065" s="392" t="s">
        <v>94</v>
      </c>
      <c r="H13065" s="392" t="str" cm="1">
        <f t="array" ref="H13065">IFERROR(INDEX(INVESTOR_LIST[INVESTOR NAME],MATCH(I13065,INVESTOR_LIST[INVESTOR CODE],0),)," ")</f>
        <v xml:space="preserve"> </v>
      </c>
      <c r="I13065" s="393" t="s">
        <v>348</v>
      </c>
      <c r="J13065" s="394" t="s">
        <v>60</v>
      </c>
      <c r="K13065" s="395"/>
      <c r="L13065" s="395">
        <f>K13064</f>
        <v>18576.97</v>
      </c>
    </row>
    <row r="13066" spans="1:13" x14ac:dyDescent="0.2">
      <c r="A13066" s="343">
        <v>2025</v>
      </c>
      <c r="B13066" s="343">
        <v>3</v>
      </c>
      <c r="C13066" s="343">
        <v>13</v>
      </c>
      <c r="D13066" s="344">
        <f t="shared" si="1942"/>
        <v>45729</v>
      </c>
      <c r="E13066" s="345">
        <f t="shared" si="1943"/>
        <v>45729</v>
      </c>
      <c r="F13066" s="483" t="s">
        <v>1813</v>
      </c>
      <c r="G13066" s="350" t="s">
        <v>94</v>
      </c>
      <c r="H13066" s="350" t="str" cm="1">
        <f t="array" ref="H13066">IFERROR(INDEX(INVESTOR_LIST[INVESTOR NAME],MATCH(I13066,INVESTOR_LIST[INVESTOR CODE],0),)," ")</f>
        <v xml:space="preserve"> </v>
      </c>
      <c r="I13066" s="352" t="s">
        <v>348</v>
      </c>
      <c r="J13066" s="353" t="s">
        <v>1807</v>
      </c>
      <c r="K13066" s="354">
        <v>0</v>
      </c>
      <c r="L13066" s="354"/>
      <c r="M13066" s="133">
        <v>0</v>
      </c>
    </row>
    <row r="13067" spans="1:13" x14ac:dyDescent="0.2">
      <c r="A13067" s="346">
        <v>2025</v>
      </c>
      <c r="B13067" s="346">
        <v>3</v>
      </c>
      <c r="C13067" s="346">
        <v>13</v>
      </c>
      <c r="D13067" s="344">
        <f t="shared" si="1942"/>
        <v>45729</v>
      </c>
      <c r="E13067" s="345">
        <f t="shared" si="1943"/>
        <v>45729</v>
      </c>
      <c r="F13067" s="484"/>
      <c r="G13067" s="347" t="s">
        <v>94</v>
      </c>
      <c r="H13067" s="347" t="str" cm="1">
        <f t="array" ref="H13067">IFERROR(INDEX(INVESTOR_LIST[INVESTOR NAME],MATCH(I13067,INVESTOR_LIST[INVESTOR CODE],0),)," ")</f>
        <v xml:space="preserve"> </v>
      </c>
      <c r="I13067" s="348" t="s">
        <v>348</v>
      </c>
      <c r="J13067" s="355" t="s">
        <v>1798</v>
      </c>
      <c r="K13067" s="349"/>
      <c r="L13067" s="349">
        <v>0</v>
      </c>
    </row>
    <row r="13068" spans="1:13" x14ac:dyDescent="0.2">
      <c r="A13068" s="343">
        <v>2025</v>
      </c>
      <c r="B13068" s="343">
        <v>3</v>
      </c>
      <c r="C13068" s="343">
        <v>13</v>
      </c>
      <c r="D13068" s="344">
        <f t="shared" si="1942"/>
        <v>45729</v>
      </c>
      <c r="E13068" s="345">
        <f t="shared" si="1943"/>
        <v>45729</v>
      </c>
      <c r="F13068" s="483" t="s">
        <v>1913</v>
      </c>
      <c r="G13068" s="350" t="s">
        <v>94</v>
      </c>
      <c r="H13068" s="350" t="str" cm="1">
        <f t="array" ref="H13068">IFERROR(INDEX(INVESTOR_LIST[INVESTOR NAME],MATCH(I13068,INVESTOR_LIST[INVESTOR CODE],0),)," ")</f>
        <v xml:space="preserve"> </v>
      </c>
      <c r="I13068" s="352" t="s">
        <v>348</v>
      </c>
      <c r="J13068" s="353" t="s">
        <v>1808</v>
      </c>
      <c r="K13068" s="354">
        <v>15365.855000000447</v>
      </c>
      <c r="L13068" s="354"/>
      <c r="M13068" s="133">
        <v>0</v>
      </c>
    </row>
    <row r="13069" spans="1:13" x14ac:dyDescent="0.2">
      <c r="A13069" s="346">
        <v>2025</v>
      </c>
      <c r="B13069" s="346">
        <v>3</v>
      </c>
      <c r="C13069" s="346">
        <v>13</v>
      </c>
      <c r="D13069" s="344">
        <f t="shared" si="1942"/>
        <v>45729</v>
      </c>
      <c r="E13069" s="345">
        <f t="shared" si="1943"/>
        <v>45729</v>
      </c>
      <c r="F13069" s="484"/>
      <c r="G13069" s="347" t="s">
        <v>94</v>
      </c>
      <c r="H13069" s="347" t="str" cm="1">
        <f t="array" ref="H13069">IFERROR(INDEX(INVESTOR_LIST[INVESTOR NAME],MATCH(I13069,INVESTOR_LIST[INVESTOR CODE],0),)," ")</f>
        <v xml:space="preserve"> </v>
      </c>
      <c r="I13069" s="348" t="s">
        <v>348</v>
      </c>
      <c r="J13069" s="355" t="s">
        <v>1799</v>
      </c>
      <c r="K13069" s="349"/>
      <c r="L13069" s="349">
        <f>K13068</f>
        <v>15365.855000000447</v>
      </c>
    </row>
    <row r="13070" spans="1:13" x14ac:dyDescent="0.2">
      <c r="A13070" s="238">
        <v>2025</v>
      </c>
      <c r="B13070" s="238">
        <v>3</v>
      </c>
      <c r="C13070" s="238">
        <v>13</v>
      </c>
      <c r="D13070" s="270">
        <f t="shared" si="1942"/>
        <v>45729</v>
      </c>
      <c r="E13070" s="279">
        <f t="shared" si="1943"/>
        <v>45729</v>
      </c>
      <c r="F13070" s="477" t="s">
        <v>347</v>
      </c>
      <c r="G13070" s="239" t="s">
        <v>94</v>
      </c>
      <c r="H13070" s="239" t="str" cm="1">
        <f t="array" ref="H13070">IFERROR(INDEX(INVESTOR_LIST[INVESTOR NAME],MATCH(I13070,INVESTOR_LIST[INVESTOR CODE],0),)," ")</f>
        <v xml:space="preserve"> </v>
      </c>
      <c r="I13070" s="262" t="s">
        <v>348</v>
      </c>
      <c r="J13070" s="240" t="s">
        <v>108</v>
      </c>
      <c r="K13070" s="241">
        <v>520187.00999999046</v>
      </c>
      <c r="L13070" s="241"/>
      <c r="M13070" s="133">
        <v>13139541.900000483</v>
      </c>
    </row>
    <row r="13071" spans="1:13" x14ac:dyDescent="0.2">
      <c r="A13071" s="242">
        <v>2025</v>
      </c>
      <c r="B13071" s="242">
        <v>3</v>
      </c>
      <c r="C13071" s="242">
        <v>13</v>
      </c>
      <c r="D13071" s="270">
        <f t="shared" si="1942"/>
        <v>45729</v>
      </c>
      <c r="E13071" s="279">
        <f t="shared" si="1943"/>
        <v>45729</v>
      </c>
      <c r="F13071" s="478"/>
      <c r="G13071" s="243" t="s">
        <v>94</v>
      </c>
      <c r="H13071" s="243" t="str" cm="1">
        <f t="array" ref="H13071">IFERROR(INDEX(INVESTOR_LIST[INVESTOR NAME],MATCH(I13071,INVESTOR_LIST[INVESTOR CODE],0),)," ")</f>
        <v xml:space="preserve"> </v>
      </c>
      <c r="I13071" s="263" t="s">
        <v>348</v>
      </c>
      <c r="J13071" s="244" t="s">
        <v>82</v>
      </c>
      <c r="K13071" s="245"/>
      <c r="L13071" s="245">
        <f>K13070</f>
        <v>520187.00999999046</v>
      </c>
    </row>
    <row r="13072" spans="1:13" ht="22.5" x14ac:dyDescent="0.2">
      <c r="A13072" s="246">
        <v>2025</v>
      </c>
      <c r="B13072" s="238">
        <v>3</v>
      </c>
      <c r="C13072" s="238">
        <v>13</v>
      </c>
      <c r="D13072" s="270">
        <f t="shared" si="1942"/>
        <v>45729</v>
      </c>
      <c r="E13072" s="279">
        <f t="shared" si="1943"/>
        <v>45729</v>
      </c>
      <c r="F13072" s="482" t="s">
        <v>148</v>
      </c>
      <c r="G13072" s="247" t="s">
        <v>94</v>
      </c>
      <c r="H13072" s="247" t="str" cm="1">
        <f t="array" ref="H13072">IFERROR(INDEX(INVESTOR_LIST[INVESTOR NAME],MATCH(I13072,INVESTOR_LIST[INVESTOR CODE],0),)," ")</f>
        <v xml:space="preserve"> </v>
      </c>
      <c r="I13072" s="248" t="s">
        <v>348</v>
      </c>
      <c r="J13072" s="249" t="s">
        <v>95</v>
      </c>
      <c r="K13072" s="250">
        <v>2747.2527472527472</v>
      </c>
      <c r="L13072" s="241"/>
    </row>
    <row r="13073" spans="1:13" x14ac:dyDescent="0.2">
      <c r="A13073" s="242">
        <v>2025</v>
      </c>
      <c r="B13073" s="242">
        <v>3</v>
      </c>
      <c r="C13073" s="242">
        <v>13</v>
      </c>
      <c r="D13073" s="270">
        <f t="shared" si="1942"/>
        <v>45729</v>
      </c>
      <c r="E13073" s="279">
        <f t="shared" si="1943"/>
        <v>45729</v>
      </c>
      <c r="F13073" s="478"/>
      <c r="G13073" s="243" t="s">
        <v>94</v>
      </c>
      <c r="H13073" s="243" t="str" cm="1">
        <f t="array" ref="H13073">IFERROR(INDEX(INVESTOR_LIST[INVESTOR NAME],MATCH(I13073,INVESTOR_LIST[INVESTOR CODE],0),)," ")</f>
        <v xml:space="preserve"> </v>
      </c>
      <c r="I13073" s="263" t="s">
        <v>348</v>
      </c>
      <c r="J13073" s="244" t="s">
        <v>63</v>
      </c>
      <c r="K13073" s="245"/>
      <c r="L13073" s="245">
        <v>2747.2527472527472</v>
      </c>
    </row>
    <row r="13074" spans="1:13" x14ac:dyDescent="0.2">
      <c r="A13074" s="246">
        <v>2025</v>
      </c>
      <c r="B13074" s="238">
        <v>3</v>
      </c>
      <c r="C13074" s="238">
        <v>13</v>
      </c>
      <c r="D13074" s="270">
        <f t="shared" si="1942"/>
        <v>45729</v>
      </c>
      <c r="E13074" s="279">
        <f t="shared" si="1943"/>
        <v>45729</v>
      </c>
      <c r="F13074" s="482" t="s">
        <v>137</v>
      </c>
      <c r="G13074" s="247" t="s">
        <v>94</v>
      </c>
      <c r="H13074" s="247" t="str" cm="1">
        <f t="array" ref="H13074">IFERROR(INDEX(INVESTOR_LIST[INVESTOR NAME],MATCH(I13074,INVESTOR_LIST[INVESTOR CODE],0),)," ")</f>
        <v xml:space="preserve"> </v>
      </c>
      <c r="I13074" s="248" t="s">
        <v>348</v>
      </c>
      <c r="J13074" s="249" t="s">
        <v>97</v>
      </c>
      <c r="K13074" s="250">
        <f>M13074</f>
        <v>60217.885850749728</v>
      </c>
      <c r="L13074" s="252"/>
      <c r="M13074" s="133">
        <v>60217.885850749728</v>
      </c>
    </row>
    <row r="13075" spans="1:13" x14ac:dyDescent="0.2">
      <c r="A13075" s="242">
        <v>2025</v>
      </c>
      <c r="B13075" s="242">
        <v>3</v>
      </c>
      <c r="C13075" s="242">
        <v>13</v>
      </c>
      <c r="D13075" s="270">
        <f t="shared" si="1942"/>
        <v>45729</v>
      </c>
      <c r="E13075" s="279">
        <f t="shared" si="1943"/>
        <v>45729</v>
      </c>
      <c r="F13075" s="478"/>
      <c r="G13075" s="243" t="s">
        <v>94</v>
      </c>
      <c r="H13075" s="243" t="str" cm="1">
        <f t="array" ref="H13075">IFERROR(INDEX(INVESTOR_LIST[INVESTOR NAME],MATCH(I13075,INVESTOR_LIST[INVESTOR CODE],0),)," ")</f>
        <v xml:space="preserve"> </v>
      </c>
      <c r="I13075" s="263" t="s">
        <v>348</v>
      </c>
      <c r="J13075" s="244" t="s">
        <v>47</v>
      </c>
      <c r="K13075" s="245"/>
      <c r="L13075" s="245">
        <f>K13074</f>
        <v>60217.885850749728</v>
      </c>
      <c r="M13075" s="133">
        <v>2770.5096771528706</v>
      </c>
    </row>
    <row r="13076" spans="1:13" x14ac:dyDescent="0.2">
      <c r="A13076" s="246">
        <v>2025</v>
      </c>
      <c r="B13076" s="238">
        <v>3</v>
      </c>
      <c r="C13076" s="238">
        <v>13</v>
      </c>
      <c r="D13076" s="270">
        <f t="shared" si="1942"/>
        <v>45729</v>
      </c>
      <c r="E13076" s="279">
        <f t="shared" si="1943"/>
        <v>45729</v>
      </c>
      <c r="F13076" s="482" t="s">
        <v>138</v>
      </c>
      <c r="G13076" s="247" t="s">
        <v>94</v>
      </c>
      <c r="H13076" s="247" t="str" cm="1">
        <f t="array" ref="H13076">IFERROR(INDEX(INVESTOR_LIST[INVESTOR NAME],MATCH(I13076,INVESTOR_LIST[INVESTOR CODE],0),)," ")</f>
        <v xml:space="preserve"> </v>
      </c>
      <c r="I13076" s="248" t="s">
        <v>348</v>
      </c>
      <c r="J13076" s="249" t="s">
        <v>100</v>
      </c>
      <c r="K13076" s="250">
        <f>M13075</f>
        <v>2770.5096771528706</v>
      </c>
      <c r="L13076" s="252"/>
    </row>
    <row r="13077" spans="1:13" x14ac:dyDescent="0.2">
      <c r="A13077" s="242">
        <v>2025</v>
      </c>
      <c r="B13077" s="242">
        <v>3</v>
      </c>
      <c r="C13077" s="242">
        <v>13</v>
      </c>
      <c r="D13077" s="321">
        <f t="shared" si="1942"/>
        <v>45729</v>
      </c>
      <c r="E13077" s="322">
        <f t="shared" si="1943"/>
        <v>45729</v>
      </c>
      <c r="F13077" s="478"/>
      <c r="G13077" s="243" t="s">
        <v>94</v>
      </c>
      <c r="H13077" s="243" t="str" cm="1">
        <f t="array" ref="H13077">IFERROR(INDEX(INVESTOR_LIST[INVESTOR NAME],MATCH(I13077,INVESTOR_LIST[INVESTOR CODE],0),)," ")</f>
        <v xml:space="preserve"> </v>
      </c>
      <c r="I13077" s="263" t="s">
        <v>348</v>
      </c>
      <c r="J13077" s="244" t="s">
        <v>48</v>
      </c>
      <c r="K13077" s="245"/>
      <c r="L13077" s="245">
        <f>K13076</f>
        <v>2770.5096771528706</v>
      </c>
    </row>
    <row r="13078" spans="1:13" x14ac:dyDescent="0.2">
      <c r="A13078" s="168">
        <v>2025</v>
      </c>
      <c r="B13078" s="168">
        <v>3</v>
      </c>
      <c r="C13078" s="133">
        <v>16</v>
      </c>
      <c r="D13078" s="141">
        <f t="shared" si="1942"/>
        <v>45732</v>
      </c>
      <c r="E13078" s="275">
        <f t="shared" si="1943"/>
        <v>45732</v>
      </c>
      <c r="F13078" s="481" t="s">
        <v>2006</v>
      </c>
      <c r="G13078" s="174" t="s">
        <v>74</v>
      </c>
      <c r="H13078" s="174" t="str" cm="1">
        <f t="array" ref="H13078">IFERROR(INDEX(INVESTOR_LIST[INVESTOR NAME],MATCH(I13078,INVESTOR_LIST[INVESTOR CODE],0),)," ")</f>
        <v xml:space="preserve"> </v>
      </c>
      <c r="J13078" s="149" t="s">
        <v>534</v>
      </c>
      <c r="K13078" s="218">
        <v>122.12</v>
      </c>
      <c r="L13078" s="218"/>
    </row>
    <row r="13079" spans="1:13" x14ac:dyDescent="0.2">
      <c r="A13079" s="163">
        <v>2025</v>
      </c>
      <c r="B13079" s="163">
        <v>3</v>
      </c>
      <c r="C13079" s="163">
        <v>16</v>
      </c>
      <c r="D13079" s="280">
        <f t="shared" si="1942"/>
        <v>45732</v>
      </c>
      <c r="E13079" s="281">
        <f t="shared" si="1943"/>
        <v>45732</v>
      </c>
      <c r="F13079" s="480"/>
      <c r="G13079" s="221" t="s">
        <v>74</v>
      </c>
      <c r="H13079" s="221" t="str" cm="1">
        <f t="array" ref="H13079">IFERROR(INDEX(INVESTOR_LIST[INVESTOR NAME],MATCH(I13079,INVESTOR_LIST[INVESTOR CODE],0),)," ")</f>
        <v xml:space="preserve"> </v>
      </c>
      <c r="I13079" s="145"/>
      <c r="J13079" s="146" t="s">
        <v>52</v>
      </c>
      <c r="K13079" s="219"/>
      <c r="L13079" s="219">
        <v>122.12</v>
      </c>
    </row>
    <row r="13080" spans="1:13" ht="11.25" customHeight="1" x14ac:dyDescent="0.2">
      <c r="A13080" s="168">
        <v>2025</v>
      </c>
      <c r="B13080" s="168">
        <v>3</v>
      </c>
      <c r="C13080" s="133">
        <v>16</v>
      </c>
      <c r="D13080" s="141">
        <f t="shared" si="1942"/>
        <v>45732</v>
      </c>
      <c r="E13080" s="275">
        <f t="shared" si="1943"/>
        <v>45732</v>
      </c>
      <c r="F13080" s="479" t="s">
        <v>1315</v>
      </c>
      <c r="G13080" s="220" t="s">
        <v>74</v>
      </c>
      <c r="H13080" s="142" t="str" cm="1">
        <f t="array" ref="H13080">IFERROR(INDEX(INVESTOR_LIST[INVESTOR NAME],MATCH(I13080,INVESTOR_LIST[INVESTOR CODE],0),)," ")</f>
        <v>RASHEDUL ISLAM</v>
      </c>
      <c r="I13080" s="142" t="s">
        <v>1476</v>
      </c>
      <c r="J13080" s="168" t="s">
        <v>13</v>
      </c>
      <c r="K13080" s="226">
        <v>3960</v>
      </c>
      <c r="L13080" s="226"/>
    </row>
    <row r="13081" spans="1:13" ht="11.25" customHeight="1" x14ac:dyDescent="0.2">
      <c r="A13081" s="133">
        <v>2025</v>
      </c>
      <c r="B13081" s="133">
        <v>3</v>
      </c>
      <c r="C13081" s="133">
        <v>16</v>
      </c>
      <c r="D13081" s="141">
        <f t="shared" si="1942"/>
        <v>45732</v>
      </c>
      <c r="E13081" s="275">
        <f t="shared" si="1943"/>
        <v>45732</v>
      </c>
      <c r="F13081" s="481"/>
      <c r="G13081" s="174" t="s">
        <v>74</v>
      </c>
      <c r="H13081" s="148" t="str" cm="1">
        <f t="array" ref="H13081">IFERROR(INDEX(INVESTOR_LIST[INVESTOR NAME],MATCH(I13081,INVESTOR_LIST[INVESTOR CODE],0),)," ")</f>
        <v>RASHEDUL ISLAM</v>
      </c>
      <c r="I13081" s="148" t="s">
        <v>1476</v>
      </c>
      <c r="J13081" s="133" t="s">
        <v>53</v>
      </c>
      <c r="K13081" s="218">
        <v>1040</v>
      </c>
      <c r="L13081" s="218"/>
    </row>
    <row r="13082" spans="1:13" ht="11.25" customHeight="1" x14ac:dyDescent="0.2">
      <c r="A13082" s="163">
        <v>2025</v>
      </c>
      <c r="B13082" s="163">
        <v>3</v>
      </c>
      <c r="C13082" s="163">
        <v>16</v>
      </c>
      <c r="D13082" s="280">
        <f t="shared" si="1942"/>
        <v>45732</v>
      </c>
      <c r="E13082" s="281">
        <f t="shared" si="1943"/>
        <v>45732</v>
      </c>
      <c r="F13082" s="480"/>
      <c r="G13082" s="221" t="s">
        <v>74</v>
      </c>
      <c r="H13082" s="145" t="str" cm="1">
        <f t="array" ref="H13082">IFERROR(INDEX(INVESTOR_LIST[INVESTOR NAME],MATCH(I13082,INVESTOR_LIST[INVESTOR CODE],0),)," ")</f>
        <v>RASHEDUL ISLAM</v>
      </c>
      <c r="I13082" s="145" t="s">
        <v>1476</v>
      </c>
      <c r="J13082" s="163" t="s">
        <v>52</v>
      </c>
      <c r="K13082" s="219"/>
      <c r="L13082" s="219">
        <v>5000</v>
      </c>
    </row>
    <row r="13083" spans="1:13" ht="11.25" customHeight="1" x14ac:dyDescent="0.2">
      <c r="A13083" s="168">
        <v>2025</v>
      </c>
      <c r="B13083" s="168">
        <v>3</v>
      </c>
      <c r="C13083" s="133">
        <v>16</v>
      </c>
      <c r="D13083" s="141">
        <f t="shared" ref="D13083:D13088" si="1944">DATE(A13083,B13083,C13083)</f>
        <v>45732</v>
      </c>
      <c r="E13083" s="275">
        <f t="shared" ref="E13083:E13088" si="1945">DATE(A13083,B13083,C13083)</f>
        <v>45732</v>
      </c>
      <c r="F13083" s="479" t="s">
        <v>1315</v>
      </c>
      <c r="G13083" s="220" t="s">
        <v>74</v>
      </c>
      <c r="H13083" s="142" t="str" cm="1">
        <f t="array" ref="H13083">IFERROR(INDEX(INVESTOR_LIST[INVESTOR NAME],MATCH(I13083,INVESTOR_LIST[INVESTOR CODE],0),)," ")</f>
        <v>MD KAMRUL ISLAM</v>
      </c>
      <c r="I13083" s="142" t="s">
        <v>516</v>
      </c>
      <c r="J13083" s="168" t="s">
        <v>13</v>
      </c>
      <c r="K13083" s="226">
        <v>49100</v>
      </c>
      <c r="L13083" s="226"/>
    </row>
    <row r="13084" spans="1:13" ht="11.25" customHeight="1" x14ac:dyDescent="0.2">
      <c r="A13084" s="133">
        <v>2025</v>
      </c>
      <c r="B13084" s="133">
        <v>3</v>
      </c>
      <c r="C13084" s="133">
        <v>16</v>
      </c>
      <c r="D13084" s="141">
        <f t="shared" si="1944"/>
        <v>45732</v>
      </c>
      <c r="E13084" s="275">
        <f t="shared" si="1945"/>
        <v>45732</v>
      </c>
      <c r="F13084" s="481"/>
      <c r="G13084" s="174" t="s">
        <v>74</v>
      </c>
      <c r="H13084" s="148" t="str" cm="1">
        <f t="array" ref="H13084">IFERROR(INDEX(INVESTOR_LIST[INVESTOR NAME],MATCH(I13084,INVESTOR_LIST[INVESTOR CODE],0),)," ")</f>
        <v>MD KAMRUL ISLAM</v>
      </c>
      <c r="I13084" s="148" t="s">
        <v>516</v>
      </c>
      <c r="J13084" s="133" t="s">
        <v>53</v>
      </c>
      <c r="K13084" s="218">
        <v>12942.760000000002</v>
      </c>
      <c r="L13084" s="218"/>
    </row>
    <row r="13085" spans="1:13" ht="11.25" customHeight="1" x14ac:dyDescent="0.2">
      <c r="A13085" s="163">
        <v>2025</v>
      </c>
      <c r="B13085" s="163">
        <v>3</v>
      </c>
      <c r="C13085" s="163">
        <v>16</v>
      </c>
      <c r="D13085" s="280">
        <f t="shared" si="1944"/>
        <v>45732</v>
      </c>
      <c r="E13085" s="281">
        <f t="shared" si="1945"/>
        <v>45732</v>
      </c>
      <c r="F13085" s="480"/>
      <c r="G13085" s="221" t="s">
        <v>74</v>
      </c>
      <c r="H13085" s="145" t="str" cm="1">
        <f t="array" ref="H13085">IFERROR(INDEX(INVESTOR_LIST[INVESTOR NAME],MATCH(I13085,INVESTOR_LIST[INVESTOR CODE],0),)," ")</f>
        <v>MD KAMRUL ISLAM</v>
      </c>
      <c r="I13085" s="145" t="s">
        <v>516</v>
      </c>
      <c r="J13085" s="163" t="s">
        <v>52</v>
      </c>
      <c r="K13085" s="219"/>
      <c r="L13085" s="219">
        <v>62042.76</v>
      </c>
    </row>
    <row r="13086" spans="1:13" ht="11.25" customHeight="1" x14ac:dyDescent="0.2">
      <c r="A13086" s="168">
        <v>2025</v>
      </c>
      <c r="B13086" s="168">
        <v>3</v>
      </c>
      <c r="C13086" s="133">
        <v>16</v>
      </c>
      <c r="D13086" s="141">
        <f t="shared" si="1944"/>
        <v>45732</v>
      </c>
      <c r="E13086" s="275">
        <f t="shared" si="1945"/>
        <v>45732</v>
      </c>
      <c r="F13086" s="479" t="s">
        <v>964</v>
      </c>
      <c r="G13086" s="220" t="s">
        <v>74</v>
      </c>
      <c r="H13086" s="142" t="str" cm="1">
        <f t="array" ref="H13086">IFERROR(INDEX(INVESTOR_LIST[INVESTOR NAME],MATCH(I13086,INVESTOR_LIST[INVESTOR CODE],0),)," ")</f>
        <v xml:space="preserve"> </v>
      </c>
      <c r="I13086" s="142"/>
      <c r="J13086" s="168" t="s">
        <v>52</v>
      </c>
      <c r="K13086" s="226">
        <v>60000</v>
      </c>
      <c r="L13086" s="226"/>
    </row>
    <row r="13087" spans="1:13" ht="11.25" customHeight="1" x14ac:dyDescent="0.2">
      <c r="A13087" s="133">
        <v>2025</v>
      </c>
      <c r="B13087" s="133">
        <v>3</v>
      </c>
      <c r="C13087" s="133">
        <v>16</v>
      </c>
      <c r="D13087" s="141">
        <f t="shared" si="1944"/>
        <v>45732</v>
      </c>
      <c r="E13087" s="275">
        <f t="shared" si="1945"/>
        <v>45732</v>
      </c>
      <c r="F13087" s="481"/>
      <c r="G13087" s="174" t="s">
        <v>74</v>
      </c>
      <c r="H13087" s="148" t="str" cm="1">
        <f t="array" ref="H13087">IFERROR(INDEX(INVESTOR_LIST[INVESTOR NAME],MATCH(I13087,INVESTOR_LIST[INVESTOR CODE],0),)," ")</f>
        <v xml:space="preserve"> </v>
      </c>
      <c r="J13087" s="133" t="s">
        <v>13</v>
      </c>
      <c r="K13087" s="218"/>
      <c r="L13087" s="218">
        <v>47480</v>
      </c>
    </row>
    <row r="13088" spans="1:13" ht="11.25" customHeight="1" x14ac:dyDescent="0.2">
      <c r="A13088" s="163">
        <v>2025</v>
      </c>
      <c r="B13088" s="163">
        <v>3</v>
      </c>
      <c r="C13088" s="163">
        <v>16</v>
      </c>
      <c r="D13088" s="280">
        <f t="shared" si="1944"/>
        <v>45732</v>
      </c>
      <c r="E13088" s="281">
        <f t="shared" si="1945"/>
        <v>45732</v>
      </c>
      <c r="F13088" s="480"/>
      <c r="G13088" s="221" t="s">
        <v>74</v>
      </c>
      <c r="H13088" s="145" t="str" cm="1">
        <f t="array" ref="H13088">IFERROR(INDEX(INVESTOR_LIST[INVESTOR NAME],MATCH(I13088,INVESTOR_LIST[INVESTOR CODE],0),)," ")</f>
        <v xml:space="preserve"> </v>
      </c>
      <c r="I13088" s="145"/>
      <c r="J13088" s="163" t="s">
        <v>53</v>
      </c>
      <c r="K13088" s="219"/>
      <c r="L13088" s="219">
        <v>12520</v>
      </c>
    </row>
    <row r="13089" spans="1:13" ht="11.25" customHeight="1" x14ac:dyDescent="0.2">
      <c r="A13089" s="168">
        <v>2025</v>
      </c>
      <c r="B13089" s="168">
        <v>3</v>
      </c>
      <c r="C13089" s="133">
        <v>16</v>
      </c>
      <c r="D13089" s="141">
        <f t="shared" ref="D13089:D13091" si="1946">DATE(A13089,B13089,C13089)</f>
        <v>45732</v>
      </c>
      <c r="E13089" s="275">
        <f t="shared" ref="E13089:E13091" si="1947">DATE(A13089,B13089,C13089)</f>
        <v>45732</v>
      </c>
      <c r="F13089" s="479" t="s">
        <v>1319</v>
      </c>
      <c r="G13089" s="220" t="s">
        <v>74</v>
      </c>
      <c r="H13089" s="142" t="str" cm="1">
        <f t="array" ref="H13089">IFERROR(INDEX(INVESTOR_LIST[INVESTOR NAME],MATCH(I13089,INVESTOR_LIST[INVESTOR CODE],0),)," ")</f>
        <v xml:space="preserve"> </v>
      </c>
      <c r="I13089" s="142"/>
      <c r="J13089" s="168" t="s">
        <v>52</v>
      </c>
      <c r="K13089" s="226">
        <v>2000</v>
      </c>
      <c r="L13089" s="226"/>
    </row>
    <row r="13090" spans="1:13" ht="11.25" customHeight="1" x14ac:dyDescent="0.2">
      <c r="A13090" s="133">
        <v>2025</v>
      </c>
      <c r="B13090" s="133">
        <v>3</v>
      </c>
      <c r="C13090" s="133">
        <v>16</v>
      </c>
      <c r="D13090" s="141">
        <f t="shared" si="1946"/>
        <v>45732</v>
      </c>
      <c r="E13090" s="275">
        <f t="shared" si="1947"/>
        <v>45732</v>
      </c>
      <c r="F13090" s="481"/>
      <c r="G13090" s="174" t="s">
        <v>74</v>
      </c>
      <c r="H13090" s="148" t="str" cm="1">
        <f t="array" ref="H13090">IFERROR(INDEX(INVESTOR_LIST[INVESTOR NAME],MATCH(I13090,INVESTOR_LIST[INVESTOR CODE],0),)," ")</f>
        <v xml:space="preserve"> </v>
      </c>
      <c r="J13090" s="133" t="s">
        <v>13</v>
      </c>
      <c r="K13090" s="218"/>
      <c r="L13090" s="218">
        <v>1580</v>
      </c>
    </row>
    <row r="13091" spans="1:13" ht="11.25" customHeight="1" x14ac:dyDescent="0.2">
      <c r="A13091" s="163">
        <v>2025</v>
      </c>
      <c r="B13091" s="163">
        <v>3</v>
      </c>
      <c r="C13091" s="163">
        <v>16</v>
      </c>
      <c r="D13091" s="280">
        <f t="shared" si="1946"/>
        <v>45732</v>
      </c>
      <c r="E13091" s="281">
        <f t="shared" si="1947"/>
        <v>45732</v>
      </c>
      <c r="F13091" s="480"/>
      <c r="G13091" s="221" t="s">
        <v>74</v>
      </c>
      <c r="H13091" s="145" t="str" cm="1">
        <f t="array" ref="H13091">IFERROR(INDEX(INVESTOR_LIST[INVESTOR NAME],MATCH(I13091,INVESTOR_LIST[INVESTOR CODE],0),)," ")</f>
        <v xml:space="preserve"> </v>
      </c>
      <c r="I13091" s="145"/>
      <c r="J13091" s="163" t="s">
        <v>53</v>
      </c>
      <c r="K13091" s="219"/>
      <c r="L13091" s="219">
        <v>420</v>
      </c>
    </row>
    <row r="13092" spans="1:13" ht="11.25" customHeight="1" x14ac:dyDescent="0.2">
      <c r="A13092" s="168">
        <v>2025</v>
      </c>
      <c r="B13092" s="168">
        <v>3</v>
      </c>
      <c r="C13092" s="133">
        <v>17</v>
      </c>
      <c r="D13092" s="141">
        <f t="shared" ref="D13092:D13094" si="1948">DATE(A13092,B13092,C13092)</f>
        <v>45733</v>
      </c>
      <c r="E13092" s="275">
        <f t="shared" ref="E13092:E13094" si="1949">DATE(A13092,B13092,C13092)</f>
        <v>45733</v>
      </c>
      <c r="F13092" s="479" t="s">
        <v>1315</v>
      </c>
      <c r="G13092" s="220" t="s">
        <v>74</v>
      </c>
      <c r="H13092" s="142" t="str" cm="1">
        <f t="array" ref="H13092">IFERROR(INDEX(INVESTOR_LIST[INVESTOR NAME],MATCH(I13092,INVESTOR_LIST[INVESTOR CODE],0),)," ")</f>
        <v>MD. ZAKIR HOSSEN</v>
      </c>
      <c r="I13092" s="142" t="s">
        <v>386</v>
      </c>
      <c r="J13092" s="168" t="s">
        <v>13</v>
      </c>
      <c r="K13092" s="226">
        <v>5000</v>
      </c>
      <c r="L13092" s="226"/>
    </row>
    <row r="13093" spans="1:13" ht="11.25" customHeight="1" x14ac:dyDescent="0.2">
      <c r="A13093" s="133">
        <v>2025</v>
      </c>
      <c r="B13093" s="133">
        <v>3</v>
      </c>
      <c r="C13093" s="133">
        <v>17</v>
      </c>
      <c r="D13093" s="141">
        <f t="shared" si="1948"/>
        <v>45733</v>
      </c>
      <c r="E13093" s="275">
        <f t="shared" si="1949"/>
        <v>45733</v>
      </c>
      <c r="F13093" s="481"/>
      <c r="G13093" s="174" t="s">
        <v>74</v>
      </c>
      <c r="H13093" s="148" t="str" cm="1">
        <f t="array" ref="H13093">IFERROR(INDEX(INVESTOR_LIST[INVESTOR NAME],MATCH(I13093,INVESTOR_LIST[INVESTOR CODE],0),)," ")</f>
        <v>MD. ZAKIR HOSSEN</v>
      </c>
      <c r="I13093" s="148" t="s">
        <v>386</v>
      </c>
      <c r="J13093" s="133" t="s">
        <v>53</v>
      </c>
      <c r="K13093" s="218">
        <v>1318</v>
      </c>
      <c r="L13093" s="218"/>
    </row>
    <row r="13094" spans="1:13" ht="11.25" customHeight="1" x14ac:dyDescent="0.2">
      <c r="A13094" s="163">
        <v>2025</v>
      </c>
      <c r="B13094" s="163">
        <v>3</v>
      </c>
      <c r="C13094" s="163">
        <v>17</v>
      </c>
      <c r="D13094" s="280">
        <f t="shared" si="1948"/>
        <v>45733</v>
      </c>
      <c r="E13094" s="281">
        <f t="shared" si="1949"/>
        <v>45733</v>
      </c>
      <c r="F13094" s="480"/>
      <c r="G13094" s="221" t="s">
        <v>74</v>
      </c>
      <c r="H13094" s="145" t="str" cm="1">
        <f t="array" ref="H13094">IFERROR(INDEX(INVESTOR_LIST[INVESTOR NAME],MATCH(I13094,INVESTOR_LIST[INVESTOR CODE],0),)," ")</f>
        <v>MD. ZAKIR HOSSEN</v>
      </c>
      <c r="I13094" s="145" t="s">
        <v>386</v>
      </c>
      <c r="J13094" s="163" t="s">
        <v>52</v>
      </c>
      <c r="K13094" s="219"/>
      <c r="L13094" s="219">
        <v>6318</v>
      </c>
    </row>
    <row r="13095" spans="1:13" x14ac:dyDescent="0.2">
      <c r="A13095" s="168">
        <v>2025</v>
      </c>
      <c r="B13095" s="168">
        <v>3</v>
      </c>
      <c r="C13095" s="168">
        <v>17</v>
      </c>
      <c r="D13095" s="141">
        <f>DATE(A13095,B13095,C13095)</f>
        <v>45733</v>
      </c>
      <c r="E13095" s="275">
        <f>DATE(A13095,B13095,C13095)</f>
        <v>45733</v>
      </c>
      <c r="F13095" s="479" t="s">
        <v>2043</v>
      </c>
      <c r="G13095" s="220" t="s">
        <v>94</v>
      </c>
      <c r="H13095" s="142" t="str" cm="1">
        <f t="array" ref="H13095">IFERROR(INDEX(INVESTOR_LIST[INVESTOR NAME],MATCH(I13095,INVESTOR_LIST[INVESTOR CODE],0),)," ")</f>
        <v xml:space="preserve"> </v>
      </c>
      <c r="I13095" s="142"/>
      <c r="J13095" s="168" t="s">
        <v>358</v>
      </c>
      <c r="K13095" s="226">
        <v>3078035.96</v>
      </c>
      <c r="L13095" s="226"/>
    </row>
    <row r="13096" spans="1:13" x14ac:dyDescent="0.2">
      <c r="A13096" s="163">
        <v>2025</v>
      </c>
      <c r="B13096" s="163">
        <v>3</v>
      </c>
      <c r="C13096" s="163">
        <v>17</v>
      </c>
      <c r="D13096" s="280">
        <f>DATE(A13096,B13096,C13096)</f>
        <v>45733</v>
      </c>
      <c r="E13096" s="281">
        <f>DATE(A13096,B13096,C13096)</f>
        <v>45733</v>
      </c>
      <c r="F13096" s="480"/>
      <c r="G13096" s="221" t="s">
        <v>94</v>
      </c>
      <c r="H13096" s="145" t="str" cm="1">
        <f t="array" ref="H13096">IFERROR(INDEX(INVESTOR_LIST[INVESTOR NAME],MATCH(I13096,INVESTOR_LIST[INVESTOR CODE],0),)," ")</f>
        <v xml:space="preserve"> </v>
      </c>
      <c r="I13096" s="145"/>
      <c r="J13096" s="163" t="s">
        <v>52</v>
      </c>
      <c r="K13096" s="219"/>
      <c r="L13096" s="219">
        <v>3078035.96</v>
      </c>
    </row>
    <row r="13097" spans="1:13" ht="11.25" customHeight="1" x14ac:dyDescent="0.2">
      <c r="A13097" s="168">
        <v>2025</v>
      </c>
      <c r="B13097" s="168">
        <v>3</v>
      </c>
      <c r="C13097" s="133">
        <v>18</v>
      </c>
      <c r="D13097" s="141">
        <f t="shared" ref="D13097:D13099" si="1950">DATE(A13097,B13097,C13097)</f>
        <v>45734</v>
      </c>
      <c r="E13097" s="275">
        <f t="shared" ref="E13097:E13099" si="1951">DATE(A13097,B13097,C13097)</f>
        <v>45734</v>
      </c>
      <c r="F13097" s="479" t="s">
        <v>1315</v>
      </c>
      <c r="G13097" s="220" t="s">
        <v>74</v>
      </c>
      <c r="H13097" s="142" t="str" cm="1">
        <f t="array" ref="H13097">IFERROR(INDEX(INVESTOR_LIST[INVESTOR NAME],MATCH(I13097,INVESTOR_LIST[INVESTOR CODE],0),)," ")</f>
        <v>SWADESH RANJAN SAHA</v>
      </c>
      <c r="I13097" s="142" t="s">
        <v>461</v>
      </c>
      <c r="J13097" s="168" t="s">
        <v>13</v>
      </c>
      <c r="K13097" s="226">
        <v>474830</v>
      </c>
      <c r="L13097" s="226"/>
    </row>
    <row r="13098" spans="1:13" ht="11.25" customHeight="1" x14ac:dyDescent="0.2">
      <c r="A13098" s="133">
        <v>2025</v>
      </c>
      <c r="B13098" s="133">
        <v>3</v>
      </c>
      <c r="C13098" s="133">
        <v>18</v>
      </c>
      <c r="D13098" s="141">
        <f t="shared" si="1950"/>
        <v>45734</v>
      </c>
      <c r="E13098" s="275">
        <f t="shared" si="1951"/>
        <v>45734</v>
      </c>
      <c r="F13098" s="481"/>
      <c r="G13098" s="174" t="s">
        <v>74</v>
      </c>
      <c r="H13098" s="148" t="str" cm="1">
        <f t="array" ref="H13098">IFERROR(INDEX(INVESTOR_LIST[INVESTOR NAME],MATCH(I13098,INVESTOR_LIST[INVESTOR CODE],0),)," ")</f>
        <v>SWADESH RANJAN SAHA</v>
      </c>
      <c r="I13098" s="148" t="s">
        <v>461</v>
      </c>
      <c r="J13098" s="133" t="s">
        <v>53</v>
      </c>
      <c r="K13098" s="218">
        <v>125170</v>
      </c>
      <c r="L13098" s="218"/>
    </row>
    <row r="13099" spans="1:13" ht="11.25" customHeight="1" x14ac:dyDescent="0.2">
      <c r="A13099" s="163">
        <v>2025</v>
      </c>
      <c r="B13099" s="163">
        <v>3</v>
      </c>
      <c r="C13099" s="163">
        <v>18</v>
      </c>
      <c r="D13099" s="280">
        <f t="shared" si="1950"/>
        <v>45734</v>
      </c>
      <c r="E13099" s="281">
        <f t="shared" si="1951"/>
        <v>45734</v>
      </c>
      <c r="F13099" s="480"/>
      <c r="G13099" s="221" t="s">
        <v>74</v>
      </c>
      <c r="H13099" s="145" t="str" cm="1">
        <f t="array" ref="H13099">IFERROR(INDEX(INVESTOR_LIST[INVESTOR NAME],MATCH(I13099,INVESTOR_LIST[INVESTOR CODE],0),)," ")</f>
        <v>SWADESH RANJAN SAHA</v>
      </c>
      <c r="I13099" s="145" t="s">
        <v>461</v>
      </c>
      <c r="J13099" s="163" t="s">
        <v>52</v>
      </c>
      <c r="K13099" s="219"/>
      <c r="L13099" s="219">
        <v>600000</v>
      </c>
    </row>
    <row r="13100" spans="1:13" x14ac:dyDescent="0.2">
      <c r="A13100" s="168">
        <v>2025</v>
      </c>
      <c r="B13100" s="133">
        <v>3</v>
      </c>
      <c r="C13100" s="168">
        <v>18</v>
      </c>
      <c r="D13100" s="147">
        <f>DATE(A13100,B13100,C13100)</f>
        <v>45734</v>
      </c>
      <c r="E13100" s="311">
        <f>DATE(A13100,B13100,C13100)</f>
        <v>45734</v>
      </c>
      <c r="F13100" s="481" t="s">
        <v>1943</v>
      </c>
      <c r="G13100" s="174" t="s">
        <v>74</v>
      </c>
      <c r="H13100" s="148" t="str" cm="1">
        <f t="array" ref="H13100">IFERROR(INDEX(INVESTOR_LIST[INVESTOR NAME],MATCH(I13100,INVESTOR_LIST[INVESTOR CODE],0),)," ")</f>
        <v xml:space="preserve"> </v>
      </c>
      <c r="I13100" s="148" t="s">
        <v>348</v>
      </c>
      <c r="J13100" s="133" t="s">
        <v>61</v>
      </c>
      <c r="K13100" s="172">
        <v>100</v>
      </c>
    </row>
    <row r="13101" spans="1:13" x14ac:dyDescent="0.2">
      <c r="A13101" s="163">
        <v>2025</v>
      </c>
      <c r="B13101" s="163">
        <v>3</v>
      </c>
      <c r="C13101" s="163">
        <v>18</v>
      </c>
      <c r="D13101" s="280">
        <f>DATE(A13101,B13101,C13101)</f>
        <v>45734</v>
      </c>
      <c r="E13101" s="281">
        <f>DATE(A13101,B13101,C13101)</f>
        <v>45734</v>
      </c>
      <c r="F13101" s="480"/>
      <c r="G13101" s="221" t="s">
        <v>74</v>
      </c>
      <c r="H13101" s="145" t="str" cm="1">
        <f t="array" ref="H13101">IFERROR(INDEX(INVESTOR_LIST[INVESTOR NAME],MATCH(I13101,INVESTOR_LIST[INVESTOR CODE],0),)," ")</f>
        <v xml:space="preserve"> </v>
      </c>
      <c r="I13101" s="145" t="s">
        <v>348</v>
      </c>
      <c r="J13101" s="163" t="s">
        <v>52</v>
      </c>
      <c r="K13101" s="219"/>
      <c r="L13101" s="219">
        <v>100</v>
      </c>
    </row>
    <row r="13102" spans="1:13" x14ac:dyDescent="0.2">
      <c r="A13102" s="133">
        <v>2025</v>
      </c>
      <c r="B13102" s="133">
        <v>3</v>
      </c>
      <c r="C13102" s="133">
        <v>19</v>
      </c>
      <c r="D13102" s="141">
        <f t="shared" ref="D13102:D13105" si="1952">DATE(A13102,B13102,C13102)</f>
        <v>45735</v>
      </c>
      <c r="E13102" s="275">
        <f t="shared" ref="E13102:E13105" si="1953">DATE(A13102,B13102,C13102)</f>
        <v>45735</v>
      </c>
      <c r="F13102" s="481" t="s">
        <v>1977</v>
      </c>
      <c r="G13102" s="174" t="s">
        <v>94</v>
      </c>
      <c r="H13102" s="174" t="str" cm="1">
        <f t="array" ref="H13102">IFERROR(INDEX(INVESTOR_LIST[INVESTOR NAME],MATCH(I13102,INVESTOR_LIST[INVESTOR CODE],0),)," ")</f>
        <v xml:space="preserve"> </v>
      </c>
      <c r="J13102" s="149" t="s">
        <v>190</v>
      </c>
      <c r="K13102" s="218">
        <v>257984.79</v>
      </c>
      <c r="L13102" s="133"/>
    </row>
    <row r="13103" spans="1:13" x14ac:dyDescent="0.2">
      <c r="A13103" s="133">
        <v>2025</v>
      </c>
      <c r="B13103" s="133">
        <v>3</v>
      </c>
      <c r="C13103" s="133">
        <v>19</v>
      </c>
      <c r="D13103" s="141">
        <f t="shared" si="1952"/>
        <v>45735</v>
      </c>
      <c r="E13103" s="275">
        <f t="shared" si="1953"/>
        <v>45735</v>
      </c>
      <c r="F13103" s="481"/>
      <c r="G13103" s="174" t="s">
        <v>94</v>
      </c>
      <c r="H13103" s="174" t="str" cm="1">
        <f t="array" ref="H13103">IFERROR(INDEX(INVESTOR_LIST[INVESTOR NAME],MATCH(I13103,INVESTOR_LIST[INVESTOR CODE],0),)," ")</f>
        <v xml:space="preserve"> </v>
      </c>
      <c r="J13103" s="149" t="s">
        <v>80</v>
      </c>
      <c r="K13103" s="218">
        <v>465.21</v>
      </c>
      <c r="L13103" s="218"/>
      <c r="M13103" s="176"/>
    </row>
    <row r="13104" spans="1:13" x14ac:dyDescent="0.2">
      <c r="A13104" s="133">
        <v>2025</v>
      </c>
      <c r="B13104" s="133">
        <v>3</v>
      </c>
      <c r="C13104" s="133">
        <v>19</v>
      </c>
      <c r="D13104" s="141">
        <f t="shared" si="1952"/>
        <v>45735</v>
      </c>
      <c r="E13104" s="275">
        <f t="shared" si="1953"/>
        <v>45735</v>
      </c>
      <c r="F13104" s="481"/>
      <c r="G13104" s="174" t="s">
        <v>94</v>
      </c>
      <c r="H13104" s="174" t="str" cm="1">
        <f t="array" ref="H13104">IFERROR(INDEX(INVESTOR_LIST[INVESTOR NAME],MATCH(I13104,INVESTOR_LIST[INVESTOR CODE],0),)," ")</f>
        <v xml:space="preserve"> </v>
      </c>
      <c r="J13104" s="149" t="s">
        <v>191</v>
      </c>
      <c r="K13104" s="218"/>
      <c r="L13104" s="218">
        <v>21634.36</v>
      </c>
    </row>
    <row r="13105" spans="1:13" x14ac:dyDescent="0.2">
      <c r="A13105" s="163">
        <v>2025</v>
      </c>
      <c r="B13105" s="163">
        <v>3</v>
      </c>
      <c r="C13105" s="163">
        <v>19</v>
      </c>
      <c r="D13105" s="280">
        <f t="shared" si="1952"/>
        <v>45735</v>
      </c>
      <c r="E13105" s="281">
        <f t="shared" si="1953"/>
        <v>45735</v>
      </c>
      <c r="F13105" s="480"/>
      <c r="G13105" s="221" t="s">
        <v>94</v>
      </c>
      <c r="H13105" s="145" t="str" cm="1">
        <f t="array" ref="H13105">IFERROR(INDEX(INVESTOR_LIST[INVESTOR NAME],MATCH(I13105,INVESTOR_LIST[INVESTOR CODE],0),)," ")</f>
        <v xml:space="preserve"> </v>
      </c>
      <c r="I13105" s="145"/>
      <c r="J13105" s="163" t="s">
        <v>79</v>
      </c>
      <c r="K13105" s="219"/>
      <c r="L13105" s="219">
        <v>236815.64</v>
      </c>
    </row>
    <row r="13106" spans="1:13" x14ac:dyDescent="0.2">
      <c r="A13106" s="133">
        <v>2025</v>
      </c>
      <c r="B13106" s="133">
        <v>3</v>
      </c>
      <c r="C13106" s="133">
        <v>20</v>
      </c>
      <c r="D13106" s="141">
        <f t="shared" ref="D13106:D13109" si="1954">DATE(A13106,B13106,C13106)</f>
        <v>45736</v>
      </c>
      <c r="E13106" s="275">
        <f t="shared" ref="E13106:E13109" si="1955">DATE(A13106,B13106,C13106)</f>
        <v>45736</v>
      </c>
      <c r="F13106" s="481" t="s">
        <v>1977</v>
      </c>
      <c r="G13106" s="174" t="s">
        <v>94</v>
      </c>
      <c r="H13106" s="174" t="str" cm="1">
        <f t="array" ref="H13106">IFERROR(INDEX(INVESTOR_LIST[INVESTOR NAME],MATCH(I13106,INVESTOR_LIST[INVESTOR CODE],0),)," ")</f>
        <v xml:space="preserve"> </v>
      </c>
      <c r="J13106" s="149" t="s">
        <v>190</v>
      </c>
      <c r="K13106" s="218">
        <v>436213</v>
      </c>
      <c r="L13106" s="133"/>
    </row>
    <row r="13107" spans="1:13" x14ac:dyDescent="0.2">
      <c r="A13107" s="133">
        <v>2025</v>
      </c>
      <c r="B13107" s="133">
        <v>3</v>
      </c>
      <c r="C13107" s="133">
        <v>20</v>
      </c>
      <c r="D13107" s="141">
        <f t="shared" si="1954"/>
        <v>45736</v>
      </c>
      <c r="E13107" s="275">
        <f t="shared" si="1955"/>
        <v>45736</v>
      </c>
      <c r="F13107" s="481"/>
      <c r="G13107" s="174" t="s">
        <v>94</v>
      </c>
      <c r="H13107" s="174" t="str" cm="1">
        <f t="array" ref="H13107">IFERROR(INDEX(INVESTOR_LIST[INVESTOR NAME],MATCH(I13107,INVESTOR_LIST[INVESTOR CODE],0),)," ")</f>
        <v xml:space="preserve"> </v>
      </c>
      <c r="J13107" s="149" t="s">
        <v>80</v>
      </c>
      <c r="K13107" s="218">
        <v>787</v>
      </c>
      <c r="L13107" s="218"/>
      <c r="M13107" s="176"/>
    </row>
    <row r="13108" spans="1:13" x14ac:dyDescent="0.2">
      <c r="A13108" s="133">
        <v>2025</v>
      </c>
      <c r="B13108" s="133">
        <v>3</v>
      </c>
      <c r="C13108" s="133">
        <v>20</v>
      </c>
      <c r="D13108" s="141">
        <f t="shared" si="1954"/>
        <v>45736</v>
      </c>
      <c r="E13108" s="275">
        <f t="shared" si="1955"/>
        <v>45736</v>
      </c>
      <c r="F13108" s="481"/>
      <c r="G13108" s="174" t="s">
        <v>94</v>
      </c>
      <c r="H13108" s="174" t="str" cm="1">
        <f t="array" ref="H13108">IFERROR(INDEX(INVESTOR_LIST[INVESTOR NAME],MATCH(I13108,INVESTOR_LIST[INVESTOR CODE],0),)," ")</f>
        <v xml:space="preserve"> </v>
      </c>
      <c r="J13108" s="149" t="s">
        <v>191</v>
      </c>
      <c r="K13108" s="218"/>
      <c r="L13108" s="218">
        <v>46086.44</v>
      </c>
    </row>
    <row r="13109" spans="1:13" x14ac:dyDescent="0.2">
      <c r="A13109" s="163">
        <v>2025</v>
      </c>
      <c r="B13109" s="163">
        <v>3</v>
      </c>
      <c r="C13109" s="163">
        <v>20</v>
      </c>
      <c r="D13109" s="280">
        <f t="shared" si="1954"/>
        <v>45736</v>
      </c>
      <c r="E13109" s="281">
        <f t="shared" si="1955"/>
        <v>45736</v>
      </c>
      <c r="F13109" s="480"/>
      <c r="G13109" s="221" t="s">
        <v>94</v>
      </c>
      <c r="H13109" s="145" t="str" cm="1">
        <f t="array" ref="H13109">IFERROR(INDEX(INVESTOR_LIST[INVESTOR NAME],MATCH(I13109,INVESTOR_LIST[INVESTOR CODE],0),)," ")</f>
        <v xml:space="preserve"> </v>
      </c>
      <c r="I13109" s="145"/>
      <c r="J13109" s="163" t="s">
        <v>79</v>
      </c>
      <c r="K13109" s="219"/>
      <c r="L13109" s="219">
        <v>390913.56</v>
      </c>
    </row>
    <row r="13110" spans="1:13" x14ac:dyDescent="0.2">
      <c r="A13110" s="168">
        <v>2025</v>
      </c>
      <c r="B13110" s="168">
        <v>3</v>
      </c>
      <c r="C13110" s="133">
        <v>20</v>
      </c>
      <c r="D13110" s="141">
        <f t="shared" si="1942"/>
        <v>45736</v>
      </c>
      <c r="E13110" s="275">
        <f t="shared" si="1943"/>
        <v>45736</v>
      </c>
      <c r="F13110" s="479" t="s">
        <v>275</v>
      </c>
      <c r="G13110" s="174" t="s">
        <v>74</v>
      </c>
      <c r="H13110" s="174" t="str" cm="1">
        <f t="array" ref="H13110">IFERROR(INDEX(INVESTOR_LIST[INVESTOR NAME],MATCH(I13110,INVESTOR_LIST[INVESTOR CODE],0),)," ")</f>
        <v xml:space="preserve"> </v>
      </c>
      <c r="I13110" s="148" t="s">
        <v>348</v>
      </c>
      <c r="J13110" s="149" t="s">
        <v>163</v>
      </c>
      <c r="K13110" s="218">
        <v>1575</v>
      </c>
      <c r="L13110" s="218"/>
    </row>
    <row r="13111" spans="1:13" x14ac:dyDescent="0.2">
      <c r="A13111" s="133">
        <v>2025</v>
      </c>
      <c r="B13111" s="133">
        <v>3</v>
      </c>
      <c r="C13111" s="133">
        <v>20</v>
      </c>
      <c r="D13111" s="141">
        <f t="shared" si="1942"/>
        <v>45736</v>
      </c>
      <c r="E13111" s="275">
        <f t="shared" si="1943"/>
        <v>45736</v>
      </c>
      <c r="F13111" s="481"/>
      <c r="G13111" s="174" t="s">
        <v>74</v>
      </c>
      <c r="H13111" s="174" t="str" cm="1">
        <f t="array" ref="H13111">IFERROR(INDEX(INVESTOR_LIST[INVESTOR NAME],MATCH(I13111,INVESTOR_LIST[INVESTOR CODE],0),)," ")</f>
        <v xml:space="preserve"> </v>
      </c>
      <c r="J13111" s="149" t="s">
        <v>1907</v>
      </c>
      <c r="K13111" s="218"/>
      <c r="L13111" s="218">
        <v>150</v>
      </c>
    </row>
    <row r="13112" spans="1:13" x14ac:dyDescent="0.2">
      <c r="A13112" s="163">
        <v>2025</v>
      </c>
      <c r="B13112" s="163">
        <v>3</v>
      </c>
      <c r="C13112" s="163">
        <v>20</v>
      </c>
      <c r="D13112" s="280">
        <f t="shared" si="1942"/>
        <v>45736</v>
      </c>
      <c r="E13112" s="281">
        <f t="shared" si="1943"/>
        <v>45736</v>
      </c>
      <c r="F13112" s="480"/>
      <c r="G13112" s="221" t="s">
        <v>74</v>
      </c>
      <c r="H13112" s="221" t="str" cm="1">
        <f t="array" ref="H13112">IFERROR(INDEX(INVESTOR_LIST[INVESTOR NAME],MATCH(I13112,INVESTOR_LIST[INVESTOR CODE],0),)," ")</f>
        <v xml:space="preserve"> </v>
      </c>
      <c r="I13112" s="145"/>
      <c r="J13112" s="146" t="s">
        <v>52</v>
      </c>
      <c r="K13112" s="219"/>
      <c r="L13112" s="219">
        <v>1425</v>
      </c>
    </row>
    <row r="13113" spans="1:13" x14ac:dyDescent="0.2">
      <c r="A13113" s="168">
        <v>2025</v>
      </c>
      <c r="B13113" s="133">
        <v>3</v>
      </c>
      <c r="C13113" s="168">
        <v>20</v>
      </c>
      <c r="D13113" s="141">
        <f t="shared" si="1942"/>
        <v>45736</v>
      </c>
      <c r="E13113" s="275">
        <f t="shared" si="1943"/>
        <v>45736</v>
      </c>
      <c r="F13113" s="481" t="s">
        <v>2045</v>
      </c>
      <c r="G13113" s="174" t="s">
        <v>94</v>
      </c>
      <c r="H13113" s="174" t="str" cm="1">
        <f t="array" ref="H13113">IFERROR(INDEX(INVESTOR_LIST[INVESTOR NAME],MATCH(I13113,INVESTOR_LIST[INVESTOR CODE],0),)," ")</f>
        <v xml:space="preserve"> </v>
      </c>
      <c r="I13113" s="148" t="s">
        <v>348</v>
      </c>
      <c r="J13113" s="149" t="s">
        <v>168</v>
      </c>
      <c r="K13113" s="218">
        <v>267570</v>
      </c>
      <c r="L13113" s="218"/>
    </row>
    <row r="13114" spans="1:13" x14ac:dyDescent="0.2">
      <c r="A13114" s="163">
        <v>2025</v>
      </c>
      <c r="B13114" s="163">
        <v>3</v>
      </c>
      <c r="C13114" s="163">
        <v>20</v>
      </c>
      <c r="D13114" s="141">
        <f t="shared" si="1942"/>
        <v>45736</v>
      </c>
      <c r="E13114" s="275">
        <f t="shared" si="1943"/>
        <v>45736</v>
      </c>
      <c r="F13114" s="480"/>
      <c r="G13114" s="221" t="s">
        <v>94</v>
      </c>
      <c r="H13114" s="221" t="str" cm="1">
        <f t="array" ref="H13114">IFERROR(INDEX(INVESTOR_LIST[INVESTOR NAME],MATCH(I13114,INVESTOR_LIST[INVESTOR CODE],0),)," ")</f>
        <v xml:space="preserve"> </v>
      </c>
      <c r="I13114" s="145" t="s">
        <v>348</v>
      </c>
      <c r="J13114" s="146" t="s">
        <v>166</v>
      </c>
      <c r="K13114" s="219"/>
      <c r="L13114" s="219">
        <v>267570</v>
      </c>
    </row>
    <row r="13115" spans="1:13" ht="11.25" customHeight="1" x14ac:dyDescent="0.2">
      <c r="A13115" s="133">
        <v>2025</v>
      </c>
      <c r="B13115" s="133">
        <v>3</v>
      </c>
      <c r="C13115" s="168">
        <v>20</v>
      </c>
      <c r="D13115" s="141">
        <f t="shared" ref="D13115:D13116" si="1956">DATE(A13115,B13115,C13115)</f>
        <v>45736</v>
      </c>
      <c r="E13115" s="275">
        <f t="shared" ref="E13115:E13116" si="1957">DATE(A13115,B13115,C13115)</f>
        <v>45736</v>
      </c>
      <c r="F13115" s="481" t="s">
        <v>2046</v>
      </c>
      <c r="G13115" s="174" t="s">
        <v>94</v>
      </c>
      <c r="H13115" s="174" t="str" cm="1">
        <f t="array" ref="H13115">IFERROR(INDEX(INVESTOR_LIST[INVESTOR NAME],MATCH(I13115,INVESTOR_LIST[INVESTOR CODE],0),)," ")</f>
        <v xml:space="preserve"> </v>
      </c>
      <c r="I13115" s="148" t="s">
        <v>348</v>
      </c>
      <c r="J13115" s="149" t="s">
        <v>52</v>
      </c>
      <c r="K13115" s="218">
        <v>267570</v>
      </c>
      <c r="L13115" s="218"/>
    </row>
    <row r="13116" spans="1:13" x14ac:dyDescent="0.2">
      <c r="A13116" s="163">
        <v>2025</v>
      </c>
      <c r="B13116" s="163">
        <v>3</v>
      </c>
      <c r="C13116" s="163">
        <v>20</v>
      </c>
      <c r="D13116" s="141">
        <f t="shared" si="1956"/>
        <v>45736</v>
      </c>
      <c r="E13116" s="275">
        <f t="shared" si="1957"/>
        <v>45736</v>
      </c>
      <c r="F13116" s="480"/>
      <c r="G13116" s="221" t="s">
        <v>94</v>
      </c>
      <c r="H13116" s="221" t="str" cm="1">
        <f t="array" ref="H13116">IFERROR(INDEX(INVESTOR_LIST[INVESTOR NAME],MATCH(I13116,INVESTOR_LIST[INVESTOR CODE],0),)," ")</f>
        <v xml:space="preserve"> </v>
      </c>
      <c r="I13116" s="145" t="s">
        <v>348</v>
      </c>
      <c r="J13116" s="146" t="s">
        <v>168</v>
      </c>
      <c r="K13116" s="219"/>
      <c r="L13116" s="218">
        <v>267570</v>
      </c>
    </row>
    <row r="13117" spans="1:13" x14ac:dyDescent="0.2">
      <c r="A13117" s="325">
        <v>2025</v>
      </c>
      <c r="B13117" s="325">
        <v>3</v>
      </c>
      <c r="C13117" s="325">
        <v>20</v>
      </c>
      <c r="D13117" s="326">
        <f t="shared" ref="D13117:D13137" si="1958">DATE(A13117,B13117,C13117)</f>
        <v>45736</v>
      </c>
      <c r="E13117" s="327">
        <f t="shared" ref="E13117:E13137" si="1959">DATE(A13117,B13117,C13117)</f>
        <v>45736</v>
      </c>
      <c r="F13117" s="473" t="s">
        <v>1940</v>
      </c>
      <c r="G13117" s="340" t="s">
        <v>94</v>
      </c>
      <c r="H13117" s="340" t="str" cm="1">
        <f t="array" ref="H13117">IFERROR(INDEX(INVESTOR_LIST[INVESTOR NAME],MATCH(I13117,INVESTOR_LIST[INVESTOR CODE],0),)," ")</f>
        <v xml:space="preserve"> </v>
      </c>
      <c r="I13117" s="341" t="s">
        <v>348</v>
      </c>
      <c r="J13117" s="374" t="s">
        <v>133</v>
      </c>
      <c r="K13117" s="375">
        <v>12905.56</v>
      </c>
      <c r="L13117" s="375"/>
    </row>
    <row r="13118" spans="1:13" x14ac:dyDescent="0.2">
      <c r="A13118" s="331">
        <v>2025</v>
      </c>
      <c r="B13118" s="331">
        <v>3</v>
      </c>
      <c r="C13118" s="331">
        <v>20</v>
      </c>
      <c r="D13118" s="326">
        <f t="shared" si="1958"/>
        <v>45736</v>
      </c>
      <c r="E13118" s="327">
        <f t="shared" si="1959"/>
        <v>45736</v>
      </c>
      <c r="F13118" s="474"/>
      <c r="G13118" s="332" t="s">
        <v>94</v>
      </c>
      <c r="H13118" s="332" t="str" cm="1">
        <f t="array" ref="H13118">IFERROR(INDEX(INVESTOR_LIST[INVESTOR NAME],MATCH(I13118,INVESTOR_LIST[INVESTOR CODE],0),)," ")</f>
        <v xml:space="preserve"> </v>
      </c>
      <c r="I13118" s="333" t="s">
        <v>348</v>
      </c>
      <c r="J13118" s="376" t="s">
        <v>60</v>
      </c>
      <c r="K13118" s="334"/>
      <c r="L13118" s="334">
        <v>12905.56</v>
      </c>
    </row>
    <row r="13119" spans="1:13" x14ac:dyDescent="0.2">
      <c r="A13119" s="325">
        <v>2025</v>
      </c>
      <c r="B13119" s="325">
        <v>3</v>
      </c>
      <c r="C13119" s="325">
        <v>20</v>
      </c>
      <c r="D13119" s="326">
        <f t="shared" si="1958"/>
        <v>45736</v>
      </c>
      <c r="E13119" s="327">
        <f t="shared" si="1959"/>
        <v>45736</v>
      </c>
      <c r="F13119" s="473" t="s">
        <v>2029</v>
      </c>
      <c r="G13119" s="340" t="s">
        <v>94</v>
      </c>
      <c r="H13119" s="340" t="str" cm="1">
        <f t="array" ref="H13119">IFERROR(INDEX(INVESTOR_LIST[INVESTOR NAME],MATCH(I13119,INVESTOR_LIST[INVESTOR CODE],0),)," ")</f>
        <v xml:space="preserve"> </v>
      </c>
      <c r="I13119" s="341" t="s">
        <v>348</v>
      </c>
      <c r="J13119" s="374" t="s">
        <v>133</v>
      </c>
      <c r="K13119" s="375">
        <v>14134.615384615385</v>
      </c>
      <c r="L13119" s="375"/>
    </row>
    <row r="13120" spans="1:13" x14ac:dyDescent="0.2">
      <c r="A13120" s="331">
        <v>2025</v>
      </c>
      <c r="B13120" s="331">
        <v>3</v>
      </c>
      <c r="C13120" s="331">
        <v>20</v>
      </c>
      <c r="D13120" s="326">
        <f t="shared" si="1958"/>
        <v>45736</v>
      </c>
      <c r="E13120" s="327">
        <f t="shared" si="1959"/>
        <v>45736</v>
      </c>
      <c r="F13120" s="474"/>
      <c r="G13120" s="332" t="s">
        <v>94</v>
      </c>
      <c r="H13120" s="332" t="str" cm="1">
        <f t="array" ref="H13120">IFERROR(INDEX(INVESTOR_LIST[INVESTOR NAME],MATCH(I13120,INVESTOR_LIST[INVESTOR CODE],0),)," ")</f>
        <v xml:space="preserve"> </v>
      </c>
      <c r="I13120" s="333" t="s">
        <v>348</v>
      </c>
      <c r="J13120" s="376" t="s">
        <v>60</v>
      </c>
      <c r="K13120" s="334"/>
      <c r="L13120" s="334">
        <f>K13119</f>
        <v>14134.615384615385</v>
      </c>
    </row>
    <row r="13121" spans="1:13" x14ac:dyDescent="0.2">
      <c r="A13121" s="384">
        <v>2025</v>
      </c>
      <c r="B13121" s="384">
        <v>3</v>
      </c>
      <c r="C13121" s="384">
        <v>20</v>
      </c>
      <c r="D13121" s="385">
        <f t="shared" si="1958"/>
        <v>45736</v>
      </c>
      <c r="E13121" s="386">
        <f t="shared" si="1959"/>
        <v>45736</v>
      </c>
      <c r="F13121" s="475" t="s">
        <v>1966</v>
      </c>
      <c r="G13121" s="387" t="s">
        <v>94</v>
      </c>
      <c r="H13121" s="387" t="str" cm="1">
        <f t="array" ref="H13121">IFERROR(INDEX(INVESTOR_LIST[INVESTOR NAME],MATCH(I13121,INVESTOR_LIST[INVESTOR CODE],0),)," ")</f>
        <v xml:space="preserve"> </v>
      </c>
      <c r="I13121" s="388" t="s">
        <v>348</v>
      </c>
      <c r="J13121" s="389" t="s">
        <v>67</v>
      </c>
      <c r="K13121" s="390">
        <v>18576.97</v>
      </c>
      <c r="L13121" s="390"/>
    </row>
    <row r="13122" spans="1:13" x14ac:dyDescent="0.2">
      <c r="A13122" s="391">
        <v>2025</v>
      </c>
      <c r="B13122" s="391">
        <v>3</v>
      </c>
      <c r="C13122" s="391">
        <v>20</v>
      </c>
      <c r="D13122" s="385">
        <f t="shared" si="1958"/>
        <v>45736</v>
      </c>
      <c r="E13122" s="386">
        <f t="shared" si="1959"/>
        <v>45736</v>
      </c>
      <c r="F13122" s="476"/>
      <c r="G13122" s="392" t="s">
        <v>94</v>
      </c>
      <c r="H13122" s="392" t="str" cm="1">
        <f t="array" ref="H13122">IFERROR(INDEX(INVESTOR_LIST[INVESTOR NAME],MATCH(I13122,INVESTOR_LIST[INVESTOR CODE],0),)," ")</f>
        <v xml:space="preserve"> </v>
      </c>
      <c r="I13122" s="393" t="s">
        <v>348</v>
      </c>
      <c r="J13122" s="394" t="s">
        <v>60</v>
      </c>
      <c r="K13122" s="395"/>
      <c r="L13122" s="395">
        <f>K13121</f>
        <v>18576.97</v>
      </c>
    </row>
    <row r="13123" spans="1:13" x14ac:dyDescent="0.2">
      <c r="A13123" s="343">
        <v>2025</v>
      </c>
      <c r="B13123" s="343">
        <v>3</v>
      </c>
      <c r="C13123" s="343">
        <v>20</v>
      </c>
      <c r="D13123" s="344">
        <f t="shared" si="1958"/>
        <v>45736</v>
      </c>
      <c r="E13123" s="345">
        <f t="shared" si="1959"/>
        <v>45736</v>
      </c>
      <c r="F13123" s="483" t="s">
        <v>1813</v>
      </c>
      <c r="G13123" s="350" t="s">
        <v>94</v>
      </c>
      <c r="H13123" s="350" t="str" cm="1">
        <f t="array" ref="H13123">IFERROR(INDEX(INVESTOR_LIST[INVESTOR NAME],MATCH(I13123,INVESTOR_LIST[INVESTOR CODE],0),)," ")</f>
        <v xml:space="preserve"> </v>
      </c>
      <c r="I13123" s="352" t="s">
        <v>348</v>
      </c>
      <c r="J13123" s="353" t="s">
        <v>1807</v>
      </c>
      <c r="K13123" s="354">
        <v>0</v>
      </c>
      <c r="L13123" s="354"/>
      <c r="M13123" s="133">
        <v>0</v>
      </c>
    </row>
    <row r="13124" spans="1:13" x14ac:dyDescent="0.2">
      <c r="A13124" s="346">
        <v>2025</v>
      </c>
      <c r="B13124" s="346">
        <v>3</v>
      </c>
      <c r="C13124" s="346">
        <v>20</v>
      </c>
      <c r="D13124" s="344">
        <f t="shared" si="1958"/>
        <v>45736</v>
      </c>
      <c r="E13124" s="345">
        <f t="shared" si="1959"/>
        <v>45736</v>
      </c>
      <c r="F13124" s="484"/>
      <c r="G13124" s="347" t="s">
        <v>94</v>
      </c>
      <c r="H13124" s="347" t="str" cm="1">
        <f t="array" ref="H13124">IFERROR(INDEX(INVESTOR_LIST[INVESTOR NAME],MATCH(I13124,INVESTOR_LIST[INVESTOR CODE],0),)," ")</f>
        <v xml:space="preserve"> </v>
      </c>
      <c r="I13124" s="348" t="s">
        <v>348</v>
      </c>
      <c r="J13124" s="355" t="s">
        <v>1798</v>
      </c>
      <c r="K13124" s="349"/>
      <c r="L13124" s="349">
        <v>0</v>
      </c>
    </row>
    <row r="13125" spans="1:13" x14ac:dyDescent="0.2">
      <c r="A13125" s="343">
        <v>2025</v>
      </c>
      <c r="B13125" s="343">
        <v>3</v>
      </c>
      <c r="C13125" s="343">
        <v>20</v>
      </c>
      <c r="D13125" s="344">
        <f t="shared" si="1958"/>
        <v>45736</v>
      </c>
      <c r="E13125" s="345">
        <f t="shared" si="1959"/>
        <v>45736</v>
      </c>
      <c r="F13125" s="483" t="s">
        <v>1913</v>
      </c>
      <c r="G13125" s="350" t="s">
        <v>94</v>
      </c>
      <c r="H13125" s="350" t="str" cm="1">
        <f t="array" ref="H13125">IFERROR(INDEX(INVESTOR_LIST[INVESTOR NAME],MATCH(I13125,INVESTOR_LIST[INVESTOR CODE],0),)," ")</f>
        <v xml:space="preserve"> </v>
      </c>
      <c r="I13125" s="352" t="s">
        <v>348</v>
      </c>
      <c r="J13125" s="353" t="s">
        <v>1808</v>
      </c>
      <c r="K13125" s="354">
        <v>89030.314999997616</v>
      </c>
      <c r="L13125" s="354"/>
      <c r="M13125" s="133">
        <v>0</v>
      </c>
    </row>
    <row r="13126" spans="1:13" x14ac:dyDescent="0.2">
      <c r="A13126" s="346">
        <v>2025</v>
      </c>
      <c r="B13126" s="346">
        <v>3</v>
      </c>
      <c r="C13126" s="346">
        <v>20</v>
      </c>
      <c r="D13126" s="344">
        <f t="shared" si="1958"/>
        <v>45736</v>
      </c>
      <c r="E13126" s="345">
        <f t="shared" si="1959"/>
        <v>45736</v>
      </c>
      <c r="F13126" s="484"/>
      <c r="G13126" s="347" t="s">
        <v>94</v>
      </c>
      <c r="H13126" s="347" t="str" cm="1">
        <f t="array" ref="H13126">IFERROR(INDEX(INVESTOR_LIST[INVESTOR NAME],MATCH(I13126,INVESTOR_LIST[INVESTOR CODE],0),)," ")</f>
        <v xml:space="preserve"> </v>
      </c>
      <c r="I13126" s="348" t="s">
        <v>348</v>
      </c>
      <c r="J13126" s="355" t="s">
        <v>1799</v>
      </c>
      <c r="K13126" s="349"/>
      <c r="L13126" s="349">
        <f>K13125</f>
        <v>89030.314999997616</v>
      </c>
    </row>
    <row r="13127" spans="1:13" x14ac:dyDescent="0.2">
      <c r="A13127" s="238">
        <v>2025</v>
      </c>
      <c r="B13127" s="238">
        <v>3</v>
      </c>
      <c r="C13127" s="238">
        <v>20</v>
      </c>
      <c r="D13127" s="270">
        <f t="shared" si="1958"/>
        <v>45736</v>
      </c>
      <c r="E13127" s="279">
        <f t="shared" si="1959"/>
        <v>45736</v>
      </c>
      <c r="F13127" s="477" t="s">
        <v>347</v>
      </c>
      <c r="G13127" s="239" t="s">
        <v>94</v>
      </c>
      <c r="H13127" s="239" t="str" cm="1">
        <f t="array" ref="H13127">IFERROR(INDEX(INVESTOR_LIST[INVESTOR NAME],MATCH(I13127,INVESTOR_LIST[INVESTOR CODE],0),)," ")</f>
        <v xml:space="preserve"> </v>
      </c>
      <c r="I13127" s="262" t="s">
        <v>348</v>
      </c>
      <c r="J13127" s="240" t="s">
        <v>82</v>
      </c>
      <c r="K13127" s="241">
        <v>237755.78999997675</v>
      </c>
      <c r="L13127" s="241"/>
      <c r="M13127" s="133">
        <v>13139541.900000483</v>
      </c>
    </row>
    <row r="13128" spans="1:13" x14ac:dyDescent="0.2">
      <c r="A13128" s="242">
        <v>2025</v>
      </c>
      <c r="B13128" s="242">
        <v>3</v>
      </c>
      <c r="C13128" s="242">
        <v>20</v>
      </c>
      <c r="D13128" s="270">
        <f t="shared" si="1958"/>
        <v>45736</v>
      </c>
      <c r="E13128" s="279">
        <f t="shared" si="1959"/>
        <v>45736</v>
      </c>
      <c r="F13128" s="478"/>
      <c r="G13128" s="243" t="s">
        <v>94</v>
      </c>
      <c r="H13128" s="243" t="str" cm="1">
        <f t="array" ref="H13128">IFERROR(INDEX(INVESTOR_LIST[INVESTOR NAME],MATCH(I13128,INVESTOR_LIST[INVESTOR CODE],0),)," ")</f>
        <v xml:space="preserve"> </v>
      </c>
      <c r="I13128" s="263" t="s">
        <v>348</v>
      </c>
      <c r="J13128" s="244" t="s">
        <v>108</v>
      </c>
      <c r="K13128" s="245"/>
      <c r="L13128" s="245">
        <f>K13127</f>
        <v>237755.78999997675</v>
      </c>
    </row>
    <row r="13129" spans="1:13" ht="22.5" x14ac:dyDescent="0.2">
      <c r="A13129" s="246">
        <v>2025</v>
      </c>
      <c r="B13129" s="238">
        <v>3</v>
      </c>
      <c r="C13129" s="238">
        <v>20</v>
      </c>
      <c r="D13129" s="270">
        <f t="shared" si="1958"/>
        <v>45736</v>
      </c>
      <c r="E13129" s="279">
        <f t="shared" si="1959"/>
        <v>45736</v>
      </c>
      <c r="F13129" s="482" t="s">
        <v>148</v>
      </c>
      <c r="G13129" s="247" t="s">
        <v>94</v>
      </c>
      <c r="H13129" s="247" t="str" cm="1">
        <f t="array" ref="H13129">IFERROR(INDEX(INVESTOR_LIST[INVESTOR NAME],MATCH(I13129,INVESTOR_LIST[INVESTOR CODE],0),)," ")</f>
        <v xml:space="preserve"> </v>
      </c>
      <c r="I13129" s="248" t="s">
        <v>348</v>
      </c>
      <c r="J13129" s="249" t="s">
        <v>95</v>
      </c>
      <c r="K13129" s="250">
        <v>2747.2527472527472</v>
      </c>
      <c r="L13129" s="241"/>
    </row>
    <row r="13130" spans="1:13" x14ac:dyDescent="0.2">
      <c r="A13130" s="242">
        <v>2025</v>
      </c>
      <c r="B13130" s="242">
        <v>3</v>
      </c>
      <c r="C13130" s="242">
        <v>20</v>
      </c>
      <c r="D13130" s="270">
        <f t="shared" si="1958"/>
        <v>45736</v>
      </c>
      <c r="E13130" s="279">
        <f t="shared" si="1959"/>
        <v>45736</v>
      </c>
      <c r="F13130" s="478"/>
      <c r="G13130" s="243" t="s">
        <v>94</v>
      </c>
      <c r="H13130" s="243" t="str" cm="1">
        <f t="array" ref="H13130">IFERROR(INDEX(INVESTOR_LIST[INVESTOR NAME],MATCH(I13130,INVESTOR_LIST[INVESTOR CODE],0),)," ")</f>
        <v xml:space="preserve"> </v>
      </c>
      <c r="I13130" s="263" t="s">
        <v>348</v>
      </c>
      <c r="J13130" s="244" t="s">
        <v>63</v>
      </c>
      <c r="K13130" s="245"/>
      <c r="L13130" s="245">
        <v>2747.2527472527472</v>
      </c>
    </row>
    <row r="13131" spans="1:13" x14ac:dyDescent="0.2">
      <c r="A13131" s="246">
        <v>2025</v>
      </c>
      <c r="B13131" s="238">
        <v>3</v>
      </c>
      <c r="C13131" s="238">
        <v>20</v>
      </c>
      <c r="D13131" s="270">
        <f t="shared" si="1958"/>
        <v>45736</v>
      </c>
      <c r="E13131" s="279">
        <f t="shared" si="1959"/>
        <v>45736</v>
      </c>
      <c r="F13131" s="482" t="s">
        <v>137</v>
      </c>
      <c r="G13131" s="247" t="s">
        <v>94</v>
      </c>
      <c r="H13131" s="247" t="str" cm="1">
        <f t="array" ref="H13131">IFERROR(INDEX(INVESTOR_LIST[INVESTOR NAME],MATCH(I13131,INVESTOR_LIST[INVESTOR CODE],0),)," ")</f>
        <v xml:space="preserve"> </v>
      </c>
      <c r="I13131" s="248" t="s">
        <v>348</v>
      </c>
      <c r="J13131" s="249" t="s">
        <v>97</v>
      </c>
      <c r="K13131" s="250">
        <f>M13131</f>
        <v>59892.043936176458</v>
      </c>
      <c r="L13131" s="252"/>
      <c r="M13131" s="133">
        <v>59892.043936176458</v>
      </c>
    </row>
    <row r="13132" spans="1:13" x14ac:dyDescent="0.2">
      <c r="A13132" s="242">
        <v>2025</v>
      </c>
      <c r="B13132" s="242">
        <v>3</v>
      </c>
      <c r="C13132" s="242">
        <v>20</v>
      </c>
      <c r="D13132" s="270">
        <f t="shared" si="1958"/>
        <v>45736</v>
      </c>
      <c r="E13132" s="279">
        <f t="shared" si="1959"/>
        <v>45736</v>
      </c>
      <c r="F13132" s="478"/>
      <c r="G13132" s="243" t="s">
        <v>94</v>
      </c>
      <c r="H13132" s="243" t="str" cm="1">
        <f t="array" ref="H13132">IFERROR(INDEX(INVESTOR_LIST[INVESTOR NAME],MATCH(I13132,INVESTOR_LIST[INVESTOR CODE],0),)," ")</f>
        <v xml:space="preserve"> </v>
      </c>
      <c r="I13132" s="263" t="s">
        <v>348</v>
      </c>
      <c r="J13132" s="244" t="s">
        <v>47</v>
      </c>
      <c r="K13132" s="245"/>
      <c r="L13132" s="245">
        <f>K13131</f>
        <v>59892.043936176458</v>
      </c>
      <c r="M13132" s="133">
        <v>2754.2175814242078</v>
      </c>
    </row>
    <row r="13133" spans="1:13" x14ac:dyDescent="0.2">
      <c r="A13133" s="246">
        <v>2025</v>
      </c>
      <c r="B13133" s="238">
        <v>3</v>
      </c>
      <c r="C13133" s="238">
        <v>20</v>
      </c>
      <c r="D13133" s="270">
        <f t="shared" si="1958"/>
        <v>45736</v>
      </c>
      <c r="E13133" s="279">
        <f t="shared" si="1959"/>
        <v>45736</v>
      </c>
      <c r="F13133" s="482" t="s">
        <v>138</v>
      </c>
      <c r="G13133" s="247" t="s">
        <v>94</v>
      </c>
      <c r="H13133" s="247" t="str" cm="1">
        <f t="array" ref="H13133">IFERROR(INDEX(INVESTOR_LIST[INVESTOR NAME],MATCH(I13133,INVESTOR_LIST[INVESTOR CODE],0),)," ")</f>
        <v xml:space="preserve"> </v>
      </c>
      <c r="I13133" s="248" t="s">
        <v>348</v>
      </c>
      <c r="J13133" s="249" t="s">
        <v>100</v>
      </c>
      <c r="K13133" s="250">
        <f>M13132</f>
        <v>2754.2175814242078</v>
      </c>
      <c r="L13133" s="252"/>
    </row>
    <row r="13134" spans="1:13" x14ac:dyDescent="0.2">
      <c r="A13134" s="242">
        <v>2025</v>
      </c>
      <c r="B13134" s="242">
        <v>3</v>
      </c>
      <c r="C13134" s="242">
        <v>20</v>
      </c>
      <c r="D13134" s="321">
        <f t="shared" si="1958"/>
        <v>45736</v>
      </c>
      <c r="E13134" s="322">
        <f t="shared" si="1959"/>
        <v>45736</v>
      </c>
      <c r="F13134" s="478"/>
      <c r="G13134" s="243" t="s">
        <v>94</v>
      </c>
      <c r="H13134" s="243" t="str" cm="1">
        <f t="array" ref="H13134">IFERROR(INDEX(INVESTOR_LIST[INVESTOR NAME],MATCH(I13134,INVESTOR_LIST[INVESTOR CODE],0),)," ")</f>
        <v xml:space="preserve"> </v>
      </c>
      <c r="I13134" s="263" t="s">
        <v>348</v>
      </c>
      <c r="J13134" s="244" t="s">
        <v>48</v>
      </c>
      <c r="K13134" s="245"/>
      <c r="L13134" s="245">
        <f>K13133</f>
        <v>2754.2175814242078</v>
      </c>
    </row>
    <row r="13135" spans="1:13" ht="11.25" customHeight="1" x14ac:dyDescent="0.2">
      <c r="A13135" s="168">
        <v>2025</v>
      </c>
      <c r="B13135" s="168">
        <v>3</v>
      </c>
      <c r="C13135" s="133">
        <v>23</v>
      </c>
      <c r="D13135" s="141">
        <f t="shared" si="1958"/>
        <v>45739</v>
      </c>
      <c r="E13135" s="275">
        <f t="shared" si="1959"/>
        <v>45739</v>
      </c>
      <c r="F13135" s="479" t="s">
        <v>1310</v>
      </c>
      <c r="G13135" s="220" t="s">
        <v>74</v>
      </c>
      <c r="H13135" s="142" t="str" cm="1">
        <f t="array" ref="H13135">IFERROR(INDEX(INVESTOR_LIST[INVESTOR NAME],MATCH(I13135,INVESTOR_LIST[INVESTOR CODE],0),)," ")</f>
        <v>BALARAM CHANDRA SAHA</v>
      </c>
      <c r="I13135" s="142" t="s">
        <v>689</v>
      </c>
      <c r="J13135" s="168" t="s">
        <v>13</v>
      </c>
      <c r="K13135" s="226">
        <v>396480</v>
      </c>
      <c r="L13135" s="226"/>
    </row>
    <row r="13136" spans="1:13" ht="11.25" customHeight="1" x14ac:dyDescent="0.2">
      <c r="A13136" s="133">
        <v>2025</v>
      </c>
      <c r="B13136" s="133">
        <v>3</v>
      </c>
      <c r="C13136" s="133">
        <v>23</v>
      </c>
      <c r="D13136" s="141">
        <f t="shared" si="1958"/>
        <v>45739</v>
      </c>
      <c r="E13136" s="275">
        <f t="shared" si="1959"/>
        <v>45739</v>
      </c>
      <c r="F13136" s="481"/>
      <c r="G13136" s="174" t="s">
        <v>74</v>
      </c>
      <c r="H13136" s="148" t="str" cm="1">
        <f t="array" ref="H13136">IFERROR(INDEX(INVESTOR_LIST[INVESTOR NAME],MATCH(I13136,INVESTOR_LIST[INVESTOR CODE],0),)," ")</f>
        <v>BALARAM CHANDRA SAHA</v>
      </c>
      <c r="I13136" s="148" t="s">
        <v>689</v>
      </c>
      <c r="J13136" s="133" t="s">
        <v>53</v>
      </c>
      <c r="K13136" s="218">
        <v>103520</v>
      </c>
      <c r="L13136" s="218"/>
    </row>
    <row r="13137" spans="1:13" ht="11.25" customHeight="1" x14ac:dyDescent="0.2">
      <c r="A13137" s="163">
        <v>2025</v>
      </c>
      <c r="B13137" s="163">
        <v>3</v>
      </c>
      <c r="C13137" s="163">
        <v>23</v>
      </c>
      <c r="D13137" s="280">
        <f t="shared" si="1958"/>
        <v>45739</v>
      </c>
      <c r="E13137" s="281">
        <f t="shared" si="1959"/>
        <v>45739</v>
      </c>
      <c r="F13137" s="480"/>
      <c r="G13137" s="221" t="s">
        <v>74</v>
      </c>
      <c r="H13137" s="145" t="str" cm="1">
        <f t="array" ref="H13137">IFERROR(INDEX(INVESTOR_LIST[INVESTOR NAME],MATCH(I13137,INVESTOR_LIST[INVESTOR CODE],0),)," ")</f>
        <v>BALARAM CHANDRA SAHA</v>
      </c>
      <c r="I13137" s="145" t="s">
        <v>689</v>
      </c>
      <c r="J13137" s="163" t="s">
        <v>52</v>
      </c>
      <c r="K13137" s="219"/>
      <c r="L13137" s="219">
        <v>500000</v>
      </c>
    </row>
    <row r="13138" spans="1:13" ht="11.25" customHeight="1" x14ac:dyDescent="0.2">
      <c r="A13138" s="168">
        <v>2025</v>
      </c>
      <c r="B13138" s="168">
        <v>3</v>
      </c>
      <c r="C13138" s="133">
        <v>23</v>
      </c>
      <c r="D13138" s="141">
        <f t="shared" ref="D13138:D13150" si="1960">DATE(A13138,B13138,C13138)</f>
        <v>45739</v>
      </c>
      <c r="E13138" s="275">
        <f t="shared" ref="E13138:E13150" si="1961">DATE(A13138,B13138,C13138)</f>
        <v>45739</v>
      </c>
      <c r="F13138" s="479" t="s">
        <v>1315</v>
      </c>
      <c r="G13138" s="220" t="s">
        <v>74</v>
      </c>
      <c r="H13138" s="142" t="str" cm="1">
        <f t="array" ref="H13138">IFERROR(INDEX(INVESTOR_LIST[INVESTOR NAME],MATCH(I13138,INVESTOR_LIST[INVESTOR CODE],0),)," ")</f>
        <v>BISWAS ARIFUR RAHMAN</v>
      </c>
      <c r="I13138" s="142" t="s">
        <v>375</v>
      </c>
      <c r="J13138" s="168" t="s">
        <v>13</v>
      </c>
      <c r="K13138" s="226">
        <v>25560</v>
      </c>
      <c r="L13138" s="226"/>
    </row>
    <row r="13139" spans="1:13" ht="11.25" customHeight="1" x14ac:dyDescent="0.2">
      <c r="A13139" s="133">
        <v>2025</v>
      </c>
      <c r="B13139" s="133">
        <v>3</v>
      </c>
      <c r="C13139" s="133">
        <v>23</v>
      </c>
      <c r="D13139" s="141">
        <f t="shared" si="1960"/>
        <v>45739</v>
      </c>
      <c r="E13139" s="275">
        <f t="shared" si="1961"/>
        <v>45739</v>
      </c>
      <c r="F13139" s="481"/>
      <c r="G13139" s="174" t="s">
        <v>74</v>
      </c>
      <c r="H13139" s="148" t="str" cm="1">
        <f t="array" ref="H13139">IFERROR(INDEX(INVESTOR_LIST[INVESTOR NAME],MATCH(I13139,INVESTOR_LIST[INVESTOR CODE],0),)," ")</f>
        <v>BISWAS ARIFUR RAHMAN</v>
      </c>
      <c r="I13139" s="148" t="s">
        <v>375</v>
      </c>
      <c r="J13139" s="133" t="s">
        <v>53</v>
      </c>
      <c r="K13139" s="218">
        <v>6737.62</v>
      </c>
      <c r="L13139" s="218"/>
    </row>
    <row r="13140" spans="1:13" ht="11.25" customHeight="1" x14ac:dyDescent="0.2">
      <c r="A13140" s="163">
        <v>2025</v>
      </c>
      <c r="B13140" s="163">
        <v>3</v>
      </c>
      <c r="C13140" s="163">
        <v>23</v>
      </c>
      <c r="D13140" s="280">
        <f t="shared" si="1960"/>
        <v>45739</v>
      </c>
      <c r="E13140" s="281">
        <f t="shared" si="1961"/>
        <v>45739</v>
      </c>
      <c r="F13140" s="480"/>
      <c r="G13140" s="221" t="s">
        <v>74</v>
      </c>
      <c r="H13140" s="145" t="str" cm="1">
        <f t="array" ref="H13140">IFERROR(INDEX(INVESTOR_LIST[INVESTOR NAME],MATCH(I13140,INVESTOR_LIST[INVESTOR CODE],0),)," ")</f>
        <v>BISWAS ARIFUR RAHMAN</v>
      </c>
      <c r="I13140" s="145" t="s">
        <v>375</v>
      </c>
      <c r="J13140" s="163" t="s">
        <v>52</v>
      </c>
      <c r="K13140" s="219"/>
      <c r="L13140" s="219">
        <v>32297.62</v>
      </c>
    </row>
    <row r="13141" spans="1:13" x14ac:dyDescent="0.2">
      <c r="A13141" s="133">
        <v>2025</v>
      </c>
      <c r="B13141" s="133">
        <v>3</v>
      </c>
      <c r="C13141" s="133">
        <v>23</v>
      </c>
      <c r="D13141" s="141">
        <f t="shared" si="1960"/>
        <v>45739</v>
      </c>
      <c r="E13141" s="275">
        <f t="shared" si="1961"/>
        <v>45739</v>
      </c>
      <c r="F13141" s="481" t="s">
        <v>1767</v>
      </c>
      <c r="G13141" s="174" t="s">
        <v>94</v>
      </c>
      <c r="H13141" s="174" t="str" cm="1">
        <f t="array" ref="H13141">IFERROR(INDEX(INVESTOR_LIST[INVESTOR NAME],MATCH(I13141,INVESTOR_LIST[INVESTOR CODE],0),)," ")</f>
        <v xml:space="preserve"> </v>
      </c>
      <c r="J13141" s="149" t="s">
        <v>79</v>
      </c>
      <c r="K13141" s="218">
        <v>511200</v>
      </c>
      <c r="L13141" s="218"/>
      <c r="M13141" s="160"/>
    </row>
    <row r="13142" spans="1:13" x14ac:dyDescent="0.2">
      <c r="A13142" s="133">
        <v>2025</v>
      </c>
      <c r="B13142" s="133">
        <v>3</v>
      </c>
      <c r="C13142" s="133">
        <v>23</v>
      </c>
      <c r="D13142" s="141">
        <f t="shared" si="1960"/>
        <v>45739</v>
      </c>
      <c r="E13142" s="275">
        <f t="shared" si="1961"/>
        <v>45739</v>
      </c>
      <c r="F13142" s="481"/>
      <c r="G13142" s="174" t="s">
        <v>94</v>
      </c>
      <c r="H13142" s="174" t="str" cm="1">
        <f t="array" ref="H13142">IFERROR(INDEX(INVESTOR_LIST[INVESTOR NAME],MATCH(I13142,INVESTOR_LIST[INVESTOR CODE],0),)," ")</f>
        <v xml:space="preserve"> </v>
      </c>
      <c r="J13142" s="149" t="s">
        <v>80</v>
      </c>
      <c r="K13142" s="218">
        <v>2496</v>
      </c>
      <c r="L13142" s="133"/>
    </row>
    <row r="13143" spans="1:13" x14ac:dyDescent="0.2">
      <c r="A13143" s="133">
        <v>2025</v>
      </c>
      <c r="B13143" s="133">
        <v>3</v>
      </c>
      <c r="C13143" s="133">
        <v>23</v>
      </c>
      <c r="D13143" s="141">
        <f t="shared" si="1960"/>
        <v>45739</v>
      </c>
      <c r="E13143" s="275">
        <f t="shared" si="1961"/>
        <v>45739</v>
      </c>
      <c r="F13143" s="481"/>
      <c r="G13143" s="174" t="s">
        <v>94</v>
      </c>
      <c r="H13143" s="174" t="str" cm="1">
        <f t="array" ref="H13143">IFERROR(INDEX(INVESTOR_LIST[INVESTOR NAME],MATCH(I13143,INVESTOR_LIST[INVESTOR CODE],0),)," ")</f>
        <v xml:space="preserve"> </v>
      </c>
      <c r="J13143" s="149" t="s">
        <v>190</v>
      </c>
      <c r="K13143" s="218">
        <v>361274</v>
      </c>
      <c r="L13143" s="218"/>
    </row>
    <row r="13144" spans="1:13" x14ac:dyDescent="0.2">
      <c r="A13144" s="133">
        <v>2025</v>
      </c>
      <c r="B13144" s="133">
        <v>3</v>
      </c>
      <c r="C13144" s="133">
        <v>23</v>
      </c>
      <c r="D13144" s="141">
        <f t="shared" si="1960"/>
        <v>45739</v>
      </c>
      <c r="E13144" s="275">
        <f t="shared" si="1961"/>
        <v>45739</v>
      </c>
      <c r="F13144" s="481"/>
      <c r="G13144" s="174" t="s">
        <v>94</v>
      </c>
      <c r="H13144" s="174" t="str" cm="1">
        <f t="array" ref="H13144">IFERROR(INDEX(INVESTOR_LIST[INVESTOR NAME],MATCH(I13144,INVESTOR_LIST[INVESTOR CODE],0),)," ")</f>
        <v xml:space="preserve"> </v>
      </c>
      <c r="J13144" s="149" t="s">
        <v>191</v>
      </c>
      <c r="K13144" s="218"/>
      <c r="L13144" s="218">
        <v>147870.78</v>
      </c>
    </row>
    <row r="13145" spans="1:13" x14ac:dyDescent="0.2">
      <c r="A13145" s="163">
        <v>2025</v>
      </c>
      <c r="B13145" s="163">
        <v>3</v>
      </c>
      <c r="C13145" s="163">
        <v>23</v>
      </c>
      <c r="D13145" s="280">
        <f t="shared" si="1960"/>
        <v>45739</v>
      </c>
      <c r="E13145" s="281">
        <f t="shared" si="1961"/>
        <v>45739</v>
      </c>
      <c r="F13145" s="480"/>
      <c r="G13145" s="221" t="s">
        <v>94</v>
      </c>
      <c r="H13145" s="145" t="str" cm="1">
        <f t="array" ref="H13145">IFERROR(INDEX(INVESTOR_LIST[INVESTOR NAME],MATCH(I13145,INVESTOR_LIST[INVESTOR CODE],0),)," ")</f>
        <v xml:space="preserve"> </v>
      </c>
      <c r="I13145" s="145"/>
      <c r="J13145" s="163" t="s">
        <v>79</v>
      </c>
      <c r="K13145" s="219"/>
      <c r="L13145" s="219">
        <v>727099.22</v>
      </c>
    </row>
    <row r="13146" spans="1:13" ht="11.25" customHeight="1" x14ac:dyDescent="0.2">
      <c r="A13146" s="168">
        <v>2025</v>
      </c>
      <c r="B13146" s="133">
        <v>3</v>
      </c>
      <c r="C13146" s="168">
        <v>23</v>
      </c>
      <c r="D13146" s="141">
        <f t="shared" si="1960"/>
        <v>45739</v>
      </c>
      <c r="E13146" s="275">
        <f t="shared" si="1961"/>
        <v>45739</v>
      </c>
      <c r="F13146" s="479" t="s">
        <v>2031</v>
      </c>
      <c r="G13146" s="220" t="s">
        <v>74</v>
      </c>
      <c r="H13146" s="220" t="str" cm="1">
        <f t="array" ref="H13146">IFERROR(INDEX(INVESTOR_LIST[INVESTOR NAME],MATCH(I13146,INVESTOR_LIST[INVESTOR CODE],0),)," ")</f>
        <v xml:space="preserve"> </v>
      </c>
      <c r="I13146" s="142"/>
      <c r="J13146" s="143" t="s">
        <v>52</v>
      </c>
      <c r="K13146" s="226">
        <v>257985</v>
      </c>
      <c r="L13146" s="226"/>
    </row>
    <row r="13147" spans="1:13" x14ac:dyDescent="0.2">
      <c r="A13147" s="163">
        <v>2025</v>
      </c>
      <c r="B13147" s="163">
        <v>3</v>
      </c>
      <c r="C13147" s="163">
        <v>23</v>
      </c>
      <c r="D13147" s="280">
        <f t="shared" si="1960"/>
        <v>45739</v>
      </c>
      <c r="E13147" s="281">
        <f t="shared" si="1961"/>
        <v>45739</v>
      </c>
      <c r="F13147" s="480"/>
      <c r="G13147" s="221" t="s">
        <v>74</v>
      </c>
      <c r="H13147" s="221" t="str" cm="1">
        <f t="array" ref="H13147">IFERROR(INDEX(INVESTOR_LIST[INVESTOR NAME],MATCH(I13147,INVESTOR_LIST[INVESTOR CODE],0),)," ")</f>
        <v xml:space="preserve"> </v>
      </c>
      <c r="I13147" s="145"/>
      <c r="J13147" s="146" t="s">
        <v>190</v>
      </c>
      <c r="K13147" s="219"/>
      <c r="L13147" s="219">
        <v>257985</v>
      </c>
    </row>
    <row r="13148" spans="1:13" x14ac:dyDescent="0.2">
      <c r="A13148" s="133">
        <v>2025</v>
      </c>
      <c r="B13148" s="168">
        <v>3</v>
      </c>
      <c r="C13148" s="133">
        <v>23</v>
      </c>
      <c r="D13148" s="141">
        <f t="shared" si="1960"/>
        <v>45739</v>
      </c>
      <c r="E13148" s="275">
        <f t="shared" si="1961"/>
        <v>45739</v>
      </c>
      <c r="F13148" s="479" t="s">
        <v>362</v>
      </c>
      <c r="G13148" s="220" t="s">
        <v>74</v>
      </c>
      <c r="H13148" s="220" t="str" cm="1">
        <f t="array" ref="H13148">IFERROR(INDEX(INVESTOR_LIST[INVESTOR NAME],MATCH(I13148,INVESTOR_LIST[INVESTOR CODE],0),)," ")</f>
        <v xml:space="preserve"> </v>
      </c>
      <c r="I13148" s="142" t="s">
        <v>348</v>
      </c>
      <c r="J13148" s="143" t="s">
        <v>104</v>
      </c>
      <c r="K13148" s="226">
        <v>1221.1500000000001</v>
      </c>
      <c r="L13148" s="226"/>
    </row>
    <row r="13149" spans="1:13" x14ac:dyDescent="0.2">
      <c r="A13149" s="133">
        <v>2025</v>
      </c>
      <c r="B13149" s="133">
        <v>3</v>
      </c>
      <c r="C13149" s="133">
        <v>23</v>
      </c>
      <c r="D13149" s="280">
        <f t="shared" si="1960"/>
        <v>45739</v>
      </c>
      <c r="E13149" s="281">
        <f t="shared" si="1961"/>
        <v>45739</v>
      </c>
      <c r="F13149" s="481"/>
      <c r="G13149" s="174" t="s">
        <v>74</v>
      </c>
      <c r="H13149" s="174" t="str" cm="1">
        <f t="array" ref="H13149">IFERROR(INDEX(INVESTOR_LIST[INVESTOR NAME],MATCH(I13149,INVESTOR_LIST[INVESTOR CODE],0),)," ")</f>
        <v xml:space="preserve"> </v>
      </c>
      <c r="J13149" s="149" t="s">
        <v>534</v>
      </c>
      <c r="K13149" s="218"/>
      <c r="L13149" s="218">
        <v>122.12</v>
      </c>
    </row>
    <row r="13150" spans="1:13" x14ac:dyDescent="0.2">
      <c r="A13150" s="163">
        <v>2025</v>
      </c>
      <c r="B13150" s="163">
        <v>3</v>
      </c>
      <c r="C13150" s="163">
        <v>23</v>
      </c>
      <c r="D13150" s="144">
        <f t="shared" si="1960"/>
        <v>45739</v>
      </c>
      <c r="E13150" s="313">
        <f t="shared" si="1961"/>
        <v>45739</v>
      </c>
      <c r="F13150" s="480"/>
      <c r="G13150" s="221" t="s">
        <v>74</v>
      </c>
      <c r="H13150" s="221" t="str" cm="1">
        <f t="array" ref="H13150">IFERROR(INDEX(INVESTOR_LIST[INVESTOR NAME],MATCH(I13150,INVESTOR_LIST[INVESTOR CODE],0),)," ")</f>
        <v xml:space="preserve"> </v>
      </c>
      <c r="I13150" s="145" t="s">
        <v>348</v>
      </c>
      <c r="J13150" s="146" t="s">
        <v>52</v>
      </c>
      <c r="K13150" s="219"/>
      <c r="L13150" s="219">
        <v>1099.03</v>
      </c>
    </row>
    <row r="13151" spans="1:13" ht="11.25" customHeight="1" x14ac:dyDescent="0.2">
      <c r="A13151" s="168">
        <v>2025</v>
      </c>
      <c r="B13151" s="168">
        <v>3</v>
      </c>
      <c r="C13151" s="133">
        <v>24</v>
      </c>
      <c r="D13151" s="141">
        <f t="shared" ref="D13151:D13217" si="1962">DATE(A13151,B13151,C13151)</f>
        <v>45740</v>
      </c>
      <c r="E13151" s="275">
        <f t="shared" ref="E13151:E13217" si="1963">DATE(A13151,B13151,C13151)</f>
        <v>45740</v>
      </c>
      <c r="F13151" s="479" t="s">
        <v>1315</v>
      </c>
      <c r="G13151" s="220" t="s">
        <v>74</v>
      </c>
      <c r="H13151" s="142" t="str" cm="1">
        <f t="array" ref="H13151">IFERROR(INDEX(INVESTOR_LIST[INVESTOR NAME],MATCH(I13151,INVESTOR_LIST[INVESTOR CODE],0),)," ")</f>
        <v>ASHUTOSH TALUKDER</v>
      </c>
      <c r="I13151" s="142" t="s">
        <v>483</v>
      </c>
      <c r="J13151" s="168" t="s">
        <v>13</v>
      </c>
      <c r="K13151" s="226">
        <v>86840</v>
      </c>
      <c r="L13151" s="226"/>
    </row>
    <row r="13152" spans="1:13" ht="11.25" customHeight="1" x14ac:dyDescent="0.2">
      <c r="A13152" s="133">
        <v>2025</v>
      </c>
      <c r="B13152" s="133">
        <v>3</v>
      </c>
      <c r="C13152" s="133">
        <v>24</v>
      </c>
      <c r="D13152" s="141">
        <f t="shared" si="1962"/>
        <v>45740</v>
      </c>
      <c r="E13152" s="275">
        <f t="shared" si="1963"/>
        <v>45740</v>
      </c>
      <c r="F13152" s="481"/>
      <c r="G13152" s="174" t="s">
        <v>74</v>
      </c>
      <c r="H13152" s="148" t="str" cm="1">
        <f t="array" ref="H13152">IFERROR(INDEX(INVESTOR_LIST[INVESTOR NAME],MATCH(I13152,INVESTOR_LIST[INVESTOR CODE],0),)," ")</f>
        <v>ASHUTOSH TALUKDER</v>
      </c>
      <c r="I13152" s="148" t="s">
        <v>483</v>
      </c>
      <c r="J13152" s="133" t="s">
        <v>53</v>
      </c>
      <c r="K13152" s="218">
        <v>22673.919999999998</v>
      </c>
      <c r="L13152" s="218"/>
    </row>
    <row r="13153" spans="1:13" ht="11.25" customHeight="1" x14ac:dyDescent="0.2">
      <c r="A13153" s="163">
        <v>2025</v>
      </c>
      <c r="B13153" s="163">
        <v>3</v>
      </c>
      <c r="C13153" s="163">
        <v>24</v>
      </c>
      <c r="D13153" s="280">
        <f t="shared" si="1962"/>
        <v>45740</v>
      </c>
      <c r="E13153" s="281">
        <f t="shared" si="1963"/>
        <v>45740</v>
      </c>
      <c r="F13153" s="480"/>
      <c r="G13153" s="221" t="s">
        <v>74</v>
      </c>
      <c r="H13153" s="145" t="str" cm="1">
        <f t="array" ref="H13153">IFERROR(INDEX(INVESTOR_LIST[INVESTOR NAME],MATCH(I13153,INVESTOR_LIST[INVESTOR CODE],0),)," ")</f>
        <v>ASHUTOSH TALUKDER</v>
      </c>
      <c r="I13153" s="145" t="s">
        <v>483</v>
      </c>
      <c r="J13153" s="163" t="s">
        <v>52</v>
      </c>
      <c r="K13153" s="219"/>
      <c r="L13153" s="219">
        <v>109513.92</v>
      </c>
    </row>
    <row r="13154" spans="1:13" x14ac:dyDescent="0.2">
      <c r="A13154" s="133">
        <v>2025</v>
      </c>
      <c r="B13154" s="133">
        <v>3</v>
      </c>
      <c r="C13154" s="133">
        <v>24</v>
      </c>
      <c r="D13154" s="141">
        <f t="shared" si="1962"/>
        <v>45740</v>
      </c>
      <c r="E13154" s="275">
        <f t="shared" si="1963"/>
        <v>45740</v>
      </c>
      <c r="F13154" s="481" t="s">
        <v>2044</v>
      </c>
      <c r="G13154" s="174" t="s">
        <v>94</v>
      </c>
      <c r="H13154" s="174" t="str" cm="1">
        <f t="array" ref="H13154">IFERROR(INDEX(INVESTOR_LIST[INVESTOR NAME],MATCH(I13154,INVESTOR_LIST[INVESTOR CODE],0),)," ")</f>
        <v xml:space="preserve"> </v>
      </c>
      <c r="J13154" s="149" t="s">
        <v>190</v>
      </c>
      <c r="K13154" s="218">
        <v>500347.75</v>
      </c>
      <c r="L13154" s="133"/>
    </row>
    <row r="13155" spans="1:13" x14ac:dyDescent="0.2">
      <c r="A13155" s="133">
        <v>2025</v>
      </c>
      <c r="B13155" s="133">
        <v>3</v>
      </c>
      <c r="C13155" s="133">
        <v>24</v>
      </c>
      <c r="D13155" s="141">
        <f t="shared" si="1962"/>
        <v>45740</v>
      </c>
      <c r="E13155" s="275">
        <f t="shared" si="1963"/>
        <v>45740</v>
      </c>
      <c r="F13155" s="481"/>
      <c r="G13155" s="174" t="s">
        <v>94</v>
      </c>
      <c r="H13155" s="174" t="str" cm="1">
        <f t="array" ref="H13155">IFERROR(INDEX(INVESTOR_LIST[INVESTOR NAME],MATCH(I13155,INVESTOR_LIST[INVESTOR CODE],0),)," ")</f>
        <v xml:space="preserve"> </v>
      </c>
      <c r="J13155" s="149" t="s">
        <v>80</v>
      </c>
      <c r="K13155" s="218">
        <v>902.25</v>
      </c>
      <c r="L13155" s="218"/>
      <c r="M13155" s="176"/>
    </row>
    <row r="13156" spans="1:13" x14ac:dyDescent="0.2">
      <c r="A13156" s="133">
        <v>2025</v>
      </c>
      <c r="B13156" s="133">
        <v>3</v>
      </c>
      <c r="C13156" s="133">
        <v>24</v>
      </c>
      <c r="D13156" s="141">
        <f t="shared" si="1962"/>
        <v>45740</v>
      </c>
      <c r="E13156" s="275">
        <f t="shared" si="1963"/>
        <v>45740</v>
      </c>
      <c r="F13156" s="481"/>
      <c r="G13156" s="174" t="s">
        <v>94</v>
      </c>
      <c r="H13156" s="174" t="str" cm="1">
        <f t="array" ref="H13156">IFERROR(INDEX(INVESTOR_LIST[INVESTOR NAME],MATCH(I13156,INVESTOR_LIST[INVESTOR CODE],0),)," ")</f>
        <v xml:space="preserve"> </v>
      </c>
      <c r="J13156" s="149" t="s">
        <v>191</v>
      </c>
      <c r="K13156" s="218"/>
      <c r="L13156" s="218">
        <v>110336.44</v>
      </c>
    </row>
    <row r="13157" spans="1:13" x14ac:dyDescent="0.2">
      <c r="A13157" s="163">
        <v>2025</v>
      </c>
      <c r="B13157" s="163">
        <v>3</v>
      </c>
      <c r="C13157" s="163">
        <v>24</v>
      </c>
      <c r="D13157" s="280">
        <f t="shared" si="1962"/>
        <v>45740</v>
      </c>
      <c r="E13157" s="281">
        <f t="shared" si="1963"/>
        <v>45740</v>
      </c>
      <c r="F13157" s="480"/>
      <c r="G13157" s="221" t="s">
        <v>94</v>
      </c>
      <c r="H13157" s="145" t="str" cm="1">
        <f t="array" ref="H13157">IFERROR(INDEX(INVESTOR_LIST[INVESTOR NAME],MATCH(I13157,INVESTOR_LIST[INVESTOR CODE],0),)," ")</f>
        <v xml:space="preserve"> </v>
      </c>
      <c r="I13157" s="145"/>
      <c r="J13157" s="163" t="s">
        <v>79</v>
      </c>
      <c r="K13157" s="219"/>
      <c r="L13157" s="219">
        <v>390913.56</v>
      </c>
    </row>
    <row r="13158" spans="1:13" x14ac:dyDescent="0.2">
      <c r="A13158" s="133">
        <v>2025</v>
      </c>
      <c r="B13158" s="133">
        <v>3</v>
      </c>
      <c r="C13158" s="133">
        <v>24</v>
      </c>
      <c r="D13158" s="141">
        <f t="shared" si="1962"/>
        <v>45740</v>
      </c>
      <c r="E13158" s="275">
        <f t="shared" si="1963"/>
        <v>45740</v>
      </c>
      <c r="F13158" s="481" t="s">
        <v>1767</v>
      </c>
      <c r="G13158" s="174" t="s">
        <v>94</v>
      </c>
      <c r="H13158" s="174" t="str" cm="1">
        <f t="array" ref="H13158">IFERROR(INDEX(INVESTOR_LIST[INVESTOR NAME],MATCH(I13158,INVESTOR_LIST[INVESTOR CODE],0),)," ")</f>
        <v xml:space="preserve"> </v>
      </c>
      <c r="J13158" s="149" t="s">
        <v>79</v>
      </c>
      <c r="K13158" s="218">
        <v>791200</v>
      </c>
      <c r="L13158" s="218"/>
      <c r="M13158" s="160"/>
    </row>
    <row r="13159" spans="1:13" x14ac:dyDescent="0.2">
      <c r="A13159" s="133">
        <v>2025</v>
      </c>
      <c r="B13159" s="133">
        <v>3</v>
      </c>
      <c r="C13159" s="133">
        <v>24</v>
      </c>
      <c r="D13159" s="141">
        <f t="shared" si="1962"/>
        <v>45740</v>
      </c>
      <c r="E13159" s="275">
        <f t="shared" si="1963"/>
        <v>45740</v>
      </c>
      <c r="F13159" s="481"/>
      <c r="G13159" s="174" t="s">
        <v>94</v>
      </c>
      <c r="H13159" s="174" t="str" cm="1">
        <f t="array" ref="H13159">IFERROR(INDEX(INVESTOR_LIST[INVESTOR NAME],MATCH(I13159,INVESTOR_LIST[INVESTOR CODE],0),)," ")</f>
        <v xml:space="preserve"> </v>
      </c>
      <c r="J13159" s="149" t="s">
        <v>80</v>
      </c>
      <c r="K13159" s="218">
        <v>3839</v>
      </c>
      <c r="L13159" s="133"/>
    </row>
    <row r="13160" spans="1:13" x14ac:dyDescent="0.2">
      <c r="A13160" s="133">
        <v>2025</v>
      </c>
      <c r="B13160" s="133">
        <v>3</v>
      </c>
      <c r="C13160" s="133">
        <v>24</v>
      </c>
      <c r="D13160" s="141">
        <f t="shared" si="1962"/>
        <v>45740</v>
      </c>
      <c r="E13160" s="275">
        <f t="shared" si="1963"/>
        <v>45740</v>
      </c>
      <c r="F13160" s="481"/>
      <c r="G13160" s="174" t="s">
        <v>94</v>
      </c>
      <c r="H13160" s="174" t="str" cm="1">
        <f t="array" ref="H13160">IFERROR(INDEX(INVESTOR_LIST[INVESTOR NAME],MATCH(I13160,INVESTOR_LIST[INVESTOR CODE],0),)," ")</f>
        <v xml:space="preserve"> </v>
      </c>
      <c r="J13160" s="149" t="s">
        <v>190</v>
      </c>
      <c r="K13160" s="218">
        <v>546065</v>
      </c>
      <c r="L13160" s="218"/>
    </row>
    <row r="13161" spans="1:13" x14ac:dyDescent="0.2">
      <c r="A13161" s="133">
        <v>2025</v>
      </c>
      <c r="B13161" s="133">
        <v>3</v>
      </c>
      <c r="C13161" s="133">
        <v>24</v>
      </c>
      <c r="D13161" s="141">
        <f t="shared" si="1962"/>
        <v>45740</v>
      </c>
      <c r="E13161" s="275">
        <f t="shared" si="1963"/>
        <v>45740</v>
      </c>
      <c r="F13161" s="481"/>
      <c r="G13161" s="174" t="s">
        <v>94</v>
      </c>
      <c r="H13161" s="174" t="str" cm="1">
        <f t="array" ref="H13161">IFERROR(INDEX(INVESTOR_LIST[INVESTOR NAME],MATCH(I13161,INVESTOR_LIST[INVESTOR CODE],0),)," ")</f>
        <v xml:space="preserve"> </v>
      </c>
      <c r="J13161" s="149" t="s">
        <v>191</v>
      </c>
      <c r="K13161" s="218"/>
      <c r="L13161" s="218">
        <v>308935.84000000003</v>
      </c>
    </row>
    <row r="13162" spans="1:13" x14ac:dyDescent="0.2">
      <c r="A13162" s="163">
        <v>2025</v>
      </c>
      <c r="B13162" s="163">
        <v>3</v>
      </c>
      <c r="C13162" s="163">
        <v>24</v>
      </c>
      <c r="D13162" s="280">
        <f t="shared" si="1962"/>
        <v>45740</v>
      </c>
      <c r="E13162" s="281">
        <f t="shared" si="1963"/>
        <v>45740</v>
      </c>
      <c r="F13162" s="480"/>
      <c r="G13162" s="221" t="s">
        <v>94</v>
      </c>
      <c r="H13162" s="145" t="str" cm="1">
        <f t="array" ref="H13162">IFERROR(INDEX(INVESTOR_LIST[INVESTOR NAME],MATCH(I13162,INVESTOR_LIST[INVESTOR CODE],0),)," ")</f>
        <v xml:space="preserve"> </v>
      </c>
      <c r="I13162" s="145"/>
      <c r="J13162" s="163" t="s">
        <v>79</v>
      </c>
      <c r="K13162" s="219"/>
      <c r="L13162" s="219">
        <v>1032168.16</v>
      </c>
    </row>
    <row r="13163" spans="1:13" ht="11.25" customHeight="1" x14ac:dyDescent="0.2">
      <c r="A13163" s="168">
        <v>2025</v>
      </c>
      <c r="B13163" s="133">
        <v>3</v>
      </c>
      <c r="C13163" s="168">
        <v>25</v>
      </c>
      <c r="D13163" s="141">
        <f t="shared" si="1962"/>
        <v>45741</v>
      </c>
      <c r="E13163" s="275">
        <f t="shared" si="1963"/>
        <v>45741</v>
      </c>
      <c r="F13163" s="479" t="s">
        <v>2031</v>
      </c>
      <c r="G13163" s="220" t="s">
        <v>74</v>
      </c>
      <c r="H13163" s="220" t="str" cm="1">
        <f t="array" ref="H13163">IFERROR(INDEX(INVESTOR_LIST[INVESTOR NAME],MATCH(I13163,INVESTOR_LIST[INVESTOR CODE],0),)," ")</f>
        <v xml:space="preserve"> </v>
      </c>
      <c r="I13163" s="142"/>
      <c r="J13163" s="143" t="s">
        <v>52</v>
      </c>
      <c r="K13163" s="226">
        <v>436213</v>
      </c>
      <c r="L13163" s="226"/>
    </row>
    <row r="13164" spans="1:13" x14ac:dyDescent="0.2">
      <c r="A13164" s="163">
        <v>2025</v>
      </c>
      <c r="B13164" s="163">
        <v>3</v>
      </c>
      <c r="C13164" s="163">
        <v>25</v>
      </c>
      <c r="D13164" s="280">
        <f t="shared" si="1962"/>
        <v>45741</v>
      </c>
      <c r="E13164" s="281">
        <f t="shared" si="1963"/>
        <v>45741</v>
      </c>
      <c r="F13164" s="480"/>
      <c r="G13164" s="221" t="s">
        <v>74</v>
      </c>
      <c r="H13164" s="221" t="str" cm="1">
        <f t="array" ref="H13164">IFERROR(INDEX(INVESTOR_LIST[INVESTOR NAME],MATCH(I13164,INVESTOR_LIST[INVESTOR CODE],0),)," ")</f>
        <v xml:space="preserve"> </v>
      </c>
      <c r="I13164" s="145"/>
      <c r="J13164" s="146" t="s">
        <v>190</v>
      </c>
      <c r="K13164" s="219"/>
      <c r="L13164" s="219">
        <v>436213</v>
      </c>
    </row>
    <row r="13165" spans="1:13" ht="11.25" customHeight="1" x14ac:dyDescent="0.2">
      <c r="A13165" s="168">
        <v>2025</v>
      </c>
      <c r="B13165" s="133">
        <v>3</v>
      </c>
      <c r="C13165" s="168">
        <v>25</v>
      </c>
      <c r="D13165" s="141">
        <f t="shared" ref="D13165:D13166" si="1964">DATE(A13165,B13165,C13165)</f>
        <v>45741</v>
      </c>
      <c r="E13165" s="275">
        <f t="shared" ref="E13165:E13166" si="1965">DATE(A13165,B13165,C13165)</f>
        <v>45741</v>
      </c>
      <c r="F13165" s="479" t="s">
        <v>2031</v>
      </c>
      <c r="G13165" s="220" t="s">
        <v>74</v>
      </c>
      <c r="H13165" s="220" t="str" cm="1">
        <f t="array" ref="H13165">IFERROR(INDEX(INVESTOR_LIST[INVESTOR NAME],MATCH(I13165,INVESTOR_LIST[INVESTOR CODE],0),)," ")</f>
        <v xml:space="preserve"> </v>
      </c>
      <c r="I13165" s="142"/>
      <c r="J13165" s="143" t="s">
        <v>52</v>
      </c>
      <c r="K13165" s="226">
        <v>361274</v>
      </c>
      <c r="L13165" s="226"/>
    </row>
    <row r="13166" spans="1:13" x14ac:dyDescent="0.2">
      <c r="A13166" s="163">
        <v>2025</v>
      </c>
      <c r="B13166" s="163">
        <v>3</v>
      </c>
      <c r="C13166" s="163">
        <v>25</v>
      </c>
      <c r="D13166" s="280">
        <f t="shared" si="1964"/>
        <v>45741</v>
      </c>
      <c r="E13166" s="281">
        <f t="shared" si="1965"/>
        <v>45741</v>
      </c>
      <c r="F13166" s="480"/>
      <c r="G13166" s="221" t="s">
        <v>74</v>
      </c>
      <c r="H13166" s="221" t="str" cm="1">
        <f t="array" ref="H13166">IFERROR(INDEX(INVESTOR_LIST[INVESTOR NAME],MATCH(I13166,INVESTOR_LIST[INVESTOR CODE],0),)," ")</f>
        <v xml:space="preserve"> </v>
      </c>
      <c r="I13166" s="145"/>
      <c r="J13166" s="146" t="s">
        <v>190</v>
      </c>
      <c r="K13166" s="219"/>
      <c r="L13166" s="219">
        <v>361274</v>
      </c>
    </row>
    <row r="13167" spans="1:13" ht="11.25" customHeight="1" x14ac:dyDescent="0.2">
      <c r="A13167" s="168">
        <v>2025</v>
      </c>
      <c r="B13167" s="133">
        <v>3</v>
      </c>
      <c r="C13167" s="168">
        <v>25</v>
      </c>
      <c r="D13167" s="141">
        <f t="shared" ref="D13167:D13183" si="1966">DATE(A13167,B13167,C13167)</f>
        <v>45741</v>
      </c>
      <c r="E13167" s="275">
        <f t="shared" ref="E13167:E13183" si="1967">DATE(A13167,B13167,C13167)</f>
        <v>45741</v>
      </c>
      <c r="F13167" s="481" t="s">
        <v>2047</v>
      </c>
      <c r="G13167" s="220" t="s">
        <v>74</v>
      </c>
      <c r="H13167" s="220" t="str" cm="1">
        <f t="array" ref="H13167">IFERROR(INDEX(INVESTOR_LIST[INVESTOR NAME],MATCH(I13167,INVESTOR_LIST[INVESTOR CODE],0),)," ")</f>
        <v xml:space="preserve"> </v>
      </c>
      <c r="I13167" s="142"/>
      <c r="J13167" s="143" t="s">
        <v>52</v>
      </c>
      <c r="K13167" s="226">
        <v>168432</v>
      </c>
      <c r="L13167" s="226"/>
    </row>
    <row r="13168" spans="1:13" x14ac:dyDescent="0.2">
      <c r="A13168" s="163">
        <v>2025</v>
      </c>
      <c r="B13168" s="163">
        <v>3</v>
      </c>
      <c r="C13168" s="163">
        <v>25</v>
      </c>
      <c r="D13168" s="280">
        <f t="shared" si="1966"/>
        <v>45741</v>
      </c>
      <c r="E13168" s="281">
        <f t="shared" si="1967"/>
        <v>45741</v>
      </c>
      <c r="F13168" s="480"/>
      <c r="G13168" s="221" t="s">
        <v>74</v>
      </c>
      <c r="H13168" s="221" t="str" cm="1">
        <f t="array" ref="H13168">IFERROR(INDEX(INVESTOR_LIST[INVESTOR NAME],MATCH(I13168,INVESTOR_LIST[INVESTOR CODE],0),)," ")</f>
        <v xml:space="preserve"> </v>
      </c>
      <c r="I13168" s="145"/>
      <c r="J13168" s="146" t="s">
        <v>168</v>
      </c>
      <c r="K13168" s="219"/>
      <c r="L13168" s="219">
        <v>168432</v>
      </c>
    </row>
    <row r="13169" spans="1:13" x14ac:dyDescent="0.2">
      <c r="A13169" s="133">
        <v>2025</v>
      </c>
      <c r="B13169" s="133">
        <v>3</v>
      </c>
      <c r="C13169" s="133">
        <v>25</v>
      </c>
      <c r="D13169" s="141">
        <f t="shared" si="1966"/>
        <v>45741</v>
      </c>
      <c r="E13169" s="275">
        <f t="shared" si="1967"/>
        <v>45741</v>
      </c>
      <c r="F13169" s="481" t="s">
        <v>1979</v>
      </c>
      <c r="G13169" s="174" t="s">
        <v>94</v>
      </c>
      <c r="H13169" s="174" t="str" cm="1">
        <f t="array" ref="H13169">IFERROR(INDEX(INVESTOR_LIST[INVESTOR NAME],MATCH(I13169,INVESTOR_LIST[INVESTOR CODE],0),)," ")</f>
        <v xml:space="preserve"> </v>
      </c>
      <c r="J13169" s="149" t="s">
        <v>79</v>
      </c>
      <c r="K13169" s="218">
        <v>255000</v>
      </c>
      <c r="L13169" s="218"/>
      <c r="M13169" s="160"/>
    </row>
    <row r="13170" spans="1:13" x14ac:dyDescent="0.2">
      <c r="A13170" s="133">
        <v>2025</v>
      </c>
      <c r="B13170" s="133">
        <v>3</v>
      </c>
      <c r="C13170" s="133">
        <v>25</v>
      </c>
      <c r="D13170" s="141">
        <f t="shared" si="1966"/>
        <v>45741</v>
      </c>
      <c r="E13170" s="275">
        <f t="shared" si="1967"/>
        <v>45741</v>
      </c>
      <c r="F13170" s="481"/>
      <c r="G13170" s="174" t="s">
        <v>94</v>
      </c>
      <c r="H13170" s="174" t="str" cm="1">
        <f t="array" ref="H13170">IFERROR(INDEX(INVESTOR_LIST[INVESTOR NAME],MATCH(I13170,INVESTOR_LIST[INVESTOR CODE],0),)," ")</f>
        <v xml:space="preserve"> </v>
      </c>
      <c r="J13170" s="149" t="s">
        <v>80</v>
      </c>
      <c r="K13170" s="218">
        <v>459</v>
      </c>
      <c r="L13170" s="133"/>
    </row>
    <row r="13171" spans="1:13" x14ac:dyDescent="0.2">
      <c r="A13171" s="133">
        <v>2025</v>
      </c>
      <c r="B13171" s="133">
        <v>3</v>
      </c>
      <c r="C13171" s="163">
        <v>25</v>
      </c>
      <c r="D13171" s="141">
        <f t="shared" si="1966"/>
        <v>45741</v>
      </c>
      <c r="E13171" s="275">
        <f t="shared" si="1967"/>
        <v>45741</v>
      </c>
      <c r="F13171" s="481"/>
      <c r="G13171" s="174" t="s">
        <v>94</v>
      </c>
      <c r="H13171" s="174" t="str" cm="1">
        <f t="array" ref="H13171">IFERROR(INDEX(INVESTOR_LIST[INVESTOR NAME],MATCH(I13171,INVESTOR_LIST[INVESTOR CODE],0),)," ")</f>
        <v xml:space="preserve"> </v>
      </c>
      <c r="J13171" s="149" t="s">
        <v>147</v>
      </c>
      <c r="K13171" s="218"/>
      <c r="L13171" s="218">
        <v>255459</v>
      </c>
    </row>
    <row r="13172" spans="1:13" x14ac:dyDescent="0.2">
      <c r="A13172" s="168">
        <v>2025</v>
      </c>
      <c r="B13172" s="168">
        <v>3</v>
      </c>
      <c r="C13172" s="133">
        <v>25</v>
      </c>
      <c r="D13172" s="141">
        <f t="shared" si="1966"/>
        <v>45741</v>
      </c>
      <c r="E13172" s="275">
        <f t="shared" si="1967"/>
        <v>45741</v>
      </c>
      <c r="F13172" s="479" t="s">
        <v>1974</v>
      </c>
      <c r="G13172" s="220" t="s">
        <v>94</v>
      </c>
      <c r="H13172" s="220" t="str" cm="1">
        <f t="array" ref="H13172">IFERROR(INDEX(INVESTOR_LIST[INVESTOR NAME],MATCH(I13172,INVESTOR_LIST[INVESTOR CODE],0),)," ")</f>
        <v xml:space="preserve"> </v>
      </c>
      <c r="I13172" s="142"/>
      <c r="J13172" s="143" t="s">
        <v>79</v>
      </c>
      <c r="K13172" s="226">
        <v>183150</v>
      </c>
      <c r="L13172" s="226"/>
    </row>
    <row r="13173" spans="1:13" x14ac:dyDescent="0.2">
      <c r="A13173" s="133">
        <v>2025</v>
      </c>
      <c r="B13173" s="133">
        <v>3</v>
      </c>
      <c r="C13173" s="133">
        <v>25</v>
      </c>
      <c r="D13173" s="141">
        <f t="shared" si="1966"/>
        <v>45741</v>
      </c>
      <c r="E13173" s="275">
        <f t="shared" si="1967"/>
        <v>45741</v>
      </c>
      <c r="F13173" s="481"/>
      <c r="G13173" s="174" t="s">
        <v>94</v>
      </c>
      <c r="H13173" s="174" t="str" cm="1">
        <f t="array" ref="H13173">IFERROR(INDEX(INVESTOR_LIST[INVESTOR NAME],MATCH(I13173,INVESTOR_LIST[INVESTOR CODE],0),)," ")</f>
        <v xml:space="preserve"> </v>
      </c>
      <c r="J13173" s="149" t="s">
        <v>80</v>
      </c>
      <c r="K13173" s="218">
        <v>329.67</v>
      </c>
      <c r="L13173" s="133"/>
    </row>
    <row r="13174" spans="1:13" x14ac:dyDescent="0.2">
      <c r="A13174" s="163">
        <v>2025</v>
      </c>
      <c r="B13174" s="163">
        <v>3</v>
      </c>
      <c r="C13174" s="163">
        <v>25</v>
      </c>
      <c r="D13174" s="280">
        <f t="shared" si="1966"/>
        <v>45741</v>
      </c>
      <c r="E13174" s="281">
        <f t="shared" si="1967"/>
        <v>45741</v>
      </c>
      <c r="F13174" s="480"/>
      <c r="G13174" s="221" t="s">
        <v>94</v>
      </c>
      <c r="H13174" s="221" t="str" cm="1">
        <f t="array" ref="H13174">IFERROR(INDEX(INVESTOR_LIST[INVESTOR NAME],MATCH(I13174,INVESTOR_LIST[INVESTOR CODE],0),)," ")</f>
        <v xml:space="preserve"> </v>
      </c>
      <c r="I13174" s="145"/>
      <c r="J13174" s="146" t="s">
        <v>147</v>
      </c>
      <c r="K13174" s="219"/>
      <c r="L13174" s="219">
        <v>183479.67</v>
      </c>
    </row>
    <row r="13175" spans="1:13" ht="11.25" customHeight="1" x14ac:dyDescent="0.2">
      <c r="A13175" s="168">
        <v>2025</v>
      </c>
      <c r="B13175" s="168">
        <v>3</v>
      </c>
      <c r="C13175" s="133">
        <v>27</v>
      </c>
      <c r="D13175" s="141">
        <f t="shared" si="1966"/>
        <v>45743</v>
      </c>
      <c r="E13175" s="275">
        <f t="shared" si="1967"/>
        <v>45743</v>
      </c>
      <c r="F13175" s="479" t="s">
        <v>964</v>
      </c>
      <c r="G13175" s="220" t="s">
        <v>74</v>
      </c>
      <c r="H13175" s="142" t="str" cm="1">
        <f t="array" ref="H13175">IFERROR(INDEX(INVESTOR_LIST[INVESTOR NAME],MATCH(I13175,INVESTOR_LIST[INVESTOR CODE],0),)," ")</f>
        <v>MUHAMMAD SHOHIDUZZAMAN</v>
      </c>
      <c r="I13175" s="142" t="s">
        <v>1663</v>
      </c>
      <c r="J13175" s="168" t="s">
        <v>52</v>
      </c>
      <c r="K13175" s="226">
        <v>3000000</v>
      </c>
      <c r="L13175" s="226"/>
    </row>
    <row r="13176" spans="1:13" ht="11.25" customHeight="1" x14ac:dyDescent="0.2">
      <c r="A13176" s="133">
        <v>2025</v>
      </c>
      <c r="B13176" s="133">
        <v>3</v>
      </c>
      <c r="C13176" s="133">
        <v>27</v>
      </c>
      <c r="D13176" s="141">
        <f t="shared" si="1966"/>
        <v>45743</v>
      </c>
      <c r="E13176" s="275">
        <f t="shared" si="1967"/>
        <v>45743</v>
      </c>
      <c r="F13176" s="481"/>
      <c r="G13176" s="174" t="s">
        <v>74</v>
      </c>
      <c r="H13176" s="148" t="str" cm="1">
        <f t="array" ref="H13176">IFERROR(INDEX(INVESTOR_LIST[INVESTOR NAME],MATCH(I13176,INVESTOR_LIST[INVESTOR CODE],0),)," ")</f>
        <v>MUHAMMAD SHOHIDUZZAMAN</v>
      </c>
      <c r="I13176" s="148" t="s">
        <v>1663</v>
      </c>
      <c r="J13176" s="133" t="s">
        <v>13</v>
      </c>
      <c r="K13176" s="218"/>
      <c r="L13176" s="218">
        <v>2378880</v>
      </c>
    </row>
    <row r="13177" spans="1:13" ht="11.25" customHeight="1" x14ac:dyDescent="0.2">
      <c r="A13177" s="163">
        <v>2025</v>
      </c>
      <c r="B13177" s="163">
        <v>3</v>
      </c>
      <c r="C13177" s="163">
        <v>27</v>
      </c>
      <c r="D13177" s="280">
        <f t="shared" si="1966"/>
        <v>45743</v>
      </c>
      <c r="E13177" s="281">
        <f t="shared" si="1967"/>
        <v>45743</v>
      </c>
      <c r="F13177" s="480"/>
      <c r="G13177" s="221" t="s">
        <v>74</v>
      </c>
      <c r="H13177" s="145" t="str" cm="1">
        <f t="array" ref="H13177">IFERROR(INDEX(INVESTOR_LIST[INVESTOR NAME],MATCH(I13177,INVESTOR_LIST[INVESTOR CODE],0),)," ")</f>
        <v>MUHAMMAD SHOHIDUZZAMAN</v>
      </c>
      <c r="I13177" s="145" t="s">
        <v>1663</v>
      </c>
      <c r="J13177" s="163" t="s">
        <v>53</v>
      </c>
      <c r="K13177" s="219"/>
      <c r="L13177" s="219">
        <v>621120</v>
      </c>
    </row>
    <row r="13178" spans="1:13" ht="11.25" customHeight="1" x14ac:dyDescent="0.2">
      <c r="A13178" s="168">
        <v>2025</v>
      </c>
      <c r="B13178" s="133">
        <v>3</v>
      </c>
      <c r="C13178" s="168">
        <v>27</v>
      </c>
      <c r="D13178" s="141">
        <f t="shared" si="1966"/>
        <v>45743</v>
      </c>
      <c r="E13178" s="275">
        <f t="shared" si="1967"/>
        <v>45743</v>
      </c>
      <c r="F13178" s="479" t="s">
        <v>2048</v>
      </c>
      <c r="G13178" s="220" t="s">
        <v>74</v>
      </c>
      <c r="H13178" s="220" t="str" cm="1">
        <f t="array" ref="H13178">IFERROR(INDEX(INVESTOR_LIST[INVESTOR NAME],MATCH(I13178,INVESTOR_LIST[INVESTOR CODE],0),)," ")</f>
        <v xml:space="preserve"> </v>
      </c>
      <c r="I13178" s="142"/>
      <c r="J13178" s="143" t="s">
        <v>1806</v>
      </c>
      <c r="K13178" s="226">
        <v>900000</v>
      </c>
      <c r="L13178" s="226"/>
    </row>
    <row r="13179" spans="1:13" x14ac:dyDescent="0.2">
      <c r="A13179" s="163">
        <v>2025</v>
      </c>
      <c r="B13179" s="163">
        <v>3</v>
      </c>
      <c r="C13179" s="163">
        <v>27</v>
      </c>
      <c r="D13179" s="280">
        <f t="shared" si="1966"/>
        <v>45743</v>
      </c>
      <c r="E13179" s="281">
        <f t="shared" si="1967"/>
        <v>45743</v>
      </c>
      <c r="F13179" s="480"/>
      <c r="G13179" s="221" t="s">
        <v>74</v>
      </c>
      <c r="H13179" s="221" t="str" cm="1">
        <f t="array" ref="H13179">IFERROR(INDEX(INVESTOR_LIST[INVESTOR NAME],MATCH(I13179,INVESTOR_LIST[INVESTOR CODE],0),)," ")</f>
        <v xml:space="preserve"> </v>
      </c>
      <c r="I13179" s="145"/>
      <c r="J13179" s="146" t="s">
        <v>60</v>
      </c>
      <c r="K13179" s="219"/>
      <c r="L13179" s="219">
        <v>900000</v>
      </c>
    </row>
    <row r="13180" spans="1:13" x14ac:dyDescent="0.2">
      <c r="A13180" s="133">
        <v>2025</v>
      </c>
      <c r="B13180" s="133">
        <v>3</v>
      </c>
      <c r="C13180" s="133">
        <v>27</v>
      </c>
      <c r="D13180" s="141">
        <f t="shared" si="1966"/>
        <v>45743</v>
      </c>
      <c r="E13180" s="275">
        <f t="shared" si="1967"/>
        <v>45743</v>
      </c>
      <c r="F13180" s="481" t="s">
        <v>2044</v>
      </c>
      <c r="G13180" s="174" t="s">
        <v>94</v>
      </c>
      <c r="H13180" s="174" t="str" cm="1">
        <f t="array" ref="H13180">IFERROR(INDEX(INVESTOR_LIST[INVESTOR NAME],MATCH(I13180,INVESTOR_LIST[INVESTOR CODE],0),)," ")</f>
        <v xml:space="preserve"> </v>
      </c>
      <c r="J13180" s="149" t="s">
        <v>190</v>
      </c>
      <c r="K13180" s="218">
        <v>497203.42</v>
      </c>
      <c r="L13180" s="133"/>
    </row>
    <row r="13181" spans="1:13" x14ac:dyDescent="0.2">
      <c r="A13181" s="133">
        <v>2025</v>
      </c>
      <c r="B13181" s="133">
        <v>3</v>
      </c>
      <c r="C13181" s="133">
        <v>27</v>
      </c>
      <c r="D13181" s="141">
        <f t="shared" si="1966"/>
        <v>45743</v>
      </c>
      <c r="E13181" s="275">
        <f t="shared" si="1967"/>
        <v>45743</v>
      </c>
      <c r="F13181" s="481"/>
      <c r="G13181" s="174" t="s">
        <v>94</v>
      </c>
      <c r="H13181" s="174" t="str" cm="1">
        <f t="array" ref="H13181">IFERROR(INDEX(INVESTOR_LIST[INVESTOR NAME],MATCH(I13181,INVESTOR_LIST[INVESTOR CODE],0),)," ")</f>
        <v xml:space="preserve"> </v>
      </c>
      <c r="J13181" s="149" t="s">
        <v>80</v>
      </c>
      <c r="K13181" s="218">
        <v>896.58</v>
      </c>
      <c r="L13181" s="218"/>
      <c r="M13181" s="176"/>
    </row>
    <row r="13182" spans="1:13" x14ac:dyDescent="0.2">
      <c r="A13182" s="133">
        <v>2025</v>
      </c>
      <c r="B13182" s="133">
        <v>3</v>
      </c>
      <c r="C13182" s="133">
        <v>27</v>
      </c>
      <c r="D13182" s="141">
        <f t="shared" si="1966"/>
        <v>45743</v>
      </c>
      <c r="E13182" s="275">
        <f t="shared" si="1967"/>
        <v>45743</v>
      </c>
      <c r="F13182" s="481"/>
      <c r="G13182" s="174" t="s">
        <v>94</v>
      </c>
      <c r="H13182" s="174" t="str" cm="1">
        <f t="array" ref="H13182">IFERROR(INDEX(INVESTOR_LIST[INVESTOR NAME],MATCH(I13182,INVESTOR_LIST[INVESTOR CODE],0),)," ")</f>
        <v xml:space="preserve"> </v>
      </c>
      <c r="J13182" s="149" t="s">
        <v>191</v>
      </c>
      <c r="K13182" s="218"/>
      <c r="L13182" s="218">
        <v>107186.44</v>
      </c>
    </row>
    <row r="13183" spans="1:13" x14ac:dyDescent="0.2">
      <c r="A13183" s="163">
        <v>2025</v>
      </c>
      <c r="B13183" s="163">
        <v>3</v>
      </c>
      <c r="C13183" s="163">
        <v>27</v>
      </c>
      <c r="D13183" s="280">
        <f t="shared" si="1966"/>
        <v>45743</v>
      </c>
      <c r="E13183" s="281">
        <f t="shared" si="1967"/>
        <v>45743</v>
      </c>
      <c r="F13183" s="480"/>
      <c r="G13183" s="221" t="s">
        <v>94</v>
      </c>
      <c r="H13183" s="145" t="str" cm="1">
        <f t="array" ref="H13183">IFERROR(INDEX(INVESTOR_LIST[INVESTOR NAME],MATCH(I13183,INVESTOR_LIST[INVESTOR CODE],0),)," ")</f>
        <v xml:space="preserve"> </v>
      </c>
      <c r="I13183" s="145"/>
      <c r="J13183" s="163" t="s">
        <v>79</v>
      </c>
      <c r="K13183" s="219"/>
      <c r="L13183" s="219">
        <v>390913.56</v>
      </c>
    </row>
    <row r="13184" spans="1:13" x14ac:dyDescent="0.2">
      <c r="A13184" s="133">
        <v>2025</v>
      </c>
      <c r="B13184" s="133">
        <v>3</v>
      </c>
      <c r="C13184" s="133">
        <v>27</v>
      </c>
      <c r="D13184" s="141">
        <f t="shared" ref="D13184:D13187" si="1968">DATE(A13184,B13184,C13184)</f>
        <v>45743</v>
      </c>
      <c r="E13184" s="275">
        <f t="shared" ref="E13184:E13187" si="1969">DATE(A13184,B13184,C13184)</f>
        <v>45743</v>
      </c>
      <c r="F13184" s="481" t="s">
        <v>1995</v>
      </c>
      <c r="G13184" s="174" t="s">
        <v>94</v>
      </c>
      <c r="H13184" s="174" t="str" cm="1">
        <f t="array" ref="H13184">IFERROR(INDEX(INVESTOR_LIST[INVESTOR NAME],MATCH(I13184,INVESTOR_LIST[INVESTOR CODE],0),)," ")</f>
        <v xml:space="preserve"> </v>
      </c>
      <c r="J13184" s="149" t="s">
        <v>190</v>
      </c>
      <c r="K13184" s="218">
        <v>977653.94</v>
      </c>
      <c r="L13184" s="133"/>
    </row>
    <row r="13185" spans="1:13" x14ac:dyDescent="0.2">
      <c r="A13185" s="133">
        <v>2025</v>
      </c>
      <c r="B13185" s="133">
        <v>3</v>
      </c>
      <c r="C13185" s="133">
        <v>27</v>
      </c>
      <c r="D13185" s="141">
        <f t="shared" si="1968"/>
        <v>45743</v>
      </c>
      <c r="E13185" s="275">
        <f t="shared" si="1969"/>
        <v>45743</v>
      </c>
      <c r="F13185" s="481"/>
      <c r="G13185" s="174" t="s">
        <v>94</v>
      </c>
      <c r="H13185" s="174" t="str" cm="1">
        <f t="array" ref="H13185">IFERROR(INDEX(INVESTOR_LIST[INVESTOR NAME],MATCH(I13185,INVESTOR_LIST[INVESTOR CODE],0),)," ")</f>
        <v xml:space="preserve"> </v>
      </c>
      <c r="J13185" s="149" t="s">
        <v>80</v>
      </c>
      <c r="K13185" s="218">
        <v>1762.96</v>
      </c>
      <c r="L13185" s="218"/>
      <c r="M13185" s="176"/>
    </row>
    <row r="13186" spans="1:13" x14ac:dyDescent="0.2">
      <c r="A13186" s="133">
        <v>2025</v>
      </c>
      <c r="B13186" s="133">
        <v>3</v>
      </c>
      <c r="C13186" s="133">
        <v>27</v>
      </c>
      <c r="D13186" s="141">
        <f t="shared" si="1968"/>
        <v>45743</v>
      </c>
      <c r="E13186" s="275">
        <f t="shared" si="1969"/>
        <v>45743</v>
      </c>
      <c r="F13186" s="481"/>
      <c r="G13186" s="174" t="s">
        <v>94</v>
      </c>
      <c r="H13186" s="174" t="str" cm="1">
        <f t="array" ref="H13186">IFERROR(INDEX(INVESTOR_LIST[INVESTOR NAME],MATCH(I13186,INVESTOR_LIST[INVESTOR CODE],0),)," ")</f>
        <v xml:space="preserve"> </v>
      </c>
      <c r="J13186" s="149" t="s">
        <v>191</v>
      </c>
      <c r="K13186" s="218"/>
      <c r="L13186" s="218">
        <v>197589.78</v>
      </c>
    </row>
    <row r="13187" spans="1:13" x14ac:dyDescent="0.2">
      <c r="A13187" s="163">
        <v>2025</v>
      </c>
      <c r="B13187" s="163">
        <v>3</v>
      </c>
      <c r="C13187" s="163">
        <v>27</v>
      </c>
      <c r="D13187" s="280">
        <f t="shared" si="1968"/>
        <v>45743</v>
      </c>
      <c r="E13187" s="281">
        <f t="shared" si="1969"/>
        <v>45743</v>
      </c>
      <c r="F13187" s="480"/>
      <c r="G13187" s="221" t="s">
        <v>94</v>
      </c>
      <c r="H13187" s="145" t="str" cm="1">
        <f t="array" ref="H13187">IFERROR(INDEX(INVESTOR_LIST[INVESTOR NAME],MATCH(I13187,INVESTOR_LIST[INVESTOR CODE],0),)," ")</f>
        <v xml:space="preserve"> </v>
      </c>
      <c r="I13187" s="145"/>
      <c r="J13187" s="163" t="s">
        <v>79</v>
      </c>
      <c r="K13187" s="219"/>
      <c r="L13187" s="219">
        <v>781827.12</v>
      </c>
    </row>
    <row r="13188" spans="1:13" x14ac:dyDescent="0.2">
      <c r="A13188" s="168">
        <v>2025</v>
      </c>
      <c r="B13188" s="133">
        <v>3</v>
      </c>
      <c r="C13188" s="168">
        <v>27</v>
      </c>
      <c r="D13188" s="147">
        <f>DATE(A13188,B13188,C13188)</f>
        <v>45743</v>
      </c>
      <c r="E13188" s="311">
        <f>DATE(A13188,B13188,C13188)</f>
        <v>45743</v>
      </c>
      <c r="F13188" s="481" t="s">
        <v>1943</v>
      </c>
      <c r="G13188" s="174" t="s">
        <v>74</v>
      </c>
      <c r="H13188" s="148" t="str" cm="1">
        <f t="array" ref="H13188">IFERROR(INDEX(INVESTOR_LIST[INVESTOR NAME],MATCH(I13188,INVESTOR_LIST[INVESTOR CODE],0),)," ")</f>
        <v xml:space="preserve"> </v>
      </c>
      <c r="I13188" s="148" t="s">
        <v>348</v>
      </c>
      <c r="J13188" s="133" t="s">
        <v>61</v>
      </c>
      <c r="K13188" s="172">
        <v>60</v>
      </c>
    </row>
    <row r="13189" spans="1:13" x14ac:dyDescent="0.2">
      <c r="A13189" s="163">
        <v>2025</v>
      </c>
      <c r="B13189" s="163">
        <v>3</v>
      </c>
      <c r="C13189" s="163">
        <v>27</v>
      </c>
      <c r="D13189" s="280">
        <f>DATE(A13189,B13189,C13189)</f>
        <v>45743</v>
      </c>
      <c r="E13189" s="281">
        <f>DATE(A13189,B13189,C13189)</f>
        <v>45743</v>
      </c>
      <c r="F13189" s="480"/>
      <c r="G13189" s="221" t="s">
        <v>74</v>
      </c>
      <c r="H13189" s="145" t="str" cm="1">
        <f t="array" ref="H13189">IFERROR(INDEX(INVESTOR_LIST[INVESTOR NAME],MATCH(I13189,INVESTOR_LIST[INVESTOR CODE],0),)," ")</f>
        <v xml:space="preserve"> </v>
      </c>
      <c r="I13189" s="145" t="s">
        <v>348</v>
      </c>
      <c r="J13189" s="163" t="s">
        <v>52</v>
      </c>
      <c r="K13189" s="219"/>
      <c r="L13189" s="219">
        <v>60</v>
      </c>
    </row>
    <row r="13190" spans="1:13" x14ac:dyDescent="0.2">
      <c r="A13190" s="168">
        <v>2025</v>
      </c>
      <c r="B13190" s="133">
        <v>3</v>
      </c>
      <c r="C13190" s="168">
        <v>27</v>
      </c>
      <c r="D13190" s="141">
        <f t="shared" ref="D13190:D13193" si="1970">DATE(A13190,B13190,C13190)</f>
        <v>45743</v>
      </c>
      <c r="E13190" s="275">
        <f t="shared" ref="E13190:E13193" si="1971">DATE(A13190,B13190,C13190)</f>
        <v>45743</v>
      </c>
      <c r="F13190" s="479" t="s">
        <v>2032</v>
      </c>
      <c r="G13190" s="220" t="s">
        <v>74</v>
      </c>
      <c r="H13190" s="220" t="str" cm="1">
        <f t="array" ref="H13190">IFERROR(INDEX(INVESTOR_LIST[INVESTOR NAME],MATCH(I13190,INVESTOR_LIST[INVESTOR CODE],0),)," ")</f>
        <v xml:space="preserve"> </v>
      </c>
      <c r="I13190" s="142"/>
      <c r="J13190" s="143" t="s">
        <v>147</v>
      </c>
      <c r="K13190" s="226">
        <v>183479.67</v>
      </c>
      <c r="L13190" s="226"/>
    </row>
    <row r="13191" spans="1:13" x14ac:dyDescent="0.2">
      <c r="A13191" s="163">
        <v>2025</v>
      </c>
      <c r="B13191" s="163">
        <v>3</v>
      </c>
      <c r="C13191" s="163">
        <v>27</v>
      </c>
      <c r="D13191" s="280">
        <f t="shared" si="1970"/>
        <v>45743</v>
      </c>
      <c r="E13191" s="281">
        <f t="shared" si="1971"/>
        <v>45743</v>
      </c>
      <c r="F13191" s="480"/>
      <c r="G13191" s="221" t="s">
        <v>74</v>
      </c>
      <c r="H13191" s="221" t="str" cm="1">
        <f t="array" ref="H13191">IFERROR(INDEX(INVESTOR_LIST[INVESTOR NAME],MATCH(I13191,INVESTOR_LIST[INVESTOR CODE],0),)," ")</f>
        <v xml:space="preserve"> </v>
      </c>
      <c r="I13191" s="145" t="s">
        <v>348</v>
      </c>
      <c r="J13191" s="146" t="s">
        <v>52</v>
      </c>
      <c r="K13191" s="219"/>
      <c r="L13191" s="219">
        <v>183479.67</v>
      </c>
    </row>
    <row r="13192" spans="1:13" ht="11.25" customHeight="1" x14ac:dyDescent="0.2">
      <c r="A13192" s="168">
        <v>2025</v>
      </c>
      <c r="B13192" s="133">
        <v>3</v>
      </c>
      <c r="C13192" s="168">
        <v>27</v>
      </c>
      <c r="D13192" s="141">
        <f t="shared" si="1970"/>
        <v>45743</v>
      </c>
      <c r="E13192" s="275">
        <f t="shared" si="1971"/>
        <v>45743</v>
      </c>
      <c r="F13192" s="479" t="s">
        <v>2031</v>
      </c>
      <c r="G13192" s="220" t="s">
        <v>74</v>
      </c>
      <c r="H13192" s="220" t="str" cm="1">
        <f t="array" ref="H13192">IFERROR(INDEX(INVESTOR_LIST[INVESTOR NAME],MATCH(I13192,INVESTOR_LIST[INVESTOR CODE],0),)," ")</f>
        <v xml:space="preserve"> </v>
      </c>
      <c r="I13192" s="142"/>
      <c r="J13192" s="143" t="s">
        <v>52</v>
      </c>
      <c r="K13192" s="226">
        <v>546065</v>
      </c>
      <c r="L13192" s="226"/>
    </row>
    <row r="13193" spans="1:13" x14ac:dyDescent="0.2">
      <c r="A13193" s="163">
        <v>2025</v>
      </c>
      <c r="B13193" s="163">
        <v>3</v>
      </c>
      <c r="C13193" s="163">
        <v>27</v>
      </c>
      <c r="D13193" s="280">
        <f t="shared" si="1970"/>
        <v>45743</v>
      </c>
      <c r="E13193" s="281">
        <f t="shared" si="1971"/>
        <v>45743</v>
      </c>
      <c r="F13193" s="480"/>
      <c r="G13193" s="221" t="s">
        <v>74</v>
      </c>
      <c r="H13193" s="221" t="str" cm="1">
        <f t="array" ref="H13193">IFERROR(INDEX(INVESTOR_LIST[INVESTOR NAME],MATCH(I13193,INVESTOR_LIST[INVESTOR CODE],0),)," ")</f>
        <v xml:space="preserve"> </v>
      </c>
      <c r="I13193" s="145"/>
      <c r="J13193" s="146" t="s">
        <v>190</v>
      </c>
      <c r="K13193" s="219"/>
      <c r="L13193" s="219">
        <v>546065</v>
      </c>
    </row>
    <row r="13194" spans="1:13" ht="11.25" customHeight="1" x14ac:dyDescent="0.2">
      <c r="A13194" s="168">
        <v>2025</v>
      </c>
      <c r="B13194" s="133">
        <v>3</v>
      </c>
      <c r="C13194" s="168">
        <v>27</v>
      </c>
      <c r="D13194" s="141">
        <f t="shared" ref="D13194:D13198" si="1972">DATE(A13194,B13194,C13194)</f>
        <v>45743</v>
      </c>
      <c r="E13194" s="275">
        <f t="shared" ref="E13194:E13198" si="1973">DATE(A13194,B13194,C13194)</f>
        <v>45743</v>
      </c>
      <c r="F13194" s="479" t="s">
        <v>2037</v>
      </c>
      <c r="G13194" s="220" t="s">
        <v>74</v>
      </c>
      <c r="H13194" s="220" t="str" cm="1">
        <f t="array" ref="H13194">IFERROR(INDEX(INVESTOR_LIST[INVESTOR NAME],MATCH(I13194,INVESTOR_LIST[INVESTOR CODE],0),)," ")</f>
        <v xml:space="preserve"> </v>
      </c>
      <c r="I13194" s="142"/>
      <c r="J13194" s="143" t="s">
        <v>52</v>
      </c>
      <c r="K13194" s="226">
        <v>500347.75</v>
      </c>
      <c r="L13194" s="226"/>
    </row>
    <row r="13195" spans="1:13" x14ac:dyDescent="0.2">
      <c r="A13195" s="163">
        <v>2025</v>
      </c>
      <c r="B13195" s="163">
        <v>3</v>
      </c>
      <c r="C13195" s="163">
        <v>27</v>
      </c>
      <c r="D13195" s="280">
        <f t="shared" si="1972"/>
        <v>45743</v>
      </c>
      <c r="E13195" s="281">
        <f t="shared" si="1973"/>
        <v>45743</v>
      </c>
      <c r="F13195" s="480"/>
      <c r="G13195" s="221" t="s">
        <v>74</v>
      </c>
      <c r="H13195" s="221" t="str" cm="1">
        <f t="array" ref="H13195">IFERROR(INDEX(INVESTOR_LIST[INVESTOR NAME],MATCH(I13195,INVESTOR_LIST[INVESTOR CODE],0),)," ")</f>
        <v xml:space="preserve"> </v>
      </c>
      <c r="I13195" s="145"/>
      <c r="J13195" s="146" t="s">
        <v>190</v>
      </c>
      <c r="K13195" s="219"/>
      <c r="L13195" s="219">
        <v>500347.75</v>
      </c>
    </row>
    <row r="13196" spans="1:13" ht="11.25" customHeight="1" x14ac:dyDescent="0.2">
      <c r="A13196" s="168">
        <v>2025</v>
      </c>
      <c r="B13196" s="168">
        <v>3</v>
      </c>
      <c r="C13196" s="133">
        <v>27</v>
      </c>
      <c r="D13196" s="141">
        <f t="shared" si="1972"/>
        <v>45743</v>
      </c>
      <c r="E13196" s="275">
        <f t="shared" si="1973"/>
        <v>45743</v>
      </c>
      <c r="F13196" s="479" t="s">
        <v>1319</v>
      </c>
      <c r="G13196" s="220" t="s">
        <v>74</v>
      </c>
      <c r="H13196" s="142" t="str" cm="1">
        <f t="array" ref="H13196">IFERROR(INDEX(INVESTOR_LIST[INVESTOR NAME],MATCH(I13196,INVESTOR_LIST[INVESTOR CODE],0),)," ")</f>
        <v xml:space="preserve"> </v>
      </c>
      <c r="I13196" s="142"/>
      <c r="J13196" s="168" t="s">
        <v>52</v>
      </c>
      <c r="K13196" s="226">
        <v>76000</v>
      </c>
      <c r="L13196" s="226"/>
    </row>
    <row r="13197" spans="1:13" ht="11.25" customHeight="1" x14ac:dyDescent="0.2">
      <c r="A13197" s="133">
        <v>2025</v>
      </c>
      <c r="B13197" s="133">
        <v>3</v>
      </c>
      <c r="C13197" s="133">
        <v>27</v>
      </c>
      <c r="D13197" s="141">
        <f t="shared" si="1972"/>
        <v>45743</v>
      </c>
      <c r="E13197" s="275">
        <f t="shared" si="1973"/>
        <v>45743</v>
      </c>
      <c r="F13197" s="481"/>
      <c r="G13197" s="174" t="s">
        <v>74</v>
      </c>
      <c r="H13197" s="148" t="str" cm="1">
        <f t="array" ref="H13197">IFERROR(INDEX(INVESTOR_LIST[INVESTOR NAME],MATCH(I13197,INVESTOR_LIST[INVESTOR CODE],0),)," ")</f>
        <v xml:space="preserve"> </v>
      </c>
      <c r="J13197" s="133" t="s">
        <v>13</v>
      </c>
      <c r="K13197" s="218"/>
      <c r="L13197" s="218">
        <v>60240</v>
      </c>
    </row>
    <row r="13198" spans="1:13" ht="11.25" customHeight="1" x14ac:dyDescent="0.2">
      <c r="A13198" s="163">
        <v>2025</v>
      </c>
      <c r="B13198" s="163">
        <v>3</v>
      </c>
      <c r="C13198" s="163">
        <v>27</v>
      </c>
      <c r="D13198" s="280">
        <f t="shared" si="1972"/>
        <v>45743</v>
      </c>
      <c r="E13198" s="281">
        <f t="shared" si="1973"/>
        <v>45743</v>
      </c>
      <c r="F13198" s="480"/>
      <c r="G13198" s="221" t="s">
        <v>74</v>
      </c>
      <c r="H13198" s="145" t="str" cm="1">
        <f t="array" ref="H13198">IFERROR(INDEX(INVESTOR_LIST[INVESTOR NAME],MATCH(I13198,INVESTOR_LIST[INVESTOR CODE],0),)," ")</f>
        <v xml:space="preserve"> </v>
      </c>
      <c r="I13198" s="145"/>
      <c r="J13198" s="163" t="s">
        <v>53</v>
      </c>
      <c r="K13198" s="219"/>
      <c r="L13198" s="219">
        <v>15760</v>
      </c>
    </row>
    <row r="13199" spans="1:13" x14ac:dyDescent="0.2">
      <c r="A13199" s="325">
        <v>2025</v>
      </c>
      <c r="B13199" s="325">
        <v>3</v>
      </c>
      <c r="C13199" s="325">
        <v>27</v>
      </c>
      <c r="D13199" s="326">
        <f t="shared" si="1962"/>
        <v>45743</v>
      </c>
      <c r="E13199" s="327">
        <f t="shared" si="1963"/>
        <v>45743</v>
      </c>
      <c r="F13199" s="473" t="s">
        <v>1940</v>
      </c>
      <c r="G13199" s="340" t="s">
        <v>94</v>
      </c>
      <c r="H13199" s="340" t="str" cm="1">
        <f t="array" ref="H13199">IFERROR(INDEX(INVESTOR_LIST[INVESTOR NAME],MATCH(I13199,INVESTOR_LIST[INVESTOR CODE],0),)," ")</f>
        <v xml:space="preserve"> </v>
      </c>
      <c r="I13199" s="341" t="s">
        <v>348</v>
      </c>
      <c r="J13199" s="374" t="s">
        <v>133</v>
      </c>
      <c r="K13199" s="375">
        <v>25811.119999999999</v>
      </c>
      <c r="L13199" s="375"/>
      <c r="M13199" s="176"/>
    </row>
    <row r="13200" spans="1:13" x14ac:dyDescent="0.2">
      <c r="A13200" s="331">
        <v>2025</v>
      </c>
      <c r="B13200" s="331">
        <v>3</v>
      </c>
      <c r="C13200" s="331">
        <v>27</v>
      </c>
      <c r="D13200" s="326">
        <f t="shared" si="1962"/>
        <v>45743</v>
      </c>
      <c r="E13200" s="327">
        <f t="shared" si="1963"/>
        <v>45743</v>
      </c>
      <c r="F13200" s="474"/>
      <c r="G13200" s="332" t="s">
        <v>94</v>
      </c>
      <c r="H13200" s="332" t="str" cm="1">
        <f t="array" ref="H13200">IFERROR(INDEX(INVESTOR_LIST[INVESTOR NAME],MATCH(I13200,INVESTOR_LIST[INVESTOR CODE],0),)," ")</f>
        <v xml:space="preserve"> </v>
      </c>
      <c r="I13200" s="333" t="s">
        <v>348</v>
      </c>
      <c r="J13200" s="376" t="s">
        <v>60</v>
      </c>
      <c r="K13200" s="334"/>
      <c r="L13200" s="334">
        <f>K13199</f>
        <v>25811.119999999999</v>
      </c>
    </row>
    <row r="13201" spans="1:13" x14ac:dyDescent="0.2">
      <c r="A13201" s="325">
        <v>2025</v>
      </c>
      <c r="B13201" s="325">
        <v>3</v>
      </c>
      <c r="C13201" s="325">
        <v>27</v>
      </c>
      <c r="D13201" s="326">
        <f t="shared" si="1962"/>
        <v>45743</v>
      </c>
      <c r="E13201" s="327">
        <f t="shared" si="1963"/>
        <v>45743</v>
      </c>
      <c r="F13201" s="473" t="s">
        <v>2029</v>
      </c>
      <c r="G13201" s="340" t="s">
        <v>94</v>
      </c>
      <c r="H13201" s="340" t="str" cm="1">
        <f t="array" ref="H13201">IFERROR(INDEX(INVESTOR_LIST[INVESTOR NAME],MATCH(I13201,INVESTOR_LIST[INVESTOR CODE],0),)," ")</f>
        <v xml:space="preserve"> </v>
      </c>
      <c r="I13201" s="341" t="s">
        <v>348</v>
      </c>
      <c r="J13201" s="374" t="s">
        <v>133</v>
      </c>
      <c r="K13201" s="375">
        <v>28269.23076923077</v>
      </c>
      <c r="L13201" s="375"/>
      <c r="M13201" s="176"/>
    </row>
    <row r="13202" spans="1:13" x14ac:dyDescent="0.2">
      <c r="A13202" s="331">
        <v>2025</v>
      </c>
      <c r="B13202" s="331">
        <v>3</v>
      </c>
      <c r="C13202" s="331">
        <v>27</v>
      </c>
      <c r="D13202" s="326">
        <f t="shared" si="1962"/>
        <v>45743</v>
      </c>
      <c r="E13202" s="327">
        <f t="shared" si="1963"/>
        <v>45743</v>
      </c>
      <c r="F13202" s="474"/>
      <c r="G13202" s="332" t="s">
        <v>94</v>
      </c>
      <c r="H13202" s="332" t="str" cm="1">
        <f t="array" ref="H13202">IFERROR(INDEX(INVESTOR_LIST[INVESTOR NAME],MATCH(I13202,INVESTOR_LIST[INVESTOR CODE],0),)," ")</f>
        <v xml:space="preserve"> </v>
      </c>
      <c r="I13202" s="333" t="s">
        <v>348</v>
      </c>
      <c r="J13202" s="376" t="s">
        <v>60</v>
      </c>
      <c r="K13202" s="334"/>
      <c r="L13202" s="334">
        <f>K13201</f>
        <v>28269.23076923077</v>
      </c>
    </row>
    <row r="13203" spans="1:13" x14ac:dyDescent="0.2">
      <c r="A13203" s="384">
        <v>2025</v>
      </c>
      <c r="B13203" s="384">
        <v>3</v>
      </c>
      <c r="C13203" s="384">
        <v>27</v>
      </c>
      <c r="D13203" s="385">
        <f t="shared" si="1962"/>
        <v>45743</v>
      </c>
      <c r="E13203" s="386">
        <f t="shared" si="1963"/>
        <v>45743</v>
      </c>
      <c r="F13203" s="475" t="s">
        <v>1966</v>
      </c>
      <c r="G13203" s="387" t="s">
        <v>94</v>
      </c>
      <c r="H13203" s="387" t="str" cm="1">
        <f t="array" ref="H13203">IFERROR(INDEX(INVESTOR_LIST[INVESTOR NAME],MATCH(I13203,INVESTOR_LIST[INVESTOR CODE],0),)," ")</f>
        <v xml:space="preserve"> </v>
      </c>
      <c r="I13203" s="388" t="s">
        <v>348</v>
      </c>
      <c r="J13203" s="389" t="s">
        <v>67</v>
      </c>
      <c r="K13203" s="390">
        <v>37253.79</v>
      </c>
      <c r="L13203" s="390"/>
    </row>
    <row r="13204" spans="1:13" x14ac:dyDescent="0.2">
      <c r="A13204" s="391">
        <v>2025</v>
      </c>
      <c r="B13204" s="391">
        <v>3</v>
      </c>
      <c r="C13204" s="391">
        <v>27</v>
      </c>
      <c r="D13204" s="385">
        <f t="shared" si="1962"/>
        <v>45743</v>
      </c>
      <c r="E13204" s="386">
        <f t="shared" si="1963"/>
        <v>45743</v>
      </c>
      <c r="F13204" s="476"/>
      <c r="G13204" s="392" t="s">
        <v>94</v>
      </c>
      <c r="H13204" s="392" t="str" cm="1">
        <f t="array" ref="H13204">IFERROR(INDEX(INVESTOR_LIST[INVESTOR NAME],MATCH(I13204,INVESTOR_LIST[INVESTOR CODE],0),)," ")</f>
        <v xml:space="preserve"> </v>
      </c>
      <c r="I13204" s="393" t="s">
        <v>348</v>
      </c>
      <c r="J13204" s="394" t="s">
        <v>60</v>
      </c>
      <c r="K13204" s="395"/>
      <c r="L13204" s="395">
        <f>K13203</f>
        <v>37253.79</v>
      </c>
    </row>
    <row r="13205" spans="1:13" x14ac:dyDescent="0.2">
      <c r="A13205" s="343">
        <v>2025</v>
      </c>
      <c r="B13205" s="343">
        <v>3</v>
      </c>
      <c r="C13205" s="343">
        <v>27</v>
      </c>
      <c r="D13205" s="344">
        <f t="shared" si="1962"/>
        <v>45743</v>
      </c>
      <c r="E13205" s="345">
        <f t="shared" si="1963"/>
        <v>45743</v>
      </c>
      <c r="F13205" s="483" t="s">
        <v>1813</v>
      </c>
      <c r="G13205" s="350" t="s">
        <v>94</v>
      </c>
      <c r="H13205" s="350" t="str" cm="1">
        <f t="array" ref="H13205">IFERROR(INDEX(INVESTOR_LIST[INVESTOR NAME],MATCH(I13205,INVESTOR_LIST[INVESTOR CODE],0),)," ")</f>
        <v xml:space="preserve"> </v>
      </c>
      <c r="I13205" s="352" t="s">
        <v>348</v>
      </c>
      <c r="J13205" s="353" t="s">
        <v>1807</v>
      </c>
      <c r="K13205" s="354">
        <v>0</v>
      </c>
      <c r="L13205" s="354"/>
      <c r="M13205" s="133">
        <v>0</v>
      </c>
    </row>
    <row r="13206" spans="1:13" x14ac:dyDescent="0.2">
      <c r="A13206" s="346">
        <v>2025</v>
      </c>
      <c r="B13206" s="346">
        <v>3</v>
      </c>
      <c r="C13206" s="346">
        <v>27</v>
      </c>
      <c r="D13206" s="344">
        <f t="shared" si="1962"/>
        <v>45743</v>
      </c>
      <c r="E13206" s="345">
        <f t="shared" si="1963"/>
        <v>45743</v>
      </c>
      <c r="F13206" s="484"/>
      <c r="G13206" s="347" t="s">
        <v>94</v>
      </c>
      <c r="H13206" s="347" t="str" cm="1">
        <f t="array" ref="H13206">IFERROR(INDEX(INVESTOR_LIST[INVESTOR NAME],MATCH(I13206,INVESTOR_LIST[INVESTOR CODE],0),)," ")</f>
        <v xml:space="preserve"> </v>
      </c>
      <c r="I13206" s="348" t="s">
        <v>348</v>
      </c>
      <c r="J13206" s="355" t="s">
        <v>1798</v>
      </c>
      <c r="K13206" s="349"/>
      <c r="L13206" s="349">
        <v>0</v>
      </c>
    </row>
    <row r="13207" spans="1:13" x14ac:dyDescent="0.2">
      <c r="A13207" s="343">
        <v>2025</v>
      </c>
      <c r="B13207" s="343">
        <v>3</v>
      </c>
      <c r="C13207" s="343">
        <v>27</v>
      </c>
      <c r="D13207" s="344">
        <f t="shared" si="1962"/>
        <v>45743</v>
      </c>
      <c r="E13207" s="345">
        <f t="shared" si="1963"/>
        <v>45743</v>
      </c>
      <c r="F13207" s="483" t="s">
        <v>1913</v>
      </c>
      <c r="G13207" s="350" t="s">
        <v>94</v>
      </c>
      <c r="H13207" s="350" t="str" cm="1">
        <f t="array" ref="H13207">IFERROR(INDEX(INVESTOR_LIST[INVESTOR NAME],MATCH(I13207,INVESTOR_LIST[INVESTOR CODE],0),)," ")</f>
        <v xml:space="preserve"> </v>
      </c>
      <c r="I13207" s="352" t="s">
        <v>348</v>
      </c>
      <c r="J13207" s="353" t="s">
        <v>1808</v>
      </c>
      <c r="K13207" s="354">
        <v>873840.58500000089</v>
      </c>
      <c r="L13207" s="354"/>
      <c r="M13207" s="133">
        <v>0</v>
      </c>
    </row>
    <row r="13208" spans="1:13" x14ac:dyDescent="0.2">
      <c r="A13208" s="346">
        <v>2025</v>
      </c>
      <c r="B13208" s="346">
        <v>3</v>
      </c>
      <c r="C13208" s="346">
        <v>27</v>
      </c>
      <c r="D13208" s="344">
        <f t="shared" si="1962"/>
        <v>45743</v>
      </c>
      <c r="E13208" s="345">
        <f t="shared" si="1963"/>
        <v>45743</v>
      </c>
      <c r="F13208" s="484"/>
      <c r="G13208" s="347" t="s">
        <v>94</v>
      </c>
      <c r="H13208" s="347" t="str" cm="1">
        <f t="array" ref="H13208">IFERROR(INDEX(INVESTOR_LIST[INVESTOR NAME],MATCH(I13208,INVESTOR_LIST[INVESTOR CODE],0),)," ")</f>
        <v xml:space="preserve"> </v>
      </c>
      <c r="I13208" s="348" t="s">
        <v>348</v>
      </c>
      <c r="J13208" s="355" t="s">
        <v>1799</v>
      </c>
      <c r="K13208" s="349"/>
      <c r="L13208" s="349">
        <f>K13207</f>
        <v>873840.58500000089</v>
      </c>
    </row>
    <row r="13209" spans="1:13" x14ac:dyDescent="0.2">
      <c r="A13209" s="238">
        <v>2025</v>
      </c>
      <c r="B13209" s="238">
        <v>3</v>
      </c>
      <c r="C13209" s="238">
        <v>27</v>
      </c>
      <c r="D13209" s="270">
        <f t="shared" si="1962"/>
        <v>45743</v>
      </c>
      <c r="E13209" s="279">
        <f t="shared" si="1963"/>
        <v>45743</v>
      </c>
      <c r="F13209" s="477" t="s">
        <v>347</v>
      </c>
      <c r="G13209" s="239" t="s">
        <v>94</v>
      </c>
      <c r="H13209" s="239" t="str" cm="1">
        <f t="array" ref="H13209">IFERROR(INDEX(INVESTOR_LIST[INVESTOR NAME],MATCH(I13209,INVESTOR_LIST[INVESTOR CODE],0),)," ")</f>
        <v xml:space="preserve"> </v>
      </c>
      <c r="I13209" s="262" t="s">
        <v>348</v>
      </c>
      <c r="J13209" s="240" t="s">
        <v>108</v>
      </c>
      <c r="K13209" s="241">
        <v>123648.83999998868</v>
      </c>
      <c r="L13209" s="241"/>
      <c r="M13209" s="133">
        <v>13139541.900000483</v>
      </c>
    </row>
    <row r="13210" spans="1:13" x14ac:dyDescent="0.2">
      <c r="A13210" s="242">
        <v>2025</v>
      </c>
      <c r="B13210" s="242">
        <v>3</v>
      </c>
      <c r="C13210" s="242">
        <v>27</v>
      </c>
      <c r="D13210" s="270">
        <f t="shared" si="1962"/>
        <v>45743</v>
      </c>
      <c r="E13210" s="279">
        <f t="shared" si="1963"/>
        <v>45743</v>
      </c>
      <c r="F13210" s="478"/>
      <c r="G13210" s="243" t="s">
        <v>94</v>
      </c>
      <c r="H13210" s="243" t="str" cm="1">
        <f t="array" ref="H13210">IFERROR(INDEX(INVESTOR_LIST[INVESTOR NAME],MATCH(I13210,INVESTOR_LIST[INVESTOR CODE],0),)," ")</f>
        <v xml:space="preserve"> </v>
      </c>
      <c r="I13210" s="263" t="s">
        <v>348</v>
      </c>
      <c r="J13210" s="244" t="s">
        <v>82</v>
      </c>
      <c r="K13210" s="245"/>
      <c r="L13210" s="245">
        <f>K13209</f>
        <v>123648.83999998868</v>
      </c>
    </row>
    <row r="13211" spans="1:13" ht="22.5" x14ac:dyDescent="0.2">
      <c r="A13211" s="246">
        <v>2025</v>
      </c>
      <c r="B13211" s="238">
        <v>3</v>
      </c>
      <c r="C13211" s="238">
        <v>27</v>
      </c>
      <c r="D13211" s="270">
        <f t="shared" si="1962"/>
        <v>45743</v>
      </c>
      <c r="E13211" s="279">
        <f t="shared" si="1963"/>
        <v>45743</v>
      </c>
      <c r="F13211" s="482" t="s">
        <v>148</v>
      </c>
      <c r="G13211" s="247" t="s">
        <v>94</v>
      </c>
      <c r="H13211" s="247" t="str" cm="1">
        <f t="array" ref="H13211">IFERROR(INDEX(INVESTOR_LIST[INVESTOR NAME],MATCH(I13211,INVESTOR_LIST[INVESTOR CODE],0),)," ")</f>
        <v xml:space="preserve"> </v>
      </c>
      <c r="I13211" s="248" t="s">
        <v>348</v>
      </c>
      <c r="J13211" s="249" t="s">
        <v>95</v>
      </c>
      <c r="K13211" s="250">
        <v>5494.5054945054944</v>
      </c>
      <c r="L13211" s="241"/>
      <c r="M13211" s="176"/>
    </row>
    <row r="13212" spans="1:13" x14ac:dyDescent="0.2">
      <c r="A13212" s="242">
        <v>2025</v>
      </c>
      <c r="B13212" s="242">
        <v>3</v>
      </c>
      <c r="C13212" s="242">
        <v>27</v>
      </c>
      <c r="D13212" s="270">
        <f t="shared" si="1962"/>
        <v>45743</v>
      </c>
      <c r="E13212" s="279">
        <f t="shared" si="1963"/>
        <v>45743</v>
      </c>
      <c r="F13212" s="478"/>
      <c r="G13212" s="243" t="s">
        <v>94</v>
      </c>
      <c r="H13212" s="243" t="str" cm="1">
        <f t="array" ref="H13212">IFERROR(INDEX(INVESTOR_LIST[INVESTOR NAME],MATCH(I13212,INVESTOR_LIST[INVESTOR CODE],0),)," ")</f>
        <v xml:space="preserve"> </v>
      </c>
      <c r="I13212" s="263" t="s">
        <v>348</v>
      </c>
      <c r="J13212" s="244" t="s">
        <v>63</v>
      </c>
      <c r="K13212" s="245"/>
      <c r="L13212" s="245">
        <f>K13211</f>
        <v>5494.5054945054944</v>
      </c>
    </row>
    <row r="13213" spans="1:13" x14ac:dyDescent="0.2">
      <c r="A13213" s="246">
        <v>2025</v>
      </c>
      <c r="B13213" s="238">
        <v>3</v>
      </c>
      <c r="C13213" s="238">
        <v>27</v>
      </c>
      <c r="D13213" s="270">
        <f t="shared" si="1962"/>
        <v>45743</v>
      </c>
      <c r="E13213" s="279">
        <f t="shared" si="1963"/>
        <v>45743</v>
      </c>
      <c r="F13213" s="482" t="s">
        <v>137</v>
      </c>
      <c r="G13213" s="247" t="s">
        <v>94</v>
      </c>
      <c r="H13213" s="247" t="str" cm="1">
        <f t="array" ref="H13213">IFERROR(INDEX(INVESTOR_LIST[INVESTOR NAME],MATCH(I13213,INVESTOR_LIST[INVESTOR CODE],0),)," ")</f>
        <v xml:space="preserve"> </v>
      </c>
      <c r="I13213" s="248" t="s">
        <v>348</v>
      </c>
      <c r="J13213" s="249" t="s">
        <v>97</v>
      </c>
      <c r="K13213" s="250">
        <f>M13213</f>
        <v>122596.7689406276</v>
      </c>
      <c r="L13213" s="252"/>
      <c r="M13213" s="133">
        <v>122596.7689406276</v>
      </c>
    </row>
    <row r="13214" spans="1:13" x14ac:dyDescent="0.2">
      <c r="A13214" s="242">
        <v>2025</v>
      </c>
      <c r="B13214" s="242">
        <v>3</v>
      </c>
      <c r="C13214" s="242">
        <v>27</v>
      </c>
      <c r="D13214" s="270">
        <f t="shared" si="1962"/>
        <v>45743</v>
      </c>
      <c r="E13214" s="279">
        <f t="shared" si="1963"/>
        <v>45743</v>
      </c>
      <c r="F13214" s="478"/>
      <c r="G13214" s="243" t="s">
        <v>94</v>
      </c>
      <c r="H13214" s="243" t="str" cm="1">
        <f t="array" ref="H13214">IFERROR(INDEX(INVESTOR_LIST[INVESTOR NAME],MATCH(I13214,INVESTOR_LIST[INVESTOR CODE],0),)," ")</f>
        <v xml:space="preserve"> </v>
      </c>
      <c r="I13214" s="263" t="s">
        <v>348</v>
      </c>
      <c r="J13214" s="244" t="s">
        <v>47</v>
      </c>
      <c r="K13214" s="245"/>
      <c r="L13214" s="245">
        <f>K13213</f>
        <v>122596.7689406276</v>
      </c>
      <c r="M13214" s="133">
        <v>5649.0692162621508</v>
      </c>
    </row>
    <row r="13215" spans="1:13" x14ac:dyDescent="0.2">
      <c r="A13215" s="246">
        <v>2025</v>
      </c>
      <c r="B13215" s="238">
        <v>3</v>
      </c>
      <c r="C13215" s="238">
        <v>27</v>
      </c>
      <c r="D13215" s="270">
        <f t="shared" si="1962"/>
        <v>45743</v>
      </c>
      <c r="E13215" s="279">
        <f t="shared" si="1963"/>
        <v>45743</v>
      </c>
      <c r="F13215" s="482" t="s">
        <v>138</v>
      </c>
      <c r="G13215" s="247" t="s">
        <v>94</v>
      </c>
      <c r="H13215" s="247" t="str" cm="1">
        <f t="array" ref="H13215">IFERROR(INDEX(INVESTOR_LIST[INVESTOR NAME],MATCH(I13215,INVESTOR_LIST[INVESTOR CODE],0),)," ")</f>
        <v xml:space="preserve"> </v>
      </c>
      <c r="I13215" s="248" t="s">
        <v>348</v>
      </c>
      <c r="J13215" s="249" t="s">
        <v>100</v>
      </c>
      <c r="K13215" s="250">
        <f>M13214</f>
        <v>5649.0692162621508</v>
      </c>
      <c r="L13215" s="252"/>
    </row>
    <row r="13216" spans="1:13" x14ac:dyDescent="0.2">
      <c r="A13216" s="242">
        <v>2025</v>
      </c>
      <c r="B13216" s="242">
        <v>3</v>
      </c>
      <c r="C13216" s="242">
        <v>27</v>
      </c>
      <c r="D13216" s="321">
        <f t="shared" si="1962"/>
        <v>45743</v>
      </c>
      <c r="E13216" s="322">
        <f t="shared" si="1963"/>
        <v>45743</v>
      </c>
      <c r="F13216" s="478"/>
      <c r="G13216" s="243" t="s">
        <v>94</v>
      </c>
      <c r="H13216" s="243" t="str" cm="1">
        <f t="array" ref="H13216">IFERROR(INDEX(INVESTOR_LIST[INVESTOR NAME],MATCH(I13216,INVESTOR_LIST[INVESTOR CODE],0),)," ")</f>
        <v xml:space="preserve"> </v>
      </c>
      <c r="I13216" s="263" t="s">
        <v>348</v>
      </c>
      <c r="J13216" s="244" t="s">
        <v>48</v>
      </c>
      <c r="K13216" s="245"/>
      <c r="L13216" s="245">
        <f>K13215</f>
        <v>5649.0692162621508</v>
      </c>
    </row>
    <row r="13217" spans="1:13" ht="11.25" customHeight="1" x14ac:dyDescent="0.2">
      <c r="A13217" s="168">
        <v>2025</v>
      </c>
      <c r="B13217" s="133">
        <v>4</v>
      </c>
      <c r="C13217" s="168">
        <v>6</v>
      </c>
      <c r="D13217" s="141">
        <f t="shared" si="1962"/>
        <v>45753</v>
      </c>
      <c r="E13217" s="275">
        <f t="shared" si="1963"/>
        <v>45753</v>
      </c>
      <c r="F13217" s="479" t="s">
        <v>2048</v>
      </c>
      <c r="G13217" s="220" t="s">
        <v>74</v>
      </c>
      <c r="H13217" s="220" t="str" cm="1">
        <f t="array" ref="H13217">IFERROR(INDEX(INVESTOR_LIST[INVESTOR NAME],MATCH(I13217,INVESTOR_LIST[INVESTOR CODE],0),)," ")</f>
        <v xml:space="preserve"> </v>
      </c>
      <c r="I13217" s="142"/>
      <c r="J13217" s="143" t="s">
        <v>52</v>
      </c>
      <c r="K13217" s="226">
        <v>900000</v>
      </c>
      <c r="L13217" s="226"/>
    </row>
    <row r="13218" spans="1:13" x14ac:dyDescent="0.2">
      <c r="A13218" s="163">
        <v>2025</v>
      </c>
      <c r="B13218" s="163">
        <v>4</v>
      </c>
      <c r="C13218" s="163">
        <v>6</v>
      </c>
      <c r="D13218" s="280">
        <f t="shared" ref="D13218:D13220" si="1974">DATE(A13218,B13218,C13218)</f>
        <v>45753</v>
      </c>
      <c r="E13218" s="281">
        <f t="shared" ref="E13218:E13220" si="1975">DATE(A13218,B13218,C13218)</f>
        <v>45753</v>
      </c>
      <c r="F13218" s="480"/>
      <c r="G13218" s="221" t="s">
        <v>74</v>
      </c>
      <c r="H13218" s="221" t="str" cm="1">
        <f t="array" ref="H13218">IFERROR(INDEX(INVESTOR_LIST[INVESTOR NAME],MATCH(I13218,INVESTOR_LIST[INVESTOR CODE],0),)," ")</f>
        <v xml:space="preserve"> </v>
      </c>
      <c r="I13218" s="145"/>
      <c r="J13218" s="146" t="s">
        <v>1806</v>
      </c>
      <c r="K13218" s="219"/>
      <c r="L13218" s="219">
        <v>900000</v>
      </c>
    </row>
    <row r="13219" spans="1:13" x14ac:dyDescent="0.2">
      <c r="A13219" s="168">
        <v>2025</v>
      </c>
      <c r="B13219" s="133">
        <v>4</v>
      </c>
      <c r="C13219" s="168">
        <v>6</v>
      </c>
      <c r="D13219" s="141">
        <f t="shared" si="1974"/>
        <v>45753</v>
      </c>
      <c r="E13219" s="275">
        <f t="shared" si="1975"/>
        <v>45753</v>
      </c>
      <c r="F13219" s="479" t="s">
        <v>2002</v>
      </c>
      <c r="G13219" s="220" t="s">
        <v>74</v>
      </c>
      <c r="H13219" s="220" t="str" cm="1">
        <f t="array" ref="H13219">IFERROR(INDEX(INVESTOR_LIST[INVESTOR NAME],MATCH(I13219,INVESTOR_LIST[INVESTOR CODE],0),)," ")</f>
        <v xml:space="preserve"> </v>
      </c>
      <c r="I13219" s="142"/>
      <c r="J13219" s="143" t="s">
        <v>147</v>
      </c>
      <c r="K13219" s="226">
        <v>255459</v>
      </c>
      <c r="L13219" s="226"/>
    </row>
    <row r="13220" spans="1:13" x14ac:dyDescent="0.2">
      <c r="A13220" s="163">
        <v>2025</v>
      </c>
      <c r="B13220" s="163">
        <v>4</v>
      </c>
      <c r="C13220" s="163">
        <v>6</v>
      </c>
      <c r="D13220" s="280">
        <f t="shared" si="1974"/>
        <v>45753</v>
      </c>
      <c r="E13220" s="281">
        <f t="shared" si="1975"/>
        <v>45753</v>
      </c>
      <c r="F13220" s="480"/>
      <c r="G13220" s="221" t="s">
        <v>74</v>
      </c>
      <c r="H13220" s="221" t="str" cm="1">
        <f t="array" ref="H13220">IFERROR(INDEX(INVESTOR_LIST[INVESTOR NAME],MATCH(I13220,INVESTOR_LIST[INVESTOR CODE],0),)," ")</f>
        <v xml:space="preserve"> </v>
      </c>
      <c r="I13220" s="145" t="s">
        <v>348</v>
      </c>
      <c r="J13220" s="146" t="s">
        <v>52</v>
      </c>
      <c r="K13220" s="219"/>
      <c r="L13220" s="219">
        <v>255459</v>
      </c>
    </row>
    <row r="13221" spans="1:13" x14ac:dyDescent="0.2">
      <c r="A13221" s="168">
        <v>2025</v>
      </c>
      <c r="B13221" s="133">
        <v>4</v>
      </c>
      <c r="C13221" s="168">
        <v>6</v>
      </c>
      <c r="D13221" s="147">
        <f>DATE(A13221,B13221,C13221)</f>
        <v>45753</v>
      </c>
      <c r="E13221" s="311">
        <f>DATE(A13221,B13221,C13221)</f>
        <v>45753</v>
      </c>
      <c r="F13221" s="481" t="s">
        <v>1943</v>
      </c>
      <c r="G13221" s="174" t="s">
        <v>74</v>
      </c>
      <c r="H13221" s="148" t="str" cm="1">
        <f t="array" ref="H13221">IFERROR(INDEX(INVESTOR_LIST[INVESTOR NAME],MATCH(I13221,INVESTOR_LIST[INVESTOR CODE],0),)," ")</f>
        <v xml:space="preserve"> </v>
      </c>
      <c r="I13221" s="148" t="s">
        <v>348</v>
      </c>
      <c r="J13221" s="133" t="s">
        <v>61</v>
      </c>
      <c r="K13221" s="172">
        <v>58</v>
      </c>
    </row>
    <row r="13222" spans="1:13" x14ac:dyDescent="0.2">
      <c r="A13222" s="163">
        <v>2025</v>
      </c>
      <c r="B13222" s="163">
        <v>4</v>
      </c>
      <c r="C13222" s="163">
        <v>6</v>
      </c>
      <c r="D13222" s="280">
        <f>DATE(A13222,B13222,C13222)</f>
        <v>45753</v>
      </c>
      <c r="E13222" s="281">
        <f>DATE(A13222,B13222,C13222)</f>
        <v>45753</v>
      </c>
      <c r="F13222" s="480"/>
      <c r="G13222" s="221" t="s">
        <v>74</v>
      </c>
      <c r="H13222" s="145" t="str" cm="1">
        <f t="array" ref="H13222">IFERROR(INDEX(INVESTOR_LIST[INVESTOR NAME],MATCH(I13222,INVESTOR_LIST[INVESTOR CODE],0),)," ")</f>
        <v xml:space="preserve"> </v>
      </c>
      <c r="I13222" s="145" t="s">
        <v>348</v>
      </c>
      <c r="J13222" s="163" t="s">
        <v>52</v>
      </c>
      <c r="K13222" s="219"/>
      <c r="L13222" s="219">
        <v>58</v>
      </c>
    </row>
    <row r="13223" spans="1:13" x14ac:dyDescent="0.2">
      <c r="A13223" s="133">
        <v>2025</v>
      </c>
      <c r="B13223" s="133">
        <v>4</v>
      </c>
      <c r="C13223" s="133">
        <v>6</v>
      </c>
      <c r="D13223" s="141">
        <f t="shared" ref="D13223:D13227" si="1976">DATE(A13223,B13223,C13223)</f>
        <v>45753</v>
      </c>
      <c r="E13223" s="275">
        <f t="shared" ref="E13223:E13227" si="1977">DATE(A13223,B13223,C13223)</f>
        <v>45753</v>
      </c>
      <c r="F13223" s="481" t="s">
        <v>1767</v>
      </c>
      <c r="G13223" s="174" t="s">
        <v>94</v>
      </c>
      <c r="H13223" s="174" t="str" cm="1">
        <f t="array" ref="H13223">IFERROR(INDEX(INVESTOR_LIST[INVESTOR NAME],MATCH(I13223,INVESTOR_LIST[INVESTOR CODE],0),)," ")</f>
        <v xml:space="preserve"> </v>
      </c>
      <c r="J13223" s="149" t="s">
        <v>79</v>
      </c>
      <c r="K13223" s="218">
        <v>1455000</v>
      </c>
      <c r="L13223" s="218"/>
      <c r="M13223" s="160"/>
    </row>
    <row r="13224" spans="1:13" x14ac:dyDescent="0.2">
      <c r="A13224" s="133">
        <v>2025</v>
      </c>
      <c r="B13224" s="133">
        <v>4</v>
      </c>
      <c r="C13224" s="133">
        <v>6</v>
      </c>
      <c r="D13224" s="141">
        <f t="shared" si="1976"/>
        <v>45753</v>
      </c>
      <c r="E13224" s="275">
        <f t="shared" si="1977"/>
        <v>45753</v>
      </c>
      <c r="F13224" s="481"/>
      <c r="G13224" s="174" t="s">
        <v>94</v>
      </c>
      <c r="H13224" s="174" t="str" cm="1">
        <f t="array" ref="H13224">IFERROR(INDEX(INVESTOR_LIST[INVESTOR NAME],MATCH(I13224,INVESTOR_LIST[INVESTOR CODE],0),)," ")</f>
        <v xml:space="preserve"> </v>
      </c>
      <c r="J13224" s="149" t="s">
        <v>80</v>
      </c>
      <c r="K13224" s="218">
        <v>3531.38</v>
      </c>
      <c r="L13224" s="133"/>
    </row>
    <row r="13225" spans="1:13" x14ac:dyDescent="0.2">
      <c r="A13225" s="133">
        <v>2025</v>
      </c>
      <c r="B13225" s="133">
        <v>4</v>
      </c>
      <c r="C13225" s="133">
        <v>6</v>
      </c>
      <c r="D13225" s="141">
        <f t="shared" si="1976"/>
        <v>45753</v>
      </c>
      <c r="E13225" s="275">
        <f t="shared" si="1977"/>
        <v>45753</v>
      </c>
      <c r="F13225" s="481"/>
      <c r="G13225" s="174" t="s">
        <v>94</v>
      </c>
      <c r="H13225" s="174" t="str" cm="1">
        <f t="array" ref="H13225">IFERROR(INDEX(INVESTOR_LIST[INVESTOR NAME],MATCH(I13225,INVESTOR_LIST[INVESTOR CODE],0),)," ")</f>
        <v xml:space="preserve"> </v>
      </c>
      <c r="J13225" s="149" t="s">
        <v>147</v>
      </c>
      <c r="K13225" s="218"/>
      <c r="L13225" s="218">
        <v>951652.38</v>
      </c>
    </row>
    <row r="13226" spans="1:13" x14ac:dyDescent="0.2">
      <c r="A13226" s="133">
        <v>2025</v>
      </c>
      <c r="B13226" s="133">
        <v>4</v>
      </c>
      <c r="C13226" s="133">
        <v>6</v>
      </c>
      <c r="D13226" s="141">
        <f t="shared" si="1976"/>
        <v>45753</v>
      </c>
      <c r="E13226" s="275">
        <f t="shared" si="1977"/>
        <v>45753</v>
      </c>
      <c r="F13226" s="481"/>
      <c r="G13226" s="174" t="s">
        <v>94</v>
      </c>
      <c r="H13226" s="174" t="str" cm="1">
        <f t="array" ref="H13226">IFERROR(INDEX(INVESTOR_LIST[INVESTOR NAME],MATCH(I13226,INVESTOR_LIST[INVESTOR CODE],0),)," ")</f>
        <v xml:space="preserve"> </v>
      </c>
      <c r="J13226" s="149" t="s">
        <v>191</v>
      </c>
      <c r="K13226" s="218"/>
      <c r="L13226" s="218">
        <v>115965.44</v>
      </c>
    </row>
    <row r="13227" spans="1:13" x14ac:dyDescent="0.2">
      <c r="A13227" s="163">
        <v>2025</v>
      </c>
      <c r="B13227" s="163">
        <v>4</v>
      </c>
      <c r="C13227" s="163">
        <v>6</v>
      </c>
      <c r="D13227" s="280">
        <f t="shared" si="1976"/>
        <v>45753</v>
      </c>
      <c r="E13227" s="281">
        <f t="shared" si="1977"/>
        <v>45753</v>
      </c>
      <c r="F13227" s="480"/>
      <c r="G13227" s="221" t="s">
        <v>94</v>
      </c>
      <c r="H13227" s="145" t="str" cm="1">
        <f t="array" ref="H13227">IFERROR(INDEX(INVESTOR_LIST[INVESTOR NAME],MATCH(I13227,INVESTOR_LIST[INVESTOR CODE],0),)," ")</f>
        <v xml:space="preserve"> </v>
      </c>
      <c r="I13227" s="145"/>
      <c r="J13227" s="163" t="s">
        <v>79</v>
      </c>
      <c r="K13227" s="219"/>
      <c r="L13227" s="219">
        <v>390913.56</v>
      </c>
    </row>
    <row r="13228" spans="1:13" x14ac:dyDescent="0.2">
      <c r="A13228" s="168">
        <v>2025</v>
      </c>
      <c r="B13228" s="133">
        <v>4</v>
      </c>
      <c r="C13228" s="168">
        <v>6</v>
      </c>
      <c r="D13228" s="141">
        <f>DATE(A13228,B13228,C13228)</f>
        <v>45753</v>
      </c>
      <c r="E13228" s="275">
        <f>DATE(A13228,B13228,C13228)</f>
        <v>45753</v>
      </c>
      <c r="F13228" s="479" t="s">
        <v>2002</v>
      </c>
      <c r="G13228" s="220" t="s">
        <v>74</v>
      </c>
      <c r="H13228" s="220" t="str" cm="1">
        <f t="array" ref="H13228">IFERROR(INDEX(INVESTOR_LIST[INVESTOR NAME],MATCH(I13228,INVESTOR_LIST[INVESTOR CODE],0),)," ")</f>
        <v xml:space="preserve"> </v>
      </c>
      <c r="I13228" s="142"/>
      <c r="J13228" s="143" t="s">
        <v>147</v>
      </c>
      <c r="K13228" s="226">
        <v>951652.38</v>
      </c>
      <c r="L13228" s="226"/>
    </row>
    <row r="13229" spans="1:13" x14ac:dyDescent="0.2">
      <c r="A13229" s="163">
        <v>2025</v>
      </c>
      <c r="B13229" s="163">
        <v>4</v>
      </c>
      <c r="C13229" s="163">
        <v>6</v>
      </c>
      <c r="D13229" s="280">
        <f>DATE(A13229,B13229,C13229)</f>
        <v>45753</v>
      </c>
      <c r="E13229" s="281">
        <f>DATE(A13229,B13229,C13229)</f>
        <v>45753</v>
      </c>
      <c r="F13229" s="480"/>
      <c r="G13229" s="221" t="s">
        <v>74</v>
      </c>
      <c r="H13229" s="221" t="str" cm="1">
        <f t="array" ref="H13229">IFERROR(INDEX(INVESTOR_LIST[INVESTOR NAME],MATCH(I13229,INVESTOR_LIST[INVESTOR CODE],0),)," ")</f>
        <v xml:space="preserve"> </v>
      </c>
      <c r="I13229" s="145" t="s">
        <v>348</v>
      </c>
      <c r="J13229" s="146" t="s">
        <v>52</v>
      </c>
      <c r="K13229" s="219"/>
      <c r="L13229" s="219">
        <v>951652.38</v>
      </c>
    </row>
    <row r="13230" spans="1:13" ht="11.25" customHeight="1" x14ac:dyDescent="0.2">
      <c r="A13230" s="168">
        <v>2025</v>
      </c>
      <c r="B13230" s="168">
        <v>4</v>
      </c>
      <c r="C13230" s="133">
        <v>6</v>
      </c>
      <c r="D13230" s="141">
        <f t="shared" ref="D13230:D13232" si="1978">DATE(A13230,B13230,C13230)</f>
        <v>45753</v>
      </c>
      <c r="E13230" s="275">
        <f t="shared" ref="E13230:E13232" si="1979">DATE(A13230,B13230,C13230)</f>
        <v>45753</v>
      </c>
      <c r="F13230" s="479" t="s">
        <v>1319</v>
      </c>
      <c r="G13230" s="220" t="s">
        <v>74</v>
      </c>
      <c r="H13230" s="142" t="str" cm="1">
        <f t="array" ref="H13230">IFERROR(INDEX(INVESTOR_LIST[INVESTOR NAME],MATCH(I13230,INVESTOR_LIST[INVESTOR CODE],0),)," ")</f>
        <v xml:space="preserve"> </v>
      </c>
      <c r="I13230" s="142"/>
      <c r="J13230" s="168" t="s">
        <v>52</v>
      </c>
      <c r="K13230" s="226">
        <v>10000</v>
      </c>
      <c r="L13230" s="226"/>
    </row>
    <row r="13231" spans="1:13" ht="11.25" customHeight="1" x14ac:dyDescent="0.2">
      <c r="A13231" s="133">
        <v>2025</v>
      </c>
      <c r="B13231" s="133">
        <v>4</v>
      </c>
      <c r="C13231" s="133">
        <v>6</v>
      </c>
      <c r="D13231" s="141">
        <f t="shared" si="1978"/>
        <v>45753</v>
      </c>
      <c r="E13231" s="275">
        <f t="shared" si="1979"/>
        <v>45753</v>
      </c>
      <c r="F13231" s="481"/>
      <c r="G13231" s="174" t="s">
        <v>74</v>
      </c>
      <c r="H13231" s="148" t="str" cm="1">
        <f t="array" ref="H13231">IFERROR(INDEX(INVESTOR_LIST[INVESTOR NAME],MATCH(I13231,INVESTOR_LIST[INVESTOR CODE],0),)," ")</f>
        <v xml:space="preserve"> </v>
      </c>
      <c r="J13231" s="133" t="s">
        <v>13</v>
      </c>
      <c r="K13231" s="218"/>
      <c r="L13231" s="218">
        <v>7860</v>
      </c>
    </row>
    <row r="13232" spans="1:13" ht="11.25" customHeight="1" x14ac:dyDescent="0.2">
      <c r="A13232" s="163">
        <v>2025</v>
      </c>
      <c r="B13232" s="163">
        <v>4</v>
      </c>
      <c r="C13232" s="163">
        <v>6</v>
      </c>
      <c r="D13232" s="280">
        <f t="shared" si="1978"/>
        <v>45753</v>
      </c>
      <c r="E13232" s="281">
        <f t="shared" si="1979"/>
        <v>45753</v>
      </c>
      <c r="F13232" s="480"/>
      <c r="G13232" s="221" t="s">
        <v>74</v>
      </c>
      <c r="H13232" s="145" t="str" cm="1">
        <f t="array" ref="H13232">IFERROR(INDEX(INVESTOR_LIST[INVESTOR NAME],MATCH(I13232,INVESTOR_LIST[INVESTOR CODE],0),)," ")</f>
        <v xml:space="preserve"> </v>
      </c>
      <c r="I13232" s="145"/>
      <c r="J13232" s="163" t="s">
        <v>53</v>
      </c>
      <c r="K13232" s="219"/>
      <c r="L13232" s="219">
        <v>2140</v>
      </c>
    </row>
    <row r="13233" spans="1:13" x14ac:dyDescent="0.2">
      <c r="A13233" s="133">
        <v>2025</v>
      </c>
      <c r="B13233" s="133">
        <v>4</v>
      </c>
      <c r="C13233" s="133">
        <v>7</v>
      </c>
      <c r="D13233" s="141">
        <f t="shared" ref="D13233:D13237" si="1980">DATE(A13233,B13233,C13233)</f>
        <v>45754</v>
      </c>
      <c r="E13233" s="275">
        <f t="shared" ref="E13233:E13237" si="1981">DATE(A13233,B13233,C13233)</f>
        <v>45754</v>
      </c>
      <c r="F13233" s="481" t="s">
        <v>1767</v>
      </c>
      <c r="G13233" s="174" t="s">
        <v>94</v>
      </c>
      <c r="H13233" s="174" t="str" cm="1">
        <f t="array" ref="H13233">IFERROR(INDEX(INVESTOR_LIST[INVESTOR NAME],MATCH(I13233,INVESTOR_LIST[INVESTOR CODE],0),)," ")</f>
        <v xml:space="preserve"> </v>
      </c>
      <c r="J13233" s="149" t="s">
        <v>79</v>
      </c>
      <c r="K13233" s="218">
        <v>1016800</v>
      </c>
      <c r="L13233" s="218"/>
      <c r="M13233" s="160"/>
    </row>
    <row r="13234" spans="1:13" x14ac:dyDescent="0.2">
      <c r="A13234" s="133">
        <v>2025</v>
      </c>
      <c r="B13234" s="133">
        <v>4</v>
      </c>
      <c r="C13234" s="133">
        <v>7</v>
      </c>
      <c r="D13234" s="141">
        <f t="shared" si="1980"/>
        <v>45754</v>
      </c>
      <c r="E13234" s="275">
        <f t="shared" si="1981"/>
        <v>45754</v>
      </c>
      <c r="F13234" s="481"/>
      <c r="G13234" s="174" t="s">
        <v>94</v>
      </c>
      <c r="H13234" s="174" t="str" cm="1">
        <f t="array" ref="H13234">IFERROR(INDEX(INVESTOR_LIST[INVESTOR NAME],MATCH(I13234,INVESTOR_LIST[INVESTOR CODE],0),)," ")</f>
        <v xml:space="preserve"> </v>
      </c>
      <c r="J13234" s="149" t="s">
        <v>80</v>
      </c>
      <c r="K13234" s="218">
        <v>3772.5</v>
      </c>
      <c r="L13234" s="133"/>
    </row>
    <row r="13235" spans="1:13" x14ac:dyDescent="0.2">
      <c r="A13235" s="133">
        <v>2025</v>
      </c>
      <c r="B13235" s="133">
        <v>4</v>
      </c>
      <c r="C13235" s="133">
        <v>7</v>
      </c>
      <c r="D13235" s="141">
        <f t="shared" si="1980"/>
        <v>45754</v>
      </c>
      <c r="E13235" s="275">
        <f t="shared" si="1981"/>
        <v>45754</v>
      </c>
      <c r="F13235" s="481"/>
      <c r="G13235" s="174" t="s">
        <v>94</v>
      </c>
      <c r="H13235" s="174" t="str" cm="1">
        <f t="array" ref="H13235">IFERROR(INDEX(INVESTOR_LIST[INVESTOR NAME],MATCH(I13235,INVESTOR_LIST[INVESTOR CODE],0),)," ")</f>
        <v xml:space="preserve"> </v>
      </c>
      <c r="J13235" s="149" t="s">
        <v>190</v>
      </c>
      <c r="K13235" s="218">
        <v>58279</v>
      </c>
      <c r="L13235" s="218"/>
    </row>
    <row r="13236" spans="1:13" x14ac:dyDescent="0.2">
      <c r="A13236" s="133">
        <v>2025</v>
      </c>
      <c r="B13236" s="133">
        <v>4</v>
      </c>
      <c r="C13236" s="133">
        <v>7</v>
      </c>
      <c r="D13236" s="141">
        <f t="shared" si="1980"/>
        <v>45754</v>
      </c>
      <c r="E13236" s="275">
        <f t="shared" si="1981"/>
        <v>45754</v>
      </c>
      <c r="F13236" s="481"/>
      <c r="G13236" s="174" t="s">
        <v>94</v>
      </c>
      <c r="H13236" s="174" t="str" cm="1">
        <f t="array" ref="H13236">IFERROR(INDEX(INVESTOR_LIST[INVESTOR NAME],MATCH(I13236,INVESTOR_LIST[INVESTOR CODE],0),)," ")</f>
        <v xml:space="preserve"> </v>
      </c>
      <c r="J13236" s="149" t="s">
        <v>191</v>
      </c>
      <c r="K13236" s="218"/>
      <c r="L13236" s="218">
        <v>175145.4</v>
      </c>
    </row>
    <row r="13237" spans="1:13" x14ac:dyDescent="0.2">
      <c r="A13237" s="163">
        <v>2025</v>
      </c>
      <c r="B13237" s="163">
        <v>4</v>
      </c>
      <c r="C13237" s="163">
        <v>7</v>
      </c>
      <c r="D13237" s="280">
        <f t="shared" si="1980"/>
        <v>45754</v>
      </c>
      <c r="E13237" s="281">
        <f t="shared" si="1981"/>
        <v>45754</v>
      </c>
      <c r="F13237" s="480"/>
      <c r="G13237" s="221" t="s">
        <v>94</v>
      </c>
      <c r="H13237" s="145" t="str" cm="1">
        <f t="array" ref="H13237">IFERROR(INDEX(INVESTOR_LIST[INVESTOR NAME],MATCH(I13237,INVESTOR_LIST[INVESTOR CODE],0),)," ")</f>
        <v xml:space="preserve"> </v>
      </c>
      <c r="I13237" s="145"/>
      <c r="J13237" s="163" t="s">
        <v>79</v>
      </c>
      <c r="K13237" s="219"/>
      <c r="L13237" s="219">
        <v>903706.1</v>
      </c>
    </row>
    <row r="13238" spans="1:13" ht="11.25" customHeight="1" x14ac:dyDescent="0.2">
      <c r="A13238" s="168">
        <v>2025</v>
      </c>
      <c r="B13238" s="133">
        <v>4</v>
      </c>
      <c r="C13238" s="168">
        <v>7</v>
      </c>
      <c r="D13238" s="141">
        <f t="shared" ref="D13238:D13239" si="1982">DATE(A13238,B13238,C13238)</f>
        <v>45754</v>
      </c>
      <c r="E13238" s="275">
        <f t="shared" ref="E13238:E13239" si="1983">DATE(A13238,B13238,C13238)</f>
        <v>45754</v>
      </c>
      <c r="F13238" s="479" t="s">
        <v>2049</v>
      </c>
      <c r="G13238" s="220" t="s">
        <v>74</v>
      </c>
      <c r="H13238" s="220" t="str" cm="1">
        <f t="array" ref="H13238">IFERROR(INDEX(INVESTOR_LIST[INVESTOR NAME],MATCH(I13238,INVESTOR_LIST[INVESTOR CODE],0),)," ")</f>
        <v xml:space="preserve"> </v>
      </c>
      <c r="I13238" s="142"/>
      <c r="J13238" s="143" t="s">
        <v>52</v>
      </c>
      <c r="K13238" s="226">
        <v>977653.94</v>
      </c>
      <c r="L13238" s="226"/>
    </row>
    <row r="13239" spans="1:13" x14ac:dyDescent="0.2">
      <c r="A13239" s="163">
        <v>2025</v>
      </c>
      <c r="B13239" s="163">
        <v>4</v>
      </c>
      <c r="C13239" s="163">
        <v>7</v>
      </c>
      <c r="D13239" s="280">
        <f t="shared" si="1982"/>
        <v>45754</v>
      </c>
      <c r="E13239" s="281">
        <f t="shared" si="1983"/>
        <v>45754</v>
      </c>
      <c r="F13239" s="480"/>
      <c r="G13239" s="221" t="s">
        <v>74</v>
      </c>
      <c r="H13239" s="221" t="str" cm="1">
        <f t="array" ref="H13239">IFERROR(INDEX(INVESTOR_LIST[INVESTOR NAME],MATCH(I13239,INVESTOR_LIST[INVESTOR CODE],0),)," ")</f>
        <v xml:space="preserve"> </v>
      </c>
      <c r="I13239" s="145"/>
      <c r="J13239" s="146" t="s">
        <v>190</v>
      </c>
      <c r="K13239" s="219"/>
      <c r="L13239" s="219">
        <v>977653.94</v>
      </c>
    </row>
    <row r="13240" spans="1:13" ht="11.25" customHeight="1" x14ac:dyDescent="0.2">
      <c r="A13240" s="168">
        <v>2025</v>
      </c>
      <c r="B13240" s="133">
        <v>4</v>
      </c>
      <c r="C13240" s="168">
        <v>7</v>
      </c>
      <c r="D13240" s="141">
        <f t="shared" ref="D13240:D13241" si="1984">DATE(A13240,B13240,C13240)</f>
        <v>45754</v>
      </c>
      <c r="E13240" s="275">
        <f t="shared" ref="E13240:E13241" si="1985">DATE(A13240,B13240,C13240)</f>
        <v>45754</v>
      </c>
      <c r="F13240" s="479" t="s">
        <v>2037</v>
      </c>
      <c r="G13240" s="220" t="s">
        <v>74</v>
      </c>
      <c r="H13240" s="220" t="str" cm="1">
        <f t="array" ref="H13240">IFERROR(INDEX(INVESTOR_LIST[INVESTOR NAME],MATCH(I13240,INVESTOR_LIST[INVESTOR CODE],0),)," ")</f>
        <v xml:space="preserve"> </v>
      </c>
      <c r="I13240" s="142"/>
      <c r="J13240" s="143" t="s">
        <v>52</v>
      </c>
      <c r="K13240" s="226">
        <v>497203.42</v>
      </c>
      <c r="L13240" s="226"/>
    </row>
    <row r="13241" spans="1:13" x14ac:dyDescent="0.2">
      <c r="A13241" s="163">
        <v>2025</v>
      </c>
      <c r="B13241" s="163">
        <v>4</v>
      </c>
      <c r="C13241" s="163">
        <v>7</v>
      </c>
      <c r="D13241" s="280">
        <f t="shared" si="1984"/>
        <v>45754</v>
      </c>
      <c r="E13241" s="281">
        <f t="shared" si="1985"/>
        <v>45754</v>
      </c>
      <c r="F13241" s="480"/>
      <c r="G13241" s="221" t="s">
        <v>74</v>
      </c>
      <c r="H13241" s="221" t="str" cm="1">
        <f t="array" ref="H13241">IFERROR(INDEX(INVESTOR_LIST[INVESTOR NAME],MATCH(I13241,INVESTOR_LIST[INVESTOR CODE],0),)," ")</f>
        <v xml:space="preserve"> </v>
      </c>
      <c r="I13241" s="145"/>
      <c r="J13241" s="146" t="s">
        <v>190</v>
      </c>
      <c r="K13241" s="219"/>
      <c r="L13241" s="219">
        <v>497203.42</v>
      </c>
    </row>
    <row r="13242" spans="1:13" x14ac:dyDescent="0.2">
      <c r="A13242" s="168">
        <v>2025</v>
      </c>
      <c r="B13242" s="133">
        <v>4</v>
      </c>
      <c r="C13242" s="168">
        <v>7</v>
      </c>
      <c r="D13242" s="147">
        <f>DATE(A13242,B13242,C13242)</f>
        <v>45754</v>
      </c>
      <c r="E13242" s="311">
        <f>DATE(A13242,B13242,C13242)</f>
        <v>45754</v>
      </c>
      <c r="F13242" s="481" t="s">
        <v>1943</v>
      </c>
      <c r="G13242" s="174" t="s">
        <v>74</v>
      </c>
      <c r="H13242" s="148" t="str" cm="1">
        <f t="array" ref="H13242">IFERROR(INDEX(INVESTOR_LIST[INVESTOR NAME],MATCH(I13242,INVESTOR_LIST[INVESTOR CODE],0),)," ")</f>
        <v xml:space="preserve"> </v>
      </c>
      <c r="I13242" s="148" t="s">
        <v>348</v>
      </c>
      <c r="J13242" s="133" t="s">
        <v>61</v>
      </c>
      <c r="K13242" s="172">
        <v>100</v>
      </c>
    </row>
    <row r="13243" spans="1:13" x14ac:dyDescent="0.2">
      <c r="A13243" s="163">
        <v>2025</v>
      </c>
      <c r="B13243" s="163">
        <v>4</v>
      </c>
      <c r="C13243" s="163">
        <v>7</v>
      </c>
      <c r="D13243" s="280">
        <f>DATE(A13243,B13243,C13243)</f>
        <v>45754</v>
      </c>
      <c r="E13243" s="281">
        <f>DATE(A13243,B13243,C13243)</f>
        <v>45754</v>
      </c>
      <c r="F13243" s="480"/>
      <c r="G13243" s="221" t="s">
        <v>74</v>
      </c>
      <c r="H13243" s="145" t="str" cm="1">
        <f t="array" ref="H13243">IFERROR(INDEX(INVESTOR_LIST[INVESTOR NAME],MATCH(I13243,INVESTOR_LIST[INVESTOR CODE],0),)," ")</f>
        <v xml:space="preserve"> </v>
      </c>
      <c r="I13243" s="145" t="s">
        <v>348</v>
      </c>
      <c r="J13243" s="163" t="s">
        <v>52</v>
      </c>
      <c r="K13243" s="219"/>
      <c r="L13243" s="219">
        <v>100</v>
      </c>
    </row>
    <row r="13244" spans="1:13" x14ac:dyDescent="0.2">
      <c r="A13244" s="168">
        <v>2025</v>
      </c>
      <c r="B13244" s="168">
        <v>4</v>
      </c>
      <c r="C13244" s="168">
        <v>8</v>
      </c>
      <c r="D13244" s="141">
        <f t="shared" ref="D13244:D13289" si="1986">DATE(A13244,B13244,C13244)</f>
        <v>45755</v>
      </c>
      <c r="E13244" s="275">
        <f t="shared" ref="E13244:E13289" si="1987">DATE(A13244,B13244,C13244)</f>
        <v>45755</v>
      </c>
      <c r="F13244" s="479" t="s">
        <v>1979</v>
      </c>
      <c r="G13244" s="220" t="s">
        <v>94</v>
      </c>
      <c r="H13244" s="220" t="str" cm="1">
        <f t="array" ref="H13244">IFERROR(INDEX(INVESTOR_LIST[INVESTOR NAME],MATCH(I13244,INVESTOR_LIST[INVESTOR CODE],0),)," ")</f>
        <v xml:space="preserve"> </v>
      </c>
      <c r="I13244" s="142"/>
      <c r="J13244" s="143" t="s">
        <v>79</v>
      </c>
      <c r="K13244" s="226">
        <v>482500</v>
      </c>
      <c r="L13244" s="226"/>
      <c r="M13244" s="160"/>
    </row>
    <row r="13245" spans="1:13" x14ac:dyDescent="0.2">
      <c r="A13245" s="133">
        <v>2025</v>
      </c>
      <c r="B13245" s="133">
        <v>4</v>
      </c>
      <c r="C13245" s="133">
        <v>8</v>
      </c>
      <c r="D13245" s="141">
        <f t="shared" si="1986"/>
        <v>45755</v>
      </c>
      <c r="E13245" s="275">
        <f t="shared" si="1987"/>
        <v>45755</v>
      </c>
      <c r="F13245" s="481"/>
      <c r="G13245" s="174" t="s">
        <v>94</v>
      </c>
      <c r="H13245" s="174" t="str" cm="1">
        <f t="array" ref="H13245">IFERROR(INDEX(INVESTOR_LIST[INVESTOR NAME],MATCH(I13245,INVESTOR_LIST[INVESTOR CODE],0),)," ")</f>
        <v xml:space="preserve"> </v>
      </c>
      <c r="J13245" s="149" t="s">
        <v>80</v>
      </c>
      <c r="K13245" s="218">
        <v>868.5</v>
      </c>
      <c r="L13245" s="133"/>
    </row>
    <row r="13246" spans="1:13" x14ac:dyDescent="0.2">
      <c r="A13246" s="163">
        <v>2025</v>
      </c>
      <c r="B13246" s="163">
        <v>4</v>
      </c>
      <c r="C13246" s="163">
        <v>8</v>
      </c>
      <c r="D13246" s="280">
        <f t="shared" si="1986"/>
        <v>45755</v>
      </c>
      <c r="E13246" s="281">
        <f t="shared" si="1987"/>
        <v>45755</v>
      </c>
      <c r="F13246" s="480"/>
      <c r="G13246" s="221" t="s">
        <v>94</v>
      </c>
      <c r="H13246" s="221" t="str" cm="1">
        <f t="array" ref="H13246">IFERROR(INDEX(INVESTOR_LIST[INVESTOR NAME],MATCH(I13246,INVESTOR_LIST[INVESTOR CODE],0),)," ")</f>
        <v xml:space="preserve"> </v>
      </c>
      <c r="I13246" s="145"/>
      <c r="J13246" s="146" t="s">
        <v>147</v>
      </c>
      <c r="K13246" s="219"/>
      <c r="L13246" s="219">
        <v>483368.5</v>
      </c>
    </row>
    <row r="13247" spans="1:13" x14ac:dyDescent="0.2">
      <c r="A13247" s="133">
        <v>2025</v>
      </c>
      <c r="B13247" s="133">
        <v>4</v>
      </c>
      <c r="C13247" s="133">
        <v>9</v>
      </c>
      <c r="D13247" s="141">
        <f t="shared" si="1986"/>
        <v>45756</v>
      </c>
      <c r="E13247" s="275">
        <f t="shared" si="1987"/>
        <v>45756</v>
      </c>
      <c r="F13247" s="481" t="s">
        <v>1767</v>
      </c>
      <c r="G13247" s="174" t="s">
        <v>94</v>
      </c>
      <c r="H13247" s="174" t="str" cm="1">
        <f t="array" ref="H13247">IFERROR(INDEX(INVESTOR_LIST[INVESTOR NAME],MATCH(I13247,INVESTOR_LIST[INVESTOR CODE],0),)," ")</f>
        <v xml:space="preserve"> </v>
      </c>
      <c r="J13247" s="149" t="s">
        <v>79</v>
      </c>
      <c r="K13247" s="218">
        <v>920264</v>
      </c>
      <c r="L13247" s="218"/>
      <c r="M13247" s="160"/>
    </row>
    <row r="13248" spans="1:13" x14ac:dyDescent="0.2">
      <c r="A13248" s="133">
        <v>2025</v>
      </c>
      <c r="B13248" s="133">
        <v>4</v>
      </c>
      <c r="C13248" s="133">
        <v>9</v>
      </c>
      <c r="D13248" s="141">
        <f t="shared" si="1986"/>
        <v>45756</v>
      </c>
      <c r="E13248" s="275">
        <f t="shared" si="1987"/>
        <v>45756</v>
      </c>
      <c r="F13248" s="481"/>
      <c r="G13248" s="174" t="s">
        <v>94</v>
      </c>
      <c r="H13248" s="174" t="str" cm="1">
        <f t="array" ref="H13248">IFERROR(INDEX(INVESTOR_LIST[INVESTOR NAME],MATCH(I13248,INVESTOR_LIST[INVESTOR CODE],0),)," ")</f>
        <v xml:space="preserve"> </v>
      </c>
      <c r="J13248" s="149" t="s">
        <v>80</v>
      </c>
      <c r="K13248" s="218">
        <v>4221.8999999999996</v>
      </c>
      <c r="L13248" s="133"/>
    </row>
    <row r="13249" spans="1:13" x14ac:dyDescent="0.2">
      <c r="A13249" s="133">
        <v>2025</v>
      </c>
      <c r="B13249" s="133">
        <v>4</v>
      </c>
      <c r="C13249" s="133">
        <v>9</v>
      </c>
      <c r="D13249" s="141">
        <f t="shared" si="1986"/>
        <v>45756</v>
      </c>
      <c r="E13249" s="275">
        <f t="shared" si="1987"/>
        <v>45756</v>
      </c>
      <c r="F13249" s="481"/>
      <c r="G13249" s="174" t="s">
        <v>94</v>
      </c>
      <c r="H13249" s="174" t="str" cm="1">
        <f t="array" ref="H13249">IFERROR(INDEX(INVESTOR_LIST[INVESTOR NAME],MATCH(I13249,INVESTOR_LIST[INVESTOR CODE],0),)," ")</f>
        <v xml:space="preserve"> </v>
      </c>
      <c r="J13249" s="149" t="s">
        <v>190</v>
      </c>
      <c r="K13249" s="218">
        <v>502222</v>
      </c>
      <c r="L13249" s="218"/>
    </row>
    <row r="13250" spans="1:13" x14ac:dyDescent="0.2">
      <c r="A13250" s="133">
        <v>2025</v>
      </c>
      <c r="B13250" s="133">
        <v>4</v>
      </c>
      <c r="C13250" s="133">
        <v>9</v>
      </c>
      <c r="D13250" s="141">
        <f t="shared" si="1986"/>
        <v>45756</v>
      </c>
      <c r="E13250" s="275">
        <f t="shared" si="1987"/>
        <v>45756</v>
      </c>
      <c r="F13250" s="481"/>
      <c r="G13250" s="174" t="s">
        <v>94</v>
      </c>
      <c r="H13250" s="174" t="str" cm="1">
        <f t="array" ref="H13250">IFERROR(INDEX(INVESTOR_LIST[INVESTOR NAME],MATCH(I13250,INVESTOR_LIST[INVESTOR CODE],0),)," ")</f>
        <v xml:space="preserve"> </v>
      </c>
      <c r="J13250" s="149" t="s">
        <v>191</v>
      </c>
      <c r="K13250" s="218">
        <v>121887.95</v>
      </c>
      <c r="L13250" s="218"/>
    </row>
    <row r="13251" spans="1:13" x14ac:dyDescent="0.2">
      <c r="A13251" s="163">
        <v>2025</v>
      </c>
      <c r="B13251" s="163">
        <v>4</v>
      </c>
      <c r="C13251" s="163">
        <v>9</v>
      </c>
      <c r="D13251" s="280">
        <f t="shared" si="1986"/>
        <v>45756</v>
      </c>
      <c r="E13251" s="281">
        <f t="shared" si="1987"/>
        <v>45756</v>
      </c>
      <c r="F13251" s="480"/>
      <c r="G13251" s="221" t="s">
        <v>94</v>
      </c>
      <c r="H13251" s="145" t="str" cm="1">
        <f t="array" ref="H13251">IFERROR(INDEX(INVESTOR_LIST[INVESTOR NAME],MATCH(I13251,INVESTOR_LIST[INVESTOR CODE],0),)," ")</f>
        <v xml:space="preserve"> </v>
      </c>
      <c r="I13251" s="145"/>
      <c r="J13251" s="163" t="s">
        <v>79</v>
      </c>
      <c r="K13251" s="219"/>
      <c r="L13251" s="219">
        <v>1548595.85</v>
      </c>
    </row>
    <row r="13252" spans="1:13" x14ac:dyDescent="0.2">
      <c r="A13252" s="168">
        <v>2025</v>
      </c>
      <c r="B13252" s="133">
        <v>4</v>
      </c>
      <c r="C13252" s="168">
        <v>9</v>
      </c>
      <c r="D13252" s="141">
        <f t="shared" si="1986"/>
        <v>45756</v>
      </c>
      <c r="E13252" s="275">
        <f t="shared" si="1987"/>
        <v>45756</v>
      </c>
      <c r="F13252" s="479" t="s">
        <v>2002</v>
      </c>
      <c r="G13252" s="220" t="s">
        <v>74</v>
      </c>
      <c r="H13252" s="220" t="str" cm="1">
        <f t="array" ref="H13252">IFERROR(INDEX(INVESTOR_LIST[INVESTOR NAME],MATCH(I13252,INVESTOR_LIST[INVESTOR CODE],0),)," ")</f>
        <v xml:space="preserve"> </v>
      </c>
      <c r="I13252" s="142"/>
      <c r="J13252" s="143" t="s">
        <v>147</v>
      </c>
      <c r="K13252" s="226">
        <v>483368.5</v>
      </c>
      <c r="L13252" s="226"/>
    </row>
    <row r="13253" spans="1:13" x14ac:dyDescent="0.2">
      <c r="A13253" s="163">
        <v>2025</v>
      </c>
      <c r="B13253" s="163">
        <v>4</v>
      </c>
      <c r="C13253" s="163">
        <v>9</v>
      </c>
      <c r="D13253" s="280">
        <f t="shared" si="1986"/>
        <v>45756</v>
      </c>
      <c r="E13253" s="281">
        <f t="shared" si="1987"/>
        <v>45756</v>
      </c>
      <c r="F13253" s="480"/>
      <c r="G13253" s="221" t="s">
        <v>74</v>
      </c>
      <c r="H13253" s="221" t="str" cm="1">
        <f t="array" ref="H13253">IFERROR(INDEX(INVESTOR_LIST[INVESTOR NAME],MATCH(I13253,INVESTOR_LIST[INVESTOR CODE],0),)," ")</f>
        <v xml:space="preserve"> </v>
      </c>
      <c r="I13253" s="145" t="s">
        <v>348</v>
      </c>
      <c r="J13253" s="146" t="s">
        <v>52</v>
      </c>
      <c r="K13253" s="219"/>
      <c r="L13253" s="219">
        <v>483368.5</v>
      </c>
    </row>
    <row r="13254" spans="1:13" x14ac:dyDescent="0.2">
      <c r="A13254" s="168">
        <v>2025</v>
      </c>
      <c r="B13254" s="133">
        <v>4</v>
      </c>
      <c r="C13254" s="168">
        <v>9</v>
      </c>
      <c r="D13254" s="147">
        <f>DATE(A13254,B13254,C13254)</f>
        <v>45756</v>
      </c>
      <c r="E13254" s="311">
        <f>DATE(A13254,B13254,C13254)</f>
        <v>45756</v>
      </c>
      <c r="F13254" s="481" t="s">
        <v>1943</v>
      </c>
      <c r="G13254" s="174" t="s">
        <v>74</v>
      </c>
      <c r="H13254" s="148" t="str" cm="1">
        <f t="array" ref="H13254">IFERROR(INDEX(INVESTOR_LIST[INVESTOR NAME],MATCH(I13254,INVESTOR_LIST[INVESTOR CODE],0),)," ")</f>
        <v xml:space="preserve"> </v>
      </c>
      <c r="I13254" s="148" t="s">
        <v>348</v>
      </c>
      <c r="J13254" s="133" t="s">
        <v>61</v>
      </c>
      <c r="K13254" s="172">
        <v>58</v>
      </c>
    </row>
    <row r="13255" spans="1:13" x14ac:dyDescent="0.2">
      <c r="A13255" s="163">
        <v>2025</v>
      </c>
      <c r="B13255" s="163">
        <v>4</v>
      </c>
      <c r="C13255" s="163">
        <v>9</v>
      </c>
      <c r="D13255" s="280">
        <f>DATE(A13255,B13255,C13255)</f>
        <v>45756</v>
      </c>
      <c r="E13255" s="281">
        <f>DATE(A13255,B13255,C13255)</f>
        <v>45756</v>
      </c>
      <c r="F13255" s="480"/>
      <c r="G13255" s="221" t="s">
        <v>74</v>
      </c>
      <c r="H13255" s="145" t="str" cm="1">
        <f t="array" ref="H13255">IFERROR(INDEX(INVESTOR_LIST[INVESTOR NAME],MATCH(I13255,INVESTOR_LIST[INVESTOR CODE],0),)," ")</f>
        <v xml:space="preserve"> </v>
      </c>
      <c r="I13255" s="145" t="s">
        <v>348</v>
      </c>
      <c r="J13255" s="163" t="s">
        <v>52</v>
      </c>
      <c r="K13255" s="219"/>
      <c r="L13255" s="219">
        <v>58</v>
      </c>
    </row>
    <row r="13256" spans="1:13" ht="11.25" customHeight="1" x14ac:dyDescent="0.2">
      <c r="A13256" s="168">
        <v>2025</v>
      </c>
      <c r="B13256" s="133">
        <v>4</v>
      </c>
      <c r="C13256" s="168">
        <v>9</v>
      </c>
      <c r="D13256" s="141">
        <f t="shared" si="1986"/>
        <v>45756</v>
      </c>
      <c r="E13256" s="275">
        <f t="shared" si="1987"/>
        <v>45756</v>
      </c>
      <c r="F13256" s="479" t="s">
        <v>2031</v>
      </c>
      <c r="G13256" s="220" t="s">
        <v>74</v>
      </c>
      <c r="H13256" s="220" t="str" cm="1">
        <f t="array" ref="H13256">IFERROR(INDEX(INVESTOR_LIST[INVESTOR NAME],MATCH(I13256,INVESTOR_LIST[INVESTOR CODE],0),)," ")</f>
        <v xml:space="preserve"> </v>
      </c>
      <c r="I13256" s="142"/>
      <c r="J13256" s="143" t="s">
        <v>52</v>
      </c>
      <c r="K13256" s="226">
        <v>58279</v>
      </c>
      <c r="L13256" s="226"/>
    </row>
    <row r="13257" spans="1:13" x14ac:dyDescent="0.2">
      <c r="A13257" s="163">
        <v>2025</v>
      </c>
      <c r="B13257" s="163">
        <v>4</v>
      </c>
      <c r="C13257" s="163">
        <v>9</v>
      </c>
      <c r="D13257" s="280">
        <f t="shared" si="1986"/>
        <v>45756</v>
      </c>
      <c r="E13257" s="281">
        <f t="shared" si="1987"/>
        <v>45756</v>
      </c>
      <c r="F13257" s="480"/>
      <c r="G13257" s="221" t="s">
        <v>74</v>
      </c>
      <c r="H13257" s="221" t="str" cm="1">
        <f t="array" ref="H13257">IFERROR(INDEX(INVESTOR_LIST[INVESTOR NAME],MATCH(I13257,INVESTOR_LIST[INVESTOR CODE],0),)," ")</f>
        <v xml:space="preserve"> </v>
      </c>
      <c r="I13257" s="145"/>
      <c r="J13257" s="146" t="s">
        <v>190</v>
      </c>
      <c r="K13257" s="219"/>
      <c r="L13257" s="219">
        <v>58279</v>
      </c>
    </row>
    <row r="13258" spans="1:13" x14ac:dyDescent="0.2">
      <c r="A13258" s="325">
        <v>2025</v>
      </c>
      <c r="B13258" s="325">
        <v>4</v>
      </c>
      <c r="C13258" s="325">
        <v>10</v>
      </c>
      <c r="D13258" s="326">
        <f t="shared" si="1986"/>
        <v>45757</v>
      </c>
      <c r="E13258" s="327">
        <f t="shared" si="1987"/>
        <v>45757</v>
      </c>
      <c r="F13258" s="473" t="s">
        <v>1940</v>
      </c>
      <c r="G13258" s="340" t="s">
        <v>94</v>
      </c>
      <c r="H13258" s="340" t="str" cm="1">
        <f t="array" ref="H13258">IFERROR(INDEX(INVESTOR_LIST[INVESTOR NAME],MATCH(I13258,INVESTOR_LIST[INVESTOR CODE],0),)," ")</f>
        <v xml:space="preserve"> </v>
      </c>
      <c r="I13258" s="341" t="s">
        <v>348</v>
      </c>
      <c r="J13258" s="374" t="s">
        <v>133</v>
      </c>
      <c r="K13258" s="375">
        <v>12905.56</v>
      </c>
      <c r="L13258" s="375"/>
      <c r="M13258" s="176"/>
    </row>
    <row r="13259" spans="1:13" x14ac:dyDescent="0.2">
      <c r="A13259" s="331">
        <v>2025</v>
      </c>
      <c r="B13259" s="331">
        <v>4</v>
      </c>
      <c r="C13259" s="331">
        <v>10</v>
      </c>
      <c r="D13259" s="326">
        <f t="shared" si="1986"/>
        <v>45757</v>
      </c>
      <c r="E13259" s="327">
        <f t="shared" si="1987"/>
        <v>45757</v>
      </c>
      <c r="F13259" s="474"/>
      <c r="G13259" s="332" t="s">
        <v>94</v>
      </c>
      <c r="H13259" s="332" t="str" cm="1">
        <f t="array" ref="H13259">IFERROR(INDEX(INVESTOR_LIST[INVESTOR NAME],MATCH(I13259,INVESTOR_LIST[INVESTOR CODE],0),)," ")</f>
        <v xml:space="preserve"> </v>
      </c>
      <c r="I13259" s="333" t="s">
        <v>348</v>
      </c>
      <c r="J13259" s="376" t="s">
        <v>60</v>
      </c>
      <c r="K13259" s="334"/>
      <c r="L13259" s="334">
        <f>K13258</f>
        <v>12905.56</v>
      </c>
    </row>
    <row r="13260" spans="1:13" x14ac:dyDescent="0.2">
      <c r="A13260" s="325">
        <v>2025</v>
      </c>
      <c r="B13260" s="325">
        <v>4</v>
      </c>
      <c r="C13260" s="325">
        <v>10</v>
      </c>
      <c r="D13260" s="326">
        <f t="shared" si="1986"/>
        <v>45757</v>
      </c>
      <c r="E13260" s="327">
        <f t="shared" si="1987"/>
        <v>45757</v>
      </c>
      <c r="F13260" s="473" t="s">
        <v>2029</v>
      </c>
      <c r="G13260" s="340" t="s">
        <v>94</v>
      </c>
      <c r="H13260" s="340" t="str" cm="1">
        <f t="array" ref="H13260">IFERROR(INDEX(INVESTOR_LIST[INVESTOR NAME],MATCH(I13260,INVESTOR_LIST[INVESTOR CODE],0),)," ")</f>
        <v xml:space="preserve"> </v>
      </c>
      <c r="I13260" s="341" t="s">
        <v>348</v>
      </c>
      <c r="J13260" s="374" t="s">
        <v>133</v>
      </c>
      <c r="K13260" s="375">
        <v>14134.615384615385</v>
      </c>
      <c r="L13260" s="375"/>
      <c r="M13260" s="176"/>
    </row>
    <row r="13261" spans="1:13" x14ac:dyDescent="0.2">
      <c r="A13261" s="331">
        <v>2025</v>
      </c>
      <c r="B13261" s="331">
        <v>4</v>
      </c>
      <c r="C13261" s="331">
        <v>10</v>
      </c>
      <c r="D13261" s="326">
        <f t="shared" si="1986"/>
        <v>45757</v>
      </c>
      <c r="E13261" s="327">
        <f t="shared" si="1987"/>
        <v>45757</v>
      </c>
      <c r="F13261" s="474"/>
      <c r="G13261" s="332" t="s">
        <v>94</v>
      </c>
      <c r="H13261" s="332" t="str" cm="1">
        <f t="array" ref="H13261">IFERROR(INDEX(INVESTOR_LIST[INVESTOR NAME],MATCH(I13261,INVESTOR_LIST[INVESTOR CODE],0),)," ")</f>
        <v xml:space="preserve"> </v>
      </c>
      <c r="I13261" s="333" t="s">
        <v>348</v>
      </c>
      <c r="J13261" s="376" t="s">
        <v>60</v>
      </c>
      <c r="K13261" s="334"/>
      <c r="L13261" s="334">
        <f>K13260</f>
        <v>14134.615384615385</v>
      </c>
    </row>
    <row r="13262" spans="1:13" x14ac:dyDescent="0.2">
      <c r="A13262" s="384">
        <v>2025</v>
      </c>
      <c r="B13262" s="384">
        <v>4</v>
      </c>
      <c r="C13262" s="384">
        <v>10</v>
      </c>
      <c r="D13262" s="385">
        <f t="shared" si="1986"/>
        <v>45757</v>
      </c>
      <c r="E13262" s="386">
        <f t="shared" si="1987"/>
        <v>45757</v>
      </c>
      <c r="F13262" s="475" t="s">
        <v>1966</v>
      </c>
      <c r="G13262" s="387" t="s">
        <v>94</v>
      </c>
      <c r="H13262" s="387" t="str" cm="1">
        <f t="array" ref="H13262">IFERROR(INDEX(INVESTOR_LIST[INVESTOR NAME],MATCH(I13262,INVESTOR_LIST[INVESTOR CODE],0),)," ")</f>
        <v xml:space="preserve"> </v>
      </c>
      <c r="I13262" s="388" t="s">
        <v>348</v>
      </c>
      <c r="J13262" s="389" t="s">
        <v>67</v>
      </c>
      <c r="K13262" s="390">
        <v>22639.79</v>
      </c>
      <c r="L13262" s="390"/>
    </row>
    <row r="13263" spans="1:13" x14ac:dyDescent="0.2">
      <c r="A13263" s="391">
        <v>2025</v>
      </c>
      <c r="B13263" s="391">
        <v>4</v>
      </c>
      <c r="C13263" s="391">
        <v>10</v>
      </c>
      <c r="D13263" s="385">
        <f t="shared" si="1986"/>
        <v>45757</v>
      </c>
      <c r="E13263" s="386">
        <f t="shared" si="1987"/>
        <v>45757</v>
      </c>
      <c r="F13263" s="476"/>
      <c r="G13263" s="392" t="s">
        <v>94</v>
      </c>
      <c r="H13263" s="392" t="str" cm="1">
        <f t="array" ref="H13263">IFERROR(INDEX(INVESTOR_LIST[INVESTOR NAME],MATCH(I13263,INVESTOR_LIST[INVESTOR CODE],0),)," ")</f>
        <v xml:space="preserve"> </v>
      </c>
      <c r="I13263" s="393" t="s">
        <v>348</v>
      </c>
      <c r="J13263" s="394" t="s">
        <v>60</v>
      </c>
      <c r="K13263" s="395"/>
      <c r="L13263" s="395">
        <f>K13262</f>
        <v>22639.79</v>
      </c>
    </row>
    <row r="13264" spans="1:13" x14ac:dyDescent="0.2">
      <c r="A13264" s="343">
        <v>2025</v>
      </c>
      <c r="B13264" s="343">
        <v>4</v>
      </c>
      <c r="C13264" s="343">
        <v>10</v>
      </c>
      <c r="D13264" s="344">
        <f t="shared" si="1986"/>
        <v>45757</v>
      </c>
      <c r="E13264" s="345">
        <f t="shared" si="1987"/>
        <v>45757</v>
      </c>
      <c r="F13264" s="483" t="s">
        <v>1813</v>
      </c>
      <c r="G13264" s="350" t="s">
        <v>94</v>
      </c>
      <c r="H13264" s="350" t="str" cm="1">
        <f t="array" ref="H13264">IFERROR(INDEX(INVESTOR_LIST[INVESTOR NAME],MATCH(I13264,INVESTOR_LIST[INVESTOR CODE],0),)," ")</f>
        <v xml:space="preserve"> </v>
      </c>
      <c r="I13264" s="352" t="s">
        <v>348</v>
      </c>
      <c r="J13264" s="353" t="s">
        <v>1807</v>
      </c>
      <c r="K13264" s="354">
        <v>0</v>
      </c>
      <c r="L13264" s="354"/>
      <c r="M13264" s="133">
        <v>0</v>
      </c>
    </row>
    <row r="13265" spans="1:13" x14ac:dyDescent="0.2">
      <c r="A13265" s="346">
        <v>2025</v>
      </c>
      <c r="B13265" s="346">
        <v>4</v>
      </c>
      <c r="C13265" s="346">
        <v>10</v>
      </c>
      <c r="D13265" s="344">
        <f t="shared" si="1986"/>
        <v>45757</v>
      </c>
      <c r="E13265" s="345">
        <f t="shared" si="1987"/>
        <v>45757</v>
      </c>
      <c r="F13265" s="484"/>
      <c r="G13265" s="347" t="s">
        <v>94</v>
      </c>
      <c r="H13265" s="347" t="str" cm="1">
        <f t="array" ref="H13265">IFERROR(INDEX(INVESTOR_LIST[INVESTOR NAME],MATCH(I13265,INVESTOR_LIST[INVESTOR CODE],0),)," ")</f>
        <v xml:space="preserve"> </v>
      </c>
      <c r="I13265" s="348" t="s">
        <v>348</v>
      </c>
      <c r="J13265" s="355" t="s">
        <v>1798</v>
      </c>
      <c r="K13265" s="349"/>
      <c r="L13265" s="349">
        <v>0</v>
      </c>
    </row>
    <row r="13266" spans="1:13" x14ac:dyDescent="0.2">
      <c r="A13266" s="343">
        <v>2025</v>
      </c>
      <c r="B13266" s="343">
        <v>4</v>
      </c>
      <c r="C13266" s="343">
        <v>10</v>
      </c>
      <c r="D13266" s="344">
        <f t="shared" si="1986"/>
        <v>45757</v>
      </c>
      <c r="E13266" s="345">
        <f t="shared" si="1987"/>
        <v>45757</v>
      </c>
      <c r="F13266" s="483" t="s">
        <v>1913</v>
      </c>
      <c r="G13266" s="350" t="s">
        <v>94</v>
      </c>
      <c r="H13266" s="350" t="str" cm="1">
        <f t="array" ref="H13266">IFERROR(INDEX(INVESTOR_LIST[INVESTOR NAME],MATCH(I13266,INVESTOR_LIST[INVESTOR CODE],0),)," ")</f>
        <v xml:space="preserve"> </v>
      </c>
      <c r="I13266" s="352" t="s">
        <v>348</v>
      </c>
      <c r="J13266" s="353" t="s">
        <v>1808</v>
      </c>
      <c r="K13266" s="354">
        <v>204119.16499999911</v>
      </c>
      <c r="L13266" s="354"/>
      <c r="M13266" s="133">
        <v>0</v>
      </c>
    </row>
    <row r="13267" spans="1:13" x14ac:dyDescent="0.2">
      <c r="A13267" s="346">
        <v>2025</v>
      </c>
      <c r="B13267" s="346">
        <v>4</v>
      </c>
      <c r="C13267" s="346">
        <v>10</v>
      </c>
      <c r="D13267" s="344">
        <f t="shared" si="1986"/>
        <v>45757</v>
      </c>
      <c r="E13267" s="345">
        <f t="shared" si="1987"/>
        <v>45757</v>
      </c>
      <c r="F13267" s="484"/>
      <c r="G13267" s="347" t="s">
        <v>94</v>
      </c>
      <c r="H13267" s="347" t="str" cm="1">
        <f t="array" ref="H13267">IFERROR(INDEX(INVESTOR_LIST[INVESTOR NAME],MATCH(I13267,INVESTOR_LIST[INVESTOR CODE],0),)," ")</f>
        <v xml:space="preserve"> </v>
      </c>
      <c r="I13267" s="348" t="s">
        <v>348</v>
      </c>
      <c r="J13267" s="355" t="s">
        <v>1799</v>
      </c>
      <c r="K13267" s="349"/>
      <c r="L13267" s="349">
        <f>K13266</f>
        <v>204119.16499999911</v>
      </c>
    </row>
    <row r="13268" spans="1:13" x14ac:dyDescent="0.2">
      <c r="A13268" s="238">
        <v>2025</v>
      </c>
      <c r="B13268" s="238">
        <v>4</v>
      </c>
      <c r="C13268" s="238">
        <v>10</v>
      </c>
      <c r="D13268" s="270">
        <f t="shared" si="1986"/>
        <v>45757</v>
      </c>
      <c r="E13268" s="279">
        <f t="shared" si="1987"/>
        <v>45757</v>
      </c>
      <c r="F13268" s="477" t="s">
        <v>347</v>
      </c>
      <c r="G13268" s="239" t="s">
        <v>94</v>
      </c>
      <c r="H13268" s="239" t="str" cm="1">
        <f t="array" ref="H13268">IFERROR(INDEX(INVESTOR_LIST[INVESTOR NAME],MATCH(I13268,INVESTOR_LIST[INVESTOR CODE],0),)," ")</f>
        <v xml:space="preserve"> </v>
      </c>
      <c r="I13268" s="262" t="s">
        <v>348</v>
      </c>
      <c r="J13268" s="240" t="s">
        <v>82</v>
      </c>
      <c r="K13268" s="241">
        <v>438907.74000000954</v>
      </c>
      <c r="L13268" s="241"/>
      <c r="M13268" s="133">
        <v>13139541.900000483</v>
      </c>
    </row>
    <row r="13269" spans="1:13" x14ac:dyDescent="0.2">
      <c r="A13269" s="242">
        <v>2025</v>
      </c>
      <c r="B13269" s="242">
        <v>4</v>
      </c>
      <c r="C13269" s="242">
        <v>10</v>
      </c>
      <c r="D13269" s="270">
        <f t="shared" si="1986"/>
        <v>45757</v>
      </c>
      <c r="E13269" s="279">
        <f t="shared" si="1987"/>
        <v>45757</v>
      </c>
      <c r="F13269" s="478"/>
      <c r="G13269" s="243" t="s">
        <v>94</v>
      </c>
      <c r="H13269" s="243" t="str" cm="1">
        <f t="array" ref="H13269">IFERROR(INDEX(INVESTOR_LIST[INVESTOR NAME],MATCH(I13269,INVESTOR_LIST[INVESTOR CODE],0),)," ")</f>
        <v xml:space="preserve"> </v>
      </c>
      <c r="I13269" s="263" t="s">
        <v>348</v>
      </c>
      <c r="J13269" s="244" t="s">
        <v>108</v>
      </c>
      <c r="K13269" s="245"/>
      <c r="L13269" s="245">
        <f>K13268</f>
        <v>438907.74000000954</v>
      </c>
    </row>
    <row r="13270" spans="1:13" ht="22.5" x14ac:dyDescent="0.2">
      <c r="A13270" s="246">
        <v>2025</v>
      </c>
      <c r="B13270" s="238">
        <v>4</v>
      </c>
      <c r="C13270" s="238">
        <v>10</v>
      </c>
      <c r="D13270" s="270">
        <f t="shared" si="1986"/>
        <v>45757</v>
      </c>
      <c r="E13270" s="279">
        <f t="shared" si="1987"/>
        <v>45757</v>
      </c>
      <c r="F13270" s="482" t="s">
        <v>148</v>
      </c>
      <c r="G13270" s="247" t="s">
        <v>94</v>
      </c>
      <c r="H13270" s="247" t="str" cm="1">
        <f t="array" ref="H13270">IFERROR(INDEX(INVESTOR_LIST[INVESTOR NAME],MATCH(I13270,INVESTOR_LIST[INVESTOR CODE],0),)," ")</f>
        <v xml:space="preserve"> </v>
      </c>
      <c r="I13270" s="248" t="s">
        <v>348</v>
      </c>
      <c r="J13270" s="249" t="s">
        <v>95</v>
      </c>
      <c r="K13270" s="250">
        <v>2747.2527472527472</v>
      </c>
      <c r="L13270" s="241"/>
      <c r="M13270" s="176"/>
    </row>
    <row r="13271" spans="1:13" x14ac:dyDescent="0.2">
      <c r="A13271" s="242">
        <v>2025</v>
      </c>
      <c r="B13271" s="242">
        <v>4</v>
      </c>
      <c r="C13271" s="242">
        <v>10</v>
      </c>
      <c r="D13271" s="270">
        <f t="shared" si="1986"/>
        <v>45757</v>
      </c>
      <c r="E13271" s="279">
        <f t="shared" si="1987"/>
        <v>45757</v>
      </c>
      <c r="F13271" s="478"/>
      <c r="G13271" s="243" t="s">
        <v>94</v>
      </c>
      <c r="H13271" s="243" t="str" cm="1">
        <f t="array" ref="H13271">IFERROR(INDEX(INVESTOR_LIST[INVESTOR NAME],MATCH(I13271,INVESTOR_LIST[INVESTOR CODE],0),)," ")</f>
        <v xml:space="preserve"> </v>
      </c>
      <c r="I13271" s="263" t="s">
        <v>348</v>
      </c>
      <c r="J13271" s="244" t="s">
        <v>63</v>
      </c>
      <c r="K13271" s="245"/>
      <c r="L13271" s="245">
        <f>K13270</f>
        <v>2747.2527472527472</v>
      </c>
    </row>
    <row r="13272" spans="1:13" x14ac:dyDescent="0.2">
      <c r="A13272" s="246">
        <v>2025</v>
      </c>
      <c r="B13272" s="238">
        <v>4</v>
      </c>
      <c r="C13272" s="238">
        <v>10</v>
      </c>
      <c r="D13272" s="270">
        <f t="shared" si="1986"/>
        <v>45757</v>
      </c>
      <c r="E13272" s="279">
        <f t="shared" si="1987"/>
        <v>45757</v>
      </c>
      <c r="F13272" s="482" t="s">
        <v>137</v>
      </c>
      <c r="G13272" s="247" t="s">
        <v>94</v>
      </c>
      <c r="H13272" s="247" t="str" cm="1">
        <f t="array" ref="H13272">IFERROR(INDEX(INVESTOR_LIST[INVESTOR NAME],MATCH(I13272,INVESTOR_LIST[INVESTOR CODE],0),)," ")</f>
        <v xml:space="preserve"> </v>
      </c>
      <c r="I13272" s="248" t="s">
        <v>348</v>
      </c>
      <c r="J13272" s="249" t="s">
        <v>97</v>
      </c>
      <c r="K13272" s="250">
        <f>M13272</f>
        <v>61451.581539344756</v>
      </c>
      <c r="L13272" s="252"/>
      <c r="M13272" s="133">
        <v>61451.581539344756</v>
      </c>
    </row>
    <row r="13273" spans="1:13" x14ac:dyDescent="0.2">
      <c r="A13273" s="242">
        <v>2025</v>
      </c>
      <c r="B13273" s="242">
        <v>4</v>
      </c>
      <c r="C13273" s="242">
        <v>10</v>
      </c>
      <c r="D13273" s="270">
        <f t="shared" si="1986"/>
        <v>45757</v>
      </c>
      <c r="E13273" s="279">
        <f t="shared" si="1987"/>
        <v>45757</v>
      </c>
      <c r="F13273" s="478"/>
      <c r="G13273" s="243" t="s">
        <v>94</v>
      </c>
      <c r="H13273" s="243" t="str" cm="1">
        <f t="array" ref="H13273">IFERROR(INDEX(INVESTOR_LIST[INVESTOR NAME],MATCH(I13273,INVESTOR_LIST[INVESTOR CODE],0),)," ")</f>
        <v xml:space="preserve"> </v>
      </c>
      <c r="I13273" s="263" t="s">
        <v>348</v>
      </c>
      <c r="J13273" s="244" t="s">
        <v>47</v>
      </c>
      <c r="K13273" s="245"/>
      <c r="L13273" s="245">
        <f>K13272</f>
        <v>61451.581539344756</v>
      </c>
      <c r="M13273" s="133">
        <v>2832.1944615826233</v>
      </c>
    </row>
    <row r="13274" spans="1:13" x14ac:dyDescent="0.2">
      <c r="A13274" s="246">
        <v>2025</v>
      </c>
      <c r="B13274" s="238">
        <v>4</v>
      </c>
      <c r="C13274" s="238">
        <v>10</v>
      </c>
      <c r="D13274" s="270">
        <f t="shared" si="1986"/>
        <v>45757</v>
      </c>
      <c r="E13274" s="279">
        <f t="shared" si="1987"/>
        <v>45757</v>
      </c>
      <c r="F13274" s="482" t="s">
        <v>138</v>
      </c>
      <c r="G13274" s="247" t="s">
        <v>94</v>
      </c>
      <c r="H13274" s="247" t="str" cm="1">
        <f t="array" ref="H13274">IFERROR(INDEX(INVESTOR_LIST[INVESTOR NAME],MATCH(I13274,INVESTOR_LIST[INVESTOR CODE],0),)," ")</f>
        <v xml:space="preserve"> </v>
      </c>
      <c r="I13274" s="248" t="s">
        <v>348</v>
      </c>
      <c r="J13274" s="249" t="s">
        <v>100</v>
      </c>
      <c r="K13274" s="250">
        <f>M13273</f>
        <v>2832.1944615826233</v>
      </c>
      <c r="L13274" s="252"/>
    </row>
    <row r="13275" spans="1:13" x14ac:dyDescent="0.2">
      <c r="A13275" s="242">
        <v>2025</v>
      </c>
      <c r="B13275" s="242">
        <v>4</v>
      </c>
      <c r="C13275" s="242">
        <v>10</v>
      </c>
      <c r="D13275" s="321">
        <f t="shared" si="1986"/>
        <v>45757</v>
      </c>
      <c r="E13275" s="322">
        <f t="shared" si="1987"/>
        <v>45757</v>
      </c>
      <c r="F13275" s="478"/>
      <c r="G13275" s="243" t="s">
        <v>94</v>
      </c>
      <c r="H13275" s="243" t="str" cm="1">
        <f t="array" ref="H13275">IFERROR(INDEX(INVESTOR_LIST[INVESTOR NAME],MATCH(I13275,INVESTOR_LIST[INVESTOR CODE],0),)," ")</f>
        <v xml:space="preserve"> </v>
      </c>
      <c r="I13275" s="263" t="s">
        <v>348</v>
      </c>
      <c r="J13275" s="244" t="s">
        <v>48</v>
      </c>
      <c r="K13275" s="245"/>
      <c r="L13275" s="245">
        <f>K13274</f>
        <v>2832.1944615826233</v>
      </c>
    </row>
    <row r="13276" spans="1:13" ht="11.25" customHeight="1" x14ac:dyDescent="0.2">
      <c r="A13276" s="168">
        <v>2025</v>
      </c>
      <c r="B13276" s="133">
        <v>4</v>
      </c>
      <c r="C13276" s="168">
        <v>13</v>
      </c>
      <c r="D13276" s="141">
        <f t="shared" ref="D13276:D13281" si="1988">DATE(A13276,B13276,C13276)</f>
        <v>45760</v>
      </c>
      <c r="E13276" s="275">
        <f t="shared" ref="E13276:E13281" si="1989">DATE(A13276,B13276,C13276)</f>
        <v>45760</v>
      </c>
      <c r="F13276" s="479" t="s">
        <v>2031</v>
      </c>
      <c r="G13276" s="220" t="s">
        <v>74</v>
      </c>
      <c r="H13276" s="220" t="str" cm="1">
        <f t="array" ref="H13276">IFERROR(INDEX(INVESTOR_LIST[INVESTOR NAME],MATCH(I13276,INVESTOR_LIST[INVESTOR CODE],0),)," ")</f>
        <v xml:space="preserve"> </v>
      </c>
      <c r="I13276" s="142"/>
      <c r="J13276" s="143" t="s">
        <v>52</v>
      </c>
      <c r="K13276" s="226">
        <v>502222</v>
      </c>
      <c r="L13276" s="226"/>
    </row>
    <row r="13277" spans="1:13" x14ac:dyDescent="0.2">
      <c r="A13277" s="163">
        <v>2025</v>
      </c>
      <c r="B13277" s="163">
        <v>4</v>
      </c>
      <c r="C13277" s="163">
        <v>13</v>
      </c>
      <c r="D13277" s="280">
        <f t="shared" si="1988"/>
        <v>45760</v>
      </c>
      <c r="E13277" s="281">
        <f t="shared" si="1989"/>
        <v>45760</v>
      </c>
      <c r="F13277" s="480"/>
      <c r="G13277" s="221" t="s">
        <v>74</v>
      </c>
      <c r="H13277" s="221" t="str" cm="1">
        <f t="array" ref="H13277">IFERROR(INDEX(INVESTOR_LIST[INVESTOR NAME],MATCH(I13277,INVESTOR_LIST[INVESTOR CODE],0),)," ")</f>
        <v xml:space="preserve"> </v>
      </c>
      <c r="I13277" s="145"/>
      <c r="J13277" s="146" t="s">
        <v>190</v>
      </c>
      <c r="K13277" s="219"/>
      <c r="L13277" s="219">
        <v>502222</v>
      </c>
    </row>
    <row r="13278" spans="1:13" s="432" customFormat="1" x14ac:dyDescent="0.2">
      <c r="A13278" s="424">
        <v>2025</v>
      </c>
      <c r="B13278" s="424">
        <v>4</v>
      </c>
      <c r="C13278" s="168">
        <v>13</v>
      </c>
      <c r="D13278" s="425">
        <f t="shared" si="1988"/>
        <v>45760</v>
      </c>
      <c r="E13278" s="426">
        <f t="shared" si="1989"/>
        <v>45760</v>
      </c>
      <c r="F13278" s="485" t="s">
        <v>2102</v>
      </c>
      <c r="G13278" s="427" t="s">
        <v>94</v>
      </c>
      <c r="H13278" s="427" t="str" cm="1">
        <f t="array" ref="H13278">IFERROR(INDEX([4]!INVESTOR_LIST[INVESTOR NAME],MATCH(I13278,[4]!INVESTOR_LIST[INVESTOR CODE],0),)," ")</f>
        <v xml:space="preserve"> </v>
      </c>
      <c r="I13278" s="428" t="s">
        <v>348</v>
      </c>
      <c r="J13278" s="429" t="s">
        <v>52</v>
      </c>
      <c r="K13278" s="430">
        <v>48395.83</v>
      </c>
      <c r="L13278" s="430"/>
      <c r="M13278" s="431"/>
    </row>
    <row r="13279" spans="1:13" s="432" customFormat="1" x14ac:dyDescent="0.2">
      <c r="A13279" s="433">
        <v>2025</v>
      </c>
      <c r="B13279" s="433">
        <v>4</v>
      </c>
      <c r="C13279" s="163">
        <v>13</v>
      </c>
      <c r="D13279" s="425">
        <f t="shared" si="1988"/>
        <v>45760</v>
      </c>
      <c r="E13279" s="426">
        <f t="shared" si="1989"/>
        <v>45760</v>
      </c>
      <c r="F13279" s="486"/>
      <c r="G13279" s="434" t="s">
        <v>94</v>
      </c>
      <c r="H13279" s="434" t="str" cm="1">
        <f t="array" ref="H13279">IFERROR(INDEX([4]!INVESTOR_LIST[INVESTOR NAME],MATCH(I13279,[4]!INVESTOR_LIST[INVESTOR CODE],0),)," ")</f>
        <v xml:space="preserve"> </v>
      </c>
      <c r="I13279" s="435" t="s">
        <v>348</v>
      </c>
      <c r="J13279" s="436" t="s">
        <v>133</v>
      </c>
      <c r="K13279" s="437"/>
      <c r="L13279" s="437">
        <f>K13278</f>
        <v>48395.83</v>
      </c>
    </row>
    <row r="13280" spans="1:13" s="432" customFormat="1" x14ac:dyDescent="0.2">
      <c r="A13280" s="424">
        <v>2025</v>
      </c>
      <c r="B13280" s="424">
        <v>4</v>
      </c>
      <c r="C13280" s="168">
        <v>13</v>
      </c>
      <c r="D13280" s="425">
        <f t="shared" si="1988"/>
        <v>45760</v>
      </c>
      <c r="E13280" s="426">
        <f t="shared" si="1989"/>
        <v>45760</v>
      </c>
      <c r="F13280" s="485" t="s">
        <v>2102</v>
      </c>
      <c r="G13280" s="427" t="s">
        <v>94</v>
      </c>
      <c r="H13280" s="427" t="str" cm="1">
        <f t="array" ref="H13280">IFERROR(INDEX([4]!INVESTOR_LIST[INVESTOR NAME],MATCH(I13280,[4]!INVESTOR_LIST[INVESTOR CODE],0),)," ")</f>
        <v xml:space="preserve"> </v>
      </c>
      <c r="I13280" s="428" t="s">
        <v>348</v>
      </c>
      <c r="J13280" s="429" t="s">
        <v>52</v>
      </c>
      <c r="K13280" s="430">
        <v>145187.5</v>
      </c>
      <c r="L13280" s="430"/>
      <c r="M13280" s="431"/>
    </row>
    <row r="13281" spans="1:17" s="432" customFormat="1" x14ac:dyDescent="0.2">
      <c r="A13281" s="433">
        <v>2025</v>
      </c>
      <c r="B13281" s="433">
        <v>4</v>
      </c>
      <c r="C13281" s="163">
        <v>13</v>
      </c>
      <c r="D13281" s="425">
        <f t="shared" si="1988"/>
        <v>45760</v>
      </c>
      <c r="E13281" s="426">
        <f t="shared" si="1989"/>
        <v>45760</v>
      </c>
      <c r="F13281" s="486"/>
      <c r="G13281" s="434" t="s">
        <v>94</v>
      </c>
      <c r="H13281" s="434" t="str" cm="1">
        <f t="array" ref="H13281">IFERROR(INDEX([4]!INVESTOR_LIST[INVESTOR NAME],MATCH(I13281,[4]!INVESTOR_LIST[INVESTOR CODE],0),)," ")</f>
        <v xml:space="preserve"> </v>
      </c>
      <c r="I13281" s="435" t="s">
        <v>348</v>
      </c>
      <c r="J13281" s="436" t="s">
        <v>133</v>
      </c>
      <c r="K13281" s="437"/>
      <c r="L13281" s="437">
        <f>K13280</f>
        <v>145187.5</v>
      </c>
    </row>
    <row r="13282" spans="1:17" ht="11.25" customHeight="1" x14ac:dyDescent="0.2">
      <c r="A13282" s="168">
        <v>2025</v>
      </c>
      <c r="B13282" s="168">
        <v>4</v>
      </c>
      <c r="C13282" s="133">
        <v>15</v>
      </c>
      <c r="D13282" s="141">
        <f t="shared" si="1986"/>
        <v>45762</v>
      </c>
      <c r="E13282" s="275">
        <f t="shared" si="1987"/>
        <v>45762</v>
      </c>
      <c r="F13282" s="479" t="s">
        <v>1310</v>
      </c>
      <c r="G13282" s="220" t="s">
        <v>74</v>
      </c>
      <c r="H13282" s="142" t="str" cm="1">
        <f t="array" ref="H13282">IFERROR(INDEX(INVESTOR_LIST[INVESTOR NAME],MATCH(I13282,INVESTOR_LIST[INVESTOR CODE],0),)," ")</f>
        <v>RASHEDUL ISLAM</v>
      </c>
      <c r="I13282" s="142" t="s">
        <v>1476</v>
      </c>
      <c r="J13282" s="168" t="s">
        <v>13</v>
      </c>
      <c r="K13282" s="226">
        <v>3940</v>
      </c>
      <c r="L13282" s="226"/>
    </row>
    <row r="13283" spans="1:17" ht="11.25" customHeight="1" x14ac:dyDescent="0.2">
      <c r="A13283" s="133">
        <v>2025</v>
      </c>
      <c r="B13283" s="133">
        <v>4</v>
      </c>
      <c r="C13283" s="133">
        <v>15</v>
      </c>
      <c r="D13283" s="141">
        <f t="shared" si="1986"/>
        <v>45762</v>
      </c>
      <c r="E13283" s="275">
        <f t="shared" si="1987"/>
        <v>45762</v>
      </c>
      <c r="F13283" s="481"/>
      <c r="G13283" s="174" t="s">
        <v>74</v>
      </c>
      <c r="H13283" s="148" t="str" cm="1">
        <f t="array" ref="H13283">IFERROR(INDEX(INVESTOR_LIST[INVESTOR NAME],MATCH(I13283,INVESTOR_LIST[INVESTOR CODE],0),)," ")</f>
        <v>RASHEDUL ISLAM</v>
      </c>
      <c r="I13283" s="148" t="s">
        <v>1476</v>
      </c>
      <c r="J13283" s="133" t="s">
        <v>53</v>
      </c>
      <c r="K13283" s="218">
        <v>1060</v>
      </c>
      <c r="L13283" s="218"/>
    </row>
    <row r="13284" spans="1:17" ht="11.25" customHeight="1" x14ac:dyDescent="0.2">
      <c r="A13284" s="163">
        <v>2025</v>
      </c>
      <c r="B13284" s="163">
        <v>4</v>
      </c>
      <c r="C13284" s="163">
        <v>15</v>
      </c>
      <c r="D13284" s="280">
        <f t="shared" si="1986"/>
        <v>45762</v>
      </c>
      <c r="E13284" s="281">
        <f t="shared" si="1987"/>
        <v>45762</v>
      </c>
      <c r="F13284" s="480"/>
      <c r="G13284" s="221" t="s">
        <v>74</v>
      </c>
      <c r="H13284" s="145" t="str" cm="1">
        <f t="array" ref="H13284">IFERROR(INDEX(INVESTOR_LIST[INVESTOR NAME],MATCH(I13284,INVESTOR_LIST[INVESTOR CODE],0),)," ")</f>
        <v>RASHEDUL ISLAM</v>
      </c>
      <c r="I13284" s="145" t="s">
        <v>1476</v>
      </c>
      <c r="J13284" s="163" t="s">
        <v>52</v>
      </c>
      <c r="K13284" s="219"/>
      <c r="L13284" s="219">
        <v>5000</v>
      </c>
    </row>
    <row r="13285" spans="1:17" ht="11.25" customHeight="1" x14ac:dyDescent="0.2">
      <c r="A13285" s="168">
        <v>2025</v>
      </c>
      <c r="B13285" s="168">
        <v>4</v>
      </c>
      <c r="C13285" s="133">
        <v>15</v>
      </c>
      <c r="D13285" s="141">
        <f t="shared" si="1986"/>
        <v>45762</v>
      </c>
      <c r="E13285" s="275">
        <f t="shared" si="1987"/>
        <v>45762</v>
      </c>
      <c r="F13285" s="479" t="s">
        <v>1319</v>
      </c>
      <c r="G13285" s="220" t="s">
        <v>74</v>
      </c>
      <c r="H13285" s="142" t="str" cm="1">
        <f t="array" ref="H13285">IFERROR(INDEX(INVESTOR_LIST[INVESTOR NAME],MATCH(I13285,INVESTOR_LIST[INVESTOR CODE],0),)," ")</f>
        <v xml:space="preserve"> </v>
      </c>
      <c r="I13285" s="142"/>
      <c r="J13285" s="168" t="s">
        <v>52</v>
      </c>
      <c r="K13285" s="226">
        <v>2000</v>
      </c>
      <c r="L13285" s="226"/>
    </row>
    <row r="13286" spans="1:17" ht="11.25" customHeight="1" x14ac:dyDescent="0.2">
      <c r="A13286" s="133">
        <v>2025</v>
      </c>
      <c r="B13286" s="133">
        <v>4</v>
      </c>
      <c r="C13286" s="133">
        <v>15</v>
      </c>
      <c r="D13286" s="141">
        <f t="shared" si="1986"/>
        <v>45762</v>
      </c>
      <c r="E13286" s="275">
        <f t="shared" si="1987"/>
        <v>45762</v>
      </c>
      <c r="F13286" s="481"/>
      <c r="G13286" s="174" t="s">
        <v>74</v>
      </c>
      <c r="H13286" s="148" t="str" cm="1">
        <f t="array" ref="H13286">IFERROR(INDEX(INVESTOR_LIST[INVESTOR NAME],MATCH(I13286,INVESTOR_LIST[INVESTOR CODE],0),)," ")</f>
        <v xml:space="preserve"> </v>
      </c>
      <c r="J13286" s="133" t="s">
        <v>13</v>
      </c>
      <c r="K13286" s="218"/>
      <c r="L13286" s="218">
        <v>1580</v>
      </c>
    </row>
    <row r="13287" spans="1:17" ht="11.25" customHeight="1" x14ac:dyDescent="0.2">
      <c r="A13287" s="163">
        <v>2025</v>
      </c>
      <c r="B13287" s="163">
        <v>4</v>
      </c>
      <c r="C13287" s="163">
        <v>15</v>
      </c>
      <c r="D13287" s="280">
        <f t="shared" si="1986"/>
        <v>45762</v>
      </c>
      <c r="E13287" s="281">
        <f t="shared" si="1987"/>
        <v>45762</v>
      </c>
      <c r="F13287" s="480"/>
      <c r="G13287" s="221" t="s">
        <v>74</v>
      </c>
      <c r="H13287" s="145" t="str" cm="1">
        <f t="array" ref="H13287">IFERROR(INDEX(INVESTOR_LIST[INVESTOR NAME],MATCH(I13287,INVESTOR_LIST[INVESTOR CODE],0),)," ")</f>
        <v xml:space="preserve"> </v>
      </c>
      <c r="I13287" s="145"/>
      <c r="J13287" s="163" t="s">
        <v>53</v>
      </c>
      <c r="K13287" s="219"/>
      <c r="L13287" s="219">
        <v>420</v>
      </c>
    </row>
    <row r="13288" spans="1:17" x14ac:dyDescent="0.2">
      <c r="A13288" s="133">
        <v>2025</v>
      </c>
      <c r="B13288" s="133">
        <v>4</v>
      </c>
      <c r="C13288" s="133">
        <v>15</v>
      </c>
      <c r="D13288" s="141">
        <f t="shared" si="1986"/>
        <v>45762</v>
      </c>
      <c r="E13288" s="275">
        <f t="shared" si="1987"/>
        <v>45762</v>
      </c>
      <c r="F13288" s="479" t="s">
        <v>1972</v>
      </c>
      <c r="G13288" s="174" t="s">
        <v>74</v>
      </c>
      <c r="H13288" s="174" t="str" cm="1">
        <f t="array" ref="H13288">IFERROR(INDEX(INVESTOR_LIST[INVESTOR NAME],MATCH(I13288,INVESTOR_LIST[INVESTOR CODE],0),)," ")</f>
        <v xml:space="preserve"> </v>
      </c>
      <c r="I13288" s="148" t="s">
        <v>348</v>
      </c>
      <c r="J13288" s="143" t="s">
        <v>1805</v>
      </c>
      <c r="K13288" s="218">
        <v>7401576.7599999998</v>
      </c>
      <c r="L13288" s="218"/>
      <c r="M13288" s="147"/>
      <c r="Q13288" s="133" t="s">
        <v>348</v>
      </c>
    </row>
    <row r="13289" spans="1:17" x14ac:dyDescent="0.2">
      <c r="A13289" s="163">
        <v>2025</v>
      </c>
      <c r="B13289" s="163">
        <v>4</v>
      </c>
      <c r="C13289" s="163">
        <v>15</v>
      </c>
      <c r="D13289" s="280">
        <f t="shared" si="1986"/>
        <v>45762</v>
      </c>
      <c r="E13289" s="281">
        <f t="shared" si="1987"/>
        <v>45762</v>
      </c>
      <c r="F13289" s="480"/>
      <c r="G13289" s="221" t="s">
        <v>74</v>
      </c>
      <c r="H13289" s="221" t="str" cm="1">
        <f t="array" ref="H13289">IFERROR(INDEX(INVESTOR_LIST[INVESTOR NAME],MATCH(I13289,INVESTOR_LIST[INVESTOR CODE],0),)," ")</f>
        <v xml:space="preserve"> </v>
      </c>
      <c r="I13289" s="145"/>
      <c r="J13289" s="146" t="s">
        <v>52</v>
      </c>
      <c r="K13289" s="219"/>
      <c r="L13289" s="219">
        <v>7401576.7599999998</v>
      </c>
      <c r="M13289" s="147"/>
      <c r="Q13289" s="133" t="s">
        <v>348</v>
      </c>
    </row>
    <row r="13290" spans="1:17" x14ac:dyDescent="0.2">
      <c r="A13290" s="168">
        <v>2025</v>
      </c>
      <c r="B13290" s="168">
        <v>4</v>
      </c>
      <c r="C13290" s="168">
        <v>17</v>
      </c>
      <c r="D13290" s="141">
        <f>DATE(A13290,B13290,C13290)</f>
        <v>45764</v>
      </c>
      <c r="E13290" s="275">
        <f>DATE(A13290,B13290,C13290)</f>
        <v>45764</v>
      </c>
      <c r="F13290" s="479" t="s">
        <v>1979</v>
      </c>
      <c r="G13290" s="220" t="s">
        <v>94</v>
      </c>
      <c r="H13290" s="220" t="str" cm="1">
        <f t="array" ref="H13290">IFERROR(INDEX(INVESTOR_LIST[INVESTOR NAME],MATCH(I13290,INVESTOR_LIST[INVESTOR CODE],0),)," ")</f>
        <v xml:space="preserve"> </v>
      </c>
      <c r="I13290" s="142"/>
      <c r="J13290" s="143" t="s">
        <v>79</v>
      </c>
      <c r="K13290" s="226">
        <v>289500</v>
      </c>
      <c r="L13290" s="226"/>
      <c r="M13290" s="160"/>
    </row>
    <row r="13291" spans="1:17" x14ac:dyDescent="0.2">
      <c r="A13291" s="133">
        <v>2025</v>
      </c>
      <c r="B13291" s="133">
        <v>4</v>
      </c>
      <c r="C13291" s="133">
        <v>17</v>
      </c>
      <c r="D13291" s="141">
        <f>DATE(A13291,B13291,C13291)</f>
        <v>45764</v>
      </c>
      <c r="E13291" s="275">
        <f>DATE(A13291,B13291,C13291)</f>
        <v>45764</v>
      </c>
      <c r="F13291" s="481"/>
      <c r="G13291" s="174" t="s">
        <v>94</v>
      </c>
      <c r="H13291" s="174" t="str" cm="1">
        <f t="array" ref="H13291">IFERROR(INDEX(INVESTOR_LIST[INVESTOR NAME],MATCH(I13291,INVESTOR_LIST[INVESTOR CODE],0),)," ")</f>
        <v xml:space="preserve"> </v>
      </c>
      <c r="J13291" s="149" t="s">
        <v>80</v>
      </c>
      <c r="K13291" s="218">
        <v>521.1</v>
      </c>
      <c r="L13291" s="133"/>
    </row>
    <row r="13292" spans="1:17" x14ac:dyDescent="0.2">
      <c r="A13292" s="163">
        <v>2025</v>
      </c>
      <c r="B13292" s="163">
        <v>4</v>
      </c>
      <c r="C13292" s="163">
        <v>17</v>
      </c>
      <c r="D13292" s="280">
        <f>DATE(A13292,B13292,C13292)</f>
        <v>45764</v>
      </c>
      <c r="E13292" s="281">
        <f>DATE(A13292,B13292,C13292)</f>
        <v>45764</v>
      </c>
      <c r="F13292" s="480"/>
      <c r="G13292" s="221" t="s">
        <v>94</v>
      </c>
      <c r="H13292" s="221" t="str" cm="1">
        <f t="array" ref="H13292">IFERROR(INDEX(INVESTOR_LIST[INVESTOR NAME],MATCH(I13292,INVESTOR_LIST[INVESTOR CODE],0),)," ")</f>
        <v xml:space="preserve"> </v>
      </c>
      <c r="I13292" s="145"/>
      <c r="J13292" s="146" t="s">
        <v>147</v>
      </c>
      <c r="K13292" s="219"/>
      <c r="L13292" s="219">
        <v>290021.09999999998</v>
      </c>
    </row>
    <row r="13293" spans="1:17" x14ac:dyDescent="0.2">
      <c r="A13293" s="325">
        <v>2025</v>
      </c>
      <c r="B13293" s="325">
        <v>4</v>
      </c>
      <c r="C13293" s="325">
        <v>17</v>
      </c>
      <c r="D13293" s="326">
        <f t="shared" ref="D13293:D13321" si="1990">DATE(A13293,B13293,C13293)</f>
        <v>45764</v>
      </c>
      <c r="E13293" s="327">
        <f t="shared" ref="E13293:E13321" si="1991">DATE(A13293,B13293,C13293)</f>
        <v>45764</v>
      </c>
      <c r="F13293" s="473" t="s">
        <v>1940</v>
      </c>
      <c r="G13293" s="340" t="s">
        <v>94</v>
      </c>
      <c r="H13293" s="340" t="str" cm="1">
        <f t="array" ref="H13293">IFERROR(INDEX(INVESTOR_LIST[INVESTOR NAME],MATCH(I13293,INVESTOR_LIST[INVESTOR CODE],0),)," ")</f>
        <v xml:space="preserve"> </v>
      </c>
      <c r="I13293" s="341" t="s">
        <v>348</v>
      </c>
      <c r="J13293" s="374" t="s">
        <v>133</v>
      </c>
      <c r="K13293" s="375">
        <v>12905.56</v>
      </c>
      <c r="L13293" s="375"/>
      <c r="M13293" s="176"/>
    </row>
    <row r="13294" spans="1:17" x14ac:dyDescent="0.2">
      <c r="A13294" s="331">
        <v>2025</v>
      </c>
      <c r="B13294" s="331">
        <v>4</v>
      </c>
      <c r="C13294" s="331">
        <v>17</v>
      </c>
      <c r="D13294" s="326">
        <f t="shared" si="1990"/>
        <v>45764</v>
      </c>
      <c r="E13294" s="327">
        <f t="shared" si="1991"/>
        <v>45764</v>
      </c>
      <c r="F13294" s="474"/>
      <c r="G13294" s="332" t="s">
        <v>94</v>
      </c>
      <c r="H13294" s="332" t="str" cm="1">
        <f t="array" ref="H13294">IFERROR(INDEX(INVESTOR_LIST[INVESTOR NAME],MATCH(I13294,INVESTOR_LIST[INVESTOR CODE],0),)," ")</f>
        <v xml:space="preserve"> </v>
      </c>
      <c r="I13294" s="333" t="s">
        <v>348</v>
      </c>
      <c r="J13294" s="376" t="s">
        <v>60</v>
      </c>
      <c r="K13294" s="334"/>
      <c r="L13294" s="334">
        <f>K13293</f>
        <v>12905.56</v>
      </c>
    </row>
    <row r="13295" spans="1:17" x14ac:dyDescent="0.2">
      <c r="A13295" s="325">
        <v>2025</v>
      </c>
      <c r="B13295" s="325">
        <v>4</v>
      </c>
      <c r="C13295" s="325">
        <v>17</v>
      </c>
      <c r="D13295" s="326">
        <f t="shared" si="1990"/>
        <v>45764</v>
      </c>
      <c r="E13295" s="327">
        <f t="shared" si="1991"/>
        <v>45764</v>
      </c>
      <c r="F13295" s="473" t="s">
        <v>2029</v>
      </c>
      <c r="G13295" s="340" t="s">
        <v>94</v>
      </c>
      <c r="H13295" s="340" t="str" cm="1">
        <f t="array" ref="H13295">IFERROR(INDEX(INVESTOR_LIST[INVESTOR NAME],MATCH(I13295,INVESTOR_LIST[INVESTOR CODE],0),)," ")</f>
        <v xml:space="preserve"> </v>
      </c>
      <c r="I13295" s="341" t="s">
        <v>348</v>
      </c>
      <c r="J13295" s="374" t="s">
        <v>133</v>
      </c>
      <c r="K13295" s="375">
        <v>14134.615384615385</v>
      </c>
      <c r="L13295" s="375"/>
      <c r="M13295" s="176"/>
    </row>
    <row r="13296" spans="1:17" x14ac:dyDescent="0.2">
      <c r="A13296" s="331">
        <v>2025</v>
      </c>
      <c r="B13296" s="331">
        <v>4</v>
      </c>
      <c r="C13296" s="331">
        <v>17</v>
      </c>
      <c r="D13296" s="326">
        <f t="shared" si="1990"/>
        <v>45764</v>
      </c>
      <c r="E13296" s="327">
        <f t="shared" si="1991"/>
        <v>45764</v>
      </c>
      <c r="F13296" s="474"/>
      <c r="G13296" s="332" t="s">
        <v>94</v>
      </c>
      <c r="H13296" s="332" t="str" cm="1">
        <f t="array" ref="H13296">IFERROR(INDEX(INVESTOR_LIST[INVESTOR NAME],MATCH(I13296,INVESTOR_LIST[INVESTOR CODE],0),)," ")</f>
        <v xml:space="preserve"> </v>
      </c>
      <c r="I13296" s="333" t="s">
        <v>348</v>
      </c>
      <c r="J13296" s="376" t="s">
        <v>60</v>
      </c>
      <c r="K13296" s="334"/>
      <c r="L13296" s="334">
        <f>K13295</f>
        <v>14134.615384615385</v>
      </c>
    </row>
    <row r="13297" spans="1:13" x14ac:dyDescent="0.2">
      <c r="A13297" s="384">
        <v>2025</v>
      </c>
      <c r="B13297" s="384">
        <v>4</v>
      </c>
      <c r="C13297" s="384">
        <v>17</v>
      </c>
      <c r="D13297" s="385">
        <f t="shared" si="1990"/>
        <v>45764</v>
      </c>
      <c r="E13297" s="386">
        <f t="shared" si="1991"/>
        <v>45764</v>
      </c>
      <c r="F13297" s="475" t="s">
        <v>1966</v>
      </c>
      <c r="G13297" s="387" t="s">
        <v>94</v>
      </c>
      <c r="H13297" s="387" t="str" cm="1">
        <f t="array" ref="H13297">IFERROR(INDEX(INVESTOR_LIST[INVESTOR NAME],MATCH(I13297,INVESTOR_LIST[INVESTOR CODE],0),)," ")</f>
        <v xml:space="preserve"> </v>
      </c>
      <c r="I13297" s="388" t="s">
        <v>348</v>
      </c>
      <c r="J13297" s="389" t="s">
        <v>67</v>
      </c>
      <c r="K13297" s="390">
        <v>15802.5</v>
      </c>
      <c r="L13297" s="390"/>
    </row>
    <row r="13298" spans="1:13" x14ac:dyDescent="0.2">
      <c r="A13298" s="391">
        <v>2025</v>
      </c>
      <c r="B13298" s="391">
        <v>4</v>
      </c>
      <c r="C13298" s="391">
        <v>17</v>
      </c>
      <c r="D13298" s="385">
        <f t="shared" si="1990"/>
        <v>45764</v>
      </c>
      <c r="E13298" s="386">
        <f t="shared" si="1991"/>
        <v>45764</v>
      </c>
      <c r="F13298" s="476"/>
      <c r="G13298" s="392" t="s">
        <v>94</v>
      </c>
      <c r="H13298" s="392" t="str" cm="1">
        <f t="array" ref="H13298">IFERROR(INDEX(INVESTOR_LIST[INVESTOR NAME],MATCH(I13298,INVESTOR_LIST[INVESTOR CODE],0),)," ")</f>
        <v xml:space="preserve"> </v>
      </c>
      <c r="I13298" s="393" t="s">
        <v>348</v>
      </c>
      <c r="J13298" s="394" t="s">
        <v>60</v>
      </c>
      <c r="K13298" s="395"/>
      <c r="L13298" s="395">
        <f>K13297</f>
        <v>15802.5</v>
      </c>
    </row>
    <row r="13299" spans="1:13" x14ac:dyDescent="0.2">
      <c r="A13299" s="343">
        <v>2025</v>
      </c>
      <c r="B13299" s="343">
        <v>4</v>
      </c>
      <c r="C13299" s="343">
        <v>17</v>
      </c>
      <c r="D13299" s="344">
        <f t="shared" si="1990"/>
        <v>45764</v>
      </c>
      <c r="E13299" s="345">
        <f t="shared" si="1991"/>
        <v>45764</v>
      </c>
      <c r="F13299" s="483" t="s">
        <v>1813</v>
      </c>
      <c r="G13299" s="350" t="s">
        <v>94</v>
      </c>
      <c r="H13299" s="350" t="str" cm="1">
        <f t="array" ref="H13299">IFERROR(INDEX(INVESTOR_LIST[INVESTOR NAME],MATCH(I13299,INVESTOR_LIST[INVESTOR CODE],0),)," ")</f>
        <v xml:space="preserve"> </v>
      </c>
      <c r="I13299" s="352" t="s">
        <v>348</v>
      </c>
      <c r="J13299" s="353" t="s">
        <v>1807</v>
      </c>
      <c r="K13299" s="354">
        <v>0</v>
      </c>
      <c r="L13299" s="354"/>
      <c r="M13299" s="133">
        <v>0</v>
      </c>
    </row>
    <row r="13300" spans="1:13" x14ac:dyDescent="0.2">
      <c r="A13300" s="346">
        <v>2025</v>
      </c>
      <c r="B13300" s="346">
        <v>4</v>
      </c>
      <c r="C13300" s="346">
        <v>17</v>
      </c>
      <c r="D13300" s="344">
        <f t="shared" si="1990"/>
        <v>45764</v>
      </c>
      <c r="E13300" s="345">
        <f t="shared" si="1991"/>
        <v>45764</v>
      </c>
      <c r="F13300" s="484"/>
      <c r="G13300" s="347" t="s">
        <v>94</v>
      </c>
      <c r="H13300" s="347" t="str" cm="1">
        <f t="array" ref="H13300">IFERROR(INDEX(INVESTOR_LIST[INVESTOR NAME],MATCH(I13300,INVESTOR_LIST[INVESTOR CODE],0),)," ")</f>
        <v xml:space="preserve"> </v>
      </c>
      <c r="I13300" s="348" t="s">
        <v>348</v>
      </c>
      <c r="J13300" s="355" t="s">
        <v>1798</v>
      </c>
      <c r="K13300" s="349"/>
      <c r="L13300" s="349">
        <v>0</v>
      </c>
    </row>
    <row r="13301" spans="1:13" x14ac:dyDescent="0.2">
      <c r="A13301" s="343">
        <v>2025</v>
      </c>
      <c r="B13301" s="343">
        <v>4</v>
      </c>
      <c r="C13301" s="343">
        <v>17</v>
      </c>
      <c r="D13301" s="344">
        <f t="shared" si="1990"/>
        <v>45764</v>
      </c>
      <c r="E13301" s="345">
        <f t="shared" si="1991"/>
        <v>45764</v>
      </c>
      <c r="F13301" s="483" t="s">
        <v>1913</v>
      </c>
      <c r="G13301" s="350" t="s">
        <v>94</v>
      </c>
      <c r="H13301" s="350" t="str" cm="1">
        <f t="array" ref="H13301">IFERROR(INDEX(INVESTOR_LIST[INVESTOR NAME],MATCH(I13301,INVESTOR_LIST[INVESTOR CODE],0),)," ")</f>
        <v xml:space="preserve"> </v>
      </c>
      <c r="I13301" s="352" t="s">
        <v>348</v>
      </c>
      <c r="J13301" s="353" t="s">
        <v>1799</v>
      </c>
      <c r="K13301" s="354">
        <v>15126.334999997169</v>
      </c>
      <c r="L13301" s="354"/>
      <c r="M13301" s="133">
        <v>0</v>
      </c>
    </row>
    <row r="13302" spans="1:13" x14ac:dyDescent="0.2">
      <c r="A13302" s="346">
        <v>2025</v>
      </c>
      <c r="B13302" s="346">
        <v>4</v>
      </c>
      <c r="C13302" s="346">
        <v>17</v>
      </c>
      <c r="D13302" s="344">
        <f t="shared" si="1990"/>
        <v>45764</v>
      </c>
      <c r="E13302" s="345">
        <f t="shared" si="1991"/>
        <v>45764</v>
      </c>
      <c r="F13302" s="484"/>
      <c r="G13302" s="347" t="s">
        <v>94</v>
      </c>
      <c r="H13302" s="347" t="str" cm="1">
        <f t="array" ref="H13302">IFERROR(INDEX(INVESTOR_LIST[INVESTOR NAME],MATCH(I13302,INVESTOR_LIST[INVESTOR CODE],0),)," ")</f>
        <v xml:space="preserve"> </v>
      </c>
      <c r="I13302" s="348" t="s">
        <v>348</v>
      </c>
      <c r="J13302" s="355" t="s">
        <v>1808</v>
      </c>
      <c r="K13302" s="349"/>
      <c r="L13302" s="349">
        <f>K13301</f>
        <v>15126.334999997169</v>
      </c>
    </row>
    <row r="13303" spans="1:13" x14ac:dyDescent="0.2">
      <c r="A13303" s="238">
        <v>2025</v>
      </c>
      <c r="B13303" s="238">
        <v>4</v>
      </c>
      <c r="C13303" s="238">
        <v>17</v>
      </c>
      <c r="D13303" s="270">
        <f t="shared" si="1990"/>
        <v>45764</v>
      </c>
      <c r="E13303" s="279">
        <f t="shared" si="1991"/>
        <v>45764</v>
      </c>
      <c r="F13303" s="477" t="s">
        <v>347</v>
      </c>
      <c r="G13303" s="239" t="s">
        <v>94</v>
      </c>
      <c r="H13303" s="239" t="str" cm="1">
        <f t="array" ref="H13303">IFERROR(INDEX(INVESTOR_LIST[INVESTOR NAME],MATCH(I13303,INVESTOR_LIST[INVESTOR CODE],0),)," ")</f>
        <v xml:space="preserve"> </v>
      </c>
      <c r="I13303" s="262" t="s">
        <v>348</v>
      </c>
      <c r="J13303" s="240" t="s">
        <v>82</v>
      </c>
      <c r="K13303" s="241">
        <v>219499.70000000298</v>
      </c>
      <c r="L13303" s="241"/>
      <c r="M13303" s="133">
        <v>13139541.900000483</v>
      </c>
    </row>
    <row r="13304" spans="1:13" x14ac:dyDescent="0.2">
      <c r="A13304" s="242">
        <v>2025</v>
      </c>
      <c r="B13304" s="242">
        <v>4</v>
      </c>
      <c r="C13304" s="242">
        <v>17</v>
      </c>
      <c r="D13304" s="270">
        <f t="shared" si="1990"/>
        <v>45764</v>
      </c>
      <c r="E13304" s="279">
        <f t="shared" si="1991"/>
        <v>45764</v>
      </c>
      <c r="F13304" s="478"/>
      <c r="G13304" s="243" t="s">
        <v>94</v>
      </c>
      <c r="H13304" s="243" t="str" cm="1">
        <f t="array" ref="H13304">IFERROR(INDEX(INVESTOR_LIST[INVESTOR NAME],MATCH(I13304,INVESTOR_LIST[INVESTOR CODE],0),)," ")</f>
        <v xml:space="preserve"> </v>
      </c>
      <c r="I13304" s="263" t="s">
        <v>348</v>
      </c>
      <c r="J13304" s="244" t="s">
        <v>108</v>
      </c>
      <c r="K13304" s="245"/>
      <c r="L13304" s="245">
        <f>K13303</f>
        <v>219499.70000000298</v>
      </c>
    </row>
    <row r="13305" spans="1:13" ht="22.5" x14ac:dyDescent="0.2">
      <c r="A13305" s="246">
        <v>2025</v>
      </c>
      <c r="B13305" s="238">
        <v>4</v>
      </c>
      <c r="C13305" s="238">
        <v>17</v>
      </c>
      <c r="D13305" s="270">
        <f t="shared" si="1990"/>
        <v>45764</v>
      </c>
      <c r="E13305" s="279">
        <f t="shared" si="1991"/>
        <v>45764</v>
      </c>
      <c r="F13305" s="482" t="s">
        <v>148</v>
      </c>
      <c r="G13305" s="247" t="s">
        <v>94</v>
      </c>
      <c r="H13305" s="247" t="str" cm="1">
        <f t="array" ref="H13305">IFERROR(INDEX(INVESTOR_LIST[INVESTOR NAME],MATCH(I13305,INVESTOR_LIST[INVESTOR CODE],0),)," ")</f>
        <v xml:space="preserve"> </v>
      </c>
      <c r="I13305" s="248" t="s">
        <v>348</v>
      </c>
      <c r="J13305" s="249" t="s">
        <v>95</v>
      </c>
      <c r="K13305" s="250">
        <v>2747.2527472527472</v>
      </c>
      <c r="L13305" s="241"/>
      <c r="M13305" s="176"/>
    </row>
    <row r="13306" spans="1:13" x14ac:dyDescent="0.2">
      <c r="A13306" s="242">
        <v>2025</v>
      </c>
      <c r="B13306" s="242">
        <v>4</v>
      </c>
      <c r="C13306" s="242">
        <v>17</v>
      </c>
      <c r="D13306" s="270">
        <f t="shared" si="1990"/>
        <v>45764</v>
      </c>
      <c r="E13306" s="279">
        <f t="shared" si="1991"/>
        <v>45764</v>
      </c>
      <c r="F13306" s="478"/>
      <c r="G13306" s="243" t="s">
        <v>94</v>
      </c>
      <c r="H13306" s="243" t="str" cm="1">
        <f t="array" ref="H13306">IFERROR(INDEX(INVESTOR_LIST[INVESTOR NAME],MATCH(I13306,INVESTOR_LIST[INVESTOR CODE],0),)," ")</f>
        <v xml:space="preserve"> </v>
      </c>
      <c r="I13306" s="263" t="s">
        <v>348</v>
      </c>
      <c r="J13306" s="244" t="s">
        <v>63</v>
      </c>
      <c r="K13306" s="245"/>
      <c r="L13306" s="245">
        <f>K13305</f>
        <v>2747.2527472527472</v>
      </c>
    </row>
    <row r="13307" spans="1:13" x14ac:dyDescent="0.2">
      <c r="A13307" s="246">
        <v>2025</v>
      </c>
      <c r="B13307" s="238">
        <v>4</v>
      </c>
      <c r="C13307" s="238">
        <v>17</v>
      </c>
      <c r="D13307" s="270">
        <f t="shared" si="1990"/>
        <v>45764</v>
      </c>
      <c r="E13307" s="279">
        <f t="shared" si="1991"/>
        <v>45764</v>
      </c>
      <c r="F13307" s="482" t="s">
        <v>137</v>
      </c>
      <c r="G13307" s="247" t="s">
        <v>94</v>
      </c>
      <c r="H13307" s="247" t="str" cm="1">
        <f t="array" ref="H13307">IFERROR(INDEX(INVESTOR_LIST[INVESTOR NAME],MATCH(I13307,INVESTOR_LIST[INVESTOR CODE],0),)," ")</f>
        <v xml:space="preserve"> </v>
      </c>
      <c r="I13307" s="248" t="s">
        <v>348</v>
      </c>
      <c r="J13307" s="249" t="s">
        <v>97</v>
      </c>
      <c r="K13307" s="250">
        <f>M13307</f>
        <v>61024.660136128005</v>
      </c>
      <c r="L13307" s="252"/>
      <c r="M13307" s="133">
        <v>61024.660136128005</v>
      </c>
    </row>
    <row r="13308" spans="1:13" x14ac:dyDescent="0.2">
      <c r="A13308" s="242">
        <v>2025</v>
      </c>
      <c r="B13308" s="242">
        <v>4</v>
      </c>
      <c r="C13308" s="242">
        <v>17</v>
      </c>
      <c r="D13308" s="270">
        <f t="shared" si="1990"/>
        <v>45764</v>
      </c>
      <c r="E13308" s="279">
        <f t="shared" si="1991"/>
        <v>45764</v>
      </c>
      <c r="F13308" s="478"/>
      <c r="G13308" s="243" t="s">
        <v>94</v>
      </c>
      <c r="H13308" s="243" t="str" cm="1">
        <f t="array" ref="H13308">IFERROR(INDEX(INVESTOR_LIST[INVESTOR NAME],MATCH(I13308,INVESTOR_LIST[INVESTOR CODE],0),)," ")</f>
        <v xml:space="preserve"> </v>
      </c>
      <c r="I13308" s="263" t="s">
        <v>348</v>
      </c>
      <c r="J13308" s="244" t="s">
        <v>47</v>
      </c>
      <c r="K13308" s="245"/>
      <c r="L13308" s="245">
        <f>K13307</f>
        <v>61024.660136128005</v>
      </c>
      <c r="M13308" s="133">
        <v>2810.8483914217845</v>
      </c>
    </row>
    <row r="13309" spans="1:13" x14ac:dyDescent="0.2">
      <c r="A13309" s="246">
        <v>2025</v>
      </c>
      <c r="B13309" s="238">
        <v>4</v>
      </c>
      <c r="C13309" s="238">
        <v>17</v>
      </c>
      <c r="D13309" s="270">
        <f t="shared" si="1990"/>
        <v>45764</v>
      </c>
      <c r="E13309" s="279">
        <f t="shared" si="1991"/>
        <v>45764</v>
      </c>
      <c r="F13309" s="482" t="s">
        <v>138</v>
      </c>
      <c r="G13309" s="247" t="s">
        <v>94</v>
      </c>
      <c r="H13309" s="247" t="str" cm="1">
        <f t="array" ref="H13309">IFERROR(INDEX(INVESTOR_LIST[INVESTOR NAME],MATCH(I13309,INVESTOR_LIST[INVESTOR CODE],0),)," ")</f>
        <v xml:space="preserve"> </v>
      </c>
      <c r="I13309" s="248" t="s">
        <v>348</v>
      </c>
      <c r="J13309" s="249" t="s">
        <v>100</v>
      </c>
      <c r="K13309" s="250">
        <f>M13308</f>
        <v>2810.8483914217845</v>
      </c>
      <c r="L13309" s="252"/>
    </row>
    <row r="13310" spans="1:13" x14ac:dyDescent="0.2">
      <c r="A13310" s="242">
        <v>2025</v>
      </c>
      <c r="B13310" s="242">
        <v>4</v>
      </c>
      <c r="C13310" s="242">
        <v>17</v>
      </c>
      <c r="D13310" s="321">
        <f t="shared" si="1990"/>
        <v>45764</v>
      </c>
      <c r="E13310" s="322">
        <f t="shared" si="1991"/>
        <v>45764</v>
      </c>
      <c r="F13310" s="478"/>
      <c r="G13310" s="243" t="s">
        <v>94</v>
      </c>
      <c r="H13310" s="243" t="str" cm="1">
        <f t="array" ref="H13310">IFERROR(INDEX(INVESTOR_LIST[INVESTOR NAME],MATCH(I13310,INVESTOR_LIST[INVESTOR CODE],0),)," ")</f>
        <v xml:space="preserve"> </v>
      </c>
      <c r="I13310" s="263" t="s">
        <v>348</v>
      </c>
      <c r="J13310" s="244" t="s">
        <v>48</v>
      </c>
      <c r="K13310" s="245"/>
      <c r="L13310" s="245">
        <f>K13309</f>
        <v>2810.8483914217845</v>
      </c>
    </row>
    <row r="13311" spans="1:13" x14ac:dyDescent="0.2">
      <c r="A13311" s="168">
        <v>2025</v>
      </c>
      <c r="B13311" s="133">
        <v>4</v>
      </c>
      <c r="C13311" s="168">
        <v>20</v>
      </c>
      <c r="D13311" s="141">
        <f t="shared" si="1990"/>
        <v>45767</v>
      </c>
      <c r="E13311" s="275">
        <f t="shared" si="1991"/>
        <v>45767</v>
      </c>
      <c r="F13311" s="479" t="s">
        <v>2002</v>
      </c>
      <c r="G13311" s="220" t="s">
        <v>74</v>
      </c>
      <c r="H13311" s="220" t="str" cm="1">
        <f t="array" ref="H13311">IFERROR(INDEX(INVESTOR_LIST[INVESTOR NAME],MATCH(I13311,INVESTOR_LIST[INVESTOR CODE],0),)," ")</f>
        <v xml:space="preserve"> </v>
      </c>
      <c r="I13311" s="142"/>
      <c r="J13311" s="143" t="s">
        <v>147</v>
      </c>
      <c r="K13311" s="226">
        <v>290021.09999999998</v>
      </c>
      <c r="L13311" s="226"/>
    </row>
    <row r="13312" spans="1:13" x14ac:dyDescent="0.2">
      <c r="A13312" s="163">
        <v>2025</v>
      </c>
      <c r="B13312" s="163">
        <v>4</v>
      </c>
      <c r="C13312" s="163">
        <v>20</v>
      </c>
      <c r="D13312" s="280">
        <f t="shared" si="1990"/>
        <v>45767</v>
      </c>
      <c r="E13312" s="281">
        <f t="shared" si="1991"/>
        <v>45767</v>
      </c>
      <c r="F13312" s="480"/>
      <c r="G13312" s="221" t="s">
        <v>74</v>
      </c>
      <c r="H13312" s="221" t="str" cm="1">
        <f t="array" ref="H13312">IFERROR(INDEX(INVESTOR_LIST[INVESTOR NAME],MATCH(I13312,INVESTOR_LIST[INVESTOR CODE],0),)," ")</f>
        <v xml:space="preserve"> </v>
      </c>
      <c r="I13312" s="145" t="s">
        <v>348</v>
      </c>
      <c r="J13312" s="146" t="s">
        <v>52</v>
      </c>
      <c r="K13312" s="219"/>
      <c r="L13312" s="219">
        <v>290021.09999999998</v>
      </c>
    </row>
    <row r="13313" spans="1:13" x14ac:dyDescent="0.2">
      <c r="A13313" s="168">
        <v>2025</v>
      </c>
      <c r="B13313" s="133">
        <v>4</v>
      </c>
      <c r="C13313" s="168">
        <v>20</v>
      </c>
      <c r="D13313" s="147">
        <f>DATE(A13313,B13313,C13313)</f>
        <v>45767</v>
      </c>
      <c r="E13313" s="311">
        <f>DATE(A13313,B13313,C13313)</f>
        <v>45767</v>
      </c>
      <c r="F13313" s="481" t="s">
        <v>1943</v>
      </c>
      <c r="G13313" s="174" t="s">
        <v>74</v>
      </c>
      <c r="H13313" s="148" t="str" cm="1">
        <f t="array" ref="H13313">IFERROR(INDEX(INVESTOR_LIST[INVESTOR NAME],MATCH(I13313,INVESTOR_LIST[INVESTOR CODE],0),)," ")</f>
        <v xml:space="preserve"> </v>
      </c>
      <c r="I13313" s="148" t="s">
        <v>348</v>
      </c>
      <c r="J13313" s="133" t="s">
        <v>61</v>
      </c>
      <c r="K13313" s="172">
        <v>58</v>
      </c>
    </row>
    <row r="13314" spans="1:13" x14ac:dyDescent="0.2">
      <c r="A13314" s="163">
        <v>2025</v>
      </c>
      <c r="B13314" s="163">
        <v>4</v>
      </c>
      <c r="C13314" s="163">
        <v>20</v>
      </c>
      <c r="D13314" s="280">
        <f>DATE(A13314,B13314,C13314)</f>
        <v>45767</v>
      </c>
      <c r="E13314" s="281">
        <f>DATE(A13314,B13314,C13314)</f>
        <v>45767</v>
      </c>
      <c r="F13314" s="480"/>
      <c r="G13314" s="221" t="s">
        <v>74</v>
      </c>
      <c r="H13314" s="145" t="str" cm="1">
        <f t="array" ref="H13314">IFERROR(INDEX(INVESTOR_LIST[INVESTOR NAME],MATCH(I13314,INVESTOR_LIST[INVESTOR CODE],0),)," ")</f>
        <v xml:space="preserve"> </v>
      </c>
      <c r="I13314" s="145" t="s">
        <v>348</v>
      </c>
      <c r="J13314" s="163" t="s">
        <v>52</v>
      </c>
      <c r="K13314" s="219"/>
      <c r="L13314" s="219">
        <v>58</v>
      </c>
    </row>
    <row r="13315" spans="1:13" x14ac:dyDescent="0.2">
      <c r="A13315" s="133">
        <v>2025</v>
      </c>
      <c r="B13315" s="133">
        <v>4</v>
      </c>
      <c r="C13315" s="133">
        <v>21</v>
      </c>
      <c r="D13315" s="141">
        <f t="shared" si="1990"/>
        <v>45768</v>
      </c>
      <c r="E13315" s="275">
        <f t="shared" si="1991"/>
        <v>45768</v>
      </c>
      <c r="F13315" s="481" t="s">
        <v>1767</v>
      </c>
      <c r="G13315" s="174" t="s">
        <v>94</v>
      </c>
      <c r="H13315" s="174" t="str" cm="1">
        <f t="array" ref="H13315">IFERROR(INDEX(INVESTOR_LIST[INVESTOR NAME],MATCH(I13315,INVESTOR_LIST[INVESTOR CODE],0),)," ")</f>
        <v xml:space="preserve"> </v>
      </c>
      <c r="J13315" s="149" t="s">
        <v>79</v>
      </c>
      <c r="K13315" s="218">
        <v>422788.4</v>
      </c>
      <c r="L13315" s="218"/>
      <c r="M13315" s="160"/>
    </row>
    <row r="13316" spans="1:13" x14ac:dyDescent="0.2">
      <c r="A13316" s="133">
        <v>2025</v>
      </c>
      <c r="B13316" s="133">
        <v>4</v>
      </c>
      <c r="C13316" s="133">
        <v>21</v>
      </c>
      <c r="D13316" s="141">
        <f t="shared" si="1990"/>
        <v>45768</v>
      </c>
      <c r="E13316" s="275">
        <f t="shared" si="1991"/>
        <v>45768</v>
      </c>
      <c r="F13316" s="481"/>
      <c r="G13316" s="174" t="s">
        <v>94</v>
      </c>
      <c r="H13316" s="174" t="str" cm="1">
        <f t="array" ref="H13316">IFERROR(INDEX(INVESTOR_LIST[INVESTOR NAME],MATCH(I13316,INVESTOR_LIST[INVESTOR CODE],0),)," ")</f>
        <v xml:space="preserve"> </v>
      </c>
      <c r="J13316" s="149" t="s">
        <v>80</v>
      </c>
      <c r="K13316" s="218">
        <v>9752.2000000000007</v>
      </c>
      <c r="L13316" s="133"/>
    </row>
    <row r="13317" spans="1:13" x14ac:dyDescent="0.2">
      <c r="A13317" s="133">
        <v>2025</v>
      </c>
      <c r="B13317" s="133">
        <v>4</v>
      </c>
      <c r="C13317" s="133">
        <v>21</v>
      </c>
      <c r="D13317" s="141">
        <f t="shared" si="1990"/>
        <v>45768</v>
      </c>
      <c r="E13317" s="275">
        <f t="shared" si="1991"/>
        <v>45768</v>
      </c>
      <c r="F13317" s="481"/>
      <c r="G13317" s="174" t="s">
        <v>94</v>
      </c>
      <c r="H13317" s="174" t="str" cm="1">
        <f t="array" ref="H13317">IFERROR(INDEX(INVESTOR_LIST[INVESTOR NAME],MATCH(I13317,INVESTOR_LIST[INVESTOR CODE],0),)," ")</f>
        <v xml:space="preserve"> </v>
      </c>
      <c r="J13317" s="149" t="s">
        <v>190</v>
      </c>
      <c r="K13317" s="218">
        <v>4562717</v>
      </c>
      <c r="L13317" s="218"/>
    </row>
    <row r="13318" spans="1:13" x14ac:dyDescent="0.2">
      <c r="A13318" s="133">
        <v>2025</v>
      </c>
      <c r="B13318" s="133">
        <v>4</v>
      </c>
      <c r="C13318" s="133">
        <v>21</v>
      </c>
      <c r="D13318" s="141">
        <f t="shared" si="1990"/>
        <v>45768</v>
      </c>
      <c r="E13318" s="275">
        <f t="shared" si="1991"/>
        <v>45768</v>
      </c>
      <c r="F13318" s="481"/>
      <c r="G13318" s="174" t="s">
        <v>94</v>
      </c>
      <c r="H13318" s="174" t="str" cm="1">
        <f t="array" ref="H13318">IFERROR(INDEX(INVESTOR_LIST[INVESTOR NAME],MATCH(I13318,INVESTOR_LIST[INVESTOR CODE],0),)," ")</f>
        <v xml:space="preserve"> </v>
      </c>
      <c r="J13318" s="149" t="s">
        <v>191</v>
      </c>
      <c r="K13318" s="218">
        <v>200698.55</v>
      </c>
      <c r="L13318" s="218"/>
    </row>
    <row r="13319" spans="1:13" x14ac:dyDescent="0.2">
      <c r="A13319" s="163">
        <v>2025</v>
      </c>
      <c r="B13319" s="163">
        <v>4</v>
      </c>
      <c r="C13319" s="163">
        <v>21</v>
      </c>
      <c r="D13319" s="280">
        <f t="shared" si="1990"/>
        <v>45768</v>
      </c>
      <c r="E13319" s="281">
        <f t="shared" si="1991"/>
        <v>45768</v>
      </c>
      <c r="F13319" s="480"/>
      <c r="G13319" s="221" t="s">
        <v>94</v>
      </c>
      <c r="H13319" s="145" t="str" cm="1">
        <f t="array" ref="H13319">IFERROR(INDEX(INVESTOR_LIST[INVESTOR NAME],MATCH(I13319,INVESTOR_LIST[INVESTOR CODE],0),)," ")</f>
        <v xml:space="preserve"> </v>
      </c>
      <c r="I13319" s="145"/>
      <c r="J13319" s="163" t="s">
        <v>79</v>
      </c>
      <c r="K13319" s="219"/>
      <c r="L13319" s="219">
        <v>5195956.1500000004</v>
      </c>
    </row>
    <row r="13320" spans="1:13" x14ac:dyDescent="0.2">
      <c r="A13320" s="168">
        <v>2025</v>
      </c>
      <c r="B13320" s="133">
        <v>4</v>
      </c>
      <c r="C13320" s="168">
        <v>21</v>
      </c>
      <c r="D13320" s="141">
        <f t="shared" si="1990"/>
        <v>45768</v>
      </c>
      <c r="E13320" s="275">
        <f t="shared" si="1991"/>
        <v>45768</v>
      </c>
      <c r="F13320" s="481" t="s">
        <v>2050</v>
      </c>
      <c r="G13320" s="174" t="s">
        <v>94</v>
      </c>
      <c r="H13320" s="174" t="str" cm="1">
        <f t="array" ref="H13320">IFERROR(INDEX(INVESTOR_LIST[INVESTOR NAME],MATCH(I13320,INVESTOR_LIST[INVESTOR CODE],0),)," ")</f>
        <v xml:space="preserve"> </v>
      </c>
      <c r="I13320" s="148" t="s">
        <v>348</v>
      </c>
      <c r="J13320" s="149" t="s">
        <v>52</v>
      </c>
      <c r="K13320" s="218">
        <v>60960</v>
      </c>
      <c r="L13320" s="218"/>
    </row>
    <row r="13321" spans="1:13" x14ac:dyDescent="0.2">
      <c r="A13321" s="163">
        <v>2025</v>
      </c>
      <c r="B13321" s="163">
        <v>4</v>
      </c>
      <c r="C13321" s="163">
        <v>21</v>
      </c>
      <c r="D13321" s="280">
        <f t="shared" si="1990"/>
        <v>45768</v>
      </c>
      <c r="E13321" s="281">
        <f t="shared" si="1991"/>
        <v>45768</v>
      </c>
      <c r="F13321" s="480"/>
      <c r="G13321" s="221" t="s">
        <v>94</v>
      </c>
      <c r="H13321" s="221" t="str" cm="1">
        <f t="array" ref="H13321">IFERROR(INDEX(INVESTOR_LIST[INVESTOR NAME],MATCH(I13321,INVESTOR_LIST[INVESTOR CODE],0),)," ")</f>
        <v xml:space="preserve"> </v>
      </c>
      <c r="I13321" s="145" t="s">
        <v>348</v>
      </c>
      <c r="J13321" s="146" t="s">
        <v>168</v>
      </c>
      <c r="K13321" s="219"/>
      <c r="L13321" s="219">
        <v>60960</v>
      </c>
    </row>
    <row r="13322" spans="1:13" x14ac:dyDescent="0.2">
      <c r="A13322" s="168">
        <v>2025</v>
      </c>
      <c r="B13322" s="133">
        <v>4</v>
      </c>
      <c r="C13322" s="168">
        <v>21</v>
      </c>
      <c r="D13322" s="147">
        <f>DATE(A13322,B13322,C13322)</f>
        <v>45768</v>
      </c>
      <c r="E13322" s="311">
        <f>DATE(A13322,B13322,C13322)</f>
        <v>45768</v>
      </c>
      <c r="F13322" s="481" t="s">
        <v>1943</v>
      </c>
      <c r="G13322" s="174" t="s">
        <v>74</v>
      </c>
      <c r="H13322" s="148" t="str" cm="1">
        <f t="array" ref="H13322">IFERROR(INDEX(INVESTOR_LIST[INVESTOR NAME],MATCH(I13322,INVESTOR_LIST[INVESTOR CODE],0),)," ")</f>
        <v xml:space="preserve"> </v>
      </c>
      <c r="I13322" s="148" t="s">
        <v>348</v>
      </c>
      <c r="J13322" s="133" t="s">
        <v>61</v>
      </c>
      <c r="K13322" s="172">
        <v>100</v>
      </c>
    </row>
    <row r="13323" spans="1:13" x14ac:dyDescent="0.2">
      <c r="A13323" s="163">
        <v>2025</v>
      </c>
      <c r="B13323" s="163">
        <v>4</v>
      </c>
      <c r="C13323" s="163">
        <v>21</v>
      </c>
      <c r="D13323" s="280">
        <f>DATE(A13323,B13323,C13323)</f>
        <v>45768</v>
      </c>
      <c r="E13323" s="281">
        <f>DATE(A13323,B13323,C13323)</f>
        <v>45768</v>
      </c>
      <c r="F13323" s="480"/>
      <c r="G13323" s="221" t="s">
        <v>74</v>
      </c>
      <c r="H13323" s="145" t="str" cm="1">
        <f t="array" ref="H13323">IFERROR(INDEX(INVESTOR_LIST[INVESTOR NAME],MATCH(I13323,INVESTOR_LIST[INVESTOR CODE],0),)," ")</f>
        <v xml:space="preserve"> </v>
      </c>
      <c r="I13323" s="145" t="s">
        <v>348</v>
      </c>
      <c r="J13323" s="163" t="s">
        <v>52</v>
      </c>
      <c r="K13323" s="219"/>
      <c r="L13323" s="219">
        <v>100</v>
      </c>
    </row>
    <row r="13324" spans="1:13" s="432" customFormat="1" x14ac:dyDescent="0.2">
      <c r="A13324" s="424">
        <v>2025</v>
      </c>
      <c r="B13324" s="424">
        <v>4</v>
      </c>
      <c r="C13324" s="168">
        <v>21</v>
      </c>
      <c r="D13324" s="425">
        <f t="shared" ref="D13324:D13328" si="1992">DATE(A13324,B13324,C13324)</f>
        <v>45768</v>
      </c>
      <c r="E13324" s="426">
        <f t="shared" ref="E13324:E13328" si="1993">DATE(A13324,B13324,C13324)</f>
        <v>45768</v>
      </c>
      <c r="F13324" s="485" t="s">
        <v>2051</v>
      </c>
      <c r="G13324" s="427" t="s">
        <v>94</v>
      </c>
      <c r="H13324" s="427" t="str" cm="1">
        <f t="array" ref="H13324">IFERROR(INDEX(INVESTOR_LIST[INVESTOR NAME],MATCH(I13324,INVESTOR_LIST[INVESTOR CODE],0),)," ")</f>
        <v xml:space="preserve"> </v>
      </c>
      <c r="I13324" s="428" t="s">
        <v>348</v>
      </c>
      <c r="J13324" s="429" t="s">
        <v>52</v>
      </c>
      <c r="K13324" s="430">
        <v>183750</v>
      </c>
      <c r="L13324" s="430"/>
      <c r="M13324" s="431"/>
    </row>
    <row r="13325" spans="1:13" s="432" customFormat="1" x14ac:dyDescent="0.2">
      <c r="A13325" s="433">
        <v>2025</v>
      </c>
      <c r="B13325" s="433">
        <v>4</v>
      </c>
      <c r="C13325" s="163">
        <v>21</v>
      </c>
      <c r="D13325" s="425">
        <f t="shared" si="1992"/>
        <v>45768</v>
      </c>
      <c r="E13325" s="426">
        <f t="shared" si="1993"/>
        <v>45768</v>
      </c>
      <c r="F13325" s="486"/>
      <c r="G13325" s="434" t="s">
        <v>94</v>
      </c>
      <c r="H13325" s="434" t="str" cm="1">
        <f t="array" ref="H13325">IFERROR(INDEX(INVESTOR_LIST[INVESTOR NAME],MATCH(I13325,INVESTOR_LIST[INVESTOR CODE],0),)," ")</f>
        <v xml:space="preserve"> </v>
      </c>
      <c r="I13325" s="435" t="s">
        <v>348</v>
      </c>
      <c r="J13325" s="436" t="s">
        <v>133</v>
      </c>
      <c r="K13325" s="437"/>
      <c r="L13325" s="437">
        <f>K13324</f>
        <v>183750</v>
      </c>
    </row>
    <row r="13326" spans="1:13" ht="11.25" customHeight="1" x14ac:dyDescent="0.2">
      <c r="A13326" s="168">
        <v>2025</v>
      </c>
      <c r="B13326" s="168">
        <v>4</v>
      </c>
      <c r="C13326" s="133">
        <v>21</v>
      </c>
      <c r="D13326" s="141">
        <f t="shared" si="1992"/>
        <v>45768</v>
      </c>
      <c r="E13326" s="275">
        <f t="shared" si="1993"/>
        <v>45768</v>
      </c>
      <c r="F13326" s="479" t="s">
        <v>1315</v>
      </c>
      <c r="G13326" s="220" t="s">
        <v>74</v>
      </c>
      <c r="H13326" s="142" t="str" cm="1">
        <f t="array" ref="H13326">IFERROR(INDEX(INVESTOR_LIST[INVESTOR NAME],MATCH(I13326,INVESTOR_LIST[INVESTOR CODE],0),)," ")</f>
        <v>KHAN MUHAMMAD KAWSER AHMED</v>
      </c>
      <c r="I13326" s="142" t="s">
        <v>1594</v>
      </c>
      <c r="J13326" s="168" t="s">
        <v>13</v>
      </c>
      <c r="K13326" s="226">
        <v>2370600</v>
      </c>
      <c r="L13326" s="226"/>
    </row>
    <row r="13327" spans="1:13" ht="11.25" customHeight="1" x14ac:dyDescent="0.2">
      <c r="A13327" s="133">
        <v>2025</v>
      </c>
      <c r="B13327" s="133">
        <v>4</v>
      </c>
      <c r="C13327" s="133">
        <v>21</v>
      </c>
      <c r="D13327" s="141">
        <f t="shared" si="1992"/>
        <v>45768</v>
      </c>
      <c r="E13327" s="275">
        <f t="shared" si="1993"/>
        <v>45768</v>
      </c>
      <c r="F13327" s="481"/>
      <c r="G13327" s="174" t="s">
        <v>74</v>
      </c>
      <c r="H13327" s="148" t="str" cm="1">
        <f t="array" ref="H13327">IFERROR(INDEX(INVESTOR_LIST[INVESTOR NAME],MATCH(I13327,INVESTOR_LIST[INVESTOR CODE],0),)," ")</f>
        <v>KHAN MUHAMMAD KAWSER AHMED</v>
      </c>
      <c r="I13327" s="148" t="s">
        <v>1594</v>
      </c>
      <c r="J13327" s="133" t="s">
        <v>53</v>
      </c>
      <c r="K13327" s="218">
        <v>629400</v>
      </c>
      <c r="L13327" s="218"/>
    </row>
    <row r="13328" spans="1:13" ht="11.25" customHeight="1" x14ac:dyDescent="0.2">
      <c r="A13328" s="163">
        <v>2025</v>
      </c>
      <c r="B13328" s="163">
        <v>4</v>
      </c>
      <c r="C13328" s="163">
        <v>21</v>
      </c>
      <c r="D13328" s="280">
        <f t="shared" si="1992"/>
        <v>45768</v>
      </c>
      <c r="E13328" s="281">
        <f t="shared" si="1993"/>
        <v>45768</v>
      </c>
      <c r="F13328" s="480"/>
      <c r="G13328" s="221" t="s">
        <v>74</v>
      </c>
      <c r="H13328" s="145" t="str" cm="1">
        <f t="array" ref="H13328">IFERROR(INDEX(INVESTOR_LIST[INVESTOR NAME],MATCH(I13328,INVESTOR_LIST[INVESTOR CODE],0),)," ")</f>
        <v>KHAN MUHAMMAD KAWSER AHMED</v>
      </c>
      <c r="I13328" s="145" t="s">
        <v>1594</v>
      </c>
      <c r="J13328" s="163" t="s">
        <v>52</v>
      </c>
      <c r="K13328" s="219"/>
      <c r="L13328" s="219">
        <v>3000000</v>
      </c>
    </row>
    <row r="13329" spans="1:13" x14ac:dyDescent="0.2">
      <c r="A13329" s="168">
        <v>2025</v>
      </c>
      <c r="B13329" s="133">
        <v>4</v>
      </c>
      <c r="C13329" s="168">
        <v>21</v>
      </c>
      <c r="D13329" s="147">
        <f>DATE(A13329,B13329,C13329)</f>
        <v>45768</v>
      </c>
      <c r="E13329" s="311">
        <f>DATE(A13329,B13329,C13329)</f>
        <v>45768</v>
      </c>
      <c r="F13329" s="481" t="s">
        <v>1950</v>
      </c>
      <c r="G13329" s="174" t="s">
        <v>74</v>
      </c>
      <c r="H13329" s="148" t="str" cm="1">
        <f t="array" ref="H13329">IFERROR(INDEX([4]!INVESTOR_LIST[INVESTOR NAME],MATCH(I13329,[4]!INVESTOR_LIST[INVESTOR CODE],0),)," ")</f>
        <v xml:space="preserve"> </v>
      </c>
      <c r="I13329" s="148" t="s">
        <v>348</v>
      </c>
      <c r="J13329" s="133" t="s">
        <v>61</v>
      </c>
      <c r="K13329" s="172">
        <v>100</v>
      </c>
    </row>
    <row r="13330" spans="1:13" x14ac:dyDescent="0.2">
      <c r="A13330" s="163">
        <v>2025</v>
      </c>
      <c r="B13330" s="163">
        <v>4</v>
      </c>
      <c r="C13330" s="163">
        <v>21</v>
      </c>
      <c r="D13330" s="280">
        <f>DATE(A13330,B13330,C13330)</f>
        <v>45768</v>
      </c>
      <c r="E13330" s="281">
        <f>DATE(A13330,B13330,C13330)</f>
        <v>45768</v>
      </c>
      <c r="F13330" s="480"/>
      <c r="G13330" s="221" t="s">
        <v>74</v>
      </c>
      <c r="H13330" s="145" t="str" cm="1">
        <f t="array" ref="H13330">IFERROR(INDEX([4]!INVESTOR_LIST[INVESTOR NAME],MATCH(I13330,[4]!INVESTOR_LIST[INVESTOR CODE],0),)," ")</f>
        <v xml:space="preserve"> </v>
      </c>
      <c r="I13330" s="145" t="s">
        <v>348</v>
      </c>
      <c r="J13330" s="163" t="s">
        <v>52</v>
      </c>
      <c r="K13330" s="219"/>
      <c r="L13330" s="219">
        <v>100</v>
      </c>
    </row>
    <row r="13331" spans="1:13" x14ac:dyDescent="0.2">
      <c r="A13331" s="133">
        <v>2025</v>
      </c>
      <c r="B13331" s="133">
        <v>4</v>
      </c>
      <c r="C13331" s="133">
        <v>22</v>
      </c>
      <c r="D13331" s="141">
        <f t="shared" ref="D13331:D13391" si="1994">DATE(A13331,B13331,C13331)</f>
        <v>45769</v>
      </c>
      <c r="E13331" s="275">
        <f t="shared" ref="E13331:E13391" si="1995">DATE(A13331,B13331,C13331)</f>
        <v>45769</v>
      </c>
      <c r="F13331" s="481" t="s">
        <v>1968</v>
      </c>
      <c r="G13331" s="174" t="s">
        <v>94</v>
      </c>
      <c r="H13331" s="174" t="str" cm="1">
        <f t="array" ref="H13331">IFERROR(INDEX(INVESTOR_LIST[INVESTOR NAME],MATCH(I13331,INVESTOR_LIST[INVESTOR CODE],0),)," ")</f>
        <v xml:space="preserve"> </v>
      </c>
      <c r="J13331" s="149" t="s">
        <v>79</v>
      </c>
      <c r="K13331" s="218">
        <v>214150</v>
      </c>
      <c r="L13331" s="218"/>
      <c r="M13331" s="160"/>
    </row>
    <row r="13332" spans="1:13" x14ac:dyDescent="0.2">
      <c r="A13332" s="133">
        <v>2025</v>
      </c>
      <c r="B13332" s="133">
        <v>4</v>
      </c>
      <c r="C13332" s="133">
        <v>22</v>
      </c>
      <c r="D13332" s="141">
        <f t="shared" si="1994"/>
        <v>45769</v>
      </c>
      <c r="E13332" s="275">
        <f t="shared" si="1995"/>
        <v>45769</v>
      </c>
      <c r="F13332" s="481"/>
      <c r="G13332" s="174" t="s">
        <v>94</v>
      </c>
      <c r="H13332" s="174" t="str" cm="1">
        <f t="array" ref="H13332">IFERROR(INDEX(INVESTOR_LIST[INVESTOR NAME],MATCH(I13332,INVESTOR_LIST[INVESTOR CODE],0),)," ")</f>
        <v xml:space="preserve"> </v>
      </c>
      <c r="J13332" s="149" t="s">
        <v>80</v>
      </c>
      <c r="K13332" s="218">
        <v>1486.17</v>
      </c>
      <c r="L13332" s="133"/>
    </row>
    <row r="13333" spans="1:13" x14ac:dyDescent="0.2">
      <c r="A13333" s="133">
        <v>2025</v>
      </c>
      <c r="B13333" s="133">
        <v>4</v>
      </c>
      <c r="C13333" s="133">
        <v>22</v>
      </c>
      <c r="D13333" s="141">
        <f t="shared" si="1994"/>
        <v>45769</v>
      </c>
      <c r="E13333" s="275">
        <f t="shared" si="1995"/>
        <v>45769</v>
      </c>
      <c r="F13333" s="481"/>
      <c r="G13333" s="174" t="s">
        <v>94</v>
      </c>
      <c r="H13333" s="174" t="str" cm="1">
        <f t="array" ref="H13333">IFERROR(INDEX(INVESTOR_LIST[INVESTOR NAME],MATCH(I13333,INVESTOR_LIST[INVESTOR CODE],0),)," ")</f>
        <v xml:space="preserve"> </v>
      </c>
      <c r="J13333" s="149" t="s">
        <v>190</v>
      </c>
      <c r="K13333" s="218">
        <v>395865.83</v>
      </c>
      <c r="L13333" s="218"/>
    </row>
    <row r="13334" spans="1:13" x14ac:dyDescent="0.2">
      <c r="A13334" s="133">
        <v>2025</v>
      </c>
      <c r="B13334" s="133">
        <v>4</v>
      </c>
      <c r="C13334" s="133">
        <v>22</v>
      </c>
      <c r="D13334" s="141">
        <f t="shared" si="1994"/>
        <v>45769</v>
      </c>
      <c r="E13334" s="275">
        <f t="shared" si="1995"/>
        <v>45769</v>
      </c>
      <c r="F13334" s="481"/>
      <c r="G13334" s="174" t="s">
        <v>94</v>
      </c>
      <c r="H13334" s="174" t="str" cm="1">
        <f t="array" ref="H13334">IFERROR(INDEX(INVESTOR_LIST[INVESTOR NAME],MATCH(I13334,INVESTOR_LIST[INVESTOR CODE],0),)," ")</f>
        <v xml:space="preserve"> </v>
      </c>
      <c r="J13334" s="149" t="s">
        <v>191</v>
      </c>
      <c r="K13334" s="218">
        <v>65240.53</v>
      </c>
      <c r="L13334" s="218"/>
    </row>
    <row r="13335" spans="1:13" x14ac:dyDescent="0.2">
      <c r="A13335" s="163">
        <v>2025</v>
      </c>
      <c r="B13335" s="163">
        <v>4</v>
      </c>
      <c r="C13335" s="163">
        <v>22</v>
      </c>
      <c r="D13335" s="280">
        <f t="shared" si="1994"/>
        <v>45769</v>
      </c>
      <c r="E13335" s="281">
        <f t="shared" si="1995"/>
        <v>45769</v>
      </c>
      <c r="F13335" s="480"/>
      <c r="G13335" s="221" t="s">
        <v>94</v>
      </c>
      <c r="H13335" s="145" t="str" cm="1">
        <f t="array" ref="H13335">IFERROR(INDEX(INVESTOR_LIST[INVESTOR NAME],MATCH(I13335,INVESTOR_LIST[INVESTOR CODE],0),)," ")</f>
        <v xml:space="preserve"> </v>
      </c>
      <c r="I13335" s="145"/>
      <c r="J13335" s="163" t="s">
        <v>79</v>
      </c>
      <c r="K13335" s="219"/>
      <c r="L13335" s="219">
        <v>676742.53</v>
      </c>
    </row>
    <row r="13336" spans="1:13" x14ac:dyDescent="0.2">
      <c r="A13336" s="168">
        <v>2025</v>
      </c>
      <c r="B13336" s="168">
        <v>4</v>
      </c>
      <c r="C13336" s="133">
        <v>22</v>
      </c>
      <c r="D13336" s="141">
        <f t="shared" si="1994"/>
        <v>45769</v>
      </c>
      <c r="E13336" s="275">
        <f t="shared" si="1995"/>
        <v>45769</v>
      </c>
      <c r="F13336" s="479" t="s">
        <v>275</v>
      </c>
      <c r="G13336" s="174" t="s">
        <v>74</v>
      </c>
      <c r="H13336" s="174" t="str" cm="1">
        <f t="array" ref="H13336">IFERROR(INDEX(INVESTOR_LIST[INVESTOR NAME],MATCH(I13336,INVESTOR_LIST[INVESTOR CODE],0),)," ")</f>
        <v xml:space="preserve"> </v>
      </c>
      <c r="I13336" s="148" t="s">
        <v>348</v>
      </c>
      <c r="J13336" s="149" t="s">
        <v>163</v>
      </c>
      <c r="K13336" s="218">
        <v>1575</v>
      </c>
      <c r="L13336" s="218"/>
    </row>
    <row r="13337" spans="1:13" x14ac:dyDescent="0.2">
      <c r="A13337" s="133">
        <v>2025</v>
      </c>
      <c r="B13337" s="133">
        <v>4</v>
      </c>
      <c r="C13337" s="133">
        <v>22</v>
      </c>
      <c r="D13337" s="141">
        <f t="shared" si="1994"/>
        <v>45769</v>
      </c>
      <c r="E13337" s="275">
        <f t="shared" si="1995"/>
        <v>45769</v>
      </c>
      <c r="F13337" s="481"/>
      <c r="G13337" s="174" t="s">
        <v>74</v>
      </c>
      <c r="H13337" s="174" t="str" cm="1">
        <f t="array" ref="H13337">IFERROR(INDEX(INVESTOR_LIST[INVESTOR NAME],MATCH(I13337,INVESTOR_LIST[INVESTOR CODE],0),)," ")</f>
        <v xml:space="preserve"> </v>
      </c>
      <c r="J13337" s="149" t="s">
        <v>1907</v>
      </c>
      <c r="K13337" s="218"/>
      <c r="L13337" s="218">
        <v>150</v>
      </c>
    </row>
    <row r="13338" spans="1:13" x14ac:dyDescent="0.2">
      <c r="A13338" s="163">
        <v>2025</v>
      </c>
      <c r="B13338" s="163">
        <v>4</v>
      </c>
      <c r="C13338" s="163">
        <v>22</v>
      </c>
      <c r="D13338" s="280">
        <f t="shared" si="1994"/>
        <v>45769</v>
      </c>
      <c r="E13338" s="281">
        <f t="shared" si="1995"/>
        <v>45769</v>
      </c>
      <c r="F13338" s="480"/>
      <c r="G13338" s="221" t="s">
        <v>74</v>
      </c>
      <c r="H13338" s="221" t="str" cm="1">
        <f t="array" ref="H13338">IFERROR(INDEX(INVESTOR_LIST[INVESTOR NAME],MATCH(I13338,INVESTOR_LIST[INVESTOR CODE],0),)," ")</f>
        <v xml:space="preserve"> </v>
      </c>
      <c r="I13338" s="145"/>
      <c r="J13338" s="146" t="s">
        <v>52</v>
      </c>
      <c r="K13338" s="219"/>
      <c r="L13338" s="219">
        <v>1425</v>
      </c>
    </row>
    <row r="13339" spans="1:13" x14ac:dyDescent="0.2">
      <c r="A13339" s="168">
        <v>2025</v>
      </c>
      <c r="B13339" s="168">
        <v>4</v>
      </c>
      <c r="C13339" s="133">
        <v>22</v>
      </c>
      <c r="D13339" s="141">
        <f t="shared" si="1994"/>
        <v>45769</v>
      </c>
      <c r="E13339" s="275">
        <f t="shared" si="1995"/>
        <v>45769</v>
      </c>
      <c r="F13339" s="481" t="s">
        <v>2006</v>
      </c>
      <c r="G13339" s="174" t="s">
        <v>74</v>
      </c>
      <c r="H13339" s="174" t="str" cm="1">
        <f t="array" ref="H13339">IFERROR(INDEX(INVESTOR_LIST[INVESTOR NAME],MATCH(I13339,INVESTOR_LIST[INVESTOR CODE],0),)," ")</f>
        <v xml:space="preserve"> </v>
      </c>
      <c r="J13339" s="149" t="s">
        <v>534</v>
      </c>
      <c r="K13339" s="218">
        <v>692579.52</v>
      </c>
      <c r="L13339" s="218"/>
    </row>
    <row r="13340" spans="1:13" x14ac:dyDescent="0.2">
      <c r="A13340" s="133">
        <v>2025</v>
      </c>
      <c r="B13340" s="133">
        <v>4</v>
      </c>
      <c r="C13340" s="133">
        <v>22</v>
      </c>
      <c r="D13340" s="141">
        <f t="shared" si="1994"/>
        <v>45769</v>
      </c>
      <c r="E13340" s="275">
        <f t="shared" si="1995"/>
        <v>45769</v>
      </c>
      <c r="F13340" s="481"/>
      <c r="G13340" s="174" t="s">
        <v>74</v>
      </c>
      <c r="H13340" s="174" t="str" cm="1">
        <f t="array" ref="H13340">IFERROR(INDEX(INVESTOR_LIST[INVESTOR NAME],MATCH(I13340,INVESTOR_LIST[INVESTOR CODE],0),)," ")</f>
        <v xml:space="preserve"> </v>
      </c>
      <c r="J13340" s="149" t="s">
        <v>1906</v>
      </c>
      <c r="K13340" s="218">
        <v>350</v>
      </c>
      <c r="L13340" s="218"/>
    </row>
    <row r="13341" spans="1:13" x14ac:dyDescent="0.2">
      <c r="A13341" s="133">
        <v>2025</v>
      </c>
      <c r="B13341" s="133">
        <v>4</v>
      </c>
      <c r="C13341" s="133">
        <v>22</v>
      </c>
      <c r="D13341" s="141">
        <f t="shared" ref="D13341" si="1996">DATE(A13341,B13341,C13341)</f>
        <v>45769</v>
      </c>
      <c r="E13341" s="275">
        <f t="shared" ref="E13341" si="1997">DATE(A13341,B13341,C13341)</f>
        <v>45769</v>
      </c>
      <c r="F13341" s="481"/>
      <c r="G13341" s="174" t="s">
        <v>74</v>
      </c>
      <c r="H13341" s="174" t="str" cm="1">
        <f t="array" ref="H13341">IFERROR(INDEX(INVESTOR_LIST[INVESTOR NAME],MATCH(I13341,INVESTOR_LIST[INVESTOR CODE],0),)," ")</f>
        <v xml:space="preserve"> </v>
      </c>
      <c r="J13341" s="149" t="s">
        <v>1907</v>
      </c>
      <c r="K13341" s="218">
        <v>50</v>
      </c>
      <c r="L13341" s="218"/>
    </row>
    <row r="13342" spans="1:13" x14ac:dyDescent="0.2">
      <c r="A13342" s="163">
        <v>2025</v>
      </c>
      <c r="B13342" s="163">
        <v>4</v>
      </c>
      <c r="C13342" s="163">
        <v>22</v>
      </c>
      <c r="D13342" s="280">
        <f t="shared" si="1994"/>
        <v>45769</v>
      </c>
      <c r="E13342" s="281">
        <f t="shared" si="1995"/>
        <v>45769</v>
      </c>
      <c r="F13342" s="480"/>
      <c r="G13342" s="221" t="s">
        <v>74</v>
      </c>
      <c r="H13342" s="221" t="str" cm="1">
        <f t="array" ref="H13342">IFERROR(INDEX(INVESTOR_LIST[INVESTOR NAME],MATCH(I13342,INVESTOR_LIST[INVESTOR CODE],0),)," ")</f>
        <v xml:space="preserve"> </v>
      </c>
      <c r="I13342" s="145"/>
      <c r="J13342" s="146" t="s">
        <v>52</v>
      </c>
      <c r="K13342" s="219"/>
      <c r="L13342" s="219">
        <v>692979.52</v>
      </c>
    </row>
    <row r="13343" spans="1:13" ht="11.25" customHeight="1" x14ac:dyDescent="0.2">
      <c r="A13343" s="168">
        <v>2025</v>
      </c>
      <c r="B13343" s="133">
        <v>4</v>
      </c>
      <c r="C13343" s="168">
        <v>23</v>
      </c>
      <c r="D13343" s="141">
        <f t="shared" si="1994"/>
        <v>45770</v>
      </c>
      <c r="E13343" s="275">
        <f t="shared" si="1995"/>
        <v>45770</v>
      </c>
      <c r="F13343" s="479" t="s">
        <v>2031</v>
      </c>
      <c r="G13343" s="220" t="s">
        <v>74</v>
      </c>
      <c r="H13343" s="220" t="str" cm="1">
        <f t="array" ref="H13343">IFERROR(INDEX(INVESTOR_LIST[INVESTOR NAME],MATCH(I13343,INVESTOR_LIST[INVESTOR CODE],0),)," ")</f>
        <v xml:space="preserve"> </v>
      </c>
      <c r="I13343" s="142"/>
      <c r="J13343" s="143" t="s">
        <v>52</v>
      </c>
      <c r="K13343" s="226">
        <v>4562717</v>
      </c>
      <c r="L13343" s="226"/>
    </row>
    <row r="13344" spans="1:13" x14ac:dyDescent="0.2">
      <c r="A13344" s="163">
        <v>2025</v>
      </c>
      <c r="B13344" s="163">
        <v>4</v>
      </c>
      <c r="C13344" s="163">
        <v>23</v>
      </c>
      <c r="D13344" s="280">
        <f t="shared" si="1994"/>
        <v>45770</v>
      </c>
      <c r="E13344" s="281">
        <f t="shared" si="1995"/>
        <v>45770</v>
      </c>
      <c r="F13344" s="480"/>
      <c r="G13344" s="221" t="s">
        <v>74</v>
      </c>
      <c r="H13344" s="221" t="str" cm="1">
        <f t="array" ref="H13344">IFERROR(INDEX(INVESTOR_LIST[INVESTOR NAME],MATCH(I13344,INVESTOR_LIST[INVESTOR CODE],0),)," ")</f>
        <v xml:space="preserve"> </v>
      </c>
      <c r="I13344" s="145"/>
      <c r="J13344" s="146" t="s">
        <v>190</v>
      </c>
      <c r="K13344" s="219"/>
      <c r="L13344" s="219">
        <v>4562717</v>
      </c>
    </row>
    <row r="13345" spans="1:13" x14ac:dyDescent="0.2">
      <c r="A13345" s="168">
        <v>2025</v>
      </c>
      <c r="B13345" s="133">
        <v>4</v>
      </c>
      <c r="C13345" s="168">
        <v>24</v>
      </c>
      <c r="D13345" s="141">
        <f t="shared" si="1994"/>
        <v>45771</v>
      </c>
      <c r="E13345" s="275">
        <f t="shared" si="1995"/>
        <v>45771</v>
      </c>
      <c r="F13345" s="481" t="s">
        <v>2052</v>
      </c>
      <c r="G13345" s="174" t="s">
        <v>94</v>
      </c>
      <c r="H13345" s="174" t="str" cm="1">
        <f t="array" ref="H13345">IFERROR(INDEX(INVESTOR_LIST[INVESTOR NAME],MATCH(I13345,INVESTOR_LIST[INVESTOR CODE],0),)," ")</f>
        <v xml:space="preserve"> </v>
      </c>
      <c r="I13345" s="148" t="s">
        <v>348</v>
      </c>
      <c r="J13345" s="149" t="s">
        <v>52</v>
      </c>
      <c r="K13345" s="218">
        <v>34000</v>
      </c>
      <c r="L13345" s="218"/>
    </row>
    <row r="13346" spans="1:13" x14ac:dyDescent="0.2">
      <c r="A13346" s="163">
        <v>2025</v>
      </c>
      <c r="B13346" s="163">
        <v>4</v>
      </c>
      <c r="C13346" s="163">
        <v>24</v>
      </c>
      <c r="D13346" s="141">
        <f t="shared" si="1994"/>
        <v>45771</v>
      </c>
      <c r="E13346" s="275">
        <f t="shared" si="1995"/>
        <v>45771</v>
      </c>
      <c r="F13346" s="480"/>
      <c r="G13346" s="221" t="s">
        <v>94</v>
      </c>
      <c r="H13346" s="221" t="str" cm="1">
        <f t="array" ref="H13346">IFERROR(INDEX(INVESTOR_LIST[INVESTOR NAME],MATCH(I13346,INVESTOR_LIST[INVESTOR CODE],0),)," ")</f>
        <v xml:space="preserve"> </v>
      </c>
      <c r="I13346" s="145" t="s">
        <v>348</v>
      </c>
      <c r="J13346" s="146" t="s">
        <v>168</v>
      </c>
      <c r="K13346" s="219"/>
      <c r="L13346" s="219">
        <v>34000</v>
      </c>
    </row>
    <row r="13347" spans="1:13" x14ac:dyDescent="0.2">
      <c r="A13347" s="133">
        <v>2025</v>
      </c>
      <c r="B13347" s="133">
        <v>4</v>
      </c>
      <c r="C13347" s="133">
        <v>24</v>
      </c>
      <c r="D13347" s="141">
        <f t="shared" si="1994"/>
        <v>45771</v>
      </c>
      <c r="E13347" s="275">
        <f t="shared" si="1995"/>
        <v>45771</v>
      </c>
      <c r="F13347" s="481" t="s">
        <v>1995</v>
      </c>
      <c r="G13347" s="174" t="s">
        <v>94</v>
      </c>
      <c r="H13347" s="174" t="str" cm="1">
        <f t="array" ref="H13347">IFERROR(INDEX(INVESTOR_LIST[INVESTOR NAME],MATCH(I13347,INVESTOR_LIST[INVESTOR CODE],0),)," ")</f>
        <v xml:space="preserve"> </v>
      </c>
      <c r="J13347" s="149" t="s">
        <v>190</v>
      </c>
      <c r="K13347" s="218">
        <v>1068074</v>
      </c>
      <c r="L13347" s="133"/>
    </row>
    <row r="13348" spans="1:13" x14ac:dyDescent="0.2">
      <c r="A13348" s="133">
        <v>2025</v>
      </c>
      <c r="B13348" s="133">
        <v>4</v>
      </c>
      <c r="C13348" s="133">
        <v>24</v>
      </c>
      <c r="D13348" s="141">
        <f t="shared" si="1994"/>
        <v>45771</v>
      </c>
      <c r="E13348" s="275">
        <f t="shared" si="1995"/>
        <v>45771</v>
      </c>
      <c r="F13348" s="481"/>
      <c r="G13348" s="174" t="s">
        <v>94</v>
      </c>
      <c r="H13348" s="174" t="str" cm="1">
        <f t="array" ref="H13348">IFERROR(INDEX(INVESTOR_LIST[INVESTOR NAME],MATCH(I13348,INVESTOR_LIST[INVESTOR CODE],0),)," ")</f>
        <v xml:space="preserve"> </v>
      </c>
      <c r="J13348" s="149" t="s">
        <v>80</v>
      </c>
      <c r="K13348" s="218">
        <v>1926</v>
      </c>
      <c r="L13348" s="218"/>
      <c r="M13348" s="176"/>
    </row>
    <row r="13349" spans="1:13" x14ac:dyDescent="0.2">
      <c r="A13349" s="133">
        <v>2025</v>
      </c>
      <c r="B13349" s="133">
        <v>4</v>
      </c>
      <c r="C13349" s="133">
        <v>24</v>
      </c>
      <c r="D13349" s="141">
        <f t="shared" si="1994"/>
        <v>45771</v>
      </c>
      <c r="E13349" s="275">
        <f t="shared" si="1995"/>
        <v>45771</v>
      </c>
      <c r="F13349" s="481"/>
      <c r="G13349" s="174" t="s">
        <v>94</v>
      </c>
      <c r="H13349" s="174" t="str" cm="1">
        <f t="array" ref="H13349">IFERROR(INDEX(INVESTOR_LIST[INVESTOR NAME],MATCH(I13349,INVESTOR_LIST[INVESTOR CODE],0),)," ")</f>
        <v xml:space="preserve"> </v>
      </c>
      <c r="J13349" s="149" t="s">
        <v>191</v>
      </c>
      <c r="K13349" s="218">
        <v>61407.46</v>
      </c>
      <c r="L13349" s="218"/>
    </row>
    <row r="13350" spans="1:13" x14ac:dyDescent="0.2">
      <c r="A13350" s="163">
        <v>2025</v>
      </c>
      <c r="B13350" s="163">
        <v>4</v>
      </c>
      <c r="C13350" s="163">
        <v>24</v>
      </c>
      <c r="D13350" s="280">
        <f t="shared" si="1994"/>
        <v>45771</v>
      </c>
      <c r="E13350" s="281">
        <f t="shared" si="1995"/>
        <v>45771</v>
      </c>
      <c r="F13350" s="480"/>
      <c r="G13350" s="221" t="s">
        <v>94</v>
      </c>
      <c r="H13350" s="145" t="str" cm="1">
        <f t="array" ref="H13350">IFERROR(INDEX(INVESTOR_LIST[INVESTOR NAME],MATCH(I13350,INVESTOR_LIST[INVESTOR CODE],0),)," ")</f>
        <v xml:space="preserve"> </v>
      </c>
      <c r="I13350" s="145"/>
      <c r="J13350" s="163" t="s">
        <v>79</v>
      </c>
      <c r="K13350" s="219"/>
      <c r="L13350" s="219">
        <v>1131407.46</v>
      </c>
    </row>
    <row r="13351" spans="1:13" x14ac:dyDescent="0.2">
      <c r="A13351" s="133">
        <v>2025</v>
      </c>
      <c r="B13351" s="133">
        <v>4</v>
      </c>
      <c r="C13351" s="133">
        <v>24</v>
      </c>
      <c r="D13351" s="141">
        <f t="shared" ref="D13351:D13356" si="1998">DATE(A13351,B13351,C13351)</f>
        <v>45771</v>
      </c>
      <c r="E13351" s="275">
        <f t="shared" ref="E13351:E13356" si="1999">DATE(A13351,B13351,C13351)</f>
        <v>45771</v>
      </c>
      <c r="F13351" s="481" t="s">
        <v>1977</v>
      </c>
      <c r="G13351" s="174" t="s">
        <v>94</v>
      </c>
      <c r="H13351" s="174" t="str" cm="1">
        <f t="array" ref="H13351">IFERROR(INDEX(INVESTOR_LIST[INVESTOR NAME],MATCH(I13351,INVESTOR_LIST[INVESTOR CODE],0),)," ")</f>
        <v xml:space="preserve"> </v>
      </c>
      <c r="J13351" s="149" t="s">
        <v>190</v>
      </c>
      <c r="K13351" s="218">
        <v>2661899</v>
      </c>
      <c r="L13351" s="133"/>
    </row>
    <row r="13352" spans="1:13" x14ac:dyDescent="0.2">
      <c r="A13352" s="133">
        <v>2025</v>
      </c>
      <c r="B13352" s="133">
        <v>4</v>
      </c>
      <c r="C13352" s="133">
        <v>24</v>
      </c>
      <c r="D13352" s="141">
        <f t="shared" si="1998"/>
        <v>45771</v>
      </c>
      <c r="E13352" s="275">
        <f t="shared" si="1999"/>
        <v>45771</v>
      </c>
      <c r="F13352" s="481"/>
      <c r="G13352" s="174" t="s">
        <v>94</v>
      </c>
      <c r="H13352" s="174" t="str" cm="1">
        <f t="array" ref="H13352">IFERROR(INDEX(INVESTOR_LIST[INVESTOR NAME],MATCH(I13352,INVESTOR_LIST[INVESTOR CODE],0),)," ")</f>
        <v xml:space="preserve"> </v>
      </c>
      <c r="J13352" s="149" t="s">
        <v>80</v>
      </c>
      <c r="K13352" s="218">
        <v>4801</v>
      </c>
      <c r="L13352" s="218"/>
      <c r="M13352" s="176"/>
    </row>
    <row r="13353" spans="1:13" x14ac:dyDescent="0.2">
      <c r="A13353" s="133">
        <v>2025</v>
      </c>
      <c r="B13353" s="133">
        <v>4</v>
      </c>
      <c r="C13353" s="133">
        <v>24</v>
      </c>
      <c r="D13353" s="141">
        <f t="shared" si="1998"/>
        <v>45771</v>
      </c>
      <c r="E13353" s="275">
        <f t="shared" si="1999"/>
        <v>45771</v>
      </c>
      <c r="F13353" s="481"/>
      <c r="G13353" s="174" t="s">
        <v>94</v>
      </c>
      <c r="H13353" s="174" t="str" cm="1">
        <f t="array" ref="H13353">IFERROR(INDEX(INVESTOR_LIST[INVESTOR NAME],MATCH(I13353,INVESTOR_LIST[INVESTOR CODE],0),)," ")</f>
        <v xml:space="preserve"> </v>
      </c>
      <c r="J13353" s="149" t="s">
        <v>191</v>
      </c>
      <c r="K13353" s="218">
        <v>49193.9</v>
      </c>
      <c r="L13353" s="218"/>
    </row>
    <row r="13354" spans="1:13" x14ac:dyDescent="0.2">
      <c r="A13354" s="163">
        <v>2025</v>
      </c>
      <c r="B13354" s="163">
        <v>4</v>
      </c>
      <c r="C13354" s="163">
        <v>24</v>
      </c>
      <c r="D13354" s="280">
        <f t="shared" si="1998"/>
        <v>45771</v>
      </c>
      <c r="E13354" s="281">
        <f t="shared" si="1999"/>
        <v>45771</v>
      </c>
      <c r="F13354" s="480"/>
      <c r="G13354" s="221" t="s">
        <v>94</v>
      </c>
      <c r="H13354" s="145" t="str" cm="1">
        <f t="array" ref="H13354">IFERROR(INDEX(INVESTOR_LIST[INVESTOR NAME],MATCH(I13354,INVESTOR_LIST[INVESTOR CODE],0),)," ")</f>
        <v xml:space="preserve"> </v>
      </c>
      <c r="I13354" s="145"/>
      <c r="J13354" s="163" t="s">
        <v>79</v>
      </c>
      <c r="K13354" s="219"/>
      <c r="L13354" s="219">
        <v>2715893.9</v>
      </c>
    </row>
    <row r="13355" spans="1:13" x14ac:dyDescent="0.2">
      <c r="A13355" s="168">
        <v>2025</v>
      </c>
      <c r="B13355" s="133">
        <v>4</v>
      </c>
      <c r="C13355" s="168">
        <v>24</v>
      </c>
      <c r="D13355" s="141">
        <f t="shared" si="1998"/>
        <v>45771</v>
      </c>
      <c r="E13355" s="275">
        <f t="shared" si="1999"/>
        <v>45771</v>
      </c>
      <c r="F13355" s="481" t="s">
        <v>2053</v>
      </c>
      <c r="G13355" s="174" t="s">
        <v>94</v>
      </c>
      <c r="H13355" s="174" t="str" cm="1">
        <f t="array" ref="H13355">IFERROR(INDEX(INVESTOR_LIST[INVESTOR NAME],MATCH(I13355,INVESTOR_LIST[INVESTOR CODE],0),)," ")</f>
        <v xml:space="preserve"> </v>
      </c>
      <c r="I13355" s="148" t="s">
        <v>348</v>
      </c>
      <c r="J13355" s="149" t="s">
        <v>168</v>
      </c>
      <c r="K13355" s="218">
        <v>334343.03999999998</v>
      </c>
      <c r="L13355" s="218"/>
    </row>
    <row r="13356" spans="1:13" x14ac:dyDescent="0.2">
      <c r="A13356" s="163">
        <v>2025</v>
      </c>
      <c r="B13356" s="163">
        <v>4</v>
      </c>
      <c r="C13356" s="163">
        <v>24</v>
      </c>
      <c r="D13356" s="141">
        <f t="shared" si="1998"/>
        <v>45771</v>
      </c>
      <c r="E13356" s="275">
        <f t="shared" si="1999"/>
        <v>45771</v>
      </c>
      <c r="F13356" s="480"/>
      <c r="G13356" s="221" t="s">
        <v>94</v>
      </c>
      <c r="H13356" s="221" t="str" cm="1">
        <f t="array" ref="H13356">IFERROR(INDEX(INVESTOR_LIST[INVESTOR NAME],MATCH(I13356,INVESTOR_LIST[INVESTOR CODE],0),)," ")</f>
        <v xml:space="preserve"> </v>
      </c>
      <c r="I13356" s="145" t="s">
        <v>348</v>
      </c>
      <c r="J13356" s="146" t="s">
        <v>166</v>
      </c>
      <c r="K13356" s="219"/>
      <c r="L13356" s="219">
        <v>334343.03999999998</v>
      </c>
    </row>
    <row r="13357" spans="1:13" x14ac:dyDescent="0.2">
      <c r="A13357" s="168">
        <v>2025</v>
      </c>
      <c r="B13357" s="133">
        <v>4</v>
      </c>
      <c r="C13357" s="168">
        <v>24</v>
      </c>
      <c r="D13357" s="141">
        <f>DATE(A13357,B13357,C13357)</f>
        <v>45771</v>
      </c>
      <c r="E13357" s="275">
        <f>DATE(A13357,B13357,C13357)</f>
        <v>45771</v>
      </c>
      <c r="F13357" s="481" t="s">
        <v>2054</v>
      </c>
      <c r="G13357" s="174" t="s">
        <v>94</v>
      </c>
      <c r="H13357" s="174" t="str" cm="1">
        <f t="array" ref="H13357">IFERROR(INDEX(INVESTOR_LIST[INVESTOR NAME],MATCH(I13357,INVESTOR_LIST[INVESTOR CODE],0),)," ")</f>
        <v xml:space="preserve"> </v>
      </c>
      <c r="I13357" s="148" t="s">
        <v>348</v>
      </c>
      <c r="J13357" s="149" t="s">
        <v>168</v>
      </c>
      <c r="K13357" s="218">
        <v>671992.55</v>
      </c>
      <c r="L13357" s="218"/>
    </row>
    <row r="13358" spans="1:13" x14ac:dyDescent="0.2">
      <c r="A13358" s="163">
        <v>2025</v>
      </c>
      <c r="B13358" s="163">
        <v>4</v>
      </c>
      <c r="C13358" s="163">
        <v>24</v>
      </c>
      <c r="D13358" s="141">
        <f>DATE(A13358,B13358,C13358)</f>
        <v>45771</v>
      </c>
      <c r="E13358" s="275">
        <f>DATE(A13358,B13358,C13358)</f>
        <v>45771</v>
      </c>
      <c r="F13358" s="480"/>
      <c r="G13358" s="221" t="s">
        <v>94</v>
      </c>
      <c r="H13358" s="221" t="str" cm="1">
        <f t="array" ref="H13358">IFERROR(INDEX(INVESTOR_LIST[INVESTOR NAME],MATCH(I13358,INVESTOR_LIST[INVESTOR CODE],0),)," ")</f>
        <v xml:space="preserve"> </v>
      </c>
      <c r="I13358" s="145" t="s">
        <v>348</v>
      </c>
      <c r="J13358" s="146" t="s">
        <v>166</v>
      </c>
      <c r="K13358" s="219"/>
      <c r="L13358" s="219">
        <v>671992.55</v>
      </c>
    </row>
    <row r="13359" spans="1:13" x14ac:dyDescent="0.2">
      <c r="A13359" s="168">
        <v>2025</v>
      </c>
      <c r="B13359" s="168">
        <v>4</v>
      </c>
      <c r="C13359" s="133">
        <v>24</v>
      </c>
      <c r="D13359" s="141">
        <f t="shared" ref="D13359:D13361" si="2000">DATE(A13359,B13359,C13359)</f>
        <v>45771</v>
      </c>
      <c r="E13359" s="275">
        <f t="shared" ref="E13359:E13361" si="2001">DATE(A13359,B13359,C13359)</f>
        <v>45771</v>
      </c>
      <c r="F13359" s="481" t="s">
        <v>2006</v>
      </c>
      <c r="G13359" s="174" t="s">
        <v>74</v>
      </c>
      <c r="H13359" s="174" t="str" cm="1">
        <f t="array" ref="H13359">IFERROR(INDEX(INVESTOR_LIST[INVESTOR NAME],MATCH(I13359,INVESTOR_LIST[INVESTOR CODE],0),)," ")</f>
        <v xml:space="preserve"> </v>
      </c>
      <c r="J13359" s="149" t="s">
        <v>534</v>
      </c>
      <c r="K13359" s="218">
        <v>6894.9</v>
      </c>
      <c r="L13359" s="218"/>
    </row>
    <row r="13360" spans="1:13" x14ac:dyDescent="0.2">
      <c r="A13360" s="133">
        <v>2025</v>
      </c>
      <c r="B13360" s="133">
        <v>4</v>
      </c>
      <c r="C13360" s="133">
        <v>24</v>
      </c>
      <c r="D13360" s="141">
        <v>45771</v>
      </c>
      <c r="E13360" s="275">
        <v>45771</v>
      </c>
      <c r="F13360" s="481"/>
      <c r="G13360" s="174" t="s">
        <v>74</v>
      </c>
      <c r="H13360" s="174"/>
      <c r="J13360" s="149" t="s">
        <v>534</v>
      </c>
      <c r="K13360" s="218">
        <v>101.39</v>
      </c>
      <c r="L13360" s="218"/>
    </row>
    <row r="13361" spans="1:13" x14ac:dyDescent="0.2">
      <c r="A13361" s="163">
        <v>2025</v>
      </c>
      <c r="B13361" s="163">
        <v>4</v>
      </c>
      <c r="C13361" s="163">
        <v>24</v>
      </c>
      <c r="D13361" s="280">
        <f t="shared" si="2000"/>
        <v>45771</v>
      </c>
      <c r="E13361" s="281">
        <f t="shared" si="2001"/>
        <v>45771</v>
      </c>
      <c r="F13361" s="480"/>
      <c r="G13361" s="221" t="s">
        <v>74</v>
      </c>
      <c r="H13361" s="221" t="str" cm="1">
        <f t="array" ref="H13361">IFERROR(INDEX(INVESTOR_LIST[INVESTOR NAME],MATCH(I13361,INVESTOR_LIST[INVESTOR CODE],0),)," ")</f>
        <v xml:space="preserve"> </v>
      </c>
      <c r="I13361" s="145"/>
      <c r="J13361" s="146" t="s">
        <v>52</v>
      </c>
      <c r="K13361" s="219"/>
      <c r="L13361" s="219">
        <v>6996.29</v>
      </c>
    </row>
    <row r="13362" spans="1:13" x14ac:dyDescent="0.2">
      <c r="A13362" s="168">
        <v>2025</v>
      </c>
      <c r="B13362" s="133">
        <v>4</v>
      </c>
      <c r="C13362" s="168">
        <v>24</v>
      </c>
      <c r="D13362" s="147">
        <f>DATE(A13362,B13362,C13362)</f>
        <v>45771</v>
      </c>
      <c r="E13362" s="311">
        <f>DATE(A13362,B13362,C13362)</f>
        <v>45771</v>
      </c>
      <c r="F13362" s="481" t="s">
        <v>2055</v>
      </c>
      <c r="G13362" s="174" t="s">
        <v>74</v>
      </c>
      <c r="H13362" s="148" t="str" cm="1">
        <f t="array" ref="H13362">IFERROR(INDEX(INVESTOR_LIST[INVESTOR NAME],MATCH(I13362,INVESTOR_LIST[INVESTOR CODE],0),)," ")</f>
        <v xml:space="preserve"> </v>
      </c>
      <c r="I13362" s="148" t="s">
        <v>348</v>
      </c>
      <c r="J13362" s="133" t="s">
        <v>61</v>
      </c>
      <c r="K13362" s="172">
        <v>8761.41</v>
      </c>
    </row>
    <row r="13363" spans="1:13" x14ac:dyDescent="0.2">
      <c r="A13363" s="163">
        <v>2025</v>
      </c>
      <c r="B13363" s="163">
        <v>4</v>
      </c>
      <c r="C13363" s="163">
        <v>24</v>
      </c>
      <c r="D13363" s="280">
        <f>DATE(A13363,B13363,C13363)</f>
        <v>45771</v>
      </c>
      <c r="E13363" s="281">
        <f>DATE(A13363,B13363,C13363)</f>
        <v>45771</v>
      </c>
      <c r="F13363" s="480"/>
      <c r="G13363" s="221" t="s">
        <v>74</v>
      </c>
      <c r="H13363" s="145" t="str" cm="1">
        <f t="array" ref="H13363">IFERROR(INDEX(INVESTOR_LIST[INVESTOR NAME],MATCH(I13363,INVESTOR_LIST[INVESTOR CODE],0),)," ")</f>
        <v xml:space="preserve"> </v>
      </c>
      <c r="I13363" s="145" t="s">
        <v>348</v>
      </c>
      <c r="J13363" s="163" t="s">
        <v>52</v>
      </c>
      <c r="K13363" s="219"/>
      <c r="L13363" s="219">
        <v>8761.41</v>
      </c>
    </row>
    <row r="13364" spans="1:13" x14ac:dyDescent="0.2">
      <c r="A13364" s="325">
        <v>2025</v>
      </c>
      <c r="B13364" s="325">
        <v>4</v>
      </c>
      <c r="C13364" s="325">
        <v>24</v>
      </c>
      <c r="D13364" s="326">
        <f t="shared" si="1994"/>
        <v>45771</v>
      </c>
      <c r="E13364" s="327">
        <f t="shared" si="1995"/>
        <v>45771</v>
      </c>
      <c r="F13364" s="473" t="s">
        <v>1940</v>
      </c>
      <c r="G13364" s="340" t="s">
        <v>94</v>
      </c>
      <c r="H13364" s="340" t="str" cm="1">
        <f t="array" ref="H13364">IFERROR(INDEX(INVESTOR_LIST[INVESTOR NAME],MATCH(I13364,INVESTOR_LIST[INVESTOR CODE],0),)," ")</f>
        <v xml:space="preserve"> </v>
      </c>
      <c r="I13364" s="341" t="s">
        <v>348</v>
      </c>
      <c r="J13364" s="374" t="s">
        <v>133</v>
      </c>
      <c r="K13364" s="375">
        <v>12905.56</v>
      </c>
      <c r="L13364" s="375"/>
      <c r="M13364" s="176"/>
    </row>
    <row r="13365" spans="1:13" x14ac:dyDescent="0.2">
      <c r="A13365" s="331">
        <v>2025</v>
      </c>
      <c r="B13365" s="331">
        <v>4</v>
      </c>
      <c r="C13365" s="331">
        <v>24</v>
      </c>
      <c r="D13365" s="326">
        <f t="shared" si="1994"/>
        <v>45771</v>
      </c>
      <c r="E13365" s="327">
        <f t="shared" si="1995"/>
        <v>45771</v>
      </c>
      <c r="F13365" s="474"/>
      <c r="G13365" s="332" t="s">
        <v>94</v>
      </c>
      <c r="H13365" s="332" t="str" cm="1">
        <f t="array" ref="H13365">IFERROR(INDEX(INVESTOR_LIST[INVESTOR NAME],MATCH(I13365,INVESTOR_LIST[INVESTOR CODE],0),)," ")</f>
        <v xml:space="preserve"> </v>
      </c>
      <c r="I13365" s="333" t="s">
        <v>348</v>
      </c>
      <c r="J13365" s="376" t="s">
        <v>60</v>
      </c>
      <c r="K13365" s="334"/>
      <c r="L13365" s="334">
        <f>K13364</f>
        <v>12905.56</v>
      </c>
    </row>
    <row r="13366" spans="1:13" x14ac:dyDescent="0.2">
      <c r="A13366" s="384">
        <v>2025</v>
      </c>
      <c r="B13366" s="384">
        <v>4</v>
      </c>
      <c r="C13366" s="384">
        <v>24</v>
      </c>
      <c r="D13366" s="385">
        <f t="shared" si="1994"/>
        <v>45771</v>
      </c>
      <c r="E13366" s="386">
        <f t="shared" si="1995"/>
        <v>45771</v>
      </c>
      <c r="F13366" s="475" t="s">
        <v>1966</v>
      </c>
      <c r="G13366" s="387" t="s">
        <v>94</v>
      </c>
      <c r="H13366" s="387" t="str" cm="1">
        <f t="array" ref="H13366">IFERROR(INDEX(INVESTOR_LIST[INVESTOR NAME],MATCH(I13366,INVESTOR_LIST[INVESTOR CODE],0),)," ")</f>
        <v xml:space="preserve"> </v>
      </c>
      <c r="I13366" s="388" t="s">
        <v>348</v>
      </c>
      <c r="J13366" s="389" t="s">
        <v>67</v>
      </c>
      <c r="K13366" s="390">
        <v>11699.83</v>
      </c>
      <c r="L13366" s="390"/>
    </row>
    <row r="13367" spans="1:13" x14ac:dyDescent="0.2">
      <c r="A13367" s="391">
        <v>2025</v>
      </c>
      <c r="B13367" s="391">
        <v>4</v>
      </c>
      <c r="C13367" s="391">
        <v>24</v>
      </c>
      <c r="D13367" s="385">
        <f t="shared" si="1994"/>
        <v>45771</v>
      </c>
      <c r="E13367" s="386">
        <f t="shared" si="1995"/>
        <v>45771</v>
      </c>
      <c r="F13367" s="476"/>
      <c r="G13367" s="392" t="s">
        <v>94</v>
      </c>
      <c r="H13367" s="392" t="str" cm="1">
        <f t="array" ref="H13367">IFERROR(INDEX(INVESTOR_LIST[INVESTOR NAME],MATCH(I13367,INVESTOR_LIST[INVESTOR CODE],0),)," ")</f>
        <v xml:space="preserve"> </v>
      </c>
      <c r="I13367" s="393" t="s">
        <v>348</v>
      </c>
      <c r="J13367" s="394" t="s">
        <v>60</v>
      </c>
      <c r="K13367" s="395"/>
      <c r="L13367" s="395">
        <f>K13366</f>
        <v>11699.83</v>
      </c>
    </row>
    <row r="13368" spans="1:13" x14ac:dyDescent="0.2">
      <c r="A13368" s="343">
        <v>2025</v>
      </c>
      <c r="B13368" s="343">
        <v>4</v>
      </c>
      <c r="C13368" s="343">
        <v>24</v>
      </c>
      <c r="D13368" s="344">
        <f t="shared" si="1994"/>
        <v>45771</v>
      </c>
      <c r="E13368" s="345">
        <f t="shared" si="1995"/>
        <v>45771</v>
      </c>
      <c r="F13368" s="483" t="s">
        <v>1813</v>
      </c>
      <c r="G13368" s="350" t="s">
        <v>94</v>
      </c>
      <c r="H13368" s="350" t="str" cm="1">
        <f t="array" ref="H13368">IFERROR(INDEX(INVESTOR_LIST[INVESTOR NAME],MATCH(I13368,INVESTOR_LIST[INVESTOR CODE],0),)," ")</f>
        <v xml:space="preserve"> </v>
      </c>
      <c r="I13368" s="352" t="s">
        <v>348</v>
      </c>
      <c r="J13368" s="353" t="s">
        <v>1807</v>
      </c>
      <c r="K13368" s="354">
        <v>0</v>
      </c>
      <c r="L13368" s="354"/>
      <c r="M13368" s="133">
        <v>0</v>
      </c>
    </row>
    <row r="13369" spans="1:13" x14ac:dyDescent="0.2">
      <c r="A13369" s="346">
        <v>2025</v>
      </c>
      <c r="B13369" s="346">
        <v>4</v>
      </c>
      <c r="C13369" s="346">
        <v>24</v>
      </c>
      <c r="D13369" s="344">
        <f t="shared" si="1994"/>
        <v>45771</v>
      </c>
      <c r="E13369" s="345">
        <f t="shared" si="1995"/>
        <v>45771</v>
      </c>
      <c r="F13369" s="484"/>
      <c r="G13369" s="347" t="s">
        <v>94</v>
      </c>
      <c r="H13369" s="347" t="str" cm="1">
        <f t="array" ref="H13369">IFERROR(INDEX(INVESTOR_LIST[INVESTOR NAME],MATCH(I13369,INVESTOR_LIST[INVESTOR CODE],0),)," ")</f>
        <v xml:space="preserve"> </v>
      </c>
      <c r="I13369" s="348" t="s">
        <v>348</v>
      </c>
      <c r="J13369" s="355" t="s">
        <v>1798</v>
      </c>
      <c r="K13369" s="349"/>
      <c r="L13369" s="349">
        <v>0</v>
      </c>
    </row>
    <row r="13370" spans="1:13" x14ac:dyDescent="0.2">
      <c r="A13370" s="343">
        <v>2025</v>
      </c>
      <c r="B13370" s="343">
        <v>4</v>
      </c>
      <c r="C13370" s="343">
        <v>24</v>
      </c>
      <c r="D13370" s="344">
        <f t="shared" si="1994"/>
        <v>45771</v>
      </c>
      <c r="E13370" s="345">
        <f t="shared" si="1995"/>
        <v>45771</v>
      </c>
      <c r="F13370" s="483" t="s">
        <v>1913</v>
      </c>
      <c r="G13370" s="350" t="s">
        <v>94</v>
      </c>
      <c r="H13370" s="350" t="str" cm="1">
        <f t="array" ref="H13370">IFERROR(INDEX(INVESTOR_LIST[INVESTOR NAME],MATCH(I13370,INVESTOR_LIST[INVESTOR CODE],0),)," ")</f>
        <v xml:space="preserve"> </v>
      </c>
      <c r="I13370" s="352" t="s">
        <v>348</v>
      </c>
      <c r="J13370" s="353" t="s">
        <v>1799</v>
      </c>
      <c r="K13370" s="354">
        <v>39070.110000003129</v>
      </c>
      <c r="L13370" s="354"/>
      <c r="M13370" s="133">
        <v>0</v>
      </c>
    </row>
    <row r="13371" spans="1:13" x14ac:dyDescent="0.2">
      <c r="A13371" s="346">
        <v>2025</v>
      </c>
      <c r="B13371" s="346">
        <v>4</v>
      </c>
      <c r="C13371" s="346">
        <v>24</v>
      </c>
      <c r="D13371" s="344">
        <f t="shared" si="1994"/>
        <v>45771</v>
      </c>
      <c r="E13371" s="345">
        <f t="shared" si="1995"/>
        <v>45771</v>
      </c>
      <c r="F13371" s="484"/>
      <c r="G13371" s="347" t="s">
        <v>94</v>
      </c>
      <c r="H13371" s="347" t="str" cm="1">
        <f t="array" ref="H13371">IFERROR(INDEX(INVESTOR_LIST[INVESTOR NAME],MATCH(I13371,INVESTOR_LIST[INVESTOR CODE],0),)," ")</f>
        <v xml:space="preserve"> </v>
      </c>
      <c r="I13371" s="348" t="s">
        <v>348</v>
      </c>
      <c r="J13371" s="355" t="s">
        <v>1808</v>
      </c>
      <c r="K13371" s="349"/>
      <c r="L13371" s="349">
        <f>K13370</f>
        <v>39070.110000003129</v>
      </c>
    </row>
    <row r="13372" spans="1:13" x14ac:dyDescent="0.2">
      <c r="A13372" s="238">
        <v>2025</v>
      </c>
      <c r="B13372" s="238">
        <v>4</v>
      </c>
      <c r="C13372" s="238">
        <v>24</v>
      </c>
      <c r="D13372" s="270">
        <f t="shared" si="1994"/>
        <v>45771</v>
      </c>
      <c r="E13372" s="279">
        <f t="shared" si="1995"/>
        <v>45771</v>
      </c>
      <c r="F13372" s="477" t="s">
        <v>347</v>
      </c>
      <c r="G13372" s="239" t="s">
        <v>94</v>
      </c>
      <c r="H13372" s="239" t="str" cm="1">
        <f t="array" ref="H13372">IFERROR(INDEX(INVESTOR_LIST[INVESTOR NAME],MATCH(I13372,INVESTOR_LIST[INVESTOR CODE],0),)," ")</f>
        <v xml:space="preserve"> </v>
      </c>
      <c r="I13372" s="262" t="s">
        <v>348</v>
      </c>
      <c r="J13372" s="240" t="s">
        <v>82</v>
      </c>
      <c r="K13372" s="241">
        <v>1749616.25</v>
      </c>
      <c r="L13372" s="241"/>
      <c r="M13372" s="133">
        <v>13139541.900000483</v>
      </c>
    </row>
    <row r="13373" spans="1:13" x14ac:dyDescent="0.2">
      <c r="A13373" s="242">
        <v>2025</v>
      </c>
      <c r="B13373" s="242">
        <v>4</v>
      </c>
      <c r="C13373" s="242">
        <v>24</v>
      </c>
      <c r="D13373" s="270">
        <f t="shared" si="1994"/>
        <v>45771</v>
      </c>
      <c r="E13373" s="279">
        <f t="shared" si="1995"/>
        <v>45771</v>
      </c>
      <c r="F13373" s="478"/>
      <c r="G13373" s="243" t="s">
        <v>94</v>
      </c>
      <c r="H13373" s="243" t="str" cm="1">
        <f t="array" ref="H13373">IFERROR(INDEX(INVESTOR_LIST[INVESTOR NAME],MATCH(I13373,INVESTOR_LIST[INVESTOR CODE],0),)," ")</f>
        <v xml:space="preserve"> </v>
      </c>
      <c r="I13373" s="263" t="s">
        <v>348</v>
      </c>
      <c r="J13373" s="244" t="s">
        <v>108</v>
      </c>
      <c r="K13373" s="245"/>
      <c r="L13373" s="245">
        <f>K13372</f>
        <v>1749616.25</v>
      </c>
    </row>
    <row r="13374" spans="1:13" ht="22.5" x14ac:dyDescent="0.2">
      <c r="A13374" s="246">
        <v>2025</v>
      </c>
      <c r="B13374" s="238">
        <v>4</v>
      </c>
      <c r="C13374" s="238">
        <v>24</v>
      </c>
      <c r="D13374" s="270">
        <f t="shared" si="1994"/>
        <v>45771</v>
      </c>
      <c r="E13374" s="279">
        <f t="shared" si="1995"/>
        <v>45771</v>
      </c>
      <c r="F13374" s="482" t="s">
        <v>148</v>
      </c>
      <c r="G13374" s="247" t="s">
        <v>94</v>
      </c>
      <c r="H13374" s="247" t="str" cm="1">
        <f t="array" ref="H13374">IFERROR(INDEX(INVESTOR_LIST[INVESTOR NAME],MATCH(I13374,INVESTOR_LIST[INVESTOR CODE],0),)," ")</f>
        <v xml:space="preserve"> </v>
      </c>
      <c r="I13374" s="248" t="s">
        <v>348</v>
      </c>
      <c r="J13374" s="249" t="s">
        <v>95</v>
      </c>
      <c r="K13374" s="250">
        <v>2747.2527472527472</v>
      </c>
      <c r="L13374" s="241"/>
      <c r="M13374" s="176"/>
    </row>
    <row r="13375" spans="1:13" x14ac:dyDescent="0.2">
      <c r="A13375" s="242">
        <v>2025</v>
      </c>
      <c r="B13375" s="242">
        <v>4</v>
      </c>
      <c r="C13375" s="242">
        <v>24</v>
      </c>
      <c r="D13375" s="270">
        <f t="shared" si="1994"/>
        <v>45771</v>
      </c>
      <c r="E13375" s="279">
        <f t="shared" si="1995"/>
        <v>45771</v>
      </c>
      <c r="F13375" s="478"/>
      <c r="G13375" s="243" t="s">
        <v>94</v>
      </c>
      <c r="H13375" s="243" t="str" cm="1">
        <f t="array" ref="H13375">IFERROR(INDEX(INVESTOR_LIST[INVESTOR NAME],MATCH(I13375,INVESTOR_LIST[INVESTOR CODE],0),)," ")</f>
        <v xml:space="preserve"> </v>
      </c>
      <c r="I13375" s="263" t="s">
        <v>348</v>
      </c>
      <c r="J13375" s="244" t="s">
        <v>63</v>
      </c>
      <c r="K13375" s="245"/>
      <c r="L13375" s="245">
        <f>K13374</f>
        <v>2747.2527472527472</v>
      </c>
    </row>
    <row r="13376" spans="1:13" x14ac:dyDescent="0.2">
      <c r="A13376" s="246">
        <v>2025</v>
      </c>
      <c r="B13376" s="238">
        <v>4</v>
      </c>
      <c r="C13376" s="238">
        <v>24</v>
      </c>
      <c r="D13376" s="270">
        <f t="shared" si="1994"/>
        <v>45771</v>
      </c>
      <c r="E13376" s="279">
        <f t="shared" si="1995"/>
        <v>45771</v>
      </c>
      <c r="F13376" s="482" t="s">
        <v>137</v>
      </c>
      <c r="G13376" s="247" t="s">
        <v>94</v>
      </c>
      <c r="H13376" s="247" t="str" cm="1">
        <f t="array" ref="H13376">IFERROR(INDEX(INVESTOR_LIST[INVESTOR NAME],MATCH(I13376,INVESTOR_LIST[INVESTOR CODE],0),)," ")</f>
        <v xml:space="preserve"> </v>
      </c>
      <c r="I13376" s="248" t="s">
        <v>348</v>
      </c>
      <c r="J13376" s="249" t="s">
        <v>97</v>
      </c>
      <c r="K13376" s="250">
        <f>M13376</f>
        <v>59571.296343329996</v>
      </c>
      <c r="L13376" s="252"/>
      <c r="M13376" s="133">
        <v>59571.296343329996</v>
      </c>
    </row>
    <row r="13377" spans="1:13" x14ac:dyDescent="0.2">
      <c r="A13377" s="242">
        <v>2025</v>
      </c>
      <c r="B13377" s="242">
        <v>4</v>
      </c>
      <c r="C13377" s="242">
        <v>24</v>
      </c>
      <c r="D13377" s="270">
        <f t="shared" si="1994"/>
        <v>45771</v>
      </c>
      <c r="E13377" s="279">
        <f t="shared" si="1995"/>
        <v>45771</v>
      </c>
      <c r="F13377" s="478"/>
      <c r="G13377" s="243" t="s">
        <v>94</v>
      </c>
      <c r="H13377" s="243" t="str" cm="1">
        <f t="array" ref="H13377">IFERROR(INDEX(INVESTOR_LIST[INVESTOR NAME],MATCH(I13377,INVESTOR_LIST[INVESTOR CODE],0),)," ")</f>
        <v xml:space="preserve"> </v>
      </c>
      <c r="I13377" s="263" t="s">
        <v>348</v>
      </c>
      <c r="J13377" s="244" t="s">
        <v>47</v>
      </c>
      <c r="K13377" s="245"/>
      <c r="L13377" s="245">
        <f>K13376</f>
        <v>59571.296343329996</v>
      </c>
      <c r="M13377" s="133">
        <v>2738.1802017818845</v>
      </c>
    </row>
    <row r="13378" spans="1:13" x14ac:dyDescent="0.2">
      <c r="A13378" s="246">
        <v>2025</v>
      </c>
      <c r="B13378" s="238">
        <v>4</v>
      </c>
      <c r="C13378" s="238">
        <v>24</v>
      </c>
      <c r="D13378" s="270">
        <f t="shared" si="1994"/>
        <v>45771</v>
      </c>
      <c r="E13378" s="279">
        <f t="shared" si="1995"/>
        <v>45771</v>
      </c>
      <c r="F13378" s="482" t="s">
        <v>138</v>
      </c>
      <c r="G13378" s="247" t="s">
        <v>94</v>
      </c>
      <c r="H13378" s="247" t="str" cm="1">
        <f t="array" ref="H13378">IFERROR(INDEX(INVESTOR_LIST[INVESTOR NAME],MATCH(I13378,INVESTOR_LIST[INVESTOR CODE],0),)," ")</f>
        <v xml:space="preserve"> </v>
      </c>
      <c r="I13378" s="248" t="s">
        <v>348</v>
      </c>
      <c r="J13378" s="249" t="s">
        <v>100</v>
      </c>
      <c r="K13378" s="250">
        <f>M13377</f>
        <v>2738.1802017818845</v>
      </c>
      <c r="L13378" s="252"/>
    </row>
    <row r="13379" spans="1:13" x14ac:dyDescent="0.2">
      <c r="A13379" s="242">
        <v>2025</v>
      </c>
      <c r="B13379" s="242">
        <v>4</v>
      </c>
      <c r="C13379" s="242">
        <v>24</v>
      </c>
      <c r="D13379" s="321">
        <f t="shared" si="1994"/>
        <v>45771</v>
      </c>
      <c r="E13379" s="322">
        <f t="shared" si="1995"/>
        <v>45771</v>
      </c>
      <c r="F13379" s="478"/>
      <c r="G13379" s="243" t="s">
        <v>94</v>
      </c>
      <c r="H13379" s="243" t="str" cm="1">
        <f t="array" ref="H13379">IFERROR(INDEX(INVESTOR_LIST[INVESTOR NAME],MATCH(I13379,INVESTOR_LIST[INVESTOR CODE],0),)," ")</f>
        <v xml:space="preserve"> </v>
      </c>
      <c r="I13379" s="263" t="s">
        <v>348</v>
      </c>
      <c r="J13379" s="244" t="s">
        <v>48</v>
      </c>
      <c r="K13379" s="245"/>
      <c r="L13379" s="245">
        <f>K13378</f>
        <v>2738.1802017818845</v>
      </c>
    </row>
    <row r="13380" spans="1:13" x14ac:dyDescent="0.2">
      <c r="A13380" s="133">
        <v>2025</v>
      </c>
      <c r="B13380" s="168">
        <v>4</v>
      </c>
      <c r="C13380" s="168">
        <v>27</v>
      </c>
      <c r="D13380" s="141">
        <f t="shared" si="1994"/>
        <v>45774</v>
      </c>
      <c r="E13380" s="275">
        <f t="shared" si="1995"/>
        <v>45774</v>
      </c>
      <c r="F13380" s="481" t="s">
        <v>982</v>
      </c>
      <c r="G13380" s="174" t="s">
        <v>74</v>
      </c>
      <c r="H13380" s="174" t="str" cm="1">
        <f t="array" ref="H13380">IFERROR(INDEX(INVESTOR_LIST[INVESTOR NAME],MATCH(I13380,INVESTOR_LIST[INVESTOR CODE],0),)," ")</f>
        <v xml:space="preserve"> </v>
      </c>
      <c r="I13380" s="148" t="s">
        <v>348</v>
      </c>
      <c r="J13380" s="149" t="s">
        <v>163</v>
      </c>
      <c r="K13380" s="218">
        <v>5750</v>
      </c>
      <c r="L13380" s="218"/>
      <c r="M13380" s="264"/>
    </row>
    <row r="13381" spans="1:13" x14ac:dyDescent="0.2">
      <c r="A13381" s="133">
        <v>2025</v>
      </c>
      <c r="B13381" s="133">
        <v>4</v>
      </c>
      <c r="C13381" s="133">
        <v>27</v>
      </c>
      <c r="D13381" s="141">
        <f t="shared" si="1994"/>
        <v>45774</v>
      </c>
      <c r="E13381" s="275">
        <f t="shared" si="1995"/>
        <v>45774</v>
      </c>
      <c r="F13381" s="481"/>
      <c r="G13381" s="174" t="s">
        <v>74</v>
      </c>
      <c r="H13381" s="174" t="str" cm="1">
        <f t="array" ref="H13381">IFERROR(INDEX(INVESTOR_LIST[INVESTOR NAME],MATCH(I13381,INVESTOR_LIST[INVESTOR CODE],0),)," ")</f>
        <v xml:space="preserve"> </v>
      </c>
      <c r="J13381" s="149" t="s">
        <v>1906</v>
      </c>
      <c r="K13381" s="218"/>
      <c r="L13381" s="218">
        <v>250</v>
      </c>
    </row>
    <row r="13382" spans="1:13" x14ac:dyDescent="0.2">
      <c r="A13382" s="163">
        <v>2025</v>
      </c>
      <c r="B13382" s="163">
        <v>4</v>
      </c>
      <c r="C13382" s="163">
        <v>27</v>
      </c>
      <c r="D13382" s="280">
        <f t="shared" si="1994"/>
        <v>45774</v>
      </c>
      <c r="E13382" s="281">
        <f t="shared" si="1995"/>
        <v>45774</v>
      </c>
      <c r="F13382" s="480"/>
      <c r="G13382" s="221" t="s">
        <v>74</v>
      </c>
      <c r="H13382" s="221" t="str" cm="1">
        <f t="array" ref="H13382">IFERROR(INDEX(INVESTOR_LIST[INVESTOR NAME],MATCH(I13382,INVESTOR_LIST[INVESTOR CODE],0),)," ")</f>
        <v xml:space="preserve"> </v>
      </c>
      <c r="I13382" s="145" t="s">
        <v>348</v>
      </c>
      <c r="J13382" s="146" t="s">
        <v>52</v>
      </c>
      <c r="K13382" s="219"/>
      <c r="L13382" s="219">
        <v>5500</v>
      </c>
    </row>
    <row r="13383" spans="1:13" x14ac:dyDescent="0.2">
      <c r="A13383" s="168">
        <v>2025</v>
      </c>
      <c r="B13383" s="168">
        <v>4</v>
      </c>
      <c r="C13383" s="168">
        <v>27</v>
      </c>
      <c r="D13383" s="141">
        <f>DATE(A13383,B13383,C13383)</f>
        <v>45774</v>
      </c>
      <c r="E13383" s="275">
        <f>DATE(A13383,B13383,C13383)</f>
        <v>45774</v>
      </c>
      <c r="F13383" s="479" t="s">
        <v>1974</v>
      </c>
      <c r="G13383" s="220" t="s">
        <v>94</v>
      </c>
      <c r="H13383" s="220" t="str" cm="1">
        <f t="array" ref="H13383">IFERROR(INDEX(INVESTOR_LIST[INVESTOR NAME],MATCH(I13383,INVESTOR_LIST[INVESTOR CODE],0),)," ")</f>
        <v xml:space="preserve"> </v>
      </c>
      <c r="I13383" s="142"/>
      <c r="J13383" s="143" t="s">
        <v>79</v>
      </c>
      <c r="K13383" s="226">
        <v>432262</v>
      </c>
      <c r="L13383" s="226"/>
      <c r="M13383" s="160"/>
    </row>
    <row r="13384" spans="1:13" x14ac:dyDescent="0.2">
      <c r="A13384" s="133">
        <v>2025</v>
      </c>
      <c r="B13384" s="133">
        <v>4</v>
      </c>
      <c r="C13384" s="133">
        <v>27</v>
      </c>
      <c r="D13384" s="141">
        <f>DATE(A13384,B13384,C13384)</f>
        <v>45774</v>
      </c>
      <c r="E13384" s="275">
        <f>DATE(A13384,B13384,C13384)</f>
        <v>45774</v>
      </c>
      <c r="F13384" s="481"/>
      <c r="G13384" s="174" t="s">
        <v>94</v>
      </c>
      <c r="H13384" s="174" t="str" cm="1">
        <f t="array" ref="H13384">IFERROR(INDEX(INVESTOR_LIST[INVESTOR NAME],MATCH(I13384,INVESTOR_LIST[INVESTOR CODE],0),)," ")</f>
        <v xml:space="preserve"> </v>
      </c>
      <c r="J13384" s="149" t="s">
        <v>80</v>
      </c>
      <c r="K13384" s="218">
        <v>778.07</v>
      </c>
      <c r="L13384" s="133"/>
    </row>
    <row r="13385" spans="1:13" x14ac:dyDescent="0.2">
      <c r="A13385" s="163">
        <v>2025</v>
      </c>
      <c r="B13385" s="163">
        <v>4</v>
      </c>
      <c r="C13385" s="163">
        <v>27</v>
      </c>
      <c r="D13385" s="280">
        <f>DATE(A13385,B13385,C13385)</f>
        <v>45774</v>
      </c>
      <c r="E13385" s="281">
        <f>DATE(A13385,B13385,C13385)</f>
        <v>45774</v>
      </c>
      <c r="F13385" s="480"/>
      <c r="G13385" s="221" t="s">
        <v>94</v>
      </c>
      <c r="H13385" s="221" t="str" cm="1">
        <f t="array" ref="H13385">IFERROR(INDEX(INVESTOR_LIST[INVESTOR NAME],MATCH(I13385,INVESTOR_LIST[INVESTOR CODE],0),)," ")</f>
        <v xml:space="preserve"> </v>
      </c>
      <c r="I13385" s="145"/>
      <c r="J13385" s="146" t="s">
        <v>147</v>
      </c>
      <c r="K13385" s="219"/>
      <c r="L13385" s="219">
        <v>433040.07</v>
      </c>
    </row>
    <row r="13386" spans="1:13" ht="11.25" customHeight="1" x14ac:dyDescent="0.2">
      <c r="A13386" s="168">
        <v>2025</v>
      </c>
      <c r="B13386" s="168">
        <v>4</v>
      </c>
      <c r="C13386" s="168">
        <v>27</v>
      </c>
      <c r="D13386" s="141">
        <f t="shared" ref="D13386:D13388" si="2002">DATE(A13386,B13386,C13386)</f>
        <v>45774</v>
      </c>
      <c r="E13386" s="275">
        <f t="shared" ref="E13386:E13388" si="2003">DATE(A13386,B13386,C13386)</f>
        <v>45774</v>
      </c>
      <c r="F13386" s="479" t="s">
        <v>1319</v>
      </c>
      <c r="G13386" s="220" t="s">
        <v>74</v>
      </c>
      <c r="H13386" s="142" t="str" cm="1">
        <f t="array" ref="H13386">IFERROR(INDEX(INVESTOR_LIST[INVESTOR NAME],MATCH(I13386,INVESTOR_LIST[INVESTOR CODE],0),)," ")</f>
        <v xml:space="preserve"> </v>
      </c>
      <c r="I13386" s="142"/>
      <c r="J13386" s="168" t="s">
        <v>52</v>
      </c>
      <c r="K13386" s="226">
        <v>80000</v>
      </c>
      <c r="L13386" s="226"/>
    </row>
    <row r="13387" spans="1:13" ht="11.25" customHeight="1" x14ac:dyDescent="0.2">
      <c r="A13387" s="133">
        <v>2025</v>
      </c>
      <c r="B13387" s="133">
        <v>4</v>
      </c>
      <c r="C13387" s="133">
        <v>27</v>
      </c>
      <c r="D13387" s="141">
        <f t="shared" si="2002"/>
        <v>45774</v>
      </c>
      <c r="E13387" s="275">
        <f t="shared" si="2003"/>
        <v>45774</v>
      </c>
      <c r="F13387" s="481"/>
      <c r="G13387" s="174" t="s">
        <v>74</v>
      </c>
      <c r="H13387" s="148" t="str" cm="1">
        <f t="array" ref="H13387">IFERROR(INDEX(INVESTOR_LIST[INVESTOR NAME],MATCH(I13387,INVESTOR_LIST[INVESTOR CODE],0),)," ")</f>
        <v xml:space="preserve"> </v>
      </c>
      <c r="J13387" s="133" t="s">
        <v>13</v>
      </c>
      <c r="K13387" s="218"/>
      <c r="L13387" s="218">
        <v>63550</v>
      </c>
    </row>
    <row r="13388" spans="1:13" ht="11.25" customHeight="1" x14ac:dyDescent="0.2">
      <c r="A13388" s="163">
        <v>2025</v>
      </c>
      <c r="B13388" s="163">
        <v>4</v>
      </c>
      <c r="C13388" s="163">
        <v>27</v>
      </c>
      <c r="D13388" s="280">
        <f t="shared" si="2002"/>
        <v>45774</v>
      </c>
      <c r="E13388" s="281">
        <f t="shared" si="2003"/>
        <v>45774</v>
      </c>
      <c r="F13388" s="480"/>
      <c r="G13388" s="221" t="s">
        <v>74</v>
      </c>
      <c r="H13388" s="145" t="str" cm="1">
        <f t="array" ref="H13388">IFERROR(INDEX(INVESTOR_LIST[INVESTOR NAME],MATCH(I13388,INVESTOR_LIST[INVESTOR CODE],0),)," ")</f>
        <v xml:space="preserve"> </v>
      </c>
      <c r="I13388" s="145"/>
      <c r="J13388" s="163" t="s">
        <v>53</v>
      </c>
      <c r="K13388" s="219"/>
      <c r="L13388" s="219">
        <v>16450</v>
      </c>
    </row>
    <row r="13389" spans="1:13" x14ac:dyDescent="0.2">
      <c r="A13389" s="133">
        <v>2025</v>
      </c>
      <c r="B13389" s="168">
        <v>4</v>
      </c>
      <c r="C13389" s="168">
        <v>28</v>
      </c>
      <c r="D13389" s="141">
        <f t="shared" si="1994"/>
        <v>45775</v>
      </c>
      <c r="E13389" s="275">
        <f t="shared" si="1995"/>
        <v>45775</v>
      </c>
      <c r="F13389" s="479" t="s">
        <v>2056</v>
      </c>
      <c r="G13389" s="220" t="s">
        <v>74</v>
      </c>
      <c r="H13389" s="142" t="str" cm="1">
        <f t="array" ref="H13389">IFERROR(INDEX(INVESTOR_LIST[INVESTOR NAME],MATCH(I13389,INVESTOR_LIST[INVESTOR CODE],0),)," ")</f>
        <v xml:space="preserve"> </v>
      </c>
      <c r="I13389" s="142"/>
      <c r="J13389" s="168" t="s">
        <v>48</v>
      </c>
      <c r="K13389" s="226">
        <v>68949</v>
      </c>
      <c r="L13389" s="226"/>
    </row>
    <row r="13390" spans="1:13" x14ac:dyDescent="0.2">
      <c r="A13390" s="133">
        <v>2025</v>
      </c>
      <c r="B13390" s="133">
        <v>4</v>
      </c>
      <c r="C13390" s="133">
        <v>28</v>
      </c>
      <c r="D13390" s="141">
        <f t="shared" si="1994"/>
        <v>45775</v>
      </c>
      <c r="E13390" s="275">
        <f t="shared" si="1995"/>
        <v>45775</v>
      </c>
      <c r="F13390" s="481"/>
      <c r="G13390" s="174" t="s">
        <v>74</v>
      </c>
      <c r="H13390" s="148" t="str" cm="1">
        <f t="array" ref="H13390">IFERROR(INDEX(INVESTOR_LIST[INVESTOR NAME],MATCH(I13390,INVESTOR_LIST[INVESTOR CODE],0),)," ")</f>
        <v xml:space="preserve"> </v>
      </c>
      <c r="J13390" s="133" t="s">
        <v>534</v>
      </c>
      <c r="K13390" s="218"/>
      <c r="L13390" s="218">
        <v>6894.9</v>
      </c>
    </row>
    <row r="13391" spans="1:13" x14ac:dyDescent="0.2">
      <c r="A13391" s="163">
        <v>2025</v>
      </c>
      <c r="B13391" s="163">
        <v>4</v>
      </c>
      <c r="C13391" s="163">
        <v>28</v>
      </c>
      <c r="D13391" s="280">
        <f t="shared" si="1994"/>
        <v>45775</v>
      </c>
      <c r="E13391" s="281">
        <f t="shared" si="1995"/>
        <v>45775</v>
      </c>
      <c r="F13391" s="480"/>
      <c r="G13391" s="221" t="s">
        <v>74</v>
      </c>
      <c r="H13391" s="145" t="str" cm="1">
        <f t="array" ref="H13391">IFERROR(INDEX(INVESTOR_LIST[INVESTOR NAME],MATCH(I13391,INVESTOR_LIST[INVESTOR CODE],0),)," ")</f>
        <v xml:space="preserve"> </v>
      </c>
      <c r="I13391" s="145"/>
      <c r="J13391" s="163" t="s">
        <v>52</v>
      </c>
      <c r="K13391" s="219"/>
      <c r="L13391" s="219">
        <v>62054.1</v>
      </c>
    </row>
    <row r="13392" spans="1:13" x14ac:dyDescent="0.2">
      <c r="A13392" s="168">
        <v>2025</v>
      </c>
      <c r="B13392" s="168">
        <v>4</v>
      </c>
      <c r="C13392" s="168">
        <v>28</v>
      </c>
      <c r="D13392" s="141">
        <f>DATE(A13392,B13392,C13392)</f>
        <v>45775</v>
      </c>
      <c r="E13392" s="275">
        <f>DATE(A13392,B13392,C13392)</f>
        <v>45775</v>
      </c>
      <c r="F13392" s="479" t="s">
        <v>2057</v>
      </c>
      <c r="G13392" s="220" t="s">
        <v>94</v>
      </c>
      <c r="H13392" s="220" t="str" cm="1">
        <f t="array" ref="H13392">IFERROR(INDEX(INVESTOR_LIST[INVESTOR NAME],MATCH(I13392,INVESTOR_LIST[INVESTOR CODE],0),)," ")</f>
        <v xml:space="preserve"> </v>
      </c>
      <c r="I13392" s="142"/>
      <c r="J13392" s="143" t="s">
        <v>79</v>
      </c>
      <c r="K13392" s="226">
        <v>8200000</v>
      </c>
      <c r="L13392" s="226"/>
      <c r="M13392" s="160"/>
    </row>
    <row r="13393" spans="1:14" x14ac:dyDescent="0.2">
      <c r="A13393" s="133">
        <v>2025</v>
      </c>
      <c r="B13393" s="133">
        <v>4</v>
      </c>
      <c r="C13393" s="133">
        <v>28</v>
      </c>
      <c r="D13393" s="141">
        <f>DATE(A13393,B13393,C13393)</f>
        <v>45775</v>
      </c>
      <c r="E13393" s="275">
        <f>DATE(A13393,B13393,C13393)</f>
        <v>45775</v>
      </c>
      <c r="F13393" s="481"/>
      <c r="G13393" s="174" t="s">
        <v>94</v>
      </c>
      <c r="H13393" s="174" t="str" cm="1">
        <f t="array" ref="H13393">IFERROR(INDEX(INVESTOR_LIST[INVESTOR NAME],MATCH(I13393,INVESTOR_LIST[INVESTOR CODE],0),)," ")</f>
        <v xml:space="preserve"> </v>
      </c>
      <c r="J13393" s="149" t="s">
        <v>80</v>
      </c>
      <c r="K13393" s="218">
        <v>14760</v>
      </c>
      <c r="L13393" s="133"/>
    </row>
    <row r="13394" spans="1:14" x14ac:dyDescent="0.2">
      <c r="A13394" s="163">
        <v>2025</v>
      </c>
      <c r="B13394" s="163">
        <v>4</v>
      </c>
      <c r="C13394" s="163">
        <v>28</v>
      </c>
      <c r="D13394" s="280">
        <f>DATE(A13394,B13394,C13394)</f>
        <v>45775</v>
      </c>
      <c r="E13394" s="281">
        <f>DATE(A13394,B13394,C13394)</f>
        <v>45775</v>
      </c>
      <c r="F13394" s="480"/>
      <c r="G13394" s="221" t="s">
        <v>94</v>
      </c>
      <c r="H13394" s="221" t="str" cm="1">
        <f t="array" ref="H13394">IFERROR(INDEX(INVESTOR_LIST[INVESTOR NAME],MATCH(I13394,INVESTOR_LIST[INVESTOR CODE],0),)," ")</f>
        <v xml:space="preserve"> </v>
      </c>
      <c r="I13394" s="145"/>
      <c r="J13394" s="146" t="s">
        <v>147</v>
      </c>
      <c r="K13394" s="219"/>
      <c r="L13394" s="219">
        <v>8214760</v>
      </c>
    </row>
    <row r="13395" spans="1:14" ht="11.25" customHeight="1" x14ac:dyDescent="0.2">
      <c r="A13395" s="168">
        <v>2025</v>
      </c>
      <c r="B13395" s="133">
        <v>4</v>
      </c>
      <c r="C13395" s="168">
        <v>28</v>
      </c>
      <c r="D13395" s="141">
        <f t="shared" ref="D13395:D13397" si="2004">DATE(A13395,B13395,C13395)</f>
        <v>45775</v>
      </c>
      <c r="E13395" s="275">
        <f t="shared" ref="E13395:E13397" si="2005">DATE(A13395,B13395,C13395)</f>
        <v>45775</v>
      </c>
      <c r="F13395" s="479" t="s">
        <v>2049</v>
      </c>
      <c r="G13395" s="220" t="s">
        <v>74</v>
      </c>
      <c r="H13395" s="220" t="str" cm="1">
        <f t="array" ref="H13395">IFERROR(INDEX(INVESTOR_LIST[INVESTOR NAME],MATCH(I13395,INVESTOR_LIST[INVESTOR CODE],0),)," ")</f>
        <v xml:space="preserve"> </v>
      </c>
      <c r="I13395" s="142"/>
      <c r="J13395" s="143" t="s">
        <v>52</v>
      </c>
      <c r="K13395" s="226">
        <v>1030899.76</v>
      </c>
      <c r="L13395" s="226"/>
    </row>
    <row r="13396" spans="1:14" ht="11.25" customHeight="1" x14ac:dyDescent="0.2">
      <c r="A13396" s="133">
        <v>2025</v>
      </c>
      <c r="B13396" s="133">
        <v>4</v>
      </c>
      <c r="C13396" s="133">
        <v>28</v>
      </c>
      <c r="D13396" s="141">
        <f t="shared" si="2004"/>
        <v>45775</v>
      </c>
      <c r="E13396" s="275">
        <f t="shared" si="2005"/>
        <v>45775</v>
      </c>
      <c r="F13396" s="481"/>
      <c r="G13396" s="174" t="s">
        <v>74</v>
      </c>
      <c r="H13396" s="174"/>
      <c r="J13396" s="149" t="s">
        <v>147</v>
      </c>
      <c r="K13396" s="218">
        <v>433040.07</v>
      </c>
      <c r="L13396" s="218"/>
    </row>
    <row r="13397" spans="1:14" x14ac:dyDescent="0.2">
      <c r="A13397" s="163">
        <v>2025</v>
      </c>
      <c r="B13397" s="163">
        <v>4</v>
      </c>
      <c r="C13397" s="163">
        <v>28</v>
      </c>
      <c r="D13397" s="280">
        <f t="shared" si="2004"/>
        <v>45775</v>
      </c>
      <c r="E13397" s="281">
        <f t="shared" si="2005"/>
        <v>45775</v>
      </c>
      <c r="F13397" s="480"/>
      <c r="G13397" s="221" t="s">
        <v>74</v>
      </c>
      <c r="H13397" s="221" t="str" cm="1">
        <f t="array" ref="H13397">IFERROR(INDEX(INVESTOR_LIST[INVESTOR NAME],MATCH(I13397,INVESTOR_LIST[INVESTOR CODE],0),)," ")</f>
        <v xml:space="preserve"> </v>
      </c>
      <c r="I13397" s="145"/>
      <c r="J13397" s="146" t="s">
        <v>190</v>
      </c>
      <c r="K13397" s="219"/>
      <c r="L13397" s="219">
        <v>1463939.83</v>
      </c>
      <c r="N13397" s="264"/>
    </row>
    <row r="13398" spans="1:14" x14ac:dyDescent="0.2">
      <c r="A13398" s="168">
        <v>2025</v>
      </c>
      <c r="B13398" s="133">
        <v>4</v>
      </c>
      <c r="C13398" s="168">
        <v>28</v>
      </c>
      <c r="D13398" s="147">
        <f>DATE(A13398,B13398,C13398)</f>
        <v>45775</v>
      </c>
      <c r="E13398" s="311">
        <f>DATE(A13398,B13398,C13398)</f>
        <v>45775</v>
      </c>
      <c r="F13398" s="481" t="s">
        <v>1950</v>
      </c>
      <c r="G13398" s="174" t="s">
        <v>74</v>
      </c>
      <c r="H13398" s="148" t="str" cm="1">
        <f t="array" ref="H13398">IFERROR(INDEX([4]!INVESTOR_LIST[INVESTOR NAME],MATCH(I13398,[4]!INVESTOR_LIST[INVESTOR CODE],0),)," ")</f>
        <v xml:space="preserve"> </v>
      </c>
      <c r="I13398" s="148" t="s">
        <v>348</v>
      </c>
      <c r="J13398" s="133" t="s">
        <v>61</v>
      </c>
      <c r="K13398" s="172">
        <v>100</v>
      </c>
    </row>
    <row r="13399" spans="1:14" x14ac:dyDescent="0.2">
      <c r="A13399" s="163">
        <v>2025</v>
      </c>
      <c r="B13399" s="163">
        <v>4</v>
      </c>
      <c r="C13399" s="163">
        <v>28</v>
      </c>
      <c r="D13399" s="280">
        <f>DATE(A13399,B13399,C13399)</f>
        <v>45775</v>
      </c>
      <c r="E13399" s="281">
        <f>DATE(A13399,B13399,C13399)</f>
        <v>45775</v>
      </c>
      <c r="F13399" s="480"/>
      <c r="G13399" s="221" t="s">
        <v>74</v>
      </c>
      <c r="H13399" s="145" t="str" cm="1">
        <f t="array" ref="H13399">IFERROR(INDEX([4]!INVESTOR_LIST[INVESTOR NAME],MATCH(I13399,[4]!INVESTOR_LIST[INVESTOR CODE],0),)," ")</f>
        <v xml:space="preserve"> </v>
      </c>
      <c r="I13399" s="145" t="s">
        <v>348</v>
      </c>
      <c r="J13399" s="163" t="s">
        <v>52</v>
      </c>
      <c r="K13399" s="219"/>
      <c r="L13399" s="219">
        <v>100</v>
      </c>
    </row>
    <row r="13400" spans="1:14" ht="11.25" customHeight="1" x14ac:dyDescent="0.2">
      <c r="A13400" s="168">
        <v>2025</v>
      </c>
      <c r="B13400" s="133">
        <v>4</v>
      </c>
      <c r="C13400" s="168">
        <v>29</v>
      </c>
      <c r="D13400" s="141">
        <f t="shared" ref="D13400:D13403" si="2006">DATE(A13400,B13400,C13400)</f>
        <v>45776</v>
      </c>
      <c r="E13400" s="275">
        <f t="shared" ref="E13400:E13403" si="2007">DATE(A13400,B13400,C13400)</f>
        <v>45776</v>
      </c>
      <c r="F13400" s="479" t="s">
        <v>2031</v>
      </c>
      <c r="G13400" s="220" t="s">
        <v>74</v>
      </c>
      <c r="H13400" s="220" t="str" cm="1">
        <f t="array" ref="H13400">IFERROR(INDEX(INVESTOR_LIST[INVESTOR NAME],MATCH(I13400,INVESTOR_LIST[INVESTOR CODE],0),)," ")</f>
        <v xml:space="preserve"> </v>
      </c>
      <c r="I13400" s="142"/>
      <c r="J13400" s="143" t="s">
        <v>52</v>
      </c>
      <c r="K13400" s="226">
        <v>2661899</v>
      </c>
      <c r="L13400" s="226"/>
    </row>
    <row r="13401" spans="1:14" x14ac:dyDescent="0.2">
      <c r="A13401" s="163">
        <v>2025</v>
      </c>
      <c r="B13401" s="163">
        <v>4</v>
      </c>
      <c r="C13401" s="163">
        <v>29</v>
      </c>
      <c r="D13401" s="280">
        <f t="shared" si="2006"/>
        <v>45776</v>
      </c>
      <c r="E13401" s="281">
        <f t="shared" si="2007"/>
        <v>45776</v>
      </c>
      <c r="F13401" s="480"/>
      <c r="G13401" s="221" t="s">
        <v>74</v>
      </c>
      <c r="H13401" s="221" t="str" cm="1">
        <f t="array" ref="H13401">IFERROR(INDEX(INVESTOR_LIST[INVESTOR NAME],MATCH(I13401,INVESTOR_LIST[INVESTOR CODE],0),)," ")</f>
        <v xml:space="preserve"> </v>
      </c>
      <c r="I13401" s="145"/>
      <c r="J13401" s="146" t="s">
        <v>190</v>
      </c>
      <c r="K13401" s="219"/>
      <c r="L13401" s="219">
        <v>2661899</v>
      </c>
      <c r="N13401" s="264"/>
    </row>
    <row r="13402" spans="1:14" x14ac:dyDescent="0.2">
      <c r="A13402" s="168">
        <v>2025</v>
      </c>
      <c r="B13402" s="133">
        <v>4</v>
      </c>
      <c r="C13402" s="168">
        <v>29</v>
      </c>
      <c r="D13402" s="141">
        <f t="shared" si="2006"/>
        <v>45776</v>
      </c>
      <c r="E13402" s="275">
        <f t="shared" si="2007"/>
        <v>45776</v>
      </c>
      <c r="F13402" s="479" t="s">
        <v>2058</v>
      </c>
      <c r="G13402" s="220" t="s">
        <v>74</v>
      </c>
      <c r="H13402" s="220" t="str" cm="1">
        <f t="array" ref="H13402">IFERROR(INDEX(INVESTOR_LIST[INVESTOR NAME],MATCH(I13402,INVESTOR_LIST[INVESTOR CODE],0),)," ")</f>
        <v xml:space="preserve"> </v>
      </c>
      <c r="I13402" s="142"/>
      <c r="J13402" s="143" t="s">
        <v>147</v>
      </c>
      <c r="K13402" s="226">
        <v>8214760</v>
      </c>
      <c r="L13402" s="226"/>
    </row>
    <row r="13403" spans="1:14" x14ac:dyDescent="0.2">
      <c r="A13403" s="163">
        <v>2025</v>
      </c>
      <c r="B13403" s="163">
        <v>4</v>
      </c>
      <c r="C13403" s="163">
        <v>29</v>
      </c>
      <c r="D13403" s="280">
        <f t="shared" si="2006"/>
        <v>45776</v>
      </c>
      <c r="E13403" s="281">
        <f t="shared" si="2007"/>
        <v>45776</v>
      </c>
      <c r="F13403" s="480"/>
      <c r="G13403" s="221" t="s">
        <v>74</v>
      </c>
      <c r="H13403" s="221" t="str" cm="1">
        <f t="array" ref="H13403">IFERROR(INDEX(INVESTOR_LIST[INVESTOR NAME],MATCH(I13403,INVESTOR_LIST[INVESTOR CODE],0),)," ")</f>
        <v xml:space="preserve"> </v>
      </c>
      <c r="I13403" s="145" t="s">
        <v>348</v>
      </c>
      <c r="J13403" s="146" t="s">
        <v>52</v>
      </c>
      <c r="K13403" s="219"/>
      <c r="L13403" s="219">
        <v>8214760</v>
      </c>
    </row>
    <row r="13404" spans="1:14" x14ac:dyDescent="0.2">
      <c r="A13404" s="168">
        <v>2025</v>
      </c>
      <c r="B13404" s="133">
        <v>4</v>
      </c>
      <c r="C13404" s="168">
        <v>29</v>
      </c>
      <c r="D13404" s="147">
        <f>DATE(A13404,B13404,C13404)</f>
        <v>45776</v>
      </c>
      <c r="E13404" s="311">
        <f>DATE(A13404,B13404,C13404)</f>
        <v>45776</v>
      </c>
      <c r="F13404" s="481" t="s">
        <v>1943</v>
      </c>
      <c r="G13404" s="174" t="s">
        <v>74</v>
      </c>
      <c r="H13404" s="148" t="str" cm="1">
        <f t="array" ref="H13404">IFERROR(INDEX(INVESTOR_LIST[INVESTOR NAME],MATCH(I13404,INVESTOR_LIST[INVESTOR CODE],0),)," ")</f>
        <v xml:space="preserve"> </v>
      </c>
      <c r="I13404" s="148" t="s">
        <v>348</v>
      </c>
      <c r="J13404" s="133" t="s">
        <v>61</v>
      </c>
      <c r="K13404" s="172">
        <v>100</v>
      </c>
    </row>
    <row r="13405" spans="1:14" x14ac:dyDescent="0.2">
      <c r="A13405" s="163">
        <v>2025</v>
      </c>
      <c r="B13405" s="163">
        <v>4</v>
      </c>
      <c r="C13405" s="163">
        <v>29</v>
      </c>
      <c r="D13405" s="280">
        <f>DATE(A13405,B13405,C13405)</f>
        <v>45776</v>
      </c>
      <c r="E13405" s="281">
        <f>DATE(A13405,B13405,C13405)</f>
        <v>45776</v>
      </c>
      <c r="F13405" s="480"/>
      <c r="G13405" s="221" t="s">
        <v>74</v>
      </c>
      <c r="H13405" s="145" t="str" cm="1">
        <f t="array" ref="H13405">IFERROR(INDEX(INVESTOR_LIST[INVESTOR NAME],MATCH(I13405,INVESTOR_LIST[INVESTOR CODE],0),)," ")</f>
        <v xml:space="preserve"> </v>
      </c>
      <c r="I13405" s="145" t="s">
        <v>348</v>
      </c>
      <c r="J13405" s="163" t="s">
        <v>52</v>
      </c>
      <c r="K13405" s="219"/>
      <c r="L13405" s="219">
        <v>100</v>
      </c>
    </row>
    <row r="13406" spans="1:14" x14ac:dyDescent="0.2">
      <c r="A13406" s="133">
        <v>2025</v>
      </c>
      <c r="B13406" s="133">
        <v>4</v>
      </c>
      <c r="C13406" s="133">
        <v>29</v>
      </c>
      <c r="D13406" s="141">
        <f t="shared" ref="D13406:D13441" si="2008">DATE(A13406,B13406,C13406)</f>
        <v>45776</v>
      </c>
      <c r="E13406" s="275">
        <f t="shared" ref="E13406:E13441" si="2009">DATE(A13406,B13406,C13406)</f>
        <v>45776</v>
      </c>
      <c r="F13406" s="481" t="s">
        <v>1977</v>
      </c>
      <c r="G13406" s="174" t="s">
        <v>94</v>
      </c>
      <c r="H13406" s="174" t="str" cm="1">
        <f t="array" ref="H13406">IFERROR(INDEX(INVESTOR_LIST[INVESTOR NAME],MATCH(I13406,INVESTOR_LIST[INVESTOR CODE],0),)," ")</f>
        <v xml:space="preserve"> </v>
      </c>
      <c r="J13406" s="149" t="s">
        <v>190</v>
      </c>
      <c r="K13406" s="218">
        <v>6399260</v>
      </c>
      <c r="L13406" s="133"/>
    </row>
    <row r="13407" spans="1:14" x14ac:dyDescent="0.2">
      <c r="A13407" s="133">
        <v>2025</v>
      </c>
      <c r="B13407" s="133">
        <v>4</v>
      </c>
      <c r="C13407" s="133">
        <v>29</v>
      </c>
      <c r="D13407" s="141">
        <f t="shared" si="2008"/>
        <v>45776</v>
      </c>
      <c r="E13407" s="275">
        <f t="shared" si="2009"/>
        <v>45776</v>
      </c>
      <c r="F13407" s="481"/>
      <c r="G13407" s="174" t="s">
        <v>94</v>
      </c>
      <c r="H13407" s="174" t="str" cm="1">
        <f t="array" ref="H13407">IFERROR(INDEX(INVESTOR_LIST[INVESTOR NAME],MATCH(I13407,INVESTOR_LIST[INVESTOR CODE],0),)," ")</f>
        <v xml:space="preserve"> </v>
      </c>
      <c r="J13407" s="149" t="s">
        <v>80</v>
      </c>
      <c r="K13407" s="218">
        <v>11540</v>
      </c>
      <c r="L13407" s="218"/>
      <c r="M13407" s="176"/>
    </row>
    <row r="13408" spans="1:14" x14ac:dyDescent="0.2">
      <c r="A13408" s="133">
        <v>2025</v>
      </c>
      <c r="B13408" s="133">
        <v>4</v>
      </c>
      <c r="C13408" s="133">
        <v>29</v>
      </c>
      <c r="D13408" s="141">
        <f t="shared" si="2008"/>
        <v>45776</v>
      </c>
      <c r="E13408" s="275">
        <f t="shared" si="2009"/>
        <v>45776</v>
      </c>
      <c r="F13408" s="481"/>
      <c r="G13408" s="174" t="s">
        <v>94</v>
      </c>
      <c r="H13408" s="174" t="str" cm="1">
        <f t="array" ref="H13408">IFERROR(INDEX(INVESTOR_LIST[INVESTOR NAME],MATCH(I13408,INVESTOR_LIST[INVESTOR CODE],0),)," ")</f>
        <v xml:space="preserve"> </v>
      </c>
      <c r="J13408" s="149" t="s">
        <v>191</v>
      </c>
      <c r="K13408" s="218"/>
      <c r="L13408" s="218">
        <v>954683.88</v>
      </c>
    </row>
    <row r="13409" spans="1:13" x14ac:dyDescent="0.2">
      <c r="A13409" s="163">
        <v>2025</v>
      </c>
      <c r="B13409" s="163">
        <v>4</v>
      </c>
      <c r="C13409" s="163">
        <v>29</v>
      </c>
      <c r="D13409" s="280">
        <f t="shared" si="2008"/>
        <v>45776</v>
      </c>
      <c r="E13409" s="281">
        <f t="shared" si="2009"/>
        <v>45776</v>
      </c>
      <c r="F13409" s="480"/>
      <c r="G13409" s="221" t="s">
        <v>94</v>
      </c>
      <c r="H13409" s="145" t="str" cm="1">
        <f t="array" ref="H13409">IFERROR(INDEX(INVESTOR_LIST[INVESTOR NAME],MATCH(I13409,INVESTOR_LIST[INVESTOR CODE],0),)," ")</f>
        <v xml:space="preserve"> </v>
      </c>
      <c r="I13409" s="145"/>
      <c r="J13409" s="163" t="s">
        <v>79</v>
      </c>
      <c r="K13409" s="219"/>
      <c r="L13409" s="219">
        <v>5456116.1200000001</v>
      </c>
    </row>
    <row r="13410" spans="1:13" x14ac:dyDescent="0.2">
      <c r="A13410" s="133">
        <v>2025</v>
      </c>
      <c r="B13410" s="133">
        <v>4</v>
      </c>
      <c r="C13410" s="133">
        <v>30</v>
      </c>
      <c r="D13410" s="141">
        <f t="shared" ref="D13410:D13413" si="2010">DATE(A13410,B13410,C13410)</f>
        <v>45777</v>
      </c>
      <c r="E13410" s="275">
        <f t="shared" ref="E13410:E13413" si="2011">DATE(A13410,B13410,C13410)</f>
        <v>45777</v>
      </c>
      <c r="F13410" s="481" t="s">
        <v>1977</v>
      </c>
      <c r="G13410" s="174" t="s">
        <v>94</v>
      </c>
      <c r="H13410" s="174" t="str" cm="1">
        <f t="array" ref="H13410">IFERROR(INDEX(INVESTOR_LIST[INVESTOR NAME],MATCH(I13410,INVESTOR_LIST[INVESTOR CODE],0),)," ")</f>
        <v xml:space="preserve"> </v>
      </c>
      <c r="J13410" s="149" t="s">
        <v>190</v>
      </c>
      <c r="K13410" s="218">
        <v>5093076</v>
      </c>
      <c r="L13410" s="133"/>
    </row>
    <row r="13411" spans="1:13" x14ac:dyDescent="0.2">
      <c r="A13411" s="133">
        <v>2025</v>
      </c>
      <c r="B13411" s="133">
        <v>4</v>
      </c>
      <c r="C13411" s="133">
        <v>30</v>
      </c>
      <c r="D13411" s="141">
        <f t="shared" si="2010"/>
        <v>45777</v>
      </c>
      <c r="E13411" s="275">
        <f t="shared" si="2011"/>
        <v>45777</v>
      </c>
      <c r="F13411" s="481"/>
      <c r="G13411" s="174" t="s">
        <v>94</v>
      </c>
      <c r="H13411" s="174" t="str" cm="1">
        <f t="array" ref="H13411">IFERROR(INDEX(INVESTOR_LIST[INVESTOR NAME],MATCH(I13411,INVESTOR_LIST[INVESTOR CODE],0),)," ")</f>
        <v xml:space="preserve"> </v>
      </c>
      <c r="J13411" s="149" t="s">
        <v>80</v>
      </c>
      <c r="K13411" s="218">
        <v>9184.5</v>
      </c>
      <c r="L13411" s="218"/>
      <c r="M13411" s="176"/>
    </row>
    <row r="13412" spans="1:13" x14ac:dyDescent="0.2">
      <c r="A13412" s="133">
        <v>2025</v>
      </c>
      <c r="B13412" s="133">
        <v>4</v>
      </c>
      <c r="C13412" s="133">
        <v>30</v>
      </c>
      <c r="D13412" s="141">
        <f t="shared" si="2010"/>
        <v>45777</v>
      </c>
      <c r="E13412" s="275">
        <f t="shared" si="2011"/>
        <v>45777</v>
      </c>
      <c r="F13412" s="481"/>
      <c r="G13412" s="174" t="s">
        <v>94</v>
      </c>
      <c r="H13412" s="174" t="str" cm="1">
        <f t="array" ref="H13412">IFERROR(INDEX(INVESTOR_LIST[INVESTOR NAME],MATCH(I13412,INVESTOR_LIST[INVESTOR CODE],0),)," ")</f>
        <v xml:space="preserve"> </v>
      </c>
      <c r="J13412" s="149" t="s">
        <v>191</v>
      </c>
      <c r="K13412" s="218"/>
      <c r="L13412" s="218">
        <v>432438</v>
      </c>
    </row>
    <row r="13413" spans="1:13" x14ac:dyDescent="0.2">
      <c r="A13413" s="163">
        <v>2025</v>
      </c>
      <c r="B13413" s="163">
        <v>4</v>
      </c>
      <c r="C13413" s="163">
        <v>30</v>
      </c>
      <c r="D13413" s="280">
        <f t="shared" si="2010"/>
        <v>45777</v>
      </c>
      <c r="E13413" s="281">
        <f t="shared" si="2011"/>
        <v>45777</v>
      </c>
      <c r="F13413" s="480"/>
      <c r="G13413" s="221" t="s">
        <v>94</v>
      </c>
      <c r="H13413" s="145" t="str" cm="1">
        <f t="array" ref="H13413">IFERROR(INDEX(INVESTOR_LIST[INVESTOR NAME],MATCH(I13413,INVESTOR_LIST[INVESTOR CODE],0),)," ")</f>
        <v xml:space="preserve"> </v>
      </c>
      <c r="I13413" s="145"/>
      <c r="J13413" s="163" t="s">
        <v>79</v>
      </c>
      <c r="K13413" s="219"/>
      <c r="L13413" s="219">
        <v>4669822.5</v>
      </c>
    </row>
    <row r="13414" spans="1:13" x14ac:dyDescent="0.2">
      <c r="A13414" s="133">
        <v>2025</v>
      </c>
      <c r="B13414" s="133">
        <v>4</v>
      </c>
      <c r="C13414" s="133">
        <v>30</v>
      </c>
      <c r="D13414" s="141">
        <f t="shared" ref="D13414:D13417" si="2012">DATE(A13414,B13414,C13414)</f>
        <v>45777</v>
      </c>
      <c r="E13414" s="275">
        <f t="shared" ref="E13414:E13417" si="2013">DATE(A13414,B13414,C13414)</f>
        <v>45777</v>
      </c>
      <c r="F13414" s="481" t="s">
        <v>2044</v>
      </c>
      <c r="G13414" s="174" t="s">
        <v>94</v>
      </c>
      <c r="H13414" s="174" t="str" cm="1">
        <f t="array" ref="H13414">IFERROR(INDEX(INVESTOR_LIST[INVESTOR NAME],MATCH(I13414,INVESTOR_LIST[INVESTOR CODE],0),)," ")</f>
        <v xml:space="preserve"> </v>
      </c>
      <c r="J13414" s="149" t="s">
        <v>190</v>
      </c>
      <c r="K13414" s="218">
        <v>455179.2</v>
      </c>
      <c r="L13414" s="133"/>
    </row>
    <row r="13415" spans="1:13" x14ac:dyDescent="0.2">
      <c r="A13415" s="133">
        <v>2025</v>
      </c>
      <c r="B13415" s="133">
        <v>4</v>
      </c>
      <c r="C13415" s="133">
        <v>30</v>
      </c>
      <c r="D13415" s="141">
        <f t="shared" si="2012"/>
        <v>45777</v>
      </c>
      <c r="E13415" s="275">
        <f t="shared" si="2013"/>
        <v>45777</v>
      </c>
      <c r="F13415" s="481"/>
      <c r="G13415" s="174" t="s">
        <v>94</v>
      </c>
      <c r="H13415" s="174" t="str" cm="1">
        <f t="array" ref="H13415">IFERROR(INDEX(INVESTOR_LIST[INVESTOR NAME],MATCH(I13415,INVESTOR_LIST[INVESTOR CODE],0),)," ")</f>
        <v xml:space="preserve"> </v>
      </c>
      <c r="J13415" s="149" t="s">
        <v>80</v>
      </c>
      <c r="K13415" s="218">
        <v>820.8</v>
      </c>
      <c r="L13415" s="218"/>
      <c r="M13415" s="176"/>
    </row>
    <row r="13416" spans="1:13" x14ac:dyDescent="0.2">
      <c r="A13416" s="133">
        <v>2025</v>
      </c>
      <c r="B13416" s="133">
        <v>4</v>
      </c>
      <c r="C13416" s="133">
        <v>30</v>
      </c>
      <c r="D13416" s="141">
        <f t="shared" si="2012"/>
        <v>45777</v>
      </c>
      <c r="E13416" s="275">
        <f t="shared" si="2013"/>
        <v>45777</v>
      </c>
      <c r="F13416" s="481"/>
      <c r="G13416" s="174" t="s">
        <v>94</v>
      </c>
      <c r="H13416" s="174" t="str" cm="1">
        <f t="array" ref="H13416">IFERROR(INDEX(INVESTOR_LIST[INVESTOR NAME],MATCH(I13416,INVESTOR_LIST[INVESTOR CODE],0),)," ")</f>
        <v xml:space="preserve"> </v>
      </c>
      <c r="J13416" s="149" t="s">
        <v>191</v>
      </c>
      <c r="K13416" s="218">
        <v>14258.47</v>
      </c>
      <c r="L13416" s="218"/>
    </row>
    <row r="13417" spans="1:13" x14ac:dyDescent="0.2">
      <c r="A13417" s="163">
        <v>2025</v>
      </c>
      <c r="B13417" s="163">
        <v>4</v>
      </c>
      <c r="C13417" s="163">
        <v>30</v>
      </c>
      <c r="D13417" s="280">
        <f t="shared" si="2012"/>
        <v>45777</v>
      </c>
      <c r="E13417" s="281">
        <f t="shared" si="2013"/>
        <v>45777</v>
      </c>
      <c r="F13417" s="480"/>
      <c r="G13417" s="221" t="s">
        <v>94</v>
      </c>
      <c r="H13417" s="145" t="str" cm="1">
        <f t="array" ref="H13417">IFERROR(INDEX(INVESTOR_LIST[INVESTOR NAME],MATCH(I13417,INVESTOR_LIST[INVESTOR CODE],0),)," ")</f>
        <v xml:space="preserve"> </v>
      </c>
      <c r="I13417" s="145"/>
      <c r="J13417" s="163" t="s">
        <v>79</v>
      </c>
      <c r="K13417" s="219"/>
      <c r="L13417" s="219">
        <v>470258.47</v>
      </c>
    </row>
    <row r="13418" spans="1:13" x14ac:dyDescent="0.2">
      <c r="A13418" s="133">
        <v>2025</v>
      </c>
      <c r="B13418" s="133">
        <v>4</v>
      </c>
      <c r="C13418" s="133">
        <v>30</v>
      </c>
      <c r="D13418" s="141">
        <f t="shared" ref="D13418:D13421" si="2014">DATE(A13418,B13418,C13418)</f>
        <v>45777</v>
      </c>
      <c r="E13418" s="275">
        <f t="shared" ref="E13418:E13421" si="2015">DATE(A13418,B13418,C13418)</f>
        <v>45777</v>
      </c>
      <c r="F13418" s="481" t="s">
        <v>2059</v>
      </c>
      <c r="G13418" s="174" t="s">
        <v>94</v>
      </c>
      <c r="H13418" s="174" t="str" cm="1">
        <f t="array" ref="H13418">IFERROR(INDEX(INVESTOR_LIST[INVESTOR NAME],MATCH(I13418,INVESTOR_LIST[INVESTOR CODE],0),)," ")</f>
        <v xml:space="preserve"> </v>
      </c>
      <c r="J13418" s="149" t="s">
        <v>190</v>
      </c>
      <c r="K13418" s="218">
        <v>3115436.2</v>
      </c>
      <c r="L13418" s="133"/>
    </row>
    <row r="13419" spans="1:13" x14ac:dyDescent="0.2">
      <c r="A13419" s="133">
        <v>2025</v>
      </c>
      <c r="B13419" s="133">
        <v>4</v>
      </c>
      <c r="C13419" s="133">
        <v>30</v>
      </c>
      <c r="D13419" s="141">
        <f t="shared" si="2014"/>
        <v>45777</v>
      </c>
      <c r="E13419" s="275">
        <f t="shared" si="2015"/>
        <v>45777</v>
      </c>
      <c r="F13419" s="481"/>
      <c r="G13419" s="174" t="s">
        <v>94</v>
      </c>
      <c r="H13419" s="174" t="str" cm="1">
        <f t="array" ref="H13419">IFERROR(INDEX(INVESTOR_LIST[INVESTOR NAME],MATCH(I13419,INVESTOR_LIST[INVESTOR CODE],0),)," ")</f>
        <v xml:space="preserve"> </v>
      </c>
      <c r="J13419" s="149" t="s">
        <v>80</v>
      </c>
      <c r="K13419" s="218">
        <v>5617.9</v>
      </c>
      <c r="L13419" s="218"/>
      <c r="M13419" s="176"/>
    </row>
    <row r="13420" spans="1:13" x14ac:dyDescent="0.2">
      <c r="A13420" s="133">
        <v>2025</v>
      </c>
      <c r="B13420" s="133">
        <v>4</v>
      </c>
      <c r="C13420" s="133">
        <v>30</v>
      </c>
      <c r="D13420" s="141">
        <f t="shared" si="2014"/>
        <v>45777</v>
      </c>
      <c r="E13420" s="275">
        <f t="shared" si="2015"/>
        <v>45777</v>
      </c>
      <c r="F13420" s="481"/>
      <c r="G13420" s="174" t="s">
        <v>94</v>
      </c>
      <c r="H13420" s="174" t="str" cm="1">
        <f t="array" ref="H13420">IFERROR(INDEX(INVESTOR_LIST[INVESTOR NAME],MATCH(I13420,INVESTOR_LIST[INVESTOR CODE],0),)," ")</f>
        <v xml:space="preserve"> </v>
      </c>
      <c r="J13420" s="149" t="s">
        <v>191</v>
      </c>
      <c r="K13420" s="218"/>
      <c r="L13420" s="218">
        <v>131896.53</v>
      </c>
    </row>
    <row r="13421" spans="1:13" x14ac:dyDescent="0.2">
      <c r="A13421" s="163">
        <v>2025</v>
      </c>
      <c r="B13421" s="163">
        <v>4</v>
      </c>
      <c r="C13421" s="163">
        <v>30</v>
      </c>
      <c r="D13421" s="280">
        <f t="shared" si="2014"/>
        <v>45777</v>
      </c>
      <c r="E13421" s="281">
        <f t="shared" si="2015"/>
        <v>45777</v>
      </c>
      <c r="F13421" s="480"/>
      <c r="G13421" s="221" t="s">
        <v>94</v>
      </c>
      <c r="H13421" s="145" t="str" cm="1">
        <f t="array" ref="H13421">IFERROR(INDEX(INVESTOR_LIST[INVESTOR NAME],MATCH(I13421,INVESTOR_LIST[INVESTOR CODE],0),)," ")</f>
        <v xml:space="preserve"> </v>
      </c>
      <c r="I13421" s="145"/>
      <c r="J13421" s="163" t="s">
        <v>79</v>
      </c>
      <c r="K13421" s="219"/>
      <c r="L13421" s="219">
        <v>2989157.57</v>
      </c>
    </row>
    <row r="13422" spans="1:13" x14ac:dyDescent="0.2">
      <c r="A13422" s="325">
        <v>2025</v>
      </c>
      <c r="B13422" s="325">
        <v>4</v>
      </c>
      <c r="C13422" s="325">
        <v>30</v>
      </c>
      <c r="D13422" s="326">
        <f t="shared" si="2008"/>
        <v>45777</v>
      </c>
      <c r="E13422" s="327">
        <f t="shared" si="2009"/>
        <v>45777</v>
      </c>
      <c r="F13422" s="473" t="s">
        <v>1940</v>
      </c>
      <c r="G13422" s="340" t="s">
        <v>94</v>
      </c>
      <c r="H13422" s="340" t="str" cm="1">
        <f t="array" ref="H13422">IFERROR(INDEX(INVESTOR_LIST[INVESTOR NAME],MATCH(I13422,INVESTOR_LIST[INVESTOR CODE],0),)," ")</f>
        <v xml:space="preserve"> </v>
      </c>
      <c r="I13422" s="341" t="s">
        <v>348</v>
      </c>
      <c r="J13422" s="374" t="s">
        <v>133</v>
      </c>
      <c r="K13422" s="375">
        <v>12905.56</v>
      </c>
      <c r="L13422" s="375"/>
      <c r="M13422" s="176"/>
    </row>
    <row r="13423" spans="1:13" x14ac:dyDescent="0.2">
      <c r="A13423" s="331">
        <v>2025</v>
      </c>
      <c r="B13423" s="331">
        <v>4</v>
      </c>
      <c r="C13423" s="331">
        <v>30</v>
      </c>
      <c r="D13423" s="326">
        <f t="shared" si="2008"/>
        <v>45777</v>
      </c>
      <c r="E13423" s="327">
        <f t="shared" si="2009"/>
        <v>45777</v>
      </c>
      <c r="F13423" s="474"/>
      <c r="G13423" s="332" t="s">
        <v>94</v>
      </c>
      <c r="H13423" s="332" t="str" cm="1">
        <f t="array" ref="H13423">IFERROR(INDEX(INVESTOR_LIST[INVESTOR NAME],MATCH(I13423,INVESTOR_LIST[INVESTOR CODE],0),)," ")</f>
        <v xml:space="preserve"> </v>
      </c>
      <c r="I13423" s="333" t="s">
        <v>348</v>
      </c>
      <c r="J13423" s="376" t="s">
        <v>60</v>
      </c>
      <c r="K13423" s="334"/>
      <c r="L13423" s="334">
        <f>K13422</f>
        <v>12905.56</v>
      </c>
    </row>
    <row r="13424" spans="1:13" x14ac:dyDescent="0.2">
      <c r="A13424" s="384">
        <v>2025</v>
      </c>
      <c r="B13424" s="384">
        <v>4</v>
      </c>
      <c r="C13424" s="384">
        <v>30</v>
      </c>
      <c r="D13424" s="385">
        <f t="shared" si="2008"/>
        <v>45777</v>
      </c>
      <c r="E13424" s="386">
        <f t="shared" si="2009"/>
        <v>45777</v>
      </c>
      <c r="F13424" s="475" t="s">
        <v>1966</v>
      </c>
      <c r="G13424" s="387" t="s">
        <v>94</v>
      </c>
      <c r="H13424" s="387" t="str" cm="1">
        <f t="array" ref="H13424">IFERROR(INDEX(INVESTOR_LIST[INVESTOR NAME],MATCH(I13424,INVESTOR_LIST[INVESTOR CODE],0),)," ")</f>
        <v xml:space="preserve"> </v>
      </c>
      <c r="I13424" s="388" t="s">
        <v>348</v>
      </c>
      <c r="J13424" s="389" t="s">
        <v>67</v>
      </c>
      <c r="K13424" s="390">
        <v>8874</v>
      </c>
      <c r="L13424" s="390"/>
    </row>
    <row r="13425" spans="1:13" x14ac:dyDescent="0.2">
      <c r="A13425" s="391">
        <v>2025</v>
      </c>
      <c r="B13425" s="391">
        <v>4</v>
      </c>
      <c r="C13425" s="391">
        <v>30</v>
      </c>
      <c r="D13425" s="385">
        <f t="shared" si="2008"/>
        <v>45777</v>
      </c>
      <c r="E13425" s="386">
        <f t="shared" si="2009"/>
        <v>45777</v>
      </c>
      <c r="F13425" s="476"/>
      <c r="G13425" s="392" t="s">
        <v>94</v>
      </c>
      <c r="H13425" s="392" t="str" cm="1">
        <f t="array" ref="H13425">IFERROR(INDEX(INVESTOR_LIST[INVESTOR NAME],MATCH(I13425,INVESTOR_LIST[INVESTOR CODE],0),)," ")</f>
        <v xml:space="preserve"> </v>
      </c>
      <c r="I13425" s="393" t="s">
        <v>348</v>
      </c>
      <c r="J13425" s="394" t="s">
        <v>60</v>
      </c>
      <c r="K13425" s="395"/>
      <c r="L13425" s="395">
        <f>K13424</f>
        <v>8874</v>
      </c>
    </row>
    <row r="13426" spans="1:13" x14ac:dyDescent="0.2">
      <c r="A13426" s="343">
        <v>2025</v>
      </c>
      <c r="B13426" s="343">
        <v>4</v>
      </c>
      <c r="C13426" s="343">
        <v>30</v>
      </c>
      <c r="D13426" s="344">
        <f t="shared" si="2008"/>
        <v>45777</v>
      </c>
      <c r="E13426" s="345">
        <f t="shared" si="2009"/>
        <v>45777</v>
      </c>
      <c r="F13426" s="483" t="s">
        <v>1813</v>
      </c>
      <c r="G13426" s="350" t="s">
        <v>94</v>
      </c>
      <c r="H13426" s="350" t="str" cm="1">
        <f t="array" ref="H13426">IFERROR(INDEX(INVESTOR_LIST[INVESTOR NAME],MATCH(I13426,INVESTOR_LIST[INVESTOR CODE],0),)," ")</f>
        <v xml:space="preserve"> </v>
      </c>
      <c r="I13426" s="352" t="s">
        <v>348</v>
      </c>
      <c r="J13426" s="353" t="s">
        <v>1807</v>
      </c>
      <c r="K13426" s="354">
        <v>0</v>
      </c>
      <c r="L13426" s="354"/>
      <c r="M13426" s="133">
        <v>0</v>
      </c>
    </row>
    <row r="13427" spans="1:13" x14ac:dyDescent="0.2">
      <c r="A13427" s="346">
        <v>2025</v>
      </c>
      <c r="B13427" s="346">
        <v>4</v>
      </c>
      <c r="C13427" s="346">
        <v>30</v>
      </c>
      <c r="D13427" s="344">
        <f t="shared" si="2008"/>
        <v>45777</v>
      </c>
      <c r="E13427" s="345">
        <f t="shared" si="2009"/>
        <v>45777</v>
      </c>
      <c r="F13427" s="484"/>
      <c r="G13427" s="347" t="s">
        <v>94</v>
      </c>
      <c r="H13427" s="347" t="str" cm="1">
        <f t="array" ref="H13427">IFERROR(INDEX(INVESTOR_LIST[INVESTOR NAME],MATCH(I13427,INVESTOR_LIST[INVESTOR CODE],0),)," ")</f>
        <v xml:space="preserve"> </v>
      </c>
      <c r="I13427" s="348" t="s">
        <v>348</v>
      </c>
      <c r="J13427" s="355" t="s">
        <v>1798</v>
      </c>
      <c r="K13427" s="349"/>
      <c r="L13427" s="349">
        <v>0</v>
      </c>
    </row>
    <row r="13428" spans="1:13" x14ac:dyDescent="0.2">
      <c r="A13428" s="343">
        <v>2025</v>
      </c>
      <c r="B13428" s="343">
        <v>4</v>
      </c>
      <c r="C13428" s="343">
        <v>30</v>
      </c>
      <c r="D13428" s="344">
        <f t="shared" si="2008"/>
        <v>45777</v>
      </c>
      <c r="E13428" s="345">
        <f t="shared" si="2009"/>
        <v>45777</v>
      </c>
      <c r="F13428" s="483" t="s">
        <v>1913</v>
      </c>
      <c r="G13428" s="350" t="s">
        <v>94</v>
      </c>
      <c r="H13428" s="350" t="str" cm="1">
        <f t="array" ref="H13428">IFERROR(INDEX(INVESTOR_LIST[INVESTOR NAME],MATCH(I13428,INVESTOR_LIST[INVESTOR CODE],0),)," ")</f>
        <v xml:space="preserve"> </v>
      </c>
      <c r="I13428" s="352" t="s">
        <v>348</v>
      </c>
      <c r="J13428" s="353" t="s">
        <v>1799</v>
      </c>
      <c r="K13428" s="354">
        <v>63979.644999999553</v>
      </c>
      <c r="L13428" s="354"/>
      <c r="M13428" s="133">
        <v>0</v>
      </c>
    </row>
    <row r="13429" spans="1:13" x14ac:dyDescent="0.2">
      <c r="A13429" s="346">
        <v>2025</v>
      </c>
      <c r="B13429" s="346">
        <v>4</v>
      </c>
      <c r="C13429" s="346">
        <v>30</v>
      </c>
      <c r="D13429" s="344">
        <f t="shared" si="2008"/>
        <v>45777</v>
      </c>
      <c r="E13429" s="345">
        <f t="shared" si="2009"/>
        <v>45777</v>
      </c>
      <c r="F13429" s="484"/>
      <c r="G13429" s="347" t="s">
        <v>94</v>
      </c>
      <c r="H13429" s="347" t="str" cm="1">
        <f t="array" ref="H13429">IFERROR(INDEX(INVESTOR_LIST[INVESTOR NAME],MATCH(I13429,INVESTOR_LIST[INVESTOR CODE],0),)," ")</f>
        <v xml:space="preserve"> </v>
      </c>
      <c r="I13429" s="348" t="s">
        <v>348</v>
      </c>
      <c r="J13429" s="355" t="s">
        <v>1808</v>
      </c>
      <c r="K13429" s="349"/>
      <c r="L13429" s="349">
        <f>K13428</f>
        <v>63979.644999999553</v>
      </c>
    </row>
    <row r="13430" spans="1:13" x14ac:dyDescent="0.2">
      <c r="A13430" s="238">
        <v>2025</v>
      </c>
      <c r="B13430" s="238">
        <v>4</v>
      </c>
      <c r="C13430" s="238">
        <v>30</v>
      </c>
      <c r="D13430" s="270">
        <f t="shared" si="2008"/>
        <v>45777</v>
      </c>
      <c r="E13430" s="279">
        <f t="shared" si="2009"/>
        <v>45777</v>
      </c>
      <c r="F13430" s="477" t="s">
        <v>347</v>
      </c>
      <c r="G13430" s="239" t="s">
        <v>94</v>
      </c>
      <c r="H13430" s="239" t="str" cm="1">
        <f t="array" ref="H13430">IFERROR(INDEX(INVESTOR_LIST[INVESTOR NAME],MATCH(I13430,INVESTOR_LIST[INVESTOR CODE],0),)," ")</f>
        <v xml:space="preserve"> </v>
      </c>
      <c r="I13430" s="262" t="s">
        <v>348</v>
      </c>
      <c r="J13430" s="240" t="s">
        <v>82</v>
      </c>
      <c r="K13430" s="241">
        <v>894655.39999999106</v>
      </c>
      <c r="L13430" s="241"/>
      <c r="M13430" s="133">
        <v>13139541.900000483</v>
      </c>
    </row>
    <row r="13431" spans="1:13" x14ac:dyDescent="0.2">
      <c r="A13431" s="242">
        <v>2025</v>
      </c>
      <c r="B13431" s="242">
        <v>4</v>
      </c>
      <c r="C13431" s="242">
        <v>30</v>
      </c>
      <c r="D13431" s="270">
        <f t="shared" si="2008"/>
        <v>45777</v>
      </c>
      <c r="E13431" s="279">
        <f t="shared" si="2009"/>
        <v>45777</v>
      </c>
      <c r="F13431" s="478"/>
      <c r="G13431" s="243" t="s">
        <v>94</v>
      </c>
      <c r="H13431" s="243" t="str" cm="1">
        <f t="array" ref="H13431">IFERROR(INDEX(INVESTOR_LIST[INVESTOR NAME],MATCH(I13431,INVESTOR_LIST[INVESTOR CODE],0),)," ")</f>
        <v xml:space="preserve"> </v>
      </c>
      <c r="I13431" s="263" t="s">
        <v>348</v>
      </c>
      <c r="J13431" s="244" t="s">
        <v>108</v>
      </c>
      <c r="K13431" s="245"/>
      <c r="L13431" s="245">
        <f>K13430</f>
        <v>894655.39999999106</v>
      </c>
    </row>
    <row r="13432" spans="1:13" ht="22.5" x14ac:dyDescent="0.2">
      <c r="A13432" s="246">
        <v>2025</v>
      </c>
      <c r="B13432" s="238">
        <v>4</v>
      </c>
      <c r="C13432" s="238">
        <v>30</v>
      </c>
      <c r="D13432" s="270">
        <f t="shared" si="2008"/>
        <v>45777</v>
      </c>
      <c r="E13432" s="279">
        <f t="shared" si="2009"/>
        <v>45777</v>
      </c>
      <c r="F13432" s="482" t="s">
        <v>148</v>
      </c>
      <c r="G13432" s="247" t="s">
        <v>94</v>
      </c>
      <c r="H13432" s="247" t="str" cm="1">
        <f t="array" ref="H13432">IFERROR(INDEX(INVESTOR_LIST[INVESTOR NAME],MATCH(I13432,INVESTOR_LIST[INVESTOR CODE],0),)," ")</f>
        <v xml:space="preserve"> </v>
      </c>
      <c r="I13432" s="248" t="s">
        <v>348</v>
      </c>
      <c r="J13432" s="249" t="s">
        <v>95</v>
      </c>
      <c r="K13432" s="250">
        <v>2747.2527472527472</v>
      </c>
      <c r="L13432" s="241"/>
      <c r="M13432" s="176"/>
    </row>
    <row r="13433" spans="1:13" x14ac:dyDescent="0.2">
      <c r="A13433" s="242">
        <v>2025</v>
      </c>
      <c r="B13433" s="242">
        <v>4</v>
      </c>
      <c r="C13433" s="242">
        <v>30</v>
      </c>
      <c r="D13433" s="270">
        <f t="shared" si="2008"/>
        <v>45777</v>
      </c>
      <c r="E13433" s="279">
        <f t="shared" si="2009"/>
        <v>45777</v>
      </c>
      <c r="F13433" s="478"/>
      <c r="G13433" s="243" t="s">
        <v>94</v>
      </c>
      <c r="H13433" s="243" t="str" cm="1">
        <f t="array" ref="H13433">IFERROR(INDEX(INVESTOR_LIST[INVESTOR NAME],MATCH(I13433,INVESTOR_LIST[INVESTOR CODE],0),)," ")</f>
        <v xml:space="preserve"> </v>
      </c>
      <c r="I13433" s="263" t="s">
        <v>348</v>
      </c>
      <c r="J13433" s="244" t="s">
        <v>63</v>
      </c>
      <c r="K13433" s="245"/>
      <c r="L13433" s="245">
        <f>K13432</f>
        <v>2747.2527472527472</v>
      </c>
    </row>
    <row r="13434" spans="1:13" x14ac:dyDescent="0.2">
      <c r="A13434" s="246">
        <v>2025</v>
      </c>
      <c r="B13434" s="238">
        <v>4</v>
      </c>
      <c r="C13434" s="238">
        <v>30</v>
      </c>
      <c r="D13434" s="270">
        <f t="shared" si="2008"/>
        <v>45777</v>
      </c>
      <c r="E13434" s="279">
        <f t="shared" si="2009"/>
        <v>45777</v>
      </c>
      <c r="F13434" s="482" t="s">
        <v>137</v>
      </c>
      <c r="G13434" s="247" t="s">
        <v>94</v>
      </c>
      <c r="H13434" s="247" t="str" cm="1">
        <f t="array" ref="H13434">IFERROR(INDEX(INVESTOR_LIST[INVESTOR NAME],MATCH(I13434,INVESTOR_LIST[INVESTOR CODE],0),)," ")</f>
        <v xml:space="preserve"> </v>
      </c>
      <c r="I13434" s="248" t="s">
        <v>348</v>
      </c>
      <c r="J13434" s="249" t="s">
        <v>97</v>
      </c>
      <c r="K13434" s="250">
        <f>M13434</f>
        <v>59792.387814756017</v>
      </c>
      <c r="L13434" s="252"/>
      <c r="M13434" s="133">
        <v>59792.387814756017</v>
      </c>
    </row>
    <row r="13435" spans="1:13" x14ac:dyDescent="0.2">
      <c r="A13435" s="242">
        <v>2025</v>
      </c>
      <c r="B13435" s="242">
        <v>4</v>
      </c>
      <c r="C13435" s="242">
        <v>30</v>
      </c>
      <c r="D13435" s="270">
        <f t="shared" si="2008"/>
        <v>45777</v>
      </c>
      <c r="E13435" s="279">
        <f t="shared" si="2009"/>
        <v>45777</v>
      </c>
      <c r="F13435" s="478"/>
      <c r="G13435" s="243" t="s">
        <v>94</v>
      </c>
      <c r="H13435" s="243" t="str" cm="1">
        <f t="array" ref="H13435">IFERROR(INDEX(INVESTOR_LIST[INVESTOR NAME],MATCH(I13435,INVESTOR_LIST[INVESTOR CODE],0),)," ")</f>
        <v xml:space="preserve"> </v>
      </c>
      <c r="I13435" s="263" t="s">
        <v>348</v>
      </c>
      <c r="J13435" s="244" t="s">
        <v>47</v>
      </c>
      <c r="K13435" s="245"/>
      <c r="L13435" s="245">
        <f>K13434</f>
        <v>59792.387814756017</v>
      </c>
      <c r="M13435" s="133">
        <v>2749.2347753531858</v>
      </c>
    </row>
    <row r="13436" spans="1:13" x14ac:dyDescent="0.2">
      <c r="A13436" s="246">
        <v>2025</v>
      </c>
      <c r="B13436" s="238">
        <v>4</v>
      </c>
      <c r="C13436" s="238">
        <v>30</v>
      </c>
      <c r="D13436" s="270">
        <f t="shared" si="2008"/>
        <v>45777</v>
      </c>
      <c r="E13436" s="279">
        <f t="shared" si="2009"/>
        <v>45777</v>
      </c>
      <c r="F13436" s="482" t="s">
        <v>138</v>
      </c>
      <c r="G13436" s="247" t="s">
        <v>94</v>
      </c>
      <c r="H13436" s="247" t="str" cm="1">
        <f t="array" ref="H13436">IFERROR(INDEX(INVESTOR_LIST[INVESTOR NAME],MATCH(I13436,INVESTOR_LIST[INVESTOR CODE],0),)," ")</f>
        <v xml:space="preserve"> </v>
      </c>
      <c r="I13436" s="248" t="s">
        <v>348</v>
      </c>
      <c r="J13436" s="249" t="s">
        <v>100</v>
      </c>
      <c r="K13436" s="250">
        <f>M13435</f>
        <v>2749.2347753531858</v>
      </c>
      <c r="L13436" s="252"/>
    </row>
    <row r="13437" spans="1:13" x14ac:dyDescent="0.2">
      <c r="A13437" s="242">
        <v>2025</v>
      </c>
      <c r="B13437" s="242">
        <v>4</v>
      </c>
      <c r="C13437" s="242">
        <v>30</v>
      </c>
      <c r="D13437" s="321">
        <f t="shared" si="2008"/>
        <v>45777</v>
      </c>
      <c r="E13437" s="322">
        <f t="shared" si="2009"/>
        <v>45777</v>
      </c>
      <c r="F13437" s="478"/>
      <c r="G13437" s="243" t="s">
        <v>94</v>
      </c>
      <c r="H13437" s="243" t="str" cm="1">
        <f t="array" ref="H13437">IFERROR(INDEX(INVESTOR_LIST[INVESTOR NAME],MATCH(I13437,INVESTOR_LIST[INVESTOR CODE],0),)," ")</f>
        <v xml:space="preserve"> </v>
      </c>
      <c r="I13437" s="263" t="s">
        <v>348</v>
      </c>
      <c r="J13437" s="244" t="s">
        <v>48</v>
      </c>
      <c r="K13437" s="245"/>
      <c r="L13437" s="245">
        <f>K13436</f>
        <v>2749.2347753531858</v>
      </c>
    </row>
    <row r="13438" spans="1:13" x14ac:dyDescent="0.2">
      <c r="A13438" s="133">
        <v>2025</v>
      </c>
      <c r="B13438" s="133">
        <v>5</v>
      </c>
      <c r="C13438" s="133">
        <v>4</v>
      </c>
      <c r="D13438" s="141">
        <f t="shared" si="2008"/>
        <v>45781</v>
      </c>
      <c r="E13438" s="275">
        <f t="shared" si="2009"/>
        <v>45781</v>
      </c>
      <c r="F13438" s="481" t="s">
        <v>1977</v>
      </c>
      <c r="G13438" s="174" t="s">
        <v>94</v>
      </c>
      <c r="H13438" s="174" t="str" cm="1">
        <f t="array" ref="H13438">IFERROR(INDEX(INVESTOR_LIST[INVESTOR NAME],MATCH(I13438,INVESTOR_LIST[INVESTOR CODE],0),)," ")</f>
        <v xml:space="preserve"> </v>
      </c>
      <c r="J13438" s="149" t="s">
        <v>190</v>
      </c>
      <c r="K13438" s="218">
        <v>375566</v>
      </c>
      <c r="L13438" s="133"/>
    </row>
    <row r="13439" spans="1:13" x14ac:dyDescent="0.2">
      <c r="A13439" s="133">
        <v>2025</v>
      </c>
      <c r="B13439" s="133">
        <v>5</v>
      </c>
      <c r="C13439" s="133">
        <v>4</v>
      </c>
      <c r="D13439" s="141">
        <f t="shared" si="2008"/>
        <v>45781</v>
      </c>
      <c r="E13439" s="275">
        <f t="shared" si="2009"/>
        <v>45781</v>
      </c>
      <c r="F13439" s="481"/>
      <c r="G13439" s="174" t="s">
        <v>94</v>
      </c>
      <c r="H13439" s="174" t="str" cm="1">
        <f t="array" ref="H13439">IFERROR(INDEX(INVESTOR_LIST[INVESTOR NAME],MATCH(I13439,INVESTOR_LIST[INVESTOR CODE],0),)," ")</f>
        <v xml:space="preserve"> </v>
      </c>
      <c r="J13439" s="149" t="s">
        <v>80</v>
      </c>
      <c r="K13439" s="218">
        <v>677.8</v>
      </c>
      <c r="L13439" s="218"/>
      <c r="M13439" s="176"/>
    </row>
    <row r="13440" spans="1:13" x14ac:dyDescent="0.2">
      <c r="A13440" s="133">
        <v>2025</v>
      </c>
      <c r="B13440" s="133">
        <v>5</v>
      </c>
      <c r="C13440" s="133">
        <v>4</v>
      </c>
      <c r="D13440" s="141">
        <f t="shared" si="2008"/>
        <v>45781</v>
      </c>
      <c r="E13440" s="275">
        <f t="shared" si="2009"/>
        <v>45781</v>
      </c>
      <c r="F13440" s="481"/>
      <c r="G13440" s="174" t="s">
        <v>94</v>
      </c>
      <c r="H13440" s="174" t="str" cm="1">
        <f t="array" ref="H13440">IFERROR(INDEX(INVESTOR_LIST[INVESTOR NAME],MATCH(I13440,INVESTOR_LIST[INVESTOR CODE],0),)," ")</f>
        <v xml:space="preserve"> </v>
      </c>
      <c r="J13440" s="149" t="s">
        <v>191</v>
      </c>
      <c r="K13440" s="218"/>
      <c r="L13440" s="218">
        <v>26923.8</v>
      </c>
    </row>
    <row r="13441" spans="1:14" x14ac:dyDescent="0.2">
      <c r="A13441" s="163">
        <v>2025</v>
      </c>
      <c r="B13441" s="163">
        <v>5</v>
      </c>
      <c r="C13441" s="163">
        <v>4</v>
      </c>
      <c r="D13441" s="280">
        <f t="shared" si="2008"/>
        <v>45781</v>
      </c>
      <c r="E13441" s="281">
        <f t="shared" si="2009"/>
        <v>45781</v>
      </c>
      <c r="F13441" s="480"/>
      <c r="G13441" s="221" t="s">
        <v>94</v>
      </c>
      <c r="H13441" s="145" t="str" cm="1">
        <f t="array" ref="H13441">IFERROR(INDEX(INVESTOR_LIST[INVESTOR NAME],MATCH(I13441,INVESTOR_LIST[INVESTOR CODE],0),)," ")</f>
        <v xml:space="preserve"> </v>
      </c>
      <c r="I13441" s="145"/>
      <c r="J13441" s="163" t="s">
        <v>79</v>
      </c>
      <c r="K13441" s="219"/>
      <c r="L13441" s="219">
        <v>349320</v>
      </c>
    </row>
    <row r="13442" spans="1:14" x14ac:dyDescent="0.2">
      <c r="A13442" s="133">
        <v>2025</v>
      </c>
      <c r="B13442" s="133">
        <v>5</v>
      </c>
      <c r="C13442" s="133">
        <v>4</v>
      </c>
      <c r="D13442" s="141">
        <f t="shared" ref="D13442:D13453" si="2016">DATE(A13442,B13442,C13442)</f>
        <v>45781</v>
      </c>
      <c r="E13442" s="275">
        <f t="shared" ref="E13442:E13453" si="2017">DATE(A13442,B13442,C13442)</f>
        <v>45781</v>
      </c>
      <c r="F13442" s="481" t="s">
        <v>2059</v>
      </c>
      <c r="G13442" s="174" t="s">
        <v>94</v>
      </c>
      <c r="H13442" s="174" t="str" cm="1">
        <f t="array" ref="H13442">IFERROR(INDEX(INVESTOR_LIST[INVESTOR NAME],MATCH(I13442,INVESTOR_LIST[INVESTOR CODE],0),)," ")</f>
        <v xml:space="preserve"> </v>
      </c>
      <c r="J13442" s="149" t="s">
        <v>190</v>
      </c>
      <c r="K13442" s="218">
        <v>1458608.67</v>
      </c>
      <c r="L13442" s="133"/>
    </row>
    <row r="13443" spans="1:14" x14ac:dyDescent="0.2">
      <c r="A13443" s="133">
        <v>2025</v>
      </c>
      <c r="B13443" s="133">
        <v>5</v>
      </c>
      <c r="C13443" s="133">
        <v>4</v>
      </c>
      <c r="D13443" s="141">
        <f t="shared" si="2016"/>
        <v>45781</v>
      </c>
      <c r="E13443" s="275">
        <f t="shared" si="2017"/>
        <v>45781</v>
      </c>
      <c r="F13443" s="481"/>
      <c r="G13443" s="174" t="s">
        <v>94</v>
      </c>
      <c r="H13443" s="174" t="str" cm="1">
        <f t="array" ref="H13443">IFERROR(INDEX(INVESTOR_LIST[INVESTOR NAME],MATCH(I13443,INVESTOR_LIST[INVESTOR CODE],0),)," ")</f>
        <v xml:space="preserve"> </v>
      </c>
      <c r="J13443" s="149" t="s">
        <v>80</v>
      </c>
      <c r="K13443" s="218">
        <v>2630.23</v>
      </c>
      <c r="L13443" s="218"/>
      <c r="M13443" s="176"/>
    </row>
    <row r="13444" spans="1:14" x14ac:dyDescent="0.2">
      <c r="A13444" s="133">
        <v>2025</v>
      </c>
      <c r="B13444" s="133">
        <v>5</v>
      </c>
      <c r="C13444" s="133">
        <v>4</v>
      </c>
      <c r="D13444" s="141">
        <f t="shared" si="2016"/>
        <v>45781</v>
      </c>
      <c r="E13444" s="275">
        <f t="shared" si="2017"/>
        <v>45781</v>
      </c>
      <c r="F13444" s="481"/>
      <c r="G13444" s="174" t="s">
        <v>94</v>
      </c>
      <c r="H13444" s="174" t="str" cm="1">
        <f t="array" ref="H13444">IFERROR(INDEX(INVESTOR_LIST[INVESTOR NAME],MATCH(I13444,INVESTOR_LIST[INVESTOR CODE],0),)," ")</f>
        <v xml:space="preserve"> </v>
      </c>
      <c r="J13444" s="149" t="s">
        <v>191</v>
      </c>
      <c r="K13444" s="218"/>
      <c r="L13444" s="218">
        <v>100858.9</v>
      </c>
    </row>
    <row r="13445" spans="1:14" x14ac:dyDescent="0.2">
      <c r="A13445" s="163">
        <v>2025</v>
      </c>
      <c r="B13445" s="163">
        <v>5</v>
      </c>
      <c r="C13445" s="163">
        <v>4</v>
      </c>
      <c r="D13445" s="280">
        <f t="shared" si="2016"/>
        <v>45781</v>
      </c>
      <c r="E13445" s="281">
        <f t="shared" si="2017"/>
        <v>45781</v>
      </c>
      <c r="F13445" s="480"/>
      <c r="G13445" s="221" t="s">
        <v>94</v>
      </c>
      <c r="H13445" s="145" t="str" cm="1">
        <f t="array" ref="H13445">IFERROR(INDEX(INVESTOR_LIST[INVESTOR NAME],MATCH(I13445,INVESTOR_LIST[INVESTOR CODE],0),)," ")</f>
        <v xml:space="preserve"> </v>
      </c>
      <c r="I13445" s="145"/>
      <c r="J13445" s="163" t="s">
        <v>79</v>
      </c>
      <c r="K13445" s="219"/>
      <c r="L13445" s="219">
        <v>1360380</v>
      </c>
    </row>
    <row r="13446" spans="1:14" ht="11.25" customHeight="1" x14ac:dyDescent="0.2">
      <c r="A13446" s="168">
        <v>2025</v>
      </c>
      <c r="B13446" s="133">
        <v>5</v>
      </c>
      <c r="C13446" s="168">
        <v>4</v>
      </c>
      <c r="D13446" s="141">
        <f t="shared" si="2016"/>
        <v>45781</v>
      </c>
      <c r="E13446" s="275">
        <f t="shared" si="2017"/>
        <v>45781</v>
      </c>
      <c r="F13446" s="479" t="s">
        <v>2031</v>
      </c>
      <c r="G13446" s="220" t="s">
        <v>74</v>
      </c>
      <c r="H13446" s="220" t="str" cm="1">
        <f t="array" ref="H13446">IFERROR(INDEX(INVESTOR_LIST[INVESTOR NAME],MATCH(I13446,INVESTOR_LIST[INVESTOR CODE],0),)," ")</f>
        <v xml:space="preserve"> </v>
      </c>
      <c r="I13446" s="142"/>
      <c r="J13446" s="143" t="s">
        <v>52</v>
      </c>
      <c r="K13446" s="226">
        <v>6399260</v>
      </c>
      <c r="L13446" s="226"/>
    </row>
    <row r="13447" spans="1:14" x14ac:dyDescent="0.2">
      <c r="A13447" s="163">
        <v>2025</v>
      </c>
      <c r="B13447" s="163">
        <v>5</v>
      </c>
      <c r="C13447" s="163">
        <v>4</v>
      </c>
      <c r="D13447" s="280">
        <f t="shared" si="2016"/>
        <v>45781</v>
      </c>
      <c r="E13447" s="281">
        <f t="shared" si="2017"/>
        <v>45781</v>
      </c>
      <c r="F13447" s="480"/>
      <c r="G13447" s="221" t="s">
        <v>74</v>
      </c>
      <c r="H13447" s="221" t="str" cm="1">
        <f t="array" ref="H13447">IFERROR(INDEX(INVESTOR_LIST[INVESTOR NAME],MATCH(I13447,INVESTOR_LIST[INVESTOR CODE],0),)," ")</f>
        <v xml:space="preserve"> </v>
      </c>
      <c r="I13447" s="145"/>
      <c r="J13447" s="146" t="s">
        <v>190</v>
      </c>
      <c r="K13447" s="219"/>
      <c r="L13447" s="219">
        <v>6399260</v>
      </c>
      <c r="N13447" s="264"/>
    </row>
    <row r="13448" spans="1:14" x14ac:dyDescent="0.2">
      <c r="A13448" s="133">
        <v>2025</v>
      </c>
      <c r="B13448" s="168">
        <v>5</v>
      </c>
      <c r="C13448" s="133">
        <v>4</v>
      </c>
      <c r="D13448" s="141">
        <f t="shared" si="2016"/>
        <v>45781</v>
      </c>
      <c r="E13448" s="275">
        <f t="shared" si="2017"/>
        <v>45781</v>
      </c>
      <c r="F13448" s="479" t="s">
        <v>362</v>
      </c>
      <c r="G13448" s="220" t="s">
        <v>74</v>
      </c>
      <c r="H13448" s="220" t="str" cm="1">
        <f t="array" ref="H13448">IFERROR(INDEX(INVESTOR_LIST[INVESTOR NAME],MATCH(I13448,INVESTOR_LIST[INVESTOR CODE],0),)," ")</f>
        <v xml:space="preserve"> </v>
      </c>
      <c r="I13448" s="142" t="s">
        <v>348</v>
      </c>
      <c r="J13448" s="143" t="s">
        <v>104</v>
      </c>
      <c r="K13448" s="226">
        <v>1013.92</v>
      </c>
      <c r="L13448" s="226"/>
    </row>
    <row r="13449" spans="1:14" x14ac:dyDescent="0.2">
      <c r="A13449" s="133">
        <v>2025</v>
      </c>
      <c r="B13449" s="133">
        <v>5</v>
      </c>
      <c r="C13449" s="133">
        <v>4</v>
      </c>
      <c r="D13449" s="280">
        <f t="shared" si="2016"/>
        <v>45781</v>
      </c>
      <c r="E13449" s="281">
        <f t="shared" si="2017"/>
        <v>45781</v>
      </c>
      <c r="F13449" s="481"/>
      <c r="G13449" s="174" t="s">
        <v>74</v>
      </c>
      <c r="H13449" s="174" t="str" cm="1">
        <f t="array" ref="H13449">IFERROR(INDEX(INVESTOR_LIST[INVESTOR NAME],MATCH(I13449,INVESTOR_LIST[INVESTOR CODE],0),)," ")</f>
        <v xml:space="preserve"> </v>
      </c>
      <c r="J13449" s="149" t="s">
        <v>534</v>
      </c>
      <c r="K13449" s="218"/>
      <c r="L13449" s="218">
        <v>101.39</v>
      </c>
    </row>
    <row r="13450" spans="1:14" x14ac:dyDescent="0.2">
      <c r="A13450" s="163">
        <v>2025</v>
      </c>
      <c r="B13450" s="163">
        <v>5</v>
      </c>
      <c r="C13450" s="163">
        <v>4</v>
      </c>
      <c r="D13450" s="144">
        <f t="shared" si="2016"/>
        <v>45781</v>
      </c>
      <c r="E13450" s="313">
        <f t="shared" si="2017"/>
        <v>45781</v>
      </c>
      <c r="F13450" s="480"/>
      <c r="G13450" s="221" t="s">
        <v>74</v>
      </c>
      <c r="H13450" s="221" t="str" cm="1">
        <f t="array" ref="H13450">IFERROR(INDEX(INVESTOR_LIST[INVESTOR NAME],MATCH(I13450,INVESTOR_LIST[INVESTOR CODE],0),)," ")</f>
        <v xml:space="preserve"> </v>
      </c>
      <c r="I13450" s="145" t="s">
        <v>348</v>
      </c>
      <c r="J13450" s="146" t="s">
        <v>52</v>
      </c>
      <c r="K13450" s="219"/>
      <c r="L13450" s="219">
        <v>912.53</v>
      </c>
    </row>
    <row r="13451" spans="1:14" ht="11.25" customHeight="1" x14ac:dyDescent="0.2">
      <c r="A13451" s="168">
        <v>2025</v>
      </c>
      <c r="B13451" s="168">
        <v>5</v>
      </c>
      <c r="C13451" s="133">
        <v>4</v>
      </c>
      <c r="D13451" s="141">
        <f t="shared" si="2016"/>
        <v>45781</v>
      </c>
      <c r="E13451" s="275">
        <f t="shared" si="2017"/>
        <v>45781</v>
      </c>
      <c r="F13451" s="479" t="s">
        <v>964</v>
      </c>
      <c r="G13451" s="220" t="s">
        <v>74</v>
      </c>
      <c r="H13451" s="142" t="str" cm="1">
        <f t="array" ref="H13451">IFERROR(INDEX(INVESTOR_LIST[INVESTOR NAME],MATCH(I13451,INVESTOR_LIST[INVESTOR CODE],0),)," ")</f>
        <v xml:space="preserve"> </v>
      </c>
      <c r="I13451" s="142"/>
      <c r="J13451" s="168" t="s">
        <v>52</v>
      </c>
      <c r="K13451" s="226">
        <v>25000</v>
      </c>
      <c r="L13451" s="226"/>
    </row>
    <row r="13452" spans="1:14" ht="11.25" customHeight="1" x14ac:dyDescent="0.2">
      <c r="A13452" s="133">
        <v>2025</v>
      </c>
      <c r="B13452" s="133">
        <v>5</v>
      </c>
      <c r="C13452" s="133">
        <v>4</v>
      </c>
      <c r="D13452" s="141">
        <f t="shared" si="2016"/>
        <v>45781</v>
      </c>
      <c r="E13452" s="275">
        <f t="shared" si="2017"/>
        <v>45781</v>
      </c>
      <c r="F13452" s="481"/>
      <c r="G13452" s="174" t="s">
        <v>74</v>
      </c>
      <c r="H13452" s="148" t="str" cm="1">
        <f t="array" ref="H13452">IFERROR(INDEX(INVESTOR_LIST[INVESTOR NAME],MATCH(I13452,INVESTOR_LIST[INVESTOR CODE],0),)," ")</f>
        <v xml:space="preserve"> </v>
      </c>
      <c r="J13452" s="133" t="s">
        <v>13</v>
      </c>
      <c r="K13452" s="218"/>
      <c r="L13452" s="218">
        <v>19790</v>
      </c>
    </row>
    <row r="13453" spans="1:14" ht="11.25" customHeight="1" x14ac:dyDescent="0.2">
      <c r="A13453" s="163">
        <v>2025</v>
      </c>
      <c r="B13453" s="163">
        <v>5</v>
      </c>
      <c r="C13453" s="163">
        <v>4</v>
      </c>
      <c r="D13453" s="280">
        <f t="shared" si="2016"/>
        <v>45781</v>
      </c>
      <c r="E13453" s="281">
        <f t="shared" si="2017"/>
        <v>45781</v>
      </c>
      <c r="F13453" s="480"/>
      <c r="G13453" s="221" t="s">
        <v>74</v>
      </c>
      <c r="H13453" s="145" t="str" cm="1">
        <f t="array" ref="H13453">IFERROR(INDEX(INVESTOR_LIST[INVESTOR NAME],MATCH(I13453,INVESTOR_LIST[INVESTOR CODE],0),)," ")</f>
        <v xml:space="preserve"> </v>
      </c>
      <c r="I13453" s="145"/>
      <c r="J13453" s="163" t="s">
        <v>53</v>
      </c>
      <c r="K13453" s="219"/>
      <c r="L13453" s="219">
        <v>5210</v>
      </c>
    </row>
    <row r="13454" spans="1:14" x14ac:dyDescent="0.2">
      <c r="A13454" s="168">
        <v>2025</v>
      </c>
      <c r="B13454" s="168">
        <v>5</v>
      </c>
      <c r="C13454" s="168">
        <v>5</v>
      </c>
      <c r="D13454" s="141">
        <f>DATE(A13454,B13454,C13454)</f>
        <v>45782</v>
      </c>
      <c r="E13454" s="275">
        <f>DATE(A13454,B13454,C13454)</f>
        <v>45782</v>
      </c>
      <c r="F13454" s="479" t="s">
        <v>1974</v>
      </c>
      <c r="G13454" s="220" t="s">
        <v>94</v>
      </c>
      <c r="H13454" s="220" t="str" cm="1">
        <f t="array" ref="H13454">IFERROR(INDEX(INVESTOR_LIST[INVESTOR NAME],MATCH(I13454,INVESTOR_LIST[INVESTOR CODE],0),)," ")</f>
        <v xml:space="preserve"> </v>
      </c>
      <c r="I13454" s="142"/>
      <c r="J13454" s="143" t="s">
        <v>79</v>
      </c>
      <c r="K13454" s="226">
        <v>731000</v>
      </c>
      <c r="L13454" s="226"/>
      <c r="M13454" s="160"/>
    </row>
    <row r="13455" spans="1:14" x14ac:dyDescent="0.2">
      <c r="A13455" s="133">
        <v>2025</v>
      </c>
      <c r="B13455" s="133">
        <v>5</v>
      </c>
      <c r="C13455" s="133">
        <v>5</v>
      </c>
      <c r="D13455" s="141">
        <f>DATE(A13455,B13455,C13455)</f>
        <v>45782</v>
      </c>
      <c r="E13455" s="275">
        <f>DATE(A13455,B13455,C13455)</f>
        <v>45782</v>
      </c>
      <c r="F13455" s="481"/>
      <c r="G13455" s="174" t="s">
        <v>94</v>
      </c>
      <c r="H13455" s="174" t="str" cm="1">
        <f t="array" ref="H13455">IFERROR(INDEX(INVESTOR_LIST[INVESTOR NAME],MATCH(I13455,INVESTOR_LIST[INVESTOR CODE],0),)," ")</f>
        <v xml:space="preserve"> </v>
      </c>
      <c r="J13455" s="149" t="s">
        <v>80</v>
      </c>
      <c r="K13455" s="218">
        <v>1315.8</v>
      </c>
      <c r="L13455" s="133"/>
    </row>
    <row r="13456" spans="1:14" x14ac:dyDescent="0.2">
      <c r="A13456" s="163">
        <v>2025</v>
      </c>
      <c r="B13456" s="163">
        <v>5</v>
      </c>
      <c r="C13456" s="163">
        <v>5</v>
      </c>
      <c r="D13456" s="280">
        <f>DATE(A13456,B13456,C13456)</f>
        <v>45782</v>
      </c>
      <c r="E13456" s="281">
        <f>DATE(A13456,B13456,C13456)</f>
        <v>45782</v>
      </c>
      <c r="F13456" s="480"/>
      <c r="G13456" s="221" t="s">
        <v>94</v>
      </c>
      <c r="H13456" s="221" t="str" cm="1">
        <f t="array" ref="H13456">IFERROR(INDEX(INVESTOR_LIST[INVESTOR NAME],MATCH(I13456,INVESTOR_LIST[INVESTOR CODE],0),)," ")</f>
        <v xml:space="preserve"> </v>
      </c>
      <c r="I13456" s="145"/>
      <c r="J13456" s="146" t="s">
        <v>147</v>
      </c>
      <c r="K13456" s="219"/>
      <c r="L13456" s="219">
        <v>732315.8</v>
      </c>
    </row>
    <row r="13457" spans="1:14" x14ac:dyDescent="0.2">
      <c r="A13457" s="133">
        <v>2025</v>
      </c>
      <c r="B13457" s="133">
        <v>5</v>
      </c>
      <c r="C13457" s="133">
        <v>5</v>
      </c>
      <c r="D13457" s="141">
        <f t="shared" ref="D13457:D13461" si="2018">DATE(A13457,B13457,C13457)</f>
        <v>45782</v>
      </c>
      <c r="E13457" s="275">
        <f t="shared" ref="E13457:E13461" si="2019">DATE(A13457,B13457,C13457)</f>
        <v>45782</v>
      </c>
      <c r="F13457" s="481" t="s">
        <v>2060</v>
      </c>
      <c r="G13457" s="174" t="s">
        <v>94</v>
      </c>
      <c r="H13457" s="174" t="str" cm="1">
        <f t="array" ref="H13457">IFERROR(INDEX(INVESTOR_LIST[INVESTOR NAME],MATCH(I13457,INVESTOR_LIST[INVESTOR CODE],0),)," ")</f>
        <v xml:space="preserve"> </v>
      </c>
      <c r="J13457" s="149" t="s">
        <v>79</v>
      </c>
      <c r="K13457" s="218">
        <v>1288416</v>
      </c>
      <c r="L13457" s="218"/>
      <c r="M13457" s="160"/>
    </row>
    <row r="13458" spans="1:14" x14ac:dyDescent="0.2">
      <c r="A13458" s="133">
        <v>2025</v>
      </c>
      <c r="B13458" s="133">
        <v>5</v>
      </c>
      <c r="C13458" s="133">
        <v>5</v>
      </c>
      <c r="D13458" s="141">
        <f t="shared" si="2018"/>
        <v>45782</v>
      </c>
      <c r="E13458" s="275">
        <f t="shared" si="2019"/>
        <v>45782</v>
      </c>
      <c r="F13458" s="481"/>
      <c r="G13458" s="174" t="s">
        <v>94</v>
      </c>
      <c r="H13458" s="174" t="str" cm="1">
        <f t="array" ref="H13458">IFERROR(INDEX(INVESTOR_LIST[INVESTOR NAME],MATCH(I13458,INVESTOR_LIST[INVESTOR CODE],0),)," ")</f>
        <v xml:space="preserve"> </v>
      </c>
      <c r="J13458" s="149" t="s">
        <v>80</v>
      </c>
      <c r="K13458" s="218">
        <v>8359.48</v>
      </c>
      <c r="L13458" s="133"/>
    </row>
    <row r="13459" spans="1:14" x14ac:dyDescent="0.2">
      <c r="A13459" s="133">
        <v>2025</v>
      </c>
      <c r="B13459" s="133">
        <v>5</v>
      </c>
      <c r="C13459" s="133">
        <v>5</v>
      </c>
      <c r="D13459" s="141">
        <f t="shared" si="2018"/>
        <v>45782</v>
      </c>
      <c r="E13459" s="275">
        <f t="shared" si="2019"/>
        <v>45782</v>
      </c>
      <c r="F13459" s="481"/>
      <c r="G13459" s="174" t="s">
        <v>94</v>
      </c>
      <c r="H13459" s="174" t="str" cm="1">
        <f t="array" ref="H13459">IFERROR(INDEX(INVESTOR_LIST[INVESTOR NAME],MATCH(I13459,INVESTOR_LIST[INVESTOR CODE],0),)," ")</f>
        <v xml:space="preserve"> </v>
      </c>
      <c r="J13459" s="149" t="s">
        <v>190</v>
      </c>
      <c r="K13459" s="218">
        <v>2058960.73</v>
      </c>
      <c r="L13459" s="218"/>
    </row>
    <row r="13460" spans="1:14" x14ac:dyDescent="0.2">
      <c r="A13460" s="133">
        <v>2025</v>
      </c>
      <c r="B13460" s="133">
        <v>5</v>
      </c>
      <c r="C13460" s="133">
        <v>5</v>
      </c>
      <c r="D13460" s="141">
        <f t="shared" si="2018"/>
        <v>45782</v>
      </c>
      <c r="E13460" s="275">
        <f t="shared" si="2019"/>
        <v>45782</v>
      </c>
      <c r="F13460" s="481"/>
      <c r="G13460" s="174" t="s">
        <v>94</v>
      </c>
      <c r="H13460" s="174" t="str" cm="1">
        <f t="array" ref="H13460">IFERROR(INDEX(INVESTOR_LIST[INVESTOR NAME],MATCH(I13460,INVESTOR_LIST[INVESTOR CODE],0),)," ")</f>
        <v xml:space="preserve"> </v>
      </c>
      <c r="J13460" s="149" t="s">
        <v>191</v>
      </c>
      <c r="K13460" s="218"/>
      <c r="L13460" s="218">
        <v>157631.25</v>
      </c>
    </row>
    <row r="13461" spans="1:14" x14ac:dyDescent="0.2">
      <c r="A13461" s="163">
        <v>2025</v>
      </c>
      <c r="B13461" s="163">
        <v>5</v>
      </c>
      <c r="C13461" s="163">
        <v>5</v>
      </c>
      <c r="D13461" s="280">
        <f t="shared" si="2018"/>
        <v>45782</v>
      </c>
      <c r="E13461" s="281">
        <f t="shared" si="2019"/>
        <v>45782</v>
      </c>
      <c r="F13461" s="480"/>
      <c r="G13461" s="221" t="s">
        <v>94</v>
      </c>
      <c r="H13461" s="145" t="str" cm="1">
        <f t="array" ref="H13461">IFERROR(INDEX(INVESTOR_LIST[INVESTOR NAME],MATCH(I13461,INVESTOR_LIST[INVESTOR CODE],0),)," ")</f>
        <v xml:space="preserve"> </v>
      </c>
      <c r="I13461" s="145"/>
      <c r="J13461" s="163" t="s">
        <v>79</v>
      </c>
      <c r="K13461" s="219"/>
      <c r="L13461" s="219">
        <v>3198104.95</v>
      </c>
    </row>
    <row r="13462" spans="1:14" x14ac:dyDescent="0.2">
      <c r="A13462" s="168">
        <v>2025</v>
      </c>
      <c r="B13462" s="168">
        <v>5</v>
      </c>
      <c r="C13462" s="168">
        <v>5</v>
      </c>
      <c r="D13462" s="141">
        <f>DATE(A13462,B13462,C13462)</f>
        <v>45782</v>
      </c>
      <c r="E13462" s="275">
        <f>DATE(A13462,B13462,C13462)</f>
        <v>45782</v>
      </c>
      <c r="F13462" s="479" t="s">
        <v>1979</v>
      </c>
      <c r="G13462" s="220" t="s">
        <v>94</v>
      </c>
      <c r="H13462" s="220" t="str" cm="1">
        <f t="array" ref="H13462">IFERROR(INDEX(INVESTOR_LIST[INVESTOR NAME],MATCH(I13462,INVESTOR_LIST[INVESTOR CODE],0),)," ")</f>
        <v xml:space="preserve"> </v>
      </c>
      <c r="I13462" s="142"/>
      <c r="J13462" s="143" t="s">
        <v>79</v>
      </c>
      <c r="K13462" s="226">
        <v>731000</v>
      </c>
      <c r="L13462" s="226"/>
      <c r="M13462" s="160"/>
    </row>
    <row r="13463" spans="1:14" x14ac:dyDescent="0.2">
      <c r="A13463" s="133">
        <v>2025</v>
      </c>
      <c r="B13463" s="133">
        <v>5</v>
      </c>
      <c r="C13463" s="133">
        <v>5</v>
      </c>
      <c r="D13463" s="141">
        <f>DATE(A13463,B13463,C13463)</f>
        <v>45782</v>
      </c>
      <c r="E13463" s="275">
        <f>DATE(A13463,B13463,C13463)</f>
        <v>45782</v>
      </c>
      <c r="F13463" s="481"/>
      <c r="G13463" s="174" t="s">
        <v>94</v>
      </c>
      <c r="H13463" s="174" t="str" cm="1">
        <f t="array" ref="H13463">IFERROR(INDEX(INVESTOR_LIST[INVESTOR NAME],MATCH(I13463,INVESTOR_LIST[INVESTOR CODE],0),)," ")</f>
        <v xml:space="preserve"> </v>
      </c>
      <c r="J13463" s="149" t="s">
        <v>80</v>
      </c>
      <c r="K13463" s="218">
        <v>1315.8</v>
      </c>
      <c r="L13463" s="133"/>
    </row>
    <row r="13464" spans="1:14" x14ac:dyDescent="0.2">
      <c r="A13464" s="163">
        <v>2025</v>
      </c>
      <c r="B13464" s="163">
        <v>5</v>
      </c>
      <c r="C13464" s="163">
        <v>5</v>
      </c>
      <c r="D13464" s="280">
        <f>DATE(A13464,B13464,C13464)</f>
        <v>45782</v>
      </c>
      <c r="E13464" s="281">
        <f>DATE(A13464,B13464,C13464)</f>
        <v>45782</v>
      </c>
      <c r="F13464" s="480"/>
      <c r="G13464" s="221" t="s">
        <v>94</v>
      </c>
      <c r="H13464" s="221" t="str" cm="1">
        <f t="array" ref="H13464">IFERROR(INDEX(INVESTOR_LIST[INVESTOR NAME],MATCH(I13464,INVESTOR_LIST[INVESTOR CODE],0),)," ")</f>
        <v xml:space="preserve"> </v>
      </c>
      <c r="I13464" s="145"/>
      <c r="J13464" s="146" t="s">
        <v>147</v>
      </c>
      <c r="K13464" s="219"/>
      <c r="L13464" s="219">
        <v>732315.8</v>
      </c>
    </row>
    <row r="13465" spans="1:14" ht="11.25" customHeight="1" x14ac:dyDescent="0.2">
      <c r="A13465" s="168">
        <v>2025</v>
      </c>
      <c r="B13465" s="168">
        <v>5</v>
      </c>
      <c r="C13465" s="168">
        <v>5</v>
      </c>
      <c r="D13465" s="141">
        <f t="shared" ref="D13465:D13492" si="2020">DATE(A13465,B13465,C13465)</f>
        <v>45782</v>
      </c>
      <c r="E13465" s="275">
        <f t="shared" ref="E13465:E13492" si="2021">DATE(A13465,B13465,C13465)</f>
        <v>45782</v>
      </c>
      <c r="F13465" s="479" t="s">
        <v>2061</v>
      </c>
      <c r="G13465" s="220" t="s">
        <v>74</v>
      </c>
      <c r="H13465" s="220"/>
      <c r="I13465" s="142"/>
      <c r="J13465" s="143" t="s">
        <v>52</v>
      </c>
      <c r="K13465" s="226">
        <v>5995000</v>
      </c>
      <c r="L13465" s="226"/>
      <c r="N13465" s="160"/>
    </row>
    <row r="13466" spans="1:14" ht="11.25" customHeight="1" x14ac:dyDescent="0.2">
      <c r="A13466" s="133">
        <v>2025</v>
      </c>
      <c r="B13466" s="133">
        <v>5</v>
      </c>
      <c r="C13466" s="133">
        <v>5</v>
      </c>
      <c r="D13466" s="141">
        <f t="shared" si="2020"/>
        <v>45782</v>
      </c>
      <c r="E13466" s="275">
        <f t="shared" si="2021"/>
        <v>45782</v>
      </c>
      <c r="F13466" s="481"/>
      <c r="G13466" s="174" t="s">
        <v>74</v>
      </c>
      <c r="H13466" s="174"/>
      <c r="J13466" s="149" t="s">
        <v>61</v>
      </c>
      <c r="K13466" s="218">
        <v>5000</v>
      </c>
      <c r="L13466" s="218"/>
      <c r="N13466" s="160"/>
    </row>
    <row r="13467" spans="1:14" x14ac:dyDescent="0.2">
      <c r="A13467" s="163">
        <v>2025</v>
      </c>
      <c r="B13467" s="163">
        <v>5</v>
      </c>
      <c r="C13467" s="163">
        <v>5</v>
      </c>
      <c r="D13467" s="280">
        <f t="shared" si="2020"/>
        <v>45782</v>
      </c>
      <c r="E13467" s="281">
        <f t="shared" si="2021"/>
        <v>45782</v>
      </c>
      <c r="F13467" s="480"/>
      <c r="G13467" s="221" t="s">
        <v>74</v>
      </c>
      <c r="H13467" s="221"/>
      <c r="I13467" s="145"/>
      <c r="J13467" s="163" t="s">
        <v>96</v>
      </c>
      <c r="K13467" s="219"/>
      <c r="L13467" s="219">
        <v>6000000</v>
      </c>
      <c r="N13467" s="160"/>
    </row>
    <row r="13468" spans="1:14" ht="11.25" customHeight="1" x14ac:dyDescent="0.2">
      <c r="A13468" s="168">
        <v>2025</v>
      </c>
      <c r="B13468" s="168">
        <v>5</v>
      </c>
      <c r="C13468" s="168">
        <v>5</v>
      </c>
      <c r="D13468" s="141">
        <f t="shared" si="2020"/>
        <v>45782</v>
      </c>
      <c r="E13468" s="275">
        <f t="shared" si="2021"/>
        <v>45782</v>
      </c>
      <c r="F13468" s="479" t="s">
        <v>1319</v>
      </c>
      <c r="G13468" s="220" t="s">
        <v>74</v>
      </c>
      <c r="H13468" s="142" t="str" cm="1">
        <f t="array" ref="H13468">IFERROR(INDEX(INVESTOR_LIST[INVESTOR NAME],MATCH(I13468,INVESTOR_LIST[INVESTOR CODE],0),)," ")</f>
        <v xml:space="preserve"> </v>
      </c>
      <c r="I13468" s="142"/>
      <c r="J13468" s="168" t="s">
        <v>52</v>
      </c>
      <c r="K13468" s="226">
        <v>12000</v>
      </c>
      <c r="L13468" s="226"/>
    </row>
    <row r="13469" spans="1:14" ht="11.25" customHeight="1" x14ac:dyDescent="0.2">
      <c r="A13469" s="133">
        <v>2025</v>
      </c>
      <c r="B13469" s="133">
        <v>5</v>
      </c>
      <c r="C13469" s="133">
        <v>5</v>
      </c>
      <c r="D13469" s="141">
        <f t="shared" si="2020"/>
        <v>45782</v>
      </c>
      <c r="E13469" s="275">
        <f t="shared" si="2021"/>
        <v>45782</v>
      </c>
      <c r="F13469" s="481"/>
      <c r="G13469" s="174" t="s">
        <v>74</v>
      </c>
      <c r="H13469" s="148" t="str" cm="1">
        <f t="array" ref="H13469">IFERROR(INDEX(INVESTOR_LIST[INVESTOR NAME],MATCH(I13469,INVESTOR_LIST[INVESTOR CODE],0),)," ")</f>
        <v xml:space="preserve"> </v>
      </c>
      <c r="J13469" s="133" t="s">
        <v>13</v>
      </c>
      <c r="K13469" s="218"/>
      <c r="L13469" s="218">
        <v>9500</v>
      </c>
    </row>
    <row r="13470" spans="1:14" ht="11.25" customHeight="1" x14ac:dyDescent="0.2">
      <c r="A13470" s="163">
        <v>2025</v>
      </c>
      <c r="B13470" s="163">
        <v>5</v>
      </c>
      <c r="C13470" s="163">
        <v>5</v>
      </c>
      <c r="D13470" s="280">
        <f t="shared" si="2020"/>
        <v>45782</v>
      </c>
      <c r="E13470" s="281">
        <f t="shared" si="2021"/>
        <v>45782</v>
      </c>
      <c r="F13470" s="480"/>
      <c r="G13470" s="221" t="s">
        <v>74</v>
      </c>
      <c r="H13470" s="145" t="str" cm="1">
        <f t="array" ref="H13470">IFERROR(INDEX(INVESTOR_LIST[INVESTOR NAME],MATCH(I13470,INVESTOR_LIST[INVESTOR CODE],0),)," ")</f>
        <v xml:space="preserve"> </v>
      </c>
      <c r="I13470" s="145"/>
      <c r="J13470" s="163" t="s">
        <v>53</v>
      </c>
      <c r="K13470" s="219"/>
      <c r="L13470" s="219">
        <v>2500</v>
      </c>
    </row>
    <row r="13471" spans="1:14" ht="11.25" customHeight="1" x14ac:dyDescent="0.2">
      <c r="A13471" s="168">
        <v>2025</v>
      </c>
      <c r="B13471" s="133">
        <v>5</v>
      </c>
      <c r="C13471" s="168">
        <v>6</v>
      </c>
      <c r="D13471" s="141">
        <f t="shared" si="2020"/>
        <v>45783</v>
      </c>
      <c r="E13471" s="275">
        <f t="shared" si="2021"/>
        <v>45783</v>
      </c>
      <c r="F13471" s="479" t="s">
        <v>2031</v>
      </c>
      <c r="G13471" s="220" t="s">
        <v>74</v>
      </c>
      <c r="H13471" s="220" t="str" cm="1">
        <f t="array" ref="H13471">IFERROR(INDEX(INVESTOR_LIST[INVESTOR NAME],MATCH(I13471,INVESTOR_LIST[INVESTOR CODE],0),)," ")</f>
        <v xml:space="preserve"> </v>
      </c>
      <c r="I13471" s="142"/>
      <c r="J13471" s="143" t="s">
        <v>52</v>
      </c>
      <c r="K13471" s="226">
        <v>5093076</v>
      </c>
      <c r="L13471" s="226"/>
    </row>
    <row r="13472" spans="1:14" x14ac:dyDescent="0.2">
      <c r="A13472" s="163">
        <v>2025</v>
      </c>
      <c r="B13472" s="163">
        <v>5</v>
      </c>
      <c r="C13472" s="163">
        <v>6</v>
      </c>
      <c r="D13472" s="280">
        <f t="shared" si="2020"/>
        <v>45783</v>
      </c>
      <c r="E13472" s="281">
        <f t="shared" si="2021"/>
        <v>45783</v>
      </c>
      <c r="F13472" s="480"/>
      <c r="G13472" s="221" t="s">
        <v>74</v>
      </c>
      <c r="H13472" s="221" t="str" cm="1">
        <f t="array" ref="H13472">IFERROR(INDEX(INVESTOR_LIST[INVESTOR NAME],MATCH(I13472,INVESTOR_LIST[INVESTOR CODE],0),)," ")</f>
        <v xml:space="preserve"> </v>
      </c>
      <c r="I13472" s="145"/>
      <c r="J13472" s="146" t="s">
        <v>190</v>
      </c>
      <c r="K13472" s="219"/>
      <c r="L13472" s="219">
        <v>5093076</v>
      </c>
      <c r="N13472" s="264"/>
    </row>
    <row r="13473" spans="1:14" ht="11.25" customHeight="1" x14ac:dyDescent="0.2">
      <c r="A13473" s="168">
        <v>2025</v>
      </c>
      <c r="B13473" s="133">
        <v>5</v>
      </c>
      <c r="C13473" s="168">
        <v>6</v>
      </c>
      <c r="D13473" s="141">
        <f t="shared" ref="D13473:D13476" si="2022">DATE(A13473,B13473,C13473)</f>
        <v>45783</v>
      </c>
      <c r="E13473" s="275">
        <f t="shared" ref="E13473:E13476" si="2023">DATE(A13473,B13473,C13473)</f>
        <v>45783</v>
      </c>
      <c r="F13473" s="479" t="s">
        <v>2037</v>
      </c>
      <c r="G13473" s="220" t="s">
        <v>74</v>
      </c>
      <c r="H13473" s="220" t="str" cm="1">
        <f t="array" ref="H13473">IFERROR(INDEX(INVESTOR_LIST[INVESTOR NAME],MATCH(I13473,INVESTOR_LIST[INVESTOR CODE],0),)," ")</f>
        <v xml:space="preserve"> </v>
      </c>
      <c r="I13473" s="142"/>
      <c r="J13473" s="143" t="s">
        <v>52</v>
      </c>
      <c r="K13473" s="226">
        <v>455179.2</v>
      </c>
      <c r="L13473" s="226"/>
    </row>
    <row r="13474" spans="1:14" x14ac:dyDescent="0.2">
      <c r="A13474" s="163">
        <v>2025</v>
      </c>
      <c r="B13474" s="163">
        <v>5</v>
      </c>
      <c r="C13474" s="163">
        <v>6</v>
      </c>
      <c r="D13474" s="280">
        <f t="shared" si="2022"/>
        <v>45783</v>
      </c>
      <c r="E13474" s="281">
        <f t="shared" si="2023"/>
        <v>45783</v>
      </c>
      <c r="F13474" s="480"/>
      <c r="G13474" s="221" t="s">
        <v>74</v>
      </c>
      <c r="H13474" s="221" t="str" cm="1">
        <f t="array" ref="H13474">IFERROR(INDEX(INVESTOR_LIST[INVESTOR NAME],MATCH(I13474,INVESTOR_LIST[INVESTOR CODE],0),)," ")</f>
        <v xml:space="preserve"> </v>
      </c>
      <c r="I13474" s="145"/>
      <c r="J13474" s="146" t="s">
        <v>190</v>
      </c>
      <c r="K13474" s="219"/>
      <c r="L13474" s="219">
        <v>455179.2</v>
      </c>
      <c r="N13474" s="264"/>
    </row>
    <row r="13475" spans="1:14" x14ac:dyDescent="0.2">
      <c r="A13475" s="168">
        <v>2025</v>
      </c>
      <c r="B13475" s="133">
        <v>5</v>
      </c>
      <c r="C13475" s="168">
        <v>6</v>
      </c>
      <c r="D13475" s="141">
        <f t="shared" si="2022"/>
        <v>45783</v>
      </c>
      <c r="E13475" s="275">
        <f t="shared" si="2023"/>
        <v>45783</v>
      </c>
      <c r="F13475" s="479" t="s">
        <v>2002</v>
      </c>
      <c r="G13475" s="220" t="s">
        <v>74</v>
      </c>
      <c r="H13475" s="220" t="str" cm="1">
        <f t="array" ref="H13475">IFERROR(INDEX(INVESTOR_LIST[INVESTOR NAME],MATCH(I13475,INVESTOR_LIST[INVESTOR CODE],0),)," ")</f>
        <v xml:space="preserve"> </v>
      </c>
      <c r="I13475" s="142"/>
      <c r="J13475" s="143" t="s">
        <v>147</v>
      </c>
      <c r="K13475" s="226">
        <v>732315.8</v>
      </c>
      <c r="L13475" s="226"/>
    </row>
    <row r="13476" spans="1:14" x14ac:dyDescent="0.2">
      <c r="A13476" s="163">
        <v>2025</v>
      </c>
      <c r="B13476" s="163">
        <v>5</v>
      </c>
      <c r="C13476" s="163">
        <v>6</v>
      </c>
      <c r="D13476" s="280">
        <f t="shared" si="2022"/>
        <v>45783</v>
      </c>
      <c r="E13476" s="281">
        <f t="shared" si="2023"/>
        <v>45783</v>
      </c>
      <c r="F13476" s="480"/>
      <c r="G13476" s="221" t="s">
        <v>74</v>
      </c>
      <c r="H13476" s="221" t="str" cm="1">
        <f t="array" ref="H13476">IFERROR(INDEX(INVESTOR_LIST[INVESTOR NAME],MATCH(I13476,INVESTOR_LIST[INVESTOR CODE],0),)," ")</f>
        <v xml:space="preserve"> </v>
      </c>
      <c r="I13476" s="145" t="s">
        <v>348</v>
      </c>
      <c r="J13476" s="146" t="s">
        <v>52</v>
      </c>
      <c r="K13476" s="219"/>
      <c r="L13476" s="219">
        <v>732315.8</v>
      </c>
    </row>
    <row r="13477" spans="1:14" x14ac:dyDescent="0.2">
      <c r="A13477" s="168">
        <v>2025</v>
      </c>
      <c r="B13477" s="133">
        <v>5</v>
      </c>
      <c r="C13477" s="168">
        <v>6</v>
      </c>
      <c r="D13477" s="141">
        <f t="shared" ref="D13477:D13483" si="2024">DATE(A13477,B13477,C13477)</f>
        <v>45783</v>
      </c>
      <c r="E13477" s="275">
        <f t="shared" ref="E13477:E13483" si="2025">DATE(A13477,B13477,C13477)</f>
        <v>45783</v>
      </c>
      <c r="F13477" s="479" t="s">
        <v>2032</v>
      </c>
      <c r="G13477" s="220" t="s">
        <v>74</v>
      </c>
      <c r="H13477" s="220" t="str" cm="1">
        <f t="array" ref="H13477">IFERROR(INDEX(INVESTOR_LIST[INVESTOR NAME],MATCH(I13477,INVESTOR_LIST[INVESTOR CODE],0),)," ")</f>
        <v xml:space="preserve"> </v>
      </c>
      <c r="I13477" s="142"/>
      <c r="J13477" s="143" t="s">
        <v>147</v>
      </c>
      <c r="K13477" s="226">
        <v>732315.8</v>
      </c>
      <c r="L13477" s="226"/>
    </row>
    <row r="13478" spans="1:14" x14ac:dyDescent="0.2">
      <c r="A13478" s="163">
        <v>2025</v>
      </c>
      <c r="B13478" s="163">
        <v>5</v>
      </c>
      <c r="C13478" s="163">
        <v>6</v>
      </c>
      <c r="D13478" s="280">
        <f t="shared" si="2024"/>
        <v>45783</v>
      </c>
      <c r="E13478" s="281">
        <f t="shared" si="2025"/>
        <v>45783</v>
      </c>
      <c r="F13478" s="480"/>
      <c r="G13478" s="221" t="s">
        <v>74</v>
      </c>
      <c r="H13478" s="221" t="str" cm="1">
        <f t="array" ref="H13478">IFERROR(INDEX(INVESTOR_LIST[INVESTOR NAME],MATCH(I13478,INVESTOR_LIST[INVESTOR CODE],0),)," ")</f>
        <v xml:space="preserve"> </v>
      </c>
      <c r="I13478" s="145" t="s">
        <v>348</v>
      </c>
      <c r="J13478" s="146" t="s">
        <v>52</v>
      </c>
      <c r="K13478" s="219"/>
      <c r="L13478" s="219">
        <v>732315.8</v>
      </c>
    </row>
    <row r="13479" spans="1:14" ht="11.25" customHeight="1" x14ac:dyDescent="0.2">
      <c r="A13479" s="168">
        <v>2025</v>
      </c>
      <c r="B13479" s="133">
        <v>5</v>
      </c>
      <c r="C13479" s="168">
        <v>6</v>
      </c>
      <c r="D13479" s="141">
        <f t="shared" si="2024"/>
        <v>45783</v>
      </c>
      <c r="E13479" s="275">
        <f t="shared" si="2025"/>
        <v>45783</v>
      </c>
      <c r="F13479" s="479" t="s">
        <v>2031</v>
      </c>
      <c r="G13479" s="220" t="s">
        <v>74</v>
      </c>
      <c r="H13479" s="220" t="str" cm="1">
        <f t="array" ref="H13479">IFERROR(INDEX(INVESTOR_LIST[INVESTOR NAME],MATCH(I13479,INVESTOR_LIST[INVESTOR CODE],0),)," ")</f>
        <v xml:space="preserve"> </v>
      </c>
      <c r="I13479" s="142"/>
      <c r="J13479" s="143" t="s">
        <v>52</v>
      </c>
      <c r="K13479" s="226">
        <v>375566</v>
      </c>
      <c r="L13479" s="226"/>
    </row>
    <row r="13480" spans="1:14" x14ac:dyDescent="0.2">
      <c r="A13480" s="163">
        <v>2025</v>
      </c>
      <c r="B13480" s="163">
        <v>5</v>
      </c>
      <c r="C13480" s="163">
        <v>6</v>
      </c>
      <c r="D13480" s="280">
        <f t="shared" si="2024"/>
        <v>45783</v>
      </c>
      <c r="E13480" s="281">
        <f t="shared" si="2025"/>
        <v>45783</v>
      </c>
      <c r="F13480" s="480"/>
      <c r="G13480" s="221" t="s">
        <v>74</v>
      </c>
      <c r="H13480" s="221" t="str" cm="1">
        <f t="array" ref="H13480">IFERROR(INDEX(INVESTOR_LIST[INVESTOR NAME],MATCH(I13480,INVESTOR_LIST[INVESTOR CODE],0),)," ")</f>
        <v xml:space="preserve"> </v>
      </c>
      <c r="I13480" s="145"/>
      <c r="J13480" s="146" t="s">
        <v>190</v>
      </c>
      <c r="K13480" s="219"/>
      <c r="L13480" s="219">
        <v>375566</v>
      </c>
      <c r="N13480" s="264"/>
    </row>
    <row r="13481" spans="1:14" x14ac:dyDescent="0.2">
      <c r="A13481" s="168">
        <v>2025</v>
      </c>
      <c r="B13481" s="168">
        <v>5</v>
      </c>
      <c r="C13481" s="168">
        <v>6</v>
      </c>
      <c r="D13481" s="141">
        <f t="shared" si="2024"/>
        <v>45783</v>
      </c>
      <c r="E13481" s="275">
        <f t="shared" si="2025"/>
        <v>45783</v>
      </c>
      <c r="F13481" s="479" t="s">
        <v>2063</v>
      </c>
      <c r="G13481" s="174" t="s">
        <v>74</v>
      </c>
      <c r="H13481" s="148" t="str" cm="1">
        <f t="array" ref="H13481">IFERROR(INDEX(INVESTOR_LIST[INVESTOR NAME],MATCH(I13481,INVESTOR_LIST[INVESTOR CODE],0),)," ")</f>
        <v xml:space="preserve"> </v>
      </c>
      <c r="I13481" s="148" t="s">
        <v>348</v>
      </c>
      <c r="J13481" s="133" t="s">
        <v>47</v>
      </c>
      <c r="K13481" s="172">
        <v>200000</v>
      </c>
    </row>
    <row r="13482" spans="1:14" x14ac:dyDescent="0.2">
      <c r="A13482" s="133">
        <v>2025</v>
      </c>
      <c r="B13482" s="133">
        <v>5</v>
      </c>
      <c r="C13482" s="133">
        <v>6</v>
      </c>
      <c r="D13482" s="141">
        <f t="shared" si="2024"/>
        <v>45783</v>
      </c>
      <c r="E13482" s="275">
        <f t="shared" si="2025"/>
        <v>45783</v>
      </c>
      <c r="F13482" s="481"/>
      <c r="G13482" s="174" t="s">
        <v>74</v>
      </c>
      <c r="H13482" s="148" t="str" cm="1">
        <f t="array" ref="H13482">IFERROR(INDEX(INVESTOR_LIST[INVESTOR NAME],MATCH(I13482,INVESTOR_LIST[INVESTOR CODE],0),)," ")</f>
        <v xml:space="preserve"> </v>
      </c>
      <c r="J13482" s="133" t="s">
        <v>534</v>
      </c>
      <c r="K13482" s="218"/>
      <c r="L13482" s="218">
        <v>30000</v>
      </c>
    </row>
    <row r="13483" spans="1:14" x14ac:dyDescent="0.2">
      <c r="A13483" s="163">
        <v>2025</v>
      </c>
      <c r="B13483" s="163">
        <v>5</v>
      </c>
      <c r="C13483" s="163">
        <v>6</v>
      </c>
      <c r="D13483" s="280">
        <f t="shared" si="2024"/>
        <v>45783</v>
      </c>
      <c r="E13483" s="281">
        <f t="shared" si="2025"/>
        <v>45783</v>
      </c>
      <c r="F13483" s="480"/>
      <c r="G13483" s="221" t="s">
        <v>74</v>
      </c>
      <c r="H13483" s="145" t="str" cm="1">
        <f t="array" ref="H13483">IFERROR(INDEX(INVESTOR_LIST[INVESTOR NAME],MATCH(I13483,INVESTOR_LIST[INVESTOR CODE],0),)," ")</f>
        <v xml:space="preserve"> </v>
      </c>
      <c r="I13483" s="145" t="s">
        <v>348</v>
      </c>
      <c r="J13483" s="163" t="s">
        <v>52</v>
      </c>
      <c r="K13483" s="219"/>
      <c r="L13483" s="219">
        <v>170000</v>
      </c>
    </row>
    <row r="13484" spans="1:14" x14ac:dyDescent="0.2">
      <c r="A13484" s="133">
        <v>2025</v>
      </c>
      <c r="B13484" s="133">
        <v>5</v>
      </c>
      <c r="C13484" s="133">
        <v>6</v>
      </c>
      <c r="D13484" s="141">
        <f t="shared" si="2020"/>
        <v>45783</v>
      </c>
      <c r="E13484" s="275">
        <f t="shared" si="2021"/>
        <v>45783</v>
      </c>
      <c r="F13484" s="481" t="s">
        <v>1977</v>
      </c>
      <c r="G13484" s="174" t="s">
        <v>94</v>
      </c>
      <c r="H13484" s="174" t="str" cm="1">
        <f t="array" ref="H13484">IFERROR(INDEX(INVESTOR_LIST[INVESTOR NAME],MATCH(I13484,INVESTOR_LIST[INVESTOR CODE],0),)," ")</f>
        <v xml:space="preserve"> </v>
      </c>
      <c r="J13484" s="149" t="s">
        <v>190</v>
      </c>
      <c r="K13484" s="218">
        <v>573965</v>
      </c>
      <c r="L13484" s="133"/>
    </row>
    <row r="13485" spans="1:14" x14ac:dyDescent="0.2">
      <c r="A13485" s="133">
        <v>2025</v>
      </c>
      <c r="B13485" s="133">
        <v>5</v>
      </c>
      <c r="C13485" s="133">
        <v>6</v>
      </c>
      <c r="D13485" s="141">
        <f t="shared" si="2020"/>
        <v>45783</v>
      </c>
      <c r="E13485" s="275">
        <f t="shared" si="2021"/>
        <v>45783</v>
      </c>
      <c r="F13485" s="481"/>
      <c r="G13485" s="174" t="s">
        <v>94</v>
      </c>
      <c r="H13485" s="174" t="str" cm="1">
        <f t="array" ref="H13485">IFERROR(INDEX(INVESTOR_LIST[INVESTOR NAME],MATCH(I13485,INVESTOR_LIST[INVESTOR CODE],0),)," ")</f>
        <v xml:space="preserve"> </v>
      </c>
      <c r="J13485" s="149" t="s">
        <v>80</v>
      </c>
      <c r="K13485" s="218">
        <v>1035</v>
      </c>
      <c r="L13485" s="218"/>
      <c r="M13485" s="176"/>
    </row>
    <row r="13486" spans="1:14" x14ac:dyDescent="0.2">
      <c r="A13486" s="133">
        <v>2025</v>
      </c>
      <c r="B13486" s="133">
        <v>5</v>
      </c>
      <c r="C13486" s="133">
        <v>6</v>
      </c>
      <c r="D13486" s="141">
        <f t="shared" si="2020"/>
        <v>45783</v>
      </c>
      <c r="E13486" s="275">
        <f t="shared" si="2021"/>
        <v>45783</v>
      </c>
      <c r="F13486" s="481"/>
      <c r="G13486" s="174" t="s">
        <v>94</v>
      </c>
      <c r="H13486" s="174" t="str" cm="1">
        <f t="array" ref="H13486">IFERROR(INDEX(INVESTOR_LIST[INVESTOR NAME],MATCH(I13486,INVESTOR_LIST[INVESTOR CODE],0),)," ")</f>
        <v xml:space="preserve"> </v>
      </c>
      <c r="J13486" s="149" t="s">
        <v>191</v>
      </c>
      <c r="K13486" s="218">
        <v>10350.120000000001</v>
      </c>
      <c r="L13486" s="218"/>
    </row>
    <row r="13487" spans="1:14" x14ac:dyDescent="0.2">
      <c r="A13487" s="163">
        <v>2025</v>
      </c>
      <c r="B13487" s="163">
        <v>5</v>
      </c>
      <c r="C13487" s="163">
        <v>6</v>
      </c>
      <c r="D13487" s="280">
        <f t="shared" si="2020"/>
        <v>45783</v>
      </c>
      <c r="E13487" s="281">
        <f t="shared" si="2021"/>
        <v>45783</v>
      </c>
      <c r="F13487" s="480"/>
      <c r="G13487" s="221" t="s">
        <v>94</v>
      </c>
      <c r="H13487" s="145" t="str" cm="1">
        <f t="array" ref="H13487">IFERROR(INDEX(INVESTOR_LIST[INVESTOR NAME],MATCH(I13487,INVESTOR_LIST[INVESTOR CODE],0),)," ")</f>
        <v xml:space="preserve"> </v>
      </c>
      <c r="I13487" s="145"/>
      <c r="J13487" s="163" t="s">
        <v>79</v>
      </c>
      <c r="K13487" s="219"/>
      <c r="L13487" s="219">
        <v>585350.12</v>
      </c>
    </row>
    <row r="13488" spans="1:14" x14ac:dyDescent="0.2">
      <c r="A13488" s="133">
        <v>2025</v>
      </c>
      <c r="B13488" s="133">
        <v>5</v>
      </c>
      <c r="C13488" s="133">
        <v>6</v>
      </c>
      <c r="D13488" s="141">
        <f t="shared" si="2020"/>
        <v>45783</v>
      </c>
      <c r="E13488" s="275">
        <f t="shared" si="2021"/>
        <v>45783</v>
      </c>
      <c r="F13488" s="481" t="s">
        <v>2060</v>
      </c>
      <c r="G13488" s="174" t="s">
        <v>94</v>
      </c>
      <c r="H13488" s="174" t="str" cm="1">
        <f t="array" ref="H13488">IFERROR(INDEX(INVESTOR_LIST[INVESTOR NAME],MATCH(I13488,INVESTOR_LIST[INVESTOR CODE],0),)," ")</f>
        <v xml:space="preserve"> </v>
      </c>
      <c r="J13488" s="149" t="s">
        <v>79</v>
      </c>
      <c r="K13488" s="218">
        <v>914000</v>
      </c>
      <c r="L13488" s="218"/>
      <c r="M13488" s="160"/>
    </row>
    <row r="13489" spans="1:13" x14ac:dyDescent="0.2">
      <c r="A13489" s="133">
        <v>2025</v>
      </c>
      <c r="B13489" s="133">
        <v>5</v>
      </c>
      <c r="C13489" s="133">
        <v>6</v>
      </c>
      <c r="D13489" s="141">
        <f t="shared" si="2020"/>
        <v>45783</v>
      </c>
      <c r="E13489" s="275">
        <f t="shared" si="2021"/>
        <v>45783</v>
      </c>
      <c r="F13489" s="481"/>
      <c r="G13489" s="174" t="s">
        <v>94</v>
      </c>
      <c r="H13489" s="174" t="str" cm="1">
        <f t="array" ref="H13489">IFERROR(INDEX(INVESTOR_LIST[INVESTOR NAME],MATCH(I13489,INVESTOR_LIST[INVESTOR CODE],0),)," ")</f>
        <v xml:space="preserve"> </v>
      </c>
      <c r="J13489" s="149" t="s">
        <v>80</v>
      </c>
      <c r="K13489" s="218">
        <v>3897.16</v>
      </c>
      <c r="L13489" s="133"/>
    </row>
    <row r="13490" spans="1:13" x14ac:dyDescent="0.2">
      <c r="A13490" s="133">
        <v>2025</v>
      </c>
      <c r="B13490" s="133">
        <v>5</v>
      </c>
      <c r="C13490" s="133">
        <v>6</v>
      </c>
      <c r="D13490" s="141">
        <f t="shared" si="2020"/>
        <v>45783</v>
      </c>
      <c r="E13490" s="275">
        <f t="shared" si="2021"/>
        <v>45783</v>
      </c>
      <c r="F13490" s="481"/>
      <c r="G13490" s="174" t="s">
        <v>94</v>
      </c>
      <c r="H13490" s="174" t="str" cm="1">
        <f t="array" ref="H13490">IFERROR(INDEX(INVESTOR_LIST[INVESTOR NAME],MATCH(I13490,INVESTOR_LIST[INVESTOR CODE],0),)," ")</f>
        <v xml:space="preserve"> </v>
      </c>
      <c r="J13490" s="149" t="s">
        <v>190</v>
      </c>
      <c r="K13490" s="218">
        <v>333189.84000000003</v>
      </c>
      <c r="L13490" s="218"/>
    </row>
    <row r="13491" spans="1:13" x14ac:dyDescent="0.2">
      <c r="A13491" s="133">
        <v>2025</v>
      </c>
      <c r="B13491" s="133">
        <v>5</v>
      </c>
      <c r="C13491" s="133">
        <v>6</v>
      </c>
      <c r="D13491" s="141">
        <f t="shared" si="2020"/>
        <v>45783</v>
      </c>
      <c r="E13491" s="275">
        <f t="shared" si="2021"/>
        <v>45783</v>
      </c>
      <c r="F13491" s="481"/>
      <c r="G13491" s="174" t="s">
        <v>94</v>
      </c>
      <c r="H13491" s="174" t="str" cm="1">
        <f t="array" ref="H13491">IFERROR(INDEX(INVESTOR_LIST[INVESTOR NAME],MATCH(I13491,INVESTOR_LIST[INVESTOR CODE],0),)," ")</f>
        <v xml:space="preserve"> </v>
      </c>
      <c r="J13491" s="149" t="s">
        <v>191</v>
      </c>
      <c r="K13491" s="218">
        <v>139486.75</v>
      </c>
      <c r="L13491" s="218"/>
    </row>
    <row r="13492" spans="1:13" x14ac:dyDescent="0.2">
      <c r="A13492" s="163">
        <v>2025</v>
      </c>
      <c r="B13492" s="163">
        <v>5</v>
      </c>
      <c r="C13492" s="163">
        <v>6</v>
      </c>
      <c r="D13492" s="280">
        <f t="shared" si="2020"/>
        <v>45783</v>
      </c>
      <c r="E13492" s="281">
        <f t="shared" si="2021"/>
        <v>45783</v>
      </c>
      <c r="F13492" s="480"/>
      <c r="G13492" s="221" t="s">
        <v>94</v>
      </c>
      <c r="H13492" s="145" t="str" cm="1">
        <f t="array" ref="H13492">IFERROR(INDEX(INVESTOR_LIST[INVESTOR NAME],MATCH(I13492,INVESTOR_LIST[INVESTOR CODE],0),)," ")</f>
        <v xml:space="preserve"> </v>
      </c>
      <c r="I13492" s="145"/>
      <c r="J13492" s="163" t="s">
        <v>79</v>
      </c>
      <c r="K13492" s="219"/>
      <c r="L13492" s="219">
        <v>1390573.75</v>
      </c>
    </row>
    <row r="13493" spans="1:13" x14ac:dyDescent="0.2">
      <c r="A13493" s="168">
        <v>2025</v>
      </c>
      <c r="B13493" s="168">
        <v>5</v>
      </c>
      <c r="C13493" s="168">
        <v>7</v>
      </c>
      <c r="D13493" s="141">
        <f t="shared" ref="D13493:D13498" si="2026">DATE(A13493,B13493,C13493)</f>
        <v>45784</v>
      </c>
      <c r="E13493" s="275">
        <f t="shared" ref="E13493:E13498" si="2027">DATE(A13493,B13493,C13493)</f>
        <v>45784</v>
      </c>
      <c r="F13493" s="479" t="s">
        <v>1979</v>
      </c>
      <c r="G13493" s="220" t="s">
        <v>94</v>
      </c>
      <c r="H13493" s="220" t="str" cm="1">
        <f t="array" ref="H13493">IFERROR(INDEX(INVESTOR_LIST[INVESTOR NAME],MATCH(I13493,INVESTOR_LIST[INVESTOR CODE],0),)," ")</f>
        <v xml:space="preserve"> </v>
      </c>
      <c r="I13493" s="142"/>
      <c r="J13493" s="143" t="s">
        <v>79</v>
      </c>
      <c r="K13493" s="226">
        <v>509000</v>
      </c>
      <c r="L13493" s="226"/>
      <c r="M13493" s="160"/>
    </row>
    <row r="13494" spans="1:13" x14ac:dyDescent="0.2">
      <c r="A13494" s="133">
        <v>2025</v>
      </c>
      <c r="B13494" s="133">
        <v>5</v>
      </c>
      <c r="C13494" s="133">
        <v>7</v>
      </c>
      <c r="D13494" s="141">
        <f t="shared" si="2026"/>
        <v>45784</v>
      </c>
      <c r="E13494" s="275">
        <f t="shared" si="2027"/>
        <v>45784</v>
      </c>
      <c r="F13494" s="481"/>
      <c r="G13494" s="174" t="s">
        <v>94</v>
      </c>
      <c r="H13494" s="174" t="str" cm="1">
        <f t="array" ref="H13494">IFERROR(INDEX(INVESTOR_LIST[INVESTOR NAME],MATCH(I13494,INVESTOR_LIST[INVESTOR CODE],0),)," ")</f>
        <v xml:space="preserve"> </v>
      </c>
      <c r="J13494" s="149" t="s">
        <v>80</v>
      </c>
      <c r="K13494" s="218">
        <v>916.2</v>
      </c>
      <c r="L13494" s="133"/>
    </row>
    <row r="13495" spans="1:13" x14ac:dyDescent="0.2">
      <c r="A13495" s="163">
        <v>2025</v>
      </c>
      <c r="B13495" s="163">
        <v>5</v>
      </c>
      <c r="C13495" s="163">
        <v>7</v>
      </c>
      <c r="D13495" s="280">
        <f t="shared" si="2026"/>
        <v>45784</v>
      </c>
      <c r="E13495" s="281">
        <f t="shared" si="2027"/>
        <v>45784</v>
      </c>
      <c r="F13495" s="480"/>
      <c r="G13495" s="221" t="s">
        <v>94</v>
      </c>
      <c r="H13495" s="221" t="str" cm="1">
        <f t="array" ref="H13495">IFERROR(INDEX(INVESTOR_LIST[INVESTOR NAME],MATCH(I13495,INVESTOR_LIST[INVESTOR CODE],0),)," ")</f>
        <v xml:space="preserve"> </v>
      </c>
      <c r="I13495" s="145"/>
      <c r="J13495" s="146" t="s">
        <v>147</v>
      </c>
      <c r="K13495" s="219"/>
      <c r="L13495" s="219">
        <v>509916.2</v>
      </c>
    </row>
    <row r="13496" spans="1:13" x14ac:dyDescent="0.2">
      <c r="A13496" s="168">
        <v>2025</v>
      </c>
      <c r="B13496" s="168">
        <v>5</v>
      </c>
      <c r="C13496" s="168">
        <v>7</v>
      </c>
      <c r="D13496" s="141">
        <f t="shared" si="2026"/>
        <v>45784</v>
      </c>
      <c r="E13496" s="275">
        <f t="shared" si="2027"/>
        <v>45784</v>
      </c>
      <c r="F13496" s="479" t="s">
        <v>2062</v>
      </c>
      <c r="G13496" s="220" t="s">
        <v>94</v>
      </c>
      <c r="H13496" s="220" t="str" cm="1">
        <f t="array" ref="H13496">IFERROR(INDEX(INVESTOR_LIST[INVESTOR NAME],MATCH(I13496,INVESTOR_LIST[INVESTOR CODE],0),)," ")</f>
        <v xml:space="preserve"> </v>
      </c>
      <c r="I13496" s="142"/>
      <c r="J13496" s="143" t="s">
        <v>79</v>
      </c>
      <c r="K13496" s="226">
        <v>2824499.6</v>
      </c>
      <c r="L13496" s="226"/>
      <c r="M13496" s="160"/>
    </row>
    <row r="13497" spans="1:13" x14ac:dyDescent="0.2">
      <c r="A13497" s="133">
        <v>2025</v>
      </c>
      <c r="B13497" s="133">
        <v>5</v>
      </c>
      <c r="C13497" s="133">
        <v>7</v>
      </c>
      <c r="D13497" s="141">
        <f t="shared" si="2026"/>
        <v>45784</v>
      </c>
      <c r="E13497" s="275">
        <f t="shared" si="2027"/>
        <v>45784</v>
      </c>
      <c r="F13497" s="481"/>
      <c r="G13497" s="174" t="s">
        <v>94</v>
      </c>
      <c r="H13497" s="174" t="str" cm="1">
        <f t="array" ref="H13497">IFERROR(INDEX(INVESTOR_LIST[INVESTOR NAME],MATCH(I13497,INVESTOR_LIST[INVESTOR CODE],0),)," ")</f>
        <v xml:space="preserve"> </v>
      </c>
      <c r="J13497" s="149" t="s">
        <v>80</v>
      </c>
      <c r="K13497" s="218">
        <v>5084.1000000000004</v>
      </c>
      <c r="L13497" s="133"/>
    </row>
    <row r="13498" spans="1:13" x14ac:dyDescent="0.2">
      <c r="A13498" s="163">
        <v>2025</v>
      </c>
      <c r="B13498" s="163">
        <v>5</v>
      </c>
      <c r="C13498" s="163">
        <v>7</v>
      </c>
      <c r="D13498" s="280">
        <f t="shared" si="2026"/>
        <v>45784</v>
      </c>
      <c r="E13498" s="281">
        <f t="shared" si="2027"/>
        <v>45784</v>
      </c>
      <c r="F13498" s="480"/>
      <c r="G13498" s="221" t="s">
        <v>94</v>
      </c>
      <c r="H13498" s="221" t="str" cm="1">
        <f t="array" ref="H13498">IFERROR(INDEX(INVESTOR_LIST[INVESTOR NAME],MATCH(I13498,INVESTOR_LIST[INVESTOR CODE],0),)," ")</f>
        <v xml:space="preserve"> </v>
      </c>
      <c r="I13498" s="145"/>
      <c r="J13498" s="146" t="s">
        <v>147</v>
      </c>
      <c r="K13498" s="219"/>
      <c r="L13498" s="219">
        <v>2829583.7</v>
      </c>
    </row>
    <row r="13499" spans="1:13" x14ac:dyDescent="0.2">
      <c r="A13499" s="133">
        <v>2025</v>
      </c>
      <c r="B13499" s="133">
        <v>5</v>
      </c>
      <c r="C13499" s="133">
        <v>8</v>
      </c>
      <c r="D13499" s="141">
        <f t="shared" ref="D13499:D13539" si="2028">DATE(A13499,B13499,C13499)</f>
        <v>45785</v>
      </c>
      <c r="E13499" s="275">
        <f t="shared" ref="E13499:E13539" si="2029">DATE(A13499,B13499,C13499)</f>
        <v>45785</v>
      </c>
      <c r="F13499" s="481" t="s">
        <v>2060</v>
      </c>
      <c r="G13499" s="174" t="s">
        <v>94</v>
      </c>
      <c r="H13499" s="174" t="str" cm="1">
        <f t="array" ref="H13499">IFERROR(INDEX(INVESTOR_LIST[INVESTOR NAME],MATCH(I13499,INVESTOR_LIST[INVESTOR CODE],0),)," ")</f>
        <v xml:space="preserve"> </v>
      </c>
      <c r="J13499" s="149" t="s">
        <v>79</v>
      </c>
      <c r="K13499" s="218">
        <v>1557000</v>
      </c>
      <c r="L13499" s="218"/>
      <c r="M13499" s="160"/>
    </row>
    <row r="13500" spans="1:13" x14ac:dyDescent="0.2">
      <c r="A13500" s="133">
        <v>2025</v>
      </c>
      <c r="B13500" s="133">
        <v>5</v>
      </c>
      <c r="C13500" s="133">
        <v>8</v>
      </c>
      <c r="D13500" s="141">
        <f t="shared" si="2028"/>
        <v>45785</v>
      </c>
      <c r="E13500" s="275">
        <f t="shared" si="2029"/>
        <v>45785</v>
      </c>
      <c r="F13500" s="481"/>
      <c r="G13500" s="174" t="s">
        <v>94</v>
      </c>
      <c r="H13500" s="174" t="str" cm="1">
        <f t="array" ref="H13500">IFERROR(INDEX(INVESTOR_LIST[INVESTOR NAME],MATCH(I13500,INVESTOR_LIST[INVESTOR CODE],0),)," ")</f>
        <v xml:space="preserve"> </v>
      </c>
      <c r="J13500" s="149" t="s">
        <v>80</v>
      </c>
      <c r="K13500" s="218">
        <v>4221.1499999999996</v>
      </c>
      <c r="L13500" s="133"/>
    </row>
    <row r="13501" spans="1:13" x14ac:dyDescent="0.2">
      <c r="A13501" s="133">
        <v>2025</v>
      </c>
      <c r="B13501" s="133">
        <v>5</v>
      </c>
      <c r="C13501" s="133">
        <v>8</v>
      </c>
      <c r="D13501" s="141">
        <f t="shared" si="2028"/>
        <v>45785</v>
      </c>
      <c r="E13501" s="275">
        <f t="shared" si="2029"/>
        <v>45785</v>
      </c>
      <c r="F13501" s="481"/>
      <c r="G13501" s="174" t="s">
        <v>94</v>
      </c>
      <c r="H13501" s="174" t="str" cm="1">
        <f t="array" ref="H13501">IFERROR(INDEX(INVESTOR_LIST[INVESTOR NAME],MATCH(I13501,INVESTOR_LIST[INVESTOR CODE],0),)," ")</f>
        <v xml:space="preserve"> </v>
      </c>
      <c r="J13501" s="149" t="s">
        <v>147</v>
      </c>
      <c r="K13501" s="218"/>
      <c r="L13501" s="218">
        <v>773136.15</v>
      </c>
    </row>
    <row r="13502" spans="1:13" x14ac:dyDescent="0.2">
      <c r="A13502" s="133">
        <v>2025</v>
      </c>
      <c r="B13502" s="133">
        <v>5</v>
      </c>
      <c r="C13502" s="133">
        <v>8</v>
      </c>
      <c r="D13502" s="141">
        <f t="shared" si="2028"/>
        <v>45785</v>
      </c>
      <c r="E13502" s="275">
        <f t="shared" si="2029"/>
        <v>45785</v>
      </c>
      <c r="F13502" s="481"/>
      <c r="G13502" s="174" t="s">
        <v>94</v>
      </c>
      <c r="H13502" s="174" t="str" cm="1">
        <f t="array" ref="H13502">IFERROR(INDEX(INVESTOR_LIST[INVESTOR NAME],MATCH(I13502,INVESTOR_LIST[INVESTOR CODE],0),)," ")</f>
        <v xml:space="preserve"> </v>
      </c>
      <c r="J13502" s="149" t="s">
        <v>191</v>
      </c>
      <c r="K13502" s="218"/>
      <c r="L13502" s="218">
        <v>9495</v>
      </c>
    </row>
    <row r="13503" spans="1:13" x14ac:dyDescent="0.2">
      <c r="A13503" s="163">
        <v>2025</v>
      </c>
      <c r="B13503" s="163">
        <v>5</v>
      </c>
      <c r="C13503" s="163">
        <v>8</v>
      </c>
      <c r="D13503" s="280">
        <f t="shared" si="2028"/>
        <v>45785</v>
      </c>
      <c r="E13503" s="281">
        <f t="shared" si="2029"/>
        <v>45785</v>
      </c>
      <c r="F13503" s="480"/>
      <c r="G13503" s="221" t="s">
        <v>94</v>
      </c>
      <c r="H13503" s="145" t="str" cm="1">
        <f t="array" ref="H13503">IFERROR(INDEX(INVESTOR_LIST[INVESTOR NAME],MATCH(I13503,INVESTOR_LIST[INVESTOR CODE],0),)," ")</f>
        <v xml:space="preserve"> </v>
      </c>
      <c r="I13503" s="145"/>
      <c r="J13503" s="163" t="s">
        <v>79</v>
      </c>
      <c r="K13503" s="219"/>
      <c r="L13503" s="219">
        <v>778590</v>
      </c>
    </row>
    <row r="13504" spans="1:13" x14ac:dyDescent="0.2">
      <c r="A13504" s="168">
        <v>2025</v>
      </c>
      <c r="B13504" s="133">
        <v>5</v>
      </c>
      <c r="C13504" s="168">
        <v>8</v>
      </c>
      <c r="D13504" s="141">
        <f t="shared" si="2028"/>
        <v>45785</v>
      </c>
      <c r="E13504" s="275">
        <f t="shared" si="2029"/>
        <v>45785</v>
      </c>
      <c r="F13504" s="479" t="s">
        <v>2002</v>
      </c>
      <c r="G13504" s="220" t="s">
        <v>74</v>
      </c>
      <c r="H13504" s="220" t="str" cm="1">
        <f t="array" ref="H13504">IFERROR(INDEX(INVESTOR_LIST[INVESTOR NAME],MATCH(I13504,INVESTOR_LIST[INVESTOR CODE],0),)," ")</f>
        <v xml:space="preserve"> </v>
      </c>
      <c r="I13504" s="142"/>
      <c r="J13504" s="143" t="s">
        <v>147</v>
      </c>
      <c r="K13504" s="226">
        <v>509916.2</v>
      </c>
      <c r="L13504" s="226"/>
    </row>
    <row r="13505" spans="1:14" x14ac:dyDescent="0.2">
      <c r="A13505" s="163">
        <v>2025</v>
      </c>
      <c r="B13505" s="163">
        <v>5</v>
      </c>
      <c r="C13505" s="163">
        <v>8</v>
      </c>
      <c r="D13505" s="280">
        <f t="shared" si="2028"/>
        <v>45785</v>
      </c>
      <c r="E13505" s="281">
        <f t="shared" si="2029"/>
        <v>45785</v>
      </c>
      <c r="F13505" s="480"/>
      <c r="G13505" s="221" t="s">
        <v>74</v>
      </c>
      <c r="H13505" s="221" t="str" cm="1">
        <f t="array" ref="H13505">IFERROR(INDEX(INVESTOR_LIST[INVESTOR NAME],MATCH(I13505,INVESTOR_LIST[INVESTOR CODE],0),)," ")</f>
        <v xml:space="preserve"> </v>
      </c>
      <c r="I13505" s="145" t="s">
        <v>348</v>
      </c>
      <c r="J13505" s="146" t="s">
        <v>52</v>
      </c>
      <c r="K13505" s="219"/>
      <c r="L13505" s="219">
        <v>509916.2</v>
      </c>
    </row>
    <row r="13506" spans="1:14" ht="11.25" customHeight="1" x14ac:dyDescent="0.2">
      <c r="A13506" s="168">
        <v>2025</v>
      </c>
      <c r="B13506" s="168">
        <v>5</v>
      </c>
      <c r="C13506" s="168">
        <v>8</v>
      </c>
      <c r="D13506" s="141">
        <f t="shared" si="2028"/>
        <v>45785</v>
      </c>
      <c r="E13506" s="275">
        <f t="shared" si="2029"/>
        <v>45785</v>
      </c>
      <c r="F13506" s="479" t="s">
        <v>964</v>
      </c>
      <c r="G13506" s="220" t="s">
        <v>74</v>
      </c>
      <c r="H13506" s="142" t="str" cm="1">
        <f t="array" ref="H13506">IFERROR(INDEX(INVESTOR_LIST[INVESTOR NAME],MATCH(I13506,INVESTOR_LIST[INVESTOR CODE],0),)," ")</f>
        <v xml:space="preserve"> </v>
      </c>
      <c r="I13506" s="142"/>
      <c r="J13506" s="168" t="s">
        <v>52</v>
      </c>
      <c r="K13506" s="226">
        <v>130000</v>
      </c>
      <c r="L13506" s="226"/>
    </row>
    <row r="13507" spans="1:14" ht="11.25" customHeight="1" x14ac:dyDescent="0.2">
      <c r="A13507" s="133">
        <v>2025</v>
      </c>
      <c r="B13507" s="133">
        <v>5</v>
      </c>
      <c r="C13507" s="133">
        <v>8</v>
      </c>
      <c r="D13507" s="141">
        <f t="shared" si="2028"/>
        <v>45785</v>
      </c>
      <c r="E13507" s="275">
        <f t="shared" si="2029"/>
        <v>45785</v>
      </c>
      <c r="F13507" s="481"/>
      <c r="G13507" s="174" t="s">
        <v>74</v>
      </c>
      <c r="H13507" s="148" t="str" cm="1">
        <f t="array" ref="H13507">IFERROR(INDEX(INVESTOR_LIST[INVESTOR NAME],MATCH(I13507,INVESTOR_LIST[INVESTOR CODE],0),)," ")</f>
        <v xml:space="preserve"> </v>
      </c>
      <c r="J13507" s="133" t="s">
        <v>13</v>
      </c>
      <c r="K13507" s="218"/>
      <c r="L13507" s="218">
        <v>102930</v>
      </c>
    </row>
    <row r="13508" spans="1:14" ht="11.25" customHeight="1" x14ac:dyDescent="0.2">
      <c r="A13508" s="163">
        <v>2025</v>
      </c>
      <c r="B13508" s="163">
        <v>5</v>
      </c>
      <c r="C13508" s="163">
        <v>8</v>
      </c>
      <c r="D13508" s="280">
        <f t="shared" si="2028"/>
        <v>45785</v>
      </c>
      <c r="E13508" s="281">
        <f t="shared" si="2029"/>
        <v>45785</v>
      </c>
      <c r="F13508" s="480"/>
      <c r="G13508" s="221" t="s">
        <v>74</v>
      </c>
      <c r="H13508" s="145" t="str" cm="1">
        <f t="array" ref="H13508">IFERROR(INDEX(INVESTOR_LIST[INVESTOR NAME],MATCH(I13508,INVESTOR_LIST[INVESTOR CODE],0),)," ")</f>
        <v xml:space="preserve"> </v>
      </c>
      <c r="I13508" s="145"/>
      <c r="J13508" s="163" t="s">
        <v>53</v>
      </c>
      <c r="K13508" s="219"/>
      <c r="L13508" s="219">
        <v>27070</v>
      </c>
    </row>
    <row r="13509" spans="1:14" ht="11.25" customHeight="1" x14ac:dyDescent="0.2">
      <c r="A13509" s="168">
        <v>2025</v>
      </c>
      <c r="B13509" s="133">
        <v>5</v>
      </c>
      <c r="C13509" s="168">
        <v>8</v>
      </c>
      <c r="D13509" s="141">
        <f t="shared" si="2028"/>
        <v>45785</v>
      </c>
      <c r="E13509" s="275">
        <f t="shared" si="2029"/>
        <v>45785</v>
      </c>
      <c r="F13509" s="479" t="s">
        <v>2031</v>
      </c>
      <c r="G13509" s="220" t="s">
        <v>74</v>
      </c>
      <c r="H13509" s="220" t="str" cm="1">
        <f t="array" ref="H13509">IFERROR(INDEX(INVESTOR_LIST[INVESTOR NAME],MATCH(I13509,INVESTOR_LIST[INVESTOR CODE],0),)," ")</f>
        <v xml:space="preserve"> </v>
      </c>
      <c r="I13509" s="142"/>
      <c r="J13509" s="143" t="s">
        <v>52</v>
      </c>
      <c r="K13509" s="226">
        <v>573965</v>
      </c>
      <c r="L13509" s="226"/>
    </row>
    <row r="13510" spans="1:14" x14ac:dyDescent="0.2">
      <c r="A13510" s="163">
        <v>2025</v>
      </c>
      <c r="B13510" s="163">
        <v>5</v>
      </c>
      <c r="C13510" s="163">
        <v>8</v>
      </c>
      <c r="D13510" s="280">
        <f t="shared" si="2028"/>
        <v>45785</v>
      </c>
      <c r="E13510" s="281">
        <f t="shared" si="2029"/>
        <v>45785</v>
      </c>
      <c r="F13510" s="480"/>
      <c r="G13510" s="221" t="s">
        <v>74</v>
      </c>
      <c r="H13510" s="221" t="str" cm="1">
        <f t="array" ref="H13510">IFERROR(INDEX(INVESTOR_LIST[INVESTOR NAME],MATCH(I13510,INVESTOR_LIST[INVESTOR CODE],0),)," ")</f>
        <v xml:space="preserve"> </v>
      </c>
      <c r="I13510" s="145"/>
      <c r="J13510" s="146" t="s">
        <v>190</v>
      </c>
      <c r="K13510" s="219"/>
      <c r="L13510" s="219">
        <v>573965</v>
      </c>
      <c r="N13510" s="264"/>
    </row>
    <row r="13511" spans="1:14" x14ac:dyDescent="0.2">
      <c r="A13511" s="325">
        <v>2025</v>
      </c>
      <c r="B13511" s="325">
        <v>5</v>
      </c>
      <c r="C13511" s="325">
        <v>8</v>
      </c>
      <c r="D13511" s="326">
        <f t="shared" si="2028"/>
        <v>45785</v>
      </c>
      <c r="E13511" s="327">
        <f t="shared" si="2029"/>
        <v>45785</v>
      </c>
      <c r="F13511" s="473" t="s">
        <v>1940</v>
      </c>
      <c r="G13511" s="340" t="s">
        <v>94</v>
      </c>
      <c r="H13511" s="340" t="str" cm="1">
        <f t="array" ref="H13511">IFERROR(INDEX(INVESTOR_LIST[INVESTOR NAME],MATCH(I13511,INVESTOR_LIST[INVESTOR CODE],0),)," ")</f>
        <v xml:space="preserve"> </v>
      </c>
      <c r="I13511" s="341" t="s">
        <v>348</v>
      </c>
      <c r="J13511" s="374" t="s">
        <v>133</v>
      </c>
      <c r="K13511" s="375">
        <v>12905.56</v>
      </c>
      <c r="L13511" s="375"/>
      <c r="M13511" s="176"/>
    </row>
    <row r="13512" spans="1:14" x14ac:dyDescent="0.2">
      <c r="A13512" s="331">
        <v>2025</v>
      </c>
      <c r="B13512" s="331">
        <v>5</v>
      </c>
      <c r="C13512" s="331">
        <v>8</v>
      </c>
      <c r="D13512" s="326">
        <f t="shared" si="2028"/>
        <v>45785</v>
      </c>
      <c r="E13512" s="327">
        <f t="shared" si="2029"/>
        <v>45785</v>
      </c>
      <c r="F13512" s="474"/>
      <c r="G13512" s="332" t="s">
        <v>94</v>
      </c>
      <c r="H13512" s="332" t="str" cm="1">
        <f t="array" ref="H13512">IFERROR(INDEX(INVESTOR_LIST[INVESTOR NAME],MATCH(I13512,INVESTOR_LIST[INVESTOR CODE],0),)," ")</f>
        <v xml:space="preserve"> </v>
      </c>
      <c r="I13512" s="333" t="s">
        <v>348</v>
      </c>
      <c r="J13512" s="376" t="s">
        <v>60</v>
      </c>
      <c r="K13512" s="334"/>
      <c r="L13512" s="334">
        <f>K13511</f>
        <v>12905.56</v>
      </c>
    </row>
    <row r="13513" spans="1:14" x14ac:dyDescent="0.2">
      <c r="A13513" s="384">
        <v>2025</v>
      </c>
      <c r="B13513" s="384">
        <v>5</v>
      </c>
      <c r="C13513" s="384">
        <v>8</v>
      </c>
      <c r="D13513" s="385">
        <f t="shared" si="2028"/>
        <v>45785</v>
      </c>
      <c r="E13513" s="386">
        <f t="shared" si="2029"/>
        <v>45785</v>
      </c>
      <c r="F13513" s="475" t="s">
        <v>1966</v>
      </c>
      <c r="G13513" s="387" t="s">
        <v>94</v>
      </c>
      <c r="H13513" s="387" t="str" cm="1">
        <f t="array" ref="H13513">IFERROR(INDEX(INVESTOR_LIST[INVESTOR NAME],MATCH(I13513,INVESTOR_LIST[INVESTOR CODE],0),)," ")</f>
        <v xml:space="preserve"> </v>
      </c>
      <c r="I13513" s="388" t="s">
        <v>348</v>
      </c>
      <c r="J13513" s="389" t="s">
        <v>67</v>
      </c>
      <c r="K13513" s="390">
        <v>27737.41</v>
      </c>
      <c r="L13513" s="390"/>
    </row>
    <row r="13514" spans="1:14" x14ac:dyDescent="0.2">
      <c r="A13514" s="391">
        <v>2025</v>
      </c>
      <c r="B13514" s="391">
        <v>5</v>
      </c>
      <c r="C13514" s="391">
        <v>8</v>
      </c>
      <c r="D13514" s="385">
        <f t="shared" si="2028"/>
        <v>45785</v>
      </c>
      <c r="E13514" s="386">
        <f t="shared" si="2029"/>
        <v>45785</v>
      </c>
      <c r="F13514" s="476"/>
      <c r="G13514" s="392" t="s">
        <v>94</v>
      </c>
      <c r="H13514" s="392" t="str" cm="1">
        <f t="array" ref="H13514">IFERROR(INDEX(INVESTOR_LIST[INVESTOR NAME],MATCH(I13514,INVESTOR_LIST[INVESTOR CODE],0),)," ")</f>
        <v xml:space="preserve"> </v>
      </c>
      <c r="I13514" s="393" t="s">
        <v>348</v>
      </c>
      <c r="J13514" s="394" t="s">
        <v>60</v>
      </c>
      <c r="K13514" s="395"/>
      <c r="L13514" s="395">
        <f>K13513</f>
        <v>27737.41</v>
      </c>
    </row>
    <row r="13515" spans="1:14" x14ac:dyDescent="0.2">
      <c r="A13515" s="343">
        <v>2025</v>
      </c>
      <c r="B13515" s="343">
        <v>5</v>
      </c>
      <c r="C13515" s="343">
        <v>8</v>
      </c>
      <c r="D13515" s="344">
        <f t="shared" si="2028"/>
        <v>45785</v>
      </c>
      <c r="E13515" s="345">
        <f t="shared" si="2029"/>
        <v>45785</v>
      </c>
      <c r="F13515" s="483" t="s">
        <v>1813</v>
      </c>
      <c r="G13515" s="350" t="s">
        <v>94</v>
      </c>
      <c r="H13515" s="350" t="str" cm="1">
        <f t="array" ref="H13515">IFERROR(INDEX(INVESTOR_LIST[INVESTOR NAME],MATCH(I13515,INVESTOR_LIST[INVESTOR CODE],0),)," ")</f>
        <v xml:space="preserve"> </v>
      </c>
      <c r="I13515" s="352" t="s">
        <v>348</v>
      </c>
      <c r="J13515" s="353" t="s">
        <v>1807</v>
      </c>
      <c r="K13515" s="354">
        <v>0</v>
      </c>
      <c r="L13515" s="354"/>
      <c r="M13515" s="133">
        <v>0</v>
      </c>
    </row>
    <row r="13516" spans="1:14" x14ac:dyDescent="0.2">
      <c r="A13516" s="346">
        <v>2025</v>
      </c>
      <c r="B13516" s="346">
        <v>5</v>
      </c>
      <c r="C13516" s="346">
        <v>8</v>
      </c>
      <c r="D13516" s="344">
        <f t="shared" si="2028"/>
        <v>45785</v>
      </c>
      <c r="E13516" s="345">
        <f t="shared" si="2029"/>
        <v>45785</v>
      </c>
      <c r="F13516" s="484"/>
      <c r="G13516" s="347" t="s">
        <v>94</v>
      </c>
      <c r="H13516" s="347" t="str" cm="1">
        <f t="array" ref="H13516">IFERROR(INDEX(INVESTOR_LIST[INVESTOR NAME],MATCH(I13516,INVESTOR_LIST[INVESTOR CODE],0),)," ")</f>
        <v xml:space="preserve"> </v>
      </c>
      <c r="I13516" s="348" t="s">
        <v>348</v>
      </c>
      <c r="J13516" s="355" t="s">
        <v>1798</v>
      </c>
      <c r="K13516" s="349"/>
      <c r="L13516" s="349">
        <v>0</v>
      </c>
    </row>
    <row r="13517" spans="1:14" x14ac:dyDescent="0.2">
      <c r="A13517" s="343">
        <v>2025</v>
      </c>
      <c r="B13517" s="343">
        <v>5</v>
      </c>
      <c r="C13517" s="343">
        <v>8</v>
      </c>
      <c r="D13517" s="344">
        <f t="shared" si="2028"/>
        <v>45785</v>
      </c>
      <c r="E13517" s="345">
        <f t="shared" si="2029"/>
        <v>45785</v>
      </c>
      <c r="F13517" s="483" t="s">
        <v>1913</v>
      </c>
      <c r="G13517" s="350" t="s">
        <v>94</v>
      </c>
      <c r="H13517" s="350" t="str" cm="1">
        <f t="array" ref="H13517">IFERROR(INDEX(INVESTOR_LIST[INVESTOR NAME],MATCH(I13517,INVESTOR_LIST[INVESTOR CODE],0),)," ")</f>
        <v xml:space="preserve"> </v>
      </c>
      <c r="I13517" s="352" t="s">
        <v>348</v>
      </c>
      <c r="J13517" s="353" t="s">
        <v>1799</v>
      </c>
      <c r="K13517" s="354">
        <v>134316.76999999955</v>
      </c>
      <c r="L13517" s="354"/>
      <c r="M13517" s="133">
        <v>0</v>
      </c>
    </row>
    <row r="13518" spans="1:14" x14ac:dyDescent="0.2">
      <c r="A13518" s="346">
        <v>2025</v>
      </c>
      <c r="B13518" s="346">
        <v>5</v>
      </c>
      <c r="C13518" s="346">
        <v>8</v>
      </c>
      <c r="D13518" s="344">
        <f t="shared" si="2028"/>
        <v>45785</v>
      </c>
      <c r="E13518" s="345">
        <f t="shared" si="2029"/>
        <v>45785</v>
      </c>
      <c r="F13518" s="484"/>
      <c r="G13518" s="347" t="s">
        <v>94</v>
      </c>
      <c r="H13518" s="347" t="str" cm="1">
        <f t="array" ref="H13518">IFERROR(INDEX(INVESTOR_LIST[INVESTOR NAME],MATCH(I13518,INVESTOR_LIST[INVESTOR CODE],0),)," ")</f>
        <v xml:space="preserve"> </v>
      </c>
      <c r="I13518" s="348" t="s">
        <v>348</v>
      </c>
      <c r="J13518" s="355" t="s">
        <v>1808</v>
      </c>
      <c r="K13518" s="349"/>
      <c r="L13518" s="349">
        <f>K13517</f>
        <v>134316.76999999955</v>
      </c>
    </row>
    <row r="13519" spans="1:14" x14ac:dyDescent="0.2">
      <c r="A13519" s="238">
        <v>2025</v>
      </c>
      <c r="B13519" s="238">
        <v>5</v>
      </c>
      <c r="C13519" s="238">
        <v>8</v>
      </c>
      <c r="D13519" s="270">
        <f t="shared" si="2028"/>
        <v>45785</v>
      </c>
      <c r="E13519" s="279">
        <f t="shared" si="2029"/>
        <v>45785</v>
      </c>
      <c r="F13519" s="477" t="s">
        <v>347</v>
      </c>
      <c r="G13519" s="239" t="s">
        <v>94</v>
      </c>
      <c r="H13519" s="239" t="str" cm="1">
        <f t="array" ref="H13519">IFERROR(INDEX(INVESTOR_LIST[INVESTOR NAME],MATCH(I13519,INVESTOR_LIST[INVESTOR CODE],0),)," ")</f>
        <v xml:space="preserve"> </v>
      </c>
      <c r="I13519" s="262" t="s">
        <v>348</v>
      </c>
      <c r="J13519" s="240" t="s">
        <v>108</v>
      </c>
      <c r="K13519" s="241">
        <v>131627.20000000298</v>
      </c>
      <c r="L13519" s="241"/>
      <c r="M13519" s="133">
        <v>13139541.900000483</v>
      </c>
    </row>
    <row r="13520" spans="1:14" x14ac:dyDescent="0.2">
      <c r="A13520" s="242">
        <v>2025</v>
      </c>
      <c r="B13520" s="242">
        <v>5</v>
      </c>
      <c r="C13520" s="242">
        <v>8</v>
      </c>
      <c r="D13520" s="270">
        <f t="shared" si="2028"/>
        <v>45785</v>
      </c>
      <c r="E13520" s="279">
        <f t="shared" si="2029"/>
        <v>45785</v>
      </c>
      <c r="F13520" s="478"/>
      <c r="G13520" s="243" t="s">
        <v>94</v>
      </c>
      <c r="H13520" s="243" t="str" cm="1">
        <f t="array" ref="H13520">IFERROR(INDEX(INVESTOR_LIST[INVESTOR NAME],MATCH(I13520,INVESTOR_LIST[INVESTOR CODE],0),)," ")</f>
        <v xml:space="preserve"> </v>
      </c>
      <c r="I13520" s="263" t="s">
        <v>348</v>
      </c>
      <c r="J13520" s="244" t="s">
        <v>82</v>
      </c>
      <c r="K13520" s="245"/>
      <c r="L13520" s="245">
        <f>K13519</f>
        <v>131627.20000000298</v>
      </c>
    </row>
    <row r="13521" spans="1:13" ht="12" customHeight="1" x14ac:dyDescent="0.2">
      <c r="A13521" s="246">
        <v>2025</v>
      </c>
      <c r="B13521" s="238">
        <v>5</v>
      </c>
      <c r="C13521" s="238">
        <v>8</v>
      </c>
      <c r="D13521" s="270">
        <f t="shared" si="2028"/>
        <v>45785</v>
      </c>
      <c r="E13521" s="279">
        <f t="shared" si="2029"/>
        <v>45785</v>
      </c>
      <c r="F13521" s="482" t="s">
        <v>148</v>
      </c>
      <c r="G13521" s="247" t="s">
        <v>94</v>
      </c>
      <c r="H13521" s="247" t="str" cm="1">
        <f t="array" ref="H13521">IFERROR(INDEX(INVESTOR_LIST[INVESTOR NAME],MATCH(I13521,INVESTOR_LIST[INVESTOR CODE],0),)," ")</f>
        <v xml:space="preserve"> </v>
      </c>
      <c r="I13521" s="248" t="s">
        <v>348</v>
      </c>
      <c r="J13521" s="249" t="s">
        <v>95</v>
      </c>
      <c r="K13521" s="250">
        <v>2747.2527472527472</v>
      </c>
      <c r="L13521" s="241"/>
      <c r="M13521" s="176"/>
    </row>
    <row r="13522" spans="1:13" x14ac:dyDescent="0.2">
      <c r="A13522" s="242">
        <v>2025</v>
      </c>
      <c r="B13522" s="242">
        <v>5</v>
      </c>
      <c r="C13522" s="242">
        <v>8</v>
      </c>
      <c r="D13522" s="270">
        <f t="shared" si="2028"/>
        <v>45785</v>
      </c>
      <c r="E13522" s="279">
        <f t="shared" si="2029"/>
        <v>45785</v>
      </c>
      <c r="F13522" s="478"/>
      <c r="G13522" s="243" t="s">
        <v>94</v>
      </c>
      <c r="H13522" s="243" t="str" cm="1">
        <f t="array" ref="H13522">IFERROR(INDEX(INVESTOR_LIST[INVESTOR NAME],MATCH(I13522,INVESTOR_LIST[INVESTOR CODE],0),)," ")</f>
        <v xml:space="preserve"> </v>
      </c>
      <c r="I13522" s="263" t="s">
        <v>348</v>
      </c>
      <c r="J13522" s="244" t="s">
        <v>63</v>
      </c>
      <c r="K13522" s="245"/>
      <c r="L13522" s="245">
        <f>K13521</f>
        <v>2747.2527472527472</v>
      </c>
    </row>
    <row r="13523" spans="1:13" x14ac:dyDescent="0.2">
      <c r="A13523" s="246">
        <v>2025</v>
      </c>
      <c r="B13523" s="238">
        <v>5</v>
      </c>
      <c r="C13523" s="238">
        <v>8</v>
      </c>
      <c r="D13523" s="270">
        <f t="shared" si="2028"/>
        <v>45785</v>
      </c>
      <c r="E13523" s="279">
        <f t="shared" si="2029"/>
        <v>45785</v>
      </c>
      <c r="F13523" s="482" t="s">
        <v>137</v>
      </c>
      <c r="G13523" s="247" t="s">
        <v>94</v>
      </c>
      <c r="H13523" s="247" t="str" cm="1">
        <f t="array" ref="H13523">IFERROR(INDEX(INVESTOR_LIST[INVESTOR NAME],MATCH(I13523,INVESTOR_LIST[INVESTOR CODE],0),)," ")</f>
        <v xml:space="preserve"> </v>
      </c>
      <c r="I13523" s="248" t="s">
        <v>348</v>
      </c>
      <c r="J13523" s="249" t="s">
        <v>97</v>
      </c>
      <c r="K13523" s="250">
        <f>M13523</f>
        <v>59934.302991662458</v>
      </c>
      <c r="L13523" s="252"/>
      <c r="M13523" s="133">
        <v>59934.302991662458</v>
      </c>
    </row>
    <row r="13524" spans="1:13" x14ac:dyDescent="0.2">
      <c r="A13524" s="242">
        <v>2025</v>
      </c>
      <c r="B13524" s="242">
        <v>5</v>
      </c>
      <c r="C13524" s="242">
        <v>8</v>
      </c>
      <c r="D13524" s="270">
        <f t="shared" si="2028"/>
        <v>45785</v>
      </c>
      <c r="E13524" s="279">
        <f t="shared" si="2029"/>
        <v>45785</v>
      </c>
      <c r="F13524" s="478"/>
      <c r="G13524" s="243" t="s">
        <v>94</v>
      </c>
      <c r="H13524" s="243" t="str" cm="1">
        <f t="array" ref="H13524">IFERROR(INDEX(INVESTOR_LIST[INVESTOR NAME],MATCH(I13524,INVESTOR_LIST[INVESTOR CODE],0),)," ")</f>
        <v xml:space="preserve"> </v>
      </c>
      <c r="I13524" s="263" t="s">
        <v>348</v>
      </c>
      <c r="J13524" s="244" t="s">
        <v>47</v>
      </c>
      <c r="K13524" s="245"/>
      <c r="L13524" s="245">
        <f>K13523</f>
        <v>59934.302991662458</v>
      </c>
      <c r="M13524" s="133">
        <v>2756.3305341985078</v>
      </c>
    </row>
    <row r="13525" spans="1:13" x14ac:dyDescent="0.2">
      <c r="A13525" s="246">
        <v>2025</v>
      </c>
      <c r="B13525" s="238">
        <v>5</v>
      </c>
      <c r="C13525" s="238">
        <v>8</v>
      </c>
      <c r="D13525" s="270">
        <f t="shared" si="2028"/>
        <v>45785</v>
      </c>
      <c r="E13525" s="279">
        <f t="shared" si="2029"/>
        <v>45785</v>
      </c>
      <c r="F13525" s="482" t="s">
        <v>138</v>
      </c>
      <c r="G13525" s="247" t="s">
        <v>94</v>
      </c>
      <c r="H13525" s="247" t="str" cm="1">
        <f t="array" ref="H13525">IFERROR(INDEX(INVESTOR_LIST[INVESTOR NAME],MATCH(I13525,INVESTOR_LIST[INVESTOR CODE],0),)," ")</f>
        <v xml:space="preserve"> </v>
      </c>
      <c r="I13525" s="248" t="s">
        <v>348</v>
      </c>
      <c r="J13525" s="249" t="s">
        <v>100</v>
      </c>
      <c r="K13525" s="250">
        <f>M13524</f>
        <v>2756.3305341985078</v>
      </c>
      <c r="L13525" s="252"/>
    </row>
    <row r="13526" spans="1:13" x14ac:dyDescent="0.2">
      <c r="A13526" s="242">
        <v>2025</v>
      </c>
      <c r="B13526" s="242">
        <v>5</v>
      </c>
      <c r="C13526" s="242">
        <v>8</v>
      </c>
      <c r="D13526" s="321">
        <f t="shared" si="2028"/>
        <v>45785</v>
      </c>
      <c r="E13526" s="322">
        <f t="shared" si="2029"/>
        <v>45785</v>
      </c>
      <c r="F13526" s="478"/>
      <c r="G13526" s="243" t="s">
        <v>94</v>
      </c>
      <c r="H13526" s="243" t="str" cm="1">
        <f t="array" ref="H13526">IFERROR(INDEX(INVESTOR_LIST[INVESTOR NAME],MATCH(I13526,INVESTOR_LIST[INVESTOR CODE],0),)," ")</f>
        <v xml:space="preserve"> </v>
      </c>
      <c r="I13526" s="263" t="s">
        <v>348</v>
      </c>
      <c r="J13526" s="244" t="s">
        <v>48</v>
      </c>
      <c r="K13526" s="245"/>
      <c r="L13526" s="245">
        <f>K13525</f>
        <v>2756.3305341985078</v>
      </c>
    </row>
    <row r="13527" spans="1:13" ht="11.25" customHeight="1" x14ac:dyDescent="0.2">
      <c r="A13527" s="168">
        <v>2025</v>
      </c>
      <c r="B13527" s="168">
        <v>5</v>
      </c>
      <c r="C13527" s="133">
        <v>12</v>
      </c>
      <c r="D13527" s="141">
        <f t="shared" si="2028"/>
        <v>45789</v>
      </c>
      <c r="E13527" s="275">
        <f t="shared" si="2029"/>
        <v>45789</v>
      </c>
      <c r="F13527" s="479" t="s">
        <v>1315</v>
      </c>
      <c r="G13527" s="220" t="s">
        <v>74</v>
      </c>
      <c r="H13527" s="142" t="str" cm="1">
        <f t="array" ref="H13527">IFERROR(INDEX(INVESTOR_LIST[INVESTOR NAME],MATCH(I13527,INVESTOR_LIST[INVESTOR CODE],0),)," ")</f>
        <v>ASIAN TIGER SANDHANI LIFE GROWTH FUND</v>
      </c>
      <c r="I13527" s="142" t="s">
        <v>410</v>
      </c>
      <c r="J13527" s="168" t="s">
        <v>13</v>
      </c>
      <c r="K13527" s="226">
        <v>10000000</v>
      </c>
      <c r="L13527" s="226"/>
    </row>
    <row r="13528" spans="1:13" ht="11.25" customHeight="1" x14ac:dyDescent="0.2">
      <c r="A13528" s="133">
        <v>2025</v>
      </c>
      <c r="B13528" s="133">
        <v>5</v>
      </c>
      <c r="C13528" s="133">
        <v>12</v>
      </c>
      <c r="D13528" s="141">
        <f t="shared" si="2028"/>
        <v>45789</v>
      </c>
      <c r="E13528" s="275">
        <f t="shared" si="2029"/>
        <v>45789</v>
      </c>
      <c r="F13528" s="481"/>
      <c r="G13528" s="174" t="s">
        <v>74</v>
      </c>
      <c r="H13528" s="148" t="str" cm="1">
        <f t="array" ref="H13528">IFERROR(INDEX(INVESTOR_LIST[INVESTOR NAME],MATCH(I13528,INVESTOR_LIST[INVESTOR CODE],0),)," ")</f>
        <v>ASIAN TIGER SANDHANI LIFE GROWTH FUND</v>
      </c>
      <c r="I13528" s="148" t="s">
        <v>410</v>
      </c>
      <c r="J13528" s="133" t="s">
        <v>53</v>
      </c>
      <c r="K13528" s="218">
        <v>2627000</v>
      </c>
      <c r="L13528" s="218"/>
    </row>
    <row r="13529" spans="1:13" ht="11.25" customHeight="1" x14ac:dyDescent="0.2">
      <c r="A13529" s="163">
        <v>2025</v>
      </c>
      <c r="B13529" s="163">
        <v>5</v>
      </c>
      <c r="C13529" s="163">
        <v>12</v>
      </c>
      <c r="D13529" s="280">
        <f t="shared" si="2028"/>
        <v>45789</v>
      </c>
      <c r="E13529" s="281">
        <f t="shared" si="2029"/>
        <v>45789</v>
      </c>
      <c r="F13529" s="480"/>
      <c r="G13529" s="221" t="s">
        <v>74</v>
      </c>
      <c r="H13529" s="145" t="str" cm="1">
        <f t="array" ref="H13529">IFERROR(INDEX(INVESTOR_LIST[INVESTOR NAME],MATCH(I13529,INVESTOR_LIST[INVESTOR CODE],0),)," ")</f>
        <v>ASIAN TIGER SANDHANI LIFE GROWTH FUND</v>
      </c>
      <c r="I13529" s="145" t="s">
        <v>410</v>
      </c>
      <c r="J13529" s="163" t="s">
        <v>52</v>
      </c>
      <c r="K13529" s="219"/>
      <c r="L13529" s="219">
        <v>12627000</v>
      </c>
    </row>
    <row r="13530" spans="1:13" x14ac:dyDescent="0.2">
      <c r="A13530" s="168">
        <v>2025</v>
      </c>
      <c r="B13530" s="168">
        <v>5</v>
      </c>
      <c r="C13530" s="168">
        <v>12</v>
      </c>
      <c r="D13530" s="141">
        <f t="shared" si="2028"/>
        <v>45789</v>
      </c>
      <c r="E13530" s="275">
        <f t="shared" si="2029"/>
        <v>45789</v>
      </c>
      <c r="F13530" s="479" t="s">
        <v>2062</v>
      </c>
      <c r="G13530" s="220" t="s">
        <v>94</v>
      </c>
      <c r="H13530" s="220" t="str" cm="1">
        <f t="array" ref="H13530">IFERROR(INDEX(INVESTOR_LIST[INVESTOR NAME],MATCH(I13530,INVESTOR_LIST[INVESTOR CODE],0),)," ")</f>
        <v xml:space="preserve"> </v>
      </c>
      <c r="I13530" s="142"/>
      <c r="J13530" s="143" t="s">
        <v>79</v>
      </c>
      <c r="K13530" s="226">
        <v>516287.3</v>
      </c>
      <c r="L13530" s="226"/>
      <c r="M13530" s="160"/>
    </row>
    <row r="13531" spans="1:13" x14ac:dyDescent="0.2">
      <c r="A13531" s="133">
        <v>2025</v>
      </c>
      <c r="B13531" s="133">
        <v>5</v>
      </c>
      <c r="C13531" s="133">
        <v>12</v>
      </c>
      <c r="D13531" s="141">
        <f t="shared" si="2028"/>
        <v>45789</v>
      </c>
      <c r="E13531" s="275">
        <f t="shared" si="2029"/>
        <v>45789</v>
      </c>
      <c r="F13531" s="481"/>
      <c r="G13531" s="174" t="s">
        <v>94</v>
      </c>
      <c r="H13531" s="174" t="str" cm="1">
        <f t="array" ref="H13531">IFERROR(INDEX(INVESTOR_LIST[INVESTOR NAME],MATCH(I13531,INVESTOR_LIST[INVESTOR CODE],0),)," ")</f>
        <v xml:space="preserve"> </v>
      </c>
      <c r="J13531" s="149" t="s">
        <v>80</v>
      </c>
      <c r="K13531" s="218">
        <v>929.32</v>
      </c>
      <c r="L13531" s="133"/>
    </row>
    <row r="13532" spans="1:13" x14ac:dyDescent="0.2">
      <c r="A13532" s="163">
        <v>2025</v>
      </c>
      <c r="B13532" s="163">
        <v>5</v>
      </c>
      <c r="C13532" s="163">
        <v>12</v>
      </c>
      <c r="D13532" s="280">
        <f t="shared" si="2028"/>
        <v>45789</v>
      </c>
      <c r="E13532" s="281">
        <f t="shared" si="2029"/>
        <v>45789</v>
      </c>
      <c r="F13532" s="480"/>
      <c r="G13532" s="221" t="s">
        <v>94</v>
      </c>
      <c r="H13532" s="221" t="str" cm="1">
        <f t="array" ref="H13532">IFERROR(INDEX(INVESTOR_LIST[INVESTOR NAME],MATCH(I13532,INVESTOR_LIST[INVESTOR CODE],0),)," ")</f>
        <v xml:space="preserve"> </v>
      </c>
      <c r="I13532" s="145"/>
      <c r="J13532" s="146" t="s">
        <v>147</v>
      </c>
      <c r="K13532" s="219"/>
      <c r="L13532" s="219">
        <v>517216.62</v>
      </c>
    </row>
    <row r="13533" spans="1:13" x14ac:dyDescent="0.2">
      <c r="A13533" s="133">
        <v>2025</v>
      </c>
      <c r="B13533" s="133">
        <v>5</v>
      </c>
      <c r="C13533" s="133">
        <v>12</v>
      </c>
      <c r="D13533" s="141">
        <f t="shared" ref="D13533:D13537" si="2030">DATE(A13533,B13533,C13533)</f>
        <v>45789</v>
      </c>
      <c r="E13533" s="275">
        <f t="shared" ref="E13533:E13537" si="2031">DATE(A13533,B13533,C13533)</f>
        <v>45789</v>
      </c>
      <c r="F13533" s="481" t="s">
        <v>1767</v>
      </c>
      <c r="G13533" s="174" t="s">
        <v>94</v>
      </c>
      <c r="H13533" s="174" t="str" cm="1">
        <f t="array" ref="H13533">IFERROR(INDEX(INVESTOR_LIST[INVESTOR NAME],MATCH(I13533,INVESTOR_LIST[INVESTOR CODE],0),)," ")</f>
        <v xml:space="preserve"> </v>
      </c>
      <c r="J13533" s="149" t="s">
        <v>79</v>
      </c>
      <c r="K13533" s="218">
        <v>128000</v>
      </c>
      <c r="L13533" s="218"/>
      <c r="M13533" s="160"/>
    </row>
    <row r="13534" spans="1:13" x14ac:dyDescent="0.2">
      <c r="A13534" s="133">
        <v>2025</v>
      </c>
      <c r="B13534" s="133">
        <v>5</v>
      </c>
      <c r="C13534" s="133">
        <v>12</v>
      </c>
      <c r="D13534" s="141">
        <f t="shared" si="2030"/>
        <v>45789</v>
      </c>
      <c r="E13534" s="275">
        <f t="shared" si="2031"/>
        <v>45789</v>
      </c>
      <c r="F13534" s="481"/>
      <c r="G13534" s="174" t="s">
        <v>94</v>
      </c>
      <c r="H13534" s="174" t="str" cm="1">
        <f t="array" ref="H13534">IFERROR(INDEX(INVESTOR_LIST[INVESTOR NAME],MATCH(I13534,INVESTOR_LIST[INVESTOR CODE],0),)," ")</f>
        <v xml:space="preserve"> </v>
      </c>
      <c r="J13534" s="149" t="s">
        <v>80</v>
      </c>
      <c r="K13534" s="218">
        <v>574.05999999999995</v>
      </c>
      <c r="L13534" s="133"/>
    </row>
    <row r="13535" spans="1:13" x14ac:dyDescent="0.2">
      <c r="A13535" s="133">
        <v>2025</v>
      </c>
      <c r="B13535" s="133">
        <v>5</v>
      </c>
      <c r="C13535" s="133">
        <v>12</v>
      </c>
      <c r="D13535" s="141">
        <f t="shared" si="2030"/>
        <v>45789</v>
      </c>
      <c r="E13535" s="275">
        <f t="shared" si="2031"/>
        <v>45789</v>
      </c>
      <c r="F13535" s="481"/>
      <c r="G13535" s="174" t="s">
        <v>94</v>
      </c>
      <c r="H13535" s="174" t="str" cm="1">
        <f t="array" ref="H13535">IFERROR(INDEX(INVESTOR_LIST[INVESTOR NAME],MATCH(I13535,INVESTOR_LIST[INVESTOR CODE],0),)," ")</f>
        <v xml:space="preserve"> </v>
      </c>
      <c r="J13535" s="149" t="s">
        <v>190</v>
      </c>
      <c r="K13535" s="218">
        <v>62347.44</v>
      </c>
      <c r="L13535" s="218"/>
    </row>
    <row r="13536" spans="1:13" x14ac:dyDescent="0.2">
      <c r="A13536" s="133">
        <v>2025</v>
      </c>
      <c r="B13536" s="133">
        <v>5</v>
      </c>
      <c r="C13536" s="133">
        <v>12</v>
      </c>
      <c r="D13536" s="141">
        <f t="shared" si="2030"/>
        <v>45789</v>
      </c>
      <c r="E13536" s="275">
        <f t="shared" si="2031"/>
        <v>45789</v>
      </c>
      <c r="F13536" s="481"/>
      <c r="G13536" s="174" t="s">
        <v>94</v>
      </c>
      <c r="H13536" s="174" t="str" cm="1">
        <f t="array" ref="H13536">IFERROR(INDEX(INVESTOR_LIST[INVESTOR NAME],MATCH(I13536,INVESTOR_LIST[INVESTOR CODE],0),)," ")</f>
        <v xml:space="preserve"> </v>
      </c>
      <c r="J13536" s="149" t="s">
        <v>191</v>
      </c>
      <c r="K13536" s="218">
        <v>2595.25</v>
      </c>
      <c r="L13536" s="218"/>
    </row>
    <row r="13537" spans="1:14" x14ac:dyDescent="0.2">
      <c r="A13537" s="163">
        <v>2025</v>
      </c>
      <c r="B13537" s="163">
        <v>5</v>
      </c>
      <c r="C13537" s="163">
        <v>12</v>
      </c>
      <c r="D13537" s="280">
        <f t="shared" si="2030"/>
        <v>45789</v>
      </c>
      <c r="E13537" s="281">
        <f t="shared" si="2031"/>
        <v>45789</v>
      </c>
      <c r="F13537" s="480"/>
      <c r="G13537" s="221" t="s">
        <v>94</v>
      </c>
      <c r="H13537" s="145" t="str" cm="1">
        <f t="array" ref="H13537">IFERROR(INDEX(INVESTOR_LIST[INVESTOR NAME],MATCH(I13537,INVESTOR_LIST[INVESTOR CODE],0),)," ")</f>
        <v xml:space="preserve"> </v>
      </c>
      <c r="I13537" s="145"/>
      <c r="J13537" s="163" t="s">
        <v>79</v>
      </c>
      <c r="K13537" s="219"/>
      <c r="L13537" s="219">
        <v>193516.75</v>
      </c>
    </row>
    <row r="13538" spans="1:14" ht="11.25" customHeight="1" x14ac:dyDescent="0.2">
      <c r="A13538" s="168">
        <v>2025</v>
      </c>
      <c r="B13538" s="133">
        <v>5</v>
      </c>
      <c r="C13538" s="168">
        <v>12</v>
      </c>
      <c r="D13538" s="141">
        <f t="shared" si="2028"/>
        <v>45789</v>
      </c>
      <c r="E13538" s="275">
        <f t="shared" si="2029"/>
        <v>45789</v>
      </c>
      <c r="F13538" s="479" t="s">
        <v>2064</v>
      </c>
      <c r="G13538" s="220" t="s">
        <v>74</v>
      </c>
      <c r="H13538" s="220" t="str" cm="1">
        <f t="array" ref="H13538">IFERROR(INDEX(INVESTOR_LIST[INVESTOR NAME],MATCH(I13538,INVESTOR_LIST[INVESTOR CODE],0),)," ")</f>
        <v xml:space="preserve"> </v>
      </c>
      <c r="I13538" s="142"/>
      <c r="J13538" s="143" t="s">
        <v>147</v>
      </c>
      <c r="K13538" s="226">
        <v>2829583.7</v>
      </c>
      <c r="L13538" s="226"/>
    </row>
    <row r="13539" spans="1:14" x14ac:dyDescent="0.2">
      <c r="A13539" s="163">
        <v>2025</v>
      </c>
      <c r="B13539" s="163">
        <v>5</v>
      </c>
      <c r="C13539" s="163">
        <v>12</v>
      </c>
      <c r="D13539" s="280">
        <f t="shared" si="2028"/>
        <v>45789</v>
      </c>
      <c r="E13539" s="281">
        <f t="shared" si="2029"/>
        <v>45789</v>
      </c>
      <c r="F13539" s="480"/>
      <c r="G13539" s="221" t="s">
        <v>74</v>
      </c>
      <c r="H13539" s="221" t="str" cm="1">
        <f t="array" ref="H13539">IFERROR(INDEX(INVESTOR_LIST[INVESTOR NAME],MATCH(I13539,INVESTOR_LIST[INVESTOR CODE],0),)," ")</f>
        <v xml:space="preserve"> </v>
      </c>
      <c r="I13539" s="145"/>
      <c r="J13539" s="146" t="s">
        <v>52</v>
      </c>
      <c r="K13539" s="219"/>
      <c r="L13539" s="219">
        <v>2829583.7</v>
      </c>
      <c r="N13539" s="264"/>
    </row>
    <row r="13540" spans="1:14" ht="11.25" customHeight="1" x14ac:dyDescent="0.2">
      <c r="A13540" s="168">
        <v>2025</v>
      </c>
      <c r="B13540" s="133">
        <v>5</v>
      </c>
      <c r="C13540" s="168">
        <v>12</v>
      </c>
      <c r="D13540" s="141">
        <f t="shared" ref="D13540:D13541" si="2032">DATE(A13540,B13540,C13540)</f>
        <v>45789</v>
      </c>
      <c r="E13540" s="275">
        <f t="shared" ref="E13540:E13541" si="2033">DATE(A13540,B13540,C13540)</f>
        <v>45789</v>
      </c>
      <c r="F13540" s="479" t="s">
        <v>2064</v>
      </c>
      <c r="G13540" s="220" t="s">
        <v>74</v>
      </c>
      <c r="H13540" s="220" t="str" cm="1">
        <f t="array" ref="H13540">IFERROR(INDEX(INVESTOR_LIST[INVESTOR NAME],MATCH(I13540,INVESTOR_LIST[INVESTOR CODE],0),)," ")</f>
        <v xml:space="preserve"> </v>
      </c>
      <c r="I13540" s="142"/>
      <c r="J13540" s="143" t="s">
        <v>147</v>
      </c>
      <c r="K13540" s="226">
        <v>773136.15</v>
      </c>
      <c r="L13540" s="226"/>
    </row>
    <row r="13541" spans="1:14" x14ac:dyDescent="0.2">
      <c r="A13541" s="163">
        <v>2025</v>
      </c>
      <c r="B13541" s="163">
        <v>5</v>
      </c>
      <c r="C13541" s="163">
        <v>12</v>
      </c>
      <c r="D13541" s="280">
        <f t="shared" si="2032"/>
        <v>45789</v>
      </c>
      <c r="E13541" s="281">
        <f t="shared" si="2033"/>
        <v>45789</v>
      </c>
      <c r="F13541" s="480"/>
      <c r="G13541" s="221" t="s">
        <v>74</v>
      </c>
      <c r="H13541" s="221" t="str" cm="1">
        <f t="array" ref="H13541">IFERROR(INDEX(INVESTOR_LIST[INVESTOR NAME],MATCH(I13541,INVESTOR_LIST[INVESTOR CODE],0),)," ")</f>
        <v xml:space="preserve"> </v>
      </c>
      <c r="I13541" s="145"/>
      <c r="J13541" s="146" t="s">
        <v>52</v>
      </c>
      <c r="K13541" s="219"/>
      <c r="L13541" s="219">
        <v>773136.15</v>
      </c>
      <c r="N13541" s="264"/>
    </row>
    <row r="13542" spans="1:14" ht="11.25" customHeight="1" x14ac:dyDescent="0.2">
      <c r="A13542" s="168">
        <v>2025</v>
      </c>
      <c r="B13542" s="133">
        <v>5</v>
      </c>
      <c r="C13542" s="168">
        <v>12</v>
      </c>
      <c r="D13542" s="141">
        <f t="shared" ref="D13542:D13553" si="2034">DATE(A13542,B13542,C13542)</f>
        <v>45789</v>
      </c>
      <c r="E13542" s="275">
        <f t="shared" ref="E13542:E13553" si="2035">DATE(A13542,B13542,C13542)</f>
        <v>45789</v>
      </c>
      <c r="F13542" s="479" t="s">
        <v>2064</v>
      </c>
      <c r="G13542" s="220" t="s">
        <v>74</v>
      </c>
      <c r="H13542" s="220" t="str" cm="1">
        <f t="array" ref="H13542">IFERROR(INDEX(INVESTOR_LIST[INVESTOR NAME],MATCH(I13542,INVESTOR_LIST[INVESTOR CODE],0),)," ")</f>
        <v xml:space="preserve"> </v>
      </c>
      <c r="I13542" s="142"/>
      <c r="J13542" s="143" t="s">
        <v>147</v>
      </c>
      <c r="K13542" s="226">
        <v>517216.62</v>
      </c>
      <c r="L13542" s="226"/>
    </row>
    <row r="13543" spans="1:14" x14ac:dyDescent="0.2">
      <c r="A13543" s="163">
        <v>2025</v>
      </c>
      <c r="B13543" s="163">
        <v>5</v>
      </c>
      <c r="C13543" s="163">
        <v>12</v>
      </c>
      <c r="D13543" s="280">
        <f t="shared" si="2034"/>
        <v>45789</v>
      </c>
      <c r="E13543" s="281">
        <f t="shared" si="2035"/>
        <v>45789</v>
      </c>
      <c r="F13543" s="480"/>
      <c r="G13543" s="221" t="s">
        <v>74</v>
      </c>
      <c r="H13543" s="221" t="str" cm="1">
        <f t="array" ref="H13543">IFERROR(INDEX(INVESTOR_LIST[INVESTOR NAME],MATCH(I13543,INVESTOR_LIST[INVESTOR CODE],0),)," ")</f>
        <v xml:space="preserve"> </v>
      </c>
      <c r="I13543" s="145"/>
      <c r="J13543" s="146" t="s">
        <v>52</v>
      </c>
      <c r="K13543" s="219"/>
      <c r="L13543" s="219">
        <v>517216.62</v>
      </c>
      <c r="N13543" s="264"/>
    </row>
    <row r="13544" spans="1:14" x14ac:dyDescent="0.2">
      <c r="A13544" s="133">
        <v>2025</v>
      </c>
      <c r="B13544" s="133">
        <v>5</v>
      </c>
      <c r="C13544" s="133">
        <v>13</v>
      </c>
      <c r="D13544" s="141">
        <f t="shared" si="2034"/>
        <v>45790</v>
      </c>
      <c r="E13544" s="275">
        <f t="shared" si="2035"/>
        <v>45790</v>
      </c>
      <c r="F13544" s="481" t="s">
        <v>2065</v>
      </c>
      <c r="G13544" s="174" t="s">
        <v>94</v>
      </c>
      <c r="H13544" s="174" t="str" cm="1">
        <f t="array" ref="H13544">IFERROR(INDEX(INVESTOR_LIST[INVESTOR NAME],MATCH(I13544,INVESTOR_LIST[INVESTOR CODE],0),)," ")</f>
        <v xml:space="preserve"> </v>
      </c>
      <c r="J13544" s="149" t="s">
        <v>79</v>
      </c>
      <c r="K13544" s="218">
        <v>3298000</v>
      </c>
      <c r="L13544" s="218"/>
      <c r="M13544" s="160"/>
    </row>
    <row r="13545" spans="1:14" x14ac:dyDescent="0.2">
      <c r="A13545" s="133">
        <v>2025</v>
      </c>
      <c r="B13545" s="133">
        <v>5</v>
      </c>
      <c r="C13545" s="133">
        <v>13</v>
      </c>
      <c r="D13545" s="141">
        <f t="shared" si="2034"/>
        <v>45790</v>
      </c>
      <c r="E13545" s="275">
        <f t="shared" si="2035"/>
        <v>45790</v>
      </c>
      <c r="F13545" s="481"/>
      <c r="G13545" s="174" t="s">
        <v>94</v>
      </c>
      <c r="H13545" s="174" t="str" cm="1">
        <f t="array" ref="H13545">IFERROR(INDEX(INVESTOR_LIST[INVESTOR NAME],MATCH(I13545,INVESTOR_LIST[INVESTOR CODE],0),)," ")</f>
        <v xml:space="preserve"> </v>
      </c>
      <c r="J13545" s="149" t="s">
        <v>80</v>
      </c>
      <c r="K13545" s="218">
        <v>10711.84</v>
      </c>
      <c r="L13545" s="133"/>
      <c r="N13545" s="264"/>
    </row>
    <row r="13546" spans="1:14" x14ac:dyDescent="0.2">
      <c r="A13546" s="133">
        <v>2025</v>
      </c>
      <c r="B13546" s="133">
        <v>5</v>
      </c>
      <c r="C13546" s="133">
        <v>13</v>
      </c>
      <c r="D13546" s="141">
        <f t="shared" si="2034"/>
        <v>45790</v>
      </c>
      <c r="E13546" s="275">
        <f t="shared" si="2035"/>
        <v>45790</v>
      </c>
      <c r="F13546" s="481"/>
      <c r="G13546" s="174" t="s">
        <v>94</v>
      </c>
      <c r="H13546" s="174" t="str" cm="1">
        <f t="array" ref="H13546">IFERROR(INDEX(INVESTOR_LIST[INVESTOR NAME],MATCH(I13546,INVESTOR_LIST[INVESTOR CODE],0),)," ")</f>
        <v xml:space="preserve"> </v>
      </c>
      <c r="J13546" s="149" t="s">
        <v>147</v>
      </c>
      <c r="K13546" s="218"/>
      <c r="L13546" s="218">
        <v>655690.23999999999</v>
      </c>
    </row>
    <row r="13547" spans="1:14" x14ac:dyDescent="0.2">
      <c r="A13547" s="133">
        <v>2025</v>
      </c>
      <c r="B13547" s="133">
        <v>5</v>
      </c>
      <c r="C13547" s="133">
        <v>13</v>
      </c>
      <c r="D13547" s="141">
        <f t="shared" si="2034"/>
        <v>45790</v>
      </c>
      <c r="E13547" s="275">
        <f t="shared" si="2035"/>
        <v>45790</v>
      </c>
      <c r="F13547" s="481"/>
      <c r="G13547" s="174" t="s">
        <v>94</v>
      </c>
      <c r="H13547" s="174" t="str" cm="1">
        <f t="array" ref="H13547">IFERROR(INDEX(INVESTOR_LIST[INVESTOR NAME],MATCH(I13547,INVESTOR_LIST[INVESTOR CODE],0),)," ")</f>
        <v xml:space="preserve"> </v>
      </c>
      <c r="J13547" s="149" t="s">
        <v>191</v>
      </c>
      <c r="K13547" s="218">
        <v>61176.67</v>
      </c>
      <c r="L13547" s="218"/>
    </row>
    <row r="13548" spans="1:14" x14ac:dyDescent="0.2">
      <c r="A13548" s="163">
        <v>2025</v>
      </c>
      <c r="B13548" s="163">
        <v>5</v>
      </c>
      <c r="C13548" s="163">
        <v>13</v>
      </c>
      <c r="D13548" s="280">
        <f t="shared" si="2034"/>
        <v>45790</v>
      </c>
      <c r="E13548" s="281">
        <f t="shared" si="2035"/>
        <v>45790</v>
      </c>
      <c r="F13548" s="480"/>
      <c r="G13548" s="221" t="s">
        <v>94</v>
      </c>
      <c r="H13548" s="145" t="str" cm="1">
        <f t="array" ref="H13548">IFERROR(INDEX(INVESTOR_LIST[INVESTOR NAME],MATCH(I13548,INVESTOR_LIST[INVESTOR CODE],0),)," ")</f>
        <v xml:space="preserve"> </v>
      </c>
      <c r="I13548" s="145"/>
      <c r="J13548" s="163" t="s">
        <v>79</v>
      </c>
      <c r="K13548" s="219"/>
      <c r="L13548" s="219">
        <v>2714198.27</v>
      </c>
    </row>
    <row r="13549" spans="1:14" x14ac:dyDescent="0.2">
      <c r="A13549" s="133">
        <v>2025</v>
      </c>
      <c r="B13549" s="133">
        <v>5</v>
      </c>
      <c r="C13549" s="133">
        <v>14</v>
      </c>
      <c r="D13549" s="141">
        <f t="shared" si="2034"/>
        <v>45791</v>
      </c>
      <c r="E13549" s="275">
        <f t="shared" si="2035"/>
        <v>45791</v>
      </c>
      <c r="F13549" s="481" t="s">
        <v>1767</v>
      </c>
      <c r="G13549" s="174" t="s">
        <v>94</v>
      </c>
      <c r="H13549" s="174" t="str" cm="1">
        <f t="array" ref="H13549">IFERROR(INDEX(INVESTOR_LIST[INVESTOR NAME],MATCH(I13549,INVESTOR_LIST[INVESTOR CODE],0),)," ")</f>
        <v xml:space="preserve"> </v>
      </c>
      <c r="J13549" s="149" t="s">
        <v>79</v>
      </c>
      <c r="K13549" s="218">
        <v>390000</v>
      </c>
      <c r="L13549" s="218"/>
      <c r="M13549" s="160"/>
    </row>
    <row r="13550" spans="1:14" x14ac:dyDescent="0.2">
      <c r="A13550" s="133">
        <v>2025</v>
      </c>
      <c r="B13550" s="133">
        <v>5</v>
      </c>
      <c r="C13550" s="133">
        <v>14</v>
      </c>
      <c r="D13550" s="141">
        <f t="shared" si="2034"/>
        <v>45791</v>
      </c>
      <c r="E13550" s="275">
        <f t="shared" si="2035"/>
        <v>45791</v>
      </c>
      <c r="F13550" s="481"/>
      <c r="G13550" s="174" t="s">
        <v>94</v>
      </c>
      <c r="H13550" s="174" t="str" cm="1">
        <f t="array" ref="H13550">IFERROR(INDEX(INVESTOR_LIST[INVESTOR NAME],MATCH(I13550,INVESTOR_LIST[INVESTOR CODE],0),)," ")</f>
        <v xml:space="preserve"> </v>
      </c>
      <c r="J13550" s="149" t="s">
        <v>80</v>
      </c>
      <c r="K13550" s="218">
        <v>8910</v>
      </c>
      <c r="L13550" s="133"/>
    </row>
    <row r="13551" spans="1:14" x14ac:dyDescent="0.2">
      <c r="A13551" s="133">
        <v>2025</v>
      </c>
      <c r="B13551" s="133">
        <v>5</v>
      </c>
      <c r="C13551" s="133">
        <v>14</v>
      </c>
      <c r="D13551" s="141">
        <f t="shared" si="2034"/>
        <v>45791</v>
      </c>
      <c r="E13551" s="275">
        <f t="shared" si="2035"/>
        <v>45791</v>
      </c>
      <c r="F13551" s="481"/>
      <c r="G13551" s="174" t="s">
        <v>94</v>
      </c>
      <c r="H13551" s="174" t="str" cm="1">
        <f t="array" ref="H13551">IFERROR(INDEX(INVESTOR_LIST[INVESTOR NAME],MATCH(I13551,INVESTOR_LIST[INVESTOR CODE],0),)," ")</f>
        <v xml:space="preserve"> </v>
      </c>
      <c r="J13551" s="149" t="s">
        <v>190</v>
      </c>
      <c r="K13551" s="218">
        <v>4161090</v>
      </c>
      <c r="L13551" s="218"/>
    </row>
    <row r="13552" spans="1:14" x14ac:dyDescent="0.2">
      <c r="A13552" s="133">
        <v>2025</v>
      </c>
      <c r="B13552" s="133">
        <v>5</v>
      </c>
      <c r="C13552" s="133">
        <v>14</v>
      </c>
      <c r="D13552" s="141">
        <f t="shared" si="2034"/>
        <v>45791</v>
      </c>
      <c r="E13552" s="275">
        <f t="shared" si="2035"/>
        <v>45791</v>
      </c>
      <c r="F13552" s="481"/>
      <c r="G13552" s="174" t="s">
        <v>94</v>
      </c>
      <c r="H13552" s="174" t="str" cm="1">
        <f t="array" ref="H13552">IFERROR(INDEX(INVESTOR_LIST[INVESTOR NAME],MATCH(I13552,INVESTOR_LIST[INVESTOR CODE],0),)," ")</f>
        <v xml:space="preserve"> </v>
      </c>
      <c r="J13552" s="149" t="s">
        <v>191</v>
      </c>
      <c r="K13552" s="218">
        <v>122800.98</v>
      </c>
      <c r="L13552" s="218"/>
    </row>
    <row r="13553" spans="1:17" x14ac:dyDescent="0.2">
      <c r="A13553" s="163">
        <v>2025</v>
      </c>
      <c r="B13553" s="163">
        <v>5</v>
      </c>
      <c r="C13553" s="163">
        <v>14</v>
      </c>
      <c r="D13553" s="280">
        <f t="shared" si="2034"/>
        <v>45791</v>
      </c>
      <c r="E13553" s="281">
        <f t="shared" si="2035"/>
        <v>45791</v>
      </c>
      <c r="F13553" s="480"/>
      <c r="G13553" s="221" t="s">
        <v>94</v>
      </c>
      <c r="H13553" s="145" t="str" cm="1">
        <f t="array" ref="H13553">IFERROR(INDEX(INVESTOR_LIST[INVESTOR NAME],MATCH(I13553,INVESTOR_LIST[INVESTOR CODE],0),)," ")</f>
        <v xml:space="preserve"> </v>
      </c>
      <c r="I13553" s="145"/>
      <c r="J13553" s="163" t="s">
        <v>79</v>
      </c>
      <c r="K13553" s="219"/>
      <c r="L13553" s="219">
        <v>4682800.9800000004</v>
      </c>
    </row>
    <row r="13554" spans="1:17" x14ac:dyDescent="0.2">
      <c r="A13554" s="133">
        <v>2025</v>
      </c>
      <c r="B13554" s="133">
        <v>5</v>
      </c>
      <c r="C13554" s="133">
        <v>14</v>
      </c>
      <c r="D13554" s="141">
        <f t="shared" ref="D13554:D13599" si="2036">DATE(A13554,B13554,C13554)</f>
        <v>45791</v>
      </c>
      <c r="E13554" s="275">
        <f t="shared" ref="E13554:E13599" si="2037">DATE(A13554,B13554,C13554)</f>
        <v>45791</v>
      </c>
      <c r="F13554" s="481" t="s">
        <v>2065</v>
      </c>
      <c r="G13554" s="174" t="s">
        <v>94</v>
      </c>
      <c r="H13554" s="174" t="str" cm="1">
        <f t="array" ref="H13554">IFERROR(INDEX(INVESTOR_LIST[INVESTOR NAME],MATCH(I13554,INVESTOR_LIST[INVESTOR CODE],0),)," ")</f>
        <v xml:space="preserve"> </v>
      </c>
      <c r="J13554" s="149" t="s">
        <v>79</v>
      </c>
      <c r="K13554" s="218">
        <v>485500</v>
      </c>
      <c r="L13554" s="218"/>
      <c r="M13554" s="160"/>
    </row>
    <row r="13555" spans="1:17" x14ac:dyDescent="0.2">
      <c r="A13555" s="133">
        <v>2025</v>
      </c>
      <c r="B13555" s="133">
        <v>5</v>
      </c>
      <c r="C13555" s="133">
        <v>14</v>
      </c>
      <c r="D13555" s="141">
        <f t="shared" si="2036"/>
        <v>45791</v>
      </c>
      <c r="E13555" s="275">
        <f t="shared" si="2037"/>
        <v>45791</v>
      </c>
      <c r="F13555" s="481"/>
      <c r="G13555" s="174" t="s">
        <v>94</v>
      </c>
      <c r="H13555" s="174" t="str" cm="1">
        <f t="array" ref="H13555">IFERROR(INDEX(INVESTOR_LIST[INVESTOR NAME],MATCH(I13555,INVESTOR_LIST[INVESTOR CODE],0),)," ")</f>
        <v xml:space="preserve"> </v>
      </c>
      <c r="J13555" s="149" t="s">
        <v>80</v>
      </c>
      <c r="K13555" s="218">
        <v>2934.9</v>
      </c>
      <c r="L13555" s="133"/>
      <c r="N13555" s="264"/>
    </row>
    <row r="13556" spans="1:17" x14ac:dyDescent="0.2">
      <c r="A13556" s="133">
        <v>2025</v>
      </c>
      <c r="B13556" s="133">
        <v>5</v>
      </c>
      <c r="C13556" s="133">
        <v>14</v>
      </c>
      <c r="D13556" s="141">
        <f t="shared" si="2036"/>
        <v>45791</v>
      </c>
      <c r="E13556" s="275">
        <f t="shared" si="2037"/>
        <v>45791</v>
      </c>
      <c r="F13556" s="481"/>
      <c r="G13556" s="174" t="s">
        <v>94</v>
      </c>
      <c r="H13556" s="174" t="str" cm="1">
        <f t="array" ref="H13556">IFERROR(INDEX(INVESTOR_LIST[INVESTOR NAME],MATCH(I13556,INVESTOR_LIST[INVESTOR CODE],0),)," ")</f>
        <v xml:space="preserve"> </v>
      </c>
      <c r="J13556" s="149" t="s">
        <v>190</v>
      </c>
      <c r="K13556" s="218">
        <v>656565.1</v>
      </c>
      <c r="L13556" s="218"/>
    </row>
    <row r="13557" spans="1:17" x14ac:dyDescent="0.2">
      <c r="A13557" s="133">
        <v>2025</v>
      </c>
      <c r="B13557" s="133">
        <v>5</v>
      </c>
      <c r="C13557" s="133">
        <v>14</v>
      </c>
      <c r="D13557" s="141">
        <f t="shared" si="2036"/>
        <v>45791</v>
      </c>
      <c r="E13557" s="275">
        <f t="shared" si="2037"/>
        <v>45791</v>
      </c>
      <c r="F13557" s="481"/>
      <c r="G13557" s="174" t="s">
        <v>94</v>
      </c>
      <c r="H13557" s="174" t="str" cm="1">
        <f t="array" ref="H13557">IFERROR(INDEX(INVESTOR_LIST[INVESTOR NAME],MATCH(I13557,INVESTOR_LIST[INVESTOR CODE],0),)," ")</f>
        <v xml:space="preserve"> </v>
      </c>
      <c r="J13557" s="149" t="s">
        <v>191</v>
      </c>
      <c r="K13557" s="218">
        <v>25700.240000000002</v>
      </c>
      <c r="L13557" s="218"/>
    </row>
    <row r="13558" spans="1:17" x14ac:dyDescent="0.2">
      <c r="A13558" s="163">
        <v>2025</v>
      </c>
      <c r="B13558" s="163">
        <v>5</v>
      </c>
      <c r="C13558" s="163">
        <v>14</v>
      </c>
      <c r="D13558" s="280">
        <f t="shared" si="2036"/>
        <v>45791</v>
      </c>
      <c r="E13558" s="281">
        <f t="shared" si="2037"/>
        <v>45791</v>
      </c>
      <c r="F13558" s="480"/>
      <c r="G13558" s="221" t="s">
        <v>94</v>
      </c>
      <c r="H13558" s="145" t="str" cm="1">
        <f t="array" ref="H13558">IFERROR(INDEX(INVESTOR_LIST[INVESTOR NAME],MATCH(I13558,INVESTOR_LIST[INVESTOR CODE],0),)," ")</f>
        <v xml:space="preserve"> </v>
      </c>
      <c r="I13558" s="145"/>
      <c r="J13558" s="163" t="s">
        <v>79</v>
      </c>
      <c r="K13558" s="219"/>
      <c r="L13558" s="219">
        <v>1170700.24</v>
      </c>
    </row>
    <row r="13559" spans="1:17" x14ac:dyDescent="0.2">
      <c r="A13559" s="133">
        <v>2025</v>
      </c>
      <c r="B13559" s="133">
        <v>5</v>
      </c>
      <c r="C13559" s="133">
        <v>14</v>
      </c>
      <c r="D13559" s="141">
        <f t="shared" si="2036"/>
        <v>45791</v>
      </c>
      <c r="E13559" s="275">
        <f t="shared" si="2037"/>
        <v>45791</v>
      </c>
      <c r="F13559" s="479" t="s">
        <v>2066</v>
      </c>
      <c r="G13559" s="174" t="s">
        <v>74</v>
      </c>
      <c r="H13559" s="174" t="str" cm="1">
        <f t="array" ref="H13559">IFERROR(INDEX(INVESTOR_LIST[INVESTOR NAME],MATCH(I13559,INVESTOR_LIST[INVESTOR CODE],0),)," ")</f>
        <v xml:space="preserve"> </v>
      </c>
      <c r="I13559" s="148" t="s">
        <v>348</v>
      </c>
      <c r="J13559" s="143" t="s">
        <v>1805</v>
      </c>
      <c r="K13559" s="218">
        <v>2574889.2200000002</v>
      </c>
      <c r="L13559" s="218"/>
      <c r="M13559" s="147"/>
      <c r="Q13559" s="133" t="s">
        <v>348</v>
      </c>
    </row>
    <row r="13560" spans="1:17" x14ac:dyDescent="0.2">
      <c r="A13560" s="163">
        <v>2025</v>
      </c>
      <c r="B13560" s="163">
        <v>5</v>
      </c>
      <c r="C13560" s="163">
        <v>14</v>
      </c>
      <c r="D13560" s="280">
        <f t="shared" si="2036"/>
        <v>45791</v>
      </c>
      <c r="E13560" s="281">
        <f t="shared" si="2037"/>
        <v>45791</v>
      </c>
      <c r="F13560" s="480"/>
      <c r="G13560" s="221" t="s">
        <v>74</v>
      </c>
      <c r="H13560" s="221" t="str" cm="1">
        <f t="array" ref="H13560">IFERROR(INDEX(INVESTOR_LIST[INVESTOR NAME],MATCH(I13560,INVESTOR_LIST[INVESTOR CODE],0),)," ")</f>
        <v xml:space="preserve"> </v>
      </c>
      <c r="I13560" s="145"/>
      <c r="J13560" s="146" t="s">
        <v>52</v>
      </c>
      <c r="K13560" s="219"/>
      <c r="L13560" s="219">
        <v>2574889.2200000002</v>
      </c>
      <c r="M13560" s="147"/>
      <c r="Q13560" s="133" t="s">
        <v>348</v>
      </c>
    </row>
    <row r="13561" spans="1:17" ht="11.25" customHeight="1" x14ac:dyDescent="0.2">
      <c r="A13561" s="168">
        <v>2025</v>
      </c>
      <c r="B13561" s="133">
        <v>5</v>
      </c>
      <c r="C13561" s="168">
        <v>14</v>
      </c>
      <c r="D13561" s="141">
        <f t="shared" si="2036"/>
        <v>45791</v>
      </c>
      <c r="E13561" s="275">
        <f t="shared" si="2037"/>
        <v>45791</v>
      </c>
      <c r="F13561" s="479" t="s">
        <v>2064</v>
      </c>
      <c r="G13561" s="220" t="s">
        <v>74</v>
      </c>
      <c r="H13561" s="220" t="str" cm="1">
        <f t="array" ref="H13561">IFERROR(INDEX(INVESTOR_LIST[INVESTOR NAME],MATCH(I13561,INVESTOR_LIST[INVESTOR CODE],0),)," ")</f>
        <v xml:space="preserve"> </v>
      </c>
      <c r="I13561" s="142"/>
      <c r="J13561" s="143" t="s">
        <v>147</v>
      </c>
      <c r="K13561" s="226">
        <v>655690.23999999999</v>
      </c>
      <c r="L13561" s="226"/>
    </row>
    <row r="13562" spans="1:17" x14ac:dyDescent="0.2">
      <c r="A13562" s="163">
        <v>2025</v>
      </c>
      <c r="B13562" s="163">
        <v>5</v>
      </c>
      <c r="C13562" s="163">
        <v>14</v>
      </c>
      <c r="D13562" s="280">
        <f t="shared" si="2036"/>
        <v>45791</v>
      </c>
      <c r="E13562" s="281">
        <f t="shared" si="2037"/>
        <v>45791</v>
      </c>
      <c r="F13562" s="480"/>
      <c r="G13562" s="221" t="s">
        <v>74</v>
      </c>
      <c r="H13562" s="221" t="str" cm="1">
        <f t="array" ref="H13562">IFERROR(INDEX(INVESTOR_LIST[INVESTOR NAME],MATCH(I13562,INVESTOR_LIST[INVESTOR CODE],0),)," ")</f>
        <v xml:space="preserve"> </v>
      </c>
      <c r="I13562" s="145"/>
      <c r="J13562" s="146" t="s">
        <v>52</v>
      </c>
      <c r="K13562" s="219"/>
      <c r="L13562" s="219">
        <v>655690.23999999999</v>
      </c>
      <c r="N13562" s="264"/>
    </row>
    <row r="13563" spans="1:17" x14ac:dyDescent="0.2">
      <c r="A13563" s="168">
        <v>2025</v>
      </c>
      <c r="B13563" s="133">
        <v>5</v>
      </c>
      <c r="C13563" s="168">
        <v>14</v>
      </c>
      <c r="D13563" s="141">
        <f>DATE(A13563,B13563,C13563)</f>
        <v>45791</v>
      </c>
      <c r="E13563" s="275">
        <f>DATE(A13563,B13563,C13563)</f>
        <v>45791</v>
      </c>
      <c r="F13563" s="481" t="s">
        <v>2068</v>
      </c>
      <c r="G13563" s="174" t="s">
        <v>94</v>
      </c>
      <c r="H13563" s="174" t="str" cm="1">
        <f t="array" ref="H13563">IFERROR(INDEX(INVESTOR_LIST[INVESTOR NAME],MATCH(I13563,INVESTOR_LIST[INVESTOR CODE],0),)," ")</f>
        <v xml:space="preserve"> </v>
      </c>
      <c r="I13563" s="148" t="s">
        <v>348</v>
      </c>
      <c r="J13563" s="149" t="s">
        <v>168</v>
      </c>
      <c r="K13563" s="218">
        <v>262500</v>
      </c>
      <c r="L13563" s="218"/>
    </row>
    <row r="13564" spans="1:17" x14ac:dyDescent="0.2">
      <c r="A13564" s="163">
        <v>2025</v>
      </c>
      <c r="B13564" s="163">
        <v>5</v>
      </c>
      <c r="C13564" s="163">
        <v>14</v>
      </c>
      <c r="D13564" s="141">
        <f>DATE(A13564,B13564,C13564)</f>
        <v>45791</v>
      </c>
      <c r="E13564" s="275">
        <f>DATE(A13564,B13564,C13564)</f>
        <v>45791</v>
      </c>
      <c r="F13564" s="480"/>
      <c r="G13564" s="221" t="s">
        <v>94</v>
      </c>
      <c r="H13564" s="221" t="str" cm="1">
        <f t="array" ref="H13564">IFERROR(INDEX(INVESTOR_LIST[INVESTOR NAME],MATCH(I13564,INVESTOR_LIST[INVESTOR CODE],0),)," ")</f>
        <v xml:space="preserve"> </v>
      </c>
      <c r="I13564" s="145" t="s">
        <v>348</v>
      </c>
      <c r="J13564" s="146" t="s">
        <v>166</v>
      </c>
      <c r="K13564" s="219"/>
      <c r="L13564" s="219">
        <v>262500</v>
      </c>
    </row>
    <row r="13565" spans="1:17" ht="11.25" customHeight="1" x14ac:dyDescent="0.2">
      <c r="A13565" s="168">
        <v>2025</v>
      </c>
      <c r="B13565" s="133">
        <v>5</v>
      </c>
      <c r="C13565" s="168">
        <v>15</v>
      </c>
      <c r="D13565" s="141">
        <f t="shared" si="2036"/>
        <v>45792</v>
      </c>
      <c r="E13565" s="275">
        <f t="shared" si="2037"/>
        <v>45792</v>
      </c>
      <c r="F13565" s="479" t="s">
        <v>2031</v>
      </c>
      <c r="G13565" s="220" t="s">
        <v>74</v>
      </c>
      <c r="H13565" s="220" t="str" cm="1">
        <f t="array" ref="H13565">IFERROR(INDEX(INVESTOR_LIST[INVESTOR NAME],MATCH(I13565,INVESTOR_LIST[INVESTOR CODE],0),)," ")</f>
        <v xml:space="preserve"> </v>
      </c>
      <c r="I13565" s="142"/>
      <c r="J13565" s="143" t="s">
        <v>52</v>
      </c>
      <c r="K13565" s="226">
        <v>62347</v>
      </c>
      <c r="L13565" s="226"/>
    </row>
    <row r="13566" spans="1:17" x14ac:dyDescent="0.2">
      <c r="A13566" s="163">
        <v>2025</v>
      </c>
      <c r="B13566" s="163">
        <v>5</v>
      </c>
      <c r="C13566" s="163">
        <v>15</v>
      </c>
      <c r="D13566" s="280">
        <f t="shared" si="2036"/>
        <v>45792</v>
      </c>
      <c r="E13566" s="281">
        <f t="shared" si="2037"/>
        <v>45792</v>
      </c>
      <c r="F13566" s="480"/>
      <c r="G13566" s="221" t="s">
        <v>74</v>
      </c>
      <c r="H13566" s="221" t="str" cm="1">
        <f t="array" ref="H13566">IFERROR(INDEX(INVESTOR_LIST[INVESTOR NAME],MATCH(I13566,INVESTOR_LIST[INVESTOR CODE],0),)," ")</f>
        <v xml:space="preserve"> </v>
      </c>
      <c r="I13566" s="145"/>
      <c r="J13566" s="146" t="s">
        <v>190</v>
      </c>
      <c r="K13566" s="219"/>
      <c r="L13566" s="219">
        <v>62347</v>
      </c>
      <c r="N13566" s="264"/>
    </row>
    <row r="13567" spans="1:17" x14ac:dyDescent="0.2">
      <c r="A13567" s="168">
        <v>2025</v>
      </c>
      <c r="B13567" s="168">
        <v>5</v>
      </c>
      <c r="C13567" s="168">
        <v>15</v>
      </c>
      <c r="D13567" s="141">
        <f t="shared" si="2036"/>
        <v>45792</v>
      </c>
      <c r="E13567" s="275">
        <f t="shared" si="2037"/>
        <v>45792</v>
      </c>
      <c r="F13567" s="479" t="s">
        <v>2062</v>
      </c>
      <c r="G13567" s="220" t="s">
        <v>94</v>
      </c>
      <c r="H13567" s="220" t="str" cm="1">
        <f t="array" ref="H13567">IFERROR(INDEX(INVESTOR_LIST[INVESTOR NAME],MATCH(I13567,INVESTOR_LIST[INVESTOR CODE],0),)," ")</f>
        <v xml:space="preserve"> </v>
      </c>
      <c r="I13567" s="142"/>
      <c r="J13567" s="143" t="s">
        <v>79</v>
      </c>
      <c r="K13567" s="226">
        <v>2134223.5</v>
      </c>
      <c r="L13567" s="226"/>
      <c r="M13567" s="160"/>
    </row>
    <row r="13568" spans="1:17" x14ac:dyDescent="0.2">
      <c r="A13568" s="133">
        <v>2025</v>
      </c>
      <c r="B13568" s="133">
        <v>5</v>
      </c>
      <c r="C13568" s="133">
        <v>15</v>
      </c>
      <c r="D13568" s="141">
        <f t="shared" si="2036"/>
        <v>45792</v>
      </c>
      <c r="E13568" s="275">
        <f t="shared" si="2037"/>
        <v>45792</v>
      </c>
      <c r="F13568" s="481"/>
      <c r="G13568" s="174" t="s">
        <v>94</v>
      </c>
      <c r="H13568" s="174" t="str" cm="1">
        <f t="array" ref="H13568">IFERROR(INDEX(INVESTOR_LIST[INVESTOR NAME],MATCH(I13568,INVESTOR_LIST[INVESTOR CODE],0),)," ")</f>
        <v xml:space="preserve"> </v>
      </c>
      <c r="J13568" s="149" t="s">
        <v>80</v>
      </c>
      <c r="K13568" s="218">
        <v>3841.6</v>
      </c>
      <c r="L13568" s="133"/>
    </row>
    <row r="13569" spans="1:13" x14ac:dyDescent="0.2">
      <c r="A13569" s="163">
        <v>2025</v>
      </c>
      <c r="B13569" s="163">
        <v>5</v>
      </c>
      <c r="C13569" s="163">
        <v>15</v>
      </c>
      <c r="D13569" s="280">
        <f t="shared" si="2036"/>
        <v>45792</v>
      </c>
      <c r="E13569" s="281">
        <f t="shared" si="2037"/>
        <v>45792</v>
      </c>
      <c r="F13569" s="480"/>
      <c r="G13569" s="221" t="s">
        <v>94</v>
      </c>
      <c r="H13569" s="221" t="str" cm="1">
        <f t="array" ref="H13569">IFERROR(INDEX(INVESTOR_LIST[INVESTOR NAME],MATCH(I13569,INVESTOR_LIST[INVESTOR CODE],0),)," ")</f>
        <v xml:space="preserve"> </v>
      </c>
      <c r="I13569" s="145"/>
      <c r="J13569" s="146" t="s">
        <v>147</v>
      </c>
      <c r="K13569" s="219"/>
      <c r="L13569" s="219">
        <v>2138065.1</v>
      </c>
    </row>
    <row r="13570" spans="1:13" ht="11.25" customHeight="1" x14ac:dyDescent="0.2">
      <c r="A13570" s="168">
        <v>2025</v>
      </c>
      <c r="B13570" s="133">
        <v>5</v>
      </c>
      <c r="C13570" s="168">
        <v>15</v>
      </c>
      <c r="D13570" s="141">
        <f t="shared" si="2036"/>
        <v>45792</v>
      </c>
      <c r="E13570" s="275">
        <f t="shared" si="2037"/>
        <v>45792</v>
      </c>
      <c r="F13570" s="479" t="s">
        <v>2067</v>
      </c>
      <c r="G13570" s="220" t="s">
        <v>74</v>
      </c>
      <c r="H13570" s="220" t="str" cm="1">
        <f t="array" ref="H13570">IFERROR(INDEX(INVESTOR_LIST[INVESTOR NAME],MATCH(I13570,INVESTOR_LIST[INVESTOR CODE],0),)," ")</f>
        <v xml:space="preserve"> </v>
      </c>
      <c r="I13570" s="142"/>
      <c r="J13570" s="143" t="s">
        <v>52</v>
      </c>
      <c r="K13570" s="226">
        <v>137375</v>
      </c>
      <c r="L13570" s="226"/>
    </row>
    <row r="13571" spans="1:13" x14ac:dyDescent="0.2">
      <c r="A13571" s="163">
        <v>2025</v>
      </c>
      <c r="B13571" s="163">
        <v>5</v>
      </c>
      <c r="C13571" s="163">
        <v>15</v>
      </c>
      <c r="D13571" s="280">
        <f t="shared" si="2036"/>
        <v>45792</v>
      </c>
      <c r="E13571" s="281">
        <f t="shared" si="2037"/>
        <v>45792</v>
      </c>
      <c r="F13571" s="480"/>
      <c r="G13571" s="221" t="s">
        <v>74</v>
      </c>
      <c r="H13571" s="221" t="str" cm="1">
        <f t="array" ref="H13571">IFERROR(INDEX(INVESTOR_LIST[INVESTOR NAME],MATCH(I13571,INVESTOR_LIST[INVESTOR CODE],0),)," ")</f>
        <v xml:space="preserve"> </v>
      </c>
      <c r="I13571" s="145"/>
      <c r="J13571" s="146" t="s">
        <v>60</v>
      </c>
      <c r="K13571" s="219"/>
      <c r="L13571" s="219">
        <v>137375</v>
      </c>
    </row>
    <row r="13572" spans="1:13" x14ac:dyDescent="0.2">
      <c r="A13572" s="133">
        <v>2025</v>
      </c>
      <c r="B13572" s="133">
        <v>5</v>
      </c>
      <c r="C13572" s="133">
        <v>15</v>
      </c>
      <c r="D13572" s="141">
        <f t="shared" si="2036"/>
        <v>45792</v>
      </c>
      <c r="E13572" s="275">
        <f t="shared" si="2037"/>
        <v>45792</v>
      </c>
      <c r="F13572" s="481" t="s">
        <v>1767</v>
      </c>
      <c r="G13572" s="174" t="s">
        <v>94</v>
      </c>
      <c r="H13572" s="174" t="str" cm="1">
        <f t="array" ref="H13572">IFERROR(INDEX(INVESTOR_LIST[INVESTOR NAME],MATCH(I13572,INVESTOR_LIST[INVESTOR CODE],0),)," ")</f>
        <v xml:space="preserve"> </v>
      </c>
      <c r="J13572" s="149" t="s">
        <v>79</v>
      </c>
      <c r="K13572" s="218">
        <v>253500</v>
      </c>
      <c r="L13572" s="218"/>
      <c r="M13572" s="160"/>
    </row>
    <row r="13573" spans="1:13" x14ac:dyDescent="0.2">
      <c r="A13573" s="133">
        <v>2025</v>
      </c>
      <c r="B13573" s="133">
        <v>5</v>
      </c>
      <c r="C13573" s="133">
        <v>15</v>
      </c>
      <c r="D13573" s="141">
        <f t="shared" si="2036"/>
        <v>45792</v>
      </c>
      <c r="E13573" s="275">
        <f t="shared" si="2037"/>
        <v>45792</v>
      </c>
      <c r="F13573" s="481"/>
      <c r="G13573" s="174" t="s">
        <v>94</v>
      </c>
      <c r="H13573" s="174" t="str" cm="1">
        <f t="array" ref="H13573">IFERROR(INDEX(INVESTOR_LIST[INVESTOR NAME],MATCH(I13573,INVESTOR_LIST[INVESTOR CODE],0),)," ")</f>
        <v xml:space="preserve"> </v>
      </c>
      <c r="J13573" s="149" t="s">
        <v>80</v>
      </c>
      <c r="K13573" s="218">
        <v>999</v>
      </c>
      <c r="L13573" s="133"/>
    </row>
    <row r="13574" spans="1:13" x14ac:dyDescent="0.2">
      <c r="A13574" s="133">
        <v>2025</v>
      </c>
      <c r="B13574" s="133">
        <v>5</v>
      </c>
      <c r="C13574" s="133">
        <v>15</v>
      </c>
      <c r="D13574" s="141">
        <f t="shared" si="2036"/>
        <v>45792</v>
      </c>
      <c r="E13574" s="275">
        <f t="shared" si="2037"/>
        <v>45792</v>
      </c>
      <c r="F13574" s="481"/>
      <c r="G13574" s="174" t="s">
        <v>94</v>
      </c>
      <c r="H13574" s="174" t="str" cm="1">
        <f t="array" ref="H13574">IFERROR(INDEX(INVESTOR_LIST[INVESTOR NAME],MATCH(I13574,INVESTOR_LIST[INVESTOR CODE],0),)," ")</f>
        <v xml:space="preserve"> </v>
      </c>
      <c r="J13574" s="149" t="s">
        <v>190</v>
      </c>
      <c r="K13574" s="218">
        <v>47001</v>
      </c>
      <c r="L13574" s="218"/>
    </row>
    <row r="13575" spans="1:13" x14ac:dyDescent="0.2">
      <c r="A13575" s="133">
        <v>2025</v>
      </c>
      <c r="B13575" s="133">
        <v>5</v>
      </c>
      <c r="C13575" s="133">
        <v>15</v>
      </c>
      <c r="D13575" s="141">
        <f t="shared" si="2036"/>
        <v>45792</v>
      </c>
      <c r="E13575" s="275">
        <f t="shared" si="2037"/>
        <v>45792</v>
      </c>
      <c r="F13575" s="481"/>
      <c r="G13575" s="174" t="s">
        <v>94</v>
      </c>
      <c r="H13575" s="174" t="str" cm="1">
        <f t="array" ref="H13575">IFERROR(INDEX(INVESTOR_LIST[INVESTOR NAME],MATCH(I13575,INVESTOR_LIST[INVESTOR CODE],0),)," ")</f>
        <v xml:space="preserve"> </v>
      </c>
      <c r="J13575" s="149" t="s">
        <v>191</v>
      </c>
      <c r="K13575" s="218"/>
      <c r="L13575" s="218">
        <v>7274.52</v>
      </c>
    </row>
    <row r="13576" spans="1:13" x14ac:dyDescent="0.2">
      <c r="A13576" s="163">
        <v>2025</v>
      </c>
      <c r="B13576" s="163">
        <v>5</v>
      </c>
      <c r="C13576" s="163">
        <v>15</v>
      </c>
      <c r="D13576" s="280">
        <f t="shared" si="2036"/>
        <v>45792</v>
      </c>
      <c r="E13576" s="281">
        <f t="shared" si="2037"/>
        <v>45792</v>
      </c>
      <c r="F13576" s="480"/>
      <c r="G13576" s="221" t="s">
        <v>94</v>
      </c>
      <c r="H13576" s="145" t="str" cm="1">
        <f t="array" ref="H13576">IFERROR(INDEX(INVESTOR_LIST[INVESTOR NAME],MATCH(I13576,INVESTOR_LIST[INVESTOR CODE],0),)," ")</f>
        <v xml:space="preserve"> </v>
      </c>
      <c r="I13576" s="145"/>
      <c r="J13576" s="163" t="s">
        <v>79</v>
      </c>
      <c r="K13576" s="219"/>
      <c r="L13576" s="219">
        <v>294225.48</v>
      </c>
    </row>
    <row r="13577" spans="1:13" ht="11.25" customHeight="1" x14ac:dyDescent="0.2">
      <c r="A13577" s="168">
        <v>2025</v>
      </c>
      <c r="B13577" s="168">
        <v>5</v>
      </c>
      <c r="C13577" s="168">
        <v>15</v>
      </c>
      <c r="D13577" s="141">
        <f t="shared" si="2036"/>
        <v>45792</v>
      </c>
      <c r="E13577" s="275">
        <f t="shared" si="2037"/>
        <v>45792</v>
      </c>
      <c r="F13577" s="479" t="s">
        <v>1319</v>
      </c>
      <c r="G13577" s="220" t="s">
        <v>74</v>
      </c>
      <c r="H13577" s="142" t="str" cm="1">
        <f t="array" ref="H13577">IFERROR(INDEX(INVESTOR_LIST[INVESTOR NAME],MATCH(I13577,INVESTOR_LIST[INVESTOR CODE],0),)," ")</f>
        <v xml:space="preserve"> </v>
      </c>
      <c r="I13577" s="142"/>
      <c r="J13577" s="168" t="s">
        <v>52</v>
      </c>
      <c r="K13577" s="226">
        <v>2000</v>
      </c>
      <c r="L13577" s="226"/>
    </row>
    <row r="13578" spans="1:13" ht="11.25" customHeight="1" x14ac:dyDescent="0.2">
      <c r="A13578" s="133">
        <v>2025</v>
      </c>
      <c r="B13578" s="133">
        <v>5</v>
      </c>
      <c r="C13578" s="133">
        <v>15</v>
      </c>
      <c r="D13578" s="141">
        <f t="shared" si="2036"/>
        <v>45792</v>
      </c>
      <c r="E13578" s="275">
        <f t="shared" si="2037"/>
        <v>45792</v>
      </c>
      <c r="F13578" s="481"/>
      <c r="G13578" s="174" t="s">
        <v>74</v>
      </c>
      <c r="H13578" s="148" t="str" cm="1">
        <f t="array" ref="H13578">IFERROR(INDEX(INVESTOR_LIST[INVESTOR NAME],MATCH(I13578,INVESTOR_LIST[INVESTOR CODE],0),)," ")</f>
        <v xml:space="preserve"> </v>
      </c>
      <c r="J13578" s="133" t="s">
        <v>13</v>
      </c>
      <c r="K13578" s="218"/>
      <c r="L13578" s="218">
        <v>1580</v>
      </c>
    </row>
    <row r="13579" spans="1:13" ht="11.25" customHeight="1" x14ac:dyDescent="0.2">
      <c r="A13579" s="163">
        <v>2025</v>
      </c>
      <c r="B13579" s="163">
        <v>5</v>
      </c>
      <c r="C13579" s="163">
        <v>15</v>
      </c>
      <c r="D13579" s="280">
        <f t="shared" si="2036"/>
        <v>45792</v>
      </c>
      <c r="E13579" s="281">
        <f t="shared" si="2037"/>
        <v>45792</v>
      </c>
      <c r="F13579" s="480"/>
      <c r="G13579" s="221" t="s">
        <v>74</v>
      </c>
      <c r="H13579" s="145" t="str" cm="1">
        <f t="array" ref="H13579">IFERROR(INDEX(INVESTOR_LIST[INVESTOR NAME],MATCH(I13579,INVESTOR_LIST[INVESTOR CODE],0),)," ")</f>
        <v xml:space="preserve"> </v>
      </c>
      <c r="I13579" s="145"/>
      <c r="J13579" s="163" t="s">
        <v>53</v>
      </c>
      <c r="K13579" s="219"/>
      <c r="L13579" s="219">
        <v>420</v>
      </c>
    </row>
    <row r="13580" spans="1:13" x14ac:dyDescent="0.2">
      <c r="A13580" s="325">
        <v>2025</v>
      </c>
      <c r="B13580" s="325">
        <v>5</v>
      </c>
      <c r="C13580" s="325">
        <v>15</v>
      </c>
      <c r="D13580" s="326">
        <f t="shared" si="2036"/>
        <v>45792</v>
      </c>
      <c r="E13580" s="327">
        <f t="shared" si="2037"/>
        <v>45792</v>
      </c>
      <c r="F13580" s="473" t="s">
        <v>1940</v>
      </c>
      <c r="G13580" s="340" t="s">
        <v>94</v>
      </c>
      <c r="H13580" s="340" t="str" cm="1">
        <f t="array" ref="H13580">IFERROR(INDEX(INVESTOR_LIST[INVESTOR NAME],MATCH(I13580,INVESTOR_LIST[INVESTOR CODE],0),)," ")</f>
        <v xml:space="preserve"> </v>
      </c>
      <c r="I13580" s="341" t="s">
        <v>348</v>
      </c>
      <c r="J13580" s="374" t="s">
        <v>133</v>
      </c>
      <c r="K13580" s="375">
        <v>12905.56</v>
      </c>
      <c r="L13580" s="375"/>
      <c r="M13580" s="176"/>
    </row>
    <row r="13581" spans="1:13" x14ac:dyDescent="0.2">
      <c r="A13581" s="331">
        <v>2025</v>
      </c>
      <c r="B13581" s="331">
        <v>5</v>
      </c>
      <c r="C13581" s="331">
        <v>15</v>
      </c>
      <c r="D13581" s="326">
        <f t="shared" si="2036"/>
        <v>45792</v>
      </c>
      <c r="E13581" s="327">
        <f t="shared" si="2037"/>
        <v>45792</v>
      </c>
      <c r="F13581" s="474"/>
      <c r="G13581" s="332" t="s">
        <v>94</v>
      </c>
      <c r="H13581" s="332" t="str" cm="1">
        <f t="array" ref="H13581">IFERROR(INDEX(INVESTOR_LIST[INVESTOR NAME],MATCH(I13581,INVESTOR_LIST[INVESTOR CODE],0),)," ")</f>
        <v xml:space="preserve"> </v>
      </c>
      <c r="I13581" s="333" t="s">
        <v>348</v>
      </c>
      <c r="J13581" s="376" t="s">
        <v>60</v>
      </c>
      <c r="K13581" s="334"/>
      <c r="L13581" s="334">
        <f>K13580</f>
        <v>12905.56</v>
      </c>
    </row>
    <row r="13582" spans="1:13" x14ac:dyDescent="0.2">
      <c r="A13582" s="384">
        <v>2025</v>
      </c>
      <c r="B13582" s="384">
        <v>5</v>
      </c>
      <c r="C13582" s="384">
        <v>15</v>
      </c>
      <c r="D13582" s="385">
        <f t="shared" si="2036"/>
        <v>45792</v>
      </c>
      <c r="E13582" s="386">
        <f t="shared" si="2037"/>
        <v>45792</v>
      </c>
      <c r="F13582" s="475" t="s">
        <v>1966</v>
      </c>
      <c r="G13582" s="387" t="s">
        <v>94</v>
      </c>
      <c r="H13582" s="387" t="str" cm="1">
        <f t="array" ref="H13582">IFERROR(INDEX(INVESTOR_LIST[INVESTOR NAME],MATCH(I13582,INVESTOR_LIST[INVESTOR CODE],0),)," ")</f>
        <v xml:space="preserve"> </v>
      </c>
      <c r="I13582" s="388" t="s">
        <v>348</v>
      </c>
      <c r="J13582" s="389" t="s">
        <v>67</v>
      </c>
      <c r="K13582" s="390">
        <v>7456.47</v>
      </c>
      <c r="L13582" s="390"/>
    </row>
    <row r="13583" spans="1:13" x14ac:dyDescent="0.2">
      <c r="A13583" s="391">
        <v>2025</v>
      </c>
      <c r="B13583" s="391">
        <v>5</v>
      </c>
      <c r="C13583" s="391">
        <v>15</v>
      </c>
      <c r="D13583" s="385">
        <f t="shared" si="2036"/>
        <v>45792</v>
      </c>
      <c r="E13583" s="386">
        <f t="shared" si="2037"/>
        <v>45792</v>
      </c>
      <c r="F13583" s="476"/>
      <c r="G13583" s="392" t="s">
        <v>94</v>
      </c>
      <c r="H13583" s="392" t="str" cm="1">
        <f t="array" ref="H13583">IFERROR(INDEX(INVESTOR_LIST[INVESTOR NAME],MATCH(I13583,INVESTOR_LIST[INVESTOR CODE],0),)," ")</f>
        <v xml:space="preserve"> </v>
      </c>
      <c r="I13583" s="393" t="s">
        <v>348</v>
      </c>
      <c r="J13583" s="394" t="s">
        <v>60</v>
      </c>
      <c r="K13583" s="395"/>
      <c r="L13583" s="395">
        <f>K13582</f>
        <v>7456.47</v>
      </c>
    </row>
    <row r="13584" spans="1:13" x14ac:dyDescent="0.2">
      <c r="A13584" s="343">
        <v>2025</v>
      </c>
      <c r="B13584" s="343">
        <v>5</v>
      </c>
      <c r="C13584" s="343">
        <v>15</v>
      </c>
      <c r="D13584" s="344">
        <f t="shared" si="2036"/>
        <v>45792</v>
      </c>
      <c r="E13584" s="345">
        <f t="shared" si="2037"/>
        <v>45792</v>
      </c>
      <c r="F13584" s="483" t="s">
        <v>1813</v>
      </c>
      <c r="G13584" s="350" t="s">
        <v>94</v>
      </c>
      <c r="H13584" s="350" t="str" cm="1">
        <f t="array" ref="H13584">IFERROR(INDEX(INVESTOR_LIST[INVESTOR NAME],MATCH(I13584,INVESTOR_LIST[INVESTOR CODE],0),)," ")</f>
        <v xml:space="preserve"> </v>
      </c>
      <c r="I13584" s="352" t="s">
        <v>348</v>
      </c>
      <c r="J13584" s="353" t="s">
        <v>1807</v>
      </c>
      <c r="K13584" s="354">
        <v>0</v>
      </c>
      <c r="L13584" s="354"/>
      <c r="M13584" s="133">
        <v>0</v>
      </c>
    </row>
    <row r="13585" spans="1:13" x14ac:dyDescent="0.2">
      <c r="A13585" s="346">
        <v>2025</v>
      </c>
      <c r="B13585" s="346">
        <v>5</v>
      </c>
      <c r="C13585" s="346">
        <v>15</v>
      </c>
      <c r="D13585" s="344">
        <f t="shared" si="2036"/>
        <v>45792</v>
      </c>
      <c r="E13585" s="345">
        <f t="shared" si="2037"/>
        <v>45792</v>
      </c>
      <c r="F13585" s="484"/>
      <c r="G13585" s="347" t="s">
        <v>94</v>
      </c>
      <c r="H13585" s="347" t="str" cm="1">
        <f t="array" ref="H13585">IFERROR(INDEX(INVESTOR_LIST[INVESTOR NAME],MATCH(I13585,INVESTOR_LIST[INVESTOR CODE],0),)," ")</f>
        <v xml:space="preserve"> </v>
      </c>
      <c r="I13585" s="348" t="s">
        <v>348</v>
      </c>
      <c r="J13585" s="355" t="s">
        <v>1798</v>
      </c>
      <c r="K13585" s="349"/>
      <c r="L13585" s="349">
        <v>0</v>
      </c>
    </row>
    <row r="13586" spans="1:13" x14ac:dyDescent="0.2">
      <c r="A13586" s="343">
        <v>2025</v>
      </c>
      <c r="B13586" s="343">
        <v>5</v>
      </c>
      <c r="C13586" s="343">
        <v>15</v>
      </c>
      <c r="D13586" s="344">
        <f t="shared" si="2036"/>
        <v>45792</v>
      </c>
      <c r="E13586" s="345">
        <f t="shared" si="2037"/>
        <v>45792</v>
      </c>
      <c r="F13586" s="483" t="s">
        <v>1913</v>
      </c>
      <c r="G13586" s="350" t="s">
        <v>94</v>
      </c>
      <c r="H13586" s="350" t="str" cm="1">
        <f t="array" ref="H13586">IFERROR(INDEX(INVESTOR_LIST[INVESTOR NAME],MATCH(I13586,INVESTOR_LIST[INVESTOR CODE],0),)," ")</f>
        <v xml:space="preserve"> </v>
      </c>
      <c r="I13586" s="352" t="s">
        <v>348</v>
      </c>
      <c r="J13586" s="353" t="s">
        <v>1808</v>
      </c>
      <c r="K13586" s="354">
        <v>67009.570000000298</v>
      </c>
      <c r="L13586" s="354"/>
      <c r="M13586" s="133">
        <v>0</v>
      </c>
    </row>
    <row r="13587" spans="1:13" x14ac:dyDescent="0.2">
      <c r="A13587" s="346">
        <v>2025</v>
      </c>
      <c r="B13587" s="346">
        <v>5</v>
      </c>
      <c r="C13587" s="346">
        <v>15</v>
      </c>
      <c r="D13587" s="344">
        <f t="shared" si="2036"/>
        <v>45792</v>
      </c>
      <c r="E13587" s="345">
        <f t="shared" si="2037"/>
        <v>45792</v>
      </c>
      <c r="F13587" s="484"/>
      <c r="G13587" s="347" t="s">
        <v>94</v>
      </c>
      <c r="H13587" s="347" t="str" cm="1">
        <f t="array" ref="H13587">IFERROR(INDEX(INVESTOR_LIST[INVESTOR NAME],MATCH(I13587,INVESTOR_LIST[INVESTOR CODE],0),)," ")</f>
        <v xml:space="preserve"> </v>
      </c>
      <c r="I13587" s="348" t="s">
        <v>348</v>
      </c>
      <c r="J13587" s="355" t="s">
        <v>1799</v>
      </c>
      <c r="K13587" s="349"/>
      <c r="L13587" s="349">
        <f>K13586</f>
        <v>67009.570000000298</v>
      </c>
    </row>
    <row r="13588" spans="1:13" x14ac:dyDescent="0.2">
      <c r="A13588" s="238">
        <v>2025</v>
      </c>
      <c r="B13588" s="238">
        <v>5</v>
      </c>
      <c r="C13588" s="238">
        <v>15</v>
      </c>
      <c r="D13588" s="270">
        <f t="shared" si="2036"/>
        <v>45792</v>
      </c>
      <c r="E13588" s="279">
        <f t="shared" si="2037"/>
        <v>45792</v>
      </c>
      <c r="F13588" s="477" t="s">
        <v>347</v>
      </c>
      <c r="G13588" s="239" t="s">
        <v>94</v>
      </c>
      <c r="H13588" s="239" t="str" cm="1">
        <f t="array" ref="H13588">IFERROR(INDEX(INVESTOR_LIST[INVESTOR NAME],MATCH(I13588,INVESTOR_LIST[INVESTOR CODE],0),)," ")</f>
        <v xml:space="preserve"> </v>
      </c>
      <c r="I13588" s="262" t="s">
        <v>348</v>
      </c>
      <c r="J13588" s="240" t="s">
        <v>108</v>
      </c>
      <c r="K13588" s="241">
        <v>650697.90000002086</v>
      </c>
      <c r="L13588" s="241"/>
      <c r="M13588" s="133">
        <v>13139541.900000483</v>
      </c>
    </row>
    <row r="13589" spans="1:13" x14ac:dyDescent="0.2">
      <c r="A13589" s="242">
        <v>2025</v>
      </c>
      <c r="B13589" s="242">
        <v>5</v>
      </c>
      <c r="C13589" s="242">
        <v>15</v>
      </c>
      <c r="D13589" s="270">
        <f t="shared" si="2036"/>
        <v>45792</v>
      </c>
      <c r="E13589" s="279">
        <f t="shared" si="2037"/>
        <v>45792</v>
      </c>
      <c r="F13589" s="478"/>
      <c r="G13589" s="243" t="s">
        <v>94</v>
      </c>
      <c r="H13589" s="243" t="str" cm="1">
        <f t="array" ref="H13589">IFERROR(INDEX(INVESTOR_LIST[INVESTOR NAME],MATCH(I13589,INVESTOR_LIST[INVESTOR CODE],0),)," ")</f>
        <v xml:space="preserve"> </v>
      </c>
      <c r="I13589" s="263" t="s">
        <v>348</v>
      </c>
      <c r="J13589" s="244" t="s">
        <v>82</v>
      </c>
      <c r="K13589" s="245"/>
      <c r="L13589" s="245">
        <f>K13588</f>
        <v>650697.90000002086</v>
      </c>
    </row>
    <row r="13590" spans="1:13" ht="12" customHeight="1" x14ac:dyDescent="0.2">
      <c r="A13590" s="246">
        <v>2025</v>
      </c>
      <c r="B13590" s="238">
        <v>5</v>
      </c>
      <c r="C13590" s="238">
        <v>15</v>
      </c>
      <c r="D13590" s="270">
        <f t="shared" si="2036"/>
        <v>45792</v>
      </c>
      <c r="E13590" s="279">
        <f t="shared" si="2037"/>
        <v>45792</v>
      </c>
      <c r="F13590" s="482" t="s">
        <v>148</v>
      </c>
      <c r="G13590" s="247" t="s">
        <v>94</v>
      </c>
      <c r="H13590" s="247" t="str" cm="1">
        <f t="array" ref="H13590">IFERROR(INDEX(INVESTOR_LIST[INVESTOR NAME],MATCH(I13590,INVESTOR_LIST[INVESTOR CODE],0),)," ")</f>
        <v xml:space="preserve"> </v>
      </c>
      <c r="I13590" s="248" t="s">
        <v>348</v>
      </c>
      <c r="J13590" s="249" t="s">
        <v>95</v>
      </c>
      <c r="K13590" s="250">
        <v>2747.2527472527472</v>
      </c>
      <c r="L13590" s="241"/>
      <c r="M13590" s="176"/>
    </row>
    <row r="13591" spans="1:13" x14ac:dyDescent="0.2">
      <c r="A13591" s="242">
        <v>2025</v>
      </c>
      <c r="B13591" s="242">
        <v>5</v>
      </c>
      <c r="C13591" s="242">
        <v>15</v>
      </c>
      <c r="D13591" s="270">
        <f t="shared" si="2036"/>
        <v>45792</v>
      </c>
      <c r="E13591" s="279">
        <f t="shared" si="2037"/>
        <v>45792</v>
      </c>
      <c r="F13591" s="478"/>
      <c r="G13591" s="243" t="s">
        <v>94</v>
      </c>
      <c r="H13591" s="243" t="str" cm="1">
        <f t="array" ref="H13591">IFERROR(INDEX(INVESTOR_LIST[INVESTOR NAME],MATCH(I13591,INVESTOR_LIST[INVESTOR CODE],0),)," ")</f>
        <v xml:space="preserve"> </v>
      </c>
      <c r="I13591" s="263" t="s">
        <v>348</v>
      </c>
      <c r="J13591" s="244" t="s">
        <v>63</v>
      </c>
      <c r="K13591" s="245"/>
      <c r="L13591" s="245">
        <f>K13590</f>
        <v>2747.2527472527472</v>
      </c>
    </row>
    <row r="13592" spans="1:13" x14ac:dyDescent="0.2">
      <c r="A13592" s="246">
        <v>2025</v>
      </c>
      <c r="B13592" s="238">
        <v>5</v>
      </c>
      <c r="C13592" s="238">
        <v>15</v>
      </c>
      <c r="D13592" s="270">
        <f t="shared" si="2036"/>
        <v>45792</v>
      </c>
      <c r="E13592" s="279">
        <f t="shared" si="2037"/>
        <v>45792</v>
      </c>
      <c r="F13592" s="482" t="s">
        <v>137</v>
      </c>
      <c r="G13592" s="247" t="s">
        <v>94</v>
      </c>
      <c r="H13592" s="247" t="str" cm="1">
        <f t="array" ref="H13592">IFERROR(INDEX(INVESTOR_LIST[INVESTOR NAME],MATCH(I13592,INVESTOR_LIST[INVESTOR CODE],0),)," ")</f>
        <v xml:space="preserve"> </v>
      </c>
      <c r="I13592" s="248" t="s">
        <v>348</v>
      </c>
      <c r="J13592" s="249" t="s">
        <v>97</v>
      </c>
      <c r="K13592" s="250">
        <f>M13592</f>
        <v>55020.885504634352</v>
      </c>
      <c r="L13592" s="252"/>
      <c r="M13592" s="133">
        <v>55020.885504634352</v>
      </c>
    </row>
    <row r="13593" spans="1:13" x14ac:dyDescent="0.2">
      <c r="A13593" s="242">
        <v>2025</v>
      </c>
      <c r="B13593" s="242">
        <v>5</v>
      </c>
      <c r="C13593" s="242">
        <v>15</v>
      </c>
      <c r="D13593" s="270">
        <f t="shared" si="2036"/>
        <v>45792</v>
      </c>
      <c r="E13593" s="279">
        <f t="shared" si="2037"/>
        <v>45792</v>
      </c>
      <c r="F13593" s="478"/>
      <c r="G13593" s="243" t="s">
        <v>94</v>
      </c>
      <c r="H13593" s="243" t="str" cm="1">
        <f t="array" ref="H13593">IFERROR(INDEX(INVESTOR_LIST[INVESTOR NAME],MATCH(I13593,INVESTOR_LIST[INVESTOR CODE],0),)," ")</f>
        <v xml:space="preserve"> </v>
      </c>
      <c r="I13593" s="263" t="s">
        <v>348</v>
      </c>
      <c r="J13593" s="244" t="s">
        <v>47</v>
      </c>
      <c r="K13593" s="245"/>
      <c r="L13593" s="245">
        <f>K13592</f>
        <v>55020.885504634352</v>
      </c>
      <c r="M13593" s="133">
        <v>2510.6596598471019</v>
      </c>
    </row>
    <row r="13594" spans="1:13" x14ac:dyDescent="0.2">
      <c r="A13594" s="246">
        <v>2025</v>
      </c>
      <c r="B13594" s="238">
        <v>5</v>
      </c>
      <c r="C13594" s="238">
        <v>15</v>
      </c>
      <c r="D13594" s="270">
        <f t="shared" si="2036"/>
        <v>45792</v>
      </c>
      <c r="E13594" s="279">
        <f t="shared" si="2037"/>
        <v>45792</v>
      </c>
      <c r="F13594" s="482" t="s">
        <v>138</v>
      </c>
      <c r="G13594" s="247" t="s">
        <v>94</v>
      </c>
      <c r="H13594" s="247" t="str" cm="1">
        <f t="array" ref="H13594">IFERROR(INDEX(INVESTOR_LIST[INVESTOR NAME],MATCH(I13594,INVESTOR_LIST[INVESTOR CODE],0),)," ")</f>
        <v xml:space="preserve"> </v>
      </c>
      <c r="I13594" s="248" t="s">
        <v>348</v>
      </c>
      <c r="J13594" s="249" t="s">
        <v>100</v>
      </c>
      <c r="K13594" s="250">
        <f>M13593</f>
        <v>2510.6596598471019</v>
      </c>
      <c r="L13594" s="252"/>
    </row>
    <row r="13595" spans="1:13" x14ac:dyDescent="0.2">
      <c r="A13595" s="242">
        <v>2025</v>
      </c>
      <c r="B13595" s="242">
        <v>5</v>
      </c>
      <c r="C13595" s="242">
        <v>15</v>
      </c>
      <c r="D13595" s="321">
        <f t="shared" si="2036"/>
        <v>45792</v>
      </c>
      <c r="E13595" s="322">
        <f t="shared" si="2037"/>
        <v>45792</v>
      </c>
      <c r="F13595" s="478"/>
      <c r="G13595" s="243" t="s">
        <v>94</v>
      </c>
      <c r="H13595" s="243" t="str" cm="1">
        <f t="array" ref="H13595">IFERROR(INDEX(INVESTOR_LIST[INVESTOR NAME],MATCH(I13595,INVESTOR_LIST[INVESTOR CODE],0),)," ")</f>
        <v xml:space="preserve"> </v>
      </c>
      <c r="I13595" s="263" t="s">
        <v>348</v>
      </c>
      <c r="J13595" s="244" t="s">
        <v>48</v>
      </c>
      <c r="K13595" s="245"/>
      <c r="L13595" s="245">
        <f>K13594</f>
        <v>2510.6596598471019</v>
      </c>
    </row>
    <row r="13596" spans="1:13" x14ac:dyDescent="0.2">
      <c r="A13596" s="133">
        <v>2025</v>
      </c>
      <c r="B13596" s="133">
        <v>5</v>
      </c>
      <c r="C13596" s="133">
        <v>17</v>
      </c>
      <c r="D13596" s="141">
        <f t="shared" si="2036"/>
        <v>45794</v>
      </c>
      <c r="E13596" s="275">
        <f t="shared" si="2037"/>
        <v>45794</v>
      </c>
      <c r="F13596" s="481" t="s">
        <v>1977</v>
      </c>
      <c r="G13596" s="174" t="s">
        <v>94</v>
      </c>
      <c r="H13596" s="174" t="str" cm="1">
        <f t="array" ref="H13596">IFERROR(INDEX(INVESTOR_LIST[INVESTOR NAME],MATCH(I13596,INVESTOR_LIST[INVESTOR CODE],0),)," ")</f>
        <v xml:space="preserve"> </v>
      </c>
      <c r="J13596" s="149" t="s">
        <v>190</v>
      </c>
      <c r="K13596" s="218">
        <v>730895</v>
      </c>
      <c r="L13596" s="133"/>
    </row>
    <row r="13597" spans="1:13" x14ac:dyDescent="0.2">
      <c r="A13597" s="133">
        <v>2025</v>
      </c>
      <c r="B13597" s="133">
        <v>5</v>
      </c>
      <c r="C13597" s="133">
        <v>17</v>
      </c>
      <c r="D13597" s="141">
        <f t="shared" si="2036"/>
        <v>45794</v>
      </c>
      <c r="E13597" s="275">
        <f t="shared" si="2037"/>
        <v>45794</v>
      </c>
      <c r="F13597" s="481"/>
      <c r="G13597" s="174" t="s">
        <v>94</v>
      </c>
      <c r="H13597" s="174" t="str" cm="1">
        <f t="array" ref="H13597">IFERROR(INDEX(INVESTOR_LIST[INVESTOR NAME],MATCH(I13597,INVESTOR_LIST[INVESTOR CODE],0),)," ")</f>
        <v xml:space="preserve"> </v>
      </c>
      <c r="J13597" s="149" t="s">
        <v>80</v>
      </c>
      <c r="K13597" s="218">
        <v>1315.09</v>
      </c>
      <c r="L13597" s="218"/>
      <c r="M13597" s="176"/>
    </row>
    <row r="13598" spans="1:13" x14ac:dyDescent="0.2">
      <c r="A13598" s="133">
        <v>2025</v>
      </c>
      <c r="B13598" s="133">
        <v>5</v>
      </c>
      <c r="C13598" s="133">
        <v>17</v>
      </c>
      <c r="D13598" s="141">
        <f t="shared" si="2036"/>
        <v>45794</v>
      </c>
      <c r="E13598" s="275">
        <f t="shared" si="2037"/>
        <v>45794</v>
      </c>
      <c r="F13598" s="481"/>
      <c r="G13598" s="174" t="s">
        <v>94</v>
      </c>
      <c r="H13598" s="174" t="str" cm="1">
        <f t="array" ref="H13598">IFERROR(INDEX(INVESTOR_LIST[INVESTOR NAME],MATCH(I13598,INVESTOR_LIST[INVESTOR CODE],0),)," ")</f>
        <v xml:space="preserve"> </v>
      </c>
      <c r="J13598" s="149" t="s">
        <v>191</v>
      </c>
      <c r="K13598" s="218">
        <v>14789.9</v>
      </c>
      <c r="L13598" s="218"/>
    </row>
    <row r="13599" spans="1:13" x14ac:dyDescent="0.2">
      <c r="A13599" s="163">
        <v>2025</v>
      </c>
      <c r="B13599" s="163">
        <v>5</v>
      </c>
      <c r="C13599" s="163">
        <v>17</v>
      </c>
      <c r="D13599" s="280">
        <f t="shared" si="2036"/>
        <v>45794</v>
      </c>
      <c r="E13599" s="281">
        <f t="shared" si="2037"/>
        <v>45794</v>
      </c>
      <c r="F13599" s="480"/>
      <c r="G13599" s="221" t="s">
        <v>94</v>
      </c>
      <c r="H13599" s="145" t="str" cm="1">
        <f t="array" ref="H13599">IFERROR(INDEX(INVESTOR_LIST[INVESTOR NAME],MATCH(I13599,INVESTOR_LIST[INVESTOR CODE],0),)," ")</f>
        <v xml:space="preserve"> </v>
      </c>
      <c r="I13599" s="145"/>
      <c r="J13599" s="163" t="s">
        <v>79</v>
      </c>
      <c r="K13599" s="219"/>
      <c r="L13599" s="219">
        <v>747000</v>
      </c>
    </row>
    <row r="13600" spans="1:13" x14ac:dyDescent="0.2">
      <c r="A13600" s="133">
        <v>2025</v>
      </c>
      <c r="B13600" s="133">
        <v>5</v>
      </c>
      <c r="C13600" s="133">
        <v>17</v>
      </c>
      <c r="D13600" s="141">
        <f t="shared" ref="D13600:D13619" si="2038">DATE(A13600,B13600,C13600)</f>
        <v>45794</v>
      </c>
      <c r="E13600" s="275">
        <f t="shared" ref="E13600:E13619" si="2039">DATE(A13600,B13600,C13600)</f>
        <v>45794</v>
      </c>
      <c r="F13600" s="481" t="s">
        <v>2065</v>
      </c>
      <c r="G13600" s="174" t="s">
        <v>94</v>
      </c>
      <c r="H13600" s="174" t="str" cm="1">
        <f t="array" ref="H13600">IFERROR(INDEX(INVESTOR_LIST[INVESTOR NAME],MATCH(I13600,INVESTOR_LIST[INVESTOR CODE],0),)," ")</f>
        <v xml:space="preserve"> </v>
      </c>
      <c r="J13600" s="149" t="s">
        <v>79</v>
      </c>
      <c r="K13600" s="218">
        <v>1134610</v>
      </c>
      <c r="L13600" s="218"/>
      <c r="M13600" s="160"/>
    </row>
    <row r="13601" spans="1:14" x14ac:dyDescent="0.2">
      <c r="A13601" s="133">
        <v>2025</v>
      </c>
      <c r="B13601" s="133">
        <v>5</v>
      </c>
      <c r="C13601" s="133">
        <v>17</v>
      </c>
      <c r="D13601" s="141">
        <f t="shared" si="2038"/>
        <v>45794</v>
      </c>
      <c r="E13601" s="275">
        <f t="shared" si="2039"/>
        <v>45794</v>
      </c>
      <c r="F13601" s="481"/>
      <c r="G13601" s="174" t="s">
        <v>94</v>
      </c>
      <c r="H13601" s="174" t="str" cm="1">
        <f t="array" ref="H13601">IFERROR(INDEX(INVESTOR_LIST[INVESTOR NAME],MATCH(I13601,INVESTOR_LIST[INVESTOR CODE],0),)," ")</f>
        <v xml:space="preserve"> </v>
      </c>
      <c r="J13601" s="149" t="s">
        <v>80</v>
      </c>
      <c r="K13601" s="218">
        <v>2477.9</v>
      </c>
      <c r="L13601" s="133"/>
      <c r="N13601" s="264"/>
    </row>
    <row r="13602" spans="1:14" x14ac:dyDescent="0.2">
      <c r="A13602" s="133">
        <v>2025</v>
      </c>
      <c r="B13602" s="133">
        <v>5</v>
      </c>
      <c r="C13602" s="133">
        <v>17</v>
      </c>
      <c r="D13602" s="141">
        <f t="shared" si="2038"/>
        <v>45794</v>
      </c>
      <c r="E13602" s="275">
        <f t="shared" si="2039"/>
        <v>45794</v>
      </c>
      <c r="F13602" s="481"/>
      <c r="G13602" s="174" t="s">
        <v>94</v>
      </c>
      <c r="H13602" s="174" t="str" cm="1">
        <f t="array" ref="H13602">IFERROR(INDEX(INVESTOR_LIST[INVESTOR NAME],MATCH(I13602,INVESTOR_LIST[INVESTOR CODE],0),)," ")</f>
        <v xml:space="preserve"> </v>
      </c>
      <c r="J13602" s="149" t="s">
        <v>147</v>
      </c>
      <c r="K13602" s="218"/>
      <c r="L13602" s="218">
        <v>895087.9</v>
      </c>
    </row>
    <row r="13603" spans="1:14" x14ac:dyDescent="0.2">
      <c r="A13603" s="133">
        <v>2025</v>
      </c>
      <c r="B13603" s="133">
        <v>5</v>
      </c>
      <c r="C13603" s="133">
        <v>17</v>
      </c>
      <c r="D13603" s="141">
        <f t="shared" si="2038"/>
        <v>45794</v>
      </c>
      <c r="E13603" s="275">
        <f t="shared" si="2039"/>
        <v>45794</v>
      </c>
      <c r="F13603" s="481"/>
      <c r="G13603" s="174" t="s">
        <v>94</v>
      </c>
      <c r="H13603" s="174" t="str" cm="1">
        <f t="array" ref="H13603">IFERROR(INDEX(INVESTOR_LIST[INVESTOR NAME],MATCH(I13603,INVESTOR_LIST[INVESTOR CODE],0),)," ")</f>
        <v xml:space="preserve"> </v>
      </c>
      <c r="J13603" s="149" t="s">
        <v>191</v>
      </c>
      <c r="K13603" s="218">
        <v>7000</v>
      </c>
      <c r="L13603" s="218"/>
    </row>
    <row r="13604" spans="1:14" x14ac:dyDescent="0.2">
      <c r="A13604" s="163">
        <v>2025</v>
      </c>
      <c r="B13604" s="163">
        <v>5</v>
      </c>
      <c r="C13604" s="163">
        <v>17</v>
      </c>
      <c r="D13604" s="280">
        <f t="shared" si="2038"/>
        <v>45794</v>
      </c>
      <c r="E13604" s="281">
        <f t="shared" si="2039"/>
        <v>45794</v>
      </c>
      <c r="F13604" s="480"/>
      <c r="G13604" s="221" t="s">
        <v>94</v>
      </c>
      <c r="H13604" s="145" t="str" cm="1">
        <f t="array" ref="H13604">IFERROR(INDEX(INVESTOR_LIST[INVESTOR NAME],MATCH(I13604,INVESTOR_LIST[INVESTOR CODE],0),)," ")</f>
        <v xml:space="preserve"> </v>
      </c>
      <c r="I13604" s="145"/>
      <c r="J13604" s="163" t="s">
        <v>79</v>
      </c>
      <c r="K13604" s="219"/>
      <c r="L13604" s="219">
        <v>249000</v>
      </c>
    </row>
    <row r="13605" spans="1:14" ht="11.25" customHeight="1" x14ac:dyDescent="0.2">
      <c r="A13605" s="168">
        <v>2025</v>
      </c>
      <c r="B13605" s="133">
        <v>5</v>
      </c>
      <c r="C13605" s="168">
        <v>17</v>
      </c>
      <c r="D13605" s="141">
        <f t="shared" si="2038"/>
        <v>45794</v>
      </c>
      <c r="E13605" s="275">
        <f t="shared" si="2039"/>
        <v>45794</v>
      </c>
      <c r="F13605" s="479" t="s">
        <v>2031</v>
      </c>
      <c r="G13605" s="220" t="s">
        <v>74</v>
      </c>
      <c r="H13605" s="220" t="str" cm="1">
        <f t="array" ref="H13605">IFERROR(INDEX(INVESTOR_LIST[INVESTOR NAME],MATCH(I13605,INVESTOR_LIST[INVESTOR CODE],0),)," ")</f>
        <v xml:space="preserve"> </v>
      </c>
      <c r="I13605" s="142"/>
      <c r="J13605" s="143" t="s">
        <v>52</v>
      </c>
      <c r="K13605" s="226">
        <v>4161090</v>
      </c>
      <c r="L13605" s="226"/>
    </row>
    <row r="13606" spans="1:14" x14ac:dyDescent="0.2">
      <c r="A13606" s="163">
        <v>2025</v>
      </c>
      <c r="B13606" s="163">
        <v>5</v>
      </c>
      <c r="C13606" s="163">
        <v>17</v>
      </c>
      <c r="D13606" s="280">
        <f t="shared" si="2038"/>
        <v>45794</v>
      </c>
      <c r="E13606" s="281">
        <f t="shared" si="2039"/>
        <v>45794</v>
      </c>
      <c r="F13606" s="480"/>
      <c r="G13606" s="221" t="s">
        <v>74</v>
      </c>
      <c r="H13606" s="221" t="str" cm="1">
        <f t="array" ref="H13606">IFERROR(INDEX(INVESTOR_LIST[INVESTOR NAME],MATCH(I13606,INVESTOR_LIST[INVESTOR CODE],0),)," ")</f>
        <v xml:space="preserve"> </v>
      </c>
      <c r="I13606" s="145"/>
      <c r="J13606" s="146" t="s">
        <v>190</v>
      </c>
      <c r="K13606" s="219"/>
      <c r="L13606" s="219">
        <v>4161090</v>
      </c>
      <c r="N13606" s="264"/>
    </row>
    <row r="13607" spans="1:14" ht="11.25" customHeight="1" x14ac:dyDescent="0.2">
      <c r="A13607" s="168">
        <v>2025</v>
      </c>
      <c r="B13607" s="133">
        <v>5</v>
      </c>
      <c r="C13607" s="168">
        <v>17</v>
      </c>
      <c r="D13607" s="141">
        <f t="shared" ref="D13607:D13608" si="2040">DATE(A13607,B13607,C13607)</f>
        <v>45794</v>
      </c>
      <c r="E13607" s="275">
        <f t="shared" ref="E13607:E13608" si="2041">DATE(A13607,B13607,C13607)</f>
        <v>45794</v>
      </c>
      <c r="F13607" s="479" t="s">
        <v>2069</v>
      </c>
      <c r="G13607" s="220" t="s">
        <v>74</v>
      </c>
      <c r="H13607" s="220" t="str" cm="1">
        <f t="array" ref="H13607">IFERROR(INDEX(INVESTOR_LIST[INVESTOR NAME],MATCH(I13607,INVESTOR_LIST[INVESTOR CODE],0),)," ")</f>
        <v xml:space="preserve"> </v>
      </c>
      <c r="I13607" s="142"/>
      <c r="J13607" s="143" t="s">
        <v>52</v>
      </c>
      <c r="K13607" s="226">
        <v>2058960.73</v>
      </c>
      <c r="L13607" s="226"/>
    </row>
    <row r="13608" spans="1:14" x14ac:dyDescent="0.2">
      <c r="A13608" s="163">
        <v>2025</v>
      </c>
      <c r="B13608" s="163">
        <v>5</v>
      </c>
      <c r="C13608" s="163">
        <v>17</v>
      </c>
      <c r="D13608" s="280">
        <f t="shared" si="2040"/>
        <v>45794</v>
      </c>
      <c r="E13608" s="281">
        <f t="shared" si="2041"/>
        <v>45794</v>
      </c>
      <c r="F13608" s="480"/>
      <c r="G13608" s="221" t="s">
        <v>74</v>
      </c>
      <c r="H13608" s="221" t="str" cm="1">
        <f t="array" ref="H13608">IFERROR(INDEX(INVESTOR_LIST[INVESTOR NAME],MATCH(I13608,INVESTOR_LIST[INVESTOR CODE],0),)," ")</f>
        <v xml:space="preserve"> </v>
      </c>
      <c r="I13608" s="145"/>
      <c r="J13608" s="146" t="s">
        <v>190</v>
      </c>
      <c r="K13608" s="219"/>
      <c r="L13608" s="219">
        <f>K13607</f>
        <v>2058960.73</v>
      </c>
      <c r="N13608" s="264"/>
    </row>
    <row r="13609" spans="1:14" ht="11.25" customHeight="1" x14ac:dyDescent="0.2">
      <c r="A13609" s="168">
        <v>2025</v>
      </c>
      <c r="B13609" s="133">
        <v>5</v>
      </c>
      <c r="C13609" s="168">
        <v>17</v>
      </c>
      <c r="D13609" s="141">
        <f t="shared" ref="D13609:D13610" si="2042">DATE(A13609,B13609,C13609)</f>
        <v>45794</v>
      </c>
      <c r="E13609" s="275">
        <f t="shared" ref="E13609:E13610" si="2043">DATE(A13609,B13609,C13609)</f>
        <v>45794</v>
      </c>
      <c r="F13609" s="479" t="s">
        <v>2069</v>
      </c>
      <c r="G13609" s="220" t="s">
        <v>74</v>
      </c>
      <c r="H13609" s="220" t="str" cm="1">
        <f t="array" ref="H13609">IFERROR(INDEX(INVESTOR_LIST[INVESTOR NAME],MATCH(I13609,INVESTOR_LIST[INVESTOR CODE],0),)," ")</f>
        <v xml:space="preserve"> </v>
      </c>
      <c r="I13609" s="142"/>
      <c r="J13609" s="143" t="s">
        <v>52</v>
      </c>
      <c r="K13609" s="226">
        <v>1458608.67</v>
      </c>
      <c r="L13609" s="226"/>
    </row>
    <row r="13610" spans="1:14" x14ac:dyDescent="0.2">
      <c r="A13610" s="163">
        <v>2025</v>
      </c>
      <c r="B13610" s="163">
        <v>5</v>
      </c>
      <c r="C13610" s="163">
        <v>17</v>
      </c>
      <c r="D13610" s="280">
        <f t="shared" si="2042"/>
        <v>45794</v>
      </c>
      <c r="E13610" s="281">
        <f t="shared" si="2043"/>
        <v>45794</v>
      </c>
      <c r="F13610" s="480"/>
      <c r="G13610" s="221" t="s">
        <v>74</v>
      </c>
      <c r="H13610" s="221" t="str" cm="1">
        <f t="array" ref="H13610">IFERROR(INDEX(INVESTOR_LIST[INVESTOR NAME],MATCH(I13610,INVESTOR_LIST[INVESTOR CODE],0),)," ")</f>
        <v xml:space="preserve"> </v>
      </c>
      <c r="I13610" s="145"/>
      <c r="J13610" s="146" t="s">
        <v>190</v>
      </c>
      <c r="K13610" s="219"/>
      <c r="L13610" s="219">
        <f>K13609</f>
        <v>1458608.67</v>
      </c>
      <c r="N13610" s="264"/>
    </row>
    <row r="13611" spans="1:14" ht="11.25" customHeight="1" x14ac:dyDescent="0.2">
      <c r="A13611" s="168">
        <v>2025</v>
      </c>
      <c r="B13611" s="133">
        <v>5</v>
      </c>
      <c r="C13611" s="168">
        <v>17</v>
      </c>
      <c r="D13611" s="141">
        <f t="shared" ref="D13611:D13612" si="2044">DATE(A13611,B13611,C13611)</f>
        <v>45794</v>
      </c>
      <c r="E13611" s="275">
        <f t="shared" ref="E13611:E13612" si="2045">DATE(A13611,B13611,C13611)</f>
        <v>45794</v>
      </c>
      <c r="F13611" s="479" t="s">
        <v>2069</v>
      </c>
      <c r="G13611" s="220" t="s">
        <v>74</v>
      </c>
      <c r="H13611" s="220" t="str" cm="1">
        <f t="array" ref="H13611">IFERROR(INDEX(INVESTOR_LIST[INVESTOR NAME],MATCH(I13611,INVESTOR_LIST[INVESTOR CODE],0),)," ")</f>
        <v xml:space="preserve"> </v>
      </c>
      <c r="I13611" s="142"/>
      <c r="J13611" s="143" t="s">
        <v>52</v>
      </c>
      <c r="K13611" s="226">
        <v>3115436.2</v>
      </c>
      <c r="L13611" s="226"/>
    </row>
    <row r="13612" spans="1:14" x14ac:dyDescent="0.2">
      <c r="A13612" s="163">
        <v>2025</v>
      </c>
      <c r="B13612" s="163">
        <v>5</v>
      </c>
      <c r="C13612" s="163">
        <v>17</v>
      </c>
      <c r="D13612" s="280">
        <f t="shared" si="2044"/>
        <v>45794</v>
      </c>
      <c r="E13612" s="281">
        <f t="shared" si="2045"/>
        <v>45794</v>
      </c>
      <c r="F13612" s="480"/>
      <c r="G13612" s="221" t="s">
        <v>74</v>
      </c>
      <c r="H13612" s="221" t="str" cm="1">
        <f t="array" ref="H13612">IFERROR(INDEX(INVESTOR_LIST[INVESTOR NAME],MATCH(I13612,INVESTOR_LIST[INVESTOR CODE],0),)," ")</f>
        <v xml:space="preserve"> </v>
      </c>
      <c r="I13612" s="145"/>
      <c r="J13612" s="146" t="s">
        <v>190</v>
      </c>
      <c r="K13612" s="219"/>
      <c r="L13612" s="219">
        <f>K13611</f>
        <v>3115436.2</v>
      </c>
      <c r="N13612" s="264"/>
    </row>
    <row r="13613" spans="1:14" ht="11.25" customHeight="1" x14ac:dyDescent="0.2">
      <c r="A13613" s="168">
        <v>2025</v>
      </c>
      <c r="B13613" s="133">
        <v>5</v>
      </c>
      <c r="C13613" s="168">
        <v>17</v>
      </c>
      <c r="D13613" s="141">
        <f t="shared" ref="D13613:D13614" si="2046">DATE(A13613,B13613,C13613)</f>
        <v>45794</v>
      </c>
      <c r="E13613" s="275">
        <f t="shared" ref="E13613:E13614" si="2047">DATE(A13613,B13613,C13613)</f>
        <v>45794</v>
      </c>
      <c r="F13613" s="479" t="s">
        <v>2069</v>
      </c>
      <c r="G13613" s="220" t="s">
        <v>74</v>
      </c>
      <c r="H13613" s="220" t="str" cm="1">
        <f t="array" ref="H13613">IFERROR(INDEX(INVESTOR_LIST[INVESTOR NAME],MATCH(I13613,INVESTOR_LIST[INVESTOR CODE],0),)," ")</f>
        <v xml:space="preserve"> </v>
      </c>
      <c r="I13613" s="142"/>
      <c r="J13613" s="143" t="s">
        <v>52</v>
      </c>
      <c r="K13613" s="226">
        <v>333189.84000000003</v>
      </c>
      <c r="L13613" s="226"/>
    </row>
    <row r="13614" spans="1:14" x14ac:dyDescent="0.2">
      <c r="A13614" s="163">
        <v>2025</v>
      </c>
      <c r="B13614" s="163">
        <v>5</v>
      </c>
      <c r="C13614" s="163">
        <v>17</v>
      </c>
      <c r="D13614" s="280">
        <f t="shared" si="2046"/>
        <v>45794</v>
      </c>
      <c r="E13614" s="281">
        <f t="shared" si="2047"/>
        <v>45794</v>
      </c>
      <c r="F13614" s="480"/>
      <c r="G13614" s="221" t="s">
        <v>74</v>
      </c>
      <c r="H13614" s="221" t="str" cm="1">
        <f t="array" ref="H13614">IFERROR(INDEX(INVESTOR_LIST[INVESTOR NAME],MATCH(I13614,INVESTOR_LIST[INVESTOR CODE],0),)," ")</f>
        <v xml:space="preserve"> </v>
      </c>
      <c r="I13614" s="145"/>
      <c r="J13614" s="146" t="s">
        <v>190</v>
      </c>
      <c r="K13614" s="219"/>
      <c r="L13614" s="219">
        <f>K13613</f>
        <v>333189.84000000003</v>
      </c>
      <c r="N13614" s="264"/>
    </row>
    <row r="13615" spans="1:14" ht="11.25" customHeight="1" x14ac:dyDescent="0.2">
      <c r="A13615" s="168">
        <v>2025</v>
      </c>
      <c r="B13615" s="133">
        <v>5</v>
      </c>
      <c r="C13615" s="168">
        <v>17</v>
      </c>
      <c r="D13615" s="141">
        <f t="shared" ref="D13615:D13616" si="2048">DATE(A13615,B13615,C13615)</f>
        <v>45794</v>
      </c>
      <c r="E13615" s="275">
        <f t="shared" ref="E13615:E13616" si="2049">DATE(A13615,B13615,C13615)</f>
        <v>45794</v>
      </c>
      <c r="F13615" s="479" t="s">
        <v>2069</v>
      </c>
      <c r="G13615" s="220" t="s">
        <v>74</v>
      </c>
      <c r="H13615" s="220" t="str" cm="1">
        <f t="array" ref="H13615">IFERROR(INDEX(INVESTOR_LIST[INVESTOR NAME],MATCH(I13615,INVESTOR_LIST[INVESTOR CODE],0),)," ")</f>
        <v xml:space="preserve"> </v>
      </c>
      <c r="I13615" s="142"/>
      <c r="J13615" s="143" t="s">
        <v>52</v>
      </c>
      <c r="K13615" s="226">
        <v>656565.1</v>
      </c>
      <c r="L13615" s="226"/>
    </row>
    <row r="13616" spans="1:14" x14ac:dyDescent="0.2">
      <c r="A13616" s="163">
        <v>2025</v>
      </c>
      <c r="B13616" s="163">
        <v>5</v>
      </c>
      <c r="C13616" s="163">
        <v>17</v>
      </c>
      <c r="D13616" s="280">
        <f t="shared" si="2048"/>
        <v>45794</v>
      </c>
      <c r="E13616" s="281">
        <f t="shared" si="2049"/>
        <v>45794</v>
      </c>
      <c r="F13616" s="480"/>
      <c r="G13616" s="221" t="s">
        <v>74</v>
      </c>
      <c r="H13616" s="221" t="str" cm="1">
        <f t="array" ref="H13616">IFERROR(INDEX(INVESTOR_LIST[INVESTOR NAME],MATCH(I13616,INVESTOR_LIST[INVESTOR CODE],0),)," ")</f>
        <v xml:space="preserve"> </v>
      </c>
      <c r="I13616" s="145"/>
      <c r="J13616" s="146" t="s">
        <v>190</v>
      </c>
      <c r="K13616" s="219"/>
      <c r="L13616" s="219">
        <f>K13615</f>
        <v>656565.1</v>
      </c>
      <c r="N13616" s="264"/>
    </row>
    <row r="13617" spans="1:14" x14ac:dyDescent="0.2">
      <c r="A13617" s="168">
        <v>2025</v>
      </c>
      <c r="B13617" s="168">
        <v>5</v>
      </c>
      <c r="C13617" s="168">
        <v>18</v>
      </c>
      <c r="D13617" s="141">
        <f t="shared" si="2038"/>
        <v>45795</v>
      </c>
      <c r="E13617" s="275">
        <f t="shared" si="2039"/>
        <v>45795</v>
      </c>
      <c r="F13617" s="479" t="s">
        <v>2062</v>
      </c>
      <c r="G13617" s="220" t="s">
        <v>94</v>
      </c>
      <c r="H13617" s="220" t="str" cm="1">
        <f t="array" ref="H13617">IFERROR(INDEX(INVESTOR_LIST[INVESTOR NAME],MATCH(I13617,INVESTOR_LIST[INVESTOR CODE],0),)," ")</f>
        <v xml:space="preserve"> </v>
      </c>
      <c r="I13617" s="142"/>
      <c r="J13617" s="143" t="s">
        <v>79</v>
      </c>
      <c r="K13617" s="226">
        <v>254300</v>
      </c>
      <c r="L13617" s="226"/>
      <c r="M13617" s="160"/>
    </row>
    <row r="13618" spans="1:14" x14ac:dyDescent="0.2">
      <c r="A13618" s="133">
        <v>2025</v>
      </c>
      <c r="B13618" s="133">
        <v>5</v>
      </c>
      <c r="C13618" s="133">
        <v>18</v>
      </c>
      <c r="D13618" s="141">
        <f t="shared" si="2038"/>
        <v>45795</v>
      </c>
      <c r="E13618" s="275">
        <f t="shared" si="2039"/>
        <v>45795</v>
      </c>
      <c r="F13618" s="481"/>
      <c r="G13618" s="174" t="s">
        <v>94</v>
      </c>
      <c r="H13618" s="174" t="str" cm="1">
        <f t="array" ref="H13618">IFERROR(INDEX(INVESTOR_LIST[INVESTOR NAME],MATCH(I13618,INVESTOR_LIST[INVESTOR CODE],0),)," ")</f>
        <v xml:space="preserve"> </v>
      </c>
      <c r="J13618" s="149" t="s">
        <v>80</v>
      </c>
      <c r="K13618" s="218">
        <v>457.74</v>
      </c>
      <c r="L13618" s="133"/>
    </row>
    <row r="13619" spans="1:14" x14ac:dyDescent="0.2">
      <c r="A13619" s="163">
        <v>2025</v>
      </c>
      <c r="B13619" s="163">
        <v>5</v>
      </c>
      <c r="C13619" s="163">
        <v>18</v>
      </c>
      <c r="D13619" s="280">
        <f t="shared" si="2038"/>
        <v>45795</v>
      </c>
      <c r="E13619" s="281">
        <f t="shared" si="2039"/>
        <v>45795</v>
      </c>
      <c r="F13619" s="480"/>
      <c r="G13619" s="221" t="s">
        <v>94</v>
      </c>
      <c r="H13619" s="221" t="str" cm="1">
        <f t="array" ref="H13619">IFERROR(INDEX(INVESTOR_LIST[INVESTOR NAME],MATCH(I13619,INVESTOR_LIST[INVESTOR CODE],0),)," ")</f>
        <v xml:space="preserve"> </v>
      </c>
      <c r="I13619" s="145"/>
      <c r="J13619" s="146" t="s">
        <v>147</v>
      </c>
      <c r="K13619" s="219"/>
      <c r="L13619" s="219">
        <v>254757.74</v>
      </c>
    </row>
    <row r="13620" spans="1:14" x14ac:dyDescent="0.2">
      <c r="A13620" s="168">
        <v>2025</v>
      </c>
      <c r="B13620" s="133">
        <v>5</v>
      </c>
      <c r="C13620" s="168">
        <v>18</v>
      </c>
      <c r="D13620" s="141">
        <f>DATE(A13620,B13620,C13620)</f>
        <v>45795</v>
      </c>
      <c r="E13620" s="275">
        <f>DATE(A13620,B13620,C13620)</f>
        <v>45795</v>
      </c>
      <c r="F13620" s="481" t="s">
        <v>2070</v>
      </c>
      <c r="G13620" s="174" t="s">
        <v>94</v>
      </c>
      <c r="H13620" s="174" t="str" cm="1">
        <f t="array" ref="H13620">IFERROR(INDEX(INVESTOR_LIST[INVESTOR NAME],MATCH(I13620,INVESTOR_LIST[INVESTOR CODE],0),)," ")</f>
        <v xml:space="preserve"> </v>
      </c>
      <c r="I13620" s="148" t="s">
        <v>348</v>
      </c>
      <c r="J13620" s="149" t="s">
        <v>52</v>
      </c>
      <c r="K13620" s="218">
        <v>671992.55</v>
      </c>
      <c r="L13620" s="218"/>
    </row>
    <row r="13621" spans="1:14" x14ac:dyDescent="0.2">
      <c r="A13621" s="163">
        <v>2025</v>
      </c>
      <c r="B13621" s="163">
        <v>5</v>
      </c>
      <c r="C13621" s="163">
        <v>18</v>
      </c>
      <c r="D13621" s="280">
        <f>DATE(A13621,B13621,C13621)</f>
        <v>45795</v>
      </c>
      <c r="E13621" s="281">
        <f>DATE(A13621,B13621,C13621)</f>
        <v>45795</v>
      </c>
      <c r="F13621" s="480"/>
      <c r="G13621" s="221" t="s">
        <v>94</v>
      </c>
      <c r="H13621" s="221" t="str" cm="1">
        <f t="array" ref="H13621">IFERROR(INDEX(INVESTOR_LIST[INVESTOR NAME],MATCH(I13621,INVESTOR_LIST[INVESTOR CODE],0),)," ")</f>
        <v xml:space="preserve"> </v>
      </c>
      <c r="I13621" s="145" t="s">
        <v>348</v>
      </c>
      <c r="J13621" s="146" t="s">
        <v>168</v>
      </c>
      <c r="K13621" s="219"/>
      <c r="L13621" s="219">
        <v>671992.55</v>
      </c>
    </row>
    <row r="13622" spans="1:14" x14ac:dyDescent="0.2">
      <c r="A13622" s="168">
        <v>2025</v>
      </c>
      <c r="B13622" s="168">
        <v>5</v>
      </c>
      <c r="C13622" s="168">
        <v>18</v>
      </c>
      <c r="D13622" s="141">
        <f t="shared" ref="D13622:D13627" si="2050">DATE(A13622,B13622,C13622)</f>
        <v>45795</v>
      </c>
      <c r="E13622" s="275">
        <f t="shared" ref="E13622:E13627" si="2051">DATE(A13622,B13622,C13622)</f>
        <v>45795</v>
      </c>
      <c r="F13622" s="479" t="s">
        <v>1967</v>
      </c>
      <c r="G13622" s="220" t="s">
        <v>94</v>
      </c>
      <c r="H13622" s="220" t="str" cm="1">
        <f t="array" ref="H13622">IFERROR(INDEX(INVESTOR_LIST[INVESTOR NAME],MATCH(I13622,INVESTOR_LIST[INVESTOR CODE],0),)," ")</f>
        <v xml:space="preserve"> </v>
      </c>
      <c r="I13622" s="142"/>
      <c r="J13622" s="143" t="s">
        <v>79</v>
      </c>
      <c r="K13622" s="226">
        <v>1500000</v>
      </c>
      <c r="L13622" s="226"/>
      <c r="M13622" s="160"/>
    </row>
    <row r="13623" spans="1:14" ht="10.9" customHeight="1" x14ac:dyDescent="0.2">
      <c r="A13623" s="163">
        <v>2025</v>
      </c>
      <c r="B13623" s="163">
        <v>5</v>
      </c>
      <c r="C13623" s="163">
        <v>18</v>
      </c>
      <c r="D13623" s="280">
        <f t="shared" si="2050"/>
        <v>45795</v>
      </c>
      <c r="E13623" s="281">
        <f t="shared" si="2051"/>
        <v>45795</v>
      </c>
      <c r="F13623" s="480"/>
      <c r="G13623" s="221" t="s">
        <v>94</v>
      </c>
      <c r="H13623" s="221" t="str" cm="1">
        <f t="array" ref="H13623">IFERROR(INDEX(INVESTOR_LIST[INVESTOR NAME],MATCH(I13623,INVESTOR_LIST[INVESTOR CODE],0),)," ")</f>
        <v xml:space="preserve"> </v>
      </c>
      <c r="I13623" s="145"/>
      <c r="J13623" s="146" t="s">
        <v>52</v>
      </c>
      <c r="K13623" s="219"/>
      <c r="L13623" s="219">
        <v>1500000</v>
      </c>
    </row>
    <row r="13624" spans="1:14" ht="11.25" customHeight="1" x14ac:dyDescent="0.2">
      <c r="A13624" s="168">
        <v>2025</v>
      </c>
      <c r="B13624" s="133">
        <v>5</v>
      </c>
      <c r="C13624" s="168">
        <v>18</v>
      </c>
      <c r="D13624" s="141">
        <f t="shared" si="2050"/>
        <v>45795</v>
      </c>
      <c r="E13624" s="275">
        <f t="shared" si="2051"/>
        <v>45795</v>
      </c>
      <c r="F13624" s="479" t="s">
        <v>2031</v>
      </c>
      <c r="G13624" s="220" t="s">
        <v>74</v>
      </c>
      <c r="H13624" s="220" t="str" cm="1">
        <f t="array" ref="H13624">IFERROR(INDEX(INVESTOR_LIST[INVESTOR NAME],MATCH(I13624,INVESTOR_LIST[INVESTOR CODE],0),)," ")</f>
        <v xml:space="preserve"> </v>
      </c>
      <c r="I13624" s="142"/>
      <c r="J13624" s="143" t="s">
        <v>52</v>
      </c>
      <c r="K13624" s="226">
        <v>47001</v>
      </c>
      <c r="L13624" s="226"/>
    </row>
    <row r="13625" spans="1:14" x14ac:dyDescent="0.2">
      <c r="A13625" s="163">
        <v>2025</v>
      </c>
      <c r="B13625" s="163">
        <v>5</v>
      </c>
      <c r="C13625" s="163">
        <v>18</v>
      </c>
      <c r="D13625" s="280">
        <f t="shared" si="2050"/>
        <v>45795</v>
      </c>
      <c r="E13625" s="281">
        <f t="shared" si="2051"/>
        <v>45795</v>
      </c>
      <c r="F13625" s="480"/>
      <c r="G13625" s="221" t="s">
        <v>74</v>
      </c>
      <c r="H13625" s="221" t="str" cm="1">
        <f t="array" ref="H13625">IFERROR(INDEX(INVESTOR_LIST[INVESTOR NAME],MATCH(I13625,INVESTOR_LIST[INVESTOR CODE],0),)," ")</f>
        <v xml:space="preserve"> </v>
      </c>
      <c r="I13625" s="145"/>
      <c r="J13625" s="146" t="s">
        <v>190</v>
      </c>
      <c r="K13625" s="219"/>
      <c r="L13625" s="219">
        <v>47001</v>
      </c>
      <c r="N13625" s="264"/>
    </row>
    <row r="13626" spans="1:14" ht="11.25" customHeight="1" x14ac:dyDescent="0.2">
      <c r="A13626" s="168">
        <v>2025</v>
      </c>
      <c r="B13626" s="133">
        <v>5</v>
      </c>
      <c r="C13626" s="168">
        <v>19</v>
      </c>
      <c r="D13626" s="141">
        <f t="shared" si="2050"/>
        <v>45796</v>
      </c>
      <c r="E13626" s="275">
        <f t="shared" si="2051"/>
        <v>45796</v>
      </c>
      <c r="F13626" s="479" t="s">
        <v>2064</v>
      </c>
      <c r="G13626" s="220" t="s">
        <v>74</v>
      </c>
      <c r="H13626" s="220" t="str" cm="1">
        <f t="array" ref="H13626">IFERROR(INDEX(INVESTOR_LIST[INVESTOR NAME],MATCH(I13626,INVESTOR_LIST[INVESTOR CODE],0),)," ")</f>
        <v xml:space="preserve"> </v>
      </c>
      <c r="I13626" s="142"/>
      <c r="J13626" s="143" t="s">
        <v>147</v>
      </c>
      <c r="K13626" s="226">
        <v>254757.74</v>
      </c>
      <c r="L13626" s="226"/>
    </row>
    <row r="13627" spans="1:14" x14ac:dyDescent="0.2">
      <c r="A13627" s="163">
        <v>2025</v>
      </c>
      <c r="B13627" s="163">
        <v>5</v>
      </c>
      <c r="C13627" s="163">
        <v>19</v>
      </c>
      <c r="D13627" s="280">
        <f t="shared" si="2050"/>
        <v>45796</v>
      </c>
      <c r="E13627" s="281">
        <f t="shared" si="2051"/>
        <v>45796</v>
      </c>
      <c r="F13627" s="480"/>
      <c r="G13627" s="221" t="s">
        <v>74</v>
      </c>
      <c r="H13627" s="221" t="str" cm="1">
        <f t="array" ref="H13627">IFERROR(INDEX(INVESTOR_LIST[INVESTOR NAME],MATCH(I13627,INVESTOR_LIST[INVESTOR CODE],0),)," ")</f>
        <v xml:space="preserve"> </v>
      </c>
      <c r="I13627" s="145"/>
      <c r="J13627" s="146" t="s">
        <v>52</v>
      </c>
      <c r="K13627" s="219"/>
      <c r="L13627" s="219">
        <v>254757.74</v>
      </c>
      <c r="N13627" s="264"/>
    </row>
    <row r="13628" spans="1:14" ht="11.25" customHeight="1" x14ac:dyDescent="0.2">
      <c r="A13628" s="168">
        <v>2025</v>
      </c>
      <c r="B13628" s="133">
        <v>5</v>
      </c>
      <c r="C13628" s="168">
        <v>19</v>
      </c>
      <c r="D13628" s="141">
        <f t="shared" ref="D13628:D13629" si="2052">DATE(A13628,B13628,C13628)</f>
        <v>45796</v>
      </c>
      <c r="E13628" s="275">
        <f t="shared" ref="E13628:E13629" si="2053">DATE(A13628,B13628,C13628)</f>
        <v>45796</v>
      </c>
      <c r="F13628" s="479" t="s">
        <v>2064</v>
      </c>
      <c r="G13628" s="220" t="s">
        <v>74</v>
      </c>
      <c r="H13628" s="220" t="str" cm="1">
        <f t="array" ref="H13628">IFERROR(INDEX(INVESTOR_LIST[INVESTOR NAME],MATCH(I13628,INVESTOR_LIST[INVESTOR CODE],0),)," ")</f>
        <v xml:space="preserve"> </v>
      </c>
      <c r="I13628" s="142"/>
      <c r="J13628" s="143" t="s">
        <v>147</v>
      </c>
      <c r="K13628" s="226">
        <v>2138065.1</v>
      </c>
      <c r="L13628" s="226"/>
    </row>
    <row r="13629" spans="1:14" x14ac:dyDescent="0.2">
      <c r="A13629" s="163">
        <v>2025</v>
      </c>
      <c r="B13629" s="163">
        <v>5</v>
      </c>
      <c r="C13629" s="163">
        <v>19</v>
      </c>
      <c r="D13629" s="280">
        <f t="shared" si="2052"/>
        <v>45796</v>
      </c>
      <c r="E13629" s="281">
        <f t="shared" si="2053"/>
        <v>45796</v>
      </c>
      <c r="F13629" s="480"/>
      <c r="G13629" s="221" t="s">
        <v>74</v>
      </c>
      <c r="H13629" s="221" t="str" cm="1">
        <f t="array" ref="H13629">IFERROR(INDEX(INVESTOR_LIST[INVESTOR NAME],MATCH(I13629,INVESTOR_LIST[INVESTOR CODE],0),)," ")</f>
        <v xml:space="preserve"> </v>
      </c>
      <c r="I13629" s="145"/>
      <c r="J13629" s="146" t="s">
        <v>52</v>
      </c>
      <c r="K13629" s="219"/>
      <c r="L13629" s="219">
        <v>2138065.1</v>
      </c>
      <c r="N13629" s="264"/>
    </row>
    <row r="13630" spans="1:14" ht="11.25" customHeight="1" x14ac:dyDescent="0.2">
      <c r="A13630" s="168">
        <v>2025</v>
      </c>
      <c r="B13630" s="133">
        <v>5</v>
      </c>
      <c r="C13630" s="168">
        <v>19</v>
      </c>
      <c r="D13630" s="141">
        <f t="shared" ref="D13630:D13639" si="2054">DATE(A13630,B13630,C13630)</f>
        <v>45796</v>
      </c>
      <c r="E13630" s="275">
        <f t="shared" ref="E13630:E13639" si="2055">DATE(A13630,B13630,C13630)</f>
        <v>45796</v>
      </c>
      <c r="F13630" s="479" t="s">
        <v>2064</v>
      </c>
      <c r="G13630" s="220" t="s">
        <v>74</v>
      </c>
      <c r="H13630" s="220" t="str" cm="1">
        <f t="array" ref="H13630">IFERROR(INDEX(INVESTOR_LIST[INVESTOR NAME],MATCH(I13630,INVESTOR_LIST[INVESTOR CODE],0),)," ")</f>
        <v xml:space="preserve"> </v>
      </c>
      <c r="I13630" s="142"/>
      <c r="J13630" s="143" t="s">
        <v>147</v>
      </c>
      <c r="K13630" s="226">
        <v>895087.9</v>
      </c>
      <c r="L13630" s="226"/>
    </row>
    <row r="13631" spans="1:14" x14ac:dyDescent="0.2">
      <c r="A13631" s="163">
        <v>2025</v>
      </c>
      <c r="B13631" s="163">
        <v>5</v>
      </c>
      <c r="C13631" s="163">
        <v>19</v>
      </c>
      <c r="D13631" s="280">
        <f t="shared" si="2054"/>
        <v>45796</v>
      </c>
      <c r="E13631" s="281">
        <f t="shared" si="2055"/>
        <v>45796</v>
      </c>
      <c r="F13631" s="480"/>
      <c r="G13631" s="221" t="s">
        <v>74</v>
      </c>
      <c r="H13631" s="221" t="str" cm="1">
        <f t="array" ref="H13631">IFERROR(INDEX(INVESTOR_LIST[INVESTOR NAME],MATCH(I13631,INVESTOR_LIST[INVESTOR CODE],0),)," ")</f>
        <v xml:space="preserve"> </v>
      </c>
      <c r="I13631" s="145"/>
      <c r="J13631" s="146" t="s">
        <v>52</v>
      </c>
      <c r="K13631" s="219"/>
      <c r="L13631" s="219">
        <v>895087.9</v>
      </c>
      <c r="N13631" s="264"/>
    </row>
    <row r="13632" spans="1:14" x14ac:dyDescent="0.2">
      <c r="A13632" s="168">
        <v>2025</v>
      </c>
      <c r="B13632" s="168">
        <v>5</v>
      </c>
      <c r="C13632" s="168">
        <v>19</v>
      </c>
      <c r="D13632" s="141">
        <f t="shared" si="2054"/>
        <v>45796</v>
      </c>
      <c r="E13632" s="275">
        <f t="shared" si="2055"/>
        <v>45796</v>
      </c>
      <c r="F13632" s="479" t="s">
        <v>2062</v>
      </c>
      <c r="G13632" s="220" t="s">
        <v>94</v>
      </c>
      <c r="H13632" s="220" t="str" cm="1">
        <f t="array" ref="H13632">IFERROR(INDEX(INVESTOR_LIST[INVESTOR NAME],MATCH(I13632,INVESTOR_LIST[INVESTOR CODE],0),)," ")</f>
        <v xml:space="preserve"> </v>
      </c>
      <c r="I13632" s="142"/>
      <c r="J13632" s="143" t="s">
        <v>79</v>
      </c>
      <c r="K13632" s="226">
        <v>626070</v>
      </c>
      <c r="L13632" s="226"/>
      <c r="M13632" s="160"/>
    </row>
    <row r="13633" spans="1:14" x14ac:dyDescent="0.2">
      <c r="A13633" s="133">
        <v>2025</v>
      </c>
      <c r="B13633" s="133">
        <v>5</v>
      </c>
      <c r="C13633" s="133">
        <v>19</v>
      </c>
      <c r="D13633" s="141">
        <f t="shared" si="2054"/>
        <v>45796</v>
      </c>
      <c r="E13633" s="275">
        <f t="shared" si="2055"/>
        <v>45796</v>
      </c>
      <c r="F13633" s="481"/>
      <c r="G13633" s="174" t="s">
        <v>94</v>
      </c>
      <c r="H13633" s="174" t="str" cm="1">
        <f t="array" ref="H13633">IFERROR(INDEX(INVESTOR_LIST[INVESTOR NAME],MATCH(I13633,INVESTOR_LIST[INVESTOR CODE],0),)," ")</f>
        <v xml:space="preserve"> </v>
      </c>
      <c r="J13633" s="149" t="s">
        <v>80</v>
      </c>
      <c r="K13633" s="218">
        <v>1126.93</v>
      </c>
      <c r="L13633" s="133"/>
    </row>
    <row r="13634" spans="1:14" x14ac:dyDescent="0.2">
      <c r="A13634" s="163">
        <v>2025</v>
      </c>
      <c r="B13634" s="163">
        <v>5</v>
      </c>
      <c r="C13634" s="163">
        <v>19</v>
      </c>
      <c r="D13634" s="280">
        <f t="shared" si="2054"/>
        <v>45796</v>
      </c>
      <c r="E13634" s="281">
        <f t="shared" si="2055"/>
        <v>45796</v>
      </c>
      <c r="F13634" s="480"/>
      <c r="G13634" s="221" t="s">
        <v>94</v>
      </c>
      <c r="H13634" s="221" t="str" cm="1">
        <f t="array" ref="H13634">IFERROR(INDEX(INVESTOR_LIST[INVESTOR NAME],MATCH(I13634,INVESTOR_LIST[INVESTOR CODE],0),)," ")</f>
        <v xml:space="preserve"> </v>
      </c>
      <c r="I13634" s="145"/>
      <c r="J13634" s="146" t="s">
        <v>147</v>
      </c>
      <c r="K13634" s="219"/>
      <c r="L13634" s="219">
        <v>627196.93000000005</v>
      </c>
    </row>
    <row r="13635" spans="1:14" ht="11.25" customHeight="1" x14ac:dyDescent="0.2">
      <c r="A13635" s="168">
        <v>2025</v>
      </c>
      <c r="B13635" s="133">
        <v>5</v>
      </c>
      <c r="C13635" s="168">
        <v>19</v>
      </c>
      <c r="D13635" s="141">
        <f t="shared" si="2054"/>
        <v>45796</v>
      </c>
      <c r="E13635" s="275">
        <f t="shared" si="2055"/>
        <v>45796</v>
      </c>
      <c r="F13635" s="479" t="s">
        <v>2031</v>
      </c>
      <c r="G13635" s="220" t="s">
        <v>74</v>
      </c>
      <c r="H13635" s="220" t="str" cm="1">
        <f t="array" ref="H13635">IFERROR(INDEX(INVESTOR_LIST[INVESTOR NAME],MATCH(I13635,INVESTOR_LIST[INVESTOR CODE],0),)," ")</f>
        <v xml:space="preserve"> </v>
      </c>
      <c r="I13635" s="142"/>
      <c r="J13635" s="143" t="s">
        <v>52</v>
      </c>
      <c r="K13635" s="226">
        <v>730895</v>
      </c>
      <c r="L13635" s="226"/>
    </row>
    <row r="13636" spans="1:14" x14ac:dyDescent="0.2">
      <c r="A13636" s="163">
        <v>2025</v>
      </c>
      <c r="B13636" s="163">
        <v>5</v>
      </c>
      <c r="C13636" s="163">
        <v>19</v>
      </c>
      <c r="D13636" s="280">
        <f t="shared" si="2054"/>
        <v>45796</v>
      </c>
      <c r="E13636" s="281">
        <f t="shared" si="2055"/>
        <v>45796</v>
      </c>
      <c r="F13636" s="480"/>
      <c r="G13636" s="221" t="s">
        <v>74</v>
      </c>
      <c r="H13636" s="221" t="str" cm="1">
        <f t="array" ref="H13636">IFERROR(INDEX(INVESTOR_LIST[INVESTOR NAME],MATCH(I13636,INVESTOR_LIST[INVESTOR CODE],0),)," ")</f>
        <v xml:space="preserve"> </v>
      </c>
      <c r="I13636" s="145"/>
      <c r="J13636" s="146" t="s">
        <v>190</v>
      </c>
      <c r="K13636" s="219"/>
      <c r="L13636" s="219">
        <v>730895</v>
      </c>
      <c r="N13636" s="264"/>
    </row>
    <row r="13637" spans="1:14" ht="11.25" customHeight="1" x14ac:dyDescent="0.2">
      <c r="A13637" s="168">
        <v>2025</v>
      </c>
      <c r="B13637" s="168">
        <v>5</v>
      </c>
      <c r="C13637" s="168">
        <v>20</v>
      </c>
      <c r="D13637" s="141">
        <f t="shared" si="2054"/>
        <v>45797</v>
      </c>
      <c r="E13637" s="275">
        <f t="shared" si="2055"/>
        <v>45797</v>
      </c>
      <c r="F13637" s="479" t="s">
        <v>964</v>
      </c>
      <c r="G13637" s="220" t="s">
        <v>74</v>
      </c>
      <c r="H13637" s="142" t="str" cm="1">
        <f t="array" ref="H13637">IFERROR(INDEX(INVESTOR_LIST[INVESTOR NAME],MATCH(I13637,INVESTOR_LIST[INVESTOR CODE],0),)," ")</f>
        <v>EDGE AMC GROWTH FUND</v>
      </c>
      <c r="I13637" s="142" t="s">
        <v>491</v>
      </c>
      <c r="J13637" s="168" t="s">
        <v>52</v>
      </c>
      <c r="K13637" s="226">
        <v>5000054.4000000004</v>
      </c>
      <c r="L13637" s="226"/>
    </row>
    <row r="13638" spans="1:14" ht="11.25" customHeight="1" x14ac:dyDescent="0.2">
      <c r="A13638" s="133">
        <v>2025</v>
      </c>
      <c r="B13638" s="133">
        <v>5</v>
      </c>
      <c r="C13638" s="133">
        <v>20</v>
      </c>
      <c r="D13638" s="141">
        <f t="shared" si="2054"/>
        <v>45797</v>
      </c>
      <c r="E13638" s="275">
        <f t="shared" si="2055"/>
        <v>45797</v>
      </c>
      <c r="F13638" s="481"/>
      <c r="G13638" s="174" t="s">
        <v>74</v>
      </c>
      <c r="H13638" s="148" t="str" cm="1">
        <f t="array" ref="H13638">IFERROR(INDEX(INVESTOR_LIST[INVESTOR NAME],MATCH(I13638,INVESTOR_LIST[INVESTOR CODE],0),)," ")</f>
        <v>EDGE AMC GROWTH FUND</v>
      </c>
      <c r="I13638" s="148" t="s">
        <v>491</v>
      </c>
      <c r="J13638" s="133" t="s">
        <v>13</v>
      </c>
      <c r="K13638" s="218"/>
      <c r="L13638" s="218">
        <v>3945750</v>
      </c>
    </row>
    <row r="13639" spans="1:14" ht="11.25" customHeight="1" x14ac:dyDescent="0.2">
      <c r="A13639" s="163">
        <v>2025</v>
      </c>
      <c r="B13639" s="163">
        <v>5</v>
      </c>
      <c r="C13639" s="163">
        <v>20</v>
      </c>
      <c r="D13639" s="280">
        <f t="shared" si="2054"/>
        <v>45797</v>
      </c>
      <c r="E13639" s="281">
        <f t="shared" si="2055"/>
        <v>45797</v>
      </c>
      <c r="F13639" s="480"/>
      <c r="G13639" s="221" t="s">
        <v>74</v>
      </c>
      <c r="H13639" s="145" t="str" cm="1">
        <f t="array" ref="H13639">IFERROR(INDEX(INVESTOR_LIST[INVESTOR NAME],MATCH(I13639,INVESTOR_LIST[INVESTOR CODE],0),)," ")</f>
        <v>EDGE AMC GROWTH FUND</v>
      </c>
      <c r="I13639" s="145" t="s">
        <v>491</v>
      </c>
      <c r="J13639" s="163" t="s">
        <v>53</v>
      </c>
      <c r="K13639" s="219"/>
      <c r="L13639" s="219">
        <v>1054304.4000000004</v>
      </c>
    </row>
    <row r="13640" spans="1:14" ht="11.25" customHeight="1" x14ac:dyDescent="0.2">
      <c r="A13640" s="168">
        <v>2025</v>
      </c>
      <c r="B13640" s="133">
        <v>5</v>
      </c>
      <c r="C13640" s="168">
        <v>21</v>
      </c>
      <c r="D13640" s="141">
        <f t="shared" ref="D13640:D13644" si="2056">DATE(A13640,B13640,C13640)</f>
        <v>45798</v>
      </c>
      <c r="E13640" s="275">
        <f t="shared" ref="E13640:E13644" si="2057">DATE(A13640,B13640,C13640)</f>
        <v>45798</v>
      </c>
      <c r="F13640" s="479" t="s">
        <v>2064</v>
      </c>
      <c r="G13640" s="220" t="s">
        <v>74</v>
      </c>
      <c r="H13640" s="220" t="str" cm="1">
        <f t="array" ref="H13640">IFERROR(INDEX(INVESTOR_LIST[INVESTOR NAME],MATCH(I13640,INVESTOR_LIST[INVESTOR CODE],0),)," ")</f>
        <v xml:space="preserve"> </v>
      </c>
      <c r="I13640" s="142"/>
      <c r="J13640" s="143" t="s">
        <v>147</v>
      </c>
      <c r="K13640" s="226">
        <v>627196.93000000005</v>
      </c>
      <c r="L13640" s="226"/>
    </row>
    <row r="13641" spans="1:14" x14ac:dyDescent="0.2">
      <c r="A13641" s="163">
        <v>2025</v>
      </c>
      <c r="B13641" s="163">
        <v>5</v>
      </c>
      <c r="C13641" s="163">
        <v>21</v>
      </c>
      <c r="D13641" s="280">
        <f t="shared" si="2056"/>
        <v>45798</v>
      </c>
      <c r="E13641" s="281">
        <f t="shared" si="2057"/>
        <v>45798</v>
      </c>
      <c r="F13641" s="480"/>
      <c r="G13641" s="221" t="s">
        <v>74</v>
      </c>
      <c r="H13641" s="221" t="str" cm="1">
        <f t="array" ref="H13641">IFERROR(INDEX(INVESTOR_LIST[INVESTOR NAME],MATCH(I13641,INVESTOR_LIST[INVESTOR CODE],0),)," ")</f>
        <v xml:space="preserve"> </v>
      </c>
      <c r="I13641" s="145"/>
      <c r="J13641" s="146" t="s">
        <v>52</v>
      </c>
      <c r="K13641" s="219"/>
      <c r="L13641" s="219">
        <v>627196.93000000005</v>
      </c>
      <c r="N13641" s="264"/>
    </row>
    <row r="13642" spans="1:14" x14ac:dyDescent="0.2">
      <c r="A13642" s="168">
        <v>2025</v>
      </c>
      <c r="B13642" s="168">
        <v>5</v>
      </c>
      <c r="C13642" s="168">
        <v>21</v>
      </c>
      <c r="D13642" s="141">
        <f t="shared" si="2056"/>
        <v>45798</v>
      </c>
      <c r="E13642" s="275">
        <f t="shared" si="2057"/>
        <v>45798</v>
      </c>
      <c r="F13642" s="479" t="s">
        <v>1979</v>
      </c>
      <c r="G13642" s="220" t="s">
        <v>94</v>
      </c>
      <c r="H13642" s="220" t="str" cm="1">
        <f t="array" ref="H13642">IFERROR(INDEX(INVESTOR_LIST[INVESTOR NAME],MATCH(I13642,INVESTOR_LIST[INVESTOR CODE],0),)," ")</f>
        <v xml:space="preserve"> </v>
      </c>
      <c r="I13642" s="142"/>
      <c r="J13642" s="143" t="s">
        <v>79</v>
      </c>
      <c r="K13642" s="226">
        <v>833655</v>
      </c>
      <c r="L13642" s="226"/>
      <c r="M13642" s="160"/>
    </row>
    <row r="13643" spans="1:14" x14ac:dyDescent="0.2">
      <c r="A13643" s="133">
        <v>2025</v>
      </c>
      <c r="B13643" s="133">
        <v>5</v>
      </c>
      <c r="C13643" s="133">
        <v>21</v>
      </c>
      <c r="D13643" s="141">
        <f t="shared" si="2056"/>
        <v>45798</v>
      </c>
      <c r="E13643" s="275">
        <f t="shared" si="2057"/>
        <v>45798</v>
      </c>
      <c r="F13643" s="481"/>
      <c r="G13643" s="174" t="s">
        <v>94</v>
      </c>
      <c r="H13643" s="174" t="str" cm="1">
        <f t="array" ref="H13643">IFERROR(INDEX(INVESTOR_LIST[INVESTOR NAME],MATCH(I13643,INVESTOR_LIST[INVESTOR CODE],0),)," ")</f>
        <v xml:space="preserve"> </v>
      </c>
      <c r="J13643" s="149" t="s">
        <v>80</v>
      </c>
      <c r="K13643" s="218">
        <v>1500.58</v>
      </c>
      <c r="L13643" s="133"/>
    </row>
    <row r="13644" spans="1:14" x14ac:dyDescent="0.2">
      <c r="A13644" s="163">
        <v>2025</v>
      </c>
      <c r="B13644" s="163">
        <v>5</v>
      </c>
      <c r="C13644" s="163">
        <v>21</v>
      </c>
      <c r="D13644" s="280">
        <f t="shared" si="2056"/>
        <v>45798</v>
      </c>
      <c r="E13644" s="281">
        <f t="shared" si="2057"/>
        <v>45798</v>
      </c>
      <c r="F13644" s="480"/>
      <c r="G13644" s="221" t="s">
        <v>94</v>
      </c>
      <c r="H13644" s="221" t="str" cm="1">
        <f t="array" ref="H13644">IFERROR(INDEX(INVESTOR_LIST[INVESTOR NAME],MATCH(I13644,INVESTOR_LIST[INVESTOR CODE],0),)," ")</f>
        <v xml:space="preserve"> </v>
      </c>
      <c r="I13644" s="145"/>
      <c r="J13644" s="146" t="s">
        <v>147</v>
      </c>
      <c r="K13644" s="219"/>
      <c r="L13644" s="219">
        <v>835155.58</v>
      </c>
    </row>
    <row r="13645" spans="1:14" ht="11.25" customHeight="1" x14ac:dyDescent="0.2">
      <c r="A13645" s="168">
        <v>2025</v>
      </c>
      <c r="B13645" s="133">
        <v>5</v>
      </c>
      <c r="C13645" s="168">
        <v>22</v>
      </c>
      <c r="D13645" s="141">
        <f t="shared" ref="D13645:D13682" si="2058">DATE(A13645,B13645,C13645)</f>
        <v>45799</v>
      </c>
      <c r="E13645" s="275">
        <f t="shared" ref="E13645:E13682" si="2059">DATE(A13645,B13645,C13645)</f>
        <v>45799</v>
      </c>
      <c r="F13645" s="479" t="s">
        <v>2002</v>
      </c>
      <c r="G13645" s="220" t="s">
        <v>74</v>
      </c>
      <c r="H13645" s="220" t="str" cm="1">
        <f t="array" ref="H13645">IFERROR(INDEX(INVESTOR_LIST[INVESTOR NAME],MATCH(I13645,INVESTOR_LIST[INVESTOR CODE],0),)," ")</f>
        <v xml:space="preserve"> </v>
      </c>
      <c r="I13645" s="142"/>
      <c r="J13645" s="143" t="s">
        <v>147</v>
      </c>
      <c r="K13645" s="226">
        <v>835155.58</v>
      </c>
      <c r="L13645" s="226"/>
    </row>
    <row r="13646" spans="1:14" x14ac:dyDescent="0.2">
      <c r="A13646" s="163">
        <v>2025</v>
      </c>
      <c r="B13646" s="163">
        <v>5</v>
      </c>
      <c r="C13646" s="163">
        <v>22</v>
      </c>
      <c r="D13646" s="280">
        <f t="shared" si="2058"/>
        <v>45799</v>
      </c>
      <c r="E13646" s="281">
        <f t="shared" si="2059"/>
        <v>45799</v>
      </c>
      <c r="F13646" s="480"/>
      <c r="G13646" s="221" t="s">
        <v>74</v>
      </c>
      <c r="H13646" s="221" t="str" cm="1">
        <f t="array" ref="H13646">IFERROR(INDEX(INVESTOR_LIST[INVESTOR NAME],MATCH(I13646,INVESTOR_LIST[INVESTOR CODE],0),)," ")</f>
        <v xml:space="preserve"> </v>
      </c>
      <c r="I13646" s="145"/>
      <c r="J13646" s="146" t="s">
        <v>52</v>
      </c>
      <c r="K13646" s="219"/>
      <c r="L13646" s="219">
        <v>835155.58</v>
      </c>
      <c r="N13646" s="264"/>
    </row>
    <row r="13647" spans="1:14" x14ac:dyDescent="0.2">
      <c r="A13647" s="325">
        <v>2025</v>
      </c>
      <c r="B13647" s="325">
        <v>5</v>
      </c>
      <c r="C13647" s="325">
        <v>22</v>
      </c>
      <c r="D13647" s="326">
        <f t="shared" si="2058"/>
        <v>45799</v>
      </c>
      <c r="E13647" s="327">
        <f t="shared" si="2059"/>
        <v>45799</v>
      </c>
      <c r="F13647" s="473" t="s">
        <v>1940</v>
      </c>
      <c r="G13647" s="340" t="s">
        <v>94</v>
      </c>
      <c r="H13647" s="340" t="str" cm="1">
        <f t="array" ref="H13647">IFERROR(INDEX(INVESTOR_LIST[INVESTOR NAME],MATCH(I13647,INVESTOR_LIST[INVESTOR CODE],0),)," ")</f>
        <v xml:space="preserve"> </v>
      </c>
      <c r="I13647" s="341" t="s">
        <v>348</v>
      </c>
      <c r="J13647" s="374" t="s">
        <v>133</v>
      </c>
      <c r="K13647" s="375">
        <v>12905.56</v>
      </c>
      <c r="L13647" s="375"/>
      <c r="M13647" s="176"/>
    </row>
    <row r="13648" spans="1:14" x14ac:dyDescent="0.2">
      <c r="A13648" s="331">
        <v>2025</v>
      </c>
      <c r="B13648" s="331">
        <v>5</v>
      </c>
      <c r="C13648" s="331">
        <v>22</v>
      </c>
      <c r="D13648" s="326">
        <f t="shared" si="2058"/>
        <v>45799</v>
      </c>
      <c r="E13648" s="327">
        <f t="shared" si="2059"/>
        <v>45799</v>
      </c>
      <c r="F13648" s="474"/>
      <c r="G13648" s="332" t="s">
        <v>94</v>
      </c>
      <c r="H13648" s="332" t="str" cm="1">
        <f t="array" ref="H13648">IFERROR(INDEX(INVESTOR_LIST[INVESTOR NAME],MATCH(I13648,INVESTOR_LIST[INVESTOR CODE],0),)," ")</f>
        <v xml:space="preserve"> </v>
      </c>
      <c r="I13648" s="333" t="s">
        <v>348</v>
      </c>
      <c r="J13648" s="376" t="s">
        <v>60</v>
      </c>
      <c r="K13648" s="334"/>
      <c r="L13648" s="334">
        <f>K13647</f>
        <v>12905.56</v>
      </c>
    </row>
    <row r="13649" spans="1:13" x14ac:dyDescent="0.2">
      <c r="A13649" s="384">
        <v>2025</v>
      </c>
      <c r="B13649" s="384">
        <v>5</v>
      </c>
      <c r="C13649" s="384">
        <v>22</v>
      </c>
      <c r="D13649" s="385">
        <f t="shared" si="2058"/>
        <v>45799</v>
      </c>
      <c r="E13649" s="386">
        <f t="shared" si="2059"/>
        <v>45799</v>
      </c>
      <c r="F13649" s="475" t="s">
        <v>1966</v>
      </c>
      <c r="G13649" s="387" t="s">
        <v>94</v>
      </c>
      <c r="H13649" s="387" t="str" cm="1">
        <f t="array" ref="H13649">IFERROR(INDEX(INVESTOR_LIST[INVESTOR NAME],MATCH(I13649,INVESTOR_LIST[INVESTOR CODE],0),)," ")</f>
        <v xml:space="preserve"> </v>
      </c>
      <c r="I13649" s="388" t="s">
        <v>348</v>
      </c>
      <c r="J13649" s="389" t="s">
        <v>67</v>
      </c>
      <c r="K13649" s="390">
        <v>19507.55</v>
      </c>
      <c r="L13649" s="390"/>
    </row>
    <row r="13650" spans="1:13" x14ac:dyDescent="0.2">
      <c r="A13650" s="391">
        <v>2025</v>
      </c>
      <c r="B13650" s="391">
        <v>5</v>
      </c>
      <c r="C13650" s="391">
        <v>22</v>
      </c>
      <c r="D13650" s="385">
        <f t="shared" si="2058"/>
        <v>45799</v>
      </c>
      <c r="E13650" s="386">
        <f t="shared" si="2059"/>
        <v>45799</v>
      </c>
      <c r="F13650" s="476"/>
      <c r="G13650" s="392" t="s">
        <v>94</v>
      </c>
      <c r="H13650" s="392" t="str" cm="1">
        <f t="array" ref="H13650">IFERROR(INDEX(INVESTOR_LIST[INVESTOR NAME],MATCH(I13650,INVESTOR_LIST[INVESTOR CODE],0),)," ")</f>
        <v xml:space="preserve"> </v>
      </c>
      <c r="I13650" s="393" t="s">
        <v>348</v>
      </c>
      <c r="J13650" s="394" t="s">
        <v>60</v>
      </c>
      <c r="K13650" s="395"/>
      <c r="L13650" s="395">
        <f>K13649</f>
        <v>19507.55</v>
      </c>
    </row>
    <row r="13651" spans="1:13" x14ac:dyDescent="0.2">
      <c r="A13651" s="343">
        <v>2025</v>
      </c>
      <c r="B13651" s="343">
        <v>5</v>
      </c>
      <c r="C13651" s="343">
        <v>22</v>
      </c>
      <c r="D13651" s="344">
        <f t="shared" si="2058"/>
        <v>45799</v>
      </c>
      <c r="E13651" s="345">
        <f t="shared" si="2059"/>
        <v>45799</v>
      </c>
      <c r="F13651" s="483" t="s">
        <v>1813</v>
      </c>
      <c r="G13651" s="350" t="s">
        <v>94</v>
      </c>
      <c r="H13651" s="350" t="str" cm="1">
        <f t="array" ref="H13651">IFERROR(INDEX(INVESTOR_LIST[INVESTOR NAME],MATCH(I13651,INVESTOR_LIST[INVESTOR CODE],0),)," ")</f>
        <v xml:space="preserve"> </v>
      </c>
      <c r="I13651" s="352" t="s">
        <v>348</v>
      </c>
      <c r="J13651" s="353" t="s">
        <v>1807</v>
      </c>
      <c r="K13651" s="354">
        <v>0</v>
      </c>
      <c r="L13651" s="354"/>
      <c r="M13651" s="133">
        <v>0</v>
      </c>
    </row>
    <row r="13652" spans="1:13" x14ac:dyDescent="0.2">
      <c r="A13652" s="346">
        <v>2025</v>
      </c>
      <c r="B13652" s="346">
        <v>5</v>
      </c>
      <c r="C13652" s="346">
        <v>22</v>
      </c>
      <c r="D13652" s="344">
        <f t="shared" si="2058"/>
        <v>45799</v>
      </c>
      <c r="E13652" s="345">
        <f t="shared" si="2059"/>
        <v>45799</v>
      </c>
      <c r="F13652" s="484"/>
      <c r="G13652" s="347" t="s">
        <v>94</v>
      </c>
      <c r="H13652" s="347" t="str" cm="1">
        <f t="array" ref="H13652">IFERROR(INDEX(INVESTOR_LIST[INVESTOR NAME],MATCH(I13652,INVESTOR_LIST[INVESTOR CODE],0),)," ")</f>
        <v xml:space="preserve"> </v>
      </c>
      <c r="I13652" s="348" t="s">
        <v>348</v>
      </c>
      <c r="J13652" s="355" t="s">
        <v>1798</v>
      </c>
      <c r="K13652" s="349"/>
      <c r="L13652" s="349">
        <v>0</v>
      </c>
    </row>
    <row r="13653" spans="1:13" x14ac:dyDescent="0.2">
      <c r="A13653" s="343">
        <v>2025</v>
      </c>
      <c r="B13653" s="343">
        <v>5</v>
      </c>
      <c r="C13653" s="343">
        <v>22</v>
      </c>
      <c r="D13653" s="344">
        <f t="shared" si="2058"/>
        <v>45799</v>
      </c>
      <c r="E13653" s="345">
        <f t="shared" si="2059"/>
        <v>45799</v>
      </c>
      <c r="F13653" s="483" t="s">
        <v>1913</v>
      </c>
      <c r="G13653" s="350" t="s">
        <v>94</v>
      </c>
      <c r="H13653" s="350" t="str" cm="1">
        <f t="array" ref="H13653">IFERROR(INDEX(INVESTOR_LIST[INVESTOR NAME],MATCH(I13653,INVESTOR_LIST[INVESTOR CODE],0),)," ")</f>
        <v xml:space="preserve"> </v>
      </c>
      <c r="I13653" s="352" t="s">
        <v>348</v>
      </c>
      <c r="J13653" s="353" t="s">
        <v>1799</v>
      </c>
      <c r="K13653" s="354">
        <v>97977.57499999553</v>
      </c>
      <c r="L13653" s="354"/>
      <c r="M13653" s="133">
        <v>0</v>
      </c>
    </row>
    <row r="13654" spans="1:13" x14ac:dyDescent="0.2">
      <c r="A13654" s="346">
        <v>2025</v>
      </c>
      <c r="B13654" s="346">
        <v>5</v>
      </c>
      <c r="C13654" s="346">
        <v>22</v>
      </c>
      <c r="D13654" s="344">
        <f t="shared" si="2058"/>
        <v>45799</v>
      </c>
      <c r="E13654" s="345">
        <f t="shared" si="2059"/>
        <v>45799</v>
      </c>
      <c r="F13654" s="484"/>
      <c r="G13654" s="347" t="s">
        <v>94</v>
      </c>
      <c r="H13654" s="347" t="str" cm="1">
        <f t="array" ref="H13654">IFERROR(INDEX(INVESTOR_LIST[INVESTOR NAME],MATCH(I13654,INVESTOR_LIST[INVESTOR CODE],0),)," ")</f>
        <v xml:space="preserve"> </v>
      </c>
      <c r="I13654" s="348" t="s">
        <v>348</v>
      </c>
      <c r="J13654" s="355" t="s">
        <v>1808</v>
      </c>
      <c r="K13654" s="349"/>
      <c r="L13654" s="349">
        <f>K13653</f>
        <v>97977.57499999553</v>
      </c>
    </row>
    <row r="13655" spans="1:13" x14ac:dyDescent="0.2">
      <c r="A13655" s="238">
        <v>2025</v>
      </c>
      <c r="B13655" s="238">
        <v>5</v>
      </c>
      <c r="C13655" s="238">
        <v>22</v>
      </c>
      <c r="D13655" s="270">
        <f t="shared" si="2058"/>
        <v>45799</v>
      </c>
      <c r="E13655" s="279">
        <f t="shared" si="2059"/>
        <v>45799</v>
      </c>
      <c r="F13655" s="477" t="s">
        <v>347</v>
      </c>
      <c r="G13655" s="239" t="s">
        <v>94</v>
      </c>
      <c r="H13655" s="239" t="str" cm="1">
        <f t="array" ref="H13655">IFERROR(INDEX(INVESTOR_LIST[INVESTOR NAME],MATCH(I13655,INVESTOR_LIST[INVESTOR CODE],0),)," ")</f>
        <v xml:space="preserve"> </v>
      </c>
      <c r="I13655" s="262" t="s">
        <v>348</v>
      </c>
      <c r="J13655" s="240" t="s">
        <v>82</v>
      </c>
      <c r="K13655" s="241">
        <v>458470.51000000536</v>
      </c>
      <c r="L13655" s="241"/>
      <c r="M13655" s="133">
        <v>13139541.900000483</v>
      </c>
    </row>
    <row r="13656" spans="1:13" x14ac:dyDescent="0.2">
      <c r="A13656" s="242">
        <v>2025</v>
      </c>
      <c r="B13656" s="242">
        <v>5</v>
      </c>
      <c r="C13656" s="242">
        <v>22</v>
      </c>
      <c r="D13656" s="270">
        <f t="shared" si="2058"/>
        <v>45799</v>
      </c>
      <c r="E13656" s="279">
        <f t="shared" si="2059"/>
        <v>45799</v>
      </c>
      <c r="F13656" s="478"/>
      <c r="G13656" s="243" t="s">
        <v>94</v>
      </c>
      <c r="H13656" s="243" t="str" cm="1">
        <f t="array" ref="H13656">IFERROR(INDEX(INVESTOR_LIST[INVESTOR NAME],MATCH(I13656,INVESTOR_LIST[INVESTOR CODE],0),)," ")</f>
        <v xml:space="preserve"> </v>
      </c>
      <c r="I13656" s="263" t="s">
        <v>348</v>
      </c>
      <c r="J13656" s="244" t="s">
        <v>108</v>
      </c>
      <c r="K13656" s="245"/>
      <c r="L13656" s="245">
        <f>K13655</f>
        <v>458470.51000000536</v>
      </c>
    </row>
    <row r="13657" spans="1:13" ht="12" customHeight="1" x14ac:dyDescent="0.2">
      <c r="A13657" s="246">
        <v>2025</v>
      </c>
      <c r="B13657" s="238">
        <v>5</v>
      </c>
      <c r="C13657" s="238">
        <v>22</v>
      </c>
      <c r="D13657" s="270">
        <f t="shared" si="2058"/>
        <v>45799</v>
      </c>
      <c r="E13657" s="279">
        <f t="shared" si="2059"/>
        <v>45799</v>
      </c>
      <c r="F13657" s="482" t="s">
        <v>148</v>
      </c>
      <c r="G13657" s="247" t="s">
        <v>94</v>
      </c>
      <c r="H13657" s="247" t="str" cm="1">
        <f t="array" ref="H13657">IFERROR(INDEX(INVESTOR_LIST[INVESTOR NAME],MATCH(I13657,INVESTOR_LIST[INVESTOR CODE],0),)," ")</f>
        <v xml:space="preserve"> </v>
      </c>
      <c r="I13657" s="248" t="s">
        <v>348</v>
      </c>
      <c r="J13657" s="249" t="s">
        <v>95</v>
      </c>
      <c r="K13657" s="250">
        <v>2747.2527472527472</v>
      </c>
      <c r="L13657" s="241"/>
      <c r="M13657" s="176"/>
    </row>
    <row r="13658" spans="1:13" x14ac:dyDescent="0.2">
      <c r="A13658" s="242">
        <v>2025</v>
      </c>
      <c r="B13658" s="242">
        <v>5</v>
      </c>
      <c r="C13658" s="242">
        <v>22</v>
      </c>
      <c r="D13658" s="270">
        <f t="shared" si="2058"/>
        <v>45799</v>
      </c>
      <c r="E13658" s="279">
        <f t="shared" si="2059"/>
        <v>45799</v>
      </c>
      <c r="F13658" s="478"/>
      <c r="G13658" s="243" t="s">
        <v>94</v>
      </c>
      <c r="H13658" s="243" t="str" cm="1">
        <f t="array" ref="H13658">IFERROR(INDEX(INVESTOR_LIST[INVESTOR NAME],MATCH(I13658,INVESTOR_LIST[INVESTOR CODE],0),)," ")</f>
        <v xml:space="preserve"> </v>
      </c>
      <c r="I13658" s="263" t="s">
        <v>348</v>
      </c>
      <c r="J13658" s="244" t="s">
        <v>63</v>
      </c>
      <c r="K13658" s="245"/>
      <c r="L13658" s="245">
        <f>K13657</f>
        <v>2747.2527472527472</v>
      </c>
    </row>
    <row r="13659" spans="1:13" x14ac:dyDescent="0.2">
      <c r="A13659" s="246">
        <v>2025</v>
      </c>
      <c r="B13659" s="238">
        <v>5</v>
      </c>
      <c r="C13659" s="238">
        <v>22</v>
      </c>
      <c r="D13659" s="270">
        <f t="shared" si="2058"/>
        <v>45799</v>
      </c>
      <c r="E13659" s="279">
        <f t="shared" si="2059"/>
        <v>45799</v>
      </c>
      <c r="F13659" s="482" t="s">
        <v>137</v>
      </c>
      <c r="G13659" s="247" t="s">
        <v>94</v>
      </c>
      <c r="H13659" s="247" t="str" cm="1">
        <f t="array" ref="H13659">IFERROR(INDEX(INVESTOR_LIST[INVESTOR NAME],MATCH(I13659,INVESTOR_LIST[INVESTOR CODE],0),)," ")</f>
        <v xml:space="preserve"> </v>
      </c>
      <c r="I13659" s="248" t="s">
        <v>348</v>
      </c>
      <c r="J13659" s="249" t="s">
        <v>97</v>
      </c>
      <c r="K13659" s="250">
        <f>M13659</f>
        <v>56786.923032247469</v>
      </c>
      <c r="L13659" s="252"/>
      <c r="M13659" s="133">
        <v>56786.923032247469</v>
      </c>
    </row>
    <row r="13660" spans="1:13" x14ac:dyDescent="0.2">
      <c r="A13660" s="242">
        <v>2025</v>
      </c>
      <c r="B13660" s="242">
        <v>5</v>
      </c>
      <c r="C13660" s="242">
        <v>22</v>
      </c>
      <c r="D13660" s="270">
        <f t="shared" si="2058"/>
        <v>45799</v>
      </c>
      <c r="E13660" s="279">
        <f t="shared" si="2059"/>
        <v>45799</v>
      </c>
      <c r="F13660" s="478"/>
      <c r="G13660" s="243" t="s">
        <v>94</v>
      </c>
      <c r="H13660" s="243" t="str" cm="1">
        <f t="array" ref="H13660">IFERROR(INDEX(INVESTOR_LIST[INVESTOR NAME],MATCH(I13660,INVESTOR_LIST[INVESTOR CODE],0),)," ")</f>
        <v xml:space="preserve"> </v>
      </c>
      <c r="I13660" s="263" t="s">
        <v>348</v>
      </c>
      <c r="J13660" s="244" t="s">
        <v>47</v>
      </c>
      <c r="K13660" s="245"/>
      <c r="L13660" s="245">
        <f>K13659</f>
        <v>56786.923032247469</v>
      </c>
      <c r="M13660" s="133">
        <v>2598.9615362277577</v>
      </c>
    </row>
    <row r="13661" spans="1:13" x14ac:dyDescent="0.2">
      <c r="A13661" s="246">
        <v>2025</v>
      </c>
      <c r="B13661" s="238">
        <v>5</v>
      </c>
      <c r="C13661" s="238">
        <v>22</v>
      </c>
      <c r="D13661" s="270">
        <f t="shared" si="2058"/>
        <v>45799</v>
      </c>
      <c r="E13661" s="279">
        <f t="shared" si="2059"/>
        <v>45799</v>
      </c>
      <c r="F13661" s="482" t="s">
        <v>138</v>
      </c>
      <c r="G13661" s="247" t="s">
        <v>94</v>
      </c>
      <c r="H13661" s="247" t="str" cm="1">
        <f t="array" ref="H13661">IFERROR(INDEX(INVESTOR_LIST[INVESTOR NAME],MATCH(I13661,INVESTOR_LIST[INVESTOR CODE],0),)," ")</f>
        <v xml:space="preserve"> </v>
      </c>
      <c r="I13661" s="248" t="s">
        <v>348</v>
      </c>
      <c r="J13661" s="249" t="s">
        <v>100</v>
      </c>
      <c r="K13661" s="250">
        <f>M13660</f>
        <v>2598.9615362277577</v>
      </c>
      <c r="L13661" s="252"/>
    </row>
    <row r="13662" spans="1:13" x14ac:dyDescent="0.2">
      <c r="A13662" s="242">
        <v>2025</v>
      </c>
      <c r="B13662" s="242">
        <v>5</v>
      </c>
      <c r="C13662" s="242">
        <v>22</v>
      </c>
      <c r="D13662" s="321">
        <f t="shared" si="2058"/>
        <v>45799</v>
      </c>
      <c r="E13662" s="322">
        <f t="shared" si="2059"/>
        <v>45799</v>
      </c>
      <c r="F13662" s="478"/>
      <c r="G13662" s="243" t="s">
        <v>94</v>
      </c>
      <c r="H13662" s="243" t="str" cm="1">
        <f t="array" ref="H13662">IFERROR(INDEX(INVESTOR_LIST[INVESTOR NAME],MATCH(I13662,INVESTOR_LIST[INVESTOR CODE],0),)," ")</f>
        <v xml:space="preserve"> </v>
      </c>
      <c r="I13662" s="263" t="s">
        <v>348</v>
      </c>
      <c r="J13662" s="244" t="s">
        <v>48</v>
      </c>
      <c r="K13662" s="245"/>
      <c r="L13662" s="245">
        <f>K13661</f>
        <v>2598.9615362277577</v>
      </c>
    </row>
    <row r="13663" spans="1:13" x14ac:dyDescent="0.2">
      <c r="A13663" s="168">
        <v>2025</v>
      </c>
      <c r="B13663" s="133">
        <v>5</v>
      </c>
      <c r="C13663" s="168">
        <v>22</v>
      </c>
      <c r="D13663" s="141">
        <f t="shared" si="2058"/>
        <v>45799</v>
      </c>
      <c r="E13663" s="275">
        <f t="shared" si="2059"/>
        <v>45799</v>
      </c>
      <c r="F13663" s="481" t="s">
        <v>2071</v>
      </c>
      <c r="G13663" s="174" t="s">
        <v>94</v>
      </c>
      <c r="H13663" s="174" t="str" cm="1">
        <f t="array" ref="H13663">IFERROR(INDEX(INVESTOR_LIST[INVESTOR NAME],MATCH(I13663,INVESTOR_LIST[INVESTOR CODE],0),)," ")</f>
        <v xml:space="preserve"> </v>
      </c>
      <c r="I13663" s="148" t="s">
        <v>348</v>
      </c>
      <c r="J13663" s="149" t="s">
        <v>52</v>
      </c>
      <c r="K13663" s="218">
        <v>334334</v>
      </c>
      <c r="L13663" s="218"/>
    </row>
    <row r="13664" spans="1:13" x14ac:dyDescent="0.2">
      <c r="A13664" s="163">
        <v>2025</v>
      </c>
      <c r="B13664" s="163">
        <v>5</v>
      </c>
      <c r="C13664" s="163">
        <v>22</v>
      </c>
      <c r="D13664" s="141">
        <f t="shared" si="2058"/>
        <v>45799</v>
      </c>
      <c r="E13664" s="275">
        <f t="shared" si="2059"/>
        <v>45799</v>
      </c>
      <c r="F13664" s="480"/>
      <c r="G13664" s="221" t="s">
        <v>94</v>
      </c>
      <c r="H13664" s="221" t="str" cm="1">
        <f t="array" ref="H13664">IFERROR(INDEX(INVESTOR_LIST[INVESTOR NAME],MATCH(I13664,INVESTOR_LIST[INVESTOR CODE],0),)," ")</f>
        <v xml:space="preserve"> </v>
      </c>
      <c r="I13664" s="145" t="s">
        <v>348</v>
      </c>
      <c r="J13664" s="146" t="s">
        <v>168</v>
      </c>
      <c r="K13664" s="219"/>
      <c r="L13664" s="219">
        <v>334334</v>
      </c>
    </row>
    <row r="13665" spans="1:14" x14ac:dyDescent="0.2">
      <c r="A13665" s="168">
        <v>2025</v>
      </c>
      <c r="B13665" s="133">
        <v>5</v>
      </c>
      <c r="C13665" s="168">
        <v>22</v>
      </c>
      <c r="D13665" s="141">
        <f>DATE(A13665,B13665,C13665)</f>
        <v>45799</v>
      </c>
      <c r="E13665" s="275">
        <f>DATE(A13665,B13665,C13665)</f>
        <v>45799</v>
      </c>
      <c r="F13665" s="481" t="s">
        <v>2095</v>
      </c>
      <c r="G13665" s="174" t="s">
        <v>94</v>
      </c>
      <c r="H13665" s="174" t="str" cm="1">
        <f t="array" ref="H13665">IFERROR(INDEX(INVESTOR_LIST[INVESTOR NAME],MATCH(I13665,INVESTOR_LIST[INVESTOR CODE],0),)," ")</f>
        <v xml:space="preserve"> </v>
      </c>
      <c r="I13665" s="148" t="s">
        <v>348</v>
      </c>
      <c r="J13665" s="149" t="s">
        <v>168</v>
      </c>
      <c r="K13665" s="218">
        <v>120644.15</v>
      </c>
      <c r="L13665" s="218"/>
    </row>
    <row r="13666" spans="1:14" x14ac:dyDescent="0.2">
      <c r="A13666" s="163">
        <v>2025</v>
      </c>
      <c r="B13666" s="163">
        <v>5</v>
      </c>
      <c r="C13666" s="163">
        <v>22</v>
      </c>
      <c r="D13666" s="141">
        <f>DATE(A13666,B13666,C13666)</f>
        <v>45799</v>
      </c>
      <c r="E13666" s="275">
        <f>DATE(A13666,B13666,C13666)</f>
        <v>45799</v>
      </c>
      <c r="F13666" s="480"/>
      <c r="G13666" s="221" t="s">
        <v>94</v>
      </c>
      <c r="H13666" s="221" t="str" cm="1">
        <f t="array" ref="H13666">IFERROR(INDEX(INVESTOR_LIST[INVESTOR NAME],MATCH(I13666,INVESTOR_LIST[INVESTOR CODE],0),)," ")</f>
        <v xml:space="preserve"> </v>
      </c>
      <c r="I13666" s="145" t="s">
        <v>348</v>
      </c>
      <c r="J13666" s="146" t="s">
        <v>166</v>
      </c>
      <c r="K13666" s="219"/>
      <c r="L13666" s="219">
        <v>120644.15</v>
      </c>
    </row>
    <row r="13667" spans="1:14" x14ac:dyDescent="0.2">
      <c r="A13667" s="168">
        <v>2025</v>
      </c>
      <c r="B13667" s="168">
        <v>5</v>
      </c>
      <c r="C13667" s="168">
        <v>25</v>
      </c>
      <c r="D13667" s="141">
        <f t="shared" si="2058"/>
        <v>45802</v>
      </c>
      <c r="E13667" s="275">
        <f t="shared" si="2059"/>
        <v>45802</v>
      </c>
      <c r="F13667" s="479" t="s">
        <v>2077</v>
      </c>
      <c r="G13667" s="174" t="s">
        <v>74</v>
      </c>
      <c r="H13667" s="148" t="str" cm="1">
        <f t="array" ref="H13667">IFERROR(INDEX(INVESTOR_LIST[INVESTOR NAME],MATCH(I13667,INVESTOR_LIST[INVESTOR CODE],0),)," ")</f>
        <v xml:space="preserve"> </v>
      </c>
      <c r="I13667" s="148" t="s">
        <v>348</v>
      </c>
      <c r="J13667" s="133" t="s">
        <v>47</v>
      </c>
      <c r="K13667" s="172">
        <v>430000</v>
      </c>
    </row>
    <row r="13668" spans="1:14" x14ac:dyDescent="0.2">
      <c r="A13668" s="133">
        <v>2025</v>
      </c>
      <c r="B13668" s="133">
        <v>5</v>
      </c>
      <c r="C13668" s="133">
        <v>25</v>
      </c>
      <c r="D13668" s="141">
        <f t="shared" si="2058"/>
        <v>45802</v>
      </c>
      <c r="E13668" s="275">
        <f t="shared" si="2059"/>
        <v>45802</v>
      </c>
      <c r="F13668" s="481"/>
      <c r="G13668" s="174" t="s">
        <v>74</v>
      </c>
      <c r="H13668" s="148" t="str" cm="1">
        <f t="array" ref="H13668">IFERROR(INDEX(INVESTOR_LIST[INVESTOR NAME],MATCH(I13668,INVESTOR_LIST[INVESTOR CODE],0),)," ")</f>
        <v xml:space="preserve"> </v>
      </c>
      <c r="J13668" s="133" t="s">
        <v>534</v>
      </c>
      <c r="K13668" s="218"/>
      <c r="L13668" s="218">
        <v>64500</v>
      </c>
    </row>
    <row r="13669" spans="1:14" x14ac:dyDescent="0.2">
      <c r="A13669" s="163">
        <v>2025</v>
      </c>
      <c r="B13669" s="163">
        <v>5</v>
      </c>
      <c r="C13669" s="163">
        <v>25</v>
      </c>
      <c r="D13669" s="280">
        <f t="shared" si="2058"/>
        <v>45802</v>
      </c>
      <c r="E13669" s="281">
        <f t="shared" si="2059"/>
        <v>45802</v>
      </c>
      <c r="F13669" s="480"/>
      <c r="G13669" s="221" t="s">
        <v>74</v>
      </c>
      <c r="H13669" s="145" t="str" cm="1">
        <f t="array" ref="H13669">IFERROR(INDEX(INVESTOR_LIST[INVESTOR NAME],MATCH(I13669,INVESTOR_LIST[INVESTOR CODE],0),)," ")</f>
        <v xml:space="preserve"> </v>
      </c>
      <c r="I13669" s="145" t="s">
        <v>348</v>
      </c>
      <c r="J13669" s="163" t="s">
        <v>52</v>
      </c>
      <c r="K13669" s="219"/>
      <c r="L13669" s="219">
        <v>365500</v>
      </c>
    </row>
    <row r="13670" spans="1:14" x14ac:dyDescent="0.2">
      <c r="A13670" s="168">
        <v>2025</v>
      </c>
      <c r="B13670" s="168">
        <v>5</v>
      </c>
      <c r="C13670" s="168">
        <v>25</v>
      </c>
      <c r="D13670" s="141">
        <f t="shared" si="2058"/>
        <v>45802</v>
      </c>
      <c r="E13670" s="275">
        <f t="shared" si="2059"/>
        <v>45802</v>
      </c>
      <c r="F13670" s="479" t="s">
        <v>2062</v>
      </c>
      <c r="G13670" s="220" t="s">
        <v>94</v>
      </c>
      <c r="H13670" s="220" t="str" cm="1">
        <f t="array" ref="H13670">IFERROR(INDEX(INVESTOR_LIST[INVESTOR NAME],MATCH(I13670,INVESTOR_LIST[INVESTOR CODE],0),)," ")</f>
        <v xml:space="preserve"> </v>
      </c>
      <c r="I13670" s="142"/>
      <c r="J13670" s="143" t="s">
        <v>79</v>
      </c>
      <c r="K13670" s="226">
        <v>741480</v>
      </c>
      <c r="L13670" s="226"/>
      <c r="M13670" s="160"/>
    </row>
    <row r="13671" spans="1:14" x14ac:dyDescent="0.2">
      <c r="A13671" s="133">
        <v>2025</v>
      </c>
      <c r="B13671" s="133">
        <v>5</v>
      </c>
      <c r="C13671" s="133">
        <v>25</v>
      </c>
      <c r="D13671" s="141">
        <f t="shared" si="2058"/>
        <v>45802</v>
      </c>
      <c r="E13671" s="275">
        <f t="shared" si="2059"/>
        <v>45802</v>
      </c>
      <c r="F13671" s="481"/>
      <c r="G13671" s="174" t="s">
        <v>94</v>
      </c>
      <c r="H13671" s="174" t="str" cm="1">
        <f t="array" ref="H13671">IFERROR(INDEX(INVESTOR_LIST[INVESTOR NAME],MATCH(I13671,INVESTOR_LIST[INVESTOR CODE],0),)," ")</f>
        <v xml:space="preserve"> </v>
      </c>
      <c r="J13671" s="149" t="s">
        <v>80</v>
      </c>
      <c r="K13671" s="218">
        <v>1334.66</v>
      </c>
      <c r="L13671" s="133"/>
    </row>
    <row r="13672" spans="1:14" x14ac:dyDescent="0.2">
      <c r="A13672" s="163">
        <v>2025</v>
      </c>
      <c r="B13672" s="163">
        <v>5</v>
      </c>
      <c r="C13672" s="163">
        <v>25</v>
      </c>
      <c r="D13672" s="280">
        <f t="shared" si="2058"/>
        <v>45802</v>
      </c>
      <c r="E13672" s="281">
        <f t="shared" si="2059"/>
        <v>45802</v>
      </c>
      <c r="F13672" s="480"/>
      <c r="G13672" s="221" t="s">
        <v>94</v>
      </c>
      <c r="H13672" s="221" t="str" cm="1">
        <f t="array" ref="H13672">IFERROR(INDEX(INVESTOR_LIST[INVESTOR NAME],MATCH(I13672,INVESTOR_LIST[INVESTOR CODE],0),)," ")</f>
        <v xml:space="preserve"> </v>
      </c>
      <c r="I13672" s="145"/>
      <c r="J13672" s="146" t="s">
        <v>147</v>
      </c>
      <c r="K13672" s="219"/>
      <c r="L13672" s="219">
        <v>742814.66</v>
      </c>
    </row>
    <row r="13673" spans="1:14" x14ac:dyDescent="0.2">
      <c r="A13673" s="168">
        <v>2025</v>
      </c>
      <c r="B13673" s="133">
        <v>5</v>
      </c>
      <c r="C13673" s="168">
        <v>25</v>
      </c>
      <c r="D13673" s="141">
        <f>DATE(A13673,B13673,C13673)</f>
        <v>45802</v>
      </c>
      <c r="E13673" s="275">
        <f>DATE(A13673,B13673,C13673)</f>
        <v>45802</v>
      </c>
      <c r="F13673" s="481" t="s">
        <v>2072</v>
      </c>
      <c r="G13673" s="174" t="s">
        <v>94</v>
      </c>
      <c r="H13673" s="174" t="str" cm="1">
        <f t="array" ref="H13673">IFERROR(INDEX(INVESTOR_LIST[INVESTOR NAME],MATCH(I13673,INVESTOR_LIST[INVESTOR CODE],0),)," ")</f>
        <v xml:space="preserve"> </v>
      </c>
      <c r="I13673" s="148" t="s">
        <v>348</v>
      </c>
      <c r="J13673" s="149" t="s">
        <v>168</v>
      </c>
      <c r="K13673" s="218">
        <v>350205</v>
      </c>
      <c r="L13673" s="218"/>
    </row>
    <row r="13674" spans="1:14" x14ac:dyDescent="0.2">
      <c r="A13674" s="163">
        <v>2025</v>
      </c>
      <c r="B13674" s="163">
        <v>5</v>
      </c>
      <c r="C13674" s="163">
        <v>25</v>
      </c>
      <c r="D13674" s="141">
        <f>DATE(A13674,B13674,C13674)</f>
        <v>45802</v>
      </c>
      <c r="E13674" s="275">
        <f>DATE(A13674,B13674,C13674)</f>
        <v>45802</v>
      </c>
      <c r="F13674" s="480"/>
      <c r="G13674" s="221" t="s">
        <v>94</v>
      </c>
      <c r="H13674" s="221" t="str" cm="1">
        <f t="array" ref="H13674">IFERROR(INDEX(INVESTOR_LIST[INVESTOR NAME],MATCH(I13674,INVESTOR_LIST[INVESTOR CODE],0),)," ")</f>
        <v xml:space="preserve"> </v>
      </c>
      <c r="I13674" s="145" t="s">
        <v>348</v>
      </c>
      <c r="J13674" s="146" t="s">
        <v>166</v>
      </c>
      <c r="K13674" s="219"/>
      <c r="L13674" s="219">
        <v>350205</v>
      </c>
    </row>
    <row r="13675" spans="1:14" ht="11.25" customHeight="1" x14ac:dyDescent="0.2">
      <c r="A13675" s="168">
        <v>2025</v>
      </c>
      <c r="B13675" s="168">
        <v>5</v>
      </c>
      <c r="C13675" s="133">
        <v>26</v>
      </c>
      <c r="D13675" s="141">
        <f t="shared" si="2058"/>
        <v>45803</v>
      </c>
      <c r="E13675" s="275">
        <f t="shared" si="2059"/>
        <v>45803</v>
      </c>
      <c r="F13675" s="479" t="s">
        <v>1315</v>
      </c>
      <c r="G13675" s="220" t="s">
        <v>74</v>
      </c>
      <c r="H13675" s="142" t="str" cm="1">
        <f t="array" ref="H13675">IFERROR(INDEX(INVESTOR_LIST[INVESTOR NAME],MATCH(I13675,INVESTOR_LIST[INVESTOR CODE],0),)," ")</f>
        <v>MADHAB GHOSH</v>
      </c>
      <c r="I13675" s="142" t="s">
        <v>1659</v>
      </c>
      <c r="J13675" s="168" t="s">
        <v>13</v>
      </c>
      <c r="K13675" s="226">
        <v>102930</v>
      </c>
      <c r="L13675" s="226"/>
    </row>
    <row r="13676" spans="1:14" ht="11.25" customHeight="1" x14ac:dyDescent="0.2">
      <c r="A13676" s="133">
        <v>2025</v>
      </c>
      <c r="B13676" s="133">
        <v>5</v>
      </c>
      <c r="C13676" s="133">
        <v>26</v>
      </c>
      <c r="D13676" s="141">
        <f t="shared" si="2058"/>
        <v>45803</v>
      </c>
      <c r="E13676" s="275">
        <f t="shared" si="2059"/>
        <v>45803</v>
      </c>
      <c r="F13676" s="481"/>
      <c r="G13676" s="174" t="s">
        <v>74</v>
      </c>
      <c r="H13676" s="148" t="str" cm="1">
        <f t="array" ref="H13676">IFERROR(INDEX(INVESTOR_LIST[INVESTOR NAME],MATCH(I13676,INVESTOR_LIST[INVESTOR CODE],0),)," ")</f>
        <v>MADHAB GHOSH</v>
      </c>
      <c r="I13676" s="148" t="s">
        <v>1659</v>
      </c>
      <c r="J13676" s="133" t="s">
        <v>53</v>
      </c>
      <c r="K13676" s="218">
        <v>27070</v>
      </c>
      <c r="L13676" s="218"/>
    </row>
    <row r="13677" spans="1:14" ht="11.25" customHeight="1" x14ac:dyDescent="0.2">
      <c r="A13677" s="163">
        <v>2025</v>
      </c>
      <c r="B13677" s="163">
        <v>5</v>
      </c>
      <c r="C13677" s="163">
        <v>26</v>
      </c>
      <c r="D13677" s="280">
        <f t="shared" si="2058"/>
        <v>45803</v>
      </c>
      <c r="E13677" s="281">
        <f t="shared" si="2059"/>
        <v>45803</v>
      </c>
      <c r="F13677" s="480"/>
      <c r="G13677" s="221" t="s">
        <v>74</v>
      </c>
      <c r="H13677" s="145" t="str" cm="1">
        <f t="array" ref="H13677">IFERROR(INDEX(INVESTOR_LIST[INVESTOR NAME],MATCH(I13677,INVESTOR_LIST[INVESTOR CODE],0),)," ")</f>
        <v>MADHAB GHOSH</v>
      </c>
      <c r="I13677" s="145" t="s">
        <v>1659</v>
      </c>
      <c r="J13677" s="163" t="s">
        <v>52</v>
      </c>
      <c r="K13677" s="219"/>
      <c r="L13677" s="219">
        <v>130000</v>
      </c>
    </row>
    <row r="13678" spans="1:14" x14ac:dyDescent="0.2">
      <c r="A13678" s="133">
        <v>2025</v>
      </c>
      <c r="B13678" s="133">
        <v>5</v>
      </c>
      <c r="C13678" s="133">
        <v>26</v>
      </c>
      <c r="D13678" s="141">
        <f t="shared" si="2058"/>
        <v>45803</v>
      </c>
      <c r="E13678" s="275">
        <f t="shared" si="2059"/>
        <v>45803</v>
      </c>
      <c r="F13678" s="481" t="s">
        <v>2073</v>
      </c>
      <c r="G13678" s="174" t="s">
        <v>94</v>
      </c>
      <c r="H13678" s="174" t="str" cm="1">
        <f t="array" ref="H13678">IFERROR(INDEX(INVESTOR_LIST[INVESTOR NAME],MATCH(I13678,INVESTOR_LIST[INVESTOR CODE],0),)," ")</f>
        <v xml:space="preserve"> </v>
      </c>
      <c r="J13678" s="149" t="s">
        <v>79</v>
      </c>
      <c r="K13678" s="218">
        <v>1018350</v>
      </c>
      <c r="L13678" s="218"/>
      <c r="M13678" s="160"/>
    </row>
    <row r="13679" spans="1:14" x14ac:dyDescent="0.2">
      <c r="A13679" s="133">
        <v>2025</v>
      </c>
      <c r="B13679" s="133">
        <v>5</v>
      </c>
      <c r="C13679" s="133">
        <v>26</v>
      </c>
      <c r="D13679" s="141">
        <f t="shared" si="2058"/>
        <v>45803</v>
      </c>
      <c r="E13679" s="275">
        <f t="shared" si="2059"/>
        <v>45803</v>
      </c>
      <c r="F13679" s="481"/>
      <c r="G13679" s="174" t="s">
        <v>94</v>
      </c>
      <c r="H13679" s="174" t="str" cm="1">
        <f t="array" ref="H13679">IFERROR(INDEX(INVESTOR_LIST[INVESTOR NAME],MATCH(I13679,INVESTOR_LIST[INVESTOR CODE],0),)," ")</f>
        <v xml:space="preserve"> </v>
      </c>
      <c r="J13679" s="149" t="s">
        <v>80</v>
      </c>
      <c r="K13679" s="218">
        <v>3520.53</v>
      </c>
      <c r="L13679" s="133"/>
      <c r="N13679" s="264"/>
    </row>
    <row r="13680" spans="1:14" x14ac:dyDescent="0.2">
      <c r="A13680" s="133">
        <v>2025</v>
      </c>
      <c r="B13680" s="133">
        <v>5</v>
      </c>
      <c r="C13680" s="133">
        <v>26</v>
      </c>
      <c r="D13680" s="141">
        <f t="shared" si="2058"/>
        <v>45803</v>
      </c>
      <c r="E13680" s="275">
        <f t="shared" si="2059"/>
        <v>45803</v>
      </c>
      <c r="F13680" s="481"/>
      <c r="G13680" s="174" t="s">
        <v>94</v>
      </c>
      <c r="H13680" s="174" t="str" cm="1">
        <f t="array" ref="H13680">IFERROR(INDEX(INVESTOR_LIST[INVESTOR NAME],MATCH(I13680,INVESTOR_LIST[INVESTOR CODE],0),)," ")</f>
        <v xml:space="preserve"> </v>
      </c>
      <c r="J13680" s="149" t="s">
        <v>147</v>
      </c>
      <c r="K13680" s="218"/>
      <c r="L13680" s="218">
        <v>84370.13</v>
      </c>
    </row>
    <row r="13681" spans="1:14" x14ac:dyDescent="0.2">
      <c r="A13681" s="133">
        <v>2025</v>
      </c>
      <c r="B13681" s="133">
        <v>5</v>
      </c>
      <c r="C13681" s="133">
        <v>26</v>
      </c>
      <c r="D13681" s="141">
        <f t="shared" si="2058"/>
        <v>45803</v>
      </c>
      <c r="E13681" s="275">
        <f t="shared" si="2059"/>
        <v>45803</v>
      </c>
      <c r="F13681" s="481"/>
      <c r="G13681" s="174" t="s">
        <v>94</v>
      </c>
      <c r="H13681" s="174" t="str" cm="1">
        <f t="array" ref="H13681">IFERROR(INDEX(INVESTOR_LIST[INVESTOR NAME],MATCH(I13681,INVESTOR_LIST[INVESTOR CODE],0),)," ")</f>
        <v xml:space="preserve"> </v>
      </c>
      <c r="J13681" s="149" t="s">
        <v>191</v>
      </c>
      <c r="K13681" s="218"/>
      <c r="L13681" s="218">
        <v>227054.36</v>
      </c>
    </row>
    <row r="13682" spans="1:14" x14ac:dyDescent="0.2">
      <c r="A13682" s="163">
        <v>2025</v>
      </c>
      <c r="B13682" s="163">
        <v>5</v>
      </c>
      <c r="C13682" s="163">
        <v>26</v>
      </c>
      <c r="D13682" s="280">
        <f t="shared" si="2058"/>
        <v>45803</v>
      </c>
      <c r="E13682" s="281">
        <f t="shared" si="2059"/>
        <v>45803</v>
      </c>
      <c r="F13682" s="480"/>
      <c r="G13682" s="221" t="s">
        <v>94</v>
      </c>
      <c r="H13682" s="145" t="str" cm="1">
        <f t="array" ref="H13682">IFERROR(INDEX(INVESTOR_LIST[INVESTOR NAME],MATCH(I13682,INVESTOR_LIST[INVESTOR CODE],0),)," ")</f>
        <v xml:space="preserve"> </v>
      </c>
      <c r="I13682" s="145"/>
      <c r="J13682" s="163" t="s">
        <v>79</v>
      </c>
      <c r="K13682" s="219"/>
      <c r="L13682" s="219">
        <v>710446.04</v>
      </c>
    </row>
    <row r="13683" spans="1:14" x14ac:dyDescent="0.2">
      <c r="A13683" s="168">
        <v>2025</v>
      </c>
      <c r="B13683" s="168">
        <v>5</v>
      </c>
      <c r="C13683" s="168">
        <v>26</v>
      </c>
      <c r="D13683" s="141">
        <f t="shared" ref="D13683:D13705" si="2060">DATE(A13683,B13683,C13683)</f>
        <v>45803</v>
      </c>
      <c r="E13683" s="275">
        <f t="shared" ref="E13683:E13705" si="2061">DATE(A13683,B13683,C13683)</f>
        <v>45803</v>
      </c>
      <c r="F13683" s="479" t="s">
        <v>2062</v>
      </c>
      <c r="G13683" s="220" t="s">
        <v>94</v>
      </c>
      <c r="H13683" s="220" t="str" cm="1">
        <f t="array" ref="H13683">IFERROR(INDEX(INVESTOR_LIST[INVESTOR NAME],MATCH(I13683,INVESTOR_LIST[INVESTOR CODE],0),)," ")</f>
        <v xml:space="preserve"> </v>
      </c>
      <c r="I13683" s="142"/>
      <c r="J13683" s="143" t="s">
        <v>79</v>
      </c>
      <c r="K13683" s="226">
        <v>1020000</v>
      </c>
      <c r="L13683" s="226"/>
      <c r="M13683" s="160"/>
    </row>
    <row r="13684" spans="1:14" x14ac:dyDescent="0.2">
      <c r="A13684" s="133">
        <v>2025</v>
      </c>
      <c r="B13684" s="133">
        <v>5</v>
      </c>
      <c r="C13684" s="133">
        <v>26</v>
      </c>
      <c r="D13684" s="141">
        <f t="shared" si="2060"/>
        <v>45803</v>
      </c>
      <c r="E13684" s="275">
        <f t="shared" si="2061"/>
        <v>45803</v>
      </c>
      <c r="F13684" s="481"/>
      <c r="G13684" s="174" t="s">
        <v>94</v>
      </c>
      <c r="H13684" s="174" t="str" cm="1">
        <f t="array" ref="H13684">IFERROR(INDEX(INVESTOR_LIST[INVESTOR NAME],MATCH(I13684,INVESTOR_LIST[INVESTOR CODE],0),)," ")</f>
        <v xml:space="preserve"> </v>
      </c>
      <c r="J13684" s="149" t="s">
        <v>80</v>
      </c>
      <c r="K13684" s="218">
        <v>1836</v>
      </c>
      <c r="L13684" s="133"/>
    </row>
    <row r="13685" spans="1:14" x14ac:dyDescent="0.2">
      <c r="A13685" s="163">
        <v>2025</v>
      </c>
      <c r="B13685" s="163">
        <v>5</v>
      </c>
      <c r="C13685" s="163">
        <v>26</v>
      </c>
      <c r="D13685" s="280">
        <f t="shared" si="2060"/>
        <v>45803</v>
      </c>
      <c r="E13685" s="281">
        <f t="shared" si="2061"/>
        <v>45803</v>
      </c>
      <c r="F13685" s="480"/>
      <c r="G13685" s="221" t="s">
        <v>94</v>
      </c>
      <c r="H13685" s="221" t="str" cm="1">
        <f t="array" ref="H13685">IFERROR(INDEX(INVESTOR_LIST[INVESTOR NAME],MATCH(I13685,INVESTOR_LIST[INVESTOR CODE],0),)," ")</f>
        <v xml:space="preserve"> </v>
      </c>
      <c r="I13685" s="145"/>
      <c r="J13685" s="146" t="s">
        <v>147</v>
      </c>
      <c r="K13685" s="219"/>
      <c r="L13685" s="219">
        <v>1021836</v>
      </c>
    </row>
    <row r="13686" spans="1:14" ht="11.25" customHeight="1" x14ac:dyDescent="0.2">
      <c r="A13686" s="168">
        <v>2025</v>
      </c>
      <c r="B13686" s="133">
        <v>5</v>
      </c>
      <c r="C13686" s="168">
        <v>26</v>
      </c>
      <c r="D13686" s="141">
        <f t="shared" si="2060"/>
        <v>45803</v>
      </c>
      <c r="E13686" s="275">
        <f t="shared" si="2061"/>
        <v>45803</v>
      </c>
      <c r="F13686" s="479" t="s">
        <v>2064</v>
      </c>
      <c r="G13686" s="220" t="s">
        <v>74</v>
      </c>
      <c r="H13686" s="220" t="str" cm="1">
        <f t="array" ref="H13686">IFERROR(INDEX(INVESTOR_LIST[INVESTOR NAME],MATCH(I13686,INVESTOR_LIST[INVESTOR CODE],0),)," ")</f>
        <v xml:space="preserve"> </v>
      </c>
      <c r="I13686" s="142"/>
      <c r="J13686" s="143" t="s">
        <v>147</v>
      </c>
      <c r="K13686" s="226">
        <v>742814.66</v>
      </c>
      <c r="L13686" s="226"/>
    </row>
    <row r="13687" spans="1:14" x14ac:dyDescent="0.2">
      <c r="A13687" s="163">
        <v>2025</v>
      </c>
      <c r="B13687" s="163">
        <v>5</v>
      </c>
      <c r="C13687" s="163">
        <v>26</v>
      </c>
      <c r="D13687" s="280">
        <f t="shared" si="2060"/>
        <v>45803</v>
      </c>
      <c r="E13687" s="281">
        <f t="shared" si="2061"/>
        <v>45803</v>
      </c>
      <c r="F13687" s="480"/>
      <c r="G13687" s="221" t="s">
        <v>74</v>
      </c>
      <c r="H13687" s="221" t="str" cm="1">
        <f t="array" ref="H13687">IFERROR(INDEX(INVESTOR_LIST[INVESTOR NAME],MATCH(I13687,INVESTOR_LIST[INVESTOR CODE],0),)," ")</f>
        <v xml:space="preserve"> </v>
      </c>
      <c r="I13687" s="145"/>
      <c r="J13687" s="146" t="s">
        <v>52</v>
      </c>
      <c r="K13687" s="219"/>
      <c r="L13687" s="219">
        <v>742814.66</v>
      </c>
      <c r="N13687" s="264"/>
    </row>
    <row r="13688" spans="1:14" x14ac:dyDescent="0.2">
      <c r="A13688" s="168">
        <v>2025</v>
      </c>
      <c r="B13688" s="168">
        <v>5</v>
      </c>
      <c r="C13688" s="133">
        <v>26</v>
      </c>
      <c r="D13688" s="141">
        <f t="shared" si="2060"/>
        <v>45803</v>
      </c>
      <c r="E13688" s="275">
        <f t="shared" si="2061"/>
        <v>45803</v>
      </c>
      <c r="F13688" s="481" t="s">
        <v>2006</v>
      </c>
      <c r="G13688" s="174" t="s">
        <v>74</v>
      </c>
      <c r="H13688" s="174" t="str" cm="1">
        <f t="array" ref="H13688">IFERROR(INDEX(INVESTOR_LIST[INVESTOR NAME],MATCH(I13688,INVESTOR_LIST[INVESTOR CODE],0),)," ")</f>
        <v xml:space="preserve"> </v>
      </c>
      <c r="J13688" s="149" t="s">
        <v>534</v>
      </c>
      <c r="K13688" s="218">
        <v>30000</v>
      </c>
      <c r="L13688" s="218"/>
    </row>
    <row r="13689" spans="1:14" x14ac:dyDescent="0.2">
      <c r="A13689" s="133">
        <v>2025</v>
      </c>
      <c r="B13689" s="133">
        <v>5</v>
      </c>
      <c r="C13689" s="133">
        <v>26</v>
      </c>
      <c r="D13689" s="141">
        <v>45771</v>
      </c>
      <c r="E13689" s="275">
        <v>45771</v>
      </c>
      <c r="F13689" s="481"/>
      <c r="G13689" s="174" t="s">
        <v>74</v>
      </c>
      <c r="H13689" s="174"/>
      <c r="J13689" s="149" t="s">
        <v>1906</v>
      </c>
      <c r="K13689" s="218">
        <v>250</v>
      </c>
      <c r="L13689" s="218"/>
    </row>
    <row r="13690" spans="1:14" x14ac:dyDescent="0.2">
      <c r="A13690" s="133">
        <v>2025</v>
      </c>
      <c r="B13690" s="133">
        <v>5</v>
      </c>
      <c r="C13690" s="133">
        <v>26</v>
      </c>
      <c r="D13690" s="141">
        <v>45771</v>
      </c>
      <c r="E13690" s="275">
        <v>45771</v>
      </c>
      <c r="F13690" s="481"/>
      <c r="G13690" s="174" t="s">
        <v>74</v>
      </c>
      <c r="H13690" s="174"/>
      <c r="J13690" s="149" t="s">
        <v>1907</v>
      </c>
      <c r="K13690" s="218">
        <v>150</v>
      </c>
      <c r="L13690" s="218"/>
    </row>
    <row r="13691" spans="1:14" x14ac:dyDescent="0.2">
      <c r="A13691" s="133">
        <v>2025</v>
      </c>
      <c r="B13691" s="133">
        <v>5</v>
      </c>
      <c r="C13691" s="133">
        <v>26</v>
      </c>
      <c r="D13691" s="141">
        <v>45771</v>
      </c>
      <c r="E13691" s="275">
        <v>45771</v>
      </c>
      <c r="F13691" s="481"/>
      <c r="G13691" s="174" t="s">
        <v>74</v>
      </c>
      <c r="H13691" s="174"/>
      <c r="J13691" s="149" t="s">
        <v>534</v>
      </c>
      <c r="K13691" s="218">
        <v>527.36</v>
      </c>
      <c r="L13691" s="218"/>
    </row>
    <row r="13692" spans="1:14" x14ac:dyDescent="0.2">
      <c r="A13692" s="133">
        <v>2025</v>
      </c>
      <c r="B13692" s="133">
        <v>5</v>
      </c>
      <c r="C13692" s="133">
        <v>26</v>
      </c>
      <c r="D13692" s="141">
        <v>45771</v>
      </c>
      <c r="E13692" s="275">
        <v>45771</v>
      </c>
      <c r="F13692" s="481"/>
      <c r="G13692" s="174" t="s">
        <v>74</v>
      </c>
      <c r="H13692" s="174"/>
      <c r="J13692" s="149" t="s">
        <v>534</v>
      </c>
      <c r="K13692" s="218">
        <v>64500</v>
      </c>
      <c r="L13692" s="218"/>
    </row>
    <row r="13693" spans="1:14" x14ac:dyDescent="0.2">
      <c r="A13693" s="163">
        <v>2025</v>
      </c>
      <c r="B13693" s="163">
        <v>5</v>
      </c>
      <c r="C13693" s="163">
        <v>26</v>
      </c>
      <c r="D13693" s="280">
        <f t="shared" ref="D13693:D13699" si="2062">DATE(A13693,B13693,C13693)</f>
        <v>45803</v>
      </c>
      <c r="E13693" s="281">
        <f t="shared" ref="E13693:E13699" si="2063">DATE(A13693,B13693,C13693)</f>
        <v>45803</v>
      </c>
      <c r="F13693" s="480"/>
      <c r="G13693" s="221" t="s">
        <v>74</v>
      </c>
      <c r="H13693" s="221" t="str" cm="1">
        <f t="array" ref="H13693">IFERROR(INDEX(INVESTOR_LIST[INVESTOR NAME],MATCH(I13693,INVESTOR_LIST[INVESTOR CODE],0),)," ")</f>
        <v xml:space="preserve"> </v>
      </c>
      <c r="I13693" s="145"/>
      <c r="J13693" s="146" t="s">
        <v>52</v>
      </c>
      <c r="K13693" s="219"/>
      <c r="L13693" s="219">
        <v>95427.36</v>
      </c>
    </row>
    <row r="13694" spans="1:14" ht="11.25" customHeight="1" x14ac:dyDescent="0.2">
      <c r="A13694" s="168">
        <v>2025</v>
      </c>
      <c r="B13694" s="168">
        <v>5</v>
      </c>
      <c r="C13694" s="168">
        <v>26</v>
      </c>
      <c r="D13694" s="141">
        <f t="shared" si="2062"/>
        <v>45803</v>
      </c>
      <c r="E13694" s="275">
        <f t="shared" si="2063"/>
        <v>45803</v>
      </c>
      <c r="F13694" s="479" t="s">
        <v>1319</v>
      </c>
      <c r="G13694" s="220" t="s">
        <v>74</v>
      </c>
      <c r="H13694" s="142" t="str" cm="1">
        <f t="array" ref="H13694">IFERROR(INDEX(INVESTOR_LIST[INVESTOR NAME],MATCH(I13694,INVESTOR_LIST[INVESTOR CODE],0),)," ")</f>
        <v xml:space="preserve"> </v>
      </c>
      <c r="I13694" s="142"/>
      <c r="J13694" s="168" t="s">
        <v>52</v>
      </c>
      <c r="K13694" s="226">
        <v>56000</v>
      </c>
      <c r="L13694" s="226"/>
    </row>
    <row r="13695" spans="1:14" ht="11.25" customHeight="1" x14ac:dyDescent="0.2">
      <c r="A13695" s="133">
        <v>2025</v>
      </c>
      <c r="B13695" s="133">
        <v>5</v>
      </c>
      <c r="C13695" s="133">
        <v>26</v>
      </c>
      <c r="D13695" s="141">
        <f t="shared" si="2062"/>
        <v>45803</v>
      </c>
      <c r="E13695" s="275">
        <f t="shared" si="2063"/>
        <v>45803</v>
      </c>
      <c r="F13695" s="481"/>
      <c r="G13695" s="174" t="s">
        <v>74</v>
      </c>
      <c r="H13695" s="148" t="str" cm="1">
        <f t="array" ref="H13695">IFERROR(INDEX(INVESTOR_LIST[INVESTOR NAME],MATCH(I13695,INVESTOR_LIST[INVESTOR CODE],0),)," ")</f>
        <v xml:space="preserve"> </v>
      </c>
      <c r="J13695" s="133" t="s">
        <v>13</v>
      </c>
      <c r="K13695" s="218"/>
      <c r="L13695" s="218">
        <v>44450</v>
      </c>
    </row>
    <row r="13696" spans="1:14" ht="11.25" customHeight="1" x14ac:dyDescent="0.2">
      <c r="A13696" s="163">
        <v>2025</v>
      </c>
      <c r="B13696" s="163">
        <v>5</v>
      </c>
      <c r="C13696" s="163">
        <v>26</v>
      </c>
      <c r="D13696" s="280">
        <f t="shared" si="2062"/>
        <v>45803</v>
      </c>
      <c r="E13696" s="281">
        <f t="shared" si="2063"/>
        <v>45803</v>
      </c>
      <c r="F13696" s="480"/>
      <c r="G13696" s="221" t="s">
        <v>74</v>
      </c>
      <c r="H13696" s="145" t="str" cm="1">
        <f t="array" ref="H13696">IFERROR(INDEX(INVESTOR_LIST[INVESTOR NAME],MATCH(I13696,INVESTOR_LIST[INVESTOR CODE],0),)," ")</f>
        <v xml:space="preserve"> </v>
      </c>
      <c r="I13696" s="145"/>
      <c r="J13696" s="163" t="s">
        <v>53</v>
      </c>
      <c r="K13696" s="219"/>
      <c r="L13696" s="219">
        <v>11550</v>
      </c>
    </row>
    <row r="13697" spans="1:14" x14ac:dyDescent="0.2">
      <c r="A13697" s="133">
        <v>2025</v>
      </c>
      <c r="B13697" s="168">
        <v>5</v>
      </c>
      <c r="C13697" s="133">
        <v>26</v>
      </c>
      <c r="D13697" s="141">
        <f t="shared" si="2062"/>
        <v>45803</v>
      </c>
      <c r="E13697" s="275">
        <f t="shared" si="2063"/>
        <v>45803</v>
      </c>
      <c r="F13697" s="479" t="s">
        <v>362</v>
      </c>
      <c r="G13697" s="220" t="s">
        <v>74</v>
      </c>
      <c r="H13697" s="220"/>
      <c r="I13697" s="142" t="s">
        <v>348</v>
      </c>
      <c r="J13697" s="143" t="s">
        <v>104</v>
      </c>
      <c r="K13697" s="226">
        <v>5273.58</v>
      </c>
      <c r="L13697" s="226"/>
    </row>
    <row r="13698" spans="1:14" x14ac:dyDescent="0.2">
      <c r="A13698" s="133">
        <v>2025</v>
      </c>
      <c r="B13698" s="133">
        <v>5</v>
      </c>
      <c r="C13698" s="133">
        <v>26</v>
      </c>
      <c r="D13698" s="280">
        <f t="shared" si="2062"/>
        <v>45803</v>
      </c>
      <c r="E13698" s="281">
        <f t="shared" si="2063"/>
        <v>45803</v>
      </c>
      <c r="F13698" s="481"/>
      <c r="G13698" s="174" t="s">
        <v>74</v>
      </c>
      <c r="H13698" s="174"/>
      <c r="J13698" s="149" t="s">
        <v>534</v>
      </c>
      <c r="K13698" s="218"/>
      <c r="L13698" s="218">
        <v>527.36</v>
      </c>
    </row>
    <row r="13699" spans="1:14" x14ac:dyDescent="0.2">
      <c r="A13699" s="163">
        <v>2025</v>
      </c>
      <c r="B13699" s="163">
        <v>5</v>
      </c>
      <c r="C13699" s="163">
        <v>26</v>
      </c>
      <c r="D13699" s="144">
        <f t="shared" si="2062"/>
        <v>45803</v>
      </c>
      <c r="E13699" s="313">
        <f t="shared" si="2063"/>
        <v>45803</v>
      </c>
      <c r="F13699" s="480"/>
      <c r="G13699" s="221" t="s">
        <v>74</v>
      </c>
      <c r="H13699" s="221"/>
      <c r="I13699" s="145" t="s">
        <v>348</v>
      </c>
      <c r="J13699" s="146" t="s">
        <v>52</v>
      </c>
      <c r="K13699" s="219"/>
      <c r="L13699" s="219">
        <v>4746.22</v>
      </c>
    </row>
    <row r="13700" spans="1:14" x14ac:dyDescent="0.2">
      <c r="A13700" s="168">
        <v>2025</v>
      </c>
      <c r="B13700" s="133">
        <v>5</v>
      </c>
      <c r="C13700" s="168">
        <v>26</v>
      </c>
      <c r="D13700" s="141">
        <f>DATE(A13700,B13700,C13700)</f>
        <v>45803</v>
      </c>
      <c r="E13700" s="275">
        <f>DATE(A13700,B13700,C13700)</f>
        <v>45803</v>
      </c>
      <c r="F13700" s="481" t="s">
        <v>2076</v>
      </c>
      <c r="G13700" s="174" t="s">
        <v>94</v>
      </c>
      <c r="H13700" s="174"/>
      <c r="I13700" s="148" t="s">
        <v>348</v>
      </c>
      <c r="J13700" s="149" t="s">
        <v>168</v>
      </c>
      <c r="K13700" s="218">
        <v>868335</v>
      </c>
      <c r="L13700" s="218"/>
    </row>
    <row r="13701" spans="1:14" x14ac:dyDescent="0.2">
      <c r="A13701" s="163">
        <v>2025</v>
      </c>
      <c r="B13701" s="163">
        <v>5</v>
      </c>
      <c r="C13701" s="163">
        <v>26</v>
      </c>
      <c r="D13701" s="141">
        <f>DATE(A13701,B13701,C13701)</f>
        <v>45803</v>
      </c>
      <c r="E13701" s="275">
        <f>DATE(A13701,B13701,C13701)</f>
        <v>45803</v>
      </c>
      <c r="F13701" s="480"/>
      <c r="G13701" s="221" t="s">
        <v>94</v>
      </c>
      <c r="H13701" s="221"/>
      <c r="I13701" s="145" t="s">
        <v>348</v>
      </c>
      <c r="J13701" s="146" t="s">
        <v>166</v>
      </c>
      <c r="K13701" s="219"/>
      <c r="L13701" s="219">
        <v>868335</v>
      </c>
    </row>
    <row r="13702" spans="1:14" x14ac:dyDescent="0.2">
      <c r="A13702" s="133">
        <v>2025</v>
      </c>
      <c r="B13702" s="133">
        <v>5</v>
      </c>
      <c r="C13702" s="133">
        <v>27</v>
      </c>
      <c r="D13702" s="141">
        <f t="shared" si="2060"/>
        <v>45804</v>
      </c>
      <c r="E13702" s="275">
        <f t="shared" si="2061"/>
        <v>45804</v>
      </c>
      <c r="F13702" s="481" t="s">
        <v>2044</v>
      </c>
      <c r="G13702" s="174" t="s">
        <v>94</v>
      </c>
      <c r="H13702" s="174"/>
      <c r="J13702" s="149" t="s">
        <v>190</v>
      </c>
      <c r="K13702" s="218">
        <v>464323.11</v>
      </c>
      <c r="L13702" s="133"/>
    </row>
    <row r="13703" spans="1:14" x14ac:dyDescent="0.2">
      <c r="A13703" s="133">
        <v>2025</v>
      </c>
      <c r="B13703" s="133">
        <v>5</v>
      </c>
      <c r="C13703" s="133">
        <v>27</v>
      </c>
      <c r="D13703" s="141">
        <f t="shared" si="2060"/>
        <v>45804</v>
      </c>
      <c r="E13703" s="275">
        <f t="shared" si="2061"/>
        <v>45804</v>
      </c>
      <c r="F13703" s="481"/>
      <c r="G13703" s="174" t="s">
        <v>94</v>
      </c>
      <c r="H13703" s="174"/>
      <c r="J13703" s="149" t="s">
        <v>80</v>
      </c>
      <c r="K13703" s="218">
        <v>837.29</v>
      </c>
      <c r="L13703" s="218"/>
      <c r="M13703" s="176"/>
    </row>
    <row r="13704" spans="1:14" x14ac:dyDescent="0.2">
      <c r="A13704" s="133">
        <v>2025</v>
      </c>
      <c r="B13704" s="133">
        <v>5</v>
      </c>
      <c r="C13704" s="133">
        <v>27</v>
      </c>
      <c r="D13704" s="141">
        <f t="shared" si="2060"/>
        <v>45804</v>
      </c>
      <c r="E13704" s="275">
        <f t="shared" si="2061"/>
        <v>45804</v>
      </c>
      <c r="F13704" s="481"/>
      <c r="G13704" s="174" t="s">
        <v>94</v>
      </c>
      <c r="H13704" s="174"/>
      <c r="J13704" s="149" t="s">
        <v>191</v>
      </c>
      <c r="K13704" s="218"/>
      <c r="L13704" s="218">
        <v>109937.38</v>
      </c>
    </row>
    <row r="13705" spans="1:14" x14ac:dyDescent="0.2">
      <c r="A13705" s="163">
        <v>2025</v>
      </c>
      <c r="B13705" s="163">
        <v>5</v>
      </c>
      <c r="C13705" s="163">
        <v>27</v>
      </c>
      <c r="D13705" s="280">
        <f t="shared" si="2060"/>
        <v>45804</v>
      </c>
      <c r="E13705" s="281">
        <f t="shared" si="2061"/>
        <v>45804</v>
      </c>
      <c r="F13705" s="480"/>
      <c r="G13705" s="221" t="s">
        <v>94</v>
      </c>
      <c r="H13705" s="145"/>
      <c r="I13705" s="145"/>
      <c r="J13705" s="163" t="s">
        <v>79</v>
      </c>
      <c r="K13705" s="219"/>
      <c r="L13705" s="219">
        <v>355223.02</v>
      </c>
    </row>
    <row r="13706" spans="1:14" ht="11.25" customHeight="1" x14ac:dyDescent="0.2">
      <c r="A13706" s="168">
        <v>2025</v>
      </c>
      <c r="B13706" s="133">
        <v>5</v>
      </c>
      <c r="C13706" s="168">
        <v>27</v>
      </c>
      <c r="D13706" s="141">
        <f t="shared" ref="D13706:D13707" si="2064">DATE(A13706,B13706,C13706)</f>
        <v>45804</v>
      </c>
      <c r="E13706" s="275">
        <f t="shared" ref="E13706:E13707" si="2065">DATE(A13706,B13706,C13706)</f>
        <v>45804</v>
      </c>
      <c r="F13706" s="479" t="s">
        <v>2064</v>
      </c>
      <c r="G13706" s="220" t="s">
        <v>74</v>
      </c>
      <c r="H13706" s="220"/>
      <c r="I13706" s="142"/>
      <c r="J13706" s="143" t="s">
        <v>147</v>
      </c>
      <c r="K13706" s="226">
        <v>1021836</v>
      </c>
      <c r="L13706" s="226"/>
    </row>
    <row r="13707" spans="1:14" x14ac:dyDescent="0.2">
      <c r="A13707" s="163">
        <v>2025</v>
      </c>
      <c r="B13707" s="163">
        <v>5</v>
      </c>
      <c r="C13707" s="163">
        <v>27</v>
      </c>
      <c r="D13707" s="280">
        <f t="shared" si="2064"/>
        <v>45804</v>
      </c>
      <c r="E13707" s="281">
        <f t="shared" si="2065"/>
        <v>45804</v>
      </c>
      <c r="F13707" s="480"/>
      <c r="G13707" s="221" t="s">
        <v>74</v>
      </c>
      <c r="H13707" s="221"/>
      <c r="I13707" s="145"/>
      <c r="J13707" s="146" t="s">
        <v>52</v>
      </c>
      <c r="K13707" s="219"/>
      <c r="L13707" s="219">
        <v>1021836</v>
      </c>
      <c r="N13707" s="264"/>
    </row>
    <row r="13708" spans="1:14" ht="11.25" customHeight="1" x14ac:dyDescent="0.2">
      <c r="A13708" s="168">
        <v>2025</v>
      </c>
      <c r="B13708" s="133">
        <v>5</v>
      </c>
      <c r="C13708" s="168">
        <v>27</v>
      </c>
      <c r="D13708" s="141">
        <f t="shared" ref="D13708:D13758" si="2066">DATE(A13708,B13708,C13708)</f>
        <v>45804</v>
      </c>
      <c r="E13708" s="275">
        <f t="shared" ref="E13708:E13758" si="2067">DATE(A13708,B13708,C13708)</f>
        <v>45804</v>
      </c>
      <c r="F13708" s="479" t="s">
        <v>2074</v>
      </c>
      <c r="G13708" s="220" t="s">
        <v>74</v>
      </c>
      <c r="H13708" s="220"/>
      <c r="I13708" s="142"/>
      <c r="J13708" s="143" t="s">
        <v>147</v>
      </c>
      <c r="K13708" s="226">
        <v>84370.13</v>
      </c>
      <c r="L13708" s="226"/>
    </row>
    <row r="13709" spans="1:14" x14ac:dyDescent="0.2">
      <c r="A13709" s="163">
        <v>2025</v>
      </c>
      <c r="B13709" s="163">
        <v>5</v>
      </c>
      <c r="C13709" s="163">
        <v>27</v>
      </c>
      <c r="D13709" s="280">
        <f t="shared" si="2066"/>
        <v>45804</v>
      </c>
      <c r="E13709" s="281">
        <f t="shared" si="2067"/>
        <v>45804</v>
      </c>
      <c r="F13709" s="480"/>
      <c r="G13709" s="221" t="s">
        <v>74</v>
      </c>
      <c r="H13709" s="221"/>
      <c r="I13709" s="145"/>
      <c r="J13709" s="146" t="s">
        <v>52</v>
      </c>
      <c r="K13709" s="219"/>
      <c r="L13709" s="219">
        <v>84370.13</v>
      </c>
      <c r="N13709" s="264"/>
    </row>
    <row r="13710" spans="1:14" x14ac:dyDescent="0.2">
      <c r="A13710" s="133">
        <v>2025</v>
      </c>
      <c r="B13710" s="168">
        <v>5</v>
      </c>
      <c r="C13710" s="168">
        <v>27</v>
      </c>
      <c r="D13710" s="141">
        <f t="shared" si="2066"/>
        <v>45804</v>
      </c>
      <c r="E13710" s="275">
        <f t="shared" si="2067"/>
        <v>45804</v>
      </c>
      <c r="F13710" s="481" t="s">
        <v>982</v>
      </c>
      <c r="G13710" s="174" t="s">
        <v>74</v>
      </c>
      <c r="H13710" s="174"/>
      <c r="I13710" s="148" t="s">
        <v>348</v>
      </c>
      <c r="J13710" s="149" t="s">
        <v>163</v>
      </c>
      <c r="K13710" s="218">
        <v>1437.5</v>
      </c>
      <c r="L13710" s="218"/>
      <c r="M13710" s="264"/>
    </row>
    <row r="13711" spans="1:14" x14ac:dyDescent="0.2">
      <c r="A13711" s="133">
        <v>2025</v>
      </c>
      <c r="B13711" s="133">
        <v>5</v>
      </c>
      <c r="C13711" s="133">
        <v>27</v>
      </c>
      <c r="D13711" s="141">
        <f t="shared" si="2066"/>
        <v>45804</v>
      </c>
      <c r="E13711" s="275">
        <f t="shared" si="2067"/>
        <v>45804</v>
      </c>
      <c r="F13711" s="481"/>
      <c r="G13711" s="174" t="s">
        <v>74</v>
      </c>
      <c r="H13711" s="174"/>
      <c r="J13711" s="149" t="s">
        <v>1906</v>
      </c>
      <c r="K13711" s="218"/>
      <c r="L13711" s="218">
        <v>62.5</v>
      </c>
    </row>
    <row r="13712" spans="1:14" x14ac:dyDescent="0.2">
      <c r="A13712" s="163">
        <v>2025</v>
      </c>
      <c r="B13712" s="163">
        <v>5</v>
      </c>
      <c r="C13712" s="163">
        <v>27</v>
      </c>
      <c r="D13712" s="280">
        <f t="shared" si="2066"/>
        <v>45804</v>
      </c>
      <c r="E13712" s="281">
        <f t="shared" si="2067"/>
        <v>45804</v>
      </c>
      <c r="F13712" s="480"/>
      <c r="G13712" s="221" t="s">
        <v>74</v>
      </c>
      <c r="H13712" s="221"/>
      <c r="I13712" s="145" t="s">
        <v>348</v>
      </c>
      <c r="J13712" s="146" t="s">
        <v>52</v>
      </c>
      <c r="K13712" s="219"/>
      <c r="L13712" s="219">
        <v>1375</v>
      </c>
    </row>
    <row r="13713" spans="1:14" x14ac:dyDescent="0.2">
      <c r="A13713" s="133">
        <v>2025</v>
      </c>
      <c r="B13713" s="133">
        <v>5</v>
      </c>
      <c r="C13713" s="133">
        <v>28</v>
      </c>
      <c r="D13713" s="141">
        <f t="shared" si="2066"/>
        <v>45805</v>
      </c>
      <c r="E13713" s="275">
        <f t="shared" si="2067"/>
        <v>45805</v>
      </c>
      <c r="F13713" s="481" t="s">
        <v>2075</v>
      </c>
      <c r="G13713" s="174" t="s">
        <v>94</v>
      </c>
      <c r="H13713" s="174"/>
      <c r="J13713" s="149" t="s">
        <v>79</v>
      </c>
      <c r="K13713" s="218">
        <v>1474300</v>
      </c>
      <c r="L13713" s="218"/>
      <c r="M13713" s="160"/>
    </row>
    <row r="13714" spans="1:14" x14ac:dyDescent="0.2">
      <c r="A13714" s="133">
        <v>2025</v>
      </c>
      <c r="B13714" s="133">
        <v>5</v>
      </c>
      <c r="C13714" s="133">
        <v>28</v>
      </c>
      <c r="D13714" s="141">
        <f t="shared" si="2066"/>
        <v>45805</v>
      </c>
      <c r="E13714" s="275">
        <f t="shared" si="2067"/>
        <v>45805</v>
      </c>
      <c r="F13714" s="481"/>
      <c r="G13714" s="174" t="s">
        <v>94</v>
      </c>
      <c r="H13714" s="174"/>
      <c r="J13714" s="149" t="s">
        <v>80</v>
      </c>
      <c r="K13714" s="218">
        <v>4499.6400000000003</v>
      </c>
      <c r="L13714" s="133"/>
      <c r="M13714" s="264"/>
      <c r="N13714" s="264"/>
    </row>
    <row r="13715" spans="1:14" x14ac:dyDescent="0.2">
      <c r="A13715" s="133">
        <v>2025</v>
      </c>
      <c r="B13715" s="133">
        <v>5</v>
      </c>
      <c r="C13715" s="133">
        <v>28</v>
      </c>
      <c r="D13715" s="141">
        <f t="shared" si="2066"/>
        <v>45805</v>
      </c>
      <c r="E13715" s="275">
        <f t="shared" si="2067"/>
        <v>45805</v>
      </c>
      <c r="F13715" s="481"/>
      <c r="G13715" s="174" t="s">
        <v>94</v>
      </c>
      <c r="H13715" s="174"/>
      <c r="J13715" s="149" t="s">
        <v>147</v>
      </c>
      <c r="K13715" s="218"/>
      <c r="L13715" s="218">
        <v>453299.64</v>
      </c>
    </row>
    <row r="13716" spans="1:14" x14ac:dyDescent="0.2">
      <c r="A13716" s="133">
        <v>2025</v>
      </c>
      <c r="B13716" s="133">
        <v>5</v>
      </c>
      <c r="C13716" s="133">
        <v>28</v>
      </c>
      <c r="D13716" s="141">
        <f t="shared" si="2066"/>
        <v>45805</v>
      </c>
      <c r="E13716" s="275">
        <f t="shared" si="2067"/>
        <v>45805</v>
      </c>
      <c r="F13716" s="481"/>
      <c r="G13716" s="174" t="s">
        <v>94</v>
      </c>
      <c r="H13716" s="174"/>
      <c r="J13716" s="149" t="s">
        <v>191</v>
      </c>
      <c r="K13716" s="218"/>
      <c r="L13716" s="218">
        <v>190553.96</v>
      </c>
    </row>
    <row r="13717" spans="1:14" x14ac:dyDescent="0.2">
      <c r="A13717" s="163">
        <v>2025</v>
      </c>
      <c r="B13717" s="163">
        <v>5</v>
      </c>
      <c r="C13717" s="163">
        <v>28</v>
      </c>
      <c r="D13717" s="280">
        <f t="shared" si="2066"/>
        <v>45805</v>
      </c>
      <c r="E13717" s="281">
        <f t="shared" si="2067"/>
        <v>45805</v>
      </c>
      <c r="F13717" s="480"/>
      <c r="G13717" s="221" t="s">
        <v>94</v>
      </c>
      <c r="H13717" s="145"/>
      <c r="I13717" s="145"/>
      <c r="J13717" s="163" t="s">
        <v>79</v>
      </c>
      <c r="K13717" s="219"/>
      <c r="L13717" s="219">
        <v>834946.04</v>
      </c>
    </row>
    <row r="13718" spans="1:14" x14ac:dyDescent="0.2">
      <c r="A13718" s="168">
        <v>2025</v>
      </c>
      <c r="B13718" s="168">
        <v>5</v>
      </c>
      <c r="C13718" s="133">
        <v>28</v>
      </c>
      <c r="D13718" s="141">
        <f t="shared" si="2066"/>
        <v>45805</v>
      </c>
      <c r="E13718" s="275">
        <f t="shared" si="2067"/>
        <v>45805</v>
      </c>
      <c r="F13718" s="479" t="s">
        <v>275</v>
      </c>
      <c r="G13718" s="174" t="s">
        <v>74</v>
      </c>
      <c r="H13718" s="174"/>
      <c r="I13718" s="148" t="s">
        <v>348</v>
      </c>
      <c r="J13718" s="149" t="s">
        <v>163</v>
      </c>
      <c r="K13718" s="218">
        <v>1575</v>
      </c>
      <c r="L13718" s="218"/>
    </row>
    <row r="13719" spans="1:14" x14ac:dyDescent="0.2">
      <c r="A13719" s="133">
        <v>2025</v>
      </c>
      <c r="B13719" s="133">
        <v>5</v>
      </c>
      <c r="C13719" s="133">
        <v>28</v>
      </c>
      <c r="D13719" s="141">
        <f t="shared" si="2066"/>
        <v>45805</v>
      </c>
      <c r="E13719" s="275">
        <f t="shared" si="2067"/>
        <v>45805</v>
      </c>
      <c r="F13719" s="481"/>
      <c r="G13719" s="174" t="s">
        <v>74</v>
      </c>
      <c r="H13719" s="174"/>
      <c r="J13719" s="149" t="s">
        <v>1907</v>
      </c>
      <c r="K13719" s="218"/>
      <c r="L13719" s="218">
        <v>150</v>
      </c>
    </row>
    <row r="13720" spans="1:14" x14ac:dyDescent="0.2">
      <c r="A13720" s="163">
        <v>2025</v>
      </c>
      <c r="B13720" s="163">
        <v>5</v>
      </c>
      <c r="C13720" s="163">
        <v>28</v>
      </c>
      <c r="D13720" s="280">
        <f t="shared" si="2066"/>
        <v>45805</v>
      </c>
      <c r="E13720" s="281">
        <f t="shared" si="2067"/>
        <v>45805</v>
      </c>
      <c r="F13720" s="480"/>
      <c r="G13720" s="221" t="s">
        <v>74</v>
      </c>
      <c r="H13720" s="221"/>
      <c r="I13720" s="145"/>
      <c r="J13720" s="146" t="s">
        <v>52</v>
      </c>
      <c r="K13720" s="219"/>
      <c r="L13720" s="219">
        <v>1425</v>
      </c>
    </row>
    <row r="13721" spans="1:14" ht="11.25" customHeight="1" x14ac:dyDescent="0.2">
      <c r="A13721" s="168">
        <v>2025</v>
      </c>
      <c r="B13721" s="133">
        <v>5</v>
      </c>
      <c r="C13721" s="168">
        <v>29</v>
      </c>
      <c r="D13721" s="141">
        <f t="shared" si="2066"/>
        <v>45806</v>
      </c>
      <c r="E13721" s="275">
        <f t="shared" si="2067"/>
        <v>45806</v>
      </c>
      <c r="F13721" s="479" t="s">
        <v>2064</v>
      </c>
      <c r="G13721" s="220" t="s">
        <v>74</v>
      </c>
      <c r="H13721" s="220"/>
      <c r="I13721" s="142"/>
      <c r="J13721" s="143" t="s">
        <v>147</v>
      </c>
      <c r="K13721" s="226">
        <v>453299.64</v>
      </c>
      <c r="L13721" s="226"/>
    </row>
    <row r="13722" spans="1:14" x14ac:dyDescent="0.2">
      <c r="A13722" s="163">
        <v>2025</v>
      </c>
      <c r="B13722" s="163">
        <v>5</v>
      </c>
      <c r="C13722" s="163">
        <v>29</v>
      </c>
      <c r="D13722" s="280">
        <f t="shared" si="2066"/>
        <v>45806</v>
      </c>
      <c r="E13722" s="281">
        <f t="shared" si="2067"/>
        <v>45806</v>
      </c>
      <c r="F13722" s="480"/>
      <c r="G13722" s="221" t="s">
        <v>74</v>
      </c>
      <c r="H13722" s="221"/>
      <c r="I13722" s="145"/>
      <c r="J13722" s="146" t="s">
        <v>52</v>
      </c>
      <c r="K13722" s="219"/>
      <c r="L13722" s="219">
        <v>453299.64</v>
      </c>
      <c r="N13722" s="264"/>
    </row>
    <row r="13723" spans="1:14" ht="11.25" customHeight="1" x14ac:dyDescent="0.2">
      <c r="A13723" s="168">
        <v>2025</v>
      </c>
      <c r="B13723" s="168">
        <v>5</v>
      </c>
      <c r="C13723" s="133">
        <v>29</v>
      </c>
      <c r="D13723" s="141">
        <f t="shared" si="2066"/>
        <v>45806</v>
      </c>
      <c r="E13723" s="275">
        <f t="shared" si="2067"/>
        <v>45806</v>
      </c>
      <c r="F13723" s="479" t="s">
        <v>1315</v>
      </c>
      <c r="G13723" s="220" t="s">
        <v>74</v>
      </c>
      <c r="H13723" s="142"/>
      <c r="I13723" s="142" t="s">
        <v>824</v>
      </c>
      <c r="J13723" s="168" t="s">
        <v>13</v>
      </c>
      <c r="K13723" s="226">
        <v>119620</v>
      </c>
      <c r="L13723" s="226"/>
    </row>
    <row r="13724" spans="1:14" ht="11.25" customHeight="1" x14ac:dyDescent="0.2">
      <c r="A13724" s="133">
        <v>2025</v>
      </c>
      <c r="B13724" s="133">
        <v>5</v>
      </c>
      <c r="C13724" s="133">
        <v>29</v>
      </c>
      <c r="D13724" s="141">
        <f t="shared" si="2066"/>
        <v>45806</v>
      </c>
      <c r="E13724" s="275">
        <f t="shared" si="2067"/>
        <v>45806</v>
      </c>
      <c r="F13724" s="481"/>
      <c r="G13724" s="174" t="s">
        <v>74</v>
      </c>
      <c r="I13724" s="148" t="s">
        <v>824</v>
      </c>
      <c r="J13724" s="133" t="s">
        <v>53</v>
      </c>
      <c r="K13724" s="218">
        <v>31089.239999999991</v>
      </c>
      <c r="L13724" s="218"/>
    </row>
    <row r="13725" spans="1:14" ht="11.25" customHeight="1" x14ac:dyDescent="0.2">
      <c r="A13725" s="163">
        <v>2025</v>
      </c>
      <c r="B13725" s="163">
        <v>5</v>
      </c>
      <c r="C13725" s="163">
        <v>29</v>
      </c>
      <c r="D13725" s="280">
        <f t="shared" si="2066"/>
        <v>45806</v>
      </c>
      <c r="E13725" s="281">
        <f t="shared" si="2067"/>
        <v>45806</v>
      </c>
      <c r="F13725" s="480"/>
      <c r="G13725" s="221" t="s">
        <v>74</v>
      </c>
      <c r="H13725" s="145"/>
      <c r="I13725" s="145" t="s">
        <v>824</v>
      </c>
      <c r="J13725" s="163" t="s">
        <v>52</v>
      </c>
      <c r="K13725" s="219"/>
      <c r="L13725" s="219">
        <v>150709.24</v>
      </c>
    </row>
    <row r="13726" spans="1:14" ht="11.25" customHeight="1" x14ac:dyDescent="0.2">
      <c r="A13726" s="168">
        <v>2025</v>
      </c>
      <c r="B13726" s="168">
        <v>5</v>
      </c>
      <c r="C13726" s="133">
        <v>29</v>
      </c>
      <c r="D13726" s="141">
        <f t="shared" ref="D13726:D13731" si="2068">DATE(A13726,B13726,C13726)</f>
        <v>45806</v>
      </c>
      <c r="E13726" s="275">
        <f t="shared" ref="E13726:E13731" si="2069">DATE(A13726,B13726,C13726)</f>
        <v>45806</v>
      </c>
      <c r="F13726" s="479" t="s">
        <v>1315</v>
      </c>
      <c r="G13726" s="220" t="s">
        <v>74</v>
      </c>
      <c r="H13726" s="142"/>
      <c r="I13726" s="142" t="s">
        <v>1484</v>
      </c>
      <c r="J13726" s="168" t="s">
        <v>13</v>
      </c>
      <c r="K13726" s="226">
        <v>4170</v>
      </c>
      <c r="L13726" s="226"/>
    </row>
    <row r="13727" spans="1:14" ht="11.25" customHeight="1" x14ac:dyDescent="0.2">
      <c r="A13727" s="133">
        <v>2025</v>
      </c>
      <c r="B13727" s="133">
        <v>5</v>
      </c>
      <c r="C13727" s="133">
        <v>29</v>
      </c>
      <c r="D13727" s="141">
        <f t="shared" si="2068"/>
        <v>45806</v>
      </c>
      <c r="E13727" s="275">
        <f t="shared" si="2069"/>
        <v>45806</v>
      </c>
      <c r="F13727" s="481"/>
      <c r="G13727" s="174" t="s">
        <v>74</v>
      </c>
      <c r="I13727" s="148" t="s">
        <v>1484</v>
      </c>
      <c r="J13727" s="133" t="s">
        <v>53</v>
      </c>
      <c r="K13727" s="218">
        <v>1083.7799999999997</v>
      </c>
      <c r="L13727" s="218"/>
    </row>
    <row r="13728" spans="1:14" ht="11.25" customHeight="1" x14ac:dyDescent="0.2">
      <c r="A13728" s="163">
        <v>2025</v>
      </c>
      <c r="B13728" s="163">
        <v>5</v>
      </c>
      <c r="C13728" s="163">
        <v>29</v>
      </c>
      <c r="D13728" s="280">
        <f t="shared" si="2068"/>
        <v>45806</v>
      </c>
      <c r="E13728" s="281">
        <f t="shared" si="2069"/>
        <v>45806</v>
      </c>
      <c r="F13728" s="480"/>
      <c r="G13728" s="221" t="s">
        <v>74</v>
      </c>
      <c r="H13728" s="145"/>
      <c r="I13728" s="145" t="s">
        <v>1484</v>
      </c>
      <c r="J13728" s="163" t="s">
        <v>52</v>
      </c>
      <c r="K13728" s="219"/>
      <c r="L13728" s="219">
        <v>5253.78</v>
      </c>
    </row>
    <row r="13729" spans="1:14" x14ac:dyDescent="0.2">
      <c r="A13729" s="168">
        <v>2025</v>
      </c>
      <c r="B13729" s="168">
        <v>5</v>
      </c>
      <c r="C13729" s="168">
        <v>29</v>
      </c>
      <c r="D13729" s="141">
        <f t="shared" si="2068"/>
        <v>45806</v>
      </c>
      <c r="E13729" s="275">
        <f t="shared" si="2069"/>
        <v>45806</v>
      </c>
      <c r="F13729" s="479" t="s">
        <v>2062</v>
      </c>
      <c r="G13729" s="220" t="s">
        <v>94</v>
      </c>
      <c r="H13729" s="220"/>
      <c r="I13729" s="142"/>
      <c r="J13729" s="143" t="s">
        <v>79</v>
      </c>
      <c r="K13729" s="226">
        <v>2585650.2000000002</v>
      </c>
      <c r="L13729" s="226"/>
      <c r="M13729" s="160"/>
    </row>
    <row r="13730" spans="1:14" x14ac:dyDescent="0.2">
      <c r="A13730" s="133">
        <v>2025</v>
      </c>
      <c r="B13730" s="133">
        <v>5</v>
      </c>
      <c r="C13730" s="133">
        <v>29</v>
      </c>
      <c r="D13730" s="141">
        <f t="shared" si="2068"/>
        <v>45806</v>
      </c>
      <c r="E13730" s="275">
        <f t="shared" si="2069"/>
        <v>45806</v>
      </c>
      <c r="F13730" s="481"/>
      <c r="G13730" s="174" t="s">
        <v>94</v>
      </c>
      <c r="H13730" s="174"/>
      <c r="J13730" s="149" t="s">
        <v>80</v>
      </c>
      <c r="K13730" s="218">
        <v>4654.17</v>
      </c>
      <c r="L13730" s="133"/>
    </row>
    <row r="13731" spans="1:14" x14ac:dyDescent="0.2">
      <c r="A13731" s="163">
        <v>2025</v>
      </c>
      <c r="B13731" s="163">
        <v>5</v>
      </c>
      <c r="C13731" s="163">
        <v>29</v>
      </c>
      <c r="D13731" s="280">
        <f t="shared" si="2068"/>
        <v>45806</v>
      </c>
      <c r="E13731" s="281">
        <f t="shared" si="2069"/>
        <v>45806</v>
      </c>
      <c r="F13731" s="480"/>
      <c r="G13731" s="221" t="s">
        <v>94</v>
      </c>
      <c r="H13731" s="221"/>
      <c r="I13731" s="145"/>
      <c r="J13731" s="146" t="s">
        <v>147</v>
      </c>
      <c r="K13731" s="219"/>
      <c r="L13731" s="219">
        <v>2590304.37</v>
      </c>
    </row>
    <row r="13732" spans="1:14" x14ac:dyDescent="0.2">
      <c r="A13732" s="168">
        <v>2025</v>
      </c>
      <c r="B13732" s="168">
        <v>5</v>
      </c>
      <c r="C13732" s="168">
        <v>29</v>
      </c>
      <c r="D13732" s="141">
        <f t="shared" ref="D13732:D13736" si="2070">DATE(A13732,B13732,C13732)</f>
        <v>45806</v>
      </c>
      <c r="E13732" s="275">
        <f t="shared" ref="E13732:E13736" si="2071">DATE(A13732,B13732,C13732)</f>
        <v>45806</v>
      </c>
      <c r="F13732" s="479" t="s">
        <v>1979</v>
      </c>
      <c r="G13732" s="220" t="s">
        <v>94</v>
      </c>
      <c r="H13732" s="220"/>
      <c r="I13732" s="142"/>
      <c r="J13732" s="143" t="s">
        <v>79</v>
      </c>
      <c r="K13732" s="226">
        <v>509825</v>
      </c>
      <c r="L13732" s="226"/>
      <c r="M13732" s="160"/>
    </row>
    <row r="13733" spans="1:14" x14ac:dyDescent="0.2">
      <c r="A13733" s="133">
        <v>2025</v>
      </c>
      <c r="B13733" s="133">
        <v>5</v>
      </c>
      <c r="C13733" s="133">
        <v>29</v>
      </c>
      <c r="D13733" s="141">
        <f t="shared" si="2070"/>
        <v>45806</v>
      </c>
      <c r="E13733" s="275">
        <f t="shared" si="2071"/>
        <v>45806</v>
      </c>
      <c r="F13733" s="481"/>
      <c r="G13733" s="174" t="s">
        <v>94</v>
      </c>
      <c r="H13733" s="174"/>
      <c r="J13733" s="149" t="s">
        <v>80</v>
      </c>
      <c r="K13733" s="218">
        <v>917.68</v>
      </c>
      <c r="L13733" s="133"/>
    </row>
    <row r="13734" spans="1:14" x14ac:dyDescent="0.2">
      <c r="A13734" s="163">
        <v>2025</v>
      </c>
      <c r="B13734" s="163">
        <v>5</v>
      </c>
      <c r="C13734" s="163">
        <v>29</v>
      </c>
      <c r="D13734" s="280">
        <f t="shared" si="2070"/>
        <v>45806</v>
      </c>
      <c r="E13734" s="281">
        <f t="shared" si="2071"/>
        <v>45806</v>
      </c>
      <c r="F13734" s="480"/>
      <c r="G13734" s="221" t="s">
        <v>94</v>
      </c>
      <c r="H13734" s="221"/>
      <c r="I13734" s="145"/>
      <c r="J13734" s="146" t="s">
        <v>147</v>
      </c>
      <c r="K13734" s="219"/>
      <c r="L13734" s="219">
        <v>510742.68</v>
      </c>
    </row>
    <row r="13735" spans="1:14" ht="11.25" customHeight="1" x14ac:dyDescent="0.2">
      <c r="A13735" s="168">
        <v>2025</v>
      </c>
      <c r="B13735" s="133">
        <v>5</v>
      </c>
      <c r="C13735" s="168">
        <v>29</v>
      </c>
      <c r="D13735" s="141">
        <f t="shared" si="2070"/>
        <v>45806</v>
      </c>
      <c r="E13735" s="275">
        <f t="shared" si="2071"/>
        <v>45806</v>
      </c>
      <c r="F13735" s="479" t="s">
        <v>2037</v>
      </c>
      <c r="G13735" s="220" t="s">
        <v>74</v>
      </c>
      <c r="H13735" s="220"/>
      <c r="I13735" s="142"/>
      <c r="J13735" s="143" t="s">
        <v>52</v>
      </c>
      <c r="K13735" s="226">
        <v>464323.11</v>
      </c>
      <c r="L13735" s="226"/>
    </row>
    <row r="13736" spans="1:14" x14ac:dyDescent="0.2">
      <c r="A13736" s="163">
        <v>2025</v>
      </c>
      <c r="B13736" s="163">
        <v>5</v>
      </c>
      <c r="C13736" s="163">
        <v>29</v>
      </c>
      <c r="D13736" s="280">
        <f t="shared" si="2070"/>
        <v>45806</v>
      </c>
      <c r="E13736" s="281">
        <f t="shared" si="2071"/>
        <v>45806</v>
      </c>
      <c r="F13736" s="480"/>
      <c r="G13736" s="221" t="s">
        <v>74</v>
      </c>
      <c r="H13736" s="221"/>
      <c r="I13736" s="145"/>
      <c r="J13736" s="146" t="s">
        <v>190</v>
      </c>
      <c r="K13736" s="219"/>
      <c r="L13736" s="219">
        <v>464323.11</v>
      </c>
      <c r="N13736" s="264"/>
    </row>
    <row r="13737" spans="1:14" x14ac:dyDescent="0.2">
      <c r="A13737" s="325">
        <v>2025</v>
      </c>
      <c r="B13737" s="325">
        <v>5</v>
      </c>
      <c r="C13737" s="325">
        <v>29</v>
      </c>
      <c r="D13737" s="326">
        <f t="shared" si="2066"/>
        <v>45806</v>
      </c>
      <c r="E13737" s="327">
        <f t="shared" si="2067"/>
        <v>45806</v>
      </c>
      <c r="F13737" s="473" t="s">
        <v>1940</v>
      </c>
      <c r="G13737" s="340" t="s">
        <v>94</v>
      </c>
      <c r="H13737" s="340"/>
      <c r="I13737" s="341" t="s">
        <v>348</v>
      </c>
      <c r="J13737" s="374" t="s">
        <v>133</v>
      </c>
      <c r="K13737" s="375">
        <v>12905.56</v>
      </c>
      <c r="L13737" s="375"/>
      <c r="M13737" s="176"/>
    </row>
    <row r="13738" spans="1:14" x14ac:dyDescent="0.2">
      <c r="A13738" s="331">
        <v>2025</v>
      </c>
      <c r="B13738" s="331">
        <v>5</v>
      </c>
      <c r="C13738" s="331">
        <v>29</v>
      </c>
      <c r="D13738" s="326">
        <f t="shared" si="2066"/>
        <v>45806</v>
      </c>
      <c r="E13738" s="327">
        <f t="shared" si="2067"/>
        <v>45806</v>
      </c>
      <c r="F13738" s="474"/>
      <c r="G13738" s="332" t="s">
        <v>94</v>
      </c>
      <c r="H13738" s="332"/>
      <c r="I13738" s="333" t="s">
        <v>348</v>
      </c>
      <c r="J13738" s="376" t="s">
        <v>60</v>
      </c>
      <c r="K13738" s="334"/>
      <c r="L13738" s="334">
        <f>K13737</f>
        <v>12905.56</v>
      </c>
    </row>
    <row r="13739" spans="1:14" x14ac:dyDescent="0.2">
      <c r="A13739" s="384">
        <v>2025</v>
      </c>
      <c r="B13739" s="384">
        <v>5</v>
      </c>
      <c r="C13739" s="384">
        <v>29</v>
      </c>
      <c r="D13739" s="385">
        <f t="shared" si="2066"/>
        <v>45806</v>
      </c>
      <c r="E13739" s="386">
        <f t="shared" si="2067"/>
        <v>45806</v>
      </c>
      <c r="F13739" s="475" t="s">
        <v>1966</v>
      </c>
      <c r="G13739" s="387" t="s">
        <v>94</v>
      </c>
      <c r="H13739" s="387"/>
      <c r="I13739" s="388" t="s">
        <v>348</v>
      </c>
      <c r="J13739" s="389" t="s">
        <v>67</v>
      </c>
      <c r="K13739" s="390">
        <v>20109.32</v>
      </c>
      <c r="L13739" s="390"/>
    </row>
    <row r="13740" spans="1:14" x14ac:dyDescent="0.2">
      <c r="A13740" s="391">
        <v>2025</v>
      </c>
      <c r="B13740" s="391">
        <v>5</v>
      </c>
      <c r="C13740" s="391">
        <v>29</v>
      </c>
      <c r="D13740" s="385">
        <f t="shared" si="2066"/>
        <v>45806</v>
      </c>
      <c r="E13740" s="386">
        <f t="shared" si="2067"/>
        <v>45806</v>
      </c>
      <c r="F13740" s="476"/>
      <c r="G13740" s="392" t="s">
        <v>94</v>
      </c>
      <c r="H13740" s="392"/>
      <c r="I13740" s="393" t="s">
        <v>348</v>
      </c>
      <c r="J13740" s="394" t="s">
        <v>60</v>
      </c>
      <c r="K13740" s="395"/>
      <c r="L13740" s="395">
        <f>K13739</f>
        <v>20109.32</v>
      </c>
    </row>
    <row r="13741" spans="1:14" x14ac:dyDescent="0.2">
      <c r="A13741" s="343">
        <v>2025</v>
      </c>
      <c r="B13741" s="343">
        <v>5</v>
      </c>
      <c r="C13741" s="343">
        <v>29</v>
      </c>
      <c r="D13741" s="344">
        <f t="shared" si="2066"/>
        <v>45806</v>
      </c>
      <c r="E13741" s="345">
        <f t="shared" si="2067"/>
        <v>45806</v>
      </c>
      <c r="F13741" s="483" t="s">
        <v>1813</v>
      </c>
      <c r="G13741" s="350" t="s">
        <v>94</v>
      </c>
      <c r="H13741" s="350"/>
      <c r="I13741" s="352" t="s">
        <v>348</v>
      </c>
      <c r="J13741" s="353" t="s">
        <v>1807</v>
      </c>
      <c r="K13741" s="354">
        <v>0</v>
      </c>
      <c r="L13741" s="354"/>
      <c r="M13741" s="133">
        <v>0</v>
      </c>
    </row>
    <row r="13742" spans="1:14" x14ac:dyDescent="0.2">
      <c r="A13742" s="346">
        <v>2025</v>
      </c>
      <c r="B13742" s="346">
        <v>5</v>
      </c>
      <c r="C13742" s="346">
        <v>29</v>
      </c>
      <c r="D13742" s="344">
        <f t="shared" si="2066"/>
        <v>45806</v>
      </c>
      <c r="E13742" s="345">
        <f t="shared" si="2067"/>
        <v>45806</v>
      </c>
      <c r="F13742" s="484"/>
      <c r="G13742" s="347" t="s">
        <v>94</v>
      </c>
      <c r="H13742" s="347"/>
      <c r="I13742" s="348" t="s">
        <v>348</v>
      </c>
      <c r="J13742" s="355" t="s">
        <v>1798</v>
      </c>
      <c r="K13742" s="349"/>
      <c r="L13742" s="349">
        <v>0</v>
      </c>
    </row>
    <row r="13743" spans="1:14" x14ac:dyDescent="0.2">
      <c r="A13743" s="343">
        <v>2025</v>
      </c>
      <c r="B13743" s="343">
        <v>5</v>
      </c>
      <c r="C13743" s="343">
        <v>29</v>
      </c>
      <c r="D13743" s="344">
        <f t="shared" si="2066"/>
        <v>45806</v>
      </c>
      <c r="E13743" s="345">
        <f t="shared" si="2067"/>
        <v>45806</v>
      </c>
      <c r="F13743" s="483" t="s">
        <v>1913</v>
      </c>
      <c r="G13743" s="350" t="s">
        <v>94</v>
      </c>
      <c r="H13743" s="350"/>
      <c r="I13743" s="352" t="s">
        <v>348</v>
      </c>
      <c r="J13743" s="353" t="s">
        <v>1799</v>
      </c>
      <c r="K13743" s="354">
        <v>108195.24000000209</v>
      </c>
      <c r="L13743" s="354"/>
      <c r="M13743" s="133">
        <v>0</v>
      </c>
    </row>
    <row r="13744" spans="1:14" x14ac:dyDescent="0.2">
      <c r="A13744" s="346">
        <v>2025</v>
      </c>
      <c r="B13744" s="346">
        <v>5</v>
      </c>
      <c r="C13744" s="346">
        <v>29</v>
      </c>
      <c r="D13744" s="344">
        <f t="shared" si="2066"/>
        <v>45806</v>
      </c>
      <c r="E13744" s="345">
        <f t="shared" si="2067"/>
        <v>45806</v>
      </c>
      <c r="F13744" s="484"/>
      <c r="G13744" s="347" t="s">
        <v>94</v>
      </c>
      <c r="H13744" s="347"/>
      <c r="I13744" s="348" t="s">
        <v>348</v>
      </c>
      <c r="J13744" s="355" t="s">
        <v>1808</v>
      </c>
      <c r="K13744" s="349"/>
      <c r="L13744" s="349">
        <f>K13743</f>
        <v>108195.24000000209</v>
      </c>
    </row>
    <row r="13745" spans="1:14" x14ac:dyDescent="0.2">
      <c r="A13745" s="238">
        <v>2025</v>
      </c>
      <c r="B13745" s="238">
        <v>5</v>
      </c>
      <c r="C13745" s="238">
        <v>29</v>
      </c>
      <c r="D13745" s="270">
        <f t="shared" si="2066"/>
        <v>45806</v>
      </c>
      <c r="E13745" s="279">
        <f t="shared" si="2067"/>
        <v>45806</v>
      </c>
      <c r="F13745" s="477" t="s">
        <v>347</v>
      </c>
      <c r="G13745" s="239" t="s">
        <v>94</v>
      </c>
      <c r="H13745" s="239"/>
      <c r="I13745" s="262" t="s">
        <v>348</v>
      </c>
      <c r="J13745" s="240" t="s">
        <v>82</v>
      </c>
      <c r="K13745" s="241">
        <v>2252733.8500000238</v>
      </c>
      <c r="L13745" s="241"/>
      <c r="M13745" s="133">
        <v>13139541.900000483</v>
      </c>
    </row>
    <row r="13746" spans="1:14" x14ac:dyDescent="0.2">
      <c r="A13746" s="242">
        <v>2025</v>
      </c>
      <c r="B13746" s="242">
        <v>5</v>
      </c>
      <c r="C13746" s="242">
        <v>29</v>
      </c>
      <c r="D13746" s="270">
        <f t="shared" si="2066"/>
        <v>45806</v>
      </c>
      <c r="E13746" s="279">
        <f t="shared" si="2067"/>
        <v>45806</v>
      </c>
      <c r="F13746" s="478"/>
      <c r="G13746" s="243" t="s">
        <v>94</v>
      </c>
      <c r="H13746" s="243"/>
      <c r="I13746" s="263" t="s">
        <v>348</v>
      </c>
      <c r="J13746" s="244" t="s">
        <v>108</v>
      </c>
      <c r="K13746" s="245"/>
      <c r="L13746" s="245">
        <f>K13745</f>
        <v>2252733.8500000238</v>
      </c>
    </row>
    <row r="13747" spans="1:14" ht="12" customHeight="1" x14ac:dyDescent="0.2">
      <c r="A13747" s="246">
        <v>2025</v>
      </c>
      <c r="B13747" s="238">
        <v>5</v>
      </c>
      <c r="C13747" s="238">
        <v>29</v>
      </c>
      <c r="D13747" s="270">
        <f t="shared" si="2066"/>
        <v>45806</v>
      </c>
      <c r="E13747" s="279">
        <f t="shared" si="2067"/>
        <v>45806</v>
      </c>
      <c r="F13747" s="482" t="s">
        <v>148</v>
      </c>
      <c r="G13747" s="247" t="s">
        <v>94</v>
      </c>
      <c r="H13747" s="247"/>
      <c r="I13747" s="248" t="s">
        <v>348</v>
      </c>
      <c r="J13747" s="249" t="s">
        <v>95</v>
      </c>
      <c r="K13747" s="250">
        <v>2747.2527472527472</v>
      </c>
      <c r="L13747" s="241"/>
      <c r="M13747" s="176"/>
    </row>
    <row r="13748" spans="1:14" x14ac:dyDescent="0.2">
      <c r="A13748" s="242">
        <v>2025</v>
      </c>
      <c r="B13748" s="242">
        <v>5</v>
      </c>
      <c r="C13748" s="242">
        <v>29</v>
      </c>
      <c r="D13748" s="270">
        <f t="shared" si="2066"/>
        <v>45806</v>
      </c>
      <c r="E13748" s="279">
        <f t="shared" si="2067"/>
        <v>45806</v>
      </c>
      <c r="F13748" s="478"/>
      <c r="G13748" s="243" t="s">
        <v>94</v>
      </c>
      <c r="H13748" s="243"/>
      <c r="I13748" s="263" t="s">
        <v>348</v>
      </c>
      <c r="J13748" s="244" t="s">
        <v>63</v>
      </c>
      <c r="K13748" s="245"/>
      <c r="L13748" s="245">
        <f>K13747</f>
        <v>2747.2527472527472</v>
      </c>
    </row>
    <row r="13749" spans="1:14" x14ac:dyDescent="0.2">
      <c r="A13749" s="246">
        <v>2025</v>
      </c>
      <c r="B13749" s="238">
        <v>5</v>
      </c>
      <c r="C13749" s="238">
        <v>29</v>
      </c>
      <c r="D13749" s="270">
        <f t="shared" si="2066"/>
        <v>45806</v>
      </c>
      <c r="E13749" s="279">
        <f t="shared" si="2067"/>
        <v>45806</v>
      </c>
      <c r="F13749" s="482" t="s">
        <v>137</v>
      </c>
      <c r="G13749" s="247" t="s">
        <v>94</v>
      </c>
      <c r="H13749" s="247"/>
      <c r="I13749" s="248" t="s">
        <v>348</v>
      </c>
      <c r="J13749" s="249" t="s">
        <v>97</v>
      </c>
      <c r="K13749" s="250">
        <f>M13749</f>
        <v>56526.610487126032</v>
      </c>
      <c r="L13749" s="252"/>
      <c r="M13749" s="133">
        <v>56526.610487126032</v>
      </c>
    </row>
    <row r="13750" spans="1:14" x14ac:dyDescent="0.2">
      <c r="A13750" s="242">
        <v>2025</v>
      </c>
      <c r="B13750" s="242">
        <v>5</v>
      </c>
      <c r="C13750" s="242">
        <v>29</v>
      </c>
      <c r="D13750" s="270">
        <f t="shared" si="2066"/>
        <v>45806</v>
      </c>
      <c r="E13750" s="279">
        <f t="shared" si="2067"/>
        <v>45806</v>
      </c>
      <c r="F13750" s="478"/>
      <c r="G13750" s="243" t="s">
        <v>94</v>
      </c>
      <c r="H13750" s="243"/>
      <c r="I13750" s="263" t="s">
        <v>348</v>
      </c>
      <c r="J13750" s="244" t="s">
        <v>47</v>
      </c>
      <c r="K13750" s="245"/>
      <c r="L13750" s="245">
        <f>K13749</f>
        <v>56526.610487126032</v>
      </c>
      <c r="M13750" s="133">
        <v>2585.9459089716861</v>
      </c>
    </row>
    <row r="13751" spans="1:14" x14ac:dyDescent="0.2">
      <c r="A13751" s="246">
        <v>2025</v>
      </c>
      <c r="B13751" s="238">
        <v>5</v>
      </c>
      <c r="C13751" s="238">
        <v>29</v>
      </c>
      <c r="D13751" s="270">
        <f t="shared" si="2066"/>
        <v>45806</v>
      </c>
      <c r="E13751" s="279">
        <f t="shared" si="2067"/>
        <v>45806</v>
      </c>
      <c r="F13751" s="482" t="s">
        <v>138</v>
      </c>
      <c r="G13751" s="247" t="s">
        <v>94</v>
      </c>
      <c r="H13751" s="247"/>
      <c r="I13751" s="248" t="s">
        <v>348</v>
      </c>
      <c r="J13751" s="249" t="s">
        <v>100</v>
      </c>
      <c r="K13751" s="250">
        <f>M13750</f>
        <v>2585.9459089716861</v>
      </c>
      <c r="L13751" s="252"/>
    </row>
    <row r="13752" spans="1:14" x14ac:dyDescent="0.2">
      <c r="A13752" s="242">
        <v>2025</v>
      </c>
      <c r="B13752" s="242">
        <v>5</v>
      </c>
      <c r="C13752" s="242">
        <v>29</v>
      </c>
      <c r="D13752" s="321">
        <f t="shared" si="2066"/>
        <v>45806</v>
      </c>
      <c r="E13752" s="322">
        <f t="shared" si="2067"/>
        <v>45806</v>
      </c>
      <c r="F13752" s="478"/>
      <c r="G13752" s="243" t="s">
        <v>94</v>
      </c>
      <c r="H13752" s="243"/>
      <c r="I13752" s="263" t="s">
        <v>348</v>
      </c>
      <c r="J13752" s="244" t="s">
        <v>48</v>
      </c>
      <c r="K13752" s="245"/>
      <c r="L13752" s="245">
        <f>K13751</f>
        <v>2585.9459089716861</v>
      </c>
    </row>
    <row r="13753" spans="1:14" x14ac:dyDescent="0.2">
      <c r="A13753" s="168">
        <v>2025</v>
      </c>
      <c r="B13753" s="168">
        <v>6</v>
      </c>
      <c r="C13753" s="168">
        <v>1</v>
      </c>
      <c r="D13753" s="141">
        <f t="shared" si="2066"/>
        <v>45809</v>
      </c>
      <c r="E13753" s="275">
        <f t="shared" si="2067"/>
        <v>45809</v>
      </c>
      <c r="F13753" s="479" t="s">
        <v>2062</v>
      </c>
      <c r="G13753" s="220" t="s">
        <v>94</v>
      </c>
      <c r="H13753" s="220"/>
      <c r="I13753" s="142"/>
      <c r="J13753" s="143" t="s">
        <v>79</v>
      </c>
      <c r="K13753" s="226">
        <v>1153320</v>
      </c>
      <c r="L13753" s="226"/>
      <c r="M13753" s="160"/>
    </row>
    <row r="13754" spans="1:14" x14ac:dyDescent="0.2">
      <c r="A13754" s="133">
        <v>2025</v>
      </c>
      <c r="B13754" s="133">
        <v>6</v>
      </c>
      <c r="C13754" s="133">
        <v>1</v>
      </c>
      <c r="D13754" s="141">
        <f t="shared" si="2066"/>
        <v>45809</v>
      </c>
      <c r="E13754" s="275">
        <f t="shared" si="2067"/>
        <v>45809</v>
      </c>
      <c r="F13754" s="481"/>
      <c r="G13754" s="174" t="s">
        <v>94</v>
      </c>
      <c r="H13754" s="174"/>
      <c r="J13754" s="149" t="s">
        <v>80</v>
      </c>
      <c r="K13754" s="218">
        <v>2075.98</v>
      </c>
      <c r="L13754" s="133"/>
    </row>
    <row r="13755" spans="1:14" x14ac:dyDescent="0.2">
      <c r="A13755" s="163">
        <v>2025</v>
      </c>
      <c r="B13755" s="163">
        <v>6</v>
      </c>
      <c r="C13755" s="163">
        <v>1</v>
      </c>
      <c r="D13755" s="280">
        <f t="shared" si="2066"/>
        <v>45809</v>
      </c>
      <c r="E13755" s="281">
        <f t="shared" si="2067"/>
        <v>45809</v>
      </c>
      <c r="F13755" s="480"/>
      <c r="G13755" s="221" t="s">
        <v>94</v>
      </c>
      <c r="H13755" s="221"/>
      <c r="I13755" s="145"/>
      <c r="J13755" s="146" t="s">
        <v>147</v>
      </c>
      <c r="K13755" s="219"/>
      <c r="L13755" s="219">
        <v>1155395.98</v>
      </c>
    </row>
    <row r="13756" spans="1:14" x14ac:dyDescent="0.2">
      <c r="A13756" s="168">
        <v>2025</v>
      </c>
      <c r="B13756" s="168">
        <v>6</v>
      </c>
      <c r="C13756" s="168">
        <v>1</v>
      </c>
      <c r="D13756" s="141">
        <f t="shared" si="2066"/>
        <v>45809</v>
      </c>
      <c r="E13756" s="275">
        <f t="shared" si="2067"/>
        <v>45809</v>
      </c>
      <c r="F13756" s="479" t="s">
        <v>1979</v>
      </c>
      <c r="G13756" s="220" t="s">
        <v>94</v>
      </c>
      <c r="H13756" s="220"/>
      <c r="I13756" s="142"/>
      <c r="J13756" s="143" t="s">
        <v>79</v>
      </c>
      <c r="K13756" s="226">
        <v>1810450</v>
      </c>
      <c r="L13756" s="226"/>
      <c r="M13756" s="160"/>
    </row>
    <row r="13757" spans="1:14" x14ac:dyDescent="0.2">
      <c r="A13757" s="133">
        <v>2025</v>
      </c>
      <c r="B13757" s="133">
        <v>6</v>
      </c>
      <c r="C13757" s="133">
        <v>1</v>
      </c>
      <c r="D13757" s="141">
        <f t="shared" si="2066"/>
        <v>45809</v>
      </c>
      <c r="E13757" s="275">
        <f t="shared" si="2067"/>
        <v>45809</v>
      </c>
      <c r="F13757" s="481"/>
      <c r="G13757" s="174" t="s">
        <v>94</v>
      </c>
      <c r="H13757" s="174"/>
      <c r="J13757" s="149" t="s">
        <v>80</v>
      </c>
      <c r="K13757" s="218">
        <v>3258.81</v>
      </c>
      <c r="L13757" s="133"/>
    </row>
    <row r="13758" spans="1:14" x14ac:dyDescent="0.2">
      <c r="A13758" s="163">
        <v>2025</v>
      </c>
      <c r="B13758" s="163">
        <v>6</v>
      </c>
      <c r="C13758" s="163">
        <v>1</v>
      </c>
      <c r="D13758" s="280">
        <f t="shared" si="2066"/>
        <v>45809</v>
      </c>
      <c r="E13758" s="281">
        <f t="shared" si="2067"/>
        <v>45809</v>
      </c>
      <c r="F13758" s="480"/>
      <c r="G13758" s="221" t="s">
        <v>94</v>
      </c>
      <c r="H13758" s="221"/>
      <c r="I13758" s="145"/>
      <c r="J13758" s="146" t="s">
        <v>147</v>
      </c>
      <c r="K13758" s="219"/>
      <c r="L13758" s="219">
        <v>1813708.81</v>
      </c>
    </row>
    <row r="13759" spans="1:14" ht="11.25" customHeight="1" x14ac:dyDescent="0.2">
      <c r="A13759" s="168">
        <v>2025</v>
      </c>
      <c r="B13759" s="133">
        <v>6</v>
      </c>
      <c r="C13759" s="168">
        <v>1</v>
      </c>
      <c r="D13759" s="141">
        <f t="shared" ref="D13759:D13760" si="2072">DATE(A13759,B13759,C13759)</f>
        <v>45809</v>
      </c>
      <c r="E13759" s="275">
        <f t="shared" ref="E13759:E13760" si="2073">DATE(A13759,B13759,C13759)</f>
        <v>45809</v>
      </c>
      <c r="F13759" s="479" t="s">
        <v>2002</v>
      </c>
      <c r="G13759" s="220" t="s">
        <v>74</v>
      </c>
      <c r="H13759" s="220"/>
      <c r="I13759" s="142"/>
      <c r="J13759" s="143" t="s">
        <v>147</v>
      </c>
      <c r="K13759" s="226">
        <v>510742.68</v>
      </c>
      <c r="L13759" s="226"/>
    </row>
    <row r="13760" spans="1:14" x14ac:dyDescent="0.2">
      <c r="A13760" s="163">
        <v>2025</v>
      </c>
      <c r="B13760" s="163">
        <v>6</v>
      </c>
      <c r="C13760" s="163">
        <v>1</v>
      </c>
      <c r="D13760" s="280">
        <f t="shared" si="2072"/>
        <v>45809</v>
      </c>
      <c r="E13760" s="281">
        <f t="shared" si="2073"/>
        <v>45809</v>
      </c>
      <c r="F13760" s="480"/>
      <c r="G13760" s="221" t="s">
        <v>74</v>
      </c>
      <c r="H13760" s="221"/>
      <c r="I13760" s="145"/>
      <c r="J13760" s="146" t="s">
        <v>52</v>
      </c>
      <c r="K13760" s="219"/>
      <c r="L13760" s="219">
        <v>510742.68</v>
      </c>
      <c r="N13760" s="264"/>
    </row>
    <row r="13761" spans="1:17" ht="11.25" customHeight="1" x14ac:dyDescent="0.2">
      <c r="A13761" s="168">
        <v>2025</v>
      </c>
      <c r="B13761" s="133">
        <v>6</v>
      </c>
      <c r="C13761" s="168">
        <v>1</v>
      </c>
      <c r="D13761" s="141">
        <f t="shared" ref="D13761:D13767" si="2074">DATE(A13761,B13761,C13761)</f>
        <v>45809</v>
      </c>
      <c r="E13761" s="275">
        <f t="shared" ref="E13761:E13767" si="2075">DATE(A13761,B13761,C13761)</f>
        <v>45809</v>
      </c>
      <c r="F13761" s="479" t="s">
        <v>2064</v>
      </c>
      <c r="G13761" s="220" t="s">
        <v>74</v>
      </c>
      <c r="H13761" s="220"/>
      <c r="I13761" s="142"/>
      <c r="J13761" s="143" t="s">
        <v>147</v>
      </c>
      <c r="K13761" s="226">
        <v>2590304.37</v>
      </c>
      <c r="L13761" s="226"/>
    </row>
    <row r="13762" spans="1:17" x14ac:dyDescent="0.2">
      <c r="A13762" s="163">
        <v>2025</v>
      </c>
      <c r="B13762" s="163">
        <v>6</v>
      </c>
      <c r="C13762" s="163">
        <v>1</v>
      </c>
      <c r="D13762" s="280">
        <f t="shared" si="2074"/>
        <v>45809</v>
      </c>
      <c r="E13762" s="281">
        <f t="shared" si="2075"/>
        <v>45809</v>
      </c>
      <c r="F13762" s="480"/>
      <c r="G13762" s="221" t="s">
        <v>74</v>
      </c>
      <c r="H13762" s="221"/>
      <c r="I13762" s="145"/>
      <c r="J13762" s="146" t="s">
        <v>52</v>
      </c>
      <c r="K13762" s="219"/>
      <c r="L13762" s="219">
        <v>2590304.37</v>
      </c>
      <c r="N13762" s="264"/>
    </row>
    <row r="13763" spans="1:17" x14ac:dyDescent="0.2">
      <c r="A13763" s="168">
        <v>2025</v>
      </c>
      <c r="B13763" s="133">
        <v>6</v>
      </c>
      <c r="C13763" s="168">
        <v>1</v>
      </c>
      <c r="D13763" s="141">
        <f t="shared" si="2074"/>
        <v>45809</v>
      </c>
      <c r="E13763" s="275">
        <f t="shared" si="2075"/>
        <v>45809</v>
      </c>
      <c r="F13763" s="479" t="s">
        <v>243</v>
      </c>
      <c r="G13763" s="220" t="s">
        <v>74</v>
      </c>
      <c r="H13763" s="220"/>
      <c r="I13763" s="142" t="s">
        <v>348</v>
      </c>
      <c r="J13763" s="143" t="s">
        <v>79</v>
      </c>
      <c r="K13763" s="226">
        <v>1551000</v>
      </c>
      <c r="L13763" s="226"/>
      <c r="Q13763" s="133" t="s">
        <v>431</v>
      </c>
    </row>
    <row r="13764" spans="1:17" x14ac:dyDescent="0.2">
      <c r="A13764" s="163">
        <v>2025</v>
      </c>
      <c r="B13764" s="163">
        <v>6</v>
      </c>
      <c r="C13764" s="163">
        <v>1</v>
      </c>
      <c r="D13764" s="141">
        <f t="shared" si="2074"/>
        <v>45809</v>
      </c>
      <c r="E13764" s="275">
        <f t="shared" si="2075"/>
        <v>45809</v>
      </c>
      <c r="F13764" s="480"/>
      <c r="G13764" s="221" t="s">
        <v>74</v>
      </c>
      <c r="H13764" s="221"/>
      <c r="I13764" s="145" t="s">
        <v>348</v>
      </c>
      <c r="J13764" s="146" t="s">
        <v>52</v>
      </c>
      <c r="K13764" s="219"/>
      <c r="L13764" s="219">
        <v>1551000</v>
      </c>
      <c r="Q13764" s="133" t="s">
        <v>497</v>
      </c>
    </row>
    <row r="13765" spans="1:17" x14ac:dyDescent="0.2">
      <c r="A13765" s="168">
        <v>2025</v>
      </c>
      <c r="B13765" s="168">
        <v>6</v>
      </c>
      <c r="C13765" s="168">
        <v>1</v>
      </c>
      <c r="D13765" s="141">
        <f t="shared" si="2074"/>
        <v>45809</v>
      </c>
      <c r="E13765" s="275">
        <f t="shared" si="2075"/>
        <v>45809</v>
      </c>
      <c r="F13765" s="479" t="s">
        <v>2078</v>
      </c>
      <c r="G13765" s="174" t="s">
        <v>74</v>
      </c>
      <c r="I13765" s="148" t="s">
        <v>348</v>
      </c>
      <c r="J13765" s="133" t="s">
        <v>47</v>
      </c>
      <c r="K13765" s="172">
        <v>120000</v>
      </c>
    </row>
    <row r="13766" spans="1:17" x14ac:dyDescent="0.2">
      <c r="A13766" s="133">
        <v>2025</v>
      </c>
      <c r="B13766" s="133">
        <v>6</v>
      </c>
      <c r="C13766" s="133">
        <v>1</v>
      </c>
      <c r="D13766" s="141">
        <f t="shared" si="2074"/>
        <v>45809</v>
      </c>
      <c r="E13766" s="275">
        <f t="shared" si="2075"/>
        <v>45809</v>
      </c>
      <c r="F13766" s="481"/>
      <c r="G13766" s="174" t="s">
        <v>74</v>
      </c>
      <c r="J13766" s="133" t="s">
        <v>534</v>
      </c>
      <c r="K13766" s="218"/>
      <c r="L13766" s="218">
        <v>18000</v>
      </c>
      <c r="N13766" s="264"/>
    </row>
    <row r="13767" spans="1:17" x14ac:dyDescent="0.2">
      <c r="A13767" s="163">
        <v>2025</v>
      </c>
      <c r="B13767" s="163">
        <v>6</v>
      </c>
      <c r="C13767" s="163">
        <v>1</v>
      </c>
      <c r="D13767" s="280">
        <f t="shared" si="2074"/>
        <v>45809</v>
      </c>
      <c r="E13767" s="281">
        <f t="shared" si="2075"/>
        <v>45809</v>
      </c>
      <c r="F13767" s="480"/>
      <c r="G13767" s="221" t="s">
        <v>74</v>
      </c>
      <c r="H13767" s="145"/>
      <c r="I13767" s="145" t="s">
        <v>348</v>
      </c>
      <c r="J13767" s="163" t="s">
        <v>52</v>
      </c>
      <c r="K13767" s="219"/>
      <c r="L13767" s="219">
        <v>102000</v>
      </c>
    </row>
    <row r="13768" spans="1:17" x14ac:dyDescent="0.2">
      <c r="A13768" s="133">
        <v>2025</v>
      </c>
      <c r="B13768" s="133">
        <v>6</v>
      </c>
      <c r="C13768" s="133">
        <v>2</v>
      </c>
      <c r="D13768" s="141">
        <f t="shared" ref="D13768:D13775" si="2076">DATE(A13768,B13768,C13768)</f>
        <v>45810</v>
      </c>
      <c r="E13768" s="275">
        <f t="shared" ref="E13768:E13775" si="2077">DATE(A13768,B13768,C13768)</f>
        <v>45810</v>
      </c>
      <c r="F13768" s="481" t="s">
        <v>2075</v>
      </c>
      <c r="G13768" s="174" t="s">
        <v>94</v>
      </c>
      <c r="H13768" s="174"/>
      <c r="J13768" s="149" t="s">
        <v>79</v>
      </c>
      <c r="K13768" s="218">
        <v>810500</v>
      </c>
      <c r="L13768" s="218"/>
      <c r="M13768" s="160"/>
    </row>
    <row r="13769" spans="1:17" x14ac:dyDescent="0.2">
      <c r="A13769" s="133">
        <v>2025</v>
      </c>
      <c r="B13769" s="133">
        <v>6</v>
      </c>
      <c r="C13769" s="133">
        <v>2</v>
      </c>
      <c r="D13769" s="141">
        <f t="shared" si="2076"/>
        <v>45810</v>
      </c>
      <c r="E13769" s="275">
        <f t="shared" si="2077"/>
        <v>45810</v>
      </c>
      <c r="F13769" s="481"/>
      <c r="G13769" s="174" t="s">
        <v>94</v>
      </c>
      <c r="H13769" s="174"/>
      <c r="J13769" s="149" t="s">
        <v>80</v>
      </c>
      <c r="K13769" s="218">
        <v>2914</v>
      </c>
      <c r="L13769" s="133"/>
      <c r="M13769" s="264"/>
      <c r="N13769" s="264"/>
    </row>
    <row r="13770" spans="1:17" x14ac:dyDescent="0.2">
      <c r="A13770" s="133">
        <v>2025</v>
      </c>
      <c r="B13770" s="133">
        <v>6</v>
      </c>
      <c r="C13770" s="133">
        <v>2</v>
      </c>
      <c r="D13770" s="141">
        <f t="shared" si="2076"/>
        <v>45810</v>
      </c>
      <c r="E13770" s="275">
        <f t="shared" si="2077"/>
        <v>45810</v>
      </c>
      <c r="F13770" s="481"/>
      <c r="G13770" s="174" t="s">
        <v>94</v>
      </c>
      <c r="H13770" s="174"/>
      <c r="J13770" s="149" t="s">
        <v>147</v>
      </c>
      <c r="K13770" s="218"/>
      <c r="L13770" s="218">
        <v>5026.8999999999996</v>
      </c>
    </row>
    <row r="13771" spans="1:17" x14ac:dyDescent="0.2">
      <c r="A13771" s="133">
        <v>2025</v>
      </c>
      <c r="B13771" s="133">
        <v>6</v>
      </c>
      <c r="C13771" s="133">
        <v>2</v>
      </c>
      <c r="D13771" s="141">
        <f t="shared" si="2076"/>
        <v>45810</v>
      </c>
      <c r="E13771" s="275">
        <f t="shared" si="2077"/>
        <v>45810</v>
      </c>
      <c r="F13771" s="481"/>
      <c r="G13771" s="174" t="s">
        <v>94</v>
      </c>
      <c r="H13771" s="174"/>
      <c r="J13771" s="149" t="s">
        <v>191</v>
      </c>
      <c r="K13771" s="218"/>
      <c r="L13771" s="218">
        <v>32810.160000000003</v>
      </c>
    </row>
    <row r="13772" spans="1:17" x14ac:dyDescent="0.2">
      <c r="A13772" s="163">
        <v>2025</v>
      </c>
      <c r="B13772" s="163">
        <v>6</v>
      </c>
      <c r="C13772" s="163">
        <v>2</v>
      </c>
      <c r="D13772" s="280">
        <f t="shared" si="2076"/>
        <v>45810</v>
      </c>
      <c r="E13772" s="281">
        <f t="shared" si="2077"/>
        <v>45810</v>
      </c>
      <c r="F13772" s="480"/>
      <c r="G13772" s="221" t="s">
        <v>94</v>
      </c>
      <c r="H13772" s="145"/>
      <c r="I13772" s="145"/>
      <c r="J13772" s="163" t="s">
        <v>79</v>
      </c>
      <c r="K13772" s="219"/>
      <c r="L13772" s="219">
        <v>775576.94</v>
      </c>
    </row>
    <row r="13773" spans="1:17" ht="11.25" customHeight="1" x14ac:dyDescent="0.2">
      <c r="A13773" s="168">
        <v>2025</v>
      </c>
      <c r="B13773" s="168">
        <v>6</v>
      </c>
      <c r="C13773" s="168">
        <v>2</v>
      </c>
      <c r="D13773" s="141">
        <f t="shared" si="2076"/>
        <v>45810</v>
      </c>
      <c r="E13773" s="275">
        <f t="shared" si="2077"/>
        <v>45810</v>
      </c>
      <c r="F13773" s="479" t="s">
        <v>964</v>
      </c>
      <c r="G13773" s="220" t="s">
        <v>74</v>
      </c>
      <c r="H13773" s="142"/>
      <c r="I13773" s="142"/>
      <c r="J13773" s="168" t="s">
        <v>52</v>
      </c>
      <c r="K13773" s="226">
        <v>3106867.5</v>
      </c>
      <c r="L13773" s="226"/>
    </row>
    <row r="13774" spans="1:17" ht="11.25" customHeight="1" x14ac:dyDescent="0.2">
      <c r="A13774" s="133">
        <v>2025</v>
      </c>
      <c r="B13774" s="133">
        <v>6</v>
      </c>
      <c r="C13774" s="133">
        <v>2</v>
      </c>
      <c r="D13774" s="141">
        <f t="shared" si="2076"/>
        <v>45810</v>
      </c>
      <c r="E13774" s="275">
        <f t="shared" si="2077"/>
        <v>45810</v>
      </c>
      <c r="F13774" s="481"/>
      <c r="G13774" s="174" t="s">
        <v>74</v>
      </c>
      <c r="J13774" s="133" t="s">
        <v>13</v>
      </c>
      <c r="K13774" s="218"/>
      <c r="L13774" s="218">
        <v>2475000</v>
      </c>
    </row>
    <row r="13775" spans="1:17" ht="11.25" customHeight="1" x14ac:dyDescent="0.2">
      <c r="A13775" s="163">
        <v>2025</v>
      </c>
      <c r="B13775" s="163">
        <v>6</v>
      </c>
      <c r="C13775" s="163">
        <v>2</v>
      </c>
      <c r="D13775" s="280">
        <f t="shared" si="2076"/>
        <v>45810</v>
      </c>
      <c r="E13775" s="281">
        <f t="shared" si="2077"/>
        <v>45810</v>
      </c>
      <c r="F13775" s="480"/>
      <c r="G13775" s="221" t="s">
        <v>74</v>
      </c>
      <c r="H13775" s="145"/>
      <c r="I13775" s="145"/>
      <c r="J13775" s="163" t="s">
        <v>53</v>
      </c>
      <c r="K13775" s="219"/>
      <c r="L13775" s="219">
        <v>631867.5</v>
      </c>
    </row>
    <row r="13776" spans="1:17" x14ac:dyDescent="0.2">
      <c r="A13776" s="168">
        <v>2025</v>
      </c>
      <c r="B13776" s="133">
        <v>6</v>
      </c>
      <c r="C13776" s="168">
        <v>2</v>
      </c>
      <c r="D13776" s="147">
        <f>DATE(A13776,B13776,C13776)</f>
        <v>45810</v>
      </c>
      <c r="E13776" s="311">
        <f>DATE(A13776,B13776,C13776)</f>
        <v>45810</v>
      </c>
      <c r="F13776" s="481" t="s">
        <v>1943</v>
      </c>
      <c r="G13776" s="174" t="s">
        <v>74</v>
      </c>
      <c r="I13776" s="148" t="s">
        <v>348</v>
      </c>
      <c r="J13776" s="133" t="s">
        <v>61</v>
      </c>
      <c r="K13776" s="172">
        <v>60</v>
      </c>
    </row>
    <row r="13777" spans="1:17" x14ac:dyDescent="0.2">
      <c r="A13777" s="163">
        <v>2025</v>
      </c>
      <c r="B13777" s="163">
        <v>6</v>
      </c>
      <c r="C13777" s="163">
        <v>2</v>
      </c>
      <c r="D13777" s="280">
        <f>DATE(A13777,B13777,C13777)</f>
        <v>45810</v>
      </c>
      <c r="E13777" s="281">
        <f>DATE(A13777,B13777,C13777)</f>
        <v>45810</v>
      </c>
      <c r="F13777" s="480"/>
      <c r="G13777" s="221" t="s">
        <v>74</v>
      </c>
      <c r="H13777" s="145"/>
      <c r="I13777" s="145" t="s">
        <v>348</v>
      </c>
      <c r="J13777" s="163" t="s">
        <v>52</v>
      </c>
      <c r="K13777" s="219"/>
      <c r="L13777" s="219">
        <v>60</v>
      </c>
    </row>
    <row r="13778" spans="1:17" ht="11.25" customHeight="1" x14ac:dyDescent="0.2">
      <c r="A13778" s="168">
        <v>2025</v>
      </c>
      <c r="B13778" s="133">
        <v>6</v>
      </c>
      <c r="C13778" s="168">
        <v>2</v>
      </c>
      <c r="D13778" s="141">
        <f t="shared" ref="D13778:D13785" si="2078">DATE(A13778,B13778,C13778)</f>
        <v>45810</v>
      </c>
      <c r="E13778" s="275">
        <f t="shared" ref="E13778:E13785" si="2079">DATE(A13778,B13778,C13778)</f>
        <v>45810</v>
      </c>
      <c r="F13778" s="479" t="s">
        <v>2002</v>
      </c>
      <c r="G13778" s="220" t="s">
        <v>74</v>
      </c>
      <c r="H13778" s="220"/>
      <c r="I13778" s="142"/>
      <c r="J13778" s="143" t="s">
        <v>147</v>
      </c>
      <c r="K13778" s="226">
        <v>1813708.81</v>
      </c>
      <c r="L13778" s="226"/>
    </row>
    <row r="13779" spans="1:17" x14ac:dyDescent="0.2">
      <c r="A13779" s="163">
        <v>2025</v>
      </c>
      <c r="B13779" s="163">
        <v>6</v>
      </c>
      <c r="C13779" s="163">
        <v>2</v>
      </c>
      <c r="D13779" s="280">
        <f t="shared" si="2078"/>
        <v>45810</v>
      </c>
      <c r="E13779" s="281">
        <f t="shared" si="2079"/>
        <v>45810</v>
      </c>
      <c r="F13779" s="480"/>
      <c r="G13779" s="221" t="s">
        <v>74</v>
      </c>
      <c r="H13779" s="221"/>
      <c r="I13779" s="145"/>
      <c r="J13779" s="146" t="s">
        <v>52</v>
      </c>
      <c r="K13779" s="219"/>
      <c r="L13779" s="219">
        <v>1813708.81</v>
      </c>
      <c r="N13779" s="264"/>
    </row>
    <row r="13780" spans="1:17" ht="11.25" customHeight="1" x14ac:dyDescent="0.2">
      <c r="A13780" s="168">
        <v>2025</v>
      </c>
      <c r="B13780" s="133">
        <v>6</v>
      </c>
      <c r="C13780" s="168">
        <v>2</v>
      </c>
      <c r="D13780" s="141">
        <f t="shared" si="2078"/>
        <v>45810</v>
      </c>
      <c r="E13780" s="275">
        <f t="shared" si="2079"/>
        <v>45810</v>
      </c>
      <c r="F13780" s="479" t="s">
        <v>2064</v>
      </c>
      <c r="G13780" s="220" t="s">
        <v>74</v>
      </c>
      <c r="H13780" s="220"/>
      <c r="I13780" s="142"/>
      <c r="J13780" s="143" t="s">
        <v>147</v>
      </c>
      <c r="K13780" s="226">
        <v>1155395.98</v>
      </c>
      <c r="L13780" s="226"/>
    </row>
    <row r="13781" spans="1:17" x14ac:dyDescent="0.2">
      <c r="A13781" s="163">
        <v>2025</v>
      </c>
      <c r="B13781" s="163">
        <v>6</v>
      </c>
      <c r="C13781" s="163">
        <v>2</v>
      </c>
      <c r="D13781" s="280">
        <f t="shared" si="2078"/>
        <v>45810</v>
      </c>
      <c r="E13781" s="281">
        <f t="shared" si="2079"/>
        <v>45810</v>
      </c>
      <c r="F13781" s="480"/>
      <c r="G13781" s="221" t="s">
        <v>74</v>
      </c>
      <c r="H13781" s="221"/>
      <c r="I13781" s="145"/>
      <c r="J13781" s="146" t="s">
        <v>52</v>
      </c>
      <c r="K13781" s="219"/>
      <c r="L13781" s="219">
        <v>1155395.98</v>
      </c>
      <c r="N13781" s="264"/>
    </row>
    <row r="13782" spans="1:17" x14ac:dyDescent="0.2">
      <c r="A13782" s="133">
        <v>2025</v>
      </c>
      <c r="B13782" s="133">
        <v>6</v>
      </c>
      <c r="C13782" s="133">
        <v>3</v>
      </c>
      <c r="D13782" s="141">
        <f t="shared" si="2078"/>
        <v>45811</v>
      </c>
      <c r="E13782" s="275">
        <f t="shared" si="2079"/>
        <v>45811</v>
      </c>
      <c r="F13782" s="481" t="s">
        <v>2079</v>
      </c>
      <c r="G13782" s="174" t="s">
        <v>94</v>
      </c>
      <c r="H13782" s="174"/>
      <c r="J13782" s="149" t="s">
        <v>190</v>
      </c>
      <c r="K13782" s="218">
        <v>234477.18</v>
      </c>
      <c r="L13782" s="133"/>
    </row>
    <row r="13783" spans="1:17" x14ac:dyDescent="0.2">
      <c r="A13783" s="133">
        <v>2025</v>
      </c>
      <c r="B13783" s="133">
        <v>6</v>
      </c>
      <c r="C13783" s="133">
        <v>3</v>
      </c>
      <c r="D13783" s="141">
        <f t="shared" si="2078"/>
        <v>45811</v>
      </c>
      <c r="E13783" s="275">
        <f t="shared" si="2079"/>
        <v>45811</v>
      </c>
      <c r="F13783" s="481"/>
      <c r="G13783" s="174" t="s">
        <v>94</v>
      </c>
      <c r="H13783" s="174"/>
      <c r="J13783" s="149" t="s">
        <v>80</v>
      </c>
      <c r="K13783" s="218">
        <v>422.82</v>
      </c>
      <c r="L13783" s="218"/>
      <c r="M13783" s="176"/>
    </row>
    <row r="13784" spans="1:17" x14ac:dyDescent="0.2">
      <c r="A13784" s="133">
        <v>2025</v>
      </c>
      <c r="B13784" s="133">
        <v>6</v>
      </c>
      <c r="C13784" s="133">
        <v>3</v>
      </c>
      <c r="D13784" s="141">
        <f t="shared" si="2078"/>
        <v>45811</v>
      </c>
      <c r="E13784" s="275">
        <f t="shared" si="2079"/>
        <v>45811</v>
      </c>
      <c r="F13784" s="481"/>
      <c r="G13784" s="174" t="s">
        <v>94</v>
      </c>
      <c r="H13784" s="174"/>
      <c r="J13784" s="149" t="s">
        <v>191</v>
      </c>
      <c r="K13784" s="218">
        <v>6034.6</v>
      </c>
      <c r="L13784" s="218"/>
    </row>
    <row r="13785" spans="1:17" x14ac:dyDescent="0.2">
      <c r="A13785" s="163">
        <v>2025</v>
      </c>
      <c r="B13785" s="163">
        <v>6</v>
      </c>
      <c r="C13785" s="163">
        <v>3</v>
      </c>
      <c r="D13785" s="280">
        <f t="shared" si="2078"/>
        <v>45811</v>
      </c>
      <c r="E13785" s="281">
        <f t="shared" si="2079"/>
        <v>45811</v>
      </c>
      <c r="F13785" s="480"/>
      <c r="G13785" s="221" t="s">
        <v>94</v>
      </c>
      <c r="H13785" s="145"/>
      <c r="I13785" s="145"/>
      <c r="J13785" s="163" t="s">
        <v>79</v>
      </c>
      <c r="K13785" s="219"/>
      <c r="L13785" s="219">
        <v>240934.6</v>
      </c>
    </row>
    <row r="13786" spans="1:17" x14ac:dyDescent="0.2">
      <c r="A13786" s="133">
        <v>2025</v>
      </c>
      <c r="B13786" s="133">
        <v>6</v>
      </c>
      <c r="C13786" s="133">
        <v>3</v>
      </c>
      <c r="D13786" s="141">
        <f t="shared" ref="D13786:D13791" si="2080">DATE(A13786,B13786,C13786)</f>
        <v>45811</v>
      </c>
      <c r="E13786" s="275">
        <f t="shared" ref="E13786:E13791" si="2081">DATE(A13786,B13786,C13786)</f>
        <v>45811</v>
      </c>
      <c r="F13786" s="481" t="s">
        <v>1977</v>
      </c>
      <c r="G13786" s="174" t="s">
        <v>94</v>
      </c>
      <c r="H13786" s="174"/>
      <c r="J13786" s="149" t="s">
        <v>190</v>
      </c>
      <c r="K13786" s="218">
        <v>1357684</v>
      </c>
      <c r="L13786" s="133"/>
    </row>
    <row r="13787" spans="1:17" x14ac:dyDescent="0.2">
      <c r="A13787" s="133">
        <v>2025</v>
      </c>
      <c r="B13787" s="133">
        <v>6</v>
      </c>
      <c r="C13787" s="133">
        <v>3</v>
      </c>
      <c r="D13787" s="141">
        <f t="shared" si="2080"/>
        <v>45811</v>
      </c>
      <c r="E13787" s="275">
        <f t="shared" si="2081"/>
        <v>45811</v>
      </c>
      <c r="F13787" s="481"/>
      <c r="G13787" s="174" t="s">
        <v>94</v>
      </c>
      <c r="H13787" s="174"/>
      <c r="J13787" s="149" t="s">
        <v>80</v>
      </c>
      <c r="K13787" s="218">
        <v>2449</v>
      </c>
      <c r="L13787" s="218"/>
      <c r="M13787" s="176"/>
    </row>
    <row r="13788" spans="1:17" x14ac:dyDescent="0.2">
      <c r="A13788" s="133">
        <v>2025</v>
      </c>
      <c r="B13788" s="133">
        <v>6</v>
      </c>
      <c r="C13788" s="133">
        <v>3</v>
      </c>
      <c r="D13788" s="141">
        <f t="shared" si="2080"/>
        <v>45811</v>
      </c>
      <c r="E13788" s="275">
        <f t="shared" si="2081"/>
        <v>45811</v>
      </c>
      <c r="F13788" s="481"/>
      <c r="G13788" s="174" t="s">
        <v>94</v>
      </c>
      <c r="H13788" s="174"/>
      <c r="J13788" s="149" t="s">
        <v>191</v>
      </c>
      <c r="K13788" s="218"/>
      <c r="L13788" s="218">
        <v>80240.62</v>
      </c>
    </row>
    <row r="13789" spans="1:17" x14ac:dyDescent="0.2">
      <c r="A13789" s="163">
        <v>2025</v>
      </c>
      <c r="B13789" s="163">
        <v>6</v>
      </c>
      <c r="C13789" s="163">
        <v>3</v>
      </c>
      <c r="D13789" s="280">
        <f t="shared" si="2080"/>
        <v>45811</v>
      </c>
      <c r="E13789" s="281">
        <f t="shared" si="2081"/>
        <v>45811</v>
      </c>
      <c r="F13789" s="480"/>
      <c r="G13789" s="221" t="s">
        <v>94</v>
      </c>
      <c r="H13789" s="145"/>
      <c r="I13789" s="145"/>
      <c r="J13789" s="163" t="s">
        <v>79</v>
      </c>
      <c r="K13789" s="219"/>
      <c r="L13789" s="219">
        <v>1279892.3799999999</v>
      </c>
    </row>
    <row r="13790" spans="1:17" x14ac:dyDescent="0.2">
      <c r="A13790" s="133">
        <v>2025</v>
      </c>
      <c r="B13790" s="133">
        <v>6</v>
      </c>
      <c r="C13790" s="133">
        <v>4</v>
      </c>
      <c r="D13790" s="141">
        <f t="shared" si="2080"/>
        <v>45812</v>
      </c>
      <c r="E13790" s="275">
        <f t="shared" si="2081"/>
        <v>45812</v>
      </c>
      <c r="F13790" s="479" t="s">
        <v>2083</v>
      </c>
      <c r="G13790" s="174" t="s">
        <v>74</v>
      </c>
      <c r="H13790" s="174"/>
      <c r="I13790" s="148" t="s">
        <v>348</v>
      </c>
      <c r="J13790" s="143" t="s">
        <v>1805</v>
      </c>
      <c r="K13790" s="218">
        <v>1001556</v>
      </c>
      <c r="L13790" s="218"/>
      <c r="M13790" s="147"/>
      <c r="Q13790" s="133" t="s">
        <v>348</v>
      </c>
    </row>
    <row r="13791" spans="1:17" x14ac:dyDescent="0.2">
      <c r="A13791" s="163">
        <v>2025</v>
      </c>
      <c r="B13791" s="163">
        <v>6</v>
      </c>
      <c r="C13791" s="163">
        <v>4</v>
      </c>
      <c r="D13791" s="280">
        <f t="shared" si="2080"/>
        <v>45812</v>
      </c>
      <c r="E13791" s="281">
        <f t="shared" si="2081"/>
        <v>45812</v>
      </c>
      <c r="F13791" s="480"/>
      <c r="G13791" s="221" t="s">
        <v>74</v>
      </c>
      <c r="H13791" s="221"/>
      <c r="I13791" s="145"/>
      <c r="J13791" s="146" t="s">
        <v>52</v>
      </c>
      <c r="K13791" s="219"/>
      <c r="L13791" s="219">
        <v>1001556</v>
      </c>
      <c r="M13791" s="147"/>
      <c r="Q13791" s="133" t="s">
        <v>348</v>
      </c>
    </row>
    <row r="13792" spans="1:17" x14ac:dyDescent="0.2">
      <c r="A13792" s="133">
        <v>2025</v>
      </c>
      <c r="B13792" s="133">
        <v>6</v>
      </c>
      <c r="C13792" s="133">
        <v>4</v>
      </c>
      <c r="D13792" s="141">
        <f t="shared" ref="D13792:D13824" si="2082">DATE(A13792,B13792,C13792)</f>
        <v>45812</v>
      </c>
      <c r="E13792" s="275">
        <f t="shared" ref="E13792:E13824" si="2083">DATE(A13792,B13792,C13792)</f>
        <v>45812</v>
      </c>
      <c r="F13792" s="479" t="s">
        <v>2083</v>
      </c>
      <c r="G13792" s="174" t="s">
        <v>74</v>
      </c>
      <c r="H13792" s="174"/>
      <c r="I13792" s="148" t="s">
        <v>348</v>
      </c>
      <c r="J13792" s="143" t="s">
        <v>1805</v>
      </c>
      <c r="K13792" s="218">
        <v>1003635</v>
      </c>
      <c r="L13792" s="218"/>
      <c r="M13792" s="147"/>
      <c r="Q13792" s="133" t="s">
        <v>348</v>
      </c>
    </row>
    <row r="13793" spans="1:17" x14ac:dyDescent="0.2">
      <c r="A13793" s="163">
        <v>2025</v>
      </c>
      <c r="B13793" s="163">
        <v>6</v>
      </c>
      <c r="C13793" s="163">
        <v>4</v>
      </c>
      <c r="D13793" s="280">
        <f t="shared" si="2082"/>
        <v>45812</v>
      </c>
      <c r="E13793" s="281">
        <f t="shared" si="2083"/>
        <v>45812</v>
      </c>
      <c r="F13793" s="480"/>
      <c r="G13793" s="221" t="s">
        <v>74</v>
      </c>
      <c r="H13793" s="221"/>
      <c r="I13793" s="145"/>
      <c r="J13793" s="146" t="s">
        <v>52</v>
      </c>
      <c r="K13793" s="219"/>
      <c r="L13793" s="219">
        <v>1003635</v>
      </c>
      <c r="M13793" s="147"/>
      <c r="Q13793" s="133" t="s">
        <v>348</v>
      </c>
    </row>
    <row r="13794" spans="1:17" ht="11.25" customHeight="1" x14ac:dyDescent="0.2">
      <c r="A13794" s="168">
        <v>2025</v>
      </c>
      <c r="B13794" s="168">
        <v>6</v>
      </c>
      <c r="C13794" s="168">
        <v>4</v>
      </c>
      <c r="D13794" s="141">
        <f t="shared" si="2082"/>
        <v>45812</v>
      </c>
      <c r="E13794" s="275">
        <f t="shared" si="2083"/>
        <v>45812</v>
      </c>
      <c r="F13794" s="479" t="s">
        <v>964</v>
      </c>
      <c r="G13794" s="220" t="s">
        <v>74</v>
      </c>
      <c r="H13794" s="142"/>
      <c r="I13794" s="142" t="s">
        <v>521</v>
      </c>
      <c r="J13794" s="168" t="s">
        <v>52</v>
      </c>
      <c r="K13794" s="226">
        <v>1000000</v>
      </c>
      <c r="L13794" s="226"/>
    </row>
    <row r="13795" spans="1:17" ht="11.25" customHeight="1" x14ac:dyDescent="0.2">
      <c r="A13795" s="133">
        <v>2025</v>
      </c>
      <c r="B13795" s="133">
        <v>6</v>
      </c>
      <c r="C13795" s="133">
        <v>4</v>
      </c>
      <c r="D13795" s="141">
        <f t="shared" si="2082"/>
        <v>45812</v>
      </c>
      <c r="E13795" s="275">
        <f t="shared" si="2083"/>
        <v>45812</v>
      </c>
      <c r="F13795" s="481"/>
      <c r="G13795" s="174" t="s">
        <v>74</v>
      </c>
      <c r="I13795" s="148" t="s">
        <v>521</v>
      </c>
      <c r="J13795" s="133" t="s">
        <v>13</v>
      </c>
      <c r="K13795" s="218"/>
      <c r="L13795" s="218">
        <v>796620</v>
      </c>
    </row>
    <row r="13796" spans="1:17" ht="11.25" customHeight="1" x14ac:dyDescent="0.2">
      <c r="A13796" s="163">
        <v>2025</v>
      </c>
      <c r="B13796" s="163">
        <v>6</v>
      </c>
      <c r="C13796" s="163">
        <v>4</v>
      </c>
      <c r="D13796" s="280">
        <f t="shared" si="2082"/>
        <v>45812</v>
      </c>
      <c r="E13796" s="281">
        <f t="shared" si="2083"/>
        <v>45812</v>
      </c>
      <c r="F13796" s="480"/>
      <c r="G13796" s="221" t="s">
        <v>74</v>
      </c>
      <c r="H13796" s="145"/>
      <c r="I13796" s="145" t="s">
        <v>521</v>
      </c>
      <c r="J13796" s="163" t="s">
        <v>53</v>
      </c>
      <c r="K13796" s="219"/>
      <c r="L13796" s="219">
        <v>203380</v>
      </c>
    </row>
    <row r="13797" spans="1:17" ht="11.25" customHeight="1" x14ac:dyDescent="0.2">
      <c r="A13797" s="168">
        <v>2025</v>
      </c>
      <c r="B13797" s="133">
        <v>6</v>
      </c>
      <c r="C13797" s="168">
        <v>4</v>
      </c>
      <c r="D13797" s="141">
        <f t="shared" si="2082"/>
        <v>45812</v>
      </c>
      <c r="E13797" s="275">
        <f t="shared" si="2083"/>
        <v>45812</v>
      </c>
      <c r="F13797" s="479" t="s">
        <v>2064</v>
      </c>
      <c r="G13797" s="220" t="s">
        <v>74</v>
      </c>
      <c r="H13797" s="220"/>
      <c r="I13797" s="142"/>
      <c r="J13797" s="143" t="s">
        <v>147</v>
      </c>
      <c r="K13797" s="226">
        <v>5026.8999999999996</v>
      </c>
      <c r="L13797" s="226"/>
    </row>
    <row r="13798" spans="1:17" x14ac:dyDescent="0.2">
      <c r="A13798" s="163">
        <v>2025</v>
      </c>
      <c r="B13798" s="163">
        <v>6</v>
      </c>
      <c r="C13798" s="163">
        <v>4</v>
      </c>
      <c r="D13798" s="280">
        <f t="shared" si="2082"/>
        <v>45812</v>
      </c>
      <c r="E13798" s="281">
        <f t="shared" si="2083"/>
        <v>45812</v>
      </c>
      <c r="F13798" s="480"/>
      <c r="G13798" s="221" t="s">
        <v>74</v>
      </c>
      <c r="H13798" s="221"/>
      <c r="I13798" s="145"/>
      <c r="J13798" s="146" t="s">
        <v>52</v>
      </c>
      <c r="K13798" s="219"/>
      <c r="L13798" s="219">
        <v>5026.8999999999996</v>
      </c>
      <c r="N13798" s="264"/>
    </row>
    <row r="13799" spans="1:17" ht="11.25" customHeight="1" x14ac:dyDescent="0.2">
      <c r="A13799" s="168">
        <v>2025</v>
      </c>
      <c r="B13799" s="133">
        <v>6</v>
      </c>
      <c r="C13799" s="168">
        <v>4</v>
      </c>
      <c r="D13799" s="141">
        <f t="shared" si="2082"/>
        <v>45812</v>
      </c>
      <c r="E13799" s="275">
        <f t="shared" si="2083"/>
        <v>45812</v>
      </c>
      <c r="F13799" s="479" t="s">
        <v>2081</v>
      </c>
      <c r="G13799" s="220" t="s">
        <v>74</v>
      </c>
      <c r="H13799" s="220"/>
      <c r="I13799" s="142"/>
      <c r="J13799" s="143" t="s">
        <v>1806</v>
      </c>
      <c r="K13799" s="226">
        <v>595125</v>
      </c>
      <c r="L13799" s="226"/>
    </row>
    <row r="13800" spans="1:17" x14ac:dyDescent="0.2">
      <c r="A13800" s="163">
        <v>2025</v>
      </c>
      <c r="B13800" s="163">
        <v>6</v>
      </c>
      <c r="C13800" s="163">
        <v>4</v>
      </c>
      <c r="D13800" s="280">
        <f t="shared" si="2082"/>
        <v>45812</v>
      </c>
      <c r="E13800" s="281">
        <f t="shared" si="2083"/>
        <v>45812</v>
      </c>
      <c r="F13800" s="480"/>
      <c r="G13800" s="221" t="s">
        <v>74</v>
      </c>
      <c r="H13800" s="221"/>
      <c r="I13800" s="145"/>
      <c r="J13800" s="146" t="s">
        <v>60</v>
      </c>
      <c r="K13800" s="219"/>
      <c r="L13800" s="219">
        <v>595125</v>
      </c>
    </row>
    <row r="13801" spans="1:17" x14ac:dyDescent="0.2">
      <c r="A13801" s="168">
        <v>2025</v>
      </c>
      <c r="B13801" s="168">
        <v>6</v>
      </c>
      <c r="C13801" s="168">
        <v>4</v>
      </c>
      <c r="D13801" s="141">
        <f t="shared" si="2082"/>
        <v>45812</v>
      </c>
      <c r="E13801" s="275">
        <f t="shared" si="2083"/>
        <v>45812</v>
      </c>
      <c r="F13801" s="479" t="s">
        <v>2062</v>
      </c>
      <c r="G13801" s="220" t="s">
        <v>94</v>
      </c>
      <c r="H13801" s="220"/>
      <c r="I13801" s="142"/>
      <c r="J13801" s="143" t="s">
        <v>79</v>
      </c>
      <c r="K13801" s="226">
        <v>580000</v>
      </c>
      <c r="L13801" s="226"/>
      <c r="M13801" s="160"/>
    </row>
    <row r="13802" spans="1:17" x14ac:dyDescent="0.2">
      <c r="A13802" s="133">
        <v>2025</v>
      </c>
      <c r="B13802" s="133">
        <v>6</v>
      </c>
      <c r="C13802" s="133">
        <v>4</v>
      </c>
      <c r="D13802" s="141">
        <f t="shared" si="2082"/>
        <v>45812</v>
      </c>
      <c r="E13802" s="275">
        <f t="shared" si="2083"/>
        <v>45812</v>
      </c>
      <c r="F13802" s="481"/>
      <c r="G13802" s="174" t="s">
        <v>94</v>
      </c>
      <c r="H13802" s="174"/>
      <c r="J13802" s="149" t="s">
        <v>80</v>
      </c>
      <c r="K13802" s="218">
        <v>1044</v>
      </c>
      <c r="L13802" s="133"/>
    </row>
    <row r="13803" spans="1:17" x14ac:dyDescent="0.2">
      <c r="A13803" s="163">
        <v>2025</v>
      </c>
      <c r="B13803" s="163">
        <v>6</v>
      </c>
      <c r="C13803" s="163">
        <v>4</v>
      </c>
      <c r="D13803" s="280">
        <f t="shared" si="2082"/>
        <v>45812</v>
      </c>
      <c r="E13803" s="281">
        <f t="shared" si="2083"/>
        <v>45812</v>
      </c>
      <c r="F13803" s="480"/>
      <c r="G13803" s="221" t="s">
        <v>94</v>
      </c>
      <c r="H13803" s="221"/>
      <c r="I13803" s="145"/>
      <c r="J13803" s="146" t="s">
        <v>147</v>
      </c>
      <c r="K13803" s="219"/>
      <c r="L13803" s="219">
        <v>581044</v>
      </c>
    </row>
    <row r="13804" spans="1:17" x14ac:dyDescent="0.2">
      <c r="A13804" s="168">
        <v>2025</v>
      </c>
      <c r="B13804" s="133">
        <v>6</v>
      </c>
      <c r="C13804" s="168">
        <v>4</v>
      </c>
      <c r="D13804" s="147">
        <f>DATE(A13804,B13804,C13804)</f>
        <v>45812</v>
      </c>
      <c r="E13804" s="311">
        <f>DATE(A13804,B13804,C13804)</f>
        <v>45812</v>
      </c>
      <c r="F13804" s="481" t="s">
        <v>1943</v>
      </c>
      <c r="G13804" s="174" t="s">
        <v>74</v>
      </c>
      <c r="I13804" s="148" t="s">
        <v>348</v>
      </c>
      <c r="J13804" s="133" t="s">
        <v>61</v>
      </c>
      <c r="K13804" s="172">
        <v>25</v>
      </c>
    </row>
    <row r="13805" spans="1:17" x14ac:dyDescent="0.2">
      <c r="A13805" s="163">
        <v>2025</v>
      </c>
      <c r="B13805" s="163">
        <v>6</v>
      </c>
      <c r="C13805" s="163">
        <v>4</v>
      </c>
      <c r="D13805" s="280">
        <f>DATE(A13805,B13805,C13805)</f>
        <v>45812</v>
      </c>
      <c r="E13805" s="281">
        <f>DATE(A13805,B13805,C13805)</f>
        <v>45812</v>
      </c>
      <c r="F13805" s="480"/>
      <c r="G13805" s="221" t="s">
        <v>74</v>
      </c>
      <c r="H13805" s="145"/>
      <c r="I13805" s="145" t="s">
        <v>348</v>
      </c>
      <c r="J13805" s="163" t="s">
        <v>52</v>
      </c>
      <c r="K13805" s="219"/>
      <c r="L13805" s="219">
        <v>25</v>
      </c>
    </row>
    <row r="13806" spans="1:17" x14ac:dyDescent="0.2">
      <c r="A13806" s="325">
        <v>2025</v>
      </c>
      <c r="B13806" s="325">
        <v>6</v>
      </c>
      <c r="C13806" s="325">
        <v>4</v>
      </c>
      <c r="D13806" s="326">
        <f t="shared" si="2082"/>
        <v>45812</v>
      </c>
      <c r="E13806" s="327">
        <f t="shared" si="2083"/>
        <v>45812</v>
      </c>
      <c r="F13806" s="473" t="s">
        <v>1940</v>
      </c>
      <c r="G13806" s="340" t="s">
        <v>94</v>
      </c>
      <c r="H13806" s="340"/>
      <c r="I13806" s="341" t="s">
        <v>348</v>
      </c>
      <c r="J13806" s="374" t="s">
        <v>133</v>
      </c>
      <c r="K13806" s="375">
        <v>25811.119999999999</v>
      </c>
      <c r="L13806" s="375"/>
      <c r="M13806" s="176"/>
      <c r="N13806" s="160"/>
    </row>
    <row r="13807" spans="1:17" x14ac:dyDescent="0.2">
      <c r="A13807" s="331">
        <v>2025</v>
      </c>
      <c r="B13807" s="331">
        <v>6</v>
      </c>
      <c r="C13807" s="331">
        <v>4</v>
      </c>
      <c r="D13807" s="326">
        <f t="shared" si="2082"/>
        <v>45812</v>
      </c>
      <c r="E13807" s="327">
        <f t="shared" si="2083"/>
        <v>45812</v>
      </c>
      <c r="F13807" s="474"/>
      <c r="G13807" s="332" t="s">
        <v>94</v>
      </c>
      <c r="H13807" s="332"/>
      <c r="I13807" s="333" t="s">
        <v>348</v>
      </c>
      <c r="J13807" s="376" t="s">
        <v>60</v>
      </c>
      <c r="K13807" s="334"/>
      <c r="L13807" s="334">
        <f>K13806</f>
        <v>25811.119999999999</v>
      </c>
    </row>
    <row r="13808" spans="1:17" x14ac:dyDescent="0.2">
      <c r="A13808" s="384">
        <v>2025</v>
      </c>
      <c r="B13808" s="384">
        <v>6</v>
      </c>
      <c r="C13808" s="384">
        <v>4</v>
      </c>
      <c r="D13808" s="385">
        <f t="shared" si="2082"/>
        <v>45812</v>
      </c>
      <c r="E13808" s="386">
        <f t="shared" si="2083"/>
        <v>45812</v>
      </c>
      <c r="F13808" s="475" t="s">
        <v>1966</v>
      </c>
      <c r="G13808" s="387" t="s">
        <v>94</v>
      </c>
      <c r="H13808" s="387"/>
      <c r="I13808" s="388" t="s">
        <v>348</v>
      </c>
      <c r="J13808" s="389" t="s">
        <v>67</v>
      </c>
      <c r="K13808" s="390">
        <v>17732.97</v>
      </c>
      <c r="L13808" s="390"/>
    </row>
    <row r="13809" spans="1:14" x14ac:dyDescent="0.2">
      <c r="A13809" s="391">
        <v>2025</v>
      </c>
      <c r="B13809" s="391">
        <v>6</v>
      </c>
      <c r="C13809" s="391">
        <v>4</v>
      </c>
      <c r="D13809" s="385">
        <f t="shared" si="2082"/>
        <v>45812</v>
      </c>
      <c r="E13809" s="386">
        <f t="shared" si="2083"/>
        <v>45812</v>
      </c>
      <c r="F13809" s="476"/>
      <c r="G13809" s="392" t="s">
        <v>94</v>
      </c>
      <c r="H13809" s="392"/>
      <c r="I13809" s="393" t="s">
        <v>348</v>
      </c>
      <c r="J13809" s="394" t="s">
        <v>60</v>
      </c>
      <c r="K13809" s="395"/>
      <c r="L13809" s="395">
        <f>K13808</f>
        <v>17732.97</v>
      </c>
    </row>
    <row r="13810" spans="1:14" x14ac:dyDescent="0.2">
      <c r="A13810" s="343">
        <v>2025</v>
      </c>
      <c r="B13810" s="343">
        <v>6</v>
      </c>
      <c r="C13810" s="343">
        <v>4</v>
      </c>
      <c r="D13810" s="344">
        <f t="shared" si="2082"/>
        <v>45812</v>
      </c>
      <c r="E13810" s="345">
        <f t="shared" si="2083"/>
        <v>45812</v>
      </c>
      <c r="F13810" s="483" t="s">
        <v>1813</v>
      </c>
      <c r="G13810" s="350" t="s">
        <v>94</v>
      </c>
      <c r="H13810" s="350"/>
      <c r="I13810" s="352" t="s">
        <v>348</v>
      </c>
      <c r="J13810" s="353" t="s">
        <v>1807</v>
      </c>
      <c r="K13810" s="354">
        <v>0</v>
      </c>
      <c r="L13810" s="354"/>
      <c r="M13810" s="133">
        <v>0</v>
      </c>
    </row>
    <row r="13811" spans="1:14" x14ac:dyDescent="0.2">
      <c r="A13811" s="346">
        <v>2025</v>
      </c>
      <c r="B13811" s="346">
        <v>6</v>
      </c>
      <c r="C13811" s="346">
        <v>4</v>
      </c>
      <c r="D13811" s="344">
        <f t="shared" si="2082"/>
        <v>45812</v>
      </c>
      <c r="E13811" s="345">
        <f t="shared" si="2083"/>
        <v>45812</v>
      </c>
      <c r="F13811" s="484"/>
      <c r="G13811" s="347" t="s">
        <v>94</v>
      </c>
      <c r="H13811" s="347"/>
      <c r="I13811" s="348" t="s">
        <v>348</v>
      </c>
      <c r="J13811" s="355" t="s">
        <v>1798</v>
      </c>
      <c r="K13811" s="349"/>
      <c r="L13811" s="349">
        <v>0</v>
      </c>
    </row>
    <row r="13812" spans="1:14" x14ac:dyDescent="0.2">
      <c r="A13812" s="343">
        <v>2025</v>
      </c>
      <c r="B13812" s="343">
        <v>6</v>
      </c>
      <c r="C13812" s="343">
        <v>4</v>
      </c>
      <c r="D13812" s="344">
        <f t="shared" si="2082"/>
        <v>45812</v>
      </c>
      <c r="E13812" s="345">
        <f t="shared" si="2083"/>
        <v>45812</v>
      </c>
      <c r="F13812" s="483" t="s">
        <v>1913</v>
      </c>
      <c r="G13812" s="350" t="s">
        <v>94</v>
      </c>
      <c r="H13812" s="350"/>
      <c r="I13812" s="352" t="s">
        <v>348</v>
      </c>
      <c r="J13812" s="353" t="s">
        <v>1808</v>
      </c>
      <c r="K13812" s="354">
        <v>549867.62999999896</v>
      </c>
      <c r="L13812" s="354"/>
      <c r="M13812" s="133">
        <v>0</v>
      </c>
    </row>
    <row r="13813" spans="1:14" x14ac:dyDescent="0.2">
      <c r="A13813" s="346">
        <v>2025</v>
      </c>
      <c r="B13813" s="346">
        <v>6</v>
      </c>
      <c r="C13813" s="346">
        <v>4</v>
      </c>
      <c r="D13813" s="344">
        <f t="shared" si="2082"/>
        <v>45812</v>
      </c>
      <c r="E13813" s="345">
        <f t="shared" si="2083"/>
        <v>45812</v>
      </c>
      <c r="F13813" s="484"/>
      <c r="G13813" s="347" t="s">
        <v>94</v>
      </c>
      <c r="H13813" s="347"/>
      <c r="I13813" s="348" t="s">
        <v>348</v>
      </c>
      <c r="J13813" s="355" t="s">
        <v>1799</v>
      </c>
      <c r="K13813" s="349"/>
      <c r="L13813" s="349">
        <f>K13812</f>
        <v>549867.62999999896</v>
      </c>
    </row>
    <row r="13814" spans="1:14" x14ac:dyDescent="0.2">
      <c r="A13814" s="238">
        <v>2025</v>
      </c>
      <c r="B13814" s="238">
        <v>6</v>
      </c>
      <c r="C13814" s="238">
        <v>4</v>
      </c>
      <c r="D13814" s="270">
        <f t="shared" si="2082"/>
        <v>45812</v>
      </c>
      <c r="E13814" s="279">
        <f t="shared" si="2083"/>
        <v>45812</v>
      </c>
      <c r="F13814" s="477" t="s">
        <v>347</v>
      </c>
      <c r="G13814" s="239" t="s">
        <v>94</v>
      </c>
      <c r="H13814" s="239"/>
      <c r="I13814" s="262" t="s">
        <v>348</v>
      </c>
      <c r="J13814" s="240" t="s">
        <v>108</v>
      </c>
      <c r="K13814" s="241">
        <v>2057181.2600000203</v>
      </c>
      <c r="L13814" s="241"/>
      <c r="M13814" s="133">
        <v>13139541.900000483</v>
      </c>
    </row>
    <row r="13815" spans="1:14" x14ac:dyDescent="0.2">
      <c r="A13815" s="242">
        <v>2025</v>
      </c>
      <c r="B13815" s="242">
        <v>6</v>
      </c>
      <c r="C13815" s="242">
        <v>4</v>
      </c>
      <c r="D13815" s="270">
        <f t="shared" si="2082"/>
        <v>45812</v>
      </c>
      <c r="E13815" s="279">
        <f t="shared" si="2083"/>
        <v>45812</v>
      </c>
      <c r="F13815" s="478"/>
      <c r="G13815" s="243" t="s">
        <v>94</v>
      </c>
      <c r="H13815" s="243"/>
      <c r="I13815" s="263" t="s">
        <v>348</v>
      </c>
      <c r="J13815" s="244" t="s">
        <v>82</v>
      </c>
      <c r="K13815" s="245"/>
      <c r="L13815" s="245">
        <f>K13814</f>
        <v>2057181.2600000203</v>
      </c>
    </row>
    <row r="13816" spans="1:14" ht="12" customHeight="1" x14ac:dyDescent="0.2">
      <c r="A13816" s="246">
        <v>2025</v>
      </c>
      <c r="B13816" s="238">
        <v>6</v>
      </c>
      <c r="C13816" s="238">
        <v>4</v>
      </c>
      <c r="D13816" s="270">
        <f t="shared" si="2082"/>
        <v>45812</v>
      </c>
      <c r="E13816" s="279">
        <f t="shared" si="2083"/>
        <v>45812</v>
      </c>
      <c r="F13816" s="482" t="s">
        <v>148</v>
      </c>
      <c r="G13816" s="247" t="s">
        <v>94</v>
      </c>
      <c r="H13816" s="247"/>
      <c r="I13816" s="248" t="s">
        <v>348</v>
      </c>
      <c r="J13816" s="249" t="s">
        <v>95</v>
      </c>
      <c r="K13816" s="250">
        <v>5494.5054945054944</v>
      </c>
      <c r="L13816" s="241"/>
      <c r="M13816" s="176"/>
      <c r="N13816" s="160">
        <f>K13816*2</f>
        <v>10989.010989010989</v>
      </c>
    </row>
    <row r="13817" spans="1:14" x14ac:dyDescent="0.2">
      <c r="A13817" s="242">
        <v>2025</v>
      </c>
      <c r="B13817" s="242">
        <v>6</v>
      </c>
      <c r="C13817" s="242">
        <v>4</v>
      </c>
      <c r="D13817" s="270">
        <f t="shared" si="2082"/>
        <v>45812</v>
      </c>
      <c r="E13817" s="279">
        <f t="shared" si="2083"/>
        <v>45812</v>
      </c>
      <c r="F13817" s="478"/>
      <c r="G13817" s="243" t="s">
        <v>94</v>
      </c>
      <c r="H13817" s="243"/>
      <c r="I13817" s="263" t="s">
        <v>348</v>
      </c>
      <c r="J13817" s="244" t="s">
        <v>63</v>
      </c>
      <c r="K13817" s="245"/>
      <c r="L13817" s="245">
        <f>K13816</f>
        <v>5494.5054945054944</v>
      </c>
    </row>
    <row r="13818" spans="1:14" x14ac:dyDescent="0.2">
      <c r="A13818" s="246">
        <v>2025</v>
      </c>
      <c r="B13818" s="238">
        <v>6</v>
      </c>
      <c r="C13818" s="238">
        <v>4</v>
      </c>
      <c r="D13818" s="270">
        <f t="shared" si="2082"/>
        <v>45812</v>
      </c>
      <c r="E13818" s="279">
        <f t="shared" si="2083"/>
        <v>45812</v>
      </c>
      <c r="F13818" s="482" t="s">
        <v>137</v>
      </c>
      <c r="G13818" s="247" t="s">
        <v>94</v>
      </c>
      <c r="H13818" s="247"/>
      <c r="I13818" s="248" t="s">
        <v>348</v>
      </c>
      <c r="J13818" s="249" t="s">
        <v>97</v>
      </c>
      <c r="K13818" s="250">
        <v>118033.20503644949</v>
      </c>
      <c r="L13818" s="252"/>
      <c r="M13818" s="133">
        <v>59016.602518224747</v>
      </c>
      <c r="N13818" s="160">
        <f>K13818*2</f>
        <v>236066.41007289899</v>
      </c>
    </row>
    <row r="13819" spans="1:14" x14ac:dyDescent="0.2">
      <c r="A13819" s="242">
        <v>2025</v>
      </c>
      <c r="B13819" s="242">
        <v>6</v>
      </c>
      <c r="C13819" s="242">
        <v>4</v>
      </c>
      <c r="D13819" s="270">
        <f t="shared" si="2082"/>
        <v>45812</v>
      </c>
      <c r="E13819" s="279">
        <f t="shared" si="2083"/>
        <v>45812</v>
      </c>
      <c r="F13819" s="478"/>
      <c r="G13819" s="243" t="s">
        <v>94</v>
      </c>
      <c r="H13819" s="243"/>
      <c r="I13819" s="263" t="s">
        <v>348</v>
      </c>
      <c r="J13819" s="244" t="s">
        <v>47</v>
      </c>
      <c r="K13819" s="245"/>
      <c r="L13819" s="245">
        <f>K13818</f>
        <v>118033.20503644949</v>
      </c>
      <c r="M13819" s="133">
        <v>2710.445510526622</v>
      </c>
    </row>
    <row r="13820" spans="1:14" x14ac:dyDescent="0.2">
      <c r="A13820" s="246">
        <v>2025</v>
      </c>
      <c r="B13820" s="238">
        <v>6</v>
      </c>
      <c r="C13820" s="238">
        <v>4</v>
      </c>
      <c r="D13820" s="270">
        <f t="shared" si="2082"/>
        <v>45812</v>
      </c>
      <c r="E13820" s="279">
        <f t="shared" si="2083"/>
        <v>45812</v>
      </c>
      <c r="F13820" s="482" t="s">
        <v>138</v>
      </c>
      <c r="G13820" s="247" t="s">
        <v>94</v>
      </c>
      <c r="H13820" s="247"/>
      <c r="I13820" s="248" t="s">
        <v>348</v>
      </c>
      <c r="J13820" s="249" t="s">
        <v>100</v>
      </c>
      <c r="K13820" s="250">
        <v>5420.891021053244</v>
      </c>
      <c r="L13820" s="252"/>
      <c r="N13820" s="160">
        <f>K13820*2</f>
        <v>10841.782042106488</v>
      </c>
    </row>
    <row r="13821" spans="1:14" x14ac:dyDescent="0.2">
      <c r="A13821" s="242">
        <v>2025</v>
      </c>
      <c r="B13821" s="242">
        <v>6</v>
      </c>
      <c r="C13821" s="242">
        <v>4</v>
      </c>
      <c r="D13821" s="321">
        <f t="shared" si="2082"/>
        <v>45812</v>
      </c>
      <c r="E13821" s="322">
        <f t="shared" si="2083"/>
        <v>45812</v>
      </c>
      <c r="F13821" s="478"/>
      <c r="G13821" s="243" t="s">
        <v>94</v>
      </c>
      <c r="H13821" s="243"/>
      <c r="I13821" s="263" t="s">
        <v>348</v>
      </c>
      <c r="J13821" s="244" t="s">
        <v>48</v>
      </c>
      <c r="K13821" s="245"/>
      <c r="L13821" s="245">
        <f>K13820</f>
        <v>5420.891021053244</v>
      </c>
    </row>
    <row r="13822" spans="1:14" ht="11.25" customHeight="1" x14ac:dyDescent="0.2">
      <c r="A13822" s="168">
        <v>2025</v>
      </c>
      <c r="B13822" s="168">
        <v>6</v>
      </c>
      <c r="C13822" s="168">
        <v>5</v>
      </c>
      <c r="D13822" s="141">
        <f t="shared" si="2082"/>
        <v>45813</v>
      </c>
      <c r="E13822" s="275">
        <f t="shared" si="2083"/>
        <v>45813</v>
      </c>
      <c r="F13822" s="479" t="s">
        <v>1319</v>
      </c>
      <c r="G13822" s="220" t="s">
        <v>74</v>
      </c>
      <c r="H13822" s="142"/>
      <c r="I13822" s="142"/>
      <c r="J13822" s="168" t="s">
        <v>52</v>
      </c>
      <c r="K13822" s="226">
        <v>12000</v>
      </c>
      <c r="L13822" s="226"/>
    </row>
    <row r="13823" spans="1:14" ht="11.25" customHeight="1" x14ac:dyDescent="0.2">
      <c r="A13823" s="133">
        <v>2025</v>
      </c>
      <c r="B13823" s="133">
        <v>6</v>
      </c>
      <c r="C13823" s="133">
        <v>5</v>
      </c>
      <c r="D13823" s="141">
        <f t="shared" si="2082"/>
        <v>45813</v>
      </c>
      <c r="E13823" s="275">
        <f t="shared" si="2083"/>
        <v>45813</v>
      </c>
      <c r="F13823" s="481"/>
      <c r="G13823" s="174" t="s">
        <v>74</v>
      </c>
      <c r="J13823" s="133" t="s">
        <v>13</v>
      </c>
      <c r="K13823" s="218"/>
      <c r="L13823" s="218">
        <v>9410</v>
      </c>
    </row>
    <row r="13824" spans="1:14" ht="11.25" customHeight="1" x14ac:dyDescent="0.2">
      <c r="A13824" s="163">
        <v>2025</v>
      </c>
      <c r="B13824" s="163">
        <v>6</v>
      </c>
      <c r="C13824" s="163">
        <v>5</v>
      </c>
      <c r="D13824" s="280">
        <f t="shared" si="2082"/>
        <v>45813</v>
      </c>
      <c r="E13824" s="281">
        <f t="shared" si="2083"/>
        <v>45813</v>
      </c>
      <c r="F13824" s="480"/>
      <c r="G13824" s="221" t="s">
        <v>74</v>
      </c>
      <c r="H13824" s="145"/>
      <c r="I13824" s="145"/>
      <c r="J13824" s="163" t="s">
        <v>53</v>
      </c>
      <c r="K13824" s="219"/>
      <c r="L13824" s="219">
        <v>2590</v>
      </c>
    </row>
    <row r="13825" spans="1:14" x14ac:dyDescent="0.2">
      <c r="A13825" s="168">
        <v>2025</v>
      </c>
      <c r="B13825" s="168">
        <v>6</v>
      </c>
      <c r="C13825" s="168">
        <v>15</v>
      </c>
      <c r="D13825" s="141">
        <f t="shared" ref="D13825:D13827" si="2084">DATE(A13825,B13825,C13825)</f>
        <v>45823</v>
      </c>
      <c r="E13825" s="275">
        <f t="shared" ref="E13825:E13827" si="2085">DATE(A13825,B13825,C13825)</f>
        <v>45823</v>
      </c>
      <c r="F13825" s="479" t="s">
        <v>1979</v>
      </c>
      <c r="G13825" s="220" t="s">
        <v>94</v>
      </c>
      <c r="H13825" s="220"/>
      <c r="I13825" s="142"/>
      <c r="J13825" s="143" t="s">
        <v>79</v>
      </c>
      <c r="K13825" s="226">
        <v>204900</v>
      </c>
      <c r="L13825" s="226"/>
      <c r="M13825" s="160"/>
    </row>
    <row r="13826" spans="1:14" x14ac:dyDescent="0.2">
      <c r="A13826" s="133">
        <v>2025</v>
      </c>
      <c r="B13826" s="133">
        <v>6</v>
      </c>
      <c r="C13826" s="133">
        <v>15</v>
      </c>
      <c r="D13826" s="141">
        <f t="shared" si="2084"/>
        <v>45823</v>
      </c>
      <c r="E13826" s="275">
        <f t="shared" si="2085"/>
        <v>45823</v>
      </c>
      <c r="F13826" s="481"/>
      <c r="G13826" s="174" t="s">
        <v>94</v>
      </c>
      <c r="H13826" s="174"/>
      <c r="J13826" s="149" t="s">
        <v>80</v>
      </c>
      <c r="K13826" s="218">
        <v>368.82</v>
      </c>
      <c r="L13826" s="133"/>
    </row>
    <row r="13827" spans="1:14" x14ac:dyDescent="0.2">
      <c r="A13827" s="163">
        <v>2025</v>
      </c>
      <c r="B13827" s="163">
        <v>6</v>
      </c>
      <c r="C13827" s="163">
        <v>15</v>
      </c>
      <c r="D13827" s="280">
        <f t="shared" si="2084"/>
        <v>45823</v>
      </c>
      <c r="E13827" s="281">
        <f t="shared" si="2085"/>
        <v>45823</v>
      </c>
      <c r="F13827" s="480"/>
      <c r="G13827" s="221" t="s">
        <v>94</v>
      </c>
      <c r="H13827" s="221"/>
      <c r="I13827" s="145"/>
      <c r="J13827" s="146" t="s">
        <v>147</v>
      </c>
      <c r="K13827" s="219"/>
      <c r="L13827" s="219">
        <v>205268.82</v>
      </c>
    </row>
    <row r="13828" spans="1:14" x14ac:dyDescent="0.2">
      <c r="A13828" s="168">
        <v>2025</v>
      </c>
      <c r="B13828" s="168">
        <v>6</v>
      </c>
      <c r="C13828" s="168">
        <v>15</v>
      </c>
      <c r="D13828" s="141">
        <f t="shared" ref="D13828:D13844" si="2086">DATE(A13828,B13828,C13828)</f>
        <v>45823</v>
      </c>
      <c r="E13828" s="275">
        <f t="shared" ref="E13828:E13844" si="2087">DATE(A13828,B13828,C13828)</f>
        <v>45823</v>
      </c>
      <c r="F13828" s="479" t="s">
        <v>2080</v>
      </c>
      <c r="G13828" s="220" t="s">
        <v>94</v>
      </c>
      <c r="H13828" s="220"/>
      <c r="I13828" s="142"/>
      <c r="J13828" s="143" t="s">
        <v>79</v>
      </c>
      <c r="K13828" s="226">
        <v>1825177.5</v>
      </c>
      <c r="L13828" s="226"/>
      <c r="M13828" s="160"/>
    </row>
    <row r="13829" spans="1:14" x14ac:dyDescent="0.2">
      <c r="A13829" s="133">
        <v>2025</v>
      </c>
      <c r="B13829" s="133">
        <v>6</v>
      </c>
      <c r="C13829" s="133">
        <v>15</v>
      </c>
      <c r="D13829" s="141">
        <f t="shared" si="2086"/>
        <v>45823</v>
      </c>
      <c r="E13829" s="275">
        <f t="shared" si="2087"/>
        <v>45823</v>
      </c>
      <c r="F13829" s="481"/>
      <c r="G13829" s="174" t="s">
        <v>94</v>
      </c>
      <c r="H13829" s="174"/>
      <c r="J13829" s="149" t="s">
        <v>80</v>
      </c>
      <c r="K13829" s="218">
        <v>3285.32</v>
      </c>
      <c r="L13829" s="133"/>
    </row>
    <row r="13830" spans="1:14" x14ac:dyDescent="0.2">
      <c r="A13830" s="163">
        <v>2025</v>
      </c>
      <c r="B13830" s="163">
        <v>6</v>
      </c>
      <c r="C13830" s="163">
        <v>15</v>
      </c>
      <c r="D13830" s="280">
        <f t="shared" si="2086"/>
        <v>45823</v>
      </c>
      <c r="E13830" s="281">
        <f t="shared" si="2087"/>
        <v>45823</v>
      </c>
      <c r="F13830" s="480"/>
      <c r="G13830" s="221" t="s">
        <v>94</v>
      </c>
      <c r="H13830" s="221"/>
      <c r="I13830" s="145"/>
      <c r="J13830" s="146" t="s">
        <v>147</v>
      </c>
      <c r="K13830" s="219"/>
      <c r="L13830" s="219">
        <v>1828462.82</v>
      </c>
    </row>
    <row r="13831" spans="1:14" ht="11.25" customHeight="1" x14ac:dyDescent="0.2">
      <c r="A13831" s="168">
        <v>2025</v>
      </c>
      <c r="B13831" s="133">
        <v>6</v>
      </c>
      <c r="C13831" s="168">
        <v>15</v>
      </c>
      <c r="D13831" s="141">
        <f t="shared" si="2086"/>
        <v>45823</v>
      </c>
      <c r="E13831" s="275">
        <f t="shared" si="2087"/>
        <v>45823</v>
      </c>
      <c r="F13831" s="479" t="s">
        <v>2082</v>
      </c>
      <c r="G13831" s="220" t="s">
        <v>74</v>
      </c>
      <c r="H13831" s="220"/>
      <c r="I13831" s="142"/>
      <c r="J13831" s="143" t="s">
        <v>52</v>
      </c>
      <c r="K13831" s="226">
        <v>595125</v>
      </c>
      <c r="L13831" s="226"/>
    </row>
    <row r="13832" spans="1:14" x14ac:dyDescent="0.2">
      <c r="A13832" s="163">
        <v>2025</v>
      </c>
      <c r="B13832" s="163">
        <v>6</v>
      </c>
      <c r="C13832" s="163">
        <v>15</v>
      </c>
      <c r="D13832" s="280">
        <f t="shared" si="2086"/>
        <v>45823</v>
      </c>
      <c r="E13832" s="281">
        <f t="shared" si="2087"/>
        <v>45823</v>
      </c>
      <c r="F13832" s="480"/>
      <c r="G13832" s="221" t="s">
        <v>74</v>
      </c>
      <c r="H13832" s="221"/>
      <c r="I13832" s="145"/>
      <c r="J13832" s="146" t="s">
        <v>1806</v>
      </c>
      <c r="K13832" s="219"/>
      <c r="L13832" s="219">
        <v>595125</v>
      </c>
    </row>
    <row r="13833" spans="1:14" ht="11.25" customHeight="1" x14ac:dyDescent="0.2">
      <c r="A13833" s="168">
        <v>2025</v>
      </c>
      <c r="B13833" s="133">
        <v>6</v>
      </c>
      <c r="C13833" s="168">
        <v>15</v>
      </c>
      <c r="D13833" s="141">
        <f t="shared" si="2086"/>
        <v>45823</v>
      </c>
      <c r="E13833" s="275">
        <f t="shared" si="2087"/>
        <v>45823</v>
      </c>
      <c r="F13833" s="479" t="s">
        <v>2064</v>
      </c>
      <c r="G13833" s="220" t="s">
        <v>74</v>
      </c>
      <c r="H13833" s="220"/>
      <c r="I13833" s="142"/>
      <c r="J13833" s="143" t="s">
        <v>147</v>
      </c>
      <c r="K13833" s="226">
        <v>581044</v>
      </c>
      <c r="L13833" s="226"/>
    </row>
    <row r="13834" spans="1:14" x14ac:dyDescent="0.2">
      <c r="A13834" s="163">
        <v>2025</v>
      </c>
      <c r="B13834" s="163">
        <v>6</v>
      </c>
      <c r="C13834" s="163">
        <v>15</v>
      </c>
      <c r="D13834" s="280">
        <f t="shared" si="2086"/>
        <v>45823</v>
      </c>
      <c r="E13834" s="281">
        <f t="shared" si="2087"/>
        <v>45823</v>
      </c>
      <c r="F13834" s="480"/>
      <c r="G13834" s="221" t="s">
        <v>74</v>
      </c>
      <c r="H13834" s="221"/>
      <c r="I13834" s="145"/>
      <c r="J13834" s="146" t="s">
        <v>52</v>
      </c>
      <c r="K13834" s="219"/>
      <c r="L13834" s="219">
        <v>581044</v>
      </c>
      <c r="N13834" s="264"/>
    </row>
    <row r="13835" spans="1:14" ht="11.25" customHeight="1" x14ac:dyDescent="0.2">
      <c r="A13835" s="168">
        <v>2025</v>
      </c>
      <c r="B13835" s="133">
        <v>6</v>
      </c>
      <c r="C13835" s="168">
        <v>15</v>
      </c>
      <c r="D13835" s="141">
        <f t="shared" si="2086"/>
        <v>45823</v>
      </c>
      <c r="E13835" s="275">
        <f t="shared" si="2087"/>
        <v>45823</v>
      </c>
      <c r="F13835" s="479" t="s">
        <v>2069</v>
      </c>
      <c r="G13835" s="220" t="s">
        <v>74</v>
      </c>
      <c r="H13835" s="220"/>
      <c r="I13835" s="142"/>
      <c r="J13835" s="143" t="s">
        <v>52</v>
      </c>
      <c r="K13835" s="226">
        <v>234477.18</v>
      </c>
      <c r="L13835" s="226"/>
    </row>
    <row r="13836" spans="1:14" x14ac:dyDescent="0.2">
      <c r="A13836" s="163">
        <v>2025</v>
      </c>
      <c r="B13836" s="163">
        <v>6</v>
      </c>
      <c r="C13836" s="163">
        <v>15</v>
      </c>
      <c r="D13836" s="280">
        <f t="shared" si="2086"/>
        <v>45823</v>
      </c>
      <c r="E13836" s="281">
        <f t="shared" si="2087"/>
        <v>45823</v>
      </c>
      <c r="F13836" s="480"/>
      <c r="G13836" s="221" t="s">
        <v>74</v>
      </c>
      <c r="H13836" s="221"/>
      <c r="I13836" s="145"/>
      <c r="J13836" s="146" t="s">
        <v>190</v>
      </c>
      <c r="K13836" s="219"/>
      <c r="L13836" s="219">
        <f>K13835</f>
        <v>234477.18</v>
      </c>
      <c r="N13836" s="264"/>
    </row>
    <row r="13837" spans="1:14" x14ac:dyDescent="0.2">
      <c r="A13837" s="168">
        <v>2025</v>
      </c>
      <c r="B13837" s="133">
        <v>6</v>
      </c>
      <c r="C13837" s="168">
        <v>15</v>
      </c>
      <c r="D13837" s="147">
        <f>DATE(A13837,B13837,C13837)</f>
        <v>45823</v>
      </c>
      <c r="E13837" s="311">
        <f>DATE(A13837,B13837,C13837)</f>
        <v>45823</v>
      </c>
      <c r="F13837" s="481" t="s">
        <v>1943</v>
      </c>
      <c r="G13837" s="174" t="s">
        <v>74</v>
      </c>
      <c r="I13837" s="148" t="s">
        <v>348</v>
      </c>
      <c r="J13837" s="133" t="s">
        <v>61</v>
      </c>
      <c r="K13837" s="172">
        <v>100</v>
      </c>
    </row>
    <row r="13838" spans="1:14" x14ac:dyDescent="0.2">
      <c r="A13838" s="163">
        <v>2025</v>
      </c>
      <c r="B13838" s="163">
        <v>6</v>
      </c>
      <c r="C13838" s="163">
        <v>15</v>
      </c>
      <c r="D13838" s="280">
        <f>DATE(A13838,B13838,C13838)</f>
        <v>45823</v>
      </c>
      <c r="E13838" s="281">
        <f>DATE(A13838,B13838,C13838)</f>
        <v>45823</v>
      </c>
      <c r="F13838" s="480"/>
      <c r="G13838" s="221" t="s">
        <v>74</v>
      </c>
      <c r="H13838" s="145"/>
      <c r="I13838" s="145" t="s">
        <v>348</v>
      </c>
      <c r="J13838" s="163" t="s">
        <v>52</v>
      </c>
      <c r="K13838" s="219"/>
      <c r="L13838" s="219">
        <v>100</v>
      </c>
    </row>
    <row r="13839" spans="1:14" ht="11.25" customHeight="1" x14ac:dyDescent="0.2">
      <c r="A13839" s="168">
        <v>2025</v>
      </c>
      <c r="B13839" s="168">
        <v>6</v>
      </c>
      <c r="C13839" s="168">
        <v>15</v>
      </c>
      <c r="D13839" s="141">
        <f t="shared" ref="D13839:D13841" si="2088">DATE(A13839,B13839,C13839)</f>
        <v>45823</v>
      </c>
      <c r="E13839" s="275">
        <f t="shared" ref="E13839:E13841" si="2089">DATE(A13839,B13839,C13839)</f>
        <v>45823</v>
      </c>
      <c r="F13839" s="479" t="s">
        <v>1319</v>
      </c>
      <c r="G13839" s="220" t="s">
        <v>74</v>
      </c>
      <c r="H13839" s="142"/>
      <c r="I13839" s="142"/>
      <c r="J13839" s="168" t="s">
        <v>52</v>
      </c>
      <c r="K13839" s="226">
        <v>2000</v>
      </c>
      <c r="L13839" s="226"/>
    </row>
    <row r="13840" spans="1:14" ht="11.25" customHeight="1" x14ac:dyDescent="0.2">
      <c r="A13840" s="133">
        <v>2025</v>
      </c>
      <c r="B13840" s="133">
        <v>6</v>
      </c>
      <c r="C13840" s="133">
        <v>15</v>
      </c>
      <c r="D13840" s="141">
        <f t="shared" si="2088"/>
        <v>45823</v>
      </c>
      <c r="E13840" s="275">
        <f t="shared" si="2089"/>
        <v>45823</v>
      </c>
      <c r="F13840" s="481"/>
      <c r="G13840" s="174" t="s">
        <v>74</v>
      </c>
      <c r="J13840" s="133" t="s">
        <v>13</v>
      </c>
      <c r="K13840" s="218"/>
      <c r="L13840" s="218">
        <v>1570</v>
      </c>
    </row>
    <row r="13841" spans="1:14" ht="11.25" customHeight="1" x14ac:dyDescent="0.2">
      <c r="A13841" s="163">
        <v>2025</v>
      </c>
      <c r="B13841" s="163">
        <v>6</v>
      </c>
      <c r="C13841" s="163">
        <v>15</v>
      </c>
      <c r="D13841" s="280">
        <f t="shared" si="2088"/>
        <v>45823</v>
      </c>
      <c r="E13841" s="281">
        <f t="shared" si="2089"/>
        <v>45823</v>
      </c>
      <c r="F13841" s="480"/>
      <c r="G13841" s="221" t="s">
        <v>74</v>
      </c>
      <c r="H13841" s="145"/>
      <c r="I13841" s="145"/>
      <c r="J13841" s="163" t="s">
        <v>53</v>
      </c>
      <c r="K13841" s="219"/>
      <c r="L13841" s="219">
        <v>430</v>
      </c>
    </row>
    <row r="13842" spans="1:14" x14ac:dyDescent="0.2">
      <c r="A13842" s="168">
        <v>2025</v>
      </c>
      <c r="B13842" s="168">
        <v>6</v>
      </c>
      <c r="C13842" s="168">
        <v>16</v>
      </c>
      <c r="D13842" s="141">
        <f t="shared" si="2086"/>
        <v>45824</v>
      </c>
      <c r="E13842" s="275">
        <f t="shared" si="2087"/>
        <v>45824</v>
      </c>
      <c r="F13842" s="479" t="s">
        <v>1979</v>
      </c>
      <c r="G13842" s="220" t="s">
        <v>94</v>
      </c>
      <c r="H13842" s="220"/>
      <c r="I13842" s="142"/>
      <c r="J13842" s="143" t="s">
        <v>79</v>
      </c>
      <c r="K13842" s="226">
        <v>332694</v>
      </c>
      <c r="L13842" s="226"/>
      <c r="M13842" s="160"/>
    </row>
    <row r="13843" spans="1:14" x14ac:dyDescent="0.2">
      <c r="A13843" s="133">
        <v>2025</v>
      </c>
      <c r="B13843" s="133">
        <v>6</v>
      </c>
      <c r="C13843" s="133">
        <v>16</v>
      </c>
      <c r="D13843" s="141">
        <f t="shared" si="2086"/>
        <v>45824</v>
      </c>
      <c r="E13843" s="275">
        <f t="shared" si="2087"/>
        <v>45824</v>
      </c>
      <c r="F13843" s="481"/>
      <c r="G13843" s="174" t="s">
        <v>94</v>
      </c>
      <c r="H13843" s="174"/>
      <c r="J13843" s="149" t="s">
        <v>80</v>
      </c>
      <c r="K13843" s="218">
        <v>598.85</v>
      </c>
      <c r="L13843" s="133"/>
    </row>
    <row r="13844" spans="1:14" x14ac:dyDescent="0.2">
      <c r="A13844" s="163">
        <v>2025</v>
      </c>
      <c r="B13844" s="163">
        <v>6</v>
      </c>
      <c r="C13844" s="163">
        <v>16</v>
      </c>
      <c r="D13844" s="280">
        <f t="shared" si="2086"/>
        <v>45824</v>
      </c>
      <c r="E13844" s="281">
        <f t="shared" si="2087"/>
        <v>45824</v>
      </c>
      <c r="F13844" s="480"/>
      <c r="G13844" s="221" t="s">
        <v>94</v>
      </c>
      <c r="H13844" s="221"/>
      <c r="I13844" s="145"/>
      <c r="J13844" s="146" t="s">
        <v>147</v>
      </c>
      <c r="K13844" s="219"/>
      <c r="L13844" s="219">
        <v>333292.84999999998</v>
      </c>
    </row>
    <row r="13845" spans="1:14" ht="11.25" customHeight="1" x14ac:dyDescent="0.2">
      <c r="A13845" s="168">
        <v>2025</v>
      </c>
      <c r="B13845" s="133">
        <v>6</v>
      </c>
      <c r="C13845" s="168">
        <v>16</v>
      </c>
      <c r="D13845" s="141">
        <f t="shared" ref="D13845:D13847" si="2090">DATE(A13845,B13845,C13845)</f>
        <v>45824</v>
      </c>
      <c r="E13845" s="275">
        <f t="shared" ref="E13845:E13847" si="2091">DATE(A13845,B13845,C13845)</f>
        <v>45824</v>
      </c>
      <c r="F13845" s="479" t="s">
        <v>2031</v>
      </c>
      <c r="G13845" s="220" t="s">
        <v>74</v>
      </c>
      <c r="H13845" s="220"/>
      <c r="I13845" s="142"/>
      <c r="J13845" s="143" t="s">
        <v>52</v>
      </c>
      <c r="K13845" s="226">
        <v>1357684</v>
      </c>
      <c r="L13845" s="226"/>
    </row>
    <row r="13846" spans="1:14" x14ac:dyDescent="0.2">
      <c r="A13846" s="163">
        <v>2025</v>
      </c>
      <c r="B13846" s="163">
        <v>6</v>
      </c>
      <c r="C13846" s="163">
        <v>16</v>
      </c>
      <c r="D13846" s="280">
        <f t="shared" si="2090"/>
        <v>45824</v>
      </c>
      <c r="E13846" s="281">
        <f t="shared" si="2091"/>
        <v>45824</v>
      </c>
      <c r="F13846" s="480"/>
      <c r="G13846" s="221" t="s">
        <v>74</v>
      </c>
      <c r="H13846" s="221"/>
      <c r="I13846" s="145"/>
      <c r="J13846" s="146" t="s">
        <v>190</v>
      </c>
      <c r="K13846" s="219"/>
      <c r="L13846" s="219">
        <f>K13845</f>
        <v>1357684</v>
      </c>
      <c r="N13846" s="264"/>
    </row>
    <row r="13847" spans="1:14" x14ac:dyDescent="0.2">
      <c r="A13847" s="168">
        <v>2025</v>
      </c>
      <c r="B13847" s="168">
        <v>6</v>
      </c>
      <c r="C13847" s="133">
        <v>16</v>
      </c>
      <c r="D13847" s="141">
        <f t="shared" si="2090"/>
        <v>45824</v>
      </c>
      <c r="E13847" s="275">
        <f t="shared" si="2091"/>
        <v>45824</v>
      </c>
      <c r="F13847" s="481" t="s">
        <v>2006</v>
      </c>
      <c r="G13847" s="174" t="s">
        <v>74</v>
      </c>
      <c r="H13847" s="174"/>
      <c r="J13847" s="149" t="s">
        <v>1906</v>
      </c>
      <c r="K13847" s="218">
        <v>62.5</v>
      </c>
      <c r="L13847" s="218"/>
    </row>
    <row r="13848" spans="1:14" x14ac:dyDescent="0.2">
      <c r="A13848" s="133">
        <v>2025</v>
      </c>
      <c r="B13848" s="133">
        <v>6</v>
      </c>
      <c r="C13848" s="133">
        <v>16</v>
      </c>
      <c r="D13848" s="141">
        <v>45771</v>
      </c>
      <c r="E13848" s="275">
        <v>45771</v>
      </c>
      <c r="F13848" s="481"/>
      <c r="G13848" s="174" t="s">
        <v>74</v>
      </c>
      <c r="H13848" s="174"/>
      <c r="J13848" s="149" t="s">
        <v>1907</v>
      </c>
      <c r="K13848" s="218">
        <v>150</v>
      </c>
      <c r="L13848" s="218"/>
    </row>
    <row r="13849" spans="1:14" x14ac:dyDescent="0.2">
      <c r="A13849" s="133">
        <v>2025</v>
      </c>
      <c r="B13849" s="133">
        <v>6</v>
      </c>
      <c r="C13849" s="133">
        <v>16</v>
      </c>
      <c r="D13849" s="141">
        <v>45771</v>
      </c>
      <c r="E13849" s="275">
        <v>45771</v>
      </c>
      <c r="F13849" s="481"/>
      <c r="G13849" s="174" t="s">
        <v>74</v>
      </c>
      <c r="H13849" s="174"/>
      <c r="J13849" s="149" t="s">
        <v>534</v>
      </c>
      <c r="K13849" s="218">
        <v>18000</v>
      </c>
      <c r="L13849" s="218"/>
    </row>
    <row r="13850" spans="1:14" x14ac:dyDescent="0.2">
      <c r="A13850" s="133">
        <v>2025</v>
      </c>
      <c r="B13850" s="133">
        <v>6</v>
      </c>
      <c r="C13850" s="133">
        <v>16</v>
      </c>
      <c r="D13850" s="141">
        <v>45771</v>
      </c>
      <c r="E13850" s="275">
        <v>45771</v>
      </c>
      <c r="F13850" s="481"/>
      <c r="G13850" s="174" t="s">
        <v>74</v>
      </c>
      <c r="H13850" s="174"/>
      <c r="J13850" s="149" t="s">
        <v>534</v>
      </c>
      <c r="K13850" s="218">
        <v>532.46</v>
      </c>
      <c r="L13850" s="218"/>
    </row>
    <row r="13851" spans="1:14" x14ac:dyDescent="0.2">
      <c r="A13851" s="163">
        <v>2025</v>
      </c>
      <c r="B13851" s="163">
        <v>6</v>
      </c>
      <c r="C13851" s="163">
        <v>16</v>
      </c>
      <c r="D13851" s="280">
        <f t="shared" ref="D13851" si="2092">DATE(A13851,B13851,C13851)</f>
        <v>45824</v>
      </c>
      <c r="E13851" s="281">
        <f t="shared" ref="E13851" si="2093">DATE(A13851,B13851,C13851)</f>
        <v>45824</v>
      </c>
      <c r="F13851" s="480"/>
      <c r="G13851" s="221" t="s">
        <v>74</v>
      </c>
      <c r="H13851" s="221"/>
      <c r="I13851" s="145"/>
      <c r="J13851" s="146" t="s">
        <v>52</v>
      </c>
      <c r="K13851" s="219"/>
      <c r="L13851" s="219">
        <v>18744.96</v>
      </c>
    </row>
    <row r="13852" spans="1:14" x14ac:dyDescent="0.2">
      <c r="A13852" s="168">
        <v>2025</v>
      </c>
      <c r="B13852" s="168">
        <v>6</v>
      </c>
      <c r="C13852" s="168">
        <v>17</v>
      </c>
      <c r="D13852" s="141">
        <f t="shared" ref="D13852:D13856" si="2094">DATE(A13852,B13852,C13852)</f>
        <v>45825</v>
      </c>
      <c r="E13852" s="275">
        <f t="shared" ref="E13852:E13856" si="2095">DATE(A13852,B13852,C13852)</f>
        <v>45825</v>
      </c>
      <c r="F13852" s="479" t="s">
        <v>2080</v>
      </c>
      <c r="G13852" s="220" t="s">
        <v>94</v>
      </c>
      <c r="H13852" s="220"/>
      <c r="I13852" s="142"/>
      <c r="J13852" s="143" t="s">
        <v>79</v>
      </c>
      <c r="K13852" s="226">
        <v>502000</v>
      </c>
      <c r="L13852" s="226"/>
      <c r="M13852" s="160"/>
    </row>
    <row r="13853" spans="1:14" x14ac:dyDescent="0.2">
      <c r="A13853" s="133">
        <v>2025</v>
      </c>
      <c r="B13853" s="133">
        <v>6</v>
      </c>
      <c r="C13853" s="133">
        <v>17</v>
      </c>
      <c r="D13853" s="141">
        <f t="shared" si="2094"/>
        <v>45825</v>
      </c>
      <c r="E13853" s="275">
        <f t="shared" si="2095"/>
        <v>45825</v>
      </c>
      <c r="F13853" s="481"/>
      <c r="G13853" s="174" t="s">
        <v>94</v>
      </c>
      <c r="H13853" s="174"/>
      <c r="J13853" s="149" t="s">
        <v>80</v>
      </c>
      <c r="K13853" s="218">
        <v>903.6</v>
      </c>
      <c r="L13853" s="133"/>
    </row>
    <row r="13854" spans="1:14" x14ac:dyDescent="0.2">
      <c r="A13854" s="163">
        <v>2025</v>
      </c>
      <c r="B13854" s="163">
        <v>6</v>
      </c>
      <c r="C13854" s="163">
        <v>17</v>
      </c>
      <c r="D13854" s="280">
        <f t="shared" si="2094"/>
        <v>45825</v>
      </c>
      <c r="E13854" s="281">
        <f t="shared" si="2095"/>
        <v>45825</v>
      </c>
      <c r="F13854" s="480"/>
      <c r="G13854" s="221" t="s">
        <v>94</v>
      </c>
      <c r="H13854" s="221"/>
      <c r="I13854" s="145"/>
      <c r="J13854" s="146" t="s">
        <v>147</v>
      </c>
      <c r="K13854" s="219"/>
      <c r="L13854" s="219">
        <v>502903.6</v>
      </c>
    </row>
    <row r="13855" spans="1:14" ht="11.25" customHeight="1" x14ac:dyDescent="0.2">
      <c r="A13855" s="168">
        <v>2025</v>
      </c>
      <c r="B13855" s="133">
        <v>6</v>
      </c>
      <c r="C13855" s="168">
        <v>17</v>
      </c>
      <c r="D13855" s="141">
        <f t="shared" si="2094"/>
        <v>45825</v>
      </c>
      <c r="E13855" s="275">
        <f t="shared" si="2095"/>
        <v>45825</v>
      </c>
      <c r="F13855" s="479" t="s">
        <v>2002</v>
      </c>
      <c r="G13855" s="220" t="s">
        <v>74</v>
      </c>
      <c r="H13855" s="220"/>
      <c r="I13855" s="142"/>
      <c r="J13855" s="143" t="s">
        <v>147</v>
      </c>
      <c r="K13855" s="226">
        <v>205268.82</v>
      </c>
      <c r="L13855" s="226"/>
    </row>
    <row r="13856" spans="1:14" x14ac:dyDescent="0.2">
      <c r="A13856" s="163">
        <v>2025</v>
      </c>
      <c r="B13856" s="163">
        <v>6</v>
      </c>
      <c r="C13856" s="163">
        <v>17</v>
      </c>
      <c r="D13856" s="280">
        <f t="shared" si="2094"/>
        <v>45825</v>
      </c>
      <c r="E13856" s="281">
        <f t="shared" si="2095"/>
        <v>45825</v>
      </c>
      <c r="F13856" s="480"/>
      <c r="G13856" s="221" t="s">
        <v>74</v>
      </c>
      <c r="H13856" s="221"/>
      <c r="I13856" s="145"/>
      <c r="J13856" s="146" t="s">
        <v>52</v>
      </c>
      <c r="K13856" s="219"/>
      <c r="L13856" s="219">
        <v>205268.82</v>
      </c>
      <c r="N13856" s="264"/>
    </row>
    <row r="13857" spans="1:17" ht="11.25" customHeight="1" x14ac:dyDescent="0.2">
      <c r="A13857" s="168">
        <v>2025</v>
      </c>
      <c r="B13857" s="133">
        <v>6</v>
      </c>
      <c r="C13857" s="168">
        <v>17</v>
      </c>
      <c r="D13857" s="141">
        <f t="shared" ref="D13857:D13858" si="2096">DATE(A13857,B13857,C13857)</f>
        <v>45825</v>
      </c>
      <c r="E13857" s="275">
        <f t="shared" ref="E13857:E13858" si="2097">DATE(A13857,B13857,C13857)</f>
        <v>45825</v>
      </c>
      <c r="F13857" s="479" t="s">
        <v>2064</v>
      </c>
      <c r="G13857" s="220" t="s">
        <v>74</v>
      </c>
      <c r="H13857" s="220"/>
      <c r="I13857" s="142"/>
      <c r="J13857" s="143" t="s">
        <v>147</v>
      </c>
      <c r="K13857" s="226">
        <v>1828462.82</v>
      </c>
      <c r="L13857" s="226"/>
    </row>
    <row r="13858" spans="1:17" x14ac:dyDescent="0.2">
      <c r="A13858" s="163">
        <v>2025</v>
      </c>
      <c r="B13858" s="163">
        <v>6</v>
      </c>
      <c r="C13858" s="163">
        <v>17</v>
      </c>
      <c r="D13858" s="280">
        <f t="shared" si="2096"/>
        <v>45825</v>
      </c>
      <c r="E13858" s="281">
        <f t="shared" si="2097"/>
        <v>45825</v>
      </c>
      <c r="F13858" s="480"/>
      <c r="G13858" s="221" t="s">
        <v>74</v>
      </c>
      <c r="H13858" s="221"/>
      <c r="I13858" s="145"/>
      <c r="J13858" s="146" t="s">
        <v>52</v>
      </c>
      <c r="K13858" s="219"/>
      <c r="L13858" s="219">
        <v>1828462.82</v>
      </c>
      <c r="N13858" s="264"/>
    </row>
    <row r="13859" spans="1:17" x14ac:dyDescent="0.2">
      <c r="A13859" s="168">
        <v>2025</v>
      </c>
      <c r="B13859" s="133">
        <v>6</v>
      </c>
      <c r="C13859" s="168">
        <v>17</v>
      </c>
      <c r="D13859" s="147">
        <f>DATE(A13859,B13859,C13859)</f>
        <v>45825</v>
      </c>
      <c r="E13859" s="311">
        <f>DATE(A13859,B13859,C13859)</f>
        <v>45825</v>
      </c>
      <c r="F13859" s="481" t="s">
        <v>1943</v>
      </c>
      <c r="G13859" s="174" t="s">
        <v>74</v>
      </c>
      <c r="I13859" s="148" t="s">
        <v>348</v>
      </c>
      <c r="J13859" s="133" t="s">
        <v>61</v>
      </c>
      <c r="K13859" s="172">
        <v>158</v>
      </c>
    </row>
    <row r="13860" spans="1:17" x14ac:dyDescent="0.2">
      <c r="A13860" s="163">
        <v>2025</v>
      </c>
      <c r="B13860" s="163">
        <v>6</v>
      </c>
      <c r="C13860" s="163">
        <v>17</v>
      </c>
      <c r="D13860" s="280">
        <f>DATE(A13860,B13860,C13860)</f>
        <v>45825</v>
      </c>
      <c r="E13860" s="281">
        <f>DATE(A13860,B13860,C13860)</f>
        <v>45825</v>
      </c>
      <c r="F13860" s="480"/>
      <c r="G13860" s="221" t="s">
        <v>74</v>
      </c>
      <c r="H13860" s="145"/>
      <c r="I13860" s="145" t="s">
        <v>348</v>
      </c>
      <c r="J13860" s="163" t="s">
        <v>52</v>
      </c>
      <c r="K13860" s="219"/>
      <c r="L13860" s="219">
        <v>158</v>
      </c>
    </row>
    <row r="13861" spans="1:17" ht="11.25" customHeight="1" x14ac:dyDescent="0.2">
      <c r="A13861" s="168">
        <v>2025</v>
      </c>
      <c r="B13861" s="133">
        <v>6</v>
      </c>
      <c r="C13861" s="168">
        <v>18</v>
      </c>
      <c r="D13861" s="141">
        <f t="shared" ref="D13861:D13867" si="2098">DATE(A13861,B13861,C13861)</f>
        <v>45826</v>
      </c>
      <c r="E13861" s="275">
        <f t="shared" ref="E13861:E13867" si="2099">DATE(A13861,B13861,C13861)</f>
        <v>45826</v>
      </c>
      <c r="F13861" s="479" t="s">
        <v>2002</v>
      </c>
      <c r="G13861" s="220" t="s">
        <v>74</v>
      </c>
      <c r="H13861" s="220"/>
      <c r="I13861" s="142"/>
      <c r="J13861" s="143" t="s">
        <v>147</v>
      </c>
      <c r="K13861" s="226">
        <v>333292.84999999998</v>
      </c>
      <c r="L13861" s="226"/>
    </row>
    <row r="13862" spans="1:17" x14ac:dyDescent="0.2">
      <c r="A13862" s="163">
        <v>2025</v>
      </c>
      <c r="B13862" s="163">
        <v>6</v>
      </c>
      <c r="C13862" s="163">
        <v>18</v>
      </c>
      <c r="D13862" s="280">
        <f t="shared" si="2098"/>
        <v>45826</v>
      </c>
      <c r="E13862" s="281">
        <f t="shared" si="2099"/>
        <v>45826</v>
      </c>
      <c r="F13862" s="480"/>
      <c r="G13862" s="221" t="s">
        <v>74</v>
      </c>
      <c r="H13862" s="221"/>
      <c r="I13862" s="145"/>
      <c r="J13862" s="146" t="s">
        <v>52</v>
      </c>
      <c r="K13862" s="219"/>
      <c r="L13862" s="219">
        <v>333292.84999999998</v>
      </c>
      <c r="N13862" s="264"/>
    </row>
    <row r="13863" spans="1:17" x14ac:dyDescent="0.2">
      <c r="A13863" s="133">
        <v>2025</v>
      </c>
      <c r="B13863" s="133">
        <v>6</v>
      </c>
      <c r="C13863" s="133">
        <v>18</v>
      </c>
      <c r="D13863" s="141">
        <f t="shared" si="2098"/>
        <v>45826</v>
      </c>
      <c r="E13863" s="275">
        <f t="shared" si="2099"/>
        <v>45826</v>
      </c>
      <c r="F13863" s="479" t="s">
        <v>2084</v>
      </c>
      <c r="G13863" s="174" t="s">
        <v>74</v>
      </c>
      <c r="H13863" s="174"/>
      <c r="I13863" s="148" t="s">
        <v>348</v>
      </c>
      <c r="J13863" s="143" t="s">
        <v>1805</v>
      </c>
      <c r="K13863" s="218">
        <v>2017851.48</v>
      </c>
      <c r="L13863" s="218"/>
      <c r="M13863" s="147"/>
      <c r="Q13863" s="133" t="s">
        <v>348</v>
      </c>
    </row>
    <row r="13864" spans="1:17" x14ac:dyDescent="0.2">
      <c r="A13864" s="163">
        <v>2025</v>
      </c>
      <c r="B13864" s="163">
        <v>6</v>
      </c>
      <c r="C13864" s="163">
        <v>18</v>
      </c>
      <c r="D13864" s="280">
        <f t="shared" si="2098"/>
        <v>45826</v>
      </c>
      <c r="E13864" s="281">
        <f t="shared" si="2099"/>
        <v>45826</v>
      </c>
      <c r="F13864" s="480"/>
      <c r="G13864" s="221" t="s">
        <v>74</v>
      </c>
      <c r="H13864" s="221"/>
      <c r="I13864" s="145"/>
      <c r="J13864" s="146" t="s">
        <v>52</v>
      </c>
      <c r="K13864" s="219"/>
      <c r="L13864" s="219">
        <v>2017851.48</v>
      </c>
      <c r="M13864" s="147"/>
      <c r="Q13864" s="133" t="s">
        <v>348</v>
      </c>
    </row>
    <row r="13865" spans="1:17" ht="11.25" customHeight="1" x14ac:dyDescent="0.2">
      <c r="A13865" s="168">
        <v>2025</v>
      </c>
      <c r="B13865" s="168">
        <v>6</v>
      </c>
      <c r="C13865" s="168">
        <v>19</v>
      </c>
      <c r="D13865" s="141">
        <f t="shared" si="2098"/>
        <v>45827</v>
      </c>
      <c r="E13865" s="275">
        <f t="shared" si="2099"/>
        <v>45827</v>
      </c>
      <c r="F13865" s="479" t="s">
        <v>964</v>
      </c>
      <c r="G13865" s="220" t="s">
        <v>74</v>
      </c>
      <c r="H13865" s="142"/>
      <c r="I13865" s="142" t="s">
        <v>1655</v>
      </c>
      <c r="J13865" s="168" t="s">
        <v>52</v>
      </c>
      <c r="K13865" s="226">
        <v>5361300</v>
      </c>
      <c r="L13865" s="226"/>
    </row>
    <row r="13866" spans="1:17" ht="11.25" customHeight="1" x14ac:dyDescent="0.2">
      <c r="A13866" s="133">
        <v>2025</v>
      </c>
      <c r="B13866" s="133">
        <v>6</v>
      </c>
      <c r="C13866" s="133">
        <v>19</v>
      </c>
      <c r="D13866" s="141">
        <f t="shared" si="2098"/>
        <v>45827</v>
      </c>
      <c r="E13866" s="275">
        <f t="shared" si="2099"/>
        <v>45827</v>
      </c>
      <c r="F13866" s="481"/>
      <c r="G13866" s="174" t="s">
        <v>74</v>
      </c>
      <c r="I13866" s="148" t="s">
        <v>1655</v>
      </c>
      <c r="J13866" s="133" t="s">
        <v>13</v>
      </c>
      <c r="K13866" s="218"/>
      <c r="L13866" s="218">
        <v>4200000</v>
      </c>
    </row>
    <row r="13867" spans="1:17" ht="11.25" customHeight="1" x14ac:dyDescent="0.2">
      <c r="A13867" s="163">
        <v>2025</v>
      </c>
      <c r="B13867" s="163">
        <v>6</v>
      </c>
      <c r="C13867" s="163">
        <v>19</v>
      </c>
      <c r="D13867" s="280">
        <f t="shared" si="2098"/>
        <v>45827</v>
      </c>
      <c r="E13867" s="281">
        <f t="shared" si="2099"/>
        <v>45827</v>
      </c>
      <c r="F13867" s="480"/>
      <c r="G13867" s="221" t="s">
        <v>74</v>
      </c>
      <c r="H13867" s="145"/>
      <c r="I13867" s="145" t="s">
        <v>1655</v>
      </c>
      <c r="J13867" s="163" t="s">
        <v>53</v>
      </c>
      <c r="K13867" s="219"/>
      <c r="L13867" s="219">
        <v>1161300</v>
      </c>
    </row>
    <row r="13868" spans="1:17" ht="11.25" customHeight="1" x14ac:dyDescent="0.2">
      <c r="A13868" s="168">
        <v>2025</v>
      </c>
      <c r="B13868" s="168">
        <v>6</v>
      </c>
      <c r="C13868" s="168">
        <v>19</v>
      </c>
      <c r="D13868" s="141">
        <f t="shared" ref="D13868:D13910" si="2100">DATE(A13868,B13868,C13868)</f>
        <v>45827</v>
      </c>
      <c r="E13868" s="275">
        <f t="shared" ref="E13868:E13910" si="2101">DATE(A13868,B13868,C13868)</f>
        <v>45827</v>
      </c>
      <c r="F13868" s="479" t="s">
        <v>964</v>
      </c>
      <c r="G13868" s="220" t="s">
        <v>74</v>
      </c>
      <c r="H13868" s="142"/>
      <c r="I13868" s="142" t="s">
        <v>1353</v>
      </c>
      <c r="J13868" s="168" t="s">
        <v>52</v>
      </c>
      <c r="K13868" s="226">
        <v>510600</v>
      </c>
      <c r="L13868" s="226"/>
    </row>
    <row r="13869" spans="1:17" ht="11.25" customHeight="1" x14ac:dyDescent="0.2">
      <c r="A13869" s="133">
        <v>2025</v>
      </c>
      <c r="B13869" s="133">
        <v>6</v>
      </c>
      <c r="C13869" s="133">
        <v>19</v>
      </c>
      <c r="D13869" s="141">
        <f t="shared" si="2100"/>
        <v>45827</v>
      </c>
      <c r="E13869" s="275">
        <f t="shared" si="2101"/>
        <v>45827</v>
      </c>
      <c r="F13869" s="481"/>
      <c r="G13869" s="174" t="s">
        <v>74</v>
      </c>
      <c r="I13869" s="148" t="s">
        <v>1353</v>
      </c>
      <c r="J13869" s="133" t="s">
        <v>13</v>
      </c>
      <c r="K13869" s="218"/>
      <c r="L13869" s="218">
        <v>400000</v>
      </c>
    </row>
    <row r="13870" spans="1:17" ht="11.25" customHeight="1" x14ac:dyDescent="0.2">
      <c r="A13870" s="163">
        <v>2025</v>
      </c>
      <c r="B13870" s="163">
        <v>6</v>
      </c>
      <c r="C13870" s="163">
        <v>19</v>
      </c>
      <c r="D13870" s="280">
        <f t="shared" si="2100"/>
        <v>45827</v>
      </c>
      <c r="E13870" s="281">
        <f t="shared" si="2101"/>
        <v>45827</v>
      </c>
      <c r="F13870" s="480"/>
      <c r="G13870" s="221" t="s">
        <v>74</v>
      </c>
      <c r="H13870" s="145"/>
      <c r="I13870" s="145" t="s">
        <v>1353</v>
      </c>
      <c r="J13870" s="163" t="s">
        <v>53</v>
      </c>
      <c r="K13870" s="219"/>
      <c r="L13870" s="219">
        <v>110600</v>
      </c>
    </row>
    <row r="13871" spans="1:17" ht="11.25" customHeight="1" x14ac:dyDescent="0.2">
      <c r="A13871" s="168">
        <v>2025</v>
      </c>
      <c r="B13871" s="133">
        <v>6</v>
      </c>
      <c r="C13871" s="168">
        <v>19</v>
      </c>
      <c r="D13871" s="141">
        <f t="shared" si="2100"/>
        <v>45827</v>
      </c>
      <c r="E13871" s="275">
        <f t="shared" si="2101"/>
        <v>45827</v>
      </c>
      <c r="F13871" s="479" t="s">
        <v>2064</v>
      </c>
      <c r="G13871" s="220" t="s">
        <v>74</v>
      </c>
      <c r="H13871" s="220"/>
      <c r="I13871" s="142"/>
      <c r="J13871" s="143" t="s">
        <v>147</v>
      </c>
      <c r="K13871" s="226">
        <v>502903.6</v>
      </c>
      <c r="L13871" s="226"/>
    </row>
    <row r="13872" spans="1:17" x14ac:dyDescent="0.2">
      <c r="A13872" s="163">
        <v>2025</v>
      </c>
      <c r="B13872" s="163">
        <v>6</v>
      </c>
      <c r="C13872" s="163">
        <v>19</v>
      </c>
      <c r="D13872" s="280">
        <f t="shared" si="2100"/>
        <v>45827</v>
      </c>
      <c r="E13872" s="281">
        <f t="shared" si="2101"/>
        <v>45827</v>
      </c>
      <c r="F13872" s="480"/>
      <c r="G13872" s="221" t="s">
        <v>74</v>
      </c>
      <c r="H13872" s="221"/>
      <c r="I13872" s="145"/>
      <c r="J13872" s="146" t="s">
        <v>52</v>
      </c>
      <c r="K13872" s="219"/>
      <c r="L13872" s="219">
        <v>502903.6</v>
      </c>
      <c r="N13872" s="264"/>
    </row>
    <row r="13873" spans="1:13" x14ac:dyDescent="0.2">
      <c r="A13873" s="133">
        <v>2025</v>
      </c>
      <c r="B13873" s="133">
        <v>6</v>
      </c>
      <c r="C13873" s="133">
        <v>19</v>
      </c>
      <c r="D13873" s="141">
        <f t="shared" si="2100"/>
        <v>45827</v>
      </c>
      <c r="E13873" s="275">
        <f t="shared" si="2101"/>
        <v>45827</v>
      </c>
      <c r="F13873" s="481" t="s">
        <v>2085</v>
      </c>
      <c r="G13873" s="174" t="s">
        <v>94</v>
      </c>
      <c r="H13873" s="174"/>
      <c r="J13873" s="149" t="s">
        <v>52</v>
      </c>
      <c r="K13873" s="218">
        <v>1451396.32</v>
      </c>
      <c r="L13873" s="133"/>
    </row>
    <row r="13874" spans="1:13" x14ac:dyDescent="0.2">
      <c r="A13874" s="133">
        <v>2025</v>
      </c>
      <c r="B13874" s="133">
        <v>6</v>
      </c>
      <c r="C13874" s="133">
        <v>19</v>
      </c>
      <c r="D13874" s="141">
        <f t="shared" si="2100"/>
        <v>45827</v>
      </c>
      <c r="E13874" s="275">
        <f t="shared" si="2101"/>
        <v>45827</v>
      </c>
      <c r="F13874" s="481"/>
      <c r="G13874" s="174" t="s">
        <v>94</v>
      </c>
      <c r="H13874" s="174"/>
      <c r="J13874" s="149" t="s">
        <v>191</v>
      </c>
      <c r="K13874" s="218">
        <v>548613.92000000004</v>
      </c>
      <c r="L13874" s="218"/>
    </row>
    <row r="13875" spans="1:13" x14ac:dyDescent="0.2">
      <c r="A13875" s="163">
        <v>2025</v>
      </c>
      <c r="B13875" s="163">
        <v>6</v>
      </c>
      <c r="C13875" s="163">
        <v>19</v>
      </c>
      <c r="D13875" s="280">
        <f t="shared" si="2100"/>
        <v>45827</v>
      </c>
      <c r="E13875" s="281">
        <f t="shared" si="2101"/>
        <v>45827</v>
      </c>
      <c r="F13875" s="480"/>
      <c r="G13875" s="221" t="s">
        <v>94</v>
      </c>
      <c r="H13875" s="145"/>
      <c r="I13875" s="145"/>
      <c r="J13875" s="163" t="s">
        <v>79</v>
      </c>
      <c r="K13875" s="219"/>
      <c r="L13875" s="219">
        <v>2000010.24</v>
      </c>
    </row>
    <row r="13876" spans="1:13" ht="11.25" customHeight="1" x14ac:dyDescent="0.2">
      <c r="A13876" s="168">
        <v>2025</v>
      </c>
      <c r="B13876" s="168">
        <v>6</v>
      </c>
      <c r="C13876" s="168">
        <v>19</v>
      </c>
      <c r="D13876" s="141">
        <f t="shared" si="2100"/>
        <v>45827</v>
      </c>
      <c r="E13876" s="275">
        <f t="shared" si="2101"/>
        <v>45827</v>
      </c>
      <c r="F13876" s="479" t="s">
        <v>964</v>
      </c>
      <c r="G13876" s="220" t="s">
        <v>74</v>
      </c>
      <c r="H13876" s="142"/>
      <c r="I13876" s="142"/>
      <c r="J13876" s="168" t="s">
        <v>52</v>
      </c>
      <c r="K13876" s="226">
        <v>460842</v>
      </c>
      <c r="L13876" s="226"/>
    </row>
    <row r="13877" spans="1:13" ht="11.25" customHeight="1" x14ac:dyDescent="0.2">
      <c r="A13877" s="133">
        <v>2025</v>
      </c>
      <c r="B13877" s="133">
        <v>6</v>
      </c>
      <c r="C13877" s="133">
        <v>19</v>
      </c>
      <c r="D13877" s="141">
        <f t="shared" si="2100"/>
        <v>45827</v>
      </c>
      <c r="E13877" s="275">
        <f t="shared" si="2101"/>
        <v>45827</v>
      </c>
      <c r="F13877" s="481"/>
      <c r="G13877" s="174" t="s">
        <v>74</v>
      </c>
      <c r="J13877" s="133" t="s">
        <v>13</v>
      </c>
      <c r="K13877" s="218"/>
      <c r="L13877" s="218">
        <v>361020</v>
      </c>
    </row>
    <row r="13878" spans="1:13" ht="11.25" customHeight="1" x14ac:dyDescent="0.2">
      <c r="A13878" s="163">
        <v>2025</v>
      </c>
      <c r="B13878" s="163">
        <v>6</v>
      </c>
      <c r="C13878" s="163">
        <v>19</v>
      </c>
      <c r="D13878" s="280">
        <f t="shared" si="2100"/>
        <v>45827</v>
      </c>
      <c r="E13878" s="281">
        <f t="shared" si="2101"/>
        <v>45827</v>
      </c>
      <c r="F13878" s="480"/>
      <c r="G13878" s="221" t="s">
        <v>74</v>
      </c>
      <c r="H13878" s="145"/>
      <c r="I13878" s="145"/>
      <c r="J13878" s="163" t="s">
        <v>53</v>
      </c>
      <c r="K13878" s="219"/>
      <c r="L13878" s="219">
        <v>99822</v>
      </c>
    </row>
    <row r="13879" spans="1:13" x14ac:dyDescent="0.2">
      <c r="A13879" s="168">
        <v>2025</v>
      </c>
      <c r="B13879" s="133">
        <v>6</v>
      </c>
      <c r="C13879" s="168">
        <v>19</v>
      </c>
      <c r="D13879" s="147">
        <f>DATE(A13879,B13879,C13879)</f>
        <v>45827</v>
      </c>
      <c r="E13879" s="311">
        <f>DATE(A13879,B13879,C13879)</f>
        <v>45827</v>
      </c>
      <c r="F13879" s="481" t="s">
        <v>1943</v>
      </c>
      <c r="G13879" s="174" t="s">
        <v>74</v>
      </c>
      <c r="I13879" s="148" t="s">
        <v>348</v>
      </c>
      <c r="J13879" s="133" t="s">
        <v>61</v>
      </c>
      <c r="K13879" s="172">
        <v>60</v>
      </c>
    </row>
    <row r="13880" spans="1:13" x14ac:dyDescent="0.2">
      <c r="A13880" s="163">
        <v>2025</v>
      </c>
      <c r="B13880" s="163">
        <v>6</v>
      </c>
      <c r="C13880" s="163">
        <v>19</v>
      </c>
      <c r="D13880" s="280">
        <f>DATE(A13880,B13880,C13880)</f>
        <v>45827</v>
      </c>
      <c r="E13880" s="281">
        <f>DATE(A13880,B13880,C13880)</f>
        <v>45827</v>
      </c>
      <c r="F13880" s="480"/>
      <c r="G13880" s="221" t="s">
        <v>74</v>
      </c>
      <c r="H13880" s="145"/>
      <c r="I13880" s="145" t="s">
        <v>348</v>
      </c>
      <c r="J13880" s="163" t="s">
        <v>52</v>
      </c>
      <c r="K13880" s="219"/>
      <c r="L13880" s="219">
        <v>60</v>
      </c>
    </row>
    <row r="13881" spans="1:13" x14ac:dyDescent="0.2">
      <c r="A13881" s="325">
        <v>2025</v>
      </c>
      <c r="B13881" s="325">
        <v>6</v>
      </c>
      <c r="C13881" s="325">
        <v>19</v>
      </c>
      <c r="D13881" s="326">
        <f t="shared" si="2100"/>
        <v>45827</v>
      </c>
      <c r="E13881" s="327">
        <f t="shared" si="2101"/>
        <v>45827</v>
      </c>
      <c r="F13881" s="473" t="s">
        <v>1940</v>
      </c>
      <c r="G13881" s="340" t="s">
        <v>94</v>
      </c>
      <c r="H13881" s="340"/>
      <c r="I13881" s="341" t="s">
        <v>348</v>
      </c>
      <c r="J13881" s="374" t="s">
        <v>133</v>
      </c>
      <c r="K13881" s="375">
        <v>12905.56</v>
      </c>
      <c r="L13881" s="375"/>
      <c r="M13881" s="176"/>
    </row>
    <row r="13882" spans="1:13" x14ac:dyDescent="0.2">
      <c r="A13882" s="331">
        <v>2025</v>
      </c>
      <c r="B13882" s="331">
        <v>6</v>
      </c>
      <c r="C13882" s="331">
        <v>19</v>
      </c>
      <c r="D13882" s="326">
        <f t="shared" si="2100"/>
        <v>45827</v>
      </c>
      <c r="E13882" s="327">
        <f t="shared" si="2101"/>
        <v>45827</v>
      </c>
      <c r="F13882" s="474"/>
      <c r="G13882" s="332" t="s">
        <v>94</v>
      </c>
      <c r="H13882" s="332"/>
      <c r="I13882" s="333" t="s">
        <v>348</v>
      </c>
      <c r="J13882" s="376" t="s">
        <v>60</v>
      </c>
      <c r="K13882" s="334"/>
      <c r="L13882" s="334">
        <f>K13881</f>
        <v>12905.56</v>
      </c>
    </row>
    <row r="13883" spans="1:13" x14ac:dyDescent="0.2">
      <c r="A13883" s="384">
        <v>2025</v>
      </c>
      <c r="B13883" s="384">
        <v>6</v>
      </c>
      <c r="C13883" s="384">
        <v>19</v>
      </c>
      <c r="D13883" s="385">
        <f t="shared" si="2100"/>
        <v>45827</v>
      </c>
      <c r="E13883" s="386">
        <f t="shared" si="2101"/>
        <v>45827</v>
      </c>
      <c r="F13883" s="475" t="s">
        <v>1966</v>
      </c>
      <c r="G13883" s="387" t="s">
        <v>94</v>
      </c>
      <c r="H13883" s="387"/>
      <c r="I13883" s="388" t="s">
        <v>348</v>
      </c>
      <c r="J13883" s="389" t="s">
        <v>67</v>
      </c>
      <c r="K13883" s="390">
        <v>10798.18</v>
      </c>
      <c r="L13883" s="390"/>
    </row>
    <row r="13884" spans="1:13" x14ac:dyDescent="0.2">
      <c r="A13884" s="391">
        <v>2025</v>
      </c>
      <c r="B13884" s="391">
        <v>6</v>
      </c>
      <c r="C13884" s="391">
        <v>19</v>
      </c>
      <c r="D13884" s="385">
        <f t="shared" si="2100"/>
        <v>45827</v>
      </c>
      <c r="E13884" s="386">
        <f t="shared" si="2101"/>
        <v>45827</v>
      </c>
      <c r="F13884" s="476"/>
      <c r="G13884" s="392" t="s">
        <v>94</v>
      </c>
      <c r="H13884" s="392"/>
      <c r="I13884" s="393" t="s">
        <v>348</v>
      </c>
      <c r="J13884" s="394" t="s">
        <v>60</v>
      </c>
      <c r="K13884" s="395"/>
      <c r="L13884" s="395">
        <f>K13883</f>
        <v>10798.18</v>
      </c>
    </row>
    <row r="13885" spans="1:13" x14ac:dyDescent="0.2">
      <c r="A13885" s="343">
        <v>2025</v>
      </c>
      <c r="B13885" s="343">
        <v>6</v>
      </c>
      <c r="C13885" s="343">
        <v>19</v>
      </c>
      <c r="D13885" s="344">
        <f t="shared" si="2100"/>
        <v>45827</v>
      </c>
      <c r="E13885" s="345">
        <f t="shared" si="2101"/>
        <v>45827</v>
      </c>
      <c r="F13885" s="483" t="s">
        <v>1813</v>
      </c>
      <c r="G13885" s="350" t="s">
        <v>94</v>
      </c>
      <c r="H13885" s="350"/>
      <c r="I13885" s="352" t="s">
        <v>348</v>
      </c>
      <c r="J13885" s="353" t="s">
        <v>1807</v>
      </c>
      <c r="K13885" s="354">
        <v>0</v>
      </c>
      <c r="L13885" s="354"/>
      <c r="M13885" s="133">
        <v>0</v>
      </c>
    </row>
    <row r="13886" spans="1:13" x14ac:dyDescent="0.2">
      <c r="A13886" s="346">
        <v>2025</v>
      </c>
      <c r="B13886" s="346">
        <v>6</v>
      </c>
      <c r="C13886" s="346">
        <v>19</v>
      </c>
      <c r="D13886" s="344">
        <f t="shared" si="2100"/>
        <v>45827</v>
      </c>
      <c r="E13886" s="345">
        <f t="shared" si="2101"/>
        <v>45827</v>
      </c>
      <c r="F13886" s="484"/>
      <c r="G13886" s="347" t="s">
        <v>94</v>
      </c>
      <c r="H13886" s="347"/>
      <c r="I13886" s="348" t="s">
        <v>348</v>
      </c>
      <c r="J13886" s="355" t="s">
        <v>1798</v>
      </c>
      <c r="K13886" s="349"/>
      <c r="L13886" s="349">
        <v>0</v>
      </c>
    </row>
    <row r="13887" spans="1:13" x14ac:dyDescent="0.2">
      <c r="A13887" s="343">
        <v>2025</v>
      </c>
      <c r="B13887" s="343">
        <v>6</v>
      </c>
      <c r="C13887" s="343">
        <v>19</v>
      </c>
      <c r="D13887" s="344">
        <f t="shared" si="2100"/>
        <v>45827</v>
      </c>
      <c r="E13887" s="345">
        <f t="shared" si="2101"/>
        <v>45827</v>
      </c>
      <c r="F13887" s="483" t="s">
        <v>1913</v>
      </c>
      <c r="G13887" s="350" t="s">
        <v>94</v>
      </c>
      <c r="H13887" s="350"/>
      <c r="I13887" s="352" t="s">
        <v>348</v>
      </c>
      <c r="J13887" s="353" t="s">
        <v>1808</v>
      </c>
      <c r="K13887" s="354">
        <v>30586.180000007153</v>
      </c>
      <c r="L13887" s="354"/>
      <c r="M13887" s="133">
        <v>0</v>
      </c>
    </row>
    <row r="13888" spans="1:13" x14ac:dyDescent="0.2">
      <c r="A13888" s="346">
        <v>2025</v>
      </c>
      <c r="B13888" s="346">
        <v>6</v>
      </c>
      <c r="C13888" s="346">
        <v>19</v>
      </c>
      <c r="D13888" s="344">
        <f t="shared" si="2100"/>
        <v>45827</v>
      </c>
      <c r="E13888" s="345">
        <f t="shared" si="2101"/>
        <v>45827</v>
      </c>
      <c r="F13888" s="484"/>
      <c r="G13888" s="347" t="s">
        <v>94</v>
      </c>
      <c r="H13888" s="347"/>
      <c r="I13888" s="348" t="s">
        <v>348</v>
      </c>
      <c r="J13888" s="355" t="s">
        <v>1799</v>
      </c>
      <c r="K13888" s="349"/>
      <c r="L13888" s="349">
        <f>K13887</f>
        <v>30586.180000007153</v>
      </c>
    </row>
    <row r="13889" spans="1:14" x14ac:dyDescent="0.2">
      <c r="A13889" s="238">
        <v>2025</v>
      </c>
      <c r="B13889" s="238">
        <v>6</v>
      </c>
      <c r="C13889" s="238">
        <v>19</v>
      </c>
      <c r="D13889" s="270">
        <f t="shared" si="2100"/>
        <v>45827</v>
      </c>
      <c r="E13889" s="279">
        <f t="shared" si="2101"/>
        <v>45827</v>
      </c>
      <c r="F13889" s="477" t="s">
        <v>347</v>
      </c>
      <c r="G13889" s="239" t="s">
        <v>94</v>
      </c>
      <c r="H13889" s="239"/>
      <c r="I13889" s="262" t="s">
        <v>348</v>
      </c>
      <c r="J13889" s="240" t="s">
        <v>108</v>
      </c>
      <c r="K13889" s="241">
        <v>1940426.1099999994</v>
      </c>
      <c r="L13889" s="241"/>
      <c r="M13889" s="133">
        <v>13139541.900000483</v>
      </c>
    </row>
    <row r="13890" spans="1:14" x14ac:dyDescent="0.2">
      <c r="A13890" s="242">
        <v>2025</v>
      </c>
      <c r="B13890" s="242">
        <v>6</v>
      </c>
      <c r="C13890" s="242">
        <v>19</v>
      </c>
      <c r="D13890" s="270">
        <f t="shared" si="2100"/>
        <v>45827</v>
      </c>
      <c r="E13890" s="279">
        <f t="shared" si="2101"/>
        <v>45827</v>
      </c>
      <c r="F13890" s="478"/>
      <c r="G13890" s="243" t="s">
        <v>94</v>
      </c>
      <c r="H13890" s="243"/>
      <c r="I13890" s="263" t="s">
        <v>348</v>
      </c>
      <c r="J13890" s="244" t="s">
        <v>82</v>
      </c>
      <c r="K13890" s="245"/>
      <c r="L13890" s="245">
        <f>K13889</f>
        <v>1940426.1099999994</v>
      </c>
    </row>
    <row r="13891" spans="1:14" ht="12" customHeight="1" x14ac:dyDescent="0.2">
      <c r="A13891" s="246">
        <v>2025</v>
      </c>
      <c r="B13891" s="238">
        <v>6</v>
      </c>
      <c r="C13891" s="238">
        <v>19</v>
      </c>
      <c r="D13891" s="270">
        <f t="shared" si="2100"/>
        <v>45827</v>
      </c>
      <c r="E13891" s="279">
        <f t="shared" si="2101"/>
        <v>45827</v>
      </c>
      <c r="F13891" s="482" t="s">
        <v>148</v>
      </c>
      <c r="G13891" s="247" t="s">
        <v>94</v>
      </c>
      <c r="H13891" s="247"/>
      <c r="I13891" s="248" t="s">
        <v>348</v>
      </c>
      <c r="J13891" s="249" t="s">
        <v>95</v>
      </c>
      <c r="K13891" s="250">
        <v>2747.2527472527472</v>
      </c>
      <c r="L13891" s="241"/>
      <c r="M13891" s="176"/>
    </row>
    <row r="13892" spans="1:14" x14ac:dyDescent="0.2">
      <c r="A13892" s="242">
        <v>2025</v>
      </c>
      <c r="B13892" s="242">
        <v>6</v>
      </c>
      <c r="C13892" s="242">
        <v>19</v>
      </c>
      <c r="D13892" s="270">
        <f t="shared" si="2100"/>
        <v>45827</v>
      </c>
      <c r="E13892" s="279">
        <f t="shared" si="2101"/>
        <v>45827</v>
      </c>
      <c r="F13892" s="478"/>
      <c r="G13892" s="243" t="s">
        <v>94</v>
      </c>
      <c r="H13892" s="243"/>
      <c r="I13892" s="263" t="s">
        <v>348</v>
      </c>
      <c r="J13892" s="244" t="s">
        <v>63</v>
      </c>
      <c r="K13892" s="245"/>
      <c r="L13892" s="245">
        <f>K13891</f>
        <v>2747.2527472527472</v>
      </c>
    </row>
    <row r="13893" spans="1:14" x14ac:dyDescent="0.2">
      <c r="A13893" s="246">
        <v>2025</v>
      </c>
      <c r="B13893" s="238">
        <v>6</v>
      </c>
      <c r="C13893" s="238">
        <v>19</v>
      </c>
      <c r="D13893" s="270">
        <f t="shared" si="2100"/>
        <v>45827</v>
      </c>
      <c r="E13893" s="279">
        <f t="shared" si="2101"/>
        <v>45827</v>
      </c>
      <c r="F13893" s="482" t="s">
        <v>137</v>
      </c>
      <c r="G13893" s="247" t="s">
        <v>94</v>
      </c>
      <c r="H13893" s="247"/>
      <c r="I13893" s="248" t="s">
        <v>348</v>
      </c>
      <c r="J13893" s="249" t="s">
        <v>97</v>
      </c>
      <c r="K13893" s="250">
        <f>M13893</f>
        <v>61723.105533012436</v>
      </c>
      <c r="L13893" s="252"/>
      <c r="M13893" s="133">
        <v>61723.105533012436</v>
      </c>
    </row>
    <row r="13894" spans="1:14" x14ac:dyDescent="0.2">
      <c r="A13894" s="242">
        <v>2025</v>
      </c>
      <c r="B13894" s="242">
        <v>6</v>
      </c>
      <c r="C13894" s="242">
        <v>19</v>
      </c>
      <c r="D13894" s="270">
        <f t="shared" si="2100"/>
        <v>45827</v>
      </c>
      <c r="E13894" s="279">
        <f t="shared" si="2101"/>
        <v>45827</v>
      </c>
      <c r="F13894" s="478"/>
      <c r="G13894" s="243" t="s">
        <v>94</v>
      </c>
      <c r="H13894" s="243"/>
      <c r="I13894" s="263" t="s">
        <v>348</v>
      </c>
      <c r="J13894" s="244" t="s">
        <v>47</v>
      </c>
      <c r="K13894" s="245"/>
      <c r="L13894" s="245">
        <f>K13893</f>
        <v>61723.105533012436</v>
      </c>
      <c r="M13894" s="133">
        <v>2845.7706612660068</v>
      </c>
    </row>
    <row r="13895" spans="1:14" x14ac:dyDescent="0.2">
      <c r="A13895" s="246">
        <v>2025</v>
      </c>
      <c r="B13895" s="238">
        <v>6</v>
      </c>
      <c r="C13895" s="238">
        <v>19</v>
      </c>
      <c r="D13895" s="270">
        <f t="shared" si="2100"/>
        <v>45827</v>
      </c>
      <c r="E13895" s="279">
        <f t="shared" si="2101"/>
        <v>45827</v>
      </c>
      <c r="F13895" s="482" t="s">
        <v>138</v>
      </c>
      <c r="G13895" s="247" t="s">
        <v>94</v>
      </c>
      <c r="H13895" s="247"/>
      <c r="I13895" s="248" t="s">
        <v>348</v>
      </c>
      <c r="J13895" s="249" t="s">
        <v>100</v>
      </c>
      <c r="K13895" s="250">
        <f>M13894</f>
        <v>2845.7706612660068</v>
      </c>
      <c r="L13895" s="252"/>
    </row>
    <row r="13896" spans="1:14" x14ac:dyDescent="0.2">
      <c r="A13896" s="242">
        <v>2025</v>
      </c>
      <c r="B13896" s="242">
        <v>6</v>
      </c>
      <c r="C13896" s="242">
        <v>19</v>
      </c>
      <c r="D13896" s="321">
        <f t="shared" si="2100"/>
        <v>45827</v>
      </c>
      <c r="E13896" s="322">
        <f t="shared" si="2101"/>
        <v>45827</v>
      </c>
      <c r="F13896" s="478"/>
      <c r="G13896" s="243" t="s">
        <v>94</v>
      </c>
      <c r="H13896" s="243"/>
      <c r="I13896" s="263" t="s">
        <v>348</v>
      </c>
      <c r="J13896" s="244" t="s">
        <v>48</v>
      </c>
      <c r="K13896" s="245"/>
      <c r="L13896" s="245">
        <f>K13895</f>
        <v>2845.7706612660068</v>
      </c>
    </row>
    <row r="13897" spans="1:14" ht="11.25" customHeight="1" x14ac:dyDescent="0.2">
      <c r="A13897" s="168">
        <v>2025</v>
      </c>
      <c r="B13897" s="168">
        <v>6</v>
      </c>
      <c r="C13897" s="168">
        <v>19</v>
      </c>
      <c r="D13897" s="141">
        <f t="shared" ref="D13897:D13899" si="2102">DATE(A13897,B13897,C13897)</f>
        <v>45827</v>
      </c>
      <c r="E13897" s="275">
        <f t="shared" ref="E13897:E13899" si="2103">DATE(A13897,B13897,C13897)</f>
        <v>45827</v>
      </c>
      <c r="F13897" s="479" t="s">
        <v>964</v>
      </c>
      <c r="G13897" s="220" t="s">
        <v>74</v>
      </c>
      <c r="H13897" s="142"/>
      <c r="I13897" s="142"/>
      <c r="J13897" s="168" t="s">
        <v>52</v>
      </c>
      <c r="K13897" s="226">
        <v>495307.53</v>
      </c>
      <c r="L13897" s="226"/>
    </row>
    <row r="13898" spans="1:14" ht="11.25" customHeight="1" x14ac:dyDescent="0.2">
      <c r="A13898" s="133">
        <v>2025</v>
      </c>
      <c r="B13898" s="133">
        <v>6</v>
      </c>
      <c r="C13898" s="133">
        <v>19</v>
      </c>
      <c r="D13898" s="141">
        <f t="shared" si="2102"/>
        <v>45827</v>
      </c>
      <c r="E13898" s="275">
        <f t="shared" si="2103"/>
        <v>45827</v>
      </c>
      <c r="F13898" s="481"/>
      <c r="G13898" s="174" t="s">
        <v>74</v>
      </c>
      <c r="J13898" s="133" t="s">
        <v>13</v>
      </c>
      <c r="K13898" s="218"/>
      <c r="L13898" s="218">
        <v>388020</v>
      </c>
    </row>
    <row r="13899" spans="1:14" ht="11.25" customHeight="1" x14ac:dyDescent="0.2">
      <c r="A13899" s="163">
        <v>2025</v>
      </c>
      <c r="B13899" s="163">
        <v>6</v>
      </c>
      <c r="C13899" s="163">
        <v>19</v>
      </c>
      <c r="D13899" s="280">
        <f t="shared" si="2102"/>
        <v>45827</v>
      </c>
      <c r="E13899" s="281">
        <f t="shared" si="2103"/>
        <v>45827</v>
      </c>
      <c r="F13899" s="480"/>
      <c r="G13899" s="221" t="s">
        <v>74</v>
      </c>
      <c r="H13899" s="145"/>
      <c r="I13899" s="145"/>
      <c r="J13899" s="163" t="s">
        <v>53</v>
      </c>
      <c r="K13899" s="219"/>
      <c r="L13899" s="219">
        <v>107287.53000000003</v>
      </c>
    </row>
    <row r="13900" spans="1:14" ht="11.25" customHeight="1" x14ac:dyDescent="0.2">
      <c r="A13900" s="168">
        <v>2025</v>
      </c>
      <c r="B13900" s="168">
        <v>6</v>
      </c>
      <c r="C13900" s="168">
        <v>22</v>
      </c>
      <c r="D13900" s="141">
        <f t="shared" ref="D13900:D13902" si="2104">DATE(A13900,B13900,C13900)</f>
        <v>45830</v>
      </c>
      <c r="E13900" s="275">
        <f t="shared" ref="E13900:E13902" si="2105">DATE(A13900,B13900,C13900)</f>
        <v>45830</v>
      </c>
      <c r="F13900" s="479" t="s">
        <v>964</v>
      </c>
      <c r="G13900" s="220" t="s">
        <v>74</v>
      </c>
      <c r="H13900" s="142"/>
      <c r="I13900" s="142"/>
      <c r="J13900" s="168" t="s">
        <v>52</v>
      </c>
      <c r="K13900" s="226">
        <v>495307.53</v>
      </c>
      <c r="L13900" s="226"/>
    </row>
    <row r="13901" spans="1:14" ht="11.25" customHeight="1" x14ac:dyDescent="0.2">
      <c r="A13901" s="133">
        <v>2025</v>
      </c>
      <c r="B13901" s="133">
        <v>6</v>
      </c>
      <c r="C13901" s="133">
        <v>22</v>
      </c>
      <c r="D13901" s="141">
        <f t="shared" si="2104"/>
        <v>45830</v>
      </c>
      <c r="E13901" s="275">
        <f t="shared" si="2105"/>
        <v>45830</v>
      </c>
      <c r="F13901" s="481"/>
      <c r="G13901" s="174" t="s">
        <v>74</v>
      </c>
      <c r="J13901" s="133" t="s">
        <v>13</v>
      </c>
      <c r="K13901" s="218"/>
      <c r="L13901" s="218">
        <v>388020</v>
      </c>
    </row>
    <row r="13902" spans="1:14" ht="11.25" customHeight="1" x14ac:dyDescent="0.2">
      <c r="A13902" s="163">
        <v>2025</v>
      </c>
      <c r="B13902" s="163">
        <v>6</v>
      </c>
      <c r="C13902" s="163">
        <v>22</v>
      </c>
      <c r="D13902" s="280">
        <f t="shared" si="2104"/>
        <v>45830</v>
      </c>
      <c r="E13902" s="281">
        <f t="shared" si="2105"/>
        <v>45830</v>
      </c>
      <c r="F13902" s="480"/>
      <c r="G13902" s="221" t="s">
        <v>74</v>
      </c>
      <c r="H13902" s="145"/>
      <c r="I13902" s="145"/>
      <c r="J13902" s="163" t="s">
        <v>53</v>
      </c>
      <c r="K13902" s="219"/>
      <c r="L13902" s="219">
        <v>107287.53000000003</v>
      </c>
    </row>
    <row r="13903" spans="1:14" x14ac:dyDescent="0.2">
      <c r="A13903" s="133">
        <v>2025</v>
      </c>
      <c r="B13903" s="133">
        <v>6</v>
      </c>
      <c r="C13903" s="133">
        <v>22</v>
      </c>
      <c r="D13903" s="141">
        <f t="shared" si="2100"/>
        <v>45830</v>
      </c>
      <c r="E13903" s="275">
        <f t="shared" si="2101"/>
        <v>45830</v>
      </c>
      <c r="F13903" s="481" t="s">
        <v>1767</v>
      </c>
      <c r="G13903" s="174" t="s">
        <v>94</v>
      </c>
      <c r="H13903" s="174"/>
      <c r="J13903" s="149" t="s">
        <v>79</v>
      </c>
      <c r="K13903" s="218">
        <v>312000</v>
      </c>
      <c r="L13903" s="218"/>
      <c r="M13903" s="160"/>
    </row>
    <row r="13904" spans="1:14" x14ac:dyDescent="0.2">
      <c r="A13904" s="133">
        <v>2025</v>
      </c>
      <c r="B13904" s="133">
        <v>6</v>
      </c>
      <c r="C13904" s="133">
        <v>22</v>
      </c>
      <c r="D13904" s="141">
        <f t="shared" si="2100"/>
        <v>45830</v>
      </c>
      <c r="E13904" s="275">
        <f t="shared" si="2101"/>
        <v>45830</v>
      </c>
      <c r="F13904" s="481"/>
      <c r="G13904" s="174" t="s">
        <v>94</v>
      </c>
      <c r="H13904" s="174"/>
      <c r="J13904" s="149" t="s">
        <v>80</v>
      </c>
      <c r="K13904" s="218">
        <v>2037.6</v>
      </c>
      <c r="L13904" s="133"/>
      <c r="M13904" s="264"/>
      <c r="N13904" s="264"/>
    </row>
    <row r="13905" spans="1:17" x14ac:dyDescent="0.2">
      <c r="A13905" s="133">
        <v>2025</v>
      </c>
      <c r="B13905" s="133">
        <v>6</v>
      </c>
      <c r="C13905" s="133">
        <v>22</v>
      </c>
      <c r="D13905" s="141">
        <f t="shared" si="2100"/>
        <v>45830</v>
      </c>
      <c r="E13905" s="275">
        <f t="shared" si="2101"/>
        <v>45830</v>
      </c>
      <c r="F13905" s="481"/>
      <c r="G13905" s="174" t="s">
        <v>94</v>
      </c>
      <c r="H13905" s="174"/>
      <c r="J13905" s="149" t="s">
        <v>190</v>
      </c>
      <c r="K13905" s="218">
        <v>505962.4</v>
      </c>
      <c r="L13905" s="218"/>
    </row>
    <row r="13906" spans="1:17" x14ac:dyDescent="0.2">
      <c r="A13906" s="133">
        <v>2025</v>
      </c>
      <c r="B13906" s="133">
        <v>6</v>
      </c>
      <c r="C13906" s="133">
        <v>22</v>
      </c>
      <c r="D13906" s="141">
        <f t="shared" si="2100"/>
        <v>45830</v>
      </c>
      <c r="E13906" s="275">
        <f t="shared" si="2101"/>
        <v>45830</v>
      </c>
      <c r="F13906" s="481"/>
      <c r="G13906" s="174" t="s">
        <v>94</v>
      </c>
      <c r="H13906" s="174"/>
      <c r="J13906" s="149" t="s">
        <v>191</v>
      </c>
      <c r="K13906" s="218">
        <v>11600.32</v>
      </c>
      <c r="L13906" s="218"/>
    </row>
    <row r="13907" spans="1:17" x14ac:dyDescent="0.2">
      <c r="A13907" s="163">
        <v>2025</v>
      </c>
      <c r="B13907" s="163">
        <v>6</v>
      </c>
      <c r="C13907" s="163">
        <v>22</v>
      </c>
      <c r="D13907" s="280">
        <f t="shared" si="2100"/>
        <v>45830</v>
      </c>
      <c r="E13907" s="281">
        <f t="shared" si="2101"/>
        <v>45830</v>
      </c>
      <c r="F13907" s="480"/>
      <c r="G13907" s="221" t="s">
        <v>94</v>
      </c>
      <c r="H13907" s="145"/>
      <c r="I13907" s="145"/>
      <c r="J13907" s="163" t="s">
        <v>79</v>
      </c>
      <c r="K13907" s="219"/>
      <c r="L13907" s="219">
        <v>831600.32</v>
      </c>
    </row>
    <row r="13908" spans="1:17" ht="11.25" customHeight="1" x14ac:dyDescent="0.2">
      <c r="A13908" s="168">
        <v>2025</v>
      </c>
      <c r="B13908" s="168">
        <v>6</v>
      </c>
      <c r="C13908" s="168">
        <v>23</v>
      </c>
      <c r="D13908" s="141">
        <f t="shared" si="2100"/>
        <v>45831</v>
      </c>
      <c r="E13908" s="275">
        <f t="shared" si="2101"/>
        <v>45831</v>
      </c>
      <c r="F13908" s="479" t="s">
        <v>964</v>
      </c>
      <c r="G13908" s="220" t="s">
        <v>74</v>
      </c>
      <c r="H13908" s="142"/>
      <c r="I13908" s="142"/>
      <c r="J13908" s="168" t="s">
        <v>52</v>
      </c>
      <c r="K13908" s="226">
        <v>382950</v>
      </c>
      <c r="L13908" s="226"/>
    </row>
    <row r="13909" spans="1:17" ht="11.25" customHeight="1" x14ac:dyDescent="0.2">
      <c r="A13909" s="133">
        <v>2025</v>
      </c>
      <c r="B13909" s="133">
        <v>6</v>
      </c>
      <c r="C13909" s="133">
        <v>23</v>
      </c>
      <c r="D13909" s="141">
        <f t="shared" si="2100"/>
        <v>45831</v>
      </c>
      <c r="E13909" s="275">
        <f t="shared" si="2101"/>
        <v>45831</v>
      </c>
      <c r="F13909" s="481"/>
      <c r="G13909" s="174" t="s">
        <v>74</v>
      </c>
      <c r="J13909" s="133" t="s">
        <v>13</v>
      </c>
      <c r="K13909" s="218"/>
      <c r="L13909" s="218">
        <v>300000</v>
      </c>
    </row>
    <row r="13910" spans="1:17" ht="11.25" customHeight="1" x14ac:dyDescent="0.2">
      <c r="A13910" s="163">
        <v>2025</v>
      </c>
      <c r="B13910" s="163">
        <v>6</v>
      </c>
      <c r="C13910" s="163">
        <v>23</v>
      </c>
      <c r="D13910" s="280">
        <f t="shared" si="2100"/>
        <v>45831</v>
      </c>
      <c r="E13910" s="281">
        <f t="shared" si="2101"/>
        <v>45831</v>
      </c>
      <c r="F13910" s="480"/>
      <c r="G13910" s="221" t="s">
        <v>74</v>
      </c>
      <c r="H13910" s="145"/>
      <c r="I13910" s="145"/>
      <c r="J13910" s="163" t="s">
        <v>53</v>
      </c>
      <c r="K13910" s="219"/>
      <c r="L13910" s="219">
        <v>82950</v>
      </c>
    </row>
    <row r="13911" spans="1:17" x14ac:dyDescent="0.2">
      <c r="A13911" s="133">
        <v>2025</v>
      </c>
      <c r="B13911" s="133">
        <v>6</v>
      </c>
      <c r="C13911" s="133">
        <v>23</v>
      </c>
      <c r="D13911" s="141">
        <f t="shared" ref="D13911:D13914" si="2106">DATE(A13911,B13911,C13911)</f>
        <v>45831</v>
      </c>
      <c r="E13911" s="275">
        <f t="shared" ref="E13911:E13914" si="2107">DATE(A13911,B13911,C13911)</f>
        <v>45831</v>
      </c>
      <c r="F13911" s="481" t="s">
        <v>2079</v>
      </c>
      <c r="G13911" s="174" t="s">
        <v>94</v>
      </c>
      <c r="H13911" s="174"/>
      <c r="J13911" s="149" t="s">
        <v>190</v>
      </c>
      <c r="K13911" s="218">
        <v>902372.8</v>
      </c>
      <c r="L13911" s="133"/>
    </row>
    <row r="13912" spans="1:17" x14ac:dyDescent="0.2">
      <c r="A13912" s="133">
        <v>2025</v>
      </c>
      <c r="B13912" s="133">
        <v>6</v>
      </c>
      <c r="C13912" s="133">
        <v>23</v>
      </c>
      <c r="D13912" s="141">
        <f t="shared" si="2106"/>
        <v>45831</v>
      </c>
      <c r="E13912" s="275">
        <f t="shared" si="2107"/>
        <v>45831</v>
      </c>
      <c r="F13912" s="481"/>
      <c r="G13912" s="174" t="s">
        <v>94</v>
      </c>
      <c r="H13912" s="174"/>
      <c r="J13912" s="149" t="s">
        <v>80</v>
      </c>
      <c r="K13912" s="218">
        <v>1627.2</v>
      </c>
      <c r="L13912" s="218"/>
      <c r="M13912" s="176"/>
    </row>
    <row r="13913" spans="1:17" x14ac:dyDescent="0.2">
      <c r="A13913" s="133">
        <v>2025</v>
      </c>
      <c r="B13913" s="133">
        <v>6</v>
      </c>
      <c r="C13913" s="133">
        <v>23</v>
      </c>
      <c r="D13913" s="141">
        <f t="shared" si="2106"/>
        <v>45831</v>
      </c>
      <c r="E13913" s="275">
        <f t="shared" si="2107"/>
        <v>45831</v>
      </c>
      <c r="F13913" s="481"/>
      <c r="G13913" s="174" t="s">
        <v>94</v>
      </c>
      <c r="H13913" s="174"/>
      <c r="J13913" s="149" t="s">
        <v>191</v>
      </c>
      <c r="K13913" s="218"/>
      <c r="L13913" s="218">
        <v>14280.57</v>
      </c>
    </row>
    <row r="13914" spans="1:17" x14ac:dyDescent="0.2">
      <c r="A13914" s="163">
        <v>2025</v>
      </c>
      <c r="B13914" s="163">
        <v>6</v>
      </c>
      <c r="C13914" s="163">
        <v>23</v>
      </c>
      <c r="D13914" s="280">
        <f t="shared" si="2106"/>
        <v>45831</v>
      </c>
      <c r="E13914" s="281">
        <f t="shared" si="2107"/>
        <v>45831</v>
      </c>
      <c r="F13914" s="480"/>
      <c r="G13914" s="221" t="s">
        <v>94</v>
      </c>
      <c r="H13914" s="145"/>
      <c r="I13914" s="145"/>
      <c r="J13914" s="163" t="s">
        <v>79</v>
      </c>
      <c r="K13914" s="219"/>
      <c r="L13914" s="219">
        <v>889719.43</v>
      </c>
    </row>
    <row r="13915" spans="1:17" x14ac:dyDescent="0.2">
      <c r="A13915" s="168">
        <v>2025</v>
      </c>
      <c r="B13915" s="168">
        <v>6</v>
      </c>
      <c r="C13915" s="168">
        <v>23</v>
      </c>
      <c r="D13915" s="141">
        <f>DATE(A13915,B13915,C13915)</f>
        <v>45831</v>
      </c>
      <c r="E13915" s="275">
        <f>DATE(A13915,B13915,C13915)</f>
        <v>45831</v>
      </c>
      <c r="F13915" s="479" t="s">
        <v>2080</v>
      </c>
      <c r="G13915" s="220" t="s">
        <v>94</v>
      </c>
      <c r="H13915" s="220"/>
      <c r="I13915" s="142"/>
      <c r="J13915" s="143" t="s">
        <v>79</v>
      </c>
      <c r="K13915" s="226">
        <v>416000</v>
      </c>
      <c r="L13915" s="226"/>
      <c r="M13915" s="160"/>
    </row>
    <row r="13916" spans="1:17" x14ac:dyDescent="0.2">
      <c r="A13916" s="133">
        <v>2025</v>
      </c>
      <c r="B13916" s="133">
        <v>6</v>
      </c>
      <c r="C13916" s="133">
        <v>23</v>
      </c>
      <c r="D13916" s="141">
        <f>DATE(A13916,B13916,C13916)</f>
        <v>45831</v>
      </c>
      <c r="E13916" s="275">
        <f>DATE(A13916,B13916,C13916)</f>
        <v>45831</v>
      </c>
      <c r="F13916" s="481"/>
      <c r="G13916" s="174" t="s">
        <v>94</v>
      </c>
      <c r="H13916" s="174"/>
      <c r="J13916" s="149" t="s">
        <v>80</v>
      </c>
      <c r="K13916" s="218">
        <v>748.8</v>
      </c>
      <c r="L13916" s="133"/>
    </row>
    <row r="13917" spans="1:17" x14ac:dyDescent="0.2">
      <c r="A13917" s="163">
        <v>2025</v>
      </c>
      <c r="B13917" s="163">
        <v>6</v>
      </c>
      <c r="C13917" s="163">
        <v>23</v>
      </c>
      <c r="D13917" s="280">
        <f>DATE(A13917,B13917,C13917)</f>
        <v>45831</v>
      </c>
      <c r="E13917" s="281">
        <f>DATE(A13917,B13917,C13917)</f>
        <v>45831</v>
      </c>
      <c r="F13917" s="480"/>
      <c r="G13917" s="221" t="s">
        <v>94</v>
      </c>
      <c r="H13917" s="221"/>
      <c r="I13917" s="145"/>
      <c r="J13917" s="146" t="s">
        <v>147</v>
      </c>
      <c r="K13917" s="219"/>
      <c r="L13917" s="219">
        <v>416748.79999999999</v>
      </c>
    </row>
    <row r="13918" spans="1:17" ht="11.25" customHeight="1" x14ac:dyDescent="0.2">
      <c r="A13918" s="168">
        <v>2025</v>
      </c>
      <c r="B13918" s="168">
        <v>6</v>
      </c>
      <c r="C13918" s="168">
        <v>23</v>
      </c>
      <c r="D13918" s="141">
        <f>DATE(A13918,B13918,C13918)</f>
        <v>45831</v>
      </c>
      <c r="E13918" s="275">
        <f>DATE(A13918,B13918,C13918)</f>
        <v>45831</v>
      </c>
      <c r="F13918" s="481" t="s">
        <v>2087</v>
      </c>
      <c r="G13918" s="174" t="s">
        <v>74</v>
      </c>
      <c r="H13918" s="174"/>
      <c r="I13918" s="148" t="s">
        <v>348</v>
      </c>
      <c r="J13918" s="149" t="s">
        <v>52</v>
      </c>
      <c r="K13918" s="218">
        <v>5134266.8899999997</v>
      </c>
      <c r="L13918" s="218"/>
      <c r="M13918" s="147"/>
      <c r="Q13918" s="133" t="s">
        <v>348</v>
      </c>
    </row>
    <row r="13919" spans="1:17" x14ac:dyDescent="0.2">
      <c r="A13919" s="133">
        <v>2025</v>
      </c>
      <c r="B13919" s="133">
        <v>6</v>
      </c>
      <c r="C13919" s="133">
        <v>23</v>
      </c>
      <c r="D13919" s="141">
        <f t="shared" ref="D13919" si="2108">DATE(A13919,B13919,C13919)</f>
        <v>45831</v>
      </c>
      <c r="E13919" s="275">
        <f t="shared" ref="E13919" si="2109">DATE(A13919,B13919,C13919)</f>
        <v>45831</v>
      </c>
      <c r="F13919" s="481"/>
      <c r="G13919" s="174" t="s">
        <v>74</v>
      </c>
      <c r="H13919" s="174"/>
      <c r="J13919" s="149" t="s">
        <v>1810</v>
      </c>
      <c r="K13919" s="218"/>
      <c r="L13919" s="218">
        <v>131241.83999999892</v>
      </c>
      <c r="M13919" s="147"/>
    </row>
    <row r="13920" spans="1:17" x14ac:dyDescent="0.2">
      <c r="A13920" s="163">
        <v>2025</v>
      </c>
      <c r="B13920" s="163">
        <v>6</v>
      </c>
      <c r="C13920" s="163">
        <v>23</v>
      </c>
      <c r="D13920" s="280">
        <f>DATE(A13920,B13920,C13920)</f>
        <v>45831</v>
      </c>
      <c r="E13920" s="281">
        <f>DATE(A13920,B13920,C13920)</f>
        <v>45831</v>
      </c>
      <c r="F13920" s="480"/>
      <c r="G13920" s="221" t="s">
        <v>74</v>
      </c>
      <c r="H13920" s="221"/>
      <c r="I13920" s="145"/>
      <c r="J13920" s="146" t="s">
        <v>1805</v>
      </c>
      <c r="K13920" s="219"/>
      <c r="L13920" s="219">
        <v>5003025.0500000007</v>
      </c>
      <c r="M13920" s="147"/>
      <c r="Q13920" s="133" t="s">
        <v>348</v>
      </c>
    </row>
    <row r="13921" spans="1:14" x14ac:dyDescent="0.2">
      <c r="A13921" s="133">
        <v>2025</v>
      </c>
      <c r="B13921" s="133">
        <v>6</v>
      </c>
      <c r="C13921" s="133">
        <v>24</v>
      </c>
      <c r="D13921" s="141">
        <f t="shared" ref="D13921:D13931" si="2110">DATE(A13921,B13921,C13921)</f>
        <v>45832</v>
      </c>
      <c r="E13921" s="275">
        <f t="shared" ref="E13921:E13931" si="2111">DATE(A13921,B13921,C13921)</f>
        <v>45832</v>
      </c>
      <c r="F13921" s="481" t="s">
        <v>1977</v>
      </c>
      <c r="G13921" s="174" t="s">
        <v>94</v>
      </c>
      <c r="H13921" s="174"/>
      <c r="J13921" s="149" t="s">
        <v>190</v>
      </c>
      <c r="K13921" s="218">
        <v>1141940</v>
      </c>
      <c r="L13921" s="133"/>
    </row>
    <row r="13922" spans="1:14" x14ac:dyDescent="0.2">
      <c r="A13922" s="133">
        <v>2025</v>
      </c>
      <c r="B13922" s="133">
        <v>6</v>
      </c>
      <c r="C13922" s="133">
        <v>24</v>
      </c>
      <c r="D13922" s="141">
        <f t="shared" si="2110"/>
        <v>45832</v>
      </c>
      <c r="E13922" s="275">
        <f t="shared" si="2111"/>
        <v>45832</v>
      </c>
      <c r="F13922" s="481"/>
      <c r="G13922" s="174" t="s">
        <v>94</v>
      </c>
      <c r="H13922" s="174"/>
      <c r="J13922" s="149" t="s">
        <v>80</v>
      </c>
      <c r="K13922" s="218">
        <v>2060</v>
      </c>
      <c r="L13922" s="218"/>
      <c r="M13922" s="176"/>
    </row>
    <row r="13923" spans="1:14" x14ac:dyDescent="0.2">
      <c r="A13923" s="133">
        <v>2025</v>
      </c>
      <c r="B13923" s="133">
        <v>6</v>
      </c>
      <c r="C13923" s="133">
        <v>24</v>
      </c>
      <c r="D13923" s="141">
        <f t="shared" si="2110"/>
        <v>45832</v>
      </c>
      <c r="E13923" s="275">
        <f t="shared" si="2111"/>
        <v>45832</v>
      </c>
      <c r="F13923" s="481"/>
      <c r="G13923" s="174" t="s">
        <v>94</v>
      </c>
      <c r="H13923" s="174"/>
      <c r="J13923" s="149" t="s">
        <v>191</v>
      </c>
      <c r="K13923" s="218">
        <v>2333.77</v>
      </c>
      <c r="L13923" s="218"/>
    </row>
    <row r="13924" spans="1:14" x14ac:dyDescent="0.2">
      <c r="A13924" s="163">
        <v>2025</v>
      </c>
      <c r="B13924" s="163">
        <v>6</v>
      </c>
      <c r="C13924" s="133">
        <v>24</v>
      </c>
      <c r="D13924" s="280">
        <f t="shared" si="2110"/>
        <v>45832</v>
      </c>
      <c r="E13924" s="281">
        <f t="shared" si="2111"/>
        <v>45832</v>
      </c>
      <c r="F13924" s="480"/>
      <c r="G13924" s="221" t="s">
        <v>94</v>
      </c>
      <c r="H13924" s="145"/>
      <c r="I13924" s="145"/>
      <c r="J13924" s="163" t="s">
        <v>79</v>
      </c>
      <c r="K13924" s="219"/>
      <c r="L13924" s="219">
        <v>1146333.77</v>
      </c>
    </row>
    <row r="13925" spans="1:14" x14ac:dyDescent="0.2">
      <c r="A13925" s="133">
        <v>2025</v>
      </c>
      <c r="B13925" s="133">
        <v>6</v>
      </c>
      <c r="C13925" s="133">
        <v>24</v>
      </c>
      <c r="D13925" s="141">
        <f t="shared" si="2110"/>
        <v>45832</v>
      </c>
      <c r="E13925" s="275">
        <f t="shared" si="2111"/>
        <v>45832</v>
      </c>
      <c r="F13925" s="481" t="s">
        <v>2065</v>
      </c>
      <c r="G13925" s="174" t="s">
        <v>94</v>
      </c>
      <c r="H13925" s="174"/>
      <c r="J13925" s="149" t="s">
        <v>1805</v>
      </c>
      <c r="K13925" s="218">
        <v>971576.94</v>
      </c>
      <c r="L13925" s="218"/>
      <c r="M13925" s="160"/>
    </row>
    <row r="13926" spans="1:14" x14ac:dyDescent="0.2">
      <c r="A13926" s="133">
        <v>2025</v>
      </c>
      <c r="B13926" s="133">
        <v>6</v>
      </c>
      <c r="C13926" s="133">
        <v>24</v>
      </c>
      <c r="D13926" s="141">
        <f t="shared" si="2110"/>
        <v>45832</v>
      </c>
      <c r="E13926" s="275">
        <f t="shared" si="2111"/>
        <v>45832</v>
      </c>
      <c r="F13926" s="481"/>
      <c r="G13926" s="174" t="s">
        <v>94</v>
      </c>
      <c r="H13926" s="174"/>
      <c r="J13926" s="149" t="s">
        <v>80</v>
      </c>
      <c r="K13926" s="218">
        <v>2463.83</v>
      </c>
      <c r="L13926" s="133"/>
      <c r="M13926" s="264"/>
      <c r="N13926" s="264"/>
    </row>
    <row r="13927" spans="1:14" x14ac:dyDescent="0.2">
      <c r="A13927" s="133">
        <v>2025</v>
      </c>
      <c r="B13927" s="133">
        <v>6</v>
      </c>
      <c r="C13927" s="133">
        <v>24</v>
      </c>
      <c r="D13927" s="141">
        <f t="shared" si="2110"/>
        <v>45832</v>
      </c>
      <c r="E13927" s="275">
        <f t="shared" si="2111"/>
        <v>45832</v>
      </c>
      <c r="F13927" s="481"/>
      <c r="G13927" s="174" t="s">
        <v>94</v>
      </c>
      <c r="H13927" s="174"/>
      <c r="J13927" s="149" t="s">
        <v>147</v>
      </c>
      <c r="K13927" s="218"/>
      <c r="L13927" s="218">
        <v>138040.76999999999</v>
      </c>
    </row>
    <row r="13928" spans="1:14" x14ac:dyDescent="0.2">
      <c r="A13928" s="133">
        <v>2025</v>
      </c>
      <c r="B13928" s="133">
        <v>6</v>
      </c>
      <c r="C13928" s="133">
        <v>24</v>
      </c>
      <c r="D13928" s="141">
        <f t="shared" si="2110"/>
        <v>45832</v>
      </c>
      <c r="E13928" s="275">
        <f t="shared" si="2111"/>
        <v>45832</v>
      </c>
      <c r="F13928" s="481"/>
      <c r="G13928" s="174" t="s">
        <v>94</v>
      </c>
      <c r="H13928" s="174"/>
      <c r="J13928" s="149" t="s">
        <v>191</v>
      </c>
      <c r="K13928" s="218"/>
      <c r="L13928" s="218">
        <v>42689.89</v>
      </c>
    </row>
    <row r="13929" spans="1:14" x14ac:dyDescent="0.2">
      <c r="A13929" s="163">
        <v>2025</v>
      </c>
      <c r="B13929" s="163">
        <v>6</v>
      </c>
      <c r="C13929" s="163">
        <v>24</v>
      </c>
      <c r="D13929" s="280">
        <f t="shared" si="2110"/>
        <v>45832</v>
      </c>
      <c r="E13929" s="281">
        <f t="shared" si="2111"/>
        <v>45832</v>
      </c>
      <c r="F13929" s="480"/>
      <c r="G13929" s="221" t="s">
        <v>94</v>
      </c>
      <c r="H13929" s="145"/>
      <c r="I13929" s="145"/>
      <c r="J13929" s="163" t="s">
        <v>79</v>
      </c>
      <c r="K13929" s="219"/>
      <c r="L13929" s="219">
        <v>793310.11</v>
      </c>
    </row>
    <row r="13930" spans="1:14" ht="11.25" customHeight="1" x14ac:dyDescent="0.2">
      <c r="A13930" s="168">
        <v>2025</v>
      </c>
      <c r="B13930" s="133">
        <v>6</v>
      </c>
      <c r="C13930" s="168">
        <v>24</v>
      </c>
      <c r="D13930" s="141">
        <f t="shared" si="2110"/>
        <v>45832</v>
      </c>
      <c r="E13930" s="275">
        <f t="shared" si="2111"/>
        <v>45832</v>
      </c>
      <c r="F13930" s="479" t="s">
        <v>2064</v>
      </c>
      <c r="G13930" s="220" t="s">
        <v>74</v>
      </c>
      <c r="H13930" s="220"/>
      <c r="I13930" s="142"/>
      <c r="J13930" s="143" t="s">
        <v>147</v>
      </c>
      <c r="K13930" s="226">
        <v>416748.79999999999</v>
      </c>
      <c r="L13930" s="226"/>
    </row>
    <row r="13931" spans="1:14" x14ac:dyDescent="0.2">
      <c r="A13931" s="163">
        <v>2025</v>
      </c>
      <c r="B13931" s="163">
        <v>6</v>
      </c>
      <c r="C13931" s="163">
        <v>24</v>
      </c>
      <c r="D13931" s="280">
        <f t="shared" si="2110"/>
        <v>45832</v>
      </c>
      <c r="E13931" s="281">
        <f t="shared" si="2111"/>
        <v>45832</v>
      </c>
      <c r="F13931" s="480"/>
      <c r="G13931" s="221" t="s">
        <v>74</v>
      </c>
      <c r="H13931" s="221"/>
      <c r="I13931" s="145"/>
      <c r="J13931" s="146" t="s">
        <v>52</v>
      </c>
      <c r="K13931" s="219"/>
      <c r="L13931" s="219">
        <v>416748.79999999999</v>
      </c>
      <c r="N13931" s="264"/>
    </row>
    <row r="13932" spans="1:14" x14ac:dyDescent="0.2">
      <c r="A13932" s="168">
        <v>2025</v>
      </c>
      <c r="B13932" s="133">
        <v>6</v>
      </c>
      <c r="C13932" s="168">
        <v>24</v>
      </c>
      <c r="D13932" s="147">
        <f>DATE(A13932,B13932,C13932)</f>
        <v>45832</v>
      </c>
      <c r="E13932" s="311">
        <f>DATE(A13932,B13932,C13932)</f>
        <v>45832</v>
      </c>
      <c r="F13932" s="481" t="s">
        <v>1943</v>
      </c>
      <c r="G13932" s="174" t="s">
        <v>74</v>
      </c>
      <c r="I13932" s="148" t="s">
        <v>348</v>
      </c>
      <c r="J13932" s="133" t="s">
        <v>61</v>
      </c>
      <c r="K13932" s="172">
        <v>58</v>
      </c>
    </row>
    <row r="13933" spans="1:14" x14ac:dyDescent="0.2">
      <c r="A13933" s="163">
        <v>2025</v>
      </c>
      <c r="B13933" s="163">
        <v>6</v>
      </c>
      <c r="C13933" s="163">
        <v>24</v>
      </c>
      <c r="D13933" s="280">
        <f>DATE(A13933,B13933,C13933)</f>
        <v>45832</v>
      </c>
      <c r="E13933" s="281">
        <f>DATE(A13933,B13933,C13933)</f>
        <v>45832</v>
      </c>
      <c r="F13933" s="480"/>
      <c r="G13933" s="221" t="s">
        <v>74</v>
      </c>
      <c r="H13933" s="145"/>
      <c r="I13933" s="145" t="s">
        <v>348</v>
      </c>
      <c r="J13933" s="163" t="s">
        <v>52</v>
      </c>
      <c r="K13933" s="219"/>
      <c r="L13933" s="219">
        <v>58</v>
      </c>
    </row>
    <row r="13934" spans="1:14" ht="11.25" customHeight="1" x14ac:dyDescent="0.2">
      <c r="A13934" s="168">
        <v>2025</v>
      </c>
      <c r="B13934" s="168">
        <v>6</v>
      </c>
      <c r="C13934" s="168">
        <v>25</v>
      </c>
      <c r="D13934" s="141">
        <f>DATE(A13934,B13934,C13934)</f>
        <v>45833</v>
      </c>
      <c r="E13934" s="275">
        <f>DATE(A13934,B13934,C13934)</f>
        <v>45833</v>
      </c>
      <c r="F13934" s="479" t="s">
        <v>2080</v>
      </c>
      <c r="G13934" s="220" t="s">
        <v>94</v>
      </c>
      <c r="H13934" s="220"/>
      <c r="I13934" s="142"/>
      <c r="J13934" s="143" t="s">
        <v>79</v>
      </c>
      <c r="K13934" s="226">
        <v>870345.1</v>
      </c>
      <c r="L13934" s="226"/>
      <c r="M13934" s="160"/>
    </row>
    <row r="13935" spans="1:14" x14ac:dyDescent="0.2">
      <c r="A13935" s="133">
        <v>2025</v>
      </c>
      <c r="B13935" s="133">
        <v>6</v>
      </c>
      <c r="C13935" s="133">
        <v>25</v>
      </c>
      <c r="D13935" s="141">
        <f>DATE(A13935,B13935,C13935)</f>
        <v>45833</v>
      </c>
      <c r="E13935" s="275">
        <f>DATE(A13935,B13935,C13935)</f>
        <v>45833</v>
      </c>
      <c r="F13935" s="481"/>
      <c r="G13935" s="174" t="s">
        <v>94</v>
      </c>
      <c r="H13935" s="174"/>
      <c r="J13935" s="149" t="s">
        <v>80</v>
      </c>
      <c r="K13935" s="218">
        <v>1566.62</v>
      </c>
      <c r="L13935" s="133"/>
    </row>
    <row r="13936" spans="1:14" x14ac:dyDescent="0.2">
      <c r="A13936" s="163">
        <v>2025</v>
      </c>
      <c r="B13936" s="163">
        <v>6</v>
      </c>
      <c r="C13936" s="163">
        <v>25</v>
      </c>
      <c r="D13936" s="280">
        <f>DATE(A13936,B13936,C13936)</f>
        <v>45833</v>
      </c>
      <c r="E13936" s="281">
        <f>DATE(A13936,B13936,C13936)</f>
        <v>45833</v>
      </c>
      <c r="F13936" s="480"/>
      <c r="G13936" s="221" t="s">
        <v>94</v>
      </c>
      <c r="H13936" s="221"/>
      <c r="I13936" s="145"/>
      <c r="J13936" s="146" t="s">
        <v>147</v>
      </c>
      <c r="K13936" s="219"/>
      <c r="L13936" s="219">
        <v>871911.72</v>
      </c>
    </row>
    <row r="13937" spans="1:17" ht="11.25" customHeight="1" x14ac:dyDescent="0.2">
      <c r="A13937" s="168">
        <v>2025</v>
      </c>
      <c r="B13937" s="168">
        <v>6</v>
      </c>
      <c r="C13937" s="168">
        <v>25</v>
      </c>
      <c r="D13937" s="141">
        <f t="shared" ref="D13937:D13946" si="2112">DATE(A13937,B13937,C13937)</f>
        <v>45833</v>
      </c>
      <c r="E13937" s="275">
        <f t="shared" ref="E13937:E13946" si="2113">DATE(A13937,B13937,C13937)</f>
        <v>45833</v>
      </c>
      <c r="F13937" s="479" t="s">
        <v>964</v>
      </c>
      <c r="G13937" s="220" t="s">
        <v>74</v>
      </c>
      <c r="H13937" s="142"/>
      <c r="I13937" s="142"/>
      <c r="J13937" s="168" t="s">
        <v>52</v>
      </c>
      <c r="K13937" s="226">
        <v>1000000</v>
      </c>
      <c r="L13937" s="226"/>
    </row>
    <row r="13938" spans="1:17" ht="11.25" customHeight="1" x14ac:dyDescent="0.2">
      <c r="A13938" s="133">
        <v>2025</v>
      </c>
      <c r="B13938" s="133">
        <v>6</v>
      </c>
      <c r="C13938" s="133">
        <v>25</v>
      </c>
      <c r="D13938" s="141">
        <f t="shared" si="2112"/>
        <v>45833</v>
      </c>
      <c r="E13938" s="275">
        <f t="shared" si="2113"/>
        <v>45833</v>
      </c>
      <c r="F13938" s="481"/>
      <c r="G13938" s="174" t="s">
        <v>74</v>
      </c>
      <c r="J13938" s="133" t="s">
        <v>13</v>
      </c>
      <c r="K13938" s="218"/>
      <c r="L13938" s="218">
        <v>776940</v>
      </c>
    </row>
    <row r="13939" spans="1:17" ht="11.25" customHeight="1" x14ac:dyDescent="0.2">
      <c r="A13939" s="163">
        <v>2025</v>
      </c>
      <c r="B13939" s="163">
        <v>6</v>
      </c>
      <c r="C13939" s="163">
        <v>25</v>
      </c>
      <c r="D13939" s="280">
        <f t="shared" si="2112"/>
        <v>45833</v>
      </c>
      <c r="E13939" s="281">
        <f t="shared" si="2113"/>
        <v>45833</v>
      </c>
      <c r="F13939" s="480"/>
      <c r="G13939" s="221" t="s">
        <v>74</v>
      </c>
      <c r="H13939" s="145"/>
      <c r="I13939" s="145"/>
      <c r="J13939" s="163" t="s">
        <v>53</v>
      </c>
      <c r="K13939" s="219"/>
      <c r="L13939" s="219">
        <v>223060</v>
      </c>
    </row>
    <row r="13940" spans="1:17" x14ac:dyDescent="0.2">
      <c r="A13940" s="168">
        <v>2025</v>
      </c>
      <c r="B13940" s="168">
        <v>6</v>
      </c>
      <c r="C13940" s="168">
        <v>25</v>
      </c>
      <c r="D13940" s="141">
        <f t="shared" si="2112"/>
        <v>45833</v>
      </c>
      <c r="E13940" s="275">
        <f t="shared" si="2113"/>
        <v>45833</v>
      </c>
      <c r="F13940" s="479" t="s">
        <v>2089</v>
      </c>
      <c r="G13940" s="174" t="s">
        <v>74</v>
      </c>
      <c r="I13940" s="148" t="s">
        <v>348</v>
      </c>
      <c r="J13940" s="133" t="s">
        <v>47</v>
      </c>
      <c r="K13940" s="172">
        <v>140000</v>
      </c>
    </row>
    <row r="13941" spans="1:17" x14ac:dyDescent="0.2">
      <c r="A13941" s="133">
        <v>2025</v>
      </c>
      <c r="B13941" s="133">
        <v>6</v>
      </c>
      <c r="C13941" s="133">
        <v>25</v>
      </c>
      <c r="D13941" s="141">
        <f t="shared" si="2112"/>
        <v>45833</v>
      </c>
      <c r="E13941" s="275">
        <f t="shared" si="2113"/>
        <v>45833</v>
      </c>
      <c r="F13941" s="481"/>
      <c r="G13941" s="174" t="s">
        <v>74</v>
      </c>
      <c r="J13941" s="133" t="s">
        <v>534</v>
      </c>
      <c r="K13941" s="218"/>
      <c r="L13941" s="218">
        <v>21000</v>
      </c>
      <c r="N13941" s="264"/>
    </row>
    <row r="13942" spans="1:17" x14ac:dyDescent="0.2">
      <c r="A13942" s="163">
        <v>2025</v>
      </c>
      <c r="B13942" s="163">
        <v>6</v>
      </c>
      <c r="C13942" s="163">
        <v>25</v>
      </c>
      <c r="D13942" s="280">
        <f t="shared" si="2112"/>
        <v>45833</v>
      </c>
      <c r="E13942" s="281">
        <f t="shared" si="2113"/>
        <v>45833</v>
      </c>
      <c r="F13942" s="480"/>
      <c r="G13942" s="221" t="s">
        <v>74</v>
      </c>
      <c r="H13942" s="145"/>
      <c r="I13942" s="145" t="s">
        <v>348</v>
      </c>
      <c r="J13942" s="163" t="s">
        <v>52</v>
      </c>
      <c r="K13942" s="219"/>
      <c r="L13942" s="219">
        <v>119000</v>
      </c>
    </row>
    <row r="13943" spans="1:17" ht="11.25" customHeight="1" x14ac:dyDescent="0.2">
      <c r="A13943" s="168">
        <v>2025</v>
      </c>
      <c r="B13943" s="133">
        <v>6</v>
      </c>
      <c r="C13943" s="168">
        <v>25</v>
      </c>
      <c r="D13943" s="141">
        <f t="shared" si="2112"/>
        <v>45833</v>
      </c>
      <c r="E13943" s="275">
        <f t="shared" si="2113"/>
        <v>45833</v>
      </c>
      <c r="F13943" s="479" t="s">
        <v>2031</v>
      </c>
      <c r="G13943" s="220" t="s">
        <v>74</v>
      </c>
      <c r="H13943" s="220"/>
      <c r="I13943" s="142"/>
      <c r="J13943" s="143" t="s">
        <v>52</v>
      </c>
      <c r="K13943" s="226">
        <v>505962</v>
      </c>
      <c r="L13943" s="226"/>
    </row>
    <row r="13944" spans="1:17" x14ac:dyDescent="0.2">
      <c r="A13944" s="163">
        <v>2025</v>
      </c>
      <c r="B13944" s="163">
        <v>6</v>
      </c>
      <c r="C13944" s="163">
        <v>25</v>
      </c>
      <c r="D13944" s="280">
        <f t="shared" si="2112"/>
        <v>45833</v>
      </c>
      <c r="E13944" s="281">
        <f t="shared" si="2113"/>
        <v>45833</v>
      </c>
      <c r="F13944" s="480"/>
      <c r="G13944" s="221" t="s">
        <v>74</v>
      </c>
      <c r="H13944" s="221"/>
      <c r="I13944" s="145"/>
      <c r="J13944" s="146" t="s">
        <v>190</v>
      </c>
      <c r="K13944" s="219"/>
      <c r="L13944" s="219">
        <v>505962</v>
      </c>
      <c r="N13944" s="264"/>
    </row>
    <row r="13945" spans="1:17" x14ac:dyDescent="0.2">
      <c r="A13945" s="133">
        <v>2025</v>
      </c>
      <c r="B13945" s="133">
        <v>6</v>
      </c>
      <c r="C13945" s="133">
        <v>25</v>
      </c>
      <c r="D13945" s="141">
        <f t="shared" si="2112"/>
        <v>45833</v>
      </c>
      <c r="E13945" s="275">
        <f t="shared" si="2113"/>
        <v>45833</v>
      </c>
      <c r="F13945" s="479" t="s">
        <v>2090</v>
      </c>
      <c r="G13945" s="174" t="s">
        <v>74</v>
      </c>
      <c r="H13945" s="174"/>
      <c r="I13945" s="148" t="s">
        <v>348</v>
      </c>
      <c r="J13945" s="143" t="s">
        <v>1805</v>
      </c>
      <c r="K13945" s="218">
        <v>14822803.699999999</v>
      </c>
      <c r="L13945" s="218"/>
      <c r="M13945" s="147"/>
      <c r="Q13945" s="133" t="s">
        <v>348</v>
      </c>
    </row>
    <row r="13946" spans="1:17" x14ac:dyDescent="0.2">
      <c r="A13946" s="163">
        <v>2025</v>
      </c>
      <c r="B13946" s="163">
        <v>6</v>
      </c>
      <c r="C13946" s="163">
        <v>25</v>
      </c>
      <c r="D13946" s="280">
        <f t="shared" si="2112"/>
        <v>45833</v>
      </c>
      <c r="E13946" s="281">
        <f t="shared" si="2113"/>
        <v>45833</v>
      </c>
      <c r="F13946" s="480"/>
      <c r="G13946" s="221" t="s">
        <v>74</v>
      </c>
      <c r="H13946" s="221"/>
      <c r="I13946" s="145"/>
      <c r="J13946" s="146" t="s">
        <v>52</v>
      </c>
      <c r="K13946" s="219"/>
      <c r="L13946" s="219">
        <v>14822803.699999999</v>
      </c>
      <c r="M13946" s="147"/>
      <c r="Q13946" s="133" t="s">
        <v>348</v>
      </c>
    </row>
    <row r="13947" spans="1:17" ht="11.25" customHeight="1" x14ac:dyDescent="0.2">
      <c r="A13947" s="168">
        <v>2025</v>
      </c>
      <c r="B13947" s="133">
        <v>6</v>
      </c>
      <c r="C13947" s="168">
        <v>25</v>
      </c>
      <c r="D13947" s="141">
        <f t="shared" ref="D13947:D13954" si="2114">DATE(A13947,B13947,C13947)</f>
        <v>45833</v>
      </c>
      <c r="E13947" s="275">
        <f t="shared" ref="E13947:E13954" si="2115">DATE(A13947,B13947,C13947)</f>
        <v>45833</v>
      </c>
      <c r="F13947" s="479" t="s">
        <v>2088</v>
      </c>
      <c r="G13947" s="220" t="s">
        <v>74</v>
      </c>
      <c r="H13947" s="220"/>
      <c r="I13947" s="142"/>
      <c r="J13947" s="143" t="s">
        <v>52</v>
      </c>
      <c r="K13947" s="226">
        <v>902372.8</v>
      </c>
      <c r="L13947" s="226"/>
    </row>
    <row r="13948" spans="1:17" x14ac:dyDescent="0.2">
      <c r="A13948" s="163">
        <v>2025</v>
      </c>
      <c r="B13948" s="163">
        <v>6</v>
      </c>
      <c r="C13948" s="163">
        <v>25</v>
      </c>
      <c r="D13948" s="280">
        <f t="shared" si="2114"/>
        <v>45833</v>
      </c>
      <c r="E13948" s="281">
        <f t="shared" si="2115"/>
        <v>45833</v>
      </c>
      <c r="F13948" s="480"/>
      <c r="G13948" s="221" t="s">
        <v>74</v>
      </c>
      <c r="H13948" s="221"/>
      <c r="I13948" s="145"/>
      <c r="J13948" s="146" t="s">
        <v>190</v>
      </c>
      <c r="K13948" s="219"/>
      <c r="L13948" s="219">
        <v>902372.8</v>
      </c>
      <c r="N13948" s="264"/>
    </row>
    <row r="13949" spans="1:17" x14ac:dyDescent="0.2">
      <c r="A13949" s="168">
        <v>2025</v>
      </c>
      <c r="B13949" s="168">
        <v>6</v>
      </c>
      <c r="C13949" s="168">
        <v>25</v>
      </c>
      <c r="D13949" s="141">
        <f t="shared" si="2114"/>
        <v>45833</v>
      </c>
      <c r="E13949" s="275">
        <f t="shared" si="2115"/>
        <v>45833</v>
      </c>
      <c r="F13949" s="479" t="s">
        <v>2089</v>
      </c>
      <c r="G13949" s="174" t="s">
        <v>74</v>
      </c>
      <c r="I13949" s="148" t="s">
        <v>348</v>
      </c>
      <c r="J13949" s="133" t="s">
        <v>47</v>
      </c>
      <c r="K13949" s="172">
        <v>6000</v>
      </c>
    </row>
    <row r="13950" spans="1:17" x14ac:dyDescent="0.2">
      <c r="A13950" s="133">
        <v>2025</v>
      </c>
      <c r="B13950" s="133">
        <v>6</v>
      </c>
      <c r="C13950" s="133">
        <v>25</v>
      </c>
      <c r="D13950" s="141">
        <f t="shared" si="2114"/>
        <v>45833</v>
      </c>
      <c r="E13950" s="275">
        <f t="shared" si="2115"/>
        <v>45833</v>
      </c>
      <c r="F13950" s="481"/>
      <c r="G13950" s="174" t="s">
        <v>74</v>
      </c>
      <c r="J13950" s="133" t="s">
        <v>534</v>
      </c>
      <c r="K13950" s="218"/>
      <c r="L13950" s="218">
        <v>900</v>
      </c>
      <c r="N13950" s="264"/>
    </row>
    <row r="13951" spans="1:17" x14ac:dyDescent="0.2">
      <c r="A13951" s="163">
        <v>2025</v>
      </c>
      <c r="B13951" s="163">
        <v>6</v>
      </c>
      <c r="C13951" s="163">
        <v>25</v>
      </c>
      <c r="D13951" s="280">
        <f t="shared" si="2114"/>
        <v>45833</v>
      </c>
      <c r="E13951" s="281">
        <f t="shared" si="2115"/>
        <v>45833</v>
      </c>
      <c r="F13951" s="480"/>
      <c r="G13951" s="221" t="s">
        <v>74</v>
      </c>
      <c r="H13951" s="145"/>
      <c r="I13951" s="145" t="s">
        <v>348</v>
      </c>
      <c r="J13951" s="163" t="s">
        <v>52</v>
      </c>
      <c r="K13951" s="219"/>
      <c r="L13951" s="219">
        <v>5100</v>
      </c>
    </row>
    <row r="13952" spans="1:17" ht="11.25" customHeight="1" x14ac:dyDescent="0.2">
      <c r="A13952" s="168">
        <v>2025</v>
      </c>
      <c r="B13952" s="168">
        <v>6</v>
      </c>
      <c r="C13952" s="168">
        <v>25</v>
      </c>
      <c r="D13952" s="141">
        <f t="shared" si="2114"/>
        <v>45833</v>
      </c>
      <c r="E13952" s="275">
        <f t="shared" si="2115"/>
        <v>45833</v>
      </c>
      <c r="F13952" s="479" t="s">
        <v>964</v>
      </c>
      <c r="G13952" s="220" t="s">
        <v>74</v>
      </c>
      <c r="H13952" s="142"/>
      <c r="I13952" s="142"/>
      <c r="J13952" s="168" t="s">
        <v>52</v>
      </c>
      <c r="K13952" s="226">
        <v>40000</v>
      </c>
      <c r="L13952" s="226"/>
    </row>
    <row r="13953" spans="1:12" ht="11.25" customHeight="1" x14ac:dyDescent="0.2">
      <c r="A13953" s="133">
        <v>2025</v>
      </c>
      <c r="B13953" s="133">
        <v>6</v>
      </c>
      <c r="C13953" s="133">
        <v>25</v>
      </c>
      <c r="D13953" s="141">
        <f t="shared" si="2114"/>
        <v>45833</v>
      </c>
      <c r="E13953" s="275">
        <f t="shared" si="2115"/>
        <v>45833</v>
      </c>
      <c r="F13953" s="481"/>
      <c r="G13953" s="174" t="s">
        <v>74</v>
      </c>
      <c r="J13953" s="133" t="s">
        <v>13</v>
      </c>
      <c r="K13953" s="218"/>
      <c r="L13953" s="218">
        <v>31080</v>
      </c>
    </row>
    <row r="13954" spans="1:12" ht="11.25" customHeight="1" x14ac:dyDescent="0.2">
      <c r="A13954" s="163">
        <v>2025</v>
      </c>
      <c r="B13954" s="163">
        <v>6</v>
      </c>
      <c r="C13954" s="163">
        <v>25</v>
      </c>
      <c r="D13954" s="280">
        <f t="shared" si="2114"/>
        <v>45833</v>
      </c>
      <c r="E13954" s="281">
        <f t="shared" si="2115"/>
        <v>45833</v>
      </c>
      <c r="F13954" s="480"/>
      <c r="G13954" s="221" t="s">
        <v>74</v>
      </c>
      <c r="H13954" s="145"/>
      <c r="I13954" s="145"/>
      <c r="J13954" s="163" t="s">
        <v>53</v>
      </c>
      <c r="K13954" s="219"/>
      <c r="L13954" s="219">
        <v>8920</v>
      </c>
    </row>
    <row r="13955" spans="1:12" x14ac:dyDescent="0.2">
      <c r="A13955" s="168">
        <v>2025</v>
      </c>
      <c r="B13955" s="133">
        <v>6</v>
      </c>
      <c r="C13955" s="168">
        <v>25</v>
      </c>
      <c r="D13955" s="147">
        <f>DATE(A13955,B13955,C13955)</f>
        <v>45833</v>
      </c>
      <c r="E13955" s="311">
        <f>DATE(A13955,B13955,C13955)</f>
        <v>45833</v>
      </c>
      <c r="F13955" s="481" t="s">
        <v>1943</v>
      </c>
      <c r="G13955" s="174" t="s">
        <v>74</v>
      </c>
      <c r="I13955" s="148" t="s">
        <v>348</v>
      </c>
      <c r="J13955" s="133" t="s">
        <v>61</v>
      </c>
      <c r="K13955" s="172">
        <v>25</v>
      </c>
    </row>
    <row r="13956" spans="1:12" x14ac:dyDescent="0.2">
      <c r="A13956" s="163">
        <v>2025</v>
      </c>
      <c r="B13956" s="163">
        <v>6</v>
      </c>
      <c r="C13956" s="163">
        <v>25</v>
      </c>
      <c r="D13956" s="280">
        <f>DATE(A13956,B13956,C13956)</f>
        <v>45833</v>
      </c>
      <c r="E13956" s="281">
        <f>DATE(A13956,B13956,C13956)</f>
        <v>45833</v>
      </c>
      <c r="F13956" s="480"/>
      <c r="G13956" s="221" t="s">
        <v>74</v>
      </c>
      <c r="H13956" s="145"/>
      <c r="I13956" s="145" t="s">
        <v>348</v>
      </c>
      <c r="J13956" s="163" t="s">
        <v>52</v>
      </c>
      <c r="K13956" s="219"/>
      <c r="L13956" s="219">
        <v>25</v>
      </c>
    </row>
    <row r="13957" spans="1:12" x14ac:dyDescent="0.2">
      <c r="A13957" s="168">
        <v>2025</v>
      </c>
      <c r="B13957" s="133">
        <v>6</v>
      </c>
      <c r="C13957" s="168">
        <v>26</v>
      </c>
      <c r="D13957" s="147">
        <f>DATE(A13957,B13957,C13957)</f>
        <v>45834</v>
      </c>
      <c r="E13957" s="311">
        <f>DATE(A13957,B13957,C13957)</f>
        <v>45834</v>
      </c>
      <c r="F13957" s="481" t="s">
        <v>1943</v>
      </c>
      <c r="G13957" s="174" t="s">
        <v>74</v>
      </c>
      <c r="I13957" s="148" t="s">
        <v>348</v>
      </c>
      <c r="J13957" s="133" t="s">
        <v>61</v>
      </c>
      <c r="K13957" s="172">
        <v>58</v>
      </c>
    </row>
    <row r="13958" spans="1:12" x14ac:dyDescent="0.2">
      <c r="A13958" s="163">
        <v>2025</v>
      </c>
      <c r="B13958" s="163">
        <v>6</v>
      </c>
      <c r="C13958" s="163">
        <v>26</v>
      </c>
      <c r="D13958" s="280">
        <f>DATE(A13958,B13958,C13958)</f>
        <v>45834</v>
      </c>
      <c r="E13958" s="281">
        <f>DATE(A13958,B13958,C13958)</f>
        <v>45834</v>
      </c>
      <c r="F13958" s="480"/>
      <c r="G13958" s="221" t="s">
        <v>74</v>
      </c>
      <c r="H13958" s="145"/>
      <c r="I13958" s="145" t="s">
        <v>348</v>
      </c>
      <c r="J13958" s="163" t="s">
        <v>52</v>
      </c>
      <c r="K13958" s="219"/>
      <c r="L13958" s="219">
        <v>58</v>
      </c>
    </row>
    <row r="13959" spans="1:12" ht="11.25" customHeight="1" x14ac:dyDescent="0.2">
      <c r="A13959" s="168">
        <v>2025</v>
      </c>
      <c r="B13959" s="168">
        <v>6</v>
      </c>
      <c r="C13959" s="168">
        <v>26</v>
      </c>
      <c r="D13959" s="141">
        <f t="shared" ref="D13959:D13970" si="2116">DATE(A13959,B13959,C13959)</f>
        <v>45834</v>
      </c>
      <c r="E13959" s="275">
        <f t="shared" ref="E13959:E13970" si="2117">DATE(A13959,B13959,C13959)</f>
        <v>45834</v>
      </c>
      <c r="F13959" s="479" t="s">
        <v>1319</v>
      </c>
      <c r="G13959" s="220" t="s">
        <v>74</v>
      </c>
      <c r="H13959" s="142"/>
      <c r="I13959" s="142"/>
      <c r="J13959" s="168" t="s">
        <v>52</v>
      </c>
      <c r="K13959" s="226">
        <v>86000</v>
      </c>
      <c r="L13959" s="226"/>
    </row>
    <row r="13960" spans="1:12" ht="11.25" customHeight="1" x14ac:dyDescent="0.2">
      <c r="A13960" s="133">
        <v>2025</v>
      </c>
      <c r="B13960" s="133">
        <v>6</v>
      </c>
      <c r="C13960" s="133">
        <v>26</v>
      </c>
      <c r="D13960" s="141">
        <f t="shared" si="2116"/>
        <v>45834</v>
      </c>
      <c r="E13960" s="275">
        <f t="shared" si="2117"/>
        <v>45834</v>
      </c>
      <c r="F13960" s="481"/>
      <c r="G13960" s="174" t="s">
        <v>74</v>
      </c>
      <c r="J13960" s="133" t="s">
        <v>13</v>
      </c>
      <c r="K13960" s="218"/>
      <c r="L13960" s="218">
        <v>66800</v>
      </c>
    </row>
    <row r="13961" spans="1:12" ht="11.25" customHeight="1" x14ac:dyDescent="0.2">
      <c r="A13961" s="163">
        <v>2025</v>
      </c>
      <c r="B13961" s="163">
        <v>6</v>
      </c>
      <c r="C13961" s="163">
        <v>26</v>
      </c>
      <c r="D13961" s="280">
        <f t="shared" si="2116"/>
        <v>45834</v>
      </c>
      <c r="E13961" s="281">
        <f t="shared" si="2117"/>
        <v>45834</v>
      </c>
      <c r="F13961" s="480"/>
      <c r="G13961" s="221" t="s">
        <v>74</v>
      </c>
      <c r="H13961" s="145"/>
      <c r="I13961" s="145"/>
      <c r="J13961" s="163" t="s">
        <v>53</v>
      </c>
      <c r="K13961" s="219"/>
      <c r="L13961" s="219">
        <v>19200</v>
      </c>
    </row>
    <row r="13962" spans="1:12" ht="11.25" customHeight="1" x14ac:dyDescent="0.2">
      <c r="A13962" s="168">
        <v>2025</v>
      </c>
      <c r="B13962" s="168">
        <v>6</v>
      </c>
      <c r="C13962" s="168">
        <v>26</v>
      </c>
      <c r="D13962" s="141">
        <f t="shared" si="2116"/>
        <v>45834</v>
      </c>
      <c r="E13962" s="275">
        <f t="shared" si="2117"/>
        <v>45834</v>
      </c>
      <c r="F13962" s="479" t="s">
        <v>964</v>
      </c>
      <c r="G13962" s="220" t="s">
        <v>74</v>
      </c>
      <c r="H13962" s="142"/>
      <c r="I13962" s="142"/>
      <c r="J13962" s="168" t="s">
        <v>52</v>
      </c>
      <c r="K13962" s="226">
        <v>95000</v>
      </c>
      <c r="L13962" s="226"/>
    </row>
    <row r="13963" spans="1:12" ht="11.25" customHeight="1" x14ac:dyDescent="0.2">
      <c r="A13963" s="133">
        <v>2025</v>
      </c>
      <c r="B13963" s="133">
        <v>6</v>
      </c>
      <c r="C13963" s="133">
        <v>26</v>
      </c>
      <c r="D13963" s="141">
        <f t="shared" si="2116"/>
        <v>45834</v>
      </c>
      <c r="E13963" s="275">
        <f t="shared" si="2117"/>
        <v>45834</v>
      </c>
      <c r="F13963" s="481"/>
      <c r="G13963" s="174" t="s">
        <v>74</v>
      </c>
      <c r="J13963" s="133" t="s">
        <v>13</v>
      </c>
      <c r="K13963" s="218"/>
      <c r="L13963" s="218">
        <v>73810</v>
      </c>
    </row>
    <row r="13964" spans="1:12" ht="11.25" customHeight="1" x14ac:dyDescent="0.2">
      <c r="A13964" s="163">
        <v>2025</v>
      </c>
      <c r="B13964" s="163">
        <v>6</v>
      </c>
      <c r="C13964" s="163">
        <v>26</v>
      </c>
      <c r="D13964" s="280">
        <f t="shared" si="2116"/>
        <v>45834</v>
      </c>
      <c r="E13964" s="281">
        <f t="shared" si="2117"/>
        <v>45834</v>
      </c>
      <c r="F13964" s="480"/>
      <c r="G13964" s="221" t="s">
        <v>74</v>
      </c>
      <c r="H13964" s="145"/>
      <c r="I13964" s="145"/>
      <c r="J13964" s="163" t="s">
        <v>53</v>
      </c>
      <c r="K13964" s="219"/>
      <c r="L13964" s="219">
        <v>21190</v>
      </c>
    </row>
    <row r="13965" spans="1:12" ht="11.25" customHeight="1" x14ac:dyDescent="0.2">
      <c r="A13965" s="168">
        <v>2025</v>
      </c>
      <c r="B13965" s="168">
        <v>6</v>
      </c>
      <c r="C13965" s="168">
        <v>26</v>
      </c>
      <c r="D13965" s="141">
        <f t="shared" si="2116"/>
        <v>45834</v>
      </c>
      <c r="E13965" s="275">
        <f t="shared" si="2117"/>
        <v>45834</v>
      </c>
      <c r="F13965" s="479" t="s">
        <v>1315</v>
      </c>
      <c r="G13965" s="220" t="s">
        <v>74</v>
      </c>
      <c r="H13965" s="142"/>
      <c r="I13965" s="142" t="s">
        <v>402</v>
      </c>
      <c r="J13965" s="168" t="s">
        <v>13</v>
      </c>
      <c r="K13965" s="226">
        <v>77690</v>
      </c>
      <c r="L13965" s="226"/>
    </row>
    <row r="13966" spans="1:12" ht="11.25" customHeight="1" x14ac:dyDescent="0.2">
      <c r="A13966" s="133">
        <v>2025</v>
      </c>
      <c r="B13966" s="133">
        <v>6</v>
      </c>
      <c r="C13966" s="133">
        <v>26</v>
      </c>
      <c r="D13966" s="141">
        <f t="shared" si="2116"/>
        <v>45834</v>
      </c>
      <c r="E13966" s="275">
        <f t="shared" si="2117"/>
        <v>45834</v>
      </c>
      <c r="F13966" s="481"/>
      <c r="G13966" s="174" t="s">
        <v>74</v>
      </c>
      <c r="I13966" s="148" t="s">
        <v>402</v>
      </c>
      <c r="J13966" s="133" t="s">
        <v>53</v>
      </c>
      <c r="K13966" s="218">
        <v>22310</v>
      </c>
      <c r="L13966" s="218"/>
    </row>
    <row r="13967" spans="1:12" ht="11.25" customHeight="1" x14ac:dyDescent="0.2">
      <c r="A13967" s="163">
        <v>2025</v>
      </c>
      <c r="B13967" s="163">
        <v>6</v>
      </c>
      <c r="C13967" s="163">
        <v>26</v>
      </c>
      <c r="D13967" s="280">
        <f t="shared" si="2116"/>
        <v>45834</v>
      </c>
      <c r="E13967" s="281">
        <f t="shared" si="2117"/>
        <v>45834</v>
      </c>
      <c r="F13967" s="480"/>
      <c r="G13967" s="221" t="s">
        <v>74</v>
      </c>
      <c r="H13967" s="145"/>
      <c r="I13967" s="145" t="s">
        <v>402</v>
      </c>
      <c r="J13967" s="163" t="s">
        <v>52</v>
      </c>
      <c r="K13967" s="219"/>
      <c r="L13967" s="219">
        <v>100000</v>
      </c>
    </row>
    <row r="13968" spans="1:12" ht="11.25" customHeight="1" x14ac:dyDescent="0.2">
      <c r="A13968" s="168">
        <v>2025</v>
      </c>
      <c r="B13968" s="168">
        <v>6</v>
      </c>
      <c r="C13968" s="168">
        <v>26</v>
      </c>
      <c r="D13968" s="141">
        <f t="shared" si="2116"/>
        <v>45834</v>
      </c>
      <c r="E13968" s="275">
        <f t="shared" si="2117"/>
        <v>45834</v>
      </c>
      <c r="F13968" s="479" t="s">
        <v>964</v>
      </c>
      <c r="G13968" s="220" t="s">
        <v>74</v>
      </c>
      <c r="H13968" s="142"/>
      <c r="I13968" s="142"/>
      <c r="J13968" s="168" t="s">
        <v>52</v>
      </c>
      <c r="K13968" s="226">
        <v>321775</v>
      </c>
      <c r="L13968" s="226"/>
    </row>
    <row r="13969" spans="1:13" ht="11.25" customHeight="1" x14ac:dyDescent="0.2">
      <c r="A13969" s="133">
        <v>2025</v>
      </c>
      <c r="B13969" s="133">
        <v>6</v>
      </c>
      <c r="C13969" s="133">
        <v>26</v>
      </c>
      <c r="D13969" s="141">
        <f t="shared" si="2116"/>
        <v>45834</v>
      </c>
      <c r="E13969" s="275">
        <f t="shared" si="2117"/>
        <v>45834</v>
      </c>
      <c r="F13969" s="481"/>
      <c r="G13969" s="174" t="s">
        <v>74</v>
      </c>
      <c r="J13969" s="133" t="s">
        <v>13</v>
      </c>
      <c r="K13969" s="218"/>
      <c r="L13969" s="218">
        <v>250000</v>
      </c>
    </row>
    <row r="13970" spans="1:13" ht="11.25" customHeight="1" x14ac:dyDescent="0.2">
      <c r="A13970" s="163">
        <v>2025</v>
      </c>
      <c r="B13970" s="163">
        <v>6</v>
      </c>
      <c r="C13970" s="163">
        <v>26</v>
      </c>
      <c r="D13970" s="280">
        <f t="shared" si="2116"/>
        <v>45834</v>
      </c>
      <c r="E13970" s="281">
        <f t="shared" si="2117"/>
        <v>45834</v>
      </c>
      <c r="F13970" s="480"/>
      <c r="G13970" s="221" t="s">
        <v>74</v>
      </c>
      <c r="H13970" s="145"/>
      <c r="I13970" s="145"/>
      <c r="J13970" s="163" t="s">
        <v>53</v>
      </c>
      <c r="K13970" s="219"/>
      <c r="L13970" s="219">
        <v>71775</v>
      </c>
    </row>
    <row r="13971" spans="1:13" ht="11.25" customHeight="1" x14ac:dyDescent="0.2">
      <c r="A13971" s="168">
        <v>2025</v>
      </c>
      <c r="B13971" s="168">
        <v>6</v>
      </c>
      <c r="C13971" s="168">
        <v>26</v>
      </c>
      <c r="D13971" s="141">
        <f t="shared" ref="D13971:D13980" si="2118">DATE(A13971,B13971,C13971)</f>
        <v>45834</v>
      </c>
      <c r="E13971" s="275">
        <f t="shared" ref="E13971:E13980" si="2119">DATE(A13971,B13971,C13971)</f>
        <v>45834</v>
      </c>
      <c r="F13971" s="479" t="s">
        <v>964</v>
      </c>
      <c r="G13971" s="220" t="s">
        <v>74</v>
      </c>
      <c r="H13971" s="142"/>
      <c r="I13971" s="142"/>
      <c r="J13971" s="168" t="s">
        <v>52</v>
      </c>
      <c r="K13971" s="226">
        <v>1296245</v>
      </c>
      <c r="L13971" s="226"/>
    </row>
    <row r="13972" spans="1:13" ht="11.25" customHeight="1" x14ac:dyDescent="0.2">
      <c r="A13972" s="133">
        <v>2025</v>
      </c>
      <c r="B13972" s="133">
        <v>6</v>
      </c>
      <c r="C13972" s="133">
        <v>26</v>
      </c>
      <c r="D13972" s="141">
        <f t="shared" si="2118"/>
        <v>45834</v>
      </c>
      <c r="E13972" s="275">
        <f t="shared" si="2119"/>
        <v>45834</v>
      </c>
      <c r="F13972" s="481"/>
      <c r="G13972" s="174" t="s">
        <v>74</v>
      </c>
      <c r="J13972" s="133" t="s">
        <v>13</v>
      </c>
      <c r="K13972" s="218"/>
      <c r="L13972" s="218">
        <v>1007110</v>
      </c>
    </row>
    <row r="13973" spans="1:13" ht="11.25" customHeight="1" x14ac:dyDescent="0.2">
      <c r="A13973" s="163">
        <v>2025</v>
      </c>
      <c r="B13973" s="163">
        <v>6</v>
      </c>
      <c r="C13973" s="163">
        <v>26</v>
      </c>
      <c r="D13973" s="280">
        <f t="shared" si="2118"/>
        <v>45834</v>
      </c>
      <c r="E13973" s="281">
        <f t="shared" si="2119"/>
        <v>45834</v>
      </c>
      <c r="F13973" s="480"/>
      <c r="G13973" s="221" t="s">
        <v>74</v>
      </c>
      <c r="H13973" s="145"/>
      <c r="I13973" s="145"/>
      <c r="J13973" s="163" t="s">
        <v>53</v>
      </c>
      <c r="K13973" s="219"/>
      <c r="L13973" s="219">
        <v>289135</v>
      </c>
    </row>
    <row r="13974" spans="1:13" ht="11.25" customHeight="1" x14ac:dyDescent="0.2">
      <c r="A13974" s="168">
        <v>2025</v>
      </c>
      <c r="B13974" s="168">
        <v>6</v>
      </c>
      <c r="C13974" s="168">
        <v>26</v>
      </c>
      <c r="D13974" s="141">
        <f t="shared" si="2118"/>
        <v>45834</v>
      </c>
      <c r="E13974" s="275">
        <f t="shared" si="2119"/>
        <v>45834</v>
      </c>
      <c r="F13974" s="479" t="s">
        <v>964</v>
      </c>
      <c r="G13974" s="220" t="s">
        <v>74</v>
      </c>
      <c r="H13974" s="142"/>
      <c r="I13974" s="142"/>
      <c r="J13974" s="168" t="s">
        <v>52</v>
      </c>
      <c r="K13974" s="226">
        <v>103755</v>
      </c>
      <c r="L13974" s="226"/>
    </row>
    <row r="13975" spans="1:13" ht="11.25" customHeight="1" x14ac:dyDescent="0.2">
      <c r="A13975" s="133">
        <v>2025</v>
      </c>
      <c r="B13975" s="133">
        <v>6</v>
      </c>
      <c r="C13975" s="133">
        <v>26</v>
      </c>
      <c r="D13975" s="141">
        <f t="shared" si="2118"/>
        <v>45834</v>
      </c>
      <c r="E13975" s="275">
        <f t="shared" si="2119"/>
        <v>45834</v>
      </c>
      <c r="F13975" s="481"/>
      <c r="G13975" s="174" t="s">
        <v>74</v>
      </c>
      <c r="J13975" s="133" t="s">
        <v>13</v>
      </c>
      <c r="K13975" s="218"/>
      <c r="L13975" s="218">
        <v>80610</v>
      </c>
    </row>
    <row r="13976" spans="1:13" ht="11.25" customHeight="1" x14ac:dyDescent="0.2">
      <c r="A13976" s="163">
        <v>2025</v>
      </c>
      <c r="B13976" s="163">
        <v>6</v>
      </c>
      <c r="C13976" s="163">
        <v>26</v>
      </c>
      <c r="D13976" s="280">
        <f t="shared" si="2118"/>
        <v>45834</v>
      </c>
      <c r="E13976" s="281">
        <f t="shared" si="2119"/>
        <v>45834</v>
      </c>
      <c r="F13976" s="480"/>
      <c r="G13976" s="221" t="s">
        <v>74</v>
      </c>
      <c r="H13976" s="145"/>
      <c r="I13976" s="145"/>
      <c r="J13976" s="163" t="s">
        <v>53</v>
      </c>
      <c r="K13976" s="219"/>
      <c r="L13976" s="219">
        <v>23145</v>
      </c>
    </row>
    <row r="13977" spans="1:13" x14ac:dyDescent="0.2">
      <c r="A13977" s="133">
        <v>2025</v>
      </c>
      <c r="B13977" s="133">
        <v>6</v>
      </c>
      <c r="C13977" s="133">
        <v>26</v>
      </c>
      <c r="D13977" s="141">
        <f t="shared" si="2118"/>
        <v>45834</v>
      </c>
      <c r="E13977" s="275">
        <f t="shared" si="2119"/>
        <v>45834</v>
      </c>
      <c r="F13977" s="481" t="s">
        <v>2044</v>
      </c>
      <c r="G13977" s="174" t="s">
        <v>94</v>
      </c>
      <c r="H13977" s="174"/>
      <c r="J13977" s="149" t="s">
        <v>190</v>
      </c>
      <c r="K13977" s="218">
        <v>509932.47</v>
      </c>
      <c r="L13977" s="133"/>
    </row>
    <row r="13978" spans="1:13" x14ac:dyDescent="0.2">
      <c r="A13978" s="133">
        <v>2025</v>
      </c>
      <c r="B13978" s="133">
        <v>6</v>
      </c>
      <c r="C13978" s="133">
        <v>26</v>
      </c>
      <c r="D13978" s="141">
        <f t="shared" si="2118"/>
        <v>45834</v>
      </c>
      <c r="E13978" s="275">
        <f t="shared" si="2119"/>
        <v>45834</v>
      </c>
      <c r="F13978" s="481"/>
      <c r="G13978" s="174" t="s">
        <v>94</v>
      </c>
      <c r="H13978" s="174"/>
      <c r="J13978" s="149" t="s">
        <v>80</v>
      </c>
      <c r="K13978" s="218">
        <v>919.53359999999998</v>
      </c>
      <c r="L13978" s="218"/>
      <c r="M13978" s="176"/>
    </row>
    <row r="13979" spans="1:13" x14ac:dyDescent="0.2">
      <c r="A13979" s="133">
        <v>2025</v>
      </c>
      <c r="B13979" s="133">
        <v>6</v>
      </c>
      <c r="C13979" s="133">
        <v>26</v>
      </c>
      <c r="D13979" s="141">
        <f t="shared" si="2118"/>
        <v>45834</v>
      </c>
      <c r="E13979" s="275">
        <f t="shared" si="2119"/>
        <v>45834</v>
      </c>
      <c r="F13979" s="481"/>
      <c r="G13979" s="174" t="s">
        <v>94</v>
      </c>
      <c r="H13979" s="174"/>
      <c r="J13979" s="149" t="s">
        <v>191</v>
      </c>
      <c r="K13979" s="218"/>
      <c r="L13979" s="218">
        <v>135074.34</v>
      </c>
    </row>
    <row r="13980" spans="1:13" x14ac:dyDescent="0.2">
      <c r="A13980" s="163">
        <v>2025</v>
      </c>
      <c r="B13980" s="163">
        <v>6</v>
      </c>
      <c r="C13980" s="133">
        <v>26</v>
      </c>
      <c r="D13980" s="280">
        <f t="shared" si="2118"/>
        <v>45834</v>
      </c>
      <c r="E13980" s="281">
        <f t="shared" si="2119"/>
        <v>45834</v>
      </c>
      <c r="F13980" s="480"/>
      <c r="G13980" s="221" t="s">
        <v>94</v>
      </c>
      <c r="H13980" s="145"/>
      <c r="I13980" s="145"/>
      <c r="J13980" s="163" t="s">
        <v>79</v>
      </c>
      <c r="K13980" s="219"/>
      <c r="L13980" s="219">
        <v>375777.66</v>
      </c>
    </row>
    <row r="13981" spans="1:13" x14ac:dyDescent="0.2">
      <c r="A13981" s="133">
        <v>2025</v>
      </c>
      <c r="B13981" s="133">
        <v>6</v>
      </c>
      <c r="C13981" s="133">
        <v>26</v>
      </c>
      <c r="D13981" s="141">
        <f t="shared" ref="D13981:D13984" si="2120">DATE(A13981,B13981,C13981)</f>
        <v>45834</v>
      </c>
      <c r="E13981" s="275">
        <f t="shared" ref="E13981:E13984" si="2121">DATE(A13981,B13981,C13981)</f>
        <v>45834</v>
      </c>
      <c r="F13981" s="481" t="s">
        <v>2086</v>
      </c>
      <c r="G13981" s="174" t="s">
        <v>94</v>
      </c>
      <c r="H13981" s="174"/>
      <c r="J13981" s="149" t="s">
        <v>190</v>
      </c>
      <c r="K13981" s="218">
        <v>209821.64</v>
      </c>
      <c r="L13981" s="133"/>
    </row>
    <row r="13982" spans="1:13" x14ac:dyDescent="0.2">
      <c r="A13982" s="133">
        <v>2025</v>
      </c>
      <c r="B13982" s="133">
        <v>6</v>
      </c>
      <c r="C13982" s="133">
        <v>26</v>
      </c>
      <c r="D13982" s="141">
        <f t="shared" si="2120"/>
        <v>45834</v>
      </c>
      <c r="E13982" s="275">
        <f t="shared" si="2121"/>
        <v>45834</v>
      </c>
      <c r="F13982" s="481"/>
      <c r="G13982" s="174" t="s">
        <v>94</v>
      </c>
      <c r="H13982" s="174"/>
      <c r="J13982" s="149" t="s">
        <v>80</v>
      </c>
      <c r="K13982" s="218">
        <v>378.36</v>
      </c>
      <c r="L13982" s="218"/>
      <c r="M13982" s="176"/>
    </row>
    <row r="13983" spans="1:13" x14ac:dyDescent="0.2">
      <c r="A13983" s="133">
        <v>2025</v>
      </c>
      <c r="B13983" s="133">
        <v>6</v>
      </c>
      <c r="C13983" s="133">
        <v>26</v>
      </c>
      <c r="D13983" s="141">
        <f t="shared" si="2120"/>
        <v>45834</v>
      </c>
      <c r="E13983" s="275">
        <f t="shared" si="2121"/>
        <v>45834</v>
      </c>
      <c r="F13983" s="481"/>
      <c r="G13983" s="174" t="s">
        <v>94</v>
      </c>
      <c r="H13983" s="174"/>
      <c r="J13983" s="149" t="s">
        <v>191</v>
      </c>
      <c r="K13983" s="218">
        <v>4997.2</v>
      </c>
      <c r="L13983" s="218"/>
    </row>
    <row r="13984" spans="1:13" x14ac:dyDescent="0.2">
      <c r="A13984" s="163">
        <v>2025</v>
      </c>
      <c r="B13984" s="163">
        <v>6</v>
      </c>
      <c r="C13984" s="133">
        <v>26</v>
      </c>
      <c r="D13984" s="280">
        <f t="shared" si="2120"/>
        <v>45834</v>
      </c>
      <c r="E13984" s="281">
        <f t="shared" si="2121"/>
        <v>45834</v>
      </c>
      <c r="F13984" s="480"/>
      <c r="G13984" s="221" t="s">
        <v>94</v>
      </c>
      <c r="H13984" s="145"/>
      <c r="I13984" s="145"/>
      <c r="J13984" s="163" t="s">
        <v>79</v>
      </c>
      <c r="K13984" s="219"/>
      <c r="L13984" s="219">
        <v>215197.2</v>
      </c>
    </row>
    <row r="13985" spans="1:14" x14ac:dyDescent="0.2">
      <c r="A13985" s="133">
        <v>2025</v>
      </c>
      <c r="B13985" s="133">
        <v>6</v>
      </c>
      <c r="C13985" s="133">
        <v>26</v>
      </c>
      <c r="D13985" s="141">
        <f t="shared" ref="D13985:D14016" si="2122">DATE(A13985,B13985,C13985)</f>
        <v>45834</v>
      </c>
      <c r="E13985" s="275">
        <f t="shared" ref="E13985:E14016" si="2123">DATE(A13985,B13985,C13985)</f>
        <v>45834</v>
      </c>
      <c r="F13985" s="481" t="s">
        <v>1977</v>
      </c>
      <c r="G13985" s="174" t="s">
        <v>94</v>
      </c>
      <c r="H13985" s="174"/>
      <c r="J13985" s="149" t="s">
        <v>190</v>
      </c>
      <c r="K13985" s="218">
        <v>1186974.5900000001</v>
      </c>
      <c r="L13985" s="133"/>
    </row>
    <row r="13986" spans="1:14" x14ac:dyDescent="0.2">
      <c r="A13986" s="133">
        <v>2025</v>
      </c>
      <c r="B13986" s="133">
        <v>6</v>
      </c>
      <c r="C13986" s="133">
        <v>26</v>
      </c>
      <c r="D13986" s="141">
        <f t="shared" si="2122"/>
        <v>45834</v>
      </c>
      <c r="E13986" s="275">
        <f t="shared" si="2123"/>
        <v>45834</v>
      </c>
      <c r="F13986" s="481"/>
      <c r="G13986" s="174" t="s">
        <v>94</v>
      </c>
      <c r="H13986" s="174"/>
      <c r="J13986" s="149" t="s">
        <v>80</v>
      </c>
      <c r="K13986" s="218">
        <v>2140.41</v>
      </c>
      <c r="L13986" s="218"/>
      <c r="M13986" s="176"/>
    </row>
    <row r="13987" spans="1:14" x14ac:dyDescent="0.2">
      <c r="A13987" s="133">
        <v>2025</v>
      </c>
      <c r="B13987" s="133">
        <v>6</v>
      </c>
      <c r="C13987" s="133">
        <v>26</v>
      </c>
      <c r="D13987" s="141">
        <f t="shared" si="2122"/>
        <v>45834</v>
      </c>
      <c r="E13987" s="275">
        <f t="shared" si="2123"/>
        <v>45834</v>
      </c>
      <c r="F13987" s="481"/>
      <c r="G13987" s="174" t="s">
        <v>94</v>
      </c>
      <c r="H13987" s="174"/>
      <c r="J13987" s="149" t="s">
        <v>191</v>
      </c>
      <c r="K13987" s="218"/>
      <c r="L13987" s="218">
        <v>2298.71</v>
      </c>
    </row>
    <row r="13988" spans="1:14" x14ac:dyDescent="0.2">
      <c r="A13988" s="163">
        <v>2025</v>
      </c>
      <c r="B13988" s="163">
        <v>6</v>
      </c>
      <c r="C13988" s="133">
        <v>26</v>
      </c>
      <c r="D13988" s="280">
        <f t="shared" si="2122"/>
        <v>45834</v>
      </c>
      <c r="E13988" s="281">
        <f t="shared" si="2123"/>
        <v>45834</v>
      </c>
      <c r="F13988" s="480"/>
      <c r="G13988" s="221" t="s">
        <v>94</v>
      </c>
      <c r="H13988" s="145"/>
      <c r="I13988" s="145"/>
      <c r="J13988" s="163" t="s">
        <v>79</v>
      </c>
      <c r="K13988" s="219"/>
      <c r="L13988" s="219">
        <v>1186816.29</v>
      </c>
    </row>
    <row r="13989" spans="1:14" x14ac:dyDescent="0.2">
      <c r="A13989" s="168">
        <v>2025</v>
      </c>
      <c r="B13989" s="168">
        <v>6</v>
      </c>
      <c r="C13989" s="133">
        <v>26</v>
      </c>
      <c r="D13989" s="141">
        <f t="shared" si="2122"/>
        <v>45834</v>
      </c>
      <c r="E13989" s="275">
        <f t="shared" si="2123"/>
        <v>45834</v>
      </c>
      <c r="F13989" s="479" t="s">
        <v>275</v>
      </c>
      <c r="G13989" s="174" t="s">
        <v>74</v>
      </c>
      <c r="H13989" s="174"/>
      <c r="I13989" s="148" t="s">
        <v>348</v>
      </c>
      <c r="J13989" s="149" t="s">
        <v>163</v>
      </c>
      <c r="K13989" s="218">
        <v>1575</v>
      </c>
      <c r="L13989" s="218"/>
    </row>
    <row r="13990" spans="1:14" x14ac:dyDescent="0.2">
      <c r="A13990" s="133">
        <v>2025</v>
      </c>
      <c r="B13990" s="133">
        <v>6</v>
      </c>
      <c r="C13990" s="133">
        <v>26</v>
      </c>
      <c r="D13990" s="141">
        <f t="shared" si="2122"/>
        <v>45834</v>
      </c>
      <c r="E13990" s="275">
        <f t="shared" si="2123"/>
        <v>45834</v>
      </c>
      <c r="F13990" s="481"/>
      <c r="G13990" s="174" t="s">
        <v>74</v>
      </c>
      <c r="H13990" s="174"/>
      <c r="J13990" s="149" t="s">
        <v>1907</v>
      </c>
      <c r="K13990" s="218"/>
      <c r="L13990" s="218">
        <v>150</v>
      </c>
    </row>
    <row r="13991" spans="1:14" x14ac:dyDescent="0.2">
      <c r="A13991" s="163">
        <v>2025</v>
      </c>
      <c r="B13991" s="163">
        <v>6</v>
      </c>
      <c r="C13991" s="163">
        <v>26</v>
      </c>
      <c r="D13991" s="280">
        <f t="shared" si="2122"/>
        <v>45834</v>
      </c>
      <c r="E13991" s="281">
        <f t="shared" si="2123"/>
        <v>45834</v>
      </c>
      <c r="F13991" s="480"/>
      <c r="G13991" s="221" t="s">
        <v>74</v>
      </c>
      <c r="H13991" s="221"/>
      <c r="I13991" s="145"/>
      <c r="J13991" s="146" t="s">
        <v>52</v>
      </c>
      <c r="K13991" s="219"/>
      <c r="L13991" s="219">
        <v>1425</v>
      </c>
    </row>
    <row r="13992" spans="1:14" ht="11.25" customHeight="1" x14ac:dyDescent="0.2">
      <c r="A13992" s="168">
        <v>2025</v>
      </c>
      <c r="B13992" s="133">
        <v>6</v>
      </c>
      <c r="C13992" s="168">
        <v>26</v>
      </c>
      <c r="D13992" s="141">
        <f t="shared" si="2122"/>
        <v>45834</v>
      </c>
      <c r="E13992" s="275">
        <f t="shared" si="2123"/>
        <v>45834</v>
      </c>
      <c r="F13992" s="479" t="s">
        <v>2031</v>
      </c>
      <c r="G13992" s="220" t="s">
        <v>74</v>
      </c>
      <c r="H13992" s="220"/>
      <c r="I13992" s="142"/>
      <c r="J13992" s="143" t="s">
        <v>52</v>
      </c>
      <c r="K13992" s="226">
        <v>1141940</v>
      </c>
      <c r="L13992" s="226"/>
    </row>
    <row r="13993" spans="1:14" x14ac:dyDescent="0.2">
      <c r="A13993" s="163">
        <v>2025</v>
      </c>
      <c r="B13993" s="163">
        <v>6</v>
      </c>
      <c r="C13993" s="163">
        <v>26</v>
      </c>
      <c r="D13993" s="280">
        <f t="shared" si="2122"/>
        <v>45834</v>
      </c>
      <c r="E13993" s="281">
        <f t="shared" si="2123"/>
        <v>45834</v>
      </c>
      <c r="F13993" s="480"/>
      <c r="G13993" s="221" t="s">
        <v>74</v>
      </c>
      <c r="H13993" s="221"/>
      <c r="I13993" s="145"/>
      <c r="J13993" s="146" t="s">
        <v>190</v>
      </c>
      <c r="K13993" s="219"/>
      <c r="L13993" s="219">
        <v>1141940</v>
      </c>
      <c r="N13993" s="264"/>
    </row>
    <row r="13994" spans="1:14" x14ac:dyDescent="0.2">
      <c r="A13994" s="168">
        <v>2025</v>
      </c>
      <c r="B13994" s="133">
        <v>6</v>
      </c>
      <c r="C13994" s="168">
        <v>26</v>
      </c>
      <c r="D13994" s="147">
        <f>DATE(A13994,B13994,C13994)</f>
        <v>45834</v>
      </c>
      <c r="E13994" s="311">
        <f>DATE(A13994,B13994,C13994)</f>
        <v>45834</v>
      </c>
      <c r="F13994" s="481" t="s">
        <v>1950</v>
      </c>
      <c r="G13994" s="174" t="s">
        <v>74</v>
      </c>
      <c r="I13994" s="148" t="s">
        <v>348</v>
      </c>
      <c r="J13994" s="133" t="s">
        <v>61</v>
      </c>
      <c r="K13994" s="172">
        <v>345</v>
      </c>
    </row>
    <row r="13995" spans="1:14" x14ac:dyDescent="0.2">
      <c r="A13995" s="163">
        <v>2025</v>
      </c>
      <c r="B13995" s="163">
        <v>6</v>
      </c>
      <c r="C13995" s="163">
        <v>26</v>
      </c>
      <c r="D13995" s="280">
        <f>DATE(A13995,B13995,C13995)</f>
        <v>45834</v>
      </c>
      <c r="E13995" s="281">
        <f>DATE(A13995,B13995,C13995)</f>
        <v>45834</v>
      </c>
      <c r="F13995" s="480"/>
      <c r="G13995" s="221" t="s">
        <v>74</v>
      </c>
      <c r="H13995" s="145"/>
      <c r="I13995" s="145" t="s">
        <v>348</v>
      </c>
      <c r="J13995" s="163" t="s">
        <v>52</v>
      </c>
      <c r="K13995" s="219"/>
      <c r="L13995" s="219">
        <v>345</v>
      </c>
    </row>
    <row r="13996" spans="1:14" x14ac:dyDescent="0.2">
      <c r="A13996" s="325">
        <v>2025</v>
      </c>
      <c r="B13996" s="325">
        <v>6</v>
      </c>
      <c r="C13996" s="325">
        <v>26</v>
      </c>
      <c r="D13996" s="326">
        <f t="shared" si="2122"/>
        <v>45834</v>
      </c>
      <c r="E13996" s="327">
        <f t="shared" si="2123"/>
        <v>45834</v>
      </c>
      <c r="F13996" s="473" t="s">
        <v>1940</v>
      </c>
      <c r="G13996" s="340" t="s">
        <v>94</v>
      </c>
      <c r="H13996" s="340"/>
      <c r="I13996" s="341" t="s">
        <v>348</v>
      </c>
      <c r="J13996" s="374" t="s">
        <v>133</v>
      </c>
      <c r="K13996" s="375">
        <v>12905.56</v>
      </c>
      <c r="L13996" s="375"/>
      <c r="M13996" s="176"/>
    </row>
    <row r="13997" spans="1:14" x14ac:dyDescent="0.2">
      <c r="A13997" s="331">
        <v>2025</v>
      </c>
      <c r="B13997" s="331">
        <v>6</v>
      </c>
      <c r="C13997" s="331">
        <v>26</v>
      </c>
      <c r="D13997" s="326">
        <f t="shared" si="2122"/>
        <v>45834</v>
      </c>
      <c r="E13997" s="327">
        <f t="shared" si="2123"/>
        <v>45834</v>
      </c>
      <c r="F13997" s="474"/>
      <c r="G13997" s="332" t="s">
        <v>94</v>
      </c>
      <c r="H13997" s="332"/>
      <c r="I13997" s="333" t="s">
        <v>348</v>
      </c>
      <c r="J13997" s="376" t="s">
        <v>60</v>
      </c>
      <c r="K13997" s="334"/>
      <c r="L13997" s="334">
        <f>K13996</f>
        <v>12905.56</v>
      </c>
    </row>
    <row r="13998" spans="1:14" x14ac:dyDescent="0.2">
      <c r="A13998" s="384">
        <v>2025</v>
      </c>
      <c r="B13998" s="384">
        <v>6</v>
      </c>
      <c r="C13998" s="384">
        <v>26</v>
      </c>
      <c r="D13998" s="385">
        <f t="shared" si="2122"/>
        <v>45834</v>
      </c>
      <c r="E13998" s="386">
        <f t="shared" si="2123"/>
        <v>45834</v>
      </c>
      <c r="F13998" s="475" t="s">
        <v>1966</v>
      </c>
      <c r="G13998" s="387" t="s">
        <v>94</v>
      </c>
      <c r="H13998" s="387"/>
      <c r="I13998" s="388" t="s">
        <v>348</v>
      </c>
      <c r="J13998" s="389" t="s">
        <v>67</v>
      </c>
      <c r="K13998" s="390">
        <v>8148</v>
      </c>
      <c r="L13998" s="390"/>
    </row>
    <row r="13999" spans="1:14" x14ac:dyDescent="0.2">
      <c r="A13999" s="391">
        <v>2025</v>
      </c>
      <c r="B13999" s="391">
        <v>6</v>
      </c>
      <c r="C13999" s="391">
        <v>26</v>
      </c>
      <c r="D13999" s="385">
        <f t="shared" si="2122"/>
        <v>45834</v>
      </c>
      <c r="E13999" s="386">
        <f t="shared" si="2123"/>
        <v>45834</v>
      </c>
      <c r="F13999" s="476"/>
      <c r="G13999" s="392" t="s">
        <v>94</v>
      </c>
      <c r="H13999" s="392"/>
      <c r="I13999" s="393" t="s">
        <v>348</v>
      </c>
      <c r="J13999" s="394" t="s">
        <v>60</v>
      </c>
      <c r="K13999" s="395"/>
      <c r="L13999" s="395">
        <f>K13998</f>
        <v>8148</v>
      </c>
    </row>
    <row r="14000" spans="1:14" x14ac:dyDescent="0.2">
      <c r="A14000" s="343">
        <v>2025</v>
      </c>
      <c r="B14000" s="343">
        <v>6</v>
      </c>
      <c r="C14000" s="343">
        <v>26</v>
      </c>
      <c r="D14000" s="344">
        <f t="shared" si="2122"/>
        <v>45834</v>
      </c>
      <c r="E14000" s="345">
        <f t="shared" si="2123"/>
        <v>45834</v>
      </c>
      <c r="F14000" s="483" t="s">
        <v>1813</v>
      </c>
      <c r="G14000" s="350" t="s">
        <v>94</v>
      </c>
      <c r="H14000" s="350"/>
      <c r="I14000" s="352" t="s">
        <v>348</v>
      </c>
      <c r="J14000" s="353" t="s">
        <v>1807</v>
      </c>
      <c r="K14000" s="354">
        <v>0</v>
      </c>
      <c r="L14000" s="354"/>
      <c r="M14000" s="133">
        <v>0</v>
      </c>
    </row>
    <row r="14001" spans="1:14" x14ac:dyDescent="0.2">
      <c r="A14001" s="346">
        <v>2025</v>
      </c>
      <c r="B14001" s="346">
        <v>6</v>
      </c>
      <c r="C14001" s="346">
        <v>26</v>
      </c>
      <c r="D14001" s="344">
        <f t="shared" si="2122"/>
        <v>45834</v>
      </c>
      <c r="E14001" s="345">
        <f t="shared" si="2123"/>
        <v>45834</v>
      </c>
      <c r="F14001" s="484"/>
      <c r="G14001" s="347" t="s">
        <v>94</v>
      </c>
      <c r="H14001" s="347"/>
      <c r="I14001" s="348" t="s">
        <v>348</v>
      </c>
      <c r="J14001" s="355" t="s">
        <v>1798</v>
      </c>
      <c r="K14001" s="349"/>
      <c r="L14001" s="349">
        <v>0</v>
      </c>
    </row>
    <row r="14002" spans="1:14" x14ac:dyDescent="0.2">
      <c r="A14002" s="343">
        <v>2025</v>
      </c>
      <c r="B14002" s="343">
        <v>6</v>
      </c>
      <c r="C14002" s="343">
        <v>26</v>
      </c>
      <c r="D14002" s="344">
        <f t="shared" si="2122"/>
        <v>45834</v>
      </c>
      <c r="E14002" s="345">
        <f t="shared" si="2123"/>
        <v>45834</v>
      </c>
      <c r="F14002" s="483" t="s">
        <v>1913</v>
      </c>
      <c r="G14002" s="350" t="s">
        <v>94</v>
      </c>
      <c r="H14002" s="350"/>
      <c r="I14002" s="352" t="s">
        <v>348</v>
      </c>
      <c r="J14002" s="353" t="s">
        <v>1808</v>
      </c>
      <c r="K14002" s="354">
        <v>62100.829999998212</v>
      </c>
      <c r="L14002" s="354"/>
      <c r="M14002" s="133">
        <v>0</v>
      </c>
    </row>
    <row r="14003" spans="1:14" x14ac:dyDescent="0.2">
      <c r="A14003" s="346">
        <v>2025</v>
      </c>
      <c r="B14003" s="346">
        <v>6</v>
      </c>
      <c r="C14003" s="346">
        <v>26</v>
      </c>
      <c r="D14003" s="344">
        <f t="shared" si="2122"/>
        <v>45834</v>
      </c>
      <c r="E14003" s="345">
        <f t="shared" si="2123"/>
        <v>45834</v>
      </c>
      <c r="F14003" s="484"/>
      <c r="G14003" s="347" t="s">
        <v>94</v>
      </c>
      <c r="H14003" s="347"/>
      <c r="I14003" s="348" t="s">
        <v>348</v>
      </c>
      <c r="J14003" s="355" t="s">
        <v>1799</v>
      </c>
      <c r="K14003" s="349"/>
      <c r="L14003" s="349">
        <f>K14002</f>
        <v>62100.829999998212</v>
      </c>
    </row>
    <row r="14004" spans="1:14" x14ac:dyDescent="0.2">
      <c r="A14004" s="238">
        <v>2025</v>
      </c>
      <c r="B14004" s="238">
        <v>6</v>
      </c>
      <c r="C14004" s="238">
        <v>26</v>
      </c>
      <c r="D14004" s="270">
        <f t="shared" si="2122"/>
        <v>45834</v>
      </c>
      <c r="E14004" s="279">
        <f t="shared" si="2123"/>
        <v>45834</v>
      </c>
      <c r="F14004" s="477" t="s">
        <v>347</v>
      </c>
      <c r="G14004" s="239" t="s">
        <v>94</v>
      </c>
      <c r="H14004" s="239"/>
      <c r="I14004" s="262" t="s">
        <v>348</v>
      </c>
      <c r="J14004" s="240" t="s">
        <v>108</v>
      </c>
      <c r="K14004" s="241">
        <v>1380184.5399999917</v>
      </c>
      <c r="L14004" s="241"/>
      <c r="M14004" s="133">
        <v>13139541.900000483</v>
      </c>
    </row>
    <row r="14005" spans="1:14" x14ac:dyDescent="0.2">
      <c r="A14005" s="242">
        <v>2025</v>
      </c>
      <c r="B14005" s="242">
        <v>6</v>
      </c>
      <c r="C14005" s="242">
        <v>26</v>
      </c>
      <c r="D14005" s="270">
        <f t="shared" si="2122"/>
        <v>45834</v>
      </c>
      <c r="E14005" s="279">
        <f t="shared" si="2123"/>
        <v>45834</v>
      </c>
      <c r="F14005" s="478"/>
      <c r="G14005" s="243" t="s">
        <v>94</v>
      </c>
      <c r="H14005" s="243"/>
      <c r="I14005" s="263" t="s">
        <v>348</v>
      </c>
      <c r="J14005" s="244" t="s">
        <v>82</v>
      </c>
      <c r="K14005" s="245"/>
      <c r="L14005" s="245">
        <f>K14004</f>
        <v>1380184.5399999917</v>
      </c>
    </row>
    <row r="14006" spans="1:14" ht="12" customHeight="1" x14ac:dyDescent="0.2">
      <c r="A14006" s="246">
        <v>2025</v>
      </c>
      <c r="B14006" s="238">
        <v>6</v>
      </c>
      <c r="C14006" s="238">
        <v>26</v>
      </c>
      <c r="D14006" s="270">
        <f t="shared" si="2122"/>
        <v>45834</v>
      </c>
      <c r="E14006" s="279">
        <f t="shared" si="2123"/>
        <v>45834</v>
      </c>
      <c r="F14006" s="482" t="s">
        <v>148</v>
      </c>
      <c r="G14006" s="247" t="s">
        <v>94</v>
      </c>
      <c r="H14006" s="247"/>
      <c r="I14006" s="248" t="s">
        <v>348</v>
      </c>
      <c r="J14006" s="249" t="s">
        <v>95</v>
      </c>
      <c r="K14006" s="250">
        <v>2747.2527472527472</v>
      </c>
      <c r="L14006" s="241"/>
      <c r="M14006" s="176"/>
    </row>
    <row r="14007" spans="1:14" x14ac:dyDescent="0.2">
      <c r="A14007" s="242">
        <v>2025</v>
      </c>
      <c r="B14007" s="242">
        <v>6</v>
      </c>
      <c r="C14007" s="242">
        <v>26</v>
      </c>
      <c r="D14007" s="270">
        <f t="shared" si="2122"/>
        <v>45834</v>
      </c>
      <c r="E14007" s="279">
        <f t="shared" si="2123"/>
        <v>45834</v>
      </c>
      <c r="F14007" s="478"/>
      <c r="G14007" s="243" t="s">
        <v>94</v>
      </c>
      <c r="H14007" s="243"/>
      <c r="I14007" s="263" t="s">
        <v>348</v>
      </c>
      <c r="J14007" s="244" t="s">
        <v>63</v>
      </c>
      <c r="K14007" s="245"/>
      <c r="L14007" s="245">
        <f>K14006</f>
        <v>2747.2527472527472</v>
      </c>
    </row>
    <row r="14008" spans="1:14" x14ac:dyDescent="0.2">
      <c r="A14008" s="246">
        <v>2025</v>
      </c>
      <c r="B14008" s="238">
        <v>6</v>
      </c>
      <c r="C14008" s="238">
        <v>26</v>
      </c>
      <c r="D14008" s="270">
        <f t="shared" si="2122"/>
        <v>45834</v>
      </c>
      <c r="E14008" s="279">
        <f t="shared" si="2123"/>
        <v>45834</v>
      </c>
      <c r="F14008" s="482" t="s">
        <v>137</v>
      </c>
      <c r="G14008" s="247" t="s">
        <v>94</v>
      </c>
      <c r="H14008" s="247"/>
      <c r="I14008" s="248" t="s">
        <v>348</v>
      </c>
      <c r="J14008" s="249" t="s">
        <v>97</v>
      </c>
      <c r="K14008" s="250">
        <f>M14008</f>
        <v>64154.876321960204</v>
      </c>
      <c r="L14008" s="252"/>
      <c r="M14008" s="133">
        <v>64154.876321960204</v>
      </c>
    </row>
    <row r="14009" spans="1:14" x14ac:dyDescent="0.2">
      <c r="A14009" s="242">
        <v>2025</v>
      </c>
      <c r="B14009" s="242">
        <v>6</v>
      </c>
      <c r="C14009" s="242">
        <v>26</v>
      </c>
      <c r="D14009" s="270">
        <f t="shared" si="2122"/>
        <v>45834</v>
      </c>
      <c r="E14009" s="279">
        <f t="shared" si="2123"/>
        <v>45834</v>
      </c>
      <c r="F14009" s="478"/>
      <c r="G14009" s="243" t="s">
        <v>94</v>
      </c>
      <c r="H14009" s="243"/>
      <c r="I14009" s="263" t="s">
        <v>348</v>
      </c>
      <c r="J14009" s="244" t="s">
        <v>47</v>
      </c>
      <c r="K14009" s="245"/>
      <c r="L14009" s="245">
        <f>K14008</f>
        <v>64154.876321960204</v>
      </c>
      <c r="M14009" s="133">
        <v>2967.3592007133948</v>
      </c>
    </row>
    <row r="14010" spans="1:14" x14ac:dyDescent="0.2">
      <c r="A14010" s="246">
        <v>2025</v>
      </c>
      <c r="B14010" s="238">
        <v>6</v>
      </c>
      <c r="C14010" s="238">
        <v>26</v>
      </c>
      <c r="D14010" s="270">
        <f t="shared" si="2122"/>
        <v>45834</v>
      </c>
      <c r="E14010" s="279">
        <f t="shared" si="2123"/>
        <v>45834</v>
      </c>
      <c r="F14010" s="482" t="s">
        <v>138</v>
      </c>
      <c r="G14010" s="247" t="s">
        <v>94</v>
      </c>
      <c r="H14010" s="247"/>
      <c r="I14010" s="248" t="s">
        <v>348</v>
      </c>
      <c r="J14010" s="249" t="s">
        <v>100</v>
      </c>
      <c r="K14010" s="250">
        <f>M14009</f>
        <v>2967.3592007133948</v>
      </c>
      <c r="L14010" s="252"/>
    </row>
    <row r="14011" spans="1:14" x14ac:dyDescent="0.2">
      <c r="A14011" s="242">
        <v>2025</v>
      </c>
      <c r="B14011" s="242">
        <v>6</v>
      </c>
      <c r="C14011" s="242">
        <v>26</v>
      </c>
      <c r="D14011" s="321">
        <f t="shared" si="2122"/>
        <v>45834</v>
      </c>
      <c r="E14011" s="322">
        <f t="shared" si="2123"/>
        <v>45834</v>
      </c>
      <c r="F14011" s="478"/>
      <c r="G14011" s="243" t="s">
        <v>94</v>
      </c>
      <c r="H14011" s="243"/>
      <c r="I14011" s="263" t="s">
        <v>348</v>
      </c>
      <c r="J14011" s="244" t="s">
        <v>48</v>
      </c>
      <c r="K14011" s="245"/>
      <c r="L14011" s="245">
        <f>K14010</f>
        <v>2967.3592007133948</v>
      </c>
    </row>
    <row r="14012" spans="1:14" x14ac:dyDescent="0.2">
      <c r="A14012" s="133">
        <v>2025</v>
      </c>
      <c r="B14012" s="133">
        <v>6</v>
      </c>
      <c r="C14012" s="133">
        <v>29</v>
      </c>
      <c r="D14012" s="141">
        <f t="shared" si="2122"/>
        <v>45837</v>
      </c>
      <c r="E14012" s="275">
        <f t="shared" si="2123"/>
        <v>45837</v>
      </c>
      <c r="F14012" s="481" t="s">
        <v>2075</v>
      </c>
      <c r="G14012" s="174" t="s">
        <v>94</v>
      </c>
      <c r="H14012" s="174"/>
      <c r="J14012" s="149" t="s">
        <v>79</v>
      </c>
      <c r="K14012" s="218">
        <v>1497000</v>
      </c>
      <c r="L14012" s="218"/>
      <c r="M14012" s="160"/>
    </row>
    <row r="14013" spans="1:14" x14ac:dyDescent="0.2">
      <c r="A14013" s="133">
        <v>2025</v>
      </c>
      <c r="B14013" s="133">
        <v>6</v>
      </c>
      <c r="C14013" s="133">
        <v>29</v>
      </c>
      <c r="D14013" s="141">
        <f t="shared" si="2122"/>
        <v>45837</v>
      </c>
      <c r="E14013" s="275">
        <f t="shared" si="2123"/>
        <v>45837</v>
      </c>
      <c r="F14013" s="481"/>
      <c r="G14013" s="174" t="s">
        <v>94</v>
      </c>
      <c r="H14013" s="174"/>
      <c r="J14013" s="149" t="s">
        <v>80</v>
      </c>
      <c r="K14013" s="218">
        <v>17695.34</v>
      </c>
      <c r="L14013" s="133"/>
      <c r="M14013" s="264"/>
      <c r="N14013" s="264"/>
    </row>
    <row r="14014" spans="1:14" x14ac:dyDescent="0.2">
      <c r="A14014" s="133">
        <v>2025</v>
      </c>
      <c r="B14014" s="133">
        <v>6</v>
      </c>
      <c r="C14014" s="133">
        <v>29</v>
      </c>
      <c r="D14014" s="141">
        <f t="shared" si="2122"/>
        <v>45837</v>
      </c>
      <c r="E14014" s="275">
        <f t="shared" si="2123"/>
        <v>45837</v>
      </c>
      <c r="F14014" s="481"/>
      <c r="G14014" s="174" t="s">
        <v>94</v>
      </c>
      <c r="H14014" s="174"/>
      <c r="J14014" s="149" t="s">
        <v>190</v>
      </c>
      <c r="K14014" s="218">
        <v>6819047.1600000001</v>
      </c>
      <c r="L14014" s="218"/>
      <c r="M14014" s="264"/>
    </row>
    <row r="14015" spans="1:14" x14ac:dyDescent="0.2">
      <c r="A14015" s="133">
        <v>2025</v>
      </c>
      <c r="B14015" s="133">
        <v>6</v>
      </c>
      <c r="C14015" s="133">
        <v>29</v>
      </c>
      <c r="D14015" s="141">
        <f t="shared" si="2122"/>
        <v>45837</v>
      </c>
      <c r="E14015" s="275">
        <f t="shared" si="2123"/>
        <v>45837</v>
      </c>
      <c r="F14015" s="481"/>
      <c r="G14015" s="174" t="s">
        <v>94</v>
      </c>
      <c r="H14015" s="174"/>
      <c r="J14015" s="149" t="s">
        <v>191</v>
      </c>
      <c r="L14015" s="218">
        <v>36709.53</v>
      </c>
    </row>
    <row r="14016" spans="1:14" x14ac:dyDescent="0.2">
      <c r="A14016" s="163">
        <v>2025</v>
      </c>
      <c r="B14016" s="163">
        <v>6</v>
      </c>
      <c r="C14016" s="163">
        <v>29</v>
      </c>
      <c r="D14016" s="280">
        <f t="shared" si="2122"/>
        <v>45837</v>
      </c>
      <c r="E14016" s="281">
        <f t="shared" si="2123"/>
        <v>45837</v>
      </c>
      <c r="F14016" s="480"/>
      <c r="G14016" s="221" t="s">
        <v>94</v>
      </c>
      <c r="H14016" s="145"/>
      <c r="I14016" s="145"/>
      <c r="J14016" s="163" t="s">
        <v>79</v>
      </c>
      <c r="K14016" s="219"/>
      <c r="L14016" s="219">
        <v>8297032.9699999997</v>
      </c>
      <c r="M14016" s="264"/>
    </row>
    <row r="14017" spans="1:13" x14ac:dyDescent="0.2">
      <c r="A14017" s="133">
        <v>2025</v>
      </c>
      <c r="B14017" s="133">
        <v>6</v>
      </c>
      <c r="C14017" s="133">
        <v>29</v>
      </c>
      <c r="D14017" s="141">
        <f t="shared" ref="D14017:D14023" si="2124">DATE(A14017,B14017,C14017)</f>
        <v>45837</v>
      </c>
      <c r="E14017" s="275">
        <f t="shared" ref="E14017:E14023" si="2125">DATE(A14017,B14017,C14017)</f>
        <v>45837</v>
      </c>
      <c r="F14017" s="481" t="s">
        <v>1977</v>
      </c>
      <c r="G14017" s="174" t="s">
        <v>94</v>
      </c>
      <c r="H14017" s="174"/>
      <c r="J14017" s="149" t="s">
        <v>190</v>
      </c>
      <c r="K14017" s="218">
        <v>362350.19</v>
      </c>
      <c r="L14017" s="133"/>
    </row>
    <row r="14018" spans="1:13" x14ac:dyDescent="0.2">
      <c r="A14018" s="133">
        <v>2025</v>
      </c>
      <c r="B14018" s="133">
        <v>6</v>
      </c>
      <c r="C14018" s="133">
        <v>29</v>
      </c>
      <c r="D14018" s="141">
        <f t="shared" si="2124"/>
        <v>45837</v>
      </c>
      <c r="E14018" s="275">
        <f t="shared" si="2125"/>
        <v>45837</v>
      </c>
      <c r="F14018" s="481"/>
      <c r="G14018" s="174" t="s">
        <v>94</v>
      </c>
      <c r="H14018" s="174"/>
      <c r="J14018" s="149" t="s">
        <v>80</v>
      </c>
      <c r="K14018" s="218">
        <v>653.41</v>
      </c>
      <c r="L14018" s="218"/>
      <c r="M14018" s="176"/>
    </row>
    <row r="14019" spans="1:13" x14ac:dyDescent="0.2">
      <c r="A14019" s="133">
        <v>2025</v>
      </c>
      <c r="B14019" s="133">
        <v>6</v>
      </c>
      <c r="C14019" s="133">
        <v>29</v>
      </c>
      <c r="D14019" s="141">
        <f t="shared" si="2124"/>
        <v>45837</v>
      </c>
      <c r="E14019" s="275">
        <f t="shared" si="2125"/>
        <v>45837</v>
      </c>
      <c r="F14019" s="481"/>
      <c r="G14019" s="174" t="s">
        <v>94</v>
      </c>
      <c r="H14019" s="174"/>
      <c r="J14019" s="149" t="s">
        <v>191</v>
      </c>
      <c r="K14019" s="218">
        <v>9842.34</v>
      </c>
      <c r="L14019" s="218"/>
    </row>
    <row r="14020" spans="1:13" x14ac:dyDescent="0.2">
      <c r="A14020" s="163">
        <v>2025</v>
      </c>
      <c r="B14020" s="163">
        <v>6</v>
      </c>
      <c r="C14020" s="133">
        <v>29</v>
      </c>
      <c r="D14020" s="280">
        <f t="shared" si="2124"/>
        <v>45837</v>
      </c>
      <c r="E14020" s="281">
        <f t="shared" si="2125"/>
        <v>45837</v>
      </c>
      <c r="F14020" s="480"/>
      <c r="G14020" s="221" t="s">
        <v>94</v>
      </c>
      <c r="H14020" s="145"/>
      <c r="I14020" s="145"/>
      <c r="J14020" s="163" t="s">
        <v>79</v>
      </c>
      <c r="K14020" s="219"/>
      <c r="L14020" s="219">
        <v>372845.94</v>
      </c>
    </row>
    <row r="14021" spans="1:13" ht="11.25" customHeight="1" x14ac:dyDescent="0.2">
      <c r="A14021" s="168">
        <v>2025</v>
      </c>
      <c r="B14021" s="168">
        <v>6</v>
      </c>
      <c r="C14021" s="168">
        <v>29</v>
      </c>
      <c r="D14021" s="141">
        <f t="shared" si="2124"/>
        <v>45837</v>
      </c>
      <c r="E14021" s="275">
        <f t="shared" si="2125"/>
        <v>45837</v>
      </c>
      <c r="F14021" s="479" t="s">
        <v>964</v>
      </c>
      <c r="G14021" s="220" t="s">
        <v>74</v>
      </c>
      <c r="H14021" s="142"/>
      <c r="I14021" s="142"/>
      <c r="J14021" s="168" t="s">
        <v>52</v>
      </c>
      <c r="K14021" s="226">
        <v>300000</v>
      </c>
      <c r="L14021" s="226"/>
    </row>
    <row r="14022" spans="1:13" ht="11.25" customHeight="1" x14ac:dyDescent="0.2">
      <c r="A14022" s="133">
        <v>2025</v>
      </c>
      <c r="B14022" s="133">
        <v>6</v>
      </c>
      <c r="C14022" s="133">
        <v>29</v>
      </c>
      <c r="D14022" s="141">
        <f t="shared" si="2124"/>
        <v>45837</v>
      </c>
      <c r="E14022" s="275">
        <f t="shared" si="2125"/>
        <v>45837</v>
      </c>
      <c r="F14022" s="481"/>
      <c r="G14022" s="174" t="s">
        <v>74</v>
      </c>
      <c r="J14022" s="133" t="s">
        <v>13</v>
      </c>
      <c r="K14022" s="218"/>
      <c r="L14022" s="218">
        <v>230470</v>
      </c>
    </row>
    <row r="14023" spans="1:13" ht="11.25" customHeight="1" x14ac:dyDescent="0.2">
      <c r="A14023" s="163">
        <v>2025</v>
      </c>
      <c r="B14023" s="163">
        <v>6</v>
      </c>
      <c r="C14023" s="163">
        <v>29</v>
      </c>
      <c r="D14023" s="280">
        <f t="shared" si="2124"/>
        <v>45837</v>
      </c>
      <c r="E14023" s="281">
        <f t="shared" si="2125"/>
        <v>45837</v>
      </c>
      <c r="F14023" s="480"/>
      <c r="G14023" s="221" t="s">
        <v>74</v>
      </c>
      <c r="H14023" s="145"/>
      <c r="I14023" s="145"/>
      <c r="J14023" s="163" t="s">
        <v>53</v>
      </c>
      <c r="K14023" s="219"/>
      <c r="L14023" s="219">
        <v>69530</v>
      </c>
    </row>
    <row r="14024" spans="1:13" ht="11.25" customHeight="1" x14ac:dyDescent="0.2">
      <c r="A14024" s="168">
        <v>2025</v>
      </c>
      <c r="B14024" s="168">
        <v>6</v>
      </c>
      <c r="C14024" s="168">
        <v>29</v>
      </c>
      <c r="D14024" s="141">
        <f t="shared" ref="D14024:D14026" si="2126">DATE(A14024,B14024,C14024)</f>
        <v>45837</v>
      </c>
      <c r="E14024" s="275">
        <f t="shared" ref="E14024:E14026" si="2127">DATE(A14024,B14024,C14024)</f>
        <v>45837</v>
      </c>
      <c r="F14024" s="479" t="s">
        <v>964</v>
      </c>
      <c r="G14024" s="220" t="s">
        <v>74</v>
      </c>
      <c r="H14024" s="142"/>
      <c r="I14024" s="142"/>
      <c r="J14024" s="168" t="s">
        <v>52</v>
      </c>
      <c r="K14024" s="226">
        <v>200000</v>
      </c>
      <c r="L14024" s="226"/>
    </row>
    <row r="14025" spans="1:13" ht="11.25" customHeight="1" x14ac:dyDescent="0.2">
      <c r="A14025" s="133">
        <v>2025</v>
      </c>
      <c r="B14025" s="133">
        <v>6</v>
      </c>
      <c r="C14025" s="133">
        <v>29</v>
      </c>
      <c r="D14025" s="141">
        <f t="shared" si="2126"/>
        <v>45837</v>
      </c>
      <c r="E14025" s="275">
        <f t="shared" si="2127"/>
        <v>45837</v>
      </c>
      <c r="F14025" s="481"/>
      <c r="G14025" s="174" t="s">
        <v>74</v>
      </c>
      <c r="J14025" s="133" t="s">
        <v>13</v>
      </c>
      <c r="K14025" s="218"/>
      <c r="L14025" s="218">
        <v>153650</v>
      </c>
    </row>
    <row r="14026" spans="1:13" ht="11.25" customHeight="1" x14ac:dyDescent="0.2">
      <c r="A14026" s="163">
        <v>2025</v>
      </c>
      <c r="B14026" s="163">
        <v>6</v>
      </c>
      <c r="C14026" s="163">
        <v>29</v>
      </c>
      <c r="D14026" s="280">
        <f t="shared" si="2126"/>
        <v>45837</v>
      </c>
      <c r="E14026" s="281">
        <f t="shared" si="2127"/>
        <v>45837</v>
      </c>
      <c r="F14026" s="480"/>
      <c r="G14026" s="221" t="s">
        <v>74</v>
      </c>
      <c r="H14026" s="145"/>
      <c r="I14026" s="145"/>
      <c r="J14026" s="163" t="s">
        <v>53</v>
      </c>
      <c r="K14026" s="219"/>
      <c r="L14026" s="219">
        <v>46350</v>
      </c>
    </row>
    <row r="14027" spans="1:13" x14ac:dyDescent="0.2">
      <c r="A14027" s="168">
        <v>2025</v>
      </c>
      <c r="B14027" s="133">
        <v>6</v>
      </c>
      <c r="C14027" s="168">
        <v>29</v>
      </c>
      <c r="D14027" s="147">
        <f>DATE(A14027,B14027,C14027)</f>
        <v>45837</v>
      </c>
      <c r="E14027" s="311">
        <f>DATE(A14027,B14027,C14027)</f>
        <v>45837</v>
      </c>
      <c r="F14027" s="481" t="s">
        <v>1943</v>
      </c>
      <c r="G14027" s="174" t="s">
        <v>74</v>
      </c>
      <c r="I14027" s="148" t="s">
        <v>348</v>
      </c>
      <c r="J14027" s="133" t="s">
        <v>61</v>
      </c>
      <c r="K14027" s="172">
        <v>10</v>
      </c>
    </row>
    <row r="14028" spans="1:13" x14ac:dyDescent="0.2">
      <c r="A14028" s="163">
        <v>2025</v>
      </c>
      <c r="B14028" s="163">
        <v>6</v>
      </c>
      <c r="C14028" s="163">
        <v>29</v>
      </c>
      <c r="D14028" s="280">
        <f>DATE(A14028,B14028,C14028)</f>
        <v>45837</v>
      </c>
      <c r="E14028" s="281">
        <f>DATE(A14028,B14028,C14028)</f>
        <v>45837</v>
      </c>
      <c r="F14028" s="480"/>
      <c r="G14028" s="221" t="s">
        <v>74</v>
      </c>
      <c r="H14028" s="145"/>
      <c r="I14028" s="145" t="s">
        <v>348</v>
      </c>
      <c r="J14028" s="163" t="s">
        <v>52</v>
      </c>
      <c r="K14028" s="219"/>
      <c r="L14028" s="219">
        <v>10</v>
      </c>
    </row>
    <row r="14029" spans="1:13" x14ac:dyDescent="0.2">
      <c r="A14029" s="133">
        <v>2025</v>
      </c>
      <c r="B14029" s="168">
        <v>6</v>
      </c>
      <c r="C14029" s="168">
        <v>29</v>
      </c>
      <c r="D14029" s="141">
        <f t="shared" ref="D14029:D14033" si="2128">DATE(A14029,B14029,C14029)</f>
        <v>45837</v>
      </c>
      <c r="E14029" s="275">
        <f t="shared" ref="E14029:E14033" si="2129">DATE(A14029,B14029,C14029)</f>
        <v>45837</v>
      </c>
      <c r="F14029" s="479" t="s">
        <v>362</v>
      </c>
      <c r="G14029" s="220" t="s">
        <v>74</v>
      </c>
      <c r="H14029" s="220"/>
      <c r="I14029" s="142" t="s">
        <v>348</v>
      </c>
      <c r="J14029" s="143" t="s">
        <v>104</v>
      </c>
      <c r="K14029" s="226">
        <v>5324.59</v>
      </c>
      <c r="L14029" s="226"/>
    </row>
    <row r="14030" spans="1:13" x14ac:dyDescent="0.2">
      <c r="A14030" s="133">
        <v>2025</v>
      </c>
      <c r="B14030" s="133">
        <v>6</v>
      </c>
      <c r="C14030" s="133">
        <v>29</v>
      </c>
      <c r="D14030" s="280">
        <f t="shared" si="2128"/>
        <v>45837</v>
      </c>
      <c r="E14030" s="281">
        <f t="shared" si="2129"/>
        <v>45837</v>
      </c>
      <c r="F14030" s="481"/>
      <c r="G14030" s="174" t="s">
        <v>74</v>
      </c>
      <c r="H14030" s="174"/>
      <c r="J14030" s="149" t="s">
        <v>534</v>
      </c>
      <c r="K14030" s="218"/>
      <c r="L14030" s="218">
        <v>532.46</v>
      </c>
    </row>
    <row r="14031" spans="1:13" x14ac:dyDescent="0.2">
      <c r="A14031" s="163">
        <v>2025</v>
      </c>
      <c r="B14031" s="163">
        <v>6</v>
      </c>
      <c r="C14031" s="163">
        <v>29</v>
      </c>
      <c r="D14031" s="144">
        <f t="shared" si="2128"/>
        <v>45837</v>
      </c>
      <c r="E14031" s="313">
        <f t="shared" si="2129"/>
        <v>45837</v>
      </c>
      <c r="F14031" s="480"/>
      <c r="G14031" s="221" t="s">
        <v>74</v>
      </c>
      <c r="H14031" s="221"/>
      <c r="I14031" s="145" t="s">
        <v>348</v>
      </c>
      <c r="J14031" s="146" t="s">
        <v>52</v>
      </c>
      <c r="K14031" s="219"/>
      <c r="L14031" s="219">
        <v>4792.13</v>
      </c>
    </row>
    <row r="14032" spans="1:13" ht="11.25" customHeight="1" x14ac:dyDescent="0.2">
      <c r="A14032" s="168">
        <v>2025</v>
      </c>
      <c r="B14032" s="133">
        <v>6</v>
      </c>
      <c r="C14032" s="168">
        <v>29</v>
      </c>
      <c r="D14032" s="141">
        <f t="shared" si="2128"/>
        <v>45837</v>
      </c>
      <c r="E14032" s="275">
        <f t="shared" si="2129"/>
        <v>45837</v>
      </c>
      <c r="F14032" s="479" t="s">
        <v>2064</v>
      </c>
      <c r="G14032" s="220" t="s">
        <v>74</v>
      </c>
      <c r="H14032" s="220"/>
      <c r="I14032" s="142"/>
      <c r="J14032" s="143" t="s">
        <v>147</v>
      </c>
      <c r="K14032" s="226">
        <v>574353.43999999994</v>
      </c>
      <c r="L14032" s="226"/>
    </row>
    <row r="14033" spans="1:14" x14ac:dyDescent="0.2">
      <c r="A14033" s="163">
        <v>2025</v>
      </c>
      <c r="B14033" s="163">
        <v>6</v>
      </c>
      <c r="C14033" s="163">
        <v>29</v>
      </c>
      <c r="D14033" s="280">
        <f t="shared" si="2128"/>
        <v>45837</v>
      </c>
      <c r="E14033" s="281">
        <f t="shared" si="2129"/>
        <v>45837</v>
      </c>
      <c r="F14033" s="480"/>
      <c r="G14033" s="221" t="s">
        <v>74</v>
      </c>
      <c r="H14033" s="221"/>
      <c r="I14033" s="145"/>
      <c r="J14033" s="146" t="s">
        <v>52</v>
      </c>
      <c r="K14033" s="219"/>
      <c r="L14033" s="219">
        <v>574353.43999999994</v>
      </c>
      <c r="N14033" s="264"/>
    </row>
    <row r="14034" spans="1:14" ht="11.25" customHeight="1" x14ac:dyDescent="0.2">
      <c r="A14034" s="168">
        <v>2025</v>
      </c>
      <c r="B14034" s="133">
        <v>6</v>
      </c>
      <c r="C14034" s="168">
        <v>29</v>
      </c>
      <c r="D14034" s="141">
        <f t="shared" ref="D14034:D14035" si="2130">DATE(A14034,B14034,C14034)</f>
        <v>45837</v>
      </c>
      <c r="E14034" s="275">
        <f t="shared" ref="E14034:E14035" si="2131">DATE(A14034,B14034,C14034)</f>
        <v>45837</v>
      </c>
      <c r="F14034" s="479" t="s">
        <v>2064</v>
      </c>
      <c r="G14034" s="220" t="s">
        <v>74</v>
      </c>
      <c r="H14034" s="220"/>
      <c r="I14034" s="142"/>
      <c r="J14034" s="143" t="s">
        <v>147</v>
      </c>
      <c r="K14034" s="226">
        <v>249949.1</v>
      </c>
      <c r="L14034" s="226"/>
    </row>
    <row r="14035" spans="1:14" x14ac:dyDescent="0.2">
      <c r="A14035" s="163">
        <v>2025</v>
      </c>
      <c r="B14035" s="163">
        <v>6</v>
      </c>
      <c r="C14035" s="163">
        <v>29</v>
      </c>
      <c r="D14035" s="280">
        <f t="shared" si="2130"/>
        <v>45837</v>
      </c>
      <c r="E14035" s="281">
        <f t="shared" si="2131"/>
        <v>45837</v>
      </c>
      <c r="F14035" s="480"/>
      <c r="G14035" s="221" t="s">
        <v>74</v>
      </c>
      <c r="H14035" s="221"/>
      <c r="I14035" s="145"/>
      <c r="J14035" s="146" t="s">
        <v>52</v>
      </c>
      <c r="K14035" s="219"/>
      <c r="L14035" s="219">
        <v>249949.1</v>
      </c>
      <c r="N14035" s="264"/>
    </row>
    <row r="14036" spans="1:14" ht="11.25" customHeight="1" x14ac:dyDescent="0.2">
      <c r="A14036" s="168">
        <v>2025</v>
      </c>
      <c r="B14036" s="133">
        <v>6</v>
      </c>
      <c r="C14036" s="168">
        <v>29</v>
      </c>
      <c r="D14036" s="141">
        <f t="shared" ref="D14036:D14039" si="2132">DATE(A14036,B14036,C14036)</f>
        <v>45837</v>
      </c>
      <c r="E14036" s="275">
        <f t="shared" ref="E14036:E14039" si="2133">DATE(A14036,B14036,C14036)</f>
        <v>45837</v>
      </c>
      <c r="F14036" s="479" t="s">
        <v>2064</v>
      </c>
      <c r="G14036" s="220" t="s">
        <v>74</v>
      </c>
      <c r="H14036" s="220"/>
      <c r="I14036" s="142"/>
      <c r="J14036" s="143" t="s">
        <v>147</v>
      </c>
      <c r="K14036" s="226">
        <v>185649.95</v>
      </c>
      <c r="L14036" s="226"/>
    </row>
    <row r="14037" spans="1:14" x14ac:dyDescent="0.2">
      <c r="A14037" s="163">
        <v>2025</v>
      </c>
      <c r="B14037" s="163">
        <v>6</v>
      </c>
      <c r="C14037" s="163">
        <v>29</v>
      </c>
      <c r="D14037" s="280">
        <f t="shared" si="2132"/>
        <v>45837</v>
      </c>
      <c r="E14037" s="281">
        <f t="shared" si="2133"/>
        <v>45837</v>
      </c>
      <c r="F14037" s="480"/>
      <c r="G14037" s="221" t="s">
        <v>74</v>
      </c>
      <c r="H14037" s="221"/>
      <c r="I14037" s="145"/>
      <c r="J14037" s="146" t="s">
        <v>52</v>
      </c>
      <c r="K14037" s="219"/>
      <c r="L14037" s="219">
        <v>185649.95</v>
      </c>
      <c r="N14037" s="264"/>
    </row>
    <row r="14038" spans="1:14" ht="11.25" customHeight="1" x14ac:dyDescent="0.2">
      <c r="A14038" s="168">
        <v>2025</v>
      </c>
      <c r="B14038" s="133">
        <v>6</v>
      </c>
      <c r="C14038" s="168">
        <v>29</v>
      </c>
      <c r="D14038" s="141">
        <f t="shared" si="2132"/>
        <v>45837</v>
      </c>
      <c r="E14038" s="275">
        <f t="shared" si="2133"/>
        <v>45837</v>
      </c>
      <c r="F14038" s="479" t="s">
        <v>2093</v>
      </c>
      <c r="G14038" s="220" t="s">
        <v>74</v>
      </c>
      <c r="H14038" s="220"/>
      <c r="I14038" s="142"/>
      <c r="J14038" s="143" t="s">
        <v>52</v>
      </c>
      <c r="K14038" s="226">
        <v>106875</v>
      </c>
      <c r="L14038" s="226"/>
    </row>
    <row r="14039" spans="1:14" x14ac:dyDescent="0.2">
      <c r="A14039" s="163">
        <v>2025</v>
      </c>
      <c r="B14039" s="163">
        <v>6</v>
      </c>
      <c r="C14039" s="163">
        <v>29</v>
      </c>
      <c r="D14039" s="280">
        <f t="shared" si="2132"/>
        <v>45837</v>
      </c>
      <c r="E14039" s="281">
        <f t="shared" si="2133"/>
        <v>45837</v>
      </c>
      <c r="F14039" s="480"/>
      <c r="G14039" s="221" t="s">
        <v>74</v>
      </c>
      <c r="H14039" s="221"/>
      <c r="I14039" s="145"/>
      <c r="J14039" s="146" t="s">
        <v>60</v>
      </c>
      <c r="K14039" s="219"/>
      <c r="L14039" s="219">
        <v>106875</v>
      </c>
    </row>
    <row r="14040" spans="1:14" x14ac:dyDescent="0.2">
      <c r="A14040" s="168">
        <v>2025</v>
      </c>
      <c r="B14040" s="133">
        <v>6</v>
      </c>
      <c r="C14040" s="168">
        <v>29</v>
      </c>
      <c r="D14040" s="147">
        <f>DATE(A14040,B14040,C14040)</f>
        <v>45837</v>
      </c>
      <c r="E14040" s="311">
        <f>DATE(A14040,B14040,C14040)</f>
        <v>45837</v>
      </c>
      <c r="F14040" s="481" t="s">
        <v>1951</v>
      </c>
      <c r="G14040" s="174" t="s">
        <v>74</v>
      </c>
      <c r="I14040" s="148" t="s">
        <v>348</v>
      </c>
      <c r="J14040" s="133" t="s">
        <v>61</v>
      </c>
      <c r="K14040" s="172">
        <f>500+75+200+30</f>
        <v>805</v>
      </c>
    </row>
    <row r="14041" spans="1:14" x14ac:dyDescent="0.2">
      <c r="A14041" s="163">
        <v>2025</v>
      </c>
      <c r="B14041" s="163">
        <v>6</v>
      </c>
      <c r="C14041" s="163">
        <v>29</v>
      </c>
      <c r="D14041" s="280">
        <f>DATE(A14041,B14041,C14041)</f>
        <v>45837</v>
      </c>
      <c r="E14041" s="281">
        <f>DATE(A14041,B14041,C14041)</f>
        <v>45837</v>
      </c>
      <c r="F14041" s="480"/>
      <c r="G14041" s="221" t="s">
        <v>74</v>
      </c>
      <c r="H14041" s="145"/>
      <c r="I14041" s="145" t="s">
        <v>348</v>
      </c>
      <c r="J14041" s="163" t="s">
        <v>52</v>
      </c>
      <c r="K14041" s="219"/>
      <c r="L14041" s="219">
        <f>K14040</f>
        <v>805</v>
      </c>
    </row>
    <row r="14042" spans="1:14" x14ac:dyDescent="0.2">
      <c r="A14042" s="168">
        <v>2025</v>
      </c>
      <c r="B14042" s="133">
        <v>6</v>
      </c>
      <c r="C14042" s="168">
        <v>30</v>
      </c>
      <c r="D14042" s="141">
        <f>DATE(A14042,B14042,C14042)</f>
        <v>45838</v>
      </c>
      <c r="E14042" s="275">
        <f>DATE(A14042,B14042,C14042)</f>
        <v>45838</v>
      </c>
      <c r="F14042" s="481" t="s">
        <v>2091</v>
      </c>
      <c r="G14042" s="174" t="s">
        <v>94</v>
      </c>
      <c r="H14042" s="174"/>
      <c r="I14042" s="148" t="s">
        <v>348</v>
      </c>
      <c r="J14042" s="149" t="s">
        <v>52</v>
      </c>
      <c r="K14042" s="218">
        <v>350205</v>
      </c>
      <c r="L14042" s="218"/>
    </row>
    <row r="14043" spans="1:14" x14ac:dyDescent="0.2">
      <c r="A14043" s="163">
        <v>2025</v>
      </c>
      <c r="B14043" s="163">
        <v>6</v>
      </c>
      <c r="C14043" s="163">
        <v>30</v>
      </c>
      <c r="D14043" s="141">
        <f>DATE(A14043,B14043,C14043)</f>
        <v>45838</v>
      </c>
      <c r="E14043" s="275">
        <f>DATE(A14043,B14043,C14043)</f>
        <v>45838</v>
      </c>
      <c r="F14043" s="480"/>
      <c r="G14043" s="221" t="s">
        <v>94</v>
      </c>
      <c r="H14043" s="221"/>
      <c r="I14043" s="145" t="s">
        <v>348</v>
      </c>
      <c r="J14043" s="146" t="s">
        <v>168</v>
      </c>
      <c r="K14043" s="219"/>
      <c r="L14043" s="219">
        <v>350205</v>
      </c>
    </row>
    <row r="14044" spans="1:14" x14ac:dyDescent="0.2">
      <c r="A14044" s="168">
        <v>2025</v>
      </c>
      <c r="B14044" s="133">
        <v>6</v>
      </c>
      <c r="C14044" s="168">
        <v>30</v>
      </c>
      <c r="D14044" s="141">
        <f t="shared" ref="D14044:D14045" si="2134">DATE(A14044,B14044,C14044)</f>
        <v>45838</v>
      </c>
      <c r="E14044" s="275">
        <f t="shared" ref="E14044:E14045" si="2135">DATE(A14044,B14044,C14044)</f>
        <v>45838</v>
      </c>
      <c r="F14044" s="479" t="s">
        <v>2092</v>
      </c>
      <c r="G14044" s="220" t="s">
        <v>74</v>
      </c>
      <c r="H14044" s="220"/>
      <c r="I14044" s="142"/>
      <c r="J14044" s="143" t="s">
        <v>96</v>
      </c>
      <c r="K14044" s="226">
        <v>2500000</v>
      </c>
      <c r="L14044" s="226"/>
    </row>
    <row r="14045" spans="1:14" x14ac:dyDescent="0.2">
      <c r="A14045" s="163">
        <v>2025</v>
      </c>
      <c r="B14045" s="163">
        <v>6</v>
      </c>
      <c r="C14045" s="163">
        <v>30</v>
      </c>
      <c r="D14045" s="280">
        <f t="shared" si="2134"/>
        <v>45838</v>
      </c>
      <c r="E14045" s="281">
        <f t="shared" si="2135"/>
        <v>45838</v>
      </c>
      <c r="F14045" s="480"/>
      <c r="G14045" s="221" t="s">
        <v>74</v>
      </c>
      <c r="H14045" s="221"/>
      <c r="I14045" s="145" t="s">
        <v>348</v>
      </c>
      <c r="J14045" s="146" t="s">
        <v>52</v>
      </c>
      <c r="K14045" s="219"/>
      <c r="L14045" s="219">
        <v>2500000</v>
      </c>
    </row>
    <row r="14046" spans="1:14" x14ac:dyDescent="0.2">
      <c r="A14046" s="168">
        <v>2025</v>
      </c>
      <c r="B14046" s="133">
        <v>6</v>
      </c>
      <c r="C14046" s="168">
        <v>30</v>
      </c>
      <c r="D14046" s="147">
        <f>DATE(A14046,B14046,C14046)</f>
        <v>45838</v>
      </c>
      <c r="E14046" s="311">
        <f>DATE(A14046,B14046,C14046)</f>
        <v>45838</v>
      </c>
      <c r="F14046" s="481" t="s">
        <v>1943</v>
      </c>
      <c r="G14046" s="174" t="s">
        <v>74</v>
      </c>
      <c r="I14046" s="148" t="s">
        <v>348</v>
      </c>
      <c r="J14046" s="133" t="s">
        <v>61</v>
      </c>
      <c r="K14046" s="172">
        <v>200</v>
      </c>
    </row>
    <row r="14047" spans="1:14" x14ac:dyDescent="0.2">
      <c r="A14047" s="163">
        <v>2025</v>
      </c>
      <c r="B14047" s="163">
        <v>6</v>
      </c>
      <c r="C14047" s="163">
        <v>30</v>
      </c>
      <c r="D14047" s="280">
        <f>DATE(A14047,B14047,C14047)</f>
        <v>45838</v>
      </c>
      <c r="E14047" s="281">
        <f>DATE(A14047,B14047,C14047)</f>
        <v>45838</v>
      </c>
      <c r="F14047" s="480"/>
      <c r="G14047" s="221" t="s">
        <v>74</v>
      </c>
      <c r="H14047" s="145"/>
      <c r="I14047" s="145" t="s">
        <v>348</v>
      </c>
      <c r="J14047" s="163" t="s">
        <v>52</v>
      </c>
      <c r="K14047" s="219"/>
      <c r="L14047" s="219">
        <v>200</v>
      </c>
    </row>
    <row r="14048" spans="1:14" x14ac:dyDescent="0.2">
      <c r="A14048" s="133">
        <v>2025</v>
      </c>
      <c r="B14048" s="133">
        <v>6</v>
      </c>
      <c r="C14048" s="133">
        <v>30</v>
      </c>
      <c r="D14048" s="141">
        <f t="shared" ref="D14048:D14058" si="2136">DATE(A14048,B14048,C14048)</f>
        <v>45838</v>
      </c>
      <c r="E14048" s="275">
        <f t="shared" ref="E14048:E14058" si="2137">DATE(A14048,B14048,C14048)</f>
        <v>45838</v>
      </c>
      <c r="F14048" s="481" t="s">
        <v>1767</v>
      </c>
      <c r="G14048" s="174" t="s">
        <v>94</v>
      </c>
      <c r="H14048" s="174"/>
      <c r="J14048" s="149" t="s">
        <v>79</v>
      </c>
      <c r="K14048" s="218">
        <v>2503245.7000000002</v>
      </c>
      <c r="L14048" s="218"/>
      <c r="M14048" s="160"/>
    </row>
    <row r="14049" spans="1:14" x14ac:dyDescent="0.2">
      <c r="A14049" s="133">
        <v>2025</v>
      </c>
      <c r="B14049" s="133">
        <v>6</v>
      </c>
      <c r="C14049" s="133">
        <v>30</v>
      </c>
      <c r="D14049" s="141">
        <f t="shared" si="2136"/>
        <v>45838</v>
      </c>
      <c r="E14049" s="275">
        <f t="shared" si="2137"/>
        <v>45838</v>
      </c>
      <c r="F14049" s="481"/>
      <c r="G14049" s="174" t="s">
        <v>94</v>
      </c>
      <c r="H14049" s="174"/>
      <c r="J14049" s="149" t="s">
        <v>80</v>
      </c>
      <c r="K14049" s="218">
        <v>26781.99</v>
      </c>
      <c r="L14049" s="133"/>
      <c r="M14049" s="264"/>
      <c r="N14049" s="264"/>
    </row>
    <row r="14050" spans="1:14" x14ac:dyDescent="0.2">
      <c r="A14050" s="133">
        <v>2025</v>
      </c>
      <c r="B14050" s="133">
        <v>6</v>
      </c>
      <c r="C14050" s="133">
        <v>30</v>
      </c>
      <c r="D14050" s="141">
        <f t="shared" si="2136"/>
        <v>45838</v>
      </c>
      <c r="E14050" s="275">
        <f t="shared" si="2137"/>
        <v>45838</v>
      </c>
      <c r="F14050" s="481"/>
      <c r="G14050" s="174" t="s">
        <v>94</v>
      </c>
      <c r="H14050" s="174"/>
      <c r="J14050" s="149" t="s">
        <v>190</v>
      </c>
      <c r="K14050" s="218">
        <v>9845608.9100000001</v>
      </c>
      <c r="L14050" s="218"/>
      <c r="M14050" s="264"/>
    </row>
    <row r="14051" spans="1:14" x14ac:dyDescent="0.2">
      <c r="A14051" s="133">
        <v>2025</v>
      </c>
      <c r="B14051" s="133">
        <v>6</v>
      </c>
      <c r="C14051" s="133">
        <v>30</v>
      </c>
      <c r="D14051" s="141">
        <f t="shared" si="2136"/>
        <v>45838</v>
      </c>
      <c r="E14051" s="275">
        <f t="shared" si="2137"/>
        <v>45838</v>
      </c>
      <c r="F14051" s="481"/>
      <c r="G14051" s="174" t="s">
        <v>94</v>
      </c>
      <c r="H14051" s="174"/>
      <c r="J14051" s="149" t="s">
        <v>191</v>
      </c>
      <c r="K14051" s="172">
        <v>175036.59</v>
      </c>
      <c r="L14051" s="218"/>
    </row>
    <row r="14052" spans="1:14" x14ac:dyDescent="0.2">
      <c r="A14052" s="163">
        <v>2025</v>
      </c>
      <c r="B14052" s="163">
        <v>6</v>
      </c>
      <c r="C14052" s="163">
        <v>30</v>
      </c>
      <c r="D14052" s="280">
        <f t="shared" si="2136"/>
        <v>45838</v>
      </c>
      <c r="E14052" s="281">
        <f t="shared" si="2137"/>
        <v>45838</v>
      </c>
      <c r="F14052" s="480"/>
      <c r="G14052" s="221" t="s">
        <v>94</v>
      </c>
      <c r="H14052" s="145"/>
      <c r="I14052" s="145"/>
      <c r="J14052" s="163" t="s">
        <v>79</v>
      </c>
      <c r="K14052" s="219"/>
      <c r="L14052" s="219">
        <v>12550673.189999999</v>
      </c>
      <c r="M14052" s="264"/>
    </row>
    <row r="14053" spans="1:14" x14ac:dyDescent="0.2">
      <c r="A14053" s="133">
        <v>2025</v>
      </c>
      <c r="B14053" s="133">
        <v>6</v>
      </c>
      <c r="C14053" s="133">
        <v>30</v>
      </c>
      <c r="D14053" s="141">
        <f t="shared" si="2136"/>
        <v>45838</v>
      </c>
      <c r="E14053" s="275">
        <f t="shared" si="2137"/>
        <v>45838</v>
      </c>
      <c r="F14053" s="481" t="s">
        <v>2094</v>
      </c>
      <c r="G14053" s="174" t="s">
        <v>94</v>
      </c>
      <c r="H14053" s="174"/>
      <c r="J14053" s="149" t="s">
        <v>190</v>
      </c>
      <c r="K14053" s="218">
        <v>2448635.0099999998</v>
      </c>
      <c r="L14053" s="133"/>
    </row>
    <row r="14054" spans="1:14" x14ac:dyDescent="0.2">
      <c r="A14054" s="133">
        <v>2025</v>
      </c>
      <c r="B14054" s="133">
        <v>6</v>
      </c>
      <c r="C14054" s="133">
        <v>30</v>
      </c>
      <c r="D14054" s="141">
        <f t="shared" si="2136"/>
        <v>45838</v>
      </c>
      <c r="E14054" s="275">
        <f t="shared" si="2137"/>
        <v>45838</v>
      </c>
      <c r="F14054" s="481"/>
      <c r="G14054" s="174" t="s">
        <v>94</v>
      </c>
      <c r="H14054" s="174"/>
      <c r="J14054" s="149" t="s">
        <v>80</v>
      </c>
      <c r="K14054" s="218">
        <v>4415.49</v>
      </c>
      <c r="L14054" s="218"/>
      <c r="M14054" s="176"/>
    </row>
    <row r="14055" spans="1:14" x14ac:dyDescent="0.2">
      <c r="A14055" s="133">
        <v>2025</v>
      </c>
      <c r="B14055" s="133">
        <v>6</v>
      </c>
      <c r="C14055" s="133">
        <v>30</v>
      </c>
      <c r="D14055" s="141">
        <f t="shared" si="2136"/>
        <v>45838</v>
      </c>
      <c r="E14055" s="275">
        <f t="shared" si="2137"/>
        <v>45838</v>
      </c>
      <c r="F14055" s="481"/>
      <c r="G14055" s="174" t="s">
        <v>94</v>
      </c>
      <c r="H14055" s="174"/>
      <c r="J14055" s="149" t="s">
        <v>191</v>
      </c>
      <c r="K14055" s="218">
        <v>71767.429999999993</v>
      </c>
      <c r="L14055" s="218"/>
    </row>
    <row r="14056" spans="1:14" x14ac:dyDescent="0.2">
      <c r="A14056" s="163">
        <v>2025</v>
      </c>
      <c r="B14056" s="163">
        <v>6</v>
      </c>
      <c r="C14056" s="133">
        <v>30</v>
      </c>
      <c r="D14056" s="280">
        <f t="shared" si="2136"/>
        <v>45838</v>
      </c>
      <c r="E14056" s="281">
        <f t="shared" si="2137"/>
        <v>45838</v>
      </c>
      <c r="F14056" s="480"/>
      <c r="G14056" s="221" t="s">
        <v>94</v>
      </c>
      <c r="H14056" s="145"/>
      <c r="I14056" s="145"/>
      <c r="J14056" s="163" t="s">
        <v>79</v>
      </c>
      <c r="K14056" s="219"/>
      <c r="L14056" s="219">
        <v>2524817.9300000002</v>
      </c>
    </row>
    <row r="14057" spans="1:14" ht="11.25" customHeight="1" x14ac:dyDescent="0.2">
      <c r="A14057" s="168">
        <v>2025</v>
      </c>
      <c r="B14057" s="133">
        <v>6</v>
      </c>
      <c r="C14057" s="168">
        <v>30</v>
      </c>
      <c r="D14057" s="141">
        <f t="shared" si="2136"/>
        <v>45838</v>
      </c>
      <c r="E14057" s="275">
        <f t="shared" si="2137"/>
        <v>45838</v>
      </c>
      <c r="F14057" s="479" t="s">
        <v>2031</v>
      </c>
      <c r="G14057" s="220" t="s">
        <v>74</v>
      </c>
      <c r="H14057" s="220"/>
      <c r="I14057" s="142"/>
      <c r="J14057" s="143" t="s">
        <v>52</v>
      </c>
      <c r="K14057" s="226">
        <v>1186974</v>
      </c>
      <c r="L14057" s="226"/>
    </row>
    <row r="14058" spans="1:14" x14ac:dyDescent="0.2">
      <c r="A14058" s="163">
        <v>2025</v>
      </c>
      <c r="B14058" s="163">
        <v>6</v>
      </c>
      <c r="C14058" s="163">
        <v>30</v>
      </c>
      <c r="D14058" s="280">
        <f t="shared" si="2136"/>
        <v>45838</v>
      </c>
      <c r="E14058" s="281">
        <f t="shared" si="2137"/>
        <v>45838</v>
      </c>
      <c r="F14058" s="480"/>
      <c r="G14058" s="221" t="s">
        <v>74</v>
      </c>
      <c r="H14058" s="221"/>
      <c r="I14058" s="145"/>
      <c r="J14058" s="146" t="s">
        <v>190</v>
      </c>
      <c r="K14058" s="219"/>
      <c r="L14058" s="219">
        <v>1186974</v>
      </c>
      <c r="N14058" s="264"/>
    </row>
    <row r="14059" spans="1:14" ht="11.25" customHeight="1" x14ac:dyDescent="0.2">
      <c r="A14059" s="168">
        <v>2025</v>
      </c>
      <c r="B14059" s="133">
        <v>6</v>
      </c>
      <c r="C14059" s="168">
        <v>30</v>
      </c>
      <c r="D14059" s="141">
        <f t="shared" ref="D14059:D14097" si="2138">DATE(A14059,B14059,C14059)</f>
        <v>45838</v>
      </c>
      <c r="E14059" s="275">
        <f t="shared" ref="E14059:E14097" si="2139">DATE(A14059,B14059,C14059)</f>
        <v>45838</v>
      </c>
      <c r="F14059" s="479" t="s">
        <v>2069</v>
      </c>
      <c r="G14059" s="220" t="s">
        <v>74</v>
      </c>
      <c r="H14059" s="220"/>
      <c r="I14059" s="142"/>
      <c r="J14059" s="143" t="s">
        <v>52</v>
      </c>
      <c r="K14059" s="226">
        <v>209821.64</v>
      </c>
      <c r="L14059" s="226"/>
    </row>
    <row r="14060" spans="1:14" x14ac:dyDescent="0.2">
      <c r="A14060" s="163">
        <v>2025</v>
      </c>
      <c r="B14060" s="163">
        <v>6</v>
      </c>
      <c r="C14060" s="163">
        <v>30</v>
      </c>
      <c r="D14060" s="280">
        <f t="shared" si="2138"/>
        <v>45838</v>
      </c>
      <c r="E14060" s="281">
        <f t="shared" si="2139"/>
        <v>45838</v>
      </c>
      <c r="F14060" s="480"/>
      <c r="G14060" s="221" t="s">
        <v>74</v>
      </c>
      <c r="H14060" s="221"/>
      <c r="I14060" s="145"/>
      <c r="J14060" s="146" t="s">
        <v>190</v>
      </c>
      <c r="K14060" s="219"/>
      <c r="L14060" s="219">
        <v>209821.64</v>
      </c>
      <c r="N14060" s="264"/>
    </row>
    <row r="14061" spans="1:14" x14ac:dyDescent="0.2">
      <c r="A14061" s="133">
        <v>2025</v>
      </c>
      <c r="B14061" s="133">
        <v>6</v>
      </c>
      <c r="C14061" s="168">
        <v>30</v>
      </c>
      <c r="D14061" s="141">
        <f t="shared" si="2138"/>
        <v>45838</v>
      </c>
      <c r="E14061" s="275">
        <f t="shared" si="2139"/>
        <v>45838</v>
      </c>
      <c r="F14061" s="479" t="s">
        <v>2018</v>
      </c>
      <c r="G14061" s="174" t="s">
        <v>74</v>
      </c>
      <c r="I14061" s="148" t="s">
        <v>348</v>
      </c>
      <c r="J14061" s="133" t="s">
        <v>52</v>
      </c>
      <c r="K14061" s="172">
        <v>80021</v>
      </c>
    </row>
    <row r="14062" spans="1:14" x14ac:dyDescent="0.2">
      <c r="A14062" s="133">
        <v>2025</v>
      </c>
      <c r="B14062" s="133">
        <v>6</v>
      </c>
      <c r="C14062" s="133">
        <v>30</v>
      </c>
      <c r="D14062" s="280">
        <f t="shared" si="2138"/>
        <v>45838</v>
      </c>
      <c r="E14062" s="281">
        <f t="shared" si="2139"/>
        <v>45838</v>
      </c>
      <c r="F14062" s="481"/>
      <c r="G14062" s="174" t="s">
        <v>74</v>
      </c>
      <c r="I14062" s="148" t="s">
        <v>348</v>
      </c>
      <c r="J14062" s="133" t="s">
        <v>60</v>
      </c>
      <c r="K14062" s="218"/>
      <c r="L14062" s="218">
        <f>K14061-L14063</f>
        <v>2828.5842270832072</v>
      </c>
    </row>
    <row r="14063" spans="1:14" x14ac:dyDescent="0.2">
      <c r="A14063" s="163">
        <v>2025</v>
      </c>
      <c r="B14063" s="163">
        <v>6</v>
      </c>
      <c r="C14063" s="163">
        <v>30</v>
      </c>
      <c r="D14063" s="280">
        <f t="shared" si="2138"/>
        <v>45838</v>
      </c>
      <c r="E14063" s="281">
        <f t="shared" si="2139"/>
        <v>45838</v>
      </c>
      <c r="F14063" s="480"/>
      <c r="G14063" s="221" t="s">
        <v>74</v>
      </c>
      <c r="H14063" s="145"/>
      <c r="I14063" s="145" t="s">
        <v>348</v>
      </c>
      <c r="J14063" s="163" t="s">
        <v>67</v>
      </c>
      <c r="K14063" s="219"/>
      <c r="L14063" s="219">
        <v>77192.415772916793</v>
      </c>
    </row>
    <row r="14064" spans="1:14" x14ac:dyDescent="0.2">
      <c r="A14064" s="168">
        <v>2025</v>
      </c>
      <c r="B14064" s="133">
        <v>6</v>
      </c>
      <c r="C14064" s="168">
        <v>30</v>
      </c>
      <c r="D14064" s="147">
        <f>DATE(A14064,B14064,C14064)</f>
        <v>45838</v>
      </c>
      <c r="E14064" s="311">
        <f>DATE(A14064,B14064,C14064)</f>
        <v>45838</v>
      </c>
      <c r="F14064" s="481" t="s">
        <v>1943</v>
      </c>
      <c r="G14064" s="174" t="s">
        <v>74</v>
      </c>
      <c r="I14064" s="148" t="s">
        <v>348</v>
      </c>
      <c r="J14064" s="133" t="s">
        <v>61</v>
      </c>
      <c r="K14064" s="172">
        <v>575</v>
      </c>
    </row>
    <row r="14065" spans="1:12" x14ac:dyDescent="0.2">
      <c r="A14065" s="163">
        <v>2025</v>
      </c>
      <c r="B14065" s="163">
        <v>6</v>
      </c>
      <c r="C14065" s="163">
        <v>30</v>
      </c>
      <c r="D14065" s="280">
        <f>DATE(A14065,B14065,C14065)</f>
        <v>45838</v>
      </c>
      <c r="E14065" s="281">
        <f>DATE(A14065,B14065,C14065)</f>
        <v>45838</v>
      </c>
      <c r="F14065" s="480"/>
      <c r="G14065" s="221" t="s">
        <v>74</v>
      </c>
      <c r="H14065" s="145"/>
      <c r="I14065" s="145" t="s">
        <v>348</v>
      </c>
      <c r="J14065" s="163" t="s">
        <v>52</v>
      </c>
      <c r="K14065" s="219"/>
      <c r="L14065" s="219">
        <v>575</v>
      </c>
    </row>
    <row r="14066" spans="1:12" x14ac:dyDescent="0.2">
      <c r="A14066" s="133">
        <v>2025</v>
      </c>
      <c r="B14066" s="133">
        <v>6</v>
      </c>
      <c r="C14066" s="168">
        <v>30</v>
      </c>
      <c r="D14066" s="141">
        <f t="shared" ref="D14066:D14068" si="2140">DATE(A14066,B14066,C14066)</f>
        <v>45838</v>
      </c>
      <c r="E14066" s="275">
        <f t="shared" ref="E14066:E14068" si="2141">DATE(A14066,B14066,C14066)</f>
        <v>45838</v>
      </c>
      <c r="F14066" s="479" t="s">
        <v>2018</v>
      </c>
      <c r="G14066" s="174" t="s">
        <v>74</v>
      </c>
      <c r="I14066" s="148" t="s">
        <v>348</v>
      </c>
      <c r="J14066" s="133" t="s">
        <v>52</v>
      </c>
      <c r="K14066" s="172">
        <v>246196</v>
      </c>
    </row>
    <row r="14067" spans="1:12" x14ac:dyDescent="0.2">
      <c r="A14067" s="133">
        <v>2025</v>
      </c>
      <c r="B14067" s="133">
        <v>6</v>
      </c>
      <c r="C14067" s="133">
        <v>30</v>
      </c>
      <c r="D14067" s="280">
        <f t="shared" si="2140"/>
        <v>45838</v>
      </c>
      <c r="E14067" s="281">
        <f t="shared" si="2141"/>
        <v>45838</v>
      </c>
      <c r="F14067" s="481"/>
      <c r="G14067" s="174" t="s">
        <v>74</v>
      </c>
      <c r="I14067" s="148" t="s">
        <v>348</v>
      </c>
      <c r="J14067" s="133" t="s">
        <v>60</v>
      </c>
      <c r="K14067" s="218"/>
      <c r="L14067" s="218">
        <f>K14066-L14068</f>
        <v>12084.008645833412</v>
      </c>
    </row>
    <row r="14068" spans="1:12" x14ac:dyDescent="0.2">
      <c r="A14068" s="163">
        <v>2025</v>
      </c>
      <c r="B14068" s="163">
        <v>6</v>
      </c>
      <c r="C14068" s="163">
        <v>30</v>
      </c>
      <c r="D14068" s="280">
        <f t="shared" si="2140"/>
        <v>45838</v>
      </c>
      <c r="E14068" s="281">
        <f t="shared" si="2141"/>
        <v>45838</v>
      </c>
      <c r="F14068" s="480"/>
      <c r="G14068" s="221" t="s">
        <v>74</v>
      </c>
      <c r="H14068" s="145"/>
      <c r="I14068" s="145" t="s">
        <v>348</v>
      </c>
      <c r="J14068" s="163" t="s">
        <v>67</v>
      </c>
      <c r="K14068" s="219"/>
      <c r="L14068" s="219">
        <v>234111.99135416659</v>
      </c>
    </row>
    <row r="14069" spans="1:12" x14ac:dyDescent="0.2">
      <c r="A14069" s="168">
        <v>2025</v>
      </c>
      <c r="B14069" s="133">
        <v>6</v>
      </c>
      <c r="C14069" s="168">
        <v>30</v>
      </c>
      <c r="D14069" s="147">
        <f>DATE(A14069,B14069,C14069)</f>
        <v>45838</v>
      </c>
      <c r="E14069" s="311">
        <f>DATE(A14069,B14069,C14069)</f>
        <v>45838</v>
      </c>
      <c r="F14069" s="481" t="s">
        <v>1943</v>
      </c>
      <c r="G14069" s="174" t="s">
        <v>74</v>
      </c>
      <c r="I14069" s="148" t="s">
        <v>348</v>
      </c>
      <c r="J14069" s="133" t="s">
        <v>61</v>
      </c>
      <c r="K14069" s="172">
        <v>345</v>
      </c>
    </row>
    <row r="14070" spans="1:12" x14ac:dyDescent="0.2">
      <c r="A14070" s="163">
        <v>2025</v>
      </c>
      <c r="B14070" s="163">
        <v>6</v>
      </c>
      <c r="C14070" s="163">
        <v>30</v>
      </c>
      <c r="D14070" s="280">
        <f>DATE(A14070,B14070,C14070)</f>
        <v>45838</v>
      </c>
      <c r="E14070" s="281">
        <f>DATE(A14070,B14070,C14070)</f>
        <v>45838</v>
      </c>
      <c r="F14070" s="480"/>
      <c r="G14070" s="221" t="s">
        <v>74</v>
      </c>
      <c r="H14070" s="145"/>
      <c r="I14070" s="145" t="s">
        <v>348</v>
      </c>
      <c r="J14070" s="163" t="s">
        <v>52</v>
      </c>
      <c r="K14070" s="219"/>
      <c r="L14070" s="219">
        <v>345</v>
      </c>
    </row>
    <row r="14071" spans="1:12" x14ac:dyDescent="0.2">
      <c r="A14071" s="133">
        <v>2025</v>
      </c>
      <c r="B14071" s="133">
        <v>6</v>
      </c>
      <c r="C14071" s="168">
        <v>30</v>
      </c>
      <c r="D14071" s="141">
        <f t="shared" ref="D14071:D14073" si="2142">DATE(A14071,B14071,C14071)</f>
        <v>45838</v>
      </c>
      <c r="E14071" s="275">
        <f t="shared" ref="E14071:E14073" si="2143">DATE(A14071,B14071,C14071)</f>
        <v>45838</v>
      </c>
      <c r="F14071" s="479" t="s">
        <v>2017</v>
      </c>
      <c r="G14071" s="174" t="s">
        <v>74</v>
      </c>
      <c r="I14071" s="148" t="s">
        <v>348</v>
      </c>
      <c r="J14071" s="133" t="s">
        <v>52</v>
      </c>
      <c r="K14071" s="172">
        <v>13822.75</v>
      </c>
    </row>
    <row r="14072" spans="1:12" x14ac:dyDescent="0.2">
      <c r="A14072" s="133">
        <v>2025</v>
      </c>
      <c r="B14072" s="133">
        <v>6</v>
      </c>
      <c r="C14072" s="133">
        <v>30</v>
      </c>
      <c r="D14072" s="280">
        <f t="shared" si="2142"/>
        <v>45838</v>
      </c>
      <c r="E14072" s="281">
        <f t="shared" si="2143"/>
        <v>45838</v>
      </c>
      <c r="F14072" s="481"/>
      <c r="G14072" s="174" t="s">
        <v>74</v>
      </c>
      <c r="I14072" s="148" t="s">
        <v>348</v>
      </c>
      <c r="J14072" s="133" t="s">
        <v>60</v>
      </c>
      <c r="K14072" s="218"/>
      <c r="L14072" s="218">
        <f>K14071-L14073</f>
        <v>123.12852499997643</v>
      </c>
    </row>
    <row r="14073" spans="1:12" x14ac:dyDescent="0.2">
      <c r="A14073" s="163">
        <v>2025</v>
      </c>
      <c r="B14073" s="163">
        <v>6</v>
      </c>
      <c r="C14073" s="163">
        <v>30</v>
      </c>
      <c r="D14073" s="280">
        <f t="shared" si="2142"/>
        <v>45838</v>
      </c>
      <c r="E14073" s="281">
        <f t="shared" si="2143"/>
        <v>45838</v>
      </c>
      <c r="F14073" s="480"/>
      <c r="G14073" s="221" t="s">
        <v>74</v>
      </c>
      <c r="H14073" s="145"/>
      <c r="I14073" s="145" t="s">
        <v>348</v>
      </c>
      <c r="J14073" s="163" t="s">
        <v>67</v>
      </c>
      <c r="K14073" s="219"/>
      <c r="L14073" s="219">
        <v>13699.621475000024</v>
      </c>
    </row>
    <row r="14074" spans="1:12" x14ac:dyDescent="0.2">
      <c r="A14074" s="133">
        <v>2025</v>
      </c>
      <c r="B14074" s="133">
        <v>6</v>
      </c>
      <c r="C14074" s="168">
        <v>30</v>
      </c>
      <c r="D14074" s="141">
        <f t="shared" ref="D14074:D14076" si="2144">DATE(A14074,B14074,C14074)</f>
        <v>45838</v>
      </c>
      <c r="E14074" s="275">
        <f t="shared" ref="E14074:E14076" si="2145">DATE(A14074,B14074,C14074)</f>
        <v>45838</v>
      </c>
      <c r="F14074" s="479" t="s">
        <v>2017</v>
      </c>
      <c r="G14074" s="174" t="s">
        <v>74</v>
      </c>
      <c r="I14074" s="148" t="s">
        <v>348</v>
      </c>
      <c r="J14074" s="133" t="s">
        <v>52</v>
      </c>
      <c r="K14074" s="172">
        <v>2617.92</v>
      </c>
    </row>
    <row r="14075" spans="1:12" x14ac:dyDescent="0.2">
      <c r="A14075" s="133">
        <v>2025</v>
      </c>
      <c r="B14075" s="133">
        <v>6</v>
      </c>
      <c r="C14075" s="133">
        <v>30</v>
      </c>
      <c r="D14075" s="280">
        <f t="shared" si="2144"/>
        <v>45838</v>
      </c>
      <c r="E14075" s="281">
        <f t="shared" si="2145"/>
        <v>45838</v>
      </c>
      <c r="F14075" s="481"/>
      <c r="G14075" s="174" t="s">
        <v>74</v>
      </c>
      <c r="I14075" s="148" t="s">
        <v>348</v>
      </c>
      <c r="J14075" s="133" t="s">
        <v>60</v>
      </c>
      <c r="K14075" s="218">
        <v>2.5499999999999998</v>
      </c>
      <c r="L14075" s="218"/>
    </row>
    <row r="14076" spans="1:12" x14ac:dyDescent="0.2">
      <c r="A14076" s="163">
        <v>2025</v>
      </c>
      <c r="B14076" s="163">
        <v>6</v>
      </c>
      <c r="C14076" s="163">
        <v>30</v>
      </c>
      <c r="D14076" s="280">
        <f t="shared" si="2144"/>
        <v>45838</v>
      </c>
      <c r="E14076" s="281">
        <f t="shared" si="2145"/>
        <v>45838</v>
      </c>
      <c r="F14076" s="480"/>
      <c r="G14076" s="221" t="s">
        <v>74</v>
      </c>
      <c r="H14076" s="145"/>
      <c r="I14076" s="145" t="s">
        <v>348</v>
      </c>
      <c r="J14076" s="163" t="s">
        <v>67</v>
      </c>
      <c r="K14076" s="219"/>
      <c r="L14076" s="219">
        <v>2620.4706774999986</v>
      </c>
    </row>
    <row r="14077" spans="1:12" x14ac:dyDescent="0.2">
      <c r="A14077" s="168">
        <v>2025</v>
      </c>
      <c r="B14077" s="133">
        <v>6</v>
      </c>
      <c r="C14077" s="168">
        <v>30</v>
      </c>
      <c r="D14077" s="147">
        <f>DATE(A14077,B14077,C14077)</f>
        <v>45838</v>
      </c>
      <c r="E14077" s="311">
        <f>DATE(A14077,B14077,C14077)</f>
        <v>45838</v>
      </c>
      <c r="F14077" s="481" t="s">
        <v>2096</v>
      </c>
      <c r="G14077" s="174" t="s">
        <v>74</v>
      </c>
      <c r="I14077" s="148" t="s">
        <v>348</v>
      </c>
      <c r="J14077" s="133" t="s">
        <v>61</v>
      </c>
      <c r="K14077" s="172">
        <v>10345</v>
      </c>
    </row>
    <row r="14078" spans="1:12" x14ac:dyDescent="0.2">
      <c r="A14078" s="163">
        <v>2025</v>
      </c>
      <c r="B14078" s="163">
        <v>6</v>
      </c>
      <c r="C14078" s="163">
        <v>30</v>
      </c>
      <c r="D14078" s="280">
        <f>DATE(A14078,B14078,C14078)</f>
        <v>45838</v>
      </c>
      <c r="E14078" s="281">
        <f>DATE(A14078,B14078,C14078)</f>
        <v>45838</v>
      </c>
      <c r="F14078" s="480"/>
      <c r="G14078" s="221" t="s">
        <v>74</v>
      </c>
      <c r="H14078" s="145"/>
      <c r="I14078" s="145" t="s">
        <v>348</v>
      </c>
      <c r="J14078" s="163" t="s">
        <v>52</v>
      </c>
      <c r="K14078" s="219"/>
      <c r="L14078" s="219">
        <v>10345</v>
      </c>
    </row>
    <row r="14079" spans="1:12" x14ac:dyDescent="0.2">
      <c r="A14079" s="133">
        <v>2025</v>
      </c>
      <c r="B14079" s="133">
        <v>6</v>
      </c>
      <c r="C14079" s="168">
        <v>30</v>
      </c>
      <c r="D14079" s="141">
        <f t="shared" ref="D14079:D14083" si="2146">DATE(A14079,B14079,C14079)</f>
        <v>45838</v>
      </c>
      <c r="E14079" s="275">
        <f t="shared" ref="E14079:E14083" si="2147">DATE(A14079,B14079,C14079)</f>
        <v>45838</v>
      </c>
      <c r="F14079" s="479" t="s">
        <v>1949</v>
      </c>
      <c r="G14079" s="174" t="s">
        <v>74</v>
      </c>
      <c r="I14079" s="148" t="s">
        <v>348</v>
      </c>
      <c r="J14079" s="133" t="s">
        <v>52</v>
      </c>
      <c r="K14079" s="172">
        <v>133481.95000000001</v>
      </c>
    </row>
    <row r="14080" spans="1:12" x14ac:dyDescent="0.2">
      <c r="A14080" s="133">
        <v>2025</v>
      </c>
      <c r="B14080" s="133">
        <v>6</v>
      </c>
      <c r="C14080" s="133">
        <v>30</v>
      </c>
      <c r="D14080" s="280">
        <f t="shared" si="2146"/>
        <v>45838</v>
      </c>
      <c r="E14080" s="281">
        <f t="shared" si="2147"/>
        <v>45838</v>
      </c>
      <c r="F14080" s="481"/>
      <c r="G14080" s="174" t="s">
        <v>74</v>
      </c>
      <c r="I14080" s="148" t="s">
        <v>348</v>
      </c>
      <c r="J14080" s="133" t="s">
        <v>60</v>
      </c>
      <c r="K14080" s="218"/>
      <c r="L14080" s="218">
        <v>4370.0060377775808</v>
      </c>
    </row>
    <row r="14081" spans="1:15" x14ac:dyDescent="0.2">
      <c r="A14081" s="163">
        <v>2025</v>
      </c>
      <c r="B14081" s="163">
        <v>6</v>
      </c>
      <c r="C14081" s="163">
        <v>30</v>
      </c>
      <c r="D14081" s="280">
        <f t="shared" si="2146"/>
        <v>45838</v>
      </c>
      <c r="E14081" s="281">
        <f t="shared" si="2147"/>
        <v>45838</v>
      </c>
      <c r="F14081" s="480"/>
      <c r="G14081" s="221" t="s">
        <v>74</v>
      </c>
      <c r="H14081" s="145"/>
      <c r="I14081" s="145" t="s">
        <v>348</v>
      </c>
      <c r="J14081" s="163" t="s">
        <v>67</v>
      </c>
      <c r="K14081" s="219"/>
      <c r="L14081" s="219">
        <v>129111.94396222243</v>
      </c>
    </row>
    <row r="14082" spans="1:15" x14ac:dyDescent="0.2">
      <c r="A14082" s="133">
        <v>2025</v>
      </c>
      <c r="B14082" s="133">
        <v>6</v>
      </c>
      <c r="C14082" s="168">
        <v>30</v>
      </c>
      <c r="D14082" s="141">
        <f t="shared" si="2146"/>
        <v>45838</v>
      </c>
      <c r="E14082" s="275">
        <f t="shared" si="2147"/>
        <v>45838</v>
      </c>
      <c r="F14082" s="479" t="s">
        <v>1949</v>
      </c>
      <c r="G14082" s="174" t="s">
        <v>74</v>
      </c>
      <c r="I14082" s="148" t="s">
        <v>348</v>
      </c>
      <c r="J14082" s="133" t="s">
        <v>52</v>
      </c>
      <c r="K14082" s="172">
        <v>43.02</v>
      </c>
    </row>
    <row r="14083" spans="1:15" x14ac:dyDescent="0.2">
      <c r="A14083" s="163">
        <v>2025</v>
      </c>
      <c r="B14083" s="163">
        <v>6</v>
      </c>
      <c r="C14083" s="163">
        <v>30</v>
      </c>
      <c r="D14083" s="280">
        <f t="shared" si="2146"/>
        <v>45838</v>
      </c>
      <c r="E14083" s="281">
        <f t="shared" si="2147"/>
        <v>45838</v>
      </c>
      <c r="F14083" s="480"/>
      <c r="G14083" s="221" t="s">
        <v>74</v>
      </c>
      <c r="H14083" s="145"/>
      <c r="I14083" s="145" t="s">
        <v>348</v>
      </c>
      <c r="J14083" s="163" t="s">
        <v>60</v>
      </c>
      <c r="K14083" s="219"/>
      <c r="L14083" s="219">
        <v>43.02</v>
      </c>
    </row>
    <row r="14084" spans="1:15" x14ac:dyDescent="0.2">
      <c r="A14084" s="168">
        <v>2025</v>
      </c>
      <c r="B14084" s="133">
        <v>6</v>
      </c>
      <c r="C14084" s="168">
        <v>30</v>
      </c>
      <c r="D14084" s="147">
        <f>DATE(A14084,B14084,C14084)</f>
        <v>45838</v>
      </c>
      <c r="E14084" s="311">
        <f>DATE(A14084,B14084,C14084)</f>
        <v>45838</v>
      </c>
      <c r="F14084" s="481" t="s">
        <v>1955</v>
      </c>
      <c r="G14084" s="174" t="s">
        <v>74</v>
      </c>
      <c r="I14084" s="148" t="s">
        <v>348</v>
      </c>
      <c r="J14084" s="133" t="s">
        <v>61</v>
      </c>
      <c r="K14084" s="172">
        <v>115</v>
      </c>
    </row>
    <row r="14085" spans="1:15" x14ac:dyDescent="0.2">
      <c r="A14085" s="163">
        <v>2025</v>
      </c>
      <c r="B14085" s="163">
        <v>6</v>
      </c>
      <c r="C14085" s="163">
        <v>30</v>
      </c>
      <c r="D14085" s="280">
        <f>DATE(A14085,B14085,C14085)</f>
        <v>45838</v>
      </c>
      <c r="E14085" s="281">
        <f>DATE(A14085,B14085,C14085)</f>
        <v>45838</v>
      </c>
      <c r="F14085" s="480"/>
      <c r="G14085" s="221" t="s">
        <v>74</v>
      </c>
      <c r="H14085" s="145"/>
      <c r="I14085" s="145" t="s">
        <v>348</v>
      </c>
      <c r="J14085" s="163" t="s">
        <v>52</v>
      </c>
      <c r="K14085" s="219"/>
      <c r="L14085" s="219">
        <v>115</v>
      </c>
    </row>
    <row r="14086" spans="1:15" x14ac:dyDescent="0.2">
      <c r="A14086" s="133">
        <v>2025</v>
      </c>
      <c r="B14086" s="133">
        <v>6</v>
      </c>
      <c r="C14086" s="168">
        <v>30</v>
      </c>
      <c r="D14086" s="141">
        <f t="shared" ref="D14086:D14088" si="2148">DATE(A14086,B14086,C14086)</f>
        <v>45838</v>
      </c>
      <c r="E14086" s="275">
        <f t="shared" ref="E14086:E14088" si="2149">DATE(A14086,B14086,C14086)</f>
        <v>45838</v>
      </c>
      <c r="F14086" s="479" t="s">
        <v>1954</v>
      </c>
      <c r="G14086" s="174" t="s">
        <v>74</v>
      </c>
      <c r="I14086" s="148" t="s">
        <v>348</v>
      </c>
      <c r="J14086" s="133" t="s">
        <v>52</v>
      </c>
      <c r="K14086" s="172">
        <v>27.15</v>
      </c>
    </row>
    <row r="14087" spans="1:15" x14ac:dyDescent="0.2">
      <c r="A14087" s="133">
        <v>2025</v>
      </c>
      <c r="B14087" s="133">
        <v>6</v>
      </c>
      <c r="C14087" s="133">
        <v>30</v>
      </c>
      <c r="D14087" s="280">
        <f t="shared" si="2148"/>
        <v>45838</v>
      </c>
      <c r="E14087" s="281">
        <f t="shared" si="2149"/>
        <v>45838</v>
      </c>
      <c r="F14087" s="481"/>
      <c r="G14087" s="174" t="s">
        <v>74</v>
      </c>
      <c r="I14087" s="148" t="s">
        <v>348</v>
      </c>
      <c r="J14087" s="133" t="s">
        <v>60</v>
      </c>
      <c r="K14087" s="218">
        <f>L14088-K14086</f>
        <v>17.865202777777789</v>
      </c>
      <c r="L14087" s="218"/>
      <c r="N14087" s="133">
        <v>7568.8599999999769</v>
      </c>
    </row>
    <row r="14088" spans="1:15" x14ac:dyDescent="0.2">
      <c r="A14088" s="163">
        <v>2025</v>
      </c>
      <c r="B14088" s="163">
        <v>6</v>
      </c>
      <c r="C14088" s="163">
        <v>30</v>
      </c>
      <c r="D14088" s="280">
        <f t="shared" si="2148"/>
        <v>45838</v>
      </c>
      <c r="E14088" s="281">
        <f t="shared" si="2149"/>
        <v>45838</v>
      </c>
      <c r="F14088" s="480"/>
      <c r="G14088" s="221" t="s">
        <v>74</v>
      </c>
      <c r="H14088" s="145"/>
      <c r="I14088" s="145" t="s">
        <v>348</v>
      </c>
      <c r="J14088" s="163" t="s">
        <v>67</v>
      </c>
      <c r="K14088" s="219"/>
      <c r="L14088" s="219">
        <v>45.015202777777787</v>
      </c>
      <c r="N14088" s="133">
        <v>-7520</v>
      </c>
      <c r="O14088" s="133">
        <f>N14087+N14088</f>
        <v>48.859999999976935</v>
      </c>
    </row>
    <row r="14089" spans="1:15" x14ac:dyDescent="0.2">
      <c r="A14089" s="168">
        <v>2025</v>
      </c>
      <c r="B14089" s="133">
        <v>6</v>
      </c>
      <c r="C14089" s="168">
        <v>30</v>
      </c>
      <c r="D14089" s="147">
        <f>DATE(A14089,B14089,C14089)</f>
        <v>45838</v>
      </c>
      <c r="E14089" s="311">
        <f>DATE(A14089,B14089,C14089)</f>
        <v>45838</v>
      </c>
      <c r="F14089" s="481" t="s">
        <v>1953</v>
      </c>
      <c r="G14089" s="174" t="s">
        <v>74</v>
      </c>
      <c r="I14089" s="148" t="s">
        <v>348</v>
      </c>
      <c r="J14089" s="133" t="s">
        <v>61</v>
      </c>
      <c r="K14089" s="172">
        <v>8.15</v>
      </c>
    </row>
    <row r="14090" spans="1:15" x14ac:dyDescent="0.2">
      <c r="A14090" s="163">
        <v>2025</v>
      </c>
      <c r="B14090" s="163">
        <v>6</v>
      </c>
      <c r="C14090" s="163">
        <v>30</v>
      </c>
      <c r="D14090" s="280">
        <f>DATE(A14090,B14090,C14090)</f>
        <v>45838</v>
      </c>
      <c r="E14090" s="281">
        <f>DATE(A14090,B14090,C14090)</f>
        <v>45838</v>
      </c>
      <c r="F14090" s="480"/>
      <c r="G14090" s="221" t="s">
        <v>74</v>
      </c>
      <c r="H14090" s="145"/>
      <c r="I14090" s="145" t="s">
        <v>348</v>
      </c>
      <c r="J14090" s="163" t="s">
        <v>52</v>
      </c>
      <c r="K14090" s="219"/>
      <c r="L14090" s="219">
        <v>8.15</v>
      </c>
    </row>
    <row r="14091" spans="1:15" x14ac:dyDescent="0.2">
      <c r="A14091" s="133">
        <v>2025</v>
      </c>
      <c r="B14091" s="133">
        <v>6</v>
      </c>
      <c r="C14091" s="168">
        <v>30</v>
      </c>
      <c r="D14091" s="141">
        <f t="shared" ref="D14091:D14093" si="2150">DATE(A14091,B14091,C14091)</f>
        <v>45838</v>
      </c>
      <c r="E14091" s="275">
        <f t="shared" ref="E14091:E14093" si="2151">DATE(A14091,B14091,C14091)</f>
        <v>45838</v>
      </c>
      <c r="F14091" s="479" t="s">
        <v>1952</v>
      </c>
      <c r="G14091" s="174" t="s">
        <v>74</v>
      </c>
      <c r="I14091" s="148" t="s">
        <v>348</v>
      </c>
      <c r="J14091" s="133" t="s">
        <v>52</v>
      </c>
      <c r="K14091" s="172">
        <v>1019.52</v>
      </c>
    </row>
    <row r="14092" spans="1:15" x14ac:dyDescent="0.2">
      <c r="A14092" s="133">
        <v>2025</v>
      </c>
      <c r="B14092" s="133">
        <v>6</v>
      </c>
      <c r="C14092" s="133">
        <v>30</v>
      </c>
      <c r="D14092" s="280">
        <f t="shared" si="2150"/>
        <v>45838</v>
      </c>
      <c r="E14092" s="281">
        <f t="shared" si="2151"/>
        <v>45838</v>
      </c>
      <c r="F14092" s="481"/>
      <c r="G14092" s="174" t="s">
        <v>74</v>
      </c>
      <c r="I14092" s="148" t="s">
        <v>348</v>
      </c>
      <c r="J14092" s="133" t="s">
        <v>60</v>
      </c>
      <c r="K14092" s="218">
        <f>L14093-K14091</f>
        <v>4527.8667204166813</v>
      </c>
      <c r="L14092" s="218"/>
    </row>
    <row r="14093" spans="1:15" x14ac:dyDescent="0.2">
      <c r="A14093" s="163">
        <v>2025</v>
      </c>
      <c r="B14093" s="163">
        <v>6</v>
      </c>
      <c r="C14093" s="163">
        <v>30</v>
      </c>
      <c r="D14093" s="280">
        <f t="shared" si="2150"/>
        <v>45838</v>
      </c>
      <c r="E14093" s="281">
        <f t="shared" si="2151"/>
        <v>45838</v>
      </c>
      <c r="F14093" s="480"/>
      <c r="G14093" s="221" t="s">
        <v>74</v>
      </c>
      <c r="H14093" s="145"/>
      <c r="I14093" s="145" t="s">
        <v>348</v>
      </c>
      <c r="J14093" s="163" t="s">
        <v>67</v>
      </c>
      <c r="K14093" s="219"/>
      <c r="L14093" s="219">
        <v>5547.3867204166818</v>
      </c>
    </row>
    <row r="14094" spans="1:15" x14ac:dyDescent="0.2">
      <c r="A14094" s="168">
        <v>2025</v>
      </c>
      <c r="B14094" s="133">
        <v>6</v>
      </c>
      <c r="C14094" s="168">
        <v>30</v>
      </c>
      <c r="D14094" s="147">
        <f>DATE(A14094,B14094,C14094)</f>
        <v>45838</v>
      </c>
      <c r="E14094" s="311">
        <f>DATE(A14094,B14094,C14094)</f>
        <v>45838</v>
      </c>
      <c r="F14094" s="481" t="s">
        <v>1951</v>
      </c>
      <c r="G14094" s="174" t="s">
        <v>74</v>
      </c>
      <c r="I14094" s="148" t="s">
        <v>348</v>
      </c>
      <c r="J14094" s="133" t="s">
        <v>61</v>
      </c>
      <c r="K14094" s="172">
        <v>306</v>
      </c>
    </row>
    <row r="14095" spans="1:15" x14ac:dyDescent="0.2">
      <c r="A14095" s="163">
        <v>2025</v>
      </c>
      <c r="B14095" s="163">
        <v>6</v>
      </c>
      <c r="C14095" s="163">
        <v>30</v>
      </c>
      <c r="D14095" s="280">
        <f>DATE(A14095,B14095,C14095)</f>
        <v>45838</v>
      </c>
      <c r="E14095" s="281">
        <f>DATE(A14095,B14095,C14095)</f>
        <v>45838</v>
      </c>
      <c r="F14095" s="480"/>
      <c r="G14095" s="221" t="s">
        <v>74</v>
      </c>
      <c r="H14095" s="145"/>
      <c r="I14095" s="145" t="s">
        <v>348</v>
      </c>
      <c r="J14095" s="163" t="s">
        <v>52</v>
      </c>
      <c r="K14095" s="219"/>
      <c r="L14095" s="219">
        <v>306</v>
      </c>
    </row>
    <row r="14096" spans="1:15" x14ac:dyDescent="0.2">
      <c r="A14096" s="384">
        <v>2025</v>
      </c>
      <c r="B14096" s="384">
        <v>6</v>
      </c>
      <c r="C14096" s="384">
        <v>30</v>
      </c>
      <c r="D14096" s="385">
        <f t="shared" si="2138"/>
        <v>45838</v>
      </c>
      <c r="E14096" s="386">
        <f t="shared" si="2139"/>
        <v>45838</v>
      </c>
      <c r="F14096" s="475" t="s">
        <v>1966</v>
      </c>
      <c r="G14096" s="387" t="s">
        <v>94</v>
      </c>
      <c r="H14096" s="387"/>
      <c r="I14096" s="388" t="s">
        <v>348</v>
      </c>
      <c r="J14096" s="389" t="s">
        <v>60</v>
      </c>
      <c r="K14096" s="390">
        <v>28002.069999999891</v>
      </c>
      <c r="L14096" s="390"/>
    </row>
    <row r="14097" spans="1:14" x14ac:dyDescent="0.2">
      <c r="A14097" s="391">
        <v>2025</v>
      </c>
      <c r="B14097" s="391">
        <v>6</v>
      </c>
      <c r="C14097" s="391">
        <v>30</v>
      </c>
      <c r="D14097" s="385">
        <f t="shared" si="2138"/>
        <v>45838</v>
      </c>
      <c r="E14097" s="386">
        <f t="shared" si="2139"/>
        <v>45838</v>
      </c>
      <c r="F14097" s="476"/>
      <c r="G14097" s="392" t="s">
        <v>94</v>
      </c>
      <c r="H14097" s="392"/>
      <c r="I14097" s="393" t="s">
        <v>348</v>
      </c>
      <c r="J14097" s="394" t="s">
        <v>67</v>
      </c>
      <c r="K14097" s="395"/>
      <c r="L14097" s="395">
        <v>28002.069999999891</v>
      </c>
    </row>
    <row r="14098" spans="1:14" x14ac:dyDescent="0.2">
      <c r="A14098" s="168">
        <v>2025</v>
      </c>
      <c r="B14098" s="133">
        <v>7</v>
      </c>
      <c r="C14098" s="168">
        <v>1</v>
      </c>
      <c r="D14098" s="147">
        <f t="shared" ref="D14098:D14103" si="2152">DATE(A14098,B14098,C14098)</f>
        <v>45839</v>
      </c>
      <c r="E14098" s="311">
        <f t="shared" ref="E14098:E14103" si="2153">DATE(A14098,B14098,C14098)</f>
        <v>45839</v>
      </c>
      <c r="F14098" s="481" t="s">
        <v>1956</v>
      </c>
      <c r="G14098" s="174" t="s">
        <v>74</v>
      </c>
      <c r="I14098" s="148" t="s">
        <v>348</v>
      </c>
      <c r="J14098" s="133" t="s">
        <v>61</v>
      </c>
      <c r="K14098" s="172">
        <v>345</v>
      </c>
    </row>
    <row r="14099" spans="1:14" x14ac:dyDescent="0.2">
      <c r="A14099" s="163">
        <v>2025</v>
      </c>
      <c r="B14099" s="163">
        <v>7</v>
      </c>
      <c r="C14099" s="163">
        <v>1</v>
      </c>
      <c r="D14099" s="280">
        <f t="shared" si="2152"/>
        <v>45839</v>
      </c>
      <c r="E14099" s="281">
        <f t="shared" si="2153"/>
        <v>45839</v>
      </c>
      <c r="F14099" s="480"/>
      <c r="G14099" s="221" t="s">
        <v>74</v>
      </c>
      <c r="H14099" s="145"/>
      <c r="I14099" s="145" t="s">
        <v>348</v>
      </c>
      <c r="J14099" s="163" t="s">
        <v>52</v>
      </c>
      <c r="K14099" s="219"/>
      <c r="L14099" s="219">
        <v>345</v>
      </c>
    </row>
    <row r="14100" spans="1:14" x14ac:dyDescent="0.2">
      <c r="A14100" s="168">
        <v>2025</v>
      </c>
      <c r="B14100" s="133">
        <v>7</v>
      </c>
      <c r="C14100" s="168">
        <v>1</v>
      </c>
      <c r="D14100" s="147">
        <f t="shared" si="2152"/>
        <v>45839</v>
      </c>
      <c r="E14100" s="311">
        <f t="shared" si="2153"/>
        <v>45839</v>
      </c>
      <c r="F14100" s="481" t="s">
        <v>1956</v>
      </c>
      <c r="G14100" s="174" t="s">
        <v>74</v>
      </c>
      <c r="I14100" s="148" t="s">
        <v>348</v>
      </c>
      <c r="J14100" s="133" t="s">
        <v>61</v>
      </c>
      <c r="K14100" s="172">
        <v>345</v>
      </c>
    </row>
    <row r="14101" spans="1:14" x14ac:dyDescent="0.2">
      <c r="A14101" s="163">
        <v>2025</v>
      </c>
      <c r="B14101" s="163">
        <v>7</v>
      </c>
      <c r="C14101" s="163">
        <v>1</v>
      </c>
      <c r="D14101" s="280">
        <f t="shared" si="2152"/>
        <v>45839</v>
      </c>
      <c r="E14101" s="281">
        <f t="shared" si="2153"/>
        <v>45839</v>
      </c>
      <c r="F14101" s="480"/>
      <c r="G14101" s="221" t="s">
        <v>74</v>
      </c>
      <c r="H14101" s="145"/>
      <c r="I14101" s="145" t="s">
        <v>348</v>
      </c>
      <c r="J14101" s="163" t="s">
        <v>52</v>
      </c>
      <c r="K14101" s="219"/>
      <c r="L14101" s="219">
        <v>345</v>
      </c>
    </row>
    <row r="14102" spans="1:14" x14ac:dyDescent="0.2">
      <c r="A14102" s="168">
        <v>2025</v>
      </c>
      <c r="B14102" s="133">
        <v>7</v>
      </c>
      <c r="C14102" s="168">
        <v>2</v>
      </c>
      <c r="D14102" s="147">
        <f t="shared" si="2152"/>
        <v>45840</v>
      </c>
      <c r="E14102" s="311">
        <f t="shared" si="2153"/>
        <v>45840</v>
      </c>
      <c r="F14102" s="481" t="s">
        <v>1943</v>
      </c>
      <c r="G14102" s="174" t="s">
        <v>74</v>
      </c>
      <c r="I14102" s="148" t="s">
        <v>348</v>
      </c>
      <c r="J14102" s="133" t="s">
        <v>61</v>
      </c>
      <c r="K14102" s="172">
        <v>58</v>
      </c>
    </row>
    <row r="14103" spans="1:14" x14ac:dyDescent="0.2">
      <c r="A14103" s="163">
        <v>2025</v>
      </c>
      <c r="B14103" s="163">
        <v>7</v>
      </c>
      <c r="C14103" s="163">
        <v>2</v>
      </c>
      <c r="D14103" s="280">
        <f t="shared" si="2152"/>
        <v>45840</v>
      </c>
      <c r="E14103" s="281">
        <f t="shared" si="2153"/>
        <v>45840</v>
      </c>
      <c r="F14103" s="480"/>
      <c r="G14103" s="221" t="s">
        <v>74</v>
      </c>
      <c r="H14103" s="145"/>
      <c r="I14103" s="145" t="s">
        <v>348</v>
      </c>
      <c r="J14103" s="163" t="s">
        <v>52</v>
      </c>
      <c r="K14103" s="219"/>
      <c r="L14103" s="219">
        <v>58</v>
      </c>
    </row>
    <row r="14104" spans="1:14" x14ac:dyDescent="0.2">
      <c r="A14104" s="168">
        <v>2025</v>
      </c>
      <c r="B14104" s="168">
        <v>7</v>
      </c>
      <c r="C14104" s="133">
        <v>2</v>
      </c>
      <c r="D14104" s="141">
        <f t="shared" ref="D14104:D14108" si="2154">DATE(A14104,B14104,C14104)</f>
        <v>45840</v>
      </c>
      <c r="E14104" s="275">
        <f t="shared" ref="E14104:E14108" si="2155">DATE(A14104,B14104,C14104)</f>
        <v>45840</v>
      </c>
      <c r="F14104" s="481" t="s">
        <v>982</v>
      </c>
      <c r="G14104" s="174" t="s">
        <v>74</v>
      </c>
      <c r="H14104" s="174"/>
      <c r="I14104" s="148" t="s">
        <v>348</v>
      </c>
      <c r="J14104" s="149" t="s">
        <v>163</v>
      </c>
      <c r="K14104" s="218">
        <v>1437.5</v>
      </c>
      <c r="L14104" s="218"/>
      <c r="M14104" s="160"/>
    </row>
    <row r="14105" spans="1:14" x14ac:dyDescent="0.2">
      <c r="A14105" s="133">
        <v>2025</v>
      </c>
      <c r="B14105" s="133">
        <v>7</v>
      </c>
      <c r="C14105" s="133">
        <v>2</v>
      </c>
      <c r="D14105" s="141">
        <f t="shared" si="2154"/>
        <v>45840</v>
      </c>
      <c r="E14105" s="275">
        <f t="shared" si="2155"/>
        <v>45840</v>
      </c>
      <c r="F14105" s="481"/>
      <c r="G14105" s="174" t="s">
        <v>74</v>
      </c>
      <c r="H14105" s="174"/>
      <c r="J14105" s="149" t="s">
        <v>1906</v>
      </c>
      <c r="K14105" s="218"/>
      <c r="L14105" s="218">
        <v>62.5</v>
      </c>
      <c r="M14105" s="160"/>
    </row>
    <row r="14106" spans="1:14" x14ac:dyDescent="0.2">
      <c r="A14106" s="163">
        <v>2025</v>
      </c>
      <c r="B14106" s="163">
        <v>7</v>
      </c>
      <c r="C14106" s="163">
        <v>2</v>
      </c>
      <c r="D14106" s="280">
        <f t="shared" si="2154"/>
        <v>45840</v>
      </c>
      <c r="E14106" s="281">
        <f t="shared" si="2155"/>
        <v>45840</v>
      </c>
      <c r="F14106" s="480"/>
      <c r="G14106" s="221" t="s">
        <v>74</v>
      </c>
      <c r="H14106" s="221"/>
      <c r="I14106" s="145"/>
      <c r="J14106" s="146" t="s">
        <v>52</v>
      </c>
      <c r="K14106" s="219"/>
      <c r="L14106" s="219">
        <v>1375</v>
      </c>
    </row>
    <row r="14107" spans="1:14" ht="11.25" customHeight="1" x14ac:dyDescent="0.2">
      <c r="A14107" s="168">
        <v>2025</v>
      </c>
      <c r="B14107" s="133">
        <v>7</v>
      </c>
      <c r="C14107" s="168">
        <v>2</v>
      </c>
      <c r="D14107" s="141">
        <f t="shared" si="2154"/>
        <v>45840</v>
      </c>
      <c r="E14107" s="275">
        <f t="shared" si="2155"/>
        <v>45840</v>
      </c>
      <c r="F14107" s="479" t="s">
        <v>2037</v>
      </c>
      <c r="G14107" s="220" t="s">
        <v>74</v>
      </c>
      <c r="H14107" s="220"/>
      <c r="I14107" s="142"/>
      <c r="J14107" s="143" t="s">
        <v>52</v>
      </c>
      <c r="K14107" s="226">
        <v>509932.47</v>
      </c>
      <c r="L14107" s="226"/>
    </row>
    <row r="14108" spans="1:14" x14ac:dyDescent="0.2">
      <c r="A14108" s="163">
        <v>2025</v>
      </c>
      <c r="B14108" s="163">
        <v>7</v>
      </c>
      <c r="C14108" s="163">
        <v>2</v>
      </c>
      <c r="D14108" s="280">
        <f t="shared" si="2154"/>
        <v>45840</v>
      </c>
      <c r="E14108" s="281">
        <f t="shared" si="2155"/>
        <v>45840</v>
      </c>
      <c r="F14108" s="480"/>
      <c r="G14108" s="221" t="s">
        <v>74</v>
      </c>
      <c r="H14108" s="221"/>
      <c r="I14108" s="145"/>
      <c r="J14108" s="146" t="s">
        <v>190</v>
      </c>
      <c r="K14108" s="219"/>
      <c r="L14108" s="219">
        <v>509932.47</v>
      </c>
      <c r="N14108" s="264"/>
    </row>
    <row r="14109" spans="1:14" ht="11.25" customHeight="1" x14ac:dyDescent="0.2">
      <c r="A14109" s="168">
        <v>2025</v>
      </c>
      <c r="B14109" s="168">
        <v>7</v>
      </c>
      <c r="C14109" s="133">
        <v>2</v>
      </c>
      <c r="D14109" s="141">
        <f t="shared" ref="D14109:D14114" si="2156">DATE(A14109,B14109,C14109)</f>
        <v>45840</v>
      </c>
      <c r="E14109" s="275">
        <f t="shared" ref="E14109:E14114" si="2157">DATE(A14109,B14109,C14109)</f>
        <v>45840</v>
      </c>
      <c r="F14109" s="479" t="s">
        <v>1979</v>
      </c>
      <c r="G14109" s="220" t="s">
        <v>94</v>
      </c>
      <c r="H14109" s="220"/>
      <c r="I14109" s="142"/>
      <c r="J14109" s="143" t="s">
        <v>79</v>
      </c>
      <c r="K14109" s="226">
        <v>621700</v>
      </c>
      <c r="L14109" s="226"/>
      <c r="M14109" s="160"/>
    </row>
    <row r="14110" spans="1:14" x14ac:dyDescent="0.2">
      <c r="A14110" s="133">
        <v>2025</v>
      </c>
      <c r="B14110" s="133">
        <v>7</v>
      </c>
      <c r="C14110" s="133">
        <v>2</v>
      </c>
      <c r="D14110" s="141">
        <f t="shared" si="2156"/>
        <v>45840</v>
      </c>
      <c r="E14110" s="275">
        <f t="shared" si="2157"/>
        <v>45840</v>
      </c>
      <c r="F14110" s="481"/>
      <c r="G14110" s="174" t="s">
        <v>94</v>
      </c>
      <c r="H14110" s="174"/>
      <c r="J14110" s="149" t="s">
        <v>80</v>
      </c>
      <c r="K14110" s="218">
        <v>1119.06</v>
      </c>
      <c r="L14110" s="133"/>
    </row>
    <row r="14111" spans="1:14" x14ac:dyDescent="0.2">
      <c r="A14111" s="163">
        <v>2025</v>
      </c>
      <c r="B14111" s="163">
        <v>7</v>
      </c>
      <c r="C14111" s="163">
        <v>2</v>
      </c>
      <c r="D14111" s="280">
        <f t="shared" si="2156"/>
        <v>45840</v>
      </c>
      <c r="E14111" s="281">
        <f t="shared" si="2157"/>
        <v>45840</v>
      </c>
      <c r="F14111" s="480"/>
      <c r="G14111" s="221" t="s">
        <v>94</v>
      </c>
      <c r="H14111" s="221"/>
      <c r="I14111" s="145"/>
      <c r="J14111" s="146" t="s">
        <v>147</v>
      </c>
      <c r="K14111" s="219"/>
      <c r="L14111" s="219">
        <v>622819.06000000006</v>
      </c>
    </row>
    <row r="14112" spans="1:14" ht="11.25" customHeight="1" x14ac:dyDescent="0.2">
      <c r="A14112" s="168">
        <v>2025</v>
      </c>
      <c r="B14112" s="168">
        <v>7</v>
      </c>
      <c r="C14112" s="133">
        <v>2</v>
      </c>
      <c r="D14112" s="141">
        <f t="shared" si="2156"/>
        <v>45840</v>
      </c>
      <c r="E14112" s="275">
        <f t="shared" si="2157"/>
        <v>45840</v>
      </c>
      <c r="F14112" s="479" t="s">
        <v>2080</v>
      </c>
      <c r="G14112" s="220" t="s">
        <v>94</v>
      </c>
      <c r="H14112" s="220"/>
      <c r="I14112" s="142"/>
      <c r="J14112" s="143" t="s">
        <v>79</v>
      </c>
      <c r="K14112" s="226">
        <v>3048901.6</v>
      </c>
      <c r="L14112" s="226"/>
      <c r="M14112" s="160"/>
    </row>
    <row r="14113" spans="1:14" x14ac:dyDescent="0.2">
      <c r="A14113" s="133">
        <v>2025</v>
      </c>
      <c r="B14113" s="133">
        <v>7</v>
      </c>
      <c r="C14113" s="133">
        <v>2</v>
      </c>
      <c r="D14113" s="141">
        <f t="shared" si="2156"/>
        <v>45840</v>
      </c>
      <c r="E14113" s="275">
        <f t="shared" si="2157"/>
        <v>45840</v>
      </c>
      <c r="F14113" s="481"/>
      <c r="G14113" s="174" t="s">
        <v>94</v>
      </c>
      <c r="H14113" s="174"/>
      <c r="J14113" s="149" t="s">
        <v>80</v>
      </c>
      <c r="K14113" s="218">
        <v>5488.02</v>
      </c>
      <c r="L14113" s="133"/>
    </row>
    <row r="14114" spans="1:14" x14ac:dyDescent="0.2">
      <c r="A14114" s="163">
        <v>2025</v>
      </c>
      <c r="B14114" s="163">
        <v>7</v>
      </c>
      <c r="C14114" s="163">
        <v>2</v>
      </c>
      <c r="D14114" s="280">
        <f t="shared" si="2156"/>
        <v>45840</v>
      </c>
      <c r="E14114" s="281">
        <f t="shared" si="2157"/>
        <v>45840</v>
      </c>
      <c r="F14114" s="480"/>
      <c r="G14114" s="221" t="s">
        <v>94</v>
      </c>
      <c r="H14114" s="221"/>
      <c r="I14114" s="145"/>
      <c r="J14114" s="146" t="s">
        <v>147</v>
      </c>
      <c r="K14114" s="219"/>
      <c r="L14114" s="219">
        <v>3054389.62</v>
      </c>
    </row>
    <row r="14115" spans="1:14" ht="11.25" customHeight="1" x14ac:dyDescent="0.2">
      <c r="A14115" s="168">
        <v>2025</v>
      </c>
      <c r="B14115" s="133">
        <v>7</v>
      </c>
      <c r="C14115" s="168">
        <v>3</v>
      </c>
      <c r="D14115" s="141">
        <f t="shared" ref="D14115:D14116" si="2158">DATE(A14115,B14115,C14115)</f>
        <v>45841</v>
      </c>
      <c r="E14115" s="275">
        <f t="shared" ref="E14115:E14116" si="2159">DATE(A14115,B14115,C14115)</f>
        <v>45841</v>
      </c>
      <c r="F14115" s="479" t="s">
        <v>2069</v>
      </c>
      <c r="G14115" s="220" t="s">
        <v>74</v>
      </c>
      <c r="H14115" s="220"/>
      <c r="I14115" s="142"/>
      <c r="J14115" s="143" t="s">
        <v>52</v>
      </c>
      <c r="K14115" s="226">
        <v>6819047.1600000001</v>
      </c>
      <c r="L14115" s="226"/>
    </row>
    <row r="14116" spans="1:14" x14ac:dyDescent="0.2">
      <c r="A14116" s="163">
        <v>2025</v>
      </c>
      <c r="B14116" s="163">
        <v>7</v>
      </c>
      <c r="C14116" s="163">
        <v>3</v>
      </c>
      <c r="D14116" s="280">
        <f t="shared" si="2158"/>
        <v>45841</v>
      </c>
      <c r="E14116" s="281">
        <f t="shared" si="2159"/>
        <v>45841</v>
      </c>
      <c r="F14116" s="480"/>
      <c r="G14116" s="221" t="s">
        <v>74</v>
      </c>
      <c r="H14116" s="221"/>
      <c r="I14116" s="145"/>
      <c r="J14116" s="146" t="s">
        <v>190</v>
      </c>
      <c r="K14116" s="219"/>
      <c r="L14116" s="219">
        <v>6819047.1600000001</v>
      </c>
      <c r="N14116" s="264"/>
    </row>
    <row r="14117" spans="1:14" x14ac:dyDescent="0.2">
      <c r="A14117" s="168">
        <v>2025</v>
      </c>
      <c r="B14117" s="133">
        <v>7</v>
      </c>
      <c r="C14117" s="168">
        <v>3</v>
      </c>
      <c r="D14117" s="147">
        <f>DATE(A14117,B14117,C14117)</f>
        <v>45841</v>
      </c>
      <c r="E14117" s="311">
        <f>DATE(A14117,B14117,C14117)</f>
        <v>45841</v>
      </c>
      <c r="F14117" s="481" t="s">
        <v>1943</v>
      </c>
      <c r="G14117" s="174" t="s">
        <v>74</v>
      </c>
      <c r="I14117" s="148" t="s">
        <v>348</v>
      </c>
      <c r="J14117" s="133" t="s">
        <v>61</v>
      </c>
      <c r="K14117" s="172">
        <v>1532</v>
      </c>
    </row>
    <row r="14118" spans="1:14" x14ac:dyDescent="0.2">
      <c r="A14118" s="163">
        <v>2025</v>
      </c>
      <c r="B14118" s="163">
        <v>7</v>
      </c>
      <c r="C14118" s="163">
        <v>3</v>
      </c>
      <c r="D14118" s="280">
        <f>DATE(A14118,B14118,C14118)</f>
        <v>45841</v>
      </c>
      <c r="E14118" s="281">
        <f>DATE(A14118,B14118,C14118)</f>
        <v>45841</v>
      </c>
      <c r="F14118" s="480"/>
      <c r="G14118" s="221" t="s">
        <v>74</v>
      </c>
      <c r="H14118" s="145"/>
      <c r="I14118" s="145" t="s">
        <v>348</v>
      </c>
      <c r="J14118" s="163" t="s">
        <v>52</v>
      </c>
      <c r="K14118" s="219"/>
      <c r="L14118" s="219">
        <f>K14117</f>
        <v>1532</v>
      </c>
    </row>
    <row r="14119" spans="1:14" ht="11.25" customHeight="1" x14ac:dyDescent="0.2">
      <c r="A14119" s="168">
        <v>2025</v>
      </c>
      <c r="B14119" s="168">
        <v>7</v>
      </c>
      <c r="C14119" s="133">
        <v>3</v>
      </c>
      <c r="D14119" s="141">
        <f t="shared" ref="D14119:D14150" si="2160">DATE(A14119,B14119,C14119)</f>
        <v>45841</v>
      </c>
      <c r="E14119" s="275">
        <f t="shared" ref="E14119:E14150" si="2161">DATE(A14119,B14119,C14119)</f>
        <v>45841</v>
      </c>
      <c r="F14119" s="479" t="s">
        <v>964</v>
      </c>
      <c r="G14119" s="220" t="s">
        <v>74</v>
      </c>
      <c r="H14119" s="142"/>
      <c r="I14119" s="142"/>
      <c r="J14119" s="168" t="s">
        <v>52</v>
      </c>
      <c r="K14119" s="226">
        <v>650850</v>
      </c>
      <c r="L14119" s="226"/>
    </row>
    <row r="14120" spans="1:14" ht="11.25" customHeight="1" x14ac:dyDescent="0.2">
      <c r="A14120" s="133">
        <v>2025</v>
      </c>
      <c r="B14120" s="133">
        <v>7</v>
      </c>
      <c r="C14120" s="133">
        <v>3</v>
      </c>
      <c r="D14120" s="141">
        <f t="shared" si="2160"/>
        <v>45841</v>
      </c>
      <c r="E14120" s="275">
        <f t="shared" si="2161"/>
        <v>45841</v>
      </c>
      <c r="F14120" s="481"/>
      <c r="G14120" s="174" t="s">
        <v>74</v>
      </c>
      <c r="J14120" s="133" t="s">
        <v>13</v>
      </c>
      <c r="K14120" s="218"/>
      <c r="L14120" s="218">
        <v>500000</v>
      </c>
    </row>
    <row r="14121" spans="1:14" ht="11.25" customHeight="1" x14ac:dyDescent="0.2">
      <c r="A14121" s="163">
        <v>2025</v>
      </c>
      <c r="B14121" s="163">
        <v>7</v>
      </c>
      <c r="C14121" s="163">
        <v>3</v>
      </c>
      <c r="D14121" s="280">
        <f t="shared" si="2160"/>
        <v>45841</v>
      </c>
      <c r="E14121" s="281">
        <f t="shared" si="2161"/>
        <v>45841</v>
      </c>
      <c r="F14121" s="480"/>
      <c r="G14121" s="221" t="s">
        <v>74</v>
      </c>
      <c r="H14121" s="145"/>
      <c r="I14121" s="145"/>
      <c r="J14121" s="163" t="s">
        <v>53</v>
      </c>
      <c r="K14121" s="219"/>
      <c r="L14121" s="219">
        <v>150850</v>
      </c>
    </row>
    <row r="14122" spans="1:14" x14ac:dyDescent="0.2">
      <c r="A14122" s="133">
        <v>2025</v>
      </c>
      <c r="B14122" s="133">
        <v>7</v>
      </c>
      <c r="C14122" s="133">
        <v>3</v>
      </c>
      <c r="D14122" s="141">
        <f t="shared" si="2160"/>
        <v>45841</v>
      </c>
      <c r="E14122" s="275">
        <f t="shared" si="2161"/>
        <v>45841</v>
      </c>
      <c r="F14122" s="481" t="s">
        <v>2065</v>
      </c>
      <c r="G14122" s="174" t="s">
        <v>94</v>
      </c>
      <c r="H14122" s="174"/>
      <c r="J14122" s="149" t="s">
        <v>79</v>
      </c>
      <c r="K14122" s="218">
        <v>1663339.9</v>
      </c>
      <c r="L14122" s="218"/>
      <c r="M14122" s="160"/>
    </row>
    <row r="14123" spans="1:14" x14ac:dyDescent="0.2">
      <c r="A14123" s="133">
        <v>2025</v>
      </c>
      <c r="B14123" s="133">
        <v>7</v>
      </c>
      <c r="C14123" s="133">
        <v>3</v>
      </c>
      <c r="D14123" s="141">
        <f t="shared" si="2160"/>
        <v>45841</v>
      </c>
      <c r="E14123" s="275">
        <f t="shared" si="2161"/>
        <v>45841</v>
      </c>
      <c r="F14123" s="481"/>
      <c r="G14123" s="174" t="s">
        <v>94</v>
      </c>
      <c r="H14123" s="174"/>
      <c r="J14123" s="149" t="s">
        <v>80</v>
      </c>
      <c r="K14123" s="218">
        <v>5759.71</v>
      </c>
      <c r="L14123" s="133"/>
      <c r="M14123" s="264"/>
      <c r="N14123" s="264"/>
    </row>
    <row r="14124" spans="1:14" x14ac:dyDescent="0.2">
      <c r="A14124" s="133">
        <v>2025</v>
      </c>
      <c r="B14124" s="133">
        <v>7</v>
      </c>
      <c r="C14124" s="133">
        <v>3</v>
      </c>
      <c r="D14124" s="141">
        <f t="shared" si="2160"/>
        <v>45841</v>
      </c>
      <c r="E14124" s="275">
        <f t="shared" si="2161"/>
        <v>45841</v>
      </c>
      <c r="F14124" s="481"/>
      <c r="G14124" s="174" t="s">
        <v>94</v>
      </c>
      <c r="H14124" s="174"/>
      <c r="J14124" s="149" t="s">
        <v>147</v>
      </c>
      <c r="K14124" s="218"/>
      <c r="L14124" s="218">
        <v>132599.60999999999</v>
      </c>
      <c r="M14124" s="264"/>
    </row>
    <row r="14125" spans="1:14" x14ac:dyDescent="0.2">
      <c r="A14125" s="133">
        <v>2025</v>
      </c>
      <c r="B14125" s="133">
        <v>7</v>
      </c>
      <c r="C14125" s="133">
        <v>3</v>
      </c>
      <c r="D14125" s="141">
        <f t="shared" si="2160"/>
        <v>45841</v>
      </c>
      <c r="E14125" s="275">
        <f t="shared" si="2161"/>
        <v>45841</v>
      </c>
      <c r="F14125" s="481"/>
      <c r="G14125" s="174" t="s">
        <v>94</v>
      </c>
      <c r="H14125" s="174"/>
      <c r="J14125" s="149" t="s">
        <v>191</v>
      </c>
      <c r="L14125" s="218">
        <v>269912.98</v>
      </c>
    </row>
    <row r="14126" spans="1:14" x14ac:dyDescent="0.2">
      <c r="A14126" s="163">
        <v>2025</v>
      </c>
      <c r="B14126" s="163">
        <v>7</v>
      </c>
      <c r="C14126" s="163">
        <v>3</v>
      </c>
      <c r="D14126" s="280">
        <f t="shared" si="2160"/>
        <v>45841</v>
      </c>
      <c r="E14126" s="281">
        <f t="shared" si="2161"/>
        <v>45841</v>
      </c>
      <c r="F14126" s="480"/>
      <c r="G14126" s="221" t="s">
        <v>94</v>
      </c>
      <c r="H14126" s="145"/>
      <c r="I14126" s="145"/>
      <c r="J14126" s="163" t="s">
        <v>79</v>
      </c>
      <c r="K14126" s="219"/>
      <c r="L14126" s="219">
        <v>1266587.02</v>
      </c>
      <c r="M14126" s="264"/>
    </row>
    <row r="14127" spans="1:14" x14ac:dyDescent="0.2">
      <c r="A14127" s="133">
        <v>2025</v>
      </c>
      <c r="B14127" s="133">
        <v>7</v>
      </c>
      <c r="C14127" s="133">
        <v>3</v>
      </c>
      <c r="D14127" s="141">
        <f t="shared" si="2160"/>
        <v>45841</v>
      </c>
      <c r="E14127" s="275">
        <f t="shared" si="2161"/>
        <v>45841</v>
      </c>
      <c r="F14127" s="481" t="s">
        <v>2044</v>
      </c>
      <c r="G14127" s="174" t="s">
        <v>94</v>
      </c>
      <c r="H14127" s="174"/>
      <c r="J14127" s="149" t="s">
        <v>190</v>
      </c>
      <c r="K14127" s="218">
        <v>528047.80000000005</v>
      </c>
      <c r="L14127" s="133"/>
    </row>
    <row r="14128" spans="1:14" x14ac:dyDescent="0.2">
      <c r="A14128" s="133">
        <v>2025</v>
      </c>
      <c r="B14128" s="133">
        <v>7</v>
      </c>
      <c r="C14128" s="133">
        <v>3</v>
      </c>
      <c r="D14128" s="141">
        <f t="shared" si="2160"/>
        <v>45841</v>
      </c>
      <c r="E14128" s="275">
        <f t="shared" si="2161"/>
        <v>45841</v>
      </c>
      <c r="F14128" s="481"/>
      <c r="G14128" s="174" t="s">
        <v>94</v>
      </c>
      <c r="H14128" s="174"/>
      <c r="J14128" s="149" t="s">
        <v>80</v>
      </c>
      <c r="K14128" s="218">
        <v>952.2</v>
      </c>
      <c r="L14128" s="218"/>
      <c r="M14128" s="176"/>
    </row>
    <row r="14129" spans="1:14" x14ac:dyDescent="0.2">
      <c r="A14129" s="133">
        <v>2025</v>
      </c>
      <c r="B14129" s="133">
        <v>7</v>
      </c>
      <c r="C14129" s="133">
        <v>3</v>
      </c>
      <c r="D14129" s="141">
        <f t="shared" si="2160"/>
        <v>45841</v>
      </c>
      <c r="E14129" s="275">
        <f t="shared" si="2161"/>
        <v>45841</v>
      </c>
      <c r="F14129" s="481"/>
      <c r="G14129" s="174" t="s">
        <v>94</v>
      </c>
      <c r="H14129" s="174"/>
      <c r="J14129" s="149" t="s">
        <v>191</v>
      </c>
      <c r="K14129" s="218"/>
      <c r="L14129" s="218">
        <v>118136.34</v>
      </c>
    </row>
    <row r="14130" spans="1:14" x14ac:dyDescent="0.2">
      <c r="A14130" s="163">
        <v>2025</v>
      </c>
      <c r="B14130" s="163">
        <v>7</v>
      </c>
      <c r="C14130" s="133">
        <v>3</v>
      </c>
      <c r="D14130" s="280">
        <f t="shared" si="2160"/>
        <v>45841</v>
      </c>
      <c r="E14130" s="281">
        <f t="shared" si="2161"/>
        <v>45841</v>
      </c>
      <c r="F14130" s="480"/>
      <c r="G14130" s="221" t="s">
        <v>94</v>
      </c>
      <c r="H14130" s="145"/>
      <c r="I14130" s="145"/>
      <c r="J14130" s="163" t="s">
        <v>79</v>
      </c>
      <c r="K14130" s="219"/>
      <c r="L14130" s="219">
        <v>410863.66</v>
      </c>
    </row>
    <row r="14131" spans="1:14" ht="11.25" customHeight="1" x14ac:dyDescent="0.2">
      <c r="A14131" s="168">
        <v>2025</v>
      </c>
      <c r="B14131" s="133">
        <v>7</v>
      </c>
      <c r="C14131" s="168">
        <v>3</v>
      </c>
      <c r="D14131" s="141">
        <f t="shared" si="2160"/>
        <v>45841</v>
      </c>
      <c r="E14131" s="275">
        <f t="shared" si="2161"/>
        <v>45841</v>
      </c>
      <c r="F14131" s="479" t="s">
        <v>2069</v>
      </c>
      <c r="G14131" s="220" t="s">
        <v>74</v>
      </c>
      <c r="H14131" s="220"/>
      <c r="I14131" s="142"/>
      <c r="J14131" s="143" t="s">
        <v>52</v>
      </c>
      <c r="K14131" s="226">
        <v>2448635.0099999998</v>
      </c>
      <c r="L14131" s="226"/>
    </row>
    <row r="14132" spans="1:14" x14ac:dyDescent="0.2">
      <c r="A14132" s="163">
        <v>2025</v>
      </c>
      <c r="B14132" s="163">
        <v>7</v>
      </c>
      <c r="C14132" s="163">
        <v>3</v>
      </c>
      <c r="D14132" s="280">
        <f t="shared" si="2160"/>
        <v>45841</v>
      </c>
      <c r="E14132" s="281">
        <f t="shared" si="2161"/>
        <v>45841</v>
      </c>
      <c r="F14132" s="480"/>
      <c r="G14132" s="221" t="s">
        <v>74</v>
      </c>
      <c r="H14132" s="221"/>
      <c r="I14132" s="145"/>
      <c r="J14132" s="146" t="s">
        <v>190</v>
      </c>
      <c r="K14132" s="219"/>
      <c r="L14132" s="219">
        <v>2448635.0099999998</v>
      </c>
      <c r="N14132" s="264"/>
    </row>
    <row r="14133" spans="1:14" x14ac:dyDescent="0.2">
      <c r="A14133" s="325">
        <v>2025</v>
      </c>
      <c r="B14133" s="325">
        <v>7</v>
      </c>
      <c r="C14133" s="325">
        <v>3</v>
      </c>
      <c r="D14133" s="326">
        <f t="shared" si="2160"/>
        <v>45841</v>
      </c>
      <c r="E14133" s="327">
        <f t="shared" si="2161"/>
        <v>45841</v>
      </c>
      <c r="F14133" s="473" t="s">
        <v>1940</v>
      </c>
      <c r="G14133" s="340" t="s">
        <v>94</v>
      </c>
      <c r="H14133" s="340"/>
      <c r="I14133" s="341" t="s">
        <v>348</v>
      </c>
      <c r="J14133" s="374" t="s">
        <v>133</v>
      </c>
      <c r="K14133" s="375">
        <v>12905.56</v>
      </c>
      <c r="L14133" s="375"/>
      <c r="M14133" s="176"/>
    </row>
    <row r="14134" spans="1:14" x14ac:dyDescent="0.2">
      <c r="A14134" s="331">
        <v>2025</v>
      </c>
      <c r="B14134" s="331">
        <v>7</v>
      </c>
      <c r="C14134" s="331">
        <v>3</v>
      </c>
      <c r="D14134" s="326">
        <f t="shared" si="2160"/>
        <v>45841</v>
      </c>
      <c r="E14134" s="327">
        <f t="shared" si="2161"/>
        <v>45841</v>
      </c>
      <c r="F14134" s="474"/>
      <c r="G14134" s="332" t="s">
        <v>94</v>
      </c>
      <c r="H14134" s="332"/>
      <c r="I14134" s="333" t="s">
        <v>348</v>
      </c>
      <c r="J14134" s="376" t="s">
        <v>60</v>
      </c>
      <c r="K14134" s="334"/>
      <c r="L14134" s="334">
        <f>K14133</f>
        <v>12905.56</v>
      </c>
    </row>
    <row r="14135" spans="1:14" x14ac:dyDescent="0.2">
      <c r="A14135" s="325">
        <v>2025</v>
      </c>
      <c r="B14135" s="325">
        <v>7</v>
      </c>
      <c r="C14135" s="325">
        <v>3</v>
      </c>
      <c r="D14135" s="326">
        <f t="shared" ref="D14135:D14136" si="2162">DATE(A14135,B14135,C14135)</f>
        <v>45841</v>
      </c>
      <c r="E14135" s="327">
        <f t="shared" ref="E14135:E14136" si="2163">DATE(A14135,B14135,C14135)</f>
        <v>45841</v>
      </c>
      <c r="F14135" s="473" t="s">
        <v>2097</v>
      </c>
      <c r="G14135" s="340" t="s">
        <v>94</v>
      </c>
      <c r="H14135" s="340"/>
      <c r="I14135" s="341" t="s">
        <v>348</v>
      </c>
      <c r="J14135" s="374" t="s">
        <v>133</v>
      </c>
      <c r="K14135" s="375">
        <v>6250</v>
      </c>
      <c r="L14135" s="375"/>
      <c r="M14135" s="176"/>
    </row>
    <row r="14136" spans="1:14" x14ac:dyDescent="0.2">
      <c r="A14136" s="331">
        <v>2025</v>
      </c>
      <c r="B14136" s="331">
        <v>7</v>
      </c>
      <c r="C14136" s="331">
        <v>3</v>
      </c>
      <c r="D14136" s="326">
        <f t="shared" si="2162"/>
        <v>45841</v>
      </c>
      <c r="E14136" s="327">
        <f t="shared" si="2163"/>
        <v>45841</v>
      </c>
      <c r="F14136" s="474"/>
      <c r="G14136" s="332" t="s">
        <v>94</v>
      </c>
      <c r="H14136" s="332"/>
      <c r="I14136" s="333" t="s">
        <v>348</v>
      </c>
      <c r="J14136" s="376" t="s">
        <v>60</v>
      </c>
      <c r="K14136" s="334"/>
      <c r="L14136" s="334">
        <f>K14135</f>
        <v>6250</v>
      </c>
    </row>
    <row r="14137" spans="1:14" x14ac:dyDescent="0.2">
      <c r="A14137" s="384">
        <v>2025</v>
      </c>
      <c r="B14137" s="384">
        <v>7</v>
      </c>
      <c r="C14137" s="384">
        <v>3</v>
      </c>
      <c r="D14137" s="385">
        <f t="shared" si="2160"/>
        <v>45841</v>
      </c>
      <c r="E14137" s="386">
        <f t="shared" si="2161"/>
        <v>45841</v>
      </c>
      <c r="F14137" s="475" t="s">
        <v>1966</v>
      </c>
      <c r="G14137" s="387" t="s">
        <v>94</v>
      </c>
      <c r="H14137" s="387"/>
      <c r="I14137" s="388" t="s">
        <v>348</v>
      </c>
      <c r="J14137" s="389" t="s">
        <v>67</v>
      </c>
      <c r="K14137" s="390">
        <v>11601.46</v>
      </c>
      <c r="L14137" s="390"/>
      <c r="M14137" s="160">
        <v>11552.600000000022</v>
      </c>
      <c r="N14137" s="133">
        <v>48.859999999976935</v>
      </c>
    </row>
    <row r="14138" spans="1:14" x14ac:dyDescent="0.2">
      <c r="A14138" s="391">
        <v>2025</v>
      </c>
      <c r="B14138" s="391">
        <v>7</v>
      </c>
      <c r="C14138" s="391">
        <v>3</v>
      </c>
      <c r="D14138" s="385">
        <f t="shared" si="2160"/>
        <v>45841</v>
      </c>
      <c r="E14138" s="386">
        <f t="shared" si="2161"/>
        <v>45841</v>
      </c>
      <c r="F14138" s="476"/>
      <c r="G14138" s="392" t="s">
        <v>94</v>
      </c>
      <c r="H14138" s="392"/>
      <c r="I14138" s="393" t="s">
        <v>348</v>
      </c>
      <c r="J14138" s="394" t="s">
        <v>60</v>
      </c>
      <c r="K14138" s="395"/>
      <c r="L14138" s="395">
        <f>K14137</f>
        <v>11601.46</v>
      </c>
    </row>
    <row r="14139" spans="1:14" x14ac:dyDescent="0.2">
      <c r="A14139" s="343">
        <v>2025</v>
      </c>
      <c r="B14139" s="343">
        <v>7</v>
      </c>
      <c r="C14139" s="343">
        <v>3</v>
      </c>
      <c r="D14139" s="344">
        <f t="shared" si="2160"/>
        <v>45841</v>
      </c>
      <c r="E14139" s="345">
        <f t="shared" si="2161"/>
        <v>45841</v>
      </c>
      <c r="F14139" s="483" t="s">
        <v>1813</v>
      </c>
      <c r="G14139" s="350" t="s">
        <v>94</v>
      </c>
      <c r="H14139" s="350"/>
      <c r="I14139" s="352" t="s">
        <v>348</v>
      </c>
      <c r="J14139" s="353" t="s">
        <v>1807</v>
      </c>
      <c r="K14139" s="354">
        <v>0</v>
      </c>
      <c r="L14139" s="354"/>
      <c r="M14139" s="133">
        <v>0</v>
      </c>
    </row>
    <row r="14140" spans="1:14" x14ac:dyDescent="0.2">
      <c r="A14140" s="346">
        <v>2025</v>
      </c>
      <c r="B14140" s="346">
        <v>7</v>
      </c>
      <c r="C14140" s="346">
        <v>3</v>
      </c>
      <c r="D14140" s="344">
        <f t="shared" si="2160"/>
        <v>45841</v>
      </c>
      <c r="E14140" s="345">
        <f t="shared" si="2161"/>
        <v>45841</v>
      </c>
      <c r="F14140" s="484"/>
      <c r="G14140" s="347" t="s">
        <v>94</v>
      </c>
      <c r="H14140" s="347"/>
      <c r="I14140" s="348" t="s">
        <v>348</v>
      </c>
      <c r="J14140" s="355" t="s">
        <v>1798</v>
      </c>
      <c r="K14140" s="349"/>
      <c r="L14140" s="349">
        <v>0</v>
      </c>
    </row>
    <row r="14141" spans="1:14" x14ac:dyDescent="0.2">
      <c r="A14141" s="343">
        <v>2025</v>
      </c>
      <c r="B14141" s="343">
        <v>7</v>
      </c>
      <c r="C14141" s="343">
        <v>3</v>
      </c>
      <c r="D14141" s="344">
        <f t="shared" si="2160"/>
        <v>45841</v>
      </c>
      <c r="E14141" s="345">
        <f t="shared" si="2161"/>
        <v>45841</v>
      </c>
      <c r="F14141" s="483" t="s">
        <v>1913</v>
      </c>
      <c r="G14141" s="350" t="s">
        <v>94</v>
      </c>
      <c r="H14141" s="350"/>
      <c r="I14141" s="352" t="s">
        <v>348</v>
      </c>
      <c r="J14141" s="353" t="s">
        <v>1799</v>
      </c>
      <c r="K14141" s="354">
        <v>3087.900000013411</v>
      </c>
      <c r="L14141" s="354"/>
    </row>
    <row r="14142" spans="1:14" x14ac:dyDescent="0.2">
      <c r="A14142" s="346">
        <v>2025</v>
      </c>
      <c r="B14142" s="346">
        <v>7</v>
      </c>
      <c r="C14142" s="346">
        <v>3</v>
      </c>
      <c r="D14142" s="344">
        <f t="shared" si="2160"/>
        <v>45841</v>
      </c>
      <c r="E14142" s="345">
        <f t="shared" si="2161"/>
        <v>45841</v>
      </c>
      <c r="F14142" s="484"/>
      <c r="G14142" s="347" t="s">
        <v>94</v>
      </c>
      <c r="H14142" s="347"/>
      <c r="I14142" s="348" t="s">
        <v>348</v>
      </c>
      <c r="J14142" s="355" t="s">
        <v>1808</v>
      </c>
      <c r="K14142" s="349"/>
      <c r="L14142" s="349">
        <f>K14141</f>
        <v>3087.900000013411</v>
      </c>
    </row>
    <row r="14143" spans="1:14" x14ac:dyDescent="0.2">
      <c r="A14143" s="238">
        <v>2025</v>
      </c>
      <c r="B14143" s="238">
        <v>7</v>
      </c>
      <c r="C14143" s="238">
        <v>3</v>
      </c>
      <c r="D14143" s="270">
        <f t="shared" si="2160"/>
        <v>45841</v>
      </c>
      <c r="E14143" s="279">
        <f t="shared" si="2161"/>
        <v>45841</v>
      </c>
      <c r="F14143" s="477" t="s">
        <v>347</v>
      </c>
      <c r="G14143" s="239" t="s">
        <v>94</v>
      </c>
      <c r="H14143" s="239"/>
      <c r="I14143" s="262" t="s">
        <v>348</v>
      </c>
      <c r="J14143" s="240" t="s">
        <v>108</v>
      </c>
      <c r="K14143" s="241">
        <v>1719250.5400000066</v>
      </c>
      <c r="L14143" s="241"/>
    </row>
    <row r="14144" spans="1:14" x14ac:dyDescent="0.2">
      <c r="A14144" s="242">
        <v>2025</v>
      </c>
      <c r="B14144" s="242">
        <v>7</v>
      </c>
      <c r="C14144" s="242">
        <v>3</v>
      </c>
      <c r="D14144" s="270">
        <f t="shared" si="2160"/>
        <v>45841</v>
      </c>
      <c r="E14144" s="279">
        <f t="shared" si="2161"/>
        <v>45841</v>
      </c>
      <c r="F14144" s="478"/>
      <c r="G14144" s="243" t="s">
        <v>94</v>
      </c>
      <c r="H14144" s="243"/>
      <c r="I14144" s="263" t="s">
        <v>348</v>
      </c>
      <c r="J14144" s="244" t="s">
        <v>82</v>
      </c>
      <c r="K14144" s="245"/>
      <c r="L14144" s="245">
        <f>K14143</f>
        <v>1719250.5400000066</v>
      </c>
    </row>
    <row r="14145" spans="1:14" ht="12" customHeight="1" x14ac:dyDescent="0.2">
      <c r="A14145" s="246">
        <v>2025</v>
      </c>
      <c r="B14145" s="238">
        <v>7</v>
      </c>
      <c r="C14145" s="238">
        <v>3</v>
      </c>
      <c r="D14145" s="270">
        <f t="shared" si="2160"/>
        <v>45841</v>
      </c>
      <c r="E14145" s="279">
        <f t="shared" si="2161"/>
        <v>45841</v>
      </c>
      <c r="F14145" s="482" t="s">
        <v>148</v>
      </c>
      <c r="G14145" s="247" t="s">
        <v>94</v>
      </c>
      <c r="H14145" s="247"/>
      <c r="I14145" s="248" t="s">
        <v>348</v>
      </c>
      <c r="J14145" s="249" t="s">
        <v>95</v>
      </c>
      <c r="K14145" s="250">
        <v>2747.2527472527472</v>
      </c>
      <c r="L14145" s="241"/>
      <c r="M14145" s="176"/>
    </row>
    <row r="14146" spans="1:14" x14ac:dyDescent="0.2">
      <c r="A14146" s="242">
        <v>2025</v>
      </c>
      <c r="B14146" s="242">
        <v>7</v>
      </c>
      <c r="C14146" s="242">
        <v>3</v>
      </c>
      <c r="D14146" s="270">
        <f t="shared" si="2160"/>
        <v>45841</v>
      </c>
      <c r="E14146" s="279">
        <f t="shared" si="2161"/>
        <v>45841</v>
      </c>
      <c r="F14146" s="478"/>
      <c r="G14146" s="243" t="s">
        <v>94</v>
      </c>
      <c r="H14146" s="243"/>
      <c r="I14146" s="263" t="s">
        <v>348</v>
      </c>
      <c r="J14146" s="244" t="s">
        <v>63</v>
      </c>
      <c r="K14146" s="245"/>
      <c r="L14146" s="245">
        <f>K14145</f>
        <v>2747.2527472527472</v>
      </c>
    </row>
    <row r="14147" spans="1:14" x14ac:dyDescent="0.2">
      <c r="A14147" s="246">
        <v>2025</v>
      </c>
      <c r="B14147" s="238">
        <v>7</v>
      </c>
      <c r="C14147" s="238">
        <v>3</v>
      </c>
      <c r="D14147" s="270">
        <f t="shared" si="2160"/>
        <v>45841</v>
      </c>
      <c r="E14147" s="279">
        <f t="shared" si="2161"/>
        <v>45841</v>
      </c>
      <c r="F14147" s="482" t="s">
        <v>137</v>
      </c>
      <c r="G14147" s="247" t="s">
        <v>94</v>
      </c>
      <c r="H14147" s="247"/>
      <c r="I14147" s="248" t="s">
        <v>348</v>
      </c>
      <c r="J14147" s="249" t="s">
        <v>97</v>
      </c>
      <c r="K14147" s="250">
        <f>M14147</f>
        <v>65284.734164007241</v>
      </c>
      <c r="L14147" s="252"/>
      <c r="M14147" s="133">
        <v>65284.734164007241</v>
      </c>
    </row>
    <row r="14148" spans="1:14" x14ac:dyDescent="0.2">
      <c r="A14148" s="242">
        <v>2025</v>
      </c>
      <c r="B14148" s="242">
        <v>7</v>
      </c>
      <c r="C14148" s="242">
        <v>3</v>
      </c>
      <c r="D14148" s="270">
        <f t="shared" si="2160"/>
        <v>45841</v>
      </c>
      <c r="E14148" s="279">
        <f t="shared" si="2161"/>
        <v>45841</v>
      </c>
      <c r="F14148" s="478"/>
      <c r="G14148" s="243" t="s">
        <v>94</v>
      </c>
      <c r="H14148" s="243"/>
      <c r="I14148" s="263" t="s">
        <v>348</v>
      </c>
      <c r="J14148" s="244" t="s">
        <v>47</v>
      </c>
      <c r="K14148" s="245"/>
      <c r="L14148" s="245">
        <f>K14147</f>
        <v>65284.734164007241</v>
      </c>
      <c r="M14148" s="133">
        <v>3023.8520928157468</v>
      </c>
    </row>
    <row r="14149" spans="1:14" x14ac:dyDescent="0.2">
      <c r="A14149" s="246">
        <v>2025</v>
      </c>
      <c r="B14149" s="238">
        <v>7</v>
      </c>
      <c r="C14149" s="238">
        <v>3</v>
      </c>
      <c r="D14149" s="270">
        <f t="shared" si="2160"/>
        <v>45841</v>
      </c>
      <c r="E14149" s="279">
        <f t="shared" si="2161"/>
        <v>45841</v>
      </c>
      <c r="F14149" s="482" t="s">
        <v>138</v>
      </c>
      <c r="G14149" s="247" t="s">
        <v>94</v>
      </c>
      <c r="H14149" s="247"/>
      <c r="I14149" s="248" t="s">
        <v>348</v>
      </c>
      <c r="J14149" s="249" t="s">
        <v>100</v>
      </c>
      <c r="K14149" s="250">
        <f>M14148</f>
        <v>3023.8520928157468</v>
      </c>
      <c r="L14149" s="252"/>
    </row>
    <row r="14150" spans="1:14" x14ac:dyDescent="0.2">
      <c r="A14150" s="242">
        <v>2025</v>
      </c>
      <c r="B14150" s="242">
        <v>7</v>
      </c>
      <c r="C14150" s="242">
        <v>3</v>
      </c>
      <c r="D14150" s="321">
        <f t="shared" si="2160"/>
        <v>45841</v>
      </c>
      <c r="E14150" s="322">
        <f t="shared" si="2161"/>
        <v>45841</v>
      </c>
      <c r="F14150" s="478"/>
      <c r="G14150" s="243" t="s">
        <v>94</v>
      </c>
      <c r="H14150" s="243"/>
      <c r="I14150" s="263" t="s">
        <v>348</v>
      </c>
      <c r="J14150" s="244" t="s">
        <v>48</v>
      </c>
      <c r="K14150" s="245"/>
      <c r="L14150" s="245">
        <f>K14149</f>
        <v>3023.8520928157468</v>
      </c>
    </row>
    <row r="14151" spans="1:14" x14ac:dyDescent="0.2">
      <c r="A14151" s="133">
        <v>2025</v>
      </c>
      <c r="B14151" s="133">
        <v>7</v>
      </c>
      <c r="C14151" s="133">
        <v>7</v>
      </c>
      <c r="D14151" s="141">
        <f t="shared" ref="D14151:D14155" si="2164">DATE(A14151,B14151,C14151)</f>
        <v>45845</v>
      </c>
      <c r="E14151" s="275">
        <f t="shared" ref="E14151:E14155" si="2165">DATE(A14151,B14151,C14151)</f>
        <v>45845</v>
      </c>
      <c r="F14151" s="481" t="s">
        <v>2065</v>
      </c>
      <c r="G14151" s="174" t="s">
        <v>94</v>
      </c>
      <c r="H14151" s="174"/>
      <c r="J14151" s="149" t="s">
        <v>79</v>
      </c>
      <c r="K14151" s="218">
        <v>3755115.8</v>
      </c>
      <c r="L14151" s="218"/>
      <c r="M14151" s="160"/>
    </row>
    <row r="14152" spans="1:14" x14ac:dyDescent="0.2">
      <c r="A14152" s="133">
        <v>2025</v>
      </c>
      <c r="B14152" s="133">
        <v>7</v>
      </c>
      <c r="C14152" s="133">
        <v>7</v>
      </c>
      <c r="D14152" s="141">
        <f t="shared" si="2164"/>
        <v>45845</v>
      </c>
      <c r="E14152" s="275">
        <f t="shared" si="2165"/>
        <v>45845</v>
      </c>
      <c r="F14152" s="481"/>
      <c r="G14152" s="174" t="s">
        <v>94</v>
      </c>
      <c r="H14152" s="174"/>
      <c r="J14152" s="149" t="s">
        <v>80</v>
      </c>
      <c r="K14152" s="218">
        <v>9244.9500000000007</v>
      </c>
      <c r="L14152" s="133"/>
      <c r="M14152" s="264"/>
      <c r="N14152" s="264"/>
    </row>
    <row r="14153" spans="1:14" x14ac:dyDescent="0.2">
      <c r="A14153" s="133">
        <v>2025</v>
      </c>
      <c r="B14153" s="133">
        <v>7</v>
      </c>
      <c r="C14153" s="133">
        <v>7</v>
      </c>
      <c r="D14153" s="141">
        <f t="shared" si="2164"/>
        <v>45845</v>
      </c>
      <c r="E14153" s="275">
        <f t="shared" si="2165"/>
        <v>45845</v>
      </c>
      <c r="F14153" s="481"/>
      <c r="G14153" s="174" t="s">
        <v>94</v>
      </c>
      <c r="H14153" s="174"/>
      <c r="J14153" s="149" t="s">
        <v>147</v>
      </c>
      <c r="K14153" s="218"/>
      <c r="L14153" s="218">
        <v>2383392.0499999998</v>
      </c>
      <c r="M14153" s="264"/>
    </row>
    <row r="14154" spans="1:14" x14ac:dyDescent="0.2">
      <c r="A14154" s="133">
        <v>2025</v>
      </c>
      <c r="B14154" s="133">
        <v>7</v>
      </c>
      <c r="C14154" s="133">
        <v>7</v>
      </c>
      <c r="D14154" s="141">
        <f t="shared" si="2164"/>
        <v>45845</v>
      </c>
      <c r="E14154" s="275">
        <f t="shared" si="2165"/>
        <v>45845</v>
      </c>
      <c r="F14154" s="481"/>
      <c r="G14154" s="174" t="s">
        <v>94</v>
      </c>
      <c r="H14154" s="174"/>
      <c r="J14154" s="149" t="s">
        <v>191</v>
      </c>
      <c r="L14154" s="218">
        <v>353809.56</v>
      </c>
    </row>
    <row r="14155" spans="1:14" x14ac:dyDescent="0.2">
      <c r="A14155" s="163">
        <v>2025</v>
      </c>
      <c r="B14155" s="163">
        <v>7</v>
      </c>
      <c r="C14155" s="163">
        <v>7</v>
      </c>
      <c r="D14155" s="280">
        <f t="shared" si="2164"/>
        <v>45845</v>
      </c>
      <c r="E14155" s="281">
        <f t="shared" si="2165"/>
        <v>45845</v>
      </c>
      <c r="F14155" s="480"/>
      <c r="G14155" s="221" t="s">
        <v>94</v>
      </c>
      <c r="H14155" s="145"/>
      <c r="I14155" s="145"/>
      <c r="J14155" s="163" t="s">
        <v>79</v>
      </c>
      <c r="K14155" s="219"/>
      <c r="L14155" s="219">
        <v>1027159.14</v>
      </c>
      <c r="M14155" s="264"/>
    </row>
    <row r="14156" spans="1:14" x14ac:dyDescent="0.2">
      <c r="A14156" s="133">
        <v>2025</v>
      </c>
      <c r="B14156" s="133">
        <v>7</v>
      </c>
      <c r="C14156" s="133">
        <v>7</v>
      </c>
      <c r="D14156" s="141">
        <f t="shared" ref="D14156:D14168" si="2166">DATE(A14156,B14156,C14156)</f>
        <v>45845</v>
      </c>
      <c r="E14156" s="275">
        <f t="shared" ref="E14156:E14168" si="2167">DATE(A14156,B14156,C14156)</f>
        <v>45845</v>
      </c>
      <c r="F14156" s="481" t="s">
        <v>1767</v>
      </c>
      <c r="G14156" s="174" t="s">
        <v>94</v>
      </c>
      <c r="H14156" s="174"/>
      <c r="J14156" s="149" t="s">
        <v>79</v>
      </c>
      <c r="K14156" s="218">
        <v>2201179.9</v>
      </c>
      <c r="L14156" s="218"/>
      <c r="M14156" s="160"/>
    </row>
    <row r="14157" spans="1:14" x14ac:dyDescent="0.2">
      <c r="A14157" s="133">
        <v>2025</v>
      </c>
      <c r="B14157" s="133">
        <v>7</v>
      </c>
      <c r="C14157" s="133">
        <v>7</v>
      </c>
      <c r="D14157" s="141">
        <f t="shared" si="2166"/>
        <v>45845</v>
      </c>
      <c r="E14157" s="275">
        <f t="shared" si="2167"/>
        <v>45845</v>
      </c>
      <c r="F14157" s="481"/>
      <c r="G14157" s="174" t="s">
        <v>94</v>
      </c>
      <c r="H14157" s="174"/>
      <c r="J14157" s="149" t="s">
        <v>80</v>
      </c>
      <c r="K14157" s="218">
        <v>5456.12</v>
      </c>
      <c r="L14157" s="133"/>
      <c r="M14157" s="264"/>
      <c r="N14157" s="264"/>
    </row>
    <row r="14158" spans="1:14" x14ac:dyDescent="0.2">
      <c r="A14158" s="133">
        <v>2025</v>
      </c>
      <c r="B14158" s="133">
        <v>7</v>
      </c>
      <c r="C14158" s="133">
        <v>7</v>
      </c>
      <c r="D14158" s="141">
        <f t="shared" si="2166"/>
        <v>45845</v>
      </c>
      <c r="E14158" s="275">
        <f t="shared" si="2167"/>
        <v>45845</v>
      </c>
      <c r="F14158" s="481"/>
      <c r="G14158" s="174" t="s">
        <v>94</v>
      </c>
      <c r="H14158" s="174"/>
      <c r="J14158" s="149" t="s">
        <v>147</v>
      </c>
      <c r="K14158" s="218"/>
      <c r="L14158" s="218">
        <v>1376636.02</v>
      </c>
      <c r="M14158" s="264"/>
    </row>
    <row r="14159" spans="1:14" x14ac:dyDescent="0.2">
      <c r="A14159" s="133">
        <v>2025</v>
      </c>
      <c r="B14159" s="133">
        <v>7</v>
      </c>
      <c r="C14159" s="133">
        <v>7</v>
      </c>
      <c r="D14159" s="141">
        <f t="shared" si="2166"/>
        <v>45845</v>
      </c>
      <c r="E14159" s="275">
        <f t="shared" si="2167"/>
        <v>45845</v>
      </c>
      <c r="F14159" s="481"/>
      <c r="G14159" s="174" t="s">
        <v>94</v>
      </c>
      <c r="H14159" s="174"/>
      <c r="J14159" s="149" t="s">
        <v>191</v>
      </c>
      <c r="L14159" s="218">
        <v>213704.51</v>
      </c>
    </row>
    <row r="14160" spans="1:14" x14ac:dyDescent="0.2">
      <c r="A14160" s="163">
        <v>2025</v>
      </c>
      <c r="B14160" s="163">
        <v>7</v>
      </c>
      <c r="C14160" s="163">
        <v>7</v>
      </c>
      <c r="D14160" s="280">
        <f t="shared" si="2166"/>
        <v>45845</v>
      </c>
      <c r="E14160" s="281">
        <f t="shared" si="2167"/>
        <v>45845</v>
      </c>
      <c r="F14160" s="480"/>
      <c r="G14160" s="221" t="s">
        <v>94</v>
      </c>
      <c r="H14160" s="145"/>
      <c r="I14160" s="145"/>
      <c r="J14160" s="163" t="s">
        <v>79</v>
      </c>
      <c r="K14160" s="219"/>
      <c r="L14160" s="219">
        <v>616295.49</v>
      </c>
      <c r="M14160" s="264"/>
    </row>
    <row r="14161" spans="1:14" ht="11.25" customHeight="1" x14ac:dyDescent="0.2">
      <c r="A14161" s="168">
        <v>2025</v>
      </c>
      <c r="B14161" s="168">
        <v>7</v>
      </c>
      <c r="C14161" s="168">
        <v>7</v>
      </c>
      <c r="D14161" s="141">
        <f t="shared" si="2166"/>
        <v>45845</v>
      </c>
      <c r="E14161" s="275">
        <f t="shared" si="2167"/>
        <v>45845</v>
      </c>
      <c r="F14161" s="479" t="s">
        <v>1319</v>
      </c>
      <c r="G14161" s="220" t="s">
        <v>74</v>
      </c>
      <c r="H14161" s="142"/>
      <c r="I14161" s="142"/>
      <c r="J14161" s="168" t="s">
        <v>52</v>
      </c>
      <c r="K14161" s="226">
        <v>12000</v>
      </c>
      <c r="L14161" s="226"/>
    </row>
    <row r="14162" spans="1:14" ht="11.25" customHeight="1" x14ac:dyDescent="0.2">
      <c r="A14162" s="133">
        <v>2025</v>
      </c>
      <c r="B14162" s="133">
        <v>7</v>
      </c>
      <c r="C14162" s="133">
        <v>7</v>
      </c>
      <c r="D14162" s="141">
        <f t="shared" si="2166"/>
        <v>45845</v>
      </c>
      <c r="E14162" s="275">
        <f t="shared" si="2167"/>
        <v>45845</v>
      </c>
      <c r="F14162" s="481"/>
      <c r="G14162" s="174" t="s">
        <v>74</v>
      </c>
      <c r="J14162" s="133" t="s">
        <v>13</v>
      </c>
      <c r="K14162" s="218"/>
      <c r="L14162" s="218">
        <v>9120</v>
      </c>
    </row>
    <row r="14163" spans="1:14" ht="11.25" customHeight="1" x14ac:dyDescent="0.2">
      <c r="A14163" s="163">
        <v>2025</v>
      </c>
      <c r="B14163" s="163">
        <v>7</v>
      </c>
      <c r="C14163" s="163">
        <v>7</v>
      </c>
      <c r="D14163" s="280">
        <f t="shared" si="2166"/>
        <v>45845</v>
      </c>
      <c r="E14163" s="281">
        <f t="shared" si="2167"/>
        <v>45845</v>
      </c>
      <c r="F14163" s="480"/>
      <c r="G14163" s="221" t="s">
        <v>74</v>
      </c>
      <c r="H14163" s="145"/>
      <c r="I14163" s="145"/>
      <c r="J14163" s="163" t="s">
        <v>53</v>
      </c>
      <c r="K14163" s="219"/>
      <c r="L14163" s="219">
        <v>2880</v>
      </c>
    </row>
    <row r="14164" spans="1:14" ht="11.25" customHeight="1" x14ac:dyDescent="0.2">
      <c r="A14164" s="168">
        <v>2025</v>
      </c>
      <c r="B14164" s="168">
        <v>7</v>
      </c>
      <c r="C14164" s="168">
        <v>7</v>
      </c>
      <c r="D14164" s="141">
        <f t="shared" si="2166"/>
        <v>45845</v>
      </c>
      <c r="E14164" s="275">
        <f t="shared" si="2167"/>
        <v>45845</v>
      </c>
      <c r="F14164" s="479" t="s">
        <v>1315</v>
      </c>
      <c r="G14164" s="220" t="s">
        <v>74</v>
      </c>
      <c r="H14164" s="142"/>
      <c r="I14164" s="142" t="s">
        <v>764</v>
      </c>
      <c r="J14164" s="168" t="s">
        <v>13</v>
      </c>
      <c r="K14164" s="226">
        <v>150000</v>
      </c>
      <c r="L14164" s="226"/>
    </row>
    <row r="14165" spans="1:14" ht="11.25" customHeight="1" x14ac:dyDescent="0.2">
      <c r="A14165" s="133">
        <v>2025</v>
      </c>
      <c r="B14165" s="133">
        <v>7</v>
      </c>
      <c r="C14165" s="133">
        <v>7</v>
      </c>
      <c r="D14165" s="141">
        <f t="shared" si="2166"/>
        <v>45845</v>
      </c>
      <c r="E14165" s="275">
        <f t="shared" si="2167"/>
        <v>45845</v>
      </c>
      <c r="F14165" s="481"/>
      <c r="G14165" s="174" t="s">
        <v>74</v>
      </c>
      <c r="I14165" s="148" t="s">
        <v>764</v>
      </c>
      <c r="J14165" s="133" t="s">
        <v>53</v>
      </c>
      <c r="K14165" s="218">
        <v>47370</v>
      </c>
      <c r="L14165" s="218"/>
    </row>
    <row r="14166" spans="1:14" ht="11.25" customHeight="1" x14ac:dyDescent="0.2">
      <c r="A14166" s="163">
        <v>2025</v>
      </c>
      <c r="B14166" s="163">
        <v>7</v>
      </c>
      <c r="C14166" s="163">
        <v>7</v>
      </c>
      <c r="D14166" s="280">
        <f t="shared" si="2166"/>
        <v>45845</v>
      </c>
      <c r="E14166" s="281">
        <f t="shared" si="2167"/>
        <v>45845</v>
      </c>
      <c r="F14166" s="480"/>
      <c r="G14166" s="221" t="s">
        <v>74</v>
      </c>
      <c r="H14166" s="145"/>
      <c r="I14166" s="145" t="s">
        <v>764</v>
      </c>
      <c r="J14166" s="163" t="s">
        <v>52</v>
      </c>
      <c r="K14166" s="219"/>
      <c r="L14166" s="219">
        <v>197370</v>
      </c>
    </row>
    <row r="14167" spans="1:14" ht="11.25" customHeight="1" x14ac:dyDescent="0.2">
      <c r="A14167" s="168">
        <v>2025</v>
      </c>
      <c r="B14167" s="133">
        <v>7</v>
      </c>
      <c r="C14167" s="168">
        <v>7</v>
      </c>
      <c r="D14167" s="141">
        <f t="shared" si="2166"/>
        <v>45845</v>
      </c>
      <c r="E14167" s="275">
        <f t="shared" si="2167"/>
        <v>45845</v>
      </c>
      <c r="F14167" s="479" t="s">
        <v>2064</v>
      </c>
      <c r="G14167" s="220" t="s">
        <v>74</v>
      </c>
      <c r="H14167" s="220"/>
      <c r="I14167" s="142"/>
      <c r="J14167" s="143" t="s">
        <v>147</v>
      </c>
      <c r="K14167" s="226">
        <v>3054389.62</v>
      </c>
      <c r="L14167" s="226"/>
    </row>
    <row r="14168" spans="1:14" x14ac:dyDescent="0.2">
      <c r="A14168" s="163">
        <v>2025</v>
      </c>
      <c r="B14168" s="163">
        <v>7</v>
      </c>
      <c r="C14168" s="163">
        <v>7</v>
      </c>
      <c r="D14168" s="280">
        <f t="shared" si="2166"/>
        <v>45845</v>
      </c>
      <c r="E14168" s="281">
        <f t="shared" si="2167"/>
        <v>45845</v>
      </c>
      <c r="F14168" s="480"/>
      <c r="G14168" s="221" t="s">
        <v>74</v>
      </c>
      <c r="H14168" s="221"/>
      <c r="I14168" s="145"/>
      <c r="J14168" s="146" t="s">
        <v>52</v>
      </c>
      <c r="K14168" s="219"/>
      <c r="L14168" s="219">
        <v>3054389.62</v>
      </c>
      <c r="N14168" s="264"/>
    </row>
    <row r="14169" spans="1:14" ht="11.25" customHeight="1" x14ac:dyDescent="0.2">
      <c r="A14169" s="168">
        <v>2025</v>
      </c>
      <c r="B14169" s="133">
        <v>7</v>
      </c>
      <c r="C14169" s="168">
        <v>7</v>
      </c>
      <c r="D14169" s="141">
        <f t="shared" ref="D14169:D14170" si="2168">DATE(A14169,B14169,C14169)</f>
        <v>45845</v>
      </c>
      <c r="E14169" s="275">
        <f t="shared" ref="E14169:E14170" si="2169">DATE(A14169,B14169,C14169)</f>
        <v>45845</v>
      </c>
      <c r="F14169" s="479" t="s">
        <v>2064</v>
      </c>
      <c r="G14169" s="220" t="s">
        <v>74</v>
      </c>
      <c r="H14169" s="220"/>
      <c r="I14169" s="142"/>
      <c r="J14169" s="143" t="s">
        <v>147</v>
      </c>
      <c r="K14169" s="226">
        <v>132599.60999999999</v>
      </c>
      <c r="L14169" s="226"/>
    </row>
    <row r="14170" spans="1:14" x14ac:dyDescent="0.2">
      <c r="A14170" s="163">
        <v>2025</v>
      </c>
      <c r="B14170" s="163">
        <v>7</v>
      </c>
      <c r="C14170" s="163">
        <v>7</v>
      </c>
      <c r="D14170" s="280">
        <f t="shared" si="2168"/>
        <v>45845</v>
      </c>
      <c r="E14170" s="281">
        <f t="shared" si="2169"/>
        <v>45845</v>
      </c>
      <c r="F14170" s="480"/>
      <c r="G14170" s="221" t="s">
        <v>74</v>
      </c>
      <c r="H14170" s="221"/>
      <c r="I14170" s="145"/>
      <c r="J14170" s="146" t="s">
        <v>52</v>
      </c>
      <c r="K14170" s="219"/>
      <c r="L14170" s="219">
        <v>132599.60999999999</v>
      </c>
      <c r="N14170" s="264"/>
    </row>
    <row r="14171" spans="1:14" ht="11.25" customHeight="1" x14ac:dyDescent="0.2">
      <c r="A14171" s="168">
        <v>2025</v>
      </c>
      <c r="B14171" s="133">
        <v>7</v>
      </c>
      <c r="C14171" s="168">
        <v>7</v>
      </c>
      <c r="D14171" s="141">
        <f t="shared" ref="D14171:D14172" si="2170">DATE(A14171,B14171,C14171)</f>
        <v>45845</v>
      </c>
      <c r="E14171" s="275">
        <f t="shared" ref="E14171:E14172" si="2171">DATE(A14171,B14171,C14171)</f>
        <v>45845</v>
      </c>
      <c r="F14171" s="479" t="s">
        <v>2002</v>
      </c>
      <c r="G14171" s="220" t="s">
        <v>74</v>
      </c>
      <c r="H14171" s="220"/>
      <c r="I14171" s="142"/>
      <c r="J14171" s="143" t="s">
        <v>147</v>
      </c>
      <c r="K14171" s="226">
        <v>622819.06000000006</v>
      </c>
      <c r="L14171" s="226"/>
    </row>
    <row r="14172" spans="1:14" x14ac:dyDescent="0.2">
      <c r="A14172" s="163">
        <v>2025</v>
      </c>
      <c r="B14172" s="163">
        <v>7</v>
      </c>
      <c r="C14172" s="163">
        <v>7</v>
      </c>
      <c r="D14172" s="280">
        <f t="shared" si="2170"/>
        <v>45845</v>
      </c>
      <c r="E14172" s="281">
        <f t="shared" si="2171"/>
        <v>45845</v>
      </c>
      <c r="F14172" s="480"/>
      <c r="G14172" s="221" t="s">
        <v>74</v>
      </c>
      <c r="H14172" s="221"/>
      <c r="I14172" s="145"/>
      <c r="J14172" s="146" t="s">
        <v>52</v>
      </c>
      <c r="K14172" s="219"/>
      <c r="L14172" s="219">
        <v>622819.06000000006</v>
      </c>
      <c r="N14172" s="264"/>
    </row>
    <row r="14173" spans="1:14" x14ac:dyDescent="0.2">
      <c r="A14173" s="168">
        <v>2025</v>
      </c>
      <c r="B14173" s="133">
        <v>7</v>
      </c>
      <c r="C14173" s="168">
        <v>7</v>
      </c>
      <c r="D14173" s="147">
        <f>DATE(A14173,B14173,C14173)</f>
        <v>45845</v>
      </c>
      <c r="E14173" s="311">
        <f>DATE(A14173,B14173,C14173)</f>
        <v>45845</v>
      </c>
      <c r="F14173" s="481" t="s">
        <v>1950</v>
      </c>
      <c r="G14173" s="174" t="s">
        <v>74</v>
      </c>
      <c r="I14173" s="148" t="s">
        <v>348</v>
      </c>
      <c r="J14173" s="133" t="s">
        <v>61</v>
      </c>
      <c r="K14173" s="172">
        <v>100</v>
      </c>
    </row>
    <row r="14174" spans="1:14" x14ac:dyDescent="0.2">
      <c r="A14174" s="163">
        <v>2025</v>
      </c>
      <c r="B14174" s="163">
        <v>7</v>
      </c>
      <c r="C14174" s="163">
        <v>7</v>
      </c>
      <c r="D14174" s="280">
        <f>DATE(A14174,B14174,C14174)</f>
        <v>45845</v>
      </c>
      <c r="E14174" s="281">
        <f>DATE(A14174,B14174,C14174)</f>
        <v>45845</v>
      </c>
      <c r="F14174" s="480"/>
      <c r="G14174" s="221" t="s">
        <v>74</v>
      </c>
      <c r="H14174" s="145"/>
      <c r="I14174" s="145" t="s">
        <v>348</v>
      </c>
      <c r="J14174" s="163" t="s">
        <v>52</v>
      </c>
      <c r="K14174" s="219"/>
      <c r="L14174" s="219">
        <v>100</v>
      </c>
    </row>
    <row r="14175" spans="1:14" x14ac:dyDescent="0.2">
      <c r="A14175" s="133">
        <v>2025</v>
      </c>
      <c r="B14175" s="133">
        <v>7</v>
      </c>
      <c r="C14175" s="133">
        <v>8</v>
      </c>
      <c r="D14175" s="141">
        <f t="shared" ref="D14175:D14182" si="2172">DATE(A14175,B14175,C14175)</f>
        <v>45846</v>
      </c>
      <c r="E14175" s="275">
        <f t="shared" ref="E14175:E14182" si="2173">DATE(A14175,B14175,C14175)</f>
        <v>45846</v>
      </c>
      <c r="F14175" s="481" t="s">
        <v>1767</v>
      </c>
      <c r="G14175" s="174" t="s">
        <v>94</v>
      </c>
      <c r="H14175" s="174"/>
      <c r="J14175" s="149" t="s">
        <v>79</v>
      </c>
      <c r="K14175" s="218">
        <v>2633541</v>
      </c>
      <c r="L14175" s="218"/>
      <c r="M14175" s="160"/>
    </row>
    <row r="14176" spans="1:14" x14ac:dyDescent="0.2">
      <c r="A14176" s="133">
        <v>2025</v>
      </c>
      <c r="B14176" s="133">
        <v>7</v>
      </c>
      <c r="C14176" s="133">
        <v>8</v>
      </c>
      <c r="D14176" s="141">
        <f t="shared" si="2172"/>
        <v>45846</v>
      </c>
      <c r="E14176" s="275">
        <f t="shared" si="2173"/>
        <v>45846</v>
      </c>
      <c r="F14176" s="481"/>
      <c r="G14176" s="174" t="s">
        <v>94</v>
      </c>
      <c r="H14176" s="174"/>
      <c r="J14176" s="149" t="s">
        <v>80</v>
      </c>
      <c r="K14176" s="218">
        <v>6086.23</v>
      </c>
      <c r="L14176" s="133"/>
      <c r="M14176" s="264"/>
      <c r="N14176" s="264"/>
    </row>
    <row r="14177" spans="1:14" x14ac:dyDescent="0.2">
      <c r="A14177" s="133">
        <v>2025</v>
      </c>
      <c r="B14177" s="133">
        <v>7</v>
      </c>
      <c r="C14177" s="133">
        <v>8</v>
      </c>
      <c r="D14177" s="141">
        <f t="shared" si="2172"/>
        <v>45846</v>
      </c>
      <c r="E14177" s="275">
        <f t="shared" si="2173"/>
        <v>45846</v>
      </c>
      <c r="F14177" s="481"/>
      <c r="G14177" s="174" t="s">
        <v>94</v>
      </c>
      <c r="H14177" s="174"/>
      <c r="J14177" s="149" t="s">
        <v>147</v>
      </c>
      <c r="K14177" s="218"/>
      <c r="L14177" s="218">
        <v>1891927.23</v>
      </c>
      <c r="M14177" s="264"/>
    </row>
    <row r="14178" spans="1:14" x14ac:dyDescent="0.2">
      <c r="A14178" s="133">
        <v>2025</v>
      </c>
      <c r="B14178" s="133">
        <v>7</v>
      </c>
      <c r="C14178" s="133">
        <v>8</v>
      </c>
      <c r="D14178" s="141">
        <f t="shared" si="2172"/>
        <v>45846</v>
      </c>
      <c r="E14178" s="275">
        <f t="shared" si="2173"/>
        <v>45846</v>
      </c>
      <c r="F14178" s="481"/>
      <c r="G14178" s="174" t="s">
        <v>94</v>
      </c>
      <c r="H14178" s="174"/>
      <c r="J14178" s="149" t="s">
        <v>191</v>
      </c>
      <c r="L14178" s="218">
        <v>68286.95</v>
      </c>
    </row>
    <row r="14179" spans="1:14" x14ac:dyDescent="0.2">
      <c r="A14179" s="163">
        <v>2025</v>
      </c>
      <c r="B14179" s="163">
        <v>7</v>
      </c>
      <c r="C14179" s="163">
        <v>8</v>
      </c>
      <c r="D14179" s="280">
        <f t="shared" si="2172"/>
        <v>45846</v>
      </c>
      <c r="E14179" s="281">
        <f t="shared" si="2173"/>
        <v>45846</v>
      </c>
      <c r="F14179" s="480"/>
      <c r="G14179" s="221" t="s">
        <v>94</v>
      </c>
      <c r="H14179" s="145"/>
      <c r="I14179" s="145"/>
      <c r="J14179" s="163" t="s">
        <v>79</v>
      </c>
      <c r="K14179" s="219"/>
      <c r="L14179" s="219">
        <v>679413.05</v>
      </c>
      <c r="M14179" s="264"/>
    </row>
    <row r="14180" spans="1:14" ht="11.25" customHeight="1" x14ac:dyDescent="0.2">
      <c r="A14180" s="168">
        <v>2025</v>
      </c>
      <c r="B14180" s="168">
        <v>7</v>
      </c>
      <c r="C14180" s="133">
        <v>8</v>
      </c>
      <c r="D14180" s="141">
        <f t="shared" si="2172"/>
        <v>45846</v>
      </c>
      <c r="E14180" s="275">
        <f t="shared" si="2173"/>
        <v>45846</v>
      </c>
      <c r="F14180" s="479" t="s">
        <v>964</v>
      </c>
      <c r="G14180" s="220" t="s">
        <v>74</v>
      </c>
      <c r="H14180" s="142"/>
      <c r="I14180" s="142"/>
      <c r="J14180" s="168" t="s">
        <v>52</v>
      </c>
      <c r="K14180" s="226">
        <v>150000</v>
      </c>
      <c r="L14180" s="226"/>
    </row>
    <row r="14181" spans="1:14" ht="11.25" customHeight="1" x14ac:dyDescent="0.2">
      <c r="A14181" s="133">
        <v>2025</v>
      </c>
      <c r="B14181" s="133">
        <v>7</v>
      </c>
      <c r="C14181" s="133">
        <v>8</v>
      </c>
      <c r="D14181" s="141">
        <f t="shared" si="2172"/>
        <v>45846</v>
      </c>
      <c r="E14181" s="275">
        <f t="shared" si="2173"/>
        <v>45846</v>
      </c>
      <c r="F14181" s="481"/>
      <c r="G14181" s="174" t="s">
        <v>74</v>
      </c>
      <c r="J14181" s="133" t="s">
        <v>13</v>
      </c>
      <c r="K14181" s="218"/>
      <c r="L14181" s="218">
        <v>114000</v>
      </c>
    </row>
    <row r="14182" spans="1:14" ht="11.25" customHeight="1" x14ac:dyDescent="0.2">
      <c r="A14182" s="163">
        <v>2025</v>
      </c>
      <c r="B14182" s="163">
        <v>7</v>
      </c>
      <c r="C14182" s="163">
        <v>8</v>
      </c>
      <c r="D14182" s="280">
        <f t="shared" si="2172"/>
        <v>45846</v>
      </c>
      <c r="E14182" s="281">
        <f t="shared" si="2173"/>
        <v>45846</v>
      </c>
      <c r="F14182" s="480"/>
      <c r="G14182" s="221" t="s">
        <v>74</v>
      </c>
      <c r="H14182" s="145"/>
      <c r="I14182" s="145"/>
      <c r="J14182" s="163" t="s">
        <v>53</v>
      </c>
      <c r="K14182" s="219"/>
      <c r="L14182" s="219">
        <v>36000</v>
      </c>
    </row>
    <row r="14183" spans="1:14" ht="11.25" customHeight="1" x14ac:dyDescent="0.2">
      <c r="A14183" s="168">
        <v>2025</v>
      </c>
      <c r="B14183" s="168">
        <v>7</v>
      </c>
      <c r="C14183" s="133">
        <v>8</v>
      </c>
      <c r="D14183" s="141">
        <f t="shared" ref="D14183:D14198" si="2174">DATE(A14183,B14183,C14183)</f>
        <v>45846</v>
      </c>
      <c r="E14183" s="275">
        <f t="shared" ref="E14183:E14198" si="2175">DATE(A14183,B14183,C14183)</f>
        <v>45846</v>
      </c>
      <c r="F14183" s="479" t="s">
        <v>964</v>
      </c>
      <c r="G14183" s="220" t="s">
        <v>74</v>
      </c>
      <c r="H14183" s="142"/>
      <c r="I14183" s="142"/>
      <c r="J14183" s="168" t="s">
        <v>52</v>
      </c>
      <c r="K14183" s="226">
        <v>150000</v>
      </c>
      <c r="L14183" s="226"/>
    </row>
    <row r="14184" spans="1:14" ht="11.25" customHeight="1" x14ac:dyDescent="0.2">
      <c r="A14184" s="133">
        <v>2025</v>
      </c>
      <c r="B14184" s="133">
        <v>7</v>
      </c>
      <c r="C14184" s="133">
        <v>8</v>
      </c>
      <c r="D14184" s="141">
        <f t="shared" si="2174"/>
        <v>45846</v>
      </c>
      <c r="E14184" s="275">
        <f t="shared" si="2175"/>
        <v>45846</v>
      </c>
      <c r="F14184" s="481"/>
      <c r="G14184" s="174" t="s">
        <v>74</v>
      </c>
      <c r="J14184" s="133" t="s">
        <v>13</v>
      </c>
      <c r="K14184" s="218"/>
      <c r="L14184" s="218">
        <v>114000</v>
      </c>
    </row>
    <row r="14185" spans="1:14" ht="11.25" customHeight="1" x14ac:dyDescent="0.2">
      <c r="A14185" s="163">
        <v>2025</v>
      </c>
      <c r="B14185" s="163">
        <v>7</v>
      </c>
      <c r="C14185" s="163">
        <v>8</v>
      </c>
      <c r="D14185" s="280">
        <f t="shared" si="2174"/>
        <v>45846</v>
      </c>
      <c r="E14185" s="281">
        <f t="shared" si="2175"/>
        <v>45846</v>
      </c>
      <c r="F14185" s="480"/>
      <c r="G14185" s="221" t="s">
        <v>74</v>
      </c>
      <c r="H14185" s="145"/>
      <c r="I14185" s="145"/>
      <c r="J14185" s="163" t="s">
        <v>53</v>
      </c>
      <c r="K14185" s="219"/>
      <c r="L14185" s="219">
        <v>36000</v>
      </c>
    </row>
    <row r="14186" spans="1:14" ht="11.25" customHeight="1" x14ac:dyDescent="0.2">
      <c r="A14186" s="168">
        <v>2025</v>
      </c>
      <c r="B14186" s="133">
        <v>7</v>
      </c>
      <c r="C14186" s="168">
        <v>8</v>
      </c>
      <c r="D14186" s="141">
        <f t="shared" si="2174"/>
        <v>45846</v>
      </c>
      <c r="E14186" s="275">
        <f t="shared" si="2175"/>
        <v>45846</v>
      </c>
      <c r="F14186" s="479" t="s">
        <v>2031</v>
      </c>
      <c r="G14186" s="220" t="s">
        <v>74</v>
      </c>
      <c r="H14186" s="220"/>
      <c r="I14186" s="142"/>
      <c r="J14186" s="143" t="s">
        <v>52</v>
      </c>
      <c r="K14186" s="226">
        <v>362350</v>
      </c>
      <c r="L14186" s="226"/>
    </row>
    <row r="14187" spans="1:14" x14ac:dyDescent="0.2">
      <c r="A14187" s="163">
        <v>2025</v>
      </c>
      <c r="B14187" s="163">
        <v>7</v>
      </c>
      <c r="C14187" s="163">
        <v>8</v>
      </c>
      <c r="D14187" s="280">
        <f t="shared" si="2174"/>
        <v>45846</v>
      </c>
      <c r="E14187" s="281">
        <f t="shared" si="2175"/>
        <v>45846</v>
      </c>
      <c r="F14187" s="480"/>
      <c r="G14187" s="221" t="s">
        <v>74</v>
      </c>
      <c r="H14187" s="221"/>
      <c r="I14187" s="145"/>
      <c r="J14187" s="146" t="s">
        <v>190</v>
      </c>
      <c r="K14187" s="219"/>
      <c r="L14187" s="219">
        <v>362350</v>
      </c>
      <c r="N14187" s="264"/>
    </row>
    <row r="14188" spans="1:14" ht="11.25" customHeight="1" x14ac:dyDescent="0.2">
      <c r="A14188" s="168">
        <v>2025</v>
      </c>
      <c r="B14188" s="133">
        <v>7</v>
      </c>
      <c r="C14188" s="168">
        <v>8</v>
      </c>
      <c r="D14188" s="141">
        <f t="shared" ref="D14188:D14189" si="2176">DATE(A14188,B14188,C14188)</f>
        <v>45846</v>
      </c>
      <c r="E14188" s="275">
        <f t="shared" ref="E14188:E14189" si="2177">DATE(A14188,B14188,C14188)</f>
        <v>45846</v>
      </c>
      <c r="F14188" s="479" t="s">
        <v>2031</v>
      </c>
      <c r="G14188" s="220" t="s">
        <v>74</v>
      </c>
      <c r="H14188" s="220"/>
      <c r="I14188" s="142"/>
      <c r="J14188" s="143" t="s">
        <v>52</v>
      </c>
      <c r="K14188" s="226">
        <v>9845608</v>
      </c>
      <c r="L14188" s="226"/>
    </row>
    <row r="14189" spans="1:14" x14ac:dyDescent="0.2">
      <c r="A14189" s="163">
        <v>2025</v>
      </c>
      <c r="B14189" s="163">
        <v>7</v>
      </c>
      <c r="C14189" s="163">
        <v>8</v>
      </c>
      <c r="D14189" s="280">
        <f t="shared" si="2176"/>
        <v>45846</v>
      </c>
      <c r="E14189" s="281">
        <f t="shared" si="2177"/>
        <v>45846</v>
      </c>
      <c r="F14189" s="480"/>
      <c r="G14189" s="221" t="s">
        <v>74</v>
      </c>
      <c r="H14189" s="221"/>
      <c r="I14189" s="145"/>
      <c r="J14189" s="146" t="s">
        <v>190</v>
      </c>
      <c r="K14189" s="219"/>
      <c r="L14189" s="219">
        <v>9845608</v>
      </c>
      <c r="N14189" s="264"/>
    </row>
    <row r="14190" spans="1:14" ht="11.25" customHeight="1" x14ac:dyDescent="0.2">
      <c r="A14190" s="168">
        <v>2025</v>
      </c>
      <c r="B14190" s="133">
        <v>7</v>
      </c>
      <c r="C14190" s="168">
        <v>8</v>
      </c>
      <c r="D14190" s="141">
        <f>DATE(A14190,B14190,C14190)</f>
        <v>45846</v>
      </c>
      <c r="E14190" s="275">
        <f>DATE(A14190,B14190,C14190)</f>
        <v>45846</v>
      </c>
      <c r="F14190" s="479" t="s">
        <v>2002</v>
      </c>
      <c r="G14190" s="220" t="s">
        <v>74</v>
      </c>
      <c r="H14190" s="220"/>
      <c r="I14190" s="142"/>
      <c r="J14190" s="143" t="s">
        <v>147</v>
      </c>
      <c r="K14190" s="226">
        <v>1376636.02</v>
      </c>
      <c r="L14190" s="226"/>
    </row>
    <row r="14191" spans="1:14" x14ac:dyDescent="0.2">
      <c r="A14191" s="163">
        <v>2025</v>
      </c>
      <c r="B14191" s="163">
        <v>7</v>
      </c>
      <c r="C14191" s="163">
        <v>8</v>
      </c>
      <c r="D14191" s="280">
        <f>DATE(A14191,B14191,C14191)</f>
        <v>45846</v>
      </c>
      <c r="E14191" s="281">
        <f>DATE(A14191,B14191,C14191)</f>
        <v>45846</v>
      </c>
      <c r="F14191" s="480"/>
      <c r="G14191" s="221" t="s">
        <v>74</v>
      </c>
      <c r="H14191" s="221"/>
      <c r="I14191" s="145"/>
      <c r="J14191" s="146" t="s">
        <v>52</v>
      </c>
      <c r="K14191" s="219"/>
      <c r="L14191" s="219">
        <v>1376636.02</v>
      </c>
      <c r="N14191" s="264"/>
    </row>
    <row r="14192" spans="1:14" ht="11.25" customHeight="1" x14ac:dyDescent="0.2">
      <c r="A14192" s="168">
        <v>2025</v>
      </c>
      <c r="B14192" s="133">
        <v>7</v>
      </c>
      <c r="C14192" s="168">
        <v>8</v>
      </c>
      <c r="D14192" s="141">
        <f t="shared" ref="D14192:D14193" si="2178">DATE(A14192,B14192,C14192)</f>
        <v>45846</v>
      </c>
      <c r="E14192" s="275">
        <f t="shared" ref="E14192:E14193" si="2179">DATE(A14192,B14192,C14192)</f>
        <v>45846</v>
      </c>
      <c r="F14192" s="479" t="s">
        <v>2037</v>
      </c>
      <c r="G14192" s="220" t="s">
        <v>74</v>
      </c>
      <c r="H14192" s="220"/>
      <c r="I14192" s="142"/>
      <c r="J14192" s="143" t="s">
        <v>52</v>
      </c>
      <c r="K14192" s="226">
        <v>528047.80000000005</v>
      </c>
      <c r="L14192" s="226"/>
    </row>
    <row r="14193" spans="1:14" x14ac:dyDescent="0.2">
      <c r="A14193" s="163">
        <v>2025</v>
      </c>
      <c r="B14193" s="163">
        <v>7</v>
      </c>
      <c r="C14193" s="163">
        <v>8</v>
      </c>
      <c r="D14193" s="280">
        <f t="shared" si="2178"/>
        <v>45846</v>
      </c>
      <c r="E14193" s="281">
        <f t="shared" si="2179"/>
        <v>45846</v>
      </c>
      <c r="F14193" s="480"/>
      <c r="G14193" s="221" t="s">
        <v>74</v>
      </c>
      <c r="H14193" s="221"/>
      <c r="I14193" s="145"/>
      <c r="J14193" s="146" t="s">
        <v>190</v>
      </c>
      <c r="K14193" s="219"/>
      <c r="L14193" s="219">
        <v>528047.80000000005</v>
      </c>
      <c r="N14193" s="264"/>
    </row>
    <row r="14194" spans="1:14" x14ac:dyDescent="0.2">
      <c r="A14194" s="168">
        <v>2025</v>
      </c>
      <c r="B14194" s="133">
        <v>7</v>
      </c>
      <c r="C14194" s="168">
        <v>8</v>
      </c>
      <c r="D14194" s="147">
        <f>DATE(A14194,B14194,C14194)</f>
        <v>45846</v>
      </c>
      <c r="E14194" s="311">
        <f>DATE(A14194,B14194,C14194)</f>
        <v>45846</v>
      </c>
      <c r="F14194" s="481" t="s">
        <v>1943</v>
      </c>
      <c r="G14194" s="174" t="s">
        <v>74</v>
      </c>
      <c r="I14194" s="148" t="s">
        <v>348</v>
      </c>
      <c r="J14194" s="133" t="s">
        <v>61</v>
      </c>
      <c r="K14194" s="172">
        <v>20</v>
      </c>
    </row>
    <row r="14195" spans="1:14" x14ac:dyDescent="0.2">
      <c r="A14195" s="163">
        <v>2025</v>
      </c>
      <c r="B14195" s="163">
        <v>7</v>
      </c>
      <c r="C14195" s="163">
        <v>8</v>
      </c>
      <c r="D14195" s="280">
        <f>DATE(A14195,B14195,C14195)</f>
        <v>45846</v>
      </c>
      <c r="E14195" s="281">
        <f>DATE(A14195,B14195,C14195)</f>
        <v>45846</v>
      </c>
      <c r="F14195" s="480"/>
      <c r="G14195" s="221" t="s">
        <v>74</v>
      </c>
      <c r="H14195" s="145"/>
      <c r="I14195" s="145" t="s">
        <v>348</v>
      </c>
      <c r="J14195" s="163" t="s">
        <v>52</v>
      </c>
      <c r="K14195" s="219"/>
      <c r="L14195" s="219">
        <v>20</v>
      </c>
    </row>
    <row r="14196" spans="1:14" ht="11.25" customHeight="1" x14ac:dyDescent="0.2">
      <c r="A14196" s="168">
        <v>2025</v>
      </c>
      <c r="B14196" s="168">
        <v>7</v>
      </c>
      <c r="C14196" s="133">
        <v>9</v>
      </c>
      <c r="D14196" s="141">
        <f t="shared" si="2174"/>
        <v>45847</v>
      </c>
      <c r="E14196" s="275">
        <f t="shared" si="2175"/>
        <v>45847</v>
      </c>
      <c r="F14196" s="479" t="s">
        <v>964</v>
      </c>
      <c r="G14196" s="220" t="s">
        <v>74</v>
      </c>
      <c r="H14196" s="142"/>
      <c r="I14196" s="142"/>
      <c r="J14196" s="168" t="s">
        <v>52</v>
      </c>
      <c r="K14196" s="226">
        <v>789480</v>
      </c>
      <c r="L14196" s="226"/>
    </row>
    <row r="14197" spans="1:14" ht="11.25" customHeight="1" x14ac:dyDescent="0.2">
      <c r="A14197" s="133">
        <v>2025</v>
      </c>
      <c r="B14197" s="133">
        <v>7</v>
      </c>
      <c r="C14197" s="133">
        <v>9</v>
      </c>
      <c r="D14197" s="141">
        <f t="shared" si="2174"/>
        <v>45847</v>
      </c>
      <c r="E14197" s="275">
        <f t="shared" si="2175"/>
        <v>45847</v>
      </c>
      <c r="F14197" s="481"/>
      <c r="G14197" s="174" t="s">
        <v>74</v>
      </c>
      <c r="J14197" s="133" t="s">
        <v>13</v>
      </c>
      <c r="K14197" s="218"/>
      <c r="L14197" s="218">
        <v>600000</v>
      </c>
    </row>
    <row r="14198" spans="1:14" ht="11.25" customHeight="1" x14ac:dyDescent="0.2">
      <c r="A14198" s="163">
        <v>2025</v>
      </c>
      <c r="B14198" s="163">
        <v>7</v>
      </c>
      <c r="C14198" s="163">
        <v>9</v>
      </c>
      <c r="D14198" s="280">
        <f t="shared" si="2174"/>
        <v>45847</v>
      </c>
      <c r="E14198" s="281">
        <f t="shared" si="2175"/>
        <v>45847</v>
      </c>
      <c r="F14198" s="480"/>
      <c r="G14198" s="221" t="s">
        <v>74</v>
      </c>
      <c r="H14198" s="145"/>
      <c r="I14198" s="145"/>
      <c r="J14198" s="163" t="s">
        <v>53</v>
      </c>
      <c r="K14198" s="219"/>
      <c r="L14198" s="219">
        <v>189480</v>
      </c>
    </row>
    <row r="14199" spans="1:14" x14ac:dyDescent="0.2">
      <c r="A14199" s="133">
        <v>2025</v>
      </c>
      <c r="B14199" s="133">
        <v>7</v>
      </c>
      <c r="C14199" s="133">
        <v>9</v>
      </c>
      <c r="D14199" s="141">
        <f t="shared" ref="D14199:D14203" si="2180">DATE(A14199,B14199,C14199)</f>
        <v>45847</v>
      </c>
      <c r="E14199" s="275">
        <f t="shared" ref="E14199:E14203" si="2181">DATE(A14199,B14199,C14199)</f>
        <v>45847</v>
      </c>
      <c r="F14199" s="481" t="s">
        <v>1767</v>
      </c>
      <c r="G14199" s="174" t="s">
        <v>94</v>
      </c>
      <c r="H14199" s="174"/>
      <c r="J14199" s="149" t="s">
        <v>79</v>
      </c>
      <c r="K14199" s="218">
        <v>2078181.3</v>
      </c>
      <c r="L14199" s="218"/>
      <c r="M14199" s="160"/>
    </row>
    <row r="14200" spans="1:14" x14ac:dyDescent="0.2">
      <c r="A14200" s="133">
        <v>2025</v>
      </c>
      <c r="B14200" s="133">
        <v>7</v>
      </c>
      <c r="C14200" s="133">
        <v>9</v>
      </c>
      <c r="D14200" s="141">
        <f t="shared" si="2180"/>
        <v>45847</v>
      </c>
      <c r="E14200" s="275">
        <f t="shared" si="2181"/>
        <v>45847</v>
      </c>
      <c r="F14200" s="481"/>
      <c r="G14200" s="174" t="s">
        <v>94</v>
      </c>
      <c r="H14200" s="174"/>
      <c r="J14200" s="149" t="s">
        <v>80</v>
      </c>
      <c r="K14200" s="218">
        <v>6870.01</v>
      </c>
      <c r="L14200" s="133"/>
      <c r="M14200" s="264"/>
      <c r="N14200" s="264"/>
    </row>
    <row r="14201" spans="1:14" x14ac:dyDescent="0.2">
      <c r="A14201" s="133">
        <v>2025</v>
      </c>
      <c r="B14201" s="133">
        <v>7</v>
      </c>
      <c r="C14201" s="133">
        <v>9</v>
      </c>
      <c r="D14201" s="141">
        <f t="shared" si="2180"/>
        <v>45847</v>
      </c>
      <c r="E14201" s="275">
        <f t="shared" si="2181"/>
        <v>45847</v>
      </c>
      <c r="F14201" s="481"/>
      <c r="G14201" s="174" t="s">
        <v>94</v>
      </c>
      <c r="H14201" s="174"/>
      <c r="J14201" s="149" t="s">
        <v>147</v>
      </c>
      <c r="K14201" s="218"/>
      <c r="L14201" s="218">
        <v>346560.61</v>
      </c>
      <c r="M14201" s="264"/>
    </row>
    <row r="14202" spans="1:14" x14ac:dyDescent="0.2">
      <c r="A14202" s="133">
        <v>2025</v>
      </c>
      <c r="B14202" s="133">
        <v>7</v>
      </c>
      <c r="C14202" s="133">
        <v>9</v>
      </c>
      <c r="D14202" s="141">
        <f t="shared" si="2180"/>
        <v>45847</v>
      </c>
      <c r="E14202" s="275">
        <f t="shared" si="2181"/>
        <v>45847</v>
      </c>
      <c r="F14202" s="481"/>
      <c r="G14202" s="174" t="s">
        <v>94</v>
      </c>
      <c r="H14202" s="174"/>
      <c r="J14202" s="149" t="s">
        <v>191</v>
      </c>
      <c r="K14202" s="172">
        <v>4225.72</v>
      </c>
      <c r="L14202" s="218"/>
    </row>
    <row r="14203" spans="1:14" x14ac:dyDescent="0.2">
      <c r="A14203" s="163">
        <v>2025</v>
      </c>
      <c r="B14203" s="163">
        <v>7</v>
      </c>
      <c r="C14203" s="163">
        <v>9</v>
      </c>
      <c r="D14203" s="280">
        <f t="shared" si="2180"/>
        <v>45847</v>
      </c>
      <c r="E14203" s="281">
        <f t="shared" si="2181"/>
        <v>45847</v>
      </c>
      <c r="F14203" s="480"/>
      <c r="G14203" s="221" t="s">
        <v>94</v>
      </c>
      <c r="H14203" s="145"/>
      <c r="I14203" s="145"/>
      <c r="J14203" s="163" t="s">
        <v>79</v>
      </c>
      <c r="K14203" s="219"/>
      <c r="L14203" s="219">
        <v>1742716.42</v>
      </c>
      <c r="M14203" s="264"/>
    </row>
    <row r="14204" spans="1:14" x14ac:dyDescent="0.2">
      <c r="A14204" s="168">
        <v>2025</v>
      </c>
      <c r="B14204" s="133">
        <v>7</v>
      </c>
      <c r="C14204" s="168">
        <v>9</v>
      </c>
      <c r="D14204" s="141">
        <f>DATE(A14204,B14204,C14204)</f>
        <v>45847</v>
      </c>
      <c r="E14204" s="275">
        <f>DATE(A14204,B14204,C14204)</f>
        <v>45847</v>
      </c>
      <c r="F14204" s="481" t="s">
        <v>2098</v>
      </c>
      <c r="G14204" s="174" t="s">
        <v>94</v>
      </c>
      <c r="H14204" s="174"/>
      <c r="I14204" s="148" t="s">
        <v>348</v>
      </c>
      <c r="J14204" s="149" t="s">
        <v>52</v>
      </c>
      <c r="K14204" s="218">
        <v>262500</v>
      </c>
      <c r="L14204" s="218"/>
    </row>
    <row r="14205" spans="1:14" x14ac:dyDescent="0.2">
      <c r="A14205" s="163">
        <v>2025</v>
      </c>
      <c r="B14205" s="163">
        <v>7</v>
      </c>
      <c r="C14205" s="163">
        <v>9</v>
      </c>
      <c r="D14205" s="141">
        <f>DATE(A14205,B14205,C14205)</f>
        <v>45847</v>
      </c>
      <c r="E14205" s="275">
        <f>DATE(A14205,B14205,C14205)</f>
        <v>45847</v>
      </c>
      <c r="F14205" s="480"/>
      <c r="G14205" s="221" t="s">
        <v>94</v>
      </c>
      <c r="H14205" s="221"/>
      <c r="I14205" s="145" t="s">
        <v>348</v>
      </c>
      <c r="J14205" s="146" t="s">
        <v>168</v>
      </c>
      <c r="K14205" s="219"/>
      <c r="L14205" s="219">
        <v>262500</v>
      </c>
    </row>
    <row r="14206" spans="1:14" ht="11.25" customHeight="1" x14ac:dyDescent="0.2">
      <c r="A14206" s="168">
        <v>2025</v>
      </c>
      <c r="B14206" s="133">
        <v>7</v>
      </c>
      <c r="C14206" s="168">
        <v>9</v>
      </c>
      <c r="D14206" s="141">
        <f>DATE(A14206,B14206,C14206)</f>
        <v>45847</v>
      </c>
      <c r="E14206" s="275">
        <f>DATE(A14206,B14206,C14206)</f>
        <v>45847</v>
      </c>
      <c r="F14206" s="479" t="s">
        <v>2002</v>
      </c>
      <c r="G14206" s="220" t="s">
        <v>74</v>
      </c>
      <c r="H14206" s="220"/>
      <c r="I14206" s="142"/>
      <c r="J14206" s="143" t="s">
        <v>147</v>
      </c>
      <c r="K14206" s="226">
        <v>1891927.23</v>
      </c>
      <c r="L14206" s="226"/>
    </row>
    <row r="14207" spans="1:14" x14ac:dyDescent="0.2">
      <c r="A14207" s="163">
        <v>2025</v>
      </c>
      <c r="B14207" s="163">
        <v>7</v>
      </c>
      <c r="C14207" s="163">
        <v>9</v>
      </c>
      <c r="D14207" s="280">
        <f>DATE(A14207,B14207,C14207)</f>
        <v>45847</v>
      </c>
      <c r="E14207" s="281">
        <f>DATE(A14207,B14207,C14207)</f>
        <v>45847</v>
      </c>
      <c r="F14207" s="480"/>
      <c r="G14207" s="221" t="s">
        <v>74</v>
      </c>
      <c r="H14207" s="221"/>
      <c r="I14207" s="145"/>
      <c r="J14207" s="146" t="s">
        <v>52</v>
      </c>
      <c r="K14207" s="219"/>
      <c r="L14207" s="219">
        <v>1891927.23</v>
      </c>
      <c r="N14207" s="264"/>
    </row>
    <row r="14208" spans="1:14" x14ac:dyDescent="0.2">
      <c r="A14208" s="168">
        <v>2025</v>
      </c>
      <c r="B14208" s="168">
        <v>7</v>
      </c>
      <c r="C14208" s="168">
        <v>9</v>
      </c>
      <c r="D14208" s="141">
        <f t="shared" ref="D14208:D14246" si="2182">DATE(A14208,B14208,C14208)</f>
        <v>45847</v>
      </c>
      <c r="E14208" s="275">
        <f t="shared" ref="E14208:E14246" si="2183">DATE(A14208,B14208,C14208)</f>
        <v>45847</v>
      </c>
      <c r="F14208" s="479" t="s">
        <v>911</v>
      </c>
      <c r="G14208" s="220" t="s">
        <v>74</v>
      </c>
      <c r="H14208" s="220"/>
      <c r="I14208" s="142" t="s">
        <v>348</v>
      </c>
      <c r="J14208" s="143" t="s">
        <v>101</v>
      </c>
      <c r="K14208" s="226">
        <v>154911.16</v>
      </c>
      <c r="L14208" s="226"/>
    </row>
    <row r="14209" spans="1:17" x14ac:dyDescent="0.2">
      <c r="A14209" s="133">
        <v>2025</v>
      </c>
      <c r="B14209" s="133">
        <v>7</v>
      </c>
      <c r="C14209" s="133">
        <v>9</v>
      </c>
      <c r="D14209" s="141">
        <f t="shared" si="2182"/>
        <v>45847</v>
      </c>
      <c r="E14209" s="275">
        <f t="shared" si="2183"/>
        <v>45847</v>
      </c>
      <c r="F14209" s="481"/>
      <c r="G14209" s="174" t="s">
        <v>74</v>
      </c>
      <c r="H14209" s="174"/>
      <c r="J14209" s="149" t="s">
        <v>61</v>
      </c>
      <c r="K14209" s="218">
        <v>115</v>
      </c>
      <c r="L14209" s="218"/>
    </row>
    <row r="14210" spans="1:17" x14ac:dyDescent="0.2">
      <c r="A14210" s="163">
        <v>2025</v>
      </c>
      <c r="B14210" s="163">
        <v>7</v>
      </c>
      <c r="C14210" s="163">
        <v>9</v>
      </c>
      <c r="D14210" s="280">
        <f t="shared" si="2182"/>
        <v>45847</v>
      </c>
      <c r="E14210" s="281">
        <f t="shared" si="2183"/>
        <v>45847</v>
      </c>
      <c r="F14210" s="480"/>
      <c r="G14210" s="221" t="s">
        <v>74</v>
      </c>
      <c r="H14210" s="221"/>
      <c r="I14210" s="145" t="s">
        <v>348</v>
      </c>
      <c r="J14210" s="146" t="s">
        <v>52</v>
      </c>
      <c r="K14210" s="219"/>
      <c r="L14210" s="219">
        <v>155026.16</v>
      </c>
    </row>
    <row r="14211" spans="1:17" x14ac:dyDescent="0.2">
      <c r="A14211" s="133">
        <v>2025</v>
      </c>
      <c r="B14211" s="133">
        <v>7</v>
      </c>
      <c r="C14211" s="133">
        <v>9</v>
      </c>
      <c r="D14211" s="141">
        <f t="shared" si="2182"/>
        <v>45847</v>
      </c>
      <c r="E14211" s="275">
        <f t="shared" si="2183"/>
        <v>45847</v>
      </c>
      <c r="F14211" s="479" t="s">
        <v>2099</v>
      </c>
      <c r="G14211" s="174" t="s">
        <v>74</v>
      </c>
      <c r="H14211" s="174"/>
      <c r="I14211" s="148" t="s">
        <v>348</v>
      </c>
      <c r="J14211" s="143" t="s">
        <v>1805</v>
      </c>
      <c r="K14211" s="218">
        <v>1000522</v>
      </c>
      <c r="L14211" s="218"/>
      <c r="M14211" s="147"/>
      <c r="Q14211" s="133" t="s">
        <v>348</v>
      </c>
    </row>
    <row r="14212" spans="1:17" x14ac:dyDescent="0.2">
      <c r="A14212" s="163">
        <v>2025</v>
      </c>
      <c r="B14212" s="163">
        <v>7</v>
      </c>
      <c r="C14212" s="163">
        <v>9</v>
      </c>
      <c r="D14212" s="280">
        <f t="shared" si="2182"/>
        <v>45847</v>
      </c>
      <c r="E14212" s="281">
        <f t="shared" si="2183"/>
        <v>45847</v>
      </c>
      <c r="F14212" s="480"/>
      <c r="G14212" s="221" t="s">
        <v>74</v>
      </c>
      <c r="H14212" s="221"/>
      <c r="I14212" s="145"/>
      <c r="J14212" s="146" t="s">
        <v>52</v>
      </c>
      <c r="K14212" s="219"/>
      <c r="L14212" s="219">
        <v>1000522</v>
      </c>
      <c r="M14212" s="147"/>
      <c r="Q14212" s="133" t="s">
        <v>348</v>
      </c>
    </row>
    <row r="14213" spans="1:17" x14ac:dyDescent="0.2">
      <c r="A14213" s="133">
        <v>2025</v>
      </c>
      <c r="B14213" s="133">
        <v>7</v>
      </c>
      <c r="C14213" s="133">
        <v>10</v>
      </c>
      <c r="D14213" s="141">
        <f t="shared" si="2182"/>
        <v>45848</v>
      </c>
      <c r="E14213" s="275">
        <f t="shared" si="2183"/>
        <v>45848</v>
      </c>
      <c r="F14213" s="481" t="s">
        <v>2065</v>
      </c>
      <c r="G14213" s="174" t="s">
        <v>94</v>
      </c>
      <c r="H14213" s="174"/>
      <c r="J14213" s="149" t="s">
        <v>79</v>
      </c>
      <c r="K14213" s="218">
        <v>668850.1</v>
      </c>
      <c r="L14213" s="218"/>
      <c r="M14213" s="160"/>
    </row>
    <row r="14214" spans="1:17" x14ac:dyDescent="0.2">
      <c r="A14214" s="133">
        <v>2025</v>
      </c>
      <c r="B14214" s="133">
        <v>7</v>
      </c>
      <c r="C14214" s="133">
        <v>10</v>
      </c>
      <c r="D14214" s="141">
        <f t="shared" si="2182"/>
        <v>45848</v>
      </c>
      <c r="E14214" s="275">
        <f t="shared" si="2183"/>
        <v>45848</v>
      </c>
      <c r="F14214" s="481"/>
      <c r="G14214" s="174" t="s">
        <v>94</v>
      </c>
      <c r="H14214" s="174"/>
      <c r="J14214" s="149" t="s">
        <v>80</v>
      </c>
      <c r="K14214" s="218">
        <v>3307.8</v>
      </c>
      <c r="L14214" s="264"/>
      <c r="M14214" s="264"/>
      <c r="N14214" s="264"/>
    </row>
    <row r="14215" spans="1:17" x14ac:dyDescent="0.2">
      <c r="A14215" s="133">
        <v>2025</v>
      </c>
      <c r="B14215" s="133">
        <v>7</v>
      </c>
      <c r="C14215" s="133">
        <v>10</v>
      </c>
      <c r="D14215" s="141">
        <f t="shared" si="2182"/>
        <v>45848</v>
      </c>
      <c r="E14215" s="275">
        <f t="shared" si="2183"/>
        <v>45848</v>
      </c>
      <c r="F14215" s="481"/>
      <c r="G14215" s="174" t="s">
        <v>94</v>
      </c>
      <c r="H14215" s="174"/>
      <c r="J14215" s="149" t="s">
        <v>190</v>
      </c>
      <c r="K14215" s="218">
        <v>496659.6</v>
      </c>
      <c r="L14215" s="218"/>
      <c r="M14215" s="264"/>
    </row>
    <row r="14216" spans="1:17" x14ac:dyDescent="0.2">
      <c r="A14216" s="133">
        <v>2025</v>
      </c>
      <c r="B14216" s="133">
        <v>7</v>
      </c>
      <c r="C14216" s="133">
        <v>10</v>
      </c>
      <c r="D14216" s="141">
        <f t="shared" si="2182"/>
        <v>45848</v>
      </c>
      <c r="E14216" s="275">
        <f t="shared" si="2183"/>
        <v>45848</v>
      </c>
      <c r="F14216" s="481"/>
      <c r="G14216" s="174" t="s">
        <v>94</v>
      </c>
      <c r="H14216" s="174"/>
      <c r="J14216" s="149" t="s">
        <v>191</v>
      </c>
      <c r="L14216" s="218">
        <v>329921.89</v>
      </c>
    </row>
    <row r="14217" spans="1:17" x14ac:dyDescent="0.2">
      <c r="A14217" s="163">
        <v>2025</v>
      </c>
      <c r="B14217" s="163">
        <v>7</v>
      </c>
      <c r="C14217" s="163">
        <v>10</v>
      </c>
      <c r="D14217" s="280">
        <f t="shared" si="2182"/>
        <v>45848</v>
      </c>
      <c r="E14217" s="281">
        <f t="shared" si="2183"/>
        <v>45848</v>
      </c>
      <c r="F14217" s="480"/>
      <c r="G14217" s="221" t="s">
        <v>94</v>
      </c>
      <c r="H14217" s="145"/>
      <c r="I14217" s="145"/>
      <c r="J14217" s="163" t="s">
        <v>79</v>
      </c>
      <c r="K14217" s="219"/>
      <c r="L14217" s="219">
        <v>838895.61</v>
      </c>
      <c r="M14217" s="264"/>
    </row>
    <row r="14218" spans="1:17" x14ac:dyDescent="0.2">
      <c r="A14218" s="133">
        <v>2025</v>
      </c>
      <c r="B14218" s="133">
        <v>7</v>
      </c>
      <c r="C14218" s="133">
        <v>10</v>
      </c>
      <c r="D14218" s="141">
        <f t="shared" si="2182"/>
        <v>45848</v>
      </c>
      <c r="E14218" s="275">
        <f t="shared" si="2183"/>
        <v>45848</v>
      </c>
      <c r="F14218" s="481" t="s">
        <v>2044</v>
      </c>
      <c r="G14218" s="174" t="s">
        <v>94</v>
      </c>
      <c r="H14218" s="174"/>
      <c r="J14218" s="149" t="s">
        <v>190</v>
      </c>
      <c r="K14218" s="218">
        <v>971248.6</v>
      </c>
      <c r="L14218" s="133"/>
    </row>
    <row r="14219" spans="1:17" x14ac:dyDescent="0.2">
      <c r="A14219" s="133">
        <v>2025</v>
      </c>
      <c r="B14219" s="133">
        <v>7</v>
      </c>
      <c r="C14219" s="133">
        <v>10</v>
      </c>
      <c r="D14219" s="141">
        <f t="shared" si="2182"/>
        <v>45848</v>
      </c>
      <c r="E14219" s="275">
        <f t="shared" si="2183"/>
        <v>45848</v>
      </c>
      <c r="F14219" s="481"/>
      <c r="G14219" s="174" t="s">
        <v>94</v>
      </c>
      <c r="H14219" s="174"/>
      <c r="J14219" s="149" t="s">
        <v>80</v>
      </c>
      <c r="K14219" s="218">
        <v>1751.4</v>
      </c>
      <c r="L14219" s="218"/>
      <c r="M14219" s="176"/>
    </row>
    <row r="14220" spans="1:17" x14ac:dyDescent="0.2">
      <c r="A14220" s="133">
        <v>2025</v>
      </c>
      <c r="B14220" s="133">
        <v>7</v>
      </c>
      <c r="C14220" s="133">
        <v>10</v>
      </c>
      <c r="D14220" s="141">
        <f t="shared" si="2182"/>
        <v>45848</v>
      </c>
      <c r="E14220" s="275">
        <f t="shared" si="2183"/>
        <v>45848</v>
      </c>
      <c r="F14220" s="481"/>
      <c r="G14220" s="174" t="s">
        <v>94</v>
      </c>
      <c r="H14220" s="174"/>
      <c r="J14220" s="149" t="s">
        <v>191</v>
      </c>
      <c r="K14220" s="218"/>
      <c r="L14220" s="218">
        <v>57413.53</v>
      </c>
    </row>
    <row r="14221" spans="1:17" x14ac:dyDescent="0.2">
      <c r="A14221" s="163">
        <v>2025</v>
      </c>
      <c r="B14221" s="163">
        <v>7</v>
      </c>
      <c r="C14221" s="133">
        <v>10</v>
      </c>
      <c r="D14221" s="280">
        <f t="shared" si="2182"/>
        <v>45848</v>
      </c>
      <c r="E14221" s="281">
        <f t="shared" si="2183"/>
        <v>45848</v>
      </c>
      <c r="F14221" s="480"/>
      <c r="G14221" s="221" t="s">
        <v>94</v>
      </c>
      <c r="H14221" s="145"/>
      <c r="I14221" s="145"/>
      <c r="J14221" s="163" t="s">
        <v>79</v>
      </c>
      <c r="K14221" s="219"/>
      <c r="L14221" s="219">
        <v>915586.47</v>
      </c>
    </row>
    <row r="14222" spans="1:17" ht="11.25" customHeight="1" x14ac:dyDescent="0.2">
      <c r="A14222" s="168">
        <v>2025</v>
      </c>
      <c r="B14222" s="168">
        <v>7</v>
      </c>
      <c r="C14222" s="133">
        <v>10</v>
      </c>
      <c r="D14222" s="141">
        <f t="shared" si="2182"/>
        <v>45848</v>
      </c>
      <c r="E14222" s="275">
        <f t="shared" si="2183"/>
        <v>45848</v>
      </c>
      <c r="F14222" s="479" t="s">
        <v>964</v>
      </c>
      <c r="G14222" s="220" t="s">
        <v>74</v>
      </c>
      <c r="H14222" s="142"/>
      <c r="I14222" s="142"/>
      <c r="J14222" s="168" t="s">
        <v>52</v>
      </c>
      <c r="K14222" s="226">
        <v>1000008</v>
      </c>
      <c r="L14222" s="226"/>
    </row>
    <row r="14223" spans="1:17" ht="11.25" customHeight="1" x14ac:dyDescent="0.2">
      <c r="A14223" s="133">
        <v>2025</v>
      </c>
      <c r="B14223" s="133">
        <v>7</v>
      </c>
      <c r="C14223" s="133">
        <v>10</v>
      </c>
      <c r="D14223" s="141">
        <f t="shared" si="2182"/>
        <v>45848</v>
      </c>
      <c r="E14223" s="275">
        <f t="shared" si="2183"/>
        <v>45848</v>
      </c>
      <c r="F14223" s="481"/>
      <c r="G14223" s="174" t="s">
        <v>74</v>
      </c>
      <c r="J14223" s="133" t="s">
        <v>13</v>
      </c>
      <c r="K14223" s="218"/>
      <c r="L14223" s="218">
        <v>760000</v>
      </c>
    </row>
    <row r="14224" spans="1:17" ht="11.25" customHeight="1" x14ac:dyDescent="0.2">
      <c r="A14224" s="163">
        <v>2025</v>
      </c>
      <c r="B14224" s="163">
        <v>7</v>
      </c>
      <c r="C14224" s="163">
        <v>10</v>
      </c>
      <c r="D14224" s="280">
        <f t="shared" si="2182"/>
        <v>45848</v>
      </c>
      <c r="E14224" s="281">
        <f t="shared" si="2183"/>
        <v>45848</v>
      </c>
      <c r="F14224" s="480"/>
      <c r="G14224" s="221" t="s">
        <v>74</v>
      </c>
      <c r="H14224" s="145"/>
      <c r="I14224" s="145"/>
      <c r="J14224" s="163" t="s">
        <v>53</v>
      </c>
      <c r="K14224" s="219"/>
      <c r="L14224" s="219">
        <v>240008</v>
      </c>
    </row>
    <row r="14225" spans="1:14" ht="11.25" customHeight="1" x14ac:dyDescent="0.2">
      <c r="A14225" s="168">
        <v>2025</v>
      </c>
      <c r="B14225" s="133">
        <v>7</v>
      </c>
      <c r="C14225" s="168">
        <v>10</v>
      </c>
      <c r="D14225" s="141">
        <f>DATE(A14225,B14225,C14225)</f>
        <v>45848</v>
      </c>
      <c r="E14225" s="275">
        <f>DATE(A14225,B14225,C14225)</f>
        <v>45848</v>
      </c>
      <c r="F14225" s="479" t="s">
        <v>2002</v>
      </c>
      <c r="G14225" s="220" t="s">
        <v>74</v>
      </c>
      <c r="H14225" s="220"/>
      <c r="I14225" s="142"/>
      <c r="J14225" s="143" t="s">
        <v>147</v>
      </c>
      <c r="K14225" s="226">
        <v>346560.61</v>
      </c>
      <c r="L14225" s="226"/>
    </row>
    <row r="14226" spans="1:14" x14ac:dyDescent="0.2">
      <c r="A14226" s="163">
        <v>2025</v>
      </c>
      <c r="B14226" s="163">
        <v>7</v>
      </c>
      <c r="C14226" s="163">
        <v>10</v>
      </c>
      <c r="D14226" s="280">
        <f>DATE(A14226,B14226,C14226)</f>
        <v>45848</v>
      </c>
      <c r="E14226" s="281">
        <f>DATE(A14226,B14226,C14226)</f>
        <v>45848</v>
      </c>
      <c r="F14226" s="480"/>
      <c r="G14226" s="221" t="s">
        <v>74</v>
      </c>
      <c r="H14226" s="221"/>
      <c r="I14226" s="145"/>
      <c r="J14226" s="146" t="s">
        <v>52</v>
      </c>
      <c r="K14226" s="219"/>
      <c r="L14226" s="219">
        <v>346560.61</v>
      </c>
      <c r="N14226" s="264"/>
    </row>
    <row r="14227" spans="1:14" x14ac:dyDescent="0.2">
      <c r="A14227" s="168">
        <v>2025</v>
      </c>
      <c r="B14227" s="133">
        <v>7</v>
      </c>
      <c r="C14227" s="168">
        <v>10</v>
      </c>
      <c r="D14227" s="147">
        <f>DATE(A14227,B14227,C14227)</f>
        <v>45848</v>
      </c>
      <c r="E14227" s="311">
        <f>DATE(A14227,B14227,C14227)</f>
        <v>45848</v>
      </c>
      <c r="F14227" s="481" t="s">
        <v>1943</v>
      </c>
      <c r="G14227" s="174" t="s">
        <v>74</v>
      </c>
      <c r="I14227" s="148" t="s">
        <v>348</v>
      </c>
      <c r="J14227" s="133" t="s">
        <v>61</v>
      </c>
      <c r="K14227" s="172">
        <v>58</v>
      </c>
    </row>
    <row r="14228" spans="1:14" x14ac:dyDescent="0.2">
      <c r="A14228" s="163">
        <v>2025</v>
      </c>
      <c r="B14228" s="163">
        <v>7</v>
      </c>
      <c r="C14228" s="163">
        <v>10</v>
      </c>
      <c r="D14228" s="280">
        <f>DATE(A14228,B14228,C14228)</f>
        <v>45848</v>
      </c>
      <c r="E14228" s="281">
        <f>DATE(A14228,B14228,C14228)</f>
        <v>45848</v>
      </c>
      <c r="F14228" s="480"/>
      <c r="G14228" s="221" t="s">
        <v>74</v>
      </c>
      <c r="H14228" s="145"/>
      <c r="I14228" s="145" t="s">
        <v>348</v>
      </c>
      <c r="J14228" s="163" t="s">
        <v>52</v>
      </c>
      <c r="K14228" s="219"/>
      <c r="L14228" s="219">
        <v>58</v>
      </c>
    </row>
    <row r="14229" spans="1:14" x14ac:dyDescent="0.2">
      <c r="A14229" s="325">
        <v>2025</v>
      </c>
      <c r="B14229" s="325">
        <v>7</v>
      </c>
      <c r="C14229" s="325">
        <v>10</v>
      </c>
      <c r="D14229" s="326">
        <f t="shared" si="2182"/>
        <v>45848</v>
      </c>
      <c r="E14229" s="327">
        <f t="shared" si="2183"/>
        <v>45848</v>
      </c>
      <c r="F14229" s="473" t="s">
        <v>1940</v>
      </c>
      <c r="G14229" s="340" t="s">
        <v>94</v>
      </c>
      <c r="H14229" s="340"/>
      <c r="I14229" s="341" t="s">
        <v>348</v>
      </c>
      <c r="J14229" s="374" t="s">
        <v>133</v>
      </c>
      <c r="K14229" s="375">
        <v>12905.56</v>
      </c>
      <c r="L14229" s="375"/>
      <c r="M14229" s="176"/>
    </row>
    <row r="14230" spans="1:14" x14ac:dyDescent="0.2">
      <c r="A14230" s="331">
        <v>2025</v>
      </c>
      <c r="B14230" s="331">
        <v>7</v>
      </c>
      <c r="C14230" s="331">
        <v>10</v>
      </c>
      <c r="D14230" s="326">
        <f t="shared" si="2182"/>
        <v>45848</v>
      </c>
      <c r="E14230" s="327">
        <f t="shared" si="2183"/>
        <v>45848</v>
      </c>
      <c r="F14230" s="474"/>
      <c r="G14230" s="332" t="s">
        <v>94</v>
      </c>
      <c r="H14230" s="332"/>
      <c r="I14230" s="333" t="s">
        <v>348</v>
      </c>
      <c r="J14230" s="376" t="s">
        <v>60</v>
      </c>
      <c r="K14230" s="334"/>
      <c r="L14230" s="334">
        <f>K14229</f>
        <v>12905.56</v>
      </c>
    </row>
    <row r="14231" spans="1:14" x14ac:dyDescent="0.2">
      <c r="A14231" s="325">
        <v>2025</v>
      </c>
      <c r="B14231" s="325">
        <v>7</v>
      </c>
      <c r="C14231" s="325">
        <v>10</v>
      </c>
      <c r="D14231" s="326">
        <f t="shared" si="2182"/>
        <v>45848</v>
      </c>
      <c r="E14231" s="327">
        <f t="shared" si="2183"/>
        <v>45848</v>
      </c>
      <c r="F14231" s="473" t="s">
        <v>2097</v>
      </c>
      <c r="G14231" s="340" t="s">
        <v>94</v>
      </c>
      <c r="H14231" s="340"/>
      <c r="I14231" s="341" t="s">
        <v>348</v>
      </c>
      <c r="J14231" s="374" t="s">
        <v>133</v>
      </c>
      <c r="K14231" s="375">
        <v>6250</v>
      </c>
      <c r="L14231" s="375"/>
      <c r="M14231" s="176"/>
    </row>
    <row r="14232" spans="1:14" x14ac:dyDescent="0.2">
      <c r="A14232" s="331">
        <v>2025</v>
      </c>
      <c r="B14232" s="331">
        <v>7</v>
      </c>
      <c r="C14232" s="331">
        <v>10</v>
      </c>
      <c r="D14232" s="326">
        <f t="shared" si="2182"/>
        <v>45848</v>
      </c>
      <c r="E14232" s="327">
        <f t="shared" si="2183"/>
        <v>45848</v>
      </c>
      <c r="F14232" s="474"/>
      <c r="G14232" s="332" t="s">
        <v>94</v>
      </c>
      <c r="H14232" s="332"/>
      <c r="I14232" s="333" t="s">
        <v>348</v>
      </c>
      <c r="J14232" s="376" t="s">
        <v>60</v>
      </c>
      <c r="K14232" s="334"/>
      <c r="L14232" s="334">
        <f>K14231</f>
        <v>6250</v>
      </c>
    </row>
    <row r="14233" spans="1:14" x14ac:dyDescent="0.2">
      <c r="A14233" s="384">
        <v>2025</v>
      </c>
      <c r="B14233" s="384">
        <v>7</v>
      </c>
      <c r="C14233" s="384">
        <v>10</v>
      </c>
      <c r="D14233" s="385">
        <f t="shared" si="2182"/>
        <v>45848</v>
      </c>
      <c r="E14233" s="386">
        <f t="shared" si="2183"/>
        <v>45848</v>
      </c>
      <c r="F14233" s="475" t="s">
        <v>1966</v>
      </c>
      <c r="G14233" s="387" t="s">
        <v>94</v>
      </c>
      <c r="H14233" s="387"/>
      <c r="I14233" s="388" t="s">
        <v>348</v>
      </c>
      <c r="J14233" s="389" t="s">
        <v>67</v>
      </c>
      <c r="K14233" s="390">
        <v>27715.46</v>
      </c>
      <c r="L14233" s="390"/>
    </row>
    <row r="14234" spans="1:14" x14ac:dyDescent="0.2">
      <c r="A14234" s="391">
        <v>2025</v>
      </c>
      <c r="B14234" s="391">
        <v>7</v>
      </c>
      <c r="C14234" s="391">
        <v>10</v>
      </c>
      <c r="D14234" s="385">
        <f t="shared" si="2182"/>
        <v>45848</v>
      </c>
      <c r="E14234" s="386">
        <f t="shared" si="2183"/>
        <v>45848</v>
      </c>
      <c r="F14234" s="476"/>
      <c r="G14234" s="392" t="s">
        <v>94</v>
      </c>
      <c r="H14234" s="392"/>
      <c r="I14234" s="393" t="s">
        <v>348</v>
      </c>
      <c r="J14234" s="394" t="s">
        <v>60</v>
      </c>
      <c r="K14234" s="395"/>
      <c r="L14234" s="395">
        <f>K14233</f>
        <v>27715.46</v>
      </c>
    </row>
    <row r="14235" spans="1:14" x14ac:dyDescent="0.2">
      <c r="A14235" s="343">
        <v>2025</v>
      </c>
      <c r="B14235" s="343">
        <v>7</v>
      </c>
      <c r="C14235" s="343">
        <v>10</v>
      </c>
      <c r="D14235" s="344">
        <f t="shared" si="2182"/>
        <v>45848</v>
      </c>
      <c r="E14235" s="345">
        <f t="shared" si="2183"/>
        <v>45848</v>
      </c>
      <c r="F14235" s="483" t="s">
        <v>1813</v>
      </c>
      <c r="G14235" s="350" t="s">
        <v>94</v>
      </c>
      <c r="H14235" s="350"/>
      <c r="I14235" s="352" t="s">
        <v>348</v>
      </c>
      <c r="J14235" s="353" t="s">
        <v>1807</v>
      </c>
      <c r="K14235" s="354">
        <v>0</v>
      </c>
      <c r="L14235" s="354"/>
      <c r="M14235" s="133">
        <v>0</v>
      </c>
    </row>
    <row r="14236" spans="1:14" x14ac:dyDescent="0.2">
      <c r="A14236" s="346">
        <v>2025</v>
      </c>
      <c r="B14236" s="346">
        <v>7</v>
      </c>
      <c r="C14236" s="346">
        <v>10</v>
      </c>
      <c r="D14236" s="344">
        <f t="shared" si="2182"/>
        <v>45848</v>
      </c>
      <c r="E14236" s="345">
        <f t="shared" si="2183"/>
        <v>45848</v>
      </c>
      <c r="F14236" s="484"/>
      <c r="G14236" s="347" t="s">
        <v>94</v>
      </c>
      <c r="H14236" s="347"/>
      <c r="I14236" s="348" t="s">
        <v>348</v>
      </c>
      <c r="J14236" s="355" t="s">
        <v>1798</v>
      </c>
      <c r="K14236" s="349"/>
      <c r="L14236" s="349">
        <v>0</v>
      </c>
    </row>
    <row r="14237" spans="1:14" x14ac:dyDescent="0.2">
      <c r="A14237" s="343">
        <v>2025</v>
      </c>
      <c r="B14237" s="343">
        <v>7</v>
      </c>
      <c r="C14237" s="343">
        <v>10</v>
      </c>
      <c r="D14237" s="344">
        <f t="shared" si="2182"/>
        <v>45848</v>
      </c>
      <c r="E14237" s="345">
        <f t="shared" si="2183"/>
        <v>45848</v>
      </c>
      <c r="F14237" s="483" t="s">
        <v>1913</v>
      </c>
      <c r="G14237" s="350" t="s">
        <v>94</v>
      </c>
      <c r="H14237" s="350"/>
      <c r="I14237" s="352" t="s">
        <v>348</v>
      </c>
      <c r="J14237" s="353" t="s">
        <v>1799</v>
      </c>
      <c r="K14237" s="354">
        <v>111076.09999999404</v>
      </c>
      <c r="L14237" s="354"/>
      <c r="M14237" s="160">
        <v>0</v>
      </c>
    </row>
    <row r="14238" spans="1:14" x14ac:dyDescent="0.2">
      <c r="A14238" s="346">
        <v>2025</v>
      </c>
      <c r="B14238" s="346">
        <v>7</v>
      </c>
      <c r="C14238" s="346">
        <v>10</v>
      </c>
      <c r="D14238" s="344">
        <f t="shared" si="2182"/>
        <v>45848</v>
      </c>
      <c r="E14238" s="345">
        <f t="shared" si="2183"/>
        <v>45848</v>
      </c>
      <c r="F14238" s="484"/>
      <c r="G14238" s="347" t="s">
        <v>94</v>
      </c>
      <c r="H14238" s="347"/>
      <c r="I14238" s="348" t="s">
        <v>348</v>
      </c>
      <c r="J14238" s="355" t="s">
        <v>1808</v>
      </c>
      <c r="K14238" s="349"/>
      <c r="L14238" s="349">
        <f>K14237</f>
        <v>111076.09999999404</v>
      </c>
    </row>
    <row r="14239" spans="1:14" x14ac:dyDescent="0.2">
      <c r="A14239" s="238">
        <v>2025</v>
      </c>
      <c r="B14239" s="238">
        <v>7</v>
      </c>
      <c r="C14239" s="238">
        <v>10</v>
      </c>
      <c r="D14239" s="270">
        <f t="shared" si="2182"/>
        <v>45848</v>
      </c>
      <c r="E14239" s="279">
        <f t="shared" si="2183"/>
        <v>45848</v>
      </c>
      <c r="F14239" s="477" t="s">
        <v>347</v>
      </c>
      <c r="G14239" s="239" t="s">
        <v>94</v>
      </c>
      <c r="H14239" s="239"/>
      <c r="I14239" s="262" t="s">
        <v>348</v>
      </c>
      <c r="J14239" s="240" t="s">
        <v>108</v>
      </c>
      <c r="K14239" s="241">
        <v>1228186.4399999827</v>
      </c>
      <c r="L14239" s="241"/>
      <c r="M14239" s="160">
        <v>13139541.900000483</v>
      </c>
    </row>
    <row r="14240" spans="1:14" x14ac:dyDescent="0.2">
      <c r="A14240" s="242">
        <v>2025</v>
      </c>
      <c r="B14240" s="242">
        <v>7</v>
      </c>
      <c r="C14240" s="242">
        <v>10</v>
      </c>
      <c r="D14240" s="270">
        <f t="shared" si="2182"/>
        <v>45848</v>
      </c>
      <c r="E14240" s="279">
        <f t="shared" si="2183"/>
        <v>45848</v>
      </c>
      <c r="F14240" s="478"/>
      <c r="G14240" s="243" t="s">
        <v>94</v>
      </c>
      <c r="H14240" s="243"/>
      <c r="I14240" s="263" t="s">
        <v>348</v>
      </c>
      <c r="J14240" s="244" t="s">
        <v>82</v>
      </c>
      <c r="K14240" s="245"/>
      <c r="L14240" s="245">
        <f>K14239</f>
        <v>1228186.4399999827</v>
      </c>
    </row>
    <row r="14241" spans="1:14" ht="12" customHeight="1" x14ac:dyDescent="0.2">
      <c r="A14241" s="246">
        <v>2025</v>
      </c>
      <c r="B14241" s="238">
        <v>7</v>
      </c>
      <c r="C14241" s="238">
        <v>10</v>
      </c>
      <c r="D14241" s="270">
        <f t="shared" si="2182"/>
        <v>45848</v>
      </c>
      <c r="E14241" s="279">
        <f t="shared" si="2183"/>
        <v>45848</v>
      </c>
      <c r="F14241" s="482" t="s">
        <v>148</v>
      </c>
      <c r="G14241" s="247" t="s">
        <v>94</v>
      </c>
      <c r="H14241" s="247"/>
      <c r="I14241" s="248" t="s">
        <v>348</v>
      </c>
      <c r="J14241" s="249" t="s">
        <v>95</v>
      </c>
      <c r="K14241" s="250">
        <v>2747.2527472527472</v>
      </c>
      <c r="L14241" s="241"/>
      <c r="M14241" s="176"/>
    </row>
    <row r="14242" spans="1:14" x14ac:dyDescent="0.2">
      <c r="A14242" s="242">
        <v>2025</v>
      </c>
      <c r="B14242" s="242">
        <v>7</v>
      </c>
      <c r="C14242" s="242">
        <v>10</v>
      </c>
      <c r="D14242" s="270">
        <f t="shared" si="2182"/>
        <v>45848</v>
      </c>
      <c r="E14242" s="279">
        <f t="shared" si="2183"/>
        <v>45848</v>
      </c>
      <c r="F14242" s="478"/>
      <c r="G14242" s="243" t="s">
        <v>94</v>
      </c>
      <c r="H14242" s="243"/>
      <c r="I14242" s="263" t="s">
        <v>348</v>
      </c>
      <c r="J14242" s="244" t="s">
        <v>63</v>
      </c>
      <c r="K14242" s="245"/>
      <c r="L14242" s="245">
        <f>K14241</f>
        <v>2747.2527472527472</v>
      </c>
    </row>
    <row r="14243" spans="1:14" x14ac:dyDescent="0.2">
      <c r="A14243" s="246">
        <v>2025</v>
      </c>
      <c r="B14243" s="238">
        <v>7</v>
      </c>
      <c r="C14243" s="238">
        <v>10</v>
      </c>
      <c r="D14243" s="270">
        <f t="shared" si="2182"/>
        <v>45848</v>
      </c>
      <c r="E14243" s="279">
        <f t="shared" si="2183"/>
        <v>45848</v>
      </c>
      <c r="F14243" s="482" t="s">
        <v>137</v>
      </c>
      <c r="G14243" s="247" t="s">
        <v>94</v>
      </c>
      <c r="H14243" s="247"/>
      <c r="I14243" s="248" t="s">
        <v>348</v>
      </c>
      <c r="J14243" s="249" t="s">
        <v>97</v>
      </c>
      <c r="K14243" s="250">
        <f>M14243</f>
        <v>67094.258037467196</v>
      </c>
      <c r="L14243" s="252"/>
      <c r="M14243" s="133">
        <v>67094.258037467196</v>
      </c>
    </row>
    <row r="14244" spans="1:14" x14ac:dyDescent="0.2">
      <c r="A14244" s="242">
        <v>2025</v>
      </c>
      <c r="B14244" s="242">
        <v>7</v>
      </c>
      <c r="C14244" s="242">
        <v>10</v>
      </c>
      <c r="D14244" s="270">
        <f t="shared" si="2182"/>
        <v>45848</v>
      </c>
      <c r="E14244" s="279">
        <f t="shared" si="2183"/>
        <v>45848</v>
      </c>
      <c r="F14244" s="478"/>
      <c r="G14244" s="243" t="s">
        <v>94</v>
      </c>
      <c r="H14244" s="243"/>
      <c r="I14244" s="263" t="s">
        <v>348</v>
      </c>
      <c r="J14244" s="244" t="s">
        <v>47</v>
      </c>
      <c r="K14244" s="245"/>
      <c r="L14244" s="245">
        <f>K14243</f>
        <v>67094.258037467196</v>
      </c>
      <c r="M14244" s="133">
        <v>3114.3282864887447</v>
      </c>
    </row>
    <row r="14245" spans="1:14" x14ac:dyDescent="0.2">
      <c r="A14245" s="246">
        <v>2025</v>
      </c>
      <c r="B14245" s="238">
        <v>7</v>
      </c>
      <c r="C14245" s="238">
        <v>10</v>
      </c>
      <c r="D14245" s="270">
        <f t="shared" si="2182"/>
        <v>45848</v>
      </c>
      <c r="E14245" s="279">
        <f t="shared" si="2183"/>
        <v>45848</v>
      </c>
      <c r="F14245" s="482" t="s">
        <v>138</v>
      </c>
      <c r="G14245" s="247" t="s">
        <v>94</v>
      </c>
      <c r="H14245" s="247"/>
      <c r="I14245" s="248" t="s">
        <v>348</v>
      </c>
      <c r="J14245" s="249" t="s">
        <v>100</v>
      </c>
      <c r="K14245" s="250">
        <f>M14244</f>
        <v>3114.3282864887447</v>
      </c>
      <c r="L14245" s="252"/>
    </row>
    <row r="14246" spans="1:14" x14ac:dyDescent="0.2">
      <c r="A14246" s="242">
        <v>2025</v>
      </c>
      <c r="B14246" s="242">
        <v>7</v>
      </c>
      <c r="C14246" s="242">
        <v>10</v>
      </c>
      <c r="D14246" s="321">
        <f t="shared" si="2182"/>
        <v>45848</v>
      </c>
      <c r="E14246" s="322">
        <f t="shared" si="2183"/>
        <v>45848</v>
      </c>
      <c r="F14246" s="478"/>
      <c r="G14246" s="243" t="s">
        <v>94</v>
      </c>
      <c r="H14246" s="243"/>
      <c r="I14246" s="263" t="s">
        <v>348</v>
      </c>
      <c r="J14246" s="244" t="s">
        <v>48</v>
      </c>
      <c r="K14246" s="245"/>
      <c r="L14246" s="245">
        <f>K14245</f>
        <v>3114.3282864887447</v>
      </c>
    </row>
    <row r="14247" spans="1:14" x14ac:dyDescent="0.2">
      <c r="A14247" s="133">
        <v>2025</v>
      </c>
      <c r="B14247" s="133">
        <v>7</v>
      </c>
      <c r="C14247" s="133">
        <v>13</v>
      </c>
      <c r="D14247" s="141">
        <f t="shared" ref="D14247:D14251" si="2184">DATE(A14247,B14247,C14247)</f>
        <v>45851</v>
      </c>
      <c r="E14247" s="275">
        <f t="shared" ref="E14247:E14251" si="2185">DATE(A14247,B14247,C14247)</f>
        <v>45851</v>
      </c>
      <c r="F14247" s="481" t="s">
        <v>1767</v>
      </c>
      <c r="G14247" s="174" t="s">
        <v>94</v>
      </c>
      <c r="H14247" s="174"/>
      <c r="J14247" s="149" t="s">
        <v>79</v>
      </c>
      <c r="K14247" s="218">
        <v>590118.80000000005</v>
      </c>
      <c r="L14247" s="218"/>
      <c r="M14247" s="160"/>
    </row>
    <row r="14248" spans="1:14" x14ac:dyDescent="0.2">
      <c r="A14248" s="133">
        <v>2025</v>
      </c>
      <c r="B14248" s="133">
        <v>7</v>
      </c>
      <c r="C14248" s="133">
        <v>13</v>
      </c>
      <c r="D14248" s="141">
        <f t="shared" si="2184"/>
        <v>45851</v>
      </c>
      <c r="E14248" s="275">
        <f t="shared" si="2185"/>
        <v>45851</v>
      </c>
      <c r="F14248" s="481"/>
      <c r="G14248" s="174" t="s">
        <v>94</v>
      </c>
      <c r="H14248" s="174"/>
      <c r="J14248" s="149" t="s">
        <v>80</v>
      </c>
      <c r="K14248" s="218">
        <v>1242.1600000000001</v>
      </c>
      <c r="L14248" s="264"/>
      <c r="M14248" s="264"/>
      <c r="N14248" s="264"/>
    </row>
    <row r="14249" spans="1:14" x14ac:dyDescent="0.2">
      <c r="A14249" s="133">
        <v>2025</v>
      </c>
      <c r="B14249" s="133">
        <v>7</v>
      </c>
      <c r="C14249" s="133">
        <v>13</v>
      </c>
      <c r="D14249" s="141">
        <f t="shared" si="2184"/>
        <v>45851</v>
      </c>
      <c r="E14249" s="275">
        <f t="shared" si="2185"/>
        <v>45851</v>
      </c>
      <c r="F14249" s="481"/>
      <c r="G14249" s="174" t="s">
        <v>94</v>
      </c>
      <c r="H14249" s="174"/>
      <c r="J14249" s="149" t="s">
        <v>147</v>
      </c>
      <c r="K14249" s="218"/>
      <c r="L14249" s="218">
        <v>491392.96</v>
      </c>
      <c r="M14249" s="264"/>
    </row>
    <row r="14250" spans="1:14" x14ac:dyDescent="0.2">
      <c r="A14250" s="133">
        <v>2025</v>
      </c>
      <c r="B14250" s="133">
        <v>7</v>
      </c>
      <c r="C14250" s="133">
        <v>13</v>
      </c>
      <c r="D14250" s="141">
        <f t="shared" si="2184"/>
        <v>45851</v>
      </c>
      <c r="E14250" s="275">
        <f t="shared" si="2185"/>
        <v>45851</v>
      </c>
      <c r="F14250" s="481"/>
      <c r="G14250" s="174" t="s">
        <v>94</v>
      </c>
      <c r="H14250" s="174"/>
      <c r="J14250" s="149" t="s">
        <v>191</v>
      </c>
      <c r="L14250" s="218">
        <v>276.36</v>
      </c>
    </row>
    <row r="14251" spans="1:14" x14ac:dyDescent="0.2">
      <c r="A14251" s="163">
        <v>2025</v>
      </c>
      <c r="B14251" s="163">
        <v>7</v>
      </c>
      <c r="C14251" s="163">
        <v>13</v>
      </c>
      <c r="D14251" s="280">
        <f t="shared" si="2184"/>
        <v>45851</v>
      </c>
      <c r="E14251" s="281">
        <f t="shared" si="2185"/>
        <v>45851</v>
      </c>
      <c r="F14251" s="480"/>
      <c r="G14251" s="221" t="s">
        <v>94</v>
      </c>
      <c r="H14251" s="145"/>
      <c r="I14251" s="145"/>
      <c r="J14251" s="163" t="s">
        <v>79</v>
      </c>
      <c r="K14251" s="219"/>
      <c r="L14251" s="219">
        <v>99691.64</v>
      </c>
      <c r="M14251" s="264"/>
    </row>
    <row r="14252" spans="1:14" x14ac:dyDescent="0.2">
      <c r="A14252" s="133">
        <v>2025</v>
      </c>
      <c r="B14252" s="133">
        <v>7</v>
      </c>
      <c r="C14252" s="133">
        <v>13</v>
      </c>
      <c r="D14252" s="141">
        <f t="shared" ref="D14252:D14270" si="2186">DATE(A14252,B14252,C14252)</f>
        <v>45851</v>
      </c>
      <c r="E14252" s="275">
        <f t="shared" ref="E14252:E14270" si="2187">DATE(A14252,B14252,C14252)</f>
        <v>45851</v>
      </c>
      <c r="F14252" s="481" t="s">
        <v>2073</v>
      </c>
      <c r="G14252" s="174" t="s">
        <v>94</v>
      </c>
      <c r="H14252" s="174"/>
      <c r="J14252" s="149" t="s">
        <v>79</v>
      </c>
      <c r="K14252" s="218">
        <v>1280675</v>
      </c>
      <c r="L14252" s="218"/>
      <c r="M14252" s="160"/>
    </row>
    <row r="14253" spans="1:14" x14ac:dyDescent="0.2">
      <c r="A14253" s="133">
        <v>2025</v>
      </c>
      <c r="B14253" s="133">
        <v>7</v>
      </c>
      <c r="C14253" s="133">
        <v>13</v>
      </c>
      <c r="D14253" s="141">
        <f t="shared" si="2186"/>
        <v>45851</v>
      </c>
      <c r="E14253" s="275">
        <f t="shared" si="2187"/>
        <v>45851</v>
      </c>
      <c r="F14253" s="481"/>
      <c r="G14253" s="174" t="s">
        <v>94</v>
      </c>
      <c r="H14253" s="174"/>
      <c r="J14253" s="149" t="s">
        <v>80</v>
      </c>
      <c r="K14253" s="218">
        <v>6085.2</v>
      </c>
      <c r="L14253" s="264"/>
      <c r="M14253" s="264"/>
      <c r="N14253" s="264"/>
    </row>
    <row r="14254" spans="1:14" x14ac:dyDescent="0.2">
      <c r="A14254" s="133">
        <v>2025</v>
      </c>
      <c r="B14254" s="133">
        <v>7</v>
      </c>
      <c r="C14254" s="133">
        <v>13</v>
      </c>
      <c r="D14254" s="141">
        <f t="shared" si="2186"/>
        <v>45851</v>
      </c>
      <c r="E14254" s="275">
        <f t="shared" si="2187"/>
        <v>45851</v>
      </c>
      <c r="F14254" s="481"/>
      <c r="G14254" s="174" t="s">
        <v>94</v>
      </c>
      <c r="H14254" s="174"/>
      <c r="J14254" s="149" t="s">
        <v>190</v>
      </c>
      <c r="K14254" s="218">
        <v>813233.8</v>
      </c>
      <c r="L14254" s="218"/>
      <c r="M14254" s="264"/>
    </row>
    <row r="14255" spans="1:14" x14ac:dyDescent="0.2">
      <c r="A14255" s="133">
        <v>2025</v>
      </c>
      <c r="B14255" s="133">
        <v>7</v>
      </c>
      <c r="C14255" s="133">
        <v>13</v>
      </c>
      <c r="D14255" s="141">
        <f t="shared" si="2186"/>
        <v>45851</v>
      </c>
      <c r="E14255" s="275">
        <f t="shared" si="2187"/>
        <v>45851</v>
      </c>
      <c r="F14255" s="481"/>
      <c r="G14255" s="174" t="s">
        <v>94</v>
      </c>
      <c r="H14255" s="174"/>
      <c r="J14255" s="149" t="s">
        <v>191</v>
      </c>
      <c r="L14255" s="218">
        <v>123166.13</v>
      </c>
    </row>
    <row r="14256" spans="1:14" x14ac:dyDescent="0.2">
      <c r="A14256" s="163">
        <v>2025</v>
      </c>
      <c r="B14256" s="163">
        <v>7</v>
      </c>
      <c r="C14256" s="163">
        <v>13</v>
      </c>
      <c r="D14256" s="280">
        <f t="shared" si="2186"/>
        <v>45851</v>
      </c>
      <c r="E14256" s="281">
        <f t="shared" si="2187"/>
        <v>45851</v>
      </c>
      <c r="F14256" s="480"/>
      <c r="G14256" s="221" t="s">
        <v>94</v>
      </c>
      <c r="H14256" s="145"/>
      <c r="I14256" s="145"/>
      <c r="J14256" s="163" t="s">
        <v>79</v>
      </c>
      <c r="K14256" s="219"/>
      <c r="L14256" s="219">
        <v>1976827.87</v>
      </c>
      <c r="M14256" s="264"/>
    </row>
    <row r="14257" spans="1:14" ht="11.25" customHeight="1" x14ac:dyDescent="0.2">
      <c r="A14257" s="168">
        <v>2025</v>
      </c>
      <c r="B14257" s="168">
        <v>7</v>
      </c>
      <c r="C14257" s="133">
        <v>13</v>
      </c>
      <c r="D14257" s="141">
        <f t="shared" si="2186"/>
        <v>45851</v>
      </c>
      <c r="E14257" s="275">
        <f t="shared" si="2187"/>
        <v>45851</v>
      </c>
      <c r="F14257" s="479" t="s">
        <v>2080</v>
      </c>
      <c r="G14257" s="220" t="s">
        <v>94</v>
      </c>
      <c r="H14257" s="220"/>
      <c r="I14257" s="142"/>
      <c r="J14257" s="143" t="s">
        <v>79</v>
      </c>
      <c r="K14257" s="226">
        <v>593000</v>
      </c>
      <c r="L14257" s="226"/>
      <c r="M14257" s="160"/>
    </row>
    <row r="14258" spans="1:14" x14ac:dyDescent="0.2">
      <c r="A14258" s="133">
        <v>2025</v>
      </c>
      <c r="B14258" s="133">
        <v>7</v>
      </c>
      <c r="C14258" s="133">
        <v>13</v>
      </c>
      <c r="D14258" s="141">
        <f t="shared" si="2186"/>
        <v>45851</v>
      </c>
      <c r="E14258" s="275">
        <f t="shared" si="2187"/>
        <v>45851</v>
      </c>
      <c r="F14258" s="481"/>
      <c r="G14258" s="174" t="s">
        <v>94</v>
      </c>
      <c r="H14258" s="174"/>
      <c r="J14258" s="149" t="s">
        <v>80</v>
      </c>
      <c r="K14258" s="218">
        <v>1067.4000000000001</v>
      </c>
      <c r="L14258" s="133"/>
    </row>
    <row r="14259" spans="1:14" x14ac:dyDescent="0.2">
      <c r="A14259" s="163">
        <v>2025</v>
      </c>
      <c r="B14259" s="163">
        <v>7</v>
      </c>
      <c r="C14259" s="163">
        <v>13</v>
      </c>
      <c r="D14259" s="280">
        <f t="shared" si="2186"/>
        <v>45851</v>
      </c>
      <c r="E14259" s="281">
        <f t="shared" si="2187"/>
        <v>45851</v>
      </c>
      <c r="F14259" s="480"/>
      <c r="G14259" s="221" t="s">
        <v>94</v>
      </c>
      <c r="H14259" s="221"/>
      <c r="I14259" s="145"/>
      <c r="J14259" s="146" t="s">
        <v>147</v>
      </c>
      <c r="K14259" s="219"/>
      <c r="L14259" s="219">
        <v>594067.4</v>
      </c>
    </row>
    <row r="14260" spans="1:14" ht="11.25" customHeight="1" x14ac:dyDescent="0.2">
      <c r="A14260" s="168">
        <v>2025</v>
      </c>
      <c r="B14260" s="133">
        <v>7</v>
      </c>
      <c r="C14260" s="168">
        <v>13</v>
      </c>
      <c r="D14260" s="141">
        <f t="shared" ref="D14260:D14265" si="2188">DATE(A14260,B14260,C14260)</f>
        <v>45851</v>
      </c>
      <c r="E14260" s="275">
        <f t="shared" ref="E14260:E14265" si="2189">DATE(A14260,B14260,C14260)</f>
        <v>45851</v>
      </c>
      <c r="F14260" s="479" t="s">
        <v>2064</v>
      </c>
      <c r="G14260" s="220" t="s">
        <v>74</v>
      </c>
      <c r="H14260" s="220"/>
      <c r="I14260" s="142"/>
      <c r="J14260" s="143" t="s">
        <v>147</v>
      </c>
      <c r="K14260" s="226">
        <v>2383392.0499999998</v>
      </c>
      <c r="L14260" s="226"/>
    </row>
    <row r="14261" spans="1:14" x14ac:dyDescent="0.2">
      <c r="A14261" s="163">
        <v>2025</v>
      </c>
      <c r="B14261" s="163">
        <v>7</v>
      </c>
      <c r="C14261" s="163">
        <v>13</v>
      </c>
      <c r="D14261" s="280">
        <f t="shared" si="2188"/>
        <v>45851</v>
      </c>
      <c r="E14261" s="281">
        <f t="shared" si="2189"/>
        <v>45851</v>
      </c>
      <c r="F14261" s="480"/>
      <c r="G14261" s="221" t="s">
        <v>74</v>
      </c>
      <c r="H14261" s="221"/>
      <c r="I14261" s="145"/>
      <c r="J14261" s="146" t="s">
        <v>52</v>
      </c>
      <c r="K14261" s="219"/>
      <c r="L14261" s="219">
        <v>2383392.0499999998</v>
      </c>
      <c r="N14261" s="264"/>
    </row>
    <row r="14262" spans="1:14" x14ac:dyDescent="0.2">
      <c r="A14262" s="168">
        <v>2025</v>
      </c>
      <c r="B14262" s="133">
        <v>7</v>
      </c>
      <c r="C14262" s="168">
        <v>13</v>
      </c>
      <c r="D14262" s="147">
        <f t="shared" si="2188"/>
        <v>45851</v>
      </c>
      <c r="E14262" s="311">
        <f t="shared" si="2189"/>
        <v>45851</v>
      </c>
      <c r="F14262" s="481" t="s">
        <v>1943</v>
      </c>
      <c r="G14262" s="174" t="s">
        <v>74</v>
      </c>
      <c r="I14262" s="148" t="s">
        <v>348</v>
      </c>
      <c r="J14262" s="133" t="s">
        <v>61</v>
      </c>
      <c r="K14262" s="172">
        <v>100</v>
      </c>
    </row>
    <row r="14263" spans="1:14" x14ac:dyDescent="0.2">
      <c r="A14263" s="163">
        <v>2025</v>
      </c>
      <c r="B14263" s="163">
        <v>7</v>
      </c>
      <c r="C14263" s="163">
        <v>13</v>
      </c>
      <c r="D14263" s="280">
        <f t="shared" si="2188"/>
        <v>45851</v>
      </c>
      <c r="E14263" s="281">
        <f t="shared" si="2189"/>
        <v>45851</v>
      </c>
      <c r="F14263" s="480"/>
      <c r="G14263" s="221" t="s">
        <v>74</v>
      </c>
      <c r="H14263" s="145"/>
      <c r="I14263" s="145" t="s">
        <v>348</v>
      </c>
      <c r="J14263" s="163" t="s">
        <v>52</v>
      </c>
      <c r="K14263" s="219"/>
      <c r="L14263" s="219">
        <v>100</v>
      </c>
    </row>
    <row r="14264" spans="1:14" x14ac:dyDescent="0.2">
      <c r="A14264" s="168">
        <v>2025</v>
      </c>
      <c r="B14264" s="133">
        <v>7</v>
      </c>
      <c r="C14264" s="168">
        <v>14</v>
      </c>
      <c r="D14264" s="147">
        <f t="shared" si="2188"/>
        <v>45852</v>
      </c>
      <c r="E14264" s="311">
        <f t="shared" si="2189"/>
        <v>45852</v>
      </c>
      <c r="F14264" s="481" t="s">
        <v>1943</v>
      </c>
      <c r="G14264" s="174" t="s">
        <v>74</v>
      </c>
      <c r="I14264" s="148" t="s">
        <v>348</v>
      </c>
      <c r="J14264" s="133" t="s">
        <v>61</v>
      </c>
      <c r="K14264" s="172">
        <v>158</v>
      </c>
    </row>
    <row r="14265" spans="1:14" x14ac:dyDescent="0.2">
      <c r="A14265" s="163">
        <v>2025</v>
      </c>
      <c r="B14265" s="163">
        <v>7</v>
      </c>
      <c r="C14265" s="163">
        <v>14</v>
      </c>
      <c r="D14265" s="280">
        <f t="shared" si="2188"/>
        <v>45852</v>
      </c>
      <c r="E14265" s="281">
        <f t="shared" si="2189"/>
        <v>45852</v>
      </c>
      <c r="F14265" s="480"/>
      <c r="G14265" s="221" t="s">
        <v>74</v>
      </c>
      <c r="H14265" s="145"/>
      <c r="I14265" s="145" t="s">
        <v>348</v>
      </c>
      <c r="J14265" s="163" t="s">
        <v>52</v>
      </c>
      <c r="K14265" s="219"/>
      <c r="L14265" s="219">
        <v>158</v>
      </c>
    </row>
    <row r="14266" spans="1:14" x14ac:dyDescent="0.2">
      <c r="A14266" s="133">
        <v>2025</v>
      </c>
      <c r="B14266" s="133">
        <v>7</v>
      </c>
      <c r="C14266" s="133">
        <v>14</v>
      </c>
      <c r="D14266" s="141">
        <f t="shared" si="2186"/>
        <v>45852</v>
      </c>
      <c r="E14266" s="275">
        <f t="shared" si="2187"/>
        <v>45852</v>
      </c>
      <c r="F14266" s="481" t="s">
        <v>1767</v>
      </c>
      <c r="G14266" s="174" t="s">
        <v>94</v>
      </c>
      <c r="H14266" s="174"/>
      <c r="J14266" s="149" t="s">
        <v>79</v>
      </c>
      <c r="K14266" s="218">
        <v>1709767.5</v>
      </c>
      <c r="L14266" s="218"/>
      <c r="M14266" s="160"/>
    </row>
    <row r="14267" spans="1:14" x14ac:dyDescent="0.2">
      <c r="A14267" s="133">
        <v>2025</v>
      </c>
      <c r="B14267" s="133">
        <v>7</v>
      </c>
      <c r="C14267" s="133">
        <v>14</v>
      </c>
      <c r="D14267" s="141">
        <f t="shared" si="2186"/>
        <v>45852</v>
      </c>
      <c r="E14267" s="275">
        <f t="shared" si="2187"/>
        <v>45852</v>
      </c>
      <c r="F14267" s="481"/>
      <c r="G14267" s="174" t="s">
        <v>94</v>
      </c>
      <c r="H14267" s="174"/>
      <c r="J14267" s="149" t="s">
        <v>80</v>
      </c>
      <c r="K14267" s="218">
        <v>4415.54</v>
      </c>
      <c r="L14267" s="264"/>
      <c r="M14267" s="264"/>
      <c r="N14267" s="264"/>
    </row>
    <row r="14268" spans="1:14" x14ac:dyDescent="0.2">
      <c r="A14268" s="133">
        <v>2025</v>
      </c>
      <c r="B14268" s="133">
        <v>7</v>
      </c>
      <c r="C14268" s="133">
        <v>14</v>
      </c>
      <c r="D14268" s="141">
        <f t="shared" si="2186"/>
        <v>45852</v>
      </c>
      <c r="E14268" s="275">
        <f t="shared" si="2187"/>
        <v>45852</v>
      </c>
      <c r="F14268" s="481"/>
      <c r="G14268" s="174" t="s">
        <v>94</v>
      </c>
      <c r="H14268" s="174"/>
      <c r="J14268" s="149" t="s">
        <v>147</v>
      </c>
      <c r="K14268" s="218"/>
      <c r="L14268" s="218">
        <v>970873.24</v>
      </c>
      <c r="M14268" s="264"/>
    </row>
    <row r="14269" spans="1:14" x14ac:dyDescent="0.2">
      <c r="A14269" s="133">
        <v>2025</v>
      </c>
      <c r="B14269" s="133">
        <v>7</v>
      </c>
      <c r="C14269" s="133">
        <v>14</v>
      </c>
      <c r="D14269" s="141">
        <f t="shared" si="2186"/>
        <v>45852</v>
      </c>
      <c r="E14269" s="275">
        <f t="shared" si="2187"/>
        <v>45852</v>
      </c>
      <c r="F14269" s="481"/>
      <c r="G14269" s="174" t="s">
        <v>94</v>
      </c>
      <c r="H14269" s="174"/>
      <c r="J14269" s="149" t="s">
        <v>191</v>
      </c>
      <c r="L14269" s="218">
        <v>198027.66</v>
      </c>
    </row>
    <row r="14270" spans="1:14" x14ac:dyDescent="0.2">
      <c r="A14270" s="163">
        <v>2025</v>
      </c>
      <c r="B14270" s="163">
        <v>7</v>
      </c>
      <c r="C14270" s="163">
        <v>14</v>
      </c>
      <c r="D14270" s="280">
        <f t="shared" si="2186"/>
        <v>45852</v>
      </c>
      <c r="E14270" s="281">
        <f t="shared" si="2187"/>
        <v>45852</v>
      </c>
      <c r="F14270" s="480"/>
      <c r="G14270" s="221" t="s">
        <v>94</v>
      </c>
      <c r="H14270" s="145"/>
      <c r="I14270" s="145"/>
      <c r="J14270" s="163" t="s">
        <v>79</v>
      </c>
      <c r="K14270" s="219"/>
      <c r="L14270" s="219">
        <v>545282.14</v>
      </c>
      <c r="M14270" s="264"/>
    </row>
    <row r="14271" spans="1:14" x14ac:dyDescent="0.2">
      <c r="A14271" s="133">
        <v>2025</v>
      </c>
      <c r="B14271" s="133">
        <v>7</v>
      </c>
      <c r="C14271" s="133">
        <v>14</v>
      </c>
      <c r="D14271" s="141">
        <f t="shared" ref="D14271:D14275" si="2190">DATE(A14271,B14271,C14271)</f>
        <v>45852</v>
      </c>
      <c r="E14271" s="275">
        <f t="shared" ref="E14271:E14275" si="2191">DATE(A14271,B14271,C14271)</f>
        <v>45852</v>
      </c>
      <c r="F14271" s="481" t="s">
        <v>2073</v>
      </c>
      <c r="G14271" s="174" t="s">
        <v>94</v>
      </c>
      <c r="H14271" s="174"/>
      <c r="J14271" s="149" t="s">
        <v>79</v>
      </c>
      <c r="K14271" s="218">
        <v>1153700</v>
      </c>
      <c r="L14271" s="218"/>
      <c r="M14271" s="160"/>
    </row>
    <row r="14272" spans="1:14" x14ac:dyDescent="0.2">
      <c r="A14272" s="133">
        <v>2025</v>
      </c>
      <c r="B14272" s="133">
        <v>7</v>
      </c>
      <c r="C14272" s="133">
        <v>14</v>
      </c>
      <c r="D14272" s="141">
        <f t="shared" si="2190"/>
        <v>45852</v>
      </c>
      <c r="E14272" s="275">
        <f t="shared" si="2191"/>
        <v>45852</v>
      </c>
      <c r="F14272" s="481"/>
      <c r="G14272" s="174" t="s">
        <v>94</v>
      </c>
      <c r="H14272" s="174"/>
      <c r="J14272" s="149" t="s">
        <v>80</v>
      </c>
      <c r="K14272" s="218">
        <v>10470.959999999999</v>
      </c>
      <c r="L14272" s="264"/>
      <c r="M14272" s="264"/>
      <c r="N14272" s="264"/>
    </row>
    <row r="14273" spans="1:17" x14ac:dyDescent="0.2">
      <c r="A14273" s="133">
        <v>2025</v>
      </c>
      <c r="B14273" s="133">
        <v>7</v>
      </c>
      <c r="C14273" s="133">
        <v>14</v>
      </c>
      <c r="D14273" s="141">
        <f t="shared" si="2190"/>
        <v>45852</v>
      </c>
      <c r="E14273" s="275">
        <f t="shared" si="2191"/>
        <v>45852</v>
      </c>
      <c r="F14273" s="481"/>
      <c r="G14273" s="174" t="s">
        <v>94</v>
      </c>
      <c r="H14273" s="174"/>
      <c r="J14273" s="149" t="s">
        <v>190</v>
      </c>
      <c r="K14273" s="218">
        <v>3499329.04</v>
      </c>
      <c r="L14273" s="218"/>
      <c r="M14273" s="264"/>
    </row>
    <row r="14274" spans="1:17" x14ac:dyDescent="0.2">
      <c r="A14274" s="133">
        <v>2025</v>
      </c>
      <c r="B14274" s="133">
        <v>7</v>
      </c>
      <c r="C14274" s="133">
        <v>14</v>
      </c>
      <c r="D14274" s="141">
        <f t="shared" si="2190"/>
        <v>45852</v>
      </c>
      <c r="E14274" s="275">
        <f t="shared" si="2191"/>
        <v>45852</v>
      </c>
      <c r="F14274" s="481"/>
      <c r="G14274" s="174" t="s">
        <v>94</v>
      </c>
      <c r="H14274" s="174"/>
      <c r="J14274" s="149" t="s">
        <v>191</v>
      </c>
      <c r="L14274" s="218">
        <v>362467.96</v>
      </c>
    </row>
    <row r="14275" spans="1:17" x14ac:dyDescent="0.2">
      <c r="A14275" s="163">
        <v>2025</v>
      </c>
      <c r="B14275" s="163">
        <v>7</v>
      </c>
      <c r="C14275" s="163">
        <v>14</v>
      </c>
      <c r="D14275" s="280">
        <f t="shared" si="2190"/>
        <v>45852</v>
      </c>
      <c r="E14275" s="281">
        <f t="shared" si="2191"/>
        <v>45852</v>
      </c>
      <c r="F14275" s="480"/>
      <c r="G14275" s="221" t="s">
        <v>94</v>
      </c>
      <c r="H14275" s="145"/>
      <c r="I14275" s="145"/>
      <c r="J14275" s="163" t="s">
        <v>79</v>
      </c>
      <c r="K14275" s="219"/>
      <c r="L14275" s="219">
        <v>4301032.04</v>
      </c>
      <c r="M14275" s="264"/>
    </row>
    <row r="14276" spans="1:17" x14ac:dyDescent="0.2">
      <c r="A14276" s="133">
        <v>2025</v>
      </c>
      <c r="B14276" s="133">
        <v>7</v>
      </c>
      <c r="C14276" s="133">
        <v>14</v>
      </c>
      <c r="D14276" s="141">
        <f t="shared" ref="D14276:D14284" si="2192">DATE(A14276,B14276,C14276)</f>
        <v>45852</v>
      </c>
      <c r="E14276" s="275">
        <f t="shared" ref="E14276:E14284" si="2193">DATE(A14276,B14276,C14276)</f>
        <v>45852</v>
      </c>
      <c r="F14276" s="481" t="s">
        <v>2075</v>
      </c>
      <c r="G14276" s="174" t="s">
        <v>94</v>
      </c>
      <c r="H14276" s="174"/>
      <c r="J14276" s="149" t="s">
        <v>79</v>
      </c>
      <c r="K14276" s="218">
        <v>869990</v>
      </c>
      <c r="L14276" s="218"/>
      <c r="M14276" s="160"/>
    </row>
    <row r="14277" spans="1:17" x14ac:dyDescent="0.2">
      <c r="A14277" s="133">
        <v>2025</v>
      </c>
      <c r="B14277" s="133">
        <v>7</v>
      </c>
      <c r="C14277" s="133">
        <v>14</v>
      </c>
      <c r="D14277" s="141">
        <f t="shared" si="2192"/>
        <v>45852</v>
      </c>
      <c r="E14277" s="275">
        <f t="shared" si="2193"/>
        <v>45852</v>
      </c>
      <c r="F14277" s="481"/>
      <c r="G14277" s="174" t="s">
        <v>94</v>
      </c>
      <c r="H14277" s="174"/>
      <c r="J14277" s="149" t="s">
        <v>80</v>
      </c>
      <c r="K14277" s="218">
        <v>6096.58</v>
      </c>
      <c r="L14277" s="264"/>
      <c r="M14277" s="264"/>
      <c r="N14277" s="264"/>
    </row>
    <row r="14278" spans="1:17" x14ac:dyDescent="0.2">
      <c r="A14278" s="133">
        <v>2025</v>
      </c>
      <c r="B14278" s="133">
        <v>7</v>
      </c>
      <c r="C14278" s="133">
        <v>14</v>
      </c>
      <c r="D14278" s="141">
        <f t="shared" si="2192"/>
        <v>45852</v>
      </c>
      <c r="E14278" s="275">
        <f t="shared" si="2193"/>
        <v>45852</v>
      </c>
      <c r="F14278" s="481"/>
      <c r="G14278" s="174" t="s">
        <v>94</v>
      </c>
      <c r="H14278" s="174"/>
      <c r="J14278" s="149" t="s">
        <v>190</v>
      </c>
      <c r="K14278" s="218">
        <v>1640913.42</v>
      </c>
      <c r="L14278" s="218"/>
      <c r="M14278" s="264"/>
    </row>
    <row r="14279" spans="1:17" x14ac:dyDescent="0.2">
      <c r="A14279" s="133">
        <v>2025</v>
      </c>
      <c r="B14279" s="133">
        <v>7</v>
      </c>
      <c r="C14279" s="133">
        <v>14</v>
      </c>
      <c r="D14279" s="141">
        <f t="shared" si="2192"/>
        <v>45852</v>
      </c>
      <c r="E14279" s="275">
        <f t="shared" si="2193"/>
        <v>45852</v>
      </c>
      <c r="F14279" s="481"/>
      <c r="G14279" s="174" t="s">
        <v>94</v>
      </c>
      <c r="H14279" s="174"/>
      <c r="J14279" s="149" t="s">
        <v>191</v>
      </c>
      <c r="L14279" s="218">
        <v>291912.73</v>
      </c>
    </row>
    <row r="14280" spans="1:17" x14ac:dyDescent="0.2">
      <c r="A14280" s="163">
        <v>2025</v>
      </c>
      <c r="B14280" s="163">
        <v>7</v>
      </c>
      <c r="C14280" s="163">
        <v>14</v>
      </c>
      <c r="D14280" s="280">
        <f t="shared" si="2192"/>
        <v>45852</v>
      </c>
      <c r="E14280" s="281">
        <f t="shared" si="2193"/>
        <v>45852</v>
      </c>
      <c r="F14280" s="480"/>
      <c r="G14280" s="221" t="s">
        <v>94</v>
      </c>
      <c r="H14280" s="145"/>
      <c r="I14280" s="145"/>
      <c r="J14280" s="163" t="s">
        <v>79</v>
      </c>
      <c r="K14280" s="219"/>
      <c r="L14280" s="219">
        <v>2225087.27</v>
      </c>
      <c r="M14280" s="264"/>
    </row>
    <row r="14281" spans="1:17" x14ac:dyDescent="0.2">
      <c r="A14281" s="168">
        <v>2025</v>
      </c>
      <c r="B14281" s="133">
        <v>7</v>
      </c>
      <c r="C14281" s="168">
        <v>14</v>
      </c>
      <c r="D14281" s="141">
        <f t="shared" si="2192"/>
        <v>45852</v>
      </c>
      <c r="E14281" s="275">
        <f t="shared" si="2193"/>
        <v>45852</v>
      </c>
      <c r="F14281" s="481" t="s">
        <v>2071</v>
      </c>
      <c r="G14281" s="174" t="s">
        <v>94</v>
      </c>
      <c r="H14281" s="174"/>
      <c r="I14281" s="148" t="s">
        <v>348</v>
      </c>
      <c r="J14281" s="149" t="s">
        <v>52</v>
      </c>
      <c r="K14281" s="218">
        <v>9.0399999999999991</v>
      </c>
      <c r="L14281" s="218"/>
    </row>
    <row r="14282" spans="1:17" x14ac:dyDescent="0.2">
      <c r="A14282" s="163">
        <v>2025</v>
      </c>
      <c r="B14282" s="163">
        <v>7</v>
      </c>
      <c r="C14282" s="163">
        <v>14</v>
      </c>
      <c r="D14282" s="141">
        <f t="shared" si="2192"/>
        <v>45852</v>
      </c>
      <c r="E14282" s="275">
        <f t="shared" si="2193"/>
        <v>45852</v>
      </c>
      <c r="F14282" s="480"/>
      <c r="G14282" s="221" t="s">
        <v>94</v>
      </c>
      <c r="H14282" s="221"/>
      <c r="I14282" s="145" t="s">
        <v>348</v>
      </c>
      <c r="J14282" s="146" t="s">
        <v>168</v>
      </c>
      <c r="K14282" s="219"/>
      <c r="L14282" s="219">
        <v>9.0399999999999991</v>
      </c>
    </row>
    <row r="14283" spans="1:17" x14ac:dyDescent="0.2">
      <c r="A14283" s="133">
        <v>2025</v>
      </c>
      <c r="B14283" s="133">
        <v>7</v>
      </c>
      <c r="C14283" s="133">
        <v>14</v>
      </c>
      <c r="D14283" s="141">
        <f t="shared" si="2192"/>
        <v>45852</v>
      </c>
      <c r="E14283" s="275">
        <f t="shared" si="2193"/>
        <v>45852</v>
      </c>
      <c r="F14283" s="481" t="s">
        <v>2100</v>
      </c>
      <c r="G14283" s="174" t="s">
        <v>74</v>
      </c>
      <c r="H14283" s="174"/>
      <c r="I14283" s="148" t="s">
        <v>348</v>
      </c>
      <c r="J14283" s="149" t="s">
        <v>79</v>
      </c>
      <c r="K14283" s="218">
        <v>7500000</v>
      </c>
      <c r="L14283" s="218"/>
      <c r="M14283" s="147"/>
      <c r="Q14283" s="133" t="s">
        <v>348</v>
      </c>
    </row>
    <row r="14284" spans="1:17" x14ac:dyDescent="0.2">
      <c r="A14284" s="163">
        <v>2025</v>
      </c>
      <c r="B14284" s="163">
        <v>7</v>
      </c>
      <c r="C14284" s="163">
        <v>14</v>
      </c>
      <c r="D14284" s="280">
        <f t="shared" si="2192"/>
        <v>45852</v>
      </c>
      <c r="E14284" s="281">
        <f t="shared" si="2193"/>
        <v>45852</v>
      </c>
      <c r="F14284" s="480"/>
      <c r="G14284" s="221" t="s">
        <v>74</v>
      </c>
      <c r="H14284" s="221"/>
      <c r="I14284" s="145" t="s">
        <v>348</v>
      </c>
      <c r="J14284" s="146" t="s">
        <v>52</v>
      </c>
      <c r="K14284" s="219"/>
      <c r="L14284" s="219">
        <v>7500000</v>
      </c>
      <c r="M14284" s="147"/>
      <c r="Q14284" s="133" t="s">
        <v>348</v>
      </c>
    </row>
    <row r="14285" spans="1:17" ht="11.25" customHeight="1" x14ac:dyDescent="0.2">
      <c r="A14285" s="168">
        <v>2025</v>
      </c>
      <c r="B14285" s="133">
        <v>7</v>
      </c>
      <c r="C14285" s="168">
        <v>14</v>
      </c>
      <c r="D14285" s="141">
        <f>DATE(A14285,B14285,C14285)</f>
        <v>45852</v>
      </c>
      <c r="E14285" s="275">
        <f>DATE(A14285,B14285,C14285)</f>
        <v>45852</v>
      </c>
      <c r="F14285" s="479" t="s">
        <v>2002</v>
      </c>
      <c r="G14285" s="220" t="s">
        <v>74</v>
      </c>
      <c r="H14285" s="220"/>
      <c r="I14285" s="142"/>
      <c r="J14285" s="143" t="s">
        <v>147</v>
      </c>
      <c r="K14285" s="226">
        <v>491392.96</v>
      </c>
      <c r="L14285" s="226"/>
    </row>
    <row r="14286" spans="1:17" x14ac:dyDescent="0.2">
      <c r="A14286" s="163">
        <v>2025</v>
      </c>
      <c r="B14286" s="163">
        <v>7</v>
      </c>
      <c r="C14286" s="163">
        <v>14</v>
      </c>
      <c r="D14286" s="280">
        <f>DATE(A14286,B14286,C14286)</f>
        <v>45852</v>
      </c>
      <c r="E14286" s="281">
        <f>DATE(A14286,B14286,C14286)</f>
        <v>45852</v>
      </c>
      <c r="F14286" s="480"/>
      <c r="G14286" s="221" t="s">
        <v>74</v>
      </c>
      <c r="H14286" s="221"/>
      <c r="I14286" s="145"/>
      <c r="J14286" s="146" t="s">
        <v>52</v>
      </c>
      <c r="K14286" s="219"/>
      <c r="L14286" s="219">
        <v>491392.96</v>
      </c>
      <c r="N14286" s="264"/>
    </row>
    <row r="14287" spans="1:17" ht="11.25" customHeight="1" x14ac:dyDescent="0.2">
      <c r="A14287" s="168">
        <v>2025</v>
      </c>
      <c r="B14287" s="133">
        <v>7</v>
      </c>
      <c r="C14287" s="168">
        <v>14</v>
      </c>
      <c r="D14287" s="141">
        <f t="shared" ref="D14287:D14288" si="2194">DATE(A14287,B14287,C14287)</f>
        <v>45852</v>
      </c>
      <c r="E14287" s="275">
        <f t="shared" ref="E14287:E14288" si="2195">DATE(A14287,B14287,C14287)</f>
        <v>45852</v>
      </c>
      <c r="F14287" s="479" t="s">
        <v>2101</v>
      </c>
      <c r="G14287" s="220" t="s">
        <v>74</v>
      </c>
      <c r="H14287" s="220"/>
      <c r="I14287" s="142"/>
      <c r="J14287" s="143" t="s">
        <v>52</v>
      </c>
      <c r="K14287" s="226">
        <v>496659.6</v>
      </c>
      <c r="L14287" s="226"/>
    </row>
    <row r="14288" spans="1:17" x14ac:dyDescent="0.2">
      <c r="A14288" s="163">
        <v>2025</v>
      </c>
      <c r="B14288" s="163">
        <v>7</v>
      </c>
      <c r="C14288" s="163">
        <v>14</v>
      </c>
      <c r="D14288" s="280">
        <f t="shared" si="2194"/>
        <v>45852</v>
      </c>
      <c r="E14288" s="281">
        <f t="shared" si="2195"/>
        <v>45852</v>
      </c>
      <c r="F14288" s="480"/>
      <c r="G14288" s="221" t="s">
        <v>74</v>
      </c>
      <c r="H14288" s="221"/>
      <c r="I14288" s="145"/>
      <c r="J14288" s="146" t="s">
        <v>190</v>
      </c>
      <c r="K14288" s="219"/>
      <c r="L14288" s="219">
        <f>K14287</f>
        <v>496659.6</v>
      </c>
      <c r="N14288" s="264"/>
    </row>
    <row r="14289" spans="1:17" ht="11.25" customHeight="1" x14ac:dyDescent="0.2">
      <c r="A14289" s="168">
        <v>2025</v>
      </c>
      <c r="B14289" s="133">
        <v>7</v>
      </c>
      <c r="C14289" s="168">
        <v>14</v>
      </c>
      <c r="D14289" s="141">
        <f t="shared" ref="D14289:D14290" si="2196">DATE(A14289,B14289,C14289)</f>
        <v>45852</v>
      </c>
      <c r="E14289" s="275">
        <f t="shared" ref="E14289:E14290" si="2197">DATE(A14289,B14289,C14289)</f>
        <v>45852</v>
      </c>
      <c r="F14289" s="479" t="s">
        <v>2037</v>
      </c>
      <c r="G14289" s="220" t="s">
        <v>74</v>
      </c>
      <c r="H14289" s="220"/>
      <c r="I14289" s="142"/>
      <c r="J14289" s="143" t="s">
        <v>52</v>
      </c>
      <c r="K14289" s="226">
        <v>971248.6</v>
      </c>
      <c r="L14289" s="226"/>
    </row>
    <row r="14290" spans="1:17" x14ac:dyDescent="0.2">
      <c r="A14290" s="163">
        <v>2025</v>
      </c>
      <c r="B14290" s="163">
        <v>7</v>
      </c>
      <c r="C14290" s="163">
        <v>14</v>
      </c>
      <c r="D14290" s="280">
        <f t="shared" si="2196"/>
        <v>45852</v>
      </c>
      <c r="E14290" s="281">
        <f t="shared" si="2197"/>
        <v>45852</v>
      </c>
      <c r="F14290" s="480"/>
      <c r="G14290" s="221" t="s">
        <v>74</v>
      </c>
      <c r="H14290" s="221"/>
      <c r="I14290" s="145"/>
      <c r="J14290" s="146" t="s">
        <v>190</v>
      </c>
      <c r="K14290" s="219"/>
      <c r="L14290" s="219">
        <f>K14289</f>
        <v>971248.6</v>
      </c>
      <c r="N14290" s="264"/>
    </row>
    <row r="14291" spans="1:17" x14ac:dyDescent="0.2">
      <c r="A14291" s="168">
        <v>2025</v>
      </c>
      <c r="B14291" s="133">
        <v>7</v>
      </c>
      <c r="C14291" s="168">
        <v>14</v>
      </c>
      <c r="D14291" s="147">
        <f>DATE(A14291,B14291,C14291)</f>
        <v>45852</v>
      </c>
      <c r="E14291" s="311">
        <f>DATE(A14291,B14291,C14291)</f>
        <v>45852</v>
      </c>
      <c r="F14291" s="481" t="s">
        <v>1943</v>
      </c>
      <c r="G14291" s="174" t="s">
        <v>74</v>
      </c>
      <c r="I14291" s="148" t="s">
        <v>348</v>
      </c>
      <c r="J14291" s="133" t="s">
        <v>61</v>
      </c>
      <c r="K14291" s="172">
        <v>158</v>
      </c>
    </row>
    <row r="14292" spans="1:17" x14ac:dyDescent="0.2">
      <c r="A14292" s="163">
        <v>2025</v>
      </c>
      <c r="B14292" s="163">
        <v>7</v>
      </c>
      <c r="C14292" s="163">
        <v>14</v>
      </c>
      <c r="D14292" s="280">
        <f>DATE(A14292,B14292,C14292)</f>
        <v>45852</v>
      </c>
      <c r="E14292" s="281">
        <f>DATE(A14292,B14292,C14292)</f>
        <v>45852</v>
      </c>
      <c r="F14292" s="480"/>
      <c r="G14292" s="221" t="s">
        <v>74</v>
      </c>
      <c r="H14292" s="145"/>
      <c r="I14292" s="145" t="s">
        <v>348</v>
      </c>
      <c r="J14292" s="163" t="s">
        <v>52</v>
      </c>
      <c r="K14292" s="219"/>
      <c r="L14292" s="219">
        <v>158</v>
      </c>
    </row>
    <row r="14293" spans="1:17" ht="11.25" customHeight="1" x14ac:dyDescent="0.2">
      <c r="A14293" s="168">
        <v>2025</v>
      </c>
      <c r="B14293" s="168">
        <v>7</v>
      </c>
      <c r="C14293" s="168">
        <v>14</v>
      </c>
      <c r="D14293" s="141">
        <f t="shared" ref="D14293:D14295" si="2198">DATE(A14293,B14293,C14293)</f>
        <v>45852</v>
      </c>
      <c r="E14293" s="275">
        <f t="shared" ref="E14293:E14295" si="2199">DATE(A14293,B14293,C14293)</f>
        <v>45852</v>
      </c>
      <c r="F14293" s="479" t="s">
        <v>1315</v>
      </c>
      <c r="G14293" s="220" t="s">
        <v>74</v>
      </c>
      <c r="H14293" s="142"/>
      <c r="I14293" s="142" t="s">
        <v>1420</v>
      </c>
      <c r="J14293" s="168" t="s">
        <v>13</v>
      </c>
      <c r="K14293" s="226">
        <v>153650</v>
      </c>
      <c r="L14293" s="226"/>
    </row>
    <row r="14294" spans="1:17" ht="11.25" customHeight="1" x14ac:dyDescent="0.2">
      <c r="A14294" s="133">
        <v>2025</v>
      </c>
      <c r="B14294" s="133">
        <v>7</v>
      </c>
      <c r="C14294" s="133">
        <v>14</v>
      </c>
      <c r="D14294" s="141">
        <f t="shared" si="2198"/>
        <v>45852</v>
      </c>
      <c r="E14294" s="275">
        <f t="shared" si="2199"/>
        <v>45852</v>
      </c>
      <c r="F14294" s="481"/>
      <c r="G14294" s="174" t="s">
        <v>74</v>
      </c>
      <c r="I14294" s="148" t="s">
        <v>1420</v>
      </c>
      <c r="J14294" s="133" t="s">
        <v>53</v>
      </c>
      <c r="K14294" s="218">
        <v>52071.989999999991</v>
      </c>
      <c r="L14294" s="218"/>
    </row>
    <row r="14295" spans="1:17" ht="11.25" customHeight="1" x14ac:dyDescent="0.2">
      <c r="A14295" s="163">
        <v>2025</v>
      </c>
      <c r="B14295" s="163">
        <v>7</v>
      </c>
      <c r="C14295" s="163">
        <v>14</v>
      </c>
      <c r="D14295" s="280">
        <f t="shared" si="2198"/>
        <v>45852</v>
      </c>
      <c r="E14295" s="281">
        <f t="shared" si="2199"/>
        <v>45852</v>
      </c>
      <c r="F14295" s="480"/>
      <c r="G14295" s="221" t="s">
        <v>74</v>
      </c>
      <c r="H14295" s="145"/>
      <c r="I14295" s="145" t="s">
        <v>1420</v>
      </c>
      <c r="J14295" s="163" t="s">
        <v>52</v>
      </c>
      <c r="K14295" s="219"/>
      <c r="L14295" s="219">
        <v>205721.99</v>
      </c>
    </row>
    <row r="14296" spans="1:17" ht="11.25" customHeight="1" x14ac:dyDescent="0.2">
      <c r="A14296" s="168">
        <v>2025</v>
      </c>
      <c r="B14296" s="133">
        <v>7</v>
      </c>
      <c r="C14296" s="168">
        <v>15</v>
      </c>
      <c r="D14296" s="141">
        <f>DATE(A14296,B14296,C14296)</f>
        <v>45853</v>
      </c>
      <c r="E14296" s="275">
        <f>DATE(A14296,B14296,C14296)</f>
        <v>45853</v>
      </c>
      <c r="F14296" s="479" t="s">
        <v>2002</v>
      </c>
      <c r="G14296" s="220" t="s">
        <v>74</v>
      </c>
      <c r="H14296" s="220"/>
      <c r="I14296" s="142"/>
      <c r="J14296" s="143" t="s">
        <v>147</v>
      </c>
      <c r="K14296" s="226">
        <v>970873.24</v>
      </c>
      <c r="L14296" s="226"/>
    </row>
    <row r="14297" spans="1:17" x14ac:dyDescent="0.2">
      <c r="A14297" s="163">
        <v>2025</v>
      </c>
      <c r="B14297" s="163">
        <v>7</v>
      </c>
      <c r="C14297" s="163">
        <v>15</v>
      </c>
      <c r="D14297" s="280">
        <f>DATE(A14297,B14297,C14297)</f>
        <v>45853</v>
      </c>
      <c r="E14297" s="281">
        <f>DATE(A14297,B14297,C14297)</f>
        <v>45853</v>
      </c>
      <c r="F14297" s="480"/>
      <c r="G14297" s="221" t="s">
        <v>74</v>
      </c>
      <c r="H14297" s="221"/>
      <c r="I14297" s="145"/>
      <c r="J14297" s="146" t="s">
        <v>52</v>
      </c>
      <c r="K14297" s="219"/>
      <c r="L14297" s="219">
        <f>K14296</f>
        <v>970873.24</v>
      </c>
      <c r="N14297" s="264"/>
    </row>
    <row r="14298" spans="1:17" x14ac:dyDescent="0.2">
      <c r="A14298" s="133">
        <v>2025</v>
      </c>
      <c r="B14298" s="133">
        <v>7</v>
      </c>
      <c r="C14298" s="133">
        <v>15</v>
      </c>
      <c r="D14298" s="141">
        <f t="shared" ref="D14298:D14299" si="2200">DATE(A14298,B14298,C14298)</f>
        <v>45853</v>
      </c>
      <c r="E14298" s="275">
        <f t="shared" ref="E14298:E14299" si="2201">DATE(A14298,B14298,C14298)</f>
        <v>45853</v>
      </c>
      <c r="F14298" s="481" t="s">
        <v>2100</v>
      </c>
      <c r="G14298" s="174" t="s">
        <v>74</v>
      </c>
      <c r="H14298" s="174"/>
      <c r="I14298" s="148" t="s">
        <v>348</v>
      </c>
      <c r="J14298" s="149" t="s">
        <v>79</v>
      </c>
      <c r="K14298" s="218">
        <v>2500000</v>
      </c>
      <c r="L14298" s="218"/>
      <c r="M14298" s="147"/>
      <c r="Q14298" s="133" t="s">
        <v>348</v>
      </c>
    </row>
    <row r="14299" spans="1:17" x14ac:dyDescent="0.2">
      <c r="A14299" s="163">
        <v>2025</v>
      </c>
      <c r="B14299" s="163">
        <v>7</v>
      </c>
      <c r="C14299" s="163">
        <v>15</v>
      </c>
      <c r="D14299" s="280">
        <f t="shared" si="2200"/>
        <v>45853</v>
      </c>
      <c r="E14299" s="281">
        <f t="shared" si="2201"/>
        <v>45853</v>
      </c>
      <c r="F14299" s="480"/>
      <c r="G14299" s="221" t="s">
        <v>74</v>
      </c>
      <c r="H14299" s="221"/>
      <c r="I14299" s="145" t="s">
        <v>348</v>
      </c>
      <c r="J14299" s="146" t="s">
        <v>52</v>
      </c>
      <c r="K14299" s="219"/>
      <c r="L14299" s="219">
        <v>2500000</v>
      </c>
      <c r="M14299" s="147"/>
      <c r="Q14299" s="133" t="s">
        <v>348</v>
      </c>
    </row>
    <row r="14300" spans="1:17" x14ac:dyDescent="0.2">
      <c r="A14300" s="168">
        <v>2025</v>
      </c>
      <c r="B14300" s="133">
        <v>7</v>
      </c>
      <c r="C14300" s="168">
        <v>15</v>
      </c>
      <c r="D14300" s="147">
        <f>DATE(A14300,B14300,C14300)</f>
        <v>45853</v>
      </c>
      <c r="E14300" s="311">
        <f>DATE(A14300,B14300,C14300)</f>
        <v>45853</v>
      </c>
      <c r="F14300" s="481" t="s">
        <v>1943</v>
      </c>
      <c r="G14300" s="174" t="s">
        <v>74</v>
      </c>
      <c r="I14300" s="148" t="s">
        <v>348</v>
      </c>
      <c r="J14300" s="133" t="s">
        <v>61</v>
      </c>
      <c r="K14300" s="172">
        <v>200</v>
      </c>
    </row>
    <row r="14301" spans="1:17" x14ac:dyDescent="0.2">
      <c r="A14301" s="163">
        <v>2025</v>
      </c>
      <c r="B14301" s="163">
        <v>7</v>
      </c>
      <c r="C14301" s="163">
        <v>15</v>
      </c>
      <c r="D14301" s="280">
        <f>DATE(A14301,B14301,C14301)</f>
        <v>45853</v>
      </c>
      <c r="E14301" s="281">
        <f>DATE(A14301,B14301,C14301)</f>
        <v>45853</v>
      </c>
      <c r="F14301" s="480"/>
      <c r="G14301" s="221" t="s">
        <v>74</v>
      </c>
      <c r="H14301" s="145"/>
      <c r="I14301" s="145" t="s">
        <v>348</v>
      </c>
      <c r="J14301" s="163" t="s">
        <v>52</v>
      </c>
      <c r="K14301" s="219"/>
      <c r="L14301" s="219">
        <v>200</v>
      </c>
    </row>
    <row r="14302" spans="1:17" ht="11.25" customHeight="1" x14ac:dyDescent="0.2">
      <c r="A14302" s="168">
        <v>2025</v>
      </c>
      <c r="B14302" s="168">
        <v>7</v>
      </c>
      <c r="C14302" s="168">
        <v>15</v>
      </c>
      <c r="D14302" s="141">
        <f t="shared" ref="D14302:D14316" si="2202">DATE(A14302,B14302,C14302)</f>
        <v>45853</v>
      </c>
      <c r="E14302" s="275">
        <f t="shared" ref="E14302:E14316" si="2203">DATE(A14302,B14302,C14302)</f>
        <v>45853</v>
      </c>
      <c r="F14302" s="479" t="s">
        <v>1315</v>
      </c>
      <c r="G14302" s="220" t="s">
        <v>74</v>
      </c>
      <c r="H14302" s="142"/>
      <c r="I14302" s="142" t="s">
        <v>478</v>
      </c>
      <c r="J14302" s="168" t="s">
        <v>13</v>
      </c>
      <c r="K14302" s="226">
        <v>1087720</v>
      </c>
      <c r="L14302" s="226"/>
    </row>
    <row r="14303" spans="1:17" ht="11.25" customHeight="1" x14ac:dyDescent="0.2">
      <c r="A14303" s="133">
        <v>2025</v>
      </c>
      <c r="B14303" s="133">
        <v>7</v>
      </c>
      <c r="C14303" s="133">
        <v>15</v>
      </c>
      <c r="D14303" s="141">
        <f t="shared" si="2202"/>
        <v>45853</v>
      </c>
      <c r="E14303" s="275">
        <f t="shared" si="2203"/>
        <v>45853</v>
      </c>
      <c r="F14303" s="481"/>
      <c r="G14303" s="174" t="s">
        <v>74</v>
      </c>
      <c r="I14303" s="148" t="s">
        <v>478</v>
      </c>
      <c r="J14303" s="133" t="s">
        <v>53</v>
      </c>
      <c r="K14303" s="218">
        <v>368628.31000000006</v>
      </c>
      <c r="L14303" s="218"/>
    </row>
    <row r="14304" spans="1:17" ht="11.25" customHeight="1" x14ac:dyDescent="0.2">
      <c r="A14304" s="163">
        <v>2025</v>
      </c>
      <c r="B14304" s="163">
        <v>7</v>
      </c>
      <c r="C14304" s="163">
        <v>15</v>
      </c>
      <c r="D14304" s="280">
        <f t="shared" si="2202"/>
        <v>45853</v>
      </c>
      <c r="E14304" s="281">
        <f t="shared" si="2203"/>
        <v>45853</v>
      </c>
      <c r="F14304" s="480"/>
      <c r="G14304" s="221" t="s">
        <v>74</v>
      </c>
      <c r="H14304" s="145"/>
      <c r="I14304" s="145" t="s">
        <v>478</v>
      </c>
      <c r="J14304" s="163" t="s">
        <v>52</v>
      </c>
      <c r="K14304" s="219"/>
      <c r="L14304" s="219">
        <v>1456348.31</v>
      </c>
    </row>
    <row r="14305" spans="1:14" x14ac:dyDescent="0.2">
      <c r="A14305" s="133">
        <v>2025</v>
      </c>
      <c r="B14305" s="133">
        <v>7</v>
      </c>
      <c r="C14305" s="133">
        <v>15</v>
      </c>
      <c r="D14305" s="141">
        <f t="shared" si="2202"/>
        <v>45853</v>
      </c>
      <c r="E14305" s="275">
        <f t="shared" si="2203"/>
        <v>45853</v>
      </c>
      <c r="F14305" s="481" t="s">
        <v>1767</v>
      </c>
      <c r="G14305" s="174" t="s">
        <v>94</v>
      </c>
      <c r="H14305" s="174"/>
      <c r="J14305" s="149" t="s">
        <v>79</v>
      </c>
      <c r="K14305" s="218">
        <v>211000</v>
      </c>
      <c r="L14305" s="218"/>
      <c r="M14305" s="160"/>
    </row>
    <row r="14306" spans="1:14" x14ac:dyDescent="0.2">
      <c r="A14306" s="133">
        <v>2025</v>
      </c>
      <c r="B14306" s="133">
        <v>7</v>
      </c>
      <c r="C14306" s="133">
        <v>15</v>
      </c>
      <c r="D14306" s="141">
        <f t="shared" si="2202"/>
        <v>45853</v>
      </c>
      <c r="E14306" s="275">
        <f t="shared" si="2203"/>
        <v>45853</v>
      </c>
      <c r="F14306" s="481"/>
      <c r="G14306" s="174" t="s">
        <v>94</v>
      </c>
      <c r="H14306" s="174"/>
      <c r="J14306" s="149" t="s">
        <v>80</v>
      </c>
      <c r="K14306" s="218">
        <v>9712.3700000000008</v>
      </c>
      <c r="L14306" s="264"/>
      <c r="M14306" s="264"/>
      <c r="N14306" s="264"/>
    </row>
    <row r="14307" spans="1:14" x14ac:dyDescent="0.2">
      <c r="A14307" s="133">
        <v>2025</v>
      </c>
      <c r="B14307" s="133">
        <v>7</v>
      </c>
      <c r="C14307" s="133">
        <v>15</v>
      </c>
      <c r="D14307" s="141">
        <f t="shared" si="2202"/>
        <v>45853</v>
      </c>
      <c r="E14307" s="275">
        <f t="shared" si="2203"/>
        <v>45853</v>
      </c>
      <c r="F14307" s="481"/>
      <c r="G14307" s="174" t="s">
        <v>94</v>
      </c>
      <c r="H14307" s="174"/>
      <c r="J14307" s="149" t="s">
        <v>190</v>
      </c>
      <c r="K14307" s="218">
        <v>4964046.43</v>
      </c>
      <c r="L14307" s="218"/>
      <c r="M14307" s="264"/>
    </row>
    <row r="14308" spans="1:14" x14ac:dyDescent="0.2">
      <c r="A14308" s="133">
        <v>2025</v>
      </c>
      <c r="B14308" s="133">
        <v>7</v>
      </c>
      <c r="C14308" s="133">
        <v>15</v>
      </c>
      <c r="D14308" s="141">
        <f t="shared" si="2202"/>
        <v>45853</v>
      </c>
      <c r="E14308" s="275">
        <f t="shared" si="2203"/>
        <v>45853</v>
      </c>
      <c r="F14308" s="481"/>
      <c r="G14308" s="174" t="s">
        <v>94</v>
      </c>
      <c r="H14308" s="174"/>
      <c r="J14308" s="149" t="s">
        <v>191</v>
      </c>
      <c r="L14308" s="218">
        <v>757216.33</v>
      </c>
    </row>
    <row r="14309" spans="1:14" x14ac:dyDescent="0.2">
      <c r="A14309" s="163">
        <v>2025</v>
      </c>
      <c r="B14309" s="163">
        <v>7</v>
      </c>
      <c r="C14309" s="163">
        <v>15</v>
      </c>
      <c r="D14309" s="280">
        <f t="shared" si="2202"/>
        <v>45853</v>
      </c>
      <c r="E14309" s="281">
        <f t="shared" si="2203"/>
        <v>45853</v>
      </c>
      <c r="F14309" s="480"/>
      <c r="G14309" s="221" t="s">
        <v>94</v>
      </c>
      <c r="H14309" s="145"/>
      <c r="I14309" s="145"/>
      <c r="J14309" s="163" t="s">
        <v>79</v>
      </c>
      <c r="K14309" s="219"/>
      <c r="L14309" s="219">
        <v>4427542.47</v>
      </c>
      <c r="M14309" s="264"/>
    </row>
    <row r="14310" spans="1:14" x14ac:dyDescent="0.2">
      <c r="A14310" s="133">
        <v>2025</v>
      </c>
      <c r="B14310" s="133">
        <v>7</v>
      </c>
      <c r="C14310" s="133">
        <v>15</v>
      </c>
      <c r="D14310" s="141">
        <f t="shared" si="2202"/>
        <v>45853</v>
      </c>
      <c r="E14310" s="275">
        <f t="shared" si="2203"/>
        <v>45853</v>
      </c>
      <c r="F14310" s="481" t="s">
        <v>2073</v>
      </c>
      <c r="G14310" s="174" t="s">
        <v>94</v>
      </c>
      <c r="H14310" s="174"/>
      <c r="J14310" s="149" t="s">
        <v>79</v>
      </c>
      <c r="K14310" s="218">
        <v>314000</v>
      </c>
      <c r="L14310" s="218"/>
      <c r="M14310" s="160"/>
    </row>
    <row r="14311" spans="1:14" x14ac:dyDescent="0.2">
      <c r="A14311" s="133">
        <v>2025</v>
      </c>
      <c r="B14311" s="133">
        <v>7</v>
      </c>
      <c r="C14311" s="133">
        <v>15</v>
      </c>
      <c r="D14311" s="141">
        <f t="shared" si="2202"/>
        <v>45853</v>
      </c>
      <c r="E14311" s="275">
        <f t="shared" si="2203"/>
        <v>45853</v>
      </c>
      <c r="F14311" s="481"/>
      <c r="G14311" s="174" t="s">
        <v>94</v>
      </c>
      <c r="H14311" s="174"/>
      <c r="J14311" s="149" t="s">
        <v>80</v>
      </c>
      <c r="K14311" s="218">
        <v>2140.1999999999998</v>
      </c>
      <c r="L14311" s="264"/>
      <c r="M14311" s="264"/>
      <c r="N14311" s="264"/>
    </row>
    <row r="14312" spans="1:14" x14ac:dyDescent="0.2">
      <c r="A14312" s="133">
        <v>2025</v>
      </c>
      <c r="B14312" s="133">
        <v>7</v>
      </c>
      <c r="C14312" s="133">
        <v>15</v>
      </c>
      <c r="D14312" s="141">
        <f t="shared" si="2202"/>
        <v>45853</v>
      </c>
      <c r="E14312" s="275">
        <f t="shared" si="2203"/>
        <v>45853</v>
      </c>
      <c r="F14312" s="481"/>
      <c r="G14312" s="174" t="s">
        <v>94</v>
      </c>
      <c r="H14312" s="174"/>
      <c r="J14312" s="149" t="s">
        <v>190</v>
      </c>
      <c r="K14312" s="218">
        <v>558859.80000000005</v>
      </c>
      <c r="L14312" s="218"/>
      <c r="M14312" s="264"/>
    </row>
    <row r="14313" spans="1:14" x14ac:dyDescent="0.2">
      <c r="A14313" s="133">
        <v>2025</v>
      </c>
      <c r="B14313" s="133">
        <v>7</v>
      </c>
      <c r="C14313" s="133">
        <v>15</v>
      </c>
      <c r="D14313" s="141">
        <f t="shared" si="2202"/>
        <v>45853</v>
      </c>
      <c r="E14313" s="275">
        <f t="shared" si="2203"/>
        <v>45853</v>
      </c>
      <c r="F14313" s="481"/>
      <c r="G14313" s="174" t="s">
        <v>94</v>
      </c>
      <c r="H14313" s="174"/>
      <c r="J14313" s="149" t="s">
        <v>191</v>
      </c>
      <c r="K14313" s="172">
        <v>2567.27</v>
      </c>
      <c r="L14313" s="218"/>
    </row>
    <row r="14314" spans="1:14" x14ac:dyDescent="0.2">
      <c r="A14314" s="163">
        <v>2025</v>
      </c>
      <c r="B14314" s="163">
        <v>7</v>
      </c>
      <c r="C14314" s="163">
        <v>15</v>
      </c>
      <c r="D14314" s="280">
        <f t="shared" si="2202"/>
        <v>45853</v>
      </c>
      <c r="E14314" s="281">
        <f t="shared" si="2203"/>
        <v>45853</v>
      </c>
      <c r="F14314" s="480"/>
      <c r="G14314" s="221" t="s">
        <v>94</v>
      </c>
      <c r="H14314" s="145"/>
      <c r="I14314" s="145"/>
      <c r="J14314" s="163" t="s">
        <v>79</v>
      </c>
      <c r="K14314" s="219"/>
      <c r="L14314" s="219">
        <v>877567.27</v>
      </c>
      <c r="M14314" s="264"/>
    </row>
    <row r="14315" spans="1:14" ht="11.25" customHeight="1" x14ac:dyDescent="0.2">
      <c r="A14315" s="168">
        <v>2025</v>
      </c>
      <c r="B14315" s="133">
        <v>7</v>
      </c>
      <c r="C14315" s="168">
        <v>15</v>
      </c>
      <c r="D14315" s="141">
        <f t="shared" si="2202"/>
        <v>45853</v>
      </c>
      <c r="E14315" s="275">
        <f t="shared" si="2203"/>
        <v>45853</v>
      </c>
      <c r="F14315" s="479" t="s">
        <v>2037</v>
      </c>
      <c r="G14315" s="220" t="s">
        <v>74</v>
      </c>
      <c r="H14315" s="220"/>
      <c r="I14315" s="142"/>
      <c r="J14315" s="143" t="s">
        <v>52</v>
      </c>
      <c r="K14315" s="226">
        <v>813233.8</v>
      </c>
      <c r="L14315" s="226"/>
    </row>
    <row r="14316" spans="1:14" x14ac:dyDescent="0.2">
      <c r="A14316" s="163">
        <v>2025</v>
      </c>
      <c r="B14316" s="163">
        <v>7</v>
      </c>
      <c r="C14316" s="163">
        <v>15</v>
      </c>
      <c r="D14316" s="280">
        <f t="shared" si="2202"/>
        <v>45853</v>
      </c>
      <c r="E14316" s="281">
        <f t="shared" si="2203"/>
        <v>45853</v>
      </c>
      <c r="F14316" s="480"/>
      <c r="G14316" s="221" t="s">
        <v>74</v>
      </c>
      <c r="H14316" s="221"/>
      <c r="I14316" s="145"/>
      <c r="J14316" s="146" t="s">
        <v>190</v>
      </c>
      <c r="K14316" s="219"/>
      <c r="L14316" s="219">
        <f>K14315</f>
        <v>813233.8</v>
      </c>
      <c r="N14316" s="264"/>
    </row>
    <row r="14317" spans="1:14" x14ac:dyDescent="0.2">
      <c r="A14317" s="168">
        <v>2025</v>
      </c>
      <c r="B14317" s="133">
        <v>7</v>
      </c>
      <c r="C14317" s="168">
        <v>15</v>
      </c>
      <c r="D14317" s="147">
        <f>DATE(A14317,B14317,C14317)</f>
        <v>45853</v>
      </c>
      <c r="E14317" s="311">
        <f>DATE(A14317,B14317,C14317)</f>
        <v>45853</v>
      </c>
      <c r="F14317" s="481" t="s">
        <v>1943</v>
      </c>
      <c r="G14317" s="174" t="s">
        <v>74</v>
      </c>
      <c r="I14317" s="148" t="s">
        <v>348</v>
      </c>
      <c r="J14317" s="133" t="s">
        <v>61</v>
      </c>
      <c r="K14317" s="172">
        <v>200</v>
      </c>
    </row>
    <row r="14318" spans="1:14" x14ac:dyDescent="0.2">
      <c r="A14318" s="163">
        <v>2025</v>
      </c>
      <c r="B14318" s="163">
        <v>7</v>
      </c>
      <c r="C14318" s="163">
        <v>15</v>
      </c>
      <c r="D14318" s="280">
        <f>DATE(A14318,B14318,C14318)</f>
        <v>45853</v>
      </c>
      <c r="E14318" s="281">
        <f>DATE(A14318,B14318,C14318)</f>
        <v>45853</v>
      </c>
      <c r="F14318" s="480"/>
      <c r="G14318" s="221" t="s">
        <v>74</v>
      </c>
      <c r="H14318" s="145"/>
      <c r="I14318" s="145" t="s">
        <v>348</v>
      </c>
      <c r="J14318" s="163" t="s">
        <v>52</v>
      </c>
      <c r="K14318" s="219"/>
      <c r="L14318" s="219">
        <v>200</v>
      </c>
    </row>
    <row r="14319" spans="1:14" ht="11.25" customHeight="1" x14ac:dyDescent="0.2">
      <c r="A14319" s="168">
        <v>2025</v>
      </c>
      <c r="B14319" s="168">
        <v>7</v>
      </c>
      <c r="C14319" s="168">
        <v>15</v>
      </c>
      <c r="D14319" s="141">
        <f t="shared" ref="D14319:D14321" si="2204">DATE(A14319,B14319,C14319)</f>
        <v>45853</v>
      </c>
      <c r="E14319" s="275">
        <f t="shared" ref="E14319:E14321" si="2205">DATE(A14319,B14319,C14319)</f>
        <v>45853</v>
      </c>
      <c r="F14319" s="479" t="s">
        <v>1319</v>
      </c>
      <c r="G14319" s="220" t="s">
        <v>74</v>
      </c>
      <c r="H14319" s="142"/>
      <c r="I14319" s="142"/>
      <c r="J14319" s="168" t="s">
        <v>52</v>
      </c>
      <c r="K14319" s="226">
        <v>2000</v>
      </c>
      <c r="L14319" s="226"/>
    </row>
    <row r="14320" spans="1:14" ht="11.25" customHeight="1" x14ac:dyDescent="0.2">
      <c r="A14320" s="133">
        <v>2025</v>
      </c>
      <c r="B14320" s="133">
        <v>7</v>
      </c>
      <c r="C14320" s="133">
        <v>15</v>
      </c>
      <c r="D14320" s="141">
        <f t="shared" si="2204"/>
        <v>45853</v>
      </c>
      <c r="E14320" s="275">
        <f t="shared" si="2205"/>
        <v>45853</v>
      </c>
      <c r="F14320" s="481"/>
      <c r="G14320" s="174" t="s">
        <v>74</v>
      </c>
      <c r="J14320" s="133" t="s">
        <v>13</v>
      </c>
      <c r="K14320" s="218"/>
      <c r="L14320" s="218">
        <v>1490</v>
      </c>
    </row>
    <row r="14321" spans="1:14" ht="11.25" customHeight="1" x14ac:dyDescent="0.2">
      <c r="A14321" s="163">
        <v>2025</v>
      </c>
      <c r="B14321" s="163">
        <v>7</v>
      </c>
      <c r="C14321" s="163">
        <v>15</v>
      </c>
      <c r="D14321" s="280">
        <f t="shared" si="2204"/>
        <v>45853</v>
      </c>
      <c r="E14321" s="281">
        <f t="shared" si="2205"/>
        <v>45853</v>
      </c>
      <c r="F14321" s="480"/>
      <c r="G14321" s="221" t="s">
        <v>74</v>
      </c>
      <c r="H14321" s="145"/>
      <c r="I14321" s="145"/>
      <c r="J14321" s="163" t="s">
        <v>53</v>
      </c>
      <c r="K14321" s="219"/>
      <c r="L14321" s="219">
        <v>510</v>
      </c>
    </row>
    <row r="14322" spans="1:14" x14ac:dyDescent="0.2">
      <c r="A14322" s="133">
        <v>2025</v>
      </c>
      <c r="B14322" s="133">
        <v>7</v>
      </c>
      <c r="C14322" s="133">
        <v>16</v>
      </c>
      <c r="D14322" s="141">
        <f t="shared" ref="D14322:D14340" si="2206">DATE(A14322,B14322,C14322)</f>
        <v>45854</v>
      </c>
      <c r="E14322" s="275">
        <f t="shared" ref="E14322:E14340" si="2207">DATE(A14322,B14322,C14322)</f>
        <v>45854</v>
      </c>
      <c r="F14322" s="481" t="s">
        <v>2073</v>
      </c>
      <c r="G14322" s="174" t="s">
        <v>94</v>
      </c>
      <c r="H14322" s="174"/>
      <c r="J14322" s="149" t="s">
        <v>79</v>
      </c>
      <c r="K14322" s="218">
        <v>3927974.5</v>
      </c>
      <c r="L14322" s="218"/>
      <c r="M14322" s="160"/>
    </row>
    <row r="14323" spans="1:14" x14ac:dyDescent="0.2">
      <c r="A14323" s="133">
        <v>2025</v>
      </c>
      <c r="B14323" s="133">
        <v>7</v>
      </c>
      <c r="C14323" s="133">
        <v>16</v>
      </c>
      <c r="D14323" s="141">
        <f t="shared" si="2206"/>
        <v>45854</v>
      </c>
      <c r="E14323" s="275">
        <f t="shared" si="2207"/>
        <v>45854</v>
      </c>
      <c r="F14323" s="481"/>
      <c r="G14323" s="174" t="s">
        <v>94</v>
      </c>
      <c r="H14323" s="174"/>
      <c r="J14323" s="149" t="s">
        <v>80</v>
      </c>
      <c r="K14323" s="218">
        <v>11362.53</v>
      </c>
      <c r="L14323" s="264"/>
      <c r="M14323" s="264"/>
      <c r="N14323" s="264"/>
    </row>
    <row r="14324" spans="1:14" x14ac:dyDescent="0.2">
      <c r="A14324" s="133">
        <v>2025</v>
      </c>
      <c r="B14324" s="133">
        <v>7</v>
      </c>
      <c r="C14324" s="133">
        <v>16</v>
      </c>
      <c r="D14324" s="141">
        <f t="shared" si="2206"/>
        <v>45854</v>
      </c>
      <c r="E14324" s="275">
        <f t="shared" si="2207"/>
        <v>45854</v>
      </c>
      <c r="F14324" s="481"/>
      <c r="G14324" s="174" t="s">
        <v>94</v>
      </c>
      <c r="H14324" s="174"/>
      <c r="J14324" s="149" t="s">
        <v>147</v>
      </c>
      <c r="K14324" s="218"/>
      <c r="L14324" s="218">
        <v>1554795.43</v>
      </c>
      <c r="M14324" s="264"/>
    </row>
    <row r="14325" spans="1:14" x14ac:dyDescent="0.2">
      <c r="A14325" s="133">
        <v>2025</v>
      </c>
      <c r="B14325" s="133">
        <v>7</v>
      </c>
      <c r="C14325" s="133">
        <v>16</v>
      </c>
      <c r="D14325" s="141">
        <f t="shared" si="2206"/>
        <v>45854</v>
      </c>
      <c r="E14325" s="275">
        <f t="shared" si="2207"/>
        <v>45854</v>
      </c>
      <c r="F14325" s="481"/>
      <c r="G14325" s="174" t="s">
        <v>94</v>
      </c>
      <c r="H14325" s="174"/>
      <c r="J14325" s="149" t="s">
        <v>191</v>
      </c>
      <c r="L14325" s="218">
        <v>4809.91</v>
      </c>
    </row>
    <row r="14326" spans="1:14" x14ac:dyDescent="0.2">
      <c r="A14326" s="163">
        <v>2025</v>
      </c>
      <c r="B14326" s="163">
        <v>7</v>
      </c>
      <c r="C14326" s="163">
        <v>16</v>
      </c>
      <c r="D14326" s="280">
        <f t="shared" si="2206"/>
        <v>45854</v>
      </c>
      <c r="E14326" s="281">
        <f t="shared" si="2207"/>
        <v>45854</v>
      </c>
      <c r="F14326" s="480"/>
      <c r="G14326" s="221" t="s">
        <v>94</v>
      </c>
      <c r="H14326" s="145"/>
      <c r="I14326" s="145"/>
      <c r="J14326" s="163" t="s">
        <v>79</v>
      </c>
      <c r="K14326" s="219"/>
      <c r="L14326" s="219">
        <v>2379731.69</v>
      </c>
      <c r="M14326" s="264"/>
    </row>
    <row r="14327" spans="1:14" x14ac:dyDescent="0.2">
      <c r="A14327" s="133">
        <v>2025</v>
      </c>
      <c r="B14327" s="133">
        <v>7</v>
      </c>
      <c r="C14327" s="133">
        <v>16</v>
      </c>
      <c r="D14327" s="141">
        <f t="shared" si="2206"/>
        <v>45854</v>
      </c>
      <c r="E14327" s="275">
        <f t="shared" si="2207"/>
        <v>45854</v>
      </c>
      <c r="F14327" s="481" t="s">
        <v>2075</v>
      </c>
      <c r="G14327" s="174" t="s">
        <v>94</v>
      </c>
      <c r="H14327" s="174"/>
      <c r="J14327" s="149" t="s">
        <v>79</v>
      </c>
      <c r="K14327" s="218">
        <v>963965</v>
      </c>
      <c r="L14327" s="218"/>
      <c r="M14327" s="160"/>
    </row>
    <row r="14328" spans="1:14" x14ac:dyDescent="0.2">
      <c r="A14328" s="133">
        <v>2025</v>
      </c>
      <c r="B14328" s="133">
        <v>7</v>
      </c>
      <c r="C14328" s="133">
        <v>16</v>
      </c>
      <c r="D14328" s="141">
        <f t="shared" si="2206"/>
        <v>45854</v>
      </c>
      <c r="E14328" s="275">
        <f t="shared" si="2207"/>
        <v>45854</v>
      </c>
      <c r="F14328" s="481"/>
      <c r="G14328" s="174" t="s">
        <v>94</v>
      </c>
      <c r="H14328" s="174"/>
      <c r="J14328" s="149" t="s">
        <v>80</v>
      </c>
      <c r="K14328" s="218">
        <v>4345.1400000000003</v>
      </c>
      <c r="L14328" s="264"/>
      <c r="M14328" s="264"/>
      <c r="N14328" s="264"/>
    </row>
    <row r="14329" spans="1:14" x14ac:dyDescent="0.2">
      <c r="A14329" s="133">
        <v>2025</v>
      </c>
      <c r="B14329" s="133">
        <v>7</v>
      </c>
      <c r="C14329" s="133">
        <v>16</v>
      </c>
      <c r="D14329" s="141">
        <f t="shared" si="2206"/>
        <v>45854</v>
      </c>
      <c r="E14329" s="275">
        <f t="shared" si="2207"/>
        <v>45854</v>
      </c>
      <c r="F14329" s="481"/>
      <c r="G14329" s="174" t="s">
        <v>94</v>
      </c>
      <c r="H14329" s="174"/>
      <c r="J14329" s="149" t="s">
        <v>190</v>
      </c>
      <c r="K14329" s="218">
        <v>481689.86</v>
      </c>
      <c r="L14329" s="218"/>
      <c r="M14329" s="264"/>
    </row>
    <row r="14330" spans="1:14" x14ac:dyDescent="0.2">
      <c r="A14330" s="133">
        <v>2025</v>
      </c>
      <c r="B14330" s="133">
        <v>7</v>
      </c>
      <c r="C14330" s="133">
        <v>16</v>
      </c>
      <c r="D14330" s="141">
        <f t="shared" si="2206"/>
        <v>45854</v>
      </c>
      <c r="E14330" s="275">
        <f t="shared" si="2207"/>
        <v>45854</v>
      </c>
      <c r="F14330" s="481"/>
      <c r="G14330" s="174" t="s">
        <v>94</v>
      </c>
      <c r="H14330" s="174"/>
      <c r="J14330" s="149" t="s">
        <v>191</v>
      </c>
      <c r="L14330" s="218">
        <v>364521.26</v>
      </c>
    </row>
    <row r="14331" spans="1:14" x14ac:dyDescent="0.2">
      <c r="A14331" s="163">
        <v>2025</v>
      </c>
      <c r="B14331" s="163">
        <v>7</v>
      </c>
      <c r="C14331" s="163">
        <v>16</v>
      </c>
      <c r="D14331" s="280">
        <f t="shared" si="2206"/>
        <v>45854</v>
      </c>
      <c r="E14331" s="281">
        <f t="shared" si="2207"/>
        <v>45854</v>
      </c>
      <c r="F14331" s="480"/>
      <c r="G14331" s="221" t="s">
        <v>94</v>
      </c>
      <c r="H14331" s="145"/>
      <c r="I14331" s="145"/>
      <c r="J14331" s="163" t="s">
        <v>79</v>
      </c>
      <c r="K14331" s="219"/>
      <c r="L14331" s="219">
        <v>1085478.74</v>
      </c>
      <c r="M14331" s="264"/>
    </row>
    <row r="14332" spans="1:14" ht="11.25" customHeight="1" x14ac:dyDescent="0.2">
      <c r="A14332" s="168">
        <v>2025</v>
      </c>
      <c r="B14332" s="168">
        <v>7</v>
      </c>
      <c r="C14332" s="168">
        <v>16</v>
      </c>
      <c r="D14332" s="141">
        <f t="shared" si="2206"/>
        <v>45854</v>
      </c>
      <c r="E14332" s="275">
        <f t="shared" si="2207"/>
        <v>45854</v>
      </c>
      <c r="F14332" s="479" t="s">
        <v>1315</v>
      </c>
      <c r="G14332" s="220" t="s">
        <v>74</v>
      </c>
      <c r="H14332" s="142"/>
      <c r="I14332" s="142"/>
      <c r="J14332" s="168" t="s">
        <v>13</v>
      </c>
      <c r="K14332" s="226">
        <v>527790</v>
      </c>
      <c r="L14332" s="226"/>
    </row>
    <row r="14333" spans="1:14" ht="11.25" customHeight="1" x14ac:dyDescent="0.2">
      <c r="A14333" s="133">
        <v>2025</v>
      </c>
      <c r="B14333" s="133">
        <v>7</v>
      </c>
      <c r="C14333" s="133">
        <v>16</v>
      </c>
      <c r="D14333" s="141">
        <f t="shared" si="2206"/>
        <v>45854</v>
      </c>
      <c r="E14333" s="275">
        <f t="shared" si="2207"/>
        <v>45854</v>
      </c>
      <c r="F14333" s="481"/>
      <c r="G14333" s="174" t="s">
        <v>74</v>
      </c>
      <c r="J14333" s="133" t="s">
        <v>53</v>
      </c>
      <c r="K14333" s="218">
        <v>178868.03000000003</v>
      </c>
      <c r="L14333" s="218"/>
    </row>
    <row r="14334" spans="1:14" ht="11.25" customHeight="1" x14ac:dyDescent="0.2">
      <c r="A14334" s="163">
        <v>2025</v>
      </c>
      <c r="B14334" s="163">
        <v>7</v>
      </c>
      <c r="C14334" s="163">
        <v>16</v>
      </c>
      <c r="D14334" s="280">
        <f t="shared" si="2206"/>
        <v>45854</v>
      </c>
      <c r="E14334" s="281">
        <f t="shared" si="2207"/>
        <v>45854</v>
      </c>
      <c r="F14334" s="480"/>
      <c r="G14334" s="221" t="s">
        <v>74</v>
      </c>
      <c r="H14334" s="145"/>
      <c r="I14334" s="145"/>
      <c r="J14334" s="163" t="s">
        <v>52</v>
      </c>
      <c r="K14334" s="219"/>
      <c r="L14334" s="219">
        <v>706658.03</v>
      </c>
    </row>
    <row r="14335" spans="1:14" ht="11.25" customHeight="1" x14ac:dyDescent="0.2">
      <c r="A14335" s="168">
        <v>2025</v>
      </c>
      <c r="B14335" s="133">
        <v>7</v>
      </c>
      <c r="C14335" s="168">
        <v>16</v>
      </c>
      <c r="D14335" s="141">
        <f t="shared" si="2206"/>
        <v>45854</v>
      </c>
      <c r="E14335" s="275">
        <f t="shared" si="2207"/>
        <v>45854</v>
      </c>
      <c r="F14335" s="479" t="s">
        <v>2037</v>
      </c>
      <c r="G14335" s="220" t="s">
        <v>74</v>
      </c>
      <c r="H14335" s="220"/>
      <c r="I14335" s="142"/>
      <c r="J14335" s="143" t="s">
        <v>52</v>
      </c>
      <c r="K14335" s="226">
        <v>3499329.04</v>
      </c>
      <c r="L14335" s="226"/>
    </row>
    <row r="14336" spans="1:14" x14ac:dyDescent="0.2">
      <c r="A14336" s="163">
        <v>2025</v>
      </c>
      <c r="B14336" s="163">
        <v>7</v>
      </c>
      <c r="C14336" s="163">
        <v>16</v>
      </c>
      <c r="D14336" s="280">
        <f t="shared" si="2206"/>
        <v>45854</v>
      </c>
      <c r="E14336" s="281">
        <f t="shared" si="2207"/>
        <v>45854</v>
      </c>
      <c r="F14336" s="480"/>
      <c r="G14336" s="221" t="s">
        <v>74</v>
      </c>
      <c r="H14336" s="221"/>
      <c r="I14336" s="145"/>
      <c r="J14336" s="146" t="s">
        <v>190</v>
      </c>
      <c r="K14336" s="219"/>
      <c r="L14336" s="219">
        <f>K14335</f>
        <v>3499329.04</v>
      </c>
      <c r="N14336" s="264"/>
    </row>
    <row r="14337" spans="1:17" ht="11.25" customHeight="1" x14ac:dyDescent="0.2">
      <c r="A14337" s="168">
        <v>2025</v>
      </c>
      <c r="B14337" s="133">
        <v>7</v>
      </c>
      <c r="C14337" s="168">
        <v>16</v>
      </c>
      <c r="D14337" s="141">
        <f t="shared" si="2206"/>
        <v>45854</v>
      </c>
      <c r="E14337" s="275">
        <f t="shared" si="2207"/>
        <v>45854</v>
      </c>
      <c r="F14337" s="479" t="s">
        <v>2101</v>
      </c>
      <c r="G14337" s="220" t="s">
        <v>74</v>
      </c>
      <c r="H14337" s="220"/>
      <c r="I14337" s="142"/>
      <c r="J14337" s="143" t="s">
        <v>52</v>
      </c>
      <c r="K14337" s="226">
        <v>1640913.42</v>
      </c>
      <c r="L14337" s="226"/>
    </row>
    <row r="14338" spans="1:17" x14ac:dyDescent="0.2">
      <c r="A14338" s="163">
        <v>2025</v>
      </c>
      <c r="B14338" s="163">
        <v>7</v>
      </c>
      <c r="C14338" s="163">
        <v>16</v>
      </c>
      <c r="D14338" s="280">
        <f t="shared" si="2206"/>
        <v>45854</v>
      </c>
      <c r="E14338" s="281">
        <f t="shared" si="2207"/>
        <v>45854</v>
      </c>
      <c r="F14338" s="480"/>
      <c r="G14338" s="221" t="s">
        <v>74</v>
      </c>
      <c r="H14338" s="221"/>
      <c r="I14338" s="145"/>
      <c r="J14338" s="146" t="s">
        <v>190</v>
      </c>
      <c r="K14338" s="219"/>
      <c r="L14338" s="219">
        <f>K14337</f>
        <v>1640913.42</v>
      </c>
      <c r="N14338" s="264"/>
    </row>
    <row r="14339" spans="1:17" x14ac:dyDescent="0.2">
      <c r="A14339" s="133">
        <v>2025</v>
      </c>
      <c r="B14339" s="133">
        <v>7</v>
      </c>
      <c r="C14339" s="133">
        <v>16</v>
      </c>
      <c r="D14339" s="141">
        <f t="shared" si="2206"/>
        <v>45854</v>
      </c>
      <c r="E14339" s="275">
        <f t="shared" si="2207"/>
        <v>45854</v>
      </c>
      <c r="F14339" s="479" t="s">
        <v>2103</v>
      </c>
      <c r="G14339" s="174" t="s">
        <v>74</v>
      </c>
      <c r="H14339" s="174"/>
      <c r="I14339" s="148" t="s">
        <v>348</v>
      </c>
      <c r="J14339" s="143" t="s">
        <v>1805</v>
      </c>
      <c r="K14339" s="218">
        <v>1061336.3400000001</v>
      </c>
      <c r="L14339" s="218"/>
      <c r="M14339" s="147"/>
      <c r="Q14339" s="133" t="s">
        <v>348</v>
      </c>
    </row>
    <row r="14340" spans="1:17" x14ac:dyDescent="0.2">
      <c r="A14340" s="163">
        <v>2025</v>
      </c>
      <c r="B14340" s="163">
        <v>7</v>
      </c>
      <c r="C14340" s="163">
        <v>16</v>
      </c>
      <c r="D14340" s="280">
        <f t="shared" si="2206"/>
        <v>45854</v>
      </c>
      <c r="E14340" s="281">
        <f t="shared" si="2207"/>
        <v>45854</v>
      </c>
      <c r="F14340" s="480"/>
      <c r="G14340" s="221" t="s">
        <v>74</v>
      </c>
      <c r="H14340" s="221"/>
      <c r="I14340" s="145"/>
      <c r="J14340" s="146" t="s">
        <v>52</v>
      </c>
      <c r="K14340" s="219"/>
      <c r="L14340" s="219">
        <v>1061336.3400000001</v>
      </c>
      <c r="M14340" s="147"/>
      <c r="Q14340" s="133" t="s">
        <v>348</v>
      </c>
    </row>
    <row r="14341" spans="1:17" x14ac:dyDescent="0.2">
      <c r="A14341" s="168">
        <v>2025</v>
      </c>
      <c r="B14341" s="133">
        <v>7</v>
      </c>
      <c r="C14341" s="168">
        <v>16</v>
      </c>
      <c r="D14341" s="147">
        <f>DATE(A14341,B14341,C14341)</f>
        <v>45854</v>
      </c>
      <c r="E14341" s="311">
        <f>DATE(A14341,B14341,C14341)</f>
        <v>45854</v>
      </c>
      <c r="F14341" s="481" t="s">
        <v>1943</v>
      </c>
      <c r="G14341" s="174" t="s">
        <v>74</v>
      </c>
      <c r="I14341" s="148" t="s">
        <v>348</v>
      </c>
      <c r="J14341" s="133" t="s">
        <v>61</v>
      </c>
      <c r="K14341" s="172">
        <v>100</v>
      </c>
    </row>
    <row r="14342" spans="1:17" x14ac:dyDescent="0.2">
      <c r="A14342" s="163">
        <v>2025</v>
      </c>
      <c r="B14342" s="163">
        <v>7</v>
      </c>
      <c r="C14342" s="163">
        <v>16</v>
      </c>
      <c r="D14342" s="280">
        <f>DATE(A14342,B14342,C14342)</f>
        <v>45854</v>
      </c>
      <c r="E14342" s="281">
        <f>DATE(A14342,B14342,C14342)</f>
        <v>45854</v>
      </c>
      <c r="F14342" s="480"/>
      <c r="G14342" s="221" t="s">
        <v>74</v>
      </c>
      <c r="H14342" s="145"/>
      <c r="I14342" s="145" t="s">
        <v>348</v>
      </c>
      <c r="J14342" s="163" t="s">
        <v>52</v>
      </c>
      <c r="K14342" s="219"/>
      <c r="L14342" s="219">
        <v>100</v>
      </c>
    </row>
    <row r="14343" spans="1:17" ht="11.25" customHeight="1" x14ac:dyDescent="0.2">
      <c r="A14343" s="168">
        <v>2025</v>
      </c>
      <c r="B14343" s="168">
        <v>7</v>
      </c>
      <c r="C14343" s="133">
        <v>17</v>
      </c>
      <c r="D14343" s="141">
        <f t="shared" ref="D14343:D14347" si="2208">DATE(A14343,B14343,C14343)</f>
        <v>45855</v>
      </c>
      <c r="E14343" s="275">
        <f t="shared" ref="E14343:E14347" si="2209">DATE(A14343,B14343,C14343)</f>
        <v>45855</v>
      </c>
      <c r="F14343" s="479" t="s">
        <v>964</v>
      </c>
      <c r="G14343" s="220" t="s">
        <v>74</v>
      </c>
      <c r="H14343" s="142"/>
      <c r="I14343" s="142"/>
      <c r="J14343" s="168" t="s">
        <v>52</v>
      </c>
      <c r="K14343" s="226">
        <v>334725</v>
      </c>
      <c r="L14343" s="226"/>
    </row>
    <row r="14344" spans="1:17" ht="11.25" customHeight="1" x14ac:dyDescent="0.2">
      <c r="A14344" s="133">
        <v>2025</v>
      </c>
      <c r="B14344" s="133">
        <v>7</v>
      </c>
      <c r="C14344" s="133">
        <v>17</v>
      </c>
      <c r="D14344" s="141">
        <f t="shared" si="2208"/>
        <v>45855</v>
      </c>
      <c r="E14344" s="275">
        <f t="shared" si="2209"/>
        <v>45855</v>
      </c>
      <c r="F14344" s="481"/>
      <c r="G14344" s="174" t="s">
        <v>74</v>
      </c>
      <c r="J14344" s="133" t="s">
        <v>13</v>
      </c>
      <c r="K14344" s="218"/>
      <c r="L14344" s="218">
        <v>250000</v>
      </c>
    </row>
    <row r="14345" spans="1:17" ht="11.25" customHeight="1" x14ac:dyDescent="0.2">
      <c r="A14345" s="163">
        <v>2025</v>
      </c>
      <c r="B14345" s="163">
        <v>7</v>
      </c>
      <c r="C14345" s="163">
        <v>17</v>
      </c>
      <c r="D14345" s="280">
        <f t="shared" si="2208"/>
        <v>45855</v>
      </c>
      <c r="E14345" s="281">
        <f t="shared" si="2209"/>
        <v>45855</v>
      </c>
      <c r="F14345" s="480"/>
      <c r="G14345" s="221" t="s">
        <v>74</v>
      </c>
      <c r="H14345" s="145"/>
      <c r="I14345" s="145"/>
      <c r="J14345" s="163" t="s">
        <v>53</v>
      </c>
      <c r="K14345" s="219"/>
      <c r="L14345" s="219">
        <v>84725</v>
      </c>
    </row>
    <row r="14346" spans="1:17" ht="11.25" customHeight="1" x14ac:dyDescent="0.2">
      <c r="A14346" s="168">
        <v>2025</v>
      </c>
      <c r="B14346" s="133">
        <v>7</v>
      </c>
      <c r="C14346" s="168">
        <v>17</v>
      </c>
      <c r="D14346" s="141">
        <f t="shared" si="2208"/>
        <v>45855</v>
      </c>
      <c r="E14346" s="275">
        <f t="shared" si="2209"/>
        <v>45855</v>
      </c>
      <c r="F14346" s="479" t="s">
        <v>2074</v>
      </c>
      <c r="G14346" s="220" t="s">
        <v>74</v>
      </c>
      <c r="H14346" s="220"/>
      <c r="I14346" s="142"/>
      <c r="J14346" s="143" t="s">
        <v>147</v>
      </c>
      <c r="K14346" s="226">
        <v>1554795.43</v>
      </c>
      <c r="L14346" s="226"/>
    </row>
    <row r="14347" spans="1:17" x14ac:dyDescent="0.2">
      <c r="A14347" s="163">
        <v>2025</v>
      </c>
      <c r="B14347" s="163">
        <v>7</v>
      </c>
      <c r="C14347" s="163">
        <v>17</v>
      </c>
      <c r="D14347" s="280">
        <f t="shared" si="2208"/>
        <v>45855</v>
      </c>
      <c r="E14347" s="281">
        <f t="shared" si="2209"/>
        <v>45855</v>
      </c>
      <c r="F14347" s="480"/>
      <c r="G14347" s="221" t="s">
        <v>74</v>
      </c>
      <c r="H14347" s="221"/>
      <c r="I14347" s="145"/>
      <c r="J14347" s="146" t="s">
        <v>52</v>
      </c>
      <c r="K14347" s="219"/>
      <c r="L14347" s="219">
        <f>K14346</f>
        <v>1554795.43</v>
      </c>
      <c r="N14347" s="264"/>
    </row>
    <row r="14348" spans="1:17" x14ac:dyDescent="0.2">
      <c r="A14348" s="168">
        <v>2025</v>
      </c>
      <c r="B14348" s="133">
        <v>7</v>
      </c>
      <c r="C14348" s="168">
        <v>17</v>
      </c>
      <c r="D14348" s="147">
        <f>DATE(A14348,B14348,C14348)</f>
        <v>45855</v>
      </c>
      <c r="E14348" s="311">
        <f>DATE(A14348,B14348,C14348)</f>
        <v>45855</v>
      </c>
      <c r="F14348" s="481" t="s">
        <v>1943</v>
      </c>
      <c r="G14348" s="174" t="s">
        <v>74</v>
      </c>
      <c r="I14348" s="148" t="s">
        <v>348</v>
      </c>
      <c r="J14348" s="133" t="s">
        <v>61</v>
      </c>
      <c r="K14348" s="172">
        <v>300</v>
      </c>
    </row>
    <row r="14349" spans="1:17" x14ac:dyDescent="0.2">
      <c r="A14349" s="163">
        <v>2025</v>
      </c>
      <c r="B14349" s="163">
        <v>7</v>
      </c>
      <c r="C14349" s="163">
        <v>17</v>
      </c>
      <c r="D14349" s="280">
        <f>DATE(A14349,B14349,C14349)</f>
        <v>45855</v>
      </c>
      <c r="E14349" s="281">
        <f>DATE(A14349,B14349,C14349)</f>
        <v>45855</v>
      </c>
      <c r="F14349" s="480"/>
      <c r="G14349" s="221" t="s">
        <v>74</v>
      </c>
      <c r="H14349" s="145"/>
      <c r="I14349" s="145" t="s">
        <v>348</v>
      </c>
      <c r="J14349" s="163" t="s">
        <v>52</v>
      </c>
      <c r="K14349" s="219"/>
      <c r="L14349" s="219">
        <v>300</v>
      </c>
    </row>
    <row r="14350" spans="1:17" ht="11.25" customHeight="1" x14ac:dyDescent="0.2">
      <c r="A14350" s="168">
        <v>2025</v>
      </c>
      <c r="B14350" s="133">
        <v>7</v>
      </c>
      <c r="C14350" s="168">
        <v>17</v>
      </c>
      <c r="D14350" s="141">
        <f t="shared" ref="D14350:D14386" si="2210">DATE(A14350,B14350,C14350)</f>
        <v>45855</v>
      </c>
      <c r="E14350" s="275">
        <f t="shared" ref="E14350:E14386" si="2211">DATE(A14350,B14350,C14350)</f>
        <v>45855</v>
      </c>
      <c r="F14350" s="479" t="s">
        <v>2064</v>
      </c>
      <c r="G14350" s="220" t="s">
        <v>74</v>
      </c>
      <c r="H14350" s="220"/>
      <c r="I14350" s="142"/>
      <c r="J14350" s="143" t="s">
        <v>147</v>
      </c>
      <c r="K14350" s="226">
        <v>594067.4</v>
      </c>
      <c r="L14350" s="226"/>
    </row>
    <row r="14351" spans="1:17" x14ac:dyDescent="0.2">
      <c r="A14351" s="163">
        <v>2025</v>
      </c>
      <c r="B14351" s="163">
        <v>7</v>
      </c>
      <c r="C14351" s="163">
        <v>17</v>
      </c>
      <c r="D14351" s="280">
        <f t="shared" si="2210"/>
        <v>45855</v>
      </c>
      <c r="E14351" s="281">
        <f t="shared" si="2211"/>
        <v>45855</v>
      </c>
      <c r="F14351" s="480"/>
      <c r="G14351" s="221" t="s">
        <v>74</v>
      </c>
      <c r="H14351" s="221"/>
      <c r="I14351" s="145"/>
      <c r="J14351" s="146" t="s">
        <v>52</v>
      </c>
      <c r="K14351" s="219"/>
      <c r="L14351" s="219">
        <f>K14350</f>
        <v>594067.4</v>
      </c>
      <c r="N14351" s="264"/>
    </row>
    <row r="14352" spans="1:17" x14ac:dyDescent="0.2">
      <c r="A14352" s="133">
        <v>2025</v>
      </c>
      <c r="B14352" s="133">
        <v>7</v>
      </c>
      <c r="C14352" s="133">
        <v>17</v>
      </c>
      <c r="D14352" s="141">
        <f t="shared" si="2210"/>
        <v>45855</v>
      </c>
      <c r="E14352" s="275">
        <f t="shared" si="2211"/>
        <v>45855</v>
      </c>
      <c r="F14352" s="481" t="s">
        <v>2073</v>
      </c>
      <c r="G14352" s="174" t="s">
        <v>94</v>
      </c>
      <c r="H14352" s="174"/>
      <c r="J14352" s="149" t="s">
        <v>79</v>
      </c>
      <c r="K14352" s="218">
        <v>2417000</v>
      </c>
      <c r="L14352" s="218"/>
      <c r="M14352" s="160"/>
    </row>
    <row r="14353" spans="1:14" x14ac:dyDescent="0.2">
      <c r="A14353" s="133">
        <v>2025</v>
      </c>
      <c r="B14353" s="133">
        <v>7</v>
      </c>
      <c r="C14353" s="133">
        <v>17</v>
      </c>
      <c r="D14353" s="141">
        <f t="shared" si="2210"/>
        <v>45855</v>
      </c>
      <c r="E14353" s="275">
        <f t="shared" si="2211"/>
        <v>45855</v>
      </c>
      <c r="F14353" s="481"/>
      <c r="G14353" s="174" t="s">
        <v>94</v>
      </c>
      <c r="H14353" s="174"/>
      <c r="J14353" s="149" t="s">
        <v>80</v>
      </c>
      <c r="K14353" s="218">
        <v>5476.58</v>
      </c>
      <c r="L14353" s="264"/>
      <c r="M14353" s="264"/>
      <c r="N14353" s="264"/>
    </row>
    <row r="14354" spans="1:14" x14ac:dyDescent="0.2">
      <c r="A14354" s="133">
        <v>2025</v>
      </c>
      <c r="B14354" s="133">
        <v>7</v>
      </c>
      <c r="C14354" s="133">
        <v>17</v>
      </c>
      <c r="D14354" s="141">
        <f t="shared" si="2210"/>
        <v>45855</v>
      </c>
      <c r="E14354" s="275">
        <f t="shared" si="2211"/>
        <v>45855</v>
      </c>
      <c r="F14354" s="481"/>
      <c r="G14354" s="174" t="s">
        <v>94</v>
      </c>
      <c r="H14354" s="174"/>
      <c r="J14354" s="149" t="s">
        <v>147</v>
      </c>
      <c r="K14354" s="218"/>
      <c r="L14354" s="218">
        <v>1796932.68</v>
      </c>
      <c r="M14354" s="264"/>
    </row>
    <row r="14355" spans="1:14" x14ac:dyDescent="0.2">
      <c r="A14355" s="133">
        <v>2025</v>
      </c>
      <c r="B14355" s="133">
        <v>7</v>
      </c>
      <c r="C14355" s="133">
        <v>17</v>
      </c>
      <c r="D14355" s="141">
        <f t="shared" si="2210"/>
        <v>45855</v>
      </c>
      <c r="E14355" s="275">
        <f t="shared" si="2211"/>
        <v>45855</v>
      </c>
      <c r="F14355" s="481"/>
      <c r="G14355" s="174" t="s">
        <v>94</v>
      </c>
      <c r="H14355" s="174"/>
      <c r="J14355" s="149" t="s">
        <v>191</v>
      </c>
      <c r="L14355" s="218">
        <v>108015.8</v>
      </c>
    </row>
    <row r="14356" spans="1:14" x14ac:dyDescent="0.2">
      <c r="A14356" s="163">
        <v>2025</v>
      </c>
      <c r="B14356" s="163">
        <v>7</v>
      </c>
      <c r="C14356" s="163">
        <v>17</v>
      </c>
      <c r="D14356" s="280">
        <f t="shared" si="2210"/>
        <v>45855</v>
      </c>
      <c r="E14356" s="281">
        <f t="shared" si="2211"/>
        <v>45855</v>
      </c>
      <c r="F14356" s="480"/>
      <c r="G14356" s="221" t="s">
        <v>94</v>
      </c>
      <c r="H14356" s="145"/>
      <c r="I14356" s="145"/>
      <c r="J14356" s="163" t="s">
        <v>79</v>
      </c>
      <c r="K14356" s="219"/>
      <c r="L14356" s="219">
        <v>517528.1</v>
      </c>
      <c r="M14356" s="264"/>
    </row>
    <row r="14357" spans="1:14" x14ac:dyDescent="0.2">
      <c r="A14357" s="133">
        <v>2025</v>
      </c>
      <c r="B14357" s="133">
        <v>7</v>
      </c>
      <c r="C14357" s="133">
        <v>17</v>
      </c>
      <c r="D14357" s="141">
        <f t="shared" ref="D14357:D14361" si="2212">DATE(A14357,B14357,C14357)</f>
        <v>45855</v>
      </c>
      <c r="E14357" s="275">
        <f t="shared" ref="E14357:E14361" si="2213">DATE(A14357,B14357,C14357)</f>
        <v>45855</v>
      </c>
      <c r="F14357" s="481" t="s">
        <v>2075</v>
      </c>
      <c r="G14357" s="174" t="s">
        <v>94</v>
      </c>
      <c r="H14357" s="174"/>
      <c r="J14357" s="149" t="s">
        <v>79</v>
      </c>
      <c r="K14357" s="218">
        <v>1060000</v>
      </c>
      <c r="L14357" s="218"/>
      <c r="M14357" s="160"/>
    </row>
    <row r="14358" spans="1:14" x14ac:dyDescent="0.2">
      <c r="A14358" s="133">
        <v>2025</v>
      </c>
      <c r="B14358" s="133">
        <v>7</v>
      </c>
      <c r="C14358" s="133">
        <v>17</v>
      </c>
      <c r="D14358" s="141">
        <f t="shared" si="2212"/>
        <v>45855</v>
      </c>
      <c r="E14358" s="275">
        <f t="shared" si="2213"/>
        <v>45855</v>
      </c>
      <c r="F14358" s="481"/>
      <c r="G14358" s="174" t="s">
        <v>94</v>
      </c>
      <c r="H14358" s="174"/>
      <c r="J14358" s="149" t="s">
        <v>80</v>
      </c>
      <c r="K14358" s="218">
        <v>3129.66</v>
      </c>
      <c r="L14358" s="264"/>
      <c r="M14358" s="264"/>
      <c r="N14358" s="264"/>
    </row>
    <row r="14359" spans="1:14" x14ac:dyDescent="0.2">
      <c r="A14359" s="133">
        <v>2025</v>
      </c>
      <c r="B14359" s="133">
        <v>7</v>
      </c>
      <c r="C14359" s="133">
        <v>17</v>
      </c>
      <c r="D14359" s="141">
        <f t="shared" si="2212"/>
        <v>45855</v>
      </c>
      <c r="E14359" s="275">
        <f t="shared" si="2213"/>
        <v>45855</v>
      </c>
      <c r="F14359" s="481"/>
      <c r="G14359" s="174" t="s">
        <v>94</v>
      </c>
      <c r="H14359" s="174"/>
      <c r="J14359" s="396" t="s">
        <v>147</v>
      </c>
      <c r="K14359" s="254"/>
      <c r="L14359" s="254">
        <v>384429.66</v>
      </c>
      <c r="M14359" s="264"/>
    </row>
    <row r="14360" spans="1:14" x14ac:dyDescent="0.2">
      <c r="A14360" s="133">
        <v>2025</v>
      </c>
      <c r="B14360" s="133">
        <v>7</v>
      </c>
      <c r="C14360" s="133">
        <v>17</v>
      </c>
      <c r="D14360" s="141">
        <f t="shared" si="2212"/>
        <v>45855</v>
      </c>
      <c r="E14360" s="275">
        <f t="shared" si="2213"/>
        <v>45855</v>
      </c>
      <c r="F14360" s="481"/>
      <c r="G14360" s="174" t="s">
        <v>94</v>
      </c>
      <c r="H14360" s="174"/>
      <c r="J14360" s="149" t="s">
        <v>191</v>
      </c>
      <c r="L14360" s="218">
        <v>196170.74</v>
      </c>
    </row>
    <row r="14361" spans="1:14" x14ac:dyDescent="0.2">
      <c r="A14361" s="163">
        <v>2025</v>
      </c>
      <c r="B14361" s="163">
        <v>7</v>
      </c>
      <c r="C14361" s="163">
        <v>17</v>
      </c>
      <c r="D14361" s="280">
        <f t="shared" si="2212"/>
        <v>45855</v>
      </c>
      <c r="E14361" s="281">
        <f t="shared" si="2213"/>
        <v>45855</v>
      </c>
      <c r="F14361" s="480"/>
      <c r="G14361" s="221" t="s">
        <v>94</v>
      </c>
      <c r="H14361" s="145"/>
      <c r="I14361" s="145"/>
      <c r="J14361" s="163" t="s">
        <v>79</v>
      </c>
      <c r="K14361" s="219"/>
      <c r="L14361" s="219">
        <v>482529.26</v>
      </c>
      <c r="M14361" s="264"/>
    </row>
    <row r="14362" spans="1:14" ht="11.25" customHeight="1" x14ac:dyDescent="0.2">
      <c r="A14362" s="168">
        <v>2025</v>
      </c>
      <c r="B14362" s="168">
        <v>7</v>
      </c>
      <c r="C14362" s="168">
        <v>17</v>
      </c>
      <c r="D14362" s="141">
        <f t="shared" si="2210"/>
        <v>45855</v>
      </c>
      <c r="E14362" s="275">
        <f t="shared" si="2211"/>
        <v>45855</v>
      </c>
      <c r="F14362" s="479" t="s">
        <v>1315</v>
      </c>
      <c r="G14362" s="220" t="s">
        <v>74</v>
      </c>
      <c r="H14362" s="142"/>
      <c r="I14362" s="142"/>
      <c r="J14362" s="168" t="s">
        <v>13</v>
      </c>
      <c r="K14362" s="226">
        <v>26740</v>
      </c>
      <c r="L14362" s="226"/>
    </row>
    <row r="14363" spans="1:14" ht="11.25" customHeight="1" x14ac:dyDescent="0.2">
      <c r="A14363" s="133">
        <v>2025</v>
      </c>
      <c r="B14363" s="133">
        <v>7</v>
      </c>
      <c r="C14363" s="133">
        <v>17</v>
      </c>
      <c r="D14363" s="141">
        <f t="shared" si="2210"/>
        <v>45855</v>
      </c>
      <c r="E14363" s="275">
        <f t="shared" si="2211"/>
        <v>45855</v>
      </c>
      <c r="F14363" s="481"/>
      <c r="G14363" s="174" t="s">
        <v>74</v>
      </c>
      <c r="J14363" s="133" t="s">
        <v>53</v>
      </c>
      <c r="K14363" s="218">
        <v>9062.19</v>
      </c>
      <c r="L14363" s="218"/>
    </row>
    <row r="14364" spans="1:14" ht="11.25" customHeight="1" x14ac:dyDescent="0.2">
      <c r="A14364" s="163">
        <v>2025</v>
      </c>
      <c r="B14364" s="163">
        <v>7</v>
      </c>
      <c r="C14364" s="163">
        <v>17</v>
      </c>
      <c r="D14364" s="280">
        <f t="shared" si="2210"/>
        <v>45855</v>
      </c>
      <c r="E14364" s="281">
        <f t="shared" si="2211"/>
        <v>45855</v>
      </c>
      <c r="F14364" s="480"/>
      <c r="G14364" s="221" t="s">
        <v>74</v>
      </c>
      <c r="H14364" s="145"/>
      <c r="I14364" s="145"/>
      <c r="J14364" s="163" t="s">
        <v>52</v>
      </c>
      <c r="K14364" s="219"/>
      <c r="L14364" s="219">
        <v>35802.19</v>
      </c>
    </row>
    <row r="14365" spans="1:14" ht="11.25" customHeight="1" x14ac:dyDescent="0.2">
      <c r="A14365" s="168">
        <v>2025</v>
      </c>
      <c r="B14365" s="133">
        <v>7</v>
      </c>
      <c r="C14365" s="168">
        <v>17</v>
      </c>
      <c r="D14365" s="141">
        <f t="shared" si="2210"/>
        <v>45855</v>
      </c>
      <c r="E14365" s="275">
        <f t="shared" si="2211"/>
        <v>45855</v>
      </c>
      <c r="F14365" s="479" t="s">
        <v>2074</v>
      </c>
      <c r="G14365" s="220" t="s">
        <v>74</v>
      </c>
      <c r="H14365" s="220"/>
      <c r="I14365" s="142"/>
      <c r="J14365" s="143" t="s">
        <v>147</v>
      </c>
      <c r="K14365" s="226">
        <v>1796932.68</v>
      </c>
      <c r="L14365" s="226"/>
    </row>
    <row r="14366" spans="1:14" x14ac:dyDescent="0.2">
      <c r="A14366" s="163">
        <v>2025</v>
      </c>
      <c r="B14366" s="163">
        <v>7</v>
      </c>
      <c r="C14366" s="163">
        <v>17</v>
      </c>
      <c r="D14366" s="280">
        <f t="shared" si="2210"/>
        <v>45855</v>
      </c>
      <c r="E14366" s="281">
        <f t="shared" si="2211"/>
        <v>45855</v>
      </c>
      <c r="F14366" s="480"/>
      <c r="G14366" s="221" t="s">
        <v>74</v>
      </c>
      <c r="H14366" s="221"/>
      <c r="I14366" s="145"/>
      <c r="J14366" s="146" t="s">
        <v>52</v>
      </c>
      <c r="K14366" s="219"/>
      <c r="L14366" s="219">
        <f>K14365</f>
        <v>1796932.68</v>
      </c>
      <c r="N14366" s="264"/>
    </row>
    <row r="14367" spans="1:14" ht="11.25" customHeight="1" x14ac:dyDescent="0.2">
      <c r="A14367" s="168">
        <v>2025</v>
      </c>
      <c r="B14367" s="133">
        <v>7</v>
      </c>
      <c r="C14367" s="168">
        <v>17</v>
      </c>
      <c r="D14367" s="141">
        <f t="shared" si="2210"/>
        <v>45855</v>
      </c>
      <c r="E14367" s="275">
        <f t="shared" si="2211"/>
        <v>45855</v>
      </c>
      <c r="F14367" s="479" t="s">
        <v>2037</v>
      </c>
      <c r="G14367" s="220" t="s">
        <v>74</v>
      </c>
      <c r="H14367" s="220"/>
      <c r="I14367" s="142"/>
      <c r="J14367" s="143" t="s">
        <v>52</v>
      </c>
      <c r="K14367" s="226">
        <v>558859.80000000005</v>
      </c>
      <c r="L14367" s="226"/>
    </row>
    <row r="14368" spans="1:14" x14ac:dyDescent="0.2">
      <c r="A14368" s="163">
        <v>2025</v>
      </c>
      <c r="B14368" s="163">
        <v>7</v>
      </c>
      <c r="C14368" s="163">
        <v>17</v>
      </c>
      <c r="D14368" s="280">
        <f t="shared" si="2210"/>
        <v>45855</v>
      </c>
      <c r="E14368" s="281">
        <f t="shared" si="2211"/>
        <v>45855</v>
      </c>
      <c r="F14368" s="480"/>
      <c r="G14368" s="221" t="s">
        <v>74</v>
      </c>
      <c r="H14368" s="221"/>
      <c r="I14368" s="145"/>
      <c r="J14368" s="146" t="s">
        <v>190</v>
      </c>
      <c r="K14368" s="219"/>
      <c r="L14368" s="219">
        <f>K14367</f>
        <v>558859.80000000005</v>
      </c>
      <c r="N14368" s="264"/>
    </row>
    <row r="14369" spans="1:13" x14ac:dyDescent="0.2">
      <c r="A14369" s="325">
        <v>2025</v>
      </c>
      <c r="B14369" s="325">
        <v>7</v>
      </c>
      <c r="C14369" s="325">
        <v>17</v>
      </c>
      <c r="D14369" s="326">
        <f t="shared" si="2210"/>
        <v>45855</v>
      </c>
      <c r="E14369" s="327">
        <f t="shared" si="2211"/>
        <v>45855</v>
      </c>
      <c r="F14369" s="473" t="s">
        <v>1940</v>
      </c>
      <c r="G14369" s="340" t="s">
        <v>94</v>
      </c>
      <c r="H14369" s="340"/>
      <c r="I14369" s="341" t="s">
        <v>348</v>
      </c>
      <c r="J14369" s="374" t="s">
        <v>133</v>
      </c>
      <c r="K14369" s="375">
        <v>12905.56</v>
      </c>
      <c r="L14369" s="375"/>
      <c r="M14369" s="176"/>
    </row>
    <row r="14370" spans="1:13" x14ac:dyDescent="0.2">
      <c r="A14370" s="331">
        <v>2025</v>
      </c>
      <c r="B14370" s="331">
        <v>7</v>
      </c>
      <c r="C14370" s="331">
        <v>17</v>
      </c>
      <c r="D14370" s="326">
        <f t="shared" si="2210"/>
        <v>45855</v>
      </c>
      <c r="E14370" s="327">
        <f t="shared" si="2211"/>
        <v>45855</v>
      </c>
      <c r="F14370" s="474"/>
      <c r="G14370" s="332" t="s">
        <v>94</v>
      </c>
      <c r="H14370" s="332"/>
      <c r="I14370" s="333" t="s">
        <v>348</v>
      </c>
      <c r="J14370" s="376" t="s">
        <v>60</v>
      </c>
      <c r="K14370" s="334"/>
      <c r="L14370" s="334">
        <f>K14369</f>
        <v>12905.56</v>
      </c>
    </row>
    <row r="14371" spans="1:13" x14ac:dyDescent="0.2">
      <c r="A14371" s="325">
        <v>2025</v>
      </c>
      <c r="B14371" s="325">
        <v>7</v>
      </c>
      <c r="C14371" s="325">
        <v>17</v>
      </c>
      <c r="D14371" s="326">
        <f t="shared" si="2210"/>
        <v>45855</v>
      </c>
      <c r="E14371" s="327">
        <f t="shared" si="2211"/>
        <v>45855</v>
      </c>
      <c r="F14371" s="473" t="s">
        <v>2097</v>
      </c>
      <c r="G14371" s="340" t="s">
        <v>94</v>
      </c>
      <c r="H14371" s="340"/>
      <c r="I14371" s="341" t="s">
        <v>348</v>
      </c>
      <c r="J14371" s="374" t="s">
        <v>133</v>
      </c>
      <c r="K14371" s="375">
        <v>6250</v>
      </c>
      <c r="L14371" s="375"/>
      <c r="M14371" s="176"/>
    </row>
    <row r="14372" spans="1:13" x14ac:dyDescent="0.2">
      <c r="A14372" s="331">
        <v>2025</v>
      </c>
      <c r="B14372" s="331">
        <v>7</v>
      </c>
      <c r="C14372" s="331">
        <v>17</v>
      </c>
      <c r="D14372" s="326">
        <f t="shared" si="2210"/>
        <v>45855</v>
      </c>
      <c r="E14372" s="327">
        <f t="shared" si="2211"/>
        <v>45855</v>
      </c>
      <c r="F14372" s="474"/>
      <c r="G14372" s="332" t="s">
        <v>94</v>
      </c>
      <c r="H14372" s="332"/>
      <c r="I14372" s="333" t="s">
        <v>348</v>
      </c>
      <c r="J14372" s="376" t="s">
        <v>60</v>
      </c>
      <c r="K14372" s="334"/>
      <c r="L14372" s="334">
        <f>K14371</f>
        <v>6250</v>
      </c>
    </row>
    <row r="14373" spans="1:13" x14ac:dyDescent="0.2">
      <c r="A14373" s="384">
        <v>2025</v>
      </c>
      <c r="B14373" s="384">
        <v>7</v>
      </c>
      <c r="C14373" s="384">
        <v>17</v>
      </c>
      <c r="D14373" s="385">
        <f t="shared" si="2210"/>
        <v>45855</v>
      </c>
      <c r="E14373" s="386">
        <f t="shared" si="2211"/>
        <v>45855</v>
      </c>
      <c r="F14373" s="475" t="s">
        <v>1966</v>
      </c>
      <c r="G14373" s="387" t="s">
        <v>94</v>
      </c>
      <c r="H14373" s="387"/>
      <c r="I14373" s="388" t="s">
        <v>348</v>
      </c>
      <c r="J14373" s="389" t="s">
        <v>67</v>
      </c>
      <c r="K14373" s="390">
        <v>15682.01</v>
      </c>
      <c r="L14373" s="390"/>
    </row>
    <row r="14374" spans="1:13" x14ac:dyDescent="0.2">
      <c r="A14374" s="391">
        <v>2025</v>
      </c>
      <c r="B14374" s="391">
        <v>7</v>
      </c>
      <c r="C14374" s="391">
        <v>17</v>
      </c>
      <c r="D14374" s="385">
        <f t="shared" si="2210"/>
        <v>45855</v>
      </c>
      <c r="E14374" s="386">
        <f t="shared" si="2211"/>
        <v>45855</v>
      </c>
      <c r="F14374" s="476"/>
      <c r="G14374" s="392" t="s">
        <v>94</v>
      </c>
      <c r="H14374" s="392"/>
      <c r="I14374" s="393" t="s">
        <v>348</v>
      </c>
      <c r="J14374" s="394" t="s">
        <v>60</v>
      </c>
      <c r="K14374" s="395"/>
      <c r="L14374" s="395">
        <f>K14373</f>
        <v>15682.01</v>
      </c>
    </row>
    <row r="14375" spans="1:13" x14ac:dyDescent="0.2">
      <c r="A14375" s="343">
        <v>2025</v>
      </c>
      <c r="B14375" s="343">
        <v>7</v>
      </c>
      <c r="C14375" s="343">
        <v>17</v>
      </c>
      <c r="D14375" s="344">
        <f t="shared" si="2210"/>
        <v>45855</v>
      </c>
      <c r="E14375" s="345">
        <f t="shared" si="2211"/>
        <v>45855</v>
      </c>
      <c r="F14375" s="483" t="s">
        <v>1813</v>
      </c>
      <c r="G14375" s="350" t="s">
        <v>94</v>
      </c>
      <c r="H14375" s="350"/>
      <c r="I14375" s="352" t="s">
        <v>348</v>
      </c>
      <c r="J14375" s="353" t="s">
        <v>1807</v>
      </c>
      <c r="K14375" s="354">
        <v>0</v>
      </c>
      <c r="L14375" s="354"/>
      <c r="M14375" s="133">
        <v>0</v>
      </c>
    </row>
    <row r="14376" spans="1:13" x14ac:dyDescent="0.2">
      <c r="A14376" s="346">
        <v>2025</v>
      </c>
      <c r="B14376" s="346">
        <v>7</v>
      </c>
      <c r="C14376" s="346">
        <v>17</v>
      </c>
      <c r="D14376" s="344">
        <f t="shared" si="2210"/>
        <v>45855</v>
      </c>
      <c r="E14376" s="345">
        <f t="shared" si="2211"/>
        <v>45855</v>
      </c>
      <c r="F14376" s="484"/>
      <c r="G14376" s="347" t="s">
        <v>94</v>
      </c>
      <c r="H14376" s="347"/>
      <c r="I14376" s="348" t="s">
        <v>348</v>
      </c>
      <c r="J14376" s="355" t="s">
        <v>1798</v>
      </c>
      <c r="K14376" s="349"/>
      <c r="L14376" s="349">
        <v>0</v>
      </c>
    </row>
    <row r="14377" spans="1:13" x14ac:dyDescent="0.2">
      <c r="A14377" s="343">
        <v>2025</v>
      </c>
      <c r="B14377" s="343">
        <v>7</v>
      </c>
      <c r="C14377" s="343">
        <v>17</v>
      </c>
      <c r="D14377" s="344">
        <f t="shared" si="2210"/>
        <v>45855</v>
      </c>
      <c r="E14377" s="345">
        <f t="shared" si="2211"/>
        <v>45855</v>
      </c>
      <c r="F14377" s="483" t="s">
        <v>1913</v>
      </c>
      <c r="G14377" s="350" t="s">
        <v>94</v>
      </c>
      <c r="H14377" s="350"/>
      <c r="I14377" s="352" t="s">
        <v>348</v>
      </c>
      <c r="J14377" s="353" t="s">
        <v>1799</v>
      </c>
      <c r="K14377" s="354">
        <v>113500.56999999285</v>
      </c>
      <c r="L14377" s="354"/>
      <c r="M14377" s="160">
        <v>0</v>
      </c>
    </row>
    <row r="14378" spans="1:13" x14ac:dyDescent="0.2">
      <c r="A14378" s="346">
        <v>2025</v>
      </c>
      <c r="B14378" s="346">
        <v>7</v>
      </c>
      <c r="C14378" s="346">
        <v>17</v>
      </c>
      <c r="D14378" s="344">
        <f t="shared" si="2210"/>
        <v>45855</v>
      </c>
      <c r="E14378" s="345">
        <f t="shared" si="2211"/>
        <v>45855</v>
      </c>
      <c r="F14378" s="484"/>
      <c r="G14378" s="347" t="s">
        <v>94</v>
      </c>
      <c r="H14378" s="347"/>
      <c r="I14378" s="348" t="s">
        <v>348</v>
      </c>
      <c r="J14378" s="355" t="s">
        <v>1808</v>
      </c>
      <c r="K14378" s="349"/>
      <c r="L14378" s="349">
        <f>K14377</f>
        <v>113500.56999999285</v>
      </c>
    </row>
    <row r="14379" spans="1:13" x14ac:dyDescent="0.2">
      <c r="A14379" s="238">
        <v>2025</v>
      </c>
      <c r="B14379" s="238">
        <v>7</v>
      </c>
      <c r="C14379" s="238">
        <v>17</v>
      </c>
      <c r="D14379" s="270">
        <f t="shared" si="2210"/>
        <v>45855</v>
      </c>
      <c r="E14379" s="279">
        <f t="shared" si="2211"/>
        <v>45855</v>
      </c>
      <c r="F14379" s="477" t="s">
        <v>347</v>
      </c>
      <c r="G14379" s="239" t="s">
        <v>94</v>
      </c>
      <c r="H14379" s="239"/>
      <c r="I14379" s="262" t="s">
        <v>348</v>
      </c>
      <c r="J14379" s="240" t="s">
        <v>82</v>
      </c>
      <c r="K14379" s="241">
        <v>488975.78879999497</v>
      </c>
      <c r="L14379" s="241"/>
      <c r="M14379" s="160">
        <v>13139541.900000483</v>
      </c>
    </row>
    <row r="14380" spans="1:13" x14ac:dyDescent="0.2">
      <c r="A14380" s="242">
        <v>2025</v>
      </c>
      <c r="B14380" s="242">
        <v>7</v>
      </c>
      <c r="C14380" s="242">
        <v>17</v>
      </c>
      <c r="D14380" s="270">
        <f t="shared" si="2210"/>
        <v>45855</v>
      </c>
      <c r="E14380" s="279">
        <f t="shared" si="2211"/>
        <v>45855</v>
      </c>
      <c r="F14380" s="478"/>
      <c r="G14380" s="243" t="s">
        <v>94</v>
      </c>
      <c r="H14380" s="243"/>
      <c r="I14380" s="263" t="s">
        <v>348</v>
      </c>
      <c r="J14380" s="244" t="s">
        <v>108</v>
      </c>
      <c r="K14380" s="245"/>
      <c r="L14380" s="245">
        <f>K14379</f>
        <v>488975.78879999497</v>
      </c>
    </row>
    <row r="14381" spans="1:13" ht="12" customHeight="1" x14ac:dyDescent="0.2">
      <c r="A14381" s="246">
        <v>2025</v>
      </c>
      <c r="B14381" s="238">
        <v>7</v>
      </c>
      <c r="C14381" s="238">
        <v>17</v>
      </c>
      <c r="D14381" s="270">
        <f t="shared" si="2210"/>
        <v>45855</v>
      </c>
      <c r="E14381" s="279">
        <f t="shared" si="2211"/>
        <v>45855</v>
      </c>
      <c r="F14381" s="482" t="s">
        <v>148</v>
      </c>
      <c r="G14381" s="247" t="s">
        <v>94</v>
      </c>
      <c r="H14381" s="247"/>
      <c r="I14381" s="248" t="s">
        <v>348</v>
      </c>
      <c r="J14381" s="249" t="s">
        <v>95</v>
      </c>
      <c r="K14381" s="250">
        <v>2747.2527472527472</v>
      </c>
      <c r="L14381" s="241"/>
      <c r="M14381" s="176"/>
    </row>
    <row r="14382" spans="1:13" x14ac:dyDescent="0.2">
      <c r="A14382" s="242">
        <v>2025</v>
      </c>
      <c r="B14382" s="242">
        <v>7</v>
      </c>
      <c r="C14382" s="242">
        <v>17</v>
      </c>
      <c r="D14382" s="270">
        <f t="shared" si="2210"/>
        <v>45855</v>
      </c>
      <c r="E14382" s="279">
        <f t="shared" si="2211"/>
        <v>45855</v>
      </c>
      <c r="F14382" s="478"/>
      <c r="G14382" s="243" t="s">
        <v>94</v>
      </c>
      <c r="H14382" s="243"/>
      <c r="I14382" s="263" t="s">
        <v>348</v>
      </c>
      <c r="J14382" s="244" t="s">
        <v>63</v>
      </c>
      <c r="K14382" s="245"/>
      <c r="L14382" s="245">
        <f>K14381</f>
        <v>2747.2527472527472</v>
      </c>
    </row>
    <row r="14383" spans="1:13" x14ac:dyDescent="0.2">
      <c r="A14383" s="246">
        <v>2025</v>
      </c>
      <c r="B14383" s="238">
        <v>7</v>
      </c>
      <c r="C14383" s="238">
        <v>17</v>
      </c>
      <c r="D14383" s="270">
        <f t="shared" si="2210"/>
        <v>45855</v>
      </c>
      <c r="E14383" s="279">
        <f t="shared" si="2211"/>
        <v>45855</v>
      </c>
      <c r="F14383" s="482" t="s">
        <v>137</v>
      </c>
      <c r="G14383" s="247" t="s">
        <v>94</v>
      </c>
      <c r="H14383" s="247"/>
      <c r="I14383" s="248" t="s">
        <v>348</v>
      </c>
      <c r="J14383" s="249" t="s">
        <v>97</v>
      </c>
      <c r="K14383" s="250">
        <f>M14383</f>
        <v>67041.063170637717</v>
      </c>
      <c r="L14383" s="252"/>
      <c r="M14383" s="133">
        <v>67041.063170637717</v>
      </c>
    </row>
    <row r="14384" spans="1:13" x14ac:dyDescent="0.2">
      <c r="A14384" s="242">
        <v>2025</v>
      </c>
      <c r="B14384" s="242">
        <v>7</v>
      </c>
      <c r="C14384" s="242">
        <v>17</v>
      </c>
      <c r="D14384" s="270">
        <f t="shared" si="2210"/>
        <v>45855</v>
      </c>
      <c r="E14384" s="279">
        <f t="shared" si="2211"/>
        <v>45855</v>
      </c>
      <c r="F14384" s="478"/>
      <c r="G14384" s="243" t="s">
        <v>94</v>
      </c>
      <c r="H14384" s="243"/>
      <c r="I14384" s="263" t="s">
        <v>348</v>
      </c>
      <c r="J14384" s="244" t="s">
        <v>47</v>
      </c>
      <c r="K14384" s="245"/>
      <c r="L14384" s="245">
        <f>K14383</f>
        <v>67041.063170637717</v>
      </c>
      <c r="M14384" s="133">
        <v>3111.6685431472706</v>
      </c>
    </row>
    <row r="14385" spans="1:14" x14ac:dyDescent="0.2">
      <c r="A14385" s="246">
        <v>2025</v>
      </c>
      <c r="B14385" s="238">
        <v>7</v>
      </c>
      <c r="C14385" s="238">
        <v>17</v>
      </c>
      <c r="D14385" s="270">
        <f t="shared" si="2210"/>
        <v>45855</v>
      </c>
      <c r="E14385" s="279">
        <f t="shared" si="2211"/>
        <v>45855</v>
      </c>
      <c r="F14385" s="482" t="s">
        <v>138</v>
      </c>
      <c r="G14385" s="247" t="s">
        <v>94</v>
      </c>
      <c r="H14385" s="247"/>
      <c r="I14385" s="248" t="s">
        <v>348</v>
      </c>
      <c r="J14385" s="249" t="s">
        <v>100</v>
      </c>
      <c r="K14385" s="250">
        <f>M14384</f>
        <v>3111.6685431472706</v>
      </c>
      <c r="L14385" s="252"/>
    </row>
    <row r="14386" spans="1:14" x14ac:dyDescent="0.2">
      <c r="A14386" s="242">
        <v>2025</v>
      </c>
      <c r="B14386" s="242">
        <v>7</v>
      </c>
      <c r="C14386" s="242">
        <v>17</v>
      </c>
      <c r="D14386" s="321">
        <f t="shared" si="2210"/>
        <v>45855</v>
      </c>
      <c r="E14386" s="322">
        <f t="shared" si="2211"/>
        <v>45855</v>
      </c>
      <c r="F14386" s="478"/>
      <c r="G14386" s="243" t="s">
        <v>94</v>
      </c>
      <c r="H14386" s="243"/>
      <c r="I14386" s="263" t="s">
        <v>348</v>
      </c>
      <c r="J14386" s="244" t="s">
        <v>48</v>
      </c>
      <c r="K14386" s="245"/>
      <c r="L14386" s="245">
        <f>K14385</f>
        <v>3111.6685431472706</v>
      </c>
    </row>
    <row r="14387" spans="1:14" x14ac:dyDescent="0.2">
      <c r="A14387" s="133">
        <v>2025</v>
      </c>
      <c r="B14387" s="133">
        <v>7</v>
      </c>
      <c r="C14387" s="133">
        <v>20</v>
      </c>
      <c r="D14387" s="141">
        <f t="shared" ref="D14387:D14398" si="2214">DATE(A14387,B14387,C14387)</f>
        <v>45858</v>
      </c>
      <c r="E14387" s="275">
        <f t="shared" ref="E14387:E14398" si="2215">DATE(A14387,B14387,C14387)</f>
        <v>45858</v>
      </c>
      <c r="F14387" s="481" t="s">
        <v>2073</v>
      </c>
      <c r="G14387" s="174" t="s">
        <v>94</v>
      </c>
      <c r="H14387" s="174"/>
      <c r="J14387" s="149" t="s">
        <v>79</v>
      </c>
      <c r="K14387" s="218">
        <v>6722215.7000000002</v>
      </c>
      <c r="L14387" s="218"/>
      <c r="M14387" s="160"/>
    </row>
    <row r="14388" spans="1:14" x14ac:dyDescent="0.2">
      <c r="A14388" s="133">
        <v>2025</v>
      </c>
      <c r="B14388" s="133">
        <v>7</v>
      </c>
      <c r="C14388" s="133">
        <v>20</v>
      </c>
      <c r="D14388" s="141">
        <f t="shared" si="2214"/>
        <v>45858</v>
      </c>
      <c r="E14388" s="275">
        <f t="shared" si="2215"/>
        <v>45858</v>
      </c>
      <c r="F14388" s="481"/>
      <c r="G14388" s="174" t="s">
        <v>94</v>
      </c>
      <c r="H14388" s="174"/>
      <c r="J14388" s="149" t="s">
        <v>80</v>
      </c>
      <c r="K14388" s="218">
        <v>13467.98</v>
      </c>
      <c r="L14388" s="264"/>
      <c r="M14388" s="264"/>
      <c r="N14388" s="264"/>
    </row>
    <row r="14389" spans="1:14" x14ac:dyDescent="0.2">
      <c r="A14389" s="133">
        <v>2025</v>
      </c>
      <c r="B14389" s="133">
        <v>7</v>
      </c>
      <c r="C14389" s="133">
        <v>20</v>
      </c>
      <c r="D14389" s="141">
        <f t="shared" si="2214"/>
        <v>45858</v>
      </c>
      <c r="E14389" s="275">
        <f t="shared" si="2215"/>
        <v>45858</v>
      </c>
      <c r="F14389" s="481"/>
      <c r="G14389" s="174" t="s">
        <v>94</v>
      </c>
      <c r="H14389" s="174"/>
      <c r="J14389" s="149" t="s">
        <v>147</v>
      </c>
      <c r="K14389" s="218"/>
      <c r="L14389" s="218">
        <v>5975683.6900000004</v>
      </c>
      <c r="M14389" s="264"/>
    </row>
    <row r="14390" spans="1:14" x14ac:dyDescent="0.2">
      <c r="A14390" s="133">
        <v>2025</v>
      </c>
      <c r="B14390" s="133">
        <v>7</v>
      </c>
      <c r="C14390" s="133">
        <v>20</v>
      </c>
      <c r="D14390" s="141">
        <f t="shared" si="2214"/>
        <v>45858</v>
      </c>
      <c r="E14390" s="275">
        <f t="shared" si="2215"/>
        <v>45858</v>
      </c>
      <c r="F14390" s="481"/>
      <c r="G14390" s="174" t="s">
        <v>94</v>
      </c>
      <c r="H14390" s="174"/>
      <c r="J14390" s="149" t="s">
        <v>191</v>
      </c>
      <c r="L14390" s="218">
        <v>150835.31</v>
      </c>
    </row>
    <row r="14391" spans="1:14" x14ac:dyDescent="0.2">
      <c r="A14391" s="163">
        <v>2025</v>
      </c>
      <c r="B14391" s="163">
        <v>7</v>
      </c>
      <c r="C14391" s="163">
        <v>20</v>
      </c>
      <c r="D14391" s="280">
        <f t="shared" si="2214"/>
        <v>45858</v>
      </c>
      <c r="E14391" s="281">
        <f t="shared" si="2215"/>
        <v>45858</v>
      </c>
      <c r="F14391" s="480"/>
      <c r="G14391" s="221" t="s">
        <v>94</v>
      </c>
      <c r="H14391" s="145"/>
      <c r="I14391" s="145"/>
      <c r="J14391" s="163" t="s">
        <v>79</v>
      </c>
      <c r="K14391" s="219"/>
      <c r="L14391" s="219">
        <v>609164.68999999994</v>
      </c>
      <c r="M14391" s="264"/>
    </row>
    <row r="14392" spans="1:14" ht="11.25" customHeight="1" x14ac:dyDescent="0.2">
      <c r="A14392" s="168">
        <v>2025</v>
      </c>
      <c r="B14392" s="168">
        <v>7</v>
      </c>
      <c r="C14392" s="133">
        <v>20</v>
      </c>
      <c r="D14392" s="141">
        <f t="shared" si="2214"/>
        <v>45858</v>
      </c>
      <c r="E14392" s="275">
        <f t="shared" si="2215"/>
        <v>45858</v>
      </c>
      <c r="F14392" s="479" t="s">
        <v>2080</v>
      </c>
      <c r="G14392" s="220" t="s">
        <v>94</v>
      </c>
      <c r="H14392" s="220"/>
      <c r="I14392" s="142"/>
      <c r="J14392" s="143" t="s">
        <v>79</v>
      </c>
      <c r="K14392" s="226">
        <v>4687.2</v>
      </c>
      <c r="L14392" s="226"/>
      <c r="M14392" s="160"/>
    </row>
    <row r="14393" spans="1:14" x14ac:dyDescent="0.2">
      <c r="A14393" s="133">
        <v>2025</v>
      </c>
      <c r="B14393" s="133">
        <v>7</v>
      </c>
      <c r="C14393" s="133">
        <v>20</v>
      </c>
      <c r="D14393" s="141">
        <f t="shared" si="2214"/>
        <v>45858</v>
      </c>
      <c r="E14393" s="275">
        <f t="shared" si="2215"/>
        <v>45858</v>
      </c>
      <c r="F14393" s="481"/>
      <c r="G14393" s="174" t="s">
        <v>94</v>
      </c>
      <c r="H14393" s="174"/>
      <c r="J14393" s="149" t="s">
        <v>80</v>
      </c>
      <c r="K14393" s="218">
        <v>8.44</v>
      </c>
      <c r="L14393" s="133"/>
    </row>
    <row r="14394" spans="1:14" x14ac:dyDescent="0.2">
      <c r="A14394" s="163">
        <v>2025</v>
      </c>
      <c r="B14394" s="163">
        <v>7</v>
      </c>
      <c r="C14394" s="163">
        <v>20</v>
      </c>
      <c r="D14394" s="280">
        <f t="shared" si="2214"/>
        <v>45858</v>
      </c>
      <c r="E14394" s="281">
        <f t="shared" si="2215"/>
        <v>45858</v>
      </c>
      <c r="F14394" s="480"/>
      <c r="G14394" s="221" t="s">
        <v>94</v>
      </c>
      <c r="H14394" s="221"/>
      <c r="I14394" s="145"/>
      <c r="J14394" s="146" t="s">
        <v>147</v>
      </c>
      <c r="K14394" s="219"/>
      <c r="L14394" s="219">
        <v>4695.6400000000003</v>
      </c>
    </row>
    <row r="14395" spans="1:14" ht="11.25" customHeight="1" x14ac:dyDescent="0.2">
      <c r="A14395" s="168">
        <v>2025</v>
      </c>
      <c r="B14395" s="133">
        <v>7</v>
      </c>
      <c r="C14395" s="168">
        <v>20</v>
      </c>
      <c r="D14395" s="141">
        <f t="shared" si="2214"/>
        <v>45858</v>
      </c>
      <c r="E14395" s="275">
        <f t="shared" si="2215"/>
        <v>45858</v>
      </c>
      <c r="F14395" s="479" t="s">
        <v>2074</v>
      </c>
      <c r="G14395" s="220" t="s">
        <v>74</v>
      </c>
      <c r="H14395" s="220"/>
      <c r="I14395" s="142"/>
      <c r="J14395" s="143" t="s">
        <v>147</v>
      </c>
      <c r="K14395" s="226">
        <v>5975683.6900000004</v>
      </c>
      <c r="L14395" s="226"/>
    </row>
    <row r="14396" spans="1:14" x14ac:dyDescent="0.2">
      <c r="A14396" s="163">
        <v>2025</v>
      </c>
      <c r="B14396" s="163">
        <v>7</v>
      </c>
      <c r="C14396" s="163">
        <v>20</v>
      </c>
      <c r="D14396" s="280">
        <f t="shared" si="2214"/>
        <v>45858</v>
      </c>
      <c r="E14396" s="281">
        <f t="shared" si="2215"/>
        <v>45858</v>
      </c>
      <c r="F14396" s="480"/>
      <c r="G14396" s="221" t="s">
        <v>74</v>
      </c>
      <c r="H14396" s="221"/>
      <c r="I14396" s="145"/>
      <c r="J14396" s="146" t="s">
        <v>52</v>
      </c>
      <c r="K14396" s="219"/>
      <c r="L14396" s="219">
        <f>K14395</f>
        <v>5975683.6900000004</v>
      </c>
      <c r="N14396" s="264"/>
    </row>
    <row r="14397" spans="1:14" ht="11.25" customHeight="1" x14ac:dyDescent="0.2">
      <c r="A14397" s="168">
        <v>2025</v>
      </c>
      <c r="B14397" s="133">
        <v>7</v>
      </c>
      <c r="C14397" s="168">
        <v>20</v>
      </c>
      <c r="D14397" s="141">
        <f t="shared" si="2214"/>
        <v>45858</v>
      </c>
      <c r="E14397" s="275">
        <f t="shared" si="2215"/>
        <v>45858</v>
      </c>
      <c r="F14397" s="479" t="s">
        <v>2101</v>
      </c>
      <c r="G14397" s="220" t="s">
        <v>74</v>
      </c>
      <c r="H14397" s="220"/>
      <c r="I14397" s="142"/>
      <c r="J14397" s="143" t="s">
        <v>52</v>
      </c>
      <c r="K14397" s="226">
        <v>481689.86</v>
      </c>
      <c r="L14397" s="226"/>
    </row>
    <row r="14398" spans="1:14" x14ac:dyDescent="0.2">
      <c r="A14398" s="163">
        <v>2025</v>
      </c>
      <c r="B14398" s="163">
        <v>7</v>
      </c>
      <c r="C14398" s="163">
        <v>20</v>
      </c>
      <c r="D14398" s="280">
        <f t="shared" si="2214"/>
        <v>45858</v>
      </c>
      <c r="E14398" s="281">
        <f t="shared" si="2215"/>
        <v>45858</v>
      </c>
      <c r="F14398" s="480"/>
      <c r="G14398" s="221" t="s">
        <v>74</v>
      </c>
      <c r="H14398" s="221"/>
      <c r="I14398" s="145"/>
      <c r="J14398" s="146" t="s">
        <v>190</v>
      </c>
      <c r="K14398" s="219"/>
      <c r="L14398" s="219">
        <f>K14397</f>
        <v>481689.86</v>
      </c>
      <c r="N14398" s="264"/>
    </row>
    <row r="14399" spans="1:14" ht="11.25" customHeight="1" x14ac:dyDescent="0.2">
      <c r="A14399" s="168">
        <v>2025</v>
      </c>
      <c r="B14399" s="168">
        <v>7</v>
      </c>
      <c r="C14399" s="133">
        <v>21</v>
      </c>
      <c r="D14399" s="141">
        <f t="shared" ref="D14399:D14414" si="2216">DATE(A14399,B14399,C14399)</f>
        <v>45859</v>
      </c>
      <c r="E14399" s="275">
        <f t="shared" ref="E14399:E14414" si="2217">DATE(A14399,B14399,C14399)</f>
        <v>45859</v>
      </c>
      <c r="F14399" s="479" t="s">
        <v>1979</v>
      </c>
      <c r="G14399" s="220" t="s">
        <v>94</v>
      </c>
      <c r="H14399" s="220"/>
      <c r="I14399" s="142"/>
      <c r="J14399" s="143" t="s">
        <v>79</v>
      </c>
      <c r="K14399" s="226">
        <v>1790500</v>
      </c>
      <c r="L14399" s="226"/>
      <c r="M14399" s="160"/>
    </row>
    <row r="14400" spans="1:14" x14ac:dyDescent="0.2">
      <c r="A14400" s="133">
        <v>2025</v>
      </c>
      <c r="B14400" s="133">
        <v>7</v>
      </c>
      <c r="C14400" s="133">
        <v>21</v>
      </c>
      <c r="D14400" s="141">
        <f t="shared" si="2216"/>
        <v>45859</v>
      </c>
      <c r="E14400" s="275">
        <f t="shared" si="2217"/>
        <v>45859</v>
      </c>
      <c r="F14400" s="481"/>
      <c r="G14400" s="174" t="s">
        <v>94</v>
      </c>
      <c r="H14400" s="174"/>
      <c r="J14400" s="149" t="s">
        <v>80</v>
      </c>
      <c r="K14400" s="218">
        <v>3222.9</v>
      </c>
      <c r="L14400" s="133"/>
    </row>
    <row r="14401" spans="1:14" x14ac:dyDescent="0.2">
      <c r="A14401" s="163">
        <v>2025</v>
      </c>
      <c r="B14401" s="163">
        <v>7</v>
      </c>
      <c r="C14401" s="163">
        <v>21</v>
      </c>
      <c r="D14401" s="280">
        <f t="shared" si="2216"/>
        <v>45859</v>
      </c>
      <c r="E14401" s="281">
        <f t="shared" si="2217"/>
        <v>45859</v>
      </c>
      <c r="F14401" s="480"/>
      <c r="G14401" s="221" t="s">
        <v>94</v>
      </c>
      <c r="H14401" s="221"/>
      <c r="I14401" s="145"/>
      <c r="J14401" s="146" t="s">
        <v>147</v>
      </c>
      <c r="K14401" s="219"/>
      <c r="L14401" s="219">
        <v>1793722.9</v>
      </c>
    </row>
    <row r="14402" spans="1:14" x14ac:dyDescent="0.2">
      <c r="A14402" s="133">
        <v>2025</v>
      </c>
      <c r="B14402" s="133">
        <v>7</v>
      </c>
      <c r="C14402" s="133">
        <v>21</v>
      </c>
      <c r="D14402" s="141">
        <f t="shared" si="2216"/>
        <v>45859</v>
      </c>
      <c r="E14402" s="275">
        <f t="shared" si="2217"/>
        <v>45859</v>
      </c>
      <c r="F14402" s="481" t="s">
        <v>2073</v>
      </c>
      <c r="G14402" s="174" t="s">
        <v>94</v>
      </c>
      <c r="H14402" s="174"/>
      <c r="J14402" s="149" t="s">
        <v>79</v>
      </c>
      <c r="K14402" s="218">
        <v>4017143.2</v>
      </c>
      <c r="L14402" s="218"/>
      <c r="M14402" s="160"/>
    </row>
    <row r="14403" spans="1:14" x14ac:dyDescent="0.2">
      <c r="A14403" s="133">
        <v>2025</v>
      </c>
      <c r="B14403" s="133">
        <v>7</v>
      </c>
      <c r="C14403" s="133">
        <v>21</v>
      </c>
      <c r="D14403" s="141">
        <f t="shared" si="2216"/>
        <v>45859</v>
      </c>
      <c r="E14403" s="275">
        <f t="shared" si="2217"/>
        <v>45859</v>
      </c>
      <c r="F14403" s="481"/>
      <c r="G14403" s="174" t="s">
        <v>94</v>
      </c>
      <c r="H14403" s="174"/>
      <c r="J14403" s="149" t="s">
        <v>80</v>
      </c>
      <c r="K14403" s="218">
        <v>9653.11</v>
      </c>
      <c r="L14403" s="264"/>
      <c r="M14403" s="264"/>
      <c r="N14403" s="264"/>
    </row>
    <row r="14404" spans="1:14" x14ac:dyDescent="0.2">
      <c r="A14404" s="133">
        <v>2025</v>
      </c>
      <c r="B14404" s="133">
        <v>7</v>
      </c>
      <c r="C14404" s="133">
        <v>21</v>
      </c>
      <c r="D14404" s="141">
        <f t="shared" si="2216"/>
        <v>45859</v>
      </c>
      <c r="E14404" s="275">
        <f t="shared" si="2217"/>
        <v>45859</v>
      </c>
      <c r="F14404" s="481"/>
      <c r="G14404" s="174" t="s">
        <v>94</v>
      </c>
      <c r="H14404" s="174"/>
      <c r="J14404" s="149" t="s">
        <v>147</v>
      </c>
      <c r="K14404" s="218"/>
      <c r="L14404" s="218">
        <v>2681103.0099999998</v>
      </c>
      <c r="M14404" s="264"/>
    </row>
    <row r="14405" spans="1:14" x14ac:dyDescent="0.2">
      <c r="A14405" s="133">
        <v>2025</v>
      </c>
      <c r="B14405" s="133">
        <v>7</v>
      </c>
      <c r="C14405" s="133">
        <v>21</v>
      </c>
      <c r="D14405" s="141">
        <f t="shared" si="2216"/>
        <v>45859</v>
      </c>
      <c r="E14405" s="275">
        <f t="shared" si="2217"/>
        <v>45859</v>
      </c>
      <c r="F14405" s="481"/>
      <c r="G14405" s="174" t="s">
        <v>94</v>
      </c>
      <c r="H14405" s="174"/>
      <c r="J14405" s="149" t="s">
        <v>191</v>
      </c>
      <c r="L14405" s="218">
        <v>336897.8</v>
      </c>
    </row>
    <row r="14406" spans="1:14" x14ac:dyDescent="0.2">
      <c r="A14406" s="163">
        <v>2025</v>
      </c>
      <c r="B14406" s="163">
        <v>7</v>
      </c>
      <c r="C14406" s="163">
        <v>21</v>
      </c>
      <c r="D14406" s="280">
        <f t="shared" si="2216"/>
        <v>45859</v>
      </c>
      <c r="E14406" s="281">
        <f t="shared" si="2217"/>
        <v>45859</v>
      </c>
      <c r="F14406" s="480"/>
      <c r="G14406" s="221" t="s">
        <v>94</v>
      </c>
      <c r="H14406" s="145"/>
      <c r="I14406" s="145"/>
      <c r="J14406" s="163" t="s">
        <v>79</v>
      </c>
      <c r="K14406" s="219"/>
      <c r="L14406" s="219">
        <v>1008795.5</v>
      </c>
      <c r="M14406" s="264"/>
    </row>
    <row r="14407" spans="1:14" ht="11.25" customHeight="1" x14ac:dyDescent="0.2">
      <c r="A14407" s="168">
        <v>2025</v>
      </c>
      <c r="B14407" s="133">
        <v>7</v>
      </c>
      <c r="C14407" s="168">
        <v>21</v>
      </c>
      <c r="D14407" s="141">
        <f t="shared" si="2216"/>
        <v>45859</v>
      </c>
      <c r="E14407" s="275">
        <f t="shared" si="2217"/>
        <v>45859</v>
      </c>
      <c r="F14407" s="479" t="s">
        <v>2031</v>
      </c>
      <c r="G14407" s="220" t="s">
        <v>74</v>
      </c>
      <c r="H14407" s="220"/>
      <c r="I14407" s="142"/>
      <c r="J14407" s="143" t="s">
        <v>52</v>
      </c>
      <c r="K14407" s="226">
        <v>4964050</v>
      </c>
      <c r="L14407" s="226"/>
    </row>
    <row r="14408" spans="1:14" x14ac:dyDescent="0.2">
      <c r="A14408" s="163">
        <v>2025</v>
      </c>
      <c r="B14408" s="163">
        <v>7</v>
      </c>
      <c r="C14408" s="163">
        <v>21</v>
      </c>
      <c r="D14408" s="280">
        <f t="shared" si="2216"/>
        <v>45859</v>
      </c>
      <c r="E14408" s="281">
        <f t="shared" si="2217"/>
        <v>45859</v>
      </c>
      <c r="F14408" s="480"/>
      <c r="G14408" s="221" t="s">
        <v>74</v>
      </c>
      <c r="H14408" s="221"/>
      <c r="I14408" s="145"/>
      <c r="J14408" s="146" t="s">
        <v>190</v>
      </c>
      <c r="K14408" s="219"/>
      <c r="L14408" s="219">
        <f>K14407</f>
        <v>4964050</v>
      </c>
      <c r="N14408" s="264"/>
    </row>
    <row r="14409" spans="1:14" s="432" customFormat="1" x14ac:dyDescent="0.2">
      <c r="A14409" s="424">
        <v>2025</v>
      </c>
      <c r="B14409" s="133">
        <v>7</v>
      </c>
      <c r="C14409" s="168">
        <v>21</v>
      </c>
      <c r="D14409" s="425">
        <f t="shared" si="2216"/>
        <v>45859</v>
      </c>
      <c r="E14409" s="426">
        <f t="shared" si="2217"/>
        <v>45859</v>
      </c>
      <c r="F14409" s="485" t="s">
        <v>2102</v>
      </c>
      <c r="G14409" s="427" t="s">
        <v>94</v>
      </c>
      <c r="H14409" s="427"/>
      <c r="I14409" s="428" t="s">
        <v>348</v>
      </c>
      <c r="J14409" s="429" t="s">
        <v>52</v>
      </c>
      <c r="K14409" s="430">
        <v>48395.83</v>
      </c>
      <c r="L14409" s="430"/>
      <c r="M14409" s="431"/>
    </row>
    <row r="14410" spans="1:14" s="432" customFormat="1" x14ac:dyDescent="0.2">
      <c r="A14410" s="433">
        <v>2025</v>
      </c>
      <c r="B14410" s="163">
        <v>7</v>
      </c>
      <c r="C14410" s="163">
        <v>21</v>
      </c>
      <c r="D14410" s="425">
        <f t="shared" si="2216"/>
        <v>45859</v>
      </c>
      <c r="E14410" s="426">
        <f t="shared" si="2217"/>
        <v>45859</v>
      </c>
      <c r="F14410" s="486"/>
      <c r="G14410" s="434" t="s">
        <v>94</v>
      </c>
      <c r="H14410" s="434"/>
      <c r="I14410" s="435" t="s">
        <v>348</v>
      </c>
      <c r="J14410" s="436" t="s">
        <v>133</v>
      </c>
      <c r="K14410" s="437"/>
      <c r="L14410" s="437">
        <f>K14409</f>
        <v>48395.83</v>
      </c>
    </row>
    <row r="14411" spans="1:14" s="432" customFormat="1" x14ac:dyDescent="0.2">
      <c r="A14411" s="424">
        <v>2025</v>
      </c>
      <c r="B14411" s="133">
        <v>7</v>
      </c>
      <c r="C14411" s="168">
        <v>21</v>
      </c>
      <c r="D14411" s="425">
        <f t="shared" si="2216"/>
        <v>45859</v>
      </c>
      <c r="E14411" s="426">
        <f t="shared" si="2217"/>
        <v>45859</v>
      </c>
      <c r="F14411" s="485" t="s">
        <v>2102</v>
      </c>
      <c r="G14411" s="427" t="s">
        <v>94</v>
      </c>
      <c r="H14411" s="427"/>
      <c r="I14411" s="428" t="s">
        <v>348</v>
      </c>
      <c r="J14411" s="429" t="s">
        <v>52</v>
      </c>
      <c r="K14411" s="430">
        <v>145187.5</v>
      </c>
      <c r="L14411" s="430"/>
      <c r="M14411" s="431"/>
    </row>
    <row r="14412" spans="1:14" s="432" customFormat="1" x14ac:dyDescent="0.2">
      <c r="A14412" s="433">
        <v>2025</v>
      </c>
      <c r="B14412" s="163">
        <v>7</v>
      </c>
      <c r="C14412" s="163">
        <v>21</v>
      </c>
      <c r="D14412" s="425">
        <f t="shared" si="2216"/>
        <v>45859</v>
      </c>
      <c r="E14412" s="426">
        <f t="shared" si="2217"/>
        <v>45859</v>
      </c>
      <c r="F14412" s="486"/>
      <c r="G14412" s="434" t="s">
        <v>94</v>
      </c>
      <c r="H14412" s="434"/>
      <c r="I14412" s="435" t="s">
        <v>348</v>
      </c>
      <c r="J14412" s="436" t="s">
        <v>133</v>
      </c>
      <c r="K14412" s="437"/>
      <c r="L14412" s="437">
        <f>K14411</f>
        <v>145187.5</v>
      </c>
    </row>
    <row r="14413" spans="1:14" ht="11.25" customHeight="1" x14ac:dyDescent="0.2">
      <c r="A14413" s="168">
        <v>2025</v>
      </c>
      <c r="B14413" s="133">
        <v>7</v>
      </c>
      <c r="C14413" s="168">
        <v>22</v>
      </c>
      <c r="D14413" s="141">
        <f t="shared" si="2216"/>
        <v>45860</v>
      </c>
      <c r="E14413" s="275">
        <f t="shared" si="2217"/>
        <v>45860</v>
      </c>
      <c r="F14413" s="479" t="s">
        <v>2074</v>
      </c>
      <c r="G14413" s="220" t="s">
        <v>74</v>
      </c>
      <c r="H14413" s="220"/>
      <c r="I14413" s="142"/>
      <c r="J14413" s="143" t="s">
        <v>147</v>
      </c>
      <c r="K14413" s="226">
        <v>2681103.0099999998</v>
      </c>
      <c r="L14413" s="226"/>
    </row>
    <row r="14414" spans="1:14" x14ac:dyDescent="0.2">
      <c r="A14414" s="163">
        <v>2025</v>
      </c>
      <c r="B14414" s="163">
        <v>7</v>
      </c>
      <c r="C14414" s="163">
        <v>22</v>
      </c>
      <c r="D14414" s="280">
        <f t="shared" si="2216"/>
        <v>45860</v>
      </c>
      <c r="E14414" s="281">
        <f t="shared" si="2217"/>
        <v>45860</v>
      </c>
      <c r="F14414" s="480"/>
      <c r="G14414" s="221" t="s">
        <v>74</v>
      </c>
      <c r="H14414" s="221"/>
      <c r="I14414" s="145"/>
      <c r="J14414" s="146" t="s">
        <v>52</v>
      </c>
      <c r="K14414" s="219"/>
      <c r="L14414" s="219">
        <f>K14413</f>
        <v>2681103.0099999998</v>
      </c>
      <c r="N14414" s="264"/>
    </row>
    <row r="14415" spans="1:14" ht="11.25" customHeight="1" x14ac:dyDescent="0.2">
      <c r="A14415" s="168">
        <v>2025</v>
      </c>
      <c r="B14415" s="133">
        <v>7</v>
      </c>
      <c r="C14415" s="168">
        <v>22</v>
      </c>
      <c r="D14415" s="141">
        <f t="shared" ref="D14415:D14421" si="2218">DATE(A14415,B14415,C14415)</f>
        <v>45860</v>
      </c>
      <c r="E14415" s="275">
        <f t="shared" ref="E14415:E14421" si="2219">DATE(A14415,B14415,C14415)</f>
        <v>45860</v>
      </c>
      <c r="F14415" s="479" t="s">
        <v>2002</v>
      </c>
      <c r="G14415" s="220" t="s">
        <v>74</v>
      </c>
      <c r="H14415" s="220"/>
      <c r="I14415" s="142"/>
      <c r="J14415" s="143" t="s">
        <v>147</v>
      </c>
      <c r="K14415" s="226">
        <v>1793722.9</v>
      </c>
      <c r="L14415" s="226"/>
    </row>
    <row r="14416" spans="1:14" x14ac:dyDescent="0.2">
      <c r="A14416" s="163">
        <v>2025</v>
      </c>
      <c r="B14416" s="163">
        <v>7</v>
      </c>
      <c r="C14416" s="163">
        <v>22</v>
      </c>
      <c r="D14416" s="280">
        <f t="shared" si="2218"/>
        <v>45860</v>
      </c>
      <c r="E14416" s="281">
        <f t="shared" si="2219"/>
        <v>45860</v>
      </c>
      <c r="F14416" s="480"/>
      <c r="G14416" s="221" t="s">
        <v>74</v>
      </c>
      <c r="H14416" s="221"/>
      <c r="I14416" s="145"/>
      <c r="J14416" s="146" t="s">
        <v>52</v>
      </c>
      <c r="K14416" s="219"/>
      <c r="L14416" s="219">
        <f>K14415</f>
        <v>1793722.9</v>
      </c>
      <c r="N14416" s="264"/>
    </row>
    <row r="14417" spans="1:14" x14ac:dyDescent="0.2">
      <c r="A14417" s="133">
        <v>2025</v>
      </c>
      <c r="B14417" s="133">
        <v>7</v>
      </c>
      <c r="C14417" s="133">
        <v>22</v>
      </c>
      <c r="D14417" s="141">
        <f t="shared" si="2218"/>
        <v>45860</v>
      </c>
      <c r="E14417" s="275">
        <f t="shared" si="2219"/>
        <v>45860</v>
      </c>
      <c r="F14417" s="481" t="s">
        <v>1767</v>
      </c>
      <c r="G14417" s="174" t="s">
        <v>94</v>
      </c>
      <c r="H14417" s="174"/>
      <c r="J14417" s="149" t="s">
        <v>79</v>
      </c>
      <c r="K14417" s="218">
        <v>3339516.2</v>
      </c>
      <c r="L14417" s="218"/>
      <c r="M14417" s="160"/>
    </row>
    <row r="14418" spans="1:14" x14ac:dyDescent="0.2">
      <c r="A14418" s="133">
        <v>2025</v>
      </c>
      <c r="B14418" s="133">
        <v>7</v>
      </c>
      <c r="C14418" s="133">
        <v>22</v>
      </c>
      <c r="D14418" s="141">
        <f t="shared" si="2218"/>
        <v>45860</v>
      </c>
      <c r="E14418" s="275">
        <f t="shared" si="2219"/>
        <v>45860</v>
      </c>
      <c r="F14418" s="481"/>
      <c r="G14418" s="174" t="s">
        <v>94</v>
      </c>
      <c r="H14418" s="174"/>
      <c r="J14418" s="149" t="s">
        <v>80</v>
      </c>
      <c r="K14418" s="218">
        <v>12075.55</v>
      </c>
      <c r="L14418" s="264"/>
      <c r="M14418" s="264"/>
      <c r="N14418" s="264"/>
    </row>
    <row r="14419" spans="1:14" x14ac:dyDescent="0.2">
      <c r="A14419" s="133">
        <v>2025</v>
      </c>
      <c r="B14419" s="133">
        <v>7</v>
      </c>
      <c r="C14419" s="133">
        <v>22</v>
      </c>
      <c r="D14419" s="141">
        <f t="shared" si="2218"/>
        <v>45860</v>
      </c>
      <c r="E14419" s="275">
        <f t="shared" si="2219"/>
        <v>45860</v>
      </c>
      <c r="F14419" s="481"/>
      <c r="G14419" s="174" t="s">
        <v>94</v>
      </c>
      <c r="H14419" s="174"/>
      <c r="J14419" s="149" t="s">
        <v>190</v>
      </c>
      <c r="K14419" s="218">
        <v>17531.849999999999</v>
      </c>
      <c r="L14419" s="218"/>
      <c r="M14419" s="264"/>
    </row>
    <row r="14420" spans="1:14" x14ac:dyDescent="0.2">
      <c r="A14420" s="133">
        <v>2025</v>
      </c>
      <c r="B14420" s="133">
        <v>7</v>
      </c>
      <c r="C14420" s="133">
        <v>22</v>
      </c>
      <c r="D14420" s="141">
        <f t="shared" si="2218"/>
        <v>45860</v>
      </c>
      <c r="E14420" s="275">
        <f t="shared" si="2219"/>
        <v>45860</v>
      </c>
      <c r="F14420" s="481"/>
      <c r="G14420" s="174" t="s">
        <v>94</v>
      </c>
      <c r="H14420" s="174"/>
      <c r="J14420" s="149" t="s">
        <v>191</v>
      </c>
      <c r="L14420" s="218">
        <v>462870.98</v>
      </c>
    </row>
    <row r="14421" spans="1:14" x14ac:dyDescent="0.2">
      <c r="A14421" s="163">
        <v>2025</v>
      </c>
      <c r="B14421" s="163">
        <v>7</v>
      </c>
      <c r="C14421" s="163">
        <v>22</v>
      </c>
      <c r="D14421" s="280">
        <f t="shared" si="2218"/>
        <v>45860</v>
      </c>
      <c r="E14421" s="281">
        <f t="shared" si="2219"/>
        <v>45860</v>
      </c>
      <c r="F14421" s="480"/>
      <c r="G14421" s="221" t="s">
        <v>94</v>
      </c>
      <c r="H14421" s="145"/>
      <c r="I14421" s="145"/>
      <c r="J14421" s="163" t="s">
        <v>79</v>
      </c>
      <c r="K14421" s="219"/>
      <c r="L14421" s="219">
        <v>2906252.62</v>
      </c>
      <c r="M14421" s="264"/>
    </row>
    <row r="14422" spans="1:14" x14ac:dyDescent="0.2">
      <c r="A14422" s="168">
        <v>2025</v>
      </c>
      <c r="B14422" s="133">
        <v>7</v>
      </c>
      <c r="C14422" s="168">
        <v>22</v>
      </c>
      <c r="D14422" s="147">
        <f>DATE(A14422,B14422,C14422)</f>
        <v>45860</v>
      </c>
      <c r="E14422" s="311">
        <f>DATE(A14422,B14422,C14422)</f>
        <v>45860</v>
      </c>
      <c r="F14422" s="481" t="s">
        <v>1943</v>
      </c>
      <c r="G14422" s="174" t="s">
        <v>74</v>
      </c>
      <c r="I14422" s="148" t="s">
        <v>348</v>
      </c>
      <c r="J14422" s="133" t="s">
        <v>61</v>
      </c>
      <c r="K14422" s="172">
        <v>200</v>
      </c>
    </row>
    <row r="14423" spans="1:14" x14ac:dyDescent="0.2">
      <c r="A14423" s="163">
        <v>2025</v>
      </c>
      <c r="B14423" s="163">
        <v>7</v>
      </c>
      <c r="C14423" s="163">
        <v>22</v>
      </c>
      <c r="D14423" s="280">
        <f>DATE(A14423,B14423,C14423)</f>
        <v>45860</v>
      </c>
      <c r="E14423" s="281">
        <f>DATE(A14423,B14423,C14423)</f>
        <v>45860</v>
      </c>
      <c r="F14423" s="480"/>
      <c r="G14423" s="221" t="s">
        <v>74</v>
      </c>
      <c r="H14423" s="145"/>
      <c r="I14423" s="145" t="s">
        <v>348</v>
      </c>
      <c r="J14423" s="163" t="s">
        <v>52</v>
      </c>
      <c r="K14423" s="219"/>
      <c r="L14423" s="219">
        <v>200</v>
      </c>
    </row>
    <row r="14424" spans="1:14" ht="11.25" customHeight="1" x14ac:dyDescent="0.2">
      <c r="A14424" s="168">
        <v>2025</v>
      </c>
      <c r="B14424" s="133">
        <v>7</v>
      </c>
      <c r="C14424" s="168">
        <v>23</v>
      </c>
      <c r="D14424" s="141">
        <f t="shared" ref="D14424:D14439" si="2220">DATE(A14424,B14424,C14424)</f>
        <v>45861</v>
      </c>
      <c r="E14424" s="275">
        <f t="shared" ref="E14424:E14439" si="2221">DATE(A14424,B14424,C14424)</f>
        <v>45861</v>
      </c>
      <c r="F14424" s="479" t="s">
        <v>2002</v>
      </c>
      <c r="G14424" s="220" t="s">
        <v>74</v>
      </c>
      <c r="H14424" s="220"/>
      <c r="I14424" s="142"/>
      <c r="J14424" s="143" t="s">
        <v>147</v>
      </c>
      <c r="K14424" s="226">
        <v>4695.6400000000003</v>
      </c>
      <c r="L14424" s="226"/>
    </row>
    <row r="14425" spans="1:14" x14ac:dyDescent="0.2">
      <c r="A14425" s="163">
        <v>2025</v>
      </c>
      <c r="B14425" s="163">
        <v>7</v>
      </c>
      <c r="C14425" s="163">
        <v>23</v>
      </c>
      <c r="D14425" s="280">
        <f t="shared" si="2220"/>
        <v>45861</v>
      </c>
      <c r="E14425" s="281">
        <f t="shared" si="2221"/>
        <v>45861</v>
      </c>
      <c r="F14425" s="480"/>
      <c r="G14425" s="221" t="s">
        <v>74</v>
      </c>
      <c r="H14425" s="221"/>
      <c r="I14425" s="145"/>
      <c r="J14425" s="146" t="s">
        <v>52</v>
      </c>
      <c r="K14425" s="219"/>
      <c r="L14425" s="219">
        <f>K14424</f>
        <v>4695.6400000000003</v>
      </c>
      <c r="N14425" s="264"/>
    </row>
    <row r="14426" spans="1:14" x14ac:dyDescent="0.2">
      <c r="A14426" s="133">
        <v>2025</v>
      </c>
      <c r="B14426" s="133">
        <v>7</v>
      </c>
      <c r="C14426" s="133">
        <v>23</v>
      </c>
      <c r="D14426" s="141">
        <f t="shared" si="2220"/>
        <v>45861</v>
      </c>
      <c r="E14426" s="275">
        <f t="shared" si="2221"/>
        <v>45861</v>
      </c>
      <c r="F14426" s="481" t="s">
        <v>1977</v>
      </c>
      <c r="G14426" s="174" t="s">
        <v>94</v>
      </c>
      <c r="H14426" s="174"/>
      <c r="J14426" s="149" t="s">
        <v>190</v>
      </c>
      <c r="K14426" s="218">
        <v>136753.4</v>
      </c>
      <c r="L14426" s="133"/>
    </row>
    <row r="14427" spans="1:14" x14ac:dyDescent="0.2">
      <c r="A14427" s="133">
        <v>2025</v>
      </c>
      <c r="B14427" s="133">
        <v>7</v>
      </c>
      <c r="C14427" s="133">
        <v>23</v>
      </c>
      <c r="D14427" s="141">
        <f t="shared" si="2220"/>
        <v>45861</v>
      </c>
      <c r="E14427" s="275">
        <f t="shared" si="2221"/>
        <v>45861</v>
      </c>
      <c r="F14427" s="481"/>
      <c r="G14427" s="174" t="s">
        <v>94</v>
      </c>
      <c r="H14427" s="174"/>
      <c r="J14427" s="149" t="s">
        <v>80</v>
      </c>
      <c r="K14427" s="218">
        <v>246.6</v>
      </c>
      <c r="L14427" s="218"/>
      <c r="M14427" s="176"/>
    </row>
    <row r="14428" spans="1:14" x14ac:dyDescent="0.2">
      <c r="A14428" s="133">
        <v>2025</v>
      </c>
      <c r="B14428" s="133">
        <v>7</v>
      </c>
      <c r="C14428" s="133">
        <v>23</v>
      </c>
      <c r="D14428" s="141">
        <f t="shared" si="2220"/>
        <v>45861</v>
      </c>
      <c r="E14428" s="275">
        <f t="shared" si="2221"/>
        <v>45861</v>
      </c>
      <c r="F14428" s="481"/>
      <c r="G14428" s="174" t="s">
        <v>94</v>
      </c>
      <c r="H14428" s="174"/>
      <c r="J14428" s="149" t="s">
        <v>191</v>
      </c>
      <c r="K14428" s="218"/>
      <c r="L14428" s="218">
        <v>16155.59</v>
      </c>
    </row>
    <row r="14429" spans="1:14" x14ac:dyDescent="0.2">
      <c r="A14429" s="163">
        <v>2025</v>
      </c>
      <c r="B14429" s="163">
        <v>7</v>
      </c>
      <c r="C14429" s="163">
        <v>23</v>
      </c>
      <c r="D14429" s="280">
        <f t="shared" si="2220"/>
        <v>45861</v>
      </c>
      <c r="E14429" s="281">
        <f t="shared" si="2221"/>
        <v>45861</v>
      </c>
      <c r="F14429" s="480"/>
      <c r="G14429" s="221" t="s">
        <v>94</v>
      </c>
      <c r="H14429" s="145"/>
      <c r="I14429" s="145"/>
      <c r="J14429" s="163" t="s">
        <v>79</v>
      </c>
      <c r="K14429" s="219"/>
      <c r="L14429" s="219">
        <v>120844.41</v>
      </c>
    </row>
    <row r="14430" spans="1:14" x14ac:dyDescent="0.2">
      <c r="A14430" s="133">
        <v>2025</v>
      </c>
      <c r="B14430" s="133">
        <v>7</v>
      </c>
      <c r="C14430" s="133">
        <v>23</v>
      </c>
      <c r="D14430" s="141">
        <f t="shared" si="2220"/>
        <v>45861</v>
      </c>
      <c r="E14430" s="275">
        <f t="shared" si="2221"/>
        <v>45861</v>
      </c>
      <c r="F14430" s="481" t="s">
        <v>2073</v>
      </c>
      <c r="G14430" s="174" t="s">
        <v>94</v>
      </c>
      <c r="H14430" s="174"/>
      <c r="J14430" s="149" t="s">
        <v>79</v>
      </c>
      <c r="K14430" s="218">
        <v>3251451.4</v>
      </c>
      <c r="L14430" s="218"/>
      <c r="M14430" s="160"/>
    </row>
    <row r="14431" spans="1:14" x14ac:dyDescent="0.2">
      <c r="A14431" s="133">
        <v>2025</v>
      </c>
      <c r="B14431" s="133">
        <v>7</v>
      </c>
      <c r="C14431" s="133">
        <v>23</v>
      </c>
      <c r="D14431" s="141">
        <f t="shared" si="2220"/>
        <v>45861</v>
      </c>
      <c r="E14431" s="275">
        <f t="shared" si="2221"/>
        <v>45861</v>
      </c>
      <c r="F14431" s="481"/>
      <c r="G14431" s="174" t="s">
        <v>94</v>
      </c>
      <c r="H14431" s="174"/>
      <c r="J14431" s="149" t="s">
        <v>80</v>
      </c>
      <c r="K14431" s="218">
        <v>6966.35</v>
      </c>
      <c r="L14431" s="264"/>
      <c r="M14431" s="264"/>
      <c r="N14431" s="264"/>
    </row>
    <row r="14432" spans="1:14" x14ac:dyDescent="0.2">
      <c r="A14432" s="133">
        <v>2025</v>
      </c>
      <c r="B14432" s="133">
        <v>7</v>
      </c>
      <c r="C14432" s="133">
        <v>23</v>
      </c>
      <c r="D14432" s="141">
        <f t="shared" si="2220"/>
        <v>45861</v>
      </c>
      <c r="E14432" s="275">
        <f t="shared" si="2221"/>
        <v>45861</v>
      </c>
      <c r="F14432" s="481"/>
      <c r="G14432" s="174" t="s">
        <v>94</v>
      </c>
      <c r="H14432" s="174"/>
      <c r="J14432" s="149" t="s">
        <v>147</v>
      </c>
      <c r="K14432" s="218"/>
      <c r="L14432" s="218">
        <v>2639673.75</v>
      </c>
      <c r="M14432" s="264"/>
    </row>
    <row r="14433" spans="1:14" x14ac:dyDescent="0.2">
      <c r="A14433" s="133">
        <v>2025</v>
      </c>
      <c r="B14433" s="133">
        <v>7</v>
      </c>
      <c r="C14433" s="133">
        <v>23</v>
      </c>
      <c r="D14433" s="141">
        <f t="shared" si="2220"/>
        <v>45861</v>
      </c>
      <c r="E14433" s="275">
        <f t="shared" si="2221"/>
        <v>45861</v>
      </c>
      <c r="F14433" s="481"/>
      <c r="G14433" s="174" t="s">
        <v>94</v>
      </c>
      <c r="H14433" s="174"/>
      <c r="J14433" s="149" t="s">
        <v>191</v>
      </c>
      <c r="L14433" s="218">
        <v>124102.27</v>
      </c>
    </row>
    <row r="14434" spans="1:14" x14ac:dyDescent="0.2">
      <c r="A14434" s="163">
        <v>2025</v>
      </c>
      <c r="B14434" s="163">
        <v>7</v>
      </c>
      <c r="C14434" s="163">
        <v>23</v>
      </c>
      <c r="D14434" s="280">
        <f t="shared" si="2220"/>
        <v>45861</v>
      </c>
      <c r="E14434" s="281">
        <f t="shared" si="2221"/>
        <v>45861</v>
      </c>
      <c r="F14434" s="480"/>
      <c r="G14434" s="221" t="s">
        <v>94</v>
      </c>
      <c r="H14434" s="145"/>
      <c r="I14434" s="145"/>
      <c r="J14434" s="163" t="s">
        <v>79</v>
      </c>
      <c r="K14434" s="219"/>
      <c r="L14434" s="219">
        <v>494641.73</v>
      </c>
      <c r="M14434" s="264"/>
    </row>
    <row r="14435" spans="1:14" x14ac:dyDescent="0.2">
      <c r="A14435" s="168">
        <v>2025</v>
      </c>
      <c r="B14435" s="168">
        <v>7</v>
      </c>
      <c r="C14435" s="133">
        <v>23</v>
      </c>
      <c r="D14435" s="141">
        <f t="shared" si="2220"/>
        <v>45861</v>
      </c>
      <c r="E14435" s="275">
        <f t="shared" si="2221"/>
        <v>45861</v>
      </c>
      <c r="F14435" s="479" t="s">
        <v>275</v>
      </c>
      <c r="G14435" s="174" t="s">
        <v>74</v>
      </c>
      <c r="H14435" s="174"/>
      <c r="I14435" s="148" t="s">
        <v>348</v>
      </c>
      <c r="J14435" s="149" t="s">
        <v>163</v>
      </c>
      <c r="K14435" s="218">
        <v>1575</v>
      </c>
      <c r="L14435" s="218"/>
    </row>
    <row r="14436" spans="1:14" x14ac:dyDescent="0.2">
      <c r="A14436" s="133">
        <v>2025</v>
      </c>
      <c r="B14436" s="133">
        <v>7</v>
      </c>
      <c r="C14436" s="133">
        <v>23</v>
      </c>
      <c r="D14436" s="141">
        <f t="shared" si="2220"/>
        <v>45861</v>
      </c>
      <c r="E14436" s="275">
        <f t="shared" si="2221"/>
        <v>45861</v>
      </c>
      <c r="F14436" s="481"/>
      <c r="G14436" s="174" t="s">
        <v>74</v>
      </c>
      <c r="H14436" s="174"/>
      <c r="J14436" s="149" t="s">
        <v>1907</v>
      </c>
      <c r="K14436" s="218"/>
      <c r="L14436" s="218">
        <v>75</v>
      </c>
    </row>
    <row r="14437" spans="1:14" x14ac:dyDescent="0.2">
      <c r="A14437" s="163">
        <v>2025</v>
      </c>
      <c r="B14437" s="163">
        <v>7</v>
      </c>
      <c r="C14437" s="163">
        <v>23</v>
      </c>
      <c r="D14437" s="280">
        <f t="shared" si="2220"/>
        <v>45861</v>
      </c>
      <c r="E14437" s="281">
        <f t="shared" si="2221"/>
        <v>45861</v>
      </c>
      <c r="F14437" s="480"/>
      <c r="G14437" s="221" t="s">
        <v>74</v>
      </c>
      <c r="H14437" s="221"/>
      <c r="I14437" s="145"/>
      <c r="J14437" s="146" t="s">
        <v>52</v>
      </c>
      <c r="K14437" s="219"/>
      <c r="L14437" s="219">
        <v>1500</v>
      </c>
    </row>
    <row r="14438" spans="1:14" ht="11.25" customHeight="1" x14ac:dyDescent="0.2">
      <c r="A14438" s="168">
        <v>2025</v>
      </c>
      <c r="B14438" s="133">
        <v>7</v>
      </c>
      <c r="C14438" s="168">
        <v>24</v>
      </c>
      <c r="D14438" s="141">
        <f t="shared" si="2220"/>
        <v>45862</v>
      </c>
      <c r="E14438" s="275">
        <f t="shared" si="2221"/>
        <v>45862</v>
      </c>
      <c r="F14438" s="479" t="s">
        <v>2074</v>
      </c>
      <c r="G14438" s="220" t="s">
        <v>74</v>
      </c>
      <c r="H14438" s="220"/>
      <c r="I14438" s="142"/>
      <c r="J14438" s="143" t="s">
        <v>147</v>
      </c>
      <c r="K14438" s="226">
        <v>2639673.75</v>
      </c>
      <c r="L14438" s="226"/>
    </row>
    <row r="14439" spans="1:14" x14ac:dyDescent="0.2">
      <c r="A14439" s="163">
        <v>2025</v>
      </c>
      <c r="B14439" s="163">
        <v>7</v>
      </c>
      <c r="C14439" s="163">
        <v>24</v>
      </c>
      <c r="D14439" s="280">
        <f t="shared" si="2220"/>
        <v>45862</v>
      </c>
      <c r="E14439" s="281">
        <f t="shared" si="2221"/>
        <v>45862</v>
      </c>
      <c r="F14439" s="480"/>
      <c r="G14439" s="221" t="s">
        <v>74</v>
      </c>
      <c r="H14439" s="221"/>
      <c r="I14439" s="145"/>
      <c r="J14439" s="146" t="s">
        <v>52</v>
      </c>
      <c r="K14439" s="219"/>
      <c r="L14439" s="219">
        <f>K14438</f>
        <v>2639673.75</v>
      </c>
      <c r="N14439" s="264"/>
    </row>
    <row r="14440" spans="1:14" ht="11.25" customHeight="1" x14ac:dyDescent="0.2">
      <c r="A14440" s="168">
        <v>2025</v>
      </c>
      <c r="B14440" s="133">
        <v>7</v>
      </c>
      <c r="C14440" s="168">
        <v>24</v>
      </c>
      <c r="D14440" s="141">
        <f t="shared" ref="D14440:D14444" si="2222">DATE(A14440,B14440,C14440)</f>
        <v>45862</v>
      </c>
      <c r="E14440" s="275">
        <f t="shared" ref="E14440:E14444" si="2223">DATE(A14440,B14440,C14440)</f>
        <v>45862</v>
      </c>
      <c r="F14440" s="479" t="s">
        <v>2104</v>
      </c>
      <c r="G14440" s="220" t="s">
        <v>74</v>
      </c>
      <c r="H14440" s="220"/>
      <c r="I14440" s="142"/>
      <c r="J14440" s="143" t="s">
        <v>147</v>
      </c>
      <c r="K14440" s="226">
        <v>384429.66</v>
      </c>
      <c r="L14440" s="226"/>
    </row>
    <row r="14441" spans="1:14" x14ac:dyDescent="0.2">
      <c r="A14441" s="163">
        <v>2025</v>
      </c>
      <c r="B14441" s="163">
        <v>7</v>
      </c>
      <c r="C14441" s="163">
        <v>24</v>
      </c>
      <c r="D14441" s="280">
        <f t="shared" si="2222"/>
        <v>45862</v>
      </c>
      <c r="E14441" s="281">
        <f t="shared" si="2223"/>
        <v>45862</v>
      </c>
      <c r="F14441" s="480"/>
      <c r="G14441" s="221" t="s">
        <v>74</v>
      </c>
      <c r="H14441" s="221"/>
      <c r="I14441" s="145"/>
      <c r="J14441" s="146" t="s">
        <v>52</v>
      </c>
      <c r="K14441" s="219"/>
      <c r="L14441" s="219">
        <f>K14440</f>
        <v>384429.66</v>
      </c>
      <c r="N14441" s="264"/>
    </row>
    <row r="14442" spans="1:14" x14ac:dyDescent="0.2">
      <c r="A14442" s="168">
        <v>2025</v>
      </c>
      <c r="B14442" s="168">
        <v>7</v>
      </c>
      <c r="C14442" s="168">
        <v>24</v>
      </c>
      <c r="D14442" s="141">
        <f t="shared" si="2222"/>
        <v>45862</v>
      </c>
      <c r="E14442" s="275">
        <f t="shared" si="2223"/>
        <v>45862</v>
      </c>
      <c r="F14442" s="479" t="s">
        <v>2089</v>
      </c>
      <c r="G14442" s="174" t="s">
        <v>74</v>
      </c>
      <c r="I14442" s="148" t="s">
        <v>348</v>
      </c>
      <c r="J14442" s="133" t="s">
        <v>47</v>
      </c>
      <c r="K14442" s="172">
        <v>621687.98</v>
      </c>
    </row>
    <row r="14443" spans="1:14" x14ac:dyDescent="0.2">
      <c r="A14443" s="133">
        <v>2025</v>
      </c>
      <c r="B14443" s="133">
        <v>7</v>
      </c>
      <c r="C14443" s="133">
        <v>24</v>
      </c>
      <c r="D14443" s="141">
        <f t="shared" si="2222"/>
        <v>45862</v>
      </c>
      <c r="E14443" s="275">
        <f t="shared" si="2223"/>
        <v>45862</v>
      </c>
      <c r="F14443" s="481"/>
      <c r="G14443" s="174" t="s">
        <v>74</v>
      </c>
      <c r="J14443" s="133" t="s">
        <v>534</v>
      </c>
      <c r="K14443" s="218"/>
      <c r="L14443" s="218">
        <v>93253.2</v>
      </c>
      <c r="N14443" s="264"/>
    </row>
    <row r="14444" spans="1:14" x14ac:dyDescent="0.2">
      <c r="A14444" s="163">
        <v>2025</v>
      </c>
      <c r="B14444" s="163">
        <v>7</v>
      </c>
      <c r="C14444" s="163">
        <v>24</v>
      </c>
      <c r="D14444" s="280">
        <f t="shared" si="2222"/>
        <v>45862</v>
      </c>
      <c r="E14444" s="281">
        <f t="shared" si="2223"/>
        <v>45862</v>
      </c>
      <c r="F14444" s="480"/>
      <c r="G14444" s="221" t="s">
        <v>74</v>
      </c>
      <c r="H14444" s="145"/>
      <c r="I14444" s="145" t="s">
        <v>348</v>
      </c>
      <c r="J14444" s="163" t="s">
        <v>52</v>
      </c>
      <c r="K14444" s="219"/>
      <c r="L14444" s="219">
        <v>528434.78</v>
      </c>
    </row>
    <row r="14445" spans="1:14" x14ac:dyDescent="0.2">
      <c r="A14445" s="168">
        <v>2025</v>
      </c>
      <c r="B14445" s="133">
        <v>7</v>
      </c>
      <c r="C14445" s="168">
        <v>24</v>
      </c>
      <c r="D14445" s="147">
        <f>DATE(A14445,B14445,C14445)</f>
        <v>45862</v>
      </c>
      <c r="E14445" s="311">
        <f>DATE(A14445,B14445,C14445)</f>
        <v>45862</v>
      </c>
      <c r="F14445" s="481" t="s">
        <v>1943</v>
      </c>
      <c r="G14445" s="174" t="s">
        <v>74</v>
      </c>
      <c r="I14445" s="148" t="s">
        <v>348</v>
      </c>
      <c r="J14445" s="133" t="s">
        <v>61</v>
      </c>
      <c r="K14445" s="172">
        <v>258</v>
      </c>
    </row>
    <row r="14446" spans="1:14" x14ac:dyDescent="0.2">
      <c r="A14446" s="163">
        <v>2025</v>
      </c>
      <c r="B14446" s="163">
        <v>7</v>
      </c>
      <c r="C14446" s="163">
        <v>24</v>
      </c>
      <c r="D14446" s="280">
        <f>DATE(A14446,B14446,C14446)</f>
        <v>45862</v>
      </c>
      <c r="E14446" s="281">
        <f>DATE(A14446,B14446,C14446)</f>
        <v>45862</v>
      </c>
      <c r="F14446" s="480"/>
      <c r="G14446" s="221" t="s">
        <v>74</v>
      </c>
      <c r="H14446" s="145"/>
      <c r="I14446" s="145" t="s">
        <v>348</v>
      </c>
      <c r="J14446" s="163" t="s">
        <v>52</v>
      </c>
      <c r="K14446" s="219"/>
      <c r="L14446" s="219">
        <v>258</v>
      </c>
    </row>
    <row r="14447" spans="1:14" ht="11.25" customHeight="1" x14ac:dyDescent="0.2">
      <c r="A14447" s="168">
        <v>2025</v>
      </c>
      <c r="B14447" s="168">
        <v>7</v>
      </c>
      <c r="C14447" s="133">
        <v>24</v>
      </c>
      <c r="D14447" s="141">
        <f t="shared" ref="D14447:D14449" si="2224">DATE(A14447,B14447,C14447)</f>
        <v>45862</v>
      </c>
      <c r="E14447" s="275">
        <f t="shared" ref="E14447:E14449" si="2225">DATE(A14447,B14447,C14447)</f>
        <v>45862</v>
      </c>
      <c r="F14447" s="479" t="s">
        <v>964</v>
      </c>
      <c r="G14447" s="220" t="s">
        <v>74</v>
      </c>
      <c r="H14447" s="142"/>
      <c r="I14447" s="142"/>
      <c r="J14447" s="168" t="s">
        <v>52</v>
      </c>
      <c r="K14447" s="226">
        <v>4115000</v>
      </c>
      <c r="L14447" s="226"/>
    </row>
    <row r="14448" spans="1:14" ht="11.25" customHeight="1" x14ac:dyDescent="0.2">
      <c r="A14448" s="133">
        <v>2025</v>
      </c>
      <c r="B14448" s="133">
        <v>7</v>
      </c>
      <c r="C14448" s="133">
        <v>24</v>
      </c>
      <c r="D14448" s="141">
        <f t="shared" si="2224"/>
        <v>45862</v>
      </c>
      <c r="E14448" s="275">
        <f t="shared" si="2225"/>
        <v>45862</v>
      </c>
      <c r="F14448" s="481"/>
      <c r="G14448" s="174" t="s">
        <v>74</v>
      </c>
      <c r="J14448" s="133" t="s">
        <v>13</v>
      </c>
      <c r="K14448" s="218"/>
      <c r="L14448" s="218">
        <v>3036680</v>
      </c>
    </row>
    <row r="14449" spans="1:17" ht="11.25" customHeight="1" x14ac:dyDescent="0.2">
      <c r="A14449" s="163">
        <v>2025</v>
      </c>
      <c r="B14449" s="163">
        <v>7</v>
      </c>
      <c r="C14449" s="163">
        <v>24</v>
      </c>
      <c r="D14449" s="280">
        <f t="shared" si="2224"/>
        <v>45862</v>
      </c>
      <c r="E14449" s="281">
        <f t="shared" si="2225"/>
        <v>45862</v>
      </c>
      <c r="F14449" s="480"/>
      <c r="G14449" s="221" t="s">
        <v>74</v>
      </c>
      <c r="H14449" s="145"/>
      <c r="I14449" s="145"/>
      <c r="J14449" s="163" t="s">
        <v>53</v>
      </c>
      <c r="K14449" s="219"/>
      <c r="L14449" s="219">
        <v>1078320</v>
      </c>
    </row>
    <row r="14450" spans="1:17" ht="11.25" customHeight="1" x14ac:dyDescent="0.2">
      <c r="A14450" s="168">
        <v>2025</v>
      </c>
      <c r="B14450" s="168">
        <v>7</v>
      </c>
      <c r="C14450" s="133">
        <v>24</v>
      </c>
      <c r="D14450" s="141">
        <f t="shared" ref="D14450:D14487" si="2226">DATE(A14450,B14450,C14450)</f>
        <v>45862</v>
      </c>
      <c r="E14450" s="275">
        <f t="shared" ref="E14450:E14487" si="2227">DATE(A14450,B14450,C14450)</f>
        <v>45862</v>
      </c>
      <c r="F14450" s="479" t="s">
        <v>964</v>
      </c>
      <c r="G14450" s="220" t="s">
        <v>74</v>
      </c>
      <c r="H14450" s="142"/>
      <c r="I14450" s="142"/>
      <c r="J14450" s="168" t="s">
        <v>52</v>
      </c>
      <c r="K14450" s="226">
        <v>300000</v>
      </c>
      <c r="L14450" s="226"/>
    </row>
    <row r="14451" spans="1:17" ht="11.25" customHeight="1" x14ac:dyDescent="0.2">
      <c r="A14451" s="133">
        <v>2025</v>
      </c>
      <c r="B14451" s="133">
        <v>7</v>
      </c>
      <c r="C14451" s="133">
        <v>24</v>
      </c>
      <c r="D14451" s="141">
        <f t="shared" si="2226"/>
        <v>45862</v>
      </c>
      <c r="E14451" s="275">
        <f t="shared" si="2227"/>
        <v>45862</v>
      </c>
      <c r="F14451" s="481"/>
      <c r="G14451" s="174" t="s">
        <v>74</v>
      </c>
      <c r="J14451" s="133" t="s">
        <v>13</v>
      </c>
      <c r="K14451" s="218"/>
      <c r="L14451" s="218">
        <v>221390</v>
      </c>
    </row>
    <row r="14452" spans="1:17" ht="11.25" customHeight="1" x14ac:dyDescent="0.2">
      <c r="A14452" s="163">
        <v>2025</v>
      </c>
      <c r="B14452" s="163">
        <v>7</v>
      </c>
      <c r="C14452" s="163">
        <v>24</v>
      </c>
      <c r="D14452" s="280">
        <f t="shared" si="2226"/>
        <v>45862</v>
      </c>
      <c r="E14452" s="281">
        <f t="shared" si="2227"/>
        <v>45862</v>
      </c>
      <c r="F14452" s="480"/>
      <c r="G14452" s="221" t="s">
        <v>74</v>
      </c>
      <c r="H14452" s="145"/>
      <c r="I14452" s="145"/>
      <c r="J14452" s="163" t="s">
        <v>53</v>
      </c>
      <c r="K14452" s="219"/>
      <c r="L14452" s="219">
        <v>78610</v>
      </c>
    </row>
    <row r="14453" spans="1:17" ht="11.25" customHeight="1" x14ac:dyDescent="0.2">
      <c r="A14453" s="168">
        <v>2025</v>
      </c>
      <c r="B14453" s="168">
        <v>7</v>
      </c>
      <c r="C14453" s="133">
        <v>24</v>
      </c>
      <c r="D14453" s="141">
        <f>DATE(A14453,B14453,C14453)</f>
        <v>45862</v>
      </c>
      <c r="E14453" s="275">
        <f>DATE(A14453,B14453,C14453)</f>
        <v>45862</v>
      </c>
      <c r="F14453" s="481" t="s">
        <v>2087</v>
      </c>
      <c r="G14453" s="174" t="s">
        <v>74</v>
      </c>
      <c r="H14453" s="174"/>
      <c r="I14453" s="148" t="s">
        <v>348</v>
      </c>
      <c r="J14453" s="149" t="s">
        <v>52</v>
      </c>
      <c r="K14453" s="218">
        <v>10435083.100000001</v>
      </c>
      <c r="L14453" s="218"/>
      <c r="M14453" s="147"/>
      <c r="Q14453" s="133" t="s">
        <v>348</v>
      </c>
    </row>
    <row r="14454" spans="1:17" x14ac:dyDescent="0.2">
      <c r="A14454" s="133">
        <v>2025</v>
      </c>
      <c r="B14454" s="133">
        <v>7</v>
      </c>
      <c r="C14454" s="133">
        <v>24</v>
      </c>
      <c r="D14454" s="141">
        <f t="shared" ref="D14454" si="2228">DATE(A14454,B14454,C14454)</f>
        <v>45862</v>
      </c>
      <c r="E14454" s="275">
        <f t="shared" ref="E14454" si="2229">DATE(A14454,B14454,C14454)</f>
        <v>45862</v>
      </c>
      <c r="F14454" s="481"/>
      <c r="G14454" s="174" t="s">
        <v>74</v>
      </c>
      <c r="H14454" s="174"/>
      <c r="J14454" s="149" t="s">
        <v>1810</v>
      </c>
      <c r="K14454" s="218"/>
      <c r="L14454" s="218">
        <v>429033.00000000186</v>
      </c>
      <c r="M14454" s="147"/>
    </row>
    <row r="14455" spans="1:17" x14ac:dyDescent="0.2">
      <c r="A14455" s="163">
        <v>2025</v>
      </c>
      <c r="B14455" s="163">
        <v>7</v>
      </c>
      <c r="C14455" s="163">
        <v>24</v>
      </c>
      <c r="D14455" s="280">
        <f>DATE(A14455,B14455,C14455)</f>
        <v>45862</v>
      </c>
      <c r="E14455" s="281">
        <f>DATE(A14455,B14455,C14455)</f>
        <v>45862</v>
      </c>
      <c r="F14455" s="480"/>
      <c r="G14455" s="221" t="s">
        <v>74</v>
      </c>
      <c r="H14455" s="221"/>
      <c r="I14455" s="145"/>
      <c r="J14455" s="146" t="s">
        <v>1805</v>
      </c>
      <c r="K14455" s="219"/>
      <c r="L14455" s="219">
        <v>10006050.1</v>
      </c>
      <c r="M14455" s="147"/>
      <c r="Q14455" s="133" t="s">
        <v>348</v>
      </c>
    </row>
    <row r="14456" spans="1:17" x14ac:dyDescent="0.2">
      <c r="A14456" s="133">
        <v>2025</v>
      </c>
      <c r="B14456" s="133">
        <v>7</v>
      </c>
      <c r="C14456" s="133">
        <v>24</v>
      </c>
      <c r="D14456" s="141">
        <f t="shared" ref="D14456:D14460" si="2230">DATE(A14456,B14456,C14456)</f>
        <v>45862</v>
      </c>
      <c r="E14456" s="275">
        <f t="shared" ref="E14456:E14460" si="2231">DATE(A14456,B14456,C14456)</f>
        <v>45862</v>
      </c>
      <c r="F14456" s="481" t="s">
        <v>2073</v>
      </c>
      <c r="G14456" s="174" t="s">
        <v>94</v>
      </c>
      <c r="H14456" s="174"/>
      <c r="J14456" s="149" t="s">
        <v>79</v>
      </c>
      <c r="K14456" s="218">
        <v>5481650</v>
      </c>
      <c r="L14456" s="218"/>
      <c r="M14456" s="160"/>
    </row>
    <row r="14457" spans="1:17" x14ac:dyDescent="0.2">
      <c r="A14457" s="133">
        <v>2025</v>
      </c>
      <c r="B14457" s="133">
        <v>7</v>
      </c>
      <c r="C14457" s="133">
        <v>24</v>
      </c>
      <c r="D14457" s="141">
        <f t="shared" si="2230"/>
        <v>45862</v>
      </c>
      <c r="E14457" s="275">
        <f t="shared" si="2231"/>
        <v>45862</v>
      </c>
      <c r="F14457" s="481"/>
      <c r="G14457" s="174" t="s">
        <v>94</v>
      </c>
      <c r="H14457" s="174"/>
      <c r="J14457" s="149" t="s">
        <v>80</v>
      </c>
      <c r="K14457" s="218">
        <v>11108.97</v>
      </c>
      <c r="L14457" s="264"/>
      <c r="M14457" s="264"/>
      <c r="N14457" s="264"/>
    </row>
    <row r="14458" spans="1:17" x14ac:dyDescent="0.2">
      <c r="A14458" s="133">
        <v>2025</v>
      </c>
      <c r="B14458" s="133">
        <v>7</v>
      </c>
      <c r="C14458" s="133">
        <v>24</v>
      </c>
      <c r="D14458" s="141">
        <f t="shared" si="2230"/>
        <v>45862</v>
      </c>
      <c r="E14458" s="275">
        <f t="shared" si="2231"/>
        <v>45862</v>
      </c>
      <c r="F14458" s="481"/>
      <c r="G14458" s="174" t="s">
        <v>94</v>
      </c>
      <c r="H14458" s="174"/>
      <c r="J14458" s="149" t="s">
        <v>147</v>
      </c>
      <c r="K14458" s="218"/>
      <c r="L14458" s="218">
        <v>4802758.97</v>
      </c>
      <c r="M14458" s="264"/>
    </row>
    <row r="14459" spans="1:17" x14ac:dyDescent="0.2">
      <c r="A14459" s="133">
        <v>2025</v>
      </c>
      <c r="B14459" s="133">
        <v>7</v>
      </c>
      <c r="C14459" s="133">
        <v>24</v>
      </c>
      <c r="D14459" s="141">
        <f t="shared" si="2230"/>
        <v>45862</v>
      </c>
      <c r="E14459" s="275">
        <f t="shared" si="2231"/>
        <v>45862</v>
      </c>
      <c r="F14459" s="481"/>
      <c r="G14459" s="174" t="s">
        <v>94</v>
      </c>
      <c r="H14459" s="174"/>
      <c r="J14459" s="149" t="s">
        <v>191</v>
      </c>
      <c r="L14459" s="218">
        <v>238541.78</v>
      </c>
    </row>
    <row r="14460" spans="1:17" x14ac:dyDescent="0.2">
      <c r="A14460" s="163">
        <v>2025</v>
      </c>
      <c r="B14460" s="163">
        <v>7</v>
      </c>
      <c r="C14460" s="163">
        <v>24</v>
      </c>
      <c r="D14460" s="280">
        <f t="shared" si="2230"/>
        <v>45862</v>
      </c>
      <c r="E14460" s="281">
        <f t="shared" si="2231"/>
        <v>45862</v>
      </c>
      <c r="F14460" s="480"/>
      <c r="G14460" s="221" t="s">
        <v>94</v>
      </c>
      <c r="H14460" s="145"/>
      <c r="I14460" s="145"/>
      <c r="J14460" s="163" t="s">
        <v>79</v>
      </c>
      <c r="K14460" s="219"/>
      <c r="L14460" s="219">
        <v>451458.22</v>
      </c>
      <c r="M14460" s="264"/>
    </row>
    <row r="14461" spans="1:17" x14ac:dyDescent="0.2">
      <c r="A14461" s="168">
        <v>2025</v>
      </c>
      <c r="B14461" s="133">
        <v>7</v>
      </c>
      <c r="C14461" s="168">
        <v>24</v>
      </c>
      <c r="D14461" s="141">
        <f>DATE(A14461,B14461,C14461)</f>
        <v>45862</v>
      </c>
      <c r="E14461" s="275">
        <f>DATE(A14461,B14461,C14461)</f>
        <v>45862</v>
      </c>
      <c r="F14461" s="481" t="s">
        <v>2076</v>
      </c>
      <c r="G14461" s="174" t="s">
        <v>94</v>
      </c>
      <c r="H14461" s="174"/>
      <c r="I14461" s="148" t="s">
        <v>348</v>
      </c>
      <c r="J14461" s="149" t="s">
        <v>52</v>
      </c>
      <c r="K14461" s="218">
        <v>868335</v>
      </c>
      <c r="L14461" s="218"/>
    </row>
    <row r="14462" spans="1:17" x14ac:dyDescent="0.2">
      <c r="A14462" s="163">
        <v>2025</v>
      </c>
      <c r="B14462" s="163">
        <v>7</v>
      </c>
      <c r="C14462" s="163">
        <v>24</v>
      </c>
      <c r="D14462" s="141">
        <f>DATE(A14462,B14462,C14462)</f>
        <v>45862</v>
      </c>
      <c r="E14462" s="275">
        <f>DATE(A14462,B14462,C14462)</f>
        <v>45862</v>
      </c>
      <c r="F14462" s="480"/>
      <c r="G14462" s="221" t="s">
        <v>94</v>
      </c>
      <c r="H14462" s="221"/>
      <c r="I14462" s="145" t="s">
        <v>348</v>
      </c>
      <c r="J14462" s="146" t="s">
        <v>168</v>
      </c>
      <c r="K14462" s="219"/>
      <c r="L14462" s="219">
        <v>868335</v>
      </c>
    </row>
    <row r="14463" spans="1:17" x14ac:dyDescent="0.2">
      <c r="A14463" s="325">
        <v>2025</v>
      </c>
      <c r="B14463" s="325">
        <v>7</v>
      </c>
      <c r="C14463" s="325">
        <v>24</v>
      </c>
      <c r="D14463" s="326">
        <f t="shared" si="2226"/>
        <v>45862</v>
      </c>
      <c r="E14463" s="327">
        <f t="shared" si="2227"/>
        <v>45862</v>
      </c>
      <c r="F14463" s="473" t="s">
        <v>1940</v>
      </c>
      <c r="G14463" s="340" t="s">
        <v>94</v>
      </c>
      <c r="H14463" s="340"/>
      <c r="I14463" s="341" t="s">
        <v>348</v>
      </c>
      <c r="J14463" s="374" t="s">
        <v>133</v>
      </c>
      <c r="K14463" s="375">
        <v>12905.56</v>
      </c>
      <c r="L14463" s="375"/>
      <c r="M14463" s="176"/>
    </row>
    <row r="14464" spans="1:17" x14ac:dyDescent="0.2">
      <c r="A14464" s="331">
        <v>2025</v>
      </c>
      <c r="B14464" s="331">
        <v>7</v>
      </c>
      <c r="C14464" s="331">
        <v>24</v>
      </c>
      <c r="D14464" s="326">
        <f t="shared" si="2226"/>
        <v>45862</v>
      </c>
      <c r="E14464" s="327">
        <f t="shared" si="2227"/>
        <v>45862</v>
      </c>
      <c r="F14464" s="474"/>
      <c r="G14464" s="332" t="s">
        <v>94</v>
      </c>
      <c r="H14464" s="332"/>
      <c r="I14464" s="333" t="s">
        <v>348</v>
      </c>
      <c r="J14464" s="376" t="s">
        <v>60</v>
      </c>
      <c r="K14464" s="334"/>
      <c r="L14464" s="334">
        <f>K14463</f>
        <v>12905.56</v>
      </c>
    </row>
    <row r="14465" spans="1:13" x14ac:dyDescent="0.2">
      <c r="A14465" s="325">
        <v>2025</v>
      </c>
      <c r="B14465" s="325">
        <v>7</v>
      </c>
      <c r="C14465" s="325">
        <v>24</v>
      </c>
      <c r="D14465" s="326">
        <f t="shared" si="2226"/>
        <v>45862</v>
      </c>
      <c r="E14465" s="327">
        <f t="shared" si="2227"/>
        <v>45862</v>
      </c>
      <c r="F14465" s="473" t="s">
        <v>2097</v>
      </c>
      <c r="G14465" s="340" t="s">
        <v>94</v>
      </c>
      <c r="H14465" s="340"/>
      <c r="I14465" s="341" t="s">
        <v>348</v>
      </c>
      <c r="J14465" s="374" t="s">
        <v>133</v>
      </c>
      <c r="K14465" s="375">
        <v>6250</v>
      </c>
      <c r="L14465" s="375"/>
      <c r="M14465" s="176"/>
    </row>
    <row r="14466" spans="1:13" x14ac:dyDescent="0.2">
      <c r="A14466" s="331">
        <v>2025</v>
      </c>
      <c r="B14466" s="331">
        <v>7</v>
      </c>
      <c r="C14466" s="331">
        <v>24</v>
      </c>
      <c r="D14466" s="326">
        <f t="shared" si="2226"/>
        <v>45862</v>
      </c>
      <c r="E14466" s="327">
        <f t="shared" si="2227"/>
        <v>45862</v>
      </c>
      <c r="F14466" s="474"/>
      <c r="G14466" s="332" t="s">
        <v>94</v>
      </c>
      <c r="H14466" s="332"/>
      <c r="I14466" s="333" t="s">
        <v>348</v>
      </c>
      <c r="J14466" s="376" t="s">
        <v>60</v>
      </c>
      <c r="K14466" s="334"/>
      <c r="L14466" s="334">
        <f>K14465</f>
        <v>6250</v>
      </c>
    </row>
    <row r="14467" spans="1:13" x14ac:dyDescent="0.2">
      <c r="A14467" s="384">
        <v>2025</v>
      </c>
      <c r="B14467" s="384">
        <v>7</v>
      </c>
      <c r="C14467" s="384">
        <v>24</v>
      </c>
      <c r="D14467" s="385">
        <f t="shared" si="2226"/>
        <v>45862</v>
      </c>
      <c r="E14467" s="386">
        <f t="shared" si="2227"/>
        <v>45862</v>
      </c>
      <c r="F14467" s="475" t="s">
        <v>1966</v>
      </c>
      <c r="G14467" s="387" t="s">
        <v>94</v>
      </c>
      <c r="H14467" s="387"/>
      <c r="I14467" s="388" t="s">
        <v>348</v>
      </c>
      <c r="J14467" s="389" t="s">
        <v>67</v>
      </c>
      <c r="K14467" s="390">
        <v>13935.5</v>
      </c>
      <c r="L14467" s="390"/>
    </row>
    <row r="14468" spans="1:13" x14ac:dyDescent="0.2">
      <c r="A14468" s="391">
        <v>2025</v>
      </c>
      <c r="B14468" s="391">
        <v>7</v>
      </c>
      <c r="C14468" s="391">
        <v>24</v>
      </c>
      <c r="D14468" s="385">
        <f t="shared" si="2226"/>
        <v>45862</v>
      </c>
      <c r="E14468" s="386">
        <f t="shared" si="2227"/>
        <v>45862</v>
      </c>
      <c r="F14468" s="476"/>
      <c r="G14468" s="392" t="s">
        <v>94</v>
      </c>
      <c r="H14468" s="392"/>
      <c r="I14468" s="393" t="s">
        <v>348</v>
      </c>
      <c r="J14468" s="394" t="s">
        <v>60</v>
      </c>
      <c r="K14468" s="395"/>
      <c r="L14468" s="395">
        <f>K14467</f>
        <v>13935.5</v>
      </c>
    </row>
    <row r="14469" spans="1:13" x14ac:dyDescent="0.2">
      <c r="A14469" s="343">
        <v>2025</v>
      </c>
      <c r="B14469" s="343">
        <v>7</v>
      </c>
      <c r="C14469" s="343">
        <v>24</v>
      </c>
      <c r="D14469" s="344">
        <f t="shared" si="2226"/>
        <v>45862</v>
      </c>
      <c r="E14469" s="345">
        <f t="shared" si="2227"/>
        <v>45862</v>
      </c>
      <c r="F14469" s="483" t="s">
        <v>1813</v>
      </c>
      <c r="G14469" s="350" t="s">
        <v>94</v>
      </c>
      <c r="H14469" s="350"/>
      <c r="I14469" s="352" t="s">
        <v>348</v>
      </c>
      <c r="J14469" s="353" t="s">
        <v>1807</v>
      </c>
      <c r="K14469" s="354">
        <v>0</v>
      </c>
      <c r="L14469" s="354"/>
      <c r="M14469" s="133">
        <v>0</v>
      </c>
    </row>
    <row r="14470" spans="1:13" x14ac:dyDescent="0.2">
      <c r="A14470" s="346">
        <v>2025</v>
      </c>
      <c r="B14470" s="346">
        <v>7</v>
      </c>
      <c r="C14470" s="346">
        <v>24</v>
      </c>
      <c r="D14470" s="344">
        <f t="shared" si="2226"/>
        <v>45862</v>
      </c>
      <c r="E14470" s="345">
        <f t="shared" si="2227"/>
        <v>45862</v>
      </c>
      <c r="F14470" s="484"/>
      <c r="G14470" s="347" t="s">
        <v>94</v>
      </c>
      <c r="H14470" s="347"/>
      <c r="I14470" s="348" t="s">
        <v>348</v>
      </c>
      <c r="J14470" s="355" t="s">
        <v>1798</v>
      </c>
      <c r="K14470" s="349"/>
      <c r="L14470" s="349">
        <v>0</v>
      </c>
    </row>
    <row r="14471" spans="1:13" x14ac:dyDescent="0.2">
      <c r="A14471" s="343">
        <v>2025</v>
      </c>
      <c r="B14471" s="343">
        <v>7</v>
      </c>
      <c r="C14471" s="343">
        <v>24</v>
      </c>
      <c r="D14471" s="344">
        <f t="shared" si="2226"/>
        <v>45862</v>
      </c>
      <c r="E14471" s="345">
        <f t="shared" si="2227"/>
        <v>45862</v>
      </c>
      <c r="F14471" s="483" t="s">
        <v>1913</v>
      </c>
      <c r="G14471" s="350" t="s">
        <v>94</v>
      </c>
      <c r="H14471" s="350"/>
      <c r="I14471" s="352" t="s">
        <v>348</v>
      </c>
      <c r="J14471" s="353" t="s">
        <v>1799</v>
      </c>
      <c r="K14471" s="354">
        <v>404375.92000000179</v>
      </c>
      <c r="L14471" s="354"/>
      <c r="M14471" s="160">
        <v>0</v>
      </c>
    </row>
    <row r="14472" spans="1:13" x14ac:dyDescent="0.2">
      <c r="A14472" s="346">
        <v>2025</v>
      </c>
      <c r="B14472" s="346">
        <v>7</v>
      </c>
      <c r="C14472" s="346">
        <v>24</v>
      </c>
      <c r="D14472" s="344">
        <f t="shared" si="2226"/>
        <v>45862</v>
      </c>
      <c r="E14472" s="345">
        <f t="shared" si="2227"/>
        <v>45862</v>
      </c>
      <c r="F14472" s="484"/>
      <c r="G14472" s="347" t="s">
        <v>94</v>
      </c>
      <c r="H14472" s="347"/>
      <c r="I14472" s="348" t="s">
        <v>348</v>
      </c>
      <c r="J14472" s="355" t="s">
        <v>1808</v>
      </c>
      <c r="K14472" s="349"/>
      <c r="L14472" s="349">
        <f>K14471</f>
        <v>404375.92000000179</v>
      </c>
    </row>
    <row r="14473" spans="1:13" x14ac:dyDescent="0.2">
      <c r="A14473" s="238">
        <v>2025</v>
      </c>
      <c r="B14473" s="238">
        <v>7</v>
      </c>
      <c r="C14473" s="238">
        <v>24</v>
      </c>
      <c r="D14473" s="270">
        <f t="shared" si="2226"/>
        <v>45862</v>
      </c>
      <c r="E14473" s="279">
        <f t="shared" si="2227"/>
        <v>45862</v>
      </c>
      <c r="F14473" s="477" t="s">
        <v>347</v>
      </c>
      <c r="G14473" s="239" t="s">
        <v>94</v>
      </c>
      <c r="H14473" s="239"/>
      <c r="I14473" s="262" t="s">
        <v>348</v>
      </c>
      <c r="J14473" s="240" t="s">
        <v>108</v>
      </c>
      <c r="K14473" s="241">
        <v>4483126.7746999497</v>
      </c>
      <c r="L14473" s="241"/>
      <c r="M14473" s="160">
        <v>13139541.900000483</v>
      </c>
    </row>
    <row r="14474" spans="1:13" x14ac:dyDescent="0.2">
      <c r="A14474" s="242">
        <v>2025</v>
      </c>
      <c r="B14474" s="242">
        <v>7</v>
      </c>
      <c r="C14474" s="242">
        <v>24</v>
      </c>
      <c r="D14474" s="270">
        <f t="shared" si="2226"/>
        <v>45862</v>
      </c>
      <c r="E14474" s="279">
        <f t="shared" si="2227"/>
        <v>45862</v>
      </c>
      <c r="F14474" s="478"/>
      <c r="G14474" s="243" t="s">
        <v>94</v>
      </c>
      <c r="H14474" s="243"/>
      <c r="I14474" s="263" t="s">
        <v>348</v>
      </c>
      <c r="J14474" s="244" t="s">
        <v>82</v>
      </c>
      <c r="K14474" s="245"/>
      <c r="L14474" s="245">
        <f>K14473</f>
        <v>4483126.7746999497</v>
      </c>
    </row>
    <row r="14475" spans="1:13" ht="12" customHeight="1" x14ac:dyDescent="0.2">
      <c r="A14475" s="246">
        <v>2025</v>
      </c>
      <c r="B14475" s="238">
        <v>7</v>
      </c>
      <c r="C14475" s="238">
        <v>24</v>
      </c>
      <c r="D14475" s="270">
        <f t="shared" si="2226"/>
        <v>45862</v>
      </c>
      <c r="E14475" s="279">
        <f t="shared" si="2227"/>
        <v>45862</v>
      </c>
      <c r="F14475" s="482" t="s">
        <v>148</v>
      </c>
      <c r="G14475" s="247" t="s">
        <v>94</v>
      </c>
      <c r="H14475" s="247"/>
      <c r="I14475" s="248" t="s">
        <v>348</v>
      </c>
      <c r="J14475" s="249" t="s">
        <v>95</v>
      </c>
      <c r="K14475" s="250">
        <v>2747.2527472527472</v>
      </c>
      <c r="L14475" s="241"/>
      <c r="M14475" s="176"/>
    </row>
    <row r="14476" spans="1:13" x14ac:dyDescent="0.2">
      <c r="A14476" s="242">
        <v>2025</v>
      </c>
      <c r="B14476" s="242">
        <v>7</v>
      </c>
      <c r="C14476" s="242">
        <v>24</v>
      </c>
      <c r="D14476" s="270">
        <f t="shared" si="2226"/>
        <v>45862</v>
      </c>
      <c r="E14476" s="279">
        <f t="shared" si="2227"/>
        <v>45862</v>
      </c>
      <c r="F14476" s="478"/>
      <c r="G14476" s="243" t="s">
        <v>94</v>
      </c>
      <c r="H14476" s="243"/>
      <c r="I14476" s="263" t="s">
        <v>348</v>
      </c>
      <c r="J14476" s="244" t="s">
        <v>63</v>
      </c>
      <c r="K14476" s="245"/>
      <c r="L14476" s="245">
        <f>K14475</f>
        <v>2747.2527472527472</v>
      </c>
    </row>
    <row r="14477" spans="1:13" x14ac:dyDescent="0.2">
      <c r="A14477" s="246">
        <v>2025</v>
      </c>
      <c r="B14477" s="238">
        <v>7</v>
      </c>
      <c r="C14477" s="238">
        <v>24</v>
      </c>
      <c r="D14477" s="270">
        <f t="shared" si="2226"/>
        <v>45862</v>
      </c>
      <c r="E14477" s="279">
        <f t="shared" si="2227"/>
        <v>45862</v>
      </c>
      <c r="F14477" s="482" t="s">
        <v>137</v>
      </c>
      <c r="G14477" s="247" t="s">
        <v>94</v>
      </c>
      <c r="H14477" s="247"/>
      <c r="I14477" s="248" t="s">
        <v>348</v>
      </c>
      <c r="J14477" s="249" t="s">
        <v>97</v>
      </c>
      <c r="K14477" s="250">
        <f>M14477</f>
        <v>71259.603347652694</v>
      </c>
      <c r="L14477" s="252"/>
      <c r="M14477" s="133">
        <v>71259.603347652694</v>
      </c>
    </row>
    <row r="14478" spans="1:13" x14ac:dyDescent="0.2">
      <c r="A14478" s="242">
        <v>2025</v>
      </c>
      <c r="B14478" s="242">
        <v>7</v>
      </c>
      <c r="C14478" s="242">
        <v>24</v>
      </c>
      <c r="D14478" s="270">
        <f t="shared" si="2226"/>
        <v>45862</v>
      </c>
      <c r="E14478" s="279">
        <f t="shared" si="2227"/>
        <v>45862</v>
      </c>
      <c r="F14478" s="478"/>
      <c r="G14478" s="243" t="s">
        <v>94</v>
      </c>
      <c r="H14478" s="243"/>
      <c r="I14478" s="263" t="s">
        <v>348</v>
      </c>
      <c r="J14478" s="244" t="s">
        <v>47</v>
      </c>
      <c r="K14478" s="245"/>
      <c r="L14478" s="245">
        <f>K14477</f>
        <v>71259.603347652694</v>
      </c>
      <c r="M14478" s="133">
        <v>3322.5955519980193</v>
      </c>
    </row>
    <row r="14479" spans="1:13" x14ac:dyDescent="0.2">
      <c r="A14479" s="246">
        <v>2025</v>
      </c>
      <c r="B14479" s="238">
        <v>7</v>
      </c>
      <c r="C14479" s="238">
        <v>24</v>
      </c>
      <c r="D14479" s="270">
        <f t="shared" si="2226"/>
        <v>45862</v>
      </c>
      <c r="E14479" s="279">
        <f t="shared" si="2227"/>
        <v>45862</v>
      </c>
      <c r="F14479" s="482" t="s">
        <v>138</v>
      </c>
      <c r="G14479" s="247" t="s">
        <v>94</v>
      </c>
      <c r="H14479" s="247"/>
      <c r="I14479" s="248" t="s">
        <v>348</v>
      </c>
      <c r="J14479" s="249" t="s">
        <v>100</v>
      </c>
      <c r="K14479" s="250">
        <f>M14478</f>
        <v>3322.5955519980193</v>
      </c>
      <c r="L14479" s="252"/>
    </row>
    <row r="14480" spans="1:13" x14ac:dyDescent="0.2">
      <c r="A14480" s="242">
        <v>2025</v>
      </c>
      <c r="B14480" s="242">
        <v>7</v>
      </c>
      <c r="C14480" s="242">
        <v>24</v>
      </c>
      <c r="D14480" s="321">
        <f t="shared" si="2226"/>
        <v>45862</v>
      </c>
      <c r="E14480" s="322">
        <f t="shared" si="2227"/>
        <v>45862</v>
      </c>
      <c r="F14480" s="478"/>
      <c r="G14480" s="243" t="s">
        <v>94</v>
      </c>
      <c r="H14480" s="243"/>
      <c r="I14480" s="263" t="s">
        <v>348</v>
      </c>
      <c r="J14480" s="244" t="s">
        <v>48</v>
      </c>
      <c r="K14480" s="245"/>
      <c r="L14480" s="245">
        <f>K14479</f>
        <v>3322.5955519980193</v>
      </c>
    </row>
    <row r="14481" spans="1:14" x14ac:dyDescent="0.2">
      <c r="A14481" s="133">
        <v>2025</v>
      </c>
      <c r="B14481" s="133">
        <v>7</v>
      </c>
      <c r="C14481" s="133">
        <v>27</v>
      </c>
      <c r="D14481" s="141">
        <f t="shared" si="2226"/>
        <v>45865</v>
      </c>
      <c r="E14481" s="275">
        <f t="shared" si="2227"/>
        <v>45865</v>
      </c>
      <c r="F14481" s="481" t="s">
        <v>2073</v>
      </c>
      <c r="G14481" s="174" t="s">
        <v>94</v>
      </c>
      <c r="H14481" s="174"/>
      <c r="J14481" s="149" t="s">
        <v>79</v>
      </c>
      <c r="K14481" s="218">
        <v>7568354.5999999996</v>
      </c>
      <c r="L14481" s="218"/>
      <c r="M14481" s="160"/>
    </row>
    <row r="14482" spans="1:14" x14ac:dyDescent="0.2">
      <c r="A14482" s="133">
        <v>2025</v>
      </c>
      <c r="B14482" s="133">
        <v>7</v>
      </c>
      <c r="C14482" s="133">
        <v>27</v>
      </c>
      <c r="D14482" s="141">
        <f t="shared" si="2226"/>
        <v>45865</v>
      </c>
      <c r="E14482" s="275">
        <f t="shared" si="2227"/>
        <v>45865</v>
      </c>
      <c r="F14482" s="481"/>
      <c r="G14482" s="174" t="s">
        <v>94</v>
      </c>
      <c r="H14482" s="174"/>
      <c r="J14482" s="149" t="s">
        <v>80</v>
      </c>
      <c r="K14482" s="218">
        <v>14457.68</v>
      </c>
      <c r="L14482" s="264"/>
      <c r="M14482" s="264"/>
      <c r="N14482" s="264"/>
    </row>
    <row r="14483" spans="1:14" x14ac:dyDescent="0.2">
      <c r="A14483" s="133">
        <v>2025</v>
      </c>
      <c r="B14483" s="133">
        <v>7</v>
      </c>
      <c r="C14483" s="133">
        <v>27</v>
      </c>
      <c r="D14483" s="141">
        <f t="shared" si="2226"/>
        <v>45865</v>
      </c>
      <c r="E14483" s="275">
        <f t="shared" si="2227"/>
        <v>45865</v>
      </c>
      <c r="F14483" s="481"/>
      <c r="G14483" s="174" t="s">
        <v>94</v>
      </c>
      <c r="H14483" s="174"/>
      <c r="J14483" s="149" t="s">
        <v>147</v>
      </c>
      <c r="K14483" s="218"/>
      <c r="L14483" s="218">
        <v>7119122.2800000003</v>
      </c>
      <c r="M14483" s="264"/>
    </row>
    <row r="14484" spans="1:14" x14ac:dyDescent="0.2">
      <c r="A14484" s="133">
        <v>2025</v>
      </c>
      <c r="B14484" s="133">
        <v>7</v>
      </c>
      <c r="C14484" s="133">
        <v>27</v>
      </c>
      <c r="D14484" s="141">
        <f t="shared" si="2226"/>
        <v>45865</v>
      </c>
      <c r="E14484" s="275">
        <f t="shared" si="2227"/>
        <v>45865</v>
      </c>
      <c r="F14484" s="481"/>
      <c r="G14484" s="174" t="s">
        <v>94</v>
      </c>
      <c r="H14484" s="174"/>
      <c r="J14484" s="149" t="s">
        <v>191</v>
      </c>
      <c r="L14484" s="218">
        <v>100946.97</v>
      </c>
    </row>
    <row r="14485" spans="1:14" x14ac:dyDescent="0.2">
      <c r="A14485" s="163">
        <v>2025</v>
      </c>
      <c r="B14485" s="163">
        <v>7</v>
      </c>
      <c r="C14485" s="163">
        <v>27</v>
      </c>
      <c r="D14485" s="280">
        <f t="shared" si="2226"/>
        <v>45865</v>
      </c>
      <c r="E14485" s="281">
        <f t="shared" si="2227"/>
        <v>45865</v>
      </c>
      <c r="F14485" s="480"/>
      <c r="G14485" s="221" t="s">
        <v>94</v>
      </c>
      <c r="H14485" s="145"/>
      <c r="I14485" s="145"/>
      <c r="J14485" s="163" t="s">
        <v>79</v>
      </c>
      <c r="K14485" s="219"/>
      <c r="L14485" s="219">
        <v>362743.03</v>
      </c>
      <c r="M14485" s="264"/>
    </row>
    <row r="14486" spans="1:14" ht="11.25" customHeight="1" x14ac:dyDescent="0.2">
      <c r="A14486" s="168">
        <v>2025</v>
      </c>
      <c r="B14486" s="133">
        <v>7</v>
      </c>
      <c r="C14486" s="168">
        <v>27</v>
      </c>
      <c r="D14486" s="141">
        <f t="shared" si="2226"/>
        <v>45865</v>
      </c>
      <c r="E14486" s="275">
        <f t="shared" si="2227"/>
        <v>45865</v>
      </c>
      <c r="F14486" s="479" t="s">
        <v>2074</v>
      </c>
      <c r="G14486" s="220" t="s">
        <v>74</v>
      </c>
      <c r="H14486" s="220"/>
      <c r="I14486" s="142"/>
      <c r="J14486" s="143" t="s">
        <v>147</v>
      </c>
      <c r="K14486" s="226">
        <v>4802758.97</v>
      </c>
      <c r="L14486" s="226"/>
    </row>
    <row r="14487" spans="1:14" x14ac:dyDescent="0.2">
      <c r="A14487" s="163">
        <v>2025</v>
      </c>
      <c r="B14487" s="163">
        <v>7</v>
      </c>
      <c r="C14487" s="163">
        <v>27</v>
      </c>
      <c r="D14487" s="280">
        <f t="shared" si="2226"/>
        <v>45865</v>
      </c>
      <c r="E14487" s="281">
        <f t="shared" si="2227"/>
        <v>45865</v>
      </c>
      <c r="F14487" s="480"/>
      <c r="G14487" s="221" t="s">
        <v>74</v>
      </c>
      <c r="H14487" s="221"/>
      <c r="I14487" s="145"/>
      <c r="J14487" s="146" t="s">
        <v>52</v>
      </c>
      <c r="K14487" s="219"/>
      <c r="L14487" s="219">
        <f>K14486</f>
        <v>4802758.97</v>
      </c>
      <c r="N14487" s="264"/>
    </row>
    <row r="14488" spans="1:14" x14ac:dyDescent="0.2">
      <c r="A14488" s="168">
        <v>2025</v>
      </c>
      <c r="B14488" s="133">
        <v>7</v>
      </c>
      <c r="C14488" s="168">
        <v>27</v>
      </c>
      <c r="D14488" s="147">
        <f t="shared" ref="D14488:D14497" si="2232">DATE(A14488,B14488,C14488)</f>
        <v>45865</v>
      </c>
      <c r="E14488" s="311">
        <f t="shared" ref="E14488:E14497" si="2233">DATE(A14488,B14488,C14488)</f>
        <v>45865</v>
      </c>
      <c r="F14488" s="481" t="s">
        <v>1943</v>
      </c>
      <c r="G14488" s="174" t="s">
        <v>74</v>
      </c>
      <c r="I14488" s="148" t="s">
        <v>348</v>
      </c>
      <c r="J14488" s="133" t="s">
        <v>61</v>
      </c>
      <c r="K14488" s="172">
        <v>100</v>
      </c>
    </row>
    <row r="14489" spans="1:14" x14ac:dyDescent="0.2">
      <c r="A14489" s="163">
        <v>2025</v>
      </c>
      <c r="B14489" s="163">
        <v>7</v>
      </c>
      <c r="C14489" s="163">
        <v>27</v>
      </c>
      <c r="D14489" s="280">
        <f t="shared" si="2232"/>
        <v>45865</v>
      </c>
      <c r="E14489" s="281">
        <f t="shared" si="2233"/>
        <v>45865</v>
      </c>
      <c r="F14489" s="480"/>
      <c r="G14489" s="221" t="s">
        <v>74</v>
      </c>
      <c r="H14489" s="145"/>
      <c r="I14489" s="145" t="s">
        <v>348</v>
      </c>
      <c r="J14489" s="163" t="s">
        <v>52</v>
      </c>
      <c r="K14489" s="219"/>
      <c r="L14489" s="219">
        <v>100</v>
      </c>
    </row>
    <row r="14490" spans="1:14" x14ac:dyDescent="0.2">
      <c r="A14490" s="168">
        <v>2025</v>
      </c>
      <c r="B14490" s="133">
        <v>7</v>
      </c>
      <c r="C14490" s="168">
        <v>27</v>
      </c>
      <c r="D14490" s="147">
        <f t="shared" si="2232"/>
        <v>45865</v>
      </c>
      <c r="E14490" s="311">
        <f t="shared" si="2233"/>
        <v>45865</v>
      </c>
      <c r="F14490" s="481" t="s">
        <v>1943</v>
      </c>
      <c r="G14490" s="174" t="s">
        <v>74</v>
      </c>
      <c r="I14490" s="148" t="s">
        <v>348</v>
      </c>
      <c r="J14490" s="133" t="s">
        <v>61</v>
      </c>
      <c r="K14490" s="172">
        <v>25</v>
      </c>
    </row>
    <row r="14491" spans="1:14" x14ac:dyDescent="0.2">
      <c r="A14491" s="163">
        <v>2025</v>
      </c>
      <c r="B14491" s="163">
        <v>7</v>
      </c>
      <c r="C14491" s="163">
        <v>27</v>
      </c>
      <c r="D14491" s="280">
        <f t="shared" si="2232"/>
        <v>45865</v>
      </c>
      <c r="E14491" s="281">
        <f t="shared" si="2233"/>
        <v>45865</v>
      </c>
      <c r="F14491" s="480"/>
      <c r="G14491" s="221" t="s">
        <v>74</v>
      </c>
      <c r="H14491" s="145"/>
      <c r="I14491" s="145" t="s">
        <v>348</v>
      </c>
      <c r="J14491" s="163" t="s">
        <v>52</v>
      </c>
      <c r="K14491" s="219"/>
      <c r="L14491" s="219">
        <v>25</v>
      </c>
    </row>
    <row r="14492" spans="1:14" x14ac:dyDescent="0.2">
      <c r="A14492" s="168">
        <v>2025</v>
      </c>
      <c r="B14492" s="133">
        <v>7</v>
      </c>
      <c r="C14492" s="168">
        <v>27</v>
      </c>
      <c r="D14492" s="141">
        <f t="shared" si="2232"/>
        <v>45865</v>
      </c>
      <c r="E14492" s="275">
        <f t="shared" si="2233"/>
        <v>45865</v>
      </c>
      <c r="F14492" s="481" t="s">
        <v>2072</v>
      </c>
      <c r="G14492" s="174" t="s">
        <v>94</v>
      </c>
      <c r="H14492" s="174"/>
      <c r="I14492" s="148" t="s">
        <v>348</v>
      </c>
      <c r="J14492" s="149" t="s">
        <v>168</v>
      </c>
      <c r="K14492" s="218">
        <v>24.69</v>
      </c>
      <c r="L14492" s="218"/>
    </row>
    <row r="14493" spans="1:14" x14ac:dyDescent="0.2">
      <c r="A14493" s="163">
        <v>2025</v>
      </c>
      <c r="B14493" s="163">
        <v>7</v>
      </c>
      <c r="C14493" s="163">
        <v>27</v>
      </c>
      <c r="D14493" s="141">
        <f t="shared" si="2232"/>
        <v>45865</v>
      </c>
      <c r="E14493" s="275">
        <f t="shared" si="2233"/>
        <v>45865</v>
      </c>
      <c r="F14493" s="480"/>
      <c r="G14493" s="221" t="s">
        <v>94</v>
      </c>
      <c r="H14493" s="221"/>
      <c r="I14493" s="145" t="s">
        <v>348</v>
      </c>
      <c r="J14493" s="146" t="s">
        <v>166</v>
      </c>
      <c r="K14493" s="219"/>
      <c r="L14493" s="219">
        <v>24.69</v>
      </c>
    </row>
    <row r="14494" spans="1:14" x14ac:dyDescent="0.2">
      <c r="A14494" s="168">
        <v>2025</v>
      </c>
      <c r="B14494" s="133">
        <v>7</v>
      </c>
      <c r="C14494" s="168">
        <v>27</v>
      </c>
      <c r="D14494" s="141">
        <f t="shared" si="2232"/>
        <v>45865</v>
      </c>
      <c r="E14494" s="275">
        <f t="shared" si="2233"/>
        <v>45865</v>
      </c>
      <c r="F14494" s="481" t="s">
        <v>2091</v>
      </c>
      <c r="G14494" s="174" t="s">
        <v>94</v>
      </c>
      <c r="H14494" s="174"/>
      <c r="I14494" s="148" t="s">
        <v>348</v>
      </c>
      <c r="J14494" s="149" t="s">
        <v>52</v>
      </c>
      <c r="K14494" s="218">
        <v>24.69</v>
      </c>
      <c r="L14494" s="218"/>
    </row>
    <row r="14495" spans="1:14" x14ac:dyDescent="0.2">
      <c r="A14495" s="163">
        <v>2025</v>
      </c>
      <c r="B14495" s="163">
        <v>7</v>
      </c>
      <c r="C14495" s="163">
        <v>27</v>
      </c>
      <c r="D14495" s="141">
        <f t="shared" si="2232"/>
        <v>45865</v>
      </c>
      <c r="E14495" s="275">
        <f t="shared" si="2233"/>
        <v>45865</v>
      </c>
      <c r="F14495" s="480"/>
      <c r="G14495" s="221" t="s">
        <v>94</v>
      </c>
      <c r="H14495" s="221"/>
      <c r="I14495" s="145" t="s">
        <v>348</v>
      </c>
      <c r="J14495" s="146" t="s">
        <v>168</v>
      </c>
      <c r="K14495" s="219"/>
      <c r="L14495" s="219">
        <v>24.69</v>
      </c>
    </row>
    <row r="14496" spans="1:14" x14ac:dyDescent="0.2">
      <c r="A14496" s="168">
        <v>2025</v>
      </c>
      <c r="B14496" s="133">
        <v>7</v>
      </c>
      <c r="C14496" s="168">
        <v>27</v>
      </c>
      <c r="D14496" s="141">
        <f t="shared" si="2232"/>
        <v>45865</v>
      </c>
      <c r="E14496" s="275">
        <f t="shared" si="2233"/>
        <v>45865</v>
      </c>
      <c r="F14496" s="481" t="s">
        <v>2105</v>
      </c>
      <c r="G14496" s="174" t="s">
        <v>94</v>
      </c>
      <c r="H14496" s="174"/>
      <c r="I14496" s="148" t="s">
        <v>348</v>
      </c>
      <c r="J14496" s="149" t="s">
        <v>52</v>
      </c>
      <c r="K14496" s="218">
        <v>120644.15</v>
      </c>
      <c r="L14496" s="218"/>
    </row>
    <row r="14497" spans="1:14" x14ac:dyDescent="0.2">
      <c r="A14497" s="163">
        <v>2025</v>
      </c>
      <c r="B14497" s="163">
        <v>7</v>
      </c>
      <c r="C14497" s="163">
        <v>27</v>
      </c>
      <c r="D14497" s="141">
        <f t="shared" si="2232"/>
        <v>45865</v>
      </c>
      <c r="E14497" s="275">
        <f t="shared" si="2233"/>
        <v>45865</v>
      </c>
      <c r="F14497" s="480"/>
      <c r="G14497" s="221" t="s">
        <v>94</v>
      </c>
      <c r="H14497" s="221"/>
      <c r="I14497" s="145" t="s">
        <v>348</v>
      </c>
      <c r="J14497" s="146" t="s">
        <v>168</v>
      </c>
      <c r="K14497" s="219"/>
      <c r="L14497" s="219">
        <v>120644.15</v>
      </c>
    </row>
    <row r="14498" spans="1:14" ht="11.25" customHeight="1" x14ac:dyDescent="0.2">
      <c r="A14498" s="168">
        <v>2025</v>
      </c>
      <c r="B14498" s="133">
        <v>7</v>
      </c>
      <c r="C14498" s="168">
        <v>27</v>
      </c>
      <c r="D14498" s="141">
        <f t="shared" ref="D14498:D14499" si="2234">DATE(A14498,B14498,C14498)</f>
        <v>45865</v>
      </c>
      <c r="E14498" s="275">
        <f t="shared" ref="E14498:E14499" si="2235">DATE(A14498,B14498,C14498)</f>
        <v>45865</v>
      </c>
      <c r="F14498" s="479" t="s">
        <v>2031</v>
      </c>
      <c r="G14498" s="220" t="s">
        <v>74</v>
      </c>
      <c r="H14498" s="220"/>
      <c r="I14498" s="142"/>
      <c r="J14498" s="143" t="s">
        <v>52</v>
      </c>
      <c r="K14498" s="226">
        <v>136753</v>
      </c>
      <c r="L14498" s="226"/>
    </row>
    <row r="14499" spans="1:14" x14ac:dyDescent="0.2">
      <c r="A14499" s="163">
        <v>2025</v>
      </c>
      <c r="B14499" s="163">
        <v>7</v>
      </c>
      <c r="C14499" s="163">
        <v>27</v>
      </c>
      <c r="D14499" s="280">
        <f t="shared" si="2234"/>
        <v>45865</v>
      </c>
      <c r="E14499" s="281">
        <f t="shared" si="2235"/>
        <v>45865</v>
      </c>
      <c r="F14499" s="480"/>
      <c r="G14499" s="221" t="s">
        <v>74</v>
      </c>
      <c r="H14499" s="221"/>
      <c r="I14499" s="145"/>
      <c r="J14499" s="146" t="s">
        <v>190</v>
      </c>
      <c r="K14499" s="219"/>
      <c r="L14499" s="219">
        <f>K14498</f>
        <v>136753</v>
      </c>
      <c r="N14499" s="264"/>
    </row>
    <row r="14500" spans="1:14" ht="11.25" customHeight="1" x14ac:dyDescent="0.2">
      <c r="A14500" s="168">
        <v>2025</v>
      </c>
      <c r="B14500" s="133">
        <v>7</v>
      </c>
      <c r="C14500" s="168">
        <v>27</v>
      </c>
      <c r="D14500" s="141">
        <f t="shared" ref="D14500:D14504" si="2236">DATE(A14500,B14500,C14500)</f>
        <v>45865</v>
      </c>
      <c r="E14500" s="275">
        <f t="shared" ref="E14500:E14504" si="2237">DATE(A14500,B14500,C14500)</f>
        <v>45865</v>
      </c>
      <c r="F14500" s="479" t="s">
        <v>2031</v>
      </c>
      <c r="G14500" s="220" t="s">
        <v>74</v>
      </c>
      <c r="H14500" s="220"/>
      <c r="I14500" s="142"/>
      <c r="J14500" s="143" t="s">
        <v>52</v>
      </c>
      <c r="K14500" s="226">
        <v>17531</v>
      </c>
      <c r="L14500" s="226"/>
    </row>
    <row r="14501" spans="1:14" x14ac:dyDescent="0.2">
      <c r="A14501" s="163">
        <v>2025</v>
      </c>
      <c r="B14501" s="163">
        <v>7</v>
      </c>
      <c r="C14501" s="163">
        <v>27</v>
      </c>
      <c r="D14501" s="280">
        <f t="shared" si="2236"/>
        <v>45865</v>
      </c>
      <c r="E14501" s="281">
        <f t="shared" si="2237"/>
        <v>45865</v>
      </c>
      <c r="F14501" s="480"/>
      <c r="G14501" s="221" t="s">
        <v>74</v>
      </c>
      <c r="H14501" s="221"/>
      <c r="I14501" s="145"/>
      <c r="J14501" s="146" t="s">
        <v>190</v>
      </c>
      <c r="K14501" s="219"/>
      <c r="L14501" s="219">
        <f>K14500</f>
        <v>17531</v>
      </c>
      <c r="N14501" s="264"/>
    </row>
    <row r="14502" spans="1:14" ht="11.25" customHeight="1" x14ac:dyDescent="0.2">
      <c r="A14502" s="168">
        <v>2025</v>
      </c>
      <c r="B14502" s="168">
        <v>7</v>
      </c>
      <c r="C14502" s="133">
        <v>27</v>
      </c>
      <c r="D14502" s="141">
        <f t="shared" si="2236"/>
        <v>45865</v>
      </c>
      <c r="E14502" s="275">
        <f t="shared" si="2237"/>
        <v>45865</v>
      </c>
      <c r="F14502" s="479" t="s">
        <v>1319</v>
      </c>
      <c r="G14502" s="220" t="s">
        <v>74</v>
      </c>
      <c r="H14502" s="142"/>
      <c r="I14502" s="142"/>
      <c r="J14502" s="168" t="s">
        <v>52</v>
      </c>
      <c r="K14502" s="226">
        <v>76000</v>
      </c>
      <c r="L14502" s="226"/>
    </row>
    <row r="14503" spans="1:14" ht="11.25" customHeight="1" x14ac:dyDescent="0.2">
      <c r="A14503" s="133">
        <v>2025</v>
      </c>
      <c r="B14503" s="133">
        <v>7</v>
      </c>
      <c r="C14503" s="133">
        <v>27</v>
      </c>
      <c r="D14503" s="141">
        <f t="shared" si="2236"/>
        <v>45865</v>
      </c>
      <c r="E14503" s="275">
        <f t="shared" si="2237"/>
        <v>45865</v>
      </c>
      <c r="F14503" s="481"/>
      <c r="G14503" s="174" t="s">
        <v>74</v>
      </c>
      <c r="J14503" s="133" t="s">
        <v>13</v>
      </c>
      <c r="K14503" s="218"/>
      <c r="L14503" s="218">
        <v>53960</v>
      </c>
    </row>
    <row r="14504" spans="1:14" ht="11.25" customHeight="1" x14ac:dyDescent="0.2">
      <c r="A14504" s="163">
        <v>2025</v>
      </c>
      <c r="B14504" s="163">
        <v>7</v>
      </c>
      <c r="C14504" s="163">
        <v>27</v>
      </c>
      <c r="D14504" s="280">
        <f t="shared" si="2236"/>
        <v>45865</v>
      </c>
      <c r="E14504" s="281">
        <f t="shared" si="2237"/>
        <v>45865</v>
      </c>
      <c r="F14504" s="480"/>
      <c r="G14504" s="221" t="s">
        <v>74</v>
      </c>
      <c r="H14504" s="145"/>
      <c r="I14504" s="145"/>
      <c r="J14504" s="163" t="s">
        <v>53</v>
      </c>
      <c r="K14504" s="219"/>
      <c r="L14504" s="219">
        <v>22040</v>
      </c>
    </row>
    <row r="14505" spans="1:14" ht="11.25" customHeight="1" x14ac:dyDescent="0.2">
      <c r="A14505" s="168">
        <v>2025</v>
      </c>
      <c r="B14505" s="168">
        <v>7</v>
      </c>
      <c r="C14505" s="133">
        <v>28</v>
      </c>
      <c r="D14505" s="141">
        <f t="shared" ref="D14505:D14507" si="2238">DATE(A14505,B14505,C14505)</f>
        <v>45866</v>
      </c>
      <c r="E14505" s="275">
        <f t="shared" ref="E14505:E14507" si="2239">DATE(A14505,B14505,C14505)</f>
        <v>45866</v>
      </c>
      <c r="F14505" s="479" t="s">
        <v>964</v>
      </c>
      <c r="G14505" s="220" t="s">
        <v>74</v>
      </c>
      <c r="H14505" s="142"/>
      <c r="I14505" s="142"/>
      <c r="J14505" s="168" t="s">
        <v>52</v>
      </c>
      <c r="K14505" s="226">
        <v>2500000</v>
      </c>
      <c r="L14505" s="226"/>
    </row>
    <row r="14506" spans="1:14" ht="11.25" customHeight="1" x14ac:dyDescent="0.2">
      <c r="A14506" s="133">
        <v>2025</v>
      </c>
      <c r="B14506" s="133">
        <v>7</v>
      </c>
      <c r="C14506" s="133">
        <v>28</v>
      </c>
      <c r="D14506" s="141">
        <f t="shared" si="2238"/>
        <v>45866</v>
      </c>
      <c r="E14506" s="275">
        <f t="shared" si="2239"/>
        <v>45866</v>
      </c>
      <c r="F14506" s="481"/>
      <c r="G14506" s="174" t="s">
        <v>74</v>
      </c>
      <c r="J14506" s="133" t="s">
        <v>13</v>
      </c>
      <c r="K14506" s="218"/>
      <c r="L14506" s="218">
        <v>1775060</v>
      </c>
    </row>
    <row r="14507" spans="1:14" ht="11.25" customHeight="1" x14ac:dyDescent="0.2">
      <c r="A14507" s="163">
        <v>2025</v>
      </c>
      <c r="B14507" s="163">
        <v>7</v>
      </c>
      <c r="C14507" s="163">
        <v>28</v>
      </c>
      <c r="D14507" s="280">
        <f t="shared" si="2238"/>
        <v>45866</v>
      </c>
      <c r="E14507" s="281">
        <f t="shared" si="2239"/>
        <v>45866</v>
      </c>
      <c r="F14507" s="480"/>
      <c r="G14507" s="221" t="s">
        <v>74</v>
      </c>
      <c r="H14507" s="145"/>
      <c r="I14507" s="145"/>
      <c r="J14507" s="163" t="s">
        <v>53</v>
      </c>
      <c r="K14507" s="219"/>
      <c r="L14507" s="219">
        <v>724940</v>
      </c>
    </row>
    <row r="14508" spans="1:14" x14ac:dyDescent="0.2">
      <c r="A14508" s="133">
        <v>2025</v>
      </c>
      <c r="B14508" s="133">
        <v>7</v>
      </c>
      <c r="C14508" s="133">
        <v>28</v>
      </c>
      <c r="D14508" s="141">
        <f t="shared" ref="D14508:D14514" si="2240">DATE(A14508,B14508,C14508)</f>
        <v>45866</v>
      </c>
      <c r="E14508" s="275">
        <f t="shared" ref="E14508:E14514" si="2241">DATE(A14508,B14508,C14508)</f>
        <v>45866</v>
      </c>
      <c r="F14508" s="481" t="s">
        <v>1767</v>
      </c>
      <c r="G14508" s="174" t="s">
        <v>94</v>
      </c>
      <c r="H14508" s="174"/>
      <c r="J14508" s="149" t="s">
        <v>79</v>
      </c>
      <c r="K14508" s="218">
        <v>3839000</v>
      </c>
      <c r="L14508" s="218"/>
      <c r="M14508" s="160"/>
    </row>
    <row r="14509" spans="1:14" x14ac:dyDescent="0.2">
      <c r="A14509" s="133">
        <v>2025</v>
      </c>
      <c r="B14509" s="133">
        <v>7</v>
      </c>
      <c r="C14509" s="133">
        <v>28</v>
      </c>
      <c r="D14509" s="141">
        <f t="shared" si="2240"/>
        <v>45866</v>
      </c>
      <c r="E14509" s="275">
        <f t="shared" si="2241"/>
        <v>45866</v>
      </c>
      <c r="F14509" s="481"/>
      <c r="G14509" s="174" t="s">
        <v>94</v>
      </c>
      <c r="H14509" s="174"/>
      <c r="J14509" s="149" t="s">
        <v>80</v>
      </c>
      <c r="K14509" s="218">
        <v>8157.96</v>
      </c>
      <c r="L14509" s="264"/>
      <c r="M14509" s="264"/>
      <c r="N14509" s="264"/>
    </row>
    <row r="14510" spans="1:14" x14ac:dyDescent="0.2">
      <c r="A14510" s="133">
        <v>2025</v>
      </c>
      <c r="B14510" s="133">
        <v>7</v>
      </c>
      <c r="C14510" s="133">
        <v>28</v>
      </c>
      <c r="D14510" s="141">
        <f t="shared" si="2240"/>
        <v>45866</v>
      </c>
      <c r="E14510" s="275">
        <f t="shared" si="2241"/>
        <v>45866</v>
      </c>
      <c r="F14510" s="481"/>
      <c r="G14510" s="174" t="s">
        <v>94</v>
      </c>
      <c r="H14510" s="174"/>
      <c r="J14510" s="149" t="s">
        <v>147</v>
      </c>
      <c r="K14510" s="218"/>
      <c r="L14510" s="218">
        <v>3153957.96</v>
      </c>
      <c r="M14510" s="264"/>
    </row>
    <row r="14511" spans="1:14" x14ac:dyDescent="0.2">
      <c r="A14511" s="133">
        <v>2025</v>
      </c>
      <c r="B14511" s="133">
        <v>7</v>
      </c>
      <c r="C14511" s="133">
        <v>28</v>
      </c>
      <c r="D14511" s="141">
        <f t="shared" si="2240"/>
        <v>45866</v>
      </c>
      <c r="E14511" s="275">
        <f t="shared" si="2241"/>
        <v>45866</v>
      </c>
      <c r="F14511" s="481"/>
      <c r="G14511" s="174" t="s">
        <v>94</v>
      </c>
      <c r="H14511" s="174"/>
      <c r="J14511" s="149" t="s">
        <v>191</v>
      </c>
      <c r="L14511" s="218">
        <v>224092.93</v>
      </c>
    </row>
    <row r="14512" spans="1:14" x14ac:dyDescent="0.2">
      <c r="A14512" s="163">
        <v>2025</v>
      </c>
      <c r="B14512" s="163">
        <v>7</v>
      </c>
      <c r="C14512" s="163">
        <v>28</v>
      </c>
      <c r="D14512" s="280">
        <f t="shared" si="2240"/>
        <v>45866</v>
      </c>
      <c r="E14512" s="281">
        <f t="shared" si="2241"/>
        <v>45866</v>
      </c>
      <c r="F14512" s="480"/>
      <c r="G14512" s="221" t="s">
        <v>94</v>
      </c>
      <c r="H14512" s="145"/>
      <c r="I14512" s="145"/>
      <c r="J14512" s="163" t="s">
        <v>79</v>
      </c>
      <c r="K14512" s="219"/>
      <c r="L14512" s="219">
        <v>469107.07</v>
      </c>
      <c r="M14512" s="264"/>
    </row>
    <row r="14513" spans="1:17" ht="11.25" customHeight="1" x14ac:dyDescent="0.2">
      <c r="A14513" s="168">
        <v>2025</v>
      </c>
      <c r="B14513" s="133">
        <v>7</v>
      </c>
      <c r="C14513" s="168">
        <v>28</v>
      </c>
      <c r="D14513" s="141">
        <f t="shared" si="2240"/>
        <v>45866</v>
      </c>
      <c r="E14513" s="275">
        <f t="shared" si="2241"/>
        <v>45866</v>
      </c>
      <c r="F14513" s="479" t="s">
        <v>2074</v>
      </c>
      <c r="G14513" s="220" t="s">
        <v>74</v>
      </c>
      <c r="H14513" s="220"/>
      <c r="I14513" s="142"/>
      <c r="J14513" s="143" t="s">
        <v>147</v>
      </c>
      <c r="K14513" s="226">
        <v>7119122.2800000003</v>
      </c>
      <c r="L14513" s="226"/>
    </row>
    <row r="14514" spans="1:17" x14ac:dyDescent="0.2">
      <c r="A14514" s="163">
        <v>2025</v>
      </c>
      <c r="B14514" s="163">
        <v>7</v>
      </c>
      <c r="C14514" s="163">
        <v>28</v>
      </c>
      <c r="D14514" s="280">
        <f t="shared" si="2240"/>
        <v>45866</v>
      </c>
      <c r="E14514" s="281">
        <f t="shared" si="2241"/>
        <v>45866</v>
      </c>
      <c r="F14514" s="480"/>
      <c r="G14514" s="221" t="s">
        <v>74</v>
      </c>
      <c r="H14514" s="221"/>
      <c r="I14514" s="145"/>
      <c r="J14514" s="146" t="s">
        <v>52</v>
      </c>
      <c r="K14514" s="219"/>
      <c r="L14514" s="219">
        <f>K14513</f>
        <v>7119122.2800000003</v>
      </c>
      <c r="N14514" s="264"/>
    </row>
    <row r="14515" spans="1:17" x14ac:dyDescent="0.2">
      <c r="A14515" s="168">
        <v>2025</v>
      </c>
      <c r="B14515" s="133">
        <v>7</v>
      </c>
      <c r="C14515" s="168">
        <v>28</v>
      </c>
      <c r="D14515" s="147">
        <f>DATE(A14515,B14515,C14515)</f>
        <v>45866</v>
      </c>
      <c r="E14515" s="311">
        <f>DATE(A14515,B14515,C14515)</f>
        <v>45866</v>
      </c>
      <c r="F14515" s="481" t="s">
        <v>1943</v>
      </c>
      <c r="G14515" s="174" t="s">
        <v>74</v>
      </c>
      <c r="I14515" s="148" t="s">
        <v>348</v>
      </c>
      <c r="J14515" s="133" t="s">
        <v>61</v>
      </c>
      <c r="K14515" s="172">
        <v>25</v>
      </c>
    </row>
    <row r="14516" spans="1:17" x14ac:dyDescent="0.2">
      <c r="A14516" s="163">
        <v>2025</v>
      </c>
      <c r="B14516" s="163">
        <v>7</v>
      </c>
      <c r="C14516" s="163">
        <v>28</v>
      </c>
      <c r="D14516" s="280">
        <f>DATE(A14516,B14516,C14516)</f>
        <v>45866</v>
      </c>
      <c r="E14516" s="281">
        <f>DATE(A14516,B14516,C14516)</f>
        <v>45866</v>
      </c>
      <c r="F14516" s="480"/>
      <c r="G14516" s="221" t="s">
        <v>74</v>
      </c>
      <c r="H14516" s="145"/>
      <c r="I14516" s="145" t="s">
        <v>348</v>
      </c>
      <c r="J14516" s="163" t="s">
        <v>52</v>
      </c>
      <c r="K14516" s="219"/>
      <c r="L14516" s="219">
        <v>25</v>
      </c>
    </row>
    <row r="14517" spans="1:17" x14ac:dyDescent="0.2">
      <c r="A14517" s="168">
        <v>2025</v>
      </c>
      <c r="B14517" s="133">
        <v>7</v>
      </c>
      <c r="C14517" s="168">
        <v>28</v>
      </c>
      <c r="D14517" s="147">
        <f>DATE(A14517,B14517,C14517)</f>
        <v>45866</v>
      </c>
      <c r="E14517" s="311">
        <f>DATE(A14517,B14517,C14517)</f>
        <v>45866</v>
      </c>
      <c r="F14517" s="481" t="s">
        <v>1943</v>
      </c>
      <c r="G14517" s="174" t="s">
        <v>74</v>
      </c>
      <c r="I14517" s="148" t="s">
        <v>348</v>
      </c>
      <c r="J14517" s="133" t="s">
        <v>61</v>
      </c>
      <c r="K14517" s="172">
        <v>100</v>
      </c>
    </row>
    <row r="14518" spans="1:17" x14ac:dyDescent="0.2">
      <c r="A14518" s="163">
        <v>2025</v>
      </c>
      <c r="B14518" s="163">
        <v>7</v>
      </c>
      <c r="C14518" s="163">
        <v>28</v>
      </c>
      <c r="D14518" s="280">
        <f>DATE(A14518,B14518,C14518)</f>
        <v>45866</v>
      </c>
      <c r="E14518" s="281">
        <f>DATE(A14518,B14518,C14518)</f>
        <v>45866</v>
      </c>
      <c r="F14518" s="480"/>
      <c r="G14518" s="221" t="s">
        <v>74</v>
      </c>
      <c r="H14518" s="145"/>
      <c r="I14518" s="145" t="s">
        <v>348</v>
      </c>
      <c r="J14518" s="163" t="s">
        <v>52</v>
      </c>
      <c r="K14518" s="219"/>
      <c r="L14518" s="219">
        <v>100</v>
      </c>
    </row>
    <row r="14519" spans="1:17" ht="11.25" customHeight="1" x14ac:dyDescent="0.2">
      <c r="A14519" s="168">
        <v>2025</v>
      </c>
      <c r="B14519" s="168">
        <v>7</v>
      </c>
      <c r="C14519" s="133">
        <v>28</v>
      </c>
      <c r="D14519" s="141">
        <f>DATE(A14519,B14519,C14519)</f>
        <v>45866</v>
      </c>
      <c r="E14519" s="275">
        <f>DATE(A14519,B14519,C14519)</f>
        <v>45866</v>
      </c>
      <c r="F14519" s="481" t="s">
        <v>2106</v>
      </c>
      <c r="G14519" s="174" t="s">
        <v>74</v>
      </c>
      <c r="H14519" s="174"/>
      <c r="I14519" s="148" t="s">
        <v>348</v>
      </c>
      <c r="J14519" s="149" t="s">
        <v>52</v>
      </c>
      <c r="K14519" s="218">
        <v>1020442.13</v>
      </c>
      <c r="L14519" s="218"/>
      <c r="M14519" s="147"/>
      <c r="Q14519" s="133" t="s">
        <v>348</v>
      </c>
    </row>
    <row r="14520" spans="1:17" x14ac:dyDescent="0.2">
      <c r="A14520" s="133">
        <v>2025</v>
      </c>
      <c r="B14520" s="133">
        <v>7</v>
      </c>
      <c r="C14520" s="133">
        <v>28</v>
      </c>
      <c r="D14520" s="141">
        <f t="shared" ref="D14520" si="2242">DATE(A14520,B14520,C14520)</f>
        <v>45866</v>
      </c>
      <c r="E14520" s="275">
        <f t="shared" ref="E14520" si="2243">DATE(A14520,B14520,C14520)</f>
        <v>45866</v>
      </c>
      <c r="F14520" s="481"/>
      <c r="G14520" s="174" t="s">
        <v>74</v>
      </c>
      <c r="H14520" s="174"/>
      <c r="J14520" s="149" t="s">
        <v>1810</v>
      </c>
      <c r="K14520" s="218"/>
      <c r="L14520" s="218">
        <v>19920.130000000005</v>
      </c>
      <c r="M14520" s="147"/>
    </row>
    <row r="14521" spans="1:17" x14ac:dyDescent="0.2">
      <c r="A14521" s="163">
        <v>2025</v>
      </c>
      <c r="B14521" s="163">
        <v>7</v>
      </c>
      <c r="C14521" s="163">
        <v>28</v>
      </c>
      <c r="D14521" s="280">
        <f>DATE(A14521,B14521,C14521)</f>
        <v>45866</v>
      </c>
      <c r="E14521" s="281">
        <f>DATE(A14521,B14521,C14521)</f>
        <v>45866</v>
      </c>
      <c r="F14521" s="480"/>
      <c r="G14521" s="221" t="s">
        <v>74</v>
      </c>
      <c r="H14521" s="221"/>
      <c r="I14521" s="145"/>
      <c r="J14521" s="146" t="s">
        <v>1805</v>
      </c>
      <c r="K14521" s="219"/>
      <c r="L14521" s="219">
        <v>1000522</v>
      </c>
      <c r="M14521" s="147"/>
      <c r="Q14521" s="133" t="s">
        <v>348</v>
      </c>
    </row>
    <row r="14522" spans="1:17" ht="11.25" customHeight="1" x14ac:dyDescent="0.2">
      <c r="A14522" s="168">
        <v>2025</v>
      </c>
      <c r="B14522" s="168">
        <v>7</v>
      </c>
      <c r="C14522" s="133">
        <v>28</v>
      </c>
      <c r="D14522" s="141">
        <f>DATE(A14522,B14522,C14522)</f>
        <v>45866</v>
      </c>
      <c r="E14522" s="275">
        <f>DATE(A14522,B14522,C14522)</f>
        <v>45866</v>
      </c>
      <c r="F14522" s="481" t="s">
        <v>2107</v>
      </c>
      <c r="G14522" s="174" t="s">
        <v>74</v>
      </c>
      <c r="H14522" s="174"/>
      <c r="I14522" s="148" t="s">
        <v>348</v>
      </c>
      <c r="J14522" s="149" t="s">
        <v>52</v>
      </c>
      <c r="K14522" s="218">
        <v>2086115.57</v>
      </c>
      <c r="L14522" s="218"/>
      <c r="M14522" s="147"/>
      <c r="Q14522" s="133" t="s">
        <v>348</v>
      </c>
    </row>
    <row r="14523" spans="1:17" x14ac:dyDescent="0.2">
      <c r="A14523" s="133">
        <v>2025</v>
      </c>
      <c r="B14523" s="133">
        <v>7</v>
      </c>
      <c r="C14523" s="133">
        <v>28</v>
      </c>
      <c r="D14523" s="141">
        <f t="shared" ref="D14523" si="2244">DATE(A14523,B14523,C14523)</f>
        <v>45866</v>
      </c>
      <c r="E14523" s="275">
        <f t="shared" ref="E14523" si="2245">DATE(A14523,B14523,C14523)</f>
        <v>45866</v>
      </c>
      <c r="F14523" s="481"/>
      <c r="G14523" s="174" t="s">
        <v>74</v>
      </c>
      <c r="H14523" s="174"/>
      <c r="J14523" s="149" t="s">
        <v>1810</v>
      </c>
      <c r="K14523" s="218"/>
      <c r="L14523" s="218">
        <v>80924.58</v>
      </c>
      <c r="M14523" s="147"/>
    </row>
    <row r="14524" spans="1:17" x14ac:dyDescent="0.2">
      <c r="A14524" s="163">
        <v>2025</v>
      </c>
      <c r="B14524" s="163">
        <v>7</v>
      </c>
      <c r="C14524" s="163">
        <v>28</v>
      </c>
      <c r="D14524" s="280">
        <f>DATE(A14524,B14524,C14524)</f>
        <v>45866</v>
      </c>
      <c r="E14524" s="281">
        <f>DATE(A14524,B14524,C14524)</f>
        <v>45866</v>
      </c>
      <c r="F14524" s="480"/>
      <c r="G14524" s="221" t="s">
        <v>74</v>
      </c>
      <c r="H14524" s="221"/>
      <c r="I14524" s="145"/>
      <c r="J14524" s="146" t="s">
        <v>1805</v>
      </c>
      <c r="K14524" s="219"/>
      <c r="L14524" s="219">
        <v>2005191</v>
      </c>
      <c r="M14524" s="147"/>
      <c r="Q14524" s="133" t="s">
        <v>348</v>
      </c>
    </row>
    <row r="14525" spans="1:17" x14ac:dyDescent="0.2">
      <c r="A14525" s="133">
        <v>2025</v>
      </c>
      <c r="B14525" s="133">
        <v>7</v>
      </c>
      <c r="C14525" s="133">
        <v>29</v>
      </c>
      <c r="D14525" s="141">
        <f t="shared" ref="D14525:D14537" si="2246">DATE(A14525,B14525,C14525)</f>
        <v>45867</v>
      </c>
      <c r="E14525" s="275">
        <f t="shared" ref="E14525:E14537" si="2247">DATE(A14525,B14525,C14525)</f>
        <v>45867</v>
      </c>
      <c r="F14525" s="481" t="s">
        <v>1767</v>
      </c>
      <c r="G14525" s="174" t="s">
        <v>94</v>
      </c>
      <c r="H14525" s="174"/>
      <c r="J14525" s="149" t="s">
        <v>79</v>
      </c>
      <c r="K14525" s="218">
        <v>5310370</v>
      </c>
      <c r="L14525" s="218"/>
      <c r="M14525" s="160"/>
    </row>
    <row r="14526" spans="1:17" x14ac:dyDescent="0.2">
      <c r="A14526" s="133">
        <v>2025</v>
      </c>
      <c r="B14526" s="133">
        <v>7</v>
      </c>
      <c r="C14526" s="133">
        <v>29</v>
      </c>
      <c r="D14526" s="141">
        <f t="shared" si="2246"/>
        <v>45867</v>
      </c>
      <c r="E14526" s="275">
        <f t="shared" si="2247"/>
        <v>45867</v>
      </c>
      <c r="F14526" s="481"/>
      <c r="G14526" s="174" t="s">
        <v>94</v>
      </c>
      <c r="H14526" s="174"/>
      <c r="J14526" s="149" t="s">
        <v>80</v>
      </c>
      <c r="K14526" s="218">
        <v>14389.07</v>
      </c>
      <c r="L14526" s="264"/>
      <c r="M14526" s="264"/>
      <c r="N14526" s="264"/>
    </row>
    <row r="14527" spans="1:17" x14ac:dyDescent="0.2">
      <c r="A14527" s="133">
        <v>2025</v>
      </c>
      <c r="B14527" s="133">
        <v>7</v>
      </c>
      <c r="C14527" s="133">
        <v>29</v>
      </c>
      <c r="D14527" s="141">
        <f t="shared" si="2246"/>
        <v>45867</v>
      </c>
      <c r="E14527" s="275">
        <f t="shared" si="2247"/>
        <v>45867</v>
      </c>
      <c r="F14527" s="481"/>
      <c r="G14527" s="174" t="s">
        <v>94</v>
      </c>
      <c r="H14527" s="174"/>
      <c r="J14527" s="149" t="s">
        <v>147</v>
      </c>
      <c r="K14527" s="218"/>
      <c r="L14527" s="218">
        <v>2641203.0699999998</v>
      </c>
      <c r="M14527" s="264"/>
    </row>
    <row r="14528" spans="1:17" x14ac:dyDescent="0.2">
      <c r="A14528" s="133">
        <v>2025</v>
      </c>
      <c r="B14528" s="133">
        <v>7</v>
      </c>
      <c r="C14528" s="133">
        <v>29</v>
      </c>
      <c r="D14528" s="141">
        <f t="shared" si="2246"/>
        <v>45867</v>
      </c>
      <c r="E14528" s="275">
        <f t="shared" si="2247"/>
        <v>45867</v>
      </c>
      <c r="F14528" s="481"/>
      <c r="G14528" s="174" t="s">
        <v>94</v>
      </c>
      <c r="H14528" s="174"/>
      <c r="J14528" s="149" t="s">
        <v>191</v>
      </c>
      <c r="L14528" s="218">
        <v>285269.33</v>
      </c>
    </row>
    <row r="14529" spans="1:14" x14ac:dyDescent="0.2">
      <c r="A14529" s="163">
        <v>2025</v>
      </c>
      <c r="B14529" s="163">
        <v>7</v>
      </c>
      <c r="C14529" s="163">
        <v>29</v>
      </c>
      <c r="D14529" s="280">
        <f t="shared" si="2246"/>
        <v>45867</v>
      </c>
      <c r="E14529" s="281">
        <f t="shared" si="2247"/>
        <v>45867</v>
      </c>
      <c r="F14529" s="480"/>
      <c r="G14529" s="221" t="s">
        <v>94</v>
      </c>
      <c r="H14529" s="145"/>
      <c r="I14529" s="145"/>
      <c r="J14529" s="163" t="s">
        <v>79</v>
      </c>
      <c r="K14529" s="219"/>
      <c r="L14529" s="219">
        <v>2398286.67</v>
      </c>
      <c r="M14529" s="264"/>
    </row>
    <row r="14530" spans="1:14" x14ac:dyDescent="0.2">
      <c r="A14530" s="133">
        <v>2025</v>
      </c>
      <c r="B14530" s="133">
        <v>7</v>
      </c>
      <c r="C14530" s="133">
        <v>29</v>
      </c>
      <c r="D14530" s="141">
        <f t="shared" si="2246"/>
        <v>45867</v>
      </c>
      <c r="E14530" s="275">
        <f t="shared" si="2247"/>
        <v>45867</v>
      </c>
      <c r="F14530" s="481" t="s">
        <v>2073</v>
      </c>
      <c r="G14530" s="174" t="s">
        <v>94</v>
      </c>
      <c r="H14530" s="174"/>
      <c r="J14530" s="149" t="s">
        <v>79</v>
      </c>
      <c r="K14530" s="218">
        <v>419700</v>
      </c>
      <c r="L14530" s="218"/>
      <c r="M14530" s="160"/>
    </row>
    <row r="14531" spans="1:14" x14ac:dyDescent="0.2">
      <c r="A14531" s="133">
        <v>2025</v>
      </c>
      <c r="B14531" s="133">
        <v>7</v>
      </c>
      <c r="C14531" s="133">
        <v>29</v>
      </c>
      <c r="D14531" s="141">
        <f t="shared" si="2246"/>
        <v>45867</v>
      </c>
      <c r="E14531" s="275">
        <f t="shared" si="2247"/>
        <v>45867</v>
      </c>
      <c r="F14531" s="481"/>
      <c r="G14531" s="174" t="s">
        <v>94</v>
      </c>
      <c r="H14531" s="174"/>
      <c r="J14531" s="149" t="s">
        <v>80</v>
      </c>
      <c r="K14531" s="218">
        <v>1497.06</v>
      </c>
      <c r="L14531" s="264"/>
      <c r="M14531" s="264"/>
      <c r="N14531" s="264"/>
    </row>
    <row r="14532" spans="1:14" x14ac:dyDescent="0.2">
      <c r="A14532" s="133">
        <v>2025</v>
      </c>
      <c r="B14532" s="133">
        <v>7</v>
      </c>
      <c r="C14532" s="133">
        <v>29</v>
      </c>
      <c r="D14532" s="141">
        <f t="shared" si="2246"/>
        <v>45867</v>
      </c>
      <c r="E14532" s="275">
        <f t="shared" si="2247"/>
        <v>45867</v>
      </c>
      <c r="F14532" s="481"/>
      <c r="G14532" s="174" t="s">
        <v>94</v>
      </c>
      <c r="H14532" s="174"/>
      <c r="J14532" s="149" t="s">
        <v>147</v>
      </c>
      <c r="K14532" s="218"/>
      <c r="L14532" s="218">
        <v>9197.06</v>
      </c>
      <c r="M14532" s="264"/>
    </row>
    <row r="14533" spans="1:14" x14ac:dyDescent="0.2">
      <c r="A14533" s="133">
        <v>2025</v>
      </c>
      <c r="B14533" s="133">
        <v>7</v>
      </c>
      <c r="C14533" s="133">
        <v>29</v>
      </c>
      <c r="D14533" s="141">
        <f t="shared" si="2246"/>
        <v>45867</v>
      </c>
      <c r="E14533" s="275">
        <f t="shared" si="2247"/>
        <v>45867</v>
      </c>
      <c r="F14533" s="481"/>
      <c r="G14533" s="174" t="s">
        <v>94</v>
      </c>
      <c r="H14533" s="174"/>
      <c r="J14533" s="149" t="s">
        <v>191</v>
      </c>
      <c r="L14533" s="218">
        <v>90988.47</v>
      </c>
    </row>
    <row r="14534" spans="1:14" x14ac:dyDescent="0.2">
      <c r="A14534" s="163">
        <v>2025</v>
      </c>
      <c r="B14534" s="163">
        <v>7</v>
      </c>
      <c r="C14534" s="163">
        <v>29</v>
      </c>
      <c r="D14534" s="280">
        <f t="shared" si="2246"/>
        <v>45867</v>
      </c>
      <c r="E14534" s="281">
        <f t="shared" si="2247"/>
        <v>45867</v>
      </c>
      <c r="F14534" s="480"/>
      <c r="G14534" s="221" t="s">
        <v>94</v>
      </c>
      <c r="H14534" s="145"/>
      <c r="I14534" s="145"/>
      <c r="J14534" s="163" t="s">
        <v>79</v>
      </c>
      <c r="K14534" s="219"/>
      <c r="L14534" s="219">
        <v>321011.53000000003</v>
      </c>
      <c r="M14534" s="264"/>
    </row>
    <row r="14535" spans="1:14" ht="11.25" customHeight="1" x14ac:dyDescent="0.2">
      <c r="A14535" s="168">
        <v>2025</v>
      </c>
      <c r="B14535" s="168">
        <v>7</v>
      </c>
      <c r="C14535" s="168">
        <v>29</v>
      </c>
      <c r="D14535" s="141">
        <f t="shared" si="2246"/>
        <v>45867</v>
      </c>
      <c r="E14535" s="275">
        <f t="shared" si="2247"/>
        <v>45867</v>
      </c>
      <c r="F14535" s="479" t="s">
        <v>1315</v>
      </c>
      <c r="G14535" s="220" t="s">
        <v>74</v>
      </c>
      <c r="H14535" s="142"/>
      <c r="I14535" s="142"/>
      <c r="J14535" s="168" t="s">
        <v>13</v>
      </c>
      <c r="K14535" s="226">
        <v>213010</v>
      </c>
      <c r="L14535" s="226"/>
    </row>
    <row r="14536" spans="1:14" ht="11.25" customHeight="1" x14ac:dyDescent="0.2">
      <c r="A14536" s="133">
        <v>2025</v>
      </c>
      <c r="B14536" s="133">
        <v>7</v>
      </c>
      <c r="C14536" s="133">
        <v>29</v>
      </c>
      <c r="D14536" s="141">
        <f t="shared" si="2246"/>
        <v>45867</v>
      </c>
      <c r="E14536" s="275">
        <f t="shared" si="2247"/>
        <v>45867</v>
      </c>
      <c r="F14536" s="481"/>
      <c r="G14536" s="174" t="s">
        <v>74</v>
      </c>
      <c r="J14536" s="133" t="s">
        <v>53</v>
      </c>
      <c r="K14536" s="218">
        <v>86990</v>
      </c>
      <c r="L14536" s="218"/>
    </row>
    <row r="14537" spans="1:14" ht="11.25" customHeight="1" x14ac:dyDescent="0.2">
      <c r="A14537" s="163">
        <v>2025</v>
      </c>
      <c r="B14537" s="163">
        <v>7</v>
      </c>
      <c r="C14537" s="163">
        <v>29</v>
      </c>
      <c r="D14537" s="280">
        <f t="shared" si="2246"/>
        <v>45867</v>
      </c>
      <c r="E14537" s="281">
        <f t="shared" si="2247"/>
        <v>45867</v>
      </c>
      <c r="F14537" s="480"/>
      <c r="G14537" s="221" t="s">
        <v>74</v>
      </c>
      <c r="H14537" s="145"/>
      <c r="I14537" s="145"/>
      <c r="J14537" s="163" t="s">
        <v>52</v>
      </c>
      <c r="K14537" s="219"/>
      <c r="L14537" s="219">
        <v>300000</v>
      </c>
    </row>
    <row r="14538" spans="1:14" x14ac:dyDescent="0.2">
      <c r="A14538" s="168">
        <v>2025</v>
      </c>
      <c r="B14538" s="133">
        <v>7</v>
      </c>
      <c r="C14538" s="168">
        <v>29</v>
      </c>
      <c r="D14538" s="147">
        <f>DATE(A14538,B14538,C14538)</f>
        <v>45867</v>
      </c>
      <c r="E14538" s="311">
        <f>DATE(A14538,B14538,C14538)</f>
        <v>45867</v>
      </c>
      <c r="F14538" s="481" t="s">
        <v>1943</v>
      </c>
      <c r="G14538" s="174" t="s">
        <v>74</v>
      </c>
      <c r="I14538" s="148" t="s">
        <v>348</v>
      </c>
      <c r="J14538" s="133" t="s">
        <v>61</v>
      </c>
      <c r="K14538" s="172">
        <v>58</v>
      </c>
    </row>
    <row r="14539" spans="1:14" x14ac:dyDescent="0.2">
      <c r="A14539" s="163">
        <v>2025</v>
      </c>
      <c r="B14539" s="163">
        <v>7</v>
      </c>
      <c r="C14539" s="163">
        <v>29</v>
      </c>
      <c r="D14539" s="280">
        <f>DATE(A14539,B14539,C14539)</f>
        <v>45867</v>
      </c>
      <c r="E14539" s="281">
        <f>DATE(A14539,B14539,C14539)</f>
        <v>45867</v>
      </c>
      <c r="F14539" s="480"/>
      <c r="G14539" s="221" t="s">
        <v>74</v>
      </c>
      <c r="H14539" s="145"/>
      <c r="I14539" s="145" t="s">
        <v>348</v>
      </c>
      <c r="J14539" s="163" t="s">
        <v>52</v>
      </c>
      <c r="K14539" s="219"/>
      <c r="L14539" s="219">
        <v>58</v>
      </c>
    </row>
    <row r="14540" spans="1:14" ht="11.25" customHeight="1" x14ac:dyDescent="0.2">
      <c r="A14540" s="168">
        <v>2025</v>
      </c>
      <c r="B14540" s="133">
        <v>7</v>
      </c>
      <c r="C14540" s="168">
        <v>29</v>
      </c>
      <c r="D14540" s="141">
        <f t="shared" ref="D14540:D14541" si="2248">DATE(A14540,B14540,C14540)</f>
        <v>45867</v>
      </c>
      <c r="E14540" s="275">
        <f t="shared" ref="E14540:E14541" si="2249">DATE(A14540,B14540,C14540)</f>
        <v>45867</v>
      </c>
      <c r="F14540" s="479" t="s">
        <v>2002</v>
      </c>
      <c r="G14540" s="220" t="s">
        <v>74</v>
      </c>
      <c r="H14540" s="220"/>
      <c r="I14540" s="142"/>
      <c r="J14540" s="143" t="s">
        <v>147</v>
      </c>
      <c r="K14540" s="226">
        <v>3153957.96</v>
      </c>
      <c r="L14540" s="226"/>
    </row>
    <row r="14541" spans="1:14" x14ac:dyDescent="0.2">
      <c r="A14541" s="163">
        <v>2025</v>
      </c>
      <c r="B14541" s="163">
        <v>7</v>
      </c>
      <c r="C14541" s="163">
        <v>29</v>
      </c>
      <c r="D14541" s="280">
        <f t="shared" si="2248"/>
        <v>45867</v>
      </c>
      <c r="E14541" s="281">
        <f t="shared" si="2249"/>
        <v>45867</v>
      </c>
      <c r="F14541" s="480"/>
      <c r="G14541" s="221" t="s">
        <v>74</v>
      </c>
      <c r="H14541" s="221"/>
      <c r="I14541" s="145"/>
      <c r="J14541" s="146" t="s">
        <v>52</v>
      </c>
      <c r="K14541" s="219"/>
      <c r="L14541" s="219">
        <f>K14540</f>
        <v>3153957.96</v>
      </c>
      <c r="N14541" s="264"/>
    </row>
    <row r="14542" spans="1:14" x14ac:dyDescent="0.2">
      <c r="A14542" s="168">
        <v>2025</v>
      </c>
      <c r="B14542" s="133">
        <v>7</v>
      </c>
      <c r="C14542" s="168">
        <v>29</v>
      </c>
      <c r="D14542" s="147">
        <f>DATE(A14542,B14542,C14542)</f>
        <v>45867</v>
      </c>
      <c r="E14542" s="311">
        <f>DATE(A14542,B14542,C14542)</f>
        <v>45867</v>
      </c>
      <c r="F14542" s="481" t="s">
        <v>1943</v>
      </c>
      <c r="G14542" s="174" t="s">
        <v>74</v>
      </c>
      <c r="I14542" s="148" t="s">
        <v>348</v>
      </c>
      <c r="J14542" s="133" t="s">
        <v>61</v>
      </c>
      <c r="K14542" s="172">
        <v>100</v>
      </c>
    </row>
    <row r="14543" spans="1:14" x14ac:dyDescent="0.2">
      <c r="A14543" s="163">
        <v>2025</v>
      </c>
      <c r="B14543" s="163">
        <v>7</v>
      </c>
      <c r="C14543" s="163">
        <v>29</v>
      </c>
      <c r="D14543" s="280">
        <f>DATE(A14543,B14543,C14543)</f>
        <v>45867</v>
      </c>
      <c r="E14543" s="281">
        <f>DATE(A14543,B14543,C14543)</f>
        <v>45867</v>
      </c>
      <c r="F14543" s="480"/>
      <c r="G14543" s="221" t="s">
        <v>74</v>
      </c>
      <c r="H14543" s="145"/>
      <c r="I14543" s="145" t="s">
        <v>348</v>
      </c>
      <c r="J14543" s="163" t="s">
        <v>52</v>
      </c>
      <c r="K14543" s="219"/>
      <c r="L14543" s="219">
        <v>100</v>
      </c>
    </row>
    <row r="14544" spans="1:14" ht="11.25" customHeight="1" x14ac:dyDescent="0.2">
      <c r="A14544" s="168">
        <v>2025</v>
      </c>
      <c r="B14544" s="133">
        <v>7</v>
      </c>
      <c r="C14544" s="168">
        <v>30</v>
      </c>
      <c r="D14544" s="141">
        <f t="shared" ref="D14544:D14545" si="2250">DATE(A14544,B14544,C14544)</f>
        <v>45868</v>
      </c>
      <c r="E14544" s="275">
        <f t="shared" ref="E14544:E14545" si="2251">DATE(A14544,B14544,C14544)</f>
        <v>45868</v>
      </c>
      <c r="F14544" s="479" t="s">
        <v>2002</v>
      </c>
      <c r="G14544" s="220" t="s">
        <v>74</v>
      </c>
      <c r="H14544" s="220"/>
      <c r="I14544" s="142"/>
      <c r="J14544" s="143" t="s">
        <v>147</v>
      </c>
      <c r="K14544" s="226">
        <v>9197.06</v>
      </c>
      <c r="L14544" s="226"/>
    </row>
    <row r="14545" spans="1:14" x14ac:dyDescent="0.2">
      <c r="A14545" s="163">
        <v>2025</v>
      </c>
      <c r="B14545" s="163">
        <v>7</v>
      </c>
      <c r="C14545" s="163">
        <v>30</v>
      </c>
      <c r="D14545" s="280">
        <f t="shared" si="2250"/>
        <v>45868</v>
      </c>
      <c r="E14545" s="281">
        <f t="shared" si="2251"/>
        <v>45868</v>
      </c>
      <c r="F14545" s="480"/>
      <c r="G14545" s="221" t="s">
        <v>74</v>
      </c>
      <c r="H14545" s="221"/>
      <c r="I14545" s="145"/>
      <c r="J14545" s="146" t="s">
        <v>52</v>
      </c>
      <c r="K14545" s="219"/>
      <c r="L14545" s="219">
        <f>K14544</f>
        <v>9197.06</v>
      </c>
      <c r="N14545" s="264"/>
    </row>
    <row r="14546" spans="1:14" ht="11.25" customHeight="1" x14ac:dyDescent="0.2">
      <c r="A14546" s="168">
        <v>2025</v>
      </c>
      <c r="B14546" s="133">
        <v>7</v>
      </c>
      <c r="C14546" s="168">
        <v>30</v>
      </c>
      <c r="D14546" s="141">
        <f t="shared" ref="D14546:D14547" si="2252">DATE(A14546,B14546,C14546)</f>
        <v>45868</v>
      </c>
      <c r="E14546" s="275">
        <f t="shared" ref="E14546:E14547" si="2253">DATE(A14546,B14546,C14546)</f>
        <v>45868</v>
      </c>
      <c r="F14546" s="479" t="s">
        <v>2074</v>
      </c>
      <c r="G14546" s="220" t="s">
        <v>74</v>
      </c>
      <c r="H14546" s="220"/>
      <c r="I14546" s="142"/>
      <c r="J14546" s="143" t="s">
        <v>147</v>
      </c>
      <c r="K14546" s="226">
        <v>2641203.0699999998</v>
      </c>
      <c r="L14546" s="226"/>
    </row>
    <row r="14547" spans="1:14" x14ac:dyDescent="0.2">
      <c r="A14547" s="163">
        <v>2025</v>
      </c>
      <c r="B14547" s="163">
        <v>7</v>
      </c>
      <c r="C14547" s="163">
        <v>30</v>
      </c>
      <c r="D14547" s="280">
        <f t="shared" si="2252"/>
        <v>45868</v>
      </c>
      <c r="E14547" s="281">
        <f t="shared" si="2253"/>
        <v>45868</v>
      </c>
      <c r="F14547" s="480"/>
      <c r="G14547" s="221" t="s">
        <v>74</v>
      </c>
      <c r="H14547" s="221"/>
      <c r="I14547" s="145"/>
      <c r="J14547" s="146" t="s">
        <v>52</v>
      </c>
      <c r="K14547" s="219"/>
      <c r="L14547" s="219">
        <f>K14546</f>
        <v>2641203.0699999998</v>
      </c>
      <c r="N14547" s="264"/>
    </row>
    <row r="14548" spans="1:14" x14ac:dyDescent="0.2">
      <c r="A14548" s="168">
        <v>2025</v>
      </c>
      <c r="B14548" s="133">
        <v>7</v>
      </c>
      <c r="C14548" s="168">
        <v>30</v>
      </c>
      <c r="D14548" s="147">
        <f>DATE(A14548,B14548,C14548)</f>
        <v>45868</v>
      </c>
      <c r="E14548" s="311">
        <f>DATE(A14548,B14548,C14548)</f>
        <v>45868</v>
      </c>
      <c r="F14548" s="481" t="s">
        <v>1943</v>
      </c>
      <c r="G14548" s="174" t="s">
        <v>74</v>
      </c>
      <c r="I14548" s="148" t="s">
        <v>348</v>
      </c>
      <c r="J14548" s="133" t="s">
        <v>61</v>
      </c>
      <c r="K14548" s="172">
        <v>100</v>
      </c>
    </row>
    <row r="14549" spans="1:14" x14ac:dyDescent="0.2">
      <c r="A14549" s="163">
        <v>2025</v>
      </c>
      <c r="B14549" s="163">
        <v>7</v>
      </c>
      <c r="C14549" s="163">
        <v>30</v>
      </c>
      <c r="D14549" s="280">
        <f>DATE(A14549,B14549,C14549)</f>
        <v>45868</v>
      </c>
      <c r="E14549" s="281">
        <f>DATE(A14549,B14549,C14549)</f>
        <v>45868</v>
      </c>
      <c r="F14549" s="480"/>
      <c r="G14549" s="221" t="s">
        <v>74</v>
      </c>
      <c r="H14549" s="145"/>
      <c r="I14549" s="145" t="s">
        <v>348</v>
      </c>
      <c r="J14549" s="163" t="s">
        <v>52</v>
      </c>
      <c r="K14549" s="219"/>
      <c r="L14549" s="219">
        <v>100</v>
      </c>
    </row>
    <row r="14550" spans="1:14" x14ac:dyDescent="0.2">
      <c r="A14550" s="133">
        <v>2025</v>
      </c>
      <c r="B14550" s="133">
        <v>7</v>
      </c>
      <c r="C14550" s="133">
        <v>30</v>
      </c>
      <c r="D14550" s="141">
        <f t="shared" ref="D14550:D14591" si="2254">DATE(A14550,B14550,C14550)</f>
        <v>45868</v>
      </c>
      <c r="E14550" s="275">
        <f t="shared" ref="E14550:E14591" si="2255">DATE(A14550,B14550,C14550)</f>
        <v>45868</v>
      </c>
      <c r="F14550" s="481" t="s">
        <v>1767</v>
      </c>
      <c r="G14550" s="174" t="s">
        <v>94</v>
      </c>
      <c r="H14550" s="174"/>
      <c r="J14550" s="149" t="s">
        <v>79</v>
      </c>
      <c r="K14550" s="218">
        <v>3829645.2</v>
      </c>
      <c r="L14550" s="218"/>
      <c r="M14550" s="160"/>
    </row>
    <row r="14551" spans="1:14" x14ac:dyDescent="0.2">
      <c r="A14551" s="133">
        <v>2025</v>
      </c>
      <c r="B14551" s="133">
        <v>7</v>
      </c>
      <c r="C14551" s="133">
        <v>30</v>
      </c>
      <c r="D14551" s="141">
        <f t="shared" si="2254"/>
        <v>45868</v>
      </c>
      <c r="E14551" s="275">
        <f t="shared" si="2255"/>
        <v>45868</v>
      </c>
      <c r="F14551" s="481"/>
      <c r="G14551" s="174" t="s">
        <v>94</v>
      </c>
      <c r="H14551" s="174"/>
      <c r="J14551" s="149" t="s">
        <v>80</v>
      </c>
      <c r="K14551" s="218">
        <v>9414.91</v>
      </c>
      <c r="L14551" s="264"/>
      <c r="M14551" s="264"/>
      <c r="N14551" s="264"/>
    </row>
    <row r="14552" spans="1:14" x14ac:dyDescent="0.2">
      <c r="A14552" s="133">
        <v>2025</v>
      </c>
      <c r="B14552" s="133">
        <v>7</v>
      </c>
      <c r="C14552" s="133">
        <v>30</v>
      </c>
      <c r="D14552" s="141">
        <f t="shared" si="2254"/>
        <v>45868</v>
      </c>
      <c r="E14552" s="275">
        <f t="shared" si="2255"/>
        <v>45868</v>
      </c>
      <c r="F14552" s="481"/>
      <c r="G14552" s="174" t="s">
        <v>94</v>
      </c>
      <c r="H14552" s="174"/>
      <c r="J14552" s="149" t="s">
        <v>147</v>
      </c>
      <c r="K14552" s="218"/>
      <c r="L14552" s="218">
        <v>2438200.11</v>
      </c>
      <c r="M14552" s="264"/>
    </row>
    <row r="14553" spans="1:14" x14ac:dyDescent="0.2">
      <c r="A14553" s="133">
        <v>2025</v>
      </c>
      <c r="B14553" s="133">
        <v>7</v>
      </c>
      <c r="C14553" s="133">
        <v>30</v>
      </c>
      <c r="D14553" s="141">
        <f t="shared" si="2254"/>
        <v>45868</v>
      </c>
      <c r="E14553" s="275">
        <f t="shared" si="2255"/>
        <v>45868</v>
      </c>
      <c r="F14553" s="481"/>
      <c r="G14553" s="174" t="s">
        <v>94</v>
      </c>
      <c r="H14553" s="174"/>
      <c r="J14553" s="149" t="s">
        <v>191</v>
      </c>
      <c r="K14553" s="172">
        <v>17664.29</v>
      </c>
      <c r="L14553" s="218"/>
    </row>
    <row r="14554" spans="1:14" x14ac:dyDescent="0.2">
      <c r="A14554" s="163">
        <v>2025</v>
      </c>
      <c r="B14554" s="163">
        <v>7</v>
      </c>
      <c r="C14554" s="163">
        <v>30</v>
      </c>
      <c r="D14554" s="280">
        <f t="shared" si="2254"/>
        <v>45868</v>
      </c>
      <c r="E14554" s="281">
        <f t="shared" si="2255"/>
        <v>45868</v>
      </c>
      <c r="F14554" s="480"/>
      <c r="G14554" s="221" t="s">
        <v>94</v>
      </c>
      <c r="H14554" s="145"/>
      <c r="I14554" s="145"/>
      <c r="J14554" s="163" t="s">
        <v>79</v>
      </c>
      <c r="K14554" s="219"/>
      <c r="L14554" s="219">
        <v>1418524.29</v>
      </c>
      <c r="M14554" s="264"/>
    </row>
    <row r="14555" spans="1:14" ht="11.25" customHeight="1" x14ac:dyDescent="0.2">
      <c r="A14555" s="168">
        <v>2025</v>
      </c>
      <c r="B14555" s="133">
        <v>7</v>
      </c>
      <c r="C14555" s="168">
        <v>30</v>
      </c>
      <c r="D14555" s="141">
        <f t="shared" si="2254"/>
        <v>45868</v>
      </c>
      <c r="E14555" s="275">
        <f t="shared" si="2255"/>
        <v>45868</v>
      </c>
      <c r="F14555" s="479" t="s">
        <v>2002</v>
      </c>
      <c r="G14555" s="220" t="s">
        <v>74</v>
      </c>
      <c r="H14555" s="220"/>
      <c r="I14555" s="142"/>
      <c r="J14555" s="143" t="s">
        <v>147</v>
      </c>
      <c r="K14555" s="226">
        <v>2438200.11</v>
      </c>
      <c r="L14555" s="226"/>
    </row>
    <row r="14556" spans="1:14" x14ac:dyDescent="0.2">
      <c r="A14556" s="163">
        <v>2025</v>
      </c>
      <c r="B14556" s="163">
        <v>7</v>
      </c>
      <c r="C14556" s="163">
        <v>30</v>
      </c>
      <c r="D14556" s="280">
        <f t="shared" si="2254"/>
        <v>45868</v>
      </c>
      <c r="E14556" s="281">
        <f t="shared" si="2255"/>
        <v>45868</v>
      </c>
      <c r="F14556" s="480"/>
      <c r="G14556" s="221" t="s">
        <v>74</v>
      </c>
      <c r="H14556" s="221"/>
      <c r="I14556" s="145"/>
      <c r="J14556" s="146" t="s">
        <v>52</v>
      </c>
      <c r="K14556" s="219"/>
      <c r="L14556" s="219">
        <f>K14555</f>
        <v>2438200.11</v>
      </c>
      <c r="N14556" s="264"/>
    </row>
    <row r="14557" spans="1:14" ht="11.25" customHeight="1" x14ac:dyDescent="0.2">
      <c r="A14557" s="168">
        <v>2025</v>
      </c>
      <c r="B14557" s="168">
        <v>7</v>
      </c>
      <c r="C14557" s="133">
        <v>31</v>
      </c>
      <c r="D14557" s="141">
        <f t="shared" si="2254"/>
        <v>45869</v>
      </c>
      <c r="E14557" s="275">
        <f t="shared" si="2255"/>
        <v>45869</v>
      </c>
      <c r="F14557" s="479" t="s">
        <v>2108</v>
      </c>
      <c r="G14557" s="220" t="s">
        <v>94</v>
      </c>
      <c r="H14557" s="220"/>
      <c r="I14557" s="142"/>
      <c r="J14557" s="143" t="s">
        <v>79</v>
      </c>
      <c r="K14557" s="226">
        <v>1198700</v>
      </c>
      <c r="L14557" s="226"/>
      <c r="M14557" s="160"/>
    </row>
    <row r="14558" spans="1:14" x14ac:dyDescent="0.2">
      <c r="A14558" s="133">
        <v>2025</v>
      </c>
      <c r="B14558" s="133">
        <v>7</v>
      </c>
      <c r="C14558" s="133">
        <v>31</v>
      </c>
      <c r="D14558" s="141">
        <f t="shared" si="2254"/>
        <v>45869</v>
      </c>
      <c r="E14558" s="275">
        <f t="shared" si="2255"/>
        <v>45869</v>
      </c>
      <c r="F14558" s="481"/>
      <c r="G14558" s="174" t="s">
        <v>94</v>
      </c>
      <c r="H14558" s="174"/>
      <c r="J14558" s="149" t="s">
        <v>80</v>
      </c>
      <c r="K14558" s="218">
        <v>2157.66</v>
      </c>
      <c r="L14558" s="133"/>
    </row>
    <row r="14559" spans="1:14" x14ac:dyDescent="0.2">
      <c r="A14559" s="163">
        <v>2025</v>
      </c>
      <c r="B14559" s="163">
        <v>7</v>
      </c>
      <c r="C14559" s="163">
        <v>31</v>
      </c>
      <c r="D14559" s="280">
        <f t="shared" si="2254"/>
        <v>45869</v>
      </c>
      <c r="E14559" s="281">
        <f t="shared" si="2255"/>
        <v>45869</v>
      </c>
      <c r="F14559" s="480"/>
      <c r="G14559" s="221" t="s">
        <v>94</v>
      </c>
      <c r="H14559" s="221"/>
      <c r="I14559" s="145"/>
      <c r="J14559" s="146" t="s">
        <v>147</v>
      </c>
      <c r="K14559" s="219"/>
      <c r="L14559" s="219">
        <v>1200857.6599999999</v>
      </c>
    </row>
    <row r="14560" spans="1:14" x14ac:dyDescent="0.2">
      <c r="A14560" s="133">
        <v>2025</v>
      </c>
      <c r="B14560" s="133">
        <v>7</v>
      </c>
      <c r="C14560" s="133">
        <v>31</v>
      </c>
      <c r="D14560" s="141">
        <f t="shared" ref="D14560:D14567" si="2256">DATE(A14560,B14560,C14560)</f>
        <v>45869</v>
      </c>
      <c r="E14560" s="275">
        <f t="shared" ref="E14560:E14567" si="2257">DATE(A14560,B14560,C14560)</f>
        <v>45869</v>
      </c>
      <c r="F14560" s="481" t="s">
        <v>1767</v>
      </c>
      <c r="G14560" s="174" t="s">
        <v>94</v>
      </c>
      <c r="H14560" s="174"/>
      <c r="J14560" s="149" t="s">
        <v>79</v>
      </c>
      <c r="K14560" s="218">
        <v>2985360</v>
      </c>
      <c r="L14560" s="218"/>
      <c r="M14560" s="160"/>
    </row>
    <row r="14561" spans="1:14" x14ac:dyDescent="0.2">
      <c r="A14561" s="133">
        <v>2025</v>
      </c>
      <c r="B14561" s="133">
        <v>7</v>
      </c>
      <c r="C14561" s="133">
        <v>31</v>
      </c>
      <c r="D14561" s="141">
        <f t="shared" si="2256"/>
        <v>45869</v>
      </c>
      <c r="E14561" s="275">
        <f t="shared" si="2257"/>
        <v>45869</v>
      </c>
      <c r="F14561" s="481"/>
      <c r="G14561" s="174" t="s">
        <v>94</v>
      </c>
      <c r="H14561" s="174"/>
      <c r="J14561" s="149" t="s">
        <v>80</v>
      </c>
      <c r="K14561" s="218">
        <v>7517.48</v>
      </c>
      <c r="L14561" s="264"/>
      <c r="M14561" s="264"/>
      <c r="N14561" s="264"/>
    </row>
    <row r="14562" spans="1:14" x14ac:dyDescent="0.2">
      <c r="A14562" s="133">
        <v>2025</v>
      </c>
      <c r="B14562" s="133">
        <v>7</v>
      </c>
      <c r="C14562" s="133">
        <v>31</v>
      </c>
      <c r="D14562" s="141">
        <f t="shared" si="2256"/>
        <v>45869</v>
      </c>
      <c r="E14562" s="275">
        <f t="shared" si="2257"/>
        <v>45869</v>
      </c>
      <c r="F14562" s="481"/>
      <c r="G14562" s="174" t="s">
        <v>94</v>
      </c>
      <c r="H14562" s="174"/>
      <c r="J14562" s="149" t="s">
        <v>147</v>
      </c>
      <c r="K14562" s="218"/>
      <c r="L14562" s="218">
        <v>1801860.28</v>
      </c>
      <c r="M14562" s="264"/>
    </row>
    <row r="14563" spans="1:14" x14ac:dyDescent="0.2">
      <c r="A14563" s="133">
        <v>2025</v>
      </c>
      <c r="B14563" s="133">
        <v>7</v>
      </c>
      <c r="C14563" s="133">
        <v>31</v>
      </c>
      <c r="D14563" s="141">
        <f t="shared" si="2256"/>
        <v>45869</v>
      </c>
      <c r="E14563" s="275">
        <f t="shared" si="2257"/>
        <v>45869</v>
      </c>
      <c r="F14563" s="481"/>
      <c r="G14563" s="174" t="s">
        <v>94</v>
      </c>
      <c r="H14563" s="174"/>
      <c r="J14563" s="149" t="s">
        <v>191</v>
      </c>
      <c r="L14563" s="218">
        <v>225171.73</v>
      </c>
    </row>
    <row r="14564" spans="1:14" x14ac:dyDescent="0.2">
      <c r="A14564" s="163">
        <v>2025</v>
      </c>
      <c r="B14564" s="163">
        <v>7</v>
      </c>
      <c r="C14564" s="163">
        <v>31</v>
      </c>
      <c r="D14564" s="280">
        <f t="shared" si="2256"/>
        <v>45869</v>
      </c>
      <c r="E14564" s="281">
        <f t="shared" si="2257"/>
        <v>45869</v>
      </c>
      <c r="F14564" s="480"/>
      <c r="G14564" s="221" t="s">
        <v>94</v>
      </c>
      <c r="H14564" s="145"/>
      <c r="I14564" s="145"/>
      <c r="J14564" s="163" t="s">
        <v>79</v>
      </c>
      <c r="K14564" s="219"/>
      <c r="L14564" s="219">
        <v>965845.47</v>
      </c>
      <c r="M14564" s="264"/>
    </row>
    <row r="14565" spans="1:14" ht="11.25" customHeight="1" x14ac:dyDescent="0.2">
      <c r="A14565" s="168">
        <v>2025</v>
      </c>
      <c r="B14565" s="168">
        <v>7</v>
      </c>
      <c r="C14565" s="133">
        <v>31</v>
      </c>
      <c r="D14565" s="141">
        <f t="shared" si="2256"/>
        <v>45869</v>
      </c>
      <c r="E14565" s="275">
        <f t="shared" si="2257"/>
        <v>45869</v>
      </c>
      <c r="F14565" s="479" t="s">
        <v>964</v>
      </c>
      <c r="G14565" s="220" t="s">
        <v>74</v>
      </c>
      <c r="H14565" s="142"/>
      <c r="I14565" s="142"/>
      <c r="J14565" s="168" t="s">
        <v>52</v>
      </c>
      <c r="K14565" s="226">
        <v>282000</v>
      </c>
      <c r="L14565" s="226"/>
    </row>
    <row r="14566" spans="1:14" ht="11.25" customHeight="1" x14ac:dyDescent="0.2">
      <c r="A14566" s="133">
        <v>2025</v>
      </c>
      <c r="B14566" s="133">
        <v>7</v>
      </c>
      <c r="C14566" s="133">
        <v>31</v>
      </c>
      <c r="D14566" s="141">
        <f t="shared" si="2256"/>
        <v>45869</v>
      </c>
      <c r="E14566" s="275">
        <f t="shared" si="2257"/>
        <v>45869</v>
      </c>
      <c r="F14566" s="481"/>
      <c r="G14566" s="174" t="s">
        <v>74</v>
      </c>
      <c r="J14566" s="133" t="s">
        <v>13</v>
      </c>
      <c r="K14566" s="218"/>
      <c r="L14566" s="218">
        <v>200230</v>
      </c>
    </row>
    <row r="14567" spans="1:14" ht="11.25" customHeight="1" x14ac:dyDescent="0.2">
      <c r="A14567" s="163">
        <v>2025</v>
      </c>
      <c r="B14567" s="163">
        <v>7</v>
      </c>
      <c r="C14567" s="163">
        <v>31</v>
      </c>
      <c r="D14567" s="280">
        <f t="shared" si="2256"/>
        <v>45869</v>
      </c>
      <c r="E14567" s="281">
        <f t="shared" si="2257"/>
        <v>45869</v>
      </c>
      <c r="F14567" s="480"/>
      <c r="G14567" s="221" t="s">
        <v>74</v>
      </c>
      <c r="H14567" s="145"/>
      <c r="I14567" s="145"/>
      <c r="J14567" s="163" t="s">
        <v>53</v>
      </c>
      <c r="K14567" s="219"/>
      <c r="L14567" s="219">
        <v>81770</v>
      </c>
    </row>
    <row r="14568" spans="1:14" ht="11.25" customHeight="1" x14ac:dyDescent="0.2">
      <c r="A14568" s="168">
        <v>2025</v>
      </c>
      <c r="B14568" s="168">
        <v>7</v>
      </c>
      <c r="C14568" s="133">
        <v>31</v>
      </c>
      <c r="D14568" s="141">
        <f t="shared" ref="D14568:D14570" si="2258">DATE(A14568,B14568,C14568)</f>
        <v>45869</v>
      </c>
      <c r="E14568" s="275">
        <f t="shared" ref="E14568:E14570" si="2259">DATE(A14568,B14568,C14568)</f>
        <v>45869</v>
      </c>
      <c r="F14568" s="479" t="s">
        <v>964</v>
      </c>
      <c r="G14568" s="220" t="s">
        <v>74</v>
      </c>
      <c r="H14568" s="142"/>
      <c r="I14568" s="142"/>
      <c r="J14568" s="168" t="s">
        <v>52</v>
      </c>
      <c r="K14568" s="226">
        <v>900000</v>
      </c>
      <c r="L14568" s="226"/>
    </row>
    <row r="14569" spans="1:14" ht="11.25" customHeight="1" x14ac:dyDescent="0.2">
      <c r="A14569" s="133">
        <v>2025</v>
      </c>
      <c r="B14569" s="133">
        <v>7</v>
      </c>
      <c r="C14569" s="133">
        <v>31</v>
      </c>
      <c r="D14569" s="141">
        <f t="shared" si="2258"/>
        <v>45869</v>
      </c>
      <c r="E14569" s="275">
        <f t="shared" si="2259"/>
        <v>45869</v>
      </c>
      <c r="F14569" s="481"/>
      <c r="G14569" s="174" t="s">
        <v>74</v>
      </c>
      <c r="J14569" s="133" t="s">
        <v>13</v>
      </c>
      <c r="K14569" s="218"/>
      <c r="L14569" s="218">
        <v>639020</v>
      </c>
    </row>
    <row r="14570" spans="1:14" ht="11.25" customHeight="1" x14ac:dyDescent="0.2">
      <c r="A14570" s="163">
        <v>2025</v>
      </c>
      <c r="B14570" s="163">
        <v>7</v>
      </c>
      <c r="C14570" s="163">
        <v>31</v>
      </c>
      <c r="D14570" s="280">
        <f t="shared" si="2258"/>
        <v>45869</v>
      </c>
      <c r="E14570" s="281">
        <f t="shared" si="2259"/>
        <v>45869</v>
      </c>
      <c r="F14570" s="480"/>
      <c r="G14570" s="221" t="s">
        <v>74</v>
      </c>
      <c r="H14570" s="145"/>
      <c r="I14570" s="145"/>
      <c r="J14570" s="163" t="s">
        <v>53</v>
      </c>
      <c r="K14570" s="219"/>
      <c r="L14570" s="219">
        <v>260980</v>
      </c>
    </row>
    <row r="14571" spans="1:14" x14ac:dyDescent="0.2">
      <c r="A14571" s="325">
        <v>2025</v>
      </c>
      <c r="B14571" s="325">
        <v>7</v>
      </c>
      <c r="C14571" s="325">
        <v>31</v>
      </c>
      <c r="D14571" s="326">
        <f t="shared" si="2254"/>
        <v>45869</v>
      </c>
      <c r="E14571" s="327">
        <f t="shared" si="2255"/>
        <v>45869</v>
      </c>
      <c r="F14571" s="473" t="s">
        <v>1940</v>
      </c>
      <c r="G14571" s="340" t="s">
        <v>94</v>
      </c>
      <c r="H14571" s="340"/>
      <c r="I14571" s="341" t="s">
        <v>348</v>
      </c>
      <c r="J14571" s="374" t="s">
        <v>133</v>
      </c>
      <c r="K14571" s="375">
        <v>12905.56</v>
      </c>
      <c r="L14571" s="375"/>
      <c r="M14571" s="176"/>
    </row>
    <row r="14572" spans="1:14" x14ac:dyDescent="0.2">
      <c r="A14572" s="331">
        <v>2025</v>
      </c>
      <c r="B14572" s="331">
        <v>7</v>
      </c>
      <c r="C14572" s="331">
        <v>31</v>
      </c>
      <c r="D14572" s="326">
        <f t="shared" si="2254"/>
        <v>45869</v>
      </c>
      <c r="E14572" s="327">
        <f t="shared" si="2255"/>
        <v>45869</v>
      </c>
      <c r="F14572" s="474"/>
      <c r="G14572" s="332" t="s">
        <v>94</v>
      </c>
      <c r="H14572" s="332"/>
      <c r="I14572" s="333" t="s">
        <v>348</v>
      </c>
      <c r="J14572" s="376" t="s">
        <v>60</v>
      </c>
      <c r="K14572" s="334"/>
      <c r="L14572" s="334">
        <f>K14571</f>
        <v>12905.56</v>
      </c>
    </row>
    <row r="14573" spans="1:14" x14ac:dyDescent="0.2">
      <c r="A14573" s="325">
        <v>2025</v>
      </c>
      <c r="B14573" s="325">
        <v>7</v>
      </c>
      <c r="C14573" s="325">
        <v>31</v>
      </c>
      <c r="D14573" s="326">
        <f t="shared" si="2254"/>
        <v>45869</v>
      </c>
      <c r="E14573" s="327">
        <f t="shared" si="2255"/>
        <v>45869</v>
      </c>
      <c r="F14573" s="473" t="s">
        <v>2097</v>
      </c>
      <c r="G14573" s="340" t="s">
        <v>94</v>
      </c>
      <c r="H14573" s="340"/>
      <c r="I14573" s="341" t="s">
        <v>348</v>
      </c>
      <c r="J14573" s="374" t="s">
        <v>133</v>
      </c>
      <c r="K14573" s="375">
        <v>6250</v>
      </c>
      <c r="L14573" s="375"/>
      <c r="M14573" s="176"/>
    </row>
    <row r="14574" spans="1:14" x14ac:dyDescent="0.2">
      <c r="A14574" s="331">
        <v>2025</v>
      </c>
      <c r="B14574" s="331">
        <v>7</v>
      </c>
      <c r="C14574" s="331">
        <v>31</v>
      </c>
      <c r="D14574" s="326">
        <f t="shared" si="2254"/>
        <v>45869</v>
      </c>
      <c r="E14574" s="327">
        <f t="shared" si="2255"/>
        <v>45869</v>
      </c>
      <c r="F14574" s="474"/>
      <c r="G14574" s="332" t="s">
        <v>94</v>
      </c>
      <c r="H14574" s="332"/>
      <c r="I14574" s="333" t="s">
        <v>348</v>
      </c>
      <c r="J14574" s="376" t="s">
        <v>60</v>
      </c>
      <c r="K14574" s="334"/>
      <c r="L14574" s="334">
        <f>K14573</f>
        <v>6250</v>
      </c>
    </row>
    <row r="14575" spans="1:14" x14ac:dyDescent="0.2">
      <c r="A14575" s="384">
        <v>2025</v>
      </c>
      <c r="B14575" s="384">
        <v>7</v>
      </c>
      <c r="C14575" s="384">
        <v>31</v>
      </c>
      <c r="D14575" s="385">
        <f t="shared" si="2254"/>
        <v>45869</v>
      </c>
      <c r="E14575" s="386">
        <f t="shared" si="2255"/>
        <v>45869</v>
      </c>
      <c r="F14575" s="475" t="s">
        <v>1966</v>
      </c>
      <c r="G14575" s="387" t="s">
        <v>94</v>
      </c>
      <c r="H14575" s="387"/>
      <c r="I14575" s="388" t="s">
        <v>348</v>
      </c>
      <c r="J14575" s="389" t="s">
        <v>67</v>
      </c>
      <c r="K14575" s="390">
        <v>6820.93</v>
      </c>
      <c r="L14575" s="390"/>
    </row>
    <row r="14576" spans="1:14" x14ac:dyDescent="0.2">
      <c r="A14576" s="391">
        <v>2025</v>
      </c>
      <c r="B14576" s="391">
        <v>7</v>
      </c>
      <c r="C14576" s="391">
        <v>31</v>
      </c>
      <c r="D14576" s="385">
        <f t="shared" si="2254"/>
        <v>45869</v>
      </c>
      <c r="E14576" s="386">
        <f t="shared" si="2255"/>
        <v>45869</v>
      </c>
      <c r="F14576" s="476"/>
      <c r="G14576" s="392" t="s">
        <v>94</v>
      </c>
      <c r="H14576" s="392"/>
      <c r="I14576" s="393" t="s">
        <v>348</v>
      </c>
      <c r="J14576" s="394" t="s">
        <v>60</v>
      </c>
      <c r="K14576" s="395"/>
      <c r="L14576" s="395">
        <f>K14575</f>
        <v>6820.93</v>
      </c>
    </row>
    <row r="14577" spans="1:13" x14ac:dyDescent="0.2">
      <c r="A14577" s="343">
        <v>2025</v>
      </c>
      <c r="B14577" s="343">
        <v>7</v>
      </c>
      <c r="C14577" s="343">
        <v>31</v>
      </c>
      <c r="D14577" s="344">
        <f t="shared" si="2254"/>
        <v>45869</v>
      </c>
      <c r="E14577" s="345">
        <f t="shared" si="2255"/>
        <v>45869</v>
      </c>
      <c r="F14577" s="483" t="s">
        <v>1813</v>
      </c>
      <c r="G14577" s="350" t="s">
        <v>94</v>
      </c>
      <c r="H14577" s="350"/>
      <c r="I14577" s="352" t="s">
        <v>348</v>
      </c>
      <c r="J14577" s="353" t="s">
        <v>1807</v>
      </c>
      <c r="K14577" s="354">
        <v>0</v>
      </c>
      <c r="L14577" s="354"/>
      <c r="M14577" s="133">
        <v>0</v>
      </c>
    </row>
    <row r="14578" spans="1:13" x14ac:dyDescent="0.2">
      <c r="A14578" s="346">
        <v>2025</v>
      </c>
      <c r="B14578" s="346">
        <v>7</v>
      </c>
      <c r="C14578" s="346">
        <v>31</v>
      </c>
      <c r="D14578" s="344">
        <f t="shared" si="2254"/>
        <v>45869</v>
      </c>
      <c r="E14578" s="345">
        <f t="shared" si="2255"/>
        <v>45869</v>
      </c>
      <c r="F14578" s="484"/>
      <c r="G14578" s="347" t="s">
        <v>94</v>
      </c>
      <c r="H14578" s="347"/>
      <c r="I14578" s="348" t="s">
        <v>348</v>
      </c>
      <c r="J14578" s="355" t="s">
        <v>1798</v>
      </c>
      <c r="K14578" s="349"/>
      <c r="L14578" s="349">
        <v>0</v>
      </c>
    </row>
    <row r="14579" spans="1:13" x14ac:dyDescent="0.2">
      <c r="A14579" s="343">
        <v>2025</v>
      </c>
      <c r="B14579" s="343">
        <v>7</v>
      </c>
      <c r="C14579" s="343">
        <v>31</v>
      </c>
      <c r="D14579" s="344">
        <f t="shared" si="2254"/>
        <v>45869</v>
      </c>
      <c r="E14579" s="345">
        <f t="shared" si="2255"/>
        <v>45869</v>
      </c>
      <c r="F14579" s="483" t="s">
        <v>1913</v>
      </c>
      <c r="G14579" s="350" t="s">
        <v>94</v>
      </c>
      <c r="H14579" s="350"/>
      <c r="I14579" s="352" t="s">
        <v>348</v>
      </c>
      <c r="J14579" s="353" t="s">
        <v>1799</v>
      </c>
      <c r="K14579" s="354">
        <v>349955.68499999493</v>
      </c>
      <c r="L14579" s="354"/>
      <c r="M14579" s="160">
        <v>0</v>
      </c>
    </row>
    <row r="14580" spans="1:13" x14ac:dyDescent="0.2">
      <c r="A14580" s="346">
        <v>2025</v>
      </c>
      <c r="B14580" s="346">
        <v>7</v>
      </c>
      <c r="C14580" s="346">
        <v>31</v>
      </c>
      <c r="D14580" s="344">
        <f t="shared" si="2254"/>
        <v>45869</v>
      </c>
      <c r="E14580" s="345">
        <f t="shared" si="2255"/>
        <v>45869</v>
      </c>
      <c r="F14580" s="484"/>
      <c r="G14580" s="347" t="s">
        <v>94</v>
      </c>
      <c r="H14580" s="347"/>
      <c r="I14580" s="348" t="s">
        <v>348</v>
      </c>
      <c r="J14580" s="355" t="s">
        <v>1808</v>
      </c>
      <c r="K14580" s="349"/>
      <c r="L14580" s="349">
        <f>K14579</f>
        <v>349955.68499999493</v>
      </c>
    </row>
    <row r="14581" spans="1:13" x14ac:dyDescent="0.2">
      <c r="A14581" s="238">
        <v>2025</v>
      </c>
      <c r="B14581" s="238">
        <v>7</v>
      </c>
      <c r="C14581" s="238">
        <v>31</v>
      </c>
      <c r="D14581" s="270">
        <f t="shared" si="2254"/>
        <v>45869</v>
      </c>
      <c r="E14581" s="279">
        <f t="shared" si="2255"/>
        <v>45869</v>
      </c>
      <c r="F14581" s="477" t="s">
        <v>347</v>
      </c>
      <c r="G14581" s="239" t="s">
        <v>94</v>
      </c>
      <c r="H14581" s="239"/>
      <c r="I14581" s="262" t="s">
        <v>348</v>
      </c>
      <c r="J14581" s="240" t="s">
        <v>108</v>
      </c>
      <c r="K14581" s="241">
        <v>3016606.2042000145</v>
      </c>
      <c r="L14581" s="241"/>
      <c r="M14581" s="160">
        <v>-13139541.900000483</v>
      </c>
    </row>
    <row r="14582" spans="1:13" x14ac:dyDescent="0.2">
      <c r="A14582" s="242">
        <v>2025</v>
      </c>
      <c r="B14582" s="242">
        <v>7</v>
      </c>
      <c r="C14582" s="242">
        <v>31</v>
      </c>
      <c r="D14582" s="270">
        <f t="shared" si="2254"/>
        <v>45869</v>
      </c>
      <c r="E14582" s="279">
        <f t="shared" si="2255"/>
        <v>45869</v>
      </c>
      <c r="F14582" s="478"/>
      <c r="G14582" s="243" t="s">
        <v>94</v>
      </c>
      <c r="H14582" s="243"/>
      <c r="I14582" s="263" t="s">
        <v>348</v>
      </c>
      <c r="J14582" s="244" t="s">
        <v>82</v>
      </c>
      <c r="K14582" s="245"/>
      <c r="L14582" s="245">
        <f>K14581</f>
        <v>3016606.2042000145</v>
      </c>
    </row>
    <row r="14583" spans="1:13" ht="12" customHeight="1" x14ac:dyDescent="0.2">
      <c r="A14583" s="246">
        <v>2025</v>
      </c>
      <c r="B14583" s="238">
        <v>7</v>
      </c>
      <c r="C14583" s="238">
        <v>31</v>
      </c>
      <c r="D14583" s="270">
        <f t="shared" si="2254"/>
        <v>45869</v>
      </c>
      <c r="E14583" s="279">
        <f t="shared" si="2255"/>
        <v>45869</v>
      </c>
      <c r="F14583" s="482" t="s">
        <v>148</v>
      </c>
      <c r="G14583" s="247" t="s">
        <v>94</v>
      </c>
      <c r="H14583" s="247"/>
      <c r="I14583" s="248" t="s">
        <v>348</v>
      </c>
      <c r="J14583" s="249" t="s">
        <v>95</v>
      </c>
      <c r="K14583" s="250">
        <v>2747.2527472527472</v>
      </c>
      <c r="L14583" s="241"/>
      <c r="M14583" s="176"/>
    </row>
    <row r="14584" spans="1:13" x14ac:dyDescent="0.2">
      <c r="A14584" s="242">
        <v>2025</v>
      </c>
      <c r="B14584" s="242">
        <v>7</v>
      </c>
      <c r="C14584" s="242">
        <v>31</v>
      </c>
      <c r="D14584" s="270">
        <f t="shared" si="2254"/>
        <v>45869</v>
      </c>
      <c r="E14584" s="279">
        <f t="shared" si="2255"/>
        <v>45869</v>
      </c>
      <c r="F14584" s="478"/>
      <c r="G14584" s="243" t="s">
        <v>94</v>
      </c>
      <c r="H14584" s="243"/>
      <c r="I14584" s="263" t="s">
        <v>348</v>
      </c>
      <c r="J14584" s="244" t="s">
        <v>63</v>
      </c>
      <c r="K14584" s="245"/>
      <c r="L14584" s="245">
        <f>K14583</f>
        <v>2747.2527472527472</v>
      </c>
    </row>
    <row r="14585" spans="1:13" x14ac:dyDescent="0.2">
      <c r="A14585" s="246">
        <v>2025</v>
      </c>
      <c r="B14585" s="238">
        <v>7</v>
      </c>
      <c r="C14585" s="238">
        <v>31</v>
      </c>
      <c r="D14585" s="270">
        <f t="shared" si="2254"/>
        <v>45869</v>
      </c>
      <c r="E14585" s="279">
        <f t="shared" si="2255"/>
        <v>45869</v>
      </c>
      <c r="F14585" s="482" t="s">
        <v>137</v>
      </c>
      <c r="G14585" s="247" t="s">
        <v>94</v>
      </c>
      <c r="H14585" s="247"/>
      <c r="I14585" s="248" t="s">
        <v>348</v>
      </c>
      <c r="J14585" s="249" t="s">
        <v>97</v>
      </c>
      <c r="K14585" s="250">
        <f>M14585</f>
        <v>73925.630862096194</v>
      </c>
      <c r="L14585" s="252"/>
      <c r="M14585" s="133">
        <v>73925.630862096194</v>
      </c>
    </row>
    <row r="14586" spans="1:13" x14ac:dyDescent="0.2">
      <c r="A14586" s="242">
        <v>2025</v>
      </c>
      <c r="B14586" s="242">
        <v>7</v>
      </c>
      <c r="C14586" s="242">
        <v>31</v>
      </c>
      <c r="D14586" s="270">
        <f t="shared" si="2254"/>
        <v>45869</v>
      </c>
      <c r="E14586" s="279">
        <f t="shared" si="2255"/>
        <v>45869</v>
      </c>
      <c r="F14586" s="478"/>
      <c r="G14586" s="243" t="s">
        <v>94</v>
      </c>
      <c r="H14586" s="243"/>
      <c r="I14586" s="263" t="s">
        <v>348</v>
      </c>
      <c r="J14586" s="244" t="s">
        <v>47</v>
      </c>
      <c r="K14586" s="245"/>
      <c r="L14586" s="245">
        <f>K14585</f>
        <v>73925.630862096194</v>
      </c>
      <c r="M14586" s="133">
        <v>3455.8969277201945</v>
      </c>
    </row>
    <row r="14587" spans="1:13" x14ac:dyDescent="0.2">
      <c r="A14587" s="246">
        <v>2025</v>
      </c>
      <c r="B14587" s="238">
        <v>7</v>
      </c>
      <c r="C14587" s="238">
        <v>31</v>
      </c>
      <c r="D14587" s="270">
        <f t="shared" si="2254"/>
        <v>45869</v>
      </c>
      <c r="E14587" s="279">
        <f t="shared" si="2255"/>
        <v>45869</v>
      </c>
      <c r="F14587" s="482" t="s">
        <v>138</v>
      </c>
      <c r="G14587" s="247" t="s">
        <v>94</v>
      </c>
      <c r="H14587" s="247"/>
      <c r="I14587" s="248" t="s">
        <v>348</v>
      </c>
      <c r="J14587" s="249" t="s">
        <v>100</v>
      </c>
      <c r="K14587" s="250">
        <f>M14586</f>
        <v>3455.8969277201945</v>
      </c>
      <c r="L14587" s="252"/>
    </row>
    <row r="14588" spans="1:13" x14ac:dyDescent="0.2">
      <c r="A14588" s="242">
        <v>2025</v>
      </c>
      <c r="B14588" s="242">
        <v>7</v>
      </c>
      <c r="C14588" s="242">
        <v>31</v>
      </c>
      <c r="D14588" s="321">
        <f t="shared" si="2254"/>
        <v>45869</v>
      </c>
      <c r="E14588" s="322">
        <f t="shared" si="2255"/>
        <v>45869</v>
      </c>
      <c r="F14588" s="478"/>
      <c r="G14588" s="243" t="s">
        <v>94</v>
      </c>
      <c r="H14588" s="243"/>
      <c r="I14588" s="263" t="s">
        <v>348</v>
      </c>
      <c r="J14588" s="244" t="s">
        <v>48</v>
      </c>
      <c r="K14588" s="245"/>
      <c r="L14588" s="245">
        <f>K14587</f>
        <v>3455.8969277201945</v>
      </c>
    </row>
    <row r="14589" spans="1:13" ht="11.25" customHeight="1" x14ac:dyDescent="0.2">
      <c r="A14589" s="168">
        <v>2025</v>
      </c>
      <c r="B14589" s="168">
        <v>8</v>
      </c>
      <c r="C14589" s="133">
        <v>3</v>
      </c>
      <c r="D14589" s="141">
        <f t="shared" si="2254"/>
        <v>45872</v>
      </c>
      <c r="E14589" s="275">
        <f t="shared" si="2255"/>
        <v>45872</v>
      </c>
      <c r="F14589" s="479" t="s">
        <v>964</v>
      </c>
      <c r="G14589" s="220" t="s">
        <v>74</v>
      </c>
      <c r="H14589" s="142"/>
      <c r="I14589" s="142"/>
      <c r="J14589" s="168" t="s">
        <v>52</v>
      </c>
      <c r="K14589" s="226">
        <v>17100000</v>
      </c>
      <c r="L14589" s="226"/>
    </row>
    <row r="14590" spans="1:13" ht="11.25" customHeight="1" x14ac:dyDescent="0.2">
      <c r="A14590" s="133">
        <v>2025</v>
      </c>
      <c r="B14590" s="133">
        <v>8</v>
      </c>
      <c r="C14590" s="133">
        <v>3</v>
      </c>
      <c r="D14590" s="141">
        <f t="shared" si="2254"/>
        <v>45872</v>
      </c>
      <c r="E14590" s="275">
        <f t="shared" si="2255"/>
        <v>45872</v>
      </c>
      <c r="F14590" s="481"/>
      <c r="G14590" s="174" t="s">
        <v>74</v>
      </c>
      <c r="J14590" s="133" t="s">
        <v>13</v>
      </c>
      <c r="K14590" s="218"/>
      <c r="L14590" s="218">
        <v>12141440</v>
      </c>
    </row>
    <row r="14591" spans="1:13" ht="11.25" customHeight="1" x14ac:dyDescent="0.2">
      <c r="A14591" s="163">
        <v>2025</v>
      </c>
      <c r="B14591" s="163">
        <v>8</v>
      </c>
      <c r="C14591" s="163">
        <v>3</v>
      </c>
      <c r="D14591" s="280">
        <f t="shared" si="2254"/>
        <v>45872</v>
      </c>
      <c r="E14591" s="281">
        <f t="shared" si="2255"/>
        <v>45872</v>
      </c>
      <c r="F14591" s="480"/>
      <c r="G14591" s="221" t="s">
        <v>74</v>
      </c>
      <c r="H14591" s="145"/>
      <c r="I14591" s="145"/>
      <c r="J14591" s="163" t="s">
        <v>53</v>
      </c>
      <c r="K14591" s="219"/>
      <c r="L14591" s="219">
        <v>4958560</v>
      </c>
    </row>
    <row r="14592" spans="1:13" ht="11.25" customHeight="1" x14ac:dyDescent="0.2">
      <c r="A14592" s="168">
        <v>2025</v>
      </c>
      <c r="B14592" s="168">
        <v>8</v>
      </c>
      <c r="C14592" s="133">
        <v>3</v>
      </c>
      <c r="D14592" s="141">
        <f t="shared" ref="D14592:D14594" si="2260">DATE(A14592,B14592,C14592)</f>
        <v>45872</v>
      </c>
      <c r="E14592" s="275">
        <f t="shared" ref="E14592:E14594" si="2261">DATE(A14592,B14592,C14592)</f>
        <v>45872</v>
      </c>
      <c r="F14592" s="479" t="s">
        <v>2108</v>
      </c>
      <c r="G14592" s="220" t="s">
        <v>94</v>
      </c>
      <c r="H14592" s="220"/>
      <c r="I14592" s="142"/>
      <c r="J14592" s="143" t="s">
        <v>79</v>
      </c>
      <c r="K14592" s="226">
        <v>3338000</v>
      </c>
      <c r="L14592" s="226"/>
      <c r="M14592" s="160"/>
    </row>
    <row r="14593" spans="1:13" x14ac:dyDescent="0.2">
      <c r="A14593" s="133">
        <v>2025</v>
      </c>
      <c r="B14593" s="133">
        <v>8</v>
      </c>
      <c r="C14593" s="133">
        <v>3</v>
      </c>
      <c r="D14593" s="141">
        <f t="shared" si="2260"/>
        <v>45872</v>
      </c>
      <c r="E14593" s="275">
        <f t="shared" si="2261"/>
        <v>45872</v>
      </c>
      <c r="F14593" s="481"/>
      <c r="G14593" s="174" t="s">
        <v>94</v>
      </c>
      <c r="H14593" s="174"/>
      <c r="J14593" s="149" t="s">
        <v>80</v>
      </c>
      <c r="K14593" s="218">
        <v>6008.4</v>
      </c>
      <c r="L14593" s="133"/>
    </row>
    <row r="14594" spans="1:13" x14ac:dyDescent="0.2">
      <c r="A14594" s="163">
        <v>2025</v>
      </c>
      <c r="B14594" s="163">
        <v>8</v>
      </c>
      <c r="C14594" s="163">
        <v>3</v>
      </c>
      <c r="D14594" s="280">
        <f t="shared" si="2260"/>
        <v>45872</v>
      </c>
      <c r="E14594" s="281">
        <f t="shared" si="2261"/>
        <v>45872</v>
      </c>
      <c r="F14594" s="480"/>
      <c r="G14594" s="221" t="s">
        <v>94</v>
      </c>
      <c r="H14594" s="221"/>
      <c r="I14594" s="145"/>
      <c r="J14594" s="146" t="s">
        <v>147</v>
      </c>
      <c r="K14594" s="219"/>
      <c r="L14594" s="219">
        <v>3344008.4</v>
      </c>
    </row>
    <row r="14595" spans="1:13" ht="11.25" customHeight="1" x14ac:dyDescent="0.2">
      <c r="A14595" s="168">
        <v>2025</v>
      </c>
      <c r="B14595" s="168">
        <v>8</v>
      </c>
      <c r="C14595" s="133">
        <v>3</v>
      </c>
      <c r="D14595" s="141">
        <f t="shared" ref="D14595:D14651" si="2262">DATE(A14595,B14595,C14595)</f>
        <v>45872</v>
      </c>
      <c r="E14595" s="275">
        <f t="shared" ref="E14595:E14651" si="2263">DATE(A14595,B14595,C14595)</f>
        <v>45872</v>
      </c>
      <c r="F14595" s="479" t="s">
        <v>1979</v>
      </c>
      <c r="G14595" s="220" t="s">
        <v>94</v>
      </c>
      <c r="H14595" s="220"/>
      <c r="I14595" s="142"/>
      <c r="J14595" s="143" t="s">
        <v>79</v>
      </c>
      <c r="K14595" s="226">
        <v>8333825.7000000002</v>
      </c>
      <c r="L14595" s="226"/>
      <c r="M14595" s="160"/>
    </row>
    <row r="14596" spans="1:13" x14ac:dyDescent="0.2">
      <c r="A14596" s="133">
        <v>2025</v>
      </c>
      <c r="B14596" s="133">
        <v>8</v>
      </c>
      <c r="C14596" s="133">
        <v>3</v>
      </c>
      <c r="D14596" s="141">
        <f t="shared" si="2262"/>
        <v>45872</v>
      </c>
      <c r="E14596" s="275">
        <f t="shared" si="2263"/>
        <v>45872</v>
      </c>
      <c r="F14596" s="481"/>
      <c r="G14596" s="174" t="s">
        <v>94</v>
      </c>
      <c r="H14596" s="174"/>
      <c r="J14596" s="149" t="s">
        <v>80</v>
      </c>
      <c r="K14596" s="218">
        <v>15000.89</v>
      </c>
      <c r="L14596" s="133"/>
    </row>
    <row r="14597" spans="1:13" x14ac:dyDescent="0.2">
      <c r="A14597" s="163">
        <v>2025</v>
      </c>
      <c r="B14597" s="163">
        <v>8</v>
      </c>
      <c r="C14597" s="163">
        <v>3</v>
      </c>
      <c r="D14597" s="280">
        <f t="shared" si="2262"/>
        <v>45872</v>
      </c>
      <c r="E14597" s="281">
        <f t="shared" si="2263"/>
        <v>45872</v>
      </c>
      <c r="F14597" s="480"/>
      <c r="G14597" s="221" t="s">
        <v>94</v>
      </c>
      <c r="H14597" s="221"/>
      <c r="I14597" s="145"/>
      <c r="J14597" s="146" t="s">
        <v>147</v>
      </c>
      <c r="K14597" s="219"/>
      <c r="L14597" s="219">
        <v>8348826.5899999999</v>
      </c>
    </row>
    <row r="14598" spans="1:13" ht="11.25" customHeight="1" x14ac:dyDescent="0.2">
      <c r="A14598" s="168">
        <v>2025</v>
      </c>
      <c r="B14598" s="168">
        <v>8</v>
      </c>
      <c r="C14598" s="133">
        <v>3</v>
      </c>
      <c r="D14598" s="141">
        <f t="shared" si="2262"/>
        <v>45872</v>
      </c>
      <c r="E14598" s="275">
        <f t="shared" si="2263"/>
        <v>45872</v>
      </c>
      <c r="F14598" s="479" t="s">
        <v>1315</v>
      </c>
      <c r="G14598" s="220" t="s">
        <v>74</v>
      </c>
      <c r="H14598" s="142"/>
      <c r="I14598" s="142"/>
      <c r="J14598" s="168" t="s">
        <v>13</v>
      </c>
      <c r="K14598" s="226">
        <v>200230</v>
      </c>
      <c r="L14598" s="226"/>
    </row>
    <row r="14599" spans="1:13" ht="11.25" customHeight="1" x14ac:dyDescent="0.2">
      <c r="A14599" s="133">
        <v>2025</v>
      </c>
      <c r="B14599" s="133">
        <v>8</v>
      </c>
      <c r="C14599" s="133">
        <v>3</v>
      </c>
      <c r="D14599" s="141">
        <f t="shared" si="2262"/>
        <v>45872</v>
      </c>
      <c r="E14599" s="275">
        <f t="shared" si="2263"/>
        <v>45872</v>
      </c>
      <c r="F14599" s="481"/>
      <c r="G14599" s="174" t="s">
        <v>74</v>
      </c>
      <c r="J14599" s="133" t="s">
        <v>53</v>
      </c>
      <c r="K14599" s="218">
        <v>88201.32</v>
      </c>
      <c r="L14599" s="218"/>
    </row>
    <row r="14600" spans="1:13" ht="11.25" customHeight="1" x14ac:dyDescent="0.2">
      <c r="A14600" s="163">
        <v>2025</v>
      </c>
      <c r="B14600" s="163">
        <v>8</v>
      </c>
      <c r="C14600" s="163">
        <v>3</v>
      </c>
      <c r="D14600" s="280">
        <f t="shared" si="2262"/>
        <v>45872</v>
      </c>
      <c r="E14600" s="281">
        <f t="shared" si="2263"/>
        <v>45872</v>
      </c>
      <c r="F14600" s="480"/>
      <c r="G14600" s="221" t="s">
        <v>74</v>
      </c>
      <c r="H14600" s="145"/>
      <c r="I14600" s="145"/>
      <c r="J14600" s="163" t="s">
        <v>52</v>
      </c>
      <c r="K14600" s="219"/>
      <c r="L14600" s="219">
        <v>288431.32</v>
      </c>
    </row>
    <row r="14601" spans="1:13" x14ac:dyDescent="0.2">
      <c r="A14601" s="168">
        <v>2025</v>
      </c>
      <c r="B14601" s="133">
        <v>8</v>
      </c>
      <c r="C14601" s="168">
        <v>3</v>
      </c>
      <c r="D14601" s="147">
        <f>DATE(A14601,B14601,C14601)</f>
        <v>45872</v>
      </c>
      <c r="E14601" s="311">
        <f>DATE(A14601,B14601,C14601)</f>
        <v>45872</v>
      </c>
      <c r="F14601" s="481" t="s">
        <v>1943</v>
      </c>
      <c r="G14601" s="174" t="s">
        <v>74</v>
      </c>
      <c r="I14601" s="148" t="s">
        <v>348</v>
      </c>
      <c r="J14601" s="133" t="s">
        <v>61</v>
      </c>
      <c r="K14601" s="172">
        <f>60+58</f>
        <v>118</v>
      </c>
    </row>
    <row r="14602" spans="1:13" x14ac:dyDescent="0.2">
      <c r="A14602" s="163">
        <v>2025</v>
      </c>
      <c r="B14602" s="163">
        <v>8</v>
      </c>
      <c r="C14602" s="163">
        <v>3</v>
      </c>
      <c r="D14602" s="280">
        <f>DATE(A14602,B14602,C14602)</f>
        <v>45872</v>
      </c>
      <c r="E14602" s="281">
        <f>DATE(A14602,B14602,C14602)</f>
        <v>45872</v>
      </c>
      <c r="F14602" s="480"/>
      <c r="G14602" s="221" t="s">
        <v>74</v>
      </c>
      <c r="H14602" s="145"/>
      <c r="I14602" s="145" t="s">
        <v>348</v>
      </c>
      <c r="J14602" s="163" t="s">
        <v>52</v>
      </c>
      <c r="K14602" s="219"/>
      <c r="L14602" s="219">
        <v>118</v>
      </c>
    </row>
    <row r="14603" spans="1:13" ht="11.25" customHeight="1" x14ac:dyDescent="0.2">
      <c r="A14603" s="168">
        <v>2025</v>
      </c>
      <c r="B14603" s="168">
        <v>8</v>
      </c>
      <c r="C14603" s="133">
        <v>4</v>
      </c>
      <c r="D14603" s="141">
        <f t="shared" si="2262"/>
        <v>45873</v>
      </c>
      <c r="E14603" s="275">
        <f t="shared" si="2263"/>
        <v>45873</v>
      </c>
      <c r="F14603" s="479" t="s">
        <v>2108</v>
      </c>
      <c r="G14603" s="220" t="s">
        <v>94</v>
      </c>
      <c r="H14603" s="220"/>
      <c r="I14603" s="142"/>
      <c r="J14603" s="143" t="s">
        <v>79</v>
      </c>
      <c r="K14603" s="226">
        <v>4029500</v>
      </c>
      <c r="L14603" s="226"/>
      <c r="M14603" s="160"/>
    </row>
    <row r="14604" spans="1:13" x14ac:dyDescent="0.2">
      <c r="A14604" s="133">
        <v>2025</v>
      </c>
      <c r="B14604" s="133">
        <v>8</v>
      </c>
      <c r="C14604" s="133">
        <v>4</v>
      </c>
      <c r="D14604" s="141">
        <f t="shared" si="2262"/>
        <v>45873</v>
      </c>
      <c r="E14604" s="275">
        <f t="shared" si="2263"/>
        <v>45873</v>
      </c>
      <c r="F14604" s="481"/>
      <c r="G14604" s="174" t="s">
        <v>94</v>
      </c>
      <c r="H14604" s="174"/>
      <c r="J14604" s="149" t="s">
        <v>80</v>
      </c>
      <c r="K14604" s="218">
        <v>7253.1</v>
      </c>
      <c r="L14604" s="133"/>
    </row>
    <row r="14605" spans="1:13" x14ac:dyDescent="0.2">
      <c r="A14605" s="163">
        <v>2025</v>
      </c>
      <c r="B14605" s="163">
        <v>8</v>
      </c>
      <c r="C14605" s="163">
        <v>4</v>
      </c>
      <c r="D14605" s="280">
        <f t="shared" si="2262"/>
        <v>45873</v>
      </c>
      <c r="E14605" s="281">
        <f t="shared" si="2263"/>
        <v>45873</v>
      </c>
      <c r="F14605" s="480"/>
      <c r="G14605" s="221" t="s">
        <v>94</v>
      </c>
      <c r="H14605" s="221"/>
      <c r="I14605" s="145"/>
      <c r="J14605" s="146" t="s">
        <v>147</v>
      </c>
      <c r="K14605" s="219"/>
      <c r="L14605" s="219">
        <v>4036753.1</v>
      </c>
    </row>
    <row r="14606" spans="1:13" ht="11.25" customHeight="1" x14ac:dyDescent="0.2">
      <c r="A14606" s="168">
        <v>2025</v>
      </c>
      <c r="B14606" s="168">
        <v>8</v>
      </c>
      <c r="C14606" s="133">
        <v>4</v>
      </c>
      <c r="D14606" s="141">
        <f t="shared" ref="D14606:D14611" si="2264">DATE(A14606,B14606,C14606)</f>
        <v>45873</v>
      </c>
      <c r="E14606" s="275">
        <f t="shared" ref="E14606:E14611" si="2265">DATE(A14606,B14606,C14606)</f>
        <v>45873</v>
      </c>
      <c r="F14606" s="479" t="s">
        <v>1315</v>
      </c>
      <c r="G14606" s="220" t="s">
        <v>74</v>
      </c>
      <c r="H14606" s="142"/>
      <c r="I14606" s="142"/>
      <c r="J14606" s="168" t="s">
        <v>13</v>
      </c>
      <c r="K14606" s="226">
        <v>40580</v>
      </c>
      <c r="L14606" s="226"/>
    </row>
    <row r="14607" spans="1:13" ht="11.25" customHeight="1" x14ac:dyDescent="0.2">
      <c r="A14607" s="133">
        <v>2025</v>
      </c>
      <c r="B14607" s="133">
        <v>8</v>
      </c>
      <c r="C14607" s="133">
        <v>4</v>
      </c>
      <c r="D14607" s="141">
        <f t="shared" si="2264"/>
        <v>45873</v>
      </c>
      <c r="E14607" s="275">
        <f t="shared" si="2265"/>
        <v>45873</v>
      </c>
      <c r="F14607" s="481"/>
      <c r="G14607" s="174" t="s">
        <v>74</v>
      </c>
      <c r="J14607" s="133" t="s">
        <v>53</v>
      </c>
      <c r="K14607" s="218">
        <v>17875.489999999998</v>
      </c>
      <c r="L14607" s="218"/>
    </row>
    <row r="14608" spans="1:13" ht="11.25" customHeight="1" x14ac:dyDescent="0.2">
      <c r="A14608" s="163">
        <v>2025</v>
      </c>
      <c r="B14608" s="163">
        <v>8</v>
      </c>
      <c r="C14608" s="163">
        <v>4</v>
      </c>
      <c r="D14608" s="280">
        <f t="shared" si="2264"/>
        <v>45873</v>
      </c>
      <c r="E14608" s="281">
        <f t="shared" si="2265"/>
        <v>45873</v>
      </c>
      <c r="F14608" s="480"/>
      <c r="G14608" s="221" t="s">
        <v>74</v>
      </c>
      <c r="H14608" s="145"/>
      <c r="I14608" s="145"/>
      <c r="J14608" s="163" t="s">
        <v>52</v>
      </c>
      <c r="K14608" s="219"/>
      <c r="L14608" s="219">
        <v>58455.49</v>
      </c>
    </row>
    <row r="14609" spans="1:14" ht="11.25" customHeight="1" x14ac:dyDescent="0.2">
      <c r="A14609" s="168">
        <v>2025</v>
      </c>
      <c r="B14609" s="168">
        <v>8</v>
      </c>
      <c r="C14609" s="133">
        <v>4</v>
      </c>
      <c r="D14609" s="141">
        <f t="shared" si="2264"/>
        <v>45873</v>
      </c>
      <c r="E14609" s="275">
        <f t="shared" si="2265"/>
        <v>45873</v>
      </c>
      <c r="F14609" s="479" t="s">
        <v>1315</v>
      </c>
      <c r="G14609" s="220" t="s">
        <v>74</v>
      </c>
      <c r="H14609" s="142"/>
      <c r="I14609" s="142"/>
      <c r="J14609" s="168" t="s">
        <v>13</v>
      </c>
      <c r="K14609" s="226">
        <v>37100</v>
      </c>
      <c r="L14609" s="226"/>
    </row>
    <row r="14610" spans="1:14" ht="11.25" customHeight="1" x14ac:dyDescent="0.2">
      <c r="A14610" s="133">
        <v>2025</v>
      </c>
      <c r="B14610" s="133">
        <v>8</v>
      </c>
      <c r="C14610" s="133">
        <v>4</v>
      </c>
      <c r="D14610" s="141">
        <f t="shared" si="2264"/>
        <v>45873</v>
      </c>
      <c r="E14610" s="275">
        <f t="shared" si="2265"/>
        <v>45873</v>
      </c>
      <c r="F14610" s="481"/>
      <c r="G14610" s="174" t="s">
        <v>74</v>
      </c>
      <c r="J14610" s="133" t="s">
        <v>53</v>
      </c>
      <c r="K14610" s="218">
        <v>16342.550000000003</v>
      </c>
      <c r="L14610" s="218"/>
    </row>
    <row r="14611" spans="1:14" ht="11.25" customHeight="1" x14ac:dyDescent="0.2">
      <c r="A14611" s="163">
        <v>2025</v>
      </c>
      <c r="B14611" s="163">
        <v>8</v>
      </c>
      <c r="C14611" s="163">
        <v>4</v>
      </c>
      <c r="D14611" s="280">
        <f t="shared" si="2264"/>
        <v>45873</v>
      </c>
      <c r="E14611" s="281">
        <f t="shared" si="2265"/>
        <v>45873</v>
      </c>
      <c r="F14611" s="480"/>
      <c r="G14611" s="221" t="s">
        <v>74</v>
      </c>
      <c r="H14611" s="145"/>
      <c r="I14611" s="145"/>
      <c r="J14611" s="163" t="s">
        <v>52</v>
      </c>
      <c r="K14611" s="219"/>
      <c r="L14611" s="219">
        <v>53442.55</v>
      </c>
    </row>
    <row r="14612" spans="1:14" ht="11.25" customHeight="1" x14ac:dyDescent="0.2">
      <c r="A14612" s="168">
        <v>2025</v>
      </c>
      <c r="B14612" s="168">
        <v>8</v>
      </c>
      <c r="C14612" s="133">
        <v>4</v>
      </c>
      <c r="D14612" s="141">
        <f t="shared" ref="D14612:D14638" si="2266">DATE(A14612,B14612,C14612)</f>
        <v>45873</v>
      </c>
      <c r="E14612" s="275">
        <f t="shared" ref="E14612:E14638" si="2267">DATE(A14612,B14612,C14612)</f>
        <v>45873</v>
      </c>
      <c r="F14612" s="479" t="s">
        <v>1315</v>
      </c>
      <c r="G14612" s="220" t="s">
        <v>74</v>
      </c>
      <c r="H14612" s="142"/>
      <c r="I14612" s="142"/>
      <c r="J14612" s="168" t="s">
        <v>13</v>
      </c>
      <c r="K14612" s="226">
        <v>228000</v>
      </c>
      <c r="L14612" s="226"/>
    </row>
    <row r="14613" spans="1:14" ht="11.25" customHeight="1" x14ac:dyDescent="0.2">
      <c r="A14613" s="133">
        <v>2025</v>
      </c>
      <c r="B14613" s="133">
        <v>8</v>
      </c>
      <c r="C14613" s="133">
        <v>4</v>
      </c>
      <c r="D14613" s="141">
        <f t="shared" si="2266"/>
        <v>45873</v>
      </c>
      <c r="E14613" s="275">
        <f t="shared" si="2267"/>
        <v>45873</v>
      </c>
      <c r="F14613" s="481"/>
      <c r="G14613" s="174" t="s">
        <v>74</v>
      </c>
      <c r="J14613" s="133" t="s">
        <v>53</v>
      </c>
      <c r="K14613" s="218">
        <v>100434</v>
      </c>
      <c r="L14613" s="218"/>
    </row>
    <row r="14614" spans="1:14" ht="11.25" customHeight="1" x14ac:dyDescent="0.2">
      <c r="A14614" s="163">
        <v>2025</v>
      </c>
      <c r="B14614" s="163">
        <v>8</v>
      </c>
      <c r="C14614" s="163">
        <v>4</v>
      </c>
      <c r="D14614" s="280">
        <f t="shared" si="2266"/>
        <v>45873</v>
      </c>
      <c r="E14614" s="281">
        <f t="shared" si="2267"/>
        <v>45873</v>
      </c>
      <c r="F14614" s="480"/>
      <c r="G14614" s="221" t="s">
        <v>74</v>
      </c>
      <c r="H14614" s="145"/>
      <c r="I14614" s="145"/>
      <c r="J14614" s="163" t="s">
        <v>52</v>
      </c>
      <c r="K14614" s="219"/>
      <c r="L14614" s="219">
        <v>328434</v>
      </c>
    </row>
    <row r="14615" spans="1:14" ht="11.25" customHeight="1" x14ac:dyDescent="0.2">
      <c r="A14615" s="168">
        <v>2025</v>
      </c>
      <c r="B14615" s="133">
        <v>8</v>
      </c>
      <c r="C14615" s="168">
        <v>4</v>
      </c>
      <c r="D14615" s="141">
        <f t="shared" si="2266"/>
        <v>45873</v>
      </c>
      <c r="E14615" s="275">
        <f t="shared" si="2267"/>
        <v>45873</v>
      </c>
      <c r="F14615" s="479" t="s">
        <v>2074</v>
      </c>
      <c r="G14615" s="220" t="s">
        <v>74</v>
      </c>
      <c r="H14615" s="220"/>
      <c r="I14615" s="142"/>
      <c r="J14615" s="143" t="s">
        <v>147</v>
      </c>
      <c r="K14615" s="226">
        <v>3344008.4</v>
      </c>
      <c r="L14615" s="226"/>
    </row>
    <row r="14616" spans="1:14" x14ac:dyDescent="0.2">
      <c r="A14616" s="163">
        <v>2025</v>
      </c>
      <c r="B14616" s="163">
        <v>8</v>
      </c>
      <c r="C14616" s="163">
        <v>4</v>
      </c>
      <c r="D14616" s="280">
        <f t="shared" si="2266"/>
        <v>45873</v>
      </c>
      <c r="E14616" s="281">
        <f t="shared" si="2267"/>
        <v>45873</v>
      </c>
      <c r="F14616" s="480"/>
      <c r="G14616" s="221" t="s">
        <v>74</v>
      </c>
      <c r="H14616" s="221"/>
      <c r="I14616" s="145"/>
      <c r="J14616" s="146" t="s">
        <v>52</v>
      </c>
      <c r="K14616" s="219"/>
      <c r="L14616" s="219">
        <f>K14615</f>
        <v>3344008.4</v>
      </c>
      <c r="N14616" s="264"/>
    </row>
    <row r="14617" spans="1:14" ht="11.25" customHeight="1" x14ac:dyDescent="0.2">
      <c r="A14617" s="168">
        <v>2025</v>
      </c>
      <c r="B14617" s="133">
        <v>8</v>
      </c>
      <c r="C14617" s="168">
        <v>4</v>
      </c>
      <c r="D14617" s="141">
        <f t="shared" si="2266"/>
        <v>45873</v>
      </c>
      <c r="E14617" s="275">
        <f t="shared" si="2267"/>
        <v>45873</v>
      </c>
      <c r="F14617" s="479" t="s">
        <v>2002</v>
      </c>
      <c r="G14617" s="220" t="s">
        <v>74</v>
      </c>
      <c r="H14617" s="220"/>
      <c r="I14617" s="142"/>
      <c r="J14617" s="143" t="s">
        <v>147</v>
      </c>
      <c r="K14617" s="226">
        <v>1801860.28</v>
      </c>
      <c r="L14617" s="226"/>
    </row>
    <row r="14618" spans="1:14" x14ac:dyDescent="0.2">
      <c r="A14618" s="163">
        <v>2025</v>
      </c>
      <c r="B14618" s="163">
        <v>8</v>
      </c>
      <c r="C14618" s="163">
        <v>4</v>
      </c>
      <c r="D14618" s="280">
        <f t="shared" si="2266"/>
        <v>45873</v>
      </c>
      <c r="E14618" s="281">
        <f t="shared" si="2267"/>
        <v>45873</v>
      </c>
      <c r="F14618" s="480"/>
      <c r="G14618" s="221" t="s">
        <v>74</v>
      </c>
      <c r="H14618" s="221"/>
      <c r="I14618" s="145"/>
      <c r="J14618" s="146" t="s">
        <v>52</v>
      </c>
      <c r="K14618" s="219"/>
      <c r="L14618" s="219">
        <f>K14617</f>
        <v>1801860.28</v>
      </c>
      <c r="N14618" s="264"/>
    </row>
    <row r="14619" spans="1:14" ht="11.25" customHeight="1" x14ac:dyDescent="0.2">
      <c r="A14619" s="168">
        <v>2025</v>
      </c>
      <c r="B14619" s="133">
        <v>8</v>
      </c>
      <c r="C14619" s="168">
        <v>4</v>
      </c>
      <c r="D14619" s="141">
        <f t="shared" ref="D14619:D14623" si="2268">DATE(A14619,B14619,C14619)</f>
        <v>45873</v>
      </c>
      <c r="E14619" s="275">
        <f t="shared" ref="E14619:E14623" si="2269">DATE(A14619,B14619,C14619)</f>
        <v>45873</v>
      </c>
      <c r="F14619" s="479" t="s">
        <v>2074</v>
      </c>
      <c r="G14619" s="220" t="s">
        <v>74</v>
      </c>
      <c r="H14619" s="220"/>
      <c r="I14619" s="142"/>
      <c r="J14619" s="143" t="s">
        <v>147</v>
      </c>
      <c r="K14619" s="226">
        <v>1200857.6599999999</v>
      </c>
      <c r="L14619" s="226"/>
    </row>
    <row r="14620" spans="1:14" x14ac:dyDescent="0.2">
      <c r="A14620" s="163">
        <v>2025</v>
      </c>
      <c r="B14620" s="163">
        <v>8</v>
      </c>
      <c r="C14620" s="163">
        <v>4</v>
      </c>
      <c r="D14620" s="280">
        <f t="shared" si="2268"/>
        <v>45873</v>
      </c>
      <c r="E14620" s="281">
        <f t="shared" si="2269"/>
        <v>45873</v>
      </c>
      <c r="F14620" s="480"/>
      <c r="G14620" s="221" t="s">
        <v>74</v>
      </c>
      <c r="H14620" s="221"/>
      <c r="I14620" s="145"/>
      <c r="J14620" s="146" t="s">
        <v>52</v>
      </c>
      <c r="K14620" s="219"/>
      <c r="L14620" s="219">
        <f>K14619</f>
        <v>1200857.6599999999</v>
      </c>
      <c r="N14620" s="264"/>
    </row>
    <row r="14621" spans="1:14" ht="11.25" customHeight="1" x14ac:dyDescent="0.2">
      <c r="A14621" s="168">
        <v>2025</v>
      </c>
      <c r="B14621" s="133">
        <v>8</v>
      </c>
      <c r="C14621" s="168">
        <v>4</v>
      </c>
      <c r="D14621" s="141">
        <f t="shared" si="2268"/>
        <v>45873</v>
      </c>
      <c r="E14621" s="275">
        <f t="shared" si="2269"/>
        <v>45873</v>
      </c>
      <c r="F14621" s="479" t="s">
        <v>2002</v>
      </c>
      <c r="G14621" s="220" t="s">
        <v>74</v>
      </c>
      <c r="H14621" s="220"/>
      <c r="I14621" s="142"/>
      <c r="J14621" s="143" t="s">
        <v>147</v>
      </c>
      <c r="K14621" s="226">
        <v>8348826.5899999999</v>
      </c>
      <c r="L14621" s="226"/>
    </row>
    <row r="14622" spans="1:14" x14ac:dyDescent="0.2">
      <c r="A14622" s="163">
        <v>2025</v>
      </c>
      <c r="B14622" s="163">
        <v>8</v>
      </c>
      <c r="C14622" s="163">
        <v>4</v>
      </c>
      <c r="D14622" s="280">
        <f t="shared" si="2268"/>
        <v>45873</v>
      </c>
      <c r="E14622" s="281">
        <f t="shared" si="2269"/>
        <v>45873</v>
      </c>
      <c r="F14622" s="480"/>
      <c r="G14622" s="221" t="s">
        <v>74</v>
      </c>
      <c r="H14622" s="221"/>
      <c r="I14622" s="145"/>
      <c r="J14622" s="146" t="s">
        <v>52</v>
      </c>
      <c r="K14622" s="219"/>
      <c r="L14622" s="219">
        <f>K14621</f>
        <v>8348826.5899999999</v>
      </c>
      <c r="N14622" s="264"/>
    </row>
    <row r="14623" spans="1:14" x14ac:dyDescent="0.2">
      <c r="A14623" s="168">
        <v>2025</v>
      </c>
      <c r="B14623" s="168">
        <v>8</v>
      </c>
      <c r="C14623" s="133">
        <v>4</v>
      </c>
      <c r="D14623" s="141">
        <f t="shared" si="2268"/>
        <v>45873</v>
      </c>
      <c r="E14623" s="275">
        <f t="shared" si="2269"/>
        <v>45873</v>
      </c>
      <c r="F14623" s="481" t="s">
        <v>2006</v>
      </c>
      <c r="G14623" s="174" t="s">
        <v>74</v>
      </c>
      <c r="H14623" s="174"/>
      <c r="J14623" s="149" t="s">
        <v>1906</v>
      </c>
      <c r="K14623" s="218">
        <v>62.5</v>
      </c>
      <c r="L14623" s="218"/>
    </row>
    <row r="14624" spans="1:14" x14ac:dyDescent="0.2">
      <c r="A14624" s="133">
        <v>2025</v>
      </c>
      <c r="B14624" s="133">
        <v>8</v>
      </c>
      <c r="C14624" s="133">
        <v>4</v>
      </c>
      <c r="D14624" s="141">
        <v>45771</v>
      </c>
      <c r="E14624" s="275">
        <v>45771</v>
      </c>
      <c r="F14624" s="481"/>
      <c r="G14624" s="174" t="s">
        <v>74</v>
      </c>
      <c r="H14624" s="174"/>
      <c r="J14624" s="149" t="s">
        <v>1907</v>
      </c>
      <c r="K14624" s="218">
        <v>150</v>
      </c>
      <c r="L14624" s="218"/>
    </row>
    <row r="14625" spans="1:17" x14ac:dyDescent="0.2">
      <c r="A14625" s="133">
        <v>2025</v>
      </c>
      <c r="B14625" s="133">
        <v>8</v>
      </c>
      <c r="C14625" s="133">
        <v>4</v>
      </c>
      <c r="D14625" s="141">
        <v>45771</v>
      </c>
      <c r="E14625" s="275">
        <v>45771</v>
      </c>
      <c r="F14625" s="481"/>
      <c r="G14625" s="174" t="s">
        <v>74</v>
      </c>
      <c r="H14625" s="174"/>
      <c r="J14625" s="149" t="s">
        <v>534</v>
      </c>
      <c r="K14625" s="218">
        <v>21000</v>
      </c>
      <c r="L14625" s="218"/>
    </row>
    <row r="14626" spans="1:17" x14ac:dyDescent="0.2">
      <c r="A14626" s="133">
        <v>2025</v>
      </c>
      <c r="B14626" s="133">
        <v>8</v>
      </c>
      <c r="C14626" s="133">
        <v>4</v>
      </c>
      <c r="D14626" s="141">
        <v>45771</v>
      </c>
      <c r="E14626" s="275">
        <v>45771</v>
      </c>
      <c r="F14626" s="481"/>
      <c r="G14626" s="174" t="s">
        <v>74</v>
      </c>
      <c r="H14626" s="174"/>
      <c r="J14626" s="149" t="s">
        <v>534</v>
      </c>
      <c r="K14626" s="218">
        <v>900</v>
      </c>
      <c r="L14626" s="218"/>
    </row>
    <row r="14627" spans="1:17" x14ac:dyDescent="0.2">
      <c r="A14627" s="133">
        <v>2025</v>
      </c>
      <c r="B14627" s="133">
        <v>8</v>
      </c>
      <c r="C14627" s="133">
        <v>4</v>
      </c>
      <c r="D14627" s="141">
        <v>45771</v>
      </c>
      <c r="E14627" s="275">
        <v>45771</v>
      </c>
      <c r="F14627" s="481"/>
      <c r="G14627" s="174" t="s">
        <v>74</v>
      </c>
      <c r="H14627" s="174"/>
      <c r="J14627" s="149" t="s">
        <v>534</v>
      </c>
      <c r="K14627" s="218">
        <v>582.64</v>
      </c>
      <c r="L14627" s="218"/>
    </row>
    <row r="14628" spans="1:17" x14ac:dyDescent="0.2">
      <c r="A14628" s="163">
        <v>2025</v>
      </c>
      <c r="B14628" s="163">
        <v>8</v>
      </c>
      <c r="C14628" s="163">
        <v>4</v>
      </c>
      <c r="D14628" s="280">
        <f t="shared" ref="D14628" si="2270">DATE(A14628,B14628,C14628)</f>
        <v>45873</v>
      </c>
      <c r="E14628" s="281">
        <f t="shared" ref="E14628" si="2271">DATE(A14628,B14628,C14628)</f>
        <v>45873</v>
      </c>
      <c r="F14628" s="480"/>
      <c r="G14628" s="221" t="s">
        <v>74</v>
      </c>
      <c r="H14628" s="221"/>
      <c r="I14628" s="145"/>
      <c r="J14628" s="146" t="s">
        <v>52</v>
      </c>
      <c r="K14628" s="219"/>
      <c r="L14628" s="219">
        <v>22695.14</v>
      </c>
    </row>
    <row r="14629" spans="1:17" ht="11.25" customHeight="1" x14ac:dyDescent="0.2">
      <c r="A14629" s="168">
        <v>2025</v>
      </c>
      <c r="B14629" s="168">
        <v>8</v>
      </c>
      <c r="C14629" s="133">
        <v>4</v>
      </c>
      <c r="D14629" s="141">
        <f>DATE(A14629,B14629,C14629)</f>
        <v>45873</v>
      </c>
      <c r="E14629" s="275">
        <f>DATE(A14629,B14629,C14629)</f>
        <v>45873</v>
      </c>
      <c r="F14629" s="481" t="s">
        <v>2107</v>
      </c>
      <c r="G14629" s="174" t="s">
        <v>74</v>
      </c>
      <c r="H14629" s="174"/>
      <c r="I14629" s="148" t="s">
        <v>348</v>
      </c>
      <c r="J14629" s="149" t="s">
        <v>52</v>
      </c>
      <c r="K14629" s="218">
        <v>987124.92</v>
      </c>
      <c r="L14629" s="218"/>
      <c r="M14629" s="147"/>
      <c r="Q14629" s="133" t="s">
        <v>348</v>
      </c>
    </row>
    <row r="14630" spans="1:17" x14ac:dyDescent="0.2">
      <c r="A14630" s="133">
        <v>2025</v>
      </c>
      <c r="B14630" s="133">
        <v>8</v>
      </c>
      <c r="C14630" s="133">
        <v>4</v>
      </c>
      <c r="D14630" s="141">
        <f t="shared" ref="D14630" si="2272">DATE(A14630,B14630,C14630)</f>
        <v>45873</v>
      </c>
      <c r="E14630" s="275">
        <f t="shared" ref="E14630" si="2273">DATE(A14630,B14630,C14630)</f>
        <v>45873</v>
      </c>
      <c r="F14630" s="481"/>
      <c r="G14630" s="174" t="s">
        <v>74</v>
      </c>
      <c r="H14630" s="174"/>
      <c r="J14630" s="149" t="s">
        <v>1810</v>
      </c>
      <c r="K14630" s="218"/>
      <c r="L14630" s="218">
        <v>35827.130000000005</v>
      </c>
      <c r="M14630" s="147"/>
    </row>
    <row r="14631" spans="1:17" x14ac:dyDescent="0.2">
      <c r="A14631" s="163">
        <v>2025</v>
      </c>
      <c r="B14631" s="163">
        <v>8</v>
      </c>
      <c r="C14631" s="163">
        <v>4</v>
      </c>
      <c r="D14631" s="280">
        <f>DATE(A14631,B14631,C14631)</f>
        <v>45873</v>
      </c>
      <c r="E14631" s="281">
        <f>DATE(A14631,B14631,C14631)</f>
        <v>45873</v>
      </c>
      <c r="F14631" s="480"/>
      <c r="G14631" s="221" t="s">
        <v>74</v>
      </c>
      <c r="H14631" s="221"/>
      <c r="I14631" s="145"/>
      <c r="J14631" s="146" t="s">
        <v>1805</v>
      </c>
      <c r="K14631" s="219"/>
      <c r="L14631" s="219">
        <v>951297.79</v>
      </c>
      <c r="M14631" s="147"/>
      <c r="Q14631" s="133" t="s">
        <v>348</v>
      </c>
    </row>
    <row r="14632" spans="1:17" x14ac:dyDescent="0.2">
      <c r="A14632" s="168">
        <v>2025</v>
      </c>
      <c r="B14632" s="133">
        <v>8</v>
      </c>
      <c r="C14632" s="168">
        <v>4</v>
      </c>
      <c r="D14632" s="147">
        <f>DATE(A14632,B14632,C14632)</f>
        <v>45873</v>
      </c>
      <c r="E14632" s="311">
        <f>DATE(A14632,B14632,C14632)</f>
        <v>45873</v>
      </c>
      <c r="F14632" s="481" t="s">
        <v>1943</v>
      </c>
      <c r="G14632" s="174" t="s">
        <v>74</v>
      </c>
      <c r="I14632" s="148" t="s">
        <v>348</v>
      </c>
      <c r="J14632" s="133" t="s">
        <v>61</v>
      </c>
      <c r="K14632" s="172">
        <v>400</v>
      </c>
    </row>
    <row r="14633" spans="1:17" x14ac:dyDescent="0.2">
      <c r="A14633" s="163">
        <v>2025</v>
      </c>
      <c r="B14633" s="163">
        <v>8</v>
      </c>
      <c r="C14633" s="163">
        <v>4</v>
      </c>
      <c r="D14633" s="280">
        <f>DATE(A14633,B14633,C14633)</f>
        <v>45873</v>
      </c>
      <c r="E14633" s="281">
        <f>DATE(A14633,B14633,C14633)</f>
        <v>45873</v>
      </c>
      <c r="F14633" s="480"/>
      <c r="G14633" s="221" t="s">
        <v>74</v>
      </c>
      <c r="H14633" s="145"/>
      <c r="I14633" s="145" t="s">
        <v>348</v>
      </c>
      <c r="J14633" s="163" t="s">
        <v>52</v>
      </c>
      <c r="K14633" s="219"/>
      <c r="L14633" s="219">
        <v>400</v>
      </c>
    </row>
    <row r="14634" spans="1:17" x14ac:dyDescent="0.2">
      <c r="A14634" s="168">
        <v>2025</v>
      </c>
      <c r="B14634" s="133">
        <v>8</v>
      </c>
      <c r="C14634" s="168">
        <v>4</v>
      </c>
      <c r="D14634" s="147">
        <f>DATE(A14634,B14634,C14634)</f>
        <v>45873</v>
      </c>
      <c r="E14634" s="311">
        <f>DATE(A14634,B14634,C14634)</f>
        <v>45873</v>
      </c>
      <c r="F14634" s="481" t="s">
        <v>1950</v>
      </c>
      <c r="G14634" s="174" t="s">
        <v>74</v>
      </c>
      <c r="I14634" s="148" t="s">
        <v>348</v>
      </c>
      <c r="J14634" s="133" t="s">
        <v>61</v>
      </c>
      <c r="K14634" s="172">
        <v>100</v>
      </c>
    </row>
    <row r="14635" spans="1:17" x14ac:dyDescent="0.2">
      <c r="A14635" s="163">
        <v>2025</v>
      </c>
      <c r="B14635" s="163">
        <v>8</v>
      </c>
      <c r="C14635" s="163">
        <v>4</v>
      </c>
      <c r="D14635" s="280">
        <f>DATE(A14635,B14635,C14635)</f>
        <v>45873</v>
      </c>
      <c r="E14635" s="281">
        <f>DATE(A14635,B14635,C14635)</f>
        <v>45873</v>
      </c>
      <c r="F14635" s="480"/>
      <c r="G14635" s="221" t="s">
        <v>74</v>
      </c>
      <c r="H14635" s="145"/>
      <c r="I14635" s="145" t="s">
        <v>348</v>
      </c>
      <c r="J14635" s="163" t="s">
        <v>52</v>
      </c>
      <c r="K14635" s="219"/>
      <c r="L14635" s="219">
        <v>100</v>
      </c>
    </row>
    <row r="14636" spans="1:17" ht="11.25" customHeight="1" x14ac:dyDescent="0.2">
      <c r="A14636" s="168">
        <v>2025</v>
      </c>
      <c r="B14636" s="168">
        <v>8</v>
      </c>
      <c r="C14636" s="133">
        <v>5</v>
      </c>
      <c r="D14636" s="141">
        <f t="shared" si="2266"/>
        <v>45874</v>
      </c>
      <c r="E14636" s="275">
        <f t="shared" si="2267"/>
        <v>45874</v>
      </c>
      <c r="F14636" s="479" t="s">
        <v>1319</v>
      </c>
      <c r="G14636" s="220" t="s">
        <v>74</v>
      </c>
      <c r="H14636" s="142"/>
      <c r="I14636" s="142"/>
      <c r="J14636" s="168" t="s">
        <v>52</v>
      </c>
      <c r="K14636" s="226">
        <v>10000</v>
      </c>
      <c r="L14636" s="226"/>
    </row>
    <row r="14637" spans="1:17" ht="11.25" customHeight="1" x14ac:dyDescent="0.2">
      <c r="A14637" s="133">
        <v>2025</v>
      </c>
      <c r="B14637" s="133">
        <v>8</v>
      </c>
      <c r="C14637" s="133">
        <v>5</v>
      </c>
      <c r="D14637" s="141">
        <f t="shared" si="2266"/>
        <v>45874</v>
      </c>
      <c r="E14637" s="275">
        <f t="shared" si="2267"/>
        <v>45874</v>
      </c>
      <c r="F14637" s="481"/>
      <c r="G14637" s="174" t="s">
        <v>74</v>
      </c>
      <c r="J14637" s="133" t="s">
        <v>13</v>
      </c>
      <c r="K14637" s="218"/>
      <c r="L14637" s="218">
        <v>6940</v>
      </c>
    </row>
    <row r="14638" spans="1:17" ht="11.25" customHeight="1" x14ac:dyDescent="0.2">
      <c r="A14638" s="163">
        <v>2025</v>
      </c>
      <c r="B14638" s="163">
        <v>8</v>
      </c>
      <c r="C14638" s="163">
        <v>5</v>
      </c>
      <c r="D14638" s="280">
        <f t="shared" si="2266"/>
        <v>45874</v>
      </c>
      <c r="E14638" s="281">
        <f t="shared" si="2267"/>
        <v>45874</v>
      </c>
      <c r="F14638" s="480"/>
      <c r="G14638" s="221" t="s">
        <v>74</v>
      </c>
      <c r="H14638" s="145"/>
      <c r="I14638" s="145"/>
      <c r="J14638" s="163" t="s">
        <v>53</v>
      </c>
      <c r="K14638" s="219"/>
      <c r="L14638" s="219">
        <v>3060</v>
      </c>
    </row>
    <row r="14639" spans="1:17" ht="11.25" customHeight="1" x14ac:dyDescent="0.2">
      <c r="A14639" s="168">
        <v>2025</v>
      </c>
      <c r="B14639" s="168">
        <v>8</v>
      </c>
      <c r="C14639" s="133">
        <v>6</v>
      </c>
      <c r="D14639" s="141">
        <f t="shared" ref="D14639:D14641" si="2274">DATE(A14639,B14639,C14639)</f>
        <v>45875</v>
      </c>
      <c r="E14639" s="275">
        <f t="shared" ref="E14639:E14641" si="2275">DATE(A14639,B14639,C14639)</f>
        <v>45875</v>
      </c>
      <c r="F14639" s="479" t="s">
        <v>1319</v>
      </c>
      <c r="G14639" s="220" t="s">
        <v>74</v>
      </c>
      <c r="H14639" s="142"/>
      <c r="I14639" s="142"/>
      <c r="J14639" s="168" t="s">
        <v>52</v>
      </c>
      <c r="K14639" s="226">
        <v>33000</v>
      </c>
      <c r="L14639" s="226"/>
    </row>
    <row r="14640" spans="1:17" ht="11.25" customHeight="1" x14ac:dyDescent="0.2">
      <c r="A14640" s="133">
        <v>2025</v>
      </c>
      <c r="B14640" s="133">
        <v>8</v>
      </c>
      <c r="C14640" s="133">
        <v>6</v>
      </c>
      <c r="D14640" s="141">
        <f t="shared" si="2274"/>
        <v>45875</v>
      </c>
      <c r="E14640" s="275">
        <f t="shared" si="2275"/>
        <v>45875</v>
      </c>
      <c r="F14640" s="481"/>
      <c r="G14640" s="174" t="s">
        <v>74</v>
      </c>
      <c r="J14640" s="133" t="s">
        <v>13</v>
      </c>
      <c r="K14640" s="218"/>
      <c r="L14640" s="218">
        <v>22900</v>
      </c>
    </row>
    <row r="14641" spans="1:14" ht="11.25" customHeight="1" x14ac:dyDescent="0.2">
      <c r="A14641" s="163">
        <v>2025</v>
      </c>
      <c r="B14641" s="163">
        <v>8</v>
      </c>
      <c r="C14641" s="163">
        <v>6</v>
      </c>
      <c r="D14641" s="280">
        <f t="shared" si="2274"/>
        <v>45875</v>
      </c>
      <c r="E14641" s="281">
        <f t="shared" si="2275"/>
        <v>45875</v>
      </c>
      <c r="F14641" s="480"/>
      <c r="G14641" s="221" t="s">
        <v>74</v>
      </c>
      <c r="H14641" s="145"/>
      <c r="I14641" s="145"/>
      <c r="J14641" s="163" t="s">
        <v>53</v>
      </c>
      <c r="K14641" s="219"/>
      <c r="L14641" s="219">
        <v>10100</v>
      </c>
    </row>
    <row r="14642" spans="1:14" x14ac:dyDescent="0.2">
      <c r="A14642" s="133">
        <v>2025</v>
      </c>
      <c r="B14642" s="133">
        <v>8</v>
      </c>
      <c r="C14642" s="133">
        <v>6</v>
      </c>
      <c r="D14642" s="141">
        <f t="shared" si="2262"/>
        <v>45875</v>
      </c>
      <c r="E14642" s="275">
        <f t="shared" si="2263"/>
        <v>45875</v>
      </c>
      <c r="F14642" s="481" t="s">
        <v>1767</v>
      </c>
      <c r="G14642" s="174" t="s">
        <v>94</v>
      </c>
      <c r="H14642" s="174"/>
      <c r="J14642" s="149" t="s">
        <v>79</v>
      </c>
      <c r="K14642" s="218">
        <v>1481000</v>
      </c>
      <c r="L14642" s="218"/>
      <c r="M14642" s="160"/>
    </row>
    <row r="14643" spans="1:14" x14ac:dyDescent="0.2">
      <c r="A14643" s="133">
        <v>2025</v>
      </c>
      <c r="B14643" s="133">
        <v>8</v>
      </c>
      <c r="C14643" s="133">
        <v>6</v>
      </c>
      <c r="D14643" s="141">
        <f t="shared" si="2262"/>
        <v>45875</v>
      </c>
      <c r="E14643" s="275">
        <f t="shared" si="2263"/>
        <v>45875</v>
      </c>
      <c r="F14643" s="481"/>
      <c r="G14643" s="174" t="s">
        <v>94</v>
      </c>
      <c r="H14643" s="174"/>
      <c r="J14643" s="149" t="s">
        <v>80</v>
      </c>
      <c r="K14643" s="218">
        <v>3845.88</v>
      </c>
      <c r="L14643" s="264"/>
      <c r="M14643" s="264"/>
      <c r="N14643" s="264"/>
    </row>
    <row r="14644" spans="1:14" x14ac:dyDescent="0.2">
      <c r="A14644" s="133">
        <v>2025</v>
      </c>
      <c r="B14644" s="133">
        <v>8</v>
      </c>
      <c r="C14644" s="133">
        <v>6</v>
      </c>
      <c r="D14644" s="141">
        <f t="shared" si="2262"/>
        <v>45875</v>
      </c>
      <c r="E14644" s="275">
        <f t="shared" si="2263"/>
        <v>45875</v>
      </c>
      <c r="F14644" s="481"/>
      <c r="G14644" s="174" t="s">
        <v>94</v>
      </c>
      <c r="H14644" s="174"/>
      <c r="J14644" s="149" t="s">
        <v>147</v>
      </c>
      <c r="K14644" s="218"/>
      <c r="L14644" s="218">
        <v>829245.88</v>
      </c>
      <c r="M14644" s="264"/>
    </row>
    <row r="14645" spans="1:14" x14ac:dyDescent="0.2">
      <c r="A14645" s="133">
        <v>2025</v>
      </c>
      <c r="B14645" s="133">
        <v>8</v>
      </c>
      <c r="C14645" s="133">
        <v>6</v>
      </c>
      <c r="D14645" s="141">
        <f t="shared" si="2262"/>
        <v>45875</v>
      </c>
      <c r="E14645" s="275">
        <f t="shared" si="2263"/>
        <v>45875</v>
      </c>
      <c r="F14645" s="481"/>
      <c r="G14645" s="174" t="s">
        <v>94</v>
      </c>
      <c r="H14645" s="174"/>
      <c r="J14645" s="149" t="s">
        <v>191</v>
      </c>
      <c r="L14645" s="218">
        <v>51345.41</v>
      </c>
    </row>
    <row r="14646" spans="1:14" x14ac:dyDescent="0.2">
      <c r="A14646" s="163">
        <v>2025</v>
      </c>
      <c r="B14646" s="163">
        <v>8</v>
      </c>
      <c r="C14646" s="163">
        <v>6</v>
      </c>
      <c r="D14646" s="280">
        <f t="shared" si="2262"/>
        <v>45875</v>
      </c>
      <c r="E14646" s="281">
        <f t="shared" si="2263"/>
        <v>45875</v>
      </c>
      <c r="F14646" s="480"/>
      <c r="G14646" s="221" t="s">
        <v>94</v>
      </c>
      <c r="H14646" s="145"/>
      <c r="I14646" s="145"/>
      <c r="J14646" s="163" t="s">
        <v>79</v>
      </c>
      <c r="K14646" s="219"/>
      <c r="L14646" s="219">
        <v>604254.59</v>
      </c>
      <c r="M14646" s="264"/>
    </row>
    <row r="14647" spans="1:14" ht="11.25" customHeight="1" x14ac:dyDescent="0.2">
      <c r="A14647" s="168">
        <v>2025</v>
      </c>
      <c r="B14647" s="133">
        <v>8</v>
      </c>
      <c r="C14647" s="168">
        <v>6</v>
      </c>
      <c r="D14647" s="141">
        <f t="shared" si="2262"/>
        <v>45875</v>
      </c>
      <c r="E14647" s="275">
        <f t="shared" si="2263"/>
        <v>45875</v>
      </c>
      <c r="F14647" s="479" t="s">
        <v>2074</v>
      </c>
      <c r="G14647" s="220" t="s">
        <v>74</v>
      </c>
      <c r="H14647" s="220"/>
      <c r="I14647" s="142"/>
      <c r="J14647" s="143" t="s">
        <v>147</v>
      </c>
      <c r="K14647" s="226">
        <v>4036753.1</v>
      </c>
      <c r="L14647" s="226"/>
    </row>
    <row r="14648" spans="1:14" x14ac:dyDescent="0.2">
      <c r="A14648" s="163">
        <v>2025</v>
      </c>
      <c r="B14648" s="163">
        <v>8</v>
      </c>
      <c r="C14648" s="163">
        <v>6</v>
      </c>
      <c r="D14648" s="280">
        <f t="shared" si="2262"/>
        <v>45875</v>
      </c>
      <c r="E14648" s="281">
        <f t="shared" si="2263"/>
        <v>45875</v>
      </c>
      <c r="F14648" s="480"/>
      <c r="G14648" s="221" t="s">
        <v>74</v>
      </c>
      <c r="H14648" s="221"/>
      <c r="I14648" s="145"/>
      <c r="J14648" s="146" t="s">
        <v>52</v>
      </c>
      <c r="K14648" s="219"/>
      <c r="L14648" s="219">
        <f>K14647</f>
        <v>4036753.1</v>
      </c>
      <c r="N14648" s="264"/>
    </row>
    <row r="14649" spans="1:14" x14ac:dyDescent="0.2">
      <c r="A14649" s="168">
        <v>2025</v>
      </c>
      <c r="B14649" s="168">
        <v>8</v>
      </c>
      <c r="C14649" s="133">
        <v>6</v>
      </c>
      <c r="D14649" s="141">
        <f t="shared" si="2262"/>
        <v>45875</v>
      </c>
      <c r="E14649" s="275">
        <f t="shared" si="2263"/>
        <v>45875</v>
      </c>
      <c r="F14649" s="481" t="s">
        <v>982</v>
      </c>
      <c r="G14649" s="174" t="s">
        <v>74</v>
      </c>
      <c r="H14649" s="174"/>
      <c r="I14649" s="148" t="s">
        <v>348</v>
      </c>
      <c r="J14649" s="149" t="s">
        <v>163</v>
      </c>
      <c r="K14649" s="218">
        <v>4312.5</v>
      </c>
      <c r="L14649" s="218"/>
      <c r="M14649" s="160"/>
    </row>
    <row r="14650" spans="1:14" x14ac:dyDescent="0.2">
      <c r="A14650" s="133">
        <v>2025</v>
      </c>
      <c r="B14650" s="133">
        <v>8</v>
      </c>
      <c r="C14650" s="133">
        <v>6</v>
      </c>
      <c r="D14650" s="141">
        <f t="shared" si="2262"/>
        <v>45875</v>
      </c>
      <c r="E14650" s="275">
        <f t="shared" si="2263"/>
        <v>45875</v>
      </c>
      <c r="F14650" s="481"/>
      <c r="G14650" s="174" t="s">
        <v>74</v>
      </c>
      <c r="H14650" s="174"/>
      <c r="J14650" s="149" t="s">
        <v>1906</v>
      </c>
      <c r="K14650" s="218"/>
      <c r="L14650" s="218">
        <v>187.5</v>
      </c>
      <c r="M14650" s="160"/>
    </row>
    <row r="14651" spans="1:14" x14ac:dyDescent="0.2">
      <c r="A14651" s="163">
        <v>2025</v>
      </c>
      <c r="B14651" s="163">
        <v>8</v>
      </c>
      <c r="C14651" s="163">
        <v>6</v>
      </c>
      <c r="D14651" s="280">
        <f t="shared" si="2262"/>
        <v>45875</v>
      </c>
      <c r="E14651" s="281">
        <f t="shared" si="2263"/>
        <v>45875</v>
      </c>
      <c r="F14651" s="480"/>
      <c r="G14651" s="221" t="s">
        <v>74</v>
      </c>
      <c r="H14651" s="221"/>
      <c r="I14651" s="145"/>
      <c r="J14651" s="146" t="s">
        <v>52</v>
      </c>
      <c r="K14651" s="219"/>
      <c r="L14651" s="219">
        <v>4125</v>
      </c>
    </row>
    <row r="14652" spans="1:14" x14ac:dyDescent="0.2">
      <c r="A14652" s="168">
        <v>2025</v>
      </c>
      <c r="B14652" s="133">
        <v>8</v>
      </c>
      <c r="C14652" s="168">
        <v>6</v>
      </c>
      <c r="D14652" s="147">
        <f>DATE(A14652,B14652,C14652)</f>
        <v>45875</v>
      </c>
      <c r="E14652" s="311">
        <f>DATE(A14652,B14652,C14652)</f>
        <v>45875</v>
      </c>
      <c r="F14652" s="481" t="s">
        <v>1943</v>
      </c>
      <c r="G14652" s="174" t="s">
        <v>74</v>
      </c>
      <c r="I14652" s="148" t="s">
        <v>348</v>
      </c>
      <c r="J14652" s="133" t="s">
        <v>61</v>
      </c>
      <c r="K14652" s="172">
        <v>100</v>
      </c>
    </row>
    <row r="14653" spans="1:14" x14ac:dyDescent="0.2">
      <c r="A14653" s="163">
        <v>2025</v>
      </c>
      <c r="B14653" s="163">
        <v>8</v>
      </c>
      <c r="C14653" s="163">
        <v>6</v>
      </c>
      <c r="D14653" s="280">
        <f>DATE(A14653,B14653,C14653)</f>
        <v>45875</v>
      </c>
      <c r="E14653" s="281">
        <f>DATE(A14653,B14653,C14653)</f>
        <v>45875</v>
      </c>
      <c r="F14653" s="480"/>
      <c r="G14653" s="221" t="s">
        <v>74</v>
      </c>
      <c r="H14653" s="145"/>
      <c r="I14653" s="145" t="s">
        <v>348</v>
      </c>
      <c r="J14653" s="163" t="s">
        <v>52</v>
      </c>
      <c r="K14653" s="219"/>
      <c r="L14653" s="219">
        <v>100</v>
      </c>
    </row>
    <row r="14654" spans="1:14" ht="11.25" customHeight="1" x14ac:dyDescent="0.2">
      <c r="A14654" s="168">
        <v>2025</v>
      </c>
      <c r="B14654" s="168">
        <v>8</v>
      </c>
      <c r="C14654" s="133">
        <v>7</v>
      </c>
      <c r="D14654" s="141">
        <f t="shared" ref="D14654:D14658" si="2276">DATE(A14654,B14654,C14654)</f>
        <v>45876</v>
      </c>
      <c r="E14654" s="275">
        <f t="shared" ref="E14654:E14658" si="2277">DATE(A14654,B14654,C14654)</f>
        <v>45876</v>
      </c>
      <c r="F14654" s="479" t="s">
        <v>964</v>
      </c>
      <c r="G14654" s="220" t="s">
        <v>74</v>
      </c>
      <c r="H14654" s="142"/>
      <c r="I14654" s="142"/>
      <c r="J14654" s="168" t="s">
        <v>52</v>
      </c>
      <c r="K14654" s="226">
        <v>150000</v>
      </c>
      <c r="L14654" s="226"/>
    </row>
    <row r="14655" spans="1:14" ht="11.25" customHeight="1" x14ac:dyDescent="0.2">
      <c r="A14655" s="133">
        <v>2025</v>
      </c>
      <c r="B14655" s="133">
        <v>8</v>
      </c>
      <c r="C14655" s="133">
        <v>7</v>
      </c>
      <c r="D14655" s="141">
        <f t="shared" si="2276"/>
        <v>45876</v>
      </c>
      <c r="E14655" s="275">
        <f t="shared" si="2277"/>
        <v>45876</v>
      </c>
      <c r="F14655" s="481"/>
      <c r="G14655" s="174" t="s">
        <v>74</v>
      </c>
      <c r="J14655" s="133" t="s">
        <v>13</v>
      </c>
      <c r="K14655" s="218"/>
      <c r="L14655" s="218">
        <v>104130</v>
      </c>
    </row>
    <row r="14656" spans="1:14" ht="11.25" customHeight="1" x14ac:dyDescent="0.2">
      <c r="A14656" s="163">
        <v>2025</v>
      </c>
      <c r="B14656" s="163">
        <v>8</v>
      </c>
      <c r="C14656" s="163">
        <v>7</v>
      </c>
      <c r="D14656" s="280">
        <f t="shared" si="2276"/>
        <v>45876</v>
      </c>
      <c r="E14656" s="281">
        <f t="shared" si="2277"/>
        <v>45876</v>
      </c>
      <c r="F14656" s="480"/>
      <c r="G14656" s="221" t="s">
        <v>74</v>
      </c>
      <c r="H14656" s="145"/>
      <c r="I14656" s="145"/>
      <c r="J14656" s="163" t="s">
        <v>53</v>
      </c>
      <c r="K14656" s="219"/>
      <c r="L14656" s="219">
        <v>45870</v>
      </c>
    </row>
    <row r="14657" spans="1:17" ht="11.25" customHeight="1" x14ac:dyDescent="0.2">
      <c r="A14657" s="168">
        <v>2025</v>
      </c>
      <c r="B14657" s="133">
        <v>8</v>
      </c>
      <c r="C14657" s="168">
        <v>7</v>
      </c>
      <c r="D14657" s="141">
        <f t="shared" si="2276"/>
        <v>45876</v>
      </c>
      <c r="E14657" s="275">
        <f t="shared" si="2277"/>
        <v>45876</v>
      </c>
      <c r="F14657" s="479" t="s">
        <v>2002</v>
      </c>
      <c r="G14657" s="220" t="s">
        <v>74</v>
      </c>
      <c r="H14657" s="220"/>
      <c r="I14657" s="142"/>
      <c r="J14657" s="143" t="s">
        <v>147</v>
      </c>
      <c r="K14657" s="226">
        <v>829245.88</v>
      </c>
      <c r="L14657" s="226"/>
    </row>
    <row r="14658" spans="1:17" x14ac:dyDescent="0.2">
      <c r="A14658" s="163">
        <v>2025</v>
      </c>
      <c r="B14658" s="163">
        <v>8</v>
      </c>
      <c r="C14658" s="163">
        <v>7</v>
      </c>
      <c r="D14658" s="280">
        <f t="shared" si="2276"/>
        <v>45876</v>
      </c>
      <c r="E14658" s="281">
        <f t="shared" si="2277"/>
        <v>45876</v>
      </c>
      <c r="F14658" s="480"/>
      <c r="G14658" s="221" t="s">
        <v>74</v>
      </c>
      <c r="H14658" s="221"/>
      <c r="I14658" s="145"/>
      <c r="J14658" s="146" t="s">
        <v>52</v>
      </c>
      <c r="K14658" s="219"/>
      <c r="L14658" s="219">
        <f>K14657</f>
        <v>829245.88</v>
      </c>
      <c r="N14658" s="264"/>
    </row>
    <row r="14659" spans="1:17" x14ac:dyDescent="0.2">
      <c r="A14659" s="168">
        <v>2025</v>
      </c>
      <c r="B14659" s="133">
        <v>8</v>
      </c>
      <c r="C14659" s="168">
        <v>7</v>
      </c>
      <c r="D14659" s="147">
        <f>DATE(A14659,B14659,C14659)</f>
        <v>45876</v>
      </c>
      <c r="E14659" s="311">
        <f>DATE(A14659,B14659,C14659)</f>
        <v>45876</v>
      </c>
      <c r="F14659" s="481" t="s">
        <v>1943</v>
      </c>
      <c r="G14659" s="174" t="s">
        <v>74</v>
      </c>
      <c r="I14659" s="148" t="s">
        <v>348</v>
      </c>
      <c r="J14659" s="133" t="s">
        <v>61</v>
      </c>
      <c r="K14659" s="172">
        <v>100</v>
      </c>
    </row>
    <row r="14660" spans="1:17" x14ac:dyDescent="0.2">
      <c r="A14660" s="163">
        <v>2025</v>
      </c>
      <c r="B14660" s="163">
        <v>8</v>
      </c>
      <c r="C14660" s="163">
        <v>7</v>
      </c>
      <c r="D14660" s="280">
        <f>DATE(A14660,B14660,C14660)</f>
        <v>45876</v>
      </c>
      <c r="E14660" s="281">
        <f>DATE(A14660,B14660,C14660)</f>
        <v>45876</v>
      </c>
      <c r="F14660" s="480"/>
      <c r="G14660" s="221" t="s">
        <v>74</v>
      </c>
      <c r="H14660" s="145"/>
      <c r="I14660" s="145" t="s">
        <v>348</v>
      </c>
      <c r="J14660" s="163" t="s">
        <v>52</v>
      </c>
      <c r="K14660" s="219"/>
      <c r="L14660" s="219">
        <v>100</v>
      </c>
    </row>
    <row r="14661" spans="1:17" ht="11.25" customHeight="1" x14ac:dyDescent="0.2">
      <c r="A14661" s="168">
        <v>2025</v>
      </c>
      <c r="B14661" s="168">
        <v>8</v>
      </c>
      <c r="C14661" s="133">
        <v>7</v>
      </c>
      <c r="D14661" s="141">
        <f>DATE(A14661,B14661,C14661)</f>
        <v>45876</v>
      </c>
      <c r="E14661" s="275">
        <f>DATE(A14661,B14661,C14661)</f>
        <v>45876</v>
      </c>
      <c r="F14661" s="481" t="s">
        <v>2109</v>
      </c>
      <c r="G14661" s="174" t="s">
        <v>74</v>
      </c>
      <c r="H14661" s="174"/>
      <c r="I14661" s="148" t="s">
        <v>348</v>
      </c>
      <c r="J14661" s="149" t="s">
        <v>52</v>
      </c>
      <c r="K14661" s="218">
        <v>2175520.56</v>
      </c>
      <c r="L14661" s="218"/>
      <c r="M14661" s="147"/>
      <c r="Q14661" s="133" t="s">
        <v>348</v>
      </c>
    </row>
    <row r="14662" spans="1:17" x14ac:dyDescent="0.2">
      <c r="A14662" s="133">
        <v>2025</v>
      </c>
      <c r="B14662" s="133">
        <v>8</v>
      </c>
      <c r="C14662" s="133">
        <v>7</v>
      </c>
      <c r="D14662" s="141">
        <f t="shared" ref="D14662" si="2278">DATE(A14662,B14662,C14662)</f>
        <v>45876</v>
      </c>
      <c r="E14662" s="275">
        <f t="shared" ref="E14662" si="2279">DATE(A14662,B14662,C14662)</f>
        <v>45876</v>
      </c>
      <c r="F14662" s="481"/>
      <c r="G14662" s="174" t="s">
        <v>74</v>
      </c>
      <c r="H14662" s="174"/>
      <c r="J14662" s="149" t="s">
        <v>1810</v>
      </c>
      <c r="K14662" s="218"/>
      <c r="L14662" s="218">
        <v>115609.18000000017</v>
      </c>
      <c r="M14662" s="147"/>
    </row>
    <row r="14663" spans="1:17" x14ac:dyDescent="0.2">
      <c r="A14663" s="163">
        <v>2025</v>
      </c>
      <c r="B14663" s="163">
        <v>8</v>
      </c>
      <c r="C14663" s="163">
        <v>7</v>
      </c>
      <c r="D14663" s="280">
        <f>DATE(A14663,B14663,C14663)</f>
        <v>45876</v>
      </c>
      <c r="E14663" s="281">
        <f>DATE(A14663,B14663,C14663)</f>
        <v>45876</v>
      </c>
      <c r="F14663" s="480"/>
      <c r="G14663" s="221" t="s">
        <v>74</v>
      </c>
      <c r="H14663" s="221"/>
      <c r="I14663" s="145"/>
      <c r="J14663" s="146" t="s">
        <v>1805</v>
      </c>
      <c r="K14663" s="219"/>
      <c r="L14663" s="219">
        <v>2059911.38</v>
      </c>
      <c r="M14663" s="147"/>
      <c r="Q14663" s="133" t="s">
        <v>348</v>
      </c>
    </row>
    <row r="14664" spans="1:17" ht="11.25" customHeight="1" x14ac:dyDescent="0.2">
      <c r="A14664" s="168">
        <v>2025</v>
      </c>
      <c r="B14664" s="168">
        <v>8</v>
      </c>
      <c r="C14664" s="133">
        <v>7</v>
      </c>
      <c r="D14664" s="141">
        <f t="shared" ref="D14664:D14669" si="2280">DATE(A14664,B14664,C14664)</f>
        <v>45876</v>
      </c>
      <c r="E14664" s="275">
        <f t="shared" ref="E14664:E14669" si="2281">DATE(A14664,B14664,C14664)</f>
        <v>45876</v>
      </c>
      <c r="F14664" s="479" t="s">
        <v>1979</v>
      </c>
      <c r="G14664" s="220" t="s">
        <v>94</v>
      </c>
      <c r="H14664" s="220"/>
      <c r="I14664" s="142"/>
      <c r="J14664" s="143" t="s">
        <v>79</v>
      </c>
      <c r="K14664" s="226">
        <v>1536200</v>
      </c>
      <c r="L14664" s="226"/>
      <c r="M14664" s="160"/>
    </row>
    <row r="14665" spans="1:17" x14ac:dyDescent="0.2">
      <c r="A14665" s="133">
        <v>2025</v>
      </c>
      <c r="B14665" s="133">
        <v>8</v>
      </c>
      <c r="C14665" s="133">
        <v>7</v>
      </c>
      <c r="D14665" s="141">
        <f t="shared" si="2280"/>
        <v>45876</v>
      </c>
      <c r="E14665" s="275">
        <f t="shared" si="2281"/>
        <v>45876</v>
      </c>
      <c r="F14665" s="481"/>
      <c r="G14665" s="174" t="s">
        <v>94</v>
      </c>
      <c r="H14665" s="174"/>
      <c r="J14665" s="149" t="s">
        <v>80</v>
      </c>
      <c r="K14665" s="218">
        <v>2765.16</v>
      </c>
      <c r="L14665" s="133"/>
    </row>
    <row r="14666" spans="1:17" x14ac:dyDescent="0.2">
      <c r="A14666" s="163">
        <v>2025</v>
      </c>
      <c r="B14666" s="163">
        <v>8</v>
      </c>
      <c r="C14666" s="163">
        <v>7</v>
      </c>
      <c r="D14666" s="280">
        <f t="shared" si="2280"/>
        <v>45876</v>
      </c>
      <c r="E14666" s="281">
        <f t="shared" si="2281"/>
        <v>45876</v>
      </c>
      <c r="F14666" s="480"/>
      <c r="G14666" s="221" t="s">
        <v>94</v>
      </c>
      <c r="H14666" s="221"/>
      <c r="I14666" s="145"/>
      <c r="J14666" s="146" t="s">
        <v>147</v>
      </c>
      <c r="K14666" s="219"/>
      <c r="L14666" s="219">
        <v>1538965.16</v>
      </c>
    </row>
    <row r="14667" spans="1:17" x14ac:dyDescent="0.2">
      <c r="A14667" s="133">
        <v>2025</v>
      </c>
      <c r="B14667" s="168">
        <v>8</v>
      </c>
      <c r="C14667" s="133">
        <v>7</v>
      </c>
      <c r="D14667" s="141">
        <f t="shared" si="2280"/>
        <v>45876</v>
      </c>
      <c r="E14667" s="275">
        <f t="shared" si="2281"/>
        <v>45876</v>
      </c>
      <c r="F14667" s="479" t="s">
        <v>2017</v>
      </c>
      <c r="G14667" s="174" t="s">
        <v>74</v>
      </c>
      <c r="I14667" s="148" t="s">
        <v>348</v>
      </c>
      <c r="J14667" s="133" t="s">
        <v>52</v>
      </c>
      <c r="K14667" s="172">
        <v>479.38</v>
      </c>
    </row>
    <row r="14668" spans="1:17" x14ac:dyDescent="0.2">
      <c r="A14668" s="133">
        <v>2025</v>
      </c>
      <c r="B14668" s="133">
        <v>8</v>
      </c>
      <c r="C14668" s="133">
        <v>7</v>
      </c>
      <c r="D14668" s="280">
        <f t="shared" si="2280"/>
        <v>45876</v>
      </c>
      <c r="E14668" s="281">
        <f t="shared" si="2281"/>
        <v>45876</v>
      </c>
      <c r="F14668" s="481"/>
      <c r="G14668" s="174" t="s">
        <v>74</v>
      </c>
      <c r="I14668" s="148" t="s">
        <v>348</v>
      </c>
      <c r="J14668" s="133" t="s">
        <v>60</v>
      </c>
      <c r="K14668" s="218">
        <v>14.99</v>
      </c>
      <c r="L14668" s="218"/>
    </row>
    <row r="14669" spans="1:17" x14ac:dyDescent="0.2">
      <c r="A14669" s="163">
        <v>2025</v>
      </c>
      <c r="B14669" s="163">
        <v>8</v>
      </c>
      <c r="C14669" s="163">
        <v>7</v>
      </c>
      <c r="D14669" s="280">
        <f t="shared" si="2280"/>
        <v>45876</v>
      </c>
      <c r="E14669" s="281">
        <f t="shared" si="2281"/>
        <v>45876</v>
      </c>
      <c r="F14669" s="480"/>
      <c r="G14669" s="221" t="s">
        <v>74</v>
      </c>
      <c r="H14669" s="145"/>
      <c r="I14669" s="145" t="s">
        <v>348</v>
      </c>
      <c r="J14669" s="163" t="s">
        <v>67</v>
      </c>
      <c r="K14669" s="219"/>
      <c r="L14669" s="219">
        <v>494.35</v>
      </c>
    </row>
    <row r="14670" spans="1:17" x14ac:dyDescent="0.2">
      <c r="A14670" s="133">
        <v>2025</v>
      </c>
      <c r="B14670" s="168">
        <v>8</v>
      </c>
      <c r="C14670" s="133">
        <v>7</v>
      </c>
      <c r="D14670" s="141">
        <f t="shared" ref="D14670:D14672" si="2282">DATE(A14670,B14670,C14670)</f>
        <v>45876</v>
      </c>
      <c r="E14670" s="275">
        <f t="shared" ref="E14670:E14672" si="2283">DATE(A14670,B14670,C14670)</f>
        <v>45876</v>
      </c>
      <c r="F14670" s="479" t="s">
        <v>2017</v>
      </c>
      <c r="G14670" s="174" t="s">
        <v>74</v>
      </c>
      <c r="I14670" s="148" t="s">
        <v>348</v>
      </c>
      <c r="J14670" s="133" t="s">
        <v>52</v>
      </c>
      <c r="K14670" s="172">
        <v>413.67</v>
      </c>
    </row>
    <row r="14671" spans="1:17" x14ac:dyDescent="0.2">
      <c r="A14671" s="133">
        <v>2025</v>
      </c>
      <c r="B14671" s="133">
        <v>8</v>
      </c>
      <c r="C14671" s="133">
        <v>7</v>
      </c>
      <c r="D14671" s="280">
        <f t="shared" si="2282"/>
        <v>45876</v>
      </c>
      <c r="E14671" s="281">
        <f t="shared" si="2283"/>
        <v>45876</v>
      </c>
      <c r="F14671" s="481"/>
      <c r="G14671" s="174" t="s">
        <v>74</v>
      </c>
      <c r="I14671" s="148" t="s">
        <v>348</v>
      </c>
      <c r="J14671" s="133" t="s">
        <v>60</v>
      </c>
      <c r="K14671" s="218">
        <v>33.26</v>
      </c>
      <c r="L14671" s="218"/>
    </row>
    <row r="14672" spans="1:17" x14ac:dyDescent="0.2">
      <c r="A14672" s="163">
        <v>2025</v>
      </c>
      <c r="B14672" s="163">
        <v>8</v>
      </c>
      <c r="C14672" s="163">
        <v>7</v>
      </c>
      <c r="D14672" s="280">
        <f t="shared" si="2282"/>
        <v>45876</v>
      </c>
      <c r="E14672" s="281">
        <f t="shared" si="2283"/>
        <v>45876</v>
      </c>
      <c r="F14672" s="480"/>
      <c r="G14672" s="221" t="s">
        <v>74</v>
      </c>
      <c r="H14672" s="145"/>
      <c r="I14672" s="145" t="s">
        <v>348</v>
      </c>
      <c r="J14672" s="163" t="s">
        <v>67</v>
      </c>
      <c r="K14672" s="219"/>
      <c r="L14672" s="219">
        <v>446.93</v>
      </c>
    </row>
    <row r="14673" spans="1:13" x14ac:dyDescent="0.2">
      <c r="A14673" s="168">
        <v>2025</v>
      </c>
      <c r="B14673" s="133">
        <v>8</v>
      </c>
      <c r="C14673" s="168">
        <v>7</v>
      </c>
      <c r="D14673" s="147">
        <f>DATE(A14673,B14673,C14673)</f>
        <v>45876</v>
      </c>
      <c r="E14673" s="311">
        <f>DATE(A14673,B14673,C14673)</f>
        <v>45876</v>
      </c>
      <c r="F14673" s="481" t="s">
        <v>1950</v>
      </c>
      <c r="G14673" s="174" t="s">
        <v>74</v>
      </c>
      <c r="I14673" s="148" t="s">
        <v>348</v>
      </c>
      <c r="J14673" s="133" t="s">
        <v>61</v>
      </c>
      <c r="K14673" s="172">
        <v>100</v>
      </c>
    </row>
    <row r="14674" spans="1:13" x14ac:dyDescent="0.2">
      <c r="A14674" s="163">
        <v>2025</v>
      </c>
      <c r="B14674" s="163">
        <v>8</v>
      </c>
      <c r="C14674" s="163">
        <v>7</v>
      </c>
      <c r="D14674" s="280">
        <f>DATE(A14674,B14674,C14674)</f>
        <v>45876</v>
      </c>
      <c r="E14674" s="281">
        <f>DATE(A14674,B14674,C14674)</f>
        <v>45876</v>
      </c>
      <c r="F14674" s="480"/>
      <c r="G14674" s="221" t="s">
        <v>74</v>
      </c>
      <c r="H14674" s="145"/>
      <c r="I14674" s="145" t="s">
        <v>348</v>
      </c>
      <c r="J14674" s="163" t="s">
        <v>52</v>
      </c>
      <c r="K14674" s="219"/>
      <c r="L14674" s="219">
        <v>100</v>
      </c>
    </row>
    <row r="14675" spans="1:13" x14ac:dyDescent="0.2">
      <c r="A14675" s="325">
        <v>2025</v>
      </c>
      <c r="B14675" s="325">
        <v>8</v>
      </c>
      <c r="C14675" s="325">
        <v>7</v>
      </c>
      <c r="D14675" s="326">
        <f t="shared" ref="D14675:D14709" si="2284">DATE(A14675,B14675,C14675)</f>
        <v>45876</v>
      </c>
      <c r="E14675" s="327">
        <f t="shared" ref="E14675:E14709" si="2285">DATE(A14675,B14675,C14675)</f>
        <v>45876</v>
      </c>
      <c r="F14675" s="473" t="s">
        <v>1940</v>
      </c>
      <c r="G14675" s="340" t="s">
        <v>94</v>
      </c>
      <c r="H14675" s="340"/>
      <c r="I14675" s="341" t="s">
        <v>348</v>
      </c>
      <c r="J14675" s="374" t="s">
        <v>133</v>
      </c>
      <c r="K14675" s="375">
        <v>12905.56</v>
      </c>
      <c r="L14675" s="375"/>
      <c r="M14675" s="176"/>
    </row>
    <row r="14676" spans="1:13" x14ac:dyDescent="0.2">
      <c r="A14676" s="331">
        <v>2025</v>
      </c>
      <c r="B14676" s="331">
        <v>8</v>
      </c>
      <c r="C14676" s="331">
        <v>7</v>
      </c>
      <c r="D14676" s="326">
        <f t="shared" si="2284"/>
        <v>45876</v>
      </c>
      <c r="E14676" s="327">
        <f t="shared" si="2285"/>
        <v>45876</v>
      </c>
      <c r="F14676" s="474"/>
      <c r="G14676" s="332" t="s">
        <v>94</v>
      </c>
      <c r="H14676" s="332"/>
      <c r="I14676" s="333" t="s">
        <v>348</v>
      </c>
      <c r="J14676" s="376" t="s">
        <v>60</v>
      </c>
      <c r="K14676" s="334"/>
      <c r="L14676" s="334">
        <f>K14675</f>
        <v>12905.56</v>
      </c>
    </row>
    <row r="14677" spans="1:13" x14ac:dyDescent="0.2">
      <c r="A14677" s="325">
        <v>2025</v>
      </c>
      <c r="B14677" s="325">
        <v>8</v>
      </c>
      <c r="C14677" s="325">
        <v>7</v>
      </c>
      <c r="D14677" s="326">
        <f t="shared" si="2284"/>
        <v>45876</v>
      </c>
      <c r="E14677" s="327">
        <f t="shared" si="2285"/>
        <v>45876</v>
      </c>
      <c r="F14677" s="473" t="s">
        <v>2097</v>
      </c>
      <c r="G14677" s="340" t="s">
        <v>94</v>
      </c>
      <c r="H14677" s="340"/>
      <c r="I14677" s="341" t="s">
        <v>348</v>
      </c>
      <c r="J14677" s="374" t="s">
        <v>133</v>
      </c>
      <c r="K14677" s="375">
        <v>6250</v>
      </c>
      <c r="L14677" s="375"/>
      <c r="M14677" s="176"/>
    </row>
    <row r="14678" spans="1:13" x14ac:dyDescent="0.2">
      <c r="A14678" s="331">
        <v>2025</v>
      </c>
      <c r="B14678" s="331">
        <v>8</v>
      </c>
      <c r="C14678" s="331">
        <v>7</v>
      </c>
      <c r="D14678" s="326">
        <f t="shared" si="2284"/>
        <v>45876</v>
      </c>
      <c r="E14678" s="327">
        <f t="shared" si="2285"/>
        <v>45876</v>
      </c>
      <c r="F14678" s="474"/>
      <c r="G14678" s="332" t="s">
        <v>94</v>
      </c>
      <c r="H14678" s="332"/>
      <c r="I14678" s="333" t="s">
        <v>348</v>
      </c>
      <c r="J14678" s="376" t="s">
        <v>60</v>
      </c>
      <c r="K14678" s="334"/>
      <c r="L14678" s="334">
        <f>K14677</f>
        <v>6250</v>
      </c>
    </row>
    <row r="14679" spans="1:13" x14ac:dyDescent="0.2">
      <c r="A14679" s="384">
        <v>2025</v>
      </c>
      <c r="B14679" s="384">
        <v>8</v>
      </c>
      <c r="C14679" s="384">
        <v>7</v>
      </c>
      <c r="D14679" s="385">
        <f t="shared" si="2284"/>
        <v>45876</v>
      </c>
      <c r="E14679" s="386">
        <f t="shared" si="2285"/>
        <v>45876</v>
      </c>
      <c r="F14679" s="475" t="s">
        <v>1966</v>
      </c>
      <c r="G14679" s="387" t="s">
        <v>94</v>
      </c>
      <c r="H14679" s="387"/>
      <c r="I14679" s="388" t="s">
        <v>348</v>
      </c>
      <c r="J14679" s="389" t="s">
        <v>67</v>
      </c>
      <c r="K14679" s="390">
        <v>7947.06</v>
      </c>
      <c r="L14679" s="390"/>
    </row>
    <row r="14680" spans="1:13" x14ac:dyDescent="0.2">
      <c r="A14680" s="391">
        <v>2025</v>
      </c>
      <c r="B14680" s="391">
        <v>8</v>
      </c>
      <c r="C14680" s="391">
        <v>7</v>
      </c>
      <c r="D14680" s="385">
        <f t="shared" si="2284"/>
        <v>45876</v>
      </c>
      <c r="E14680" s="386">
        <f t="shared" si="2285"/>
        <v>45876</v>
      </c>
      <c r="F14680" s="476"/>
      <c r="G14680" s="392" t="s">
        <v>94</v>
      </c>
      <c r="H14680" s="392"/>
      <c r="I14680" s="393" t="s">
        <v>348</v>
      </c>
      <c r="J14680" s="394" t="s">
        <v>60</v>
      </c>
      <c r="K14680" s="395"/>
      <c r="L14680" s="395">
        <f>K14679</f>
        <v>7947.06</v>
      </c>
    </row>
    <row r="14681" spans="1:13" x14ac:dyDescent="0.2">
      <c r="A14681" s="343">
        <v>2025</v>
      </c>
      <c r="B14681" s="343">
        <v>8</v>
      </c>
      <c r="C14681" s="343">
        <v>7</v>
      </c>
      <c r="D14681" s="344">
        <f t="shared" si="2284"/>
        <v>45876</v>
      </c>
      <c r="E14681" s="345">
        <f t="shared" si="2285"/>
        <v>45876</v>
      </c>
      <c r="F14681" s="483" t="s">
        <v>1813</v>
      </c>
      <c r="G14681" s="350" t="s">
        <v>94</v>
      </c>
      <c r="H14681" s="350"/>
      <c r="I14681" s="352" t="s">
        <v>348</v>
      </c>
      <c r="J14681" s="353" t="s">
        <v>1807</v>
      </c>
      <c r="K14681" s="354">
        <v>0</v>
      </c>
      <c r="L14681" s="354"/>
      <c r="M14681" s="133">
        <v>0</v>
      </c>
    </row>
    <row r="14682" spans="1:13" x14ac:dyDescent="0.2">
      <c r="A14682" s="346">
        <v>2025</v>
      </c>
      <c r="B14682" s="346">
        <v>8</v>
      </c>
      <c r="C14682" s="346">
        <v>7</v>
      </c>
      <c r="D14682" s="344">
        <f t="shared" si="2284"/>
        <v>45876</v>
      </c>
      <c r="E14682" s="345">
        <f t="shared" si="2285"/>
        <v>45876</v>
      </c>
      <c r="F14682" s="484"/>
      <c r="G14682" s="347" t="s">
        <v>94</v>
      </c>
      <c r="H14682" s="347"/>
      <c r="I14682" s="348" t="s">
        <v>348</v>
      </c>
      <c r="J14682" s="355" t="s">
        <v>1798</v>
      </c>
      <c r="K14682" s="349"/>
      <c r="L14682" s="349">
        <v>0</v>
      </c>
    </row>
    <row r="14683" spans="1:13" x14ac:dyDescent="0.2">
      <c r="A14683" s="343">
        <v>2025</v>
      </c>
      <c r="B14683" s="343">
        <v>8</v>
      </c>
      <c r="C14683" s="343">
        <v>7</v>
      </c>
      <c r="D14683" s="344">
        <f t="shared" si="2284"/>
        <v>45876</v>
      </c>
      <c r="E14683" s="345">
        <f t="shared" si="2285"/>
        <v>45876</v>
      </c>
      <c r="F14683" s="483" t="s">
        <v>1913</v>
      </c>
      <c r="G14683" s="350" t="s">
        <v>94</v>
      </c>
      <c r="H14683" s="350"/>
      <c r="I14683" s="352" t="s">
        <v>348</v>
      </c>
      <c r="J14683" s="353" t="s">
        <v>1799</v>
      </c>
      <c r="K14683" s="354">
        <v>76597.145000003278</v>
      </c>
      <c r="L14683" s="354"/>
      <c r="M14683" s="160">
        <v>0</v>
      </c>
    </row>
    <row r="14684" spans="1:13" x14ac:dyDescent="0.2">
      <c r="A14684" s="346">
        <v>2025</v>
      </c>
      <c r="B14684" s="346">
        <v>8</v>
      </c>
      <c r="C14684" s="346">
        <v>7</v>
      </c>
      <c r="D14684" s="344">
        <f t="shared" si="2284"/>
        <v>45876</v>
      </c>
      <c r="E14684" s="345">
        <f t="shared" si="2285"/>
        <v>45876</v>
      </c>
      <c r="F14684" s="484"/>
      <c r="G14684" s="347" t="s">
        <v>94</v>
      </c>
      <c r="H14684" s="347"/>
      <c r="I14684" s="348" t="s">
        <v>348</v>
      </c>
      <c r="J14684" s="355" t="s">
        <v>1808</v>
      </c>
      <c r="K14684" s="349"/>
      <c r="L14684" s="349">
        <f>K14683</f>
        <v>76597.145000003278</v>
      </c>
    </row>
    <row r="14685" spans="1:13" x14ac:dyDescent="0.2">
      <c r="A14685" s="238">
        <v>2025</v>
      </c>
      <c r="B14685" s="238">
        <v>8</v>
      </c>
      <c r="C14685" s="238">
        <v>7</v>
      </c>
      <c r="D14685" s="270">
        <f t="shared" si="2284"/>
        <v>45876</v>
      </c>
      <c r="E14685" s="279">
        <f t="shared" si="2285"/>
        <v>45876</v>
      </c>
      <c r="F14685" s="477" t="s">
        <v>347</v>
      </c>
      <c r="G14685" s="239" t="s">
        <v>94</v>
      </c>
      <c r="H14685" s="239"/>
      <c r="I14685" s="262" t="s">
        <v>348</v>
      </c>
      <c r="J14685" s="240" t="s">
        <v>82</v>
      </c>
      <c r="K14685" s="241">
        <v>1164689.2329999655</v>
      </c>
      <c r="L14685" s="241"/>
      <c r="M14685" s="160">
        <v>13139541.900000483</v>
      </c>
    </row>
    <row r="14686" spans="1:13" x14ac:dyDescent="0.2">
      <c r="A14686" s="242">
        <v>2025</v>
      </c>
      <c r="B14686" s="242">
        <v>8</v>
      </c>
      <c r="C14686" s="242">
        <v>7</v>
      </c>
      <c r="D14686" s="270">
        <f t="shared" si="2284"/>
        <v>45876</v>
      </c>
      <c r="E14686" s="279">
        <f t="shared" si="2285"/>
        <v>45876</v>
      </c>
      <c r="F14686" s="478"/>
      <c r="G14686" s="243" t="s">
        <v>94</v>
      </c>
      <c r="H14686" s="243"/>
      <c r="I14686" s="263" t="s">
        <v>348</v>
      </c>
      <c r="J14686" s="244" t="s">
        <v>108</v>
      </c>
      <c r="K14686" s="245"/>
      <c r="L14686" s="245">
        <f>K14685</f>
        <v>1164689.2329999655</v>
      </c>
    </row>
    <row r="14687" spans="1:13" ht="12" customHeight="1" x14ac:dyDescent="0.2">
      <c r="A14687" s="246">
        <v>2025</v>
      </c>
      <c r="B14687" s="238">
        <v>8</v>
      </c>
      <c r="C14687" s="238">
        <v>7</v>
      </c>
      <c r="D14687" s="270">
        <f t="shared" si="2284"/>
        <v>45876</v>
      </c>
      <c r="E14687" s="279">
        <f t="shared" si="2285"/>
        <v>45876</v>
      </c>
      <c r="F14687" s="482" t="s">
        <v>148</v>
      </c>
      <c r="G14687" s="247" t="s">
        <v>94</v>
      </c>
      <c r="H14687" s="247"/>
      <c r="I14687" s="248" t="s">
        <v>348</v>
      </c>
      <c r="J14687" s="249" t="s">
        <v>95</v>
      </c>
      <c r="K14687" s="250">
        <v>2747.2527472527472</v>
      </c>
      <c r="L14687" s="241"/>
      <c r="M14687" s="176"/>
    </row>
    <row r="14688" spans="1:13" x14ac:dyDescent="0.2">
      <c r="A14688" s="242">
        <v>2025</v>
      </c>
      <c r="B14688" s="242">
        <v>8</v>
      </c>
      <c r="C14688" s="242">
        <v>7</v>
      </c>
      <c r="D14688" s="270">
        <f t="shared" si="2284"/>
        <v>45876</v>
      </c>
      <c r="E14688" s="279">
        <f t="shared" si="2285"/>
        <v>45876</v>
      </c>
      <c r="F14688" s="478"/>
      <c r="G14688" s="243" t="s">
        <v>94</v>
      </c>
      <c r="H14688" s="243"/>
      <c r="I14688" s="263" t="s">
        <v>348</v>
      </c>
      <c r="J14688" s="244" t="s">
        <v>63</v>
      </c>
      <c r="K14688" s="245"/>
      <c r="L14688" s="245">
        <f>K14687</f>
        <v>2747.2527472527472</v>
      </c>
    </row>
    <row r="14689" spans="1:14" x14ac:dyDescent="0.2">
      <c r="A14689" s="246">
        <v>2025</v>
      </c>
      <c r="B14689" s="238">
        <v>8</v>
      </c>
      <c r="C14689" s="238">
        <v>7</v>
      </c>
      <c r="D14689" s="270">
        <f t="shared" si="2284"/>
        <v>45876</v>
      </c>
      <c r="E14689" s="279">
        <f t="shared" si="2285"/>
        <v>45876</v>
      </c>
      <c r="F14689" s="482" t="s">
        <v>137</v>
      </c>
      <c r="G14689" s="247" t="s">
        <v>94</v>
      </c>
      <c r="H14689" s="247"/>
      <c r="I14689" s="248" t="s">
        <v>348</v>
      </c>
      <c r="J14689" s="249" t="s">
        <v>97</v>
      </c>
      <c r="K14689" s="250">
        <f>M14689</f>
        <v>80266.398624197333</v>
      </c>
      <c r="L14689" s="252"/>
      <c r="M14689" s="133">
        <v>80266.398624197333</v>
      </c>
    </row>
    <row r="14690" spans="1:14" x14ac:dyDescent="0.2">
      <c r="A14690" s="242">
        <v>2025</v>
      </c>
      <c r="B14690" s="242">
        <v>8</v>
      </c>
      <c r="C14690" s="242">
        <v>7</v>
      </c>
      <c r="D14690" s="270">
        <f t="shared" si="2284"/>
        <v>45876</v>
      </c>
      <c r="E14690" s="279">
        <f t="shared" si="2285"/>
        <v>45876</v>
      </c>
      <c r="F14690" s="478"/>
      <c r="G14690" s="243" t="s">
        <v>94</v>
      </c>
      <c r="H14690" s="243"/>
      <c r="I14690" s="263" t="s">
        <v>348</v>
      </c>
      <c r="J14690" s="244" t="s">
        <v>47</v>
      </c>
      <c r="K14690" s="245"/>
      <c r="L14690" s="245">
        <f>K14689</f>
        <v>80266.398624197333</v>
      </c>
      <c r="M14690" s="133">
        <v>3772.9353158252516</v>
      </c>
    </row>
    <row r="14691" spans="1:14" x14ac:dyDescent="0.2">
      <c r="A14691" s="246">
        <v>2025</v>
      </c>
      <c r="B14691" s="238">
        <v>8</v>
      </c>
      <c r="C14691" s="238">
        <v>7</v>
      </c>
      <c r="D14691" s="270">
        <f t="shared" si="2284"/>
        <v>45876</v>
      </c>
      <c r="E14691" s="279">
        <f t="shared" si="2285"/>
        <v>45876</v>
      </c>
      <c r="F14691" s="482" t="s">
        <v>138</v>
      </c>
      <c r="G14691" s="247" t="s">
        <v>94</v>
      </c>
      <c r="H14691" s="247"/>
      <c r="I14691" s="248" t="s">
        <v>348</v>
      </c>
      <c r="J14691" s="249" t="s">
        <v>100</v>
      </c>
      <c r="K14691" s="250">
        <f>M14690</f>
        <v>3772.9353158252516</v>
      </c>
      <c r="L14691" s="252"/>
    </row>
    <row r="14692" spans="1:14" x14ac:dyDescent="0.2">
      <c r="A14692" s="242">
        <v>2025</v>
      </c>
      <c r="B14692" s="242">
        <v>8</v>
      </c>
      <c r="C14692" s="242">
        <v>7</v>
      </c>
      <c r="D14692" s="321">
        <f t="shared" si="2284"/>
        <v>45876</v>
      </c>
      <c r="E14692" s="322">
        <f t="shared" si="2285"/>
        <v>45876</v>
      </c>
      <c r="F14692" s="478"/>
      <c r="G14692" s="243" t="s">
        <v>94</v>
      </c>
      <c r="H14692" s="243"/>
      <c r="I14692" s="263" t="s">
        <v>348</v>
      </c>
      <c r="J14692" s="244" t="s">
        <v>48</v>
      </c>
      <c r="K14692" s="245"/>
      <c r="L14692" s="245">
        <f>K14691</f>
        <v>3772.9353158252516</v>
      </c>
    </row>
    <row r="14693" spans="1:14" ht="11.25" customHeight="1" x14ac:dyDescent="0.2">
      <c r="A14693" s="168">
        <v>2025</v>
      </c>
      <c r="B14693" s="133">
        <v>8</v>
      </c>
      <c r="C14693" s="168">
        <v>10</v>
      </c>
      <c r="D14693" s="141">
        <f t="shared" si="2284"/>
        <v>45879</v>
      </c>
      <c r="E14693" s="275">
        <f t="shared" si="2285"/>
        <v>45879</v>
      </c>
      <c r="F14693" s="479" t="s">
        <v>2002</v>
      </c>
      <c r="G14693" s="220" t="s">
        <v>74</v>
      </c>
      <c r="H14693" s="220"/>
      <c r="I14693" s="142"/>
      <c r="J14693" s="143" t="s">
        <v>147</v>
      </c>
      <c r="K14693" s="226">
        <v>1538965.16</v>
      </c>
      <c r="L14693" s="226"/>
    </row>
    <row r="14694" spans="1:14" x14ac:dyDescent="0.2">
      <c r="A14694" s="163">
        <v>2025</v>
      </c>
      <c r="B14694" s="163">
        <v>8</v>
      </c>
      <c r="C14694" s="163">
        <v>10</v>
      </c>
      <c r="D14694" s="280">
        <f t="shared" si="2284"/>
        <v>45879</v>
      </c>
      <c r="E14694" s="281">
        <f t="shared" si="2285"/>
        <v>45879</v>
      </c>
      <c r="F14694" s="480"/>
      <c r="G14694" s="221" t="s">
        <v>74</v>
      </c>
      <c r="H14694" s="221"/>
      <c r="I14694" s="145"/>
      <c r="J14694" s="146" t="s">
        <v>52</v>
      </c>
      <c r="K14694" s="219"/>
      <c r="L14694" s="219">
        <f>K14693</f>
        <v>1538965.16</v>
      </c>
      <c r="N14694" s="264"/>
    </row>
    <row r="14695" spans="1:14" x14ac:dyDescent="0.2">
      <c r="A14695" s="168">
        <v>2025</v>
      </c>
      <c r="B14695" s="133">
        <v>8</v>
      </c>
      <c r="C14695" s="168">
        <v>10</v>
      </c>
      <c r="D14695" s="147">
        <f>DATE(A14695,B14695,C14695)</f>
        <v>45879</v>
      </c>
      <c r="E14695" s="311">
        <f>DATE(A14695,B14695,C14695)</f>
        <v>45879</v>
      </c>
      <c r="F14695" s="481" t="s">
        <v>1943</v>
      </c>
      <c r="G14695" s="174" t="s">
        <v>74</v>
      </c>
      <c r="I14695" s="148" t="s">
        <v>348</v>
      </c>
      <c r="J14695" s="133" t="s">
        <v>61</v>
      </c>
      <c r="K14695" s="172">
        <v>100</v>
      </c>
    </row>
    <row r="14696" spans="1:14" x14ac:dyDescent="0.2">
      <c r="A14696" s="163">
        <v>2025</v>
      </c>
      <c r="B14696" s="163">
        <v>8</v>
      </c>
      <c r="C14696" s="163">
        <v>10</v>
      </c>
      <c r="D14696" s="280">
        <f>DATE(A14696,B14696,C14696)</f>
        <v>45879</v>
      </c>
      <c r="E14696" s="281">
        <f>DATE(A14696,B14696,C14696)</f>
        <v>45879</v>
      </c>
      <c r="F14696" s="480"/>
      <c r="G14696" s="221" t="s">
        <v>74</v>
      </c>
      <c r="H14696" s="145"/>
      <c r="I14696" s="145" t="s">
        <v>348</v>
      </c>
      <c r="J14696" s="163" t="s">
        <v>52</v>
      </c>
      <c r="K14696" s="219"/>
      <c r="L14696" s="219">
        <v>100</v>
      </c>
    </row>
    <row r="14697" spans="1:14" x14ac:dyDescent="0.2">
      <c r="A14697" s="133">
        <v>2025</v>
      </c>
      <c r="B14697" s="133">
        <v>8</v>
      </c>
      <c r="C14697" s="133">
        <v>10</v>
      </c>
      <c r="D14697" s="141">
        <f t="shared" ref="D14697:D14701" si="2286">DATE(A14697,B14697,C14697)</f>
        <v>45879</v>
      </c>
      <c r="E14697" s="275">
        <f t="shared" ref="E14697:E14701" si="2287">DATE(A14697,B14697,C14697)</f>
        <v>45879</v>
      </c>
      <c r="F14697" s="481" t="s">
        <v>2073</v>
      </c>
      <c r="G14697" s="174" t="s">
        <v>94</v>
      </c>
      <c r="H14697" s="174"/>
      <c r="J14697" s="149" t="s">
        <v>79</v>
      </c>
      <c r="K14697" s="218">
        <v>995200</v>
      </c>
      <c r="L14697" s="218"/>
      <c r="M14697" s="160"/>
    </row>
    <row r="14698" spans="1:14" x14ac:dyDescent="0.2">
      <c r="A14698" s="133">
        <v>2025</v>
      </c>
      <c r="B14698" s="133">
        <v>8</v>
      </c>
      <c r="C14698" s="133">
        <v>10</v>
      </c>
      <c r="D14698" s="141">
        <f t="shared" si="2286"/>
        <v>45879</v>
      </c>
      <c r="E14698" s="275">
        <f t="shared" si="2287"/>
        <v>45879</v>
      </c>
      <c r="F14698" s="481"/>
      <c r="G14698" s="174" t="s">
        <v>94</v>
      </c>
      <c r="H14698" s="174"/>
      <c r="J14698" s="149" t="s">
        <v>80</v>
      </c>
      <c r="K14698" s="218">
        <v>3622.32</v>
      </c>
      <c r="L14698" s="264"/>
      <c r="M14698" s="264"/>
      <c r="N14698" s="264"/>
    </row>
    <row r="14699" spans="1:14" x14ac:dyDescent="0.2">
      <c r="A14699" s="133">
        <v>2025</v>
      </c>
      <c r="B14699" s="133">
        <v>8</v>
      </c>
      <c r="C14699" s="133">
        <v>10</v>
      </c>
      <c r="D14699" s="141">
        <f t="shared" si="2286"/>
        <v>45879</v>
      </c>
      <c r="E14699" s="275">
        <f t="shared" si="2287"/>
        <v>45879</v>
      </c>
      <c r="F14699" s="481"/>
      <c r="G14699" s="174" t="s">
        <v>94</v>
      </c>
      <c r="H14699" s="174"/>
      <c r="J14699" s="149" t="s">
        <v>190</v>
      </c>
      <c r="K14699" s="218">
        <v>18377.68</v>
      </c>
      <c r="L14699" s="218"/>
      <c r="M14699" s="264"/>
    </row>
    <row r="14700" spans="1:14" x14ac:dyDescent="0.2">
      <c r="A14700" s="133">
        <v>2025</v>
      </c>
      <c r="B14700" s="133">
        <v>8</v>
      </c>
      <c r="C14700" s="133">
        <v>10</v>
      </c>
      <c r="D14700" s="141">
        <f t="shared" si="2286"/>
        <v>45879</v>
      </c>
      <c r="E14700" s="275">
        <f t="shared" si="2287"/>
        <v>45879</v>
      </c>
      <c r="F14700" s="481"/>
      <c r="G14700" s="174" t="s">
        <v>94</v>
      </c>
      <c r="H14700" s="174"/>
      <c r="J14700" s="149" t="s">
        <v>191</v>
      </c>
      <c r="L14700" s="218">
        <v>55211.34</v>
      </c>
    </row>
    <row r="14701" spans="1:14" x14ac:dyDescent="0.2">
      <c r="A14701" s="163">
        <v>2025</v>
      </c>
      <c r="B14701" s="163">
        <v>8</v>
      </c>
      <c r="C14701" s="163">
        <v>10</v>
      </c>
      <c r="D14701" s="280">
        <f t="shared" si="2286"/>
        <v>45879</v>
      </c>
      <c r="E14701" s="281">
        <f t="shared" si="2287"/>
        <v>45879</v>
      </c>
      <c r="F14701" s="480"/>
      <c r="G14701" s="221" t="s">
        <v>94</v>
      </c>
      <c r="H14701" s="145"/>
      <c r="I14701" s="145"/>
      <c r="J14701" s="163" t="s">
        <v>79</v>
      </c>
      <c r="K14701" s="219"/>
      <c r="L14701" s="219">
        <v>961988.66</v>
      </c>
      <c r="M14701" s="264"/>
    </row>
    <row r="14702" spans="1:14" ht="11.25" customHeight="1" x14ac:dyDescent="0.2">
      <c r="A14702" s="168">
        <v>2025</v>
      </c>
      <c r="B14702" s="168">
        <v>8</v>
      </c>
      <c r="C14702" s="133">
        <v>11</v>
      </c>
      <c r="D14702" s="141">
        <f t="shared" si="2284"/>
        <v>45880</v>
      </c>
      <c r="E14702" s="275">
        <f t="shared" si="2285"/>
        <v>45880</v>
      </c>
      <c r="F14702" s="479" t="s">
        <v>1315</v>
      </c>
      <c r="G14702" s="220" t="s">
        <v>74</v>
      </c>
      <c r="H14702" s="142"/>
      <c r="I14702" s="142"/>
      <c r="J14702" s="168" t="s">
        <v>13</v>
      </c>
      <c r="K14702" s="226">
        <v>73070</v>
      </c>
      <c r="L14702" s="226"/>
    </row>
    <row r="14703" spans="1:14" ht="11.25" customHeight="1" x14ac:dyDescent="0.2">
      <c r="A14703" s="133">
        <v>2025</v>
      </c>
      <c r="B14703" s="133">
        <v>8</v>
      </c>
      <c r="C14703" s="133">
        <v>11</v>
      </c>
      <c r="D14703" s="141">
        <f t="shared" si="2284"/>
        <v>45880</v>
      </c>
      <c r="E14703" s="275">
        <f t="shared" si="2285"/>
        <v>45880</v>
      </c>
      <c r="F14703" s="481"/>
      <c r="G14703" s="174" t="s">
        <v>74</v>
      </c>
      <c r="J14703" s="133" t="s">
        <v>53</v>
      </c>
      <c r="K14703" s="218">
        <v>31865.83</v>
      </c>
      <c r="L14703" s="218"/>
    </row>
    <row r="14704" spans="1:14" ht="11.25" customHeight="1" x14ac:dyDescent="0.2">
      <c r="A14704" s="163">
        <v>2025</v>
      </c>
      <c r="B14704" s="163">
        <v>8</v>
      </c>
      <c r="C14704" s="163">
        <v>11</v>
      </c>
      <c r="D14704" s="280">
        <f t="shared" si="2284"/>
        <v>45880</v>
      </c>
      <c r="E14704" s="281">
        <f t="shared" si="2285"/>
        <v>45880</v>
      </c>
      <c r="F14704" s="480"/>
      <c r="G14704" s="221" t="s">
        <v>74</v>
      </c>
      <c r="H14704" s="145"/>
      <c r="I14704" s="145"/>
      <c r="J14704" s="163" t="s">
        <v>52</v>
      </c>
      <c r="K14704" s="219"/>
      <c r="L14704" s="219">
        <v>104935.83</v>
      </c>
    </row>
    <row r="14705" spans="1:14" x14ac:dyDescent="0.2">
      <c r="A14705" s="133">
        <v>2025</v>
      </c>
      <c r="B14705" s="133">
        <v>8</v>
      </c>
      <c r="C14705" s="133">
        <v>11</v>
      </c>
      <c r="D14705" s="141">
        <f t="shared" si="2284"/>
        <v>45880</v>
      </c>
      <c r="E14705" s="275">
        <f t="shared" si="2285"/>
        <v>45880</v>
      </c>
      <c r="F14705" s="481" t="s">
        <v>2073</v>
      </c>
      <c r="G14705" s="174" t="s">
        <v>94</v>
      </c>
      <c r="H14705" s="174"/>
      <c r="J14705" s="149" t="s">
        <v>79</v>
      </c>
      <c r="K14705" s="218">
        <v>490264.8</v>
      </c>
      <c r="L14705" s="218"/>
      <c r="M14705" s="160"/>
    </row>
    <row r="14706" spans="1:14" x14ac:dyDescent="0.2">
      <c r="A14706" s="133">
        <v>2025</v>
      </c>
      <c r="B14706" s="133">
        <v>8</v>
      </c>
      <c r="C14706" s="133">
        <v>11</v>
      </c>
      <c r="D14706" s="141">
        <f t="shared" si="2284"/>
        <v>45880</v>
      </c>
      <c r="E14706" s="275">
        <f t="shared" si="2285"/>
        <v>45880</v>
      </c>
      <c r="F14706" s="481"/>
      <c r="G14706" s="174" t="s">
        <v>94</v>
      </c>
      <c r="H14706" s="174"/>
      <c r="J14706" s="149" t="s">
        <v>80</v>
      </c>
      <c r="K14706" s="218">
        <v>1955.27</v>
      </c>
      <c r="L14706" s="264"/>
      <c r="M14706" s="264"/>
      <c r="N14706" s="264"/>
    </row>
    <row r="14707" spans="1:14" x14ac:dyDescent="0.2">
      <c r="A14707" s="133">
        <v>2025</v>
      </c>
      <c r="B14707" s="133">
        <v>8</v>
      </c>
      <c r="C14707" s="133">
        <v>11</v>
      </c>
      <c r="D14707" s="141">
        <f t="shared" si="2284"/>
        <v>45880</v>
      </c>
      <c r="E14707" s="275">
        <f t="shared" si="2285"/>
        <v>45880</v>
      </c>
      <c r="F14707" s="481"/>
      <c r="G14707" s="174" t="s">
        <v>94</v>
      </c>
      <c r="H14707" s="174"/>
      <c r="J14707" s="149" t="s">
        <v>190</v>
      </c>
      <c r="K14707" s="218">
        <v>103777.23</v>
      </c>
      <c r="L14707" s="218"/>
      <c r="M14707" s="264"/>
    </row>
    <row r="14708" spans="1:14" x14ac:dyDescent="0.2">
      <c r="A14708" s="133">
        <v>2025</v>
      </c>
      <c r="B14708" s="133">
        <v>8</v>
      </c>
      <c r="C14708" s="133">
        <v>11</v>
      </c>
      <c r="D14708" s="141">
        <f t="shared" si="2284"/>
        <v>45880</v>
      </c>
      <c r="E14708" s="275">
        <f t="shared" si="2285"/>
        <v>45880</v>
      </c>
      <c r="F14708" s="481"/>
      <c r="G14708" s="174" t="s">
        <v>94</v>
      </c>
      <c r="H14708" s="174"/>
      <c r="J14708" s="149" t="s">
        <v>191</v>
      </c>
      <c r="L14708" s="218">
        <v>43754.42</v>
      </c>
    </row>
    <row r="14709" spans="1:14" x14ac:dyDescent="0.2">
      <c r="A14709" s="163">
        <v>2025</v>
      </c>
      <c r="B14709" s="163">
        <v>8</v>
      </c>
      <c r="C14709" s="163">
        <v>11</v>
      </c>
      <c r="D14709" s="280">
        <f t="shared" si="2284"/>
        <v>45880</v>
      </c>
      <c r="E14709" s="281">
        <f t="shared" si="2285"/>
        <v>45880</v>
      </c>
      <c r="F14709" s="480"/>
      <c r="G14709" s="221" t="s">
        <v>94</v>
      </c>
      <c r="H14709" s="145"/>
      <c r="I14709" s="145"/>
      <c r="J14709" s="163" t="s">
        <v>79</v>
      </c>
      <c r="K14709" s="219"/>
      <c r="L14709" s="219">
        <v>552242.88</v>
      </c>
      <c r="M14709" s="264"/>
    </row>
    <row r="14710" spans="1:14" ht="11.25" customHeight="1" x14ac:dyDescent="0.2">
      <c r="A14710" s="168">
        <v>2025</v>
      </c>
      <c r="B14710" s="168">
        <v>8</v>
      </c>
      <c r="C14710" s="133">
        <v>12</v>
      </c>
      <c r="D14710" s="141">
        <f t="shared" ref="D14710:D14722" si="2288">DATE(A14710,B14710,C14710)</f>
        <v>45881</v>
      </c>
      <c r="E14710" s="275">
        <f t="shared" ref="E14710:E14722" si="2289">DATE(A14710,B14710,C14710)</f>
        <v>45881</v>
      </c>
      <c r="F14710" s="479" t="s">
        <v>1315</v>
      </c>
      <c r="G14710" s="220" t="s">
        <v>74</v>
      </c>
      <c r="H14710" s="142"/>
      <c r="I14710" s="142"/>
      <c r="J14710" s="168" t="s">
        <v>13</v>
      </c>
      <c r="K14710" s="226">
        <v>237610</v>
      </c>
      <c r="L14710" s="226"/>
    </row>
    <row r="14711" spans="1:14" ht="11.25" customHeight="1" x14ac:dyDescent="0.2">
      <c r="A14711" s="133">
        <v>2025</v>
      </c>
      <c r="B14711" s="133">
        <v>8</v>
      </c>
      <c r="C14711" s="133">
        <v>12</v>
      </c>
      <c r="D14711" s="141">
        <f t="shared" si="2288"/>
        <v>45881</v>
      </c>
      <c r="E14711" s="275">
        <f t="shared" si="2289"/>
        <v>45881</v>
      </c>
      <c r="F14711" s="481"/>
      <c r="G14711" s="174" t="s">
        <v>74</v>
      </c>
      <c r="J14711" s="133" t="s">
        <v>53</v>
      </c>
      <c r="K14711" s="218">
        <v>103621.71999999997</v>
      </c>
      <c r="L14711" s="218"/>
    </row>
    <row r="14712" spans="1:14" ht="11.25" customHeight="1" x14ac:dyDescent="0.2">
      <c r="A14712" s="163">
        <v>2025</v>
      </c>
      <c r="B14712" s="163">
        <v>8</v>
      </c>
      <c r="C14712" s="163">
        <v>12</v>
      </c>
      <c r="D14712" s="280">
        <f t="shared" si="2288"/>
        <v>45881</v>
      </c>
      <c r="E14712" s="281">
        <f t="shared" si="2289"/>
        <v>45881</v>
      </c>
      <c r="F14712" s="480"/>
      <c r="G14712" s="221" t="s">
        <v>74</v>
      </c>
      <c r="H14712" s="145"/>
      <c r="I14712" s="145"/>
      <c r="J14712" s="163" t="s">
        <v>52</v>
      </c>
      <c r="K14712" s="219"/>
      <c r="L14712" s="219">
        <v>341231.72</v>
      </c>
    </row>
    <row r="14713" spans="1:14" x14ac:dyDescent="0.2">
      <c r="A14713" s="133">
        <v>2025</v>
      </c>
      <c r="B14713" s="168">
        <v>8</v>
      </c>
      <c r="C14713" s="133">
        <v>12</v>
      </c>
      <c r="D14713" s="141">
        <f t="shared" si="2288"/>
        <v>45881</v>
      </c>
      <c r="E14713" s="275">
        <f t="shared" si="2289"/>
        <v>45881</v>
      </c>
      <c r="F14713" s="479" t="s">
        <v>362</v>
      </c>
      <c r="G14713" s="220" t="s">
        <v>74</v>
      </c>
      <c r="H14713" s="220"/>
      <c r="I14713" s="142" t="s">
        <v>348</v>
      </c>
      <c r="J14713" s="143" t="s">
        <v>104</v>
      </c>
      <c r="K14713" s="226">
        <v>5826.4</v>
      </c>
      <c r="L14713" s="226"/>
    </row>
    <row r="14714" spans="1:14" x14ac:dyDescent="0.2">
      <c r="A14714" s="133">
        <v>2025</v>
      </c>
      <c r="B14714" s="133">
        <v>8</v>
      </c>
      <c r="C14714" s="133">
        <v>12</v>
      </c>
      <c r="D14714" s="280">
        <f t="shared" si="2288"/>
        <v>45881</v>
      </c>
      <c r="E14714" s="281">
        <f t="shared" si="2289"/>
        <v>45881</v>
      </c>
      <c r="F14714" s="481"/>
      <c r="G14714" s="174" t="s">
        <v>74</v>
      </c>
      <c r="H14714" s="174"/>
      <c r="J14714" s="149" t="s">
        <v>534</v>
      </c>
      <c r="K14714" s="218"/>
      <c r="L14714" s="218">
        <v>582.64</v>
      </c>
    </row>
    <row r="14715" spans="1:14" x14ac:dyDescent="0.2">
      <c r="A14715" s="163">
        <v>2025</v>
      </c>
      <c r="B14715" s="163">
        <v>8</v>
      </c>
      <c r="C14715" s="163">
        <v>12</v>
      </c>
      <c r="D14715" s="144">
        <f t="shared" si="2288"/>
        <v>45881</v>
      </c>
      <c r="E14715" s="313">
        <f t="shared" si="2289"/>
        <v>45881</v>
      </c>
      <c r="F14715" s="480"/>
      <c r="G14715" s="221" t="s">
        <v>74</v>
      </c>
      <c r="H14715" s="221"/>
      <c r="I14715" s="145" t="s">
        <v>348</v>
      </c>
      <c r="J14715" s="146" t="s">
        <v>52</v>
      </c>
      <c r="K14715" s="219"/>
      <c r="L14715" s="219">
        <v>5243.77</v>
      </c>
    </row>
    <row r="14716" spans="1:14" ht="11.25" customHeight="1" x14ac:dyDescent="0.2">
      <c r="A14716" s="168">
        <v>2025</v>
      </c>
      <c r="B14716" s="133">
        <v>8</v>
      </c>
      <c r="C14716" s="168">
        <v>12</v>
      </c>
      <c r="D14716" s="141">
        <f t="shared" si="2288"/>
        <v>45881</v>
      </c>
      <c r="E14716" s="275">
        <f t="shared" si="2289"/>
        <v>45881</v>
      </c>
      <c r="F14716" s="479" t="s">
        <v>2037</v>
      </c>
      <c r="G14716" s="220" t="s">
        <v>74</v>
      </c>
      <c r="H14716" s="220"/>
      <c r="I14716" s="142"/>
      <c r="J14716" s="143" t="s">
        <v>52</v>
      </c>
      <c r="K14716" s="226">
        <v>18377.68</v>
      </c>
      <c r="L14716" s="226"/>
    </row>
    <row r="14717" spans="1:14" x14ac:dyDescent="0.2">
      <c r="A14717" s="163">
        <v>2025</v>
      </c>
      <c r="B14717" s="163">
        <v>8</v>
      </c>
      <c r="C14717" s="163">
        <v>12</v>
      </c>
      <c r="D14717" s="280">
        <f t="shared" si="2288"/>
        <v>45881</v>
      </c>
      <c r="E14717" s="281">
        <f t="shared" si="2289"/>
        <v>45881</v>
      </c>
      <c r="F14717" s="480"/>
      <c r="G14717" s="221" t="s">
        <v>74</v>
      </c>
      <c r="H14717" s="221"/>
      <c r="I14717" s="145"/>
      <c r="J14717" s="146" t="s">
        <v>190</v>
      </c>
      <c r="K14717" s="219"/>
      <c r="L14717" s="219">
        <f>K14716</f>
        <v>18377.68</v>
      </c>
      <c r="N14717" s="264"/>
    </row>
    <row r="14718" spans="1:14" x14ac:dyDescent="0.2">
      <c r="A14718" s="133">
        <v>2025</v>
      </c>
      <c r="B14718" s="133">
        <v>8</v>
      </c>
      <c r="C14718" s="133">
        <v>12</v>
      </c>
      <c r="D14718" s="141">
        <f t="shared" si="2288"/>
        <v>45881</v>
      </c>
      <c r="E14718" s="275">
        <f t="shared" si="2289"/>
        <v>45881</v>
      </c>
      <c r="F14718" s="481" t="s">
        <v>2073</v>
      </c>
      <c r="G14718" s="174" t="s">
        <v>94</v>
      </c>
      <c r="H14718" s="174"/>
      <c r="J14718" s="149" t="s">
        <v>79</v>
      </c>
      <c r="K14718" s="218">
        <v>547143.80000000005</v>
      </c>
      <c r="L14718" s="218"/>
      <c r="M14718" s="160"/>
    </row>
    <row r="14719" spans="1:14" x14ac:dyDescent="0.2">
      <c r="A14719" s="133">
        <v>2025</v>
      </c>
      <c r="B14719" s="133">
        <v>8</v>
      </c>
      <c r="C14719" s="133">
        <v>12</v>
      </c>
      <c r="D14719" s="141">
        <f t="shared" si="2288"/>
        <v>45881</v>
      </c>
      <c r="E14719" s="275">
        <f t="shared" si="2289"/>
        <v>45881</v>
      </c>
      <c r="F14719" s="481"/>
      <c r="G14719" s="174" t="s">
        <v>94</v>
      </c>
      <c r="H14719" s="174"/>
      <c r="J14719" s="149" t="s">
        <v>80</v>
      </c>
      <c r="K14719" s="218">
        <v>3365.29</v>
      </c>
      <c r="L14719" s="264"/>
      <c r="M14719" s="264"/>
      <c r="N14719" s="264"/>
    </row>
    <row r="14720" spans="1:14" x14ac:dyDescent="0.2">
      <c r="A14720" s="133">
        <v>2025</v>
      </c>
      <c r="B14720" s="133">
        <v>8</v>
      </c>
      <c r="C14720" s="133">
        <v>12</v>
      </c>
      <c r="D14720" s="141">
        <f t="shared" si="2288"/>
        <v>45881</v>
      </c>
      <c r="E14720" s="275">
        <f t="shared" si="2289"/>
        <v>45881</v>
      </c>
      <c r="F14720" s="481"/>
      <c r="G14720" s="174" t="s">
        <v>94</v>
      </c>
      <c r="H14720" s="174"/>
      <c r="J14720" s="149" t="s">
        <v>190</v>
      </c>
      <c r="K14720" s="218">
        <v>771954.71</v>
      </c>
      <c r="L14720" s="218"/>
      <c r="M14720" s="264"/>
    </row>
    <row r="14721" spans="1:17" x14ac:dyDescent="0.2">
      <c r="A14721" s="133">
        <v>2025</v>
      </c>
      <c r="B14721" s="133">
        <v>8</v>
      </c>
      <c r="C14721" s="133">
        <v>12</v>
      </c>
      <c r="D14721" s="141">
        <f t="shared" si="2288"/>
        <v>45881</v>
      </c>
      <c r="E14721" s="275">
        <f t="shared" si="2289"/>
        <v>45881</v>
      </c>
      <c r="F14721" s="481"/>
      <c r="G14721" s="174" t="s">
        <v>94</v>
      </c>
      <c r="H14721" s="174"/>
      <c r="J14721" s="149" t="s">
        <v>191</v>
      </c>
      <c r="L14721" s="218">
        <v>97159.18</v>
      </c>
    </row>
    <row r="14722" spans="1:17" x14ac:dyDescent="0.2">
      <c r="A14722" s="163">
        <v>2025</v>
      </c>
      <c r="B14722" s="163">
        <v>8</v>
      </c>
      <c r="C14722" s="163">
        <v>12</v>
      </c>
      <c r="D14722" s="280">
        <f t="shared" si="2288"/>
        <v>45881</v>
      </c>
      <c r="E14722" s="281">
        <f t="shared" si="2289"/>
        <v>45881</v>
      </c>
      <c r="F14722" s="480"/>
      <c r="G14722" s="221" t="s">
        <v>94</v>
      </c>
      <c r="H14722" s="145"/>
      <c r="I14722" s="145"/>
      <c r="J14722" s="163" t="s">
        <v>79</v>
      </c>
      <c r="K14722" s="219"/>
      <c r="L14722" s="219">
        <v>1225304.6200000001</v>
      </c>
      <c r="M14722" s="264"/>
    </row>
    <row r="14723" spans="1:17" ht="11.25" customHeight="1" x14ac:dyDescent="0.2">
      <c r="A14723" s="168">
        <v>2025</v>
      </c>
      <c r="B14723" s="168">
        <v>8</v>
      </c>
      <c r="C14723" s="133">
        <v>13</v>
      </c>
      <c r="D14723" s="141">
        <f t="shared" ref="D14723:D14725" si="2290">DATE(A14723,B14723,C14723)</f>
        <v>45882</v>
      </c>
      <c r="E14723" s="275">
        <f t="shared" ref="E14723:E14725" si="2291">DATE(A14723,B14723,C14723)</f>
        <v>45882</v>
      </c>
      <c r="F14723" s="479" t="s">
        <v>1315</v>
      </c>
      <c r="G14723" s="220" t="s">
        <v>74</v>
      </c>
      <c r="H14723" s="142"/>
      <c r="I14723" s="142"/>
      <c r="J14723" s="168" t="s">
        <v>13</v>
      </c>
      <c r="K14723" s="226">
        <v>23290</v>
      </c>
      <c r="L14723" s="226"/>
    </row>
    <row r="14724" spans="1:17" ht="11.25" customHeight="1" x14ac:dyDescent="0.2">
      <c r="A14724" s="133">
        <v>2025</v>
      </c>
      <c r="B14724" s="133">
        <v>8</v>
      </c>
      <c r="C14724" s="133">
        <v>13</v>
      </c>
      <c r="D14724" s="141">
        <f t="shared" si="2290"/>
        <v>45882</v>
      </c>
      <c r="E14724" s="275">
        <f t="shared" si="2291"/>
        <v>45882</v>
      </c>
      <c r="F14724" s="481"/>
      <c r="G14724" s="174" t="s">
        <v>74</v>
      </c>
      <c r="J14724" s="133" t="s">
        <v>53</v>
      </c>
      <c r="K14724" s="218">
        <v>10156.769999999997</v>
      </c>
      <c r="L14724" s="218"/>
    </row>
    <row r="14725" spans="1:17" ht="11.25" customHeight="1" x14ac:dyDescent="0.2">
      <c r="A14725" s="163">
        <v>2025</v>
      </c>
      <c r="B14725" s="163">
        <v>8</v>
      </c>
      <c r="C14725" s="163">
        <v>13</v>
      </c>
      <c r="D14725" s="280">
        <f t="shared" si="2290"/>
        <v>45882</v>
      </c>
      <c r="E14725" s="281">
        <f t="shared" si="2291"/>
        <v>45882</v>
      </c>
      <c r="F14725" s="480"/>
      <c r="G14725" s="221" t="s">
        <v>74</v>
      </c>
      <c r="H14725" s="145"/>
      <c r="I14725" s="145"/>
      <c r="J14725" s="163" t="s">
        <v>52</v>
      </c>
      <c r="K14725" s="219"/>
      <c r="L14725" s="219">
        <v>33446.769999999997</v>
      </c>
    </row>
    <row r="14726" spans="1:17" ht="11.25" customHeight="1" x14ac:dyDescent="0.2">
      <c r="A14726" s="168">
        <v>2025</v>
      </c>
      <c r="B14726" s="168">
        <v>8</v>
      </c>
      <c r="C14726" s="133">
        <v>13</v>
      </c>
      <c r="D14726" s="141">
        <f t="shared" ref="D14726:D14728" si="2292">DATE(A14726,B14726,C14726)</f>
        <v>45882</v>
      </c>
      <c r="E14726" s="275">
        <f t="shared" ref="E14726:E14728" si="2293">DATE(A14726,B14726,C14726)</f>
        <v>45882</v>
      </c>
      <c r="F14726" s="479" t="s">
        <v>1315</v>
      </c>
      <c r="G14726" s="220" t="s">
        <v>74</v>
      </c>
      <c r="H14726" s="142"/>
      <c r="I14726" s="142"/>
      <c r="J14726" s="168" t="s">
        <v>13</v>
      </c>
      <c r="K14726" s="226">
        <v>104130</v>
      </c>
      <c r="L14726" s="226"/>
    </row>
    <row r="14727" spans="1:17" ht="11.25" customHeight="1" x14ac:dyDescent="0.2">
      <c r="A14727" s="133">
        <v>2025</v>
      </c>
      <c r="B14727" s="133">
        <v>8</v>
      </c>
      <c r="C14727" s="133">
        <v>13</v>
      </c>
      <c r="D14727" s="141">
        <f t="shared" si="2292"/>
        <v>45882</v>
      </c>
      <c r="E14727" s="275">
        <f t="shared" si="2293"/>
        <v>45882</v>
      </c>
      <c r="F14727" s="481"/>
      <c r="G14727" s="174" t="s">
        <v>74</v>
      </c>
      <c r="J14727" s="133" t="s">
        <v>53</v>
      </c>
      <c r="K14727" s="218">
        <v>45411.09</v>
      </c>
      <c r="L14727" s="218"/>
    </row>
    <row r="14728" spans="1:17" ht="11.25" customHeight="1" x14ac:dyDescent="0.2">
      <c r="A14728" s="163">
        <v>2025</v>
      </c>
      <c r="B14728" s="163">
        <v>8</v>
      </c>
      <c r="C14728" s="163">
        <v>13</v>
      </c>
      <c r="D14728" s="280">
        <f t="shared" si="2292"/>
        <v>45882</v>
      </c>
      <c r="E14728" s="281">
        <f t="shared" si="2293"/>
        <v>45882</v>
      </c>
      <c r="F14728" s="480"/>
      <c r="G14728" s="221" t="s">
        <v>74</v>
      </c>
      <c r="H14728" s="145"/>
      <c r="I14728" s="145"/>
      <c r="J14728" s="163" t="s">
        <v>52</v>
      </c>
      <c r="K14728" s="219"/>
      <c r="L14728" s="219">
        <v>149541.09</v>
      </c>
    </row>
    <row r="14729" spans="1:17" ht="11.25" customHeight="1" x14ac:dyDescent="0.2">
      <c r="A14729" s="168">
        <v>2025</v>
      </c>
      <c r="B14729" s="168">
        <v>8</v>
      </c>
      <c r="C14729" s="133">
        <v>13</v>
      </c>
      <c r="D14729" s="141">
        <f>DATE(A14729,B14729,C14729)</f>
        <v>45882</v>
      </c>
      <c r="E14729" s="275">
        <f>DATE(A14729,B14729,C14729)</f>
        <v>45882</v>
      </c>
      <c r="F14729" s="481" t="s">
        <v>2110</v>
      </c>
      <c r="G14729" s="174" t="s">
        <v>74</v>
      </c>
      <c r="H14729" s="174"/>
      <c r="I14729" s="148" t="s">
        <v>348</v>
      </c>
      <c r="J14729" s="149" t="s">
        <v>52</v>
      </c>
      <c r="K14729" s="218">
        <v>2606194.29</v>
      </c>
      <c r="L14729" s="218"/>
      <c r="M14729" s="147"/>
      <c r="Q14729" s="133" t="s">
        <v>348</v>
      </c>
    </row>
    <row r="14730" spans="1:17" x14ac:dyDescent="0.2">
      <c r="A14730" s="133">
        <v>2025</v>
      </c>
      <c r="B14730" s="133">
        <v>8</v>
      </c>
      <c r="C14730" s="133">
        <v>13</v>
      </c>
      <c r="D14730" s="141">
        <f t="shared" ref="D14730" si="2294">DATE(A14730,B14730,C14730)</f>
        <v>45882</v>
      </c>
      <c r="E14730" s="275">
        <f t="shared" ref="E14730" si="2295">DATE(A14730,B14730,C14730)</f>
        <v>45882</v>
      </c>
      <c r="F14730" s="481"/>
      <c r="G14730" s="174" t="s">
        <v>74</v>
      </c>
      <c r="H14730" s="174"/>
      <c r="J14730" s="149" t="s">
        <v>1810</v>
      </c>
      <c r="K14730" s="218"/>
      <c r="L14730" s="218">
        <v>131788.18000000017</v>
      </c>
      <c r="M14730" s="147"/>
    </row>
    <row r="14731" spans="1:17" x14ac:dyDescent="0.2">
      <c r="A14731" s="163">
        <v>2025</v>
      </c>
      <c r="B14731" s="163">
        <v>8</v>
      </c>
      <c r="C14731" s="163">
        <v>13</v>
      </c>
      <c r="D14731" s="280">
        <f>DATE(A14731,B14731,C14731)</f>
        <v>45882</v>
      </c>
      <c r="E14731" s="281">
        <f>DATE(A14731,B14731,C14731)</f>
        <v>45882</v>
      </c>
      <c r="F14731" s="480"/>
      <c r="G14731" s="221" t="s">
        <v>74</v>
      </c>
      <c r="H14731" s="221"/>
      <c r="I14731" s="145"/>
      <c r="J14731" s="146" t="s">
        <v>1805</v>
      </c>
      <c r="K14731" s="219"/>
      <c r="L14731" s="219">
        <v>2474406.11</v>
      </c>
      <c r="M14731" s="147"/>
      <c r="Q14731" s="133" t="s">
        <v>348</v>
      </c>
    </row>
    <row r="14732" spans="1:17" ht="11.25" customHeight="1" x14ac:dyDescent="0.2">
      <c r="A14732" s="168">
        <v>2025</v>
      </c>
      <c r="B14732" s="133">
        <v>8</v>
      </c>
      <c r="C14732" s="168">
        <v>13</v>
      </c>
      <c r="D14732" s="141">
        <f t="shared" ref="D14732:D14742" si="2296">DATE(A14732,B14732,C14732)</f>
        <v>45882</v>
      </c>
      <c r="E14732" s="275">
        <f t="shared" ref="E14732:E14742" si="2297">DATE(A14732,B14732,C14732)</f>
        <v>45882</v>
      </c>
      <c r="F14732" s="479" t="s">
        <v>2037</v>
      </c>
      <c r="G14732" s="220" t="s">
        <v>74</v>
      </c>
      <c r="H14732" s="220"/>
      <c r="I14732" s="142"/>
      <c r="J14732" s="143" t="s">
        <v>52</v>
      </c>
      <c r="K14732" s="226">
        <v>103777.23</v>
      </c>
      <c r="L14732" s="226"/>
    </row>
    <row r="14733" spans="1:17" x14ac:dyDescent="0.2">
      <c r="A14733" s="163">
        <v>2025</v>
      </c>
      <c r="B14733" s="163">
        <v>8</v>
      </c>
      <c r="C14733" s="163">
        <v>13</v>
      </c>
      <c r="D14733" s="280">
        <f t="shared" si="2296"/>
        <v>45882</v>
      </c>
      <c r="E14733" s="281">
        <f t="shared" si="2297"/>
        <v>45882</v>
      </c>
      <c r="F14733" s="480"/>
      <c r="G14733" s="221" t="s">
        <v>74</v>
      </c>
      <c r="H14733" s="221"/>
      <c r="I14733" s="145"/>
      <c r="J14733" s="146" t="s">
        <v>190</v>
      </c>
      <c r="K14733" s="219"/>
      <c r="L14733" s="219">
        <f>K14732</f>
        <v>103777.23</v>
      </c>
      <c r="N14733" s="264"/>
    </row>
    <row r="14734" spans="1:17" x14ac:dyDescent="0.2">
      <c r="A14734" s="168">
        <v>2025</v>
      </c>
      <c r="B14734" s="133">
        <v>8</v>
      </c>
      <c r="C14734" s="168">
        <v>13</v>
      </c>
      <c r="D14734" s="147">
        <f>DATE(A14734,B14734,C14734)</f>
        <v>45882</v>
      </c>
      <c r="E14734" s="311">
        <f>DATE(A14734,B14734,C14734)</f>
        <v>45882</v>
      </c>
      <c r="F14734" s="481" t="s">
        <v>1943</v>
      </c>
      <c r="G14734" s="174" t="s">
        <v>74</v>
      </c>
      <c r="I14734" s="148" t="s">
        <v>348</v>
      </c>
      <c r="J14734" s="133" t="s">
        <v>61</v>
      </c>
      <c r="K14734" s="172">
        <v>58</v>
      </c>
    </row>
    <row r="14735" spans="1:17" x14ac:dyDescent="0.2">
      <c r="A14735" s="163">
        <v>2025</v>
      </c>
      <c r="B14735" s="163">
        <v>8</v>
      </c>
      <c r="C14735" s="163">
        <v>13</v>
      </c>
      <c r="D14735" s="280">
        <f>DATE(A14735,B14735,C14735)</f>
        <v>45882</v>
      </c>
      <c r="E14735" s="281">
        <f>DATE(A14735,B14735,C14735)</f>
        <v>45882</v>
      </c>
      <c r="F14735" s="480"/>
      <c r="G14735" s="221" t="s">
        <v>74</v>
      </c>
      <c r="H14735" s="145"/>
      <c r="I14735" s="145" t="s">
        <v>348</v>
      </c>
      <c r="J14735" s="163" t="s">
        <v>52</v>
      </c>
      <c r="K14735" s="219"/>
      <c r="L14735" s="219">
        <f>K14734</f>
        <v>58</v>
      </c>
    </row>
    <row r="14736" spans="1:17" x14ac:dyDescent="0.2">
      <c r="A14736" s="133">
        <v>2025</v>
      </c>
      <c r="B14736" s="133">
        <v>8</v>
      </c>
      <c r="C14736" s="133">
        <v>13</v>
      </c>
      <c r="D14736" s="141">
        <f t="shared" ref="D14736:D14740" si="2298">DATE(A14736,B14736,C14736)</f>
        <v>45882</v>
      </c>
      <c r="E14736" s="275">
        <f t="shared" ref="E14736:E14740" si="2299">DATE(A14736,B14736,C14736)</f>
        <v>45882</v>
      </c>
      <c r="F14736" s="481" t="s">
        <v>2073</v>
      </c>
      <c r="G14736" s="174" t="s">
        <v>94</v>
      </c>
      <c r="H14736" s="174"/>
      <c r="J14736" s="149" t="s">
        <v>79</v>
      </c>
      <c r="K14736" s="218">
        <v>2832670.3</v>
      </c>
      <c r="L14736" s="218"/>
      <c r="M14736" s="160"/>
    </row>
    <row r="14737" spans="1:14" x14ac:dyDescent="0.2">
      <c r="A14737" s="133">
        <v>2025</v>
      </c>
      <c r="B14737" s="133">
        <v>8</v>
      </c>
      <c r="C14737" s="133">
        <v>13</v>
      </c>
      <c r="D14737" s="141">
        <f t="shared" si="2298"/>
        <v>45882</v>
      </c>
      <c r="E14737" s="275">
        <f t="shared" si="2299"/>
        <v>45882</v>
      </c>
      <c r="F14737" s="481"/>
      <c r="G14737" s="174" t="s">
        <v>94</v>
      </c>
      <c r="H14737" s="174"/>
      <c r="J14737" s="149" t="s">
        <v>80</v>
      </c>
      <c r="K14737" s="218">
        <v>6148.84</v>
      </c>
      <c r="L14737" s="264"/>
      <c r="M14737" s="264"/>
      <c r="N14737" s="264"/>
    </row>
    <row r="14738" spans="1:14" x14ac:dyDescent="0.2">
      <c r="A14738" s="133">
        <v>2025</v>
      </c>
      <c r="B14738" s="133">
        <v>8</v>
      </c>
      <c r="C14738" s="133">
        <v>13</v>
      </c>
      <c r="D14738" s="141">
        <f t="shared" si="2298"/>
        <v>45882</v>
      </c>
      <c r="E14738" s="275">
        <f t="shared" si="2299"/>
        <v>45882</v>
      </c>
      <c r="F14738" s="481"/>
      <c r="G14738" s="174" t="s">
        <v>94</v>
      </c>
      <c r="H14738" s="174"/>
      <c r="J14738" s="149" t="s">
        <v>147</v>
      </c>
      <c r="K14738" s="218"/>
      <c r="L14738" s="218">
        <v>2255469.14</v>
      </c>
      <c r="M14738" s="264"/>
    </row>
    <row r="14739" spans="1:14" x14ac:dyDescent="0.2">
      <c r="A14739" s="133">
        <v>2025</v>
      </c>
      <c r="B14739" s="133">
        <v>8</v>
      </c>
      <c r="C14739" s="133">
        <v>13</v>
      </c>
      <c r="D14739" s="141">
        <f t="shared" si="2298"/>
        <v>45882</v>
      </c>
      <c r="E14739" s="275">
        <f t="shared" si="2299"/>
        <v>45882</v>
      </c>
      <c r="F14739" s="481"/>
      <c r="G14739" s="174" t="s">
        <v>94</v>
      </c>
      <c r="H14739" s="174"/>
      <c r="J14739" s="149" t="s">
        <v>191</v>
      </c>
      <c r="L14739" s="218">
        <v>5624.56</v>
      </c>
    </row>
    <row r="14740" spans="1:14" x14ac:dyDescent="0.2">
      <c r="A14740" s="163">
        <v>2025</v>
      </c>
      <c r="B14740" s="163">
        <v>8</v>
      </c>
      <c r="C14740" s="163">
        <v>13</v>
      </c>
      <c r="D14740" s="280">
        <f t="shared" si="2298"/>
        <v>45882</v>
      </c>
      <c r="E14740" s="281">
        <f t="shared" si="2299"/>
        <v>45882</v>
      </c>
      <c r="F14740" s="480"/>
      <c r="G14740" s="221" t="s">
        <v>94</v>
      </c>
      <c r="H14740" s="145"/>
      <c r="I14740" s="145"/>
      <c r="J14740" s="163" t="s">
        <v>79</v>
      </c>
      <c r="K14740" s="219"/>
      <c r="L14740" s="219">
        <v>577725.43999999994</v>
      </c>
      <c r="M14740" s="264"/>
    </row>
    <row r="14741" spans="1:14" ht="11.25" customHeight="1" x14ac:dyDescent="0.2">
      <c r="A14741" s="168">
        <v>2025</v>
      </c>
      <c r="B14741" s="133">
        <v>8</v>
      </c>
      <c r="C14741" s="168">
        <v>14</v>
      </c>
      <c r="D14741" s="141">
        <f t="shared" si="2296"/>
        <v>45883</v>
      </c>
      <c r="E14741" s="275">
        <f t="shared" si="2297"/>
        <v>45883</v>
      </c>
      <c r="F14741" s="479" t="s">
        <v>2074</v>
      </c>
      <c r="G14741" s="220" t="s">
        <v>74</v>
      </c>
      <c r="H14741" s="220"/>
      <c r="I14741" s="142"/>
      <c r="J14741" s="143" t="s">
        <v>147</v>
      </c>
      <c r="K14741" s="226">
        <v>2255469.14</v>
      </c>
      <c r="L14741" s="226"/>
    </row>
    <row r="14742" spans="1:14" x14ac:dyDescent="0.2">
      <c r="A14742" s="163">
        <v>2025</v>
      </c>
      <c r="B14742" s="163">
        <v>8</v>
      </c>
      <c r="C14742" s="163">
        <v>14</v>
      </c>
      <c r="D14742" s="280">
        <f t="shared" si="2296"/>
        <v>45883</v>
      </c>
      <c r="E14742" s="281">
        <f t="shared" si="2297"/>
        <v>45883</v>
      </c>
      <c r="F14742" s="480"/>
      <c r="G14742" s="221" t="s">
        <v>74</v>
      </c>
      <c r="H14742" s="221"/>
      <c r="I14742" s="145"/>
      <c r="J14742" s="146" t="s">
        <v>52</v>
      </c>
      <c r="K14742" s="219"/>
      <c r="L14742" s="219">
        <f>K14741</f>
        <v>2255469.14</v>
      </c>
      <c r="N14742" s="264"/>
    </row>
    <row r="14743" spans="1:14" x14ac:dyDescent="0.2">
      <c r="A14743" s="168">
        <v>2025</v>
      </c>
      <c r="B14743" s="133">
        <v>8</v>
      </c>
      <c r="C14743" s="168">
        <v>14</v>
      </c>
      <c r="D14743" s="147">
        <f>DATE(A14743,B14743,C14743)</f>
        <v>45883</v>
      </c>
      <c r="E14743" s="311">
        <f>DATE(A14743,B14743,C14743)</f>
        <v>45883</v>
      </c>
      <c r="F14743" s="481" t="s">
        <v>1943</v>
      </c>
      <c r="G14743" s="174" t="s">
        <v>74</v>
      </c>
      <c r="I14743" s="148" t="s">
        <v>348</v>
      </c>
      <c r="J14743" s="133" t="s">
        <v>61</v>
      </c>
      <c r="K14743" s="172">
        <v>100</v>
      </c>
    </row>
    <row r="14744" spans="1:14" x14ac:dyDescent="0.2">
      <c r="A14744" s="163">
        <v>2025</v>
      </c>
      <c r="B14744" s="163">
        <v>8</v>
      </c>
      <c r="C14744" s="163">
        <v>14</v>
      </c>
      <c r="D14744" s="280">
        <f>DATE(A14744,B14744,C14744)</f>
        <v>45883</v>
      </c>
      <c r="E14744" s="281">
        <f>DATE(A14744,B14744,C14744)</f>
        <v>45883</v>
      </c>
      <c r="F14744" s="480"/>
      <c r="G14744" s="221" t="s">
        <v>74</v>
      </c>
      <c r="H14744" s="145"/>
      <c r="I14744" s="145" t="s">
        <v>348</v>
      </c>
      <c r="J14744" s="163" t="s">
        <v>52</v>
      </c>
      <c r="K14744" s="219"/>
      <c r="L14744" s="219">
        <v>100</v>
      </c>
    </row>
    <row r="14745" spans="1:14" ht="11.25" customHeight="1" x14ac:dyDescent="0.2">
      <c r="A14745" s="168">
        <v>2025</v>
      </c>
      <c r="B14745" s="168">
        <v>8</v>
      </c>
      <c r="C14745" s="133">
        <v>14</v>
      </c>
      <c r="D14745" s="141">
        <f t="shared" ref="D14745:D14747" si="2300">DATE(A14745,B14745,C14745)</f>
        <v>45883</v>
      </c>
      <c r="E14745" s="275">
        <f t="shared" ref="E14745:E14747" si="2301">DATE(A14745,B14745,C14745)</f>
        <v>45883</v>
      </c>
      <c r="F14745" s="479" t="s">
        <v>1315</v>
      </c>
      <c r="G14745" s="220" t="s">
        <v>74</v>
      </c>
      <c r="H14745" s="142"/>
      <c r="I14745" s="142"/>
      <c r="J14745" s="168" t="s">
        <v>13</v>
      </c>
      <c r="K14745" s="226">
        <v>126640</v>
      </c>
      <c r="L14745" s="226"/>
    </row>
    <row r="14746" spans="1:14" ht="11.25" customHeight="1" x14ac:dyDescent="0.2">
      <c r="A14746" s="133">
        <v>2025</v>
      </c>
      <c r="B14746" s="133">
        <v>8</v>
      </c>
      <c r="C14746" s="133">
        <v>14</v>
      </c>
      <c r="D14746" s="141">
        <f t="shared" si="2300"/>
        <v>45883</v>
      </c>
      <c r="E14746" s="275">
        <f t="shared" si="2301"/>
        <v>45883</v>
      </c>
      <c r="F14746" s="481"/>
      <c r="G14746" s="174" t="s">
        <v>74</v>
      </c>
      <c r="J14746" s="133" t="s">
        <v>53</v>
      </c>
      <c r="K14746" s="218">
        <v>55227.700000000012</v>
      </c>
      <c r="L14746" s="218"/>
    </row>
    <row r="14747" spans="1:14" ht="11.25" customHeight="1" x14ac:dyDescent="0.2">
      <c r="A14747" s="163">
        <v>2025</v>
      </c>
      <c r="B14747" s="163">
        <v>8</v>
      </c>
      <c r="C14747" s="163">
        <v>14</v>
      </c>
      <c r="D14747" s="280">
        <f t="shared" si="2300"/>
        <v>45883</v>
      </c>
      <c r="E14747" s="281">
        <f t="shared" si="2301"/>
        <v>45883</v>
      </c>
      <c r="F14747" s="480"/>
      <c r="G14747" s="221" t="s">
        <v>74</v>
      </c>
      <c r="H14747" s="145"/>
      <c r="I14747" s="145"/>
      <c r="J14747" s="163" t="s">
        <v>52</v>
      </c>
      <c r="K14747" s="219"/>
      <c r="L14747" s="219">
        <v>181867.7</v>
      </c>
    </row>
    <row r="14748" spans="1:14" x14ac:dyDescent="0.2">
      <c r="A14748" s="168">
        <v>2025</v>
      </c>
      <c r="B14748" s="133">
        <v>8</v>
      </c>
      <c r="C14748" s="168">
        <v>14</v>
      </c>
      <c r="D14748" s="147">
        <f>DATE(A14748,B14748,C14748)</f>
        <v>45883</v>
      </c>
      <c r="E14748" s="311">
        <f>DATE(A14748,B14748,C14748)</f>
        <v>45883</v>
      </c>
      <c r="F14748" s="481" t="s">
        <v>1943</v>
      </c>
      <c r="G14748" s="174" t="s">
        <v>74</v>
      </c>
      <c r="I14748" s="148" t="s">
        <v>348</v>
      </c>
      <c r="J14748" s="133" t="s">
        <v>61</v>
      </c>
      <c r="K14748" s="172">
        <v>116</v>
      </c>
    </row>
    <row r="14749" spans="1:14" x14ac:dyDescent="0.2">
      <c r="A14749" s="163">
        <v>2025</v>
      </c>
      <c r="B14749" s="163">
        <v>8</v>
      </c>
      <c r="C14749" s="163">
        <v>14</v>
      </c>
      <c r="D14749" s="280">
        <f>DATE(A14749,B14749,C14749)</f>
        <v>45883</v>
      </c>
      <c r="E14749" s="281">
        <f>DATE(A14749,B14749,C14749)</f>
        <v>45883</v>
      </c>
      <c r="F14749" s="480"/>
      <c r="G14749" s="221" t="s">
        <v>74</v>
      </c>
      <c r="H14749" s="145"/>
      <c r="I14749" s="145" t="s">
        <v>348</v>
      </c>
      <c r="J14749" s="163" t="s">
        <v>52</v>
      </c>
      <c r="K14749" s="219"/>
      <c r="L14749" s="219">
        <f>K14748</f>
        <v>116</v>
      </c>
    </row>
    <row r="14750" spans="1:14" ht="11.25" customHeight="1" x14ac:dyDescent="0.2">
      <c r="A14750" s="168">
        <v>2025</v>
      </c>
      <c r="B14750" s="168">
        <v>8</v>
      </c>
      <c r="C14750" s="133">
        <v>14</v>
      </c>
      <c r="D14750" s="141">
        <f t="shared" ref="D14750:D14781" si="2302">DATE(A14750,B14750,C14750)</f>
        <v>45883</v>
      </c>
      <c r="E14750" s="275">
        <f t="shared" ref="E14750:E14781" si="2303">DATE(A14750,B14750,C14750)</f>
        <v>45883</v>
      </c>
      <c r="F14750" s="479" t="s">
        <v>2108</v>
      </c>
      <c r="G14750" s="220" t="s">
        <v>94</v>
      </c>
      <c r="H14750" s="220"/>
      <c r="I14750" s="142"/>
      <c r="J14750" s="143" t="s">
        <v>79</v>
      </c>
      <c r="K14750" s="226">
        <v>1057030.1000000001</v>
      </c>
      <c r="L14750" s="226"/>
      <c r="M14750" s="160"/>
    </row>
    <row r="14751" spans="1:14" x14ac:dyDescent="0.2">
      <c r="A14751" s="133">
        <v>2025</v>
      </c>
      <c r="B14751" s="133">
        <v>8</v>
      </c>
      <c r="C14751" s="133">
        <v>14</v>
      </c>
      <c r="D14751" s="141">
        <f t="shared" si="2302"/>
        <v>45883</v>
      </c>
      <c r="E14751" s="275">
        <f t="shared" si="2303"/>
        <v>45883</v>
      </c>
      <c r="F14751" s="481"/>
      <c r="G14751" s="174" t="s">
        <v>94</v>
      </c>
      <c r="H14751" s="174"/>
      <c r="J14751" s="149" t="s">
        <v>80</v>
      </c>
      <c r="K14751" s="218">
        <v>1902.65</v>
      </c>
      <c r="L14751" s="133"/>
    </row>
    <row r="14752" spans="1:14" x14ac:dyDescent="0.2">
      <c r="A14752" s="163">
        <v>2025</v>
      </c>
      <c r="B14752" s="163">
        <v>8</v>
      </c>
      <c r="C14752" s="163">
        <v>14</v>
      </c>
      <c r="D14752" s="280">
        <f t="shared" si="2302"/>
        <v>45883</v>
      </c>
      <c r="E14752" s="281">
        <f t="shared" si="2303"/>
        <v>45883</v>
      </c>
      <c r="F14752" s="480"/>
      <c r="G14752" s="221" t="s">
        <v>94</v>
      </c>
      <c r="H14752" s="221"/>
      <c r="I14752" s="145"/>
      <c r="J14752" s="146" t="s">
        <v>147</v>
      </c>
      <c r="K14752" s="219"/>
      <c r="L14752" s="219">
        <v>1058932.75</v>
      </c>
    </row>
    <row r="14753" spans="1:17" ht="11.25" customHeight="1" x14ac:dyDescent="0.2">
      <c r="A14753" s="168">
        <v>2025</v>
      </c>
      <c r="B14753" s="168">
        <v>8</v>
      </c>
      <c r="C14753" s="133">
        <v>14</v>
      </c>
      <c r="D14753" s="141">
        <f>DATE(A14753,B14753,C14753)</f>
        <v>45883</v>
      </c>
      <c r="E14753" s="275">
        <f>DATE(A14753,B14753,C14753)</f>
        <v>45883</v>
      </c>
      <c r="F14753" s="481" t="s">
        <v>2111</v>
      </c>
      <c r="G14753" s="174" t="s">
        <v>74</v>
      </c>
      <c r="H14753" s="174"/>
      <c r="I14753" s="148" t="s">
        <v>348</v>
      </c>
      <c r="J14753" s="149" t="s">
        <v>52</v>
      </c>
      <c r="K14753" s="218">
        <v>1097524.48</v>
      </c>
      <c r="L14753" s="218"/>
      <c r="M14753" s="147"/>
      <c r="Q14753" s="133" t="s">
        <v>348</v>
      </c>
    </row>
    <row r="14754" spans="1:17" x14ac:dyDescent="0.2">
      <c r="A14754" s="133">
        <v>2025</v>
      </c>
      <c r="B14754" s="133">
        <v>8</v>
      </c>
      <c r="C14754" s="133">
        <v>14</v>
      </c>
      <c r="D14754" s="141">
        <f t="shared" ref="D14754" si="2304">DATE(A14754,B14754,C14754)</f>
        <v>45883</v>
      </c>
      <c r="E14754" s="275">
        <f t="shared" ref="E14754" si="2305">DATE(A14754,B14754,C14754)</f>
        <v>45883</v>
      </c>
      <c r="F14754" s="481"/>
      <c r="G14754" s="174" t="s">
        <v>74</v>
      </c>
      <c r="H14754" s="174"/>
      <c r="J14754" s="149" t="s">
        <v>1810</v>
      </c>
      <c r="K14754" s="218"/>
      <c r="L14754" s="218">
        <v>36188.139999999898</v>
      </c>
      <c r="M14754" s="147"/>
    </row>
    <row r="14755" spans="1:17" x14ac:dyDescent="0.2">
      <c r="A14755" s="163">
        <v>2025</v>
      </c>
      <c r="B14755" s="163">
        <v>8</v>
      </c>
      <c r="C14755" s="163">
        <v>14</v>
      </c>
      <c r="D14755" s="280">
        <f>DATE(A14755,B14755,C14755)</f>
        <v>45883</v>
      </c>
      <c r="E14755" s="281">
        <f>DATE(A14755,B14755,C14755)</f>
        <v>45883</v>
      </c>
      <c r="F14755" s="480"/>
      <c r="G14755" s="221" t="s">
        <v>74</v>
      </c>
      <c r="H14755" s="221"/>
      <c r="I14755" s="145"/>
      <c r="J14755" s="146" t="s">
        <v>1805</v>
      </c>
      <c r="K14755" s="219"/>
      <c r="L14755" s="219">
        <v>1061336.3400000001</v>
      </c>
      <c r="M14755" s="147"/>
      <c r="Q14755" s="133" t="s">
        <v>348</v>
      </c>
    </row>
    <row r="14756" spans="1:17" ht="11.25" customHeight="1" x14ac:dyDescent="0.2">
      <c r="A14756" s="168">
        <v>2025</v>
      </c>
      <c r="B14756" s="133">
        <v>8</v>
      </c>
      <c r="C14756" s="168">
        <v>14</v>
      </c>
      <c r="D14756" s="141">
        <f t="shared" ref="D14756:D14757" si="2306">DATE(A14756,B14756,C14756)</f>
        <v>45883</v>
      </c>
      <c r="E14756" s="275">
        <f t="shared" ref="E14756:E14757" si="2307">DATE(A14756,B14756,C14756)</f>
        <v>45883</v>
      </c>
      <c r="F14756" s="479" t="s">
        <v>2037</v>
      </c>
      <c r="G14756" s="220" t="s">
        <v>74</v>
      </c>
      <c r="H14756" s="220"/>
      <c r="I14756" s="142"/>
      <c r="J14756" s="143" t="s">
        <v>52</v>
      </c>
      <c r="K14756" s="226">
        <v>771954.71</v>
      </c>
      <c r="L14756" s="226"/>
    </row>
    <row r="14757" spans="1:17" x14ac:dyDescent="0.2">
      <c r="A14757" s="163">
        <v>2025</v>
      </c>
      <c r="B14757" s="163">
        <v>8</v>
      </c>
      <c r="C14757" s="163">
        <v>14</v>
      </c>
      <c r="D14757" s="280">
        <f t="shared" si="2306"/>
        <v>45883</v>
      </c>
      <c r="E14757" s="281">
        <f t="shared" si="2307"/>
        <v>45883</v>
      </c>
      <c r="F14757" s="480"/>
      <c r="G14757" s="221" t="s">
        <v>74</v>
      </c>
      <c r="H14757" s="221"/>
      <c r="I14757" s="145"/>
      <c r="J14757" s="146" t="s">
        <v>190</v>
      </c>
      <c r="K14757" s="219"/>
      <c r="L14757" s="219">
        <f>K14756</f>
        <v>771954.71</v>
      </c>
      <c r="N14757" s="264"/>
    </row>
    <row r="14758" spans="1:17" x14ac:dyDescent="0.2">
      <c r="A14758" s="325">
        <v>2025</v>
      </c>
      <c r="B14758" s="325">
        <v>8</v>
      </c>
      <c r="C14758" s="325">
        <v>14</v>
      </c>
      <c r="D14758" s="326">
        <f t="shared" si="2302"/>
        <v>45883</v>
      </c>
      <c r="E14758" s="327">
        <f t="shared" si="2303"/>
        <v>45883</v>
      </c>
      <c r="F14758" s="473" t="s">
        <v>1940</v>
      </c>
      <c r="G14758" s="340" t="s">
        <v>94</v>
      </c>
      <c r="H14758" s="340"/>
      <c r="I14758" s="341" t="s">
        <v>348</v>
      </c>
      <c r="J14758" s="374" t="s">
        <v>133</v>
      </c>
      <c r="K14758" s="375">
        <v>12905.56</v>
      </c>
      <c r="L14758" s="375"/>
      <c r="M14758" s="176"/>
    </row>
    <row r="14759" spans="1:17" x14ac:dyDescent="0.2">
      <c r="A14759" s="331">
        <v>2025</v>
      </c>
      <c r="B14759" s="331">
        <v>8</v>
      </c>
      <c r="C14759" s="331">
        <v>14</v>
      </c>
      <c r="D14759" s="326">
        <f t="shared" si="2302"/>
        <v>45883</v>
      </c>
      <c r="E14759" s="327">
        <f t="shared" si="2303"/>
        <v>45883</v>
      </c>
      <c r="F14759" s="474"/>
      <c r="G14759" s="332" t="s">
        <v>94</v>
      </c>
      <c r="H14759" s="332"/>
      <c r="I14759" s="333" t="s">
        <v>348</v>
      </c>
      <c r="J14759" s="376" t="s">
        <v>60</v>
      </c>
      <c r="K14759" s="334"/>
      <c r="L14759" s="334">
        <f>K14758</f>
        <v>12905.56</v>
      </c>
    </row>
    <row r="14760" spans="1:17" x14ac:dyDescent="0.2">
      <c r="A14760" s="325">
        <v>2025</v>
      </c>
      <c r="B14760" s="325">
        <v>8</v>
      </c>
      <c r="C14760" s="325">
        <v>14</v>
      </c>
      <c r="D14760" s="326">
        <f t="shared" si="2302"/>
        <v>45883</v>
      </c>
      <c r="E14760" s="327">
        <f t="shared" si="2303"/>
        <v>45883</v>
      </c>
      <c r="F14760" s="473" t="s">
        <v>2097</v>
      </c>
      <c r="G14760" s="340" t="s">
        <v>94</v>
      </c>
      <c r="H14760" s="340"/>
      <c r="I14760" s="341" t="s">
        <v>348</v>
      </c>
      <c r="J14760" s="374" t="s">
        <v>133</v>
      </c>
      <c r="K14760" s="375">
        <v>6250</v>
      </c>
      <c r="L14760" s="375"/>
      <c r="M14760" s="176"/>
    </row>
    <row r="14761" spans="1:17" x14ac:dyDescent="0.2">
      <c r="A14761" s="331">
        <v>2025</v>
      </c>
      <c r="B14761" s="331">
        <v>8</v>
      </c>
      <c r="C14761" s="331">
        <v>14</v>
      </c>
      <c r="D14761" s="326">
        <f t="shared" si="2302"/>
        <v>45883</v>
      </c>
      <c r="E14761" s="327">
        <f t="shared" si="2303"/>
        <v>45883</v>
      </c>
      <c r="F14761" s="474"/>
      <c r="G14761" s="332" t="s">
        <v>94</v>
      </c>
      <c r="H14761" s="332"/>
      <c r="I14761" s="333" t="s">
        <v>348</v>
      </c>
      <c r="J14761" s="376" t="s">
        <v>60</v>
      </c>
      <c r="K14761" s="334"/>
      <c r="L14761" s="334">
        <f>K14760</f>
        <v>6250</v>
      </c>
    </row>
    <row r="14762" spans="1:17" x14ac:dyDescent="0.2">
      <c r="A14762" s="384">
        <v>2025</v>
      </c>
      <c r="B14762" s="384">
        <v>8</v>
      </c>
      <c r="C14762" s="384">
        <v>14</v>
      </c>
      <c r="D14762" s="385">
        <f t="shared" si="2302"/>
        <v>45883</v>
      </c>
      <c r="E14762" s="386">
        <f t="shared" si="2303"/>
        <v>45883</v>
      </c>
      <c r="F14762" s="475" t="s">
        <v>1966</v>
      </c>
      <c r="G14762" s="387" t="s">
        <v>94</v>
      </c>
      <c r="H14762" s="387"/>
      <c r="I14762" s="388" t="s">
        <v>348</v>
      </c>
      <c r="J14762" s="389" t="s">
        <v>67</v>
      </c>
      <c r="K14762" s="390">
        <v>2297.13</v>
      </c>
      <c r="L14762" s="390"/>
    </row>
    <row r="14763" spans="1:17" x14ac:dyDescent="0.2">
      <c r="A14763" s="391">
        <v>2025</v>
      </c>
      <c r="B14763" s="391">
        <v>8</v>
      </c>
      <c r="C14763" s="391">
        <v>14</v>
      </c>
      <c r="D14763" s="385">
        <f t="shared" si="2302"/>
        <v>45883</v>
      </c>
      <c r="E14763" s="386">
        <f t="shared" si="2303"/>
        <v>45883</v>
      </c>
      <c r="F14763" s="476"/>
      <c r="G14763" s="392" t="s">
        <v>94</v>
      </c>
      <c r="H14763" s="392"/>
      <c r="I14763" s="393" t="s">
        <v>348</v>
      </c>
      <c r="J14763" s="394" t="s">
        <v>60</v>
      </c>
      <c r="K14763" s="395"/>
      <c r="L14763" s="395">
        <f>K14762</f>
        <v>2297.13</v>
      </c>
    </row>
    <row r="14764" spans="1:17" x14ac:dyDescent="0.2">
      <c r="A14764" s="343">
        <v>2025</v>
      </c>
      <c r="B14764" s="343">
        <v>8</v>
      </c>
      <c r="C14764" s="343">
        <v>14</v>
      </c>
      <c r="D14764" s="344">
        <f t="shared" si="2302"/>
        <v>45883</v>
      </c>
      <c r="E14764" s="345">
        <f t="shared" si="2303"/>
        <v>45883</v>
      </c>
      <c r="F14764" s="483" t="s">
        <v>1813</v>
      </c>
      <c r="G14764" s="350" t="s">
        <v>94</v>
      </c>
      <c r="H14764" s="350"/>
      <c r="I14764" s="352" t="s">
        <v>348</v>
      </c>
      <c r="J14764" s="353" t="s">
        <v>1807</v>
      </c>
      <c r="K14764" s="354">
        <v>0</v>
      </c>
      <c r="L14764" s="354"/>
      <c r="M14764" s="133">
        <v>0</v>
      </c>
    </row>
    <row r="14765" spans="1:17" x14ac:dyDescent="0.2">
      <c r="A14765" s="346">
        <v>2025</v>
      </c>
      <c r="B14765" s="346">
        <v>8</v>
      </c>
      <c r="C14765" s="346">
        <v>14</v>
      </c>
      <c r="D14765" s="344">
        <f t="shared" si="2302"/>
        <v>45883</v>
      </c>
      <c r="E14765" s="345">
        <f t="shared" si="2303"/>
        <v>45883</v>
      </c>
      <c r="F14765" s="484"/>
      <c r="G14765" s="347" t="s">
        <v>94</v>
      </c>
      <c r="H14765" s="347"/>
      <c r="I14765" s="348" t="s">
        <v>348</v>
      </c>
      <c r="J14765" s="355" t="s">
        <v>1798</v>
      </c>
      <c r="K14765" s="349"/>
      <c r="L14765" s="349">
        <v>0</v>
      </c>
    </row>
    <row r="14766" spans="1:17" x14ac:dyDescent="0.2">
      <c r="A14766" s="343">
        <v>2025</v>
      </c>
      <c r="B14766" s="343">
        <v>8</v>
      </c>
      <c r="C14766" s="343">
        <v>14</v>
      </c>
      <c r="D14766" s="344">
        <f t="shared" si="2302"/>
        <v>45883</v>
      </c>
      <c r="E14766" s="345">
        <f t="shared" si="2303"/>
        <v>45883</v>
      </c>
      <c r="F14766" s="483" t="s">
        <v>1913</v>
      </c>
      <c r="G14766" s="350" t="s">
        <v>94</v>
      </c>
      <c r="H14766" s="350"/>
      <c r="I14766" s="352" t="s">
        <v>348</v>
      </c>
      <c r="J14766" s="353" t="s">
        <v>1799</v>
      </c>
      <c r="K14766" s="354">
        <v>1990497.4600000046</v>
      </c>
      <c r="L14766" s="354"/>
      <c r="M14766" s="160">
        <v>0</v>
      </c>
    </row>
    <row r="14767" spans="1:17" x14ac:dyDescent="0.2">
      <c r="A14767" s="346">
        <v>2025</v>
      </c>
      <c r="B14767" s="346">
        <v>8</v>
      </c>
      <c r="C14767" s="346">
        <v>14</v>
      </c>
      <c r="D14767" s="344">
        <f t="shared" si="2302"/>
        <v>45883</v>
      </c>
      <c r="E14767" s="345">
        <f t="shared" si="2303"/>
        <v>45883</v>
      </c>
      <c r="F14767" s="484"/>
      <c r="G14767" s="347" t="s">
        <v>94</v>
      </c>
      <c r="H14767" s="347"/>
      <c r="I14767" s="348" t="s">
        <v>348</v>
      </c>
      <c r="J14767" s="355" t="s">
        <v>1808</v>
      </c>
      <c r="K14767" s="349"/>
      <c r="L14767" s="349">
        <f>K14766</f>
        <v>1990497.4600000046</v>
      </c>
    </row>
    <row r="14768" spans="1:17" x14ac:dyDescent="0.2">
      <c r="A14768" s="238">
        <v>2025</v>
      </c>
      <c r="B14768" s="238">
        <v>8</v>
      </c>
      <c r="C14768" s="238">
        <v>14</v>
      </c>
      <c r="D14768" s="270">
        <f t="shared" si="2302"/>
        <v>45883</v>
      </c>
      <c r="E14768" s="279">
        <f t="shared" si="2303"/>
        <v>45883</v>
      </c>
      <c r="F14768" s="477" t="s">
        <v>347</v>
      </c>
      <c r="G14768" s="239" t="s">
        <v>94</v>
      </c>
      <c r="H14768" s="239"/>
      <c r="I14768" s="262" t="s">
        <v>348</v>
      </c>
      <c r="J14768" s="240" t="s">
        <v>82</v>
      </c>
      <c r="K14768" s="241">
        <v>972096.62550002337</v>
      </c>
      <c r="L14768" s="241"/>
      <c r="M14768" s="160">
        <v>13139541.900000483</v>
      </c>
    </row>
    <row r="14769" spans="1:13" x14ac:dyDescent="0.2">
      <c r="A14769" s="242">
        <v>2025</v>
      </c>
      <c r="B14769" s="242">
        <v>8</v>
      </c>
      <c r="C14769" s="242">
        <v>14</v>
      </c>
      <c r="D14769" s="270">
        <f t="shared" si="2302"/>
        <v>45883</v>
      </c>
      <c r="E14769" s="279">
        <f t="shared" si="2303"/>
        <v>45883</v>
      </c>
      <c r="F14769" s="478"/>
      <c r="G14769" s="243" t="s">
        <v>94</v>
      </c>
      <c r="H14769" s="243"/>
      <c r="I14769" s="263" t="s">
        <v>348</v>
      </c>
      <c r="J14769" s="244" t="s">
        <v>108</v>
      </c>
      <c r="K14769" s="245"/>
      <c r="L14769" s="245">
        <f>K14768</f>
        <v>972096.62550002337</v>
      </c>
    </row>
    <row r="14770" spans="1:13" ht="12" customHeight="1" x14ac:dyDescent="0.2">
      <c r="A14770" s="246">
        <v>2025</v>
      </c>
      <c r="B14770" s="238">
        <v>8</v>
      </c>
      <c r="C14770" s="238">
        <v>14</v>
      </c>
      <c r="D14770" s="270">
        <f t="shared" si="2302"/>
        <v>45883</v>
      </c>
      <c r="E14770" s="279">
        <f t="shared" si="2303"/>
        <v>45883</v>
      </c>
      <c r="F14770" s="482" t="s">
        <v>148</v>
      </c>
      <c r="G14770" s="247" t="s">
        <v>94</v>
      </c>
      <c r="H14770" s="247"/>
      <c r="I14770" s="248" t="s">
        <v>348</v>
      </c>
      <c r="J14770" s="249" t="s">
        <v>95</v>
      </c>
      <c r="K14770" s="250">
        <v>2747.2527472527472</v>
      </c>
      <c r="L14770" s="241"/>
      <c r="M14770" s="176"/>
    </row>
    <row r="14771" spans="1:13" x14ac:dyDescent="0.2">
      <c r="A14771" s="242">
        <v>2025</v>
      </c>
      <c r="B14771" s="242">
        <v>8</v>
      </c>
      <c r="C14771" s="242">
        <v>14</v>
      </c>
      <c r="D14771" s="270">
        <f t="shared" si="2302"/>
        <v>45883</v>
      </c>
      <c r="E14771" s="279">
        <f t="shared" si="2303"/>
        <v>45883</v>
      </c>
      <c r="F14771" s="478"/>
      <c r="G14771" s="243" t="s">
        <v>94</v>
      </c>
      <c r="H14771" s="243"/>
      <c r="I14771" s="263" t="s">
        <v>348</v>
      </c>
      <c r="J14771" s="244" t="s">
        <v>63</v>
      </c>
      <c r="K14771" s="245"/>
      <c r="L14771" s="245">
        <f>K14770</f>
        <v>2747.2527472527472</v>
      </c>
    </row>
    <row r="14772" spans="1:13" x14ac:dyDescent="0.2">
      <c r="A14772" s="246">
        <v>2025</v>
      </c>
      <c r="B14772" s="238">
        <v>8</v>
      </c>
      <c r="C14772" s="238">
        <v>14</v>
      </c>
      <c r="D14772" s="270">
        <f t="shared" si="2302"/>
        <v>45883</v>
      </c>
      <c r="E14772" s="279">
        <f t="shared" si="2303"/>
        <v>45883</v>
      </c>
      <c r="F14772" s="482" t="s">
        <v>137</v>
      </c>
      <c r="G14772" s="247" t="s">
        <v>94</v>
      </c>
      <c r="H14772" s="247"/>
      <c r="I14772" s="248" t="s">
        <v>348</v>
      </c>
      <c r="J14772" s="249" t="s">
        <v>97</v>
      </c>
      <c r="K14772" s="250">
        <f>M14772</f>
        <v>80376.084707971444</v>
      </c>
      <c r="L14772" s="252"/>
      <c r="M14772" s="133">
        <v>80376.084707971444</v>
      </c>
    </row>
    <row r="14773" spans="1:13" x14ac:dyDescent="0.2">
      <c r="A14773" s="242">
        <v>2025</v>
      </c>
      <c r="B14773" s="242">
        <v>8</v>
      </c>
      <c r="C14773" s="242">
        <v>14</v>
      </c>
      <c r="D14773" s="270">
        <f t="shared" si="2302"/>
        <v>45883</v>
      </c>
      <c r="E14773" s="279">
        <f t="shared" si="2303"/>
        <v>45883</v>
      </c>
      <c r="F14773" s="478"/>
      <c r="G14773" s="243" t="s">
        <v>94</v>
      </c>
      <c r="H14773" s="243"/>
      <c r="I14773" s="263" t="s">
        <v>348</v>
      </c>
      <c r="J14773" s="244" t="s">
        <v>47</v>
      </c>
      <c r="K14773" s="245"/>
      <c r="L14773" s="245">
        <f>K14772</f>
        <v>80376.084707971444</v>
      </c>
      <c r="M14773" s="133">
        <v>3778.4196200139568</v>
      </c>
    </row>
    <row r="14774" spans="1:13" x14ac:dyDescent="0.2">
      <c r="A14774" s="246">
        <v>2025</v>
      </c>
      <c r="B14774" s="238">
        <v>8</v>
      </c>
      <c r="C14774" s="238">
        <v>14</v>
      </c>
      <c r="D14774" s="270">
        <f t="shared" si="2302"/>
        <v>45883</v>
      </c>
      <c r="E14774" s="279">
        <f t="shared" si="2303"/>
        <v>45883</v>
      </c>
      <c r="F14774" s="482" t="s">
        <v>138</v>
      </c>
      <c r="G14774" s="247" t="s">
        <v>94</v>
      </c>
      <c r="H14774" s="247"/>
      <c r="I14774" s="248" t="s">
        <v>348</v>
      </c>
      <c r="J14774" s="249" t="s">
        <v>100</v>
      </c>
      <c r="K14774" s="250">
        <f>M14773</f>
        <v>3778.4196200139568</v>
      </c>
      <c r="L14774" s="252"/>
    </row>
    <row r="14775" spans="1:13" x14ac:dyDescent="0.2">
      <c r="A14775" s="242">
        <v>2025</v>
      </c>
      <c r="B14775" s="242">
        <v>8</v>
      </c>
      <c r="C14775" s="242">
        <v>14</v>
      </c>
      <c r="D14775" s="321">
        <f t="shared" si="2302"/>
        <v>45883</v>
      </c>
      <c r="E14775" s="322">
        <f t="shared" si="2303"/>
        <v>45883</v>
      </c>
      <c r="F14775" s="478"/>
      <c r="G14775" s="243" t="s">
        <v>94</v>
      </c>
      <c r="H14775" s="243"/>
      <c r="I14775" s="263" t="s">
        <v>348</v>
      </c>
      <c r="J14775" s="244" t="s">
        <v>48</v>
      </c>
      <c r="K14775" s="245"/>
      <c r="L14775" s="245">
        <f>K14774</f>
        <v>3778.4196200139568</v>
      </c>
    </row>
    <row r="14776" spans="1:13" ht="11.25" customHeight="1" x14ac:dyDescent="0.2">
      <c r="A14776" s="168">
        <v>2025</v>
      </c>
      <c r="B14776" s="168">
        <v>8</v>
      </c>
      <c r="C14776" s="133">
        <v>17</v>
      </c>
      <c r="D14776" s="141">
        <f t="shared" ref="D14776:D14778" si="2308">DATE(A14776,B14776,C14776)</f>
        <v>45886</v>
      </c>
      <c r="E14776" s="275">
        <f t="shared" ref="E14776:E14778" si="2309">DATE(A14776,B14776,C14776)</f>
        <v>45886</v>
      </c>
      <c r="F14776" s="479" t="s">
        <v>964</v>
      </c>
      <c r="G14776" s="220" t="s">
        <v>74</v>
      </c>
      <c r="H14776" s="142"/>
      <c r="I14776" s="142"/>
      <c r="J14776" s="168" t="s">
        <v>52</v>
      </c>
      <c r="K14776" s="226">
        <v>2000</v>
      </c>
      <c r="L14776" s="226"/>
    </row>
    <row r="14777" spans="1:13" ht="11.25" customHeight="1" x14ac:dyDescent="0.2">
      <c r="A14777" s="133">
        <v>2025</v>
      </c>
      <c r="B14777" s="133">
        <v>8</v>
      </c>
      <c r="C14777" s="133">
        <v>17</v>
      </c>
      <c r="D14777" s="141">
        <f t="shared" si="2308"/>
        <v>45886</v>
      </c>
      <c r="E14777" s="275">
        <f t="shared" si="2309"/>
        <v>45886</v>
      </c>
      <c r="F14777" s="481"/>
      <c r="G14777" s="174" t="s">
        <v>74</v>
      </c>
      <c r="J14777" s="133" t="s">
        <v>13</v>
      </c>
      <c r="K14777" s="218"/>
      <c r="L14777" s="218">
        <v>1390</v>
      </c>
    </row>
    <row r="14778" spans="1:13" ht="11.25" customHeight="1" x14ac:dyDescent="0.2">
      <c r="A14778" s="163">
        <v>2025</v>
      </c>
      <c r="B14778" s="163">
        <v>8</v>
      </c>
      <c r="C14778" s="163">
        <v>17</v>
      </c>
      <c r="D14778" s="280">
        <f t="shared" si="2308"/>
        <v>45886</v>
      </c>
      <c r="E14778" s="281">
        <f t="shared" si="2309"/>
        <v>45886</v>
      </c>
      <c r="F14778" s="480"/>
      <c r="G14778" s="221" t="s">
        <v>74</v>
      </c>
      <c r="H14778" s="145"/>
      <c r="I14778" s="145"/>
      <c r="J14778" s="163" t="s">
        <v>53</v>
      </c>
      <c r="K14778" s="219"/>
      <c r="L14778" s="219">
        <v>610</v>
      </c>
    </row>
    <row r="14779" spans="1:13" ht="11.25" customHeight="1" x14ac:dyDescent="0.2">
      <c r="A14779" s="168">
        <v>2025</v>
      </c>
      <c r="B14779" s="168">
        <v>8</v>
      </c>
      <c r="C14779" s="133">
        <v>17</v>
      </c>
      <c r="D14779" s="141">
        <f t="shared" si="2302"/>
        <v>45886</v>
      </c>
      <c r="E14779" s="275">
        <f t="shared" si="2303"/>
        <v>45886</v>
      </c>
      <c r="F14779" s="479" t="s">
        <v>964</v>
      </c>
      <c r="G14779" s="220" t="s">
        <v>74</v>
      </c>
      <c r="H14779" s="142"/>
      <c r="I14779" s="142"/>
      <c r="J14779" s="168" t="s">
        <v>52</v>
      </c>
      <c r="K14779" s="226">
        <v>100000</v>
      </c>
      <c r="L14779" s="226"/>
    </row>
    <row r="14780" spans="1:13" ht="11.25" customHeight="1" x14ac:dyDescent="0.2">
      <c r="A14780" s="133">
        <v>2025</v>
      </c>
      <c r="B14780" s="133">
        <v>8</v>
      </c>
      <c r="C14780" s="133">
        <v>17</v>
      </c>
      <c r="D14780" s="141">
        <f t="shared" si="2302"/>
        <v>45886</v>
      </c>
      <c r="E14780" s="275">
        <f t="shared" si="2303"/>
        <v>45886</v>
      </c>
      <c r="F14780" s="481"/>
      <c r="G14780" s="174" t="s">
        <v>74</v>
      </c>
      <c r="J14780" s="133" t="s">
        <v>13</v>
      </c>
      <c r="K14780" s="218"/>
      <c r="L14780" s="218">
        <v>69390</v>
      </c>
    </row>
    <row r="14781" spans="1:13" ht="11.25" customHeight="1" x14ac:dyDescent="0.2">
      <c r="A14781" s="163">
        <v>2025</v>
      </c>
      <c r="B14781" s="163">
        <v>8</v>
      </c>
      <c r="C14781" s="163">
        <v>17</v>
      </c>
      <c r="D14781" s="280">
        <f t="shared" si="2302"/>
        <v>45886</v>
      </c>
      <c r="E14781" s="281">
        <f t="shared" si="2303"/>
        <v>45886</v>
      </c>
      <c r="F14781" s="480"/>
      <c r="G14781" s="221" t="s">
        <v>74</v>
      </c>
      <c r="H14781" s="145"/>
      <c r="I14781" s="145"/>
      <c r="J14781" s="163" t="s">
        <v>53</v>
      </c>
      <c r="K14781" s="219"/>
      <c r="L14781" s="219">
        <v>30610</v>
      </c>
    </row>
    <row r="14782" spans="1:13" ht="11.25" customHeight="1" x14ac:dyDescent="0.2">
      <c r="A14782" s="168">
        <v>2025</v>
      </c>
      <c r="B14782" s="168">
        <v>8</v>
      </c>
      <c r="C14782" s="133">
        <v>17</v>
      </c>
      <c r="D14782" s="141">
        <f t="shared" ref="D14782:D14786" si="2310">DATE(A14782,B14782,C14782)</f>
        <v>45886</v>
      </c>
      <c r="E14782" s="275">
        <f t="shared" ref="E14782:E14786" si="2311">DATE(A14782,B14782,C14782)</f>
        <v>45886</v>
      </c>
      <c r="F14782" s="479" t="s">
        <v>964</v>
      </c>
      <c r="G14782" s="220" t="s">
        <v>74</v>
      </c>
      <c r="H14782" s="142"/>
      <c r="I14782" s="142"/>
      <c r="J14782" s="168" t="s">
        <v>52</v>
      </c>
      <c r="K14782" s="226">
        <v>300000</v>
      </c>
      <c r="L14782" s="226"/>
    </row>
    <row r="14783" spans="1:13" ht="11.25" customHeight="1" x14ac:dyDescent="0.2">
      <c r="A14783" s="133">
        <v>2025</v>
      </c>
      <c r="B14783" s="133">
        <v>8</v>
      </c>
      <c r="C14783" s="133">
        <v>17</v>
      </c>
      <c r="D14783" s="141">
        <f t="shared" si="2310"/>
        <v>45886</v>
      </c>
      <c r="E14783" s="275">
        <f t="shared" si="2311"/>
        <v>45886</v>
      </c>
      <c r="F14783" s="481"/>
      <c r="G14783" s="174" t="s">
        <v>74</v>
      </c>
      <c r="J14783" s="133" t="s">
        <v>13</v>
      </c>
      <c r="K14783" s="218"/>
      <c r="L14783" s="218">
        <v>208160</v>
      </c>
    </row>
    <row r="14784" spans="1:13" ht="11.25" customHeight="1" x14ac:dyDescent="0.2">
      <c r="A14784" s="163">
        <v>2025</v>
      </c>
      <c r="B14784" s="163">
        <v>8</v>
      </c>
      <c r="C14784" s="163">
        <v>17</v>
      </c>
      <c r="D14784" s="280">
        <f t="shared" si="2310"/>
        <v>45886</v>
      </c>
      <c r="E14784" s="281">
        <f t="shared" si="2311"/>
        <v>45886</v>
      </c>
      <c r="F14784" s="480"/>
      <c r="G14784" s="221" t="s">
        <v>74</v>
      </c>
      <c r="H14784" s="145"/>
      <c r="I14784" s="145"/>
      <c r="J14784" s="163" t="s">
        <v>53</v>
      </c>
      <c r="K14784" s="219"/>
      <c r="L14784" s="219">
        <v>91840</v>
      </c>
    </row>
    <row r="14785" spans="1:14" ht="11.25" customHeight="1" x14ac:dyDescent="0.2">
      <c r="A14785" s="168">
        <v>2025</v>
      </c>
      <c r="B14785" s="133">
        <v>8</v>
      </c>
      <c r="C14785" s="168">
        <v>17</v>
      </c>
      <c r="D14785" s="141">
        <f t="shared" si="2310"/>
        <v>45886</v>
      </c>
      <c r="E14785" s="275">
        <f t="shared" si="2311"/>
        <v>45886</v>
      </c>
      <c r="F14785" s="479" t="s">
        <v>2074</v>
      </c>
      <c r="G14785" s="220" t="s">
        <v>74</v>
      </c>
      <c r="H14785" s="220"/>
      <c r="I14785" s="142"/>
      <c r="J14785" s="143" t="s">
        <v>147</v>
      </c>
      <c r="K14785" s="226">
        <v>1058932.75</v>
      </c>
      <c r="L14785" s="226"/>
    </row>
    <row r="14786" spans="1:14" x14ac:dyDescent="0.2">
      <c r="A14786" s="163">
        <v>2025</v>
      </c>
      <c r="B14786" s="163">
        <v>8</v>
      </c>
      <c r="C14786" s="163">
        <v>17</v>
      </c>
      <c r="D14786" s="280">
        <f t="shared" si="2310"/>
        <v>45886</v>
      </c>
      <c r="E14786" s="281">
        <f t="shared" si="2311"/>
        <v>45886</v>
      </c>
      <c r="F14786" s="480"/>
      <c r="G14786" s="221" t="s">
        <v>74</v>
      </c>
      <c r="H14786" s="221"/>
      <c r="I14786" s="145"/>
      <c r="J14786" s="146" t="s">
        <v>52</v>
      </c>
      <c r="K14786" s="219"/>
      <c r="L14786" s="219">
        <f>K14785</f>
        <v>1058932.75</v>
      </c>
      <c r="N14786" s="264"/>
    </row>
    <row r="14787" spans="1:14" x14ac:dyDescent="0.2">
      <c r="A14787" s="168">
        <v>2025</v>
      </c>
      <c r="B14787" s="133">
        <v>8</v>
      </c>
      <c r="C14787" s="168">
        <v>17</v>
      </c>
      <c r="D14787" s="147">
        <f>DATE(A14787,B14787,C14787)</f>
        <v>45886</v>
      </c>
      <c r="E14787" s="311">
        <f>DATE(A14787,B14787,C14787)</f>
        <v>45886</v>
      </c>
      <c r="F14787" s="481" t="s">
        <v>1943</v>
      </c>
      <c r="G14787" s="174" t="s">
        <v>74</v>
      </c>
      <c r="I14787" s="148" t="s">
        <v>348</v>
      </c>
      <c r="J14787" s="133" t="s">
        <v>61</v>
      </c>
      <c r="K14787" s="172">
        <v>100</v>
      </c>
    </row>
    <row r="14788" spans="1:14" x14ac:dyDescent="0.2">
      <c r="A14788" s="163">
        <v>2025</v>
      </c>
      <c r="B14788" s="163">
        <v>8</v>
      </c>
      <c r="C14788" s="163">
        <v>17</v>
      </c>
      <c r="D14788" s="280">
        <f>DATE(A14788,B14788,C14788)</f>
        <v>45886</v>
      </c>
      <c r="E14788" s="281">
        <f>DATE(A14788,B14788,C14788)</f>
        <v>45886</v>
      </c>
      <c r="F14788" s="480"/>
      <c r="G14788" s="221" t="s">
        <v>74</v>
      </c>
      <c r="H14788" s="145"/>
      <c r="I14788" s="145" t="s">
        <v>348</v>
      </c>
      <c r="J14788" s="163" t="s">
        <v>52</v>
      </c>
      <c r="K14788" s="219"/>
      <c r="L14788" s="219">
        <f>K14787</f>
        <v>100</v>
      </c>
    </row>
    <row r="14789" spans="1:14" ht="11.25" customHeight="1" x14ac:dyDescent="0.2">
      <c r="A14789" s="168">
        <v>2025</v>
      </c>
      <c r="B14789" s="168">
        <v>8</v>
      </c>
      <c r="C14789" s="133">
        <v>17</v>
      </c>
      <c r="D14789" s="141">
        <f t="shared" ref="D14789:D14791" si="2312">DATE(A14789,B14789,C14789)</f>
        <v>45886</v>
      </c>
      <c r="E14789" s="275">
        <f t="shared" ref="E14789:E14791" si="2313">DATE(A14789,B14789,C14789)</f>
        <v>45886</v>
      </c>
      <c r="F14789" s="479" t="s">
        <v>2108</v>
      </c>
      <c r="G14789" s="220" t="s">
        <v>94</v>
      </c>
      <c r="H14789" s="220"/>
      <c r="I14789" s="142"/>
      <c r="J14789" s="143" t="s">
        <v>79</v>
      </c>
      <c r="K14789" s="226">
        <v>857880</v>
      </c>
      <c r="L14789" s="226"/>
      <c r="M14789" s="160"/>
    </row>
    <row r="14790" spans="1:14" x14ac:dyDescent="0.2">
      <c r="A14790" s="133">
        <v>2025</v>
      </c>
      <c r="B14790" s="133">
        <v>8</v>
      </c>
      <c r="C14790" s="133">
        <v>17</v>
      </c>
      <c r="D14790" s="141">
        <f t="shared" si="2312"/>
        <v>45886</v>
      </c>
      <c r="E14790" s="275">
        <f t="shared" si="2313"/>
        <v>45886</v>
      </c>
      <c r="F14790" s="481"/>
      <c r="G14790" s="174" t="s">
        <v>94</v>
      </c>
      <c r="H14790" s="174"/>
      <c r="J14790" s="149" t="s">
        <v>80</v>
      </c>
      <c r="K14790" s="218">
        <v>1544.18</v>
      </c>
      <c r="L14790" s="133"/>
    </row>
    <row r="14791" spans="1:14" x14ac:dyDescent="0.2">
      <c r="A14791" s="163">
        <v>2025</v>
      </c>
      <c r="B14791" s="163">
        <v>8</v>
      </c>
      <c r="C14791" s="163">
        <v>17</v>
      </c>
      <c r="D14791" s="280">
        <f t="shared" si="2312"/>
        <v>45886</v>
      </c>
      <c r="E14791" s="281">
        <f t="shared" si="2313"/>
        <v>45886</v>
      </c>
      <c r="F14791" s="480"/>
      <c r="G14791" s="221" t="s">
        <v>94</v>
      </c>
      <c r="H14791" s="221"/>
      <c r="I14791" s="145"/>
      <c r="J14791" s="146" t="s">
        <v>147</v>
      </c>
      <c r="K14791" s="219"/>
      <c r="L14791" s="219">
        <v>859424.18</v>
      </c>
    </row>
    <row r="14792" spans="1:14" ht="11.25" customHeight="1" x14ac:dyDescent="0.2">
      <c r="A14792" s="168">
        <v>2025</v>
      </c>
      <c r="B14792" s="168">
        <v>8</v>
      </c>
      <c r="C14792" s="133">
        <v>18</v>
      </c>
      <c r="D14792" s="141">
        <f t="shared" ref="D14792:D14794" si="2314">DATE(A14792,B14792,C14792)</f>
        <v>45887</v>
      </c>
      <c r="E14792" s="275">
        <f t="shared" ref="E14792:E14794" si="2315">DATE(A14792,B14792,C14792)</f>
        <v>45887</v>
      </c>
      <c r="F14792" s="479" t="s">
        <v>964</v>
      </c>
      <c r="G14792" s="220" t="s">
        <v>74</v>
      </c>
      <c r="H14792" s="142"/>
      <c r="I14792" s="142"/>
      <c r="J14792" s="168" t="s">
        <v>52</v>
      </c>
      <c r="K14792" s="226">
        <v>300000</v>
      </c>
      <c r="L14792" s="226"/>
    </row>
    <row r="14793" spans="1:14" ht="11.25" customHeight="1" x14ac:dyDescent="0.2">
      <c r="A14793" s="133">
        <v>2025</v>
      </c>
      <c r="B14793" s="133">
        <v>8</v>
      </c>
      <c r="C14793" s="133">
        <v>18</v>
      </c>
      <c r="D14793" s="141">
        <f t="shared" si="2314"/>
        <v>45887</v>
      </c>
      <c r="E14793" s="275">
        <f t="shared" si="2315"/>
        <v>45887</v>
      </c>
      <c r="F14793" s="481"/>
      <c r="G14793" s="174" t="s">
        <v>74</v>
      </c>
      <c r="J14793" s="133" t="s">
        <v>13</v>
      </c>
      <c r="K14793" s="218"/>
      <c r="L14793" s="218">
        <v>208160</v>
      </c>
    </row>
    <row r="14794" spans="1:14" ht="11.25" customHeight="1" x14ac:dyDescent="0.2">
      <c r="A14794" s="163">
        <v>2025</v>
      </c>
      <c r="B14794" s="163">
        <v>8</v>
      </c>
      <c r="C14794" s="163">
        <v>18</v>
      </c>
      <c r="D14794" s="280">
        <f t="shared" si="2314"/>
        <v>45887</v>
      </c>
      <c r="E14794" s="281">
        <f t="shared" si="2315"/>
        <v>45887</v>
      </c>
      <c r="F14794" s="480"/>
      <c r="G14794" s="221" t="s">
        <v>74</v>
      </c>
      <c r="H14794" s="145"/>
      <c r="I14794" s="145"/>
      <c r="J14794" s="163" t="s">
        <v>53</v>
      </c>
      <c r="K14794" s="219"/>
      <c r="L14794" s="219">
        <v>91840</v>
      </c>
    </row>
    <row r="14795" spans="1:14" ht="11.25" customHeight="1" x14ac:dyDescent="0.2">
      <c r="A14795" s="168">
        <v>2025</v>
      </c>
      <c r="B14795" s="168">
        <v>8</v>
      </c>
      <c r="C14795" s="133">
        <v>18</v>
      </c>
      <c r="D14795" s="141">
        <f t="shared" ref="D14795:D14808" si="2316">DATE(A14795,B14795,C14795)</f>
        <v>45887</v>
      </c>
      <c r="E14795" s="275">
        <f t="shared" ref="E14795:E14808" si="2317">DATE(A14795,B14795,C14795)</f>
        <v>45887</v>
      </c>
      <c r="F14795" s="479" t="s">
        <v>964</v>
      </c>
      <c r="G14795" s="220" t="s">
        <v>74</v>
      </c>
      <c r="H14795" s="142"/>
      <c r="I14795" s="142"/>
      <c r="J14795" s="168" t="s">
        <v>52</v>
      </c>
      <c r="K14795" s="226">
        <v>1000000</v>
      </c>
      <c r="L14795" s="226"/>
    </row>
    <row r="14796" spans="1:14" ht="11.25" customHeight="1" x14ac:dyDescent="0.2">
      <c r="A14796" s="133">
        <v>2025</v>
      </c>
      <c r="B14796" s="133">
        <v>8</v>
      </c>
      <c r="C14796" s="133">
        <v>18</v>
      </c>
      <c r="D14796" s="141">
        <f t="shared" si="2316"/>
        <v>45887</v>
      </c>
      <c r="E14796" s="275">
        <f t="shared" si="2317"/>
        <v>45887</v>
      </c>
      <c r="F14796" s="481"/>
      <c r="G14796" s="174" t="s">
        <v>74</v>
      </c>
      <c r="J14796" s="133" t="s">
        <v>13</v>
      </c>
      <c r="K14796" s="218"/>
      <c r="L14796" s="218">
        <v>693870</v>
      </c>
    </row>
    <row r="14797" spans="1:14" ht="11.25" customHeight="1" x14ac:dyDescent="0.2">
      <c r="A14797" s="163">
        <v>2025</v>
      </c>
      <c r="B14797" s="163">
        <v>8</v>
      </c>
      <c r="C14797" s="163">
        <v>18</v>
      </c>
      <c r="D14797" s="280">
        <f t="shared" si="2316"/>
        <v>45887</v>
      </c>
      <c r="E14797" s="281">
        <f t="shared" si="2317"/>
        <v>45887</v>
      </c>
      <c r="F14797" s="480"/>
      <c r="G14797" s="221" t="s">
        <v>74</v>
      </c>
      <c r="H14797" s="145"/>
      <c r="I14797" s="145"/>
      <c r="J14797" s="163" t="s">
        <v>53</v>
      </c>
      <c r="K14797" s="219"/>
      <c r="L14797" s="219">
        <v>306130</v>
      </c>
    </row>
    <row r="14798" spans="1:14" ht="11.25" customHeight="1" x14ac:dyDescent="0.2">
      <c r="A14798" s="168">
        <v>2025</v>
      </c>
      <c r="B14798" s="168">
        <v>8</v>
      </c>
      <c r="C14798" s="133">
        <v>18</v>
      </c>
      <c r="D14798" s="141">
        <f t="shared" si="2316"/>
        <v>45887</v>
      </c>
      <c r="E14798" s="275">
        <f t="shared" si="2317"/>
        <v>45887</v>
      </c>
      <c r="F14798" s="479" t="s">
        <v>2108</v>
      </c>
      <c r="G14798" s="220" t="s">
        <v>94</v>
      </c>
      <c r="H14798" s="220"/>
      <c r="I14798" s="142"/>
      <c r="J14798" s="143" t="s">
        <v>79</v>
      </c>
      <c r="K14798" s="226">
        <v>1076220</v>
      </c>
      <c r="L14798" s="226"/>
      <c r="M14798" s="160"/>
    </row>
    <row r="14799" spans="1:14" x14ac:dyDescent="0.2">
      <c r="A14799" s="133">
        <v>2025</v>
      </c>
      <c r="B14799" s="133">
        <v>8</v>
      </c>
      <c r="C14799" s="133">
        <v>18</v>
      </c>
      <c r="D14799" s="141">
        <f t="shared" si="2316"/>
        <v>45887</v>
      </c>
      <c r="E14799" s="275">
        <f t="shared" si="2317"/>
        <v>45887</v>
      </c>
      <c r="F14799" s="481"/>
      <c r="G14799" s="174" t="s">
        <v>94</v>
      </c>
      <c r="H14799" s="174"/>
      <c r="J14799" s="149" t="s">
        <v>80</v>
      </c>
      <c r="K14799" s="218">
        <v>1937.2</v>
      </c>
      <c r="L14799" s="133"/>
    </row>
    <row r="14800" spans="1:14" x14ac:dyDescent="0.2">
      <c r="A14800" s="163">
        <v>2025</v>
      </c>
      <c r="B14800" s="163">
        <v>8</v>
      </c>
      <c r="C14800" s="163">
        <v>18</v>
      </c>
      <c r="D14800" s="280">
        <f t="shared" si="2316"/>
        <v>45887</v>
      </c>
      <c r="E14800" s="281">
        <f t="shared" si="2317"/>
        <v>45887</v>
      </c>
      <c r="F14800" s="480"/>
      <c r="G14800" s="221" t="s">
        <v>94</v>
      </c>
      <c r="H14800" s="221"/>
      <c r="I14800" s="145"/>
      <c r="J14800" s="146" t="s">
        <v>147</v>
      </c>
      <c r="K14800" s="219"/>
      <c r="L14800" s="219">
        <v>1078157.2</v>
      </c>
    </row>
    <row r="14801" spans="1:14" ht="11.25" customHeight="1" x14ac:dyDescent="0.2">
      <c r="A14801" s="168">
        <v>2025</v>
      </c>
      <c r="B14801" s="168">
        <v>8</v>
      </c>
      <c r="C14801" s="133">
        <v>19</v>
      </c>
      <c r="D14801" s="141">
        <f t="shared" si="2316"/>
        <v>45888</v>
      </c>
      <c r="E14801" s="275">
        <f t="shared" si="2317"/>
        <v>45888</v>
      </c>
      <c r="F14801" s="479" t="s">
        <v>1315</v>
      </c>
      <c r="G14801" s="220" t="s">
        <v>74</v>
      </c>
      <c r="H14801" s="142"/>
      <c r="I14801" s="142"/>
      <c r="J14801" s="168" t="s">
        <v>13</v>
      </c>
      <c r="K14801" s="226">
        <v>67980</v>
      </c>
      <c r="L14801" s="226"/>
    </row>
    <row r="14802" spans="1:14" ht="11.25" customHeight="1" x14ac:dyDescent="0.2">
      <c r="A14802" s="133">
        <v>2025</v>
      </c>
      <c r="B14802" s="133">
        <v>8</v>
      </c>
      <c r="C14802" s="133">
        <v>19</v>
      </c>
      <c r="D14802" s="141">
        <f t="shared" si="2316"/>
        <v>45888</v>
      </c>
      <c r="E14802" s="275">
        <f t="shared" si="2317"/>
        <v>45888</v>
      </c>
      <c r="F14802" s="481"/>
      <c r="G14802" s="174" t="s">
        <v>74</v>
      </c>
      <c r="J14802" s="133" t="s">
        <v>53</v>
      </c>
      <c r="K14802" s="218">
        <v>29992.78</v>
      </c>
      <c r="L14802" s="218"/>
    </row>
    <row r="14803" spans="1:14" ht="11.25" customHeight="1" x14ac:dyDescent="0.2">
      <c r="A14803" s="163">
        <v>2025</v>
      </c>
      <c r="B14803" s="163">
        <v>8</v>
      </c>
      <c r="C14803" s="163">
        <v>19</v>
      </c>
      <c r="D14803" s="280">
        <f t="shared" si="2316"/>
        <v>45888</v>
      </c>
      <c r="E14803" s="281">
        <f t="shared" si="2317"/>
        <v>45888</v>
      </c>
      <c r="F14803" s="480"/>
      <c r="G14803" s="221" t="s">
        <v>74</v>
      </c>
      <c r="H14803" s="145"/>
      <c r="I14803" s="145"/>
      <c r="J14803" s="163" t="s">
        <v>52</v>
      </c>
      <c r="K14803" s="219"/>
      <c r="L14803" s="219">
        <v>97972.78</v>
      </c>
    </row>
    <row r="14804" spans="1:14" ht="11.25" customHeight="1" x14ac:dyDescent="0.2">
      <c r="A14804" s="168">
        <v>2025</v>
      </c>
      <c r="B14804" s="168">
        <v>8</v>
      </c>
      <c r="C14804" s="133">
        <v>19</v>
      </c>
      <c r="D14804" s="141">
        <f t="shared" ref="D14804:D14806" si="2318">DATE(A14804,B14804,C14804)</f>
        <v>45888</v>
      </c>
      <c r="E14804" s="275">
        <f t="shared" ref="E14804:E14806" si="2319">DATE(A14804,B14804,C14804)</f>
        <v>45888</v>
      </c>
      <c r="F14804" s="479" t="s">
        <v>964</v>
      </c>
      <c r="G14804" s="220" t="s">
        <v>74</v>
      </c>
      <c r="H14804" s="142"/>
      <c r="I14804" s="142"/>
      <c r="J14804" s="168" t="s">
        <v>52</v>
      </c>
      <c r="K14804" s="226">
        <v>1000000</v>
      </c>
      <c r="L14804" s="226"/>
    </row>
    <row r="14805" spans="1:14" ht="11.25" customHeight="1" x14ac:dyDescent="0.2">
      <c r="A14805" s="133">
        <v>2025</v>
      </c>
      <c r="B14805" s="133">
        <v>8</v>
      </c>
      <c r="C14805" s="133">
        <v>19</v>
      </c>
      <c r="D14805" s="141">
        <f t="shared" si="2318"/>
        <v>45888</v>
      </c>
      <c r="E14805" s="275">
        <f t="shared" si="2319"/>
        <v>45888</v>
      </c>
      <c r="F14805" s="481"/>
      <c r="G14805" s="174" t="s">
        <v>74</v>
      </c>
      <c r="J14805" s="133" t="s">
        <v>13</v>
      </c>
      <c r="K14805" s="218"/>
      <c r="L14805" s="218">
        <v>693870</v>
      </c>
    </row>
    <row r="14806" spans="1:14" ht="11.25" customHeight="1" x14ac:dyDescent="0.2">
      <c r="A14806" s="163">
        <v>2025</v>
      </c>
      <c r="B14806" s="163">
        <v>8</v>
      </c>
      <c r="C14806" s="163">
        <v>19</v>
      </c>
      <c r="D14806" s="280">
        <f t="shared" si="2318"/>
        <v>45888</v>
      </c>
      <c r="E14806" s="281">
        <f t="shared" si="2319"/>
        <v>45888</v>
      </c>
      <c r="F14806" s="480"/>
      <c r="G14806" s="221" t="s">
        <v>74</v>
      </c>
      <c r="H14806" s="145"/>
      <c r="I14806" s="145"/>
      <c r="J14806" s="163" t="s">
        <v>53</v>
      </c>
      <c r="K14806" s="219"/>
      <c r="L14806" s="219">
        <v>306130</v>
      </c>
    </row>
    <row r="14807" spans="1:14" ht="11.25" customHeight="1" x14ac:dyDescent="0.2">
      <c r="A14807" s="168">
        <v>2025</v>
      </c>
      <c r="B14807" s="133">
        <v>8</v>
      </c>
      <c r="C14807" s="168">
        <v>19</v>
      </c>
      <c r="D14807" s="141">
        <f t="shared" si="2316"/>
        <v>45888</v>
      </c>
      <c r="E14807" s="275">
        <f t="shared" si="2317"/>
        <v>45888</v>
      </c>
      <c r="F14807" s="479" t="s">
        <v>2074</v>
      </c>
      <c r="G14807" s="220" t="s">
        <v>74</v>
      </c>
      <c r="H14807" s="220"/>
      <c r="I14807" s="142"/>
      <c r="J14807" s="143" t="s">
        <v>147</v>
      </c>
      <c r="K14807" s="226">
        <v>859424.18</v>
      </c>
      <c r="L14807" s="226"/>
    </row>
    <row r="14808" spans="1:14" x14ac:dyDescent="0.2">
      <c r="A14808" s="163">
        <v>2025</v>
      </c>
      <c r="B14808" s="163">
        <v>8</v>
      </c>
      <c r="C14808" s="163">
        <v>19</v>
      </c>
      <c r="D14808" s="280">
        <f t="shared" si="2316"/>
        <v>45888</v>
      </c>
      <c r="E14808" s="281">
        <f t="shared" si="2317"/>
        <v>45888</v>
      </c>
      <c r="F14808" s="480"/>
      <c r="G14808" s="221" t="s">
        <v>74</v>
      </c>
      <c r="H14808" s="221"/>
      <c r="I14808" s="145"/>
      <c r="J14808" s="146" t="s">
        <v>52</v>
      </c>
      <c r="K14808" s="219"/>
      <c r="L14808" s="219">
        <f>K14807</f>
        <v>859424.18</v>
      </c>
      <c r="N14808" s="264"/>
    </row>
    <row r="14809" spans="1:14" ht="11.25" customHeight="1" x14ac:dyDescent="0.2">
      <c r="A14809" s="168">
        <v>2025</v>
      </c>
      <c r="B14809" s="133">
        <v>8</v>
      </c>
      <c r="C14809" s="168">
        <v>19</v>
      </c>
      <c r="D14809" s="141">
        <f t="shared" ref="D14809:D14810" si="2320">DATE(A14809,B14809,C14809)</f>
        <v>45888</v>
      </c>
      <c r="E14809" s="275">
        <f t="shared" ref="E14809:E14810" si="2321">DATE(A14809,B14809,C14809)</f>
        <v>45888</v>
      </c>
      <c r="F14809" s="479" t="s">
        <v>2074</v>
      </c>
      <c r="G14809" s="220" t="s">
        <v>74</v>
      </c>
      <c r="H14809" s="220"/>
      <c r="I14809" s="142"/>
      <c r="J14809" s="143" t="s">
        <v>147</v>
      </c>
      <c r="K14809" s="226">
        <v>1078157.2</v>
      </c>
      <c r="L14809" s="226"/>
    </row>
    <row r="14810" spans="1:14" x14ac:dyDescent="0.2">
      <c r="A14810" s="163">
        <v>2025</v>
      </c>
      <c r="B14810" s="163">
        <v>8</v>
      </c>
      <c r="C14810" s="163">
        <v>19</v>
      </c>
      <c r="D14810" s="280">
        <f t="shared" si="2320"/>
        <v>45888</v>
      </c>
      <c r="E14810" s="281">
        <f t="shared" si="2321"/>
        <v>45888</v>
      </c>
      <c r="F14810" s="480"/>
      <c r="G14810" s="221" t="s">
        <v>74</v>
      </c>
      <c r="H14810" s="221"/>
      <c r="I14810" s="145"/>
      <c r="J14810" s="146" t="s">
        <v>52</v>
      </c>
      <c r="K14810" s="219"/>
      <c r="L14810" s="219">
        <f>K14809</f>
        <v>1078157.2</v>
      </c>
      <c r="N14810" s="264"/>
    </row>
    <row r="14811" spans="1:14" x14ac:dyDescent="0.2">
      <c r="A14811" s="168">
        <v>2025</v>
      </c>
      <c r="B14811" s="133">
        <v>8</v>
      </c>
      <c r="C14811" s="168">
        <v>19</v>
      </c>
      <c r="D14811" s="147">
        <f>DATE(A14811,B14811,C14811)</f>
        <v>45888</v>
      </c>
      <c r="E14811" s="311">
        <f>DATE(A14811,B14811,C14811)</f>
        <v>45888</v>
      </c>
      <c r="F14811" s="481" t="s">
        <v>1943</v>
      </c>
      <c r="G14811" s="174" t="s">
        <v>74</v>
      </c>
      <c r="I14811" s="148" t="s">
        <v>348</v>
      </c>
      <c r="J14811" s="133" t="s">
        <v>61</v>
      </c>
      <c r="K14811" s="172">
        <v>100</v>
      </c>
    </row>
    <row r="14812" spans="1:14" x14ac:dyDescent="0.2">
      <c r="A14812" s="163">
        <v>2025</v>
      </c>
      <c r="B14812" s="163">
        <v>8</v>
      </c>
      <c r="C14812" s="163">
        <v>19</v>
      </c>
      <c r="D14812" s="280">
        <f>DATE(A14812,B14812,C14812)</f>
        <v>45888</v>
      </c>
      <c r="E14812" s="281">
        <f>DATE(A14812,B14812,C14812)</f>
        <v>45888</v>
      </c>
      <c r="F14812" s="480"/>
      <c r="G14812" s="221" t="s">
        <v>74</v>
      </c>
      <c r="H14812" s="145"/>
      <c r="I14812" s="145" t="s">
        <v>348</v>
      </c>
      <c r="J14812" s="163" t="s">
        <v>52</v>
      </c>
      <c r="K14812" s="219"/>
      <c r="L14812" s="219">
        <f>K14811</f>
        <v>100</v>
      </c>
    </row>
    <row r="14813" spans="1:14" x14ac:dyDescent="0.2">
      <c r="A14813" s="133">
        <v>2025</v>
      </c>
      <c r="B14813" s="133">
        <v>8</v>
      </c>
      <c r="C14813" s="133">
        <v>19</v>
      </c>
      <c r="D14813" s="141">
        <f t="shared" ref="D14813:D14825" si="2322">DATE(A14813,B14813,C14813)</f>
        <v>45888</v>
      </c>
      <c r="E14813" s="275">
        <f t="shared" ref="E14813:E14825" si="2323">DATE(A14813,B14813,C14813)</f>
        <v>45888</v>
      </c>
      <c r="F14813" s="481" t="s">
        <v>2073</v>
      </c>
      <c r="G14813" s="174" t="s">
        <v>94</v>
      </c>
      <c r="H14813" s="174"/>
      <c r="J14813" s="149" t="s">
        <v>79</v>
      </c>
      <c r="K14813" s="218">
        <v>1644590</v>
      </c>
      <c r="L14813" s="218"/>
      <c r="M14813" s="160"/>
    </row>
    <row r="14814" spans="1:14" x14ac:dyDescent="0.2">
      <c r="A14814" s="133">
        <v>2025</v>
      </c>
      <c r="B14814" s="133">
        <v>8</v>
      </c>
      <c r="C14814" s="133">
        <v>19</v>
      </c>
      <c r="D14814" s="141">
        <f t="shared" si="2322"/>
        <v>45888</v>
      </c>
      <c r="E14814" s="275">
        <f t="shared" si="2323"/>
        <v>45888</v>
      </c>
      <c r="F14814" s="481"/>
      <c r="G14814" s="174" t="s">
        <v>94</v>
      </c>
      <c r="H14814" s="174"/>
      <c r="J14814" s="149" t="s">
        <v>80</v>
      </c>
      <c r="K14814" s="218">
        <v>3426.1</v>
      </c>
      <c r="L14814" s="264"/>
      <c r="M14814" s="264"/>
      <c r="N14814" s="264"/>
    </row>
    <row r="14815" spans="1:14" x14ac:dyDescent="0.2">
      <c r="A14815" s="133">
        <v>2025</v>
      </c>
      <c r="B14815" s="133">
        <v>8</v>
      </c>
      <c r="C14815" s="133">
        <v>19</v>
      </c>
      <c r="D14815" s="141">
        <f t="shared" si="2322"/>
        <v>45888</v>
      </c>
      <c r="E14815" s="275">
        <f t="shared" si="2323"/>
        <v>45888</v>
      </c>
      <c r="F14815" s="481"/>
      <c r="G14815" s="174" t="s">
        <v>94</v>
      </c>
      <c r="H14815" s="174"/>
      <c r="J14815" s="149" t="s">
        <v>147</v>
      </c>
      <c r="K14815" s="218"/>
      <c r="L14815" s="218">
        <v>1389216.1</v>
      </c>
      <c r="M14815" s="264"/>
    </row>
    <row r="14816" spans="1:14" x14ac:dyDescent="0.2">
      <c r="A14816" s="133">
        <v>2025</v>
      </c>
      <c r="B14816" s="133">
        <v>8</v>
      </c>
      <c r="C14816" s="133">
        <v>19</v>
      </c>
      <c r="D14816" s="141">
        <f t="shared" si="2322"/>
        <v>45888</v>
      </c>
      <c r="E14816" s="275">
        <f t="shared" si="2323"/>
        <v>45888</v>
      </c>
      <c r="F14816" s="481"/>
      <c r="G14816" s="174" t="s">
        <v>94</v>
      </c>
      <c r="H14816" s="174"/>
      <c r="J14816" s="149" t="s">
        <v>191</v>
      </c>
      <c r="L14816" s="218">
        <v>53208.77</v>
      </c>
    </row>
    <row r="14817" spans="1:17" x14ac:dyDescent="0.2">
      <c r="A14817" s="163">
        <v>2025</v>
      </c>
      <c r="B14817" s="163">
        <v>8</v>
      </c>
      <c r="C14817" s="163">
        <v>19</v>
      </c>
      <c r="D14817" s="280">
        <f t="shared" si="2322"/>
        <v>45888</v>
      </c>
      <c r="E14817" s="281">
        <f t="shared" si="2323"/>
        <v>45888</v>
      </c>
      <c r="F14817" s="480"/>
      <c r="G14817" s="221" t="s">
        <v>94</v>
      </c>
      <c r="H14817" s="145"/>
      <c r="I14817" s="145"/>
      <c r="J14817" s="163" t="s">
        <v>79</v>
      </c>
      <c r="K14817" s="219"/>
      <c r="L14817" s="219">
        <v>205591.23</v>
      </c>
      <c r="M14817" s="264"/>
    </row>
    <row r="14818" spans="1:17" ht="11.25" customHeight="1" x14ac:dyDescent="0.2">
      <c r="A14818" s="168">
        <v>2025</v>
      </c>
      <c r="B14818" s="168">
        <v>8</v>
      </c>
      <c r="C14818" s="133">
        <v>20</v>
      </c>
      <c r="D14818" s="141">
        <f t="shared" si="2322"/>
        <v>45889</v>
      </c>
      <c r="E14818" s="275">
        <f t="shared" si="2323"/>
        <v>45889</v>
      </c>
      <c r="F14818" s="479" t="s">
        <v>2108</v>
      </c>
      <c r="G14818" s="220" t="s">
        <v>94</v>
      </c>
      <c r="H14818" s="220"/>
      <c r="I14818" s="142"/>
      <c r="J14818" s="143" t="s">
        <v>79</v>
      </c>
      <c r="K14818" s="226">
        <v>1517780</v>
      </c>
      <c r="L14818" s="226"/>
      <c r="M14818" s="160"/>
    </row>
    <row r="14819" spans="1:17" x14ac:dyDescent="0.2">
      <c r="A14819" s="133">
        <v>2025</v>
      </c>
      <c r="B14819" s="133">
        <v>8</v>
      </c>
      <c r="C14819" s="133">
        <v>20</v>
      </c>
      <c r="D14819" s="141">
        <f t="shared" si="2322"/>
        <v>45889</v>
      </c>
      <c r="E14819" s="275">
        <f t="shared" si="2323"/>
        <v>45889</v>
      </c>
      <c r="F14819" s="481"/>
      <c r="G14819" s="174" t="s">
        <v>94</v>
      </c>
      <c r="H14819" s="174"/>
      <c r="J14819" s="149" t="s">
        <v>80</v>
      </c>
      <c r="K14819" s="218">
        <v>2732</v>
      </c>
      <c r="L14819" s="133"/>
    </row>
    <row r="14820" spans="1:17" x14ac:dyDescent="0.2">
      <c r="A14820" s="163">
        <v>2025</v>
      </c>
      <c r="B14820" s="163">
        <v>8</v>
      </c>
      <c r="C14820" s="163">
        <v>20</v>
      </c>
      <c r="D14820" s="280">
        <f t="shared" si="2322"/>
        <v>45889</v>
      </c>
      <c r="E14820" s="281">
        <f t="shared" si="2323"/>
        <v>45889</v>
      </c>
      <c r="F14820" s="480"/>
      <c r="G14820" s="221" t="s">
        <v>94</v>
      </c>
      <c r="H14820" s="221"/>
      <c r="I14820" s="145"/>
      <c r="J14820" s="146" t="s">
        <v>147</v>
      </c>
      <c r="K14820" s="219"/>
      <c r="L14820" s="219">
        <v>1520512</v>
      </c>
    </row>
    <row r="14821" spans="1:17" ht="11.25" customHeight="1" x14ac:dyDescent="0.2">
      <c r="A14821" s="168">
        <v>2025</v>
      </c>
      <c r="B14821" s="168">
        <v>8</v>
      </c>
      <c r="C14821" s="133">
        <v>20</v>
      </c>
      <c r="D14821" s="141">
        <f t="shared" si="2322"/>
        <v>45889</v>
      </c>
      <c r="E14821" s="275">
        <f t="shared" si="2323"/>
        <v>45889</v>
      </c>
      <c r="F14821" s="479" t="s">
        <v>1315</v>
      </c>
      <c r="G14821" s="220" t="s">
        <v>74</v>
      </c>
      <c r="H14821" s="142"/>
      <c r="I14821" s="142"/>
      <c r="J14821" s="168" t="s">
        <v>13</v>
      </c>
      <c r="K14821" s="226">
        <v>230470</v>
      </c>
      <c r="L14821" s="226"/>
    </row>
    <row r="14822" spans="1:17" ht="11.25" customHeight="1" x14ac:dyDescent="0.2">
      <c r="A14822" s="133">
        <v>2025</v>
      </c>
      <c r="B14822" s="133">
        <v>8</v>
      </c>
      <c r="C14822" s="133">
        <v>20</v>
      </c>
      <c r="D14822" s="141">
        <f t="shared" si="2322"/>
        <v>45889</v>
      </c>
      <c r="E14822" s="275">
        <f t="shared" si="2323"/>
        <v>45889</v>
      </c>
      <c r="F14822" s="481"/>
      <c r="G14822" s="174" t="s">
        <v>74</v>
      </c>
      <c r="J14822" s="133" t="s">
        <v>53</v>
      </c>
      <c r="K14822" s="218">
        <v>101683.35999999999</v>
      </c>
      <c r="L14822" s="218"/>
    </row>
    <row r="14823" spans="1:17" ht="11.25" customHeight="1" x14ac:dyDescent="0.2">
      <c r="A14823" s="163">
        <v>2025</v>
      </c>
      <c r="B14823" s="163">
        <v>8</v>
      </c>
      <c r="C14823" s="163">
        <v>20</v>
      </c>
      <c r="D14823" s="280">
        <f t="shared" si="2322"/>
        <v>45889</v>
      </c>
      <c r="E14823" s="281">
        <f t="shared" si="2323"/>
        <v>45889</v>
      </c>
      <c r="F14823" s="480"/>
      <c r="G14823" s="221" t="s">
        <v>74</v>
      </c>
      <c r="H14823" s="145"/>
      <c r="I14823" s="145"/>
      <c r="J14823" s="163" t="s">
        <v>52</v>
      </c>
      <c r="K14823" s="219"/>
      <c r="L14823" s="219">
        <v>332153.36</v>
      </c>
    </row>
    <row r="14824" spans="1:17" ht="11.25" customHeight="1" x14ac:dyDescent="0.2">
      <c r="A14824" s="168">
        <v>2025</v>
      </c>
      <c r="B14824" s="133">
        <v>8</v>
      </c>
      <c r="C14824" s="168">
        <v>20</v>
      </c>
      <c r="D14824" s="141">
        <f t="shared" si="2322"/>
        <v>45889</v>
      </c>
      <c r="E14824" s="275">
        <f t="shared" si="2323"/>
        <v>45889</v>
      </c>
      <c r="F14824" s="479" t="s">
        <v>2074</v>
      </c>
      <c r="G14824" s="220" t="s">
        <v>74</v>
      </c>
      <c r="H14824" s="220"/>
      <c r="I14824" s="142"/>
      <c r="J14824" s="143" t="s">
        <v>147</v>
      </c>
      <c r="K14824" s="226">
        <v>1389216.1</v>
      </c>
      <c r="L14824" s="226"/>
    </row>
    <row r="14825" spans="1:17" x14ac:dyDescent="0.2">
      <c r="A14825" s="163">
        <v>2025</v>
      </c>
      <c r="B14825" s="163">
        <v>8</v>
      </c>
      <c r="C14825" s="163">
        <v>20</v>
      </c>
      <c r="D14825" s="280">
        <f t="shared" si="2322"/>
        <v>45889</v>
      </c>
      <c r="E14825" s="281">
        <f t="shared" si="2323"/>
        <v>45889</v>
      </c>
      <c r="F14825" s="480"/>
      <c r="G14825" s="221" t="s">
        <v>74</v>
      </c>
      <c r="H14825" s="221"/>
      <c r="I14825" s="145"/>
      <c r="J14825" s="146" t="s">
        <v>52</v>
      </c>
      <c r="K14825" s="219"/>
      <c r="L14825" s="219">
        <f>K14824</f>
        <v>1389216.1</v>
      </c>
      <c r="N14825" s="264"/>
    </row>
    <row r="14826" spans="1:17" x14ac:dyDescent="0.2">
      <c r="A14826" s="168">
        <v>2025</v>
      </c>
      <c r="B14826" s="133">
        <v>8</v>
      </c>
      <c r="C14826" s="168">
        <v>20</v>
      </c>
      <c r="D14826" s="147">
        <f>DATE(A14826,B14826,C14826)</f>
        <v>45889</v>
      </c>
      <c r="E14826" s="311">
        <f>DATE(A14826,B14826,C14826)</f>
        <v>45889</v>
      </c>
      <c r="F14826" s="481" t="s">
        <v>1943</v>
      </c>
      <c r="G14826" s="174" t="s">
        <v>74</v>
      </c>
      <c r="I14826" s="148" t="s">
        <v>348</v>
      </c>
      <c r="J14826" s="133" t="s">
        <v>61</v>
      </c>
      <c r="K14826" s="172">
        <v>100</v>
      </c>
    </row>
    <row r="14827" spans="1:17" x14ac:dyDescent="0.2">
      <c r="A14827" s="163">
        <v>2025</v>
      </c>
      <c r="B14827" s="163">
        <v>8</v>
      </c>
      <c r="C14827" s="163">
        <v>20</v>
      </c>
      <c r="D14827" s="280">
        <f>DATE(A14827,B14827,C14827)</f>
        <v>45889</v>
      </c>
      <c r="E14827" s="281">
        <f>DATE(A14827,B14827,C14827)</f>
        <v>45889</v>
      </c>
      <c r="F14827" s="480"/>
      <c r="G14827" s="221" t="s">
        <v>74</v>
      </c>
      <c r="H14827" s="145"/>
      <c r="I14827" s="145" t="s">
        <v>348</v>
      </c>
      <c r="J14827" s="163" t="s">
        <v>52</v>
      </c>
      <c r="K14827" s="219"/>
      <c r="L14827" s="219">
        <f>K14826</f>
        <v>100</v>
      </c>
    </row>
    <row r="14828" spans="1:17" ht="11.25" customHeight="1" x14ac:dyDescent="0.2">
      <c r="A14828" s="168">
        <v>2025</v>
      </c>
      <c r="B14828" s="168">
        <v>8</v>
      </c>
      <c r="C14828" s="133">
        <v>20</v>
      </c>
      <c r="D14828" s="141">
        <f>DATE(A14828,B14828,C14828)</f>
        <v>45889</v>
      </c>
      <c r="E14828" s="275">
        <f>DATE(A14828,B14828,C14828)</f>
        <v>45889</v>
      </c>
      <c r="F14828" s="481" t="s">
        <v>1989</v>
      </c>
      <c r="G14828" s="174" t="s">
        <v>74</v>
      </c>
      <c r="H14828" s="174"/>
      <c r="I14828" s="148" t="s">
        <v>348</v>
      </c>
      <c r="J14828" s="149" t="s">
        <v>52</v>
      </c>
      <c r="K14828" s="218">
        <v>3060904.52</v>
      </c>
      <c r="L14828" s="218"/>
      <c r="M14828" s="147"/>
      <c r="Q14828" s="133" t="s">
        <v>348</v>
      </c>
    </row>
    <row r="14829" spans="1:17" x14ac:dyDescent="0.2">
      <c r="A14829" s="133">
        <v>2025</v>
      </c>
      <c r="B14829" s="133">
        <v>8</v>
      </c>
      <c r="C14829" s="133">
        <v>20</v>
      </c>
      <c r="D14829" s="141">
        <f t="shared" ref="D14829" si="2324">DATE(A14829,B14829,C14829)</f>
        <v>45889</v>
      </c>
      <c r="E14829" s="275">
        <f t="shared" ref="E14829" si="2325">DATE(A14829,B14829,C14829)</f>
        <v>45889</v>
      </c>
      <c r="F14829" s="481"/>
      <c r="G14829" s="174" t="s">
        <v>74</v>
      </c>
      <c r="H14829" s="174"/>
      <c r="J14829" s="149" t="s">
        <v>1810</v>
      </c>
      <c r="K14829" s="218"/>
      <c r="L14829" s="218">
        <v>207011.16000000015</v>
      </c>
      <c r="M14829" s="147"/>
    </row>
    <row r="14830" spans="1:17" x14ac:dyDescent="0.2">
      <c r="A14830" s="163">
        <v>2025</v>
      </c>
      <c r="B14830" s="163">
        <v>8</v>
      </c>
      <c r="C14830" s="163">
        <v>20</v>
      </c>
      <c r="D14830" s="280">
        <f>DATE(A14830,B14830,C14830)</f>
        <v>45889</v>
      </c>
      <c r="E14830" s="281">
        <f>DATE(A14830,B14830,C14830)</f>
        <v>45889</v>
      </c>
      <c r="F14830" s="480"/>
      <c r="G14830" s="221" t="s">
        <v>74</v>
      </c>
      <c r="H14830" s="221"/>
      <c r="I14830" s="145"/>
      <c r="J14830" s="146" t="s">
        <v>1805</v>
      </c>
      <c r="K14830" s="219"/>
      <c r="L14830" s="219">
        <v>2853893.36</v>
      </c>
      <c r="M14830" s="147"/>
      <c r="Q14830" s="133" t="s">
        <v>348</v>
      </c>
    </row>
    <row r="14831" spans="1:17" ht="11.25" customHeight="1" x14ac:dyDescent="0.2">
      <c r="A14831" s="168">
        <v>2025</v>
      </c>
      <c r="B14831" s="133">
        <v>8</v>
      </c>
      <c r="C14831" s="168">
        <v>21</v>
      </c>
      <c r="D14831" s="141">
        <f t="shared" ref="D14831:D14832" si="2326">DATE(A14831,B14831,C14831)</f>
        <v>45890</v>
      </c>
      <c r="E14831" s="275">
        <f t="shared" ref="E14831:E14832" si="2327">DATE(A14831,B14831,C14831)</f>
        <v>45890</v>
      </c>
      <c r="F14831" s="479" t="s">
        <v>2074</v>
      </c>
      <c r="G14831" s="220" t="s">
        <v>74</v>
      </c>
      <c r="H14831" s="220"/>
      <c r="I14831" s="142"/>
      <c r="J14831" s="143" t="s">
        <v>147</v>
      </c>
      <c r="K14831" s="226">
        <v>1520512</v>
      </c>
      <c r="L14831" s="226"/>
    </row>
    <row r="14832" spans="1:17" x14ac:dyDescent="0.2">
      <c r="A14832" s="163">
        <v>2025</v>
      </c>
      <c r="B14832" s="163">
        <v>8</v>
      </c>
      <c r="C14832" s="163">
        <v>21</v>
      </c>
      <c r="D14832" s="280">
        <f t="shared" si="2326"/>
        <v>45890</v>
      </c>
      <c r="E14832" s="281">
        <f t="shared" si="2327"/>
        <v>45890</v>
      </c>
      <c r="F14832" s="480"/>
      <c r="G14832" s="221" t="s">
        <v>74</v>
      </c>
      <c r="H14832" s="221"/>
      <c r="I14832" s="145"/>
      <c r="J14832" s="146" t="s">
        <v>52</v>
      </c>
      <c r="K14832" s="219"/>
      <c r="L14832" s="219">
        <f>K14831</f>
        <v>1520512</v>
      </c>
      <c r="N14832" s="264"/>
    </row>
    <row r="14833" spans="1:13" x14ac:dyDescent="0.2">
      <c r="A14833" s="168">
        <v>2025</v>
      </c>
      <c r="B14833" s="133">
        <v>8</v>
      </c>
      <c r="C14833" s="168">
        <v>21</v>
      </c>
      <c r="D14833" s="147">
        <f>DATE(A14833,B14833,C14833)</f>
        <v>45890</v>
      </c>
      <c r="E14833" s="311">
        <f>DATE(A14833,B14833,C14833)</f>
        <v>45890</v>
      </c>
      <c r="F14833" s="481" t="s">
        <v>1943</v>
      </c>
      <c r="G14833" s="174" t="s">
        <v>74</v>
      </c>
      <c r="I14833" s="148" t="s">
        <v>348</v>
      </c>
      <c r="J14833" s="133" t="s">
        <v>61</v>
      </c>
      <c r="K14833" s="172">
        <v>100</v>
      </c>
    </row>
    <row r="14834" spans="1:13" x14ac:dyDescent="0.2">
      <c r="A14834" s="163">
        <v>2025</v>
      </c>
      <c r="B14834" s="163">
        <v>8</v>
      </c>
      <c r="C14834" s="163">
        <v>21</v>
      </c>
      <c r="D14834" s="280">
        <f>DATE(A14834,B14834,C14834)</f>
        <v>45890</v>
      </c>
      <c r="E14834" s="281">
        <f>DATE(A14834,B14834,C14834)</f>
        <v>45890</v>
      </c>
      <c r="F14834" s="480"/>
      <c r="G14834" s="221" t="s">
        <v>74</v>
      </c>
      <c r="H14834" s="145"/>
      <c r="I14834" s="145" t="s">
        <v>348</v>
      </c>
      <c r="J14834" s="163" t="s">
        <v>52</v>
      </c>
      <c r="K14834" s="219"/>
      <c r="L14834" s="219">
        <f>K14833</f>
        <v>100</v>
      </c>
    </row>
    <row r="14835" spans="1:13" ht="11.25" customHeight="1" x14ac:dyDescent="0.2">
      <c r="A14835" s="168">
        <v>2025</v>
      </c>
      <c r="B14835" s="168">
        <v>8</v>
      </c>
      <c r="C14835" s="133">
        <v>21</v>
      </c>
      <c r="D14835" s="141">
        <f t="shared" ref="D14835:D14845" si="2328">DATE(A14835,B14835,C14835)</f>
        <v>45890</v>
      </c>
      <c r="E14835" s="275">
        <f t="shared" ref="E14835:E14845" si="2329">DATE(A14835,B14835,C14835)</f>
        <v>45890</v>
      </c>
      <c r="F14835" s="479" t="s">
        <v>2113</v>
      </c>
      <c r="G14835" s="220" t="s">
        <v>94</v>
      </c>
      <c r="H14835" s="220"/>
      <c r="I14835" s="142"/>
      <c r="J14835" s="143" t="s">
        <v>79</v>
      </c>
      <c r="K14835" s="226">
        <v>916118</v>
      </c>
      <c r="L14835" s="226"/>
      <c r="M14835" s="160"/>
    </row>
    <row r="14836" spans="1:13" x14ac:dyDescent="0.2">
      <c r="A14836" s="133">
        <v>2025</v>
      </c>
      <c r="B14836" s="133">
        <v>8</v>
      </c>
      <c r="C14836" s="133">
        <v>21</v>
      </c>
      <c r="D14836" s="141">
        <f t="shared" si="2328"/>
        <v>45890</v>
      </c>
      <c r="E14836" s="275">
        <f t="shared" si="2329"/>
        <v>45890</v>
      </c>
      <c r="F14836" s="481"/>
      <c r="G14836" s="174" t="s">
        <v>94</v>
      </c>
      <c r="H14836" s="174"/>
      <c r="J14836" s="149" t="s">
        <v>80</v>
      </c>
      <c r="K14836" s="218">
        <v>1649.01</v>
      </c>
      <c r="L14836" s="133"/>
    </row>
    <row r="14837" spans="1:13" x14ac:dyDescent="0.2">
      <c r="A14837" s="163">
        <v>2025</v>
      </c>
      <c r="B14837" s="163">
        <v>8</v>
      </c>
      <c r="C14837" s="163">
        <v>21</v>
      </c>
      <c r="D14837" s="280">
        <f t="shared" si="2328"/>
        <v>45890</v>
      </c>
      <c r="E14837" s="281">
        <f t="shared" si="2329"/>
        <v>45890</v>
      </c>
      <c r="F14837" s="480"/>
      <c r="G14837" s="221" t="s">
        <v>94</v>
      </c>
      <c r="H14837" s="221"/>
      <c r="I14837" s="145"/>
      <c r="J14837" s="146" t="s">
        <v>147</v>
      </c>
      <c r="K14837" s="219"/>
      <c r="L14837" s="219">
        <v>917767.01</v>
      </c>
    </row>
    <row r="14838" spans="1:13" x14ac:dyDescent="0.2">
      <c r="A14838" s="168">
        <v>2025</v>
      </c>
      <c r="B14838" s="133">
        <v>8</v>
      </c>
      <c r="C14838" s="168">
        <v>21</v>
      </c>
      <c r="D14838" s="141">
        <f t="shared" si="2328"/>
        <v>45890</v>
      </c>
      <c r="E14838" s="275">
        <f t="shared" si="2329"/>
        <v>45890</v>
      </c>
      <c r="F14838" s="481" t="s">
        <v>2114</v>
      </c>
      <c r="G14838" s="174" t="s">
        <v>94</v>
      </c>
      <c r="H14838" s="174"/>
      <c r="I14838" s="148" t="s">
        <v>348</v>
      </c>
      <c r="J14838" s="149" t="s">
        <v>168</v>
      </c>
      <c r="K14838" s="218">
        <v>352500</v>
      </c>
      <c r="L14838" s="218"/>
    </row>
    <row r="14839" spans="1:13" x14ac:dyDescent="0.2">
      <c r="A14839" s="163">
        <v>2025</v>
      </c>
      <c r="B14839" s="163">
        <v>8</v>
      </c>
      <c r="C14839" s="163">
        <v>21</v>
      </c>
      <c r="D14839" s="141">
        <f t="shared" si="2328"/>
        <v>45890</v>
      </c>
      <c r="E14839" s="275">
        <f t="shared" si="2329"/>
        <v>45890</v>
      </c>
      <c r="F14839" s="480"/>
      <c r="G14839" s="221" t="s">
        <v>94</v>
      </c>
      <c r="H14839" s="221"/>
      <c r="I14839" s="145" t="s">
        <v>348</v>
      </c>
      <c r="J14839" s="146" t="s">
        <v>166</v>
      </c>
      <c r="K14839" s="219"/>
      <c r="L14839" s="219">
        <v>352500</v>
      </c>
    </row>
    <row r="14840" spans="1:13" ht="11.25" customHeight="1" x14ac:dyDescent="0.2">
      <c r="A14840" s="168">
        <v>2025</v>
      </c>
      <c r="B14840" s="168">
        <v>8</v>
      </c>
      <c r="C14840" s="133">
        <v>21</v>
      </c>
      <c r="D14840" s="141">
        <f t="shared" si="2328"/>
        <v>45890</v>
      </c>
      <c r="E14840" s="275">
        <f t="shared" si="2329"/>
        <v>45890</v>
      </c>
      <c r="F14840" s="479" t="s">
        <v>964</v>
      </c>
      <c r="G14840" s="220" t="s">
        <v>74</v>
      </c>
      <c r="H14840" s="142"/>
      <c r="I14840" s="142"/>
      <c r="J14840" s="168" t="s">
        <v>52</v>
      </c>
      <c r="K14840" s="226">
        <v>313533.64</v>
      </c>
      <c r="L14840" s="226"/>
    </row>
    <row r="14841" spans="1:13" ht="11.25" customHeight="1" x14ac:dyDescent="0.2">
      <c r="A14841" s="133">
        <v>2025</v>
      </c>
      <c r="B14841" s="133">
        <v>8</v>
      </c>
      <c r="C14841" s="133">
        <v>21</v>
      </c>
      <c r="D14841" s="141">
        <f t="shared" si="2328"/>
        <v>45890</v>
      </c>
      <c r="E14841" s="275">
        <f t="shared" si="2329"/>
        <v>45890</v>
      </c>
      <c r="F14841" s="481"/>
      <c r="G14841" s="174" t="s">
        <v>74</v>
      </c>
      <c r="J14841" s="133" t="s">
        <v>13</v>
      </c>
      <c r="K14841" s="218"/>
      <c r="L14841" s="218">
        <v>217550</v>
      </c>
    </row>
    <row r="14842" spans="1:13" ht="11.25" customHeight="1" x14ac:dyDescent="0.2">
      <c r="A14842" s="163">
        <v>2025</v>
      </c>
      <c r="B14842" s="163">
        <v>8</v>
      </c>
      <c r="C14842" s="163">
        <v>21</v>
      </c>
      <c r="D14842" s="280">
        <f t="shared" si="2328"/>
        <v>45890</v>
      </c>
      <c r="E14842" s="281">
        <f t="shared" si="2329"/>
        <v>45890</v>
      </c>
      <c r="F14842" s="480"/>
      <c r="G14842" s="221" t="s">
        <v>74</v>
      </c>
      <c r="H14842" s="145"/>
      <c r="I14842" s="145"/>
      <c r="J14842" s="163" t="s">
        <v>53</v>
      </c>
      <c r="K14842" s="219"/>
      <c r="L14842" s="219">
        <v>95983.640000000014</v>
      </c>
    </row>
    <row r="14843" spans="1:13" x14ac:dyDescent="0.2">
      <c r="A14843" s="168">
        <v>2025</v>
      </c>
      <c r="B14843" s="168">
        <v>8</v>
      </c>
      <c r="C14843" s="133">
        <v>21</v>
      </c>
      <c r="D14843" s="141">
        <f t="shared" si="2328"/>
        <v>45890</v>
      </c>
      <c r="E14843" s="275">
        <f t="shared" si="2329"/>
        <v>45890</v>
      </c>
      <c r="F14843" s="479" t="s">
        <v>275</v>
      </c>
      <c r="G14843" s="174" t="s">
        <v>74</v>
      </c>
      <c r="H14843" s="174"/>
      <c r="I14843" s="148" t="s">
        <v>348</v>
      </c>
      <c r="J14843" s="149" t="s">
        <v>163</v>
      </c>
      <c r="K14843" s="218">
        <v>1575</v>
      </c>
      <c r="L14843" s="218"/>
    </row>
    <row r="14844" spans="1:13" x14ac:dyDescent="0.2">
      <c r="A14844" s="133">
        <v>2025</v>
      </c>
      <c r="B14844" s="133">
        <v>8</v>
      </c>
      <c r="C14844" s="133">
        <v>21</v>
      </c>
      <c r="D14844" s="141">
        <f t="shared" si="2328"/>
        <v>45890</v>
      </c>
      <c r="E14844" s="275">
        <f t="shared" si="2329"/>
        <v>45890</v>
      </c>
      <c r="F14844" s="481"/>
      <c r="G14844" s="174" t="s">
        <v>74</v>
      </c>
      <c r="H14844" s="174"/>
      <c r="J14844" s="149" t="s">
        <v>1907</v>
      </c>
      <c r="K14844" s="218"/>
      <c r="L14844" s="218">
        <v>75</v>
      </c>
    </row>
    <row r="14845" spans="1:13" x14ac:dyDescent="0.2">
      <c r="A14845" s="163">
        <v>2025</v>
      </c>
      <c r="B14845" s="163">
        <v>8</v>
      </c>
      <c r="C14845" s="163">
        <v>21</v>
      </c>
      <c r="D14845" s="280">
        <f t="shared" si="2328"/>
        <v>45890</v>
      </c>
      <c r="E14845" s="281">
        <f t="shared" si="2329"/>
        <v>45890</v>
      </c>
      <c r="F14845" s="480"/>
      <c r="G14845" s="221" t="s">
        <v>74</v>
      </c>
      <c r="H14845" s="221"/>
      <c r="I14845" s="145"/>
      <c r="J14845" s="146" t="s">
        <v>52</v>
      </c>
      <c r="K14845" s="219"/>
      <c r="L14845" s="219">
        <v>1500</v>
      </c>
    </row>
    <row r="14846" spans="1:13" x14ac:dyDescent="0.2">
      <c r="A14846" s="325">
        <v>2025</v>
      </c>
      <c r="B14846" s="325">
        <v>8</v>
      </c>
      <c r="C14846" s="325">
        <v>21</v>
      </c>
      <c r="D14846" s="326">
        <f t="shared" ref="D14846:D14868" si="2330">DATE(A14846,B14846,C14846)</f>
        <v>45890</v>
      </c>
      <c r="E14846" s="327">
        <f t="shared" ref="E14846:E14868" si="2331">DATE(A14846,B14846,C14846)</f>
        <v>45890</v>
      </c>
      <c r="F14846" s="473" t="s">
        <v>1940</v>
      </c>
      <c r="G14846" s="340" t="s">
        <v>94</v>
      </c>
      <c r="H14846" s="340"/>
      <c r="I14846" s="341" t="s">
        <v>348</v>
      </c>
      <c r="J14846" s="374" t="s">
        <v>133</v>
      </c>
      <c r="K14846" s="375">
        <v>12905.56</v>
      </c>
      <c r="L14846" s="375"/>
      <c r="M14846" s="176"/>
    </row>
    <row r="14847" spans="1:13" x14ac:dyDescent="0.2">
      <c r="A14847" s="331">
        <v>2025</v>
      </c>
      <c r="B14847" s="331">
        <v>8</v>
      </c>
      <c r="C14847" s="331">
        <v>21</v>
      </c>
      <c r="D14847" s="326">
        <f t="shared" si="2330"/>
        <v>45890</v>
      </c>
      <c r="E14847" s="327">
        <f t="shared" si="2331"/>
        <v>45890</v>
      </c>
      <c r="F14847" s="474"/>
      <c r="G14847" s="332" t="s">
        <v>94</v>
      </c>
      <c r="H14847" s="332"/>
      <c r="I14847" s="333" t="s">
        <v>348</v>
      </c>
      <c r="J14847" s="376" t="s">
        <v>60</v>
      </c>
      <c r="K14847" s="334"/>
      <c r="L14847" s="334">
        <f>K14846</f>
        <v>12905.56</v>
      </c>
    </row>
    <row r="14848" spans="1:13" x14ac:dyDescent="0.2">
      <c r="A14848" s="325">
        <v>2025</v>
      </c>
      <c r="B14848" s="325">
        <v>8</v>
      </c>
      <c r="C14848" s="325">
        <v>21</v>
      </c>
      <c r="D14848" s="326">
        <f t="shared" si="2330"/>
        <v>45890</v>
      </c>
      <c r="E14848" s="327">
        <f t="shared" si="2331"/>
        <v>45890</v>
      </c>
      <c r="F14848" s="473" t="s">
        <v>2097</v>
      </c>
      <c r="G14848" s="340" t="s">
        <v>94</v>
      </c>
      <c r="H14848" s="340"/>
      <c r="I14848" s="341" t="s">
        <v>348</v>
      </c>
      <c r="J14848" s="374" t="s">
        <v>133</v>
      </c>
      <c r="K14848" s="375">
        <v>6250</v>
      </c>
      <c r="L14848" s="375"/>
      <c r="M14848" s="176"/>
    </row>
    <row r="14849" spans="1:13" x14ac:dyDescent="0.2">
      <c r="A14849" s="331">
        <v>2025</v>
      </c>
      <c r="B14849" s="331">
        <v>8</v>
      </c>
      <c r="C14849" s="331">
        <v>21</v>
      </c>
      <c r="D14849" s="326">
        <f t="shared" si="2330"/>
        <v>45890</v>
      </c>
      <c r="E14849" s="327">
        <f t="shared" si="2331"/>
        <v>45890</v>
      </c>
      <c r="F14849" s="474"/>
      <c r="G14849" s="332" t="s">
        <v>94</v>
      </c>
      <c r="H14849" s="332"/>
      <c r="I14849" s="333" t="s">
        <v>348</v>
      </c>
      <c r="J14849" s="376" t="s">
        <v>60</v>
      </c>
      <c r="K14849" s="334"/>
      <c r="L14849" s="334">
        <f>K14848</f>
        <v>6250</v>
      </c>
    </row>
    <row r="14850" spans="1:13" x14ac:dyDescent="0.2">
      <c r="A14850" s="384">
        <v>2025</v>
      </c>
      <c r="B14850" s="384">
        <v>8</v>
      </c>
      <c r="C14850" s="384">
        <v>21</v>
      </c>
      <c r="D14850" s="385">
        <f t="shared" si="2330"/>
        <v>45890</v>
      </c>
      <c r="E14850" s="386">
        <f t="shared" si="2331"/>
        <v>45890</v>
      </c>
      <c r="F14850" s="475" t="s">
        <v>1966</v>
      </c>
      <c r="G14850" s="387" t="s">
        <v>94</v>
      </c>
      <c r="H14850" s="387"/>
      <c r="I14850" s="388" t="s">
        <v>348</v>
      </c>
      <c r="J14850" s="389" t="s">
        <v>67</v>
      </c>
      <c r="K14850" s="390">
        <v>3380.58</v>
      </c>
      <c r="L14850" s="390"/>
    </row>
    <row r="14851" spans="1:13" x14ac:dyDescent="0.2">
      <c r="A14851" s="391">
        <v>2025</v>
      </c>
      <c r="B14851" s="391">
        <v>8</v>
      </c>
      <c r="C14851" s="391">
        <v>21</v>
      </c>
      <c r="D14851" s="385">
        <f t="shared" si="2330"/>
        <v>45890</v>
      </c>
      <c r="E14851" s="386">
        <f t="shared" si="2331"/>
        <v>45890</v>
      </c>
      <c r="F14851" s="476"/>
      <c r="G14851" s="392" t="s">
        <v>94</v>
      </c>
      <c r="H14851" s="392"/>
      <c r="I14851" s="393" t="s">
        <v>348</v>
      </c>
      <c r="J14851" s="394" t="s">
        <v>60</v>
      </c>
      <c r="K14851" s="395"/>
      <c r="L14851" s="395">
        <f>K14850</f>
        <v>3380.58</v>
      </c>
    </row>
    <row r="14852" spans="1:13" x14ac:dyDescent="0.2">
      <c r="A14852" s="343">
        <v>2025</v>
      </c>
      <c r="B14852" s="343">
        <v>8</v>
      </c>
      <c r="C14852" s="343">
        <v>21</v>
      </c>
      <c r="D14852" s="344">
        <f t="shared" si="2330"/>
        <v>45890</v>
      </c>
      <c r="E14852" s="345">
        <f t="shared" si="2331"/>
        <v>45890</v>
      </c>
      <c r="F14852" s="483" t="s">
        <v>1813</v>
      </c>
      <c r="G14852" s="350" t="s">
        <v>94</v>
      </c>
      <c r="H14852" s="350"/>
      <c r="I14852" s="352" t="s">
        <v>348</v>
      </c>
      <c r="J14852" s="353" t="s">
        <v>1807</v>
      </c>
      <c r="K14852" s="354">
        <v>0</v>
      </c>
      <c r="L14852" s="354"/>
      <c r="M14852" s="133">
        <v>0</v>
      </c>
    </row>
    <row r="14853" spans="1:13" x14ac:dyDescent="0.2">
      <c r="A14853" s="346">
        <v>2025</v>
      </c>
      <c r="B14853" s="346">
        <v>8</v>
      </c>
      <c r="C14853" s="346">
        <v>21</v>
      </c>
      <c r="D14853" s="344">
        <f t="shared" si="2330"/>
        <v>45890</v>
      </c>
      <c r="E14853" s="345">
        <f t="shared" si="2331"/>
        <v>45890</v>
      </c>
      <c r="F14853" s="484"/>
      <c r="G14853" s="347" t="s">
        <v>94</v>
      </c>
      <c r="H14853" s="347"/>
      <c r="I14853" s="348" t="s">
        <v>348</v>
      </c>
      <c r="J14853" s="355" t="s">
        <v>1798</v>
      </c>
      <c r="K14853" s="349"/>
      <c r="L14853" s="349">
        <v>0</v>
      </c>
    </row>
    <row r="14854" spans="1:13" x14ac:dyDescent="0.2">
      <c r="A14854" s="343">
        <v>2025</v>
      </c>
      <c r="B14854" s="343">
        <v>8</v>
      </c>
      <c r="C14854" s="343">
        <v>21</v>
      </c>
      <c r="D14854" s="344">
        <f t="shared" si="2330"/>
        <v>45890</v>
      </c>
      <c r="E14854" s="345">
        <f t="shared" si="2331"/>
        <v>45890</v>
      </c>
      <c r="F14854" s="483" t="s">
        <v>1913</v>
      </c>
      <c r="G14854" s="350" t="s">
        <v>94</v>
      </c>
      <c r="H14854" s="350"/>
      <c r="I14854" s="352" t="s">
        <v>348</v>
      </c>
      <c r="J14854" s="353" t="s">
        <v>2112</v>
      </c>
      <c r="K14854" s="354">
        <v>28733.524999994785</v>
      </c>
      <c r="L14854" s="354"/>
      <c r="M14854" s="160">
        <v>0</v>
      </c>
    </row>
    <row r="14855" spans="1:13" x14ac:dyDescent="0.2">
      <c r="A14855" s="346">
        <v>2025</v>
      </c>
      <c r="B14855" s="346">
        <v>8</v>
      </c>
      <c r="C14855" s="346">
        <v>21</v>
      </c>
      <c r="D14855" s="344">
        <f t="shared" si="2330"/>
        <v>45890</v>
      </c>
      <c r="E14855" s="345">
        <f t="shared" si="2331"/>
        <v>45890</v>
      </c>
      <c r="F14855" s="484"/>
      <c r="G14855" s="347" t="s">
        <v>94</v>
      </c>
      <c r="H14855" s="347"/>
      <c r="I14855" s="348" t="s">
        <v>348</v>
      </c>
      <c r="J14855" s="355" t="s">
        <v>1808</v>
      </c>
      <c r="K14855" s="349"/>
      <c r="L14855" s="349">
        <f>K14854</f>
        <v>28733.524999994785</v>
      </c>
    </row>
    <row r="14856" spans="1:13" x14ac:dyDescent="0.2">
      <c r="A14856" s="238">
        <v>2025</v>
      </c>
      <c r="B14856" s="238">
        <v>8</v>
      </c>
      <c r="C14856" s="238">
        <v>21</v>
      </c>
      <c r="D14856" s="270">
        <f t="shared" si="2330"/>
        <v>45890</v>
      </c>
      <c r="E14856" s="279">
        <f t="shared" si="2331"/>
        <v>45890</v>
      </c>
      <c r="F14856" s="477" t="s">
        <v>347</v>
      </c>
      <c r="G14856" s="239" t="s">
        <v>94</v>
      </c>
      <c r="H14856" s="239"/>
      <c r="I14856" s="262" t="s">
        <v>348</v>
      </c>
      <c r="J14856" s="240" t="s">
        <v>108</v>
      </c>
      <c r="K14856" s="241">
        <v>210953.2310000062</v>
      </c>
      <c r="L14856" s="241"/>
      <c r="M14856" s="160">
        <v>13139541.900000483</v>
      </c>
    </row>
    <row r="14857" spans="1:13" x14ac:dyDescent="0.2">
      <c r="A14857" s="242">
        <v>2025</v>
      </c>
      <c r="B14857" s="242">
        <v>8</v>
      </c>
      <c r="C14857" s="242">
        <v>21</v>
      </c>
      <c r="D14857" s="270">
        <f t="shared" si="2330"/>
        <v>45890</v>
      </c>
      <c r="E14857" s="279">
        <f t="shared" si="2331"/>
        <v>45890</v>
      </c>
      <c r="F14857" s="478"/>
      <c r="G14857" s="243" t="s">
        <v>94</v>
      </c>
      <c r="H14857" s="243"/>
      <c r="I14857" s="263" t="s">
        <v>348</v>
      </c>
      <c r="J14857" s="244" t="s">
        <v>82</v>
      </c>
      <c r="K14857" s="245"/>
      <c r="L14857" s="245">
        <f>K14856</f>
        <v>210953.2310000062</v>
      </c>
    </row>
    <row r="14858" spans="1:13" ht="12" customHeight="1" x14ac:dyDescent="0.2">
      <c r="A14858" s="246">
        <v>2025</v>
      </c>
      <c r="B14858" s="238">
        <v>8</v>
      </c>
      <c r="C14858" s="238">
        <v>21</v>
      </c>
      <c r="D14858" s="270">
        <f t="shared" si="2330"/>
        <v>45890</v>
      </c>
      <c r="E14858" s="279">
        <f t="shared" si="2331"/>
        <v>45890</v>
      </c>
      <c r="F14858" s="482" t="s">
        <v>148</v>
      </c>
      <c r="G14858" s="247" t="s">
        <v>94</v>
      </c>
      <c r="H14858" s="247"/>
      <c r="I14858" s="248" t="s">
        <v>348</v>
      </c>
      <c r="J14858" s="249" t="s">
        <v>95</v>
      </c>
      <c r="K14858" s="250">
        <v>2747.2527472527472</v>
      </c>
      <c r="L14858" s="241"/>
      <c r="M14858" s="176"/>
    </row>
    <row r="14859" spans="1:13" x14ac:dyDescent="0.2">
      <c r="A14859" s="242">
        <v>2025</v>
      </c>
      <c r="B14859" s="242">
        <v>8</v>
      </c>
      <c r="C14859" s="242">
        <v>21</v>
      </c>
      <c r="D14859" s="270">
        <f t="shared" si="2330"/>
        <v>45890</v>
      </c>
      <c r="E14859" s="279">
        <f t="shared" si="2331"/>
        <v>45890</v>
      </c>
      <c r="F14859" s="478"/>
      <c r="G14859" s="243" t="s">
        <v>94</v>
      </c>
      <c r="H14859" s="243"/>
      <c r="I14859" s="263" t="s">
        <v>348</v>
      </c>
      <c r="J14859" s="244" t="s">
        <v>63</v>
      </c>
      <c r="K14859" s="245"/>
      <c r="L14859" s="245">
        <f>K14858</f>
        <v>2747.2527472527472</v>
      </c>
    </row>
    <row r="14860" spans="1:13" x14ac:dyDescent="0.2">
      <c r="A14860" s="246">
        <v>2025</v>
      </c>
      <c r="B14860" s="238">
        <v>8</v>
      </c>
      <c r="C14860" s="238">
        <v>21</v>
      </c>
      <c r="D14860" s="270">
        <f t="shared" si="2330"/>
        <v>45890</v>
      </c>
      <c r="E14860" s="279">
        <f t="shared" si="2331"/>
        <v>45890</v>
      </c>
      <c r="F14860" s="482" t="s">
        <v>137</v>
      </c>
      <c r="G14860" s="247" t="s">
        <v>94</v>
      </c>
      <c r="H14860" s="247"/>
      <c r="I14860" s="248" t="s">
        <v>348</v>
      </c>
      <c r="J14860" s="249" t="s">
        <v>97</v>
      </c>
      <c r="K14860" s="250">
        <f>M14860</f>
        <v>80807.321222942526</v>
      </c>
      <c r="L14860" s="252"/>
      <c r="M14860" s="133">
        <v>80807.321222942526</v>
      </c>
    </row>
    <row r="14861" spans="1:13" x14ac:dyDescent="0.2">
      <c r="A14861" s="242">
        <v>2025</v>
      </c>
      <c r="B14861" s="242">
        <v>8</v>
      </c>
      <c r="C14861" s="242">
        <v>21</v>
      </c>
      <c r="D14861" s="270">
        <f t="shared" si="2330"/>
        <v>45890</v>
      </c>
      <c r="E14861" s="279">
        <f t="shared" si="2331"/>
        <v>45890</v>
      </c>
      <c r="F14861" s="478"/>
      <c r="G14861" s="243" t="s">
        <v>94</v>
      </c>
      <c r="H14861" s="243"/>
      <c r="I14861" s="263" t="s">
        <v>348</v>
      </c>
      <c r="J14861" s="244" t="s">
        <v>47</v>
      </c>
      <c r="K14861" s="245"/>
      <c r="L14861" s="245">
        <f>K14860</f>
        <v>80807.321222942526</v>
      </c>
      <c r="M14861" s="133">
        <v>3799.9814457625107</v>
      </c>
    </row>
    <row r="14862" spans="1:13" x14ac:dyDescent="0.2">
      <c r="A14862" s="246">
        <v>2025</v>
      </c>
      <c r="B14862" s="238">
        <v>8</v>
      </c>
      <c r="C14862" s="238">
        <v>21</v>
      </c>
      <c r="D14862" s="270">
        <f t="shared" si="2330"/>
        <v>45890</v>
      </c>
      <c r="E14862" s="279">
        <f t="shared" si="2331"/>
        <v>45890</v>
      </c>
      <c r="F14862" s="482" t="s">
        <v>138</v>
      </c>
      <c r="G14862" s="247" t="s">
        <v>94</v>
      </c>
      <c r="H14862" s="247"/>
      <c r="I14862" s="248" t="s">
        <v>348</v>
      </c>
      <c r="J14862" s="249" t="s">
        <v>100</v>
      </c>
      <c r="K14862" s="250">
        <f>M14861</f>
        <v>3799.9814457625107</v>
      </c>
      <c r="L14862" s="252"/>
    </row>
    <row r="14863" spans="1:13" x14ac:dyDescent="0.2">
      <c r="A14863" s="242">
        <v>2025</v>
      </c>
      <c r="B14863" s="242">
        <v>8</v>
      </c>
      <c r="C14863" s="242">
        <v>21</v>
      </c>
      <c r="D14863" s="321">
        <f t="shared" si="2330"/>
        <v>45890</v>
      </c>
      <c r="E14863" s="322">
        <f t="shared" si="2331"/>
        <v>45890</v>
      </c>
      <c r="F14863" s="478"/>
      <c r="G14863" s="243" t="s">
        <v>94</v>
      </c>
      <c r="H14863" s="243"/>
      <c r="I14863" s="263" t="s">
        <v>348</v>
      </c>
      <c r="J14863" s="244" t="s">
        <v>48</v>
      </c>
      <c r="K14863" s="245"/>
      <c r="L14863" s="245">
        <f>K14862</f>
        <v>3799.9814457625107</v>
      </c>
    </row>
    <row r="14864" spans="1:13" x14ac:dyDescent="0.2">
      <c r="A14864" s="133">
        <v>2025</v>
      </c>
      <c r="B14864" s="133">
        <v>8</v>
      </c>
      <c r="C14864" s="133">
        <v>24</v>
      </c>
      <c r="D14864" s="141">
        <f t="shared" si="2330"/>
        <v>45893</v>
      </c>
      <c r="E14864" s="275">
        <f t="shared" si="2331"/>
        <v>45893</v>
      </c>
      <c r="F14864" s="481" t="s">
        <v>2115</v>
      </c>
      <c r="G14864" s="174" t="s">
        <v>94</v>
      </c>
      <c r="H14864" s="174"/>
      <c r="J14864" s="149" t="s">
        <v>79</v>
      </c>
      <c r="K14864" s="218">
        <v>1127328.8999999999</v>
      </c>
      <c r="L14864" s="218"/>
      <c r="M14864" s="160"/>
    </row>
    <row r="14865" spans="1:17" x14ac:dyDescent="0.2">
      <c r="A14865" s="133">
        <v>2025</v>
      </c>
      <c r="B14865" s="133">
        <v>8</v>
      </c>
      <c r="C14865" s="133">
        <v>24</v>
      </c>
      <c r="D14865" s="141">
        <f t="shared" si="2330"/>
        <v>45893</v>
      </c>
      <c r="E14865" s="275">
        <f t="shared" si="2331"/>
        <v>45893</v>
      </c>
      <c r="F14865" s="481"/>
      <c r="G14865" s="174" t="s">
        <v>94</v>
      </c>
      <c r="H14865" s="174"/>
      <c r="J14865" s="149" t="s">
        <v>80</v>
      </c>
      <c r="K14865" s="218">
        <v>2149.9699999999998</v>
      </c>
      <c r="L14865" s="264"/>
      <c r="M14865" s="264"/>
      <c r="N14865" s="264"/>
    </row>
    <row r="14866" spans="1:17" x14ac:dyDescent="0.2">
      <c r="A14866" s="133">
        <v>2025</v>
      </c>
      <c r="B14866" s="133">
        <v>8</v>
      </c>
      <c r="C14866" s="133">
        <v>24</v>
      </c>
      <c r="D14866" s="141">
        <f t="shared" si="2330"/>
        <v>45893</v>
      </c>
      <c r="E14866" s="275">
        <f t="shared" si="2331"/>
        <v>45893</v>
      </c>
      <c r="F14866" s="481"/>
      <c r="G14866" s="174" t="s">
        <v>94</v>
      </c>
      <c r="H14866" s="174"/>
      <c r="J14866" s="149" t="s">
        <v>147</v>
      </c>
      <c r="K14866" s="218"/>
      <c r="L14866" s="218">
        <v>1062378.8700000001</v>
      </c>
      <c r="M14866" s="264"/>
    </row>
    <row r="14867" spans="1:17" x14ac:dyDescent="0.2">
      <c r="A14867" s="133">
        <v>2025</v>
      </c>
      <c r="B14867" s="133">
        <v>8</v>
      </c>
      <c r="C14867" s="133">
        <v>24</v>
      </c>
      <c r="D14867" s="141">
        <f t="shared" si="2330"/>
        <v>45893</v>
      </c>
      <c r="E14867" s="275">
        <f t="shared" si="2331"/>
        <v>45893</v>
      </c>
      <c r="F14867" s="481"/>
      <c r="G14867" s="174" t="s">
        <v>94</v>
      </c>
      <c r="H14867" s="174"/>
      <c r="J14867" s="149" t="s">
        <v>191</v>
      </c>
      <c r="L14867" s="218">
        <v>15702.19</v>
      </c>
    </row>
    <row r="14868" spans="1:17" x14ac:dyDescent="0.2">
      <c r="A14868" s="163">
        <v>2025</v>
      </c>
      <c r="B14868" s="163">
        <v>8</v>
      </c>
      <c r="C14868" s="163">
        <v>24</v>
      </c>
      <c r="D14868" s="280">
        <f t="shared" si="2330"/>
        <v>45893</v>
      </c>
      <c r="E14868" s="281">
        <f t="shared" si="2331"/>
        <v>45893</v>
      </c>
      <c r="F14868" s="480"/>
      <c r="G14868" s="221" t="s">
        <v>94</v>
      </c>
      <c r="H14868" s="145"/>
      <c r="I14868" s="145"/>
      <c r="J14868" s="163" t="s">
        <v>79</v>
      </c>
      <c r="K14868" s="219"/>
      <c r="L14868" s="219">
        <v>51397.81</v>
      </c>
      <c r="M14868" s="264"/>
    </row>
    <row r="14869" spans="1:17" x14ac:dyDescent="0.2">
      <c r="A14869" s="133">
        <v>2025</v>
      </c>
      <c r="B14869" s="133">
        <v>8</v>
      </c>
      <c r="C14869" s="133">
        <v>24</v>
      </c>
      <c r="D14869" s="141">
        <f t="shared" ref="D14869:D14873" si="2332">DATE(A14869,B14869,C14869)</f>
        <v>45893</v>
      </c>
      <c r="E14869" s="275">
        <f t="shared" ref="E14869:E14873" si="2333">DATE(A14869,B14869,C14869)</f>
        <v>45893</v>
      </c>
      <c r="F14869" s="481" t="s">
        <v>2073</v>
      </c>
      <c r="G14869" s="174" t="s">
        <v>94</v>
      </c>
      <c r="H14869" s="174"/>
      <c r="J14869" s="149" t="s">
        <v>79</v>
      </c>
      <c r="K14869" s="218">
        <v>614000</v>
      </c>
      <c r="L14869" s="218"/>
      <c r="M14869" s="160"/>
    </row>
    <row r="14870" spans="1:17" x14ac:dyDescent="0.2">
      <c r="A14870" s="133">
        <v>2025</v>
      </c>
      <c r="B14870" s="133">
        <v>8</v>
      </c>
      <c r="C14870" s="133">
        <v>24</v>
      </c>
      <c r="D14870" s="141">
        <f t="shared" si="2332"/>
        <v>45893</v>
      </c>
      <c r="E14870" s="275">
        <f t="shared" si="2333"/>
        <v>45893</v>
      </c>
      <c r="F14870" s="481"/>
      <c r="G14870" s="174" t="s">
        <v>94</v>
      </c>
      <c r="H14870" s="174"/>
      <c r="J14870" s="149" t="s">
        <v>80</v>
      </c>
      <c r="K14870" s="218">
        <v>2247.84</v>
      </c>
      <c r="L14870" s="264"/>
      <c r="M14870" s="264"/>
      <c r="N14870" s="264"/>
    </row>
    <row r="14871" spans="1:17" x14ac:dyDescent="0.2">
      <c r="A14871" s="133">
        <v>2025</v>
      </c>
      <c r="B14871" s="133">
        <v>8</v>
      </c>
      <c r="C14871" s="133">
        <v>24</v>
      </c>
      <c r="D14871" s="141">
        <f t="shared" si="2332"/>
        <v>45893</v>
      </c>
      <c r="E14871" s="275">
        <f t="shared" si="2333"/>
        <v>45893</v>
      </c>
      <c r="F14871" s="481"/>
      <c r="G14871" s="174" t="s">
        <v>94</v>
      </c>
      <c r="H14871" s="174"/>
      <c r="J14871" s="149" t="s">
        <v>190</v>
      </c>
      <c r="K14871" s="218">
        <v>18552.16</v>
      </c>
      <c r="L14871" s="218"/>
      <c r="M14871" s="264"/>
    </row>
    <row r="14872" spans="1:17" x14ac:dyDescent="0.2">
      <c r="A14872" s="133">
        <v>2025</v>
      </c>
      <c r="B14872" s="133">
        <v>8</v>
      </c>
      <c r="C14872" s="133">
        <v>24</v>
      </c>
      <c r="D14872" s="141">
        <f t="shared" si="2332"/>
        <v>45893</v>
      </c>
      <c r="E14872" s="275">
        <f t="shared" si="2333"/>
        <v>45893</v>
      </c>
      <c r="F14872" s="481"/>
      <c r="G14872" s="174" t="s">
        <v>94</v>
      </c>
      <c r="H14872" s="174"/>
      <c r="J14872" s="149" t="s">
        <v>191</v>
      </c>
      <c r="L14872" s="218">
        <v>93813.98</v>
      </c>
    </row>
    <row r="14873" spans="1:17" x14ac:dyDescent="0.2">
      <c r="A14873" s="163">
        <v>2025</v>
      </c>
      <c r="B14873" s="163">
        <v>8</v>
      </c>
      <c r="C14873" s="163">
        <v>24</v>
      </c>
      <c r="D14873" s="280">
        <f t="shared" si="2332"/>
        <v>45893</v>
      </c>
      <c r="E14873" s="281">
        <f t="shared" si="2333"/>
        <v>45893</v>
      </c>
      <c r="F14873" s="480"/>
      <c r="G14873" s="221" t="s">
        <v>94</v>
      </c>
      <c r="H14873" s="145"/>
      <c r="I14873" s="145"/>
      <c r="J14873" s="163" t="s">
        <v>79</v>
      </c>
      <c r="K14873" s="219"/>
      <c r="L14873" s="219">
        <v>540986.02</v>
      </c>
      <c r="M14873" s="264"/>
    </row>
    <row r="14874" spans="1:17" ht="11.25" customHeight="1" x14ac:dyDescent="0.2">
      <c r="A14874" s="168">
        <v>2025</v>
      </c>
      <c r="B14874" s="168">
        <v>8</v>
      </c>
      <c r="C14874" s="133">
        <v>24</v>
      </c>
      <c r="D14874" s="141">
        <f>DATE(A14874,B14874,C14874)</f>
        <v>45893</v>
      </c>
      <c r="E14874" s="275">
        <f>DATE(A14874,B14874,C14874)</f>
        <v>45893</v>
      </c>
      <c r="F14874" s="481" t="s">
        <v>1989</v>
      </c>
      <c r="G14874" s="174" t="s">
        <v>74</v>
      </c>
      <c r="H14874" s="174"/>
      <c r="I14874" s="148" t="s">
        <v>348</v>
      </c>
      <c r="J14874" s="149" t="s">
        <v>52</v>
      </c>
      <c r="K14874" s="218">
        <v>3057682.97</v>
      </c>
      <c r="L14874" s="218"/>
      <c r="M14874" s="147"/>
      <c r="Q14874" s="133" t="s">
        <v>348</v>
      </c>
    </row>
    <row r="14875" spans="1:17" x14ac:dyDescent="0.2">
      <c r="A14875" s="133">
        <v>2025</v>
      </c>
      <c r="B14875" s="133">
        <v>8</v>
      </c>
      <c r="C14875" s="133">
        <v>24</v>
      </c>
      <c r="D14875" s="141">
        <f t="shared" ref="D14875" si="2334">DATE(A14875,B14875,C14875)</f>
        <v>45893</v>
      </c>
      <c r="E14875" s="275">
        <f t="shared" ref="E14875" si="2335">DATE(A14875,B14875,C14875)</f>
        <v>45893</v>
      </c>
      <c r="F14875" s="481"/>
      <c r="G14875" s="174" t="s">
        <v>74</v>
      </c>
      <c r="H14875" s="174"/>
      <c r="J14875" s="149" t="s">
        <v>1810</v>
      </c>
      <c r="K14875" s="218"/>
      <c r="L14875" s="218">
        <v>97052.27</v>
      </c>
      <c r="M14875" s="147"/>
    </row>
    <row r="14876" spans="1:17" x14ac:dyDescent="0.2">
      <c r="A14876" s="163">
        <v>2025</v>
      </c>
      <c r="B14876" s="163">
        <v>8</v>
      </c>
      <c r="C14876" s="163">
        <v>24</v>
      </c>
      <c r="D14876" s="280">
        <f>DATE(A14876,B14876,C14876)</f>
        <v>45893</v>
      </c>
      <c r="E14876" s="281">
        <f>DATE(A14876,B14876,C14876)</f>
        <v>45893</v>
      </c>
      <c r="F14876" s="480"/>
      <c r="G14876" s="221" t="s">
        <v>74</v>
      </c>
      <c r="H14876" s="221"/>
      <c r="I14876" s="145"/>
      <c r="J14876" s="146" t="s">
        <v>1805</v>
      </c>
      <c r="K14876" s="219"/>
      <c r="L14876" s="219">
        <v>2960630.7</v>
      </c>
      <c r="M14876" s="147"/>
      <c r="Q14876" s="133" t="s">
        <v>348</v>
      </c>
    </row>
    <row r="14877" spans="1:17" ht="11.25" customHeight="1" x14ac:dyDescent="0.2">
      <c r="A14877" s="168">
        <v>2025</v>
      </c>
      <c r="B14877" s="133">
        <v>8</v>
      </c>
      <c r="C14877" s="168">
        <v>24</v>
      </c>
      <c r="D14877" s="141">
        <f t="shared" ref="D14877:D14878" si="2336">DATE(A14877,B14877,C14877)</f>
        <v>45893</v>
      </c>
      <c r="E14877" s="275">
        <f t="shared" ref="E14877:E14878" si="2337">DATE(A14877,B14877,C14877)</f>
        <v>45893</v>
      </c>
      <c r="F14877" s="479" t="s">
        <v>2116</v>
      </c>
      <c r="G14877" s="220" t="s">
        <v>74</v>
      </c>
      <c r="H14877" s="220"/>
      <c r="I14877" s="142"/>
      <c r="J14877" s="143" t="s">
        <v>147</v>
      </c>
      <c r="K14877" s="226">
        <v>917767.01</v>
      </c>
      <c r="L14877" s="226"/>
    </row>
    <row r="14878" spans="1:17" x14ac:dyDescent="0.2">
      <c r="A14878" s="163">
        <v>2025</v>
      </c>
      <c r="B14878" s="163">
        <v>8</v>
      </c>
      <c r="C14878" s="163">
        <v>24</v>
      </c>
      <c r="D14878" s="280">
        <f t="shared" si="2336"/>
        <v>45893</v>
      </c>
      <c r="E14878" s="281">
        <f t="shared" si="2337"/>
        <v>45893</v>
      </c>
      <c r="F14878" s="480"/>
      <c r="G14878" s="221" t="s">
        <v>74</v>
      </c>
      <c r="H14878" s="221"/>
      <c r="I14878" s="145"/>
      <c r="J14878" s="146" t="s">
        <v>52</v>
      </c>
      <c r="K14878" s="219"/>
      <c r="L14878" s="219">
        <f>K14877</f>
        <v>917767.01</v>
      </c>
      <c r="N14878" s="264"/>
    </row>
    <row r="14879" spans="1:17" x14ac:dyDescent="0.2">
      <c r="A14879" s="168">
        <v>2025</v>
      </c>
      <c r="B14879" s="133">
        <v>8</v>
      </c>
      <c r="C14879" s="168">
        <v>24</v>
      </c>
      <c r="D14879" s="147">
        <f>DATE(A14879,B14879,C14879)</f>
        <v>45893</v>
      </c>
      <c r="E14879" s="311">
        <f>DATE(A14879,B14879,C14879)</f>
        <v>45893</v>
      </c>
      <c r="F14879" s="481" t="s">
        <v>1943</v>
      </c>
      <c r="G14879" s="174" t="s">
        <v>74</v>
      </c>
      <c r="I14879" s="148" t="s">
        <v>348</v>
      </c>
      <c r="J14879" s="133" t="s">
        <v>61</v>
      </c>
      <c r="K14879" s="172">
        <v>100</v>
      </c>
    </row>
    <row r="14880" spans="1:17" x14ac:dyDescent="0.2">
      <c r="A14880" s="163">
        <v>2025</v>
      </c>
      <c r="B14880" s="163">
        <v>8</v>
      </c>
      <c r="C14880" s="163">
        <v>24</v>
      </c>
      <c r="D14880" s="280">
        <f>DATE(A14880,B14880,C14880)</f>
        <v>45893</v>
      </c>
      <c r="E14880" s="281">
        <f>DATE(A14880,B14880,C14880)</f>
        <v>45893</v>
      </c>
      <c r="F14880" s="480"/>
      <c r="G14880" s="221" t="s">
        <v>74</v>
      </c>
      <c r="H14880" s="145"/>
      <c r="I14880" s="145" t="s">
        <v>348</v>
      </c>
      <c r="J14880" s="163" t="s">
        <v>52</v>
      </c>
      <c r="K14880" s="219"/>
      <c r="L14880" s="219">
        <f>K14879</f>
        <v>100</v>
      </c>
    </row>
    <row r="14881" spans="1:17" x14ac:dyDescent="0.2">
      <c r="A14881" s="133">
        <v>2025</v>
      </c>
      <c r="B14881" s="133">
        <v>8</v>
      </c>
      <c r="C14881" s="133">
        <v>25</v>
      </c>
      <c r="D14881" s="141">
        <f t="shared" ref="D14881:D14888" si="2338">DATE(A14881,B14881,C14881)</f>
        <v>45894</v>
      </c>
      <c r="E14881" s="275">
        <f t="shared" ref="E14881:E14888" si="2339">DATE(A14881,B14881,C14881)</f>
        <v>45894</v>
      </c>
      <c r="F14881" s="481" t="s">
        <v>1767</v>
      </c>
      <c r="G14881" s="174" t="s">
        <v>94</v>
      </c>
      <c r="H14881" s="174"/>
      <c r="J14881" s="149" t="s">
        <v>79</v>
      </c>
      <c r="K14881" s="218">
        <v>415985.6</v>
      </c>
      <c r="L14881" s="218"/>
      <c r="M14881" s="160"/>
    </row>
    <row r="14882" spans="1:17" x14ac:dyDescent="0.2">
      <c r="A14882" s="133">
        <v>2025</v>
      </c>
      <c r="B14882" s="133">
        <v>8</v>
      </c>
      <c r="C14882" s="133">
        <v>25</v>
      </c>
      <c r="D14882" s="141">
        <f t="shared" si="2338"/>
        <v>45894</v>
      </c>
      <c r="E14882" s="275">
        <f t="shared" si="2339"/>
        <v>45894</v>
      </c>
      <c r="F14882" s="481"/>
      <c r="G14882" s="174" t="s">
        <v>94</v>
      </c>
      <c r="H14882" s="174"/>
      <c r="J14882" s="149" t="s">
        <v>80</v>
      </c>
      <c r="K14882" s="218">
        <v>997.53</v>
      </c>
      <c r="L14882" s="264"/>
      <c r="M14882" s="264"/>
      <c r="N14882" s="264"/>
    </row>
    <row r="14883" spans="1:17" x14ac:dyDescent="0.2">
      <c r="A14883" s="133">
        <v>2025</v>
      </c>
      <c r="B14883" s="133">
        <v>8</v>
      </c>
      <c r="C14883" s="133">
        <v>25</v>
      </c>
      <c r="D14883" s="141">
        <f t="shared" si="2338"/>
        <v>45894</v>
      </c>
      <c r="E14883" s="275">
        <f t="shared" si="2339"/>
        <v>45894</v>
      </c>
      <c r="F14883" s="481"/>
      <c r="G14883" s="174" t="s">
        <v>94</v>
      </c>
      <c r="H14883" s="174"/>
      <c r="J14883" s="149" t="s">
        <v>147</v>
      </c>
      <c r="K14883" s="218"/>
      <c r="L14883" s="218">
        <v>278783.13</v>
      </c>
      <c r="M14883" s="264"/>
    </row>
    <row r="14884" spans="1:17" x14ac:dyDescent="0.2">
      <c r="A14884" s="133">
        <v>2025</v>
      </c>
      <c r="B14884" s="133">
        <v>8</v>
      </c>
      <c r="C14884" s="133">
        <v>25</v>
      </c>
      <c r="D14884" s="141">
        <f t="shared" si="2338"/>
        <v>45894</v>
      </c>
      <c r="E14884" s="275">
        <f t="shared" si="2339"/>
        <v>45894</v>
      </c>
      <c r="F14884" s="481"/>
      <c r="G14884" s="174" t="s">
        <v>94</v>
      </c>
      <c r="H14884" s="174"/>
      <c r="J14884" s="149" t="s">
        <v>191</v>
      </c>
      <c r="L14884" s="218">
        <v>25260.74</v>
      </c>
    </row>
    <row r="14885" spans="1:17" x14ac:dyDescent="0.2">
      <c r="A14885" s="163">
        <v>2025</v>
      </c>
      <c r="B14885" s="163">
        <v>8</v>
      </c>
      <c r="C14885" s="163">
        <v>25</v>
      </c>
      <c r="D14885" s="280">
        <f t="shared" si="2338"/>
        <v>45894</v>
      </c>
      <c r="E14885" s="281">
        <f t="shared" si="2339"/>
        <v>45894</v>
      </c>
      <c r="F14885" s="480"/>
      <c r="G14885" s="221" t="s">
        <v>94</v>
      </c>
      <c r="H14885" s="145"/>
      <c r="I14885" s="145"/>
      <c r="J14885" s="163" t="s">
        <v>79</v>
      </c>
      <c r="K14885" s="219"/>
      <c r="L14885" s="219">
        <v>112939.26</v>
      </c>
      <c r="M14885" s="264"/>
    </row>
    <row r="14886" spans="1:17" ht="11.25" customHeight="1" x14ac:dyDescent="0.2">
      <c r="A14886" s="168">
        <v>2025</v>
      </c>
      <c r="B14886" s="168">
        <v>8</v>
      </c>
      <c r="C14886" s="133">
        <v>25</v>
      </c>
      <c r="D14886" s="141">
        <f t="shared" si="2338"/>
        <v>45894</v>
      </c>
      <c r="E14886" s="275">
        <f t="shared" si="2339"/>
        <v>45894</v>
      </c>
      <c r="F14886" s="479" t="s">
        <v>2113</v>
      </c>
      <c r="G14886" s="220" t="s">
        <v>94</v>
      </c>
      <c r="H14886" s="220"/>
      <c r="I14886" s="142"/>
      <c r="J14886" s="143" t="s">
        <v>79</v>
      </c>
      <c r="K14886" s="226">
        <v>1606506</v>
      </c>
      <c r="L14886" s="226"/>
      <c r="M14886" s="160"/>
    </row>
    <row r="14887" spans="1:17" x14ac:dyDescent="0.2">
      <c r="A14887" s="133">
        <v>2025</v>
      </c>
      <c r="B14887" s="133">
        <v>8</v>
      </c>
      <c r="C14887" s="133">
        <v>25</v>
      </c>
      <c r="D14887" s="141">
        <f t="shared" si="2338"/>
        <v>45894</v>
      </c>
      <c r="E14887" s="275">
        <f t="shared" si="2339"/>
        <v>45894</v>
      </c>
      <c r="F14887" s="481"/>
      <c r="G14887" s="174" t="s">
        <v>94</v>
      </c>
      <c r="H14887" s="174"/>
      <c r="J14887" s="149" t="s">
        <v>80</v>
      </c>
      <c r="K14887" s="218">
        <v>2891.71</v>
      </c>
      <c r="L14887" s="133"/>
    </row>
    <row r="14888" spans="1:17" x14ac:dyDescent="0.2">
      <c r="A14888" s="163">
        <v>2025</v>
      </c>
      <c r="B14888" s="163">
        <v>8</v>
      </c>
      <c r="C14888" s="163">
        <v>25</v>
      </c>
      <c r="D14888" s="280">
        <f t="shared" si="2338"/>
        <v>45894</v>
      </c>
      <c r="E14888" s="281">
        <f t="shared" si="2339"/>
        <v>45894</v>
      </c>
      <c r="F14888" s="480"/>
      <c r="G14888" s="221" t="s">
        <v>94</v>
      </c>
      <c r="H14888" s="221"/>
      <c r="I14888" s="145"/>
      <c r="J14888" s="146" t="s">
        <v>147</v>
      </c>
      <c r="K14888" s="219"/>
      <c r="L14888" s="219">
        <v>1609397.71</v>
      </c>
    </row>
    <row r="14889" spans="1:17" ht="11.25" customHeight="1" x14ac:dyDescent="0.2">
      <c r="A14889" s="168">
        <v>2025</v>
      </c>
      <c r="B14889" s="168">
        <v>8</v>
      </c>
      <c r="C14889" s="133">
        <v>25</v>
      </c>
      <c r="D14889" s="141">
        <f>DATE(A14889,B14889,C14889)</f>
        <v>45894</v>
      </c>
      <c r="E14889" s="275">
        <f>DATE(A14889,B14889,C14889)</f>
        <v>45894</v>
      </c>
      <c r="F14889" s="481" t="s">
        <v>1989</v>
      </c>
      <c r="G14889" s="174" t="s">
        <v>74</v>
      </c>
      <c r="H14889" s="174"/>
      <c r="I14889" s="148" t="s">
        <v>348</v>
      </c>
      <c r="J14889" s="149" t="s">
        <v>52</v>
      </c>
      <c r="K14889" s="218">
        <v>1019783.44</v>
      </c>
      <c r="L14889" s="218"/>
      <c r="M14889" s="147"/>
      <c r="Q14889" s="133" t="s">
        <v>348</v>
      </c>
    </row>
    <row r="14890" spans="1:17" x14ac:dyDescent="0.2">
      <c r="A14890" s="133">
        <v>2025</v>
      </c>
      <c r="B14890" s="133">
        <v>8</v>
      </c>
      <c r="C14890" s="133">
        <v>25</v>
      </c>
      <c r="D14890" s="141">
        <f t="shared" ref="D14890" si="2340">DATE(A14890,B14890,C14890)</f>
        <v>45894</v>
      </c>
      <c r="E14890" s="275">
        <f t="shared" ref="E14890" si="2341">DATE(A14890,B14890,C14890)</f>
        <v>45894</v>
      </c>
      <c r="F14890" s="481"/>
      <c r="G14890" s="174" t="s">
        <v>74</v>
      </c>
      <c r="H14890" s="174"/>
      <c r="J14890" s="149" t="s">
        <v>1810</v>
      </c>
      <c r="K14890" s="218"/>
      <c r="L14890" s="218">
        <v>32906.539999999921</v>
      </c>
      <c r="M14890" s="147"/>
    </row>
    <row r="14891" spans="1:17" x14ac:dyDescent="0.2">
      <c r="A14891" s="163">
        <v>2025</v>
      </c>
      <c r="B14891" s="163">
        <v>8</v>
      </c>
      <c r="C14891" s="163">
        <v>25</v>
      </c>
      <c r="D14891" s="280">
        <f>DATE(A14891,B14891,C14891)</f>
        <v>45894</v>
      </c>
      <c r="E14891" s="281">
        <f>DATE(A14891,B14891,C14891)</f>
        <v>45894</v>
      </c>
      <c r="F14891" s="480"/>
      <c r="G14891" s="221" t="s">
        <v>74</v>
      </c>
      <c r="H14891" s="221"/>
      <c r="I14891" s="145"/>
      <c r="J14891" s="146" t="s">
        <v>1805</v>
      </c>
      <c r="K14891" s="219"/>
      <c r="L14891" s="219">
        <v>986876.9</v>
      </c>
      <c r="M14891" s="147"/>
      <c r="Q14891" s="133" t="s">
        <v>348</v>
      </c>
    </row>
    <row r="14892" spans="1:17" ht="11.25" customHeight="1" x14ac:dyDescent="0.2">
      <c r="A14892" s="168">
        <v>2025</v>
      </c>
      <c r="B14892" s="133">
        <v>8</v>
      </c>
      <c r="C14892" s="168">
        <v>25</v>
      </c>
      <c r="D14892" s="141">
        <f t="shared" ref="D14892:D14893" si="2342">DATE(A14892,B14892,C14892)</f>
        <v>45894</v>
      </c>
      <c r="E14892" s="275">
        <f t="shared" ref="E14892:E14893" si="2343">DATE(A14892,B14892,C14892)</f>
        <v>45894</v>
      </c>
      <c r="F14892" s="479" t="s">
        <v>2116</v>
      </c>
      <c r="G14892" s="220" t="s">
        <v>74</v>
      </c>
      <c r="H14892" s="220"/>
      <c r="I14892" s="142"/>
      <c r="J14892" s="143" t="s">
        <v>147</v>
      </c>
      <c r="K14892" s="226">
        <v>1062378.8700000001</v>
      </c>
      <c r="L14892" s="226"/>
    </row>
    <row r="14893" spans="1:17" x14ac:dyDescent="0.2">
      <c r="A14893" s="163">
        <v>2025</v>
      </c>
      <c r="B14893" s="163">
        <v>8</v>
      </c>
      <c r="C14893" s="163">
        <v>25</v>
      </c>
      <c r="D14893" s="280">
        <f t="shared" si="2342"/>
        <v>45894</v>
      </c>
      <c r="E14893" s="281">
        <f t="shared" si="2343"/>
        <v>45894</v>
      </c>
      <c r="F14893" s="480"/>
      <c r="G14893" s="221" t="s">
        <v>74</v>
      </c>
      <c r="H14893" s="221"/>
      <c r="I14893" s="145"/>
      <c r="J14893" s="146" t="s">
        <v>52</v>
      </c>
      <c r="K14893" s="219"/>
      <c r="L14893" s="219">
        <f>K14892</f>
        <v>1062378.8700000001</v>
      </c>
      <c r="N14893" s="264"/>
    </row>
    <row r="14894" spans="1:17" x14ac:dyDescent="0.2">
      <c r="A14894" s="168">
        <v>2025</v>
      </c>
      <c r="B14894" s="133">
        <v>8</v>
      </c>
      <c r="C14894" s="168">
        <v>25</v>
      </c>
      <c r="D14894" s="147">
        <f>DATE(A14894,B14894,C14894)</f>
        <v>45894</v>
      </c>
      <c r="E14894" s="311">
        <f>DATE(A14894,B14894,C14894)</f>
        <v>45894</v>
      </c>
      <c r="F14894" s="481" t="s">
        <v>1943</v>
      </c>
      <c r="G14894" s="174" t="s">
        <v>74</v>
      </c>
      <c r="I14894" s="148" t="s">
        <v>348</v>
      </c>
      <c r="J14894" s="133" t="s">
        <v>61</v>
      </c>
      <c r="K14894" s="172">
        <v>100</v>
      </c>
    </row>
    <row r="14895" spans="1:17" x14ac:dyDescent="0.2">
      <c r="A14895" s="163">
        <v>2025</v>
      </c>
      <c r="B14895" s="163">
        <v>8</v>
      </c>
      <c r="C14895" s="163">
        <v>25</v>
      </c>
      <c r="D14895" s="280">
        <f>DATE(A14895,B14895,C14895)</f>
        <v>45894</v>
      </c>
      <c r="E14895" s="281">
        <f>DATE(A14895,B14895,C14895)</f>
        <v>45894</v>
      </c>
      <c r="F14895" s="480"/>
      <c r="G14895" s="221" t="s">
        <v>74</v>
      </c>
      <c r="H14895" s="145"/>
      <c r="I14895" s="145" t="s">
        <v>348</v>
      </c>
      <c r="J14895" s="163" t="s">
        <v>52</v>
      </c>
      <c r="K14895" s="219"/>
      <c r="L14895" s="219">
        <f>K14894</f>
        <v>100</v>
      </c>
    </row>
    <row r="14896" spans="1:17" x14ac:dyDescent="0.2">
      <c r="A14896" s="133">
        <v>2025</v>
      </c>
      <c r="B14896" s="133">
        <v>8</v>
      </c>
      <c r="C14896" s="133">
        <v>26</v>
      </c>
      <c r="D14896" s="141">
        <f t="shared" ref="D14896:D14900" si="2344">DATE(A14896,B14896,C14896)</f>
        <v>45895</v>
      </c>
      <c r="E14896" s="275">
        <f t="shared" ref="E14896:E14900" si="2345">DATE(A14896,B14896,C14896)</f>
        <v>45895</v>
      </c>
      <c r="F14896" s="481" t="s">
        <v>2115</v>
      </c>
      <c r="G14896" s="174" t="s">
        <v>94</v>
      </c>
      <c r="H14896" s="174"/>
      <c r="J14896" s="149" t="s">
        <v>79</v>
      </c>
      <c r="K14896" s="218">
        <v>2151639.1</v>
      </c>
      <c r="L14896" s="218"/>
      <c r="M14896" s="160"/>
    </row>
    <row r="14897" spans="1:14" x14ac:dyDescent="0.2">
      <c r="A14897" s="133">
        <v>2025</v>
      </c>
      <c r="B14897" s="133">
        <v>8</v>
      </c>
      <c r="C14897" s="133">
        <v>26</v>
      </c>
      <c r="D14897" s="141">
        <f t="shared" si="2344"/>
        <v>45895</v>
      </c>
      <c r="E14897" s="275">
        <f t="shared" si="2345"/>
        <v>45895</v>
      </c>
      <c r="F14897" s="481"/>
      <c r="G14897" s="174" t="s">
        <v>94</v>
      </c>
      <c r="H14897" s="174"/>
      <c r="J14897" s="149" t="s">
        <v>80</v>
      </c>
      <c r="K14897" s="218">
        <v>4161.6899999999996</v>
      </c>
      <c r="L14897" s="264"/>
      <c r="M14897" s="264"/>
      <c r="N14897" s="264"/>
    </row>
    <row r="14898" spans="1:14" x14ac:dyDescent="0.2">
      <c r="A14898" s="133">
        <v>2025</v>
      </c>
      <c r="B14898" s="133">
        <v>8</v>
      </c>
      <c r="C14898" s="133">
        <v>26</v>
      </c>
      <c r="D14898" s="141">
        <f t="shared" si="2344"/>
        <v>45895</v>
      </c>
      <c r="E14898" s="275">
        <f t="shared" si="2345"/>
        <v>45895</v>
      </c>
      <c r="F14898" s="481"/>
      <c r="G14898" s="174" t="s">
        <v>94</v>
      </c>
      <c r="H14898" s="174"/>
      <c r="J14898" s="149" t="s">
        <v>147</v>
      </c>
      <c r="K14898" s="218"/>
      <c r="L14898" s="218">
        <v>1995387.79</v>
      </c>
      <c r="M14898" s="264"/>
    </row>
    <row r="14899" spans="1:14" x14ac:dyDescent="0.2">
      <c r="A14899" s="133">
        <v>2025</v>
      </c>
      <c r="B14899" s="133">
        <v>8</v>
      </c>
      <c r="C14899" s="133">
        <v>26</v>
      </c>
      <c r="D14899" s="141">
        <f t="shared" si="2344"/>
        <v>45895</v>
      </c>
      <c r="E14899" s="275">
        <f t="shared" si="2345"/>
        <v>45895</v>
      </c>
      <c r="F14899" s="481"/>
      <c r="G14899" s="174" t="s">
        <v>94</v>
      </c>
      <c r="H14899" s="174"/>
      <c r="J14899" s="149" t="s">
        <v>191</v>
      </c>
      <c r="L14899" s="218">
        <v>19050.490000000002</v>
      </c>
    </row>
    <row r="14900" spans="1:14" x14ac:dyDescent="0.2">
      <c r="A14900" s="163">
        <v>2025</v>
      </c>
      <c r="B14900" s="163">
        <v>8</v>
      </c>
      <c r="C14900" s="163">
        <v>26</v>
      </c>
      <c r="D14900" s="280">
        <f t="shared" si="2344"/>
        <v>45895</v>
      </c>
      <c r="E14900" s="281">
        <f t="shared" si="2345"/>
        <v>45895</v>
      </c>
      <c r="F14900" s="480"/>
      <c r="G14900" s="221" t="s">
        <v>94</v>
      </c>
      <c r="H14900" s="145"/>
      <c r="I14900" s="145"/>
      <c r="J14900" s="163" t="s">
        <v>79</v>
      </c>
      <c r="K14900" s="219"/>
      <c r="L14900" s="219">
        <v>141362.51</v>
      </c>
      <c r="M14900" s="264"/>
    </row>
    <row r="14901" spans="1:14" x14ac:dyDescent="0.2">
      <c r="A14901" s="133">
        <v>2025</v>
      </c>
      <c r="B14901" s="133">
        <v>8</v>
      </c>
      <c r="C14901" s="133">
        <v>26</v>
      </c>
      <c r="D14901" s="141">
        <f t="shared" ref="D14901:D14929" si="2346">DATE(A14901,B14901,C14901)</f>
        <v>45895</v>
      </c>
      <c r="E14901" s="275">
        <f t="shared" ref="E14901:E14929" si="2347">DATE(A14901,B14901,C14901)</f>
        <v>45895</v>
      </c>
      <c r="F14901" s="481" t="s">
        <v>2073</v>
      </c>
      <c r="G14901" s="174" t="s">
        <v>94</v>
      </c>
      <c r="H14901" s="174"/>
      <c r="J14901" s="149" t="s">
        <v>79</v>
      </c>
      <c r="K14901" s="218">
        <v>252300</v>
      </c>
      <c r="L14901" s="218"/>
      <c r="M14901" s="160"/>
    </row>
    <row r="14902" spans="1:14" x14ac:dyDescent="0.2">
      <c r="A14902" s="133">
        <v>2025</v>
      </c>
      <c r="B14902" s="133">
        <v>8</v>
      </c>
      <c r="C14902" s="133">
        <v>26</v>
      </c>
      <c r="D14902" s="141">
        <f t="shared" si="2346"/>
        <v>45895</v>
      </c>
      <c r="E14902" s="275">
        <f t="shared" si="2347"/>
        <v>45895</v>
      </c>
      <c r="F14902" s="481"/>
      <c r="G14902" s="174" t="s">
        <v>94</v>
      </c>
      <c r="H14902" s="174"/>
      <c r="J14902" s="149" t="s">
        <v>80</v>
      </c>
      <c r="K14902" s="218">
        <v>952.52</v>
      </c>
      <c r="L14902" s="264"/>
      <c r="M14902" s="264"/>
      <c r="N14902" s="264"/>
    </row>
    <row r="14903" spans="1:14" x14ac:dyDescent="0.2">
      <c r="A14903" s="133">
        <v>2025</v>
      </c>
      <c r="B14903" s="133">
        <v>8</v>
      </c>
      <c r="C14903" s="133">
        <v>26</v>
      </c>
      <c r="D14903" s="141">
        <f t="shared" si="2346"/>
        <v>45895</v>
      </c>
      <c r="E14903" s="275">
        <f t="shared" si="2347"/>
        <v>45895</v>
      </c>
      <c r="F14903" s="481"/>
      <c r="G14903" s="174" t="s">
        <v>94</v>
      </c>
      <c r="H14903" s="174"/>
      <c r="J14903" s="149" t="s">
        <v>190</v>
      </c>
      <c r="K14903" s="218">
        <v>23622.49</v>
      </c>
      <c r="L14903" s="218"/>
      <c r="M14903" s="264"/>
    </row>
    <row r="14904" spans="1:14" x14ac:dyDescent="0.2">
      <c r="A14904" s="133">
        <v>2025</v>
      </c>
      <c r="B14904" s="133">
        <v>8</v>
      </c>
      <c r="C14904" s="133">
        <v>26</v>
      </c>
      <c r="D14904" s="141">
        <f t="shared" si="2346"/>
        <v>45895</v>
      </c>
      <c r="E14904" s="275">
        <f t="shared" si="2347"/>
        <v>45895</v>
      </c>
      <c r="F14904" s="481"/>
      <c r="G14904" s="174" t="s">
        <v>94</v>
      </c>
      <c r="H14904" s="174"/>
      <c r="J14904" s="149" t="s">
        <v>191</v>
      </c>
      <c r="L14904" s="218">
        <v>21426.42</v>
      </c>
    </row>
    <row r="14905" spans="1:14" x14ac:dyDescent="0.2">
      <c r="A14905" s="163">
        <v>2025</v>
      </c>
      <c r="B14905" s="163">
        <v>8</v>
      </c>
      <c r="C14905" s="163">
        <v>26</v>
      </c>
      <c r="D14905" s="280">
        <f t="shared" si="2346"/>
        <v>45895</v>
      </c>
      <c r="E14905" s="281">
        <f t="shared" si="2347"/>
        <v>45895</v>
      </c>
      <c r="F14905" s="480"/>
      <c r="G14905" s="221" t="s">
        <v>94</v>
      </c>
      <c r="H14905" s="145"/>
      <c r="I14905" s="145"/>
      <c r="J14905" s="163" t="s">
        <v>79</v>
      </c>
      <c r="K14905" s="219"/>
      <c r="L14905" s="219">
        <v>255448.58</v>
      </c>
      <c r="M14905" s="264"/>
    </row>
    <row r="14906" spans="1:14" ht="11.25" customHeight="1" x14ac:dyDescent="0.2">
      <c r="A14906" s="168">
        <v>2025</v>
      </c>
      <c r="B14906" s="133">
        <v>8</v>
      </c>
      <c r="C14906" s="168">
        <v>26</v>
      </c>
      <c r="D14906" s="141">
        <f t="shared" si="2346"/>
        <v>45895</v>
      </c>
      <c r="E14906" s="275">
        <f t="shared" si="2347"/>
        <v>45895</v>
      </c>
      <c r="F14906" s="479" t="s">
        <v>2002</v>
      </c>
      <c r="G14906" s="220" t="s">
        <v>74</v>
      </c>
      <c r="H14906" s="220"/>
      <c r="I14906" s="142"/>
      <c r="J14906" s="143" t="s">
        <v>147</v>
      </c>
      <c r="K14906" s="226">
        <v>278783.13</v>
      </c>
      <c r="L14906" s="226"/>
    </row>
    <row r="14907" spans="1:14" x14ac:dyDescent="0.2">
      <c r="A14907" s="163">
        <v>2025</v>
      </c>
      <c r="B14907" s="163">
        <v>8</v>
      </c>
      <c r="C14907" s="163">
        <v>26</v>
      </c>
      <c r="D14907" s="280">
        <f t="shared" si="2346"/>
        <v>45895</v>
      </c>
      <c r="E14907" s="281">
        <f t="shared" si="2347"/>
        <v>45895</v>
      </c>
      <c r="F14907" s="480"/>
      <c r="G14907" s="221" t="s">
        <v>74</v>
      </c>
      <c r="H14907" s="221"/>
      <c r="I14907" s="145"/>
      <c r="J14907" s="146" t="s">
        <v>52</v>
      </c>
      <c r="K14907" s="219"/>
      <c r="L14907" s="219">
        <f>K14906</f>
        <v>278783.13</v>
      </c>
      <c r="N14907" s="264"/>
    </row>
    <row r="14908" spans="1:14" ht="11.25" customHeight="1" x14ac:dyDescent="0.2">
      <c r="A14908" s="168">
        <v>2025</v>
      </c>
      <c r="B14908" s="133">
        <v>8</v>
      </c>
      <c r="C14908" s="168">
        <v>26</v>
      </c>
      <c r="D14908" s="141">
        <f t="shared" ref="D14908:D14910" si="2348">DATE(A14908,B14908,C14908)</f>
        <v>45895</v>
      </c>
      <c r="E14908" s="275">
        <f t="shared" ref="E14908:E14910" si="2349">DATE(A14908,B14908,C14908)</f>
        <v>45895</v>
      </c>
      <c r="F14908" s="479" t="s">
        <v>2116</v>
      </c>
      <c r="G14908" s="220" t="s">
        <v>74</v>
      </c>
      <c r="H14908" s="220"/>
      <c r="I14908" s="142"/>
      <c r="J14908" s="143" t="s">
        <v>147</v>
      </c>
      <c r="K14908" s="226">
        <v>1609397.71</v>
      </c>
      <c r="L14908" s="226"/>
    </row>
    <row r="14909" spans="1:14" x14ac:dyDescent="0.2">
      <c r="A14909" s="163">
        <v>2025</v>
      </c>
      <c r="B14909" s="163">
        <v>8</v>
      </c>
      <c r="C14909" s="163">
        <v>26</v>
      </c>
      <c r="D14909" s="280">
        <f t="shared" si="2348"/>
        <v>45895</v>
      </c>
      <c r="E14909" s="281">
        <f t="shared" si="2349"/>
        <v>45895</v>
      </c>
      <c r="F14909" s="480"/>
      <c r="G14909" s="221" t="s">
        <v>74</v>
      </c>
      <c r="H14909" s="221"/>
      <c r="I14909" s="145"/>
      <c r="J14909" s="146" t="s">
        <v>52</v>
      </c>
      <c r="K14909" s="219"/>
      <c r="L14909" s="219">
        <f>K14908</f>
        <v>1609397.71</v>
      </c>
      <c r="N14909" s="264"/>
    </row>
    <row r="14910" spans="1:14" x14ac:dyDescent="0.2">
      <c r="A14910" s="168">
        <v>2025</v>
      </c>
      <c r="B14910" s="168">
        <v>8</v>
      </c>
      <c r="C14910" s="133">
        <v>26</v>
      </c>
      <c r="D14910" s="141">
        <f t="shared" si="2348"/>
        <v>45895</v>
      </c>
      <c r="E14910" s="275">
        <f t="shared" si="2349"/>
        <v>45895</v>
      </c>
      <c r="F14910" s="481" t="s">
        <v>2006</v>
      </c>
      <c r="G14910" s="174" t="s">
        <v>74</v>
      </c>
      <c r="H14910" s="174"/>
      <c r="J14910" s="149" t="s">
        <v>534</v>
      </c>
      <c r="K14910" s="218">
        <v>6651.98</v>
      </c>
      <c r="L14910" s="218"/>
    </row>
    <row r="14911" spans="1:14" x14ac:dyDescent="0.2">
      <c r="A14911" s="163">
        <v>2025</v>
      </c>
      <c r="B14911" s="163">
        <v>8</v>
      </c>
      <c r="C14911" s="163">
        <v>26</v>
      </c>
      <c r="D14911" s="280">
        <f t="shared" ref="D14911:D14913" si="2350">DATE(A14911,B14911,C14911)</f>
        <v>45895</v>
      </c>
      <c r="E14911" s="281">
        <f t="shared" ref="E14911:E14913" si="2351">DATE(A14911,B14911,C14911)</f>
        <v>45895</v>
      </c>
      <c r="F14911" s="480"/>
      <c r="G14911" s="221" t="s">
        <v>74</v>
      </c>
      <c r="H14911" s="221"/>
      <c r="I14911" s="145"/>
      <c r="J14911" s="146" t="s">
        <v>52</v>
      </c>
      <c r="K14911" s="219"/>
      <c r="L14911" s="219">
        <v>6651.98</v>
      </c>
    </row>
    <row r="14912" spans="1:14" ht="11.25" customHeight="1" x14ac:dyDescent="0.2">
      <c r="A14912" s="168">
        <v>2025</v>
      </c>
      <c r="B14912" s="133">
        <v>8</v>
      </c>
      <c r="C14912" s="168">
        <v>26</v>
      </c>
      <c r="D14912" s="141">
        <f t="shared" si="2350"/>
        <v>45895</v>
      </c>
      <c r="E14912" s="275">
        <f t="shared" si="2351"/>
        <v>45895</v>
      </c>
      <c r="F14912" s="479" t="s">
        <v>2037</v>
      </c>
      <c r="G14912" s="220" t="s">
        <v>74</v>
      </c>
      <c r="H14912" s="220"/>
      <c r="I14912" s="142"/>
      <c r="J14912" s="143" t="s">
        <v>52</v>
      </c>
      <c r="K14912" s="226">
        <v>18552.150000000001</v>
      </c>
      <c r="L14912" s="226"/>
    </row>
    <row r="14913" spans="1:14" x14ac:dyDescent="0.2">
      <c r="A14913" s="163">
        <v>2025</v>
      </c>
      <c r="B14913" s="163">
        <v>8</v>
      </c>
      <c r="C14913" s="163">
        <v>26</v>
      </c>
      <c r="D14913" s="280">
        <f t="shared" si="2350"/>
        <v>45895</v>
      </c>
      <c r="E14913" s="281">
        <f t="shared" si="2351"/>
        <v>45895</v>
      </c>
      <c r="F14913" s="480"/>
      <c r="G14913" s="221" t="s">
        <v>74</v>
      </c>
      <c r="H14913" s="221"/>
      <c r="I14913" s="145"/>
      <c r="J14913" s="146" t="s">
        <v>190</v>
      </c>
      <c r="K14913" s="219"/>
      <c r="L14913" s="219">
        <f>K14912</f>
        <v>18552.150000000001</v>
      </c>
      <c r="N14913" s="264"/>
    </row>
    <row r="14914" spans="1:14" x14ac:dyDescent="0.2">
      <c r="A14914" s="168">
        <v>2025</v>
      </c>
      <c r="B14914" s="133">
        <v>8</v>
      </c>
      <c r="C14914" s="168">
        <v>26</v>
      </c>
      <c r="D14914" s="147">
        <f>DATE(A14914,B14914,C14914)</f>
        <v>45895</v>
      </c>
      <c r="E14914" s="311">
        <f>DATE(A14914,B14914,C14914)</f>
        <v>45895</v>
      </c>
      <c r="F14914" s="481" t="s">
        <v>1943</v>
      </c>
      <c r="G14914" s="174" t="s">
        <v>74</v>
      </c>
      <c r="I14914" s="148" t="s">
        <v>348</v>
      </c>
      <c r="J14914" s="133" t="s">
        <v>61</v>
      </c>
      <c r="K14914" s="172">
        <v>158</v>
      </c>
    </row>
    <row r="14915" spans="1:14" x14ac:dyDescent="0.2">
      <c r="A14915" s="163">
        <v>2025</v>
      </c>
      <c r="B14915" s="163">
        <v>8</v>
      </c>
      <c r="C14915" s="163">
        <v>26</v>
      </c>
      <c r="D14915" s="280">
        <f>DATE(A14915,B14915,C14915)</f>
        <v>45895</v>
      </c>
      <c r="E14915" s="281">
        <f>DATE(A14915,B14915,C14915)</f>
        <v>45895</v>
      </c>
      <c r="F14915" s="480"/>
      <c r="G14915" s="221" t="s">
        <v>74</v>
      </c>
      <c r="H14915" s="145"/>
      <c r="I14915" s="145" t="s">
        <v>348</v>
      </c>
      <c r="J14915" s="163" t="s">
        <v>52</v>
      </c>
      <c r="K14915" s="219"/>
      <c r="L14915" s="219">
        <f>K14914</f>
        <v>158</v>
      </c>
    </row>
    <row r="14916" spans="1:14" ht="11.25" customHeight="1" x14ac:dyDescent="0.2">
      <c r="A14916" s="168">
        <v>2025</v>
      </c>
      <c r="B14916" s="168">
        <v>8</v>
      </c>
      <c r="C14916" s="133">
        <v>26</v>
      </c>
      <c r="D14916" s="141">
        <f t="shared" ref="D14916:D14918" si="2352">DATE(A14916,B14916,C14916)</f>
        <v>45895</v>
      </c>
      <c r="E14916" s="275">
        <f t="shared" ref="E14916:E14918" si="2353">DATE(A14916,B14916,C14916)</f>
        <v>45895</v>
      </c>
      <c r="F14916" s="479" t="s">
        <v>1319</v>
      </c>
      <c r="G14916" s="220" t="s">
        <v>74</v>
      </c>
      <c r="H14916" s="142"/>
      <c r="I14916" s="142"/>
      <c r="J14916" s="168" t="s">
        <v>52</v>
      </c>
      <c r="K14916" s="226">
        <v>46000</v>
      </c>
      <c r="L14916" s="226"/>
    </row>
    <row r="14917" spans="1:14" ht="11.25" customHeight="1" x14ac:dyDescent="0.2">
      <c r="A14917" s="133">
        <v>2025</v>
      </c>
      <c r="B14917" s="133">
        <v>8</v>
      </c>
      <c r="C14917" s="133">
        <v>26</v>
      </c>
      <c r="D14917" s="141">
        <f t="shared" si="2352"/>
        <v>45895</v>
      </c>
      <c r="E14917" s="275">
        <f t="shared" si="2353"/>
        <v>45895</v>
      </c>
      <c r="F14917" s="481"/>
      <c r="G14917" s="174" t="s">
        <v>74</v>
      </c>
      <c r="J14917" s="133" t="s">
        <v>13</v>
      </c>
      <c r="K14917" s="218"/>
      <c r="L14917" s="218">
        <v>31750</v>
      </c>
    </row>
    <row r="14918" spans="1:14" ht="11.25" customHeight="1" x14ac:dyDescent="0.2">
      <c r="A14918" s="163">
        <v>2025</v>
      </c>
      <c r="B14918" s="163">
        <v>8</v>
      </c>
      <c r="C14918" s="163">
        <v>26</v>
      </c>
      <c r="D14918" s="280">
        <f t="shared" si="2352"/>
        <v>45895</v>
      </c>
      <c r="E14918" s="281">
        <f t="shared" si="2353"/>
        <v>45895</v>
      </c>
      <c r="F14918" s="480"/>
      <c r="G14918" s="221" t="s">
        <v>74</v>
      </c>
      <c r="H14918" s="145"/>
      <c r="I14918" s="145"/>
      <c r="J14918" s="163" t="s">
        <v>53</v>
      </c>
      <c r="K14918" s="219"/>
      <c r="L14918" s="219">
        <v>14250</v>
      </c>
    </row>
    <row r="14919" spans="1:14" ht="11.25" customHeight="1" x14ac:dyDescent="0.2">
      <c r="A14919" s="168">
        <v>2025</v>
      </c>
      <c r="B14919" s="168">
        <v>8</v>
      </c>
      <c r="C14919" s="133">
        <v>27</v>
      </c>
      <c r="D14919" s="141">
        <f t="shared" si="2346"/>
        <v>45896</v>
      </c>
      <c r="E14919" s="275">
        <f t="shared" si="2347"/>
        <v>45896</v>
      </c>
      <c r="F14919" s="479" t="s">
        <v>2113</v>
      </c>
      <c r="G14919" s="220" t="s">
        <v>94</v>
      </c>
      <c r="H14919" s="220"/>
      <c r="I14919" s="142"/>
      <c r="J14919" s="143" t="s">
        <v>79</v>
      </c>
      <c r="K14919" s="226">
        <v>200440</v>
      </c>
      <c r="L14919" s="226"/>
      <c r="M14919" s="160"/>
    </row>
    <row r="14920" spans="1:14" x14ac:dyDescent="0.2">
      <c r="A14920" s="133">
        <v>2025</v>
      </c>
      <c r="B14920" s="133">
        <v>8</v>
      </c>
      <c r="C14920" s="133">
        <v>27</v>
      </c>
      <c r="D14920" s="141">
        <f t="shared" si="2346"/>
        <v>45896</v>
      </c>
      <c r="E14920" s="275">
        <f t="shared" si="2347"/>
        <v>45896</v>
      </c>
      <c r="F14920" s="481"/>
      <c r="G14920" s="174" t="s">
        <v>94</v>
      </c>
      <c r="H14920" s="174"/>
      <c r="J14920" s="149" t="s">
        <v>80</v>
      </c>
      <c r="K14920" s="218">
        <v>360.79</v>
      </c>
      <c r="L14920" s="133"/>
    </row>
    <row r="14921" spans="1:14" x14ac:dyDescent="0.2">
      <c r="A14921" s="163">
        <v>2025</v>
      </c>
      <c r="B14921" s="163">
        <v>8</v>
      </c>
      <c r="C14921" s="163">
        <v>27</v>
      </c>
      <c r="D14921" s="280">
        <f t="shared" si="2346"/>
        <v>45896</v>
      </c>
      <c r="E14921" s="281">
        <f t="shared" si="2347"/>
        <v>45896</v>
      </c>
      <c r="F14921" s="480"/>
      <c r="G14921" s="221" t="s">
        <v>94</v>
      </c>
      <c r="H14921" s="221"/>
      <c r="I14921" s="145"/>
      <c r="J14921" s="146" t="s">
        <v>147</v>
      </c>
      <c r="K14921" s="219"/>
      <c r="L14921" s="219">
        <v>200800.79</v>
      </c>
    </row>
    <row r="14922" spans="1:14" ht="11.25" customHeight="1" x14ac:dyDescent="0.2">
      <c r="A14922" s="168">
        <v>2025</v>
      </c>
      <c r="B14922" s="168">
        <v>8</v>
      </c>
      <c r="C14922" s="133">
        <v>27</v>
      </c>
      <c r="D14922" s="141">
        <f t="shared" si="2346"/>
        <v>45896</v>
      </c>
      <c r="E14922" s="275">
        <f t="shared" si="2347"/>
        <v>45896</v>
      </c>
      <c r="F14922" s="479" t="s">
        <v>1315</v>
      </c>
      <c r="G14922" s="220" t="s">
        <v>74</v>
      </c>
      <c r="H14922" s="142"/>
      <c r="I14922" s="142"/>
      <c r="J14922" s="168" t="s">
        <v>13</v>
      </c>
      <c r="K14922" s="226">
        <v>2760</v>
      </c>
      <c r="L14922" s="226"/>
    </row>
    <row r="14923" spans="1:14" ht="11.25" customHeight="1" x14ac:dyDescent="0.2">
      <c r="A14923" s="133">
        <v>2025</v>
      </c>
      <c r="B14923" s="133">
        <v>8</v>
      </c>
      <c r="C14923" s="133">
        <v>27</v>
      </c>
      <c r="D14923" s="141">
        <f t="shared" si="2346"/>
        <v>45896</v>
      </c>
      <c r="E14923" s="275">
        <f t="shared" si="2347"/>
        <v>45896</v>
      </c>
      <c r="F14923" s="481"/>
      <c r="G14923" s="174" t="s">
        <v>74</v>
      </c>
      <c r="J14923" s="133" t="s">
        <v>53</v>
      </c>
      <c r="K14923" s="218">
        <v>1240</v>
      </c>
      <c r="L14923" s="218"/>
    </row>
    <row r="14924" spans="1:14" ht="11.25" customHeight="1" x14ac:dyDescent="0.2">
      <c r="A14924" s="163">
        <v>2025</v>
      </c>
      <c r="B14924" s="163">
        <v>8</v>
      </c>
      <c r="C14924" s="163">
        <v>27</v>
      </c>
      <c r="D14924" s="280">
        <f t="shared" si="2346"/>
        <v>45896</v>
      </c>
      <c r="E14924" s="281">
        <f t="shared" si="2347"/>
        <v>45896</v>
      </c>
      <c r="F14924" s="480"/>
      <c r="G14924" s="221" t="s">
        <v>74</v>
      </c>
      <c r="H14924" s="145"/>
      <c r="I14924" s="145"/>
      <c r="J14924" s="163" t="s">
        <v>52</v>
      </c>
      <c r="K14924" s="219"/>
      <c r="L14924" s="219">
        <v>4000</v>
      </c>
    </row>
    <row r="14925" spans="1:14" ht="11.25" customHeight="1" x14ac:dyDescent="0.2">
      <c r="A14925" s="168">
        <v>2025</v>
      </c>
      <c r="B14925" s="168">
        <v>8</v>
      </c>
      <c r="C14925" s="133">
        <v>27</v>
      </c>
      <c r="D14925" s="141">
        <f t="shared" si="2346"/>
        <v>45896</v>
      </c>
      <c r="E14925" s="275">
        <f t="shared" si="2347"/>
        <v>45896</v>
      </c>
      <c r="F14925" s="479" t="s">
        <v>964</v>
      </c>
      <c r="G14925" s="220" t="s">
        <v>74</v>
      </c>
      <c r="H14925" s="142"/>
      <c r="I14925" s="142"/>
      <c r="J14925" s="168" t="s">
        <v>52</v>
      </c>
      <c r="K14925" s="226">
        <v>724150</v>
      </c>
      <c r="L14925" s="226"/>
    </row>
    <row r="14926" spans="1:14" ht="11.25" customHeight="1" x14ac:dyDescent="0.2">
      <c r="A14926" s="133">
        <v>2025</v>
      </c>
      <c r="B14926" s="133">
        <v>8</v>
      </c>
      <c r="C14926" s="133">
        <v>27</v>
      </c>
      <c r="D14926" s="141">
        <f t="shared" si="2346"/>
        <v>45896</v>
      </c>
      <c r="E14926" s="275">
        <f t="shared" si="2347"/>
        <v>45896</v>
      </c>
      <c r="F14926" s="481"/>
      <c r="G14926" s="174" t="s">
        <v>74</v>
      </c>
      <c r="J14926" s="133" t="s">
        <v>13</v>
      </c>
      <c r="K14926" s="218"/>
      <c r="L14926" s="218">
        <v>500000</v>
      </c>
    </row>
    <row r="14927" spans="1:14" ht="11.25" customHeight="1" x14ac:dyDescent="0.2">
      <c r="A14927" s="163">
        <v>2025</v>
      </c>
      <c r="B14927" s="163">
        <v>8</v>
      </c>
      <c r="C14927" s="163">
        <v>27</v>
      </c>
      <c r="D14927" s="280">
        <f t="shared" si="2346"/>
        <v>45896</v>
      </c>
      <c r="E14927" s="281">
        <f t="shared" si="2347"/>
        <v>45896</v>
      </c>
      <c r="F14927" s="480"/>
      <c r="G14927" s="221" t="s">
        <v>74</v>
      </c>
      <c r="H14927" s="145"/>
      <c r="I14927" s="145"/>
      <c r="J14927" s="163" t="s">
        <v>53</v>
      </c>
      <c r="K14927" s="219"/>
      <c r="L14927" s="219">
        <v>224150</v>
      </c>
    </row>
    <row r="14928" spans="1:14" ht="11.25" customHeight="1" x14ac:dyDescent="0.2">
      <c r="A14928" s="168">
        <v>2025</v>
      </c>
      <c r="B14928" s="133">
        <v>8</v>
      </c>
      <c r="C14928" s="168">
        <v>27</v>
      </c>
      <c r="D14928" s="141">
        <f t="shared" si="2346"/>
        <v>45896</v>
      </c>
      <c r="E14928" s="275">
        <f t="shared" si="2347"/>
        <v>45896</v>
      </c>
      <c r="F14928" s="479" t="s">
        <v>2116</v>
      </c>
      <c r="G14928" s="220" t="s">
        <v>74</v>
      </c>
      <c r="H14928" s="220"/>
      <c r="I14928" s="142"/>
      <c r="J14928" s="143" t="s">
        <v>147</v>
      </c>
      <c r="K14928" s="226">
        <v>1995387.79</v>
      </c>
      <c r="L14928" s="226"/>
    </row>
    <row r="14929" spans="1:14" x14ac:dyDescent="0.2">
      <c r="A14929" s="163">
        <v>2025</v>
      </c>
      <c r="B14929" s="163">
        <v>8</v>
      </c>
      <c r="C14929" s="163">
        <v>27</v>
      </c>
      <c r="D14929" s="280">
        <f t="shared" si="2346"/>
        <v>45896</v>
      </c>
      <c r="E14929" s="281">
        <f t="shared" si="2347"/>
        <v>45896</v>
      </c>
      <c r="F14929" s="480"/>
      <c r="G14929" s="221" t="s">
        <v>74</v>
      </c>
      <c r="H14929" s="221"/>
      <c r="I14929" s="145"/>
      <c r="J14929" s="146" t="s">
        <v>52</v>
      </c>
      <c r="K14929" s="219"/>
      <c r="L14929" s="219">
        <f>K14928</f>
        <v>1995387.79</v>
      </c>
      <c r="N14929" s="264"/>
    </row>
    <row r="14930" spans="1:14" x14ac:dyDescent="0.2">
      <c r="A14930" s="168">
        <v>2025</v>
      </c>
      <c r="B14930" s="133">
        <v>8</v>
      </c>
      <c r="C14930" s="168">
        <v>27</v>
      </c>
      <c r="D14930" s="147">
        <f>DATE(A14930,B14930,C14930)</f>
        <v>45896</v>
      </c>
      <c r="E14930" s="311">
        <f>DATE(A14930,B14930,C14930)</f>
        <v>45896</v>
      </c>
      <c r="F14930" s="481" t="s">
        <v>1943</v>
      </c>
      <c r="G14930" s="174" t="s">
        <v>74</v>
      </c>
      <c r="I14930" s="148" t="s">
        <v>348</v>
      </c>
      <c r="J14930" s="133" t="s">
        <v>61</v>
      </c>
      <c r="K14930" s="172">
        <v>100</v>
      </c>
    </row>
    <row r="14931" spans="1:14" x14ac:dyDescent="0.2">
      <c r="A14931" s="163">
        <v>2025</v>
      </c>
      <c r="B14931" s="163">
        <v>8</v>
      </c>
      <c r="C14931" s="163">
        <v>27</v>
      </c>
      <c r="D14931" s="280">
        <f>DATE(A14931,B14931,C14931)</f>
        <v>45896</v>
      </c>
      <c r="E14931" s="281">
        <f>DATE(A14931,B14931,C14931)</f>
        <v>45896</v>
      </c>
      <c r="F14931" s="480"/>
      <c r="G14931" s="221" t="s">
        <v>74</v>
      </c>
      <c r="H14931" s="145"/>
      <c r="I14931" s="145" t="s">
        <v>348</v>
      </c>
      <c r="J14931" s="163" t="s">
        <v>52</v>
      </c>
      <c r="K14931" s="219"/>
      <c r="L14931" s="219">
        <f>K14930</f>
        <v>100</v>
      </c>
    </row>
    <row r="14932" spans="1:14" ht="11.25" customHeight="1" x14ac:dyDescent="0.2">
      <c r="A14932" s="168">
        <v>2025</v>
      </c>
      <c r="B14932" s="133">
        <v>8</v>
      </c>
      <c r="C14932" s="168">
        <v>28</v>
      </c>
      <c r="D14932" s="141">
        <f t="shared" ref="D14932:D14933" si="2354">DATE(A14932,B14932,C14932)</f>
        <v>45897</v>
      </c>
      <c r="E14932" s="275">
        <f t="shared" ref="E14932:E14933" si="2355">DATE(A14932,B14932,C14932)</f>
        <v>45897</v>
      </c>
      <c r="F14932" s="479" t="s">
        <v>2116</v>
      </c>
      <c r="G14932" s="220" t="s">
        <v>74</v>
      </c>
      <c r="H14932" s="220"/>
      <c r="I14932" s="142"/>
      <c r="J14932" s="143" t="s">
        <v>147</v>
      </c>
      <c r="K14932" s="226">
        <v>200800.79</v>
      </c>
      <c r="L14932" s="226"/>
    </row>
    <row r="14933" spans="1:14" x14ac:dyDescent="0.2">
      <c r="A14933" s="163">
        <v>2025</v>
      </c>
      <c r="B14933" s="163">
        <v>8</v>
      </c>
      <c r="C14933" s="163">
        <v>28</v>
      </c>
      <c r="D14933" s="280">
        <f t="shared" si="2354"/>
        <v>45897</v>
      </c>
      <c r="E14933" s="281">
        <f t="shared" si="2355"/>
        <v>45897</v>
      </c>
      <c r="F14933" s="480"/>
      <c r="G14933" s="221" t="s">
        <v>74</v>
      </c>
      <c r="H14933" s="221"/>
      <c r="I14933" s="145"/>
      <c r="J14933" s="146" t="s">
        <v>52</v>
      </c>
      <c r="K14933" s="219"/>
      <c r="L14933" s="219">
        <f>K14932</f>
        <v>200800.79</v>
      </c>
      <c r="N14933" s="264"/>
    </row>
    <row r="14934" spans="1:14" x14ac:dyDescent="0.2">
      <c r="A14934" s="168">
        <v>2025</v>
      </c>
      <c r="B14934" s="133">
        <v>8</v>
      </c>
      <c r="C14934" s="168">
        <v>28</v>
      </c>
      <c r="D14934" s="147">
        <f>DATE(A14934,B14934,C14934)</f>
        <v>45897</v>
      </c>
      <c r="E14934" s="311">
        <f>DATE(A14934,B14934,C14934)</f>
        <v>45897</v>
      </c>
      <c r="F14934" s="481" t="s">
        <v>1943</v>
      </c>
      <c r="G14934" s="174" t="s">
        <v>74</v>
      </c>
      <c r="I14934" s="148" t="s">
        <v>348</v>
      </c>
      <c r="J14934" s="133" t="s">
        <v>61</v>
      </c>
      <c r="K14934" s="172">
        <v>58</v>
      </c>
    </row>
    <row r="14935" spans="1:14" x14ac:dyDescent="0.2">
      <c r="A14935" s="163">
        <v>2025</v>
      </c>
      <c r="B14935" s="163">
        <v>8</v>
      </c>
      <c r="C14935" s="163">
        <v>28</v>
      </c>
      <c r="D14935" s="280">
        <f>DATE(A14935,B14935,C14935)</f>
        <v>45897</v>
      </c>
      <c r="E14935" s="281">
        <f>DATE(A14935,B14935,C14935)</f>
        <v>45897</v>
      </c>
      <c r="F14935" s="480"/>
      <c r="G14935" s="221" t="s">
        <v>74</v>
      </c>
      <c r="H14935" s="145"/>
      <c r="I14935" s="145" t="s">
        <v>348</v>
      </c>
      <c r="J14935" s="163" t="s">
        <v>52</v>
      </c>
      <c r="K14935" s="219"/>
      <c r="L14935" s="219">
        <f>K14934</f>
        <v>58</v>
      </c>
    </row>
    <row r="14936" spans="1:14" ht="11.25" customHeight="1" x14ac:dyDescent="0.2">
      <c r="A14936" s="168">
        <v>2025</v>
      </c>
      <c r="B14936" s="168">
        <v>8</v>
      </c>
      <c r="C14936" s="133">
        <v>28</v>
      </c>
      <c r="D14936" s="141">
        <f t="shared" ref="D14936:D14938" si="2356">DATE(A14936,B14936,C14936)</f>
        <v>45897</v>
      </c>
      <c r="E14936" s="275">
        <f t="shared" ref="E14936:E14938" si="2357">DATE(A14936,B14936,C14936)</f>
        <v>45897</v>
      </c>
      <c r="F14936" s="479" t="s">
        <v>964</v>
      </c>
      <c r="G14936" s="220" t="s">
        <v>74</v>
      </c>
      <c r="H14936" s="142"/>
      <c r="I14936" s="142"/>
      <c r="J14936" s="168" t="s">
        <v>52</v>
      </c>
      <c r="K14936" s="226">
        <v>200000</v>
      </c>
      <c r="L14936" s="226"/>
    </row>
    <row r="14937" spans="1:14" ht="11.25" customHeight="1" x14ac:dyDescent="0.2">
      <c r="A14937" s="133">
        <v>2025</v>
      </c>
      <c r="B14937" s="133">
        <v>8</v>
      </c>
      <c r="C14937" s="133">
        <v>28</v>
      </c>
      <c r="D14937" s="141">
        <f t="shared" si="2356"/>
        <v>45897</v>
      </c>
      <c r="E14937" s="275">
        <f t="shared" si="2357"/>
        <v>45897</v>
      </c>
      <c r="F14937" s="481"/>
      <c r="G14937" s="174" t="s">
        <v>74</v>
      </c>
      <c r="J14937" s="133" t="s">
        <v>13</v>
      </c>
      <c r="K14937" s="218"/>
      <c r="L14937" s="218">
        <v>138090</v>
      </c>
    </row>
    <row r="14938" spans="1:14" ht="11.25" customHeight="1" x14ac:dyDescent="0.2">
      <c r="A14938" s="163">
        <v>2025</v>
      </c>
      <c r="B14938" s="163">
        <v>8</v>
      </c>
      <c r="C14938" s="163">
        <v>28</v>
      </c>
      <c r="D14938" s="280">
        <f t="shared" si="2356"/>
        <v>45897</v>
      </c>
      <c r="E14938" s="281">
        <f t="shared" si="2357"/>
        <v>45897</v>
      </c>
      <c r="F14938" s="480"/>
      <c r="G14938" s="221" t="s">
        <v>74</v>
      </c>
      <c r="H14938" s="145"/>
      <c r="I14938" s="145"/>
      <c r="J14938" s="163" t="s">
        <v>53</v>
      </c>
      <c r="K14938" s="219"/>
      <c r="L14938" s="219">
        <v>61910</v>
      </c>
    </row>
    <row r="14939" spans="1:14" ht="11.25" customHeight="1" x14ac:dyDescent="0.2">
      <c r="A14939" s="168">
        <v>2025</v>
      </c>
      <c r="B14939" s="168">
        <v>8</v>
      </c>
      <c r="C14939" s="133">
        <v>28</v>
      </c>
      <c r="D14939" s="141">
        <f t="shared" ref="D14939:D14956" si="2358">DATE(A14939,B14939,C14939)</f>
        <v>45897</v>
      </c>
      <c r="E14939" s="275">
        <f t="shared" ref="E14939:E14956" si="2359">DATE(A14939,B14939,C14939)</f>
        <v>45897</v>
      </c>
      <c r="F14939" s="479" t="s">
        <v>964</v>
      </c>
      <c r="G14939" s="220" t="s">
        <v>74</v>
      </c>
      <c r="H14939" s="142"/>
      <c r="I14939" s="142"/>
      <c r="J14939" s="168" t="s">
        <v>52</v>
      </c>
      <c r="K14939" s="226">
        <v>477939</v>
      </c>
      <c r="L14939" s="226"/>
    </row>
    <row r="14940" spans="1:14" ht="11.25" customHeight="1" x14ac:dyDescent="0.2">
      <c r="A14940" s="133">
        <v>2025</v>
      </c>
      <c r="B14940" s="133">
        <v>8</v>
      </c>
      <c r="C14940" s="133">
        <v>28</v>
      </c>
      <c r="D14940" s="141">
        <f t="shared" si="2358"/>
        <v>45897</v>
      </c>
      <c r="E14940" s="275">
        <f t="shared" si="2359"/>
        <v>45897</v>
      </c>
      <c r="F14940" s="481"/>
      <c r="G14940" s="174" t="s">
        <v>74</v>
      </c>
      <c r="J14940" s="133" t="s">
        <v>13</v>
      </c>
      <c r="K14940" s="218"/>
      <c r="L14940" s="218">
        <v>330000</v>
      </c>
    </row>
    <row r="14941" spans="1:14" ht="11.25" customHeight="1" x14ac:dyDescent="0.2">
      <c r="A14941" s="163">
        <v>2025</v>
      </c>
      <c r="B14941" s="163">
        <v>8</v>
      </c>
      <c r="C14941" s="163">
        <v>28</v>
      </c>
      <c r="D14941" s="280">
        <f t="shared" si="2358"/>
        <v>45897</v>
      </c>
      <c r="E14941" s="281">
        <f t="shared" si="2359"/>
        <v>45897</v>
      </c>
      <c r="F14941" s="480"/>
      <c r="G14941" s="221" t="s">
        <v>74</v>
      </c>
      <c r="H14941" s="145"/>
      <c r="I14941" s="145"/>
      <c r="J14941" s="163" t="s">
        <v>53</v>
      </c>
      <c r="K14941" s="219"/>
      <c r="L14941" s="219">
        <v>147939</v>
      </c>
    </row>
    <row r="14942" spans="1:14" ht="11.25" customHeight="1" x14ac:dyDescent="0.2">
      <c r="A14942" s="168">
        <v>2025</v>
      </c>
      <c r="B14942" s="168">
        <v>8</v>
      </c>
      <c r="C14942" s="133">
        <v>28</v>
      </c>
      <c r="D14942" s="141">
        <f t="shared" ref="D14942:D14944" si="2360">DATE(A14942,B14942,C14942)</f>
        <v>45897</v>
      </c>
      <c r="E14942" s="275">
        <f t="shared" ref="E14942:E14944" si="2361">DATE(A14942,B14942,C14942)</f>
        <v>45897</v>
      </c>
      <c r="F14942" s="479" t="s">
        <v>964</v>
      </c>
      <c r="G14942" s="220" t="s">
        <v>74</v>
      </c>
      <c r="H14942" s="142"/>
      <c r="I14942" s="142"/>
      <c r="J14942" s="168" t="s">
        <v>52</v>
      </c>
      <c r="K14942" s="226">
        <v>1100000</v>
      </c>
      <c r="L14942" s="226"/>
    </row>
    <row r="14943" spans="1:14" ht="11.25" customHeight="1" x14ac:dyDescent="0.2">
      <c r="A14943" s="133">
        <v>2025</v>
      </c>
      <c r="B14943" s="133">
        <v>8</v>
      </c>
      <c r="C14943" s="133">
        <v>28</v>
      </c>
      <c r="D14943" s="141">
        <f t="shared" si="2360"/>
        <v>45897</v>
      </c>
      <c r="E14943" s="275">
        <f t="shared" si="2361"/>
        <v>45897</v>
      </c>
      <c r="F14943" s="481"/>
      <c r="G14943" s="174" t="s">
        <v>74</v>
      </c>
      <c r="J14943" s="133" t="s">
        <v>13</v>
      </c>
      <c r="K14943" s="218"/>
      <c r="L14943" s="218">
        <v>759510</v>
      </c>
    </row>
    <row r="14944" spans="1:14" ht="11.25" customHeight="1" x14ac:dyDescent="0.2">
      <c r="A14944" s="163">
        <v>2025</v>
      </c>
      <c r="B14944" s="163">
        <v>8</v>
      </c>
      <c r="C14944" s="163">
        <v>28</v>
      </c>
      <c r="D14944" s="280">
        <f t="shared" si="2360"/>
        <v>45897</v>
      </c>
      <c r="E14944" s="281">
        <f t="shared" si="2361"/>
        <v>45897</v>
      </c>
      <c r="F14944" s="480"/>
      <c r="G14944" s="221" t="s">
        <v>74</v>
      </c>
      <c r="H14944" s="145"/>
      <c r="I14944" s="145"/>
      <c r="J14944" s="163" t="s">
        <v>53</v>
      </c>
      <c r="K14944" s="219"/>
      <c r="L14944" s="219">
        <v>340490</v>
      </c>
    </row>
    <row r="14945" spans="1:14" x14ac:dyDescent="0.2">
      <c r="A14945" s="168">
        <v>2025</v>
      </c>
      <c r="B14945" s="133">
        <v>8</v>
      </c>
      <c r="C14945" s="168">
        <v>28</v>
      </c>
      <c r="D14945" s="147">
        <f>DATE(A14945,B14945,C14945)</f>
        <v>45897</v>
      </c>
      <c r="E14945" s="311">
        <f>DATE(A14945,B14945,C14945)</f>
        <v>45897</v>
      </c>
      <c r="F14945" s="481" t="s">
        <v>1956</v>
      </c>
      <c r="G14945" s="174" t="s">
        <v>74</v>
      </c>
      <c r="I14945" s="148" t="s">
        <v>348</v>
      </c>
      <c r="J14945" s="133" t="s">
        <v>61</v>
      </c>
      <c r="K14945" s="172">
        <v>25</v>
      </c>
    </row>
    <row r="14946" spans="1:14" x14ac:dyDescent="0.2">
      <c r="A14946" s="163">
        <v>2025</v>
      </c>
      <c r="B14946" s="163">
        <v>8</v>
      </c>
      <c r="C14946" s="163">
        <v>28</v>
      </c>
      <c r="D14946" s="280">
        <f>DATE(A14946,B14946,C14946)</f>
        <v>45897</v>
      </c>
      <c r="E14946" s="281">
        <f>DATE(A14946,B14946,C14946)</f>
        <v>45897</v>
      </c>
      <c r="F14946" s="480"/>
      <c r="G14946" s="221" t="s">
        <v>74</v>
      </c>
      <c r="H14946" s="145"/>
      <c r="I14946" s="145" t="s">
        <v>348</v>
      </c>
      <c r="J14946" s="163" t="s">
        <v>52</v>
      </c>
      <c r="K14946" s="219"/>
      <c r="L14946" s="219">
        <v>25</v>
      </c>
    </row>
    <row r="14947" spans="1:14" x14ac:dyDescent="0.2">
      <c r="A14947" s="133">
        <v>2025</v>
      </c>
      <c r="B14947" s="133">
        <v>8</v>
      </c>
      <c r="C14947" s="133">
        <v>28</v>
      </c>
      <c r="D14947" s="141">
        <f t="shared" si="2358"/>
        <v>45897</v>
      </c>
      <c r="E14947" s="275">
        <f t="shared" si="2359"/>
        <v>45897</v>
      </c>
      <c r="F14947" s="481" t="s">
        <v>2073</v>
      </c>
      <c r="G14947" s="174" t="s">
        <v>94</v>
      </c>
      <c r="H14947" s="174"/>
      <c r="J14947" s="149" t="s">
        <v>79</v>
      </c>
      <c r="K14947" s="218">
        <v>240409.2</v>
      </c>
      <c r="L14947" s="218"/>
      <c r="M14947" s="160"/>
    </row>
    <row r="14948" spans="1:14" x14ac:dyDescent="0.2">
      <c r="A14948" s="133">
        <v>2025</v>
      </c>
      <c r="B14948" s="133">
        <v>8</v>
      </c>
      <c r="C14948" s="133">
        <v>28</v>
      </c>
      <c r="D14948" s="141">
        <f t="shared" si="2358"/>
        <v>45897</v>
      </c>
      <c r="E14948" s="275">
        <f t="shared" si="2359"/>
        <v>45897</v>
      </c>
      <c r="F14948" s="481"/>
      <c r="G14948" s="174" t="s">
        <v>94</v>
      </c>
      <c r="H14948" s="174"/>
      <c r="J14948" s="149" t="s">
        <v>80</v>
      </c>
      <c r="K14948" s="218">
        <v>2002.34</v>
      </c>
      <c r="L14948" s="264"/>
      <c r="M14948" s="264"/>
      <c r="N14948" s="264"/>
    </row>
    <row r="14949" spans="1:14" x14ac:dyDescent="0.2">
      <c r="A14949" s="133">
        <v>2025</v>
      </c>
      <c r="B14949" s="133">
        <v>8</v>
      </c>
      <c r="C14949" s="133">
        <v>28</v>
      </c>
      <c r="D14949" s="141">
        <f t="shared" si="2358"/>
        <v>45897</v>
      </c>
      <c r="E14949" s="275">
        <f t="shared" si="2359"/>
        <v>45897</v>
      </c>
      <c r="F14949" s="481"/>
      <c r="G14949" s="174" t="s">
        <v>94</v>
      </c>
      <c r="H14949" s="174"/>
      <c r="J14949" s="149" t="s">
        <v>190</v>
      </c>
      <c r="K14949" s="218">
        <v>629588.46</v>
      </c>
      <c r="L14949" s="218"/>
      <c r="M14949" s="264"/>
    </row>
    <row r="14950" spans="1:14" x14ac:dyDescent="0.2">
      <c r="A14950" s="133">
        <v>2025</v>
      </c>
      <c r="B14950" s="133">
        <v>8</v>
      </c>
      <c r="C14950" s="133">
        <v>28</v>
      </c>
      <c r="D14950" s="141">
        <f t="shared" si="2358"/>
        <v>45897</v>
      </c>
      <c r="E14950" s="275">
        <f t="shared" si="2359"/>
        <v>45897</v>
      </c>
      <c r="F14950" s="481"/>
      <c r="G14950" s="174" t="s">
        <v>94</v>
      </c>
      <c r="H14950" s="174"/>
      <c r="J14950" s="149" t="s">
        <v>191</v>
      </c>
      <c r="L14950" s="218">
        <v>154128.94</v>
      </c>
    </row>
    <row r="14951" spans="1:14" x14ac:dyDescent="0.2">
      <c r="A14951" s="163">
        <v>2025</v>
      </c>
      <c r="B14951" s="163">
        <v>8</v>
      </c>
      <c r="C14951" s="163">
        <v>28</v>
      </c>
      <c r="D14951" s="280">
        <f t="shared" si="2358"/>
        <v>45897</v>
      </c>
      <c r="E14951" s="281">
        <f t="shared" si="2359"/>
        <v>45897</v>
      </c>
      <c r="F14951" s="480"/>
      <c r="G14951" s="221" t="s">
        <v>94</v>
      </c>
      <c r="H14951" s="145"/>
      <c r="I14951" s="145"/>
      <c r="J14951" s="163" t="s">
        <v>79</v>
      </c>
      <c r="K14951" s="219"/>
      <c r="L14951" s="219">
        <v>717871.06</v>
      </c>
      <c r="M14951" s="264"/>
    </row>
    <row r="14952" spans="1:14" ht="11.25" customHeight="1" x14ac:dyDescent="0.2">
      <c r="A14952" s="168">
        <v>2025</v>
      </c>
      <c r="B14952" s="168">
        <v>8</v>
      </c>
      <c r="C14952" s="133">
        <v>28</v>
      </c>
      <c r="D14952" s="141">
        <f t="shared" si="2358"/>
        <v>45897</v>
      </c>
      <c r="E14952" s="275">
        <f t="shared" si="2359"/>
        <v>45897</v>
      </c>
      <c r="F14952" s="479" t="s">
        <v>2113</v>
      </c>
      <c r="G14952" s="220" t="s">
        <v>94</v>
      </c>
      <c r="H14952" s="220"/>
      <c r="I14952" s="142"/>
      <c r="J14952" s="143" t="s">
        <v>79</v>
      </c>
      <c r="K14952" s="226">
        <v>281000</v>
      </c>
      <c r="L14952" s="226"/>
      <c r="M14952" s="160"/>
    </row>
    <row r="14953" spans="1:14" x14ac:dyDescent="0.2">
      <c r="A14953" s="133">
        <v>2025</v>
      </c>
      <c r="B14953" s="133">
        <v>8</v>
      </c>
      <c r="C14953" s="133">
        <v>28</v>
      </c>
      <c r="D14953" s="141">
        <f t="shared" si="2358"/>
        <v>45897</v>
      </c>
      <c r="E14953" s="275">
        <f t="shared" si="2359"/>
        <v>45897</v>
      </c>
      <c r="F14953" s="481"/>
      <c r="G14953" s="174" t="s">
        <v>94</v>
      </c>
      <c r="H14953" s="174"/>
      <c r="J14953" s="149" t="s">
        <v>80</v>
      </c>
      <c r="K14953" s="218">
        <v>505.8</v>
      </c>
      <c r="L14953" s="133"/>
    </row>
    <row r="14954" spans="1:14" x14ac:dyDescent="0.2">
      <c r="A14954" s="163">
        <v>2025</v>
      </c>
      <c r="B14954" s="163">
        <v>8</v>
      </c>
      <c r="C14954" s="163">
        <v>28</v>
      </c>
      <c r="D14954" s="280">
        <f t="shared" si="2358"/>
        <v>45897</v>
      </c>
      <c r="E14954" s="281">
        <f t="shared" si="2359"/>
        <v>45897</v>
      </c>
      <c r="F14954" s="480"/>
      <c r="G14954" s="221" t="s">
        <v>94</v>
      </c>
      <c r="H14954" s="221"/>
      <c r="I14954" s="145"/>
      <c r="J14954" s="146" t="s">
        <v>147</v>
      </c>
      <c r="K14954" s="219"/>
      <c r="L14954" s="219">
        <v>281505.8</v>
      </c>
    </row>
    <row r="14955" spans="1:14" ht="11.25" customHeight="1" x14ac:dyDescent="0.2">
      <c r="A14955" s="168">
        <v>2025</v>
      </c>
      <c r="B14955" s="133">
        <v>8</v>
      </c>
      <c r="C14955" s="168">
        <v>28</v>
      </c>
      <c r="D14955" s="141">
        <f t="shared" si="2358"/>
        <v>45897</v>
      </c>
      <c r="E14955" s="275">
        <f t="shared" si="2359"/>
        <v>45897</v>
      </c>
      <c r="F14955" s="479" t="s">
        <v>2037</v>
      </c>
      <c r="G14955" s="220" t="s">
        <v>74</v>
      </c>
      <c r="H14955" s="220"/>
      <c r="I14955" s="142"/>
      <c r="J14955" s="143" t="s">
        <v>52</v>
      </c>
      <c r="K14955" s="226">
        <v>23622.49</v>
      </c>
      <c r="L14955" s="226"/>
    </row>
    <row r="14956" spans="1:14" x14ac:dyDescent="0.2">
      <c r="A14956" s="163">
        <v>2025</v>
      </c>
      <c r="B14956" s="163">
        <v>8</v>
      </c>
      <c r="C14956" s="163">
        <v>28</v>
      </c>
      <c r="D14956" s="280">
        <f t="shared" si="2358"/>
        <v>45897</v>
      </c>
      <c r="E14956" s="281">
        <f t="shared" si="2359"/>
        <v>45897</v>
      </c>
      <c r="F14956" s="480"/>
      <c r="G14956" s="221" t="s">
        <v>74</v>
      </c>
      <c r="H14956" s="221"/>
      <c r="I14956" s="145"/>
      <c r="J14956" s="146" t="s">
        <v>190</v>
      </c>
      <c r="K14956" s="219"/>
      <c r="L14956" s="219">
        <f>K14955</f>
        <v>23622.49</v>
      </c>
      <c r="N14956" s="264"/>
    </row>
    <row r="14957" spans="1:14" x14ac:dyDescent="0.2">
      <c r="A14957" s="325">
        <v>2025</v>
      </c>
      <c r="B14957" s="325">
        <v>8</v>
      </c>
      <c r="C14957" s="325">
        <v>28</v>
      </c>
      <c r="D14957" s="326">
        <f t="shared" ref="D14957:D14982" si="2362">DATE(A14957,B14957,C14957)</f>
        <v>45897</v>
      </c>
      <c r="E14957" s="327">
        <f t="shared" ref="E14957:E14982" si="2363">DATE(A14957,B14957,C14957)</f>
        <v>45897</v>
      </c>
      <c r="F14957" s="473" t="s">
        <v>1940</v>
      </c>
      <c r="G14957" s="340" t="s">
        <v>94</v>
      </c>
      <c r="H14957" s="340"/>
      <c r="I14957" s="341" t="s">
        <v>348</v>
      </c>
      <c r="J14957" s="374" t="s">
        <v>133</v>
      </c>
      <c r="K14957" s="375">
        <v>12905.56</v>
      </c>
      <c r="L14957" s="375"/>
      <c r="M14957" s="176"/>
    </row>
    <row r="14958" spans="1:14" x14ac:dyDescent="0.2">
      <c r="A14958" s="331">
        <v>2025</v>
      </c>
      <c r="B14958" s="331">
        <v>8</v>
      </c>
      <c r="C14958" s="331">
        <v>28</v>
      </c>
      <c r="D14958" s="326">
        <f t="shared" si="2362"/>
        <v>45897</v>
      </c>
      <c r="E14958" s="327">
        <f t="shared" si="2363"/>
        <v>45897</v>
      </c>
      <c r="F14958" s="474"/>
      <c r="G14958" s="332" t="s">
        <v>94</v>
      </c>
      <c r="H14958" s="332"/>
      <c r="I14958" s="333" t="s">
        <v>348</v>
      </c>
      <c r="J14958" s="376" t="s">
        <v>60</v>
      </c>
      <c r="K14958" s="334"/>
      <c r="L14958" s="334">
        <f>K14957</f>
        <v>12905.56</v>
      </c>
    </row>
    <row r="14959" spans="1:14" x14ac:dyDescent="0.2">
      <c r="A14959" s="325">
        <v>2025</v>
      </c>
      <c r="B14959" s="325">
        <v>8</v>
      </c>
      <c r="C14959" s="325">
        <v>28</v>
      </c>
      <c r="D14959" s="326">
        <f t="shared" si="2362"/>
        <v>45897</v>
      </c>
      <c r="E14959" s="327">
        <f t="shared" si="2363"/>
        <v>45897</v>
      </c>
      <c r="F14959" s="473" t="s">
        <v>2097</v>
      </c>
      <c r="G14959" s="340" t="s">
        <v>94</v>
      </c>
      <c r="H14959" s="340"/>
      <c r="I14959" s="341" t="s">
        <v>348</v>
      </c>
      <c r="J14959" s="374" t="s">
        <v>133</v>
      </c>
      <c r="K14959" s="375">
        <v>6250</v>
      </c>
      <c r="L14959" s="375"/>
      <c r="M14959" s="176"/>
    </row>
    <row r="14960" spans="1:14" x14ac:dyDescent="0.2">
      <c r="A14960" s="331">
        <v>2025</v>
      </c>
      <c r="B14960" s="331">
        <v>8</v>
      </c>
      <c r="C14960" s="331">
        <v>28</v>
      </c>
      <c r="D14960" s="326">
        <f t="shared" si="2362"/>
        <v>45897</v>
      </c>
      <c r="E14960" s="327">
        <f t="shared" si="2363"/>
        <v>45897</v>
      </c>
      <c r="F14960" s="474"/>
      <c r="G14960" s="332" t="s">
        <v>94</v>
      </c>
      <c r="H14960" s="332"/>
      <c r="I14960" s="333" t="s">
        <v>348</v>
      </c>
      <c r="J14960" s="376" t="s">
        <v>60</v>
      </c>
      <c r="K14960" s="334"/>
      <c r="L14960" s="334">
        <f>K14959</f>
        <v>6250</v>
      </c>
    </row>
    <row r="14961" spans="1:14" x14ac:dyDescent="0.2">
      <c r="A14961" s="384">
        <v>2025</v>
      </c>
      <c r="B14961" s="384">
        <v>8</v>
      </c>
      <c r="C14961" s="384">
        <v>28</v>
      </c>
      <c r="D14961" s="385">
        <f t="shared" si="2362"/>
        <v>45897</v>
      </c>
      <c r="E14961" s="386">
        <f t="shared" si="2363"/>
        <v>45897</v>
      </c>
      <c r="F14961" s="475" t="s">
        <v>1966</v>
      </c>
      <c r="G14961" s="387" t="s">
        <v>94</v>
      </c>
      <c r="H14961" s="387"/>
      <c r="I14961" s="388" t="s">
        <v>348</v>
      </c>
      <c r="J14961" s="389" t="s">
        <v>67</v>
      </c>
      <c r="K14961" s="390">
        <v>3431.29</v>
      </c>
      <c r="L14961" s="390"/>
    </row>
    <row r="14962" spans="1:14" x14ac:dyDescent="0.2">
      <c r="A14962" s="391">
        <v>2025</v>
      </c>
      <c r="B14962" s="391">
        <v>8</v>
      </c>
      <c r="C14962" s="391">
        <v>28</v>
      </c>
      <c r="D14962" s="385">
        <f t="shared" si="2362"/>
        <v>45897</v>
      </c>
      <c r="E14962" s="386">
        <f t="shared" si="2363"/>
        <v>45897</v>
      </c>
      <c r="F14962" s="476"/>
      <c r="G14962" s="392" t="s">
        <v>94</v>
      </c>
      <c r="H14962" s="392"/>
      <c r="I14962" s="393" t="s">
        <v>348</v>
      </c>
      <c r="J14962" s="394" t="s">
        <v>60</v>
      </c>
      <c r="K14962" s="395"/>
      <c r="L14962" s="395">
        <f>K14961</f>
        <v>3431.29</v>
      </c>
    </row>
    <row r="14963" spans="1:14" x14ac:dyDescent="0.2">
      <c r="A14963" s="343">
        <v>2025</v>
      </c>
      <c r="B14963" s="343">
        <v>8</v>
      </c>
      <c r="C14963" s="343">
        <v>28</v>
      </c>
      <c r="D14963" s="344">
        <f t="shared" si="2362"/>
        <v>45897</v>
      </c>
      <c r="E14963" s="345">
        <f t="shared" si="2363"/>
        <v>45897</v>
      </c>
      <c r="F14963" s="483" t="s">
        <v>1813</v>
      </c>
      <c r="G14963" s="350" t="s">
        <v>94</v>
      </c>
      <c r="H14963" s="350"/>
      <c r="I14963" s="352" t="s">
        <v>348</v>
      </c>
      <c r="J14963" s="353" t="s">
        <v>1807</v>
      </c>
      <c r="K14963" s="354">
        <v>0</v>
      </c>
      <c r="L14963" s="354"/>
      <c r="M14963" s="133">
        <v>0</v>
      </c>
    </row>
    <row r="14964" spans="1:14" x14ac:dyDescent="0.2">
      <c r="A14964" s="346">
        <v>2025</v>
      </c>
      <c r="B14964" s="346">
        <v>8</v>
      </c>
      <c r="C14964" s="346">
        <v>28</v>
      </c>
      <c r="D14964" s="344">
        <f t="shared" si="2362"/>
        <v>45897</v>
      </c>
      <c r="E14964" s="345">
        <f t="shared" si="2363"/>
        <v>45897</v>
      </c>
      <c r="F14964" s="484"/>
      <c r="G14964" s="347" t="s">
        <v>94</v>
      </c>
      <c r="H14964" s="347"/>
      <c r="I14964" s="348" t="s">
        <v>348</v>
      </c>
      <c r="J14964" s="355" t="s">
        <v>1798</v>
      </c>
      <c r="K14964" s="349"/>
      <c r="L14964" s="349">
        <v>0</v>
      </c>
    </row>
    <row r="14965" spans="1:14" x14ac:dyDescent="0.2">
      <c r="A14965" s="343">
        <v>2025</v>
      </c>
      <c r="B14965" s="343">
        <v>8</v>
      </c>
      <c r="C14965" s="343">
        <v>28</v>
      </c>
      <c r="D14965" s="344">
        <f t="shared" si="2362"/>
        <v>45897</v>
      </c>
      <c r="E14965" s="345">
        <f t="shared" si="2363"/>
        <v>45897</v>
      </c>
      <c r="F14965" s="483" t="s">
        <v>1913</v>
      </c>
      <c r="G14965" s="350" t="s">
        <v>94</v>
      </c>
      <c r="H14965" s="350"/>
      <c r="I14965" s="352" t="s">
        <v>348</v>
      </c>
      <c r="J14965" s="353" t="s">
        <v>1808</v>
      </c>
      <c r="K14965" s="354">
        <v>44751.17500000447</v>
      </c>
      <c r="L14965" s="354"/>
      <c r="M14965" s="160">
        <v>0</v>
      </c>
    </row>
    <row r="14966" spans="1:14" x14ac:dyDescent="0.2">
      <c r="A14966" s="346">
        <v>2025</v>
      </c>
      <c r="B14966" s="346">
        <v>8</v>
      </c>
      <c r="C14966" s="346">
        <v>28</v>
      </c>
      <c r="D14966" s="344">
        <f t="shared" si="2362"/>
        <v>45897</v>
      </c>
      <c r="E14966" s="345">
        <f t="shared" si="2363"/>
        <v>45897</v>
      </c>
      <c r="F14966" s="484"/>
      <c r="G14966" s="347" t="s">
        <v>94</v>
      </c>
      <c r="H14966" s="347"/>
      <c r="I14966" s="348" t="s">
        <v>348</v>
      </c>
      <c r="J14966" s="355" t="s">
        <v>1799</v>
      </c>
      <c r="K14966" s="349"/>
      <c r="L14966" s="349">
        <f>K14965</f>
        <v>44751.17500000447</v>
      </c>
    </row>
    <row r="14967" spans="1:14" x14ac:dyDescent="0.2">
      <c r="A14967" s="238">
        <v>2025</v>
      </c>
      <c r="B14967" s="238">
        <v>8</v>
      </c>
      <c r="C14967" s="238">
        <v>28</v>
      </c>
      <c r="D14967" s="270">
        <f t="shared" si="2362"/>
        <v>45897</v>
      </c>
      <c r="E14967" s="279">
        <f t="shared" si="2363"/>
        <v>45897</v>
      </c>
      <c r="F14967" s="477" t="s">
        <v>347</v>
      </c>
      <c r="G14967" s="239" t="s">
        <v>94</v>
      </c>
      <c r="H14967" s="239"/>
      <c r="I14967" s="262" t="s">
        <v>348</v>
      </c>
      <c r="J14967" s="240" t="s">
        <v>108</v>
      </c>
      <c r="K14967" s="241">
        <v>3207612.0622000098</v>
      </c>
      <c r="L14967" s="241"/>
      <c r="M14967" s="160">
        <v>13139541.900000483</v>
      </c>
    </row>
    <row r="14968" spans="1:14" x14ac:dyDescent="0.2">
      <c r="A14968" s="242">
        <v>2025</v>
      </c>
      <c r="B14968" s="242">
        <v>8</v>
      </c>
      <c r="C14968" s="242">
        <v>28</v>
      </c>
      <c r="D14968" s="270">
        <f t="shared" si="2362"/>
        <v>45897</v>
      </c>
      <c r="E14968" s="279">
        <f t="shared" si="2363"/>
        <v>45897</v>
      </c>
      <c r="F14968" s="478"/>
      <c r="G14968" s="243" t="s">
        <v>94</v>
      </c>
      <c r="H14968" s="243"/>
      <c r="I14968" s="263" t="s">
        <v>348</v>
      </c>
      <c r="J14968" s="244" t="s">
        <v>82</v>
      </c>
      <c r="K14968" s="245"/>
      <c r="L14968" s="245">
        <f>K14967</f>
        <v>3207612.0622000098</v>
      </c>
    </row>
    <row r="14969" spans="1:14" ht="12" customHeight="1" x14ac:dyDescent="0.2">
      <c r="A14969" s="246">
        <v>2025</v>
      </c>
      <c r="B14969" s="238">
        <v>8</v>
      </c>
      <c r="C14969" s="238">
        <v>28</v>
      </c>
      <c r="D14969" s="270">
        <f t="shared" si="2362"/>
        <v>45897</v>
      </c>
      <c r="E14969" s="279">
        <f t="shared" si="2363"/>
        <v>45897</v>
      </c>
      <c r="F14969" s="482" t="s">
        <v>148</v>
      </c>
      <c r="G14969" s="247" t="s">
        <v>94</v>
      </c>
      <c r="H14969" s="247"/>
      <c r="I14969" s="248" t="s">
        <v>348</v>
      </c>
      <c r="J14969" s="249" t="s">
        <v>95</v>
      </c>
      <c r="K14969" s="250">
        <v>2747.2527472527472</v>
      </c>
      <c r="L14969" s="241"/>
      <c r="M14969" s="176"/>
    </row>
    <row r="14970" spans="1:14" x14ac:dyDescent="0.2">
      <c r="A14970" s="242">
        <v>2025</v>
      </c>
      <c r="B14970" s="242">
        <v>8</v>
      </c>
      <c r="C14970" s="242">
        <v>28</v>
      </c>
      <c r="D14970" s="270">
        <f t="shared" si="2362"/>
        <v>45897</v>
      </c>
      <c r="E14970" s="279">
        <f t="shared" si="2363"/>
        <v>45897</v>
      </c>
      <c r="F14970" s="478"/>
      <c r="G14970" s="243" t="s">
        <v>94</v>
      </c>
      <c r="H14970" s="243"/>
      <c r="I14970" s="263" t="s">
        <v>348</v>
      </c>
      <c r="J14970" s="244" t="s">
        <v>63</v>
      </c>
      <c r="K14970" s="245"/>
      <c r="L14970" s="245">
        <f>K14969</f>
        <v>2747.2527472527472</v>
      </c>
    </row>
    <row r="14971" spans="1:14" x14ac:dyDescent="0.2">
      <c r="A14971" s="246">
        <v>2025</v>
      </c>
      <c r="B14971" s="238">
        <v>8</v>
      </c>
      <c r="C14971" s="238">
        <v>28</v>
      </c>
      <c r="D14971" s="270">
        <f t="shared" si="2362"/>
        <v>45897</v>
      </c>
      <c r="E14971" s="279">
        <f t="shared" si="2363"/>
        <v>45897</v>
      </c>
      <c r="F14971" s="482" t="s">
        <v>137</v>
      </c>
      <c r="G14971" s="247" t="s">
        <v>94</v>
      </c>
      <c r="H14971" s="247"/>
      <c r="I14971" s="248" t="s">
        <v>348</v>
      </c>
      <c r="J14971" s="249" t="s">
        <v>97</v>
      </c>
      <c r="K14971" s="250">
        <f>M14971</f>
        <v>83646.13944285945</v>
      </c>
      <c r="L14971" s="252"/>
      <c r="M14971" s="133">
        <v>83646.13944285945</v>
      </c>
    </row>
    <row r="14972" spans="1:14" x14ac:dyDescent="0.2">
      <c r="A14972" s="242">
        <v>2025</v>
      </c>
      <c r="B14972" s="242">
        <v>8</v>
      </c>
      <c r="C14972" s="242">
        <v>28</v>
      </c>
      <c r="D14972" s="270">
        <f t="shared" si="2362"/>
        <v>45897</v>
      </c>
      <c r="E14972" s="279">
        <f t="shared" si="2363"/>
        <v>45897</v>
      </c>
      <c r="F14972" s="478"/>
      <c r="G14972" s="243" t="s">
        <v>94</v>
      </c>
      <c r="H14972" s="243"/>
      <c r="I14972" s="263" t="s">
        <v>348</v>
      </c>
      <c r="J14972" s="244" t="s">
        <v>47</v>
      </c>
      <c r="K14972" s="245"/>
      <c r="L14972" s="245">
        <f>K14971</f>
        <v>83646.13944285945</v>
      </c>
      <c r="M14972" s="133">
        <v>3941.9223567583572</v>
      </c>
    </row>
    <row r="14973" spans="1:14" x14ac:dyDescent="0.2">
      <c r="A14973" s="246">
        <v>2025</v>
      </c>
      <c r="B14973" s="238">
        <v>8</v>
      </c>
      <c r="C14973" s="238">
        <v>28</v>
      </c>
      <c r="D14973" s="270">
        <f t="shared" si="2362"/>
        <v>45897</v>
      </c>
      <c r="E14973" s="279">
        <f t="shared" si="2363"/>
        <v>45897</v>
      </c>
      <c r="F14973" s="482" t="s">
        <v>138</v>
      </c>
      <c r="G14973" s="247" t="s">
        <v>94</v>
      </c>
      <c r="H14973" s="247"/>
      <c r="I14973" s="248" t="s">
        <v>348</v>
      </c>
      <c r="J14973" s="249" t="s">
        <v>100</v>
      </c>
      <c r="K14973" s="250">
        <f>M14972</f>
        <v>3941.9223567583572</v>
      </c>
      <c r="L14973" s="252"/>
    </row>
    <row r="14974" spans="1:14" x14ac:dyDescent="0.2">
      <c r="A14974" s="242">
        <v>2025</v>
      </c>
      <c r="B14974" s="242">
        <v>8</v>
      </c>
      <c r="C14974" s="242">
        <v>28</v>
      </c>
      <c r="D14974" s="321">
        <f t="shared" si="2362"/>
        <v>45897</v>
      </c>
      <c r="E14974" s="322">
        <f t="shared" si="2363"/>
        <v>45897</v>
      </c>
      <c r="F14974" s="478"/>
      <c r="G14974" s="243" t="s">
        <v>94</v>
      </c>
      <c r="H14974" s="243"/>
      <c r="I14974" s="263" t="s">
        <v>348</v>
      </c>
      <c r="J14974" s="244" t="s">
        <v>48</v>
      </c>
      <c r="K14974" s="245"/>
      <c r="L14974" s="245">
        <f>K14973</f>
        <v>3941.9223567583572</v>
      </c>
    </row>
    <row r="14975" spans="1:14" x14ac:dyDescent="0.2">
      <c r="A14975" s="133">
        <v>2025</v>
      </c>
      <c r="B14975" s="133">
        <v>8</v>
      </c>
      <c r="C14975" s="133">
        <v>31</v>
      </c>
      <c r="D14975" s="141">
        <f t="shared" si="2362"/>
        <v>45900</v>
      </c>
      <c r="E14975" s="275">
        <f t="shared" si="2363"/>
        <v>45900</v>
      </c>
      <c r="F14975" s="481" t="s">
        <v>2073</v>
      </c>
      <c r="G14975" s="174" t="s">
        <v>94</v>
      </c>
      <c r="H14975" s="174"/>
      <c r="J14975" s="149" t="s">
        <v>79</v>
      </c>
      <c r="K14975" s="218">
        <v>852000</v>
      </c>
      <c r="L14975" s="218"/>
      <c r="M14975" s="160"/>
    </row>
    <row r="14976" spans="1:14" x14ac:dyDescent="0.2">
      <c r="A14976" s="133">
        <v>2025</v>
      </c>
      <c r="B14976" s="133">
        <v>8</v>
      </c>
      <c r="C14976" s="133">
        <v>31</v>
      </c>
      <c r="D14976" s="141">
        <f t="shared" si="2362"/>
        <v>45900</v>
      </c>
      <c r="E14976" s="275">
        <f t="shared" si="2363"/>
        <v>45900</v>
      </c>
      <c r="F14976" s="481"/>
      <c r="G14976" s="174" t="s">
        <v>94</v>
      </c>
      <c r="H14976" s="174"/>
      <c r="J14976" s="149" t="s">
        <v>80</v>
      </c>
      <c r="K14976" s="218">
        <v>2223.9</v>
      </c>
      <c r="L14976" s="264"/>
      <c r="M14976" s="264"/>
      <c r="N14976" s="264"/>
    </row>
    <row r="14977" spans="1:14" x14ac:dyDescent="0.2">
      <c r="A14977" s="133">
        <v>2025</v>
      </c>
      <c r="B14977" s="133">
        <v>8</v>
      </c>
      <c r="C14977" s="133">
        <v>31</v>
      </c>
      <c r="D14977" s="141">
        <f t="shared" si="2362"/>
        <v>45900</v>
      </c>
      <c r="E14977" s="275">
        <f t="shared" si="2363"/>
        <v>45900</v>
      </c>
      <c r="F14977" s="481"/>
      <c r="G14977" s="174" t="s">
        <v>94</v>
      </c>
      <c r="H14977" s="174"/>
      <c r="J14977" s="149" t="s">
        <v>147</v>
      </c>
      <c r="K14977" s="218"/>
      <c r="L14977" s="218">
        <v>470723.9</v>
      </c>
      <c r="M14977" s="264"/>
    </row>
    <row r="14978" spans="1:14" x14ac:dyDescent="0.2">
      <c r="A14978" s="133">
        <v>2025</v>
      </c>
      <c r="B14978" s="133">
        <v>8</v>
      </c>
      <c r="C14978" s="133">
        <v>31</v>
      </c>
      <c r="D14978" s="141">
        <f t="shared" si="2362"/>
        <v>45900</v>
      </c>
      <c r="E14978" s="275">
        <f t="shared" si="2363"/>
        <v>45900</v>
      </c>
      <c r="F14978" s="481"/>
      <c r="G14978" s="174" t="s">
        <v>94</v>
      </c>
      <c r="H14978" s="174"/>
      <c r="J14978" s="149" t="s">
        <v>191</v>
      </c>
      <c r="L14978" s="218">
        <v>101151.85</v>
      </c>
    </row>
    <row r="14979" spans="1:14" x14ac:dyDescent="0.2">
      <c r="A14979" s="163">
        <v>2025</v>
      </c>
      <c r="B14979" s="163">
        <v>8</v>
      </c>
      <c r="C14979" s="163">
        <v>31</v>
      </c>
      <c r="D14979" s="280">
        <f t="shared" si="2362"/>
        <v>45900</v>
      </c>
      <c r="E14979" s="281">
        <f t="shared" si="2363"/>
        <v>45900</v>
      </c>
      <c r="F14979" s="480"/>
      <c r="G14979" s="221" t="s">
        <v>94</v>
      </c>
      <c r="H14979" s="145"/>
      <c r="I14979" s="145"/>
      <c r="J14979" s="163" t="s">
        <v>79</v>
      </c>
      <c r="K14979" s="219"/>
      <c r="L14979" s="219">
        <v>282348.15000000002</v>
      </c>
      <c r="M14979" s="264"/>
    </row>
    <row r="14980" spans="1:14" ht="11.25" customHeight="1" x14ac:dyDescent="0.2">
      <c r="A14980" s="168">
        <v>2025</v>
      </c>
      <c r="B14980" s="168">
        <v>8</v>
      </c>
      <c r="C14980" s="133">
        <v>31</v>
      </c>
      <c r="D14980" s="141">
        <f t="shared" si="2362"/>
        <v>45900</v>
      </c>
      <c r="E14980" s="275">
        <f t="shared" si="2363"/>
        <v>45900</v>
      </c>
      <c r="F14980" s="479" t="s">
        <v>2113</v>
      </c>
      <c r="G14980" s="220" t="s">
        <v>94</v>
      </c>
      <c r="H14980" s="220"/>
      <c r="I14980" s="142"/>
      <c r="J14980" s="143" t="s">
        <v>79</v>
      </c>
      <c r="K14980" s="226">
        <v>10336995.6</v>
      </c>
      <c r="L14980" s="226"/>
      <c r="M14980" s="160"/>
    </row>
    <row r="14981" spans="1:14" x14ac:dyDescent="0.2">
      <c r="A14981" s="133">
        <v>2025</v>
      </c>
      <c r="B14981" s="133">
        <v>8</v>
      </c>
      <c r="C14981" s="133">
        <v>31</v>
      </c>
      <c r="D14981" s="141">
        <f t="shared" si="2362"/>
        <v>45900</v>
      </c>
      <c r="E14981" s="275">
        <f t="shared" si="2363"/>
        <v>45900</v>
      </c>
      <c r="F14981" s="481"/>
      <c r="G14981" s="174" t="s">
        <v>94</v>
      </c>
      <c r="H14981" s="174"/>
      <c r="J14981" s="149" t="s">
        <v>80</v>
      </c>
      <c r="K14981" s="218">
        <v>18606.59</v>
      </c>
      <c r="L14981" s="133"/>
    </row>
    <row r="14982" spans="1:14" x14ac:dyDescent="0.2">
      <c r="A14982" s="163">
        <v>2025</v>
      </c>
      <c r="B14982" s="163">
        <v>8</v>
      </c>
      <c r="C14982" s="163">
        <v>31</v>
      </c>
      <c r="D14982" s="280">
        <f t="shared" si="2362"/>
        <v>45900</v>
      </c>
      <c r="E14982" s="281">
        <f t="shared" si="2363"/>
        <v>45900</v>
      </c>
      <c r="F14982" s="480"/>
      <c r="G14982" s="221" t="s">
        <v>94</v>
      </c>
      <c r="H14982" s="221"/>
      <c r="I14982" s="145"/>
      <c r="J14982" s="146" t="s">
        <v>147</v>
      </c>
      <c r="K14982" s="219"/>
      <c r="L14982" s="219">
        <v>10355602.189999999</v>
      </c>
    </row>
    <row r="14983" spans="1:14" ht="11.25" customHeight="1" x14ac:dyDescent="0.2">
      <c r="A14983" s="168">
        <v>2025</v>
      </c>
      <c r="B14983" s="168">
        <v>8</v>
      </c>
      <c r="C14983" s="133">
        <v>31</v>
      </c>
      <c r="D14983" s="141">
        <f t="shared" ref="D14983:D15003" si="2364">DATE(A14983,B14983,C14983)</f>
        <v>45900</v>
      </c>
      <c r="E14983" s="275">
        <f t="shared" ref="E14983:E15003" si="2365">DATE(A14983,B14983,C14983)</f>
        <v>45900</v>
      </c>
      <c r="F14983" s="479" t="s">
        <v>1979</v>
      </c>
      <c r="G14983" s="220" t="s">
        <v>94</v>
      </c>
      <c r="H14983" s="220"/>
      <c r="I14983" s="142"/>
      <c r="J14983" s="143" t="s">
        <v>79</v>
      </c>
      <c r="K14983" s="226">
        <v>703700</v>
      </c>
      <c r="L14983" s="226"/>
      <c r="M14983" s="160"/>
    </row>
    <row r="14984" spans="1:14" x14ac:dyDescent="0.2">
      <c r="A14984" s="133">
        <v>2025</v>
      </c>
      <c r="B14984" s="133">
        <v>8</v>
      </c>
      <c r="C14984" s="133">
        <v>31</v>
      </c>
      <c r="D14984" s="141">
        <f t="shared" si="2364"/>
        <v>45900</v>
      </c>
      <c r="E14984" s="275">
        <f t="shared" si="2365"/>
        <v>45900</v>
      </c>
      <c r="F14984" s="481"/>
      <c r="G14984" s="174" t="s">
        <v>94</v>
      </c>
      <c r="H14984" s="174"/>
      <c r="J14984" s="149" t="s">
        <v>80</v>
      </c>
      <c r="K14984" s="218">
        <v>1266.6600000000001</v>
      </c>
      <c r="L14984" s="133"/>
    </row>
    <row r="14985" spans="1:14" x14ac:dyDescent="0.2">
      <c r="A14985" s="163">
        <v>2025</v>
      </c>
      <c r="B14985" s="163">
        <v>8</v>
      </c>
      <c r="C14985" s="163">
        <v>31</v>
      </c>
      <c r="D14985" s="280">
        <f t="shared" si="2364"/>
        <v>45900</v>
      </c>
      <c r="E14985" s="281">
        <f t="shared" si="2365"/>
        <v>45900</v>
      </c>
      <c r="F14985" s="480"/>
      <c r="G14985" s="221" t="s">
        <v>94</v>
      </c>
      <c r="H14985" s="221"/>
      <c r="I14985" s="145"/>
      <c r="J14985" s="146" t="s">
        <v>147</v>
      </c>
      <c r="K14985" s="219"/>
      <c r="L14985" s="219">
        <v>704966.66</v>
      </c>
    </row>
    <row r="14986" spans="1:14" ht="11.25" customHeight="1" x14ac:dyDescent="0.2">
      <c r="A14986" s="168">
        <v>2025</v>
      </c>
      <c r="B14986" s="168">
        <v>8</v>
      </c>
      <c r="C14986" s="133">
        <v>31</v>
      </c>
      <c r="D14986" s="141">
        <f t="shared" si="2364"/>
        <v>45900</v>
      </c>
      <c r="E14986" s="275">
        <f t="shared" si="2365"/>
        <v>45900</v>
      </c>
      <c r="F14986" s="479" t="s">
        <v>964</v>
      </c>
      <c r="G14986" s="220" t="s">
        <v>74</v>
      </c>
      <c r="H14986" s="142"/>
      <c r="I14986" s="142"/>
      <c r="J14986" s="168" t="s">
        <v>52</v>
      </c>
      <c r="K14986" s="226">
        <v>9000000</v>
      </c>
      <c r="L14986" s="226"/>
    </row>
    <row r="14987" spans="1:14" ht="11.25" customHeight="1" x14ac:dyDescent="0.2">
      <c r="A14987" s="133">
        <v>2025</v>
      </c>
      <c r="B14987" s="133">
        <v>8</v>
      </c>
      <c r="C14987" s="133">
        <v>31</v>
      </c>
      <c r="D14987" s="141">
        <f t="shared" si="2364"/>
        <v>45900</v>
      </c>
      <c r="E14987" s="275">
        <f t="shared" si="2365"/>
        <v>45900</v>
      </c>
      <c r="F14987" s="481"/>
      <c r="G14987" s="174" t="s">
        <v>74</v>
      </c>
      <c r="J14987" s="133" t="s">
        <v>13</v>
      </c>
      <c r="K14987" s="218"/>
      <c r="L14987" s="218">
        <v>6108320</v>
      </c>
    </row>
    <row r="14988" spans="1:14" ht="11.25" customHeight="1" x14ac:dyDescent="0.2">
      <c r="A14988" s="163">
        <v>2025</v>
      </c>
      <c r="B14988" s="163">
        <v>8</v>
      </c>
      <c r="C14988" s="163">
        <v>31</v>
      </c>
      <c r="D14988" s="280">
        <f t="shared" si="2364"/>
        <v>45900</v>
      </c>
      <c r="E14988" s="281">
        <f t="shared" si="2365"/>
        <v>45900</v>
      </c>
      <c r="F14988" s="480"/>
      <c r="G14988" s="221" t="s">
        <v>74</v>
      </c>
      <c r="H14988" s="145"/>
      <c r="I14988" s="145"/>
      <c r="J14988" s="163" t="s">
        <v>53</v>
      </c>
      <c r="K14988" s="219"/>
      <c r="L14988" s="219">
        <v>2891680</v>
      </c>
    </row>
    <row r="14989" spans="1:14" x14ac:dyDescent="0.2">
      <c r="A14989" s="168">
        <v>2025</v>
      </c>
      <c r="B14989" s="133">
        <v>8</v>
      </c>
      <c r="C14989" s="168">
        <v>31</v>
      </c>
      <c r="D14989" s="147">
        <f>DATE(A14989,B14989,C14989)</f>
        <v>45900</v>
      </c>
      <c r="E14989" s="311">
        <f>DATE(A14989,B14989,C14989)</f>
        <v>45900</v>
      </c>
      <c r="F14989" s="481" t="s">
        <v>1956</v>
      </c>
      <c r="G14989" s="174" t="s">
        <v>74</v>
      </c>
      <c r="I14989" s="148" t="s">
        <v>348</v>
      </c>
      <c r="J14989" s="133" t="s">
        <v>61</v>
      </c>
      <c r="K14989" s="172">
        <v>60</v>
      </c>
    </row>
    <row r="14990" spans="1:14" x14ac:dyDescent="0.2">
      <c r="A14990" s="163">
        <v>2025</v>
      </c>
      <c r="B14990" s="163">
        <v>8</v>
      </c>
      <c r="C14990" s="163">
        <v>31</v>
      </c>
      <c r="D14990" s="280">
        <f>DATE(A14990,B14990,C14990)</f>
        <v>45900</v>
      </c>
      <c r="E14990" s="281">
        <f>DATE(A14990,B14990,C14990)</f>
        <v>45900</v>
      </c>
      <c r="F14990" s="480"/>
      <c r="G14990" s="221" t="s">
        <v>74</v>
      </c>
      <c r="H14990" s="145"/>
      <c r="I14990" s="145" t="s">
        <v>348</v>
      </c>
      <c r="J14990" s="163" t="s">
        <v>52</v>
      </c>
      <c r="K14990" s="219"/>
      <c r="L14990" s="219">
        <f>K14989</f>
        <v>60</v>
      </c>
    </row>
    <row r="14991" spans="1:14" ht="11.25" customHeight="1" x14ac:dyDescent="0.2">
      <c r="A14991" s="168">
        <v>2025</v>
      </c>
      <c r="B14991" s="133">
        <v>8</v>
      </c>
      <c r="C14991" s="168">
        <v>31</v>
      </c>
      <c r="D14991" s="141">
        <f t="shared" ref="D14991:D14992" si="2366">DATE(A14991,B14991,C14991)</f>
        <v>45900</v>
      </c>
      <c r="E14991" s="275">
        <f t="shared" ref="E14991:E14992" si="2367">DATE(A14991,B14991,C14991)</f>
        <v>45900</v>
      </c>
      <c r="F14991" s="479" t="s">
        <v>2116</v>
      </c>
      <c r="G14991" s="220" t="s">
        <v>74</v>
      </c>
      <c r="H14991" s="220"/>
      <c r="I14991" s="142"/>
      <c r="J14991" s="143" t="s">
        <v>147</v>
      </c>
      <c r="K14991" s="226">
        <v>281505.8</v>
      </c>
      <c r="L14991" s="226"/>
    </row>
    <row r="14992" spans="1:14" x14ac:dyDescent="0.2">
      <c r="A14992" s="163">
        <v>2025</v>
      </c>
      <c r="B14992" s="163">
        <v>8</v>
      </c>
      <c r="C14992" s="163">
        <v>31</v>
      </c>
      <c r="D14992" s="280">
        <f t="shared" si="2366"/>
        <v>45900</v>
      </c>
      <c r="E14992" s="281">
        <f t="shared" si="2367"/>
        <v>45900</v>
      </c>
      <c r="F14992" s="480"/>
      <c r="G14992" s="221" t="s">
        <v>74</v>
      </c>
      <c r="H14992" s="221"/>
      <c r="I14992" s="145"/>
      <c r="J14992" s="146" t="s">
        <v>52</v>
      </c>
      <c r="K14992" s="219"/>
      <c r="L14992" s="219">
        <f>K14991</f>
        <v>281505.8</v>
      </c>
      <c r="N14992" s="264"/>
    </row>
    <row r="14993" spans="1:17" x14ac:dyDescent="0.2">
      <c r="A14993" s="168">
        <v>2025</v>
      </c>
      <c r="B14993" s="133">
        <v>8</v>
      </c>
      <c r="C14993" s="168">
        <v>31</v>
      </c>
      <c r="D14993" s="147">
        <f>DATE(A14993,B14993,C14993)</f>
        <v>45900</v>
      </c>
      <c r="E14993" s="311">
        <f>DATE(A14993,B14993,C14993)</f>
        <v>45900</v>
      </c>
      <c r="F14993" s="481" t="s">
        <v>1943</v>
      </c>
      <c r="G14993" s="174" t="s">
        <v>74</v>
      </c>
      <c r="I14993" s="148" t="s">
        <v>348</v>
      </c>
      <c r="J14993" s="133" t="s">
        <v>61</v>
      </c>
      <c r="K14993" s="172">
        <v>58</v>
      </c>
    </row>
    <row r="14994" spans="1:17" x14ac:dyDescent="0.2">
      <c r="A14994" s="163">
        <v>2025</v>
      </c>
      <c r="B14994" s="163">
        <v>8</v>
      </c>
      <c r="C14994" s="163">
        <v>31</v>
      </c>
      <c r="D14994" s="280">
        <f>DATE(A14994,B14994,C14994)</f>
        <v>45900</v>
      </c>
      <c r="E14994" s="281">
        <f>DATE(A14994,B14994,C14994)</f>
        <v>45900</v>
      </c>
      <c r="F14994" s="480"/>
      <c r="G14994" s="221" t="s">
        <v>74</v>
      </c>
      <c r="H14994" s="145"/>
      <c r="I14994" s="145" t="s">
        <v>348</v>
      </c>
      <c r="J14994" s="163" t="s">
        <v>52</v>
      </c>
      <c r="K14994" s="219"/>
      <c r="L14994" s="219">
        <f>K14993</f>
        <v>58</v>
      </c>
    </row>
    <row r="14995" spans="1:17" ht="11.25" customHeight="1" x14ac:dyDescent="0.2">
      <c r="A14995" s="168">
        <v>2025</v>
      </c>
      <c r="B14995" s="168">
        <v>8</v>
      </c>
      <c r="C14995" s="133">
        <v>31</v>
      </c>
      <c r="D14995" s="141">
        <f>DATE(A14995,B14995,C14995)</f>
        <v>45900</v>
      </c>
      <c r="E14995" s="275">
        <f>DATE(A14995,B14995,C14995)</f>
        <v>45900</v>
      </c>
      <c r="F14995" s="481" t="s">
        <v>1989</v>
      </c>
      <c r="G14995" s="174" t="s">
        <v>74</v>
      </c>
      <c r="H14995" s="174"/>
      <c r="I14995" s="148" t="s">
        <v>348</v>
      </c>
      <c r="J14995" s="149" t="s">
        <v>52</v>
      </c>
      <c r="K14995" s="218">
        <v>3581851.57</v>
      </c>
      <c r="L14995" s="218"/>
      <c r="M14995" s="147"/>
      <c r="Q14995" s="133" t="s">
        <v>348</v>
      </c>
    </row>
    <row r="14996" spans="1:17" x14ac:dyDescent="0.2">
      <c r="A14996" s="133">
        <v>2025</v>
      </c>
      <c r="B14996" s="133">
        <v>8</v>
      </c>
      <c r="C14996" s="133">
        <v>31</v>
      </c>
      <c r="D14996" s="141">
        <f t="shared" ref="D14996" si="2368">DATE(A14996,B14996,C14996)</f>
        <v>45900</v>
      </c>
      <c r="E14996" s="275">
        <f t="shared" ref="E14996" si="2369">DATE(A14996,B14996,C14996)</f>
        <v>45900</v>
      </c>
      <c r="F14996" s="481"/>
      <c r="G14996" s="174" t="s">
        <v>74</v>
      </c>
      <c r="H14996" s="174"/>
      <c r="J14996" s="149" t="s">
        <v>1810</v>
      </c>
      <c r="K14996" s="218"/>
      <c r="L14996" s="218">
        <v>127782.40000000037</v>
      </c>
      <c r="M14996" s="147"/>
    </row>
    <row r="14997" spans="1:17" x14ac:dyDescent="0.2">
      <c r="A14997" s="163">
        <v>2025</v>
      </c>
      <c r="B14997" s="163">
        <v>8</v>
      </c>
      <c r="C14997" s="163">
        <v>31</v>
      </c>
      <c r="D14997" s="280">
        <f>DATE(A14997,B14997,C14997)</f>
        <v>45900</v>
      </c>
      <c r="E14997" s="281">
        <f>DATE(A14997,B14997,C14997)</f>
        <v>45900</v>
      </c>
      <c r="F14997" s="480"/>
      <c r="G14997" s="221" t="s">
        <v>74</v>
      </c>
      <c r="H14997" s="221"/>
      <c r="I14997" s="145"/>
      <c r="J14997" s="146" t="s">
        <v>1805</v>
      </c>
      <c r="K14997" s="219"/>
      <c r="L14997" s="219">
        <v>3454069.1599999997</v>
      </c>
      <c r="M14997" s="147"/>
      <c r="Q14997" s="133" t="s">
        <v>348</v>
      </c>
    </row>
    <row r="14998" spans="1:17" ht="11.25" customHeight="1" x14ac:dyDescent="0.2">
      <c r="A14998" s="168">
        <v>2025</v>
      </c>
      <c r="B14998" s="168">
        <v>9</v>
      </c>
      <c r="C14998" s="133">
        <v>1</v>
      </c>
      <c r="D14998" s="141">
        <f t="shared" ref="D14998:D15000" si="2370">DATE(A14998,B14998,C14998)</f>
        <v>45901</v>
      </c>
      <c r="E14998" s="275">
        <f t="shared" ref="E14998:E15000" si="2371">DATE(A14998,B14998,C14998)</f>
        <v>45901</v>
      </c>
      <c r="F14998" s="479" t="s">
        <v>964</v>
      </c>
      <c r="G14998" s="220" t="s">
        <v>74</v>
      </c>
      <c r="H14998" s="142"/>
      <c r="I14998" s="142"/>
      <c r="J14998" s="168" t="s">
        <v>52</v>
      </c>
      <c r="K14998" s="226">
        <v>11000000</v>
      </c>
      <c r="L14998" s="226"/>
    </row>
    <row r="14999" spans="1:17" ht="11.25" customHeight="1" x14ac:dyDescent="0.2">
      <c r="A14999" s="133">
        <v>2025</v>
      </c>
      <c r="B14999" s="133">
        <v>9</v>
      </c>
      <c r="C14999" s="133">
        <v>1</v>
      </c>
      <c r="D14999" s="141">
        <f t="shared" si="2370"/>
        <v>45901</v>
      </c>
      <c r="E14999" s="275">
        <f t="shared" si="2371"/>
        <v>45901</v>
      </c>
      <c r="F14999" s="481"/>
      <c r="G14999" s="174" t="s">
        <v>74</v>
      </c>
      <c r="J14999" s="133" t="s">
        <v>13</v>
      </c>
      <c r="K14999" s="218"/>
      <c r="L14999" s="218">
        <v>7465730</v>
      </c>
    </row>
    <row r="15000" spans="1:17" ht="11.25" customHeight="1" x14ac:dyDescent="0.2">
      <c r="A15000" s="163">
        <v>2025</v>
      </c>
      <c r="B15000" s="163">
        <v>9</v>
      </c>
      <c r="C15000" s="163">
        <v>1</v>
      </c>
      <c r="D15000" s="280">
        <f t="shared" si="2370"/>
        <v>45901</v>
      </c>
      <c r="E15000" s="281">
        <f t="shared" si="2371"/>
        <v>45901</v>
      </c>
      <c r="F15000" s="480"/>
      <c r="G15000" s="221" t="s">
        <v>74</v>
      </c>
      <c r="H15000" s="145"/>
      <c r="I15000" s="145"/>
      <c r="J15000" s="163" t="s">
        <v>53</v>
      </c>
      <c r="K15000" s="219"/>
      <c r="L15000" s="219">
        <v>3534270</v>
      </c>
    </row>
    <row r="15001" spans="1:17" ht="11.25" customHeight="1" x14ac:dyDescent="0.2">
      <c r="A15001" s="168">
        <v>2025</v>
      </c>
      <c r="B15001" s="168">
        <v>9</v>
      </c>
      <c r="C15001" s="133">
        <v>1</v>
      </c>
      <c r="D15001" s="141">
        <f t="shared" si="2364"/>
        <v>45901</v>
      </c>
      <c r="E15001" s="275">
        <f t="shared" si="2365"/>
        <v>45901</v>
      </c>
      <c r="F15001" s="479" t="s">
        <v>2113</v>
      </c>
      <c r="G15001" s="220" t="s">
        <v>94</v>
      </c>
      <c r="H15001" s="220"/>
      <c r="I15001" s="142"/>
      <c r="J15001" s="143" t="s">
        <v>79</v>
      </c>
      <c r="K15001" s="226">
        <v>779086.8</v>
      </c>
      <c r="L15001" s="226"/>
      <c r="M15001" s="160"/>
    </row>
    <row r="15002" spans="1:17" x14ac:dyDescent="0.2">
      <c r="A15002" s="133">
        <v>2025</v>
      </c>
      <c r="B15002" s="133">
        <v>9</v>
      </c>
      <c r="C15002" s="133">
        <v>1</v>
      </c>
      <c r="D15002" s="141">
        <f t="shared" si="2364"/>
        <v>45901</v>
      </c>
      <c r="E15002" s="275">
        <f t="shared" si="2365"/>
        <v>45901</v>
      </c>
      <c r="F15002" s="481"/>
      <c r="G15002" s="174" t="s">
        <v>94</v>
      </c>
      <c r="H15002" s="174"/>
      <c r="J15002" s="149" t="s">
        <v>80</v>
      </c>
      <c r="K15002" s="218">
        <v>1402.36</v>
      </c>
      <c r="L15002" s="133"/>
    </row>
    <row r="15003" spans="1:17" x14ac:dyDescent="0.2">
      <c r="A15003" s="163">
        <v>2025</v>
      </c>
      <c r="B15003" s="163">
        <v>9</v>
      </c>
      <c r="C15003" s="163">
        <v>1</v>
      </c>
      <c r="D15003" s="280">
        <f t="shared" si="2364"/>
        <v>45901</v>
      </c>
      <c r="E15003" s="281">
        <f t="shared" si="2365"/>
        <v>45901</v>
      </c>
      <c r="F15003" s="480"/>
      <c r="G15003" s="221" t="s">
        <v>94</v>
      </c>
      <c r="H15003" s="221"/>
      <c r="I15003" s="145"/>
      <c r="J15003" s="146" t="s">
        <v>147</v>
      </c>
      <c r="K15003" s="219"/>
      <c r="L15003" s="219">
        <v>780489.16</v>
      </c>
    </row>
    <row r="15004" spans="1:17" ht="11.25" customHeight="1" x14ac:dyDescent="0.2">
      <c r="A15004" s="168">
        <v>2025</v>
      </c>
      <c r="B15004" s="168">
        <v>9</v>
      </c>
      <c r="C15004" s="133">
        <v>1</v>
      </c>
      <c r="D15004" s="141">
        <f t="shared" ref="D15004:D15006" si="2372">DATE(A15004,B15004,C15004)</f>
        <v>45901</v>
      </c>
      <c r="E15004" s="275">
        <f t="shared" ref="E15004:E15006" si="2373">DATE(A15004,B15004,C15004)</f>
        <v>45901</v>
      </c>
      <c r="F15004" s="479" t="s">
        <v>2108</v>
      </c>
      <c r="G15004" s="220" t="s">
        <v>94</v>
      </c>
      <c r="H15004" s="220"/>
      <c r="I15004" s="142"/>
      <c r="J15004" s="143" t="s">
        <v>79</v>
      </c>
      <c r="K15004" s="226">
        <v>120600</v>
      </c>
      <c r="L15004" s="226"/>
      <c r="M15004" s="160"/>
    </row>
    <row r="15005" spans="1:17" x14ac:dyDescent="0.2">
      <c r="A15005" s="133">
        <v>2025</v>
      </c>
      <c r="B15005" s="133">
        <v>9</v>
      </c>
      <c r="C15005" s="133">
        <v>1</v>
      </c>
      <c r="D15005" s="141">
        <f t="shared" si="2372"/>
        <v>45901</v>
      </c>
      <c r="E15005" s="275">
        <f t="shared" si="2373"/>
        <v>45901</v>
      </c>
      <c r="F15005" s="481"/>
      <c r="G15005" s="174" t="s">
        <v>94</v>
      </c>
      <c r="H15005" s="174"/>
      <c r="J15005" s="149" t="s">
        <v>80</v>
      </c>
      <c r="K15005" s="218">
        <v>217.08</v>
      </c>
      <c r="L15005" s="133"/>
    </row>
    <row r="15006" spans="1:17" x14ac:dyDescent="0.2">
      <c r="A15006" s="163">
        <v>2025</v>
      </c>
      <c r="B15006" s="163">
        <v>9</v>
      </c>
      <c r="C15006" s="163">
        <v>1</v>
      </c>
      <c r="D15006" s="280">
        <f t="shared" si="2372"/>
        <v>45901</v>
      </c>
      <c r="E15006" s="281">
        <f t="shared" si="2373"/>
        <v>45901</v>
      </c>
      <c r="F15006" s="480"/>
      <c r="G15006" s="221" t="s">
        <v>94</v>
      </c>
      <c r="H15006" s="221"/>
      <c r="I15006" s="145"/>
      <c r="J15006" s="146" t="s">
        <v>147</v>
      </c>
      <c r="K15006" s="219"/>
      <c r="L15006" s="219">
        <v>120817.08</v>
      </c>
    </row>
    <row r="15007" spans="1:17" x14ac:dyDescent="0.2">
      <c r="A15007" s="168">
        <v>2025</v>
      </c>
      <c r="B15007" s="133">
        <v>9</v>
      </c>
      <c r="C15007" s="168">
        <v>1</v>
      </c>
      <c r="D15007" s="147">
        <f>DATE(A15007,B15007,C15007)</f>
        <v>45901</v>
      </c>
      <c r="E15007" s="311">
        <f>DATE(A15007,B15007,C15007)</f>
        <v>45901</v>
      </c>
      <c r="F15007" s="481" t="s">
        <v>1956</v>
      </c>
      <c r="G15007" s="174" t="s">
        <v>74</v>
      </c>
      <c r="I15007" s="148" t="s">
        <v>348</v>
      </c>
      <c r="J15007" s="133" t="s">
        <v>61</v>
      </c>
      <c r="K15007" s="172">
        <v>25</v>
      </c>
    </row>
    <row r="15008" spans="1:17" x14ac:dyDescent="0.2">
      <c r="A15008" s="163">
        <v>2025</v>
      </c>
      <c r="B15008" s="163">
        <v>9</v>
      </c>
      <c r="C15008" s="163">
        <v>1</v>
      </c>
      <c r="D15008" s="280">
        <f>DATE(A15008,B15008,C15008)</f>
        <v>45901</v>
      </c>
      <c r="E15008" s="281">
        <f>DATE(A15008,B15008,C15008)</f>
        <v>45901</v>
      </c>
      <c r="F15008" s="480"/>
      <c r="G15008" s="221" t="s">
        <v>74</v>
      </c>
      <c r="H15008" s="145"/>
      <c r="I15008" s="145" t="s">
        <v>348</v>
      </c>
      <c r="J15008" s="163" t="s">
        <v>52</v>
      </c>
      <c r="K15008" s="219"/>
      <c r="L15008" s="219">
        <f>K15007</f>
        <v>25</v>
      </c>
    </row>
    <row r="15009" spans="1:17" ht="11.25" customHeight="1" x14ac:dyDescent="0.2">
      <c r="A15009" s="168">
        <v>2025</v>
      </c>
      <c r="B15009" s="133">
        <v>9</v>
      </c>
      <c r="C15009" s="168">
        <v>1</v>
      </c>
      <c r="D15009" s="141">
        <f t="shared" ref="D15009:D15010" si="2374">DATE(A15009,B15009,C15009)</f>
        <v>45901</v>
      </c>
      <c r="E15009" s="275">
        <f t="shared" ref="E15009:E15010" si="2375">DATE(A15009,B15009,C15009)</f>
        <v>45901</v>
      </c>
      <c r="F15009" s="479" t="s">
        <v>2117</v>
      </c>
      <c r="G15009" s="220" t="s">
        <v>74</v>
      </c>
      <c r="H15009" s="220"/>
      <c r="I15009" s="142"/>
      <c r="J15009" s="143" t="s">
        <v>147</v>
      </c>
      <c r="K15009" s="226">
        <v>704966.66</v>
      </c>
      <c r="L15009" s="226"/>
    </row>
    <row r="15010" spans="1:17" x14ac:dyDescent="0.2">
      <c r="A15010" s="163">
        <v>2025</v>
      </c>
      <c r="B15010" s="163">
        <v>9</v>
      </c>
      <c r="C15010" s="163">
        <v>1</v>
      </c>
      <c r="D15010" s="280">
        <f t="shared" si="2374"/>
        <v>45901</v>
      </c>
      <c r="E15010" s="281">
        <f t="shared" si="2375"/>
        <v>45901</v>
      </c>
      <c r="F15010" s="480"/>
      <c r="G15010" s="221" t="s">
        <v>74</v>
      </c>
      <c r="H15010" s="221"/>
      <c r="I15010" s="145"/>
      <c r="J15010" s="146" t="s">
        <v>52</v>
      </c>
      <c r="K15010" s="219"/>
      <c r="L15010" s="219">
        <f>K15009</f>
        <v>704966.66</v>
      </c>
      <c r="N15010" s="264"/>
    </row>
    <row r="15011" spans="1:17" x14ac:dyDescent="0.2">
      <c r="A15011" s="168">
        <v>2025</v>
      </c>
      <c r="B15011" s="133">
        <v>9</v>
      </c>
      <c r="C15011" s="168">
        <v>1</v>
      </c>
      <c r="D15011" s="147">
        <f>DATE(A15011,B15011,C15011)</f>
        <v>45901</v>
      </c>
      <c r="E15011" s="311">
        <f>DATE(A15011,B15011,C15011)</f>
        <v>45901</v>
      </c>
      <c r="F15011" s="481" t="s">
        <v>1943</v>
      </c>
      <c r="G15011" s="174" t="s">
        <v>74</v>
      </c>
      <c r="I15011" s="148" t="s">
        <v>348</v>
      </c>
      <c r="J15011" s="133" t="s">
        <v>61</v>
      </c>
      <c r="K15011" s="172">
        <v>100</v>
      </c>
    </row>
    <row r="15012" spans="1:17" x14ac:dyDescent="0.2">
      <c r="A15012" s="163">
        <v>2025</v>
      </c>
      <c r="B15012" s="163">
        <v>9</v>
      </c>
      <c r="C15012" s="163">
        <v>1</v>
      </c>
      <c r="D15012" s="280">
        <f>DATE(A15012,B15012,C15012)</f>
        <v>45901</v>
      </c>
      <c r="E15012" s="281">
        <f>DATE(A15012,B15012,C15012)</f>
        <v>45901</v>
      </c>
      <c r="F15012" s="480"/>
      <c r="G15012" s="221" t="s">
        <v>74</v>
      </c>
      <c r="H15012" s="145"/>
      <c r="I15012" s="145" t="s">
        <v>348</v>
      </c>
      <c r="J15012" s="163" t="s">
        <v>52</v>
      </c>
      <c r="K15012" s="219"/>
      <c r="L15012" s="219">
        <f>K15011</f>
        <v>100</v>
      </c>
    </row>
    <row r="15013" spans="1:17" x14ac:dyDescent="0.2">
      <c r="A15013" s="133">
        <v>2025</v>
      </c>
      <c r="B15013" s="133">
        <v>9</v>
      </c>
      <c r="C15013" s="168">
        <v>1</v>
      </c>
      <c r="D15013" s="141">
        <f t="shared" ref="D15013:D15018" si="2376">DATE(A15013,B15013,C15013)</f>
        <v>45901</v>
      </c>
      <c r="E15013" s="275">
        <f t="shared" ref="E15013:E15018" si="2377">DATE(A15013,B15013,C15013)</f>
        <v>45901</v>
      </c>
      <c r="F15013" s="479" t="s">
        <v>1972</v>
      </c>
      <c r="G15013" s="174" t="s">
        <v>74</v>
      </c>
      <c r="H15013" s="174"/>
      <c r="I15013" s="148" t="s">
        <v>348</v>
      </c>
      <c r="J15013" s="143" t="s">
        <v>1805</v>
      </c>
      <c r="K15013" s="218">
        <v>9960589.5099999998</v>
      </c>
      <c r="L15013" s="218"/>
      <c r="M15013" s="147"/>
      <c r="Q15013" s="133" t="s">
        <v>348</v>
      </c>
    </row>
    <row r="15014" spans="1:17" x14ac:dyDescent="0.2">
      <c r="A15014" s="163">
        <v>2025</v>
      </c>
      <c r="B15014" s="163">
        <v>9</v>
      </c>
      <c r="C15014" s="163">
        <v>1</v>
      </c>
      <c r="D15014" s="280">
        <f t="shared" si="2376"/>
        <v>45901</v>
      </c>
      <c r="E15014" s="281">
        <f t="shared" si="2377"/>
        <v>45901</v>
      </c>
      <c r="F15014" s="480"/>
      <c r="G15014" s="221" t="s">
        <v>74</v>
      </c>
      <c r="H15014" s="221"/>
      <c r="I15014" s="145"/>
      <c r="J15014" s="146" t="s">
        <v>52</v>
      </c>
      <c r="K15014" s="219"/>
      <c r="L15014" s="219">
        <v>9960589.5099999998</v>
      </c>
      <c r="M15014" s="147"/>
      <c r="Q15014" s="133" t="s">
        <v>348</v>
      </c>
    </row>
    <row r="15015" spans="1:17" ht="11.25" customHeight="1" x14ac:dyDescent="0.2">
      <c r="A15015" s="168">
        <v>2025</v>
      </c>
      <c r="B15015" s="133">
        <v>9</v>
      </c>
      <c r="C15015" s="168">
        <v>1</v>
      </c>
      <c r="D15015" s="141">
        <f t="shared" si="2376"/>
        <v>45901</v>
      </c>
      <c r="E15015" s="275">
        <f t="shared" si="2377"/>
        <v>45901</v>
      </c>
      <c r="F15015" s="479" t="s">
        <v>2037</v>
      </c>
      <c r="G15015" s="220" t="s">
        <v>74</v>
      </c>
      <c r="H15015" s="220"/>
      <c r="I15015" s="142"/>
      <c r="J15015" s="143" t="s">
        <v>52</v>
      </c>
      <c r="K15015" s="226">
        <v>629588.46</v>
      </c>
      <c r="L15015" s="226"/>
    </row>
    <row r="15016" spans="1:17" x14ac:dyDescent="0.2">
      <c r="A15016" s="163">
        <v>2025</v>
      </c>
      <c r="B15016" s="163">
        <v>9</v>
      </c>
      <c r="C15016" s="163">
        <v>1</v>
      </c>
      <c r="D15016" s="280">
        <f t="shared" si="2376"/>
        <v>45901</v>
      </c>
      <c r="E15016" s="281">
        <f t="shared" si="2377"/>
        <v>45901</v>
      </c>
      <c r="F15016" s="480"/>
      <c r="G15016" s="221" t="s">
        <v>74</v>
      </c>
      <c r="H15016" s="221"/>
      <c r="I15016" s="145"/>
      <c r="J15016" s="146" t="s">
        <v>190</v>
      </c>
      <c r="K15016" s="219"/>
      <c r="L15016" s="219">
        <f>K15015</f>
        <v>629588.46</v>
      </c>
      <c r="N15016" s="264"/>
    </row>
    <row r="15017" spans="1:17" ht="11.25" customHeight="1" x14ac:dyDescent="0.2">
      <c r="A15017" s="168">
        <v>2025</v>
      </c>
      <c r="B15017" s="133">
        <v>9</v>
      </c>
      <c r="C15017" s="168">
        <v>2</v>
      </c>
      <c r="D15017" s="141">
        <f t="shared" si="2376"/>
        <v>45902</v>
      </c>
      <c r="E15017" s="275">
        <f t="shared" si="2377"/>
        <v>45902</v>
      </c>
      <c r="F15017" s="479" t="s">
        <v>2116</v>
      </c>
      <c r="G15017" s="220" t="s">
        <v>74</v>
      </c>
      <c r="H15017" s="220"/>
      <c r="I15017" s="142"/>
      <c r="J15017" s="143" t="s">
        <v>147</v>
      </c>
      <c r="K15017" s="226">
        <v>470723.9</v>
      </c>
      <c r="L15017" s="226"/>
    </row>
    <row r="15018" spans="1:17" x14ac:dyDescent="0.2">
      <c r="A15018" s="163">
        <v>2025</v>
      </c>
      <c r="B15018" s="163">
        <v>9</v>
      </c>
      <c r="C15018" s="163">
        <v>2</v>
      </c>
      <c r="D15018" s="280">
        <f t="shared" si="2376"/>
        <v>45902</v>
      </c>
      <c r="E15018" s="281">
        <f t="shared" si="2377"/>
        <v>45902</v>
      </c>
      <c r="F15018" s="480"/>
      <c r="G15018" s="221" t="s">
        <v>74</v>
      </c>
      <c r="H15018" s="221"/>
      <c r="I15018" s="145"/>
      <c r="J15018" s="146" t="s">
        <v>52</v>
      </c>
      <c r="K15018" s="219"/>
      <c r="L15018" s="219">
        <f>K15017</f>
        <v>470723.9</v>
      </c>
      <c r="N15018" s="264"/>
    </row>
    <row r="15019" spans="1:17" ht="11.25" customHeight="1" x14ac:dyDescent="0.2">
      <c r="A15019" s="168">
        <v>2025</v>
      </c>
      <c r="B15019" s="133">
        <v>9</v>
      </c>
      <c r="C15019" s="168">
        <v>2</v>
      </c>
      <c r="D15019" s="141">
        <f t="shared" ref="D15019:D15020" si="2378">DATE(A15019,B15019,C15019)</f>
        <v>45902</v>
      </c>
      <c r="E15019" s="275">
        <f t="shared" ref="E15019:E15020" si="2379">DATE(A15019,B15019,C15019)</f>
        <v>45902</v>
      </c>
      <c r="F15019" s="479" t="s">
        <v>2116</v>
      </c>
      <c r="G15019" s="220" t="s">
        <v>74</v>
      </c>
      <c r="H15019" s="220"/>
      <c r="I15019" s="142"/>
      <c r="J15019" s="143" t="s">
        <v>147</v>
      </c>
      <c r="K15019" s="226">
        <v>10355602.189999999</v>
      </c>
      <c r="L15019" s="226"/>
    </row>
    <row r="15020" spans="1:17" x14ac:dyDescent="0.2">
      <c r="A15020" s="163">
        <v>2025</v>
      </c>
      <c r="B15020" s="163">
        <v>9</v>
      </c>
      <c r="C15020" s="163">
        <v>2</v>
      </c>
      <c r="D15020" s="280">
        <f t="shared" si="2378"/>
        <v>45902</v>
      </c>
      <c r="E15020" s="281">
        <f t="shared" si="2379"/>
        <v>45902</v>
      </c>
      <c r="F15020" s="480"/>
      <c r="G15020" s="221" t="s">
        <v>74</v>
      </c>
      <c r="H15020" s="221"/>
      <c r="I15020" s="145"/>
      <c r="J15020" s="146" t="s">
        <v>52</v>
      </c>
      <c r="K15020" s="219"/>
      <c r="L15020" s="219">
        <f>K15019</f>
        <v>10355602.189999999</v>
      </c>
      <c r="N15020" s="264"/>
    </row>
    <row r="15021" spans="1:17" ht="11.25" customHeight="1" x14ac:dyDescent="0.2">
      <c r="A15021" s="168">
        <v>2025</v>
      </c>
      <c r="B15021" s="168">
        <v>9</v>
      </c>
      <c r="C15021" s="133">
        <v>2</v>
      </c>
      <c r="D15021" s="141">
        <f>DATE(A15021,B15021,C15021)</f>
        <v>45902</v>
      </c>
      <c r="E15021" s="275">
        <f>DATE(A15021,B15021,C15021)</f>
        <v>45902</v>
      </c>
      <c r="F15021" s="481" t="s">
        <v>1989</v>
      </c>
      <c r="G15021" s="174" t="s">
        <v>74</v>
      </c>
      <c r="H15021" s="174"/>
      <c r="I15021" s="148" t="s">
        <v>348</v>
      </c>
      <c r="J15021" s="149" t="s">
        <v>52</v>
      </c>
      <c r="K15021" s="218">
        <v>10239477.380000001</v>
      </c>
      <c r="L15021" s="218"/>
      <c r="M15021" s="147"/>
      <c r="Q15021" s="133" t="s">
        <v>348</v>
      </c>
    </row>
    <row r="15022" spans="1:17" x14ac:dyDescent="0.2">
      <c r="A15022" s="133">
        <v>2025</v>
      </c>
      <c r="B15022" s="133">
        <v>9</v>
      </c>
      <c r="C15022" s="133">
        <v>2</v>
      </c>
      <c r="D15022" s="141">
        <f t="shared" ref="D15022" si="2380">DATE(A15022,B15022,C15022)</f>
        <v>45902</v>
      </c>
      <c r="E15022" s="275">
        <f t="shared" ref="E15022" si="2381">DATE(A15022,B15022,C15022)</f>
        <v>45902</v>
      </c>
      <c r="F15022" s="481"/>
      <c r="G15022" s="174" t="s">
        <v>74</v>
      </c>
      <c r="H15022" s="174"/>
      <c r="J15022" s="149" t="s">
        <v>1810</v>
      </c>
      <c r="K15022" s="218"/>
      <c r="L15022" s="218">
        <v>278887.87000000104</v>
      </c>
      <c r="M15022" s="147"/>
    </row>
    <row r="15023" spans="1:17" x14ac:dyDescent="0.2">
      <c r="A15023" s="163">
        <v>2025</v>
      </c>
      <c r="B15023" s="163">
        <v>9</v>
      </c>
      <c r="C15023" s="163">
        <v>2</v>
      </c>
      <c r="D15023" s="280">
        <f>DATE(A15023,B15023,C15023)</f>
        <v>45902</v>
      </c>
      <c r="E15023" s="281">
        <f>DATE(A15023,B15023,C15023)</f>
        <v>45902</v>
      </c>
      <c r="F15023" s="480"/>
      <c r="G15023" s="221" t="s">
        <v>74</v>
      </c>
      <c r="H15023" s="221"/>
      <c r="I15023" s="145"/>
      <c r="J15023" s="146" t="s">
        <v>1805</v>
      </c>
      <c r="K15023" s="219"/>
      <c r="L15023" s="219">
        <v>9960589.5099999998</v>
      </c>
      <c r="M15023" s="147"/>
      <c r="Q15023" s="133" t="s">
        <v>348</v>
      </c>
    </row>
    <row r="15024" spans="1:17" ht="11.25" customHeight="1" x14ac:dyDescent="0.2">
      <c r="A15024" s="168">
        <v>2025</v>
      </c>
      <c r="B15024" s="133">
        <v>9</v>
      </c>
      <c r="C15024" s="168">
        <v>2</v>
      </c>
      <c r="D15024" s="141">
        <f t="shared" ref="D15024:D15025" si="2382">DATE(A15024,B15024,C15024)</f>
        <v>45902</v>
      </c>
      <c r="E15024" s="275">
        <f t="shared" ref="E15024:E15025" si="2383">DATE(A15024,B15024,C15024)</f>
        <v>45902</v>
      </c>
      <c r="F15024" s="479" t="s">
        <v>2116</v>
      </c>
      <c r="G15024" s="220" t="s">
        <v>74</v>
      </c>
      <c r="H15024" s="220"/>
      <c r="I15024" s="142"/>
      <c r="J15024" s="143" t="s">
        <v>147</v>
      </c>
      <c r="K15024" s="226">
        <v>780489.16</v>
      </c>
      <c r="L15024" s="226"/>
    </row>
    <row r="15025" spans="1:14" x14ac:dyDescent="0.2">
      <c r="A15025" s="163">
        <v>2025</v>
      </c>
      <c r="B15025" s="163">
        <v>9</v>
      </c>
      <c r="C15025" s="163">
        <v>2</v>
      </c>
      <c r="D15025" s="280">
        <f t="shared" si="2382"/>
        <v>45902</v>
      </c>
      <c r="E15025" s="281">
        <f t="shared" si="2383"/>
        <v>45902</v>
      </c>
      <c r="F15025" s="480"/>
      <c r="G15025" s="221" t="s">
        <v>74</v>
      </c>
      <c r="H15025" s="221"/>
      <c r="I15025" s="145"/>
      <c r="J15025" s="146" t="s">
        <v>52</v>
      </c>
      <c r="K15025" s="219"/>
      <c r="L15025" s="219">
        <f>K15024</f>
        <v>780489.16</v>
      </c>
      <c r="N15025" s="264"/>
    </row>
    <row r="15026" spans="1:14" ht="11.25" customHeight="1" x14ac:dyDescent="0.2">
      <c r="A15026" s="168">
        <v>2025</v>
      </c>
      <c r="B15026" s="133">
        <v>9</v>
      </c>
      <c r="C15026" s="168">
        <v>2</v>
      </c>
      <c r="D15026" s="141">
        <f t="shared" ref="D15026:D15027" si="2384">DATE(A15026,B15026,C15026)</f>
        <v>45902</v>
      </c>
      <c r="E15026" s="275">
        <f t="shared" ref="E15026:E15027" si="2385">DATE(A15026,B15026,C15026)</f>
        <v>45902</v>
      </c>
      <c r="F15026" s="479" t="s">
        <v>2074</v>
      </c>
      <c r="G15026" s="220" t="s">
        <v>74</v>
      </c>
      <c r="H15026" s="220"/>
      <c r="I15026" s="142"/>
      <c r="J15026" s="143" t="s">
        <v>147</v>
      </c>
      <c r="K15026" s="226">
        <v>120817.08</v>
      </c>
      <c r="L15026" s="226"/>
    </row>
    <row r="15027" spans="1:14" x14ac:dyDescent="0.2">
      <c r="A15027" s="163">
        <v>2025</v>
      </c>
      <c r="B15027" s="163">
        <v>9</v>
      </c>
      <c r="C15027" s="163">
        <v>2</v>
      </c>
      <c r="D15027" s="280">
        <f t="shared" si="2384"/>
        <v>45902</v>
      </c>
      <c r="E15027" s="281">
        <f t="shared" si="2385"/>
        <v>45902</v>
      </c>
      <c r="F15027" s="480"/>
      <c r="G15027" s="221" t="s">
        <v>74</v>
      </c>
      <c r="H15027" s="221"/>
      <c r="I15027" s="145"/>
      <c r="J15027" s="146" t="s">
        <v>52</v>
      </c>
      <c r="K15027" s="219"/>
      <c r="L15027" s="219">
        <f>K15026</f>
        <v>120817.08</v>
      </c>
      <c r="N15027" s="264"/>
    </row>
    <row r="15028" spans="1:14" x14ac:dyDescent="0.2">
      <c r="A15028" s="168">
        <v>2025</v>
      </c>
      <c r="B15028" s="133">
        <v>9</v>
      </c>
      <c r="C15028" s="168">
        <v>2</v>
      </c>
      <c r="D15028" s="147">
        <f>DATE(A15028,B15028,C15028)</f>
        <v>45902</v>
      </c>
      <c r="E15028" s="311">
        <f>DATE(A15028,B15028,C15028)</f>
        <v>45902</v>
      </c>
      <c r="F15028" s="481" t="s">
        <v>1943</v>
      </c>
      <c r="G15028" s="174" t="s">
        <v>74</v>
      </c>
      <c r="I15028" s="148" t="s">
        <v>348</v>
      </c>
      <c r="J15028" s="133" t="s">
        <v>61</v>
      </c>
      <c r="K15028" s="172">
        <v>158</v>
      </c>
    </row>
    <row r="15029" spans="1:14" x14ac:dyDescent="0.2">
      <c r="A15029" s="163">
        <v>2025</v>
      </c>
      <c r="B15029" s="163">
        <v>9</v>
      </c>
      <c r="C15029" s="163">
        <v>2</v>
      </c>
      <c r="D15029" s="280">
        <f>DATE(A15029,B15029,C15029)</f>
        <v>45902</v>
      </c>
      <c r="E15029" s="281">
        <f>DATE(A15029,B15029,C15029)</f>
        <v>45902</v>
      </c>
      <c r="F15029" s="480"/>
      <c r="G15029" s="221" t="s">
        <v>74</v>
      </c>
      <c r="H15029" s="145"/>
      <c r="I15029" s="145" t="s">
        <v>348</v>
      </c>
      <c r="J15029" s="163" t="s">
        <v>52</v>
      </c>
      <c r="K15029" s="219"/>
      <c r="L15029" s="219">
        <f>K15028</f>
        <v>158</v>
      </c>
    </row>
    <row r="15030" spans="1:14" ht="11.25" customHeight="1" x14ac:dyDescent="0.2">
      <c r="A15030" s="168">
        <v>2025</v>
      </c>
      <c r="B15030" s="168">
        <v>9</v>
      </c>
      <c r="C15030" s="133">
        <v>2</v>
      </c>
      <c r="D15030" s="141">
        <f t="shared" ref="D15030:D15041" si="2386">DATE(A15030,B15030,C15030)</f>
        <v>45902</v>
      </c>
      <c r="E15030" s="275">
        <f t="shared" ref="E15030:E15041" si="2387">DATE(A15030,B15030,C15030)</f>
        <v>45902</v>
      </c>
      <c r="F15030" s="479" t="s">
        <v>2108</v>
      </c>
      <c r="G15030" s="220" t="s">
        <v>94</v>
      </c>
      <c r="H15030" s="220"/>
      <c r="I15030" s="142"/>
      <c r="J15030" s="143" t="s">
        <v>79</v>
      </c>
      <c r="K15030" s="226">
        <v>690414</v>
      </c>
      <c r="L15030" s="226"/>
      <c r="M15030" s="160"/>
    </row>
    <row r="15031" spans="1:14" x14ac:dyDescent="0.2">
      <c r="A15031" s="133">
        <v>2025</v>
      </c>
      <c r="B15031" s="133">
        <v>9</v>
      </c>
      <c r="C15031" s="133">
        <v>2</v>
      </c>
      <c r="D15031" s="141">
        <f t="shared" si="2386"/>
        <v>45902</v>
      </c>
      <c r="E15031" s="275">
        <f t="shared" si="2387"/>
        <v>45902</v>
      </c>
      <c r="F15031" s="481"/>
      <c r="G15031" s="174" t="s">
        <v>94</v>
      </c>
      <c r="H15031" s="174"/>
      <c r="J15031" s="149" t="s">
        <v>80</v>
      </c>
      <c r="K15031" s="218">
        <v>1242.75</v>
      </c>
      <c r="L15031" s="133"/>
    </row>
    <row r="15032" spans="1:14" x14ac:dyDescent="0.2">
      <c r="A15032" s="163">
        <v>2025</v>
      </c>
      <c r="B15032" s="163">
        <v>9</v>
      </c>
      <c r="C15032" s="163">
        <v>2</v>
      </c>
      <c r="D15032" s="280">
        <f t="shared" si="2386"/>
        <v>45902</v>
      </c>
      <c r="E15032" s="281">
        <f t="shared" si="2387"/>
        <v>45902</v>
      </c>
      <c r="F15032" s="480"/>
      <c r="G15032" s="221" t="s">
        <v>94</v>
      </c>
      <c r="H15032" s="221"/>
      <c r="I15032" s="145"/>
      <c r="J15032" s="146" t="s">
        <v>147</v>
      </c>
      <c r="K15032" s="219"/>
      <c r="L15032" s="219">
        <v>691656.75</v>
      </c>
    </row>
    <row r="15033" spans="1:14" ht="11.25" customHeight="1" x14ac:dyDescent="0.2">
      <c r="A15033" s="168">
        <v>2025</v>
      </c>
      <c r="B15033" s="168">
        <v>9</v>
      </c>
      <c r="C15033" s="133">
        <v>2</v>
      </c>
      <c r="D15033" s="141">
        <f t="shared" si="2386"/>
        <v>45902</v>
      </c>
      <c r="E15033" s="275">
        <f t="shared" si="2387"/>
        <v>45902</v>
      </c>
      <c r="F15033" s="479" t="s">
        <v>2113</v>
      </c>
      <c r="G15033" s="220" t="s">
        <v>94</v>
      </c>
      <c r="H15033" s="220"/>
      <c r="I15033" s="142"/>
      <c r="J15033" s="143" t="s">
        <v>79</v>
      </c>
      <c r="K15033" s="226">
        <v>1754147.9</v>
      </c>
      <c r="L15033" s="226"/>
      <c r="M15033" s="160"/>
    </row>
    <row r="15034" spans="1:14" x14ac:dyDescent="0.2">
      <c r="A15034" s="133">
        <v>2025</v>
      </c>
      <c r="B15034" s="133">
        <v>9</v>
      </c>
      <c r="C15034" s="133">
        <v>2</v>
      </c>
      <c r="D15034" s="141">
        <f t="shared" si="2386"/>
        <v>45902</v>
      </c>
      <c r="E15034" s="275">
        <f t="shared" si="2387"/>
        <v>45902</v>
      </c>
      <c r="F15034" s="481"/>
      <c r="G15034" s="174" t="s">
        <v>94</v>
      </c>
      <c r="H15034" s="174"/>
      <c r="J15034" s="149" t="s">
        <v>80</v>
      </c>
      <c r="K15034" s="218">
        <v>3157.46</v>
      </c>
      <c r="L15034" s="133"/>
    </row>
    <row r="15035" spans="1:14" x14ac:dyDescent="0.2">
      <c r="A15035" s="163">
        <v>2025</v>
      </c>
      <c r="B15035" s="163">
        <v>9</v>
      </c>
      <c r="C15035" s="163">
        <v>2</v>
      </c>
      <c r="D15035" s="280">
        <f t="shared" si="2386"/>
        <v>45902</v>
      </c>
      <c r="E15035" s="281">
        <f t="shared" si="2387"/>
        <v>45902</v>
      </c>
      <c r="F15035" s="480"/>
      <c r="G15035" s="221" t="s">
        <v>94</v>
      </c>
      <c r="H15035" s="221"/>
      <c r="I15035" s="145"/>
      <c r="J15035" s="146" t="s">
        <v>147</v>
      </c>
      <c r="K15035" s="219"/>
      <c r="L15035" s="219">
        <v>1757305.37</v>
      </c>
    </row>
    <row r="15036" spans="1:14" x14ac:dyDescent="0.2">
      <c r="A15036" s="133">
        <v>2025</v>
      </c>
      <c r="B15036" s="168">
        <v>9</v>
      </c>
      <c r="C15036" s="133">
        <v>2</v>
      </c>
      <c r="D15036" s="141">
        <f t="shared" si="2386"/>
        <v>45902</v>
      </c>
      <c r="E15036" s="275">
        <f t="shared" si="2387"/>
        <v>45902</v>
      </c>
      <c r="F15036" s="479" t="s">
        <v>2118</v>
      </c>
      <c r="G15036" s="220" t="s">
        <v>74</v>
      </c>
      <c r="H15036" s="220"/>
      <c r="I15036" s="142" t="s">
        <v>348</v>
      </c>
      <c r="J15036" s="143" t="s">
        <v>322</v>
      </c>
      <c r="K15036" s="226">
        <f>L15037+L15038</f>
        <v>57581.95</v>
      </c>
      <c r="L15036" s="226"/>
    </row>
    <row r="15037" spans="1:14" x14ac:dyDescent="0.2">
      <c r="A15037" s="133">
        <v>2025</v>
      </c>
      <c r="B15037" s="133">
        <v>9</v>
      </c>
      <c r="C15037" s="133">
        <v>2</v>
      </c>
      <c r="D15037" s="141">
        <f t="shared" si="2386"/>
        <v>45902</v>
      </c>
      <c r="E15037" s="275">
        <f t="shared" si="2387"/>
        <v>45902</v>
      </c>
      <c r="F15037" s="481"/>
      <c r="G15037" s="174" t="s">
        <v>74</v>
      </c>
      <c r="H15037" s="174"/>
      <c r="J15037" s="149" t="s">
        <v>534</v>
      </c>
      <c r="K15037" s="218"/>
      <c r="L15037" s="218">
        <v>5007.13</v>
      </c>
    </row>
    <row r="15038" spans="1:14" x14ac:dyDescent="0.2">
      <c r="A15038" s="163">
        <v>2025</v>
      </c>
      <c r="B15038" s="163">
        <v>9</v>
      </c>
      <c r="C15038" s="163">
        <v>2</v>
      </c>
      <c r="D15038" s="280">
        <f t="shared" si="2386"/>
        <v>45902</v>
      </c>
      <c r="E15038" s="281">
        <f t="shared" si="2387"/>
        <v>45902</v>
      </c>
      <c r="F15038" s="480"/>
      <c r="G15038" s="221" t="s">
        <v>74</v>
      </c>
      <c r="H15038" s="221"/>
      <c r="I15038" s="145" t="s">
        <v>348</v>
      </c>
      <c r="J15038" s="146" t="s">
        <v>52</v>
      </c>
      <c r="K15038" s="219"/>
      <c r="L15038" s="219">
        <v>52574.82</v>
      </c>
    </row>
    <row r="15039" spans="1:14" ht="11.25" customHeight="1" x14ac:dyDescent="0.2">
      <c r="A15039" s="168">
        <v>2025</v>
      </c>
      <c r="B15039" s="168">
        <v>9</v>
      </c>
      <c r="C15039" s="133">
        <v>3</v>
      </c>
      <c r="D15039" s="141">
        <f t="shared" si="2386"/>
        <v>45903</v>
      </c>
      <c r="E15039" s="275">
        <f t="shared" si="2387"/>
        <v>45903</v>
      </c>
      <c r="F15039" s="479" t="s">
        <v>964</v>
      </c>
      <c r="G15039" s="220" t="s">
        <v>74</v>
      </c>
      <c r="H15039" s="142"/>
      <c r="I15039" s="142"/>
      <c r="J15039" s="168" t="s">
        <v>52</v>
      </c>
      <c r="K15039" s="226">
        <v>795636</v>
      </c>
      <c r="L15039" s="226"/>
    </row>
    <row r="15040" spans="1:14" ht="11.25" customHeight="1" x14ac:dyDescent="0.2">
      <c r="A15040" s="133">
        <v>2025</v>
      </c>
      <c r="B15040" s="133">
        <v>9</v>
      </c>
      <c r="C15040" s="133">
        <v>3</v>
      </c>
      <c r="D15040" s="141">
        <f t="shared" si="2386"/>
        <v>45903</v>
      </c>
      <c r="E15040" s="275">
        <f t="shared" si="2387"/>
        <v>45903</v>
      </c>
      <c r="F15040" s="481"/>
      <c r="G15040" s="174" t="s">
        <v>74</v>
      </c>
      <c r="J15040" s="133" t="s">
        <v>13</v>
      </c>
      <c r="K15040" s="218"/>
      <c r="L15040" s="218">
        <v>540000</v>
      </c>
    </row>
    <row r="15041" spans="1:14" ht="11.25" customHeight="1" x14ac:dyDescent="0.2">
      <c r="A15041" s="163">
        <v>2025</v>
      </c>
      <c r="B15041" s="163">
        <v>9</v>
      </c>
      <c r="C15041" s="163">
        <v>3</v>
      </c>
      <c r="D15041" s="280">
        <f t="shared" si="2386"/>
        <v>45903</v>
      </c>
      <c r="E15041" s="281">
        <f t="shared" si="2387"/>
        <v>45903</v>
      </c>
      <c r="F15041" s="480"/>
      <c r="G15041" s="221" t="s">
        <v>74</v>
      </c>
      <c r="H15041" s="145"/>
      <c r="I15041" s="145"/>
      <c r="J15041" s="163" t="s">
        <v>53</v>
      </c>
      <c r="K15041" s="219"/>
      <c r="L15041" s="219">
        <v>255636</v>
      </c>
    </row>
    <row r="15042" spans="1:14" ht="11.25" customHeight="1" x14ac:dyDescent="0.2">
      <c r="A15042" s="168">
        <v>2025</v>
      </c>
      <c r="B15042" s="168">
        <v>9</v>
      </c>
      <c r="C15042" s="133">
        <v>3</v>
      </c>
      <c r="D15042" s="141">
        <f t="shared" ref="D15042:D15055" si="2388">DATE(A15042,B15042,C15042)</f>
        <v>45903</v>
      </c>
      <c r="E15042" s="275">
        <f t="shared" ref="E15042:E15055" si="2389">DATE(A15042,B15042,C15042)</f>
        <v>45903</v>
      </c>
      <c r="F15042" s="479" t="s">
        <v>964</v>
      </c>
      <c r="G15042" s="220" t="s">
        <v>74</v>
      </c>
      <c r="H15042" s="142"/>
      <c r="I15042" s="142"/>
      <c r="J15042" s="168" t="s">
        <v>52</v>
      </c>
      <c r="K15042" s="226">
        <v>1000000</v>
      </c>
      <c r="L15042" s="226"/>
    </row>
    <row r="15043" spans="1:14" ht="11.25" customHeight="1" x14ac:dyDescent="0.2">
      <c r="A15043" s="133">
        <v>2025</v>
      </c>
      <c r="B15043" s="133">
        <v>9</v>
      </c>
      <c r="C15043" s="133">
        <v>3</v>
      </c>
      <c r="D15043" s="141">
        <f t="shared" si="2388"/>
        <v>45903</v>
      </c>
      <c r="E15043" s="275">
        <f t="shared" si="2389"/>
        <v>45903</v>
      </c>
      <c r="F15043" s="481"/>
      <c r="G15043" s="174" t="s">
        <v>74</v>
      </c>
      <c r="J15043" s="133" t="s">
        <v>13</v>
      </c>
      <c r="K15043" s="218"/>
      <c r="L15043" s="218">
        <v>678700</v>
      </c>
    </row>
    <row r="15044" spans="1:14" ht="11.25" customHeight="1" x14ac:dyDescent="0.2">
      <c r="A15044" s="163">
        <v>2025</v>
      </c>
      <c r="B15044" s="163">
        <v>9</v>
      </c>
      <c r="C15044" s="163">
        <v>3</v>
      </c>
      <c r="D15044" s="280">
        <f t="shared" si="2388"/>
        <v>45903</v>
      </c>
      <c r="E15044" s="281">
        <f t="shared" si="2389"/>
        <v>45903</v>
      </c>
      <c r="F15044" s="480"/>
      <c r="G15044" s="221" t="s">
        <v>74</v>
      </c>
      <c r="H15044" s="145"/>
      <c r="I15044" s="145"/>
      <c r="J15044" s="163" t="s">
        <v>53</v>
      </c>
      <c r="K15044" s="219"/>
      <c r="L15044" s="219">
        <v>321300</v>
      </c>
    </row>
    <row r="15045" spans="1:14" x14ac:dyDescent="0.2">
      <c r="A15045" s="133">
        <v>2025</v>
      </c>
      <c r="B15045" s="133">
        <v>9</v>
      </c>
      <c r="C15045" s="133">
        <v>3</v>
      </c>
      <c r="D15045" s="141">
        <f t="shared" si="2388"/>
        <v>45903</v>
      </c>
      <c r="E15045" s="275">
        <f t="shared" si="2389"/>
        <v>45903</v>
      </c>
      <c r="F15045" s="481" t="s">
        <v>2073</v>
      </c>
      <c r="G15045" s="174" t="s">
        <v>94</v>
      </c>
      <c r="H15045" s="174"/>
      <c r="J15045" s="149" t="s">
        <v>79</v>
      </c>
      <c r="K15045" s="218">
        <v>946560</v>
      </c>
      <c r="L15045" s="218"/>
      <c r="M15045" s="160"/>
    </row>
    <row r="15046" spans="1:14" x14ac:dyDescent="0.2">
      <c r="A15046" s="133">
        <v>2025</v>
      </c>
      <c r="B15046" s="133">
        <v>9</v>
      </c>
      <c r="C15046" s="133">
        <v>3</v>
      </c>
      <c r="D15046" s="141">
        <f t="shared" si="2388"/>
        <v>45903</v>
      </c>
      <c r="E15046" s="275">
        <f t="shared" si="2389"/>
        <v>45903</v>
      </c>
      <c r="F15046" s="481"/>
      <c r="G15046" s="174" t="s">
        <v>94</v>
      </c>
      <c r="H15046" s="174"/>
      <c r="J15046" s="149" t="s">
        <v>80</v>
      </c>
      <c r="K15046" s="218">
        <v>1857.17</v>
      </c>
      <c r="L15046" s="264"/>
      <c r="M15046" s="264"/>
      <c r="N15046" s="264"/>
    </row>
    <row r="15047" spans="1:14" x14ac:dyDescent="0.2">
      <c r="A15047" s="133">
        <v>2025</v>
      </c>
      <c r="B15047" s="133">
        <v>9</v>
      </c>
      <c r="C15047" s="133">
        <v>3</v>
      </c>
      <c r="D15047" s="141">
        <f t="shared" si="2388"/>
        <v>45903</v>
      </c>
      <c r="E15047" s="275">
        <f t="shared" si="2389"/>
        <v>45903</v>
      </c>
      <c r="F15047" s="481"/>
      <c r="G15047" s="174" t="s">
        <v>94</v>
      </c>
      <c r="H15047" s="174"/>
      <c r="J15047" s="149" t="s">
        <v>147</v>
      </c>
      <c r="K15047" s="218"/>
      <c r="L15047" s="218">
        <v>863217.17</v>
      </c>
      <c r="M15047" s="264"/>
    </row>
    <row r="15048" spans="1:14" x14ac:dyDescent="0.2">
      <c r="A15048" s="133">
        <v>2025</v>
      </c>
      <c r="B15048" s="133">
        <v>9</v>
      </c>
      <c r="C15048" s="133">
        <v>3</v>
      </c>
      <c r="D15048" s="141">
        <f t="shared" si="2388"/>
        <v>45903</v>
      </c>
      <c r="E15048" s="275">
        <f t="shared" si="2389"/>
        <v>45903</v>
      </c>
      <c r="F15048" s="481"/>
      <c r="G15048" s="174" t="s">
        <v>94</v>
      </c>
      <c r="H15048" s="174"/>
      <c r="J15048" s="149" t="s">
        <v>191</v>
      </c>
      <c r="L15048" s="218">
        <v>6588.04</v>
      </c>
    </row>
    <row r="15049" spans="1:14" x14ac:dyDescent="0.2">
      <c r="A15049" s="163">
        <v>2025</v>
      </c>
      <c r="B15049" s="163">
        <v>9</v>
      </c>
      <c r="C15049" s="163">
        <v>3</v>
      </c>
      <c r="D15049" s="280">
        <f t="shared" si="2388"/>
        <v>45903</v>
      </c>
      <c r="E15049" s="281">
        <f t="shared" si="2389"/>
        <v>45903</v>
      </c>
      <c r="F15049" s="480"/>
      <c r="G15049" s="221" t="s">
        <v>94</v>
      </c>
      <c r="H15049" s="145"/>
      <c r="I15049" s="145"/>
      <c r="J15049" s="163" t="s">
        <v>79</v>
      </c>
      <c r="K15049" s="219"/>
      <c r="L15049" s="219">
        <v>78611.960000000006</v>
      </c>
      <c r="M15049" s="264"/>
    </row>
    <row r="15050" spans="1:14" ht="11.25" customHeight="1" x14ac:dyDescent="0.2">
      <c r="A15050" s="168">
        <v>2025</v>
      </c>
      <c r="B15050" s="168">
        <v>9</v>
      </c>
      <c r="C15050" s="133">
        <v>3</v>
      </c>
      <c r="D15050" s="141">
        <f t="shared" si="2388"/>
        <v>45903</v>
      </c>
      <c r="E15050" s="275">
        <f t="shared" si="2389"/>
        <v>45903</v>
      </c>
      <c r="F15050" s="479" t="s">
        <v>2113</v>
      </c>
      <c r="G15050" s="220" t="s">
        <v>94</v>
      </c>
      <c r="H15050" s="220"/>
      <c r="I15050" s="142"/>
      <c r="J15050" s="143" t="s">
        <v>79</v>
      </c>
      <c r="K15050" s="226">
        <v>5475622.4000000004</v>
      </c>
      <c r="L15050" s="226"/>
      <c r="M15050" s="160"/>
    </row>
    <row r="15051" spans="1:14" x14ac:dyDescent="0.2">
      <c r="A15051" s="133">
        <v>2025</v>
      </c>
      <c r="B15051" s="133">
        <v>9</v>
      </c>
      <c r="C15051" s="133">
        <v>3</v>
      </c>
      <c r="D15051" s="141">
        <f t="shared" si="2388"/>
        <v>45903</v>
      </c>
      <c r="E15051" s="275">
        <f t="shared" si="2389"/>
        <v>45903</v>
      </c>
      <c r="F15051" s="481"/>
      <c r="G15051" s="174" t="s">
        <v>94</v>
      </c>
      <c r="H15051" s="174"/>
      <c r="J15051" s="149" t="s">
        <v>80</v>
      </c>
      <c r="K15051" s="218">
        <v>9856.1200000000008</v>
      </c>
      <c r="L15051" s="133"/>
    </row>
    <row r="15052" spans="1:14" x14ac:dyDescent="0.2">
      <c r="A15052" s="163">
        <v>2025</v>
      </c>
      <c r="B15052" s="163">
        <v>9</v>
      </c>
      <c r="C15052" s="163">
        <v>3</v>
      </c>
      <c r="D15052" s="280">
        <f t="shared" si="2388"/>
        <v>45903</v>
      </c>
      <c r="E15052" s="281">
        <f t="shared" si="2389"/>
        <v>45903</v>
      </c>
      <c r="F15052" s="480"/>
      <c r="G15052" s="221" t="s">
        <v>94</v>
      </c>
      <c r="H15052" s="221"/>
      <c r="I15052" s="145"/>
      <c r="J15052" s="146" t="s">
        <v>147</v>
      </c>
      <c r="K15052" s="219"/>
      <c r="L15052" s="219">
        <v>5485478.5199999996</v>
      </c>
    </row>
    <row r="15053" spans="1:14" x14ac:dyDescent="0.2">
      <c r="A15053" s="133">
        <v>2025</v>
      </c>
      <c r="B15053" s="168">
        <v>9</v>
      </c>
      <c r="C15053" s="133">
        <v>3</v>
      </c>
      <c r="D15053" s="141">
        <f t="shared" si="2388"/>
        <v>45903</v>
      </c>
      <c r="E15053" s="275">
        <f t="shared" si="2389"/>
        <v>45903</v>
      </c>
      <c r="F15053" s="479" t="s">
        <v>362</v>
      </c>
      <c r="G15053" s="220" t="s">
        <v>74</v>
      </c>
      <c r="H15053" s="220"/>
      <c r="I15053" s="142" t="s">
        <v>348</v>
      </c>
      <c r="J15053" s="143" t="s">
        <v>104</v>
      </c>
      <c r="K15053" s="226">
        <v>16448.54</v>
      </c>
      <c r="L15053" s="226"/>
    </row>
    <row r="15054" spans="1:14" x14ac:dyDescent="0.2">
      <c r="A15054" s="133">
        <v>2025</v>
      </c>
      <c r="B15054" s="133">
        <v>9</v>
      </c>
      <c r="C15054" s="133">
        <v>3</v>
      </c>
      <c r="D15054" s="280">
        <f t="shared" si="2388"/>
        <v>45903</v>
      </c>
      <c r="E15054" s="281">
        <f t="shared" si="2389"/>
        <v>45903</v>
      </c>
      <c r="F15054" s="481"/>
      <c r="G15054" s="174" t="s">
        <v>74</v>
      </c>
      <c r="H15054" s="174"/>
      <c r="J15054" s="149" t="s">
        <v>534</v>
      </c>
      <c r="K15054" s="218"/>
      <c r="L15054" s="218">
        <v>1644.85</v>
      </c>
    </row>
    <row r="15055" spans="1:14" x14ac:dyDescent="0.2">
      <c r="A15055" s="163">
        <v>2025</v>
      </c>
      <c r="B15055" s="163">
        <v>9</v>
      </c>
      <c r="C15055" s="163">
        <v>3</v>
      </c>
      <c r="D15055" s="144">
        <f t="shared" si="2388"/>
        <v>45903</v>
      </c>
      <c r="E15055" s="313">
        <f t="shared" si="2389"/>
        <v>45903</v>
      </c>
      <c r="F15055" s="480"/>
      <c r="G15055" s="221" t="s">
        <v>74</v>
      </c>
      <c r="H15055" s="221"/>
      <c r="I15055" s="145" t="s">
        <v>348</v>
      </c>
      <c r="J15055" s="146" t="s">
        <v>52</v>
      </c>
      <c r="K15055" s="219"/>
      <c r="L15055" s="219">
        <v>14803.69</v>
      </c>
    </row>
    <row r="15056" spans="1:14" ht="11.25" customHeight="1" x14ac:dyDescent="0.2">
      <c r="A15056" s="168">
        <v>2025</v>
      </c>
      <c r="B15056" s="168">
        <v>9</v>
      </c>
      <c r="C15056" s="133">
        <v>4</v>
      </c>
      <c r="D15056" s="141">
        <f t="shared" ref="D15056:D15060" si="2390">DATE(A15056,B15056,C15056)</f>
        <v>45904</v>
      </c>
      <c r="E15056" s="275">
        <f t="shared" ref="E15056:E15060" si="2391">DATE(A15056,B15056,C15056)</f>
        <v>45904</v>
      </c>
      <c r="F15056" s="479" t="s">
        <v>2113</v>
      </c>
      <c r="G15056" s="220" t="s">
        <v>94</v>
      </c>
      <c r="H15056" s="220"/>
      <c r="I15056" s="142"/>
      <c r="J15056" s="143" t="s">
        <v>79</v>
      </c>
      <c r="K15056" s="226">
        <v>2332145</v>
      </c>
      <c r="L15056" s="226"/>
      <c r="M15056" s="160"/>
    </row>
    <row r="15057" spans="1:14" x14ac:dyDescent="0.2">
      <c r="A15057" s="133">
        <v>2025</v>
      </c>
      <c r="B15057" s="133">
        <v>9</v>
      </c>
      <c r="C15057" s="133">
        <v>4</v>
      </c>
      <c r="D15057" s="141">
        <f t="shared" si="2390"/>
        <v>45904</v>
      </c>
      <c r="E15057" s="275">
        <f t="shared" si="2391"/>
        <v>45904</v>
      </c>
      <c r="F15057" s="481"/>
      <c r="G15057" s="174" t="s">
        <v>94</v>
      </c>
      <c r="H15057" s="174"/>
      <c r="J15057" s="149" t="s">
        <v>80</v>
      </c>
      <c r="K15057" s="218">
        <v>4197.8599999999997</v>
      </c>
      <c r="L15057" s="133"/>
    </row>
    <row r="15058" spans="1:14" x14ac:dyDescent="0.2">
      <c r="A15058" s="163">
        <v>2025</v>
      </c>
      <c r="B15058" s="163">
        <v>9</v>
      </c>
      <c r="C15058" s="163">
        <v>4</v>
      </c>
      <c r="D15058" s="280">
        <f t="shared" si="2390"/>
        <v>45904</v>
      </c>
      <c r="E15058" s="281">
        <f t="shared" si="2391"/>
        <v>45904</v>
      </c>
      <c r="F15058" s="480"/>
      <c r="G15058" s="221" t="s">
        <v>94</v>
      </c>
      <c r="H15058" s="221"/>
      <c r="I15058" s="145"/>
      <c r="J15058" s="146" t="s">
        <v>147</v>
      </c>
      <c r="K15058" s="219"/>
      <c r="L15058" s="219">
        <v>2336342.86</v>
      </c>
    </row>
    <row r="15059" spans="1:14" ht="11.25" customHeight="1" x14ac:dyDescent="0.2">
      <c r="A15059" s="168">
        <v>2025</v>
      </c>
      <c r="B15059" s="133">
        <v>9</v>
      </c>
      <c r="C15059" s="168">
        <v>4</v>
      </c>
      <c r="D15059" s="141">
        <f t="shared" si="2390"/>
        <v>45904</v>
      </c>
      <c r="E15059" s="275">
        <f t="shared" si="2391"/>
        <v>45904</v>
      </c>
      <c r="F15059" s="479" t="s">
        <v>2116</v>
      </c>
      <c r="G15059" s="220" t="s">
        <v>74</v>
      </c>
      <c r="H15059" s="220"/>
      <c r="I15059" s="142"/>
      <c r="J15059" s="143" t="s">
        <v>147</v>
      </c>
      <c r="K15059" s="226">
        <v>1757305.37</v>
      </c>
      <c r="L15059" s="226"/>
    </row>
    <row r="15060" spans="1:14" x14ac:dyDescent="0.2">
      <c r="A15060" s="163">
        <v>2025</v>
      </c>
      <c r="B15060" s="163">
        <v>9</v>
      </c>
      <c r="C15060" s="163">
        <v>4</v>
      </c>
      <c r="D15060" s="280">
        <f t="shared" si="2390"/>
        <v>45904</v>
      </c>
      <c r="E15060" s="281">
        <f t="shared" si="2391"/>
        <v>45904</v>
      </c>
      <c r="F15060" s="480"/>
      <c r="G15060" s="221" t="s">
        <v>74</v>
      </c>
      <c r="H15060" s="221"/>
      <c r="I15060" s="145"/>
      <c r="J15060" s="146" t="s">
        <v>52</v>
      </c>
      <c r="K15060" s="219"/>
      <c r="L15060" s="219">
        <f>K15059</f>
        <v>1757305.37</v>
      </c>
      <c r="N15060" s="264"/>
    </row>
    <row r="15061" spans="1:14" ht="11.25" customHeight="1" x14ac:dyDescent="0.2">
      <c r="A15061" s="168">
        <v>2025</v>
      </c>
      <c r="B15061" s="133">
        <v>9</v>
      </c>
      <c r="C15061" s="168">
        <v>4</v>
      </c>
      <c r="D15061" s="141">
        <f t="shared" ref="D15061:D15064" si="2392">DATE(A15061,B15061,C15061)</f>
        <v>45904</v>
      </c>
      <c r="E15061" s="275">
        <f t="shared" ref="E15061:E15064" si="2393">DATE(A15061,B15061,C15061)</f>
        <v>45904</v>
      </c>
      <c r="F15061" s="479" t="s">
        <v>2074</v>
      </c>
      <c r="G15061" s="220" t="s">
        <v>74</v>
      </c>
      <c r="H15061" s="220"/>
      <c r="I15061" s="142"/>
      <c r="J15061" s="143" t="s">
        <v>147</v>
      </c>
      <c r="K15061" s="226">
        <v>691656.75</v>
      </c>
      <c r="L15061" s="226"/>
    </row>
    <row r="15062" spans="1:14" x14ac:dyDescent="0.2">
      <c r="A15062" s="163">
        <v>2025</v>
      </c>
      <c r="B15062" s="163">
        <v>9</v>
      </c>
      <c r="C15062" s="163">
        <v>4</v>
      </c>
      <c r="D15062" s="280">
        <f t="shared" si="2392"/>
        <v>45904</v>
      </c>
      <c r="E15062" s="281">
        <f t="shared" si="2393"/>
        <v>45904</v>
      </c>
      <c r="F15062" s="480"/>
      <c r="G15062" s="221" t="s">
        <v>74</v>
      </c>
      <c r="H15062" s="221"/>
      <c r="I15062" s="145"/>
      <c r="J15062" s="146" t="s">
        <v>52</v>
      </c>
      <c r="K15062" s="219"/>
      <c r="L15062" s="219">
        <f>K15061</f>
        <v>691656.75</v>
      </c>
      <c r="N15062" s="264"/>
    </row>
    <row r="15063" spans="1:14" ht="11.25" customHeight="1" x14ac:dyDescent="0.2">
      <c r="A15063" s="168">
        <v>2025</v>
      </c>
      <c r="B15063" s="133">
        <v>9</v>
      </c>
      <c r="C15063" s="168">
        <v>4</v>
      </c>
      <c r="D15063" s="141">
        <f t="shared" si="2392"/>
        <v>45904</v>
      </c>
      <c r="E15063" s="275">
        <f t="shared" si="2393"/>
        <v>45904</v>
      </c>
      <c r="F15063" s="479" t="s">
        <v>2116</v>
      </c>
      <c r="G15063" s="220" t="s">
        <v>74</v>
      </c>
      <c r="H15063" s="220"/>
      <c r="I15063" s="142"/>
      <c r="J15063" s="143" t="s">
        <v>147</v>
      </c>
      <c r="K15063" s="226">
        <v>5485478.5199999996</v>
      </c>
      <c r="L15063" s="226"/>
    </row>
    <row r="15064" spans="1:14" x14ac:dyDescent="0.2">
      <c r="A15064" s="163">
        <v>2025</v>
      </c>
      <c r="B15064" s="163">
        <v>9</v>
      </c>
      <c r="C15064" s="163">
        <v>4</v>
      </c>
      <c r="D15064" s="280">
        <f t="shared" si="2392"/>
        <v>45904</v>
      </c>
      <c r="E15064" s="281">
        <f t="shared" si="2393"/>
        <v>45904</v>
      </c>
      <c r="F15064" s="480"/>
      <c r="G15064" s="221" t="s">
        <v>74</v>
      </c>
      <c r="H15064" s="221"/>
      <c r="I15064" s="145"/>
      <c r="J15064" s="146" t="s">
        <v>52</v>
      </c>
      <c r="K15064" s="219"/>
      <c r="L15064" s="219">
        <f>K15063</f>
        <v>5485478.5199999996</v>
      </c>
      <c r="N15064" s="264"/>
    </row>
    <row r="15065" spans="1:14" ht="11.25" customHeight="1" x14ac:dyDescent="0.2">
      <c r="A15065" s="168">
        <v>2025</v>
      </c>
      <c r="B15065" s="133">
        <v>9</v>
      </c>
      <c r="C15065" s="168">
        <v>4</v>
      </c>
      <c r="D15065" s="141">
        <f t="shared" ref="D15065:D15066" si="2394">DATE(A15065,B15065,C15065)</f>
        <v>45904</v>
      </c>
      <c r="E15065" s="275">
        <f t="shared" ref="E15065:E15066" si="2395">DATE(A15065,B15065,C15065)</f>
        <v>45904</v>
      </c>
      <c r="F15065" s="479" t="s">
        <v>2074</v>
      </c>
      <c r="G15065" s="220" t="s">
        <v>74</v>
      </c>
      <c r="H15065" s="220"/>
      <c r="I15065" s="142"/>
      <c r="J15065" s="143" t="s">
        <v>147</v>
      </c>
      <c r="K15065" s="226">
        <v>863217.17</v>
      </c>
      <c r="L15065" s="226"/>
    </row>
    <row r="15066" spans="1:14" x14ac:dyDescent="0.2">
      <c r="A15066" s="163">
        <v>2025</v>
      </c>
      <c r="B15066" s="163">
        <v>9</v>
      </c>
      <c r="C15066" s="163">
        <v>4</v>
      </c>
      <c r="D15066" s="280">
        <f t="shared" si="2394"/>
        <v>45904</v>
      </c>
      <c r="E15066" s="281">
        <f t="shared" si="2395"/>
        <v>45904</v>
      </c>
      <c r="F15066" s="480"/>
      <c r="G15066" s="221" t="s">
        <v>74</v>
      </c>
      <c r="H15066" s="221"/>
      <c r="I15066" s="145"/>
      <c r="J15066" s="146" t="s">
        <v>52</v>
      </c>
      <c r="K15066" s="219"/>
      <c r="L15066" s="219">
        <f>K15065</f>
        <v>863217.17</v>
      </c>
      <c r="N15066" s="264"/>
    </row>
    <row r="15067" spans="1:14" x14ac:dyDescent="0.2">
      <c r="A15067" s="168">
        <v>2025</v>
      </c>
      <c r="B15067" s="133">
        <v>9</v>
      </c>
      <c r="C15067" s="168">
        <v>4</v>
      </c>
      <c r="D15067" s="147">
        <f>DATE(A15067,B15067,C15067)</f>
        <v>45904</v>
      </c>
      <c r="E15067" s="311">
        <f>DATE(A15067,B15067,C15067)</f>
        <v>45904</v>
      </c>
      <c r="F15067" s="481" t="s">
        <v>1943</v>
      </c>
      <c r="G15067" s="174" t="s">
        <v>74</v>
      </c>
      <c r="I15067" s="148" t="s">
        <v>348</v>
      </c>
      <c r="J15067" s="133" t="s">
        <v>61</v>
      </c>
      <c r="K15067" s="172">
        <v>200</v>
      </c>
    </row>
    <row r="15068" spans="1:14" x14ac:dyDescent="0.2">
      <c r="A15068" s="163">
        <v>2025</v>
      </c>
      <c r="B15068" s="163">
        <v>9</v>
      </c>
      <c r="C15068" s="163">
        <v>4</v>
      </c>
      <c r="D15068" s="280">
        <f>DATE(A15068,B15068,C15068)</f>
        <v>45904</v>
      </c>
      <c r="E15068" s="281">
        <f>DATE(A15068,B15068,C15068)</f>
        <v>45904</v>
      </c>
      <c r="F15068" s="480"/>
      <c r="G15068" s="221" t="s">
        <v>74</v>
      </c>
      <c r="H15068" s="145"/>
      <c r="I15068" s="145" t="s">
        <v>348</v>
      </c>
      <c r="J15068" s="163" t="s">
        <v>52</v>
      </c>
      <c r="K15068" s="219"/>
      <c r="L15068" s="219">
        <f>K15067</f>
        <v>200</v>
      </c>
    </row>
    <row r="15069" spans="1:14" ht="11.25" customHeight="1" x14ac:dyDescent="0.2">
      <c r="A15069" s="168">
        <v>2025</v>
      </c>
      <c r="B15069" s="168">
        <v>9</v>
      </c>
      <c r="C15069" s="133">
        <v>4</v>
      </c>
      <c r="D15069" s="141">
        <f t="shared" ref="D15069:D15071" si="2396">DATE(A15069,B15069,C15069)</f>
        <v>45904</v>
      </c>
      <c r="E15069" s="275">
        <f t="shared" ref="E15069:E15071" si="2397">DATE(A15069,B15069,C15069)</f>
        <v>45904</v>
      </c>
      <c r="F15069" s="479" t="s">
        <v>964</v>
      </c>
      <c r="G15069" s="220" t="s">
        <v>74</v>
      </c>
      <c r="H15069" s="142"/>
      <c r="I15069" s="142"/>
      <c r="J15069" s="168" t="s">
        <v>52</v>
      </c>
      <c r="K15069" s="226">
        <v>60000</v>
      </c>
      <c r="L15069" s="226"/>
    </row>
    <row r="15070" spans="1:14" ht="11.25" customHeight="1" x14ac:dyDescent="0.2">
      <c r="A15070" s="133">
        <v>2025</v>
      </c>
      <c r="B15070" s="133">
        <v>9</v>
      </c>
      <c r="C15070" s="133">
        <v>4</v>
      </c>
      <c r="D15070" s="141">
        <f t="shared" si="2396"/>
        <v>45904</v>
      </c>
      <c r="E15070" s="275">
        <f t="shared" si="2397"/>
        <v>45904</v>
      </c>
      <c r="F15070" s="481"/>
      <c r="G15070" s="174" t="s">
        <v>74</v>
      </c>
      <c r="J15070" s="133" t="s">
        <v>13</v>
      </c>
      <c r="K15070" s="218"/>
      <c r="L15070" s="218">
        <v>40720</v>
      </c>
    </row>
    <row r="15071" spans="1:14" ht="11.25" customHeight="1" x14ac:dyDescent="0.2">
      <c r="A15071" s="163">
        <v>2025</v>
      </c>
      <c r="B15071" s="163">
        <v>9</v>
      </c>
      <c r="C15071" s="163">
        <v>4</v>
      </c>
      <c r="D15071" s="280">
        <f t="shared" si="2396"/>
        <v>45904</v>
      </c>
      <c r="E15071" s="281">
        <f t="shared" si="2397"/>
        <v>45904</v>
      </c>
      <c r="F15071" s="480"/>
      <c r="G15071" s="221" t="s">
        <v>74</v>
      </c>
      <c r="H15071" s="145"/>
      <c r="I15071" s="145"/>
      <c r="J15071" s="163" t="s">
        <v>53</v>
      </c>
      <c r="K15071" s="219"/>
      <c r="L15071" s="219">
        <v>19280</v>
      </c>
    </row>
    <row r="15072" spans="1:14" x14ac:dyDescent="0.2">
      <c r="A15072" s="325">
        <v>2025</v>
      </c>
      <c r="B15072" s="325">
        <v>9</v>
      </c>
      <c r="C15072" s="325">
        <v>4</v>
      </c>
      <c r="D15072" s="326">
        <f t="shared" ref="D15072:D15104" si="2398">DATE(A15072,B15072,C15072)</f>
        <v>45904</v>
      </c>
      <c r="E15072" s="327">
        <f t="shared" ref="E15072:E15104" si="2399">DATE(A15072,B15072,C15072)</f>
        <v>45904</v>
      </c>
      <c r="F15072" s="473" t="s">
        <v>1940</v>
      </c>
      <c r="G15072" s="340" t="s">
        <v>94</v>
      </c>
      <c r="H15072" s="340"/>
      <c r="I15072" s="341" t="s">
        <v>348</v>
      </c>
      <c r="J15072" s="374" t="s">
        <v>133</v>
      </c>
      <c r="K15072" s="375">
        <v>12905.56</v>
      </c>
      <c r="L15072" s="375"/>
      <c r="M15072" s="176"/>
    </row>
    <row r="15073" spans="1:13" x14ac:dyDescent="0.2">
      <c r="A15073" s="331">
        <v>2025</v>
      </c>
      <c r="B15073" s="331">
        <v>9</v>
      </c>
      <c r="C15073" s="331">
        <v>4</v>
      </c>
      <c r="D15073" s="326">
        <f t="shared" si="2398"/>
        <v>45904</v>
      </c>
      <c r="E15073" s="327">
        <f t="shared" si="2399"/>
        <v>45904</v>
      </c>
      <c r="F15073" s="474"/>
      <c r="G15073" s="332" t="s">
        <v>94</v>
      </c>
      <c r="H15073" s="332"/>
      <c r="I15073" s="333" t="s">
        <v>348</v>
      </c>
      <c r="J15073" s="376" t="s">
        <v>60</v>
      </c>
      <c r="K15073" s="334"/>
      <c r="L15073" s="334">
        <f>K15072</f>
        <v>12905.56</v>
      </c>
    </row>
    <row r="15074" spans="1:13" x14ac:dyDescent="0.2">
      <c r="A15074" s="325">
        <v>2025</v>
      </c>
      <c r="B15074" s="325">
        <v>9</v>
      </c>
      <c r="C15074" s="325">
        <v>4</v>
      </c>
      <c r="D15074" s="326">
        <f t="shared" si="2398"/>
        <v>45904</v>
      </c>
      <c r="E15074" s="327">
        <f t="shared" si="2399"/>
        <v>45904</v>
      </c>
      <c r="F15074" s="473" t="s">
        <v>2097</v>
      </c>
      <c r="G15074" s="340" t="s">
        <v>94</v>
      </c>
      <c r="H15074" s="340"/>
      <c r="I15074" s="341" t="s">
        <v>348</v>
      </c>
      <c r="J15074" s="374" t="s">
        <v>133</v>
      </c>
      <c r="K15074" s="375">
        <v>6250</v>
      </c>
      <c r="L15074" s="375"/>
      <c r="M15074" s="176"/>
    </row>
    <row r="15075" spans="1:13" x14ac:dyDescent="0.2">
      <c r="A15075" s="331">
        <v>2025</v>
      </c>
      <c r="B15075" s="331">
        <v>9</v>
      </c>
      <c r="C15075" s="331">
        <v>4</v>
      </c>
      <c r="D15075" s="326">
        <f t="shared" si="2398"/>
        <v>45904</v>
      </c>
      <c r="E15075" s="327">
        <f t="shared" si="2399"/>
        <v>45904</v>
      </c>
      <c r="F15075" s="474"/>
      <c r="G15075" s="332" t="s">
        <v>94</v>
      </c>
      <c r="H15075" s="332"/>
      <c r="I15075" s="333" t="s">
        <v>348</v>
      </c>
      <c r="J15075" s="376" t="s">
        <v>60</v>
      </c>
      <c r="K15075" s="334"/>
      <c r="L15075" s="334">
        <f>K15074</f>
        <v>6250</v>
      </c>
    </row>
    <row r="15076" spans="1:13" x14ac:dyDescent="0.2">
      <c r="A15076" s="384">
        <v>2025</v>
      </c>
      <c r="B15076" s="384">
        <v>9</v>
      </c>
      <c r="C15076" s="384">
        <v>4</v>
      </c>
      <c r="D15076" s="385">
        <f t="shared" si="2398"/>
        <v>45904</v>
      </c>
      <c r="E15076" s="386">
        <f t="shared" si="2399"/>
        <v>45904</v>
      </c>
      <c r="F15076" s="475" t="s">
        <v>1966</v>
      </c>
      <c r="G15076" s="387" t="s">
        <v>94</v>
      </c>
      <c r="H15076" s="387"/>
      <c r="I15076" s="388" t="s">
        <v>348</v>
      </c>
      <c r="J15076" s="389" t="s">
        <v>67</v>
      </c>
      <c r="K15076" s="390">
        <v>16962.78</v>
      </c>
      <c r="L15076" s="390"/>
    </row>
    <row r="15077" spans="1:13" x14ac:dyDescent="0.2">
      <c r="A15077" s="391">
        <v>2025</v>
      </c>
      <c r="B15077" s="391">
        <v>9</v>
      </c>
      <c r="C15077" s="391">
        <v>4</v>
      </c>
      <c r="D15077" s="385">
        <f t="shared" si="2398"/>
        <v>45904</v>
      </c>
      <c r="E15077" s="386">
        <f t="shared" si="2399"/>
        <v>45904</v>
      </c>
      <c r="F15077" s="476"/>
      <c r="G15077" s="392" t="s">
        <v>94</v>
      </c>
      <c r="H15077" s="392"/>
      <c r="I15077" s="393" t="s">
        <v>348</v>
      </c>
      <c r="J15077" s="394" t="s">
        <v>60</v>
      </c>
      <c r="K15077" s="395"/>
      <c r="L15077" s="395">
        <f>K15076</f>
        <v>16962.78</v>
      </c>
    </row>
    <row r="15078" spans="1:13" x14ac:dyDescent="0.2">
      <c r="A15078" s="343">
        <v>2025</v>
      </c>
      <c r="B15078" s="343">
        <v>9</v>
      </c>
      <c r="C15078" s="343">
        <v>4</v>
      </c>
      <c r="D15078" s="344">
        <f t="shared" si="2398"/>
        <v>45904</v>
      </c>
      <c r="E15078" s="345">
        <f t="shared" si="2399"/>
        <v>45904</v>
      </c>
      <c r="F15078" s="483" t="s">
        <v>1813</v>
      </c>
      <c r="G15078" s="350" t="s">
        <v>94</v>
      </c>
      <c r="H15078" s="350"/>
      <c r="I15078" s="352" t="s">
        <v>348</v>
      </c>
      <c r="J15078" s="353" t="s">
        <v>1807</v>
      </c>
      <c r="K15078" s="354">
        <v>0</v>
      </c>
      <c r="L15078" s="354"/>
      <c r="M15078" s="133">
        <v>0</v>
      </c>
    </row>
    <row r="15079" spans="1:13" x14ac:dyDescent="0.2">
      <c r="A15079" s="346">
        <v>2025</v>
      </c>
      <c r="B15079" s="346">
        <v>9</v>
      </c>
      <c r="C15079" s="346">
        <v>4</v>
      </c>
      <c r="D15079" s="344">
        <f t="shared" si="2398"/>
        <v>45904</v>
      </c>
      <c r="E15079" s="345">
        <f t="shared" si="2399"/>
        <v>45904</v>
      </c>
      <c r="F15079" s="484"/>
      <c r="G15079" s="347" t="s">
        <v>94</v>
      </c>
      <c r="H15079" s="347"/>
      <c r="I15079" s="348" t="s">
        <v>348</v>
      </c>
      <c r="J15079" s="355" t="s">
        <v>1798</v>
      </c>
      <c r="K15079" s="349"/>
      <c r="L15079" s="349">
        <v>0</v>
      </c>
    </row>
    <row r="15080" spans="1:13" x14ac:dyDescent="0.2">
      <c r="A15080" s="343">
        <v>2025</v>
      </c>
      <c r="B15080" s="343">
        <v>9</v>
      </c>
      <c r="C15080" s="343">
        <v>4</v>
      </c>
      <c r="D15080" s="344">
        <f t="shared" si="2398"/>
        <v>45904</v>
      </c>
      <c r="E15080" s="345">
        <f t="shared" si="2399"/>
        <v>45904</v>
      </c>
      <c r="F15080" s="483" t="s">
        <v>1913</v>
      </c>
      <c r="G15080" s="350" t="s">
        <v>94</v>
      </c>
      <c r="H15080" s="350"/>
      <c r="I15080" s="352" t="s">
        <v>348</v>
      </c>
      <c r="J15080" s="353" t="s">
        <v>1808</v>
      </c>
      <c r="K15080" s="354">
        <v>82404.119999997318</v>
      </c>
      <c r="L15080" s="354"/>
      <c r="M15080" s="160">
        <v>0</v>
      </c>
    </row>
    <row r="15081" spans="1:13" x14ac:dyDescent="0.2">
      <c r="A15081" s="346">
        <v>2025</v>
      </c>
      <c r="B15081" s="346">
        <v>9</v>
      </c>
      <c r="C15081" s="346">
        <v>4</v>
      </c>
      <c r="D15081" s="344">
        <f t="shared" si="2398"/>
        <v>45904</v>
      </c>
      <c r="E15081" s="345">
        <f t="shared" si="2399"/>
        <v>45904</v>
      </c>
      <c r="F15081" s="484"/>
      <c r="G15081" s="347" t="s">
        <v>94</v>
      </c>
      <c r="H15081" s="347"/>
      <c r="I15081" s="348" t="s">
        <v>348</v>
      </c>
      <c r="J15081" s="355" t="s">
        <v>1799</v>
      </c>
      <c r="K15081" s="349"/>
      <c r="L15081" s="349">
        <f>K15080</f>
        <v>82404.119999997318</v>
      </c>
    </row>
    <row r="15082" spans="1:13" x14ac:dyDescent="0.2">
      <c r="A15082" s="238">
        <v>2025</v>
      </c>
      <c r="B15082" s="238">
        <v>9</v>
      </c>
      <c r="C15082" s="238">
        <v>4</v>
      </c>
      <c r="D15082" s="270">
        <f t="shared" si="2398"/>
        <v>45904</v>
      </c>
      <c r="E15082" s="279">
        <f t="shared" si="2399"/>
        <v>45904</v>
      </c>
      <c r="F15082" s="477" t="s">
        <v>347</v>
      </c>
      <c r="G15082" s="239" t="s">
        <v>94</v>
      </c>
      <c r="H15082" s="239"/>
      <c r="I15082" s="262" t="s">
        <v>348</v>
      </c>
      <c r="J15082" s="240" t="s">
        <v>108</v>
      </c>
      <c r="K15082" s="241">
        <v>3004154.769200027</v>
      </c>
      <c r="L15082" s="241"/>
      <c r="M15082" s="160">
        <v>13139541.900000483</v>
      </c>
    </row>
    <row r="15083" spans="1:13" x14ac:dyDescent="0.2">
      <c r="A15083" s="242">
        <v>2025</v>
      </c>
      <c r="B15083" s="242">
        <v>9</v>
      </c>
      <c r="C15083" s="242">
        <v>4</v>
      </c>
      <c r="D15083" s="270">
        <f t="shared" si="2398"/>
        <v>45904</v>
      </c>
      <c r="E15083" s="279">
        <f t="shared" si="2399"/>
        <v>45904</v>
      </c>
      <c r="F15083" s="478"/>
      <c r="G15083" s="243" t="s">
        <v>94</v>
      </c>
      <c r="H15083" s="243"/>
      <c r="I15083" s="263" t="s">
        <v>348</v>
      </c>
      <c r="J15083" s="244" t="s">
        <v>82</v>
      </c>
      <c r="K15083" s="245"/>
      <c r="L15083" s="245">
        <f>K15082</f>
        <v>3004154.769200027</v>
      </c>
    </row>
    <row r="15084" spans="1:13" ht="12" customHeight="1" x14ac:dyDescent="0.2">
      <c r="A15084" s="246">
        <v>2025</v>
      </c>
      <c r="B15084" s="238">
        <v>9</v>
      </c>
      <c r="C15084" s="238">
        <v>4</v>
      </c>
      <c r="D15084" s="270">
        <f t="shared" si="2398"/>
        <v>45904</v>
      </c>
      <c r="E15084" s="279">
        <f t="shared" si="2399"/>
        <v>45904</v>
      </c>
      <c r="F15084" s="482" t="s">
        <v>148</v>
      </c>
      <c r="G15084" s="247" t="s">
        <v>94</v>
      </c>
      <c r="H15084" s="247"/>
      <c r="I15084" s="248" t="s">
        <v>348</v>
      </c>
      <c r="J15084" s="249" t="s">
        <v>95</v>
      </c>
      <c r="K15084" s="250">
        <v>2747.2527472527472</v>
      </c>
      <c r="L15084" s="241"/>
      <c r="M15084" s="176"/>
    </row>
    <row r="15085" spans="1:13" x14ac:dyDescent="0.2">
      <c r="A15085" s="242">
        <v>2025</v>
      </c>
      <c r="B15085" s="242">
        <v>9</v>
      </c>
      <c r="C15085" s="242">
        <v>4</v>
      </c>
      <c r="D15085" s="270">
        <f t="shared" si="2398"/>
        <v>45904</v>
      </c>
      <c r="E15085" s="279">
        <f t="shared" si="2399"/>
        <v>45904</v>
      </c>
      <c r="F15085" s="478"/>
      <c r="G15085" s="243" t="s">
        <v>94</v>
      </c>
      <c r="H15085" s="243"/>
      <c r="I15085" s="263" t="s">
        <v>348</v>
      </c>
      <c r="J15085" s="244" t="s">
        <v>63</v>
      </c>
      <c r="K15085" s="245"/>
      <c r="L15085" s="245">
        <f>K15084</f>
        <v>2747.2527472527472</v>
      </c>
    </row>
    <row r="15086" spans="1:13" x14ac:dyDescent="0.2">
      <c r="A15086" s="246">
        <v>2025</v>
      </c>
      <c r="B15086" s="238">
        <v>9</v>
      </c>
      <c r="C15086" s="238">
        <v>4</v>
      </c>
      <c r="D15086" s="270">
        <f t="shared" si="2398"/>
        <v>45904</v>
      </c>
      <c r="E15086" s="279">
        <f t="shared" si="2399"/>
        <v>45904</v>
      </c>
      <c r="F15086" s="482" t="s">
        <v>137</v>
      </c>
      <c r="G15086" s="247" t="s">
        <v>94</v>
      </c>
      <c r="H15086" s="247"/>
      <c r="I15086" s="248" t="s">
        <v>348</v>
      </c>
      <c r="J15086" s="249" t="s">
        <v>97</v>
      </c>
      <c r="K15086" s="250">
        <f>M15086</f>
        <v>93707.194667726071</v>
      </c>
      <c r="L15086" s="252"/>
      <c r="M15086" s="133">
        <v>93707.194667726071</v>
      </c>
    </row>
    <row r="15087" spans="1:13" x14ac:dyDescent="0.2">
      <c r="A15087" s="242">
        <v>2025</v>
      </c>
      <c r="B15087" s="242">
        <v>9</v>
      </c>
      <c r="C15087" s="242">
        <v>4</v>
      </c>
      <c r="D15087" s="270">
        <f t="shared" si="2398"/>
        <v>45904</v>
      </c>
      <c r="E15087" s="279">
        <f t="shared" si="2399"/>
        <v>45904</v>
      </c>
      <c r="F15087" s="478"/>
      <c r="G15087" s="243" t="s">
        <v>94</v>
      </c>
      <c r="H15087" s="243"/>
      <c r="I15087" s="263" t="s">
        <v>348</v>
      </c>
      <c r="J15087" s="244" t="s">
        <v>47</v>
      </c>
      <c r="K15087" s="245"/>
      <c r="L15087" s="245">
        <f>K15086</f>
        <v>93707.194667726071</v>
      </c>
      <c r="M15087" s="133">
        <v>4444.9751180016883</v>
      </c>
    </row>
    <row r="15088" spans="1:13" x14ac:dyDescent="0.2">
      <c r="A15088" s="246">
        <v>2025</v>
      </c>
      <c r="B15088" s="238">
        <v>9</v>
      </c>
      <c r="C15088" s="238">
        <v>4</v>
      </c>
      <c r="D15088" s="270">
        <f t="shared" si="2398"/>
        <v>45904</v>
      </c>
      <c r="E15088" s="279">
        <f t="shared" si="2399"/>
        <v>45904</v>
      </c>
      <c r="F15088" s="482" t="s">
        <v>138</v>
      </c>
      <c r="G15088" s="247" t="s">
        <v>94</v>
      </c>
      <c r="H15088" s="247"/>
      <c r="I15088" s="248" t="s">
        <v>348</v>
      </c>
      <c r="J15088" s="249" t="s">
        <v>100</v>
      </c>
      <c r="K15088" s="250">
        <f>M15087</f>
        <v>4444.9751180016883</v>
      </c>
      <c r="L15088" s="252"/>
    </row>
    <row r="15089" spans="1:14" x14ac:dyDescent="0.2">
      <c r="A15089" s="242">
        <v>2025</v>
      </c>
      <c r="B15089" s="242">
        <v>9</v>
      </c>
      <c r="C15089" s="242">
        <v>4</v>
      </c>
      <c r="D15089" s="321">
        <f t="shared" si="2398"/>
        <v>45904</v>
      </c>
      <c r="E15089" s="322">
        <f t="shared" si="2399"/>
        <v>45904</v>
      </c>
      <c r="F15089" s="478"/>
      <c r="G15089" s="243" t="s">
        <v>94</v>
      </c>
      <c r="H15089" s="243"/>
      <c r="I15089" s="263" t="s">
        <v>348</v>
      </c>
      <c r="J15089" s="244" t="s">
        <v>48</v>
      </c>
      <c r="K15089" s="245"/>
      <c r="L15089" s="245">
        <f>K15088</f>
        <v>4444.9751180016883</v>
      </c>
    </row>
    <row r="15090" spans="1:14" ht="11.25" customHeight="1" x14ac:dyDescent="0.2">
      <c r="A15090" s="168">
        <v>2025</v>
      </c>
      <c r="B15090" s="168">
        <v>9</v>
      </c>
      <c r="C15090" s="133">
        <v>5</v>
      </c>
      <c r="D15090" s="141">
        <f t="shared" si="2398"/>
        <v>45905</v>
      </c>
      <c r="E15090" s="275">
        <f t="shared" si="2399"/>
        <v>45905</v>
      </c>
      <c r="F15090" s="479" t="s">
        <v>964</v>
      </c>
      <c r="G15090" s="220" t="s">
        <v>74</v>
      </c>
      <c r="H15090" s="142"/>
      <c r="I15090" s="142"/>
      <c r="J15090" s="168" t="s">
        <v>52</v>
      </c>
      <c r="K15090" s="226">
        <v>10000</v>
      </c>
      <c r="L15090" s="226"/>
    </row>
    <row r="15091" spans="1:14" ht="11.25" customHeight="1" x14ac:dyDescent="0.2">
      <c r="A15091" s="133">
        <v>2025</v>
      </c>
      <c r="B15091" s="133">
        <v>9</v>
      </c>
      <c r="C15091" s="133">
        <v>5</v>
      </c>
      <c r="D15091" s="141">
        <f t="shared" si="2398"/>
        <v>45905</v>
      </c>
      <c r="E15091" s="275">
        <f t="shared" si="2399"/>
        <v>45905</v>
      </c>
      <c r="F15091" s="481"/>
      <c r="G15091" s="174" t="s">
        <v>74</v>
      </c>
      <c r="J15091" s="133" t="s">
        <v>13</v>
      </c>
      <c r="K15091" s="218"/>
      <c r="L15091" s="218">
        <v>6690</v>
      </c>
    </row>
    <row r="15092" spans="1:14" ht="11.25" customHeight="1" x14ac:dyDescent="0.2">
      <c r="A15092" s="163">
        <v>2025</v>
      </c>
      <c r="B15092" s="163">
        <v>9</v>
      </c>
      <c r="C15092" s="163">
        <v>5</v>
      </c>
      <c r="D15092" s="280">
        <f t="shared" si="2398"/>
        <v>45905</v>
      </c>
      <c r="E15092" s="281">
        <f t="shared" si="2399"/>
        <v>45905</v>
      </c>
      <c r="F15092" s="480"/>
      <c r="G15092" s="221" t="s">
        <v>74</v>
      </c>
      <c r="H15092" s="145"/>
      <c r="I15092" s="145"/>
      <c r="J15092" s="163" t="s">
        <v>53</v>
      </c>
      <c r="K15092" s="219"/>
      <c r="L15092" s="219">
        <v>3310</v>
      </c>
    </row>
    <row r="15093" spans="1:14" ht="11.25" customHeight="1" x14ac:dyDescent="0.2">
      <c r="A15093" s="168">
        <v>2025</v>
      </c>
      <c r="B15093" s="133">
        <v>9</v>
      </c>
      <c r="C15093" s="168">
        <v>7</v>
      </c>
      <c r="D15093" s="141">
        <f t="shared" si="2398"/>
        <v>45907</v>
      </c>
      <c r="E15093" s="275">
        <f t="shared" si="2399"/>
        <v>45907</v>
      </c>
      <c r="F15093" s="479" t="s">
        <v>2116</v>
      </c>
      <c r="G15093" s="220" t="s">
        <v>74</v>
      </c>
      <c r="H15093" s="220"/>
      <c r="I15093" s="142"/>
      <c r="J15093" s="143" t="s">
        <v>147</v>
      </c>
      <c r="K15093" s="226">
        <v>2336342.86</v>
      </c>
      <c r="L15093" s="226"/>
    </row>
    <row r="15094" spans="1:14" x14ac:dyDescent="0.2">
      <c r="A15094" s="163">
        <v>2025</v>
      </c>
      <c r="B15094" s="163">
        <v>9</v>
      </c>
      <c r="C15094" s="163">
        <v>7</v>
      </c>
      <c r="D15094" s="280">
        <f t="shared" si="2398"/>
        <v>45907</v>
      </c>
      <c r="E15094" s="281">
        <f t="shared" si="2399"/>
        <v>45907</v>
      </c>
      <c r="F15094" s="480"/>
      <c r="G15094" s="221" t="s">
        <v>74</v>
      </c>
      <c r="H15094" s="221"/>
      <c r="I15094" s="145"/>
      <c r="J15094" s="146" t="s">
        <v>52</v>
      </c>
      <c r="K15094" s="219"/>
      <c r="L15094" s="219">
        <f>K15093</f>
        <v>2336342.86</v>
      </c>
      <c r="N15094" s="264"/>
    </row>
    <row r="15095" spans="1:14" x14ac:dyDescent="0.2">
      <c r="A15095" s="168">
        <v>2025</v>
      </c>
      <c r="B15095" s="133">
        <v>9</v>
      </c>
      <c r="C15095" s="168">
        <v>7</v>
      </c>
      <c r="D15095" s="147">
        <f>DATE(A15095,B15095,C15095)</f>
        <v>45907</v>
      </c>
      <c r="E15095" s="311">
        <f>DATE(A15095,B15095,C15095)</f>
        <v>45907</v>
      </c>
      <c r="F15095" s="481" t="s">
        <v>1943</v>
      </c>
      <c r="G15095" s="174" t="s">
        <v>74</v>
      </c>
      <c r="I15095" s="148" t="s">
        <v>348</v>
      </c>
      <c r="J15095" s="133" t="s">
        <v>61</v>
      </c>
      <c r="K15095" s="172">
        <v>100</v>
      </c>
    </row>
    <row r="15096" spans="1:14" x14ac:dyDescent="0.2">
      <c r="A15096" s="163">
        <v>2025</v>
      </c>
      <c r="B15096" s="163">
        <v>9</v>
      </c>
      <c r="C15096" s="163">
        <v>7</v>
      </c>
      <c r="D15096" s="280">
        <f>DATE(A15096,B15096,C15096)</f>
        <v>45907</v>
      </c>
      <c r="E15096" s="281">
        <f>DATE(A15096,B15096,C15096)</f>
        <v>45907</v>
      </c>
      <c r="F15096" s="480"/>
      <c r="G15096" s="221" t="s">
        <v>74</v>
      </c>
      <c r="H15096" s="145"/>
      <c r="I15096" s="145" t="s">
        <v>348</v>
      </c>
      <c r="J15096" s="163" t="s">
        <v>52</v>
      </c>
      <c r="K15096" s="219"/>
      <c r="L15096" s="219">
        <f>K15095</f>
        <v>100</v>
      </c>
    </row>
    <row r="15097" spans="1:14" x14ac:dyDescent="0.2">
      <c r="A15097" s="133">
        <v>2025</v>
      </c>
      <c r="B15097" s="133">
        <v>9</v>
      </c>
      <c r="C15097" s="133">
        <v>7</v>
      </c>
      <c r="D15097" s="141">
        <f t="shared" si="2398"/>
        <v>45907</v>
      </c>
      <c r="E15097" s="275">
        <f t="shared" si="2399"/>
        <v>45907</v>
      </c>
      <c r="F15097" s="481" t="s">
        <v>2073</v>
      </c>
      <c r="G15097" s="174" t="s">
        <v>94</v>
      </c>
      <c r="H15097" s="174"/>
      <c r="J15097" s="149" t="s">
        <v>79</v>
      </c>
      <c r="K15097" s="218">
        <v>1844000</v>
      </c>
      <c r="L15097" s="218"/>
      <c r="M15097" s="160"/>
    </row>
    <row r="15098" spans="1:14" x14ac:dyDescent="0.2">
      <c r="A15098" s="133">
        <v>2025</v>
      </c>
      <c r="B15098" s="133">
        <v>9</v>
      </c>
      <c r="C15098" s="133">
        <v>7</v>
      </c>
      <c r="D15098" s="141">
        <f t="shared" si="2398"/>
        <v>45907</v>
      </c>
      <c r="E15098" s="275">
        <f t="shared" si="2399"/>
        <v>45907</v>
      </c>
      <c r="F15098" s="481"/>
      <c r="G15098" s="174" t="s">
        <v>94</v>
      </c>
      <c r="H15098" s="174"/>
      <c r="J15098" s="149" t="s">
        <v>80</v>
      </c>
      <c r="K15098" s="218">
        <v>3753.57</v>
      </c>
      <c r="L15098" s="264"/>
      <c r="M15098" s="264"/>
      <c r="N15098" s="264"/>
    </row>
    <row r="15099" spans="1:14" x14ac:dyDescent="0.2">
      <c r="A15099" s="133">
        <v>2025</v>
      </c>
      <c r="B15099" s="133">
        <v>9</v>
      </c>
      <c r="C15099" s="133">
        <v>7</v>
      </c>
      <c r="D15099" s="141">
        <f t="shared" si="2398"/>
        <v>45907</v>
      </c>
      <c r="E15099" s="275">
        <f t="shared" si="2399"/>
        <v>45907</v>
      </c>
      <c r="F15099" s="481"/>
      <c r="G15099" s="174" t="s">
        <v>94</v>
      </c>
      <c r="H15099" s="174"/>
      <c r="J15099" s="149" t="s">
        <v>147</v>
      </c>
      <c r="K15099" s="218"/>
      <c r="L15099" s="218">
        <v>1606436.67</v>
      </c>
      <c r="M15099" s="264"/>
    </row>
    <row r="15100" spans="1:14" x14ac:dyDescent="0.2">
      <c r="A15100" s="133">
        <v>2025</v>
      </c>
      <c r="B15100" s="133">
        <v>9</v>
      </c>
      <c r="C15100" s="133">
        <v>7</v>
      </c>
      <c r="D15100" s="141">
        <f t="shared" si="2398"/>
        <v>45907</v>
      </c>
      <c r="E15100" s="275">
        <f t="shared" si="2399"/>
        <v>45907</v>
      </c>
      <c r="F15100" s="481"/>
      <c r="G15100" s="174" t="s">
        <v>94</v>
      </c>
      <c r="H15100" s="174"/>
      <c r="J15100" s="149" t="s">
        <v>191</v>
      </c>
      <c r="L15100" s="218">
        <v>21242.71</v>
      </c>
    </row>
    <row r="15101" spans="1:14" x14ac:dyDescent="0.2">
      <c r="A15101" s="163">
        <v>2025</v>
      </c>
      <c r="B15101" s="163">
        <v>9</v>
      </c>
      <c r="C15101" s="163">
        <v>7</v>
      </c>
      <c r="D15101" s="280">
        <f t="shared" si="2398"/>
        <v>45907</v>
      </c>
      <c r="E15101" s="281">
        <f t="shared" si="2399"/>
        <v>45907</v>
      </c>
      <c r="F15101" s="480"/>
      <c r="G15101" s="221" t="s">
        <v>94</v>
      </c>
      <c r="H15101" s="145"/>
      <c r="I15101" s="145"/>
      <c r="J15101" s="163" t="s">
        <v>79</v>
      </c>
      <c r="K15101" s="219"/>
      <c r="L15101" s="219">
        <v>220074.19</v>
      </c>
      <c r="M15101" s="264"/>
    </row>
    <row r="15102" spans="1:14" ht="11.25" customHeight="1" x14ac:dyDescent="0.2">
      <c r="A15102" s="168">
        <v>2025</v>
      </c>
      <c r="B15102" s="168">
        <v>9</v>
      </c>
      <c r="C15102" s="133">
        <v>7</v>
      </c>
      <c r="D15102" s="141">
        <f t="shared" si="2398"/>
        <v>45907</v>
      </c>
      <c r="E15102" s="275">
        <f t="shared" si="2399"/>
        <v>45907</v>
      </c>
      <c r="F15102" s="479" t="s">
        <v>2113</v>
      </c>
      <c r="G15102" s="220" t="s">
        <v>94</v>
      </c>
      <c r="H15102" s="220"/>
      <c r="I15102" s="142"/>
      <c r="J15102" s="143" t="s">
        <v>79</v>
      </c>
      <c r="K15102" s="226">
        <v>1142900</v>
      </c>
      <c r="L15102" s="226"/>
      <c r="M15102" s="160"/>
    </row>
    <row r="15103" spans="1:14" x14ac:dyDescent="0.2">
      <c r="A15103" s="133">
        <v>2025</v>
      </c>
      <c r="B15103" s="133">
        <v>9</v>
      </c>
      <c r="C15103" s="133">
        <v>7</v>
      </c>
      <c r="D15103" s="141">
        <f t="shared" si="2398"/>
        <v>45907</v>
      </c>
      <c r="E15103" s="275">
        <f t="shared" si="2399"/>
        <v>45907</v>
      </c>
      <c r="F15103" s="481"/>
      <c r="G15103" s="174" t="s">
        <v>94</v>
      </c>
      <c r="H15103" s="174"/>
      <c r="J15103" s="149" t="s">
        <v>80</v>
      </c>
      <c r="K15103" s="218">
        <v>2057.2199999999998</v>
      </c>
      <c r="L15103" s="133"/>
    </row>
    <row r="15104" spans="1:14" x14ac:dyDescent="0.2">
      <c r="A15104" s="163">
        <v>2025</v>
      </c>
      <c r="B15104" s="163">
        <v>9</v>
      </c>
      <c r="C15104" s="163">
        <v>7</v>
      </c>
      <c r="D15104" s="280">
        <f t="shared" si="2398"/>
        <v>45907</v>
      </c>
      <c r="E15104" s="281">
        <f t="shared" si="2399"/>
        <v>45907</v>
      </c>
      <c r="F15104" s="480"/>
      <c r="G15104" s="221" t="s">
        <v>94</v>
      </c>
      <c r="H15104" s="221"/>
      <c r="I15104" s="145"/>
      <c r="J15104" s="146" t="s">
        <v>147</v>
      </c>
      <c r="K15104" s="219"/>
      <c r="L15104" s="219">
        <v>1144957.22</v>
      </c>
    </row>
    <row r="15105" spans="1:14" ht="11.25" customHeight="1" x14ac:dyDescent="0.2">
      <c r="A15105" s="168">
        <v>2025</v>
      </c>
      <c r="B15105" s="168">
        <v>9</v>
      </c>
      <c r="C15105" s="133">
        <v>7</v>
      </c>
      <c r="D15105" s="141">
        <f t="shared" ref="D15105:D15107" si="2400">DATE(A15105,B15105,C15105)</f>
        <v>45907</v>
      </c>
      <c r="E15105" s="275">
        <f t="shared" ref="E15105:E15107" si="2401">DATE(A15105,B15105,C15105)</f>
        <v>45907</v>
      </c>
      <c r="F15105" s="479" t="s">
        <v>964</v>
      </c>
      <c r="G15105" s="220" t="s">
        <v>74</v>
      </c>
      <c r="H15105" s="142"/>
      <c r="I15105" s="142"/>
      <c r="J15105" s="168" t="s">
        <v>52</v>
      </c>
      <c r="K15105" s="226">
        <v>38000</v>
      </c>
      <c r="L15105" s="226"/>
    </row>
    <row r="15106" spans="1:14" ht="11.25" customHeight="1" x14ac:dyDescent="0.2">
      <c r="A15106" s="133">
        <v>2025</v>
      </c>
      <c r="B15106" s="133">
        <v>9</v>
      </c>
      <c r="C15106" s="133">
        <v>7</v>
      </c>
      <c r="D15106" s="141">
        <f t="shared" si="2400"/>
        <v>45907</v>
      </c>
      <c r="E15106" s="275">
        <f t="shared" si="2401"/>
        <v>45907</v>
      </c>
      <c r="F15106" s="481"/>
      <c r="G15106" s="174" t="s">
        <v>74</v>
      </c>
      <c r="J15106" s="133" t="s">
        <v>13</v>
      </c>
      <c r="K15106" s="218"/>
      <c r="L15106" s="218">
        <v>25440</v>
      </c>
    </row>
    <row r="15107" spans="1:14" ht="11.25" customHeight="1" x14ac:dyDescent="0.2">
      <c r="A15107" s="163">
        <v>2025</v>
      </c>
      <c r="B15107" s="163">
        <v>9</v>
      </c>
      <c r="C15107" s="163">
        <v>7</v>
      </c>
      <c r="D15107" s="280">
        <f t="shared" si="2400"/>
        <v>45907</v>
      </c>
      <c r="E15107" s="281">
        <f t="shared" si="2401"/>
        <v>45907</v>
      </c>
      <c r="F15107" s="480"/>
      <c r="G15107" s="221" t="s">
        <v>74</v>
      </c>
      <c r="H15107" s="145"/>
      <c r="I15107" s="145"/>
      <c r="J15107" s="163" t="s">
        <v>53</v>
      </c>
      <c r="K15107" s="219"/>
      <c r="L15107" s="219">
        <v>12560</v>
      </c>
    </row>
    <row r="15108" spans="1:14" x14ac:dyDescent="0.2">
      <c r="A15108" s="133">
        <v>2025</v>
      </c>
      <c r="B15108" s="133">
        <v>9</v>
      </c>
      <c r="C15108" s="133">
        <v>8</v>
      </c>
      <c r="D15108" s="141">
        <f t="shared" ref="D15108:D15112" si="2402">DATE(A15108,B15108,C15108)</f>
        <v>45908</v>
      </c>
      <c r="E15108" s="275">
        <f t="shared" ref="E15108:E15112" si="2403">DATE(A15108,B15108,C15108)</f>
        <v>45908</v>
      </c>
      <c r="F15108" s="481" t="s">
        <v>2073</v>
      </c>
      <c r="G15108" s="174" t="s">
        <v>94</v>
      </c>
      <c r="H15108" s="174"/>
      <c r="J15108" s="149" t="s">
        <v>79</v>
      </c>
      <c r="K15108" s="218">
        <v>331500</v>
      </c>
      <c r="L15108" s="218"/>
      <c r="M15108" s="160"/>
    </row>
    <row r="15109" spans="1:14" x14ac:dyDescent="0.2">
      <c r="A15109" s="133">
        <v>2025</v>
      </c>
      <c r="B15109" s="133">
        <v>9</v>
      </c>
      <c r="C15109" s="133">
        <v>8</v>
      </c>
      <c r="D15109" s="141">
        <f t="shared" si="2402"/>
        <v>45908</v>
      </c>
      <c r="E15109" s="275">
        <f t="shared" si="2403"/>
        <v>45908</v>
      </c>
      <c r="F15109" s="481"/>
      <c r="G15109" s="174" t="s">
        <v>94</v>
      </c>
      <c r="H15109" s="174"/>
      <c r="J15109" s="149" t="s">
        <v>80</v>
      </c>
      <c r="K15109" s="218">
        <v>1394.1</v>
      </c>
      <c r="L15109" s="264"/>
      <c r="M15109" s="264"/>
      <c r="N15109" s="264"/>
    </row>
    <row r="15110" spans="1:14" x14ac:dyDescent="0.2">
      <c r="A15110" s="133">
        <v>2025</v>
      </c>
      <c r="B15110" s="133">
        <v>9</v>
      </c>
      <c r="C15110" s="133">
        <v>8</v>
      </c>
      <c r="D15110" s="141">
        <f t="shared" si="2402"/>
        <v>45908</v>
      </c>
      <c r="E15110" s="275">
        <f t="shared" si="2403"/>
        <v>45908</v>
      </c>
      <c r="F15110" s="481"/>
      <c r="G15110" s="174" t="s">
        <v>94</v>
      </c>
      <c r="H15110" s="174"/>
      <c r="J15110" s="149" t="s">
        <v>190</v>
      </c>
      <c r="K15110" s="218">
        <v>110105.9</v>
      </c>
      <c r="L15110" s="218"/>
      <c r="M15110" s="264"/>
    </row>
    <row r="15111" spans="1:14" x14ac:dyDescent="0.2">
      <c r="A15111" s="133">
        <v>2025</v>
      </c>
      <c r="B15111" s="133">
        <v>9</v>
      </c>
      <c r="C15111" s="133">
        <v>8</v>
      </c>
      <c r="D15111" s="141">
        <f t="shared" si="2402"/>
        <v>45908</v>
      </c>
      <c r="E15111" s="275">
        <f t="shared" si="2403"/>
        <v>45908</v>
      </c>
      <c r="F15111" s="481"/>
      <c r="G15111" s="174" t="s">
        <v>94</v>
      </c>
      <c r="H15111" s="174"/>
      <c r="J15111" s="149" t="s">
        <v>191</v>
      </c>
      <c r="L15111" s="218">
        <v>49940.18</v>
      </c>
    </row>
    <row r="15112" spans="1:14" x14ac:dyDescent="0.2">
      <c r="A15112" s="163">
        <v>2025</v>
      </c>
      <c r="B15112" s="163">
        <v>9</v>
      </c>
      <c r="C15112" s="163">
        <v>8</v>
      </c>
      <c r="D15112" s="280">
        <f t="shared" si="2402"/>
        <v>45908</v>
      </c>
      <c r="E15112" s="281">
        <f t="shared" si="2403"/>
        <v>45908</v>
      </c>
      <c r="F15112" s="480"/>
      <c r="G15112" s="221" t="s">
        <v>94</v>
      </c>
      <c r="H15112" s="145"/>
      <c r="I15112" s="145"/>
      <c r="J15112" s="163" t="s">
        <v>79</v>
      </c>
      <c r="K15112" s="219"/>
      <c r="L15112" s="219">
        <v>393059.82</v>
      </c>
      <c r="M15112" s="264"/>
    </row>
    <row r="15113" spans="1:14" x14ac:dyDescent="0.2">
      <c r="A15113" s="133">
        <v>2025</v>
      </c>
      <c r="B15113" s="133">
        <v>9</v>
      </c>
      <c r="C15113" s="133">
        <v>8</v>
      </c>
      <c r="D15113" s="141">
        <f t="shared" ref="D15113:D15119" si="2404">DATE(A15113,B15113,C15113)</f>
        <v>45908</v>
      </c>
      <c r="E15113" s="275">
        <f t="shared" ref="E15113:E15119" si="2405">DATE(A15113,B15113,C15113)</f>
        <v>45908</v>
      </c>
      <c r="F15113" s="481" t="s">
        <v>2115</v>
      </c>
      <c r="G15113" s="174" t="s">
        <v>94</v>
      </c>
      <c r="H15113" s="174"/>
      <c r="J15113" s="149" t="s">
        <v>79</v>
      </c>
      <c r="K15113" s="218">
        <v>3289100</v>
      </c>
      <c r="L15113" s="218"/>
      <c r="M15113" s="160"/>
    </row>
    <row r="15114" spans="1:14" x14ac:dyDescent="0.2">
      <c r="A15114" s="133">
        <v>2025</v>
      </c>
      <c r="B15114" s="133">
        <v>9</v>
      </c>
      <c r="C15114" s="133">
        <v>8</v>
      </c>
      <c r="D15114" s="141">
        <f t="shared" si="2404"/>
        <v>45908</v>
      </c>
      <c r="E15114" s="275">
        <f t="shared" si="2405"/>
        <v>45908</v>
      </c>
      <c r="F15114" s="481"/>
      <c r="G15114" s="174" t="s">
        <v>94</v>
      </c>
      <c r="H15114" s="174"/>
      <c r="J15114" s="149" t="s">
        <v>80</v>
      </c>
      <c r="K15114" s="218">
        <v>9276.48</v>
      </c>
      <c r="L15114" s="264"/>
      <c r="M15114" s="264"/>
      <c r="N15114" s="264"/>
    </row>
    <row r="15115" spans="1:14" x14ac:dyDescent="0.2">
      <c r="A15115" s="133">
        <v>2025</v>
      </c>
      <c r="B15115" s="133">
        <v>9</v>
      </c>
      <c r="C15115" s="133">
        <v>8</v>
      </c>
      <c r="D15115" s="141">
        <f t="shared" si="2404"/>
        <v>45908</v>
      </c>
      <c r="E15115" s="275">
        <f t="shared" si="2405"/>
        <v>45908</v>
      </c>
      <c r="F15115" s="481"/>
      <c r="G15115" s="174" t="s">
        <v>94</v>
      </c>
      <c r="H15115" s="174"/>
      <c r="J15115" s="149" t="s">
        <v>147</v>
      </c>
      <c r="K15115" s="218"/>
      <c r="L15115" s="218">
        <v>1433876.48</v>
      </c>
      <c r="M15115" s="264"/>
    </row>
    <row r="15116" spans="1:14" x14ac:dyDescent="0.2">
      <c r="A15116" s="133">
        <v>2025</v>
      </c>
      <c r="B15116" s="133">
        <v>9</v>
      </c>
      <c r="C15116" s="133">
        <v>8</v>
      </c>
      <c r="D15116" s="141">
        <f t="shared" si="2404"/>
        <v>45908</v>
      </c>
      <c r="E15116" s="275">
        <f t="shared" si="2405"/>
        <v>45908</v>
      </c>
      <c r="F15116" s="481"/>
      <c r="G15116" s="174" t="s">
        <v>94</v>
      </c>
      <c r="H15116" s="174"/>
      <c r="J15116" s="149" t="s">
        <v>191</v>
      </c>
      <c r="L15116" s="218">
        <v>193995.76</v>
      </c>
    </row>
    <row r="15117" spans="1:14" x14ac:dyDescent="0.2">
      <c r="A15117" s="163">
        <v>2025</v>
      </c>
      <c r="B15117" s="163">
        <v>9</v>
      </c>
      <c r="C15117" s="163">
        <v>8</v>
      </c>
      <c r="D15117" s="280">
        <f t="shared" si="2404"/>
        <v>45908</v>
      </c>
      <c r="E15117" s="281">
        <f t="shared" si="2405"/>
        <v>45908</v>
      </c>
      <c r="F15117" s="480"/>
      <c r="G15117" s="221" t="s">
        <v>94</v>
      </c>
      <c r="H15117" s="145"/>
      <c r="I15117" s="145"/>
      <c r="J15117" s="163" t="s">
        <v>79</v>
      </c>
      <c r="K15117" s="219"/>
      <c r="L15117" s="219">
        <v>1670504.24</v>
      </c>
      <c r="M15117" s="264"/>
    </row>
    <row r="15118" spans="1:14" ht="11.25" customHeight="1" x14ac:dyDescent="0.2">
      <c r="A15118" s="168">
        <v>2025</v>
      </c>
      <c r="B15118" s="133">
        <v>9</v>
      </c>
      <c r="C15118" s="168">
        <v>8</v>
      </c>
      <c r="D15118" s="141">
        <f t="shared" si="2404"/>
        <v>45908</v>
      </c>
      <c r="E15118" s="275">
        <f t="shared" si="2405"/>
        <v>45908</v>
      </c>
      <c r="F15118" s="479" t="s">
        <v>2074</v>
      </c>
      <c r="G15118" s="220" t="s">
        <v>74</v>
      </c>
      <c r="H15118" s="220"/>
      <c r="I15118" s="142"/>
      <c r="J15118" s="143" t="s">
        <v>147</v>
      </c>
      <c r="K15118" s="226">
        <v>1606436.67</v>
      </c>
      <c r="L15118" s="226"/>
    </row>
    <row r="15119" spans="1:14" x14ac:dyDescent="0.2">
      <c r="A15119" s="163">
        <v>2025</v>
      </c>
      <c r="B15119" s="163">
        <v>9</v>
      </c>
      <c r="C15119" s="163">
        <v>8</v>
      </c>
      <c r="D15119" s="280">
        <f t="shared" si="2404"/>
        <v>45908</v>
      </c>
      <c r="E15119" s="281">
        <f t="shared" si="2405"/>
        <v>45908</v>
      </c>
      <c r="F15119" s="480"/>
      <c r="G15119" s="221" t="s">
        <v>74</v>
      </c>
      <c r="H15119" s="221"/>
      <c r="I15119" s="145"/>
      <c r="J15119" s="146" t="s">
        <v>52</v>
      </c>
      <c r="K15119" s="219"/>
      <c r="L15119" s="219">
        <f>K15118</f>
        <v>1606436.67</v>
      </c>
      <c r="N15119" s="264"/>
    </row>
    <row r="15120" spans="1:14" ht="11.25" customHeight="1" x14ac:dyDescent="0.2">
      <c r="A15120" s="168">
        <v>2025</v>
      </c>
      <c r="B15120" s="133">
        <v>9</v>
      </c>
      <c r="C15120" s="168">
        <v>8</v>
      </c>
      <c r="D15120" s="141">
        <f t="shared" ref="D15120:D15124" si="2406">DATE(A15120,B15120,C15120)</f>
        <v>45908</v>
      </c>
      <c r="E15120" s="275">
        <f t="shared" ref="E15120:E15124" si="2407">DATE(A15120,B15120,C15120)</f>
        <v>45908</v>
      </c>
      <c r="F15120" s="479" t="s">
        <v>2116</v>
      </c>
      <c r="G15120" s="220" t="s">
        <v>74</v>
      </c>
      <c r="H15120" s="220"/>
      <c r="I15120" s="142"/>
      <c r="J15120" s="143" t="s">
        <v>147</v>
      </c>
      <c r="K15120" s="226">
        <v>1144957.22</v>
      </c>
      <c r="L15120" s="226"/>
    </row>
    <row r="15121" spans="1:14" x14ac:dyDescent="0.2">
      <c r="A15121" s="163">
        <v>2025</v>
      </c>
      <c r="B15121" s="163">
        <v>9</v>
      </c>
      <c r="C15121" s="163">
        <v>8</v>
      </c>
      <c r="D15121" s="280">
        <f t="shared" si="2406"/>
        <v>45908</v>
      </c>
      <c r="E15121" s="281">
        <f t="shared" si="2407"/>
        <v>45908</v>
      </c>
      <c r="F15121" s="480"/>
      <c r="G15121" s="221" t="s">
        <v>74</v>
      </c>
      <c r="H15121" s="221"/>
      <c r="I15121" s="145"/>
      <c r="J15121" s="146" t="s">
        <v>52</v>
      </c>
      <c r="K15121" s="219"/>
      <c r="L15121" s="219">
        <f>K15120</f>
        <v>1144957.22</v>
      </c>
      <c r="N15121" s="264"/>
    </row>
    <row r="15122" spans="1:14" x14ac:dyDescent="0.2">
      <c r="A15122" s="168">
        <v>2025</v>
      </c>
      <c r="B15122" s="168">
        <v>9</v>
      </c>
      <c r="C15122" s="133">
        <v>8</v>
      </c>
      <c r="D15122" s="141">
        <f t="shared" si="2406"/>
        <v>45908</v>
      </c>
      <c r="E15122" s="275">
        <f t="shared" si="2407"/>
        <v>45908</v>
      </c>
      <c r="F15122" s="481" t="s">
        <v>982</v>
      </c>
      <c r="G15122" s="174" t="s">
        <v>74</v>
      </c>
      <c r="H15122" s="174"/>
      <c r="I15122" s="148" t="s">
        <v>348</v>
      </c>
      <c r="J15122" s="149" t="s">
        <v>163</v>
      </c>
      <c r="K15122" s="218">
        <v>5750</v>
      </c>
      <c r="L15122" s="218"/>
      <c r="M15122" s="160"/>
    </row>
    <row r="15123" spans="1:14" x14ac:dyDescent="0.2">
      <c r="A15123" s="133">
        <v>2025</v>
      </c>
      <c r="B15123" s="133">
        <v>9</v>
      </c>
      <c r="C15123" s="133">
        <v>8</v>
      </c>
      <c r="D15123" s="141">
        <f t="shared" si="2406"/>
        <v>45908</v>
      </c>
      <c r="E15123" s="275">
        <f t="shared" si="2407"/>
        <v>45908</v>
      </c>
      <c r="F15123" s="481"/>
      <c r="G15123" s="174" t="s">
        <v>74</v>
      </c>
      <c r="H15123" s="174"/>
      <c r="J15123" s="149" t="s">
        <v>1906</v>
      </c>
      <c r="K15123" s="218"/>
      <c r="L15123" s="218">
        <v>250</v>
      </c>
      <c r="M15123" s="160"/>
    </row>
    <row r="15124" spans="1:14" x14ac:dyDescent="0.2">
      <c r="A15124" s="163">
        <v>2025</v>
      </c>
      <c r="B15124" s="163">
        <v>9</v>
      </c>
      <c r="C15124" s="163">
        <v>8</v>
      </c>
      <c r="D15124" s="280">
        <f t="shared" si="2406"/>
        <v>45908</v>
      </c>
      <c r="E15124" s="281">
        <f t="shared" si="2407"/>
        <v>45908</v>
      </c>
      <c r="F15124" s="480"/>
      <c r="G15124" s="221" t="s">
        <v>74</v>
      </c>
      <c r="H15124" s="221"/>
      <c r="I15124" s="145"/>
      <c r="J15124" s="146" t="s">
        <v>52</v>
      </c>
      <c r="K15124" s="219"/>
      <c r="L15124" s="219">
        <v>5500</v>
      </c>
    </row>
    <row r="15125" spans="1:14" x14ac:dyDescent="0.2">
      <c r="A15125" s="168">
        <v>2025</v>
      </c>
      <c r="B15125" s="133">
        <v>9</v>
      </c>
      <c r="C15125" s="168">
        <v>8</v>
      </c>
      <c r="D15125" s="147">
        <f>DATE(A15125,B15125,C15125)</f>
        <v>45908</v>
      </c>
      <c r="E15125" s="311">
        <f>DATE(A15125,B15125,C15125)</f>
        <v>45908</v>
      </c>
      <c r="F15125" s="481" t="s">
        <v>1943</v>
      </c>
      <c r="G15125" s="174" t="s">
        <v>74</v>
      </c>
      <c r="I15125" s="148" t="s">
        <v>348</v>
      </c>
      <c r="J15125" s="133" t="s">
        <v>61</v>
      </c>
      <c r="K15125" s="172">
        <v>200</v>
      </c>
    </row>
    <row r="15126" spans="1:14" x14ac:dyDescent="0.2">
      <c r="A15126" s="163">
        <v>2025</v>
      </c>
      <c r="B15126" s="163">
        <v>9</v>
      </c>
      <c r="C15126" s="163">
        <v>8</v>
      </c>
      <c r="D15126" s="280">
        <f>DATE(A15126,B15126,C15126)</f>
        <v>45908</v>
      </c>
      <c r="E15126" s="281">
        <f>DATE(A15126,B15126,C15126)</f>
        <v>45908</v>
      </c>
      <c r="F15126" s="480"/>
      <c r="G15126" s="221" t="s">
        <v>74</v>
      </c>
      <c r="H15126" s="145"/>
      <c r="I15126" s="145" t="s">
        <v>348</v>
      </c>
      <c r="J15126" s="163" t="s">
        <v>52</v>
      </c>
      <c r="K15126" s="219"/>
      <c r="L15126" s="219">
        <f>K15125</f>
        <v>200</v>
      </c>
    </row>
    <row r="15127" spans="1:14" ht="11.25" customHeight="1" x14ac:dyDescent="0.2">
      <c r="A15127" s="168">
        <v>2025</v>
      </c>
      <c r="B15127" s="168">
        <v>9</v>
      </c>
      <c r="C15127" s="133">
        <v>8</v>
      </c>
      <c r="D15127" s="141">
        <f t="shared" ref="D15127:D15129" si="2408">DATE(A15127,B15127,C15127)</f>
        <v>45908</v>
      </c>
      <c r="E15127" s="275">
        <f t="shared" ref="E15127:E15129" si="2409">DATE(A15127,B15127,C15127)</f>
        <v>45908</v>
      </c>
      <c r="F15127" s="479" t="s">
        <v>1315</v>
      </c>
      <c r="G15127" s="220" t="s">
        <v>74</v>
      </c>
      <c r="H15127" s="142"/>
      <c r="I15127" s="142"/>
      <c r="J15127" s="168" t="s">
        <v>13</v>
      </c>
      <c r="K15127" s="226">
        <v>6690</v>
      </c>
      <c r="L15127" s="226"/>
    </row>
    <row r="15128" spans="1:14" ht="11.25" customHeight="1" x14ac:dyDescent="0.2">
      <c r="A15128" s="133">
        <v>2025</v>
      </c>
      <c r="B15128" s="133">
        <v>9</v>
      </c>
      <c r="C15128" s="133">
        <v>8</v>
      </c>
      <c r="D15128" s="141">
        <f t="shared" si="2408"/>
        <v>45908</v>
      </c>
      <c r="E15128" s="275">
        <f t="shared" si="2409"/>
        <v>45908</v>
      </c>
      <c r="F15128" s="481"/>
      <c r="G15128" s="174" t="s">
        <v>74</v>
      </c>
      <c r="J15128" s="133" t="s">
        <v>53</v>
      </c>
      <c r="K15128" s="218">
        <v>3310</v>
      </c>
      <c r="L15128" s="218"/>
    </row>
    <row r="15129" spans="1:14" ht="11.25" customHeight="1" x14ac:dyDescent="0.2">
      <c r="A15129" s="163">
        <v>2025</v>
      </c>
      <c r="B15129" s="163">
        <v>9</v>
      </c>
      <c r="C15129" s="163">
        <v>8</v>
      </c>
      <c r="D15129" s="280">
        <f t="shared" si="2408"/>
        <v>45908</v>
      </c>
      <c r="E15129" s="281">
        <f t="shared" si="2409"/>
        <v>45908</v>
      </c>
      <c r="F15129" s="480"/>
      <c r="G15129" s="221" t="s">
        <v>74</v>
      </c>
      <c r="H15129" s="145"/>
      <c r="I15129" s="145"/>
      <c r="J15129" s="163" t="s">
        <v>52</v>
      </c>
      <c r="K15129" s="219"/>
      <c r="L15129" s="219">
        <v>10000</v>
      </c>
    </row>
    <row r="15130" spans="1:14" ht="11.25" customHeight="1" x14ac:dyDescent="0.2">
      <c r="A15130" s="168">
        <v>2025</v>
      </c>
      <c r="B15130" s="133">
        <v>9</v>
      </c>
      <c r="C15130" s="168">
        <v>9</v>
      </c>
      <c r="D15130" s="141">
        <f t="shared" ref="D15130:D15131" si="2410">DATE(A15130,B15130,C15130)</f>
        <v>45909</v>
      </c>
      <c r="E15130" s="275">
        <f t="shared" ref="E15130:E15131" si="2411">DATE(A15130,B15130,C15130)</f>
        <v>45909</v>
      </c>
      <c r="F15130" s="479" t="s">
        <v>2116</v>
      </c>
      <c r="G15130" s="220" t="s">
        <v>74</v>
      </c>
      <c r="H15130" s="220"/>
      <c r="I15130" s="142"/>
      <c r="J15130" s="143" t="s">
        <v>147</v>
      </c>
      <c r="K15130" s="226">
        <v>1433876.48</v>
      </c>
      <c r="L15130" s="226"/>
    </row>
    <row r="15131" spans="1:14" x14ac:dyDescent="0.2">
      <c r="A15131" s="163">
        <v>2025</v>
      </c>
      <c r="B15131" s="163">
        <v>9</v>
      </c>
      <c r="C15131" s="163">
        <v>9</v>
      </c>
      <c r="D15131" s="280">
        <f t="shared" si="2410"/>
        <v>45909</v>
      </c>
      <c r="E15131" s="281">
        <f t="shared" si="2411"/>
        <v>45909</v>
      </c>
      <c r="F15131" s="480"/>
      <c r="G15131" s="221" t="s">
        <v>74</v>
      </c>
      <c r="H15131" s="221"/>
      <c r="I15131" s="145"/>
      <c r="J15131" s="146" t="s">
        <v>52</v>
      </c>
      <c r="K15131" s="219"/>
      <c r="L15131" s="219">
        <f>K15130</f>
        <v>1433876.48</v>
      </c>
      <c r="N15131" s="264"/>
    </row>
    <row r="15132" spans="1:14" x14ac:dyDescent="0.2">
      <c r="A15132" s="168">
        <v>2025</v>
      </c>
      <c r="B15132" s="133">
        <v>9</v>
      </c>
      <c r="C15132" s="168">
        <v>9</v>
      </c>
      <c r="D15132" s="147">
        <f>DATE(A15132,B15132,C15132)</f>
        <v>45909</v>
      </c>
      <c r="E15132" s="311">
        <f>DATE(A15132,B15132,C15132)</f>
        <v>45909</v>
      </c>
      <c r="F15132" s="481" t="s">
        <v>1943</v>
      </c>
      <c r="G15132" s="174" t="s">
        <v>74</v>
      </c>
      <c r="I15132" s="148" t="s">
        <v>348</v>
      </c>
      <c r="J15132" s="133" t="s">
        <v>61</v>
      </c>
      <c r="K15132" s="172">
        <v>158</v>
      </c>
    </row>
    <row r="15133" spans="1:14" x14ac:dyDescent="0.2">
      <c r="A15133" s="163">
        <v>2025</v>
      </c>
      <c r="B15133" s="163">
        <v>9</v>
      </c>
      <c r="C15133" s="163">
        <v>9</v>
      </c>
      <c r="D15133" s="280">
        <f>DATE(A15133,B15133,C15133)</f>
        <v>45909</v>
      </c>
      <c r="E15133" s="281">
        <f>DATE(A15133,B15133,C15133)</f>
        <v>45909</v>
      </c>
      <c r="F15133" s="480"/>
      <c r="G15133" s="221" t="s">
        <v>74</v>
      </c>
      <c r="H15133" s="145"/>
      <c r="I15133" s="145" t="s">
        <v>348</v>
      </c>
      <c r="J15133" s="163" t="s">
        <v>52</v>
      </c>
      <c r="K15133" s="219"/>
      <c r="L15133" s="219">
        <f>K15132</f>
        <v>158</v>
      </c>
    </row>
    <row r="15134" spans="1:14" x14ac:dyDescent="0.2">
      <c r="A15134" s="133">
        <v>2025</v>
      </c>
      <c r="B15134" s="133">
        <v>9</v>
      </c>
      <c r="C15134" s="133">
        <v>9</v>
      </c>
      <c r="D15134" s="141">
        <f t="shared" ref="D15134:D15141" si="2412">DATE(A15134,B15134,C15134)</f>
        <v>45909</v>
      </c>
      <c r="E15134" s="275">
        <f t="shared" ref="E15134:E15141" si="2413">DATE(A15134,B15134,C15134)</f>
        <v>45909</v>
      </c>
      <c r="F15134" s="481" t="s">
        <v>2115</v>
      </c>
      <c r="G15134" s="174" t="s">
        <v>94</v>
      </c>
      <c r="H15134" s="174"/>
      <c r="J15134" s="149" t="s">
        <v>79</v>
      </c>
      <c r="K15134" s="218">
        <v>1440800</v>
      </c>
      <c r="L15134" s="218"/>
      <c r="M15134" s="160"/>
    </row>
    <row r="15135" spans="1:14" x14ac:dyDescent="0.2">
      <c r="A15135" s="133">
        <v>2025</v>
      </c>
      <c r="B15135" s="133">
        <v>9</v>
      </c>
      <c r="C15135" s="133">
        <v>9</v>
      </c>
      <c r="D15135" s="141">
        <f t="shared" si="2412"/>
        <v>45909</v>
      </c>
      <c r="E15135" s="275">
        <f t="shared" si="2413"/>
        <v>45909</v>
      </c>
      <c r="F15135" s="481"/>
      <c r="G15135" s="174" t="s">
        <v>94</v>
      </c>
      <c r="H15135" s="174"/>
      <c r="J15135" s="149" t="s">
        <v>80</v>
      </c>
      <c r="K15135" s="218">
        <v>3809.94</v>
      </c>
      <c r="L15135" s="264"/>
      <c r="M15135" s="264"/>
      <c r="N15135" s="264"/>
    </row>
    <row r="15136" spans="1:14" x14ac:dyDescent="0.2">
      <c r="A15136" s="133">
        <v>2025</v>
      </c>
      <c r="B15136" s="133">
        <v>9</v>
      </c>
      <c r="C15136" s="133">
        <v>9</v>
      </c>
      <c r="D15136" s="141">
        <f t="shared" si="2412"/>
        <v>45909</v>
      </c>
      <c r="E15136" s="275">
        <f t="shared" si="2413"/>
        <v>45909</v>
      </c>
      <c r="F15136" s="481"/>
      <c r="G15136" s="174" t="s">
        <v>94</v>
      </c>
      <c r="H15136" s="174"/>
      <c r="J15136" s="149" t="s">
        <v>147</v>
      </c>
      <c r="K15136" s="218"/>
      <c r="L15136" s="218">
        <v>768776.24</v>
      </c>
      <c r="M15136" s="264"/>
    </row>
    <row r="15137" spans="1:17" x14ac:dyDescent="0.2">
      <c r="A15137" s="133">
        <v>2025</v>
      </c>
      <c r="B15137" s="133">
        <v>9</v>
      </c>
      <c r="C15137" s="133">
        <v>9</v>
      </c>
      <c r="D15137" s="141">
        <f t="shared" si="2412"/>
        <v>45909</v>
      </c>
      <c r="E15137" s="275">
        <f t="shared" si="2413"/>
        <v>45909</v>
      </c>
      <c r="F15137" s="481"/>
      <c r="G15137" s="174" t="s">
        <v>94</v>
      </c>
      <c r="H15137" s="174"/>
      <c r="J15137" s="149" t="s">
        <v>191</v>
      </c>
      <c r="L15137" s="218">
        <v>26118.92</v>
      </c>
    </row>
    <row r="15138" spans="1:17" x14ac:dyDescent="0.2">
      <c r="A15138" s="163">
        <v>2025</v>
      </c>
      <c r="B15138" s="163">
        <v>9</v>
      </c>
      <c r="C15138" s="163">
        <v>9</v>
      </c>
      <c r="D15138" s="280">
        <f t="shared" si="2412"/>
        <v>45909</v>
      </c>
      <c r="E15138" s="281">
        <f t="shared" si="2413"/>
        <v>45909</v>
      </c>
      <c r="F15138" s="480"/>
      <c r="G15138" s="221" t="s">
        <v>94</v>
      </c>
      <c r="H15138" s="145"/>
      <c r="I15138" s="145"/>
      <c r="J15138" s="163" t="s">
        <v>79</v>
      </c>
      <c r="K15138" s="219"/>
      <c r="L15138" s="219">
        <v>649714.78</v>
      </c>
      <c r="M15138" s="264"/>
    </row>
    <row r="15139" spans="1:17" ht="11.25" customHeight="1" x14ac:dyDescent="0.2">
      <c r="A15139" s="168">
        <v>2025</v>
      </c>
      <c r="B15139" s="168">
        <v>9</v>
      </c>
      <c r="C15139" s="133">
        <v>9</v>
      </c>
      <c r="D15139" s="141">
        <f t="shared" si="2412"/>
        <v>45909</v>
      </c>
      <c r="E15139" s="275">
        <f t="shared" si="2413"/>
        <v>45909</v>
      </c>
      <c r="F15139" s="479" t="s">
        <v>1315</v>
      </c>
      <c r="G15139" s="220" t="s">
        <v>74</v>
      </c>
      <c r="H15139" s="142"/>
      <c r="I15139" s="142"/>
      <c r="J15139" s="168" t="s">
        <v>13</v>
      </c>
      <c r="K15139" s="226">
        <v>106360</v>
      </c>
      <c r="L15139" s="226"/>
    </row>
    <row r="15140" spans="1:17" ht="11.25" customHeight="1" x14ac:dyDescent="0.2">
      <c r="A15140" s="133">
        <v>2025</v>
      </c>
      <c r="B15140" s="133">
        <v>9</v>
      </c>
      <c r="C15140" s="133">
        <v>9</v>
      </c>
      <c r="D15140" s="141">
        <f t="shared" si="2412"/>
        <v>45909</v>
      </c>
      <c r="E15140" s="275">
        <f t="shared" si="2413"/>
        <v>45909</v>
      </c>
      <c r="F15140" s="481"/>
      <c r="G15140" s="174" t="s">
        <v>74</v>
      </c>
      <c r="J15140" s="133" t="s">
        <v>53</v>
      </c>
      <c r="K15140" s="218">
        <v>52580.03</v>
      </c>
      <c r="L15140" s="218"/>
    </row>
    <row r="15141" spans="1:17" ht="11.25" customHeight="1" x14ac:dyDescent="0.2">
      <c r="A15141" s="163">
        <v>2025</v>
      </c>
      <c r="B15141" s="163">
        <v>9</v>
      </c>
      <c r="C15141" s="163">
        <v>9</v>
      </c>
      <c r="D15141" s="280">
        <f t="shared" si="2412"/>
        <v>45909</v>
      </c>
      <c r="E15141" s="281">
        <f t="shared" si="2413"/>
        <v>45909</v>
      </c>
      <c r="F15141" s="480"/>
      <c r="G15141" s="221" t="s">
        <v>74</v>
      </c>
      <c r="H15141" s="145"/>
      <c r="I15141" s="145"/>
      <c r="J15141" s="163" t="s">
        <v>52</v>
      </c>
      <c r="K15141" s="219"/>
      <c r="L15141" s="219">
        <v>158940.03</v>
      </c>
    </row>
    <row r="15142" spans="1:17" x14ac:dyDescent="0.2">
      <c r="A15142" s="168">
        <v>2025</v>
      </c>
      <c r="B15142" s="133">
        <v>9</v>
      </c>
      <c r="C15142" s="168">
        <v>9</v>
      </c>
      <c r="D15142" s="147">
        <f>DATE(A15142,B15142,C15142)</f>
        <v>45909</v>
      </c>
      <c r="E15142" s="311">
        <f>DATE(A15142,B15142,C15142)</f>
        <v>45909</v>
      </c>
      <c r="F15142" s="481" t="s">
        <v>1943</v>
      </c>
      <c r="G15142" s="174" t="s">
        <v>74</v>
      </c>
      <c r="I15142" s="148" t="s">
        <v>348</v>
      </c>
      <c r="J15142" s="133" t="s">
        <v>61</v>
      </c>
      <c r="K15142" s="172">
        <v>58</v>
      </c>
    </row>
    <row r="15143" spans="1:17" x14ac:dyDescent="0.2">
      <c r="A15143" s="163">
        <v>2025</v>
      </c>
      <c r="B15143" s="163">
        <v>9</v>
      </c>
      <c r="C15143" s="163">
        <v>9</v>
      </c>
      <c r="D15143" s="280">
        <f>DATE(A15143,B15143,C15143)</f>
        <v>45909</v>
      </c>
      <c r="E15143" s="281">
        <f>DATE(A15143,B15143,C15143)</f>
        <v>45909</v>
      </c>
      <c r="F15143" s="480"/>
      <c r="G15143" s="221" t="s">
        <v>74</v>
      </c>
      <c r="H15143" s="145"/>
      <c r="I15143" s="145" t="s">
        <v>348</v>
      </c>
      <c r="J15143" s="163" t="s">
        <v>52</v>
      </c>
      <c r="K15143" s="219"/>
      <c r="L15143" s="219">
        <f>K15142</f>
        <v>58</v>
      </c>
    </row>
    <row r="15144" spans="1:17" ht="11.25" customHeight="1" x14ac:dyDescent="0.2">
      <c r="A15144" s="168">
        <v>2025</v>
      </c>
      <c r="B15144" s="168">
        <v>9</v>
      </c>
      <c r="C15144" s="133">
        <v>10</v>
      </c>
      <c r="D15144" s="141">
        <f t="shared" ref="D15144:D15146" si="2414">DATE(A15144,B15144,C15144)</f>
        <v>45910</v>
      </c>
      <c r="E15144" s="275">
        <f t="shared" ref="E15144:E15146" si="2415">DATE(A15144,B15144,C15144)</f>
        <v>45910</v>
      </c>
      <c r="F15144" s="479" t="s">
        <v>2113</v>
      </c>
      <c r="G15144" s="220" t="s">
        <v>94</v>
      </c>
      <c r="H15144" s="220"/>
      <c r="I15144" s="142"/>
      <c r="J15144" s="143" t="s">
        <v>79</v>
      </c>
      <c r="K15144" s="226">
        <v>1077500</v>
      </c>
      <c r="L15144" s="226"/>
      <c r="M15144" s="160"/>
    </row>
    <row r="15145" spans="1:17" x14ac:dyDescent="0.2">
      <c r="A15145" s="133">
        <v>2025</v>
      </c>
      <c r="B15145" s="133">
        <v>9</v>
      </c>
      <c r="C15145" s="133">
        <v>10</v>
      </c>
      <c r="D15145" s="141">
        <f t="shared" si="2414"/>
        <v>45910</v>
      </c>
      <c r="E15145" s="275">
        <f t="shared" si="2415"/>
        <v>45910</v>
      </c>
      <c r="F15145" s="481"/>
      <c r="G15145" s="174" t="s">
        <v>94</v>
      </c>
      <c r="H15145" s="174"/>
      <c r="J15145" s="149" t="s">
        <v>80</v>
      </c>
      <c r="K15145" s="218">
        <v>1939.5</v>
      </c>
      <c r="L15145" s="133"/>
    </row>
    <row r="15146" spans="1:17" x14ac:dyDescent="0.2">
      <c r="A15146" s="163">
        <v>2025</v>
      </c>
      <c r="B15146" s="163">
        <v>9</v>
      </c>
      <c r="C15146" s="163">
        <v>10</v>
      </c>
      <c r="D15146" s="280">
        <f t="shared" si="2414"/>
        <v>45910</v>
      </c>
      <c r="E15146" s="281">
        <f t="shared" si="2415"/>
        <v>45910</v>
      </c>
      <c r="F15146" s="480"/>
      <c r="G15146" s="221" t="s">
        <v>94</v>
      </c>
      <c r="H15146" s="221"/>
      <c r="I15146" s="145"/>
      <c r="J15146" s="146" t="s">
        <v>147</v>
      </c>
      <c r="K15146" s="219"/>
      <c r="L15146" s="219">
        <v>1079439.5</v>
      </c>
    </row>
    <row r="15147" spans="1:17" ht="11.25" customHeight="1" x14ac:dyDescent="0.2">
      <c r="A15147" s="168">
        <v>2025</v>
      </c>
      <c r="B15147" s="133">
        <v>9</v>
      </c>
      <c r="C15147" s="168">
        <v>10</v>
      </c>
      <c r="D15147" s="141">
        <f t="shared" ref="D15147:D15148" si="2416">DATE(A15147,B15147,C15147)</f>
        <v>45910</v>
      </c>
      <c r="E15147" s="275">
        <f t="shared" ref="E15147:E15148" si="2417">DATE(A15147,B15147,C15147)</f>
        <v>45910</v>
      </c>
      <c r="F15147" s="479" t="s">
        <v>2037</v>
      </c>
      <c r="G15147" s="220" t="s">
        <v>74</v>
      </c>
      <c r="H15147" s="220"/>
      <c r="I15147" s="142"/>
      <c r="J15147" s="143" t="s">
        <v>52</v>
      </c>
      <c r="K15147" s="226">
        <v>110105.9</v>
      </c>
      <c r="L15147" s="226"/>
    </row>
    <row r="15148" spans="1:17" x14ac:dyDescent="0.2">
      <c r="A15148" s="163">
        <v>2025</v>
      </c>
      <c r="B15148" s="163">
        <v>9</v>
      </c>
      <c r="C15148" s="163">
        <v>10</v>
      </c>
      <c r="D15148" s="280">
        <f t="shared" si="2416"/>
        <v>45910</v>
      </c>
      <c r="E15148" s="281">
        <f t="shared" si="2417"/>
        <v>45910</v>
      </c>
      <c r="F15148" s="480"/>
      <c r="G15148" s="221" t="s">
        <v>74</v>
      </c>
      <c r="H15148" s="221"/>
      <c r="I15148" s="145"/>
      <c r="J15148" s="146" t="s">
        <v>190</v>
      </c>
      <c r="K15148" s="219"/>
      <c r="L15148" s="219">
        <f>K15147</f>
        <v>110105.9</v>
      </c>
      <c r="N15148" s="264"/>
    </row>
    <row r="15149" spans="1:17" ht="11.25" customHeight="1" x14ac:dyDescent="0.2">
      <c r="A15149" s="168">
        <v>2025</v>
      </c>
      <c r="B15149" s="168">
        <v>9</v>
      </c>
      <c r="C15149" s="133">
        <v>10</v>
      </c>
      <c r="D15149" s="141">
        <f>DATE(A15149,B15149,C15149)</f>
        <v>45910</v>
      </c>
      <c r="E15149" s="275">
        <f>DATE(A15149,B15149,C15149)</f>
        <v>45910</v>
      </c>
      <c r="F15149" s="481" t="s">
        <v>2119</v>
      </c>
      <c r="G15149" s="174" t="s">
        <v>74</v>
      </c>
      <c r="H15149" s="174"/>
      <c r="I15149" s="148" t="s">
        <v>348</v>
      </c>
      <c r="J15149" s="149" t="s">
        <v>52</v>
      </c>
      <c r="K15149" s="218">
        <v>2256111.04</v>
      </c>
      <c r="L15149" s="218"/>
      <c r="M15149" s="147"/>
      <c r="Q15149" s="133" t="s">
        <v>348</v>
      </c>
    </row>
    <row r="15150" spans="1:17" x14ac:dyDescent="0.2">
      <c r="A15150" s="133">
        <v>2025</v>
      </c>
      <c r="B15150" s="133">
        <v>9</v>
      </c>
      <c r="C15150" s="133">
        <v>10</v>
      </c>
      <c r="D15150" s="141">
        <f t="shared" ref="D15150" si="2418">DATE(A15150,B15150,C15150)</f>
        <v>45910</v>
      </c>
      <c r="E15150" s="275">
        <f t="shared" ref="E15150" si="2419">DATE(A15150,B15150,C15150)</f>
        <v>45910</v>
      </c>
      <c r="F15150" s="481"/>
      <c r="G15150" s="174" t="s">
        <v>74</v>
      </c>
      <c r="H15150" s="174"/>
      <c r="J15150" s="149" t="s">
        <v>1810</v>
      </c>
      <c r="K15150" s="218"/>
      <c r="L15150" s="218">
        <v>279737.20999999996</v>
      </c>
      <c r="M15150" s="147"/>
    </row>
    <row r="15151" spans="1:17" x14ac:dyDescent="0.2">
      <c r="A15151" s="163">
        <v>2025</v>
      </c>
      <c r="B15151" s="163">
        <v>9</v>
      </c>
      <c r="C15151" s="163">
        <v>10</v>
      </c>
      <c r="D15151" s="280">
        <f>DATE(A15151,B15151,C15151)</f>
        <v>45910</v>
      </c>
      <c r="E15151" s="281">
        <f>DATE(A15151,B15151,C15151)</f>
        <v>45910</v>
      </c>
      <c r="F15151" s="480"/>
      <c r="G15151" s="221" t="s">
        <v>74</v>
      </c>
      <c r="H15151" s="221"/>
      <c r="I15151" s="145"/>
      <c r="J15151" s="146" t="s">
        <v>1805</v>
      </c>
      <c r="K15151" s="219"/>
      <c r="L15151" s="219">
        <v>1976373.83</v>
      </c>
      <c r="M15151" s="147"/>
      <c r="Q15151" s="133" t="s">
        <v>348</v>
      </c>
    </row>
    <row r="15152" spans="1:17" ht="11.25" customHeight="1" x14ac:dyDescent="0.2">
      <c r="A15152" s="168">
        <v>2025</v>
      </c>
      <c r="B15152" s="133">
        <v>9</v>
      </c>
      <c r="C15152" s="168">
        <v>11</v>
      </c>
      <c r="D15152" s="141">
        <f t="shared" ref="D15152:D15153" si="2420">DATE(A15152,B15152,C15152)</f>
        <v>45911</v>
      </c>
      <c r="E15152" s="275">
        <f t="shared" ref="E15152:E15153" si="2421">DATE(A15152,B15152,C15152)</f>
        <v>45911</v>
      </c>
      <c r="F15152" s="479" t="s">
        <v>2116</v>
      </c>
      <c r="G15152" s="220" t="s">
        <v>74</v>
      </c>
      <c r="H15152" s="220"/>
      <c r="I15152" s="142"/>
      <c r="J15152" s="143" t="s">
        <v>147</v>
      </c>
      <c r="K15152" s="226">
        <v>1079439.5</v>
      </c>
      <c r="L15152" s="226"/>
    </row>
    <row r="15153" spans="1:14" x14ac:dyDescent="0.2">
      <c r="A15153" s="163">
        <v>2025</v>
      </c>
      <c r="B15153" s="163">
        <v>9</v>
      </c>
      <c r="C15153" s="163">
        <v>11</v>
      </c>
      <c r="D15153" s="280">
        <f t="shared" si="2420"/>
        <v>45911</v>
      </c>
      <c r="E15153" s="281">
        <f t="shared" si="2421"/>
        <v>45911</v>
      </c>
      <c r="F15153" s="480"/>
      <c r="G15153" s="221" t="s">
        <v>74</v>
      </c>
      <c r="H15153" s="221"/>
      <c r="I15153" s="145"/>
      <c r="J15153" s="146" t="s">
        <v>52</v>
      </c>
      <c r="K15153" s="219"/>
      <c r="L15153" s="219">
        <f>K15152</f>
        <v>1079439.5</v>
      </c>
      <c r="N15153" s="264"/>
    </row>
    <row r="15154" spans="1:14" x14ac:dyDescent="0.2">
      <c r="A15154" s="168">
        <v>2025</v>
      </c>
      <c r="B15154" s="133">
        <v>9</v>
      </c>
      <c r="C15154" s="168">
        <v>11</v>
      </c>
      <c r="D15154" s="147">
        <f>DATE(A15154,B15154,C15154)</f>
        <v>45911</v>
      </c>
      <c r="E15154" s="311">
        <f>DATE(A15154,B15154,C15154)</f>
        <v>45911</v>
      </c>
      <c r="F15154" s="481" t="s">
        <v>1943</v>
      </c>
      <c r="G15154" s="174" t="s">
        <v>74</v>
      </c>
      <c r="I15154" s="148" t="s">
        <v>348</v>
      </c>
      <c r="J15154" s="133" t="s">
        <v>61</v>
      </c>
      <c r="K15154" s="172">
        <v>100</v>
      </c>
    </row>
    <row r="15155" spans="1:14" x14ac:dyDescent="0.2">
      <c r="A15155" s="163">
        <v>2025</v>
      </c>
      <c r="B15155" s="163">
        <v>9</v>
      </c>
      <c r="C15155" s="163">
        <v>11</v>
      </c>
      <c r="D15155" s="280">
        <f>DATE(A15155,B15155,C15155)</f>
        <v>45911</v>
      </c>
      <c r="E15155" s="281">
        <f>DATE(A15155,B15155,C15155)</f>
        <v>45911</v>
      </c>
      <c r="F15155" s="480"/>
      <c r="G15155" s="221" t="s">
        <v>74</v>
      </c>
      <c r="H15155" s="145"/>
      <c r="I15155" s="145" t="s">
        <v>348</v>
      </c>
      <c r="J15155" s="163" t="s">
        <v>52</v>
      </c>
      <c r="K15155" s="219"/>
      <c r="L15155" s="219">
        <f>K15154</f>
        <v>100</v>
      </c>
    </row>
    <row r="15156" spans="1:14" x14ac:dyDescent="0.2">
      <c r="A15156" s="325">
        <v>2025</v>
      </c>
      <c r="B15156" s="325">
        <v>9</v>
      </c>
      <c r="C15156" s="325">
        <v>11</v>
      </c>
      <c r="D15156" s="326">
        <f t="shared" ref="D15156:D15181" si="2422">DATE(A15156,B15156,C15156)</f>
        <v>45911</v>
      </c>
      <c r="E15156" s="327">
        <f t="shared" ref="E15156:E15181" si="2423">DATE(A15156,B15156,C15156)</f>
        <v>45911</v>
      </c>
      <c r="F15156" s="473" t="s">
        <v>1940</v>
      </c>
      <c r="G15156" s="340" t="s">
        <v>94</v>
      </c>
      <c r="H15156" s="340"/>
      <c r="I15156" s="341" t="s">
        <v>348</v>
      </c>
      <c r="J15156" s="374" t="s">
        <v>133</v>
      </c>
      <c r="K15156" s="375">
        <v>12905.56</v>
      </c>
      <c r="L15156" s="375"/>
      <c r="M15156" s="176"/>
    </row>
    <row r="15157" spans="1:14" x14ac:dyDescent="0.2">
      <c r="A15157" s="331">
        <v>2025</v>
      </c>
      <c r="B15157" s="331">
        <v>9</v>
      </c>
      <c r="C15157" s="331">
        <v>11</v>
      </c>
      <c r="D15157" s="326">
        <f t="shared" si="2422"/>
        <v>45911</v>
      </c>
      <c r="E15157" s="327">
        <f t="shared" si="2423"/>
        <v>45911</v>
      </c>
      <c r="F15157" s="474"/>
      <c r="G15157" s="332" t="s">
        <v>94</v>
      </c>
      <c r="H15157" s="332"/>
      <c r="I15157" s="333" t="s">
        <v>348</v>
      </c>
      <c r="J15157" s="376" t="s">
        <v>60</v>
      </c>
      <c r="K15157" s="334"/>
      <c r="L15157" s="334">
        <f>K15156</f>
        <v>12905.56</v>
      </c>
    </row>
    <row r="15158" spans="1:14" x14ac:dyDescent="0.2">
      <c r="A15158" s="325">
        <v>2025</v>
      </c>
      <c r="B15158" s="325">
        <v>9</v>
      </c>
      <c r="C15158" s="325">
        <v>11</v>
      </c>
      <c r="D15158" s="326">
        <f t="shared" si="2422"/>
        <v>45911</v>
      </c>
      <c r="E15158" s="327">
        <f t="shared" si="2423"/>
        <v>45911</v>
      </c>
      <c r="F15158" s="473" t="s">
        <v>2097</v>
      </c>
      <c r="G15158" s="340" t="s">
        <v>94</v>
      </c>
      <c r="H15158" s="340"/>
      <c r="I15158" s="341" t="s">
        <v>348</v>
      </c>
      <c r="J15158" s="374" t="s">
        <v>133</v>
      </c>
      <c r="K15158" s="375">
        <v>6250</v>
      </c>
      <c r="L15158" s="375"/>
      <c r="M15158" s="176"/>
    </row>
    <row r="15159" spans="1:14" x14ac:dyDescent="0.2">
      <c r="A15159" s="331">
        <v>2025</v>
      </c>
      <c r="B15159" s="331">
        <v>9</v>
      </c>
      <c r="C15159" s="331">
        <v>11</v>
      </c>
      <c r="D15159" s="326">
        <f t="shared" si="2422"/>
        <v>45911</v>
      </c>
      <c r="E15159" s="327">
        <f t="shared" si="2423"/>
        <v>45911</v>
      </c>
      <c r="F15159" s="474"/>
      <c r="G15159" s="332" t="s">
        <v>94</v>
      </c>
      <c r="H15159" s="332"/>
      <c r="I15159" s="333" t="s">
        <v>348</v>
      </c>
      <c r="J15159" s="376" t="s">
        <v>60</v>
      </c>
      <c r="K15159" s="334"/>
      <c r="L15159" s="334">
        <f>K15158</f>
        <v>6250</v>
      </c>
    </row>
    <row r="15160" spans="1:14" x14ac:dyDescent="0.2">
      <c r="A15160" s="384">
        <v>2025</v>
      </c>
      <c r="B15160" s="384">
        <v>9</v>
      </c>
      <c r="C15160" s="384">
        <v>11</v>
      </c>
      <c r="D15160" s="385">
        <f t="shared" si="2422"/>
        <v>45911</v>
      </c>
      <c r="E15160" s="386">
        <f t="shared" si="2423"/>
        <v>45911</v>
      </c>
      <c r="F15160" s="475" t="s">
        <v>1966</v>
      </c>
      <c r="G15160" s="387" t="s">
        <v>94</v>
      </c>
      <c r="H15160" s="387"/>
      <c r="I15160" s="388" t="s">
        <v>348</v>
      </c>
      <c r="J15160" s="389" t="s">
        <v>67</v>
      </c>
      <c r="K15160" s="390">
        <v>3822.8</v>
      </c>
      <c r="L15160" s="390"/>
    </row>
    <row r="15161" spans="1:14" x14ac:dyDescent="0.2">
      <c r="A15161" s="391">
        <v>2025</v>
      </c>
      <c r="B15161" s="391">
        <v>9</v>
      </c>
      <c r="C15161" s="391">
        <v>11</v>
      </c>
      <c r="D15161" s="385">
        <f t="shared" si="2422"/>
        <v>45911</v>
      </c>
      <c r="E15161" s="386">
        <f t="shared" si="2423"/>
        <v>45911</v>
      </c>
      <c r="F15161" s="476"/>
      <c r="G15161" s="392" t="s">
        <v>94</v>
      </c>
      <c r="H15161" s="392"/>
      <c r="I15161" s="393" t="s">
        <v>348</v>
      </c>
      <c r="J15161" s="394" t="s">
        <v>60</v>
      </c>
      <c r="K15161" s="395"/>
      <c r="L15161" s="395">
        <f>K15160</f>
        <v>3822.8</v>
      </c>
    </row>
    <row r="15162" spans="1:14" x14ac:dyDescent="0.2">
      <c r="A15162" s="343">
        <v>2025</v>
      </c>
      <c r="B15162" s="343">
        <v>9</v>
      </c>
      <c r="C15162" s="343">
        <v>11</v>
      </c>
      <c r="D15162" s="344">
        <f t="shared" si="2422"/>
        <v>45911</v>
      </c>
      <c r="E15162" s="345">
        <f t="shared" si="2423"/>
        <v>45911</v>
      </c>
      <c r="F15162" s="483" t="s">
        <v>1813</v>
      </c>
      <c r="G15162" s="350" t="s">
        <v>94</v>
      </c>
      <c r="H15162" s="350"/>
      <c r="I15162" s="352" t="s">
        <v>348</v>
      </c>
      <c r="J15162" s="353" t="s">
        <v>1807</v>
      </c>
      <c r="K15162" s="354">
        <v>0</v>
      </c>
      <c r="L15162" s="354"/>
      <c r="M15162" s="133">
        <v>0</v>
      </c>
    </row>
    <row r="15163" spans="1:14" x14ac:dyDescent="0.2">
      <c r="A15163" s="346">
        <v>2025</v>
      </c>
      <c r="B15163" s="346">
        <v>9</v>
      </c>
      <c r="C15163" s="346">
        <v>11</v>
      </c>
      <c r="D15163" s="344">
        <f t="shared" si="2422"/>
        <v>45911</v>
      </c>
      <c r="E15163" s="345">
        <f t="shared" si="2423"/>
        <v>45911</v>
      </c>
      <c r="F15163" s="484"/>
      <c r="G15163" s="347" t="s">
        <v>94</v>
      </c>
      <c r="H15163" s="347"/>
      <c r="I15163" s="348" t="s">
        <v>348</v>
      </c>
      <c r="J15163" s="355" t="s">
        <v>1798</v>
      </c>
      <c r="K15163" s="349"/>
      <c r="L15163" s="349">
        <v>0</v>
      </c>
    </row>
    <row r="15164" spans="1:14" x14ac:dyDescent="0.2">
      <c r="A15164" s="343">
        <v>2025</v>
      </c>
      <c r="B15164" s="343">
        <v>9</v>
      </c>
      <c r="C15164" s="343">
        <v>11</v>
      </c>
      <c r="D15164" s="344">
        <f t="shared" si="2422"/>
        <v>45911</v>
      </c>
      <c r="E15164" s="345">
        <f t="shared" si="2423"/>
        <v>45911</v>
      </c>
      <c r="F15164" s="483" t="s">
        <v>1913</v>
      </c>
      <c r="G15164" s="350" t="s">
        <v>94</v>
      </c>
      <c r="H15164" s="350"/>
      <c r="I15164" s="352" t="s">
        <v>348</v>
      </c>
      <c r="J15164" s="353" t="s">
        <v>1808</v>
      </c>
      <c r="K15164" s="354">
        <v>243538.25000000373</v>
      </c>
      <c r="L15164" s="354"/>
      <c r="M15164" s="160">
        <v>0</v>
      </c>
    </row>
    <row r="15165" spans="1:14" x14ac:dyDescent="0.2">
      <c r="A15165" s="346">
        <v>2025</v>
      </c>
      <c r="B15165" s="346">
        <v>9</v>
      </c>
      <c r="C15165" s="346">
        <v>11</v>
      </c>
      <c r="D15165" s="344">
        <f t="shared" si="2422"/>
        <v>45911</v>
      </c>
      <c r="E15165" s="345">
        <f t="shared" si="2423"/>
        <v>45911</v>
      </c>
      <c r="F15165" s="484"/>
      <c r="G15165" s="347" t="s">
        <v>94</v>
      </c>
      <c r="H15165" s="347"/>
      <c r="I15165" s="348" t="s">
        <v>348</v>
      </c>
      <c r="J15165" s="355" t="s">
        <v>1799</v>
      </c>
      <c r="K15165" s="349"/>
      <c r="L15165" s="349">
        <f>K15164</f>
        <v>243538.25000000373</v>
      </c>
    </row>
    <row r="15166" spans="1:14" x14ac:dyDescent="0.2">
      <c r="A15166" s="238">
        <v>2025</v>
      </c>
      <c r="B15166" s="238">
        <v>9</v>
      </c>
      <c r="C15166" s="238">
        <v>11</v>
      </c>
      <c r="D15166" s="270">
        <f t="shared" si="2422"/>
        <v>45911</v>
      </c>
      <c r="E15166" s="279">
        <f t="shared" si="2423"/>
        <v>45911</v>
      </c>
      <c r="F15166" s="477" t="s">
        <v>347</v>
      </c>
      <c r="G15166" s="239" t="s">
        <v>94</v>
      </c>
      <c r="H15166" s="239"/>
      <c r="I15166" s="262" t="s">
        <v>348</v>
      </c>
      <c r="J15166" s="240" t="s">
        <v>82</v>
      </c>
      <c r="K15166" s="241">
        <v>2620664.4823000431</v>
      </c>
      <c r="L15166" s="241"/>
      <c r="M15166" s="160">
        <v>13139541.900000483</v>
      </c>
    </row>
    <row r="15167" spans="1:14" x14ac:dyDescent="0.2">
      <c r="A15167" s="242">
        <v>2025</v>
      </c>
      <c r="B15167" s="242">
        <v>9</v>
      </c>
      <c r="C15167" s="242">
        <v>11</v>
      </c>
      <c r="D15167" s="270">
        <f t="shared" si="2422"/>
        <v>45911</v>
      </c>
      <c r="E15167" s="279">
        <f t="shared" si="2423"/>
        <v>45911</v>
      </c>
      <c r="F15167" s="478"/>
      <c r="G15167" s="243" t="s">
        <v>94</v>
      </c>
      <c r="H15167" s="243"/>
      <c r="I15167" s="263" t="s">
        <v>348</v>
      </c>
      <c r="J15167" s="244" t="s">
        <v>108</v>
      </c>
      <c r="K15167" s="245"/>
      <c r="L15167" s="245">
        <f>K15166</f>
        <v>2620664.4823000431</v>
      </c>
    </row>
    <row r="15168" spans="1:14" ht="12" customHeight="1" x14ac:dyDescent="0.2">
      <c r="A15168" s="246">
        <v>2025</v>
      </c>
      <c r="B15168" s="238">
        <v>9</v>
      </c>
      <c r="C15168" s="238">
        <v>11</v>
      </c>
      <c r="D15168" s="270">
        <f t="shared" si="2422"/>
        <v>45911</v>
      </c>
      <c r="E15168" s="279">
        <f t="shared" si="2423"/>
        <v>45911</v>
      </c>
      <c r="F15168" s="482" t="s">
        <v>148</v>
      </c>
      <c r="G15168" s="247" t="s">
        <v>94</v>
      </c>
      <c r="H15168" s="247"/>
      <c r="I15168" s="248" t="s">
        <v>348</v>
      </c>
      <c r="J15168" s="249" t="s">
        <v>95</v>
      </c>
      <c r="K15168" s="250">
        <v>2747.2527472527472</v>
      </c>
      <c r="L15168" s="241"/>
      <c r="M15168" s="176"/>
    </row>
    <row r="15169" spans="1:14" x14ac:dyDescent="0.2">
      <c r="A15169" s="242">
        <v>2025</v>
      </c>
      <c r="B15169" s="242">
        <v>9</v>
      </c>
      <c r="C15169" s="242">
        <v>11</v>
      </c>
      <c r="D15169" s="270">
        <f t="shared" si="2422"/>
        <v>45911</v>
      </c>
      <c r="E15169" s="279">
        <f t="shared" si="2423"/>
        <v>45911</v>
      </c>
      <c r="F15169" s="478"/>
      <c r="G15169" s="243" t="s">
        <v>94</v>
      </c>
      <c r="H15169" s="243"/>
      <c r="I15169" s="263" t="s">
        <v>348</v>
      </c>
      <c r="J15169" s="244" t="s">
        <v>63</v>
      </c>
      <c r="K15169" s="245"/>
      <c r="L15169" s="245">
        <f>K15168</f>
        <v>2747.2527472527472</v>
      </c>
    </row>
    <row r="15170" spans="1:14" x14ac:dyDescent="0.2">
      <c r="A15170" s="246">
        <v>2025</v>
      </c>
      <c r="B15170" s="238">
        <v>9</v>
      </c>
      <c r="C15170" s="238">
        <v>11</v>
      </c>
      <c r="D15170" s="270">
        <f t="shared" si="2422"/>
        <v>45911</v>
      </c>
      <c r="E15170" s="279">
        <f t="shared" si="2423"/>
        <v>45911</v>
      </c>
      <c r="F15170" s="482" t="s">
        <v>137</v>
      </c>
      <c r="G15170" s="247" t="s">
        <v>94</v>
      </c>
      <c r="H15170" s="247"/>
      <c r="I15170" s="248" t="s">
        <v>348</v>
      </c>
      <c r="J15170" s="249" t="s">
        <v>97</v>
      </c>
      <c r="K15170" s="250">
        <f>M15170</f>
        <v>92760.800108174895</v>
      </c>
      <c r="L15170" s="252"/>
      <c r="M15170" s="133">
        <v>92760.800108174895</v>
      </c>
    </row>
    <row r="15171" spans="1:14" x14ac:dyDescent="0.2">
      <c r="A15171" s="242">
        <v>2025</v>
      </c>
      <c r="B15171" s="242">
        <v>9</v>
      </c>
      <c r="C15171" s="242">
        <v>11</v>
      </c>
      <c r="D15171" s="270">
        <f t="shared" si="2422"/>
        <v>45911</v>
      </c>
      <c r="E15171" s="279">
        <f t="shared" si="2423"/>
        <v>45911</v>
      </c>
      <c r="F15171" s="478"/>
      <c r="G15171" s="243" t="s">
        <v>94</v>
      </c>
      <c r="H15171" s="243"/>
      <c r="I15171" s="263" t="s">
        <v>348</v>
      </c>
      <c r="J15171" s="244" t="s">
        <v>47</v>
      </c>
      <c r="K15171" s="245"/>
      <c r="L15171" s="245">
        <f>K15170</f>
        <v>92760.800108174895</v>
      </c>
      <c r="M15171" s="133">
        <v>4397.6553900241288</v>
      </c>
    </row>
    <row r="15172" spans="1:14" x14ac:dyDescent="0.2">
      <c r="A15172" s="246">
        <v>2025</v>
      </c>
      <c r="B15172" s="238">
        <v>9</v>
      </c>
      <c r="C15172" s="238">
        <v>11</v>
      </c>
      <c r="D15172" s="270">
        <f t="shared" si="2422"/>
        <v>45911</v>
      </c>
      <c r="E15172" s="279">
        <f t="shared" si="2423"/>
        <v>45911</v>
      </c>
      <c r="F15172" s="482" t="s">
        <v>138</v>
      </c>
      <c r="G15172" s="247" t="s">
        <v>94</v>
      </c>
      <c r="H15172" s="247"/>
      <c r="I15172" s="248" t="s">
        <v>348</v>
      </c>
      <c r="J15172" s="249" t="s">
        <v>100</v>
      </c>
      <c r="K15172" s="250">
        <f>M15171</f>
        <v>4397.6553900241288</v>
      </c>
      <c r="L15172" s="252"/>
    </row>
    <row r="15173" spans="1:14" x14ac:dyDescent="0.2">
      <c r="A15173" s="242">
        <v>2025</v>
      </c>
      <c r="B15173" s="242">
        <v>9</v>
      </c>
      <c r="C15173" s="242">
        <v>11</v>
      </c>
      <c r="D15173" s="321">
        <f t="shared" si="2422"/>
        <v>45911</v>
      </c>
      <c r="E15173" s="322">
        <f t="shared" si="2423"/>
        <v>45911</v>
      </c>
      <c r="F15173" s="478"/>
      <c r="G15173" s="243" t="s">
        <v>94</v>
      </c>
      <c r="H15173" s="243"/>
      <c r="I15173" s="263" t="s">
        <v>348</v>
      </c>
      <c r="J15173" s="244" t="s">
        <v>48</v>
      </c>
      <c r="K15173" s="245"/>
      <c r="L15173" s="245">
        <f>K15172</f>
        <v>4397.6553900241288</v>
      </c>
    </row>
    <row r="15174" spans="1:14" ht="11.25" customHeight="1" x14ac:dyDescent="0.2">
      <c r="A15174" s="168">
        <v>2025</v>
      </c>
      <c r="B15174" s="168">
        <v>9</v>
      </c>
      <c r="C15174" s="133">
        <v>14</v>
      </c>
      <c r="D15174" s="141">
        <f t="shared" si="2422"/>
        <v>45914</v>
      </c>
      <c r="E15174" s="275">
        <f t="shared" si="2423"/>
        <v>45914</v>
      </c>
      <c r="F15174" s="479" t="s">
        <v>964</v>
      </c>
      <c r="G15174" s="220" t="s">
        <v>74</v>
      </c>
      <c r="H15174" s="142"/>
      <c r="I15174" s="142"/>
      <c r="J15174" s="168" t="s">
        <v>52</v>
      </c>
      <c r="K15174" s="226">
        <v>100000</v>
      </c>
      <c r="L15174" s="226"/>
    </row>
    <row r="15175" spans="1:14" ht="11.25" customHeight="1" x14ac:dyDescent="0.2">
      <c r="A15175" s="133">
        <v>2025</v>
      </c>
      <c r="B15175" s="133">
        <v>9</v>
      </c>
      <c r="C15175" s="133">
        <v>14</v>
      </c>
      <c r="D15175" s="141">
        <f t="shared" si="2422"/>
        <v>45914</v>
      </c>
      <c r="E15175" s="275">
        <f t="shared" si="2423"/>
        <v>45914</v>
      </c>
      <c r="F15175" s="481"/>
      <c r="G15175" s="174" t="s">
        <v>74</v>
      </c>
      <c r="J15175" s="133" t="s">
        <v>13</v>
      </c>
      <c r="K15175" s="218"/>
      <c r="L15175" s="218">
        <v>67630</v>
      </c>
    </row>
    <row r="15176" spans="1:14" ht="11.25" customHeight="1" x14ac:dyDescent="0.2">
      <c r="A15176" s="163">
        <v>2025</v>
      </c>
      <c r="B15176" s="163">
        <v>9</v>
      </c>
      <c r="C15176" s="163">
        <v>14</v>
      </c>
      <c r="D15176" s="280">
        <f t="shared" si="2422"/>
        <v>45914</v>
      </c>
      <c r="E15176" s="281">
        <f t="shared" si="2423"/>
        <v>45914</v>
      </c>
      <c r="F15176" s="480"/>
      <c r="G15176" s="221" t="s">
        <v>74</v>
      </c>
      <c r="H15176" s="145"/>
      <c r="I15176" s="145"/>
      <c r="J15176" s="163" t="s">
        <v>53</v>
      </c>
      <c r="K15176" s="219"/>
      <c r="L15176" s="219">
        <v>32370</v>
      </c>
    </row>
    <row r="15177" spans="1:14" ht="11.25" customHeight="1" x14ac:dyDescent="0.2">
      <c r="A15177" s="168">
        <v>2025</v>
      </c>
      <c r="B15177" s="133">
        <v>9</v>
      </c>
      <c r="C15177" s="168">
        <v>14</v>
      </c>
      <c r="D15177" s="141">
        <f t="shared" si="2422"/>
        <v>45914</v>
      </c>
      <c r="E15177" s="275">
        <f t="shared" si="2423"/>
        <v>45914</v>
      </c>
      <c r="F15177" s="479" t="s">
        <v>2116</v>
      </c>
      <c r="G15177" s="220" t="s">
        <v>74</v>
      </c>
      <c r="H15177" s="220"/>
      <c r="I15177" s="142"/>
      <c r="J15177" s="143" t="s">
        <v>147</v>
      </c>
      <c r="K15177" s="226">
        <v>768776.24</v>
      </c>
      <c r="L15177" s="226"/>
    </row>
    <row r="15178" spans="1:14" x14ac:dyDescent="0.2">
      <c r="A15178" s="163">
        <v>2025</v>
      </c>
      <c r="B15178" s="163">
        <v>9</v>
      </c>
      <c r="C15178" s="163">
        <v>14</v>
      </c>
      <c r="D15178" s="280">
        <f t="shared" si="2422"/>
        <v>45914</v>
      </c>
      <c r="E15178" s="281">
        <f t="shared" si="2423"/>
        <v>45914</v>
      </c>
      <c r="F15178" s="480"/>
      <c r="G15178" s="221" t="s">
        <v>74</v>
      </c>
      <c r="H15178" s="221"/>
      <c r="I15178" s="145"/>
      <c r="J15178" s="146" t="s">
        <v>52</v>
      </c>
      <c r="K15178" s="219"/>
      <c r="L15178" s="219">
        <f>K15177</f>
        <v>768776.24</v>
      </c>
      <c r="N15178" s="264"/>
    </row>
    <row r="15179" spans="1:14" ht="11.25" customHeight="1" x14ac:dyDescent="0.2">
      <c r="A15179" s="168">
        <v>2025</v>
      </c>
      <c r="B15179" s="168">
        <v>9</v>
      </c>
      <c r="C15179" s="133">
        <v>14</v>
      </c>
      <c r="D15179" s="141">
        <f t="shared" si="2422"/>
        <v>45914</v>
      </c>
      <c r="E15179" s="275">
        <f t="shared" si="2423"/>
        <v>45914</v>
      </c>
      <c r="F15179" s="479" t="s">
        <v>2113</v>
      </c>
      <c r="G15179" s="220" t="s">
        <v>94</v>
      </c>
      <c r="H15179" s="220"/>
      <c r="I15179" s="142"/>
      <c r="J15179" s="143" t="s">
        <v>79</v>
      </c>
      <c r="K15179" s="226">
        <v>1187065</v>
      </c>
      <c r="L15179" s="226"/>
      <c r="M15179" s="160"/>
    </row>
    <row r="15180" spans="1:14" x14ac:dyDescent="0.2">
      <c r="A15180" s="133">
        <v>2025</v>
      </c>
      <c r="B15180" s="133">
        <v>9</v>
      </c>
      <c r="C15180" s="133">
        <v>14</v>
      </c>
      <c r="D15180" s="141">
        <f t="shared" si="2422"/>
        <v>45914</v>
      </c>
      <c r="E15180" s="275">
        <f t="shared" si="2423"/>
        <v>45914</v>
      </c>
      <c r="F15180" s="481"/>
      <c r="G15180" s="174" t="s">
        <v>94</v>
      </c>
      <c r="H15180" s="174"/>
      <c r="J15180" s="149" t="s">
        <v>80</v>
      </c>
      <c r="K15180" s="218">
        <v>2136.7199999999998</v>
      </c>
      <c r="L15180" s="133"/>
    </row>
    <row r="15181" spans="1:14" x14ac:dyDescent="0.2">
      <c r="A15181" s="163">
        <v>2025</v>
      </c>
      <c r="B15181" s="163">
        <v>9</v>
      </c>
      <c r="C15181" s="163">
        <v>14</v>
      </c>
      <c r="D15181" s="280">
        <f t="shared" si="2422"/>
        <v>45914</v>
      </c>
      <c r="E15181" s="281">
        <f t="shared" si="2423"/>
        <v>45914</v>
      </c>
      <c r="F15181" s="480"/>
      <c r="G15181" s="221" t="s">
        <v>94</v>
      </c>
      <c r="H15181" s="221"/>
      <c r="I15181" s="145"/>
      <c r="J15181" s="146" t="s">
        <v>147</v>
      </c>
      <c r="K15181" s="219"/>
      <c r="L15181" s="219">
        <v>1189201.72</v>
      </c>
    </row>
    <row r="15182" spans="1:14" ht="11.25" customHeight="1" x14ac:dyDescent="0.2">
      <c r="A15182" s="168">
        <v>2025</v>
      </c>
      <c r="B15182" s="133">
        <v>9</v>
      </c>
      <c r="C15182" s="168">
        <v>15</v>
      </c>
      <c r="D15182" s="141">
        <f t="shared" ref="D15182:D15183" si="2424">DATE(A15182,B15182,C15182)</f>
        <v>45915</v>
      </c>
      <c r="E15182" s="275">
        <f t="shared" ref="E15182:E15183" si="2425">DATE(A15182,B15182,C15182)</f>
        <v>45915</v>
      </c>
      <c r="F15182" s="479" t="s">
        <v>2116</v>
      </c>
      <c r="G15182" s="220" t="s">
        <v>74</v>
      </c>
      <c r="H15182" s="220"/>
      <c r="I15182" s="142"/>
      <c r="J15182" s="143" t="s">
        <v>147</v>
      </c>
      <c r="K15182" s="226">
        <v>1189201.72</v>
      </c>
      <c r="L15182" s="226"/>
    </row>
    <row r="15183" spans="1:14" x14ac:dyDescent="0.2">
      <c r="A15183" s="163">
        <v>2025</v>
      </c>
      <c r="B15183" s="163">
        <v>9</v>
      </c>
      <c r="C15183" s="163">
        <v>15</v>
      </c>
      <c r="D15183" s="280">
        <f t="shared" si="2424"/>
        <v>45915</v>
      </c>
      <c r="E15183" s="281">
        <f t="shared" si="2425"/>
        <v>45915</v>
      </c>
      <c r="F15183" s="480"/>
      <c r="G15183" s="221" t="s">
        <v>74</v>
      </c>
      <c r="H15183" s="221"/>
      <c r="I15183" s="145"/>
      <c r="J15183" s="146" t="s">
        <v>52</v>
      </c>
      <c r="K15183" s="219"/>
      <c r="L15183" s="219">
        <f>K15182</f>
        <v>1189201.72</v>
      </c>
      <c r="N15183" s="264"/>
    </row>
    <row r="15184" spans="1:14" x14ac:dyDescent="0.2">
      <c r="A15184" s="168">
        <v>2025</v>
      </c>
      <c r="B15184" s="133">
        <v>9</v>
      </c>
      <c r="C15184" s="168">
        <v>15</v>
      </c>
      <c r="D15184" s="147">
        <f>DATE(A15184,B15184,C15184)</f>
        <v>45915</v>
      </c>
      <c r="E15184" s="311">
        <f>DATE(A15184,B15184,C15184)</f>
        <v>45915</v>
      </c>
      <c r="F15184" s="481" t="s">
        <v>1943</v>
      </c>
      <c r="G15184" s="174" t="s">
        <v>74</v>
      </c>
      <c r="I15184" s="148" t="s">
        <v>348</v>
      </c>
      <c r="J15184" s="133" t="s">
        <v>61</v>
      </c>
      <c r="K15184" s="172">
        <v>100</v>
      </c>
    </row>
    <row r="15185" spans="1:14" x14ac:dyDescent="0.2">
      <c r="A15185" s="163">
        <v>2025</v>
      </c>
      <c r="B15185" s="163">
        <v>9</v>
      </c>
      <c r="C15185" s="163">
        <v>15</v>
      </c>
      <c r="D15185" s="280">
        <f>DATE(A15185,B15185,C15185)</f>
        <v>45915</v>
      </c>
      <c r="E15185" s="281">
        <f>DATE(A15185,B15185,C15185)</f>
        <v>45915</v>
      </c>
      <c r="F15185" s="480"/>
      <c r="G15185" s="221" t="s">
        <v>74</v>
      </c>
      <c r="H15185" s="145"/>
      <c r="I15185" s="145" t="s">
        <v>348</v>
      </c>
      <c r="J15185" s="163" t="s">
        <v>52</v>
      </c>
      <c r="K15185" s="219"/>
      <c r="L15185" s="219">
        <f>K15184</f>
        <v>100</v>
      </c>
    </row>
    <row r="15186" spans="1:14" x14ac:dyDescent="0.2">
      <c r="A15186" s="133">
        <v>2025</v>
      </c>
      <c r="B15186" s="133">
        <v>9</v>
      </c>
      <c r="C15186" s="133">
        <v>15</v>
      </c>
      <c r="D15186" s="141">
        <f t="shared" ref="D15186:D15200" si="2426">DATE(A15186,B15186,C15186)</f>
        <v>45915</v>
      </c>
      <c r="E15186" s="275">
        <f t="shared" ref="E15186:E15200" si="2427">DATE(A15186,B15186,C15186)</f>
        <v>45915</v>
      </c>
      <c r="F15186" s="481" t="s">
        <v>2115</v>
      </c>
      <c r="G15186" s="174" t="s">
        <v>94</v>
      </c>
      <c r="H15186" s="174"/>
      <c r="J15186" s="149" t="s">
        <v>79</v>
      </c>
      <c r="K15186" s="218">
        <v>793728</v>
      </c>
      <c r="L15186" s="218"/>
      <c r="M15186" s="160"/>
    </row>
    <row r="15187" spans="1:14" x14ac:dyDescent="0.2">
      <c r="A15187" s="133">
        <v>2025</v>
      </c>
      <c r="B15187" s="133">
        <v>9</v>
      </c>
      <c r="C15187" s="133">
        <v>15</v>
      </c>
      <c r="D15187" s="141">
        <f t="shared" si="2426"/>
        <v>45915</v>
      </c>
      <c r="E15187" s="275">
        <f t="shared" si="2427"/>
        <v>45915</v>
      </c>
      <c r="F15187" s="481"/>
      <c r="G15187" s="174" t="s">
        <v>94</v>
      </c>
      <c r="H15187" s="174"/>
      <c r="J15187" s="149" t="s">
        <v>80</v>
      </c>
      <c r="K15187" s="218">
        <v>6257.58</v>
      </c>
      <c r="L15187" s="264"/>
      <c r="M15187" s="264"/>
      <c r="N15187" s="264"/>
    </row>
    <row r="15188" spans="1:14" x14ac:dyDescent="0.2">
      <c r="A15188" s="133">
        <v>2025</v>
      </c>
      <c r="B15188" s="133">
        <v>9</v>
      </c>
      <c r="C15188" s="133">
        <v>15</v>
      </c>
      <c r="D15188" s="141">
        <f t="shared" si="2426"/>
        <v>45915</v>
      </c>
      <c r="E15188" s="275">
        <f t="shared" si="2427"/>
        <v>45915</v>
      </c>
      <c r="F15188" s="481"/>
      <c r="G15188" s="174" t="s">
        <v>94</v>
      </c>
      <c r="H15188" s="174"/>
      <c r="J15188" s="149" t="s">
        <v>190</v>
      </c>
      <c r="K15188" s="218">
        <v>1882722.22</v>
      </c>
      <c r="L15188" s="218"/>
      <c r="M15188" s="264"/>
    </row>
    <row r="15189" spans="1:14" x14ac:dyDescent="0.2">
      <c r="A15189" s="133">
        <v>2025</v>
      </c>
      <c r="B15189" s="133">
        <v>9</v>
      </c>
      <c r="C15189" s="133">
        <v>15</v>
      </c>
      <c r="D15189" s="141">
        <f t="shared" si="2426"/>
        <v>45915</v>
      </c>
      <c r="E15189" s="275">
        <f t="shared" si="2427"/>
        <v>45915</v>
      </c>
      <c r="F15189" s="481"/>
      <c r="G15189" s="174" t="s">
        <v>94</v>
      </c>
      <c r="H15189" s="174"/>
      <c r="J15189" s="149" t="s">
        <v>191</v>
      </c>
      <c r="L15189" s="218">
        <v>76189.52</v>
      </c>
    </row>
    <row r="15190" spans="1:14" x14ac:dyDescent="0.2">
      <c r="A15190" s="163">
        <v>2025</v>
      </c>
      <c r="B15190" s="163">
        <v>9</v>
      </c>
      <c r="C15190" s="163">
        <v>15</v>
      </c>
      <c r="D15190" s="280">
        <f t="shared" si="2426"/>
        <v>45915</v>
      </c>
      <c r="E15190" s="281">
        <f t="shared" si="2427"/>
        <v>45915</v>
      </c>
      <c r="F15190" s="480"/>
      <c r="G15190" s="221" t="s">
        <v>94</v>
      </c>
      <c r="H15190" s="145"/>
      <c r="I15190" s="145"/>
      <c r="J15190" s="163" t="s">
        <v>79</v>
      </c>
      <c r="K15190" s="219"/>
      <c r="L15190" s="219">
        <v>2606518.2799999998</v>
      </c>
      <c r="M15190" s="264"/>
    </row>
    <row r="15191" spans="1:14" ht="11.25" customHeight="1" x14ac:dyDescent="0.2">
      <c r="A15191" s="168">
        <v>2025</v>
      </c>
      <c r="B15191" s="168">
        <v>9</v>
      </c>
      <c r="C15191" s="133">
        <v>15</v>
      </c>
      <c r="D15191" s="141">
        <f t="shared" si="2426"/>
        <v>45915</v>
      </c>
      <c r="E15191" s="275">
        <f t="shared" si="2427"/>
        <v>45915</v>
      </c>
      <c r="F15191" s="479" t="s">
        <v>964</v>
      </c>
      <c r="G15191" s="220" t="s">
        <v>74</v>
      </c>
      <c r="H15191" s="142"/>
      <c r="I15191" s="142"/>
      <c r="J15191" s="168" t="s">
        <v>52</v>
      </c>
      <c r="K15191" s="226">
        <v>1000000</v>
      </c>
      <c r="L15191" s="226"/>
    </row>
    <row r="15192" spans="1:14" ht="11.25" customHeight="1" x14ac:dyDescent="0.2">
      <c r="A15192" s="133">
        <v>2025</v>
      </c>
      <c r="B15192" s="133">
        <v>9</v>
      </c>
      <c r="C15192" s="133">
        <v>15</v>
      </c>
      <c r="D15192" s="141">
        <f t="shared" si="2426"/>
        <v>45915</v>
      </c>
      <c r="E15192" s="275">
        <f t="shared" si="2427"/>
        <v>45915</v>
      </c>
      <c r="F15192" s="481"/>
      <c r="G15192" s="174" t="s">
        <v>74</v>
      </c>
      <c r="J15192" s="133" t="s">
        <v>13</v>
      </c>
      <c r="K15192" s="218"/>
      <c r="L15192" s="218">
        <v>676270</v>
      </c>
    </row>
    <row r="15193" spans="1:14" ht="11.25" customHeight="1" x14ac:dyDescent="0.2">
      <c r="A15193" s="163">
        <v>2025</v>
      </c>
      <c r="B15193" s="163">
        <v>9</v>
      </c>
      <c r="C15193" s="163">
        <v>15</v>
      </c>
      <c r="D15193" s="280">
        <f t="shared" si="2426"/>
        <v>45915</v>
      </c>
      <c r="E15193" s="281">
        <f t="shared" si="2427"/>
        <v>45915</v>
      </c>
      <c r="F15193" s="480"/>
      <c r="G15193" s="221" t="s">
        <v>74</v>
      </c>
      <c r="H15193" s="145"/>
      <c r="I15193" s="145"/>
      <c r="J15193" s="163" t="s">
        <v>53</v>
      </c>
      <c r="K15193" s="219"/>
      <c r="L15193" s="219">
        <v>323730</v>
      </c>
    </row>
    <row r="15194" spans="1:14" x14ac:dyDescent="0.2">
      <c r="A15194" s="168">
        <v>2025</v>
      </c>
      <c r="B15194" s="133">
        <v>9</v>
      </c>
      <c r="C15194" s="168">
        <v>15</v>
      </c>
      <c r="D15194" s="147">
        <f>DATE(A15194,B15194,C15194)</f>
        <v>45915</v>
      </c>
      <c r="E15194" s="311">
        <f>DATE(A15194,B15194,C15194)</f>
        <v>45915</v>
      </c>
      <c r="F15194" s="481" t="s">
        <v>1956</v>
      </c>
      <c r="G15194" s="174" t="s">
        <v>74</v>
      </c>
      <c r="I15194" s="148" t="s">
        <v>348</v>
      </c>
      <c r="J15194" s="133" t="s">
        <v>61</v>
      </c>
      <c r="K15194" s="172">
        <v>60</v>
      </c>
    </row>
    <row r="15195" spans="1:14" x14ac:dyDescent="0.2">
      <c r="A15195" s="163">
        <v>2025</v>
      </c>
      <c r="B15195" s="163">
        <v>9</v>
      </c>
      <c r="C15195" s="163">
        <v>15</v>
      </c>
      <c r="D15195" s="280">
        <f>DATE(A15195,B15195,C15195)</f>
        <v>45915</v>
      </c>
      <c r="E15195" s="281">
        <f>DATE(A15195,B15195,C15195)</f>
        <v>45915</v>
      </c>
      <c r="F15195" s="480"/>
      <c r="G15195" s="221" t="s">
        <v>74</v>
      </c>
      <c r="H15195" s="145"/>
      <c r="I15195" s="145" t="s">
        <v>348</v>
      </c>
      <c r="J15195" s="163" t="s">
        <v>52</v>
      </c>
      <c r="K15195" s="219"/>
      <c r="L15195" s="219">
        <f>K15194</f>
        <v>60</v>
      </c>
    </row>
    <row r="15196" spans="1:14" ht="11.25" customHeight="1" x14ac:dyDescent="0.2">
      <c r="A15196" s="168">
        <v>2025</v>
      </c>
      <c r="B15196" s="168">
        <v>9</v>
      </c>
      <c r="C15196" s="133">
        <v>15</v>
      </c>
      <c r="D15196" s="141">
        <f t="shared" ref="D15196:D15198" si="2428">DATE(A15196,B15196,C15196)</f>
        <v>45915</v>
      </c>
      <c r="E15196" s="275">
        <f t="shared" ref="E15196:E15198" si="2429">DATE(A15196,B15196,C15196)</f>
        <v>45915</v>
      </c>
      <c r="F15196" s="479" t="s">
        <v>1319</v>
      </c>
      <c r="G15196" s="220" t="s">
        <v>74</v>
      </c>
      <c r="H15196" s="142"/>
      <c r="I15196" s="142"/>
      <c r="J15196" s="168" t="s">
        <v>52</v>
      </c>
      <c r="K15196" s="226">
        <v>2000</v>
      </c>
      <c r="L15196" s="226"/>
    </row>
    <row r="15197" spans="1:14" ht="11.25" customHeight="1" x14ac:dyDescent="0.2">
      <c r="A15197" s="133">
        <v>2025</v>
      </c>
      <c r="B15197" s="133">
        <v>9</v>
      </c>
      <c r="C15197" s="133">
        <v>15</v>
      </c>
      <c r="D15197" s="141">
        <f t="shared" si="2428"/>
        <v>45915</v>
      </c>
      <c r="E15197" s="275">
        <f t="shared" si="2429"/>
        <v>45915</v>
      </c>
      <c r="F15197" s="481"/>
      <c r="G15197" s="174" t="s">
        <v>74</v>
      </c>
      <c r="J15197" s="133" t="s">
        <v>13</v>
      </c>
      <c r="K15197" s="218"/>
      <c r="L15197" s="218">
        <v>1350</v>
      </c>
    </row>
    <row r="15198" spans="1:14" ht="11.25" customHeight="1" x14ac:dyDescent="0.2">
      <c r="A15198" s="163">
        <v>2025</v>
      </c>
      <c r="B15198" s="163">
        <v>9</v>
      </c>
      <c r="C15198" s="163">
        <v>15</v>
      </c>
      <c r="D15198" s="280">
        <f t="shared" si="2428"/>
        <v>45915</v>
      </c>
      <c r="E15198" s="281">
        <f t="shared" si="2429"/>
        <v>45915</v>
      </c>
      <c r="F15198" s="480"/>
      <c r="G15198" s="221" t="s">
        <v>74</v>
      </c>
      <c r="H15198" s="145"/>
      <c r="I15198" s="145"/>
      <c r="J15198" s="163" t="s">
        <v>53</v>
      </c>
      <c r="K15198" s="219"/>
      <c r="L15198" s="219">
        <v>650</v>
      </c>
    </row>
    <row r="15199" spans="1:14" x14ac:dyDescent="0.2">
      <c r="A15199" s="168">
        <v>2025</v>
      </c>
      <c r="B15199" s="168">
        <v>9</v>
      </c>
      <c r="C15199" s="133">
        <v>16</v>
      </c>
      <c r="D15199" s="141">
        <f t="shared" si="2426"/>
        <v>45916</v>
      </c>
      <c r="E15199" s="275">
        <f t="shared" si="2427"/>
        <v>45916</v>
      </c>
      <c r="F15199" s="481" t="s">
        <v>2006</v>
      </c>
      <c r="G15199" s="174" t="s">
        <v>74</v>
      </c>
      <c r="H15199" s="174"/>
      <c r="J15199" s="149" t="s">
        <v>534</v>
      </c>
      <c r="K15199" s="218">
        <v>652.49</v>
      </c>
      <c r="L15199" s="218"/>
    </row>
    <row r="15200" spans="1:14" x14ac:dyDescent="0.2">
      <c r="A15200" s="163">
        <v>2025</v>
      </c>
      <c r="B15200" s="163">
        <v>9</v>
      </c>
      <c r="C15200" s="163">
        <v>16</v>
      </c>
      <c r="D15200" s="280">
        <f t="shared" si="2426"/>
        <v>45916</v>
      </c>
      <c r="E15200" s="281">
        <f t="shared" si="2427"/>
        <v>45916</v>
      </c>
      <c r="F15200" s="480"/>
      <c r="G15200" s="221" t="s">
        <v>74</v>
      </c>
      <c r="H15200" s="221"/>
      <c r="I15200" s="145"/>
      <c r="J15200" s="146" t="s">
        <v>52</v>
      </c>
      <c r="K15200" s="219"/>
      <c r="L15200" s="219">
        <v>652.49</v>
      </c>
    </row>
    <row r="15201" spans="1:14" x14ac:dyDescent="0.2">
      <c r="A15201" s="133">
        <v>2025</v>
      </c>
      <c r="B15201" s="133">
        <v>9</v>
      </c>
      <c r="C15201" s="133">
        <v>16</v>
      </c>
      <c r="D15201" s="141">
        <f t="shared" ref="D15201:D15205" si="2430">DATE(A15201,B15201,C15201)</f>
        <v>45916</v>
      </c>
      <c r="E15201" s="275">
        <f t="shared" ref="E15201:E15205" si="2431">DATE(A15201,B15201,C15201)</f>
        <v>45916</v>
      </c>
      <c r="F15201" s="481" t="s">
        <v>2115</v>
      </c>
      <c r="G15201" s="174" t="s">
        <v>94</v>
      </c>
      <c r="H15201" s="174"/>
      <c r="J15201" s="149" t="s">
        <v>79</v>
      </c>
      <c r="K15201" s="218">
        <v>1457500</v>
      </c>
      <c r="L15201" s="218"/>
      <c r="M15201" s="160"/>
    </row>
    <row r="15202" spans="1:14" x14ac:dyDescent="0.2">
      <c r="A15202" s="133">
        <v>2025</v>
      </c>
      <c r="B15202" s="133">
        <v>9</v>
      </c>
      <c r="C15202" s="133">
        <v>16</v>
      </c>
      <c r="D15202" s="141">
        <f t="shared" si="2430"/>
        <v>45916</v>
      </c>
      <c r="E15202" s="275">
        <f t="shared" si="2431"/>
        <v>45916</v>
      </c>
      <c r="F15202" s="481"/>
      <c r="G15202" s="174" t="s">
        <v>94</v>
      </c>
      <c r="H15202" s="174"/>
      <c r="J15202" s="149" t="s">
        <v>80</v>
      </c>
      <c r="K15202" s="218">
        <v>3412.74</v>
      </c>
      <c r="L15202" s="264"/>
      <c r="M15202" s="264"/>
      <c r="N15202" s="264"/>
    </row>
    <row r="15203" spans="1:14" x14ac:dyDescent="0.2">
      <c r="A15203" s="133">
        <v>2025</v>
      </c>
      <c r="B15203" s="133">
        <v>9</v>
      </c>
      <c r="C15203" s="133">
        <v>16</v>
      </c>
      <c r="D15203" s="141">
        <f t="shared" si="2430"/>
        <v>45916</v>
      </c>
      <c r="E15203" s="275">
        <f t="shared" si="2431"/>
        <v>45916</v>
      </c>
      <c r="F15203" s="481"/>
      <c r="G15203" s="174" t="s">
        <v>94</v>
      </c>
      <c r="H15203" s="174"/>
      <c r="J15203" s="149" t="s">
        <v>147</v>
      </c>
      <c r="K15203" s="218"/>
      <c r="L15203" s="218">
        <v>1022445.34</v>
      </c>
      <c r="M15203" s="264"/>
    </row>
    <row r="15204" spans="1:14" x14ac:dyDescent="0.2">
      <c r="A15204" s="133">
        <v>2025</v>
      </c>
      <c r="B15204" s="133">
        <v>9</v>
      </c>
      <c r="C15204" s="133">
        <v>16</v>
      </c>
      <c r="D15204" s="141">
        <f t="shared" si="2430"/>
        <v>45916</v>
      </c>
      <c r="E15204" s="275">
        <f t="shared" si="2431"/>
        <v>45916</v>
      </c>
      <c r="F15204" s="481"/>
      <c r="G15204" s="174" t="s">
        <v>94</v>
      </c>
      <c r="H15204" s="174"/>
      <c r="J15204" s="149" t="s">
        <v>191</v>
      </c>
      <c r="K15204" s="172">
        <v>7742.01</v>
      </c>
      <c r="L15204" s="218"/>
    </row>
    <row r="15205" spans="1:14" x14ac:dyDescent="0.2">
      <c r="A15205" s="163">
        <v>2025</v>
      </c>
      <c r="B15205" s="163">
        <v>9</v>
      </c>
      <c r="C15205" s="163">
        <v>16</v>
      </c>
      <c r="D15205" s="280">
        <f t="shared" si="2430"/>
        <v>45916</v>
      </c>
      <c r="E15205" s="281">
        <f t="shared" si="2431"/>
        <v>45916</v>
      </c>
      <c r="F15205" s="480"/>
      <c r="G15205" s="221" t="s">
        <v>94</v>
      </c>
      <c r="H15205" s="145"/>
      <c r="I15205" s="145"/>
      <c r="J15205" s="163" t="s">
        <v>79</v>
      </c>
      <c r="K15205" s="219"/>
      <c r="L15205" s="219">
        <v>446209.41</v>
      </c>
      <c r="M15205" s="264"/>
    </row>
    <row r="15206" spans="1:14" x14ac:dyDescent="0.2">
      <c r="A15206" s="133">
        <v>2025</v>
      </c>
      <c r="B15206" s="133">
        <v>9</v>
      </c>
      <c r="C15206" s="133">
        <v>17</v>
      </c>
      <c r="D15206" s="141">
        <f t="shared" ref="D15206:D15238" si="2432">DATE(A15206,B15206,C15206)</f>
        <v>45917</v>
      </c>
      <c r="E15206" s="275">
        <f t="shared" ref="E15206:E15238" si="2433">DATE(A15206,B15206,C15206)</f>
        <v>45917</v>
      </c>
      <c r="F15206" s="481" t="s">
        <v>2115</v>
      </c>
      <c r="G15206" s="174" t="s">
        <v>94</v>
      </c>
      <c r="H15206" s="174"/>
      <c r="J15206" s="149" t="s">
        <v>79</v>
      </c>
      <c r="K15206" s="218">
        <v>618600</v>
      </c>
      <c r="L15206" s="218"/>
      <c r="M15206" s="160"/>
    </row>
    <row r="15207" spans="1:14" x14ac:dyDescent="0.2">
      <c r="A15207" s="133">
        <v>2025</v>
      </c>
      <c r="B15207" s="133">
        <v>9</v>
      </c>
      <c r="C15207" s="133">
        <v>17</v>
      </c>
      <c r="D15207" s="141">
        <f t="shared" si="2432"/>
        <v>45917</v>
      </c>
      <c r="E15207" s="275">
        <f t="shared" si="2433"/>
        <v>45917</v>
      </c>
      <c r="F15207" s="481"/>
      <c r="G15207" s="174" t="s">
        <v>94</v>
      </c>
      <c r="H15207" s="174"/>
      <c r="J15207" s="149" t="s">
        <v>80</v>
      </c>
      <c r="K15207" s="218">
        <v>3104.64</v>
      </c>
      <c r="L15207" s="264"/>
      <c r="M15207" s="264"/>
      <c r="N15207" s="264"/>
    </row>
    <row r="15208" spans="1:14" x14ac:dyDescent="0.2">
      <c r="A15208" s="133">
        <v>2025</v>
      </c>
      <c r="B15208" s="133">
        <v>9</v>
      </c>
      <c r="C15208" s="133">
        <v>17</v>
      </c>
      <c r="D15208" s="141">
        <f t="shared" si="2432"/>
        <v>45917</v>
      </c>
      <c r="E15208" s="275">
        <f t="shared" si="2433"/>
        <v>45917</v>
      </c>
      <c r="F15208" s="481"/>
      <c r="G15208" s="174" t="s">
        <v>94</v>
      </c>
      <c r="H15208" s="174"/>
      <c r="J15208" s="149" t="s">
        <v>190</v>
      </c>
      <c r="K15208" s="218">
        <v>484495.35999999999</v>
      </c>
      <c r="L15208" s="218"/>
      <c r="M15208" s="264"/>
    </row>
    <row r="15209" spans="1:14" x14ac:dyDescent="0.2">
      <c r="A15209" s="133">
        <v>2025</v>
      </c>
      <c r="B15209" s="133">
        <v>9</v>
      </c>
      <c r="C15209" s="133">
        <v>17</v>
      </c>
      <c r="D15209" s="141">
        <f t="shared" si="2432"/>
        <v>45917</v>
      </c>
      <c r="E15209" s="275">
        <f t="shared" si="2433"/>
        <v>45917</v>
      </c>
      <c r="F15209" s="481"/>
      <c r="G15209" s="174" t="s">
        <v>94</v>
      </c>
      <c r="H15209" s="174"/>
      <c r="J15209" s="149" t="s">
        <v>191</v>
      </c>
      <c r="L15209" s="218">
        <v>49296.7</v>
      </c>
    </row>
    <row r="15210" spans="1:14" x14ac:dyDescent="0.2">
      <c r="A15210" s="163">
        <v>2025</v>
      </c>
      <c r="B15210" s="163">
        <v>9</v>
      </c>
      <c r="C15210" s="163">
        <v>17</v>
      </c>
      <c r="D15210" s="280">
        <f t="shared" si="2432"/>
        <v>45917</v>
      </c>
      <c r="E15210" s="281">
        <f t="shared" si="2433"/>
        <v>45917</v>
      </c>
      <c r="F15210" s="480"/>
      <c r="G15210" s="221" t="s">
        <v>94</v>
      </c>
      <c r="H15210" s="145"/>
      <c r="I15210" s="145"/>
      <c r="J15210" s="163" t="s">
        <v>79</v>
      </c>
      <c r="K15210" s="219"/>
      <c r="L15210" s="219">
        <v>1056903.3</v>
      </c>
      <c r="M15210" s="264"/>
    </row>
    <row r="15211" spans="1:14" ht="11.25" customHeight="1" x14ac:dyDescent="0.2">
      <c r="A15211" s="168">
        <v>2025</v>
      </c>
      <c r="B15211" s="168">
        <v>9</v>
      </c>
      <c r="C15211" s="133">
        <v>18</v>
      </c>
      <c r="D15211" s="141">
        <f t="shared" si="2432"/>
        <v>45918</v>
      </c>
      <c r="E15211" s="275">
        <f t="shared" si="2433"/>
        <v>45918</v>
      </c>
      <c r="F15211" s="479" t="s">
        <v>2113</v>
      </c>
      <c r="G15211" s="220" t="s">
        <v>94</v>
      </c>
      <c r="H15211" s="220"/>
      <c r="I15211" s="142"/>
      <c r="J15211" s="143" t="s">
        <v>79</v>
      </c>
      <c r="K15211" s="226">
        <v>365000</v>
      </c>
      <c r="L15211" s="226"/>
      <c r="M15211" s="160"/>
    </row>
    <row r="15212" spans="1:14" x14ac:dyDescent="0.2">
      <c r="A15212" s="133">
        <v>2025</v>
      </c>
      <c r="B15212" s="133">
        <v>9</v>
      </c>
      <c r="C15212" s="133">
        <v>18</v>
      </c>
      <c r="D15212" s="141">
        <f t="shared" si="2432"/>
        <v>45918</v>
      </c>
      <c r="E15212" s="275">
        <f t="shared" si="2433"/>
        <v>45918</v>
      </c>
      <c r="F15212" s="481"/>
      <c r="G15212" s="174" t="s">
        <v>94</v>
      </c>
      <c r="H15212" s="174"/>
      <c r="J15212" s="149" t="s">
        <v>80</v>
      </c>
      <c r="K15212" s="218">
        <v>657</v>
      </c>
      <c r="L15212" s="133"/>
    </row>
    <row r="15213" spans="1:14" x14ac:dyDescent="0.2">
      <c r="A15213" s="163">
        <v>2025</v>
      </c>
      <c r="B15213" s="163">
        <v>9</v>
      </c>
      <c r="C15213" s="163">
        <v>18</v>
      </c>
      <c r="D15213" s="280">
        <f t="shared" si="2432"/>
        <v>45918</v>
      </c>
      <c r="E15213" s="281">
        <f t="shared" si="2433"/>
        <v>45918</v>
      </c>
      <c r="F15213" s="480"/>
      <c r="G15213" s="221" t="s">
        <v>94</v>
      </c>
      <c r="H15213" s="221"/>
      <c r="I15213" s="145"/>
      <c r="J15213" s="146" t="s">
        <v>147</v>
      </c>
      <c r="K15213" s="219"/>
      <c r="L15213" s="219">
        <v>365657</v>
      </c>
    </row>
    <row r="15214" spans="1:14" ht="11.25" customHeight="1" x14ac:dyDescent="0.2">
      <c r="A15214" s="168">
        <v>2025</v>
      </c>
      <c r="B15214" s="133">
        <v>9</v>
      </c>
      <c r="C15214" s="168">
        <v>18</v>
      </c>
      <c r="D15214" s="141">
        <f t="shared" si="2432"/>
        <v>45918</v>
      </c>
      <c r="E15214" s="275">
        <f t="shared" si="2433"/>
        <v>45918</v>
      </c>
      <c r="F15214" s="479" t="s">
        <v>2116</v>
      </c>
      <c r="G15214" s="220" t="s">
        <v>74</v>
      </c>
      <c r="H15214" s="220"/>
      <c r="I15214" s="142"/>
      <c r="J15214" s="143" t="s">
        <v>147</v>
      </c>
      <c r="K15214" s="226">
        <v>1022445.34</v>
      </c>
      <c r="L15214" s="226"/>
    </row>
    <row r="15215" spans="1:14" x14ac:dyDescent="0.2">
      <c r="A15215" s="163">
        <v>2025</v>
      </c>
      <c r="B15215" s="163">
        <v>9</v>
      </c>
      <c r="C15215" s="163">
        <v>18</v>
      </c>
      <c r="D15215" s="280">
        <f t="shared" si="2432"/>
        <v>45918</v>
      </c>
      <c r="E15215" s="281">
        <f t="shared" si="2433"/>
        <v>45918</v>
      </c>
      <c r="F15215" s="480"/>
      <c r="G15215" s="221" t="s">
        <v>74</v>
      </c>
      <c r="H15215" s="221"/>
      <c r="I15215" s="145"/>
      <c r="J15215" s="146" t="s">
        <v>52</v>
      </c>
      <c r="K15215" s="219"/>
      <c r="L15215" s="219">
        <f>K15214</f>
        <v>1022445.34</v>
      </c>
      <c r="N15215" s="264"/>
    </row>
    <row r="15216" spans="1:14" x14ac:dyDescent="0.2">
      <c r="A15216" s="168">
        <v>2025</v>
      </c>
      <c r="B15216" s="133">
        <v>9</v>
      </c>
      <c r="C15216" s="168">
        <v>18</v>
      </c>
      <c r="D15216" s="141">
        <f t="shared" si="2432"/>
        <v>45918</v>
      </c>
      <c r="E15216" s="275">
        <f t="shared" si="2433"/>
        <v>45918</v>
      </c>
      <c r="F15216" s="481" t="s">
        <v>2120</v>
      </c>
      <c r="G15216" s="174" t="s">
        <v>94</v>
      </c>
      <c r="H15216" s="174"/>
      <c r="I15216" s="148" t="s">
        <v>348</v>
      </c>
      <c r="J15216" s="149" t="s">
        <v>52</v>
      </c>
      <c r="K15216" s="218">
        <v>352500</v>
      </c>
      <c r="L15216" s="218"/>
    </row>
    <row r="15217" spans="1:13" x14ac:dyDescent="0.2">
      <c r="A15217" s="133">
        <v>2025</v>
      </c>
      <c r="B15217" s="133">
        <v>9</v>
      </c>
      <c r="C15217" s="133">
        <v>18</v>
      </c>
      <c r="D15217" s="141">
        <f t="shared" si="2432"/>
        <v>45918</v>
      </c>
      <c r="E15217" s="275">
        <f t="shared" si="2433"/>
        <v>45918</v>
      </c>
      <c r="F15217" s="481"/>
      <c r="G15217" s="174" t="s">
        <v>94</v>
      </c>
      <c r="H15217" s="174"/>
      <c r="I15217" s="148" t="s">
        <v>348</v>
      </c>
      <c r="J15217" s="149" t="s">
        <v>168</v>
      </c>
      <c r="K15217" s="218"/>
      <c r="L15217" s="218">
        <v>352500</v>
      </c>
    </row>
    <row r="15218" spans="1:13" x14ac:dyDescent="0.2">
      <c r="A15218" s="325">
        <v>2025</v>
      </c>
      <c r="B15218" s="325">
        <v>9</v>
      </c>
      <c r="C15218" s="325">
        <v>18</v>
      </c>
      <c r="D15218" s="326">
        <f t="shared" si="2432"/>
        <v>45918</v>
      </c>
      <c r="E15218" s="327">
        <f t="shared" si="2433"/>
        <v>45918</v>
      </c>
      <c r="F15218" s="473" t="s">
        <v>1940</v>
      </c>
      <c r="G15218" s="340" t="s">
        <v>94</v>
      </c>
      <c r="H15218" s="340"/>
      <c r="I15218" s="341" t="s">
        <v>348</v>
      </c>
      <c r="J15218" s="374" t="s">
        <v>133</v>
      </c>
      <c r="K15218" s="375">
        <v>12905.56</v>
      </c>
      <c r="L15218" s="375"/>
      <c r="M15218" s="176"/>
    </row>
    <row r="15219" spans="1:13" x14ac:dyDescent="0.2">
      <c r="A15219" s="331">
        <v>2025</v>
      </c>
      <c r="B15219" s="331">
        <v>9</v>
      </c>
      <c r="C15219" s="331">
        <v>18</v>
      </c>
      <c r="D15219" s="326">
        <f t="shared" si="2432"/>
        <v>45918</v>
      </c>
      <c r="E15219" s="327">
        <f t="shared" si="2433"/>
        <v>45918</v>
      </c>
      <c r="F15219" s="474"/>
      <c r="G15219" s="332" t="s">
        <v>94</v>
      </c>
      <c r="H15219" s="332"/>
      <c r="I15219" s="333" t="s">
        <v>348</v>
      </c>
      <c r="J15219" s="376" t="s">
        <v>60</v>
      </c>
      <c r="K15219" s="334"/>
      <c r="L15219" s="334">
        <f>K15218</f>
        <v>12905.56</v>
      </c>
    </row>
    <row r="15220" spans="1:13" x14ac:dyDescent="0.2">
      <c r="A15220" s="325">
        <v>2025</v>
      </c>
      <c r="B15220" s="325">
        <v>9</v>
      </c>
      <c r="C15220" s="325">
        <v>18</v>
      </c>
      <c r="D15220" s="326">
        <f t="shared" si="2432"/>
        <v>45918</v>
      </c>
      <c r="E15220" s="327">
        <f t="shared" si="2433"/>
        <v>45918</v>
      </c>
      <c r="F15220" s="473" t="s">
        <v>2097</v>
      </c>
      <c r="G15220" s="340" t="s">
        <v>94</v>
      </c>
      <c r="H15220" s="340"/>
      <c r="I15220" s="341" t="s">
        <v>348</v>
      </c>
      <c r="J15220" s="374" t="s">
        <v>133</v>
      </c>
      <c r="K15220" s="375">
        <v>6250</v>
      </c>
      <c r="L15220" s="375"/>
      <c r="M15220" s="176"/>
    </row>
    <row r="15221" spans="1:13" x14ac:dyDescent="0.2">
      <c r="A15221" s="331">
        <v>2025</v>
      </c>
      <c r="B15221" s="331">
        <v>9</v>
      </c>
      <c r="C15221" s="331">
        <v>18</v>
      </c>
      <c r="D15221" s="326">
        <f t="shared" si="2432"/>
        <v>45918</v>
      </c>
      <c r="E15221" s="327">
        <f t="shared" si="2433"/>
        <v>45918</v>
      </c>
      <c r="F15221" s="474"/>
      <c r="G15221" s="332" t="s">
        <v>94</v>
      </c>
      <c r="H15221" s="332"/>
      <c r="I15221" s="333" t="s">
        <v>348</v>
      </c>
      <c r="J15221" s="376" t="s">
        <v>60</v>
      </c>
      <c r="K15221" s="334"/>
      <c r="L15221" s="334">
        <f>K15220</f>
        <v>6250</v>
      </c>
    </row>
    <row r="15222" spans="1:13" x14ac:dyDescent="0.2">
      <c r="A15222" s="384">
        <v>2025</v>
      </c>
      <c r="B15222" s="384">
        <v>9</v>
      </c>
      <c r="C15222" s="384">
        <v>18</v>
      </c>
      <c r="D15222" s="385">
        <f t="shared" si="2432"/>
        <v>45918</v>
      </c>
      <c r="E15222" s="386">
        <f t="shared" si="2433"/>
        <v>45918</v>
      </c>
      <c r="F15222" s="475" t="s">
        <v>1966</v>
      </c>
      <c r="G15222" s="387" t="s">
        <v>94</v>
      </c>
      <c r="H15222" s="387"/>
      <c r="I15222" s="388" t="s">
        <v>348</v>
      </c>
      <c r="J15222" s="389" t="s">
        <v>67</v>
      </c>
      <c r="K15222" s="390">
        <v>1748.62</v>
      </c>
      <c r="L15222" s="390"/>
    </row>
    <row r="15223" spans="1:13" x14ac:dyDescent="0.2">
      <c r="A15223" s="391">
        <v>2025</v>
      </c>
      <c r="B15223" s="391">
        <v>9</v>
      </c>
      <c r="C15223" s="391">
        <v>18</v>
      </c>
      <c r="D15223" s="385">
        <f t="shared" si="2432"/>
        <v>45918</v>
      </c>
      <c r="E15223" s="386">
        <f t="shared" si="2433"/>
        <v>45918</v>
      </c>
      <c r="F15223" s="476"/>
      <c r="G15223" s="392" t="s">
        <v>94</v>
      </c>
      <c r="H15223" s="392"/>
      <c r="I15223" s="393" t="s">
        <v>348</v>
      </c>
      <c r="J15223" s="394" t="s">
        <v>60</v>
      </c>
      <c r="K15223" s="395"/>
      <c r="L15223" s="395">
        <f>K15222</f>
        <v>1748.62</v>
      </c>
    </row>
    <row r="15224" spans="1:13" x14ac:dyDescent="0.2">
      <c r="A15224" s="343">
        <v>2025</v>
      </c>
      <c r="B15224" s="343">
        <v>9</v>
      </c>
      <c r="C15224" s="343">
        <v>18</v>
      </c>
      <c r="D15224" s="344">
        <f t="shared" si="2432"/>
        <v>45918</v>
      </c>
      <c r="E15224" s="345">
        <f t="shared" si="2433"/>
        <v>45918</v>
      </c>
      <c r="F15224" s="483" t="s">
        <v>1813</v>
      </c>
      <c r="G15224" s="350" t="s">
        <v>94</v>
      </c>
      <c r="H15224" s="350"/>
      <c r="I15224" s="352" t="s">
        <v>348</v>
      </c>
      <c r="J15224" s="353" t="s">
        <v>1807</v>
      </c>
      <c r="K15224" s="354">
        <v>0</v>
      </c>
      <c r="L15224" s="354"/>
      <c r="M15224" s="133">
        <v>0</v>
      </c>
    </row>
    <row r="15225" spans="1:13" x14ac:dyDescent="0.2">
      <c r="A15225" s="346">
        <v>2025</v>
      </c>
      <c r="B15225" s="346">
        <v>9</v>
      </c>
      <c r="C15225" s="346">
        <v>18</v>
      </c>
      <c r="D15225" s="344">
        <f t="shared" si="2432"/>
        <v>45918</v>
      </c>
      <c r="E15225" s="345">
        <f t="shared" si="2433"/>
        <v>45918</v>
      </c>
      <c r="F15225" s="484"/>
      <c r="G15225" s="347" t="s">
        <v>94</v>
      </c>
      <c r="H15225" s="347"/>
      <c r="I15225" s="348" t="s">
        <v>348</v>
      </c>
      <c r="J15225" s="355" t="s">
        <v>1798</v>
      </c>
      <c r="K15225" s="349"/>
      <c r="L15225" s="349">
        <v>0</v>
      </c>
    </row>
    <row r="15226" spans="1:13" x14ac:dyDescent="0.2">
      <c r="A15226" s="343">
        <v>2025</v>
      </c>
      <c r="B15226" s="343">
        <v>9</v>
      </c>
      <c r="C15226" s="343">
        <v>18</v>
      </c>
      <c r="D15226" s="344">
        <f t="shared" si="2432"/>
        <v>45918</v>
      </c>
      <c r="E15226" s="345">
        <f t="shared" si="2433"/>
        <v>45918</v>
      </c>
      <c r="F15226" s="483" t="s">
        <v>1913</v>
      </c>
      <c r="G15226" s="350" t="s">
        <v>94</v>
      </c>
      <c r="H15226" s="350"/>
      <c r="I15226" s="352" t="s">
        <v>348</v>
      </c>
      <c r="J15226" s="353" t="s">
        <v>1799</v>
      </c>
      <c r="K15226" s="354">
        <v>83586.344999998808</v>
      </c>
      <c r="L15226" s="354"/>
      <c r="M15226" s="160">
        <v>0</v>
      </c>
    </row>
    <row r="15227" spans="1:13" x14ac:dyDescent="0.2">
      <c r="A15227" s="346">
        <v>2025</v>
      </c>
      <c r="B15227" s="346">
        <v>9</v>
      </c>
      <c r="C15227" s="346">
        <v>18</v>
      </c>
      <c r="D15227" s="344">
        <f t="shared" si="2432"/>
        <v>45918</v>
      </c>
      <c r="E15227" s="345">
        <f t="shared" si="2433"/>
        <v>45918</v>
      </c>
      <c r="F15227" s="484"/>
      <c r="G15227" s="347" t="s">
        <v>94</v>
      </c>
      <c r="H15227" s="347"/>
      <c r="I15227" s="348" t="s">
        <v>348</v>
      </c>
      <c r="J15227" s="355" t="s">
        <v>1808</v>
      </c>
      <c r="K15227" s="349"/>
      <c r="L15227" s="349">
        <f>K15226</f>
        <v>83586.344999998808</v>
      </c>
    </row>
    <row r="15228" spans="1:13" x14ac:dyDescent="0.2">
      <c r="A15228" s="238">
        <v>2025</v>
      </c>
      <c r="B15228" s="238">
        <v>9</v>
      </c>
      <c r="C15228" s="238">
        <v>18</v>
      </c>
      <c r="D15228" s="270">
        <f t="shared" si="2432"/>
        <v>45918</v>
      </c>
      <c r="E15228" s="279">
        <f t="shared" si="2433"/>
        <v>45918</v>
      </c>
      <c r="F15228" s="477" t="s">
        <v>347</v>
      </c>
      <c r="G15228" s="239" t="s">
        <v>94</v>
      </c>
      <c r="H15228" s="239"/>
      <c r="I15228" s="262" t="s">
        <v>348</v>
      </c>
      <c r="J15228" s="240" t="s">
        <v>82</v>
      </c>
      <c r="K15228" s="241">
        <v>4237075.8219999969</v>
      </c>
      <c r="L15228" s="241"/>
      <c r="M15228" s="160">
        <v>13139541.900000483</v>
      </c>
    </row>
    <row r="15229" spans="1:13" x14ac:dyDescent="0.2">
      <c r="A15229" s="242">
        <v>2025</v>
      </c>
      <c r="B15229" s="242">
        <v>9</v>
      </c>
      <c r="C15229" s="242">
        <v>18</v>
      </c>
      <c r="D15229" s="270">
        <f t="shared" si="2432"/>
        <v>45918</v>
      </c>
      <c r="E15229" s="279">
        <f t="shared" si="2433"/>
        <v>45918</v>
      </c>
      <c r="F15229" s="478"/>
      <c r="G15229" s="243" t="s">
        <v>94</v>
      </c>
      <c r="H15229" s="243"/>
      <c r="I15229" s="263" t="s">
        <v>348</v>
      </c>
      <c r="J15229" s="244" t="s">
        <v>108</v>
      </c>
      <c r="K15229" s="245"/>
      <c r="L15229" s="245">
        <f>K15228</f>
        <v>4237075.8219999969</v>
      </c>
    </row>
    <row r="15230" spans="1:13" ht="12" customHeight="1" x14ac:dyDescent="0.2">
      <c r="A15230" s="246">
        <v>2025</v>
      </c>
      <c r="B15230" s="238">
        <v>9</v>
      </c>
      <c r="C15230" s="238">
        <v>18</v>
      </c>
      <c r="D15230" s="270">
        <f t="shared" si="2432"/>
        <v>45918</v>
      </c>
      <c r="E15230" s="279">
        <f t="shared" si="2433"/>
        <v>45918</v>
      </c>
      <c r="F15230" s="482" t="s">
        <v>148</v>
      </c>
      <c r="G15230" s="247" t="s">
        <v>94</v>
      </c>
      <c r="H15230" s="247"/>
      <c r="I15230" s="248" t="s">
        <v>348</v>
      </c>
      <c r="J15230" s="249" t="s">
        <v>95</v>
      </c>
      <c r="K15230" s="250">
        <v>2747.2527472527472</v>
      </c>
      <c r="L15230" s="241"/>
      <c r="M15230" s="176"/>
    </row>
    <row r="15231" spans="1:13" x14ac:dyDescent="0.2">
      <c r="A15231" s="242">
        <v>2025</v>
      </c>
      <c r="B15231" s="242">
        <v>9</v>
      </c>
      <c r="C15231" s="242">
        <v>18</v>
      </c>
      <c r="D15231" s="270">
        <f t="shared" si="2432"/>
        <v>45918</v>
      </c>
      <c r="E15231" s="279">
        <f t="shared" si="2433"/>
        <v>45918</v>
      </c>
      <c r="F15231" s="478"/>
      <c r="G15231" s="243" t="s">
        <v>94</v>
      </c>
      <c r="H15231" s="243"/>
      <c r="I15231" s="263" t="s">
        <v>348</v>
      </c>
      <c r="J15231" s="244" t="s">
        <v>63</v>
      </c>
      <c r="K15231" s="245"/>
      <c r="L15231" s="245">
        <f>K15230</f>
        <v>2747.2527472527472</v>
      </c>
    </row>
    <row r="15232" spans="1:13" x14ac:dyDescent="0.2">
      <c r="A15232" s="246">
        <v>2025</v>
      </c>
      <c r="B15232" s="238">
        <v>9</v>
      </c>
      <c r="C15232" s="238">
        <v>18</v>
      </c>
      <c r="D15232" s="270">
        <f t="shared" si="2432"/>
        <v>45918</v>
      </c>
      <c r="E15232" s="279">
        <f t="shared" si="2433"/>
        <v>45918</v>
      </c>
      <c r="F15232" s="482" t="s">
        <v>137</v>
      </c>
      <c r="G15232" s="247" t="s">
        <v>94</v>
      </c>
      <c r="H15232" s="247"/>
      <c r="I15232" s="248" t="s">
        <v>348</v>
      </c>
      <c r="J15232" s="249" t="s">
        <v>97</v>
      </c>
      <c r="K15232" s="250">
        <f>M15232</f>
        <v>91596.254540772788</v>
      </c>
      <c r="L15232" s="252"/>
      <c r="M15232" s="133">
        <v>91596.254540772788</v>
      </c>
    </row>
    <row r="15233" spans="1:14" x14ac:dyDescent="0.2">
      <c r="A15233" s="242">
        <v>2025</v>
      </c>
      <c r="B15233" s="242">
        <v>9</v>
      </c>
      <c r="C15233" s="242">
        <v>18</v>
      </c>
      <c r="D15233" s="270">
        <f t="shared" si="2432"/>
        <v>45918</v>
      </c>
      <c r="E15233" s="279">
        <f t="shared" si="2433"/>
        <v>45918</v>
      </c>
      <c r="F15233" s="478"/>
      <c r="G15233" s="243" t="s">
        <v>94</v>
      </c>
      <c r="H15233" s="243"/>
      <c r="I15233" s="263" t="s">
        <v>348</v>
      </c>
      <c r="J15233" s="244" t="s">
        <v>47</v>
      </c>
      <c r="K15233" s="245"/>
      <c r="L15233" s="245">
        <f>K15232</f>
        <v>91596.254540772788</v>
      </c>
      <c r="M15233" s="133">
        <v>4339.4281116540242</v>
      </c>
    </row>
    <row r="15234" spans="1:14" x14ac:dyDescent="0.2">
      <c r="A15234" s="246">
        <v>2025</v>
      </c>
      <c r="B15234" s="238">
        <v>9</v>
      </c>
      <c r="C15234" s="238">
        <v>18</v>
      </c>
      <c r="D15234" s="270">
        <f t="shared" si="2432"/>
        <v>45918</v>
      </c>
      <c r="E15234" s="279">
        <f t="shared" si="2433"/>
        <v>45918</v>
      </c>
      <c r="F15234" s="482" t="s">
        <v>138</v>
      </c>
      <c r="G15234" s="247" t="s">
        <v>94</v>
      </c>
      <c r="H15234" s="247"/>
      <c r="I15234" s="248" t="s">
        <v>348</v>
      </c>
      <c r="J15234" s="249" t="s">
        <v>100</v>
      </c>
      <c r="K15234" s="250">
        <f>M15233</f>
        <v>4339.4281116540242</v>
      </c>
      <c r="L15234" s="252"/>
    </row>
    <row r="15235" spans="1:14" x14ac:dyDescent="0.2">
      <c r="A15235" s="242">
        <v>2025</v>
      </c>
      <c r="B15235" s="242">
        <v>9</v>
      </c>
      <c r="C15235" s="242">
        <v>18</v>
      </c>
      <c r="D15235" s="321">
        <f t="shared" si="2432"/>
        <v>45918</v>
      </c>
      <c r="E15235" s="322">
        <f t="shared" si="2433"/>
        <v>45918</v>
      </c>
      <c r="F15235" s="478"/>
      <c r="G15235" s="243" t="s">
        <v>94</v>
      </c>
      <c r="H15235" s="243"/>
      <c r="I15235" s="263" t="s">
        <v>348</v>
      </c>
      <c r="J15235" s="244" t="s">
        <v>48</v>
      </c>
      <c r="K15235" s="245"/>
      <c r="L15235" s="245">
        <f>K15234</f>
        <v>4339.4281116540242</v>
      </c>
    </row>
    <row r="15236" spans="1:14" x14ac:dyDescent="0.2">
      <c r="A15236" s="168">
        <v>2025</v>
      </c>
      <c r="B15236" s="168">
        <v>9</v>
      </c>
      <c r="C15236" s="133">
        <v>21</v>
      </c>
      <c r="D15236" s="141">
        <f t="shared" si="2432"/>
        <v>45921</v>
      </c>
      <c r="E15236" s="275">
        <f t="shared" si="2433"/>
        <v>45921</v>
      </c>
      <c r="F15236" s="479" t="s">
        <v>275</v>
      </c>
      <c r="G15236" s="174" t="s">
        <v>74</v>
      </c>
      <c r="H15236" s="174"/>
      <c r="I15236" s="148" t="s">
        <v>348</v>
      </c>
      <c r="J15236" s="149" t="s">
        <v>163</v>
      </c>
      <c r="K15236" s="218">
        <v>1575</v>
      </c>
      <c r="L15236" s="218"/>
    </row>
    <row r="15237" spans="1:14" x14ac:dyDescent="0.2">
      <c r="A15237" s="133">
        <v>2025</v>
      </c>
      <c r="B15237" s="133">
        <v>9</v>
      </c>
      <c r="C15237" s="133">
        <v>21</v>
      </c>
      <c r="D15237" s="141">
        <f t="shared" si="2432"/>
        <v>45921</v>
      </c>
      <c r="E15237" s="275">
        <f t="shared" si="2433"/>
        <v>45921</v>
      </c>
      <c r="F15237" s="481"/>
      <c r="G15237" s="174" t="s">
        <v>74</v>
      </c>
      <c r="H15237" s="174"/>
      <c r="J15237" s="149" t="s">
        <v>1907</v>
      </c>
      <c r="K15237" s="218"/>
      <c r="L15237" s="218">
        <v>75</v>
      </c>
    </row>
    <row r="15238" spans="1:14" x14ac:dyDescent="0.2">
      <c r="A15238" s="163">
        <v>2025</v>
      </c>
      <c r="B15238" s="163">
        <v>9</v>
      </c>
      <c r="C15238" s="163">
        <v>21</v>
      </c>
      <c r="D15238" s="280">
        <f t="shared" si="2432"/>
        <v>45921</v>
      </c>
      <c r="E15238" s="281">
        <f t="shared" si="2433"/>
        <v>45921</v>
      </c>
      <c r="F15238" s="480"/>
      <c r="G15238" s="221" t="s">
        <v>74</v>
      </c>
      <c r="H15238" s="221"/>
      <c r="I15238" s="145"/>
      <c r="J15238" s="146" t="s">
        <v>52</v>
      </c>
      <c r="K15238" s="219"/>
      <c r="L15238" s="219">
        <v>1500</v>
      </c>
    </row>
    <row r="15239" spans="1:14" x14ac:dyDescent="0.2">
      <c r="A15239" s="133">
        <v>2025</v>
      </c>
      <c r="B15239" s="133">
        <v>9</v>
      </c>
      <c r="C15239" s="133">
        <v>21</v>
      </c>
      <c r="D15239" s="141">
        <f t="shared" ref="D15239:D15243" si="2434">DATE(A15239,B15239,C15239)</f>
        <v>45921</v>
      </c>
      <c r="E15239" s="275">
        <f t="shared" ref="E15239:E15243" si="2435">DATE(A15239,B15239,C15239)</f>
        <v>45921</v>
      </c>
      <c r="F15239" s="481" t="s">
        <v>2115</v>
      </c>
      <c r="G15239" s="174" t="s">
        <v>94</v>
      </c>
      <c r="H15239" s="174"/>
      <c r="J15239" s="149" t="s">
        <v>79</v>
      </c>
      <c r="K15239" s="218">
        <v>1101275.3999999999</v>
      </c>
      <c r="L15239" s="218"/>
      <c r="M15239" s="160"/>
    </row>
    <row r="15240" spans="1:14" x14ac:dyDescent="0.2">
      <c r="A15240" s="133">
        <v>2025</v>
      </c>
      <c r="B15240" s="133">
        <v>9</v>
      </c>
      <c r="C15240" s="133">
        <v>21</v>
      </c>
      <c r="D15240" s="141">
        <f t="shared" si="2434"/>
        <v>45921</v>
      </c>
      <c r="E15240" s="275">
        <f t="shared" si="2435"/>
        <v>45921</v>
      </c>
      <c r="F15240" s="481"/>
      <c r="G15240" s="174" t="s">
        <v>94</v>
      </c>
      <c r="H15240" s="174"/>
      <c r="J15240" s="149" t="s">
        <v>80</v>
      </c>
      <c r="K15240" s="218">
        <v>5350.35</v>
      </c>
      <c r="L15240" s="264"/>
      <c r="M15240" s="264"/>
      <c r="N15240" s="264"/>
    </row>
    <row r="15241" spans="1:14" x14ac:dyDescent="0.2">
      <c r="A15241" s="133">
        <v>2025</v>
      </c>
      <c r="B15241" s="133">
        <v>9</v>
      </c>
      <c r="C15241" s="133">
        <v>21</v>
      </c>
      <c r="D15241" s="141">
        <f t="shared" si="2434"/>
        <v>45921</v>
      </c>
      <c r="E15241" s="275">
        <f t="shared" si="2435"/>
        <v>45921</v>
      </c>
      <c r="F15241" s="481"/>
      <c r="G15241" s="174" t="s">
        <v>94</v>
      </c>
      <c r="H15241" s="174"/>
      <c r="J15241" s="149" t="s">
        <v>190</v>
      </c>
      <c r="K15241" s="218">
        <v>764517.15</v>
      </c>
      <c r="L15241" s="218"/>
      <c r="M15241" s="264"/>
    </row>
    <row r="15242" spans="1:14" x14ac:dyDescent="0.2">
      <c r="A15242" s="133">
        <v>2025</v>
      </c>
      <c r="B15242" s="133">
        <v>9</v>
      </c>
      <c r="C15242" s="133">
        <v>21</v>
      </c>
      <c r="D15242" s="141">
        <f t="shared" si="2434"/>
        <v>45921</v>
      </c>
      <c r="E15242" s="275">
        <f t="shared" si="2435"/>
        <v>45921</v>
      </c>
      <c r="F15242" s="481"/>
      <c r="G15242" s="174" t="s">
        <v>94</v>
      </c>
      <c r="H15242" s="174"/>
      <c r="J15242" s="149" t="s">
        <v>191</v>
      </c>
      <c r="K15242" s="172">
        <v>11838.3</v>
      </c>
      <c r="L15242" s="218"/>
    </row>
    <row r="15243" spans="1:14" x14ac:dyDescent="0.2">
      <c r="A15243" s="163">
        <v>2025</v>
      </c>
      <c r="B15243" s="163">
        <v>9</v>
      </c>
      <c r="C15243" s="163">
        <v>21</v>
      </c>
      <c r="D15243" s="280">
        <f t="shared" si="2434"/>
        <v>45921</v>
      </c>
      <c r="E15243" s="281">
        <f t="shared" si="2435"/>
        <v>45921</v>
      </c>
      <c r="F15243" s="480"/>
      <c r="G15243" s="221" t="s">
        <v>94</v>
      </c>
      <c r="H15243" s="145"/>
      <c r="I15243" s="145"/>
      <c r="J15243" s="163" t="s">
        <v>79</v>
      </c>
      <c r="K15243" s="219"/>
      <c r="L15243" s="219">
        <v>1882981.2</v>
      </c>
      <c r="M15243" s="264"/>
    </row>
    <row r="15244" spans="1:14" x14ac:dyDescent="0.2">
      <c r="A15244" s="133">
        <v>2025</v>
      </c>
      <c r="B15244" s="133">
        <v>9</v>
      </c>
      <c r="C15244" s="133">
        <v>22</v>
      </c>
      <c r="D15244" s="141">
        <f t="shared" ref="D15244:D15248" si="2436">DATE(A15244,B15244,C15244)</f>
        <v>45922</v>
      </c>
      <c r="E15244" s="275">
        <f t="shared" ref="E15244:E15248" si="2437">DATE(A15244,B15244,C15244)</f>
        <v>45922</v>
      </c>
      <c r="F15244" s="481" t="s">
        <v>2115</v>
      </c>
      <c r="G15244" s="174" t="s">
        <v>94</v>
      </c>
      <c r="H15244" s="174"/>
      <c r="J15244" s="149" t="s">
        <v>79</v>
      </c>
      <c r="K15244" s="218">
        <v>2946594.9</v>
      </c>
      <c r="L15244" s="218"/>
      <c r="M15244" s="160"/>
    </row>
    <row r="15245" spans="1:14" x14ac:dyDescent="0.2">
      <c r="A15245" s="133">
        <v>2025</v>
      </c>
      <c r="B15245" s="133">
        <v>9</v>
      </c>
      <c r="C15245" s="133">
        <v>22</v>
      </c>
      <c r="D15245" s="141">
        <f t="shared" si="2436"/>
        <v>45922</v>
      </c>
      <c r="E15245" s="275">
        <f t="shared" si="2437"/>
        <v>45922</v>
      </c>
      <c r="F15245" s="481"/>
      <c r="G15245" s="174" t="s">
        <v>94</v>
      </c>
      <c r="H15245" s="174"/>
      <c r="J15245" s="149" t="s">
        <v>80</v>
      </c>
      <c r="K15245" s="218">
        <v>10734.47</v>
      </c>
      <c r="L15245" s="264"/>
      <c r="M15245" s="264"/>
      <c r="N15245" s="264"/>
    </row>
    <row r="15246" spans="1:14" x14ac:dyDescent="0.2">
      <c r="A15246" s="133">
        <v>2025</v>
      </c>
      <c r="B15246" s="133">
        <v>9</v>
      </c>
      <c r="C15246" s="133">
        <v>22</v>
      </c>
      <c r="D15246" s="141">
        <f t="shared" si="2436"/>
        <v>45922</v>
      </c>
      <c r="E15246" s="275">
        <f t="shared" si="2437"/>
        <v>45922</v>
      </c>
      <c r="F15246" s="481"/>
      <c r="G15246" s="174" t="s">
        <v>94</v>
      </c>
      <c r="H15246" s="174"/>
      <c r="J15246" s="149" t="s">
        <v>190</v>
      </c>
      <c r="K15246" s="218">
        <v>59672.13</v>
      </c>
      <c r="L15246" s="218"/>
      <c r="M15246" s="264"/>
    </row>
    <row r="15247" spans="1:14" x14ac:dyDescent="0.2">
      <c r="A15247" s="133">
        <v>2025</v>
      </c>
      <c r="B15247" s="133">
        <v>9</v>
      </c>
      <c r="C15247" s="133">
        <v>22</v>
      </c>
      <c r="D15247" s="141">
        <f t="shared" si="2436"/>
        <v>45922</v>
      </c>
      <c r="E15247" s="275">
        <f t="shared" si="2437"/>
        <v>45922</v>
      </c>
      <c r="F15247" s="481"/>
      <c r="G15247" s="174" t="s">
        <v>94</v>
      </c>
      <c r="H15247" s="174"/>
      <c r="J15247" s="149" t="s">
        <v>191</v>
      </c>
      <c r="L15247" s="218">
        <v>70320.47</v>
      </c>
    </row>
    <row r="15248" spans="1:14" x14ac:dyDescent="0.2">
      <c r="A15248" s="163">
        <v>2025</v>
      </c>
      <c r="B15248" s="163">
        <v>9</v>
      </c>
      <c r="C15248" s="163">
        <v>22</v>
      </c>
      <c r="D15248" s="280">
        <f t="shared" si="2436"/>
        <v>45922</v>
      </c>
      <c r="E15248" s="281">
        <f t="shared" si="2437"/>
        <v>45922</v>
      </c>
      <c r="F15248" s="480"/>
      <c r="G15248" s="221" t="s">
        <v>94</v>
      </c>
      <c r="H15248" s="145"/>
      <c r="I15248" s="145"/>
      <c r="J15248" s="163" t="s">
        <v>79</v>
      </c>
      <c r="K15248" s="219"/>
      <c r="L15248" s="219">
        <v>2946681.03</v>
      </c>
      <c r="M15248" s="264"/>
    </row>
    <row r="15249" spans="1:17" ht="11.25" customHeight="1" x14ac:dyDescent="0.2">
      <c r="A15249" s="168">
        <v>2025</v>
      </c>
      <c r="B15249" s="168">
        <v>9</v>
      </c>
      <c r="C15249" s="133">
        <v>22</v>
      </c>
      <c r="D15249" s="141">
        <f>DATE(A15249,B15249,C15249)</f>
        <v>45922</v>
      </c>
      <c r="E15249" s="275">
        <f>DATE(A15249,B15249,C15249)</f>
        <v>45922</v>
      </c>
      <c r="F15249" s="481" t="s">
        <v>2119</v>
      </c>
      <c r="G15249" s="174" t="s">
        <v>74</v>
      </c>
      <c r="H15249" s="174"/>
      <c r="I15249" s="148" t="s">
        <v>348</v>
      </c>
      <c r="J15249" s="149" t="s">
        <v>52</v>
      </c>
      <c r="K15249" s="218">
        <v>5674897.1699999999</v>
      </c>
      <c r="L15249" s="218"/>
      <c r="M15249" s="147"/>
      <c r="Q15249" s="133" t="s">
        <v>348</v>
      </c>
    </row>
    <row r="15250" spans="1:17" x14ac:dyDescent="0.2">
      <c r="A15250" s="133">
        <v>2025</v>
      </c>
      <c r="B15250" s="133">
        <v>9</v>
      </c>
      <c r="C15250" s="133">
        <v>22</v>
      </c>
      <c r="D15250" s="141">
        <f t="shared" ref="D15250" si="2438">DATE(A15250,B15250,C15250)</f>
        <v>45922</v>
      </c>
      <c r="E15250" s="275">
        <f t="shared" ref="E15250" si="2439">DATE(A15250,B15250,C15250)</f>
        <v>45922</v>
      </c>
      <c r="F15250" s="481"/>
      <c r="G15250" s="174" t="s">
        <v>74</v>
      </c>
      <c r="H15250" s="174"/>
      <c r="J15250" s="149" t="s">
        <v>1810</v>
      </c>
      <c r="K15250" s="218"/>
      <c r="L15250" s="218">
        <v>733962.59999999963</v>
      </c>
      <c r="M15250" s="147"/>
    </row>
    <row r="15251" spans="1:17" x14ac:dyDescent="0.2">
      <c r="A15251" s="163">
        <v>2025</v>
      </c>
      <c r="B15251" s="163">
        <v>9</v>
      </c>
      <c r="C15251" s="163">
        <v>22</v>
      </c>
      <c r="D15251" s="280">
        <f>DATE(A15251,B15251,C15251)</f>
        <v>45922</v>
      </c>
      <c r="E15251" s="281">
        <f>DATE(A15251,B15251,C15251)</f>
        <v>45922</v>
      </c>
      <c r="F15251" s="480"/>
      <c r="G15251" s="221" t="s">
        <v>74</v>
      </c>
      <c r="H15251" s="221"/>
      <c r="I15251" s="145"/>
      <c r="J15251" s="146" t="s">
        <v>1805</v>
      </c>
      <c r="K15251" s="219"/>
      <c r="L15251" s="219">
        <v>4940934.57</v>
      </c>
      <c r="M15251" s="147"/>
      <c r="Q15251" s="133" t="s">
        <v>348</v>
      </c>
    </row>
    <row r="15252" spans="1:17" x14ac:dyDescent="0.2">
      <c r="A15252" s="133">
        <v>2025</v>
      </c>
      <c r="B15252" s="133">
        <v>9</v>
      </c>
      <c r="C15252" s="133">
        <v>23</v>
      </c>
      <c r="D15252" s="141">
        <f t="shared" ref="D15252:D15258" si="2440">DATE(A15252,B15252,C15252)</f>
        <v>45923</v>
      </c>
      <c r="E15252" s="275">
        <f t="shared" ref="E15252:E15258" si="2441">DATE(A15252,B15252,C15252)</f>
        <v>45923</v>
      </c>
      <c r="F15252" s="481" t="s">
        <v>2115</v>
      </c>
      <c r="G15252" s="174" t="s">
        <v>94</v>
      </c>
      <c r="H15252" s="174"/>
      <c r="J15252" s="149" t="s">
        <v>79</v>
      </c>
      <c r="K15252" s="218">
        <v>1062598.6000000001</v>
      </c>
      <c r="L15252" s="218"/>
      <c r="M15252" s="160"/>
    </row>
    <row r="15253" spans="1:17" x14ac:dyDescent="0.2">
      <c r="A15253" s="133">
        <v>2025</v>
      </c>
      <c r="B15253" s="133">
        <v>9</v>
      </c>
      <c r="C15253" s="133">
        <v>23</v>
      </c>
      <c r="D15253" s="141">
        <f t="shared" si="2440"/>
        <v>45923</v>
      </c>
      <c r="E15253" s="275">
        <f t="shared" si="2441"/>
        <v>45923</v>
      </c>
      <c r="F15253" s="481"/>
      <c r="G15253" s="174" t="s">
        <v>94</v>
      </c>
      <c r="H15253" s="174"/>
      <c r="J15253" s="149" t="s">
        <v>80</v>
      </c>
      <c r="K15253" s="218">
        <v>3656.14</v>
      </c>
      <c r="L15253" s="264"/>
      <c r="M15253" s="264"/>
      <c r="N15253" s="264"/>
    </row>
    <row r="15254" spans="1:17" x14ac:dyDescent="0.2">
      <c r="A15254" s="133">
        <v>2025</v>
      </c>
      <c r="B15254" s="133">
        <v>9</v>
      </c>
      <c r="C15254" s="133">
        <v>23</v>
      </c>
      <c r="D15254" s="141">
        <f t="shared" si="2440"/>
        <v>45923</v>
      </c>
      <c r="E15254" s="275">
        <f t="shared" si="2441"/>
        <v>45923</v>
      </c>
      <c r="F15254" s="481"/>
      <c r="G15254" s="174" t="s">
        <v>94</v>
      </c>
      <c r="H15254" s="174"/>
      <c r="J15254" s="149" t="s">
        <v>147</v>
      </c>
      <c r="K15254" s="218"/>
      <c r="L15254" s="218">
        <v>97664.84</v>
      </c>
      <c r="M15254" s="264"/>
    </row>
    <row r="15255" spans="1:17" x14ac:dyDescent="0.2">
      <c r="A15255" s="133">
        <v>2025</v>
      </c>
      <c r="B15255" s="133">
        <v>9</v>
      </c>
      <c r="C15255" s="133">
        <v>23</v>
      </c>
      <c r="D15255" s="141">
        <f t="shared" si="2440"/>
        <v>45923</v>
      </c>
      <c r="E15255" s="275">
        <f t="shared" si="2441"/>
        <v>45923</v>
      </c>
      <c r="F15255" s="481"/>
      <c r="G15255" s="174" t="s">
        <v>94</v>
      </c>
      <c r="H15255" s="174"/>
      <c r="J15255" s="149" t="s">
        <v>191</v>
      </c>
      <c r="K15255" s="172">
        <v>11939.95</v>
      </c>
      <c r="L15255" s="218"/>
    </row>
    <row r="15256" spans="1:17" x14ac:dyDescent="0.2">
      <c r="A15256" s="163">
        <v>2025</v>
      </c>
      <c r="B15256" s="163">
        <v>9</v>
      </c>
      <c r="C15256" s="163">
        <v>23</v>
      </c>
      <c r="D15256" s="280">
        <f t="shared" si="2440"/>
        <v>45923</v>
      </c>
      <c r="E15256" s="281">
        <f t="shared" si="2441"/>
        <v>45923</v>
      </c>
      <c r="F15256" s="480"/>
      <c r="G15256" s="221" t="s">
        <v>94</v>
      </c>
      <c r="H15256" s="145"/>
      <c r="I15256" s="145"/>
      <c r="J15256" s="163" t="s">
        <v>79</v>
      </c>
      <c r="K15256" s="219"/>
      <c r="L15256" s="219">
        <v>980529.85</v>
      </c>
      <c r="M15256" s="264"/>
    </row>
    <row r="15257" spans="1:17" ht="11.25" customHeight="1" x14ac:dyDescent="0.2">
      <c r="A15257" s="168">
        <v>2025</v>
      </c>
      <c r="B15257" s="133">
        <v>9</v>
      </c>
      <c r="C15257" s="168">
        <v>23</v>
      </c>
      <c r="D15257" s="141">
        <f t="shared" si="2440"/>
        <v>45923</v>
      </c>
      <c r="E15257" s="275">
        <f t="shared" si="2441"/>
        <v>45923</v>
      </c>
      <c r="F15257" s="479" t="s">
        <v>2121</v>
      </c>
      <c r="G15257" s="220" t="s">
        <v>74</v>
      </c>
      <c r="H15257" s="220"/>
      <c r="I15257" s="142"/>
      <c r="J15257" s="143" t="s">
        <v>52</v>
      </c>
      <c r="K15257" s="226">
        <v>2760647.11</v>
      </c>
      <c r="L15257" s="226"/>
    </row>
    <row r="15258" spans="1:17" x14ac:dyDescent="0.2">
      <c r="A15258" s="163">
        <v>2025</v>
      </c>
      <c r="B15258" s="163">
        <v>9</v>
      </c>
      <c r="C15258" s="163">
        <v>23</v>
      </c>
      <c r="D15258" s="280">
        <f t="shared" si="2440"/>
        <v>45923</v>
      </c>
      <c r="E15258" s="281">
        <f t="shared" si="2441"/>
        <v>45923</v>
      </c>
      <c r="F15258" s="480"/>
      <c r="G15258" s="221" t="s">
        <v>74</v>
      </c>
      <c r="H15258" s="221"/>
      <c r="I15258" s="145"/>
      <c r="J15258" s="146" t="s">
        <v>190</v>
      </c>
      <c r="K15258" s="219"/>
      <c r="L15258" s="219">
        <f>K15257</f>
        <v>2760647.11</v>
      </c>
      <c r="N15258" s="264"/>
    </row>
    <row r="15259" spans="1:17" x14ac:dyDescent="0.2">
      <c r="A15259" s="133">
        <v>2025</v>
      </c>
      <c r="B15259" s="133">
        <v>9</v>
      </c>
      <c r="C15259" s="133">
        <v>24</v>
      </c>
      <c r="D15259" s="141">
        <f t="shared" ref="D15259:D15317" si="2442">DATE(A15259,B15259,C15259)</f>
        <v>45924</v>
      </c>
      <c r="E15259" s="275">
        <f t="shared" ref="E15259:E15317" si="2443">DATE(A15259,B15259,C15259)</f>
        <v>45924</v>
      </c>
      <c r="F15259" s="481" t="s">
        <v>2115</v>
      </c>
      <c r="G15259" s="174" t="s">
        <v>94</v>
      </c>
      <c r="H15259" s="174"/>
      <c r="J15259" s="149" t="s">
        <v>79</v>
      </c>
      <c r="K15259" s="218">
        <v>3099684.5</v>
      </c>
      <c r="L15259" s="218"/>
      <c r="M15259" s="160"/>
    </row>
    <row r="15260" spans="1:17" x14ac:dyDescent="0.2">
      <c r="A15260" s="133">
        <v>2025</v>
      </c>
      <c r="B15260" s="133">
        <v>9</v>
      </c>
      <c r="C15260" s="133">
        <v>24</v>
      </c>
      <c r="D15260" s="141">
        <f t="shared" si="2442"/>
        <v>45924</v>
      </c>
      <c r="E15260" s="275">
        <f t="shared" si="2443"/>
        <v>45924</v>
      </c>
      <c r="F15260" s="481"/>
      <c r="G15260" s="174" t="s">
        <v>94</v>
      </c>
      <c r="H15260" s="174"/>
      <c r="J15260" s="149" t="s">
        <v>80</v>
      </c>
      <c r="K15260" s="218">
        <v>6125.29</v>
      </c>
      <c r="L15260" s="264"/>
      <c r="M15260" s="264"/>
      <c r="N15260" s="264"/>
    </row>
    <row r="15261" spans="1:17" x14ac:dyDescent="0.2">
      <c r="A15261" s="133">
        <v>2025</v>
      </c>
      <c r="B15261" s="133">
        <v>9</v>
      </c>
      <c r="C15261" s="133">
        <v>24</v>
      </c>
      <c r="D15261" s="141">
        <f t="shared" si="2442"/>
        <v>45924</v>
      </c>
      <c r="E15261" s="275">
        <f t="shared" si="2443"/>
        <v>45924</v>
      </c>
      <c r="F15261" s="481"/>
      <c r="G15261" s="174" t="s">
        <v>94</v>
      </c>
      <c r="H15261" s="174"/>
      <c r="J15261" s="149" t="s">
        <v>147</v>
      </c>
      <c r="K15261" s="218"/>
      <c r="L15261" s="218">
        <v>2802556.69</v>
      </c>
      <c r="M15261" s="264"/>
    </row>
    <row r="15262" spans="1:17" x14ac:dyDescent="0.2">
      <c r="A15262" s="133">
        <v>2025</v>
      </c>
      <c r="B15262" s="133">
        <v>9</v>
      </c>
      <c r="C15262" s="133">
        <v>24</v>
      </c>
      <c r="D15262" s="141">
        <f t="shared" si="2442"/>
        <v>45924</v>
      </c>
      <c r="E15262" s="275">
        <f t="shared" si="2443"/>
        <v>45924</v>
      </c>
      <c r="F15262" s="481"/>
      <c r="G15262" s="174" t="s">
        <v>94</v>
      </c>
      <c r="H15262" s="174"/>
      <c r="J15262" s="149" t="s">
        <v>191</v>
      </c>
      <c r="L15262" s="218">
        <v>2553.13</v>
      </c>
    </row>
    <row r="15263" spans="1:17" x14ac:dyDescent="0.2">
      <c r="A15263" s="163">
        <v>2025</v>
      </c>
      <c r="B15263" s="163">
        <v>9</v>
      </c>
      <c r="C15263" s="163">
        <v>24</v>
      </c>
      <c r="D15263" s="280">
        <f t="shared" si="2442"/>
        <v>45924</v>
      </c>
      <c r="E15263" s="281">
        <f t="shared" si="2443"/>
        <v>45924</v>
      </c>
      <c r="F15263" s="480"/>
      <c r="G15263" s="221" t="s">
        <v>94</v>
      </c>
      <c r="H15263" s="145"/>
      <c r="I15263" s="145"/>
      <c r="J15263" s="163" t="s">
        <v>79</v>
      </c>
      <c r="K15263" s="219"/>
      <c r="L15263" s="219">
        <v>300699.96999999997</v>
      </c>
      <c r="M15263" s="264"/>
    </row>
    <row r="15264" spans="1:17" ht="11.25" customHeight="1" x14ac:dyDescent="0.2">
      <c r="A15264" s="168">
        <v>2025</v>
      </c>
      <c r="B15264" s="168">
        <v>9</v>
      </c>
      <c r="C15264" s="133">
        <v>24</v>
      </c>
      <c r="D15264" s="141">
        <f t="shared" si="2442"/>
        <v>45924</v>
      </c>
      <c r="E15264" s="275">
        <f t="shared" si="2443"/>
        <v>45924</v>
      </c>
      <c r="F15264" s="479" t="s">
        <v>1315</v>
      </c>
      <c r="G15264" s="220" t="s">
        <v>74</v>
      </c>
      <c r="H15264" s="142"/>
      <c r="I15264" s="142"/>
      <c r="J15264" s="168" t="s">
        <v>13</v>
      </c>
      <c r="K15264" s="226">
        <v>3036680</v>
      </c>
      <c r="L15264" s="226"/>
    </row>
    <row r="15265" spans="1:14" ht="11.25" customHeight="1" x14ac:dyDescent="0.2">
      <c r="A15265" s="133">
        <v>2025</v>
      </c>
      <c r="B15265" s="133">
        <v>9</v>
      </c>
      <c r="C15265" s="133">
        <v>24</v>
      </c>
      <c r="D15265" s="141">
        <f t="shared" si="2442"/>
        <v>45924</v>
      </c>
      <c r="E15265" s="275">
        <f t="shared" si="2443"/>
        <v>45924</v>
      </c>
      <c r="F15265" s="481"/>
      <c r="G15265" s="174" t="s">
        <v>74</v>
      </c>
      <c r="J15265" s="133" t="s">
        <v>53</v>
      </c>
      <c r="K15265" s="218">
        <v>1373186.7000000002</v>
      </c>
      <c r="L15265" s="218"/>
    </row>
    <row r="15266" spans="1:14" ht="11.25" customHeight="1" x14ac:dyDescent="0.2">
      <c r="A15266" s="163">
        <v>2025</v>
      </c>
      <c r="B15266" s="163">
        <v>9</v>
      </c>
      <c r="C15266" s="163">
        <v>24</v>
      </c>
      <c r="D15266" s="280">
        <f t="shared" si="2442"/>
        <v>45924</v>
      </c>
      <c r="E15266" s="281">
        <f t="shared" si="2443"/>
        <v>45924</v>
      </c>
      <c r="F15266" s="480"/>
      <c r="G15266" s="221" t="s">
        <v>74</v>
      </c>
      <c r="H15266" s="145"/>
      <c r="I15266" s="145"/>
      <c r="J15266" s="163" t="s">
        <v>52</v>
      </c>
      <c r="K15266" s="219"/>
      <c r="L15266" s="219">
        <v>4409866.7</v>
      </c>
    </row>
    <row r="15267" spans="1:14" ht="11.25" customHeight="1" x14ac:dyDescent="0.2">
      <c r="A15267" s="168">
        <v>2025</v>
      </c>
      <c r="B15267" s="168">
        <v>9</v>
      </c>
      <c r="C15267" s="133">
        <v>24</v>
      </c>
      <c r="D15267" s="141">
        <f t="shared" ref="D15267:D15274" si="2444">DATE(A15267,B15267,C15267)</f>
        <v>45924</v>
      </c>
      <c r="E15267" s="275">
        <f t="shared" ref="E15267:E15274" si="2445">DATE(A15267,B15267,C15267)</f>
        <v>45924</v>
      </c>
      <c r="F15267" s="479" t="s">
        <v>1315</v>
      </c>
      <c r="G15267" s="220" t="s">
        <v>74</v>
      </c>
      <c r="H15267" s="142"/>
      <c r="I15267" s="142"/>
      <c r="J15267" s="168" t="s">
        <v>13</v>
      </c>
      <c r="K15267" s="226">
        <v>73810</v>
      </c>
      <c r="L15267" s="226"/>
    </row>
    <row r="15268" spans="1:14" ht="11.25" customHeight="1" x14ac:dyDescent="0.2">
      <c r="A15268" s="133">
        <v>2025</v>
      </c>
      <c r="B15268" s="133">
        <v>9</v>
      </c>
      <c r="C15268" s="133">
        <v>24</v>
      </c>
      <c r="D15268" s="141">
        <f t="shared" si="2444"/>
        <v>45924</v>
      </c>
      <c r="E15268" s="275">
        <f t="shared" si="2445"/>
        <v>45924</v>
      </c>
      <c r="F15268" s="481"/>
      <c r="G15268" s="174" t="s">
        <v>74</v>
      </c>
      <c r="J15268" s="133" t="s">
        <v>53</v>
      </c>
      <c r="K15268" s="218">
        <v>33376.880000000005</v>
      </c>
      <c r="L15268" s="218"/>
    </row>
    <row r="15269" spans="1:14" ht="11.25" customHeight="1" x14ac:dyDescent="0.2">
      <c r="A15269" s="163">
        <v>2025</v>
      </c>
      <c r="B15269" s="163">
        <v>9</v>
      </c>
      <c r="C15269" s="163">
        <v>24</v>
      </c>
      <c r="D15269" s="280">
        <f t="shared" si="2444"/>
        <v>45924</v>
      </c>
      <c r="E15269" s="281">
        <f t="shared" si="2445"/>
        <v>45924</v>
      </c>
      <c r="F15269" s="480"/>
      <c r="G15269" s="221" t="s">
        <v>74</v>
      </c>
      <c r="H15269" s="145"/>
      <c r="I15269" s="145"/>
      <c r="J15269" s="163" t="s">
        <v>52</v>
      </c>
      <c r="K15269" s="219"/>
      <c r="L15269" s="219">
        <v>107186.88</v>
      </c>
    </row>
    <row r="15270" spans="1:14" x14ac:dyDescent="0.2">
      <c r="A15270" s="133">
        <v>2025</v>
      </c>
      <c r="B15270" s="168">
        <v>9</v>
      </c>
      <c r="C15270" s="133">
        <v>24</v>
      </c>
      <c r="D15270" s="141">
        <f t="shared" si="2444"/>
        <v>45924</v>
      </c>
      <c r="E15270" s="275">
        <f t="shared" si="2445"/>
        <v>45924</v>
      </c>
      <c r="F15270" s="479" t="s">
        <v>362</v>
      </c>
      <c r="G15270" s="220" t="s">
        <v>74</v>
      </c>
      <c r="H15270" s="220"/>
      <c r="I15270" s="142" t="s">
        <v>348</v>
      </c>
      <c r="J15270" s="143" t="s">
        <v>104</v>
      </c>
      <c r="K15270" s="226">
        <v>6524.85</v>
      </c>
      <c r="L15270" s="226"/>
    </row>
    <row r="15271" spans="1:14" x14ac:dyDescent="0.2">
      <c r="A15271" s="133">
        <v>2025</v>
      </c>
      <c r="B15271" s="133">
        <v>9</v>
      </c>
      <c r="C15271" s="133">
        <v>24</v>
      </c>
      <c r="D15271" s="280">
        <f t="shared" si="2444"/>
        <v>45924</v>
      </c>
      <c r="E15271" s="281">
        <f t="shared" si="2445"/>
        <v>45924</v>
      </c>
      <c r="F15271" s="481"/>
      <c r="G15271" s="174" t="s">
        <v>74</v>
      </c>
      <c r="H15271" s="174"/>
      <c r="J15271" s="149" t="s">
        <v>534</v>
      </c>
      <c r="K15271" s="218"/>
      <c r="L15271" s="218">
        <v>652.49</v>
      </c>
    </row>
    <row r="15272" spans="1:14" x14ac:dyDescent="0.2">
      <c r="A15272" s="163">
        <v>2025</v>
      </c>
      <c r="B15272" s="163">
        <v>9</v>
      </c>
      <c r="C15272" s="163">
        <v>24</v>
      </c>
      <c r="D15272" s="144">
        <f t="shared" si="2444"/>
        <v>45924</v>
      </c>
      <c r="E15272" s="313">
        <f t="shared" si="2445"/>
        <v>45924</v>
      </c>
      <c r="F15272" s="480"/>
      <c r="G15272" s="221" t="s">
        <v>74</v>
      </c>
      <c r="H15272" s="221"/>
      <c r="I15272" s="145" t="s">
        <v>348</v>
      </c>
      <c r="J15272" s="146" t="s">
        <v>52</v>
      </c>
      <c r="K15272" s="219"/>
      <c r="L15272" s="219">
        <v>5872.36</v>
      </c>
    </row>
    <row r="15273" spans="1:14" ht="11.25" customHeight="1" x14ac:dyDescent="0.2">
      <c r="A15273" s="168">
        <v>2025</v>
      </c>
      <c r="B15273" s="133">
        <v>9</v>
      </c>
      <c r="C15273" s="168">
        <v>25</v>
      </c>
      <c r="D15273" s="141">
        <f t="shared" si="2444"/>
        <v>45925</v>
      </c>
      <c r="E15273" s="275">
        <f t="shared" si="2445"/>
        <v>45925</v>
      </c>
      <c r="F15273" s="479" t="s">
        <v>2116</v>
      </c>
      <c r="G15273" s="220" t="s">
        <v>74</v>
      </c>
      <c r="H15273" s="220"/>
      <c r="I15273" s="142"/>
      <c r="J15273" s="143" t="s">
        <v>147</v>
      </c>
      <c r="K15273" s="226">
        <v>3265878.53</v>
      </c>
      <c r="L15273" s="226"/>
    </row>
    <row r="15274" spans="1:14" x14ac:dyDescent="0.2">
      <c r="A15274" s="163">
        <v>2025</v>
      </c>
      <c r="B15274" s="163">
        <v>9</v>
      </c>
      <c r="C15274" s="163">
        <v>25</v>
      </c>
      <c r="D15274" s="280">
        <f t="shared" si="2444"/>
        <v>45925</v>
      </c>
      <c r="E15274" s="281">
        <f t="shared" si="2445"/>
        <v>45925</v>
      </c>
      <c r="F15274" s="480"/>
      <c r="G15274" s="221" t="s">
        <v>74</v>
      </c>
      <c r="H15274" s="221"/>
      <c r="I15274" s="145"/>
      <c r="J15274" s="146" t="s">
        <v>52</v>
      </c>
      <c r="K15274" s="219"/>
      <c r="L15274" s="219">
        <f>K15273</f>
        <v>3265878.53</v>
      </c>
      <c r="N15274" s="264"/>
    </row>
    <row r="15275" spans="1:14" x14ac:dyDescent="0.2">
      <c r="A15275" s="168">
        <v>2025</v>
      </c>
      <c r="B15275" s="133">
        <v>9</v>
      </c>
      <c r="C15275" s="168">
        <v>25</v>
      </c>
      <c r="D15275" s="147">
        <f>DATE(A15275,B15275,C15275)</f>
        <v>45925</v>
      </c>
      <c r="E15275" s="311">
        <f>DATE(A15275,B15275,C15275)</f>
        <v>45925</v>
      </c>
      <c r="F15275" s="481" t="s">
        <v>1943</v>
      </c>
      <c r="G15275" s="174" t="s">
        <v>74</v>
      </c>
      <c r="I15275" s="148" t="s">
        <v>348</v>
      </c>
      <c r="J15275" s="133" t="s">
        <v>61</v>
      </c>
      <c r="K15275" s="172">
        <v>100</v>
      </c>
    </row>
    <row r="15276" spans="1:14" x14ac:dyDescent="0.2">
      <c r="A15276" s="163">
        <v>2025</v>
      </c>
      <c r="B15276" s="163">
        <v>9</v>
      </c>
      <c r="C15276" s="163">
        <v>25</v>
      </c>
      <c r="D15276" s="280">
        <f>DATE(A15276,B15276,C15276)</f>
        <v>45925</v>
      </c>
      <c r="E15276" s="281">
        <f>DATE(A15276,B15276,C15276)</f>
        <v>45925</v>
      </c>
      <c r="F15276" s="480"/>
      <c r="G15276" s="221" t="s">
        <v>74</v>
      </c>
      <c r="H15276" s="145"/>
      <c r="I15276" s="145" t="s">
        <v>348</v>
      </c>
      <c r="J15276" s="163" t="s">
        <v>52</v>
      </c>
      <c r="K15276" s="219"/>
      <c r="L15276" s="219">
        <f>K15275</f>
        <v>100</v>
      </c>
    </row>
    <row r="15277" spans="1:14" ht="11.25" customHeight="1" x14ac:dyDescent="0.2">
      <c r="A15277" s="168">
        <v>2025</v>
      </c>
      <c r="B15277" s="168">
        <v>9</v>
      </c>
      <c r="C15277" s="133">
        <v>25</v>
      </c>
      <c r="D15277" s="141">
        <f t="shared" ref="D15277:D15282" si="2446">DATE(A15277,B15277,C15277)</f>
        <v>45925</v>
      </c>
      <c r="E15277" s="275">
        <f t="shared" ref="E15277:E15282" si="2447">DATE(A15277,B15277,C15277)</f>
        <v>45925</v>
      </c>
      <c r="F15277" s="479" t="s">
        <v>964</v>
      </c>
      <c r="G15277" s="220" t="s">
        <v>74</v>
      </c>
      <c r="H15277" s="142"/>
      <c r="I15277" s="142"/>
      <c r="J15277" s="168" t="s">
        <v>52</v>
      </c>
      <c r="K15277" s="226">
        <v>56000</v>
      </c>
      <c r="L15277" s="226"/>
    </row>
    <row r="15278" spans="1:14" ht="11.25" customHeight="1" x14ac:dyDescent="0.2">
      <c r="A15278" s="133">
        <v>2025</v>
      </c>
      <c r="B15278" s="133">
        <v>9</v>
      </c>
      <c r="C15278" s="133">
        <v>25</v>
      </c>
      <c r="D15278" s="141">
        <f t="shared" si="2446"/>
        <v>45925</v>
      </c>
      <c r="E15278" s="275">
        <f t="shared" si="2447"/>
        <v>45925</v>
      </c>
      <c r="F15278" s="481"/>
      <c r="G15278" s="174" t="s">
        <v>74</v>
      </c>
      <c r="J15278" s="133" t="s">
        <v>13</v>
      </c>
      <c r="K15278" s="218"/>
      <c r="L15278" s="218">
        <v>38560</v>
      </c>
    </row>
    <row r="15279" spans="1:14" ht="11.25" customHeight="1" x14ac:dyDescent="0.2">
      <c r="A15279" s="163">
        <v>2025</v>
      </c>
      <c r="B15279" s="163">
        <v>9</v>
      </c>
      <c r="C15279" s="163">
        <v>25</v>
      </c>
      <c r="D15279" s="280">
        <f t="shared" si="2446"/>
        <v>45925</v>
      </c>
      <c r="E15279" s="281">
        <f t="shared" si="2447"/>
        <v>45925</v>
      </c>
      <c r="F15279" s="480"/>
      <c r="G15279" s="221" t="s">
        <v>74</v>
      </c>
      <c r="H15279" s="145"/>
      <c r="I15279" s="145"/>
      <c r="J15279" s="163" t="s">
        <v>53</v>
      </c>
      <c r="K15279" s="219"/>
      <c r="L15279" s="219">
        <v>17440</v>
      </c>
    </row>
    <row r="15280" spans="1:14" ht="11.25" customHeight="1" x14ac:dyDescent="0.2">
      <c r="A15280" s="168">
        <v>2025</v>
      </c>
      <c r="B15280" s="168">
        <v>9</v>
      </c>
      <c r="C15280" s="133">
        <v>25</v>
      </c>
      <c r="D15280" s="141">
        <f t="shared" si="2446"/>
        <v>45925</v>
      </c>
      <c r="E15280" s="275">
        <f t="shared" si="2447"/>
        <v>45925</v>
      </c>
      <c r="F15280" s="479" t="s">
        <v>1315</v>
      </c>
      <c r="G15280" s="220" t="s">
        <v>74</v>
      </c>
      <c r="H15280" s="142"/>
      <c r="I15280" s="142"/>
      <c r="J15280" s="168" t="s">
        <v>13</v>
      </c>
      <c r="K15280" s="226">
        <v>72590</v>
      </c>
      <c r="L15280" s="226"/>
    </row>
    <row r="15281" spans="1:14" ht="11.25" customHeight="1" x14ac:dyDescent="0.2">
      <c r="A15281" s="133">
        <v>2025</v>
      </c>
      <c r="B15281" s="133">
        <v>9</v>
      </c>
      <c r="C15281" s="133">
        <v>25</v>
      </c>
      <c r="D15281" s="141">
        <f t="shared" si="2446"/>
        <v>45925</v>
      </c>
      <c r="E15281" s="275">
        <f t="shared" si="2447"/>
        <v>45925</v>
      </c>
      <c r="F15281" s="481"/>
      <c r="G15281" s="174" t="s">
        <v>74</v>
      </c>
      <c r="J15281" s="133" t="s">
        <v>53</v>
      </c>
      <c r="K15281" s="218">
        <v>32828.369999999995</v>
      </c>
      <c r="L15281" s="218"/>
    </row>
    <row r="15282" spans="1:14" ht="11.25" customHeight="1" x14ac:dyDescent="0.2">
      <c r="A15282" s="163">
        <v>2025</v>
      </c>
      <c r="B15282" s="163">
        <v>9</v>
      </c>
      <c r="C15282" s="163">
        <v>25</v>
      </c>
      <c r="D15282" s="280">
        <f t="shared" si="2446"/>
        <v>45925</v>
      </c>
      <c r="E15282" s="281">
        <f t="shared" si="2447"/>
        <v>45925</v>
      </c>
      <c r="F15282" s="480"/>
      <c r="G15282" s="221" t="s">
        <v>74</v>
      </c>
      <c r="H15282" s="145"/>
      <c r="I15282" s="145"/>
      <c r="J15282" s="163" t="s">
        <v>52</v>
      </c>
      <c r="K15282" s="219"/>
      <c r="L15282" s="219">
        <v>105418.37</v>
      </c>
    </row>
    <row r="15283" spans="1:14" x14ac:dyDescent="0.2">
      <c r="A15283" s="168">
        <v>2025</v>
      </c>
      <c r="B15283" s="133">
        <v>9</v>
      </c>
      <c r="C15283" s="168">
        <v>25</v>
      </c>
      <c r="D15283" s="147">
        <f>DATE(A15283,B15283,C15283)</f>
        <v>45925</v>
      </c>
      <c r="E15283" s="311">
        <f>DATE(A15283,B15283,C15283)</f>
        <v>45925</v>
      </c>
      <c r="F15283" s="481" t="s">
        <v>1943</v>
      </c>
      <c r="G15283" s="174" t="s">
        <v>74</v>
      </c>
      <c r="I15283" s="148" t="s">
        <v>348</v>
      </c>
      <c r="J15283" s="133" t="s">
        <v>61</v>
      </c>
      <c r="K15283" s="172">
        <v>58</v>
      </c>
    </row>
    <row r="15284" spans="1:14" x14ac:dyDescent="0.2">
      <c r="A15284" s="163">
        <v>2025</v>
      </c>
      <c r="B15284" s="163">
        <v>9</v>
      </c>
      <c r="C15284" s="163">
        <v>25</v>
      </c>
      <c r="D15284" s="280">
        <f>DATE(A15284,B15284,C15284)</f>
        <v>45925</v>
      </c>
      <c r="E15284" s="281">
        <f>DATE(A15284,B15284,C15284)</f>
        <v>45925</v>
      </c>
      <c r="F15284" s="480"/>
      <c r="G15284" s="221" t="s">
        <v>74</v>
      </c>
      <c r="H15284" s="145"/>
      <c r="I15284" s="145" t="s">
        <v>348</v>
      </c>
      <c r="J15284" s="163" t="s">
        <v>52</v>
      </c>
      <c r="K15284" s="219"/>
      <c r="L15284" s="219">
        <f>K15283</f>
        <v>58</v>
      </c>
    </row>
    <row r="15285" spans="1:14" x14ac:dyDescent="0.2">
      <c r="A15285" s="133">
        <v>2025</v>
      </c>
      <c r="B15285" s="133">
        <v>9</v>
      </c>
      <c r="C15285" s="133">
        <v>25</v>
      </c>
      <c r="D15285" s="141">
        <f t="shared" ref="D15285:D15289" si="2448">DATE(A15285,B15285,C15285)</f>
        <v>45925</v>
      </c>
      <c r="E15285" s="275">
        <f t="shared" ref="E15285:E15289" si="2449">DATE(A15285,B15285,C15285)</f>
        <v>45925</v>
      </c>
      <c r="F15285" s="481" t="s">
        <v>2115</v>
      </c>
      <c r="G15285" s="174" t="s">
        <v>94</v>
      </c>
      <c r="H15285" s="174"/>
      <c r="J15285" s="149" t="s">
        <v>79</v>
      </c>
      <c r="K15285" s="218">
        <v>1638465</v>
      </c>
      <c r="L15285" s="218"/>
      <c r="M15285" s="160"/>
    </row>
    <row r="15286" spans="1:14" x14ac:dyDescent="0.2">
      <c r="A15286" s="133">
        <v>2025</v>
      </c>
      <c r="B15286" s="133">
        <v>9</v>
      </c>
      <c r="C15286" s="133">
        <v>25</v>
      </c>
      <c r="D15286" s="141">
        <f t="shared" si="2448"/>
        <v>45925</v>
      </c>
      <c r="E15286" s="275">
        <f t="shared" si="2449"/>
        <v>45925</v>
      </c>
      <c r="F15286" s="481"/>
      <c r="G15286" s="174" t="s">
        <v>94</v>
      </c>
      <c r="H15286" s="174"/>
      <c r="J15286" s="149" t="s">
        <v>80</v>
      </c>
      <c r="K15286" s="218">
        <v>5109.6000000000004</v>
      </c>
      <c r="L15286" s="264"/>
      <c r="M15286" s="264"/>
      <c r="N15286" s="264"/>
    </row>
    <row r="15287" spans="1:14" x14ac:dyDescent="0.2">
      <c r="A15287" s="133">
        <v>2025</v>
      </c>
      <c r="B15287" s="133">
        <v>9</v>
      </c>
      <c r="C15287" s="133">
        <v>25</v>
      </c>
      <c r="D15287" s="141">
        <f t="shared" si="2448"/>
        <v>45925</v>
      </c>
      <c r="E15287" s="275">
        <f t="shared" si="2449"/>
        <v>45925</v>
      </c>
      <c r="F15287" s="481"/>
      <c r="G15287" s="174" t="s">
        <v>94</v>
      </c>
      <c r="H15287" s="174"/>
      <c r="J15287" s="149" t="s">
        <v>147</v>
      </c>
      <c r="K15287" s="218"/>
      <c r="L15287" s="218">
        <v>443374.6</v>
      </c>
      <c r="M15287" s="264"/>
    </row>
    <row r="15288" spans="1:14" x14ac:dyDescent="0.2">
      <c r="A15288" s="133">
        <v>2025</v>
      </c>
      <c r="B15288" s="133">
        <v>9</v>
      </c>
      <c r="C15288" s="133">
        <v>25</v>
      </c>
      <c r="D15288" s="141">
        <f t="shared" si="2448"/>
        <v>45925</v>
      </c>
      <c r="E15288" s="275">
        <f t="shared" si="2449"/>
        <v>45925</v>
      </c>
      <c r="F15288" s="481"/>
      <c r="G15288" s="174" t="s">
        <v>94</v>
      </c>
      <c r="H15288" s="174"/>
      <c r="J15288" s="149" t="s">
        <v>191</v>
      </c>
      <c r="L15288" s="218">
        <v>88043.02</v>
      </c>
    </row>
    <row r="15289" spans="1:14" x14ac:dyDescent="0.2">
      <c r="A15289" s="163">
        <v>2025</v>
      </c>
      <c r="B15289" s="163">
        <v>9</v>
      </c>
      <c r="C15289" s="163">
        <v>25</v>
      </c>
      <c r="D15289" s="280">
        <f t="shared" si="2448"/>
        <v>45925</v>
      </c>
      <c r="E15289" s="281">
        <f t="shared" si="2449"/>
        <v>45925</v>
      </c>
      <c r="F15289" s="480"/>
      <c r="G15289" s="221" t="s">
        <v>94</v>
      </c>
      <c r="H15289" s="145"/>
      <c r="I15289" s="145"/>
      <c r="J15289" s="163" t="s">
        <v>79</v>
      </c>
      <c r="K15289" s="219"/>
      <c r="L15289" s="219">
        <v>1112156.98</v>
      </c>
      <c r="M15289" s="264"/>
    </row>
    <row r="15290" spans="1:14" x14ac:dyDescent="0.2">
      <c r="A15290" s="325">
        <v>2025</v>
      </c>
      <c r="B15290" s="325">
        <v>9</v>
      </c>
      <c r="C15290" s="325">
        <v>25</v>
      </c>
      <c r="D15290" s="326">
        <f t="shared" si="2442"/>
        <v>45925</v>
      </c>
      <c r="E15290" s="327">
        <f t="shared" si="2443"/>
        <v>45925</v>
      </c>
      <c r="F15290" s="473" t="s">
        <v>1940</v>
      </c>
      <c r="G15290" s="340" t="s">
        <v>94</v>
      </c>
      <c r="H15290" s="340"/>
      <c r="I15290" s="341" t="s">
        <v>348</v>
      </c>
      <c r="J15290" s="374" t="s">
        <v>133</v>
      </c>
      <c r="K15290" s="375">
        <v>12905.56</v>
      </c>
      <c r="L15290" s="375"/>
      <c r="M15290" s="176"/>
    </row>
    <row r="15291" spans="1:14" x14ac:dyDescent="0.2">
      <c r="A15291" s="331">
        <v>2025</v>
      </c>
      <c r="B15291" s="331">
        <v>9</v>
      </c>
      <c r="C15291" s="331">
        <v>25</v>
      </c>
      <c r="D15291" s="326">
        <f t="shared" si="2442"/>
        <v>45925</v>
      </c>
      <c r="E15291" s="327">
        <f t="shared" si="2443"/>
        <v>45925</v>
      </c>
      <c r="F15291" s="474"/>
      <c r="G15291" s="332" t="s">
        <v>94</v>
      </c>
      <c r="H15291" s="332"/>
      <c r="I15291" s="333" t="s">
        <v>348</v>
      </c>
      <c r="J15291" s="376" t="s">
        <v>60</v>
      </c>
      <c r="K15291" s="334"/>
      <c r="L15291" s="334">
        <f>K15290</f>
        <v>12905.56</v>
      </c>
    </row>
    <row r="15292" spans="1:14" x14ac:dyDescent="0.2">
      <c r="A15292" s="325">
        <v>2025</v>
      </c>
      <c r="B15292" s="325">
        <v>9</v>
      </c>
      <c r="C15292" s="325">
        <v>25</v>
      </c>
      <c r="D15292" s="326">
        <f t="shared" si="2442"/>
        <v>45925</v>
      </c>
      <c r="E15292" s="327">
        <f t="shared" si="2443"/>
        <v>45925</v>
      </c>
      <c r="F15292" s="473" t="s">
        <v>2097</v>
      </c>
      <c r="G15292" s="340" t="s">
        <v>94</v>
      </c>
      <c r="H15292" s="340"/>
      <c r="I15292" s="341" t="s">
        <v>348</v>
      </c>
      <c r="J15292" s="374" t="s">
        <v>133</v>
      </c>
      <c r="K15292" s="375"/>
      <c r="L15292" s="375"/>
      <c r="M15292" s="176"/>
    </row>
    <row r="15293" spans="1:14" x14ac:dyDescent="0.2">
      <c r="A15293" s="331">
        <v>2025</v>
      </c>
      <c r="B15293" s="331">
        <v>9</v>
      </c>
      <c r="C15293" s="331">
        <v>25</v>
      </c>
      <c r="D15293" s="326">
        <f t="shared" si="2442"/>
        <v>45925</v>
      </c>
      <c r="E15293" s="327">
        <f t="shared" si="2443"/>
        <v>45925</v>
      </c>
      <c r="F15293" s="474"/>
      <c r="G15293" s="332" t="s">
        <v>94</v>
      </c>
      <c r="H15293" s="332"/>
      <c r="I15293" s="333" t="s">
        <v>348</v>
      </c>
      <c r="J15293" s="376" t="s">
        <v>60</v>
      </c>
      <c r="K15293" s="334"/>
      <c r="L15293" s="334">
        <f>K15292</f>
        <v>0</v>
      </c>
    </row>
    <row r="15294" spans="1:14" x14ac:dyDescent="0.2">
      <c r="A15294" s="384">
        <v>2025</v>
      </c>
      <c r="B15294" s="384">
        <v>9</v>
      </c>
      <c r="C15294" s="384">
        <v>25</v>
      </c>
      <c r="D15294" s="385">
        <f t="shared" si="2442"/>
        <v>45925</v>
      </c>
      <c r="E15294" s="386">
        <f t="shared" si="2443"/>
        <v>45925</v>
      </c>
      <c r="F15294" s="475" t="s">
        <v>1966</v>
      </c>
      <c r="G15294" s="387" t="s">
        <v>94</v>
      </c>
      <c r="H15294" s="387"/>
      <c r="I15294" s="388" t="s">
        <v>348</v>
      </c>
      <c r="J15294" s="389" t="s">
        <v>67</v>
      </c>
      <c r="K15294" s="390">
        <v>5435.03</v>
      </c>
      <c r="L15294" s="390"/>
    </row>
    <row r="15295" spans="1:14" x14ac:dyDescent="0.2">
      <c r="A15295" s="391">
        <v>2025</v>
      </c>
      <c r="B15295" s="391">
        <v>9</v>
      </c>
      <c r="C15295" s="391">
        <v>25</v>
      </c>
      <c r="D15295" s="385">
        <f t="shared" si="2442"/>
        <v>45925</v>
      </c>
      <c r="E15295" s="386">
        <f t="shared" si="2443"/>
        <v>45925</v>
      </c>
      <c r="F15295" s="476"/>
      <c r="G15295" s="392" t="s">
        <v>94</v>
      </c>
      <c r="H15295" s="392"/>
      <c r="I15295" s="393" t="s">
        <v>348</v>
      </c>
      <c r="J15295" s="394" t="s">
        <v>60</v>
      </c>
      <c r="K15295" s="395"/>
      <c r="L15295" s="395">
        <f>K15294</f>
        <v>5435.03</v>
      </c>
    </row>
    <row r="15296" spans="1:14" x14ac:dyDescent="0.2">
      <c r="A15296" s="343">
        <v>2025</v>
      </c>
      <c r="B15296" s="343">
        <v>9</v>
      </c>
      <c r="C15296" s="343">
        <v>25</v>
      </c>
      <c r="D15296" s="344">
        <f t="shared" si="2442"/>
        <v>45925</v>
      </c>
      <c r="E15296" s="345">
        <f t="shared" si="2443"/>
        <v>45925</v>
      </c>
      <c r="F15296" s="483" t="s">
        <v>1813</v>
      </c>
      <c r="G15296" s="350" t="s">
        <v>94</v>
      </c>
      <c r="H15296" s="350"/>
      <c r="I15296" s="352" t="s">
        <v>348</v>
      </c>
      <c r="J15296" s="353" t="s">
        <v>1807</v>
      </c>
      <c r="K15296" s="354">
        <v>0</v>
      </c>
      <c r="L15296" s="354"/>
      <c r="M15296" s="133">
        <v>0</v>
      </c>
    </row>
    <row r="15297" spans="1:14" x14ac:dyDescent="0.2">
      <c r="A15297" s="346">
        <v>2025</v>
      </c>
      <c r="B15297" s="346">
        <v>9</v>
      </c>
      <c r="C15297" s="346">
        <v>25</v>
      </c>
      <c r="D15297" s="344">
        <f t="shared" si="2442"/>
        <v>45925</v>
      </c>
      <c r="E15297" s="345">
        <f t="shared" si="2443"/>
        <v>45925</v>
      </c>
      <c r="F15297" s="484"/>
      <c r="G15297" s="347" t="s">
        <v>94</v>
      </c>
      <c r="H15297" s="347"/>
      <c r="I15297" s="348" t="s">
        <v>348</v>
      </c>
      <c r="J15297" s="355" t="s">
        <v>1798</v>
      </c>
      <c r="K15297" s="349"/>
      <c r="L15297" s="349">
        <v>0</v>
      </c>
    </row>
    <row r="15298" spans="1:14" x14ac:dyDescent="0.2">
      <c r="A15298" s="343">
        <v>2025</v>
      </c>
      <c r="B15298" s="343">
        <v>9</v>
      </c>
      <c r="C15298" s="343">
        <v>25</v>
      </c>
      <c r="D15298" s="344">
        <f t="shared" si="2442"/>
        <v>45925</v>
      </c>
      <c r="E15298" s="345">
        <f t="shared" si="2443"/>
        <v>45925</v>
      </c>
      <c r="F15298" s="483" t="s">
        <v>1913</v>
      </c>
      <c r="G15298" s="350" t="s">
        <v>94</v>
      </c>
      <c r="H15298" s="350"/>
      <c r="I15298" s="352" t="s">
        <v>348</v>
      </c>
      <c r="J15298" s="353" t="s">
        <v>1808</v>
      </c>
      <c r="K15298" s="354">
        <v>572725.68999999762</v>
      </c>
      <c r="L15298" s="354"/>
      <c r="M15298" s="160">
        <v>0</v>
      </c>
    </row>
    <row r="15299" spans="1:14" x14ac:dyDescent="0.2">
      <c r="A15299" s="346">
        <v>2025</v>
      </c>
      <c r="B15299" s="346">
        <v>9</v>
      </c>
      <c r="C15299" s="346">
        <v>25</v>
      </c>
      <c r="D15299" s="344">
        <f t="shared" si="2442"/>
        <v>45925</v>
      </c>
      <c r="E15299" s="345">
        <f t="shared" si="2443"/>
        <v>45925</v>
      </c>
      <c r="F15299" s="484"/>
      <c r="G15299" s="347" t="s">
        <v>94</v>
      </c>
      <c r="H15299" s="347"/>
      <c r="I15299" s="348" t="s">
        <v>348</v>
      </c>
      <c r="J15299" s="355" t="s">
        <v>1799</v>
      </c>
      <c r="K15299" s="349"/>
      <c r="L15299" s="349">
        <f>K15298</f>
        <v>572725.68999999762</v>
      </c>
    </row>
    <row r="15300" spans="1:14" x14ac:dyDescent="0.2">
      <c r="A15300" s="238">
        <v>2025</v>
      </c>
      <c r="B15300" s="238">
        <v>9</v>
      </c>
      <c r="C15300" s="238">
        <v>25</v>
      </c>
      <c r="D15300" s="270">
        <f t="shared" si="2442"/>
        <v>45925</v>
      </c>
      <c r="E15300" s="279">
        <f t="shared" si="2443"/>
        <v>45925</v>
      </c>
      <c r="F15300" s="477" t="s">
        <v>347</v>
      </c>
      <c r="G15300" s="239" t="s">
        <v>94</v>
      </c>
      <c r="H15300" s="239"/>
      <c r="I15300" s="262" t="s">
        <v>348</v>
      </c>
      <c r="J15300" s="240" t="s">
        <v>82</v>
      </c>
      <c r="K15300" s="241">
        <v>1000443.4855999947</v>
      </c>
      <c r="L15300" s="241"/>
      <c r="M15300" s="160">
        <v>13139541.900000483</v>
      </c>
    </row>
    <row r="15301" spans="1:14" x14ac:dyDescent="0.2">
      <c r="A15301" s="242">
        <v>2025</v>
      </c>
      <c r="B15301" s="242">
        <v>9</v>
      </c>
      <c r="C15301" s="242">
        <v>25</v>
      </c>
      <c r="D15301" s="270">
        <f t="shared" si="2442"/>
        <v>45925</v>
      </c>
      <c r="E15301" s="279">
        <f t="shared" si="2443"/>
        <v>45925</v>
      </c>
      <c r="F15301" s="478"/>
      <c r="G15301" s="243" t="s">
        <v>94</v>
      </c>
      <c r="H15301" s="243"/>
      <c r="I15301" s="263" t="s">
        <v>348</v>
      </c>
      <c r="J15301" s="244" t="s">
        <v>108</v>
      </c>
      <c r="K15301" s="245"/>
      <c r="L15301" s="245">
        <f>K15300</f>
        <v>1000443.4855999947</v>
      </c>
    </row>
    <row r="15302" spans="1:14" ht="12" customHeight="1" x14ac:dyDescent="0.2">
      <c r="A15302" s="246">
        <v>2025</v>
      </c>
      <c r="B15302" s="238">
        <v>9</v>
      </c>
      <c r="C15302" s="238">
        <v>25</v>
      </c>
      <c r="D15302" s="270">
        <f t="shared" si="2442"/>
        <v>45925</v>
      </c>
      <c r="E15302" s="279">
        <f t="shared" si="2443"/>
        <v>45925</v>
      </c>
      <c r="F15302" s="482" t="s">
        <v>148</v>
      </c>
      <c r="G15302" s="247" t="s">
        <v>94</v>
      </c>
      <c r="H15302" s="247"/>
      <c r="I15302" s="248" t="s">
        <v>348</v>
      </c>
      <c r="J15302" s="249" t="s">
        <v>95</v>
      </c>
      <c r="K15302" s="250">
        <v>2747.2527472527472</v>
      </c>
      <c r="L15302" s="241"/>
      <c r="M15302" s="176"/>
    </row>
    <row r="15303" spans="1:14" x14ac:dyDescent="0.2">
      <c r="A15303" s="242">
        <v>2025</v>
      </c>
      <c r="B15303" s="242">
        <v>9</v>
      </c>
      <c r="C15303" s="242">
        <v>25</v>
      </c>
      <c r="D15303" s="270">
        <f t="shared" si="2442"/>
        <v>45925</v>
      </c>
      <c r="E15303" s="279">
        <f t="shared" si="2443"/>
        <v>45925</v>
      </c>
      <c r="F15303" s="478"/>
      <c r="G15303" s="243" t="s">
        <v>94</v>
      </c>
      <c r="H15303" s="243"/>
      <c r="I15303" s="263" t="s">
        <v>348</v>
      </c>
      <c r="J15303" s="244" t="s">
        <v>63</v>
      </c>
      <c r="K15303" s="245"/>
      <c r="L15303" s="245">
        <f>K15302</f>
        <v>2747.2527472527472</v>
      </c>
    </row>
    <row r="15304" spans="1:14" x14ac:dyDescent="0.2">
      <c r="A15304" s="246">
        <v>2025</v>
      </c>
      <c r="B15304" s="238">
        <v>9</v>
      </c>
      <c r="C15304" s="238">
        <v>25</v>
      </c>
      <c r="D15304" s="270">
        <f t="shared" si="2442"/>
        <v>45925</v>
      </c>
      <c r="E15304" s="279">
        <f t="shared" si="2443"/>
        <v>45925</v>
      </c>
      <c r="F15304" s="482" t="s">
        <v>137</v>
      </c>
      <c r="G15304" s="247" t="s">
        <v>94</v>
      </c>
      <c r="H15304" s="247"/>
      <c r="I15304" s="248" t="s">
        <v>348</v>
      </c>
      <c r="J15304" s="249" t="s">
        <v>97</v>
      </c>
      <c r="K15304" s="250">
        <f>M15304</f>
        <v>89592.869700234456</v>
      </c>
      <c r="L15304" s="252"/>
      <c r="M15304" s="133">
        <v>89592.869700234456</v>
      </c>
    </row>
    <row r="15305" spans="1:14" x14ac:dyDescent="0.2">
      <c r="A15305" s="242">
        <v>2025</v>
      </c>
      <c r="B15305" s="242">
        <v>9</v>
      </c>
      <c r="C15305" s="242">
        <v>25</v>
      </c>
      <c r="D15305" s="270">
        <f t="shared" si="2442"/>
        <v>45925</v>
      </c>
      <c r="E15305" s="279">
        <f t="shared" si="2443"/>
        <v>45925</v>
      </c>
      <c r="F15305" s="478"/>
      <c r="G15305" s="243" t="s">
        <v>94</v>
      </c>
      <c r="H15305" s="243"/>
      <c r="I15305" s="263" t="s">
        <v>348</v>
      </c>
      <c r="J15305" s="244" t="s">
        <v>47</v>
      </c>
      <c r="K15305" s="245"/>
      <c r="L15305" s="245">
        <f>K15304</f>
        <v>89592.869700234456</v>
      </c>
      <c r="M15305" s="133">
        <v>4239.2588696271068</v>
      </c>
    </row>
    <row r="15306" spans="1:14" x14ac:dyDescent="0.2">
      <c r="A15306" s="246">
        <v>2025</v>
      </c>
      <c r="B15306" s="238">
        <v>9</v>
      </c>
      <c r="C15306" s="238">
        <v>25</v>
      </c>
      <c r="D15306" s="270">
        <f t="shared" si="2442"/>
        <v>45925</v>
      </c>
      <c r="E15306" s="279">
        <f t="shared" si="2443"/>
        <v>45925</v>
      </c>
      <c r="F15306" s="482" t="s">
        <v>138</v>
      </c>
      <c r="G15306" s="247" t="s">
        <v>94</v>
      </c>
      <c r="H15306" s="247"/>
      <c r="I15306" s="248" t="s">
        <v>348</v>
      </c>
      <c r="J15306" s="249" t="s">
        <v>100</v>
      </c>
      <c r="K15306" s="250">
        <f>M15305</f>
        <v>4239.2588696271068</v>
      </c>
      <c r="L15306" s="252"/>
    </row>
    <row r="15307" spans="1:14" x14ac:dyDescent="0.2">
      <c r="A15307" s="242">
        <v>2025</v>
      </c>
      <c r="B15307" s="242">
        <v>9</v>
      </c>
      <c r="C15307" s="242">
        <v>25</v>
      </c>
      <c r="D15307" s="321">
        <f t="shared" si="2442"/>
        <v>45925</v>
      </c>
      <c r="E15307" s="322">
        <f t="shared" si="2443"/>
        <v>45925</v>
      </c>
      <c r="F15307" s="478"/>
      <c r="G15307" s="243" t="s">
        <v>94</v>
      </c>
      <c r="H15307" s="243"/>
      <c r="I15307" s="263" t="s">
        <v>348</v>
      </c>
      <c r="J15307" s="244" t="s">
        <v>48</v>
      </c>
      <c r="K15307" s="245"/>
      <c r="L15307" s="245">
        <f>K15306</f>
        <v>4239.2588696271068</v>
      </c>
    </row>
    <row r="15308" spans="1:14" ht="11.25" customHeight="1" x14ac:dyDescent="0.2">
      <c r="A15308" s="168">
        <v>2025</v>
      </c>
      <c r="B15308" s="133">
        <v>9</v>
      </c>
      <c r="C15308" s="168">
        <v>28</v>
      </c>
      <c r="D15308" s="141">
        <f t="shared" si="2442"/>
        <v>45928</v>
      </c>
      <c r="E15308" s="275">
        <f t="shared" si="2443"/>
        <v>45928</v>
      </c>
      <c r="F15308" s="479" t="s">
        <v>2122</v>
      </c>
      <c r="G15308" s="220" t="s">
        <v>74</v>
      </c>
      <c r="H15308" s="220"/>
      <c r="I15308" s="142"/>
      <c r="J15308" s="143" t="s">
        <v>52</v>
      </c>
      <c r="K15308" s="226">
        <v>122800</v>
      </c>
      <c r="L15308" s="226"/>
    </row>
    <row r="15309" spans="1:14" x14ac:dyDescent="0.2">
      <c r="A15309" s="163">
        <v>2025</v>
      </c>
      <c r="B15309" s="163">
        <v>9</v>
      </c>
      <c r="C15309" s="163">
        <v>28</v>
      </c>
      <c r="D15309" s="280">
        <f t="shared" si="2442"/>
        <v>45928</v>
      </c>
      <c r="E15309" s="281">
        <f t="shared" si="2443"/>
        <v>45928</v>
      </c>
      <c r="F15309" s="480"/>
      <c r="G15309" s="221" t="s">
        <v>74</v>
      </c>
      <c r="H15309" s="221"/>
      <c r="I15309" s="145"/>
      <c r="J15309" s="146" t="s">
        <v>60</v>
      </c>
      <c r="K15309" s="219"/>
      <c r="L15309" s="219">
        <v>122800</v>
      </c>
    </row>
    <row r="15310" spans="1:14" x14ac:dyDescent="0.2">
      <c r="A15310" s="133">
        <v>2025</v>
      </c>
      <c r="B15310" s="133">
        <v>9</v>
      </c>
      <c r="C15310" s="133">
        <v>28</v>
      </c>
      <c r="D15310" s="141">
        <f t="shared" si="2442"/>
        <v>45928</v>
      </c>
      <c r="E15310" s="275">
        <f t="shared" si="2443"/>
        <v>45928</v>
      </c>
      <c r="F15310" s="481" t="s">
        <v>2115</v>
      </c>
      <c r="G15310" s="174" t="s">
        <v>94</v>
      </c>
      <c r="H15310" s="174"/>
      <c r="J15310" s="149" t="s">
        <v>79</v>
      </c>
      <c r="K15310" s="218">
        <v>2279500</v>
      </c>
      <c r="L15310" s="218"/>
      <c r="M15310" s="160"/>
    </row>
    <row r="15311" spans="1:14" x14ac:dyDescent="0.2">
      <c r="A15311" s="133">
        <v>2025</v>
      </c>
      <c r="B15311" s="133">
        <v>9</v>
      </c>
      <c r="C15311" s="133">
        <v>28</v>
      </c>
      <c r="D15311" s="141">
        <f t="shared" si="2442"/>
        <v>45928</v>
      </c>
      <c r="E15311" s="275">
        <f t="shared" si="2443"/>
        <v>45928</v>
      </c>
      <c r="F15311" s="481"/>
      <c r="G15311" s="174" t="s">
        <v>94</v>
      </c>
      <c r="H15311" s="174"/>
      <c r="J15311" s="149" t="s">
        <v>80</v>
      </c>
      <c r="K15311" s="218">
        <v>6908.33</v>
      </c>
      <c r="L15311" s="264"/>
      <c r="M15311" s="264"/>
      <c r="N15311" s="264"/>
    </row>
    <row r="15312" spans="1:14" x14ac:dyDescent="0.2">
      <c r="A15312" s="133">
        <v>2025</v>
      </c>
      <c r="B15312" s="133">
        <v>9</v>
      </c>
      <c r="C15312" s="133">
        <v>28</v>
      </c>
      <c r="D15312" s="141">
        <f t="shared" si="2442"/>
        <v>45928</v>
      </c>
      <c r="E15312" s="275">
        <f t="shared" si="2443"/>
        <v>45928</v>
      </c>
      <c r="F15312" s="481"/>
      <c r="G15312" s="174" t="s">
        <v>94</v>
      </c>
      <c r="H15312" s="174"/>
      <c r="J15312" s="149" t="s">
        <v>147</v>
      </c>
      <c r="K15312" s="218"/>
      <c r="L15312" s="218">
        <v>727947.73</v>
      </c>
      <c r="M15312" s="264"/>
    </row>
    <row r="15313" spans="1:17" x14ac:dyDescent="0.2">
      <c r="A15313" s="133">
        <v>2025</v>
      </c>
      <c r="B15313" s="133">
        <v>9</v>
      </c>
      <c r="C15313" s="133">
        <v>28</v>
      </c>
      <c r="D15313" s="141">
        <f t="shared" si="2442"/>
        <v>45928</v>
      </c>
      <c r="E15313" s="275">
        <f t="shared" si="2443"/>
        <v>45928</v>
      </c>
      <c r="F15313" s="481"/>
      <c r="G15313" s="174" t="s">
        <v>94</v>
      </c>
      <c r="H15313" s="174"/>
      <c r="J15313" s="149" t="s">
        <v>191</v>
      </c>
      <c r="L15313" s="218">
        <v>204317.21</v>
      </c>
    </row>
    <row r="15314" spans="1:17" x14ac:dyDescent="0.2">
      <c r="A15314" s="163">
        <v>2025</v>
      </c>
      <c r="B15314" s="163">
        <v>9</v>
      </c>
      <c r="C15314" s="163">
        <v>28</v>
      </c>
      <c r="D15314" s="280">
        <f t="shared" si="2442"/>
        <v>45928</v>
      </c>
      <c r="E15314" s="281">
        <f t="shared" si="2443"/>
        <v>45928</v>
      </c>
      <c r="F15314" s="480"/>
      <c r="G15314" s="221" t="s">
        <v>94</v>
      </c>
      <c r="H15314" s="145"/>
      <c r="I15314" s="145"/>
      <c r="J15314" s="163" t="s">
        <v>79</v>
      </c>
      <c r="K15314" s="219"/>
      <c r="L15314" s="219">
        <v>1354143.39</v>
      </c>
      <c r="M15314" s="264"/>
    </row>
    <row r="15315" spans="1:17" ht="11.25" customHeight="1" x14ac:dyDescent="0.2">
      <c r="A15315" s="168">
        <v>2025</v>
      </c>
      <c r="B15315" s="168">
        <v>9</v>
      </c>
      <c r="C15315" s="133">
        <v>28</v>
      </c>
      <c r="D15315" s="141">
        <f t="shared" si="2442"/>
        <v>45928</v>
      </c>
      <c r="E15315" s="275">
        <f t="shared" si="2443"/>
        <v>45928</v>
      </c>
      <c r="F15315" s="479" t="s">
        <v>964</v>
      </c>
      <c r="G15315" s="220" t="s">
        <v>74</v>
      </c>
      <c r="H15315" s="142"/>
      <c r="I15315" s="142"/>
      <c r="J15315" s="168" t="s">
        <v>52</v>
      </c>
      <c r="K15315" s="226">
        <v>5000762</v>
      </c>
      <c r="L15315" s="226"/>
    </row>
    <row r="15316" spans="1:17" ht="11.25" customHeight="1" x14ac:dyDescent="0.2">
      <c r="A15316" s="133">
        <v>2025</v>
      </c>
      <c r="B15316" s="133">
        <v>9</v>
      </c>
      <c r="C15316" s="133">
        <v>28</v>
      </c>
      <c r="D15316" s="141">
        <f t="shared" si="2442"/>
        <v>45928</v>
      </c>
      <c r="E15316" s="275">
        <f t="shared" si="2443"/>
        <v>45928</v>
      </c>
      <c r="F15316" s="481"/>
      <c r="G15316" s="174" t="s">
        <v>74</v>
      </c>
      <c r="J15316" s="133" t="s">
        <v>13</v>
      </c>
      <c r="K15316" s="218"/>
      <c r="L15316" s="218">
        <v>3445000</v>
      </c>
    </row>
    <row r="15317" spans="1:17" ht="11.25" customHeight="1" x14ac:dyDescent="0.2">
      <c r="A15317" s="163">
        <v>2025</v>
      </c>
      <c r="B15317" s="163">
        <v>9</v>
      </c>
      <c r="C15317" s="163">
        <v>28</v>
      </c>
      <c r="D15317" s="280">
        <f t="shared" si="2442"/>
        <v>45928</v>
      </c>
      <c r="E15317" s="281">
        <f t="shared" si="2443"/>
        <v>45928</v>
      </c>
      <c r="F15317" s="480"/>
      <c r="G15317" s="221" t="s">
        <v>74</v>
      </c>
      <c r="H15317" s="145"/>
      <c r="I15317" s="145"/>
      <c r="J15317" s="163" t="s">
        <v>53</v>
      </c>
      <c r="K15317" s="219"/>
      <c r="L15317" s="219">
        <v>1555762</v>
      </c>
    </row>
    <row r="15318" spans="1:17" x14ac:dyDescent="0.2">
      <c r="A15318" s="168">
        <v>2025</v>
      </c>
      <c r="B15318" s="133">
        <v>9</v>
      </c>
      <c r="C15318" s="168">
        <v>28</v>
      </c>
      <c r="D15318" s="147">
        <f>DATE(A15318,B15318,C15318)</f>
        <v>45928</v>
      </c>
      <c r="E15318" s="311">
        <f>DATE(A15318,B15318,C15318)</f>
        <v>45928</v>
      </c>
      <c r="F15318" s="481" t="s">
        <v>1943</v>
      </c>
      <c r="G15318" s="174" t="s">
        <v>74</v>
      </c>
      <c r="I15318" s="148" t="s">
        <v>348</v>
      </c>
      <c r="J15318" s="133" t="s">
        <v>61</v>
      </c>
      <c r="K15318" s="172">
        <v>60</v>
      </c>
    </row>
    <row r="15319" spans="1:17" x14ac:dyDescent="0.2">
      <c r="A15319" s="163">
        <v>2025</v>
      </c>
      <c r="B15319" s="163">
        <v>9</v>
      </c>
      <c r="C15319" s="163">
        <v>28</v>
      </c>
      <c r="D15319" s="280">
        <f>DATE(A15319,B15319,C15319)</f>
        <v>45928</v>
      </c>
      <c r="E15319" s="281">
        <f>DATE(A15319,B15319,C15319)</f>
        <v>45928</v>
      </c>
      <c r="F15319" s="480"/>
      <c r="G15319" s="221" t="s">
        <v>74</v>
      </c>
      <c r="H15319" s="145"/>
      <c r="I15319" s="145" t="s">
        <v>348</v>
      </c>
      <c r="J15319" s="163" t="s">
        <v>52</v>
      </c>
      <c r="K15319" s="219"/>
      <c r="L15319" s="219">
        <f>K15318</f>
        <v>60</v>
      </c>
    </row>
    <row r="15320" spans="1:17" ht="11.25" customHeight="1" x14ac:dyDescent="0.2">
      <c r="A15320" s="168">
        <v>2025</v>
      </c>
      <c r="B15320" s="168">
        <v>9</v>
      </c>
      <c r="C15320" s="133">
        <v>28</v>
      </c>
      <c r="D15320" s="141">
        <f t="shared" ref="D15320:D15322" si="2450">DATE(A15320,B15320,C15320)</f>
        <v>45928</v>
      </c>
      <c r="E15320" s="275">
        <f t="shared" ref="E15320:E15322" si="2451">DATE(A15320,B15320,C15320)</f>
        <v>45928</v>
      </c>
      <c r="F15320" s="479" t="s">
        <v>1319</v>
      </c>
      <c r="G15320" s="220" t="s">
        <v>74</v>
      </c>
      <c r="H15320" s="142"/>
      <c r="I15320" s="142"/>
      <c r="J15320" s="168" t="s">
        <v>52</v>
      </c>
      <c r="K15320" s="226">
        <v>46000</v>
      </c>
      <c r="L15320" s="226"/>
    </row>
    <row r="15321" spans="1:17" ht="11.25" customHeight="1" x14ac:dyDescent="0.2">
      <c r="A15321" s="133">
        <v>2025</v>
      </c>
      <c r="B15321" s="133">
        <v>9</v>
      </c>
      <c r="C15321" s="133">
        <v>28</v>
      </c>
      <c r="D15321" s="141">
        <f t="shared" si="2450"/>
        <v>45928</v>
      </c>
      <c r="E15321" s="275">
        <f t="shared" si="2451"/>
        <v>45928</v>
      </c>
      <c r="F15321" s="481"/>
      <c r="G15321" s="174" t="s">
        <v>74</v>
      </c>
      <c r="J15321" s="133" t="s">
        <v>13</v>
      </c>
      <c r="K15321" s="218"/>
      <c r="L15321" s="218">
        <v>31680</v>
      </c>
    </row>
    <row r="15322" spans="1:17" ht="11.25" customHeight="1" x14ac:dyDescent="0.2">
      <c r="A15322" s="163">
        <v>2025</v>
      </c>
      <c r="B15322" s="163">
        <v>9</v>
      </c>
      <c r="C15322" s="163">
        <v>28</v>
      </c>
      <c r="D15322" s="280">
        <f t="shared" si="2450"/>
        <v>45928</v>
      </c>
      <c r="E15322" s="281">
        <f t="shared" si="2451"/>
        <v>45928</v>
      </c>
      <c r="F15322" s="480"/>
      <c r="G15322" s="221" t="s">
        <v>74</v>
      </c>
      <c r="H15322" s="145"/>
      <c r="I15322" s="145"/>
      <c r="J15322" s="163" t="s">
        <v>53</v>
      </c>
      <c r="K15322" s="219"/>
      <c r="L15322" s="219">
        <v>14320</v>
      </c>
    </row>
    <row r="15323" spans="1:17" x14ac:dyDescent="0.2">
      <c r="A15323" s="168">
        <v>2025</v>
      </c>
      <c r="B15323" s="133">
        <v>9</v>
      </c>
      <c r="C15323" s="168">
        <v>29</v>
      </c>
      <c r="D15323" s="141">
        <f t="shared" ref="D15323:D15324" si="2452">DATE(A15323,B15323,C15323)</f>
        <v>45929</v>
      </c>
      <c r="E15323" s="275">
        <f t="shared" ref="E15323:E15324" si="2453">DATE(A15323,B15323,C15323)</f>
        <v>45929</v>
      </c>
      <c r="F15323" s="479" t="s">
        <v>243</v>
      </c>
      <c r="G15323" s="220" t="s">
        <v>74</v>
      </c>
      <c r="H15323" s="220"/>
      <c r="I15323" s="142" t="s">
        <v>348</v>
      </c>
      <c r="J15323" s="143" t="s">
        <v>79</v>
      </c>
      <c r="K15323" s="226">
        <v>1999880</v>
      </c>
      <c r="L15323" s="226"/>
      <c r="Q15323" s="133" t="s">
        <v>431</v>
      </c>
    </row>
    <row r="15324" spans="1:17" x14ac:dyDescent="0.2">
      <c r="A15324" s="163">
        <v>2025</v>
      </c>
      <c r="B15324" s="163">
        <v>9</v>
      </c>
      <c r="C15324" s="163">
        <v>29</v>
      </c>
      <c r="D15324" s="280">
        <f t="shared" si="2452"/>
        <v>45929</v>
      </c>
      <c r="E15324" s="281">
        <f t="shared" si="2453"/>
        <v>45929</v>
      </c>
      <c r="F15324" s="480"/>
      <c r="G15324" s="221" t="s">
        <v>74</v>
      </c>
      <c r="H15324" s="221"/>
      <c r="I15324" s="145" t="s">
        <v>348</v>
      </c>
      <c r="J15324" s="146" t="s">
        <v>52</v>
      </c>
      <c r="K15324" s="219"/>
      <c r="L15324" s="219">
        <f>K15323</f>
        <v>1999880</v>
      </c>
      <c r="Q15324" s="133" t="s">
        <v>497</v>
      </c>
    </row>
    <row r="15325" spans="1:17" x14ac:dyDescent="0.2">
      <c r="A15325" s="168">
        <v>2025</v>
      </c>
      <c r="B15325" s="133">
        <v>9</v>
      </c>
      <c r="C15325" s="168">
        <v>29</v>
      </c>
      <c r="D15325" s="147">
        <f>DATE(A15325,B15325,C15325)</f>
        <v>45929</v>
      </c>
      <c r="E15325" s="311">
        <f>DATE(A15325,B15325,C15325)</f>
        <v>45929</v>
      </c>
      <c r="F15325" s="481" t="s">
        <v>1943</v>
      </c>
      <c r="G15325" s="174" t="s">
        <v>74</v>
      </c>
      <c r="I15325" s="148" t="s">
        <v>348</v>
      </c>
      <c r="J15325" s="133" t="s">
        <v>61</v>
      </c>
      <c r="K15325" s="172">
        <v>100</v>
      </c>
    </row>
    <row r="15326" spans="1:17" x14ac:dyDescent="0.2">
      <c r="A15326" s="163">
        <v>2025</v>
      </c>
      <c r="B15326" s="163">
        <v>9</v>
      </c>
      <c r="C15326" s="163">
        <v>29</v>
      </c>
      <c r="D15326" s="280">
        <f>DATE(A15326,B15326,C15326)</f>
        <v>45929</v>
      </c>
      <c r="E15326" s="281">
        <f>DATE(A15326,B15326,C15326)</f>
        <v>45929</v>
      </c>
      <c r="F15326" s="480"/>
      <c r="G15326" s="221" t="s">
        <v>74</v>
      </c>
      <c r="H15326" s="145"/>
      <c r="I15326" s="145" t="s">
        <v>348</v>
      </c>
      <c r="J15326" s="163" t="s">
        <v>52</v>
      </c>
      <c r="K15326" s="219"/>
      <c r="L15326" s="219">
        <f>K15325</f>
        <v>100</v>
      </c>
    </row>
    <row r="15327" spans="1:17" ht="11.25" customHeight="1" x14ac:dyDescent="0.2">
      <c r="A15327" s="168">
        <v>2025</v>
      </c>
      <c r="B15327" s="168">
        <v>9</v>
      </c>
      <c r="C15327" s="133">
        <v>30</v>
      </c>
      <c r="D15327" s="141">
        <f t="shared" ref="D15327:D15329" si="2454">DATE(A15327,B15327,C15327)</f>
        <v>45930</v>
      </c>
      <c r="E15327" s="275">
        <f t="shared" ref="E15327:E15329" si="2455">DATE(A15327,B15327,C15327)</f>
        <v>45930</v>
      </c>
      <c r="F15327" s="479" t="s">
        <v>1315</v>
      </c>
      <c r="G15327" s="220" t="s">
        <v>74</v>
      </c>
      <c r="H15327" s="142"/>
      <c r="I15327" s="142"/>
      <c r="J15327" s="168" t="s">
        <v>13</v>
      </c>
      <c r="K15327" s="226">
        <v>1400000</v>
      </c>
      <c r="L15327" s="226"/>
    </row>
    <row r="15328" spans="1:17" ht="11.25" customHeight="1" x14ac:dyDescent="0.2">
      <c r="A15328" s="133">
        <v>2025</v>
      </c>
      <c r="B15328" s="133">
        <v>9</v>
      </c>
      <c r="C15328" s="133">
        <v>30</v>
      </c>
      <c r="D15328" s="141">
        <f t="shared" si="2454"/>
        <v>45930</v>
      </c>
      <c r="E15328" s="275">
        <f t="shared" si="2455"/>
        <v>45930</v>
      </c>
      <c r="F15328" s="481"/>
      <c r="G15328" s="174" t="s">
        <v>74</v>
      </c>
      <c r="J15328" s="133" t="s">
        <v>53</v>
      </c>
      <c r="K15328" s="218">
        <v>632240</v>
      </c>
      <c r="L15328" s="218"/>
    </row>
    <row r="15329" spans="1:14" ht="11.25" customHeight="1" x14ac:dyDescent="0.2">
      <c r="A15329" s="163">
        <v>2025</v>
      </c>
      <c r="B15329" s="163">
        <v>9</v>
      </c>
      <c r="C15329" s="163">
        <v>30</v>
      </c>
      <c r="D15329" s="280">
        <f t="shared" si="2454"/>
        <v>45930</v>
      </c>
      <c r="E15329" s="281">
        <f t="shared" si="2455"/>
        <v>45930</v>
      </c>
      <c r="F15329" s="480"/>
      <c r="G15329" s="221" t="s">
        <v>74</v>
      </c>
      <c r="H15329" s="145"/>
      <c r="I15329" s="145"/>
      <c r="J15329" s="163" t="s">
        <v>52</v>
      </c>
      <c r="K15329" s="219"/>
      <c r="L15329" s="219">
        <v>2032240</v>
      </c>
    </row>
    <row r="15330" spans="1:14" x14ac:dyDescent="0.2">
      <c r="A15330" s="168">
        <v>2025</v>
      </c>
      <c r="B15330" s="133">
        <v>9</v>
      </c>
      <c r="C15330" s="168">
        <v>29</v>
      </c>
      <c r="D15330" s="147">
        <f>DATE(A15330,B15330,C15330)</f>
        <v>45929</v>
      </c>
      <c r="E15330" s="311">
        <f>DATE(A15330,B15330,C15330)</f>
        <v>45929</v>
      </c>
      <c r="F15330" s="481" t="s">
        <v>1943</v>
      </c>
      <c r="G15330" s="174" t="s">
        <v>74</v>
      </c>
      <c r="I15330" s="148" t="s">
        <v>348</v>
      </c>
      <c r="J15330" s="133" t="s">
        <v>61</v>
      </c>
      <c r="K15330" s="172">
        <v>100</v>
      </c>
    </row>
    <row r="15331" spans="1:14" x14ac:dyDescent="0.2">
      <c r="A15331" s="163">
        <v>2025</v>
      </c>
      <c r="B15331" s="163">
        <v>9</v>
      </c>
      <c r="C15331" s="163">
        <v>29</v>
      </c>
      <c r="D15331" s="280">
        <f>DATE(A15331,B15331,C15331)</f>
        <v>45929</v>
      </c>
      <c r="E15331" s="281">
        <f>DATE(A15331,B15331,C15331)</f>
        <v>45929</v>
      </c>
      <c r="F15331" s="480"/>
      <c r="G15331" s="221" t="s">
        <v>74</v>
      </c>
      <c r="H15331" s="145"/>
      <c r="I15331" s="145" t="s">
        <v>348</v>
      </c>
      <c r="J15331" s="163" t="s">
        <v>52</v>
      </c>
      <c r="K15331" s="219"/>
      <c r="L15331" s="219">
        <f>K15330</f>
        <v>100</v>
      </c>
    </row>
    <row r="15332" spans="1:14" x14ac:dyDescent="0.2">
      <c r="A15332" s="133">
        <v>2025</v>
      </c>
      <c r="B15332" s="133">
        <v>9</v>
      </c>
      <c r="C15332" s="133">
        <v>30</v>
      </c>
      <c r="D15332" s="141">
        <f t="shared" ref="D15332:D15337" si="2456">DATE(A15332,B15332,C15332)</f>
        <v>45930</v>
      </c>
      <c r="E15332" s="275">
        <f t="shared" ref="E15332:E15337" si="2457">DATE(A15332,B15332,C15332)</f>
        <v>45930</v>
      </c>
      <c r="F15332" s="481" t="s">
        <v>2123</v>
      </c>
      <c r="G15332" s="174" t="s">
        <v>94</v>
      </c>
      <c r="H15332" s="174"/>
      <c r="J15332" s="149" t="s">
        <v>80</v>
      </c>
      <c r="K15332" s="218">
        <v>250.74</v>
      </c>
      <c r="L15332" s="264"/>
      <c r="M15332" s="264"/>
      <c r="N15332" s="264"/>
    </row>
    <row r="15333" spans="1:14" x14ac:dyDescent="0.2">
      <c r="A15333" s="133">
        <v>2025</v>
      </c>
      <c r="B15333" s="133">
        <v>9</v>
      </c>
      <c r="C15333" s="133">
        <v>30</v>
      </c>
      <c r="D15333" s="141">
        <f t="shared" si="2456"/>
        <v>45930</v>
      </c>
      <c r="E15333" s="275">
        <f t="shared" si="2457"/>
        <v>45930</v>
      </c>
      <c r="F15333" s="481"/>
      <c r="G15333" s="174" t="s">
        <v>94</v>
      </c>
      <c r="H15333" s="174"/>
      <c r="J15333" s="149" t="s">
        <v>190</v>
      </c>
      <c r="K15333" s="218">
        <v>139050.26</v>
      </c>
      <c r="L15333" s="218"/>
      <c r="M15333" s="264"/>
    </row>
    <row r="15334" spans="1:14" x14ac:dyDescent="0.2">
      <c r="A15334" s="133">
        <v>2025</v>
      </c>
      <c r="B15334" s="133">
        <v>9</v>
      </c>
      <c r="C15334" s="133">
        <v>30</v>
      </c>
      <c r="D15334" s="141">
        <f t="shared" si="2456"/>
        <v>45930</v>
      </c>
      <c r="E15334" s="275">
        <f t="shared" si="2457"/>
        <v>45930</v>
      </c>
      <c r="F15334" s="481"/>
      <c r="G15334" s="174" t="s">
        <v>94</v>
      </c>
      <c r="H15334" s="174"/>
      <c r="J15334" s="149" t="s">
        <v>191</v>
      </c>
      <c r="L15334" s="218">
        <v>18967.259999999998</v>
      </c>
    </row>
    <row r="15335" spans="1:14" x14ac:dyDescent="0.2">
      <c r="A15335" s="163">
        <v>2025</v>
      </c>
      <c r="B15335" s="163">
        <v>9</v>
      </c>
      <c r="C15335" s="163">
        <v>30</v>
      </c>
      <c r="D15335" s="280">
        <f t="shared" si="2456"/>
        <v>45930</v>
      </c>
      <c r="E15335" s="281">
        <f t="shared" si="2457"/>
        <v>45930</v>
      </c>
      <c r="F15335" s="480"/>
      <c r="G15335" s="221" t="s">
        <v>94</v>
      </c>
      <c r="H15335" s="145"/>
      <c r="I15335" s="145"/>
      <c r="J15335" s="163" t="s">
        <v>79</v>
      </c>
      <c r="K15335" s="219"/>
      <c r="L15335" s="219">
        <v>120333.74</v>
      </c>
      <c r="M15335" s="264"/>
    </row>
    <row r="15336" spans="1:14" s="432" customFormat="1" x14ac:dyDescent="0.2">
      <c r="A15336" s="424">
        <v>2025</v>
      </c>
      <c r="B15336" s="133">
        <v>9</v>
      </c>
      <c r="C15336" s="168">
        <v>30</v>
      </c>
      <c r="D15336" s="425">
        <f t="shared" si="2456"/>
        <v>45930</v>
      </c>
      <c r="E15336" s="426">
        <f t="shared" si="2457"/>
        <v>45930</v>
      </c>
      <c r="F15336" s="485" t="s">
        <v>2124</v>
      </c>
      <c r="G15336" s="427" t="s">
        <v>94</v>
      </c>
      <c r="H15336" s="427"/>
      <c r="I15336" s="428" t="s">
        <v>348</v>
      </c>
      <c r="J15336" s="429" t="s">
        <v>52</v>
      </c>
      <c r="K15336" s="430">
        <v>75000</v>
      </c>
      <c r="L15336" s="430"/>
      <c r="M15336" s="431"/>
    </row>
    <row r="15337" spans="1:14" s="432" customFormat="1" x14ac:dyDescent="0.2">
      <c r="A15337" s="433">
        <v>2025</v>
      </c>
      <c r="B15337" s="163">
        <v>9</v>
      </c>
      <c r="C15337" s="163">
        <v>30</v>
      </c>
      <c r="D15337" s="425">
        <f t="shared" si="2456"/>
        <v>45930</v>
      </c>
      <c r="E15337" s="426">
        <f t="shared" si="2457"/>
        <v>45930</v>
      </c>
      <c r="F15337" s="486"/>
      <c r="G15337" s="434" t="s">
        <v>94</v>
      </c>
      <c r="H15337" s="434"/>
      <c r="I15337" s="435" t="s">
        <v>348</v>
      </c>
      <c r="J15337" s="436" t="s">
        <v>133</v>
      </c>
      <c r="K15337" s="437"/>
      <c r="L15337" s="437">
        <f>K15336</f>
        <v>75000</v>
      </c>
    </row>
    <row r="15338" spans="1:14" x14ac:dyDescent="0.2">
      <c r="A15338" s="325">
        <v>2025</v>
      </c>
      <c r="B15338" s="325">
        <v>9</v>
      </c>
      <c r="C15338" s="325">
        <v>30</v>
      </c>
      <c r="D15338" s="326">
        <f t="shared" ref="D15338:D15358" si="2458">DATE(A15338,B15338,C15338)</f>
        <v>45930</v>
      </c>
      <c r="E15338" s="327">
        <f t="shared" ref="E15338:E15358" si="2459">DATE(A15338,B15338,C15338)</f>
        <v>45930</v>
      </c>
      <c r="F15338" s="473" t="s">
        <v>1940</v>
      </c>
      <c r="G15338" s="340" t="s">
        <v>94</v>
      </c>
      <c r="H15338" s="340"/>
      <c r="I15338" s="341" t="s">
        <v>348</v>
      </c>
      <c r="J15338" s="374" t="s">
        <v>133</v>
      </c>
      <c r="K15338" s="375">
        <v>12905.56</v>
      </c>
      <c r="L15338" s="375"/>
      <c r="M15338" s="176"/>
    </row>
    <row r="15339" spans="1:14" x14ac:dyDescent="0.2">
      <c r="A15339" s="331">
        <v>2025</v>
      </c>
      <c r="B15339" s="331">
        <v>9</v>
      </c>
      <c r="C15339" s="331">
        <v>30</v>
      </c>
      <c r="D15339" s="326">
        <f t="shared" si="2458"/>
        <v>45930</v>
      </c>
      <c r="E15339" s="327">
        <f t="shared" si="2459"/>
        <v>45930</v>
      </c>
      <c r="F15339" s="474"/>
      <c r="G15339" s="332" t="s">
        <v>94</v>
      </c>
      <c r="H15339" s="332"/>
      <c r="I15339" s="333" t="s">
        <v>348</v>
      </c>
      <c r="J15339" s="376" t="s">
        <v>60</v>
      </c>
      <c r="K15339" s="334"/>
      <c r="L15339" s="334">
        <f>K15338</f>
        <v>12905.56</v>
      </c>
    </row>
    <row r="15340" spans="1:14" x14ac:dyDescent="0.2">
      <c r="A15340" s="384">
        <v>2025</v>
      </c>
      <c r="B15340" s="384">
        <v>9</v>
      </c>
      <c r="C15340" s="384">
        <v>30</v>
      </c>
      <c r="D15340" s="385">
        <f t="shared" si="2458"/>
        <v>45930</v>
      </c>
      <c r="E15340" s="386">
        <f t="shared" si="2459"/>
        <v>45930</v>
      </c>
      <c r="F15340" s="475" t="s">
        <v>1966</v>
      </c>
      <c r="G15340" s="387" t="s">
        <v>94</v>
      </c>
      <c r="H15340" s="387"/>
      <c r="I15340" s="388" t="s">
        <v>348</v>
      </c>
      <c r="J15340" s="389" t="s">
        <v>67</v>
      </c>
      <c r="K15340" s="390">
        <v>5079.6899999999996</v>
      </c>
      <c r="L15340" s="390"/>
    </row>
    <row r="15341" spans="1:14" x14ac:dyDescent="0.2">
      <c r="A15341" s="391">
        <v>2025</v>
      </c>
      <c r="B15341" s="391">
        <v>9</v>
      </c>
      <c r="C15341" s="391">
        <v>30</v>
      </c>
      <c r="D15341" s="385">
        <f t="shared" si="2458"/>
        <v>45930</v>
      </c>
      <c r="E15341" s="386">
        <f t="shared" si="2459"/>
        <v>45930</v>
      </c>
      <c r="F15341" s="476"/>
      <c r="G15341" s="392" t="s">
        <v>94</v>
      </c>
      <c r="H15341" s="392"/>
      <c r="I15341" s="393" t="s">
        <v>348</v>
      </c>
      <c r="J15341" s="394" t="s">
        <v>60</v>
      </c>
      <c r="K15341" s="395"/>
      <c r="L15341" s="395">
        <f>K15340</f>
        <v>5079.6899999999996</v>
      </c>
    </row>
    <row r="15342" spans="1:14" x14ac:dyDescent="0.2">
      <c r="A15342" s="343">
        <v>2025</v>
      </c>
      <c r="B15342" s="343">
        <v>9</v>
      </c>
      <c r="C15342" s="343">
        <v>30</v>
      </c>
      <c r="D15342" s="344">
        <f t="shared" si="2458"/>
        <v>45930</v>
      </c>
      <c r="E15342" s="345">
        <f t="shared" si="2459"/>
        <v>45930</v>
      </c>
      <c r="F15342" s="483" t="s">
        <v>1813</v>
      </c>
      <c r="G15342" s="350" t="s">
        <v>94</v>
      </c>
      <c r="H15342" s="350"/>
      <c r="I15342" s="352" t="s">
        <v>348</v>
      </c>
      <c r="J15342" s="353" t="s">
        <v>1807</v>
      </c>
      <c r="K15342" s="354">
        <v>0</v>
      </c>
      <c r="L15342" s="354"/>
      <c r="M15342" s="133">
        <v>0</v>
      </c>
    </row>
    <row r="15343" spans="1:14" x14ac:dyDescent="0.2">
      <c r="A15343" s="346">
        <v>2025</v>
      </c>
      <c r="B15343" s="346">
        <v>9</v>
      </c>
      <c r="C15343" s="346">
        <v>30</v>
      </c>
      <c r="D15343" s="344">
        <f t="shared" si="2458"/>
        <v>45930</v>
      </c>
      <c r="E15343" s="345">
        <f t="shared" si="2459"/>
        <v>45930</v>
      </c>
      <c r="F15343" s="484"/>
      <c r="G15343" s="347" t="s">
        <v>94</v>
      </c>
      <c r="H15343" s="347"/>
      <c r="I15343" s="348" t="s">
        <v>348</v>
      </c>
      <c r="J15343" s="355" t="s">
        <v>1798</v>
      </c>
      <c r="K15343" s="349"/>
      <c r="L15343" s="349">
        <v>0</v>
      </c>
    </row>
    <row r="15344" spans="1:14" x14ac:dyDescent="0.2">
      <c r="A15344" s="343">
        <v>2025</v>
      </c>
      <c r="B15344" s="343">
        <v>9</v>
      </c>
      <c r="C15344" s="343">
        <v>30</v>
      </c>
      <c r="D15344" s="344">
        <f t="shared" si="2458"/>
        <v>45930</v>
      </c>
      <c r="E15344" s="345">
        <f t="shared" si="2459"/>
        <v>45930</v>
      </c>
      <c r="F15344" s="483" t="s">
        <v>1913</v>
      </c>
      <c r="G15344" s="350" t="s">
        <v>94</v>
      </c>
      <c r="H15344" s="350"/>
      <c r="I15344" s="352" t="s">
        <v>348</v>
      </c>
      <c r="J15344" s="353" t="s">
        <v>1808</v>
      </c>
      <c r="K15344" s="354">
        <v>93893.699999999255</v>
      </c>
      <c r="L15344" s="354"/>
      <c r="M15344" s="160">
        <v>0</v>
      </c>
    </row>
    <row r="15345" spans="1:14" x14ac:dyDescent="0.2">
      <c r="A15345" s="346">
        <v>2025</v>
      </c>
      <c r="B15345" s="346">
        <v>9</v>
      </c>
      <c r="C15345" s="346">
        <v>30</v>
      </c>
      <c r="D15345" s="344">
        <f t="shared" si="2458"/>
        <v>45930</v>
      </c>
      <c r="E15345" s="345">
        <f t="shared" si="2459"/>
        <v>45930</v>
      </c>
      <c r="F15345" s="484"/>
      <c r="G15345" s="347" t="s">
        <v>94</v>
      </c>
      <c r="H15345" s="347"/>
      <c r="I15345" s="348" t="s">
        <v>348</v>
      </c>
      <c r="J15345" s="355" t="s">
        <v>1799</v>
      </c>
      <c r="K15345" s="349"/>
      <c r="L15345" s="349">
        <f>K15344</f>
        <v>93893.699999999255</v>
      </c>
    </row>
    <row r="15346" spans="1:14" x14ac:dyDescent="0.2">
      <c r="A15346" s="238">
        <v>2025</v>
      </c>
      <c r="B15346" s="238">
        <v>9</v>
      </c>
      <c r="C15346" s="238">
        <v>30</v>
      </c>
      <c r="D15346" s="270">
        <f t="shared" si="2458"/>
        <v>45930</v>
      </c>
      <c r="E15346" s="279">
        <f t="shared" si="2459"/>
        <v>45930</v>
      </c>
      <c r="F15346" s="477" t="s">
        <v>347</v>
      </c>
      <c r="G15346" s="239" t="s">
        <v>94</v>
      </c>
      <c r="H15346" s="239"/>
      <c r="I15346" s="262" t="s">
        <v>348</v>
      </c>
      <c r="J15346" s="240" t="s">
        <v>82</v>
      </c>
      <c r="K15346" s="241">
        <v>117275.22920003533</v>
      </c>
      <c r="L15346" s="241"/>
      <c r="M15346" s="160">
        <v>13139541.900000483</v>
      </c>
    </row>
    <row r="15347" spans="1:14" x14ac:dyDescent="0.2">
      <c r="A15347" s="242">
        <v>2025</v>
      </c>
      <c r="B15347" s="242">
        <v>9</v>
      </c>
      <c r="C15347" s="242">
        <v>30</v>
      </c>
      <c r="D15347" s="270">
        <f t="shared" si="2458"/>
        <v>45930</v>
      </c>
      <c r="E15347" s="279">
        <f t="shared" si="2459"/>
        <v>45930</v>
      </c>
      <c r="F15347" s="478"/>
      <c r="G15347" s="243" t="s">
        <v>94</v>
      </c>
      <c r="H15347" s="243"/>
      <c r="I15347" s="263" t="s">
        <v>348</v>
      </c>
      <c r="J15347" s="244" t="s">
        <v>108</v>
      </c>
      <c r="K15347" s="245"/>
      <c r="L15347" s="245">
        <f>K15346</f>
        <v>117275.22920003533</v>
      </c>
    </row>
    <row r="15348" spans="1:14" ht="12" customHeight="1" x14ac:dyDescent="0.2">
      <c r="A15348" s="246">
        <v>2025</v>
      </c>
      <c r="B15348" s="238">
        <v>9</v>
      </c>
      <c r="C15348" s="238">
        <v>30</v>
      </c>
      <c r="D15348" s="270">
        <f t="shared" si="2458"/>
        <v>45930</v>
      </c>
      <c r="E15348" s="279">
        <f t="shared" si="2459"/>
        <v>45930</v>
      </c>
      <c r="F15348" s="482" t="s">
        <v>148</v>
      </c>
      <c r="G15348" s="247" t="s">
        <v>94</v>
      </c>
      <c r="H15348" s="247"/>
      <c r="I15348" s="248" t="s">
        <v>348</v>
      </c>
      <c r="J15348" s="249" t="s">
        <v>95</v>
      </c>
      <c r="K15348" s="250">
        <v>2747.2527472527472</v>
      </c>
      <c r="L15348" s="241"/>
      <c r="M15348" s="176"/>
    </row>
    <row r="15349" spans="1:14" x14ac:dyDescent="0.2">
      <c r="A15349" s="242">
        <v>2025</v>
      </c>
      <c r="B15349" s="242">
        <v>9</v>
      </c>
      <c r="C15349" s="242">
        <v>30</v>
      </c>
      <c r="D15349" s="270">
        <f t="shared" si="2458"/>
        <v>45930</v>
      </c>
      <c r="E15349" s="279">
        <f t="shared" si="2459"/>
        <v>45930</v>
      </c>
      <c r="F15349" s="478"/>
      <c r="G15349" s="243" t="s">
        <v>94</v>
      </c>
      <c r="H15349" s="243"/>
      <c r="I15349" s="263" t="s">
        <v>348</v>
      </c>
      <c r="J15349" s="244" t="s">
        <v>63</v>
      </c>
      <c r="K15349" s="245"/>
      <c r="L15349" s="245">
        <f>K15348</f>
        <v>2747.2527472527472</v>
      </c>
    </row>
    <row r="15350" spans="1:14" x14ac:dyDescent="0.2">
      <c r="A15350" s="246">
        <v>2025</v>
      </c>
      <c r="B15350" s="238">
        <v>9</v>
      </c>
      <c r="C15350" s="238">
        <v>30</v>
      </c>
      <c r="D15350" s="270">
        <f t="shared" si="2458"/>
        <v>45930</v>
      </c>
      <c r="E15350" s="279">
        <f t="shared" si="2459"/>
        <v>45930</v>
      </c>
      <c r="F15350" s="482" t="s">
        <v>137</v>
      </c>
      <c r="G15350" s="247" t="s">
        <v>94</v>
      </c>
      <c r="H15350" s="247"/>
      <c r="I15350" s="248" t="s">
        <v>348</v>
      </c>
      <c r="J15350" s="249" t="s">
        <v>97</v>
      </c>
      <c r="K15350" s="250">
        <f>M15350</f>
        <v>90706.120363266338</v>
      </c>
      <c r="L15350" s="252"/>
      <c r="M15350" s="133">
        <v>90706.120363266338</v>
      </c>
    </row>
    <row r="15351" spans="1:14" x14ac:dyDescent="0.2">
      <c r="A15351" s="242">
        <v>2025</v>
      </c>
      <c r="B15351" s="242">
        <v>9</v>
      </c>
      <c r="C15351" s="242">
        <v>30</v>
      </c>
      <c r="D15351" s="270">
        <f t="shared" si="2458"/>
        <v>45930</v>
      </c>
      <c r="E15351" s="279">
        <f t="shared" si="2459"/>
        <v>45930</v>
      </c>
      <c r="F15351" s="478"/>
      <c r="G15351" s="243" t="s">
        <v>94</v>
      </c>
      <c r="H15351" s="243"/>
      <c r="I15351" s="263" t="s">
        <v>348</v>
      </c>
      <c r="J15351" s="244" t="s">
        <v>47</v>
      </c>
      <c r="K15351" s="245"/>
      <c r="L15351" s="245">
        <f>K15350</f>
        <v>90706.120363266338</v>
      </c>
      <c r="M15351" s="133">
        <v>4294.9214027787011</v>
      </c>
    </row>
    <row r="15352" spans="1:14" x14ac:dyDescent="0.2">
      <c r="A15352" s="246">
        <v>2025</v>
      </c>
      <c r="B15352" s="238">
        <v>9</v>
      </c>
      <c r="C15352" s="238">
        <v>30</v>
      </c>
      <c r="D15352" s="270">
        <f t="shared" si="2458"/>
        <v>45930</v>
      </c>
      <c r="E15352" s="279">
        <f t="shared" si="2459"/>
        <v>45930</v>
      </c>
      <c r="F15352" s="482" t="s">
        <v>138</v>
      </c>
      <c r="G15352" s="247" t="s">
        <v>94</v>
      </c>
      <c r="H15352" s="247"/>
      <c r="I15352" s="248" t="s">
        <v>348</v>
      </c>
      <c r="J15352" s="249" t="s">
        <v>100</v>
      </c>
      <c r="K15352" s="250">
        <f>M15351</f>
        <v>4294.9214027787011</v>
      </c>
      <c r="L15352" s="252"/>
    </row>
    <row r="15353" spans="1:14" x14ac:dyDescent="0.2">
      <c r="A15353" s="242">
        <v>2025</v>
      </c>
      <c r="B15353" s="242">
        <v>9</v>
      </c>
      <c r="C15353" s="242">
        <v>30</v>
      </c>
      <c r="D15353" s="321">
        <f t="shared" si="2458"/>
        <v>45930</v>
      </c>
      <c r="E15353" s="322">
        <f t="shared" si="2459"/>
        <v>45930</v>
      </c>
      <c r="F15353" s="478"/>
      <c r="G15353" s="243" t="s">
        <v>94</v>
      </c>
      <c r="H15353" s="243"/>
      <c r="I15353" s="263" t="s">
        <v>348</v>
      </c>
      <c r="J15353" s="244" t="s">
        <v>48</v>
      </c>
      <c r="K15353" s="245"/>
      <c r="L15353" s="245">
        <f>K15352</f>
        <v>4294.9214027787011</v>
      </c>
    </row>
    <row r="15354" spans="1:14" ht="11.25" customHeight="1" x14ac:dyDescent="0.2">
      <c r="A15354" s="168">
        <v>2025</v>
      </c>
      <c r="B15354" s="168">
        <v>10</v>
      </c>
      <c r="C15354" s="133">
        <v>5</v>
      </c>
      <c r="D15354" s="141">
        <f t="shared" si="2458"/>
        <v>45935</v>
      </c>
      <c r="E15354" s="275">
        <f t="shared" si="2459"/>
        <v>45935</v>
      </c>
      <c r="F15354" s="479" t="s">
        <v>1319</v>
      </c>
      <c r="G15354" s="220" t="s">
        <v>74</v>
      </c>
      <c r="H15354" s="142"/>
      <c r="I15354" s="142"/>
      <c r="J15354" s="168" t="s">
        <v>52</v>
      </c>
      <c r="K15354" s="226">
        <v>48000</v>
      </c>
      <c r="L15354" s="226"/>
    </row>
    <row r="15355" spans="1:14" ht="11.25" customHeight="1" x14ac:dyDescent="0.2">
      <c r="A15355" s="133">
        <v>2025</v>
      </c>
      <c r="B15355" s="133">
        <v>10</v>
      </c>
      <c r="C15355" s="133">
        <v>5</v>
      </c>
      <c r="D15355" s="141">
        <f t="shared" si="2458"/>
        <v>45935</v>
      </c>
      <c r="E15355" s="275">
        <f t="shared" si="2459"/>
        <v>45935</v>
      </c>
      <c r="F15355" s="481"/>
      <c r="G15355" s="174" t="s">
        <v>74</v>
      </c>
      <c r="J15355" s="133" t="s">
        <v>13</v>
      </c>
      <c r="K15355" s="218"/>
      <c r="L15355" s="218">
        <v>33180</v>
      </c>
    </row>
    <row r="15356" spans="1:14" ht="11.25" customHeight="1" x14ac:dyDescent="0.2">
      <c r="A15356" s="163">
        <v>2025</v>
      </c>
      <c r="B15356" s="163">
        <v>10</v>
      </c>
      <c r="C15356" s="163">
        <v>5</v>
      </c>
      <c r="D15356" s="280">
        <f t="shared" si="2458"/>
        <v>45935</v>
      </c>
      <c r="E15356" s="281">
        <f t="shared" si="2459"/>
        <v>45935</v>
      </c>
      <c r="F15356" s="480"/>
      <c r="G15356" s="221" t="s">
        <v>74</v>
      </c>
      <c r="H15356" s="145"/>
      <c r="I15356" s="145"/>
      <c r="J15356" s="163" t="s">
        <v>53</v>
      </c>
      <c r="K15356" s="219"/>
      <c r="L15356" s="219">
        <v>14820</v>
      </c>
    </row>
    <row r="15357" spans="1:14" ht="11.25" customHeight="1" x14ac:dyDescent="0.2">
      <c r="A15357" s="168">
        <v>2025</v>
      </c>
      <c r="B15357" s="133">
        <v>10</v>
      </c>
      <c r="C15357" s="168">
        <v>5</v>
      </c>
      <c r="D15357" s="141">
        <f t="shared" si="2458"/>
        <v>45935</v>
      </c>
      <c r="E15357" s="275">
        <f t="shared" si="2459"/>
        <v>45935</v>
      </c>
      <c r="F15357" s="479" t="s">
        <v>2116</v>
      </c>
      <c r="G15357" s="220" t="s">
        <v>74</v>
      </c>
      <c r="H15357" s="220"/>
      <c r="I15357" s="142"/>
      <c r="J15357" s="143" t="s">
        <v>147</v>
      </c>
      <c r="K15357" s="226">
        <v>727947.73</v>
      </c>
      <c r="L15357" s="226"/>
    </row>
    <row r="15358" spans="1:14" x14ac:dyDescent="0.2">
      <c r="A15358" s="163">
        <v>2025</v>
      </c>
      <c r="B15358" s="163">
        <v>10</v>
      </c>
      <c r="C15358" s="163">
        <v>5</v>
      </c>
      <c r="D15358" s="280">
        <f t="shared" si="2458"/>
        <v>45935</v>
      </c>
      <c r="E15358" s="281">
        <f t="shared" si="2459"/>
        <v>45935</v>
      </c>
      <c r="F15358" s="480"/>
      <c r="G15358" s="221" t="s">
        <v>74</v>
      </c>
      <c r="H15358" s="221"/>
      <c r="I15358" s="145"/>
      <c r="J15358" s="146" t="s">
        <v>52</v>
      </c>
      <c r="K15358" s="219"/>
      <c r="L15358" s="219">
        <f>K15357</f>
        <v>727947.73</v>
      </c>
      <c r="N15358" s="264"/>
    </row>
    <row r="15359" spans="1:14" x14ac:dyDescent="0.2">
      <c r="A15359" s="168">
        <v>2025</v>
      </c>
      <c r="B15359" s="133">
        <v>10</v>
      </c>
      <c r="C15359" s="168">
        <v>5</v>
      </c>
      <c r="D15359" s="147">
        <f>DATE(A15359,B15359,C15359)</f>
        <v>45935</v>
      </c>
      <c r="E15359" s="311">
        <f>DATE(A15359,B15359,C15359)</f>
        <v>45935</v>
      </c>
      <c r="F15359" s="481" t="s">
        <v>1943</v>
      </c>
      <c r="G15359" s="174" t="s">
        <v>74</v>
      </c>
      <c r="I15359" s="148" t="s">
        <v>348</v>
      </c>
      <c r="J15359" s="133" t="s">
        <v>61</v>
      </c>
      <c r="K15359" s="172">
        <v>100</v>
      </c>
    </row>
    <row r="15360" spans="1:14" x14ac:dyDescent="0.2">
      <c r="A15360" s="163">
        <v>2025</v>
      </c>
      <c r="B15360" s="163">
        <v>10</v>
      </c>
      <c r="C15360" s="163">
        <v>5</v>
      </c>
      <c r="D15360" s="280">
        <f>DATE(A15360,B15360,C15360)</f>
        <v>45935</v>
      </c>
      <c r="E15360" s="281">
        <f>DATE(A15360,B15360,C15360)</f>
        <v>45935</v>
      </c>
      <c r="F15360" s="480"/>
      <c r="G15360" s="221" t="s">
        <v>74</v>
      </c>
      <c r="H15360" s="145"/>
      <c r="I15360" s="145" t="s">
        <v>348</v>
      </c>
      <c r="J15360" s="163" t="s">
        <v>52</v>
      </c>
      <c r="K15360" s="219"/>
      <c r="L15360" s="219">
        <f>K15359</f>
        <v>100</v>
      </c>
    </row>
    <row r="15361" spans="1:17" ht="11.25" customHeight="1" x14ac:dyDescent="0.2">
      <c r="A15361" s="168">
        <v>2025</v>
      </c>
      <c r="B15361" s="133">
        <v>10</v>
      </c>
      <c r="C15361" s="168">
        <v>6</v>
      </c>
      <c r="D15361" s="141">
        <f t="shared" ref="D15361:D15363" si="2460">DATE(A15361,B15361,C15361)</f>
        <v>45936</v>
      </c>
      <c r="E15361" s="275">
        <f t="shared" ref="E15361:E15363" si="2461">DATE(A15361,B15361,C15361)</f>
        <v>45936</v>
      </c>
      <c r="F15361" s="479" t="s">
        <v>2121</v>
      </c>
      <c r="G15361" s="220" t="s">
        <v>74</v>
      </c>
      <c r="H15361" s="220"/>
      <c r="I15361" s="142"/>
      <c r="J15361" s="143" t="s">
        <v>52</v>
      </c>
      <c r="K15361" s="226">
        <v>126435.39</v>
      </c>
      <c r="L15361" s="226"/>
    </row>
    <row r="15362" spans="1:17" ht="11.25" customHeight="1" x14ac:dyDescent="0.2">
      <c r="A15362" s="133">
        <v>2025</v>
      </c>
      <c r="B15362" s="133">
        <v>10</v>
      </c>
      <c r="C15362" s="133">
        <v>6</v>
      </c>
      <c r="D15362" s="141">
        <f t="shared" ref="D15362" si="2462">DATE(A15362,B15362,C15362)</f>
        <v>45936</v>
      </c>
      <c r="E15362" s="275">
        <f t="shared" ref="E15362" si="2463">DATE(A15362,B15362,C15362)</f>
        <v>45936</v>
      </c>
      <c r="F15362" s="481"/>
      <c r="G15362" s="174" t="s">
        <v>74</v>
      </c>
      <c r="H15362" s="174"/>
      <c r="J15362" s="149" t="s">
        <v>147</v>
      </c>
      <c r="K15362" s="218">
        <v>443374.6</v>
      </c>
      <c r="L15362" s="218"/>
    </row>
    <row r="15363" spans="1:17" x14ac:dyDescent="0.2">
      <c r="A15363" s="163">
        <v>2025</v>
      </c>
      <c r="B15363" s="163">
        <v>10</v>
      </c>
      <c r="C15363" s="163">
        <v>6</v>
      </c>
      <c r="D15363" s="280">
        <f t="shared" si="2460"/>
        <v>45936</v>
      </c>
      <c r="E15363" s="281">
        <f t="shared" si="2461"/>
        <v>45936</v>
      </c>
      <c r="F15363" s="480"/>
      <c r="G15363" s="221" t="s">
        <v>74</v>
      </c>
      <c r="H15363" s="221"/>
      <c r="I15363" s="145"/>
      <c r="J15363" s="146" t="s">
        <v>190</v>
      </c>
      <c r="K15363" s="219"/>
      <c r="L15363" s="219">
        <v>569809.99</v>
      </c>
      <c r="N15363" s="264"/>
    </row>
    <row r="15364" spans="1:17" ht="11.25" customHeight="1" x14ac:dyDescent="0.2">
      <c r="A15364" s="168">
        <v>2025</v>
      </c>
      <c r="B15364" s="133">
        <v>10</v>
      </c>
      <c r="C15364" s="168">
        <v>6</v>
      </c>
      <c r="D15364" s="141">
        <f>DATE(A15364,B15364,C15364)</f>
        <v>45936</v>
      </c>
      <c r="E15364" s="275">
        <f>DATE(A15364,B15364,C15364)</f>
        <v>45936</v>
      </c>
      <c r="F15364" s="481" t="s">
        <v>2125</v>
      </c>
      <c r="G15364" s="174" t="s">
        <v>74</v>
      </c>
      <c r="H15364" s="174"/>
      <c r="I15364" s="148" t="s">
        <v>348</v>
      </c>
      <c r="J15364" s="149" t="s">
        <v>52</v>
      </c>
      <c r="K15364" s="218">
        <v>2329215.12</v>
      </c>
      <c r="L15364" s="218"/>
      <c r="M15364" s="147"/>
      <c r="Q15364" s="133" t="s">
        <v>348</v>
      </c>
    </row>
    <row r="15365" spans="1:17" x14ac:dyDescent="0.2">
      <c r="A15365" s="133">
        <v>2025</v>
      </c>
      <c r="B15365" s="133">
        <v>10</v>
      </c>
      <c r="C15365" s="133">
        <v>6</v>
      </c>
      <c r="D15365" s="141">
        <f t="shared" ref="D15365" si="2464">DATE(A15365,B15365,C15365)</f>
        <v>45936</v>
      </c>
      <c r="E15365" s="275">
        <f t="shared" ref="E15365" si="2465">DATE(A15365,B15365,C15365)</f>
        <v>45936</v>
      </c>
      <c r="F15365" s="481"/>
      <c r="G15365" s="174" t="s">
        <v>74</v>
      </c>
      <c r="H15365" s="174"/>
      <c r="J15365" s="149" t="s">
        <v>1810</v>
      </c>
      <c r="K15365" s="218"/>
      <c r="L15365" s="218">
        <v>347411.14000000013</v>
      </c>
      <c r="M15365" s="147"/>
    </row>
    <row r="15366" spans="1:17" x14ac:dyDescent="0.2">
      <c r="A15366" s="163">
        <v>2025</v>
      </c>
      <c r="B15366" s="163">
        <v>10</v>
      </c>
      <c r="C15366" s="163">
        <v>6</v>
      </c>
      <c r="D15366" s="280">
        <f>DATE(A15366,B15366,C15366)</f>
        <v>45936</v>
      </c>
      <c r="E15366" s="281">
        <f>DATE(A15366,B15366,C15366)</f>
        <v>45936</v>
      </c>
      <c r="F15366" s="480"/>
      <c r="G15366" s="221" t="s">
        <v>74</v>
      </c>
      <c r="H15366" s="221"/>
      <c r="I15366" s="145"/>
      <c r="J15366" s="146" t="s">
        <v>1805</v>
      </c>
      <c r="K15366" s="219"/>
      <c r="L15366" s="219">
        <v>1981803.98</v>
      </c>
      <c r="M15366" s="147"/>
      <c r="Q15366" s="133" t="s">
        <v>348</v>
      </c>
    </row>
    <row r="15367" spans="1:17" ht="11.25" customHeight="1" x14ac:dyDescent="0.2">
      <c r="A15367" s="168">
        <v>2025</v>
      </c>
      <c r="B15367" s="133">
        <v>10</v>
      </c>
      <c r="C15367" s="168">
        <v>6</v>
      </c>
      <c r="D15367" s="141">
        <f>DATE(A15367,B15367,C15367)</f>
        <v>45936</v>
      </c>
      <c r="E15367" s="275">
        <f>DATE(A15367,B15367,C15367)</f>
        <v>45936</v>
      </c>
      <c r="F15367" s="481" t="s">
        <v>2119</v>
      </c>
      <c r="G15367" s="174" t="s">
        <v>74</v>
      </c>
      <c r="H15367" s="174"/>
      <c r="I15367" s="148" t="s">
        <v>348</v>
      </c>
      <c r="J15367" s="149" t="s">
        <v>52</v>
      </c>
      <c r="K15367" s="218">
        <v>9333576</v>
      </c>
      <c r="L15367" s="218"/>
      <c r="M15367" s="147"/>
      <c r="Q15367" s="133" t="s">
        <v>348</v>
      </c>
    </row>
    <row r="15368" spans="1:17" x14ac:dyDescent="0.2">
      <c r="A15368" s="133">
        <v>2025</v>
      </c>
      <c r="B15368" s="133">
        <v>10</v>
      </c>
      <c r="C15368" s="133">
        <v>6</v>
      </c>
      <c r="D15368" s="141">
        <f t="shared" ref="D15368" si="2466">DATE(A15368,B15368,C15368)</f>
        <v>45936</v>
      </c>
      <c r="E15368" s="275">
        <f t="shared" ref="E15368" si="2467">DATE(A15368,B15368,C15368)</f>
        <v>45936</v>
      </c>
      <c r="F15368" s="481"/>
      <c r="G15368" s="174" t="s">
        <v>74</v>
      </c>
      <c r="H15368" s="174"/>
      <c r="J15368" s="149" t="s">
        <v>1810</v>
      </c>
      <c r="K15368" s="218"/>
      <c r="L15368" s="218">
        <v>1428080.7000000011</v>
      </c>
      <c r="M15368" s="147"/>
    </row>
    <row r="15369" spans="1:17" x14ac:dyDescent="0.2">
      <c r="A15369" s="163">
        <v>2025</v>
      </c>
      <c r="B15369" s="163">
        <v>10</v>
      </c>
      <c r="C15369" s="163">
        <v>6</v>
      </c>
      <c r="D15369" s="280">
        <f>DATE(A15369,B15369,C15369)</f>
        <v>45936</v>
      </c>
      <c r="E15369" s="281">
        <f>DATE(A15369,B15369,C15369)</f>
        <v>45936</v>
      </c>
      <c r="F15369" s="480"/>
      <c r="G15369" s="221" t="s">
        <v>74</v>
      </c>
      <c r="H15369" s="221"/>
      <c r="I15369" s="145"/>
      <c r="J15369" s="146" t="s">
        <v>1805</v>
      </c>
      <c r="K15369" s="219"/>
      <c r="L15369" s="219">
        <v>7905495.2999999989</v>
      </c>
      <c r="M15369" s="147"/>
      <c r="Q15369" s="133" t="s">
        <v>348</v>
      </c>
    </row>
    <row r="15370" spans="1:17" ht="11.25" customHeight="1" x14ac:dyDescent="0.2">
      <c r="A15370" s="168">
        <v>2025</v>
      </c>
      <c r="B15370" s="133">
        <v>10</v>
      </c>
      <c r="C15370" s="168">
        <v>6</v>
      </c>
      <c r="D15370" s="141">
        <f>DATE(A15370,B15370,C15370)</f>
        <v>45936</v>
      </c>
      <c r="E15370" s="275">
        <f>DATE(A15370,B15370,C15370)</f>
        <v>45936</v>
      </c>
      <c r="F15370" s="481" t="s">
        <v>2109</v>
      </c>
      <c r="G15370" s="174" t="s">
        <v>74</v>
      </c>
      <c r="H15370" s="174"/>
      <c r="I15370" s="148" t="s">
        <v>348</v>
      </c>
      <c r="J15370" s="149" t="s">
        <v>52</v>
      </c>
      <c r="K15370" s="218">
        <v>575130.88</v>
      </c>
      <c r="L15370" s="218"/>
      <c r="M15370" s="147"/>
      <c r="Q15370" s="133" t="s">
        <v>348</v>
      </c>
    </row>
    <row r="15371" spans="1:17" x14ac:dyDescent="0.2">
      <c r="A15371" s="133">
        <v>2025</v>
      </c>
      <c r="B15371" s="133">
        <v>10</v>
      </c>
      <c r="C15371" s="133">
        <v>6</v>
      </c>
      <c r="D15371" s="141">
        <f t="shared" ref="D15371" si="2468">DATE(A15371,B15371,C15371)</f>
        <v>45936</v>
      </c>
      <c r="E15371" s="275">
        <f t="shared" ref="E15371" si="2469">DATE(A15371,B15371,C15371)</f>
        <v>45936</v>
      </c>
      <c r="F15371" s="481"/>
      <c r="G15371" s="174" t="s">
        <v>74</v>
      </c>
      <c r="H15371" s="174"/>
      <c r="J15371" s="149" t="s">
        <v>1810</v>
      </c>
      <c r="K15371" s="218"/>
      <c r="L15371" s="218">
        <v>60153.039999999688</v>
      </c>
      <c r="M15371" s="147"/>
    </row>
    <row r="15372" spans="1:17" x14ac:dyDescent="0.2">
      <c r="A15372" s="163">
        <v>2025</v>
      </c>
      <c r="B15372" s="163">
        <v>10</v>
      </c>
      <c r="C15372" s="163">
        <v>6</v>
      </c>
      <c r="D15372" s="280">
        <f>DATE(A15372,B15372,C15372)</f>
        <v>45936</v>
      </c>
      <c r="E15372" s="281">
        <f>DATE(A15372,B15372,C15372)</f>
        <v>45936</v>
      </c>
      <c r="F15372" s="480"/>
      <c r="G15372" s="221" t="s">
        <v>74</v>
      </c>
      <c r="H15372" s="221"/>
      <c r="I15372" s="145"/>
      <c r="J15372" s="146" t="s">
        <v>1805</v>
      </c>
      <c r="K15372" s="219"/>
      <c r="L15372" s="219">
        <v>514977.84000000032</v>
      </c>
      <c r="M15372" s="147"/>
      <c r="Q15372" s="133" t="s">
        <v>348</v>
      </c>
    </row>
    <row r="15373" spans="1:17" x14ac:dyDescent="0.2">
      <c r="A15373" s="168">
        <v>2025</v>
      </c>
      <c r="B15373" s="133">
        <v>10</v>
      </c>
      <c r="C15373" s="168">
        <v>6</v>
      </c>
      <c r="D15373" s="147">
        <f>DATE(A15373,B15373,C15373)</f>
        <v>45936</v>
      </c>
      <c r="E15373" s="311">
        <f>DATE(A15373,B15373,C15373)</f>
        <v>45936</v>
      </c>
      <c r="F15373" s="481" t="s">
        <v>1943</v>
      </c>
      <c r="G15373" s="174" t="s">
        <v>74</v>
      </c>
      <c r="I15373" s="148" t="s">
        <v>348</v>
      </c>
      <c r="J15373" s="133" t="s">
        <v>61</v>
      </c>
      <c r="K15373" s="172">
        <v>300</v>
      </c>
    </row>
    <row r="15374" spans="1:17" x14ac:dyDescent="0.2">
      <c r="A15374" s="163">
        <v>2025</v>
      </c>
      <c r="B15374" s="163">
        <v>10</v>
      </c>
      <c r="C15374" s="163">
        <v>6</v>
      </c>
      <c r="D15374" s="280">
        <f>DATE(A15374,B15374,C15374)</f>
        <v>45936</v>
      </c>
      <c r="E15374" s="281">
        <f>DATE(A15374,B15374,C15374)</f>
        <v>45936</v>
      </c>
      <c r="F15374" s="480"/>
      <c r="G15374" s="221" t="s">
        <v>74</v>
      </c>
      <c r="H15374" s="145"/>
      <c r="I15374" s="145" t="s">
        <v>348</v>
      </c>
      <c r="J15374" s="163" t="s">
        <v>52</v>
      </c>
      <c r="K15374" s="219"/>
      <c r="L15374" s="219">
        <f>K15373</f>
        <v>300</v>
      </c>
    </row>
    <row r="15375" spans="1:17" x14ac:dyDescent="0.2">
      <c r="A15375" s="133">
        <v>2025</v>
      </c>
      <c r="B15375" s="133">
        <v>10</v>
      </c>
      <c r="C15375" s="133">
        <v>6</v>
      </c>
      <c r="D15375" s="141">
        <f t="shared" ref="D15375:D15379" si="2470">DATE(A15375,B15375,C15375)</f>
        <v>45936</v>
      </c>
      <c r="E15375" s="275">
        <f t="shared" ref="E15375:E15379" si="2471">DATE(A15375,B15375,C15375)</f>
        <v>45936</v>
      </c>
      <c r="F15375" s="481" t="s">
        <v>2115</v>
      </c>
      <c r="G15375" s="174" t="s">
        <v>94</v>
      </c>
      <c r="H15375" s="174"/>
      <c r="J15375" s="149" t="s">
        <v>79</v>
      </c>
      <c r="K15375" s="218">
        <v>1099200</v>
      </c>
      <c r="L15375" s="218"/>
      <c r="M15375" s="160"/>
    </row>
    <row r="15376" spans="1:17" x14ac:dyDescent="0.2">
      <c r="A15376" s="133">
        <v>2025</v>
      </c>
      <c r="B15376" s="133">
        <v>10</v>
      </c>
      <c r="C15376" s="133">
        <v>6</v>
      </c>
      <c r="D15376" s="141">
        <f t="shared" si="2470"/>
        <v>45936</v>
      </c>
      <c r="E15376" s="275">
        <f t="shared" si="2471"/>
        <v>45936</v>
      </c>
      <c r="F15376" s="481"/>
      <c r="G15376" s="174" t="s">
        <v>94</v>
      </c>
      <c r="H15376" s="174"/>
      <c r="J15376" s="149" t="s">
        <v>80</v>
      </c>
      <c r="K15376" s="218">
        <v>2795.58</v>
      </c>
      <c r="L15376" s="264"/>
      <c r="M15376" s="264"/>
      <c r="N15376" s="264"/>
    </row>
    <row r="15377" spans="1:17" x14ac:dyDescent="0.2">
      <c r="A15377" s="133">
        <v>2025</v>
      </c>
      <c r="B15377" s="133">
        <v>10</v>
      </c>
      <c r="C15377" s="133">
        <v>6</v>
      </c>
      <c r="D15377" s="141">
        <f t="shared" si="2470"/>
        <v>45936</v>
      </c>
      <c r="E15377" s="275">
        <f t="shared" si="2471"/>
        <v>45936</v>
      </c>
      <c r="F15377" s="481"/>
      <c r="G15377" s="174" t="s">
        <v>94</v>
      </c>
      <c r="H15377" s="174"/>
      <c r="J15377" s="149" t="s">
        <v>147</v>
      </c>
      <c r="K15377" s="218"/>
      <c r="L15377" s="218">
        <v>648094.57999999996</v>
      </c>
      <c r="M15377" s="264"/>
    </row>
    <row r="15378" spans="1:17" x14ac:dyDescent="0.2">
      <c r="A15378" s="133">
        <v>2025</v>
      </c>
      <c r="B15378" s="133">
        <v>10</v>
      </c>
      <c r="C15378" s="133">
        <v>6</v>
      </c>
      <c r="D15378" s="141">
        <f t="shared" si="2470"/>
        <v>45936</v>
      </c>
      <c r="E15378" s="275">
        <f t="shared" si="2471"/>
        <v>45936</v>
      </c>
      <c r="F15378" s="481"/>
      <c r="G15378" s="174" t="s">
        <v>94</v>
      </c>
      <c r="H15378" s="174"/>
      <c r="J15378" s="149" t="s">
        <v>191</v>
      </c>
      <c r="L15378" s="218">
        <v>21015.08</v>
      </c>
    </row>
    <row r="15379" spans="1:17" x14ac:dyDescent="0.2">
      <c r="A15379" s="163">
        <v>2025</v>
      </c>
      <c r="B15379" s="163">
        <v>10</v>
      </c>
      <c r="C15379" s="163">
        <v>6</v>
      </c>
      <c r="D15379" s="280">
        <f t="shared" si="2470"/>
        <v>45936</v>
      </c>
      <c r="E15379" s="281">
        <f t="shared" si="2471"/>
        <v>45936</v>
      </c>
      <c r="F15379" s="480"/>
      <c r="G15379" s="221" t="s">
        <v>94</v>
      </c>
      <c r="H15379" s="145"/>
      <c r="I15379" s="145"/>
      <c r="J15379" s="163" t="s">
        <v>79</v>
      </c>
      <c r="K15379" s="219"/>
      <c r="L15379" s="219">
        <v>432885.92</v>
      </c>
      <c r="M15379" s="264"/>
    </row>
    <row r="15380" spans="1:17" ht="11.25" customHeight="1" x14ac:dyDescent="0.2">
      <c r="A15380" s="168">
        <v>2025</v>
      </c>
      <c r="B15380" s="133">
        <v>10</v>
      </c>
      <c r="C15380" s="168">
        <v>7</v>
      </c>
      <c r="D15380" s="141">
        <f>DATE(A15380,B15380,C15380)</f>
        <v>45937</v>
      </c>
      <c r="E15380" s="275">
        <f>DATE(A15380,B15380,C15380)</f>
        <v>45937</v>
      </c>
      <c r="F15380" s="481" t="s">
        <v>2126</v>
      </c>
      <c r="G15380" s="174" t="s">
        <v>74</v>
      </c>
      <c r="H15380" s="174"/>
      <c r="I15380" s="148" t="s">
        <v>348</v>
      </c>
      <c r="J15380" s="149" t="s">
        <v>52</v>
      </c>
      <c r="K15380" s="218">
        <v>2404730.54</v>
      </c>
      <c r="L15380" s="218"/>
      <c r="M15380" s="147"/>
      <c r="Q15380" s="133" t="s">
        <v>348</v>
      </c>
    </row>
    <row r="15381" spans="1:17" x14ac:dyDescent="0.2">
      <c r="A15381" s="133">
        <v>2025</v>
      </c>
      <c r="B15381" s="133">
        <v>10</v>
      </c>
      <c r="C15381" s="133">
        <v>7</v>
      </c>
      <c r="D15381" s="141">
        <f t="shared" ref="D15381" si="2472">DATE(A15381,B15381,C15381)</f>
        <v>45937</v>
      </c>
      <c r="E15381" s="275">
        <f t="shared" ref="E15381" si="2473">DATE(A15381,B15381,C15381)</f>
        <v>45937</v>
      </c>
      <c r="F15381" s="481"/>
      <c r="G15381" s="174" t="s">
        <v>74</v>
      </c>
      <c r="H15381" s="174"/>
      <c r="J15381" s="149" t="s">
        <v>1810</v>
      </c>
      <c r="K15381" s="218"/>
      <c r="L15381" s="218">
        <v>386879.06000000006</v>
      </c>
      <c r="M15381" s="147"/>
    </row>
    <row r="15382" spans="1:17" x14ac:dyDescent="0.2">
      <c r="A15382" s="163">
        <v>2025</v>
      </c>
      <c r="B15382" s="163">
        <v>10</v>
      </c>
      <c r="C15382" s="163">
        <v>7</v>
      </c>
      <c r="D15382" s="280">
        <f>DATE(A15382,B15382,C15382)</f>
        <v>45937</v>
      </c>
      <c r="E15382" s="281">
        <f>DATE(A15382,B15382,C15382)</f>
        <v>45937</v>
      </c>
      <c r="F15382" s="480"/>
      <c r="G15382" s="221" t="s">
        <v>74</v>
      </c>
      <c r="H15382" s="221"/>
      <c r="I15382" s="145"/>
      <c r="J15382" s="146" t="s">
        <v>1805</v>
      </c>
      <c r="K15382" s="219"/>
      <c r="L15382" s="219">
        <v>2017851.48</v>
      </c>
      <c r="M15382" s="147"/>
      <c r="Q15382" s="133" t="s">
        <v>348</v>
      </c>
    </row>
    <row r="15383" spans="1:17" x14ac:dyDescent="0.2">
      <c r="A15383" s="168">
        <v>2025</v>
      </c>
      <c r="B15383" s="133">
        <v>10</v>
      </c>
      <c r="C15383" s="168">
        <v>7</v>
      </c>
      <c r="D15383" s="147">
        <f>DATE(A15383,B15383,C15383)</f>
        <v>45937</v>
      </c>
      <c r="E15383" s="311">
        <f>DATE(A15383,B15383,C15383)</f>
        <v>45937</v>
      </c>
      <c r="F15383" s="481" t="s">
        <v>1943</v>
      </c>
      <c r="G15383" s="174" t="s">
        <v>74</v>
      </c>
      <c r="I15383" s="148" t="s">
        <v>348</v>
      </c>
      <c r="J15383" s="133" t="s">
        <v>61</v>
      </c>
      <c r="K15383" s="172">
        <v>1020</v>
      </c>
    </row>
    <row r="15384" spans="1:17" x14ac:dyDescent="0.2">
      <c r="A15384" s="163">
        <v>2025</v>
      </c>
      <c r="B15384" s="163">
        <v>10</v>
      </c>
      <c r="C15384" s="163">
        <v>7</v>
      </c>
      <c r="D15384" s="280">
        <f>DATE(A15384,B15384,C15384)</f>
        <v>45937</v>
      </c>
      <c r="E15384" s="281">
        <f>DATE(A15384,B15384,C15384)</f>
        <v>45937</v>
      </c>
      <c r="F15384" s="480"/>
      <c r="G15384" s="221" t="s">
        <v>74</v>
      </c>
      <c r="H15384" s="145"/>
      <c r="I15384" s="145" t="s">
        <v>348</v>
      </c>
      <c r="J15384" s="163" t="s">
        <v>52</v>
      </c>
      <c r="K15384" s="219"/>
      <c r="L15384" s="219">
        <f>K15383</f>
        <v>1020</v>
      </c>
    </row>
    <row r="15385" spans="1:17" x14ac:dyDescent="0.2">
      <c r="A15385" s="133">
        <v>2025</v>
      </c>
      <c r="B15385" s="133">
        <v>10</v>
      </c>
      <c r="C15385" s="133">
        <v>7</v>
      </c>
      <c r="D15385" s="141">
        <f t="shared" ref="D15385:D15392" si="2474">DATE(A15385,B15385,C15385)</f>
        <v>45937</v>
      </c>
      <c r="E15385" s="275">
        <f t="shared" ref="E15385:E15392" si="2475">DATE(A15385,B15385,C15385)</f>
        <v>45937</v>
      </c>
      <c r="F15385" s="481" t="s">
        <v>2115</v>
      </c>
      <c r="G15385" s="174" t="s">
        <v>94</v>
      </c>
      <c r="H15385" s="174"/>
      <c r="J15385" s="149" t="s">
        <v>79</v>
      </c>
      <c r="K15385" s="218">
        <v>746450</v>
      </c>
      <c r="L15385" s="218"/>
      <c r="M15385" s="160"/>
    </row>
    <row r="15386" spans="1:17" x14ac:dyDescent="0.2">
      <c r="A15386" s="133">
        <v>2025</v>
      </c>
      <c r="B15386" s="133">
        <v>10</v>
      </c>
      <c r="C15386" s="133">
        <v>7</v>
      </c>
      <c r="D15386" s="141">
        <f t="shared" si="2474"/>
        <v>45937</v>
      </c>
      <c r="E15386" s="275">
        <f t="shared" si="2475"/>
        <v>45937</v>
      </c>
      <c r="F15386" s="481"/>
      <c r="G15386" s="174" t="s">
        <v>94</v>
      </c>
      <c r="H15386" s="174"/>
      <c r="J15386" s="149" t="s">
        <v>80</v>
      </c>
      <c r="K15386" s="218">
        <v>2706.37</v>
      </c>
      <c r="L15386" s="264"/>
      <c r="M15386" s="264"/>
      <c r="N15386" s="264"/>
    </row>
    <row r="15387" spans="1:17" x14ac:dyDescent="0.2">
      <c r="A15387" s="133">
        <v>2025</v>
      </c>
      <c r="B15387" s="133">
        <v>10</v>
      </c>
      <c r="C15387" s="133">
        <v>7</v>
      </c>
      <c r="D15387" s="141">
        <f t="shared" si="2474"/>
        <v>45937</v>
      </c>
      <c r="E15387" s="275">
        <f t="shared" si="2475"/>
        <v>45937</v>
      </c>
      <c r="F15387" s="481"/>
      <c r="G15387" s="174" t="s">
        <v>94</v>
      </c>
      <c r="H15387" s="174"/>
      <c r="J15387" s="149" t="s">
        <v>190</v>
      </c>
      <c r="K15387" s="218">
        <v>7931.13</v>
      </c>
      <c r="L15387" s="218"/>
      <c r="M15387" s="264"/>
    </row>
    <row r="15388" spans="1:17" x14ac:dyDescent="0.2">
      <c r="A15388" s="133">
        <v>2025</v>
      </c>
      <c r="B15388" s="133">
        <v>10</v>
      </c>
      <c r="C15388" s="133">
        <v>7</v>
      </c>
      <c r="D15388" s="141">
        <f t="shared" si="2474"/>
        <v>45937</v>
      </c>
      <c r="E15388" s="275">
        <f t="shared" si="2475"/>
        <v>45937</v>
      </c>
      <c r="F15388" s="481"/>
      <c r="G15388" s="174" t="s">
        <v>94</v>
      </c>
      <c r="H15388" s="174"/>
      <c r="J15388" s="149" t="s">
        <v>191</v>
      </c>
      <c r="K15388" s="172">
        <v>49098.11</v>
      </c>
      <c r="L15388" s="218"/>
    </row>
    <row r="15389" spans="1:17" x14ac:dyDescent="0.2">
      <c r="A15389" s="163">
        <v>2025</v>
      </c>
      <c r="B15389" s="163">
        <v>10</v>
      </c>
      <c r="C15389" s="163">
        <v>7</v>
      </c>
      <c r="D15389" s="280">
        <f t="shared" si="2474"/>
        <v>45937</v>
      </c>
      <c r="E15389" s="281">
        <f t="shared" si="2475"/>
        <v>45937</v>
      </c>
      <c r="F15389" s="480"/>
      <c r="G15389" s="221" t="s">
        <v>94</v>
      </c>
      <c r="H15389" s="145"/>
      <c r="I15389" s="145"/>
      <c r="J15389" s="163" t="s">
        <v>79</v>
      </c>
      <c r="K15389" s="219"/>
      <c r="L15389" s="219">
        <v>806185.61</v>
      </c>
      <c r="M15389" s="264"/>
    </row>
    <row r="15390" spans="1:17" ht="11.25" customHeight="1" x14ac:dyDescent="0.2">
      <c r="A15390" s="168">
        <v>2025</v>
      </c>
      <c r="B15390" s="168">
        <v>10</v>
      </c>
      <c r="C15390" s="133">
        <v>8</v>
      </c>
      <c r="D15390" s="141">
        <f t="shared" si="2474"/>
        <v>45938</v>
      </c>
      <c r="E15390" s="275">
        <f t="shared" si="2475"/>
        <v>45938</v>
      </c>
      <c r="F15390" s="479" t="s">
        <v>1315</v>
      </c>
      <c r="G15390" s="220" t="s">
        <v>74</v>
      </c>
      <c r="H15390" s="142"/>
      <c r="I15390" s="142"/>
      <c r="J15390" s="168" t="s">
        <v>13</v>
      </c>
      <c r="K15390" s="226">
        <v>803050</v>
      </c>
      <c r="L15390" s="226"/>
    </row>
    <row r="15391" spans="1:17" ht="11.25" customHeight="1" x14ac:dyDescent="0.2">
      <c r="A15391" s="133">
        <v>2025</v>
      </c>
      <c r="B15391" s="133">
        <v>10</v>
      </c>
      <c r="C15391" s="133">
        <v>8</v>
      </c>
      <c r="D15391" s="141">
        <f t="shared" si="2474"/>
        <v>45938</v>
      </c>
      <c r="E15391" s="275">
        <f t="shared" si="2475"/>
        <v>45938</v>
      </c>
      <c r="F15391" s="481"/>
      <c r="G15391" s="174" t="s">
        <v>74</v>
      </c>
      <c r="J15391" s="133" t="s">
        <v>53</v>
      </c>
      <c r="K15391" s="218">
        <v>396950</v>
      </c>
      <c r="L15391" s="218"/>
    </row>
    <row r="15392" spans="1:17" ht="11.25" customHeight="1" x14ac:dyDescent="0.2">
      <c r="A15392" s="163">
        <v>2025</v>
      </c>
      <c r="B15392" s="163">
        <v>10</v>
      </c>
      <c r="C15392" s="163">
        <v>8</v>
      </c>
      <c r="D15392" s="280">
        <f t="shared" si="2474"/>
        <v>45938</v>
      </c>
      <c r="E15392" s="281">
        <f t="shared" si="2475"/>
        <v>45938</v>
      </c>
      <c r="F15392" s="480"/>
      <c r="G15392" s="221" t="s">
        <v>74</v>
      </c>
      <c r="H15392" s="145"/>
      <c r="I15392" s="145"/>
      <c r="J15392" s="163" t="s">
        <v>52</v>
      </c>
      <c r="K15392" s="219"/>
      <c r="L15392" s="219">
        <v>1200000</v>
      </c>
    </row>
    <row r="15393" spans="1:17" x14ac:dyDescent="0.2">
      <c r="A15393" s="168">
        <v>2025</v>
      </c>
      <c r="B15393" s="133">
        <v>10</v>
      </c>
      <c r="C15393" s="168">
        <v>8</v>
      </c>
      <c r="D15393" s="147">
        <f>DATE(A15393,B15393,C15393)</f>
        <v>45938</v>
      </c>
      <c r="E15393" s="311">
        <f>DATE(A15393,B15393,C15393)</f>
        <v>45938</v>
      </c>
      <c r="F15393" s="481" t="s">
        <v>1943</v>
      </c>
      <c r="G15393" s="174" t="s">
        <v>74</v>
      </c>
      <c r="I15393" s="148" t="s">
        <v>348</v>
      </c>
      <c r="J15393" s="133" t="s">
        <v>61</v>
      </c>
      <c r="K15393" s="172">
        <v>300</v>
      </c>
    </row>
    <row r="15394" spans="1:17" x14ac:dyDescent="0.2">
      <c r="A15394" s="163">
        <v>2025</v>
      </c>
      <c r="B15394" s="163">
        <v>10</v>
      </c>
      <c r="C15394" s="163">
        <v>8</v>
      </c>
      <c r="D15394" s="280">
        <f>DATE(A15394,B15394,C15394)</f>
        <v>45938</v>
      </c>
      <c r="E15394" s="281">
        <f>DATE(A15394,B15394,C15394)</f>
        <v>45938</v>
      </c>
      <c r="F15394" s="480"/>
      <c r="G15394" s="221" t="s">
        <v>74</v>
      </c>
      <c r="H15394" s="145"/>
      <c r="I15394" s="145" t="s">
        <v>348</v>
      </c>
      <c r="J15394" s="163" t="s">
        <v>52</v>
      </c>
      <c r="K15394" s="219"/>
      <c r="L15394" s="219">
        <f>K15393</f>
        <v>300</v>
      </c>
    </row>
    <row r="15395" spans="1:17" x14ac:dyDescent="0.2">
      <c r="A15395" s="168">
        <v>2025</v>
      </c>
      <c r="B15395" s="133">
        <v>10</v>
      </c>
      <c r="C15395" s="133">
        <v>8</v>
      </c>
      <c r="D15395" s="141">
        <f t="shared" ref="D15395:D15396" si="2476">DATE(A15395,B15395,C15395)</f>
        <v>45938</v>
      </c>
      <c r="E15395" s="275">
        <f t="shared" ref="E15395:E15396" si="2477">DATE(A15395,B15395,C15395)</f>
        <v>45938</v>
      </c>
      <c r="F15395" s="479" t="s">
        <v>2127</v>
      </c>
      <c r="G15395" s="220" t="s">
        <v>74</v>
      </c>
      <c r="H15395" s="220"/>
      <c r="I15395" s="142" t="s">
        <v>348</v>
      </c>
      <c r="J15395" s="143" t="s">
        <v>184</v>
      </c>
      <c r="K15395" s="226">
        <v>15010000</v>
      </c>
      <c r="L15395" s="226"/>
    </row>
    <row r="15396" spans="1:17" x14ac:dyDescent="0.2">
      <c r="A15396" s="163">
        <v>2025</v>
      </c>
      <c r="B15396" s="163">
        <v>10</v>
      </c>
      <c r="C15396" s="163">
        <v>8</v>
      </c>
      <c r="D15396" s="280">
        <f t="shared" si="2476"/>
        <v>45938</v>
      </c>
      <c r="E15396" s="281">
        <f t="shared" si="2477"/>
        <v>45938</v>
      </c>
      <c r="F15396" s="480"/>
      <c r="G15396" s="221" t="s">
        <v>74</v>
      </c>
      <c r="H15396" s="221"/>
      <c r="I15396" s="145" t="s">
        <v>348</v>
      </c>
      <c r="J15396" s="146" t="s">
        <v>52</v>
      </c>
      <c r="K15396" s="219"/>
      <c r="L15396" s="219">
        <v>15010000</v>
      </c>
    </row>
    <row r="15397" spans="1:17" ht="11.25" customHeight="1" x14ac:dyDescent="0.2">
      <c r="A15397" s="168">
        <v>2025</v>
      </c>
      <c r="B15397" s="168">
        <v>10</v>
      </c>
      <c r="C15397" s="133">
        <v>8</v>
      </c>
      <c r="D15397" s="141">
        <f>DATE(A15397,B15397,C15397)</f>
        <v>45938</v>
      </c>
      <c r="E15397" s="275">
        <f>DATE(A15397,B15397,C15397)</f>
        <v>45938</v>
      </c>
      <c r="F15397" s="481" t="s">
        <v>2126</v>
      </c>
      <c r="G15397" s="174" t="s">
        <v>74</v>
      </c>
      <c r="H15397" s="174"/>
      <c r="I15397" s="148" t="s">
        <v>348</v>
      </c>
      <c r="J15397" s="149" t="s">
        <v>52</v>
      </c>
      <c r="K15397" s="218">
        <v>1066105.6299999999</v>
      </c>
      <c r="L15397" s="218"/>
      <c r="M15397" s="147"/>
      <c r="Q15397" s="133" t="s">
        <v>348</v>
      </c>
    </row>
    <row r="15398" spans="1:17" x14ac:dyDescent="0.2">
      <c r="A15398" s="133">
        <v>2025</v>
      </c>
      <c r="B15398" s="133">
        <v>10</v>
      </c>
      <c r="C15398" s="133">
        <v>8</v>
      </c>
      <c r="D15398" s="141">
        <f t="shared" ref="D15398" si="2478">DATE(A15398,B15398,C15398)</f>
        <v>45938</v>
      </c>
      <c r="E15398" s="275">
        <f t="shared" ref="E15398" si="2479">DATE(A15398,B15398,C15398)</f>
        <v>45938</v>
      </c>
      <c r="F15398" s="481"/>
      <c r="G15398" s="174" t="s">
        <v>74</v>
      </c>
      <c r="H15398" s="174"/>
      <c r="J15398" s="149" t="s">
        <v>1810</v>
      </c>
      <c r="K15398" s="218"/>
      <c r="L15398" s="218">
        <v>94528.689999999944</v>
      </c>
      <c r="M15398" s="147"/>
    </row>
    <row r="15399" spans="1:17" x14ac:dyDescent="0.2">
      <c r="A15399" s="163">
        <v>2025</v>
      </c>
      <c r="B15399" s="163">
        <v>10</v>
      </c>
      <c r="C15399" s="163">
        <v>8</v>
      </c>
      <c r="D15399" s="280">
        <f>DATE(A15399,B15399,C15399)</f>
        <v>45938</v>
      </c>
      <c r="E15399" s="281">
        <f>DATE(A15399,B15399,C15399)</f>
        <v>45938</v>
      </c>
      <c r="F15399" s="480"/>
      <c r="G15399" s="221" t="s">
        <v>74</v>
      </c>
      <c r="H15399" s="221"/>
      <c r="I15399" s="145"/>
      <c r="J15399" s="146" t="s">
        <v>1805</v>
      </c>
      <c r="K15399" s="219"/>
      <c r="L15399" s="219">
        <v>971576.93666668842</v>
      </c>
      <c r="M15399" s="147"/>
      <c r="Q15399" s="133" t="s">
        <v>348</v>
      </c>
    </row>
    <row r="15400" spans="1:17" ht="11.25" customHeight="1" x14ac:dyDescent="0.2">
      <c r="A15400" s="168">
        <v>2025</v>
      </c>
      <c r="B15400" s="168">
        <v>10</v>
      </c>
      <c r="C15400" s="133">
        <v>8</v>
      </c>
      <c r="D15400" s="141">
        <f t="shared" ref="D15400:D15402" si="2480">DATE(A15400,B15400,C15400)</f>
        <v>45938</v>
      </c>
      <c r="E15400" s="275">
        <f t="shared" ref="E15400:E15402" si="2481">DATE(A15400,B15400,C15400)</f>
        <v>45938</v>
      </c>
      <c r="F15400" s="479" t="s">
        <v>2113</v>
      </c>
      <c r="G15400" s="220" t="s">
        <v>94</v>
      </c>
      <c r="H15400" s="220"/>
      <c r="I15400" s="142"/>
      <c r="J15400" s="143" t="s">
        <v>79</v>
      </c>
      <c r="K15400" s="226">
        <v>199906</v>
      </c>
      <c r="L15400" s="226"/>
      <c r="M15400" s="160"/>
    </row>
    <row r="15401" spans="1:17" x14ac:dyDescent="0.2">
      <c r="A15401" s="133">
        <v>2025</v>
      </c>
      <c r="B15401" s="133">
        <v>10</v>
      </c>
      <c r="C15401" s="133">
        <v>8</v>
      </c>
      <c r="D15401" s="141">
        <f t="shared" si="2480"/>
        <v>45938</v>
      </c>
      <c r="E15401" s="275">
        <f t="shared" si="2481"/>
        <v>45938</v>
      </c>
      <c r="F15401" s="481"/>
      <c r="G15401" s="174" t="s">
        <v>94</v>
      </c>
      <c r="H15401" s="174"/>
      <c r="J15401" s="149" t="s">
        <v>80</v>
      </c>
      <c r="K15401" s="218">
        <v>359.83</v>
      </c>
      <c r="L15401" s="133"/>
    </row>
    <row r="15402" spans="1:17" x14ac:dyDescent="0.2">
      <c r="A15402" s="163">
        <v>2025</v>
      </c>
      <c r="B15402" s="163">
        <v>10</v>
      </c>
      <c r="C15402" s="163">
        <v>8</v>
      </c>
      <c r="D15402" s="280">
        <f t="shared" si="2480"/>
        <v>45938</v>
      </c>
      <c r="E15402" s="281">
        <f t="shared" si="2481"/>
        <v>45938</v>
      </c>
      <c r="F15402" s="480"/>
      <c r="G15402" s="221" t="s">
        <v>94</v>
      </c>
      <c r="H15402" s="221"/>
      <c r="I15402" s="145"/>
      <c r="J15402" s="146" t="s">
        <v>147</v>
      </c>
      <c r="K15402" s="219"/>
      <c r="L15402" s="219">
        <v>200265.83</v>
      </c>
    </row>
    <row r="15403" spans="1:17" ht="11.25" customHeight="1" x14ac:dyDescent="0.2">
      <c r="A15403" s="168">
        <v>2025</v>
      </c>
      <c r="B15403" s="168">
        <v>10</v>
      </c>
      <c r="C15403" s="133">
        <v>9</v>
      </c>
      <c r="D15403" s="141">
        <f t="shared" ref="D15403:D15407" si="2482">DATE(A15403,B15403,C15403)</f>
        <v>45939</v>
      </c>
      <c r="E15403" s="275">
        <f t="shared" ref="E15403:E15407" si="2483">DATE(A15403,B15403,C15403)</f>
        <v>45939</v>
      </c>
      <c r="F15403" s="479" t="s">
        <v>1315</v>
      </c>
      <c r="G15403" s="220" t="s">
        <v>74</v>
      </c>
      <c r="H15403" s="142"/>
      <c r="I15403" s="142"/>
      <c r="J15403" s="168" t="s">
        <v>13</v>
      </c>
      <c r="K15403" s="226">
        <v>396950</v>
      </c>
      <c r="L15403" s="226"/>
    </row>
    <row r="15404" spans="1:17" ht="11.25" customHeight="1" x14ac:dyDescent="0.2">
      <c r="A15404" s="133">
        <v>2025</v>
      </c>
      <c r="B15404" s="133">
        <v>10</v>
      </c>
      <c r="C15404" s="133">
        <v>9</v>
      </c>
      <c r="D15404" s="141">
        <f t="shared" si="2482"/>
        <v>45939</v>
      </c>
      <c r="E15404" s="275">
        <f t="shared" si="2483"/>
        <v>45939</v>
      </c>
      <c r="F15404" s="481"/>
      <c r="G15404" s="174" t="s">
        <v>74</v>
      </c>
      <c r="J15404" s="133" t="s">
        <v>53</v>
      </c>
      <c r="K15404" s="218">
        <v>196210</v>
      </c>
      <c r="L15404" s="218"/>
    </row>
    <row r="15405" spans="1:17" ht="11.25" customHeight="1" x14ac:dyDescent="0.2">
      <c r="A15405" s="163">
        <v>2025</v>
      </c>
      <c r="B15405" s="163">
        <v>10</v>
      </c>
      <c r="C15405" s="163">
        <v>9</v>
      </c>
      <c r="D15405" s="280">
        <f t="shared" si="2482"/>
        <v>45939</v>
      </c>
      <c r="E15405" s="281">
        <f t="shared" si="2483"/>
        <v>45939</v>
      </c>
      <c r="F15405" s="480"/>
      <c r="G15405" s="221" t="s">
        <v>74</v>
      </c>
      <c r="H15405" s="145"/>
      <c r="I15405" s="145"/>
      <c r="J15405" s="163" t="s">
        <v>52</v>
      </c>
      <c r="K15405" s="219"/>
      <c r="L15405" s="219">
        <v>593160</v>
      </c>
    </row>
    <row r="15406" spans="1:17" ht="11.25" customHeight="1" x14ac:dyDescent="0.2">
      <c r="A15406" s="168">
        <v>2025</v>
      </c>
      <c r="B15406" s="133">
        <v>10</v>
      </c>
      <c r="C15406" s="168">
        <v>9</v>
      </c>
      <c r="D15406" s="141">
        <f t="shared" si="2482"/>
        <v>45939</v>
      </c>
      <c r="E15406" s="275">
        <f t="shared" si="2483"/>
        <v>45939</v>
      </c>
      <c r="F15406" s="479" t="s">
        <v>2116</v>
      </c>
      <c r="G15406" s="220" t="s">
        <v>74</v>
      </c>
      <c r="H15406" s="220"/>
      <c r="I15406" s="142"/>
      <c r="J15406" s="143" t="s">
        <v>147</v>
      </c>
      <c r="K15406" s="226">
        <v>200265.83</v>
      </c>
      <c r="L15406" s="226"/>
    </row>
    <row r="15407" spans="1:17" x14ac:dyDescent="0.2">
      <c r="A15407" s="163">
        <v>2025</v>
      </c>
      <c r="B15407" s="163">
        <v>10</v>
      </c>
      <c r="C15407" s="163">
        <v>9</v>
      </c>
      <c r="D15407" s="280">
        <f t="shared" si="2482"/>
        <v>45939</v>
      </c>
      <c r="E15407" s="281">
        <f t="shared" si="2483"/>
        <v>45939</v>
      </c>
      <c r="F15407" s="480"/>
      <c r="G15407" s="221" t="s">
        <v>74</v>
      </c>
      <c r="H15407" s="221"/>
      <c r="I15407" s="145"/>
      <c r="J15407" s="146" t="s">
        <v>52</v>
      </c>
      <c r="K15407" s="219"/>
      <c r="L15407" s="219">
        <f>K15406</f>
        <v>200265.83</v>
      </c>
      <c r="N15407" s="264"/>
    </row>
    <row r="15408" spans="1:17" x14ac:dyDescent="0.2">
      <c r="A15408" s="168">
        <v>2025</v>
      </c>
      <c r="B15408" s="133">
        <v>10</v>
      </c>
      <c r="C15408" s="168">
        <v>9</v>
      </c>
      <c r="D15408" s="147">
        <f>DATE(A15408,B15408,C15408)</f>
        <v>45939</v>
      </c>
      <c r="E15408" s="311">
        <f>DATE(A15408,B15408,C15408)</f>
        <v>45939</v>
      </c>
      <c r="F15408" s="481" t="s">
        <v>1943</v>
      </c>
      <c r="G15408" s="174" t="s">
        <v>74</v>
      </c>
      <c r="I15408" s="148" t="s">
        <v>348</v>
      </c>
      <c r="J15408" s="133" t="s">
        <v>61</v>
      </c>
      <c r="K15408" s="172">
        <v>58</v>
      </c>
    </row>
    <row r="15409" spans="1:13" x14ac:dyDescent="0.2">
      <c r="A15409" s="163">
        <v>2025</v>
      </c>
      <c r="B15409" s="163">
        <v>10</v>
      </c>
      <c r="C15409" s="163">
        <v>9</v>
      </c>
      <c r="D15409" s="280">
        <f>DATE(A15409,B15409,C15409)</f>
        <v>45939</v>
      </c>
      <c r="E15409" s="281">
        <f>DATE(A15409,B15409,C15409)</f>
        <v>45939</v>
      </c>
      <c r="F15409" s="480"/>
      <c r="G15409" s="221" t="s">
        <v>74</v>
      </c>
      <c r="H15409" s="145"/>
      <c r="I15409" s="145" t="s">
        <v>348</v>
      </c>
      <c r="J15409" s="163" t="s">
        <v>52</v>
      </c>
      <c r="K15409" s="219"/>
      <c r="L15409" s="219">
        <f>K15408</f>
        <v>58</v>
      </c>
    </row>
    <row r="15410" spans="1:13" x14ac:dyDescent="0.2">
      <c r="A15410" s="325">
        <v>2025</v>
      </c>
      <c r="B15410" s="325">
        <v>10</v>
      </c>
      <c r="C15410" s="325">
        <v>9</v>
      </c>
      <c r="D15410" s="326">
        <f t="shared" ref="D15410:D15467" si="2484">DATE(A15410,B15410,C15410)</f>
        <v>45939</v>
      </c>
      <c r="E15410" s="327">
        <f t="shared" ref="E15410:E15467" si="2485">DATE(A15410,B15410,C15410)</f>
        <v>45939</v>
      </c>
      <c r="F15410" s="473" t="s">
        <v>1940</v>
      </c>
      <c r="G15410" s="340" t="s">
        <v>94</v>
      </c>
      <c r="H15410" s="340"/>
      <c r="I15410" s="341" t="s">
        <v>348</v>
      </c>
      <c r="J15410" s="374" t="s">
        <v>133</v>
      </c>
      <c r="K15410" s="375">
        <v>12905.56</v>
      </c>
      <c r="L15410" s="375"/>
      <c r="M15410" s="176"/>
    </row>
    <row r="15411" spans="1:13" x14ac:dyDescent="0.2">
      <c r="A15411" s="331">
        <v>2025</v>
      </c>
      <c r="B15411" s="331">
        <v>10</v>
      </c>
      <c r="C15411" s="331">
        <v>9</v>
      </c>
      <c r="D15411" s="326">
        <f t="shared" si="2484"/>
        <v>45939</v>
      </c>
      <c r="E15411" s="327">
        <f t="shared" si="2485"/>
        <v>45939</v>
      </c>
      <c r="F15411" s="474"/>
      <c r="G15411" s="332" t="s">
        <v>94</v>
      </c>
      <c r="H15411" s="332"/>
      <c r="I15411" s="333" t="s">
        <v>348</v>
      </c>
      <c r="J15411" s="376" t="s">
        <v>60</v>
      </c>
      <c r="K15411" s="334"/>
      <c r="L15411" s="334">
        <f>K15410</f>
        <v>12905.56</v>
      </c>
    </row>
    <row r="15412" spans="1:13" x14ac:dyDescent="0.2">
      <c r="A15412" s="384">
        <v>2025</v>
      </c>
      <c r="B15412" s="384">
        <v>10</v>
      </c>
      <c r="C15412" s="384">
        <v>9</v>
      </c>
      <c r="D15412" s="385">
        <f t="shared" si="2484"/>
        <v>45939</v>
      </c>
      <c r="E15412" s="386">
        <f t="shared" si="2485"/>
        <v>45939</v>
      </c>
      <c r="F15412" s="475" t="s">
        <v>1966</v>
      </c>
      <c r="G15412" s="387" t="s">
        <v>94</v>
      </c>
      <c r="H15412" s="387"/>
      <c r="I15412" s="388" t="s">
        <v>348</v>
      </c>
      <c r="J15412" s="389" t="s">
        <v>67</v>
      </c>
      <c r="K15412" s="390">
        <v>7743.06</v>
      </c>
      <c r="L15412" s="390"/>
    </row>
    <row r="15413" spans="1:13" x14ac:dyDescent="0.2">
      <c r="A15413" s="391">
        <v>2025</v>
      </c>
      <c r="B15413" s="391">
        <v>10</v>
      </c>
      <c r="C15413" s="391">
        <v>9</v>
      </c>
      <c r="D15413" s="385">
        <f t="shared" si="2484"/>
        <v>45939</v>
      </c>
      <c r="E15413" s="386">
        <f t="shared" si="2485"/>
        <v>45939</v>
      </c>
      <c r="F15413" s="476"/>
      <c r="G15413" s="392" t="s">
        <v>94</v>
      </c>
      <c r="H15413" s="392"/>
      <c r="I15413" s="393" t="s">
        <v>348</v>
      </c>
      <c r="J15413" s="394" t="s">
        <v>60</v>
      </c>
      <c r="K15413" s="395"/>
      <c r="L15413" s="395">
        <f>K15412</f>
        <v>7743.06</v>
      </c>
    </row>
    <row r="15414" spans="1:13" x14ac:dyDescent="0.2">
      <c r="A15414" s="343">
        <v>2025</v>
      </c>
      <c r="B15414" s="343">
        <v>10</v>
      </c>
      <c r="C15414" s="343">
        <v>9</v>
      </c>
      <c r="D15414" s="344">
        <f t="shared" si="2484"/>
        <v>45939</v>
      </c>
      <c r="E15414" s="345">
        <f t="shared" si="2485"/>
        <v>45939</v>
      </c>
      <c r="F15414" s="483" t="s">
        <v>1813</v>
      </c>
      <c r="G15414" s="350" t="s">
        <v>94</v>
      </c>
      <c r="H15414" s="350"/>
      <c r="I15414" s="352" t="s">
        <v>348</v>
      </c>
      <c r="J15414" s="353" t="s">
        <v>1807</v>
      </c>
      <c r="K15414" s="354">
        <v>0</v>
      </c>
      <c r="L15414" s="354"/>
      <c r="M15414" s="133">
        <v>0</v>
      </c>
    </row>
    <row r="15415" spans="1:13" x14ac:dyDescent="0.2">
      <c r="A15415" s="346">
        <v>2025</v>
      </c>
      <c r="B15415" s="346">
        <v>10</v>
      </c>
      <c r="C15415" s="346">
        <v>9</v>
      </c>
      <c r="D15415" s="344">
        <f t="shared" si="2484"/>
        <v>45939</v>
      </c>
      <c r="E15415" s="345">
        <f t="shared" si="2485"/>
        <v>45939</v>
      </c>
      <c r="F15415" s="484"/>
      <c r="G15415" s="347" t="s">
        <v>94</v>
      </c>
      <c r="H15415" s="347"/>
      <c r="I15415" s="348" t="s">
        <v>348</v>
      </c>
      <c r="J15415" s="355" t="s">
        <v>1798</v>
      </c>
      <c r="K15415" s="349"/>
      <c r="L15415" s="349">
        <v>0</v>
      </c>
    </row>
    <row r="15416" spans="1:13" x14ac:dyDescent="0.2">
      <c r="A15416" s="343">
        <v>2025</v>
      </c>
      <c r="B15416" s="343">
        <v>10</v>
      </c>
      <c r="C15416" s="343">
        <v>9</v>
      </c>
      <c r="D15416" s="344">
        <f t="shared" si="2484"/>
        <v>45939</v>
      </c>
      <c r="E15416" s="345">
        <f t="shared" si="2485"/>
        <v>45939</v>
      </c>
      <c r="F15416" s="483" t="s">
        <v>1913</v>
      </c>
      <c r="G15416" s="350" t="s">
        <v>94</v>
      </c>
      <c r="H15416" s="350"/>
      <c r="I15416" s="352" t="s">
        <v>348</v>
      </c>
      <c r="J15416" s="353" t="s">
        <v>1808</v>
      </c>
      <c r="K15416" s="354">
        <v>2103906.7633333206</v>
      </c>
      <c r="L15416" s="354"/>
      <c r="M15416" s="160">
        <v>0</v>
      </c>
    </row>
    <row r="15417" spans="1:13" x14ac:dyDescent="0.2">
      <c r="A15417" s="346">
        <v>2025</v>
      </c>
      <c r="B15417" s="346">
        <v>10</v>
      </c>
      <c r="C15417" s="346">
        <v>9</v>
      </c>
      <c r="D15417" s="344">
        <f t="shared" si="2484"/>
        <v>45939</v>
      </c>
      <c r="E15417" s="345">
        <f t="shared" si="2485"/>
        <v>45939</v>
      </c>
      <c r="F15417" s="484"/>
      <c r="G15417" s="347" t="s">
        <v>94</v>
      </c>
      <c r="H15417" s="347"/>
      <c r="I15417" s="348" t="s">
        <v>348</v>
      </c>
      <c r="J15417" s="355" t="s">
        <v>1799</v>
      </c>
      <c r="K15417" s="349"/>
      <c r="L15417" s="349">
        <f>K15416</f>
        <v>2103906.7633333206</v>
      </c>
    </row>
    <row r="15418" spans="1:13" x14ac:dyDescent="0.2">
      <c r="A15418" s="238">
        <v>2025</v>
      </c>
      <c r="B15418" s="238">
        <v>10</v>
      </c>
      <c r="C15418" s="238">
        <v>9</v>
      </c>
      <c r="D15418" s="270">
        <f t="shared" si="2484"/>
        <v>45939</v>
      </c>
      <c r="E15418" s="279">
        <f t="shared" si="2485"/>
        <v>45939</v>
      </c>
      <c r="F15418" s="477" t="s">
        <v>347</v>
      </c>
      <c r="G15418" s="239" t="s">
        <v>94</v>
      </c>
      <c r="H15418" s="239"/>
      <c r="I15418" s="262" t="s">
        <v>348</v>
      </c>
      <c r="J15418" s="240" t="s">
        <v>82</v>
      </c>
      <c r="K15418" s="241">
        <v>1127090.175999999</v>
      </c>
      <c r="L15418" s="241"/>
      <c r="M15418" s="160">
        <v>13139541.900000483</v>
      </c>
    </row>
    <row r="15419" spans="1:13" x14ac:dyDescent="0.2">
      <c r="A15419" s="242">
        <v>2025</v>
      </c>
      <c r="B15419" s="242">
        <v>10</v>
      </c>
      <c r="C15419" s="242">
        <v>9</v>
      </c>
      <c r="D15419" s="270">
        <f t="shared" si="2484"/>
        <v>45939</v>
      </c>
      <c r="E15419" s="279">
        <f t="shared" si="2485"/>
        <v>45939</v>
      </c>
      <c r="F15419" s="478"/>
      <c r="G15419" s="243" t="s">
        <v>94</v>
      </c>
      <c r="H15419" s="243"/>
      <c r="I15419" s="263" t="s">
        <v>348</v>
      </c>
      <c r="J15419" s="244" t="s">
        <v>108</v>
      </c>
      <c r="K15419" s="245"/>
      <c r="L15419" s="245">
        <f>K15418</f>
        <v>1127090.175999999</v>
      </c>
    </row>
    <row r="15420" spans="1:13" ht="12" customHeight="1" x14ac:dyDescent="0.2">
      <c r="A15420" s="246">
        <v>2025</v>
      </c>
      <c r="B15420" s="238">
        <v>10</v>
      </c>
      <c r="C15420" s="238">
        <v>9</v>
      </c>
      <c r="D15420" s="270">
        <f t="shared" si="2484"/>
        <v>45939</v>
      </c>
      <c r="E15420" s="279">
        <f t="shared" si="2485"/>
        <v>45939</v>
      </c>
      <c r="F15420" s="482" t="s">
        <v>148</v>
      </c>
      <c r="G15420" s="247" t="s">
        <v>94</v>
      </c>
      <c r="H15420" s="247"/>
      <c r="I15420" s="248" t="s">
        <v>348</v>
      </c>
      <c r="J15420" s="249" t="s">
        <v>95</v>
      </c>
      <c r="K15420" s="250">
        <v>2747.2527472527472</v>
      </c>
      <c r="L15420" s="241"/>
      <c r="M15420" s="176"/>
    </row>
    <row r="15421" spans="1:13" x14ac:dyDescent="0.2">
      <c r="A15421" s="242">
        <v>2025</v>
      </c>
      <c r="B15421" s="242">
        <v>10</v>
      </c>
      <c r="C15421" s="242">
        <v>9</v>
      </c>
      <c r="D15421" s="270">
        <f t="shared" si="2484"/>
        <v>45939</v>
      </c>
      <c r="E15421" s="279">
        <f t="shared" si="2485"/>
        <v>45939</v>
      </c>
      <c r="F15421" s="478"/>
      <c r="G15421" s="243" t="s">
        <v>94</v>
      </c>
      <c r="H15421" s="243"/>
      <c r="I15421" s="263" t="s">
        <v>348</v>
      </c>
      <c r="J15421" s="244" t="s">
        <v>63</v>
      </c>
      <c r="K15421" s="245"/>
      <c r="L15421" s="245">
        <f>K15420</f>
        <v>2747.2527472527472</v>
      </c>
    </row>
    <row r="15422" spans="1:13" x14ac:dyDescent="0.2">
      <c r="A15422" s="246">
        <v>2025</v>
      </c>
      <c r="B15422" s="238">
        <v>10</v>
      </c>
      <c r="C15422" s="238">
        <v>9</v>
      </c>
      <c r="D15422" s="270">
        <f t="shared" si="2484"/>
        <v>45939</v>
      </c>
      <c r="E15422" s="279">
        <f t="shared" si="2485"/>
        <v>45939</v>
      </c>
      <c r="F15422" s="482" t="s">
        <v>137</v>
      </c>
      <c r="G15422" s="247" t="s">
        <v>94</v>
      </c>
      <c r="H15422" s="247"/>
      <c r="I15422" s="248" t="s">
        <v>348</v>
      </c>
      <c r="J15422" s="249" t="s">
        <v>97</v>
      </c>
      <c r="K15422" s="250">
        <f>M15422</f>
        <v>89642.398519479175</v>
      </c>
      <c r="L15422" s="252"/>
      <c r="M15422" s="133">
        <v>89642.398519479175</v>
      </c>
    </row>
    <row r="15423" spans="1:13" x14ac:dyDescent="0.2">
      <c r="A15423" s="242">
        <v>2025</v>
      </c>
      <c r="B15423" s="242">
        <v>10</v>
      </c>
      <c r="C15423" s="242">
        <v>9</v>
      </c>
      <c r="D15423" s="270">
        <f t="shared" si="2484"/>
        <v>45939</v>
      </c>
      <c r="E15423" s="279">
        <f t="shared" si="2485"/>
        <v>45939</v>
      </c>
      <c r="F15423" s="478"/>
      <c r="G15423" s="243" t="s">
        <v>94</v>
      </c>
      <c r="H15423" s="243"/>
      <c r="I15423" s="263" t="s">
        <v>348</v>
      </c>
      <c r="J15423" s="244" t="s">
        <v>47</v>
      </c>
      <c r="K15423" s="245"/>
      <c r="L15423" s="245">
        <f>K15422</f>
        <v>89642.398519479175</v>
      </c>
      <c r="M15423" s="133">
        <v>4241.7353105893426</v>
      </c>
    </row>
    <row r="15424" spans="1:13" x14ac:dyDescent="0.2">
      <c r="A15424" s="246">
        <v>2025</v>
      </c>
      <c r="B15424" s="238">
        <v>10</v>
      </c>
      <c r="C15424" s="238">
        <v>9</v>
      </c>
      <c r="D15424" s="270">
        <f t="shared" si="2484"/>
        <v>45939</v>
      </c>
      <c r="E15424" s="279">
        <f t="shared" si="2485"/>
        <v>45939</v>
      </c>
      <c r="F15424" s="482" t="s">
        <v>138</v>
      </c>
      <c r="G15424" s="247" t="s">
        <v>94</v>
      </c>
      <c r="H15424" s="247"/>
      <c r="I15424" s="248" t="s">
        <v>348</v>
      </c>
      <c r="J15424" s="249" t="s">
        <v>100</v>
      </c>
      <c r="K15424" s="250">
        <f>M15423</f>
        <v>4241.7353105893426</v>
      </c>
      <c r="L15424" s="252"/>
    </row>
    <row r="15425" spans="1:14" x14ac:dyDescent="0.2">
      <c r="A15425" s="242">
        <v>2025</v>
      </c>
      <c r="B15425" s="242">
        <v>10</v>
      </c>
      <c r="C15425" s="242">
        <v>9</v>
      </c>
      <c r="D15425" s="321">
        <f t="shared" si="2484"/>
        <v>45939</v>
      </c>
      <c r="E15425" s="322">
        <f t="shared" si="2485"/>
        <v>45939</v>
      </c>
      <c r="F15425" s="478"/>
      <c r="G15425" s="243" t="s">
        <v>94</v>
      </c>
      <c r="H15425" s="243"/>
      <c r="I15425" s="263" t="s">
        <v>348</v>
      </c>
      <c r="J15425" s="244" t="s">
        <v>48</v>
      </c>
      <c r="K15425" s="245"/>
      <c r="L15425" s="245">
        <f>K15424</f>
        <v>4241.7353105893426</v>
      </c>
    </row>
    <row r="15426" spans="1:14" x14ac:dyDescent="0.2">
      <c r="A15426" s="168">
        <v>2025</v>
      </c>
      <c r="B15426" s="168">
        <v>10</v>
      </c>
      <c r="C15426" s="133">
        <v>12</v>
      </c>
      <c r="D15426" s="141">
        <f t="shared" si="2484"/>
        <v>45942</v>
      </c>
      <c r="E15426" s="275">
        <f t="shared" si="2485"/>
        <v>45942</v>
      </c>
      <c r="F15426" s="481" t="s">
        <v>2006</v>
      </c>
      <c r="G15426" s="174" t="s">
        <v>74</v>
      </c>
      <c r="H15426" s="174"/>
      <c r="J15426" s="149" t="s">
        <v>534</v>
      </c>
      <c r="K15426" s="218">
        <v>93253.2</v>
      </c>
      <c r="L15426" s="218"/>
    </row>
    <row r="15427" spans="1:14" x14ac:dyDescent="0.2">
      <c r="A15427" s="133">
        <v>2025</v>
      </c>
      <c r="B15427" s="133">
        <v>10</v>
      </c>
      <c r="C15427" s="133">
        <v>12</v>
      </c>
      <c r="D15427" s="141">
        <f t="shared" ref="D15427:D15428" si="2486">DATE(A15427,B15427,C15427)</f>
        <v>45942</v>
      </c>
      <c r="E15427" s="275">
        <f t="shared" ref="E15427:E15428" si="2487">DATE(A15427,B15427,C15427)</f>
        <v>45942</v>
      </c>
      <c r="F15427" s="481"/>
      <c r="G15427" s="174" t="s">
        <v>74</v>
      </c>
      <c r="H15427" s="174"/>
      <c r="J15427" s="149" t="s">
        <v>1906</v>
      </c>
      <c r="K15427" s="218">
        <v>437.5</v>
      </c>
      <c r="L15427" s="218"/>
    </row>
    <row r="15428" spans="1:14" x14ac:dyDescent="0.2">
      <c r="A15428" s="133">
        <v>2025</v>
      </c>
      <c r="B15428" s="133">
        <v>10</v>
      </c>
      <c r="C15428" s="133">
        <v>12</v>
      </c>
      <c r="D15428" s="141">
        <f t="shared" si="2486"/>
        <v>45942</v>
      </c>
      <c r="E15428" s="275">
        <f t="shared" si="2487"/>
        <v>45942</v>
      </c>
      <c r="F15428" s="481"/>
      <c r="G15428" s="174" t="s">
        <v>74</v>
      </c>
      <c r="H15428" s="174"/>
      <c r="J15428" s="149" t="s">
        <v>1907</v>
      </c>
      <c r="K15428" s="218">
        <v>225</v>
      </c>
      <c r="L15428" s="218"/>
    </row>
    <row r="15429" spans="1:14" x14ac:dyDescent="0.2">
      <c r="A15429" s="163">
        <v>2025</v>
      </c>
      <c r="B15429" s="163">
        <v>10</v>
      </c>
      <c r="C15429" s="163">
        <v>12</v>
      </c>
      <c r="D15429" s="280">
        <f t="shared" si="2484"/>
        <v>45942</v>
      </c>
      <c r="E15429" s="281">
        <f t="shared" si="2485"/>
        <v>45942</v>
      </c>
      <c r="F15429" s="480"/>
      <c r="G15429" s="221" t="s">
        <v>74</v>
      </c>
      <c r="H15429" s="221"/>
      <c r="I15429" s="145"/>
      <c r="J15429" s="146" t="s">
        <v>52</v>
      </c>
      <c r="K15429" s="219"/>
      <c r="L15429" s="219">
        <v>93915.7</v>
      </c>
    </row>
    <row r="15430" spans="1:14" x14ac:dyDescent="0.2">
      <c r="A15430" s="168">
        <v>2025</v>
      </c>
      <c r="B15430" s="133">
        <v>10</v>
      </c>
      <c r="C15430" s="168">
        <v>12</v>
      </c>
      <c r="D15430" s="147">
        <f>DATE(A15430,B15430,C15430)</f>
        <v>45942</v>
      </c>
      <c r="E15430" s="311">
        <f>DATE(A15430,B15430,C15430)</f>
        <v>45942</v>
      </c>
      <c r="F15430" s="481" t="s">
        <v>1943</v>
      </c>
      <c r="G15430" s="174" t="s">
        <v>74</v>
      </c>
      <c r="I15430" s="148" t="s">
        <v>348</v>
      </c>
      <c r="J15430" s="133" t="s">
        <v>61</v>
      </c>
      <c r="K15430" s="172">
        <v>57.5</v>
      </c>
    </row>
    <row r="15431" spans="1:14" x14ac:dyDescent="0.2">
      <c r="A15431" s="163">
        <v>2025</v>
      </c>
      <c r="B15431" s="163">
        <v>10</v>
      </c>
      <c r="C15431" s="163">
        <v>12</v>
      </c>
      <c r="D15431" s="280">
        <f>DATE(A15431,B15431,C15431)</f>
        <v>45942</v>
      </c>
      <c r="E15431" s="281">
        <f>DATE(A15431,B15431,C15431)</f>
        <v>45942</v>
      </c>
      <c r="F15431" s="480"/>
      <c r="G15431" s="221" t="s">
        <v>74</v>
      </c>
      <c r="H15431" s="145"/>
      <c r="I15431" s="145" t="s">
        <v>348</v>
      </c>
      <c r="J15431" s="163" t="s">
        <v>52</v>
      </c>
      <c r="K15431" s="219"/>
      <c r="L15431" s="219">
        <f>K15430</f>
        <v>57.5</v>
      </c>
    </row>
    <row r="15432" spans="1:14" x14ac:dyDescent="0.2">
      <c r="A15432" s="133">
        <v>2025</v>
      </c>
      <c r="B15432" s="133">
        <v>10</v>
      </c>
      <c r="C15432" s="133">
        <v>12</v>
      </c>
      <c r="D15432" s="141">
        <f t="shared" ref="D15432:D15436" si="2488">DATE(A15432,B15432,C15432)</f>
        <v>45942</v>
      </c>
      <c r="E15432" s="275">
        <f t="shared" ref="E15432:E15436" si="2489">DATE(A15432,B15432,C15432)</f>
        <v>45942</v>
      </c>
      <c r="F15432" s="481" t="s">
        <v>2115</v>
      </c>
      <c r="G15432" s="174" t="s">
        <v>94</v>
      </c>
      <c r="H15432" s="174"/>
      <c r="J15432" s="149" t="s">
        <v>79</v>
      </c>
      <c r="K15432" s="218">
        <v>1059154</v>
      </c>
      <c r="L15432" s="218"/>
      <c r="M15432" s="160"/>
    </row>
    <row r="15433" spans="1:14" x14ac:dyDescent="0.2">
      <c r="A15433" s="133">
        <v>2025</v>
      </c>
      <c r="B15433" s="133">
        <v>10</v>
      </c>
      <c r="C15433" s="133">
        <v>12</v>
      </c>
      <c r="D15433" s="141">
        <f t="shared" si="2488"/>
        <v>45942</v>
      </c>
      <c r="E15433" s="275">
        <f t="shared" si="2489"/>
        <v>45942</v>
      </c>
      <c r="F15433" s="481"/>
      <c r="G15433" s="174" t="s">
        <v>94</v>
      </c>
      <c r="H15433" s="174"/>
      <c r="J15433" s="149" t="s">
        <v>80</v>
      </c>
      <c r="K15433" s="218">
        <v>3985.48</v>
      </c>
      <c r="L15433" s="264"/>
      <c r="M15433" s="264"/>
      <c r="N15433" s="264"/>
    </row>
    <row r="15434" spans="1:14" x14ac:dyDescent="0.2">
      <c r="A15434" s="133">
        <v>2025</v>
      </c>
      <c r="B15434" s="133">
        <v>10</v>
      </c>
      <c r="C15434" s="133">
        <v>12</v>
      </c>
      <c r="D15434" s="141">
        <f t="shared" si="2488"/>
        <v>45942</v>
      </c>
      <c r="E15434" s="275">
        <f t="shared" si="2489"/>
        <v>45942</v>
      </c>
      <c r="F15434" s="481"/>
      <c r="G15434" s="174" t="s">
        <v>94</v>
      </c>
      <c r="H15434" s="174"/>
      <c r="J15434" s="149" t="s">
        <v>190</v>
      </c>
      <c r="K15434" s="218">
        <v>91860.52</v>
      </c>
      <c r="L15434" s="218"/>
      <c r="M15434" s="264"/>
    </row>
    <row r="15435" spans="1:14" x14ac:dyDescent="0.2">
      <c r="A15435" s="133">
        <v>2025</v>
      </c>
      <c r="B15435" s="133">
        <v>10</v>
      </c>
      <c r="C15435" s="133">
        <v>12</v>
      </c>
      <c r="D15435" s="141">
        <f t="shared" si="2488"/>
        <v>45942</v>
      </c>
      <c r="E15435" s="275">
        <f t="shared" si="2489"/>
        <v>45942</v>
      </c>
      <c r="F15435" s="481"/>
      <c r="G15435" s="174" t="s">
        <v>94</v>
      </c>
      <c r="H15435" s="174"/>
      <c r="J15435" s="149" t="s">
        <v>191</v>
      </c>
      <c r="K15435" s="172">
        <v>15413.35</v>
      </c>
      <c r="L15435" s="218"/>
    </row>
    <row r="15436" spans="1:14" x14ac:dyDescent="0.2">
      <c r="A15436" s="163">
        <v>2025</v>
      </c>
      <c r="B15436" s="163">
        <v>10</v>
      </c>
      <c r="C15436" s="163">
        <v>12</v>
      </c>
      <c r="D15436" s="280">
        <f t="shared" si="2488"/>
        <v>45942</v>
      </c>
      <c r="E15436" s="281">
        <f t="shared" si="2489"/>
        <v>45942</v>
      </c>
      <c r="F15436" s="480"/>
      <c r="G15436" s="221" t="s">
        <v>94</v>
      </c>
      <c r="H15436" s="145"/>
      <c r="I15436" s="145"/>
      <c r="J15436" s="163" t="s">
        <v>79</v>
      </c>
      <c r="K15436" s="219"/>
      <c r="L15436" s="219">
        <v>1170413.3500000001</v>
      </c>
      <c r="M15436" s="264"/>
    </row>
    <row r="15437" spans="1:14" x14ac:dyDescent="0.2">
      <c r="A15437" s="168">
        <v>2025</v>
      </c>
      <c r="B15437" s="168">
        <v>10</v>
      </c>
      <c r="C15437" s="133">
        <v>13</v>
      </c>
      <c r="D15437" s="141">
        <f t="shared" ref="D15437:D15439" si="2490">DATE(A15437,B15437,C15437)</f>
        <v>45943</v>
      </c>
      <c r="E15437" s="275">
        <f t="shared" ref="E15437:E15439" si="2491">DATE(A15437,B15437,C15437)</f>
        <v>45943</v>
      </c>
      <c r="F15437" s="481" t="s">
        <v>982</v>
      </c>
      <c r="G15437" s="174" t="s">
        <v>74</v>
      </c>
      <c r="H15437" s="174"/>
      <c r="I15437" s="148" t="s">
        <v>348</v>
      </c>
      <c r="J15437" s="149" t="s">
        <v>163</v>
      </c>
      <c r="K15437" s="218">
        <v>4312.5</v>
      </c>
      <c r="L15437" s="218"/>
      <c r="M15437" s="160"/>
    </row>
    <row r="15438" spans="1:14" x14ac:dyDescent="0.2">
      <c r="A15438" s="133">
        <v>2025</v>
      </c>
      <c r="B15438" s="133">
        <v>10</v>
      </c>
      <c r="C15438" s="133">
        <v>13</v>
      </c>
      <c r="D15438" s="141">
        <f t="shared" si="2490"/>
        <v>45943</v>
      </c>
      <c r="E15438" s="275">
        <f t="shared" si="2491"/>
        <v>45943</v>
      </c>
      <c r="F15438" s="481"/>
      <c r="G15438" s="174" t="s">
        <v>74</v>
      </c>
      <c r="H15438" s="174"/>
      <c r="J15438" s="149" t="s">
        <v>1906</v>
      </c>
      <c r="K15438" s="218"/>
      <c r="L15438" s="218">
        <f>3750*0.05</f>
        <v>187.5</v>
      </c>
      <c r="M15438" s="160"/>
    </row>
    <row r="15439" spans="1:14" x14ac:dyDescent="0.2">
      <c r="A15439" s="163">
        <v>2025</v>
      </c>
      <c r="B15439" s="163">
        <v>10</v>
      </c>
      <c r="C15439" s="163">
        <v>13</v>
      </c>
      <c r="D15439" s="280">
        <f t="shared" si="2490"/>
        <v>45943</v>
      </c>
      <c r="E15439" s="281">
        <f t="shared" si="2491"/>
        <v>45943</v>
      </c>
      <c r="F15439" s="480"/>
      <c r="G15439" s="221" t="s">
        <v>74</v>
      </c>
      <c r="H15439" s="221"/>
      <c r="I15439" s="145"/>
      <c r="J15439" s="146" t="s">
        <v>52</v>
      </c>
      <c r="K15439" s="219"/>
      <c r="L15439" s="219">
        <v>4125</v>
      </c>
    </row>
    <row r="15440" spans="1:14" x14ac:dyDescent="0.2">
      <c r="A15440" s="168">
        <v>2025</v>
      </c>
      <c r="B15440" s="168">
        <v>10</v>
      </c>
      <c r="C15440" s="133">
        <v>13</v>
      </c>
      <c r="D15440" s="141">
        <f t="shared" ref="D15440:D15449" si="2492">DATE(A15440,B15440,C15440)</f>
        <v>45943</v>
      </c>
      <c r="E15440" s="275">
        <f t="shared" ref="E15440:E15449" si="2493">DATE(A15440,B15440,C15440)</f>
        <v>45943</v>
      </c>
      <c r="F15440" s="481" t="s">
        <v>982</v>
      </c>
      <c r="G15440" s="174" t="s">
        <v>74</v>
      </c>
      <c r="H15440" s="174"/>
      <c r="I15440" s="148" t="s">
        <v>348</v>
      </c>
      <c r="J15440" s="149" t="s">
        <v>163</v>
      </c>
      <c r="K15440" s="218">
        <v>7187.5</v>
      </c>
      <c r="L15440" s="218"/>
      <c r="M15440" s="160"/>
    </row>
    <row r="15441" spans="1:14" x14ac:dyDescent="0.2">
      <c r="A15441" s="133">
        <v>2025</v>
      </c>
      <c r="B15441" s="133">
        <v>10</v>
      </c>
      <c r="C15441" s="133">
        <v>13</v>
      </c>
      <c r="D15441" s="141">
        <f t="shared" si="2492"/>
        <v>45943</v>
      </c>
      <c r="E15441" s="275">
        <f t="shared" si="2493"/>
        <v>45943</v>
      </c>
      <c r="F15441" s="481"/>
      <c r="G15441" s="174" t="s">
        <v>74</v>
      </c>
      <c r="H15441" s="174"/>
      <c r="J15441" s="149" t="s">
        <v>1906</v>
      </c>
      <c r="K15441" s="218"/>
      <c r="L15441" s="218">
        <f>6250*0.05</f>
        <v>312.5</v>
      </c>
      <c r="M15441" s="160"/>
    </row>
    <row r="15442" spans="1:14" x14ac:dyDescent="0.2">
      <c r="A15442" s="163">
        <v>2025</v>
      </c>
      <c r="B15442" s="163">
        <v>10</v>
      </c>
      <c r="C15442" s="163">
        <v>13</v>
      </c>
      <c r="D15442" s="280">
        <f t="shared" si="2492"/>
        <v>45943</v>
      </c>
      <c r="E15442" s="281">
        <f t="shared" si="2493"/>
        <v>45943</v>
      </c>
      <c r="F15442" s="480"/>
      <c r="G15442" s="221" t="s">
        <v>74</v>
      </c>
      <c r="H15442" s="221"/>
      <c r="I15442" s="145"/>
      <c r="J15442" s="146" t="s">
        <v>52</v>
      </c>
      <c r="K15442" s="219"/>
      <c r="L15442" s="219">
        <v>6875</v>
      </c>
    </row>
    <row r="15443" spans="1:14" x14ac:dyDescent="0.2">
      <c r="A15443" s="133">
        <v>2025</v>
      </c>
      <c r="B15443" s="133">
        <v>10</v>
      </c>
      <c r="C15443" s="133">
        <v>13</v>
      </c>
      <c r="D15443" s="141">
        <f t="shared" si="2492"/>
        <v>45943</v>
      </c>
      <c r="E15443" s="275">
        <f t="shared" si="2493"/>
        <v>45943</v>
      </c>
      <c r="F15443" s="481" t="s">
        <v>2115</v>
      </c>
      <c r="G15443" s="174" t="s">
        <v>94</v>
      </c>
      <c r="H15443" s="174"/>
      <c r="J15443" s="149" t="s">
        <v>79</v>
      </c>
      <c r="K15443" s="218">
        <v>2090050</v>
      </c>
      <c r="L15443" s="218"/>
      <c r="M15443" s="160"/>
    </row>
    <row r="15444" spans="1:14" x14ac:dyDescent="0.2">
      <c r="A15444" s="133">
        <v>2025</v>
      </c>
      <c r="B15444" s="133">
        <v>10</v>
      </c>
      <c r="C15444" s="133">
        <v>13</v>
      </c>
      <c r="D15444" s="141">
        <f t="shared" si="2492"/>
        <v>45943</v>
      </c>
      <c r="E15444" s="275">
        <f t="shared" si="2493"/>
        <v>45943</v>
      </c>
      <c r="F15444" s="481"/>
      <c r="G15444" s="174" t="s">
        <v>94</v>
      </c>
      <c r="H15444" s="174"/>
      <c r="J15444" s="149" t="s">
        <v>80</v>
      </c>
      <c r="K15444" s="218">
        <v>7857.92</v>
      </c>
      <c r="L15444" s="264"/>
      <c r="M15444" s="264"/>
      <c r="N15444" s="264"/>
    </row>
    <row r="15445" spans="1:14" x14ac:dyDescent="0.2">
      <c r="A15445" s="133">
        <v>2025</v>
      </c>
      <c r="B15445" s="133">
        <v>10</v>
      </c>
      <c r="C15445" s="133">
        <v>13</v>
      </c>
      <c r="D15445" s="141">
        <f t="shared" si="2492"/>
        <v>45943</v>
      </c>
      <c r="E15445" s="275">
        <f t="shared" si="2493"/>
        <v>45943</v>
      </c>
      <c r="F15445" s="481"/>
      <c r="G15445" s="174" t="s">
        <v>94</v>
      </c>
      <c r="H15445" s="174"/>
      <c r="J15445" s="149" t="s">
        <v>190</v>
      </c>
      <c r="K15445" s="218">
        <v>177553.68</v>
      </c>
      <c r="L15445" s="218"/>
      <c r="M15445" s="264"/>
    </row>
    <row r="15446" spans="1:14" x14ac:dyDescent="0.2">
      <c r="A15446" s="133">
        <v>2025</v>
      </c>
      <c r="B15446" s="133">
        <v>10</v>
      </c>
      <c r="C15446" s="133">
        <v>13</v>
      </c>
      <c r="D15446" s="141">
        <f t="shared" si="2492"/>
        <v>45943</v>
      </c>
      <c r="E15446" s="275">
        <f t="shared" si="2493"/>
        <v>45943</v>
      </c>
      <c r="F15446" s="481"/>
      <c r="G15446" s="174" t="s">
        <v>94</v>
      </c>
      <c r="H15446" s="174"/>
      <c r="J15446" s="149" t="s">
        <v>191</v>
      </c>
      <c r="K15446" s="172">
        <v>37898.86</v>
      </c>
      <c r="L15446" s="218"/>
    </row>
    <row r="15447" spans="1:14" x14ac:dyDescent="0.2">
      <c r="A15447" s="163">
        <v>2025</v>
      </c>
      <c r="B15447" s="163">
        <v>10</v>
      </c>
      <c r="C15447" s="163">
        <v>13</v>
      </c>
      <c r="D15447" s="280">
        <f t="shared" si="2492"/>
        <v>45943</v>
      </c>
      <c r="E15447" s="281">
        <f t="shared" si="2493"/>
        <v>45943</v>
      </c>
      <c r="F15447" s="480"/>
      <c r="G15447" s="221" t="s">
        <v>94</v>
      </c>
      <c r="H15447" s="145"/>
      <c r="I15447" s="145"/>
      <c r="J15447" s="163" t="s">
        <v>79</v>
      </c>
      <c r="K15447" s="219"/>
      <c r="L15447" s="219">
        <v>2313360.46</v>
      </c>
      <c r="M15447" s="264"/>
    </row>
    <row r="15448" spans="1:14" ht="11.25" customHeight="1" x14ac:dyDescent="0.2">
      <c r="A15448" s="168">
        <v>2025</v>
      </c>
      <c r="B15448" s="133">
        <v>10</v>
      </c>
      <c r="C15448" s="168">
        <v>14</v>
      </c>
      <c r="D15448" s="141">
        <f t="shared" si="2492"/>
        <v>45944</v>
      </c>
      <c r="E15448" s="275">
        <f t="shared" si="2493"/>
        <v>45944</v>
      </c>
      <c r="F15448" s="479" t="s">
        <v>2116</v>
      </c>
      <c r="G15448" s="220" t="s">
        <v>74</v>
      </c>
      <c r="H15448" s="220"/>
      <c r="I15448" s="142"/>
      <c r="J15448" s="143" t="s">
        <v>147</v>
      </c>
      <c r="K15448" s="226">
        <v>648094.57999999996</v>
      </c>
      <c r="L15448" s="226"/>
    </row>
    <row r="15449" spans="1:14" x14ac:dyDescent="0.2">
      <c r="A15449" s="163">
        <v>2025</v>
      </c>
      <c r="B15449" s="163">
        <v>10</v>
      </c>
      <c r="C15449" s="163">
        <v>14</v>
      </c>
      <c r="D15449" s="280">
        <f t="shared" si="2492"/>
        <v>45944</v>
      </c>
      <c r="E15449" s="281">
        <f t="shared" si="2493"/>
        <v>45944</v>
      </c>
      <c r="F15449" s="480"/>
      <c r="G15449" s="221" t="s">
        <v>74</v>
      </c>
      <c r="H15449" s="221"/>
      <c r="I15449" s="145"/>
      <c r="J15449" s="146" t="s">
        <v>52</v>
      </c>
      <c r="K15449" s="219"/>
      <c r="L15449" s="219">
        <f>K15448</f>
        <v>648094.57999999996</v>
      </c>
      <c r="N15449" s="264"/>
    </row>
    <row r="15450" spans="1:14" x14ac:dyDescent="0.2">
      <c r="A15450" s="133">
        <v>2025</v>
      </c>
      <c r="B15450" s="133">
        <v>10</v>
      </c>
      <c r="C15450" s="133">
        <v>14</v>
      </c>
      <c r="D15450" s="141">
        <f t="shared" ref="D15450:D15457" si="2494">DATE(A15450,B15450,C15450)</f>
        <v>45944</v>
      </c>
      <c r="E15450" s="275">
        <f t="shared" ref="E15450:E15457" si="2495">DATE(A15450,B15450,C15450)</f>
        <v>45944</v>
      </c>
      <c r="F15450" s="481" t="s">
        <v>2115</v>
      </c>
      <c r="G15450" s="174" t="s">
        <v>94</v>
      </c>
      <c r="H15450" s="174"/>
      <c r="J15450" s="149" t="s">
        <v>79</v>
      </c>
      <c r="K15450" s="218">
        <v>1266150.8</v>
      </c>
      <c r="L15450" s="218"/>
      <c r="M15450" s="160"/>
    </row>
    <row r="15451" spans="1:14" x14ac:dyDescent="0.2">
      <c r="A15451" s="133">
        <v>2025</v>
      </c>
      <c r="B15451" s="133">
        <v>10</v>
      </c>
      <c r="C15451" s="133">
        <v>14</v>
      </c>
      <c r="D15451" s="141">
        <f t="shared" si="2494"/>
        <v>45944</v>
      </c>
      <c r="E15451" s="275">
        <f t="shared" si="2495"/>
        <v>45944</v>
      </c>
      <c r="F15451" s="481"/>
      <c r="G15451" s="174" t="s">
        <v>94</v>
      </c>
      <c r="H15451" s="174"/>
      <c r="J15451" s="149" t="s">
        <v>80</v>
      </c>
      <c r="K15451" s="218">
        <v>5252.21</v>
      </c>
      <c r="L15451" s="264"/>
      <c r="M15451" s="264"/>
      <c r="N15451" s="264"/>
    </row>
    <row r="15452" spans="1:14" x14ac:dyDescent="0.2">
      <c r="A15452" s="133">
        <v>2025</v>
      </c>
      <c r="B15452" s="133">
        <v>10</v>
      </c>
      <c r="C15452" s="133">
        <v>14</v>
      </c>
      <c r="D15452" s="141">
        <f t="shared" si="2494"/>
        <v>45944</v>
      </c>
      <c r="E15452" s="275">
        <f t="shared" si="2495"/>
        <v>45944</v>
      </c>
      <c r="F15452" s="481"/>
      <c r="G15452" s="174" t="s">
        <v>94</v>
      </c>
      <c r="H15452" s="174"/>
      <c r="J15452" s="149" t="s">
        <v>190</v>
      </c>
      <c r="K15452" s="218">
        <v>380341.09</v>
      </c>
      <c r="L15452" s="218"/>
      <c r="M15452" s="264"/>
    </row>
    <row r="15453" spans="1:14" x14ac:dyDescent="0.2">
      <c r="A15453" s="133">
        <v>2025</v>
      </c>
      <c r="B15453" s="133">
        <v>10</v>
      </c>
      <c r="C15453" s="133">
        <v>14</v>
      </c>
      <c r="D15453" s="141">
        <f t="shared" si="2494"/>
        <v>45944</v>
      </c>
      <c r="E15453" s="275">
        <f t="shared" si="2495"/>
        <v>45944</v>
      </c>
      <c r="F15453" s="481"/>
      <c r="G15453" s="174" t="s">
        <v>94</v>
      </c>
      <c r="H15453" s="174"/>
      <c r="J15453" s="149" t="s">
        <v>191</v>
      </c>
      <c r="K15453" s="172">
        <v>34516.089999999997</v>
      </c>
      <c r="L15453" s="218"/>
    </row>
    <row r="15454" spans="1:14" x14ac:dyDescent="0.2">
      <c r="A15454" s="163">
        <v>2025</v>
      </c>
      <c r="B15454" s="163">
        <v>10</v>
      </c>
      <c r="C15454" s="163">
        <v>14</v>
      </c>
      <c r="D15454" s="280">
        <f t="shared" si="2494"/>
        <v>45944</v>
      </c>
      <c r="E15454" s="281">
        <f t="shared" si="2495"/>
        <v>45944</v>
      </c>
      <c r="F15454" s="480"/>
      <c r="G15454" s="221" t="s">
        <v>94</v>
      </c>
      <c r="H15454" s="145"/>
      <c r="I15454" s="145"/>
      <c r="J15454" s="163" t="s">
        <v>79</v>
      </c>
      <c r="K15454" s="219"/>
      <c r="L15454" s="219">
        <v>1686260.19</v>
      </c>
      <c r="M15454" s="264"/>
    </row>
    <row r="15455" spans="1:14" ht="11.25" customHeight="1" x14ac:dyDescent="0.2">
      <c r="A15455" s="168">
        <v>2025</v>
      </c>
      <c r="B15455" s="168">
        <v>10</v>
      </c>
      <c r="C15455" s="133">
        <v>14</v>
      </c>
      <c r="D15455" s="141">
        <f t="shared" si="2494"/>
        <v>45944</v>
      </c>
      <c r="E15455" s="275">
        <f t="shared" si="2495"/>
        <v>45944</v>
      </c>
      <c r="F15455" s="479" t="s">
        <v>964</v>
      </c>
      <c r="G15455" s="220" t="s">
        <v>74</v>
      </c>
      <c r="H15455" s="142"/>
      <c r="I15455" s="142"/>
      <c r="J15455" s="168" t="s">
        <v>52</v>
      </c>
      <c r="K15455" s="226">
        <v>500000</v>
      </c>
      <c r="L15455" s="226"/>
    </row>
    <row r="15456" spans="1:14" ht="11.25" customHeight="1" x14ac:dyDescent="0.2">
      <c r="A15456" s="133">
        <v>2025</v>
      </c>
      <c r="B15456" s="133">
        <v>10</v>
      </c>
      <c r="C15456" s="133">
        <v>14</v>
      </c>
      <c r="D15456" s="141">
        <f t="shared" si="2494"/>
        <v>45944</v>
      </c>
      <c r="E15456" s="275">
        <f t="shared" si="2495"/>
        <v>45944</v>
      </c>
      <c r="F15456" s="481"/>
      <c r="G15456" s="174" t="s">
        <v>74</v>
      </c>
      <c r="J15456" s="133" t="s">
        <v>13</v>
      </c>
      <c r="K15456" s="218"/>
      <c r="L15456" s="218">
        <v>347170</v>
      </c>
    </row>
    <row r="15457" spans="1:14" ht="11.25" customHeight="1" x14ac:dyDescent="0.2">
      <c r="A15457" s="163">
        <v>2025</v>
      </c>
      <c r="B15457" s="163">
        <v>10</v>
      </c>
      <c r="C15457" s="163">
        <v>14</v>
      </c>
      <c r="D15457" s="280">
        <f t="shared" si="2494"/>
        <v>45944</v>
      </c>
      <c r="E15457" s="281">
        <f t="shared" si="2495"/>
        <v>45944</v>
      </c>
      <c r="F15457" s="480"/>
      <c r="G15457" s="221" t="s">
        <v>74</v>
      </c>
      <c r="H15457" s="145"/>
      <c r="I15457" s="145"/>
      <c r="J15457" s="163" t="s">
        <v>53</v>
      </c>
      <c r="K15457" s="219"/>
      <c r="L15457" s="219">
        <v>152830</v>
      </c>
    </row>
    <row r="15458" spans="1:14" ht="11.25" customHeight="1" x14ac:dyDescent="0.2">
      <c r="A15458" s="168">
        <v>2025</v>
      </c>
      <c r="B15458" s="133">
        <v>10</v>
      </c>
      <c r="C15458" s="168">
        <v>15</v>
      </c>
      <c r="D15458" s="141">
        <f t="shared" si="2484"/>
        <v>45945</v>
      </c>
      <c r="E15458" s="275">
        <f t="shared" si="2485"/>
        <v>45945</v>
      </c>
      <c r="F15458" s="479" t="s">
        <v>2121</v>
      </c>
      <c r="G15458" s="220" t="s">
        <v>74</v>
      </c>
      <c r="H15458" s="220"/>
      <c r="I15458" s="142"/>
      <c r="J15458" s="143" t="s">
        <v>52</v>
      </c>
      <c r="K15458" s="226">
        <v>274372.2</v>
      </c>
      <c r="L15458" s="226"/>
    </row>
    <row r="15459" spans="1:14" x14ac:dyDescent="0.2">
      <c r="A15459" s="163">
        <v>2025</v>
      </c>
      <c r="B15459" s="163">
        <v>10</v>
      </c>
      <c r="C15459" s="163">
        <v>15</v>
      </c>
      <c r="D15459" s="280">
        <f t="shared" si="2484"/>
        <v>45945</v>
      </c>
      <c r="E15459" s="281">
        <f t="shared" si="2485"/>
        <v>45945</v>
      </c>
      <c r="F15459" s="480"/>
      <c r="G15459" s="221" t="s">
        <v>74</v>
      </c>
      <c r="H15459" s="221"/>
      <c r="I15459" s="145"/>
      <c r="J15459" s="146" t="s">
        <v>190</v>
      </c>
      <c r="K15459" s="219"/>
      <c r="L15459" s="219">
        <f>K15458</f>
        <v>274372.2</v>
      </c>
      <c r="N15459" s="264"/>
    </row>
    <row r="15460" spans="1:14" x14ac:dyDescent="0.2">
      <c r="A15460" s="133">
        <v>2025</v>
      </c>
      <c r="B15460" s="133">
        <v>10</v>
      </c>
      <c r="C15460" s="133">
        <v>15</v>
      </c>
      <c r="D15460" s="141">
        <f t="shared" si="2484"/>
        <v>45945</v>
      </c>
      <c r="E15460" s="275">
        <f t="shared" si="2485"/>
        <v>45945</v>
      </c>
      <c r="F15460" s="481" t="s">
        <v>2115</v>
      </c>
      <c r="G15460" s="174" t="s">
        <v>94</v>
      </c>
      <c r="H15460" s="174"/>
      <c r="J15460" s="149" t="s">
        <v>79</v>
      </c>
      <c r="K15460" s="218">
        <v>1091825</v>
      </c>
      <c r="L15460" s="218"/>
      <c r="M15460" s="160"/>
    </row>
    <row r="15461" spans="1:14" x14ac:dyDescent="0.2">
      <c r="A15461" s="133">
        <v>2025</v>
      </c>
      <c r="B15461" s="133">
        <v>10</v>
      </c>
      <c r="C15461" s="133">
        <v>15</v>
      </c>
      <c r="D15461" s="141">
        <f t="shared" si="2484"/>
        <v>45945</v>
      </c>
      <c r="E15461" s="275">
        <f t="shared" si="2485"/>
        <v>45945</v>
      </c>
      <c r="F15461" s="481"/>
      <c r="G15461" s="174" t="s">
        <v>94</v>
      </c>
      <c r="H15461" s="174"/>
      <c r="J15461" s="149" t="s">
        <v>80</v>
      </c>
      <c r="K15461" s="218">
        <v>2367.59</v>
      </c>
      <c r="L15461" s="264"/>
      <c r="M15461" s="264"/>
      <c r="N15461" s="264"/>
    </row>
    <row r="15462" spans="1:14" x14ac:dyDescent="0.2">
      <c r="A15462" s="133">
        <v>2025</v>
      </c>
      <c r="B15462" s="133">
        <v>10</v>
      </c>
      <c r="C15462" s="133">
        <v>15</v>
      </c>
      <c r="D15462" s="141">
        <f t="shared" si="2484"/>
        <v>45945</v>
      </c>
      <c r="E15462" s="275">
        <f t="shared" si="2485"/>
        <v>45945</v>
      </c>
      <c r="F15462" s="481"/>
      <c r="G15462" s="174" t="s">
        <v>94</v>
      </c>
      <c r="H15462" s="174"/>
      <c r="J15462" s="149" t="s">
        <v>147</v>
      </c>
      <c r="K15462" s="218"/>
      <c r="L15462" s="218">
        <v>870692.59</v>
      </c>
      <c r="M15462" s="264"/>
    </row>
    <row r="15463" spans="1:14" x14ac:dyDescent="0.2">
      <c r="A15463" s="133">
        <v>2025</v>
      </c>
      <c r="B15463" s="133">
        <v>10</v>
      </c>
      <c r="C15463" s="133">
        <v>15</v>
      </c>
      <c r="D15463" s="141">
        <f t="shared" si="2484"/>
        <v>45945</v>
      </c>
      <c r="E15463" s="275">
        <f t="shared" si="2485"/>
        <v>45945</v>
      </c>
      <c r="F15463" s="481"/>
      <c r="G15463" s="174" t="s">
        <v>94</v>
      </c>
      <c r="H15463" s="174"/>
      <c r="J15463" s="149" t="s">
        <v>191</v>
      </c>
      <c r="K15463" s="172">
        <v>21541.22</v>
      </c>
      <c r="L15463" s="218"/>
    </row>
    <row r="15464" spans="1:14" x14ac:dyDescent="0.2">
      <c r="A15464" s="163">
        <v>2025</v>
      </c>
      <c r="B15464" s="163">
        <v>10</v>
      </c>
      <c r="C15464" s="163">
        <v>15</v>
      </c>
      <c r="D15464" s="280">
        <f t="shared" si="2484"/>
        <v>45945</v>
      </c>
      <c r="E15464" s="281">
        <f t="shared" si="2485"/>
        <v>45945</v>
      </c>
      <c r="F15464" s="480"/>
      <c r="G15464" s="221" t="s">
        <v>94</v>
      </c>
      <c r="H15464" s="145"/>
      <c r="I15464" s="145"/>
      <c r="J15464" s="163" t="s">
        <v>79</v>
      </c>
      <c r="K15464" s="219"/>
      <c r="L15464" s="219">
        <v>245041.22</v>
      </c>
      <c r="M15464" s="264"/>
    </row>
    <row r="15465" spans="1:14" ht="11.25" customHeight="1" x14ac:dyDescent="0.2">
      <c r="A15465" s="168">
        <v>2025</v>
      </c>
      <c r="B15465" s="168">
        <v>10</v>
      </c>
      <c r="C15465" s="133">
        <v>15</v>
      </c>
      <c r="D15465" s="141">
        <f t="shared" si="2484"/>
        <v>45945</v>
      </c>
      <c r="E15465" s="275">
        <f t="shared" si="2485"/>
        <v>45945</v>
      </c>
      <c r="F15465" s="479" t="s">
        <v>1319</v>
      </c>
      <c r="G15465" s="220" t="s">
        <v>74</v>
      </c>
      <c r="H15465" s="142"/>
      <c r="I15465" s="142"/>
      <c r="J15465" s="168" t="s">
        <v>52</v>
      </c>
      <c r="K15465" s="226">
        <v>2000</v>
      </c>
      <c r="L15465" s="226"/>
    </row>
    <row r="15466" spans="1:14" ht="11.25" customHeight="1" x14ac:dyDescent="0.2">
      <c r="A15466" s="133">
        <v>2025</v>
      </c>
      <c r="B15466" s="133">
        <v>10</v>
      </c>
      <c r="C15466" s="133">
        <v>15</v>
      </c>
      <c r="D15466" s="141">
        <f t="shared" si="2484"/>
        <v>45945</v>
      </c>
      <c r="E15466" s="275">
        <f t="shared" si="2485"/>
        <v>45945</v>
      </c>
      <c r="F15466" s="481"/>
      <c r="G15466" s="174" t="s">
        <v>74</v>
      </c>
      <c r="J15466" s="133" t="s">
        <v>13</v>
      </c>
      <c r="K15466" s="218"/>
      <c r="L15466" s="218">
        <v>1390</v>
      </c>
    </row>
    <row r="15467" spans="1:14" ht="11.25" customHeight="1" x14ac:dyDescent="0.2">
      <c r="A15467" s="163">
        <v>2025</v>
      </c>
      <c r="B15467" s="163">
        <v>10</v>
      </c>
      <c r="C15467" s="163">
        <v>15</v>
      </c>
      <c r="D15467" s="280">
        <f t="shared" si="2484"/>
        <v>45945</v>
      </c>
      <c r="E15467" s="281">
        <f t="shared" si="2485"/>
        <v>45945</v>
      </c>
      <c r="F15467" s="480"/>
      <c r="G15467" s="221" t="s">
        <v>74</v>
      </c>
      <c r="H15467" s="145"/>
      <c r="I15467" s="145"/>
      <c r="J15467" s="163" t="s">
        <v>53</v>
      </c>
      <c r="K15467" s="219"/>
      <c r="L15467" s="219">
        <v>610</v>
      </c>
    </row>
    <row r="15468" spans="1:14" x14ac:dyDescent="0.2">
      <c r="A15468" s="133">
        <v>2025</v>
      </c>
      <c r="B15468" s="133">
        <v>10</v>
      </c>
      <c r="C15468" s="133">
        <v>16</v>
      </c>
      <c r="D15468" s="141">
        <f t="shared" ref="D15468:D15475" si="2496">DATE(A15468,B15468,C15468)</f>
        <v>45946</v>
      </c>
      <c r="E15468" s="275">
        <f t="shared" ref="E15468:E15475" si="2497">DATE(A15468,B15468,C15468)</f>
        <v>45946</v>
      </c>
      <c r="F15468" s="481" t="s">
        <v>2115</v>
      </c>
      <c r="G15468" s="174" t="s">
        <v>94</v>
      </c>
      <c r="H15468" s="174"/>
      <c r="J15468" s="149" t="s">
        <v>79</v>
      </c>
      <c r="K15468" s="218">
        <v>2152637.2000000002</v>
      </c>
      <c r="L15468" s="218"/>
      <c r="M15468" s="160"/>
    </row>
    <row r="15469" spans="1:14" x14ac:dyDescent="0.2">
      <c r="A15469" s="133">
        <v>2025</v>
      </c>
      <c r="B15469" s="133">
        <v>10</v>
      </c>
      <c r="C15469" s="133">
        <v>16</v>
      </c>
      <c r="D15469" s="141">
        <f t="shared" si="2496"/>
        <v>45946</v>
      </c>
      <c r="E15469" s="275">
        <f t="shared" si="2497"/>
        <v>45946</v>
      </c>
      <c r="F15469" s="481"/>
      <c r="G15469" s="174" t="s">
        <v>94</v>
      </c>
      <c r="H15469" s="174"/>
      <c r="J15469" s="149" t="s">
        <v>80</v>
      </c>
      <c r="K15469" s="218">
        <v>8263.76</v>
      </c>
      <c r="L15469" s="264"/>
      <c r="M15469" s="264"/>
      <c r="N15469" s="264"/>
    </row>
    <row r="15470" spans="1:14" x14ac:dyDescent="0.2">
      <c r="A15470" s="133">
        <v>2025</v>
      </c>
      <c r="B15470" s="133">
        <v>10</v>
      </c>
      <c r="C15470" s="133">
        <v>16</v>
      </c>
      <c r="D15470" s="141">
        <f t="shared" si="2496"/>
        <v>45946</v>
      </c>
      <c r="E15470" s="275">
        <f t="shared" si="2497"/>
        <v>45946</v>
      </c>
      <c r="F15470" s="481"/>
      <c r="G15470" s="174" t="s">
        <v>94</v>
      </c>
      <c r="H15470" s="174"/>
      <c r="J15470" s="149" t="s">
        <v>190</v>
      </c>
      <c r="K15470" s="218">
        <v>277442.03999999998</v>
      </c>
      <c r="L15470" s="218"/>
      <c r="M15470" s="264"/>
    </row>
    <row r="15471" spans="1:14" x14ac:dyDescent="0.2">
      <c r="A15471" s="133">
        <v>2025</v>
      </c>
      <c r="B15471" s="133">
        <v>10</v>
      </c>
      <c r="C15471" s="133">
        <v>16</v>
      </c>
      <c r="D15471" s="141">
        <f t="shared" si="2496"/>
        <v>45946</v>
      </c>
      <c r="E15471" s="275">
        <f t="shared" si="2497"/>
        <v>45946</v>
      </c>
      <c r="F15471" s="481"/>
      <c r="G15471" s="174" t="s">
        <v>94</v>
      </c>
      <c r="H15471" s="174"/>
      <c r="J15471" s="149" t="s">
        <v>191</v>
      </c>
      <c r="K15471" s="172">
        <v>121834.88</v>
      </c>
      <c r="L15471" s="218"/>
    </row>
    <row r="15472" spans="1:14" x14ac:dyDescent="0.2">
      <c r="A15472" s="163">
        <v>2025</v>
      </c>
      <c r="B15472" s="163">
        <v>10</v>
      </c>
      <c r="C15472" s="163">
        <v>16</v>
      </c>
      <c r="D15472" s="280">
        <f t="shared" si="2496"/>
        <v>45946</v>
      </c>
      <c r="E15472" s="281">
        <f t="shared" si="2497"/>
        <v>45946</v>
      </c>
      <c r="F15472" s="480"/>
      <c r="G15472" s="221" t="s">
        <v>94</v>
      </c>
      <c r="H15472" s="145"/>
      <c r="I15472" s="145"/>
      <c r="J15472" s="163" t="s">
        <v>79</v>
      </c>
      <c r="K15472" s="219"/>
      <c r="L15472" s="219">
        <v>2560177.88</v>
      </c>
      <c r="M15472" s="264"/>
    </row>
    <row r="15473" spans="1:14" ht="11.25" customHeight="1" x14ac:dyDescent="0.2">
      <c r="A15473" s="168">
        <v>2025</v>
      </c>
      <c r="B15473" s="168">
        <v>10</v>
      </c>
      <c r="C15473" s="168">
        <v>16</v>
      </c>
      <c r="D15473" s="141">
        <f t="shared" si="2496"/>
        <v>45946</v>
      </c>
      <c r="E15473" s="275">
        <f t="shared" si="2497"/>
        <v>45946</v>
      </c>
      <c r="F15473" s="479" t="s">
        <v>2145</v>
      </c>
      <c r="G15473" s="220" t="s">
        <v>74</v>
      </c>
      <c r="H15473" s="220"/>
      <c r="I15473" s="142"/>
      <c r="J15473" s="143" t="s">
        <v>52</v>
      </c>
      <c r="K15473" s="226">
        <v>2507833.33</v>
      </c>
      <c r="L15473" s="226"/>
      <c r="N15473" s="160"/>
    </row>
    <row r="15474" spans="1:14" ht="11.25" customHeight="1" x14ac:dyDescent="0.2">
      <c r="A15474" s="133">
        <v>2025</v>
      </c>
      <c r="B15474" s="133">
        <v>10</v>
      </c>
      <c r="C15474" s="133">
        <v>16</v>
      </c>
      <c r="D15474" s="141">
        <f t="shared" ref="D15474" si="2498">DATE(A15474,B15474,C15474)</f>
        <v>45946</v>
      </c>
      <c r="E15474" s="275">
        <f t="shared" ref="E15474" si="2499">DATE(A15474,B15474,C15474)</f>
        <v>45946</v>
      </c>
      <c r="F15474" s="481"/>
      <c r="G15474" s="174" t="s">
        <v>74</v>
      </c>
      <c r="H15474" s="174"/>
      <c r="J15474" s="149" t="s">
        <v>152</v>
      </c>
      <c r="K15474" s="218"/>
      <c r="L15474" s="218">
        <f>K15473-L15475</f>
        <v>7833.3300000000745</v>
      </c>
      <c r="M15474" s="264"/>
      <c r="N15474" s="160"/>
    </row>
    <row r="15475" spans="1:14" x14ac:dyDescent="0.2">
      <c r="A15475" s="163">
        <v>2025</v>
      </c>
      <c r="B15475" s="163">
        <v>10</v>
      </c>
      <c r="C15475" s="163">
        <v>16</v>
      </c>
      <c r="D15475" s="280">
        <f t="shared" si="2496"/>
        <v>45946</v>
      </c>
      <c r="E15475" s="281">
        <f t="shared" si="2497"/>
        <v>45946</v>
      </c>
      <c r="F15475" s="480"/>
      <c r="G15475" s="221" t="s">
        <v>74</v>
      </c>
      <c r="H15475" s="221"/>
      <c r="I15475" s="145"/>
      <c r="J15475" s="163" t="s">
        <v>96</v>
      </c>
      <c r="K15475" s="219"/>
      <c r="L15475" s="219">
        <v>2500000</v>
      </c>
      <c r="N15475" s="160"/>
    </row>
    <row r="15476" spans="1:14" x14ac:dyDescent="0.2">
      <c r="A15476" s="325">
        <v>2025</v>
      </c>
      <c r="B15476" s="325">
        <v>10</v>
      </c>
      <c r="C15476" s="325">
        <v>16</v>
      </c>
      <c r="D15476" s="326">
        <f t="shared" ref="D15476:D15520" si="2500">DATE(A15476,B15476,C15476)</f>
        <v>45946</v>
      </c>
      <c r="E15476" s="327">
        <f t="shared" ref="E15476:E15520" si="2501">DATE(A15476,B15476,C15476)</f>
        <v>45946</v>
      </c>
      <c r="F15476" s="473" t="s">
        <v>1940</v>
      </c>
      <c r="G15476" s="340" t="s">
        <v>94</v>
      </c>
      <c r="H15476" s="340"/>
      <c r="I15476" s="341" t="s">
        <v>348</v>
      </c>
      <c r="J15476" s="374" t="s">
        <v>133</v>
      </c>
      <c r="K15476" s="375">
        <v>12905.56</v>
      </c>
      <c r="L15476" s="375"/>
      <c r="M15476" s="176"/>
    </row>
    <row r="15477" spans="1:14" x14ac:dyDescent="0.2">
      <c r="A15477" s="331">
        <v>2025</v>
      </c>
      <c r="B15477" s="331">
        <v>10</v>
      </c>
      <c r="C15477" s="331">
        <v>16</v>
      </c>
      <c r="D15477" s="326">
        <f t="shared" si="2500"/>
        <v>45946</v>
      </c>
      <c r="E15477" s="327">
        <f t="shared" si="2501"/>
        <v>45946</v>
      </c>
      <c r="F15477" s="474"/>
      <c r="G15477" s="332" t="s">
        <v>94</v>
      </c>
      <c r="H15477" s="332"/>
      <c r="I15477" s="333" t="s">
        <v>348</v>
      </c>
      <c r="J15477" s="376" t="s">
        <v>60</v>
      </c>
      <c r="K15477" s="334"/>
      <c r="L15477" s="334">
        <f>K15476</f>
        <v>12905.56</v>
      </c>
    </row>
    <row r="15478" spans="1:14" x14ac:dyDescent="0.2">
      <c r="A15478" s="384">
        <v>2025</v>
      </c>
      <c r="B15478" s="384">
        <v>10</v>
      </c>
      <c r="C15478" s="384">
        <v>16</v>
      </c>
      <c r="D15478" s="385">
        <f t="shared" si="2500"/>
        <v>45946</v>
      </c>
      <c r="E15478" s="386">
        <f t="shared" si="2501"/>
        <v>45946</v>
      </c>
      <c r="F15478" s="475" t="s">
        <v>1966</v>
      </c>
      <c r="G15478" s="387" t="s">
        <v>94</v>
      </c>
      <c r="H15478" s="387"/>
      <c r="I15478" s="388" t="s">
        <v>348</v>
      </c>
      <c r="J15478" s="389" t="s">
        <v>67</v>
      </c>
      <c r="K15478" s="390">
        <v>1117.68</v>
      </c>
      <c r="L15478" s="390"/>
    </row>
    <row r="15479" spans="1:14" x14ac:dyDescent="0.2">
      <c r="A15479" s="391">
        <v>2025</v>
      </c>
      <c r="B15479" s="391">
        <v>10</v>
      </c>
      <c r="C15479" s="391">
        <v>16</v>
      </c>
      <c r="D15479" s="385">
        <f t="shared" si="2500"/>
        <v>45946</v>
      </c>
      <c r="E15479" s="386">
        <f t="shared" si="2501"/>
        <v>45946</v>
      </c>
      <c r="F15479" s="476"/>
      <c r="G15479" s="392" t="s">
        <v>94</v>
      </c>
      <c r="H15479" s="392"/>
      <c r="I15479" s="393" t="s">
        <v>348</v>
      </c>
      <c r="J15479" s="394" t="s">
        <v>60</v>
      </c>
      <c r="K15479" s="395"/>
      <c r="L15479" s="395">
        <f>K15478</f>
        <v>1117.68</v>
      </c>
    </row>
    <row r="15480" spans="1:14" x14ac:dyDescent="0.2">
      <c r="A15480" s="343">
        <v>2025</v>
      </c>
      <c r="B15480" s="343">
        <v>10</v>
      </c>
      <c r="C15480" s="343">
        <v>16</v>
      </c>
      <c r="D15480" s="344">
        <f t="shared" si="2500"/>
        <v>45946</v>
      </c>
      <c r="E15480" s="345">
        <f t="shared" si="2501"/>
        <v>45946</v>
      </c>
      <c r="F15480" s="483" t="s">
        <v>1813</v>
      </c>
      <c r="G15480" s="350" t="s">
        <v>94</v>
      </c>
      <c r="H15480" s="350"/>
      <c r="I15480" s="352" t="s">
        <v>348</v>
      </c>
      <c r="J15480" s="353" t="s">
        <v>1807</v>
      </c>
      <c r="K15480" s="354">
        <v>0</v>
      </c>
      <c r="L15480" s="354"/>
      <c r="M15480" s="133">
        <v>0</v>
      </c>
    </row>
    <row r="15481" spans="1:14" x14ac:dyDescent="0.2">
      <c r="A15481" s="346">
        <v>2025</v>
      </c>
      <c r="B15481" s="346">
        <v>10</v>
      </c>
      <c r="C15481" s="346">
        <v>16</v>
      </c>
      <c r="D15481" s="344">
        <f t="shared" si="2500"/>
        <v>45946</v>
      </c>
      <c r="E15481" s="345">
        <f t="shared" si="2501"/>
        <v>45946</v>
      </c>
      <c r="F15481" s="484"/>
      <c r="G15481" s="347" t="s">
        <v>94</v>
      </c>
      <c r="H15481" s="347"/>
      <c r="I15481" s="348" t="s">
        <v>348</v>
      </c>
      <c r="J15481" s="355" t="s">
        <v>1798</v>
      </c>
      <c r="K15481" s="349"/>
      <c r="L15481" s="349">
        <v>0</v>
      </c>
    </row>
    <row r="15482" spans="1:14" x14ac:dyDescent="0.2">
      <c r="A15482" s="343">
        <v>2025</v>
      </c>
      <c r="B15482" s="343">
        <v>10</v>
      </c>
      <c r="C15482" s="343">
        <v>16</v>
      </c>
      <c r="D15482" s="344">
        <f t="shared" si="2500"/>
        <v>45946</v>
      </c>
      <c r="E15482" s="345">
        <f t="shared" si="2501"/>
        <v>45946</v>
      </c>
      <c r="F15482" s="483" t="s">
        <v>1913</v>
      </c>
      <c r="G15482" s="350" t="s">
        <v>94</v>
      </c>
      <c r="H15482" s="350"/>
      <c r="I15482" s="352" t="s">
        <v>348</v>
      </c>
      <c r="J15482" s="353" t="s">
        <v>1808</v>
      </c>
      <c r="K15482" s="354"/>
      <c r="L15482" s="354"/>
      <c r="M15482" s="160">
        <v>0</v>
      </c>
    </row>
    <row r="15483" spans="1:14" x14ac:dyDescent="0.2">
      <c r="A15483" s="346">
        <v>2025</v>
      </c>
      <c r="B15483" s="346">
        <v>10</v>
      </c>
      <c r="C15483" s="346">
        <v>16</v>
      </c>
      <c r="D15483" s="344">
        <f t="shared" si="2500"/>
        <v>45946</v>
      </c>
      <c r="E15483" s="345">
        <f t="shared" si="2501"/>
        <v>45946</v>
      </c>
      <c r="F15483" s="484"/>
      <c r="G15483" s="347" t="s">
        <v>94</v>
      </c>
      <c r="H15483" s="347"/>
      <c r="I15483" s="348" t="s">
        <v>348</v>
      </c>
      <c r="J15483" s="355" t="s">
        <v>1799</v>
      </c>
      <c r="K15483" s="349"/>
      <c r="L15483" s="349">
        <f>K15482</f>
        <v>0</v>
      </c>
    </row>
    <row r="15484" spans="1:14" x14ac:dyDescent="0.2">
      <c r="A15484" s="238">
        <v>2025</v>
      </c>
      <c r="B15484" s="238">
        <v>10</v>
      </c>
      <c r="C15484" s="238">
        <v>16</v>
      </c>
      <c r="D15484" s="270">
        <f t="shared" si="2500"/>
        <v>45946</v>
      </c>
      <c r="E15484" s="279">
        <f t="shared" si="2501"/>
        <v>45946</v>
      </c>
      <c r="F15484" s="477" t="s">
        <v>347</v>
      </c>
      <c r="G15484" s="239" t="s">
        <v>94</v>
      </c>
      <c r="H15484" s="239"/>
      <c r="I15484" s="262" t="s">
        <v>348</v>
      </c>
      <c r="J15484" s="240" t="s">
        <v>82</v>
      </c>
      <c r="K15484" s="241">
        <v>1881734.2700000107</v>
      </c>
      <c r="L15484" s="241"/>
      <c r="M15484" s="160">
        <v>13139541.900000483</v>
      </c>
    </row>
    <row r="15485" spans="1:14" x14ac:dyDescent="0.2">
      <c r="A15485" s="242">
        <v>2025</v>
      </c>
      <c r="B15485" s="242">
        <v>10</v>
      </c>
      <c r="C15485" s="242">
        <v>16</v>
      </c>
      <c r="D15485" s="270">
        <f t="shared" si="2500"/>
        <v>45946</v>
      </c>
      <c r="E15485" s="279">
        <f t="shared" si="2501"/>
        <v>45946</v>
      </c>
      <c r="F15485" s="478"/>
      <c r="G15485" s="243" t="s">
        <v>94</v>
      </c>
      <c r="H15485" s="243"/>
      <c r="I15485" s="263" t="s">
        <v>348</v>
      </c>
      <c r="J15485" s="244" t="s">
        <v>108</v>
      </c>
      <c r="K15485" s="245"/>
      <c r="L15485" s="245">
        <f>K15484</f>
        <v>1881734.2700000107</v>
      </c>
    </row>
    <row r="15486" spans="1:14" ht="12" customHeight="1" x14ac:dyDescent="0.2">
      <c r="A15486" s="246">
        <v>2025</v>
      </c>
      <c r="B15486" s="238">
        <v>10</v>
      </c>
      <c r="C15486" s="238">
        <v>16</v>
      </c>
      <c r="D15486" s="270">
        <f t="shared" si="2500"/>
        <v>45946</v>
      </c>
      <c r="E15486" s="279">
        <f t="shared" si="2501"/>
        <v>45946</v>
      </c>
      <c r="F15486" s="482" t="s">
        <v>148</v>
      </c>
      <c r="G15486" s="247" t="s">
        <v>94</v>
      </c>
      <c r="H15486" s="247"/>
      <c r="I15486" s="248" t="s">
        <v>348</v>
      </c>
      <c r="J15486" s="249" t="s">
        <v>95</v>
      </c>
      <c r="K15486" s="250">
        <v>2747.2527472527472</v>
      </c>
      <c r="L15486" s="241"/>
      <c r="M15486" s="176"/>
    </row>
    <row r="15487" spans="1:14" x14ac:dyDescent="0.2">
      <c r="A15487" s="242">
        <v>2025</v>
      </c>
      <c r="B15487" s="242">
        <v>10</v>
      </c>
      <c r="C15487" s="242">
        <v>16</v>
      </c>
      <c r="D15487" s="270">
        <f t="shared" si="2500"/>
        <v>45946</v>
      </c>
      <c r="E15487" s="279">
        <f t="shared" si="2501"/>
        <v>45946</v>
      </c>
      <c r="F15487" s="478"/>
      <c r="G15487" s="243" t="s">
        <v>94</v>
      </c>
      <c r="H15487" s="243"/>
      <c r="I15487" s="263" t="s">
        <v>348</v>
      </c>
      <c r="J15487" s="244" t="s">
        <v>63</v>
      </c>
      <c r="K15487" s="245"/>
      <c r="L15487" s="245">
        <f>K15486</f>
        <v>2747.2527472527472</v>
      </c>
    </row>
    <row r="15488" spans="1:14" x14ac:dyDescent="0.2">
      <c r="A15488" s="246">
        <v>2025</v>
      </c>
      <c r="B15488" s="238">
        <v>10</v>
      </c>
      <c r="C15488" s="238">
        <v>16</v>
      </c>
      <c r="D15488" s="270">
        <f t="shared" si="2500"/>
        <v>45946</v>
      </c>
      <c r="E15488" s="279">
        <f t="shared" si="2501"/>
        <v>45946</v>
      </c>
      <c r="F15488" s="482" t="s">
        <v>137</v>
      </c>
      <c r="G15488" s="247" t="s">
        <v>94</v>
      </c>
      <c r="H15488" s="247"/>
      <c r="I15488" s="248" t="s">
        <v>348</v>
      </c>
      <c r="J15488" s="249" t="s">
        <v>97</v>
      </c>
      <c r="K15488" s="250">
        <f>M15488</f>
        <v>88973.521105410968</v>
      </c>
      <c r="L15488" s="252"/>
      <c r="M15488" s="133">
        <v>88973.521105410968</v>
      </c>
    </row>
    <row r="15489" spans="1:14" x14ac:dyDescent="0.2">
      <c r="A15489" s="242">
        <v>2025</v>
      </c>
      <c r="B15489" s="242">
        <v>10</v>
      </c>
      <c r="C15489" s="242">
        <v>16</v>
      </c>
      <c r="D15489" s="270">
        <f t="shared" si="2500"/>
        <v>45946</v>
      </c>
      <c r="E15489" s="279">
        <f t="shared" si="2501"/>
        <v>45946</v>
      </c>
      <c r="F15489" s="478"/>
      <c r="G15489" s="243" t="s">
        <v>94</v>
      </c>
      <c r="H15489" s="243"/>
      <c r="I15489" s="263" t="s">
        <v>348</v>
      </c>
      <c r="J15489" s="244" t="s">
        <v>47</v>
      </c>
      <c r="K15489" s="245"/>
      <c r="L15489" s="245">
        <f>K15488</f>
        <v>88973.521105410968</v>
      </c>
      <c r="M15489" s="133">
        <v>4208.291439885933</v>
      </c>
    </row>
    <row r="15490" spans="1:14" x14ac:dyDescent="0.2">
      <c r="A15490" s="246">
        <v>2025</v>
      </c>
      <c r="B15490" s="238">
        <v>10</v>
      </c>
      <c r="C15490" s="238">
        <v>16</v>
      </c>
      <c r="D15490" s="270">
        <f t="shared" si="2500"/>
        <v>45946</v>
      </c>
      <c r="E15490" s="279">
        <f t="shared" si="2501"/>
        <v>45946</v>
      </c>
      <c r="F15490" s="482" t="s">
        <v>138</v>
      </c>
      <c r="G15490" s="247" t="s">
        <v>94</v>
      </c>
      <c r="H15490" s="247"/>
      <c r="I15490" s="248" t="s">
        <v>348</v>
      </c>
      <c r="J15490" s="249" t="s">
        <v>100</v>
      </c>
      <c r="K15490" s="250">
        <f>M15489</f>
        <v>4208.291439885933</v>
      </c>
      <c r="L15490" s="252"/>
    </row>
    <row r="15491" spans="1:14" x14ac:dyDescent="0.2">
      <c r="A15491" s="242">
        <v>2025</v>
      </c>
      <c r="B15491" s="242">
        <v>10</v>
      </c>
      <c r="C15491" s="242">
        <v>16</v>
      </c>
      <c r="D15491" s="321">
        <f t="shared" si="2500"/>
        <v>45946</v>
      </c>
      <c r="E15491" s="322">
        <f t="shared" si="2501"/>
        <v>45946</v>
      </c>
      <c r="F15491" s="478"/>
      <c r="G15491" s="243" t="s">
        <v>94</v>
      </c>
      <c r="H15491" s="243"/>
      <c r="I15491" s="263" t="s">
        <v>348</v>
      </c>
      <c r="J15491" s="244" t="s">
        <v>48</v>
      </c>
      <c r="K15491" s="245"/>
      <c r="L15491" s="245">
        <f>K15490</f>
        <v>4208.291439885933</v>
      </c>
    </row>
    <row r="15492" spans="1:14" ht="11.25" customHeight="1" x14ac:dyDescent="0.2">
      <c r="A15492" s="168">
        <v>2025</v>
      </c>
      <c r="B15492" s="168">
        <v>10</v>
      </c>
      <c r="C15492" s="133">
        <v>19</v>
      </c>
      <c r="D15492" s="141">
        <f t="shared" ref="D15492:D15506" si="2502">DATE(A15492,B15492,C15492)</f>
        <v>45949</v>
      </c>
      <c r="E15492" s="275">
        <f t="shared" ref="E15492:E15506" si="2503">DATE(A15492,B15492,C15492)</f>
        <v>45949</v>
      </c>
      <c r="F15492" s="479" t="s">
        <v>1315</v>
      </c>
      <c r="G15492" s="220" t="s">
        <v>74</v>
      </c>
      <c r="H15492" s="142"/>
      <c r="I15492" s="142"/>
      <c r="J15492" s="168" t="s">
        <v>13</v>
      </c>
      <c r="K15492" s="226">
        <v>441920</v>
      </c>
      <c r="L15492" s="226"/>
    </row>
    <row r="15493" spans="1:14" ht="11.25" customHeight="1" x14ac:dyDescent="0.2">
      <c r="A15493" s="133">
        <v>2025</v>
      </c>
      <c r="B15493" s="133">
        <v>10</v>
      </c>
      <c r="C15493" s="133">
        <v>19</v>
      </c>
      <c r="D15493" s="141">
        <f t="shared" si="2502"/>
        <v>45949</v>
      </c>
      <c r="E15493" s="275">
        <f t="shared" si="2503"/>
        <v>45949</v>
      </c>
      <c r="F15493" s="481"/>
      <c r="G15493" s="174" t="s">
        <v>74</v>
      </c>
      <c r="J15493" s="133" t="s">
        <v>53</v>
      </c>
      <c r="K15493" s="218">
        <v>188080</v>
      </c>
      <c r="L15493" s="218"/>
    </row>
    <row r="15494" spans="1:14" ht="11.25" customHeight="1" x14ac:dyDescent="0.2">
      <c r="A15494" s="163">
        <v>2025</v>
      </c>
      <c r="B15494" s="163">
        <v>10</v>
      </c>
      <c r="C15494" s="163">
        <v>19</v>
      </c>
      <c r="D15494" s="280">
        <f t="shared" si="2502"/>
        <v>45949</v>
      </c>
      <c r="E15494" s="281">
        <f t="shared" si="2503"/>
        <v>45949</v>
      </c>
      <c r="F15494" s="480"/>
      <c r="G15494" s="221" t="s">
        <v>74</v>
      </c>
      <c r="H15494" s="145"/>
      <c r="I15494" s="145"/>
      <c r="J15494" s="163" t="s">
        <v>52</v>
      </c>
      <c r="K15494" s="219"/>
      <c r="L15494" s="219">
        <v>630000</v>
      </c>
    </row>
    <row r="15495" spans="1:14" x14ac:dyDescent="0.2">
      <c r="A15495" s="133">
        <v>2025</v>
      </c>
      <c r="B15495" s="133">
        <v>10</v>
      </c>
      <c r="C15495" s="133">
        <v>19</v>
      </c>
      <c r="D15495" s="141">
        <f t="shared" si="2502"/>
        <v>45949</v>
      </c>
      <c r="E15495" s="275">
        <f t="shared" si="2503"/>
        <v>45949</v>
      </c>
      <c r="F15495" s="481" t="s">
        <v>2115</v>
      </c>
      <c r="G15495" s="174" t="s">
        <v>94</v>
      </c>
      <c r="H15495" s="174"/>
      <c r="J15495" s="149" t="s">
        <v>79</v>
      </c>
      <c r="K15495" s="218">
        <v>4003401.4</v>
      </c>
      <c r="L15495" s="218"/>
      <c r="M15495" s="160"/>
    </row>
    <row r="15496" spans="1:14" x14ac:dyDescent="0.2">
      <c r="A15496" s="133">
        <v>2025</v>
      </c>
      <c r="B15496" s="133">
        <v>10</v>
      </c>
      <c r="C15496" s="133">
        <v>19</v>
      </c>
      <c r="D15496" s="141">
        <f t="shared" si="2502"/>
        <v>45949</v>
      </c>
      <c r="E15496" s="275">
        <f t="shared" si="2503"/>
        <v>45949</v>
      </c>
      <c r="F15496" s="481"/>
      <c r="G15496" s="174" t="s">
        <v>94</v>
      </c>
      <c r="H15496" s="174"/>
      <c r="J15496" s="149" t="s">
        <v>80</v>
      </c>
      <c r="K15496" s="218">
        <v>13540.75</v>
      </c>
      <c r="L15496" s="264"/>
      <c r="M15496" s="264"/>
      <c r="N15496" s="264"/>
    </row>
    <row r="15497" spans="1:14" x14ac:dyDescent="0.2">
      <c r="A15497" s="133">
        <v>2025</v>
      </c>
      <c r="B15497" s="133">
        <v>10</v>
      </c>
      <c r="C15497" s="133">
        <v>19</v>
      </c>
      <c r="D15497" s="141">
        <f t="shared" si="2502"/>
        <v>45949</v>
      </c>
      <c r="E15497" s="275">
        <f t="shared" si="2503"/>
        <v>45949</v>
      </c>
      <c r="F15497" s="481"/>
      <c r="G15497" s="174" t="s">
        <v>94</v>
      </c>
      <c r="H15497" s="174"/>
      <c r="J15497" s="149" t="s">
        <v>147</v>
      </c>
      <c r="K15497" s="218"/>
      <c r="L15497" s="218">
        <v>497707.35</v>
      </c>
      <c r="M15497" s="264"/>
    </row>
    <row r="15498" spans="1:14" x14ac:dyDescent="0.2">
      <c r="A15498" s="133">
        <v>2025</v>
      </c>
      <c r="B15498" s="133">
        <v>10</v>
      </c>
      <c r="C15498" s="133">
        <v>19</v>
      </c>
      <c r="D15498" s="141">
        <f t="shared" si="2502"/>
        <v>45949</v>
      </c>
      <c r="E15498" s="275">
        <f t="shared" si="2503"/>
        <v>45949</v>
      </c>
      <c r="F15498" s="481"/>
      <c r="G15498" s="174" t="s">
        <v>94</v>
      </c>
      <c r="H15498" s="174"/>
      <c r="J15498" s="149" t="s">
        <v>191</v>
      </c>
      <c r="K15498" s="218">
        <v>209876.31</v>
      </c>
      <c r="L15498" s="218"/>
    </row>
    <row r="15499" spans="1:14" x14ac:dyDescent="0.2">
      <c r="A15499" s="163">
        <v>2025</v>
      </c>
      <c r="B15499" s="163">
        <v>10</v>
      </c>
      <c r="C15499" s="163">
        <v>19</v>
      </c>
      <c r="D15499" s="280">
        <f t="shared" si="2502"/>
        <v>45949</v>
      </c>
      <c r="E15499" s="281">
        <f t="shared" si="2503"/>
        <v>45949</v>
      </c>
      <c r="F15499" s="480"/>
      <c r="G15499" s="221" t="s">
        <v>94</v>
      </c>
      <c r="H15499" s="145"/>
      <c r="I15499" s="145"/>
      <c r="J15499" s="163" t="s">
        <v>79</v>
      </c>
      <c r="K15499" s="219"/>
      <c r="L15499" s="219">
        <v>3729111.11</v>
      </c>
      <c r="M15499" s="264"/>
    </row>
    <row r="15500" spans="1:14" x14ac:dyDescent="0.2">
      <c r="A15500" s="133">
        <v>2025</v>
      </c>
      <c r="B15500" s="133">
        <v>10</v>
      </c>
      <c r="C15500" s="133">
        <v>20</v>
      </c>
      <c r="D15500" s="141">
        <f t="shared" ref="D15500:D15504" si="2504">DATE(A15500,B15500,C15500)</f>
        <v>45950</v>
      </c>
      <c r="E15500" s="275">
        <f t="shared" ref="E15500:E15504" si="2505">DATE(A15500,B15500,C15500)</f>
        <v>45950</v>
      </c>
      <c r="F15500" s="481" t="s">
        <v>2115</v>
      </c>
      <c r="G15500" s="174" t="s">
        <v>94</v>
      </c>
      <c r="H15500" s="174"/>
      <c r="J15500" s="149" t="s">
        <v>79</v>
      </c>
      <c r="K15500" s="218">
        <v>1523365.2</v>
      </c>
      <c r="L15500" s="218"/>
      <c r="M15500" s="160"/>
    </row>
    <row r="15501" spans="1:14" x14ac:dyDescent="0.2">
      <c r="A15501" s="133">
        <v>2025</v>
      </c>
      <c r="B15501" s="133">
        <v>10</v>
      </c>
      <c r="C15501" s="133">
        <v>20</v>
      </c>
      <c r="D15501" s="141">
        <f t="shared" si="2504"/>
        <v>45950</v>
      </c>
      <c r="E15501" s="275">
        <f t="shared" si="2505"/>
        <v>45950</v>
      </c>
      <c r="F15501" s="481"/>
      <c r="G15501" s="174" t="s">
        <v>94</v>
      </c>
      <c r="H15501" s="174"/>
      <c r="J15501" s="149" t="s">
        <v>80</v>
      </c>
      <c r="K15501" s="218">
        <v>4330.2700000000004</v>
      </c>
      <c r="L15501" s="264"/>
      <c r="M15501" s="264"/>
      <c r="N15501" s="264"/>
    </row>
    <row r="15502" spans="1:14" x14ac:dyDescent="0.2">
      <c r="A15502" s="133">
        <v>2025</v>
      </c>
      <c r="B15502" s="133">
        <v>10</v>
      </c>
      <c r="C15502" s="133">
        <v>20</v>
      </c>
      <c r="D15502" s="141">
        <f t="shared" si="2504"/>
        <v>45950</v>
      </c>
      <c r="E15502" s="275">
        <f t="shared" si="2505"/>
        <v>45950</v>
      </c>
      <c r="F15502" s="481"/>
      <c r="G15502" s="174" t="s">
        <v>94</v>
      </c>
      <c r="H15502" s="174"/>
      <c r="J15502" s="149" t="s">
        <v>147</v>
      </c>
      <c r="K15502" s="218"/>
      <c r="L15502" s="218">
        <v>645354.87</v>
      </c>
      <c r="M15502" s="264"/>
    </row>
    <row r="15503" spans="1:14" x14ac:dyDescent="0.2">
      <c r="A15503" s="133">
        <v>2025</v>
      </c>
      <c r="B15503" s="133">
        <v>10</v>
      </c>
      <c r="C15503" s="133">
        <v>20</v>
      </c>
      <c r="D15503" s="141">
        <f t="shared" si="2504"/>
        <v>45950</v>
      </c>
      <c r="E15503" s="275">
        <f t="shared" si="2505"/>
        <v>45950</v>
      </c>
      <c r="F15503" s="481"/>
      <c r="G15503" s="174" t="s">
        <v>94</v>
      </c>
      <c r="H15503" s="174"/>
      <c r="J15503" s="149" t="s">
        <v>191</v>
      </c>
      <c r="K15503" s="218">
        <v>46101.06</v>
      </c>
      <c r="L15503" s="218"/>
    </row>
    <row r="15504" spans="1:14" x14ac:dyDescent="0.2">
      <c r="A15504" s="163">
        <v>2025</v>
      </c>
      <c r="B15504" s="163">
        <v>10</v>
      </c>
      <c r="C15504" s="163">
        <v>20</v>
      </c>
      <c r="D15504" s="280">
        <f t="shared" si="2504"/>
        <v>45950</v>
      </c>
      <c r="E15504" s="281">
        <f t="shared" si="2505"/>
        <v>45950</v>
      </c>
      <c r="F15504" s="480"/>
      <c r="G15504" s="221" t="s">
        <v>94</v>
      </c>
      <c r="H15504" s="145"/>
      <c r="I15504" s="145"/>
      <c r="J15504" s="163" t="s">
        <v>79</v>
      </c>
      <c r="K15504" s="219"/>
      <c r="L15504" s="219">
        <v>928441.66</v>
      </c>
      <c r="M15504" s="264"/>
    </row>
    <row r="15505" spans="1:14" x14ac:dyDescent="0.2">
      <c r="A15505" s="168">
        <v>2025</v>
      </c>
      <c r="B15505" s="168">
        <v>10</v>
      </c>
      <c r="C15505" s="133">
        <v>20</v>
      </c>
      <c r="D15505" s="141">
        <f t="shared" si="2502"/>
        <v>45950</v>
      </c>
      <c r="E15505" s="275">
        <f t="shared" si="2503"/>
        <v>45950</v>
      </c>
      <c r="F15505" s="481" t="s">
        <v>2006</v>
      </c>
      <c r="G15505" s="174" t="s">
        <v>74</v>
      </c>
      <c r="H15505" s="174"/>
      <c r="J15505" s="149" t="s">
        <v>534</v>
      </c>
      <c r="K15505" s="218">
        <v>832.06</v>
      </c>
      <c r="L15505" s="218"/>
    </row>
    <row r="15506" spans="1:14" x14ac:dyDescent="0.2">
      <c r="A15506" s="163">
        <v>2025</v>
      </c>
      <c r="B15506" s="163">
        <v>10</v>
      </c>
      <c r="C15506" s="163">
        <v>20</v>
      </c>
      <c r="D15506" s="280">
        <f t="shared" si="2502"/>
        <v>45950</v>
      </c>
      <c r="E15506" s="281">
        <f t="shared" si="2503"/>
        <v>45950</v>
      </c>
      <c r="F15506" s="480"/>
      <c r="G15506" s="221" t="s">
        <v>74</v>
      </c>
      <c r="H15506" s="221"/>
      <c r="I15506" s="145"/>
      <c r="J15506" s="146" t="s">
        <v>52</v>
      </c>
      <c r="K15506" s="219"/>
      <c r="L15506" s="219">
        <v>832.06</v>
      </c>
    </row>
    <row r="15507" spans="1:14" ht="11.25" customHeight="1" x14ac:dyDescent="0.2">
      <c r="A15507" s="168">
        <v>2025</v>
      </c>
      <c r="B15507" s="168">
        <v>10</v>
      </c>
      <c r="C15507" s="133">
        <v>21</v>
      </c>
      <c r="D15507" s="141">
        <f t="shared" si="2500"/>
        <v>45951</v>
      </c>
      <c r="E15507" s="275">
        <f t="shared" si="2501"/>
        <v>45951</v>
      </c>
      <c r="F15507" s="479" t="s">
        <v>1315</v>
      </c>
      <c r="G15507" s="220" t="s">
        <v>74</v>
      </c>
      <c r="H15507" s="142"/>
      <c r="I15507" s="142"/>
      <c r="J15507" s="168" t="s">
        <v>13</v>
      </c>
      <c r="K15507" s="226">
        <v>16030</v>
      </c>
      <c r="L15507" s="226"/>
    </row>
    <row r="15508" spans="1:14" ht="11.25" customHeight="1" x14ac:dyDescent="0.2">
      <c r="A15508" s="133">
        <v>2025</v>
      </c>
      <c r="B15508" s="133">
        <v>10</v>
      </c>
      <c r="C15508" s="133">
        <v>21</v>
      </c>
      <c r="D15508" s="141">
        <f t="shared" si="2500"/>
        <v>45951</v>
      </c>
      <c r="E15508" s="275">
        <f t="shared" si="2501"/>
        <v>45951</v>
      </c>
      <c r="F15508" s="481"/>
      <c r="G15508" s="174" t="s">
        <v>74</v>
      </c>
      <c r="J15508" s="133" t="s">
        <v>53</v>
      </c>
      <c r="K15508" s="218">
        <v>6822.369999999999</v>
      </c>
      <c r="L15508" s="218"/>
    </row>
    <row r="15509" spans="1:14" ht="11.25" customHeight="1" x14ac:dyDescent="0.2">
      <c r="A15509" s="163">
        <v>2025</v>
      </c>
      <c r="B15509" s="163">
        <v>10</v>
      </c>
      <c r="C15509" s="163">
        <v>21</v>
      </c>
      <c r="D15509" s="280">
        <f t="shared" si="2500"/>
        <v>45951</v>
      </c>
      <c r="E15509" s="281">
        <f t="shared" si="2501"/>
        <v>45951</v>
      </c>
      <c r="F15509" s="480"/>
      <c r="G15509" s="221" t="s">
        <v>74</v>
      </c>
      <c r="H15509" s="145"/>
      <c r="I15509" s="145"/>
      <c r="J15509" s="163" t="s">
        <v>52</v>
      </c>
      <c r="K15509" s="219"/>
      <c r="L15509" s="219">
        <v>22852.37</v>
      </c>
    </row>
    <row r="15510" spans="1:14" x14ac:dyDescent="0.2">
      <c r="A15510" s="168">
        <v>2025</v>
      </c>
      <c r="B15510" s="168">
        <v>10</v>
      </c>
      <c r="C15510" s="168">
        <v>21</v>
      </c>
      <c r="D15510" s="141">
        <f t="shared" si="2500"/>
        <v>45951</v>
      </c>
      <c r="E15510" s="275">
        <f t="shared" si="2501"/>
        <v>45951</v>
      </c>
      <c r="F15510" s="479" t="s">
        <v>2128</v>
      </c>
      <c r="G15510" s="220" t="s">
        <v>94</v>
      </c>
      <c r="H15510" s="220"/>
      <c r="I15510" s="142"/>
      <c r="J15510" s="143" t="s">
        <v>52</v>
      </c>
      <c r="K15510" s="226">
        <v>1000260.8</v>
      </c>
      <c r="L15510" s="226"/>
      <c r="M15510" s="160"/>
    </row>
    <row r="15511" spans="1:14" x14ac:dyDescent="0.2">
      <c r="A15511" s="133">
        <v>2025</v>
      </c>
      <c r="B15511" s="133">
        <v>10</v>
      </c>
      <c r="C15511" s="133">
        <v>21</v>
      </c>
      <c r="D15511" s="141">
        <f t="shared" si="2500"/>
        <v>45951</v>
      </c>
      <c r="E15511" s="275">
        <f t="shared" si="2501"/>
        <v>45951</v>
      </c>
      <c r="F15511" s="481"/>
      <c r="G15511" s="174" t="s">
        <v>94</v>
      </c>
      <c r="H15511" s="174"/>
      <c r="J15511" s="149" t="s">
        <v>191</v>
      </c>
      <c r="L15511" s="172">
        <v>238740.69</v>
      </c>
    </row>
    <row r="15512" spans="1:14" ht="10.9" customHeight="1" x14ac:dyDescent="0.2">
      <c r="A15512" s="163">
        <v>2025</v>
      </c>
      <c r="B15512" s="163">
        <v>10</v>
      </c>
      <c r="C15512" s="163">
        <v>21</v>
      </c>
      <c r="D15512" s="280">
        <f t="shared" si="2500"/>
        <v>45951</v>
      </c>
      <c r="E15512" s="281">
        <f t="shared" si="2501"/>
        <v>45951</v>
      </c>
      <c r="F15512" s="480"/>
      <c r="G15512" s="221" t="s">
        <v>94</v>
      </c>
      <c r="H15512" s="221"/>
      <c r="I15512" s="145"/>
      <c r="J15512" s="146" t="s">
        <v>79</v>
      </c>
      <c r="K15512" s="219"/>
      <c r="L15512" s="219">
        <v>761520.11</v>
      </c>
    </row>
    <row r="15513" spans="1:14" x14ac:dyDescent="0.2">
      <c r="A15513" s="133">
        <v>2025</v>
      </c>
      <c r="B15513" s="133">
        <v>10</v>
      </c>
      <c r="C15513" s="133">
        <v>21</v>
      </c>
      <c r="D15513" s="141">
        <f t="shared" si="2500"/>
        <v>45951</v>
      </c>
      <c r="E15513" s="275">
        <f t="shared" si="2501"/>
        <v>45951</v>
      </c>
      <c r="F15513" s="481" t="s">
        <v>2115</v>
      </c>
      <c r="G15513" s="174" t="s">
        <v>94</v>
      </c>
      <c r="H15513" s="174"/>
      <c r="J15513" s="149" t="s">
        <v>79</v>
      </c>
      <c r="K15513" s="218">
        <v>2558010</v>
      </c>
      <c r="L15513" s="218"/>
      <c r="M15513" s="160"/>
    </row>
    <row r="15514" spans="1:14" x14ac:dyDescent="0.2">
      <c r="A15514" s="133">
        <v>2025</v>
      </c>
      <c r="B15514" s="133">
        <v>10</v>
      </c>
      <c r="C15514" s="133">
        <v>21</v>
      </c>
      <c r="D15514" s="141">
        <f t="shared" si="2500"/>
        <v>45951</v>
      </c>
      <c r="E15514" s="275">
        <f t="shared" si="2501"/>
        <v>45951</v>
      </c>
      <c r="F15514" s="481"/>
      <c r="G15514" s="174" t="s">
        <v>94</v>
      </c>
      <c r="H15514" s="174"/>
      <c r="J15514" s="149" t="s">
        <v>80</v>
      </c>
      <c r="K15514" s="218">
        <v>7465.5</v>
      </c>
      <c r="L15514" s="264"/>
      <c r="M15514" s="264"/>
      <c r="N15514" s="264"/>
    </row>
    <row r="15515" spans="1:14" x14ac:dyDescent="0.2">
      <c r="A15515" s="133">
        <v>2025</v>
      </c>
      <c r="B15515" s="133">
        <v>10</v>
      </c>
      <c r="C15515" s="133">
        <v>21</v>
      </c>
      <c r="D15515" s="141">
        <f t="shared" si="2500"/>
        <v>45951</v>
      </c>
      <c r="E15515" s="275">
        <f t="shared" si="2501"/>
        <v>45951</v>
      </c>
      <c r="F15515" s="481"/>
      <c r="G15515" s="174" t="s">
        <v>94</v>
      </c>
      <c r="H15515" s="174"/>
      <c r="J15515" s="149" t="s">
        <v>147</v>
      </c>
      <c r="K15515" s="218"/>
      <c r="L15515" s="218">
        <v>975985.8</v>
      </c>
      <c r="M15515" s="264"/>
    </row>
    <row r="15516" spans="1:14" x14ac:dyDescent="0.2">
      <c r="A15516" s="133">
        <v>2025</v>
      </c>
      <c r="B15516" s="133">
        <v>10</v>
      </c>
      <c r="C15516" s="133">
        <v>21</v>
      </c>
      <c r="D15516" s="141">
        <f t="shared" si="2500"/>
        <v>45951</v>
      </c>
      <c r="E15516" s="275">
        <f t="shared" si="2501"/>
        <v>45951</v>
      </c>
      <c r="F15516" s="481"/>
      <c r="G15516" s="174" t="s">
        <v>94</v>
      </c>
      <c r="H15516" s="174"/>
      <c r="J15516" s="149" t="s">
        <v>191</v>
      </c>
      <c r="K15516" s="218"/>
      <c r="L15516" s="218">
        <v>29185.759999999998</v>
      </c>
    </row>
    <row r="15517" spans="1:14" x14ac:dyDescent="0.2">
      <c r="A15517" s="163">
        <v>2025</v>
      </c>
      <c r="B15517" s="163">
        <v>10</v>
      </c>
      <c r="C15517" s="163">
        <v>21</v>
      </c>
      <c r="D15517" s="280">
        <f t="shared" si="2500"/>
        <v>45951</v>
      </c>
      <c r="E15517" s="281">
        <f t="shared" si="2501"/>
        <v>45951</v>
      </c>
      <c r="F15517" s="480"/>
      <c r="G15517" s="221" t="s">
        <v>94</v>
      </c>
      <c r="H15517" s="145"/>
      <c r="I15517" s="145"/>
      <c r="J15517" s="163" t="s">
        <v>79</v>
      </c>
      <c r="K15517" s="219"/>
      <c r="L15517" s="219">
        <v>1560303.94</v>
      </c>
      <c r="M15517" s="264"/>
    </row>
    <row r="15518" spans="1:14" ht="11.25" customHeight="1" x14ac:dyDescent="0.2">
      <c r="A15518" s="168">
        <v>2025</v>
      </c>
      <c r="B15518" s="168">
        <v>10</v>
      </c>
      <c r="C15518" s="133">
        <v>22</v>
      </c>
      <c r="D15518" s="141">
        <f t="shared" si="2500"/>
        <v>45952</v>
      </c>
      <c r="E15518" s="275">
        <f t="shared" si="2501"/>
        <v>45952</v>
      </c>
      <c r="F15518" s="479" t="s">
        <v>2113</v>
      </c>
      <c r="G15518" s="220" t="s">
        <v>94</v>
      </c>
      <c r="H15518" s="220"/>
      <c r="I15518" s="142"/>
      <c r="J15518" s="143" t="s">
        <v>79</v>
      </c>
      <c r="K15518" s="226">
        <v>352254</v>
      </c>
      <c r="L15518" s="226"/>
      <c r="M15518" s="160"/>
    </row>
    <row r="15519" spans="1:14" x14ac:dyDescent="0.2">
      <c r="A15519" s="133">
        <v>2025</v>
      </c>
      <c r="B15519" s="133">
        <v>10</v>
      </c>
      <c r="C15519" s="133">
        <v>22</v>
      </c>
      <c r="D15519" s="141">
        <f t="shared" si="2500"/>
        <v>45952</v>
      </c>
      <c r="E15519" s="275">
        <f t="shared" si="2501"/>
        <v>45952</v>
      </c>
      <c r="F15519" s="481"/>
      <c r="G15519" s="174" t="s">
        <v>94</v>
      </c>
      <c r="H15519" s="174"/>
      <c r="J15519" s="149" t="s">
        <v>80</v>
      </c>
      <c r="K15519" s="218">
        <v>634.04999999999995</v>
      </c>
      <c r="L15519" s="133"/>
    </row>
    <row r="15520" spans="1:14" x14ac:dyDescent="0.2">
      <c r="A15520" s="163">
        <v>2025</v>
      </c>
      <c r="B15520" s="163">
        <v>10</v>
      </c>
      <c r="C15520" s="163">
        <v>22</v>
      </c>
      <c r="D15520" s="280">
        <f t="shared" si="2500"/>
        <v>45952</v>
      </c>
      <c r="E15520" s="281">
        <f t="shared" si="2501"/>
        <v>45952</v>
      </c>
      <c r="F15520" s="480"/>
      <c r="G15520" s="221" t="s">
        <v>94</v>
      </c>
      <c r="H15520" s="221"/>
      <c r="I15520" s="145"/>
      <c r="J15520" s="146" t="s">
        <v>147</v>
      </c>
      <c r="K15520" s="219"/>
      <c r="L15520" s="219">
        <v>352888.06</v>
      </c>
    </row>
    <row r="15521" spans="1:14" x14ac:dyDescent="0.2">
      <c r="A15521" s="133">
        <v>2025</v>
      </c>
      <c r="B15521" s="168">
        <v>10</v>
      </c>
      <c r="C15521" s="133">
        <v>23</v>
      </c>
      <c r="D15521" s="141">
        <f>DATE(A15521,B15521,C15521)</f>
        <v>45953</v>
      </c>
      <c r="E15521" s="275">
        <f>DATE(A15521,B15521,C15521)</f>
        <v>45953</v>
      </c>
      <c r="F15521" s="479" t="s">
        <v>362</v>
      </c>
      <c r="G15521" s="220" t="s">
        <v>74</v>
      </c>
      <c r="H15521" s="220"/>
      <c r="I15521" s="142" t="s">
        <v>348</v>
      </c>
      <c r="J15521" s="143" t="s">
        <v>104</v>
      </c>
      <c r="K15521" s="226">
        <v>8320.57</v>
      </c>
      <c r="L15521" s="226"/>
    </row>
    <row r="15522" spans="1:14" x14ac:dyDescent="0.2">
      <c r="A15522" s="133">
        <v>2025</v>
      </c>
      <c r="B15522" s="133">
        <v>10</v>
      </c>
      <c r="C15522" s="133">
        <v>23</v>
      </c>
      <c r="D15522" s="280">
        <f>DATE(A15522,B15522,C15522)</f>
        <v>45953</v>
      </c>
      <c r="E15522" s="281">
        <f>DATE(A15522,B15522,C15522)</f>
        <v>45953</v>
      </c>
      <c r="F15522" s="481"/>
      <c r="G15522" s="174" t="s">
        <v>74</v>
      </c>
      <c r="H15522" s="174"/>
      <c r="J15522" s="149" t="s">
        <v>534</v>
      </c>
      <c r="K15522" s="218"/>
      <c r="L15522" s="218">
        <v>832.06</v>
      </c>
    </row>
    <row r="15523" spans="1:14" x14ac:dyDescent="0.2">
      <c r="A15523" s="163">
        <v>2025</v>
      </c>
      <c r="B15523" s="163">
        <v>10</v>
      </c>
      <c r="C15523" s="163">
        <v>23</v>
      </c>
      <c r="D15523" s="144">
        <f>DATE(A15523,B15523,C15523)</f>
        <v>45953</v>
      </c>
      <c r="E15523" s="313">
        <f>DATE(A15523,B15523,C15523)</f>
        <v>45953</v>
      </c>
      <c r="F15523" s="480"/>
      <c r="G15523" s="221" t="s">
        <v>74</v>
      </c>
      <c r="H15523" s="221"/>
      <c r="I15523" s="145" t="s">
        <v>348</v>
      </c>
      <c r="J15523" s="146" t="s">
        <v>52</v>
      </c>
      <c r="K15523" s="219"/>
      <c r="L15523" s="219">
        <v>7488.51</v>
      </c>
    </row>
    <row r="15524" spans="1:14" ht="11.25" customHeight="1" x14ac:dyDescent="0.2">
      <c r="A15524" s="168">
        <v>2025</v>
      </c>
      <c r="B15524" s="133">
        <v>10</v>
      </c>
      <c r="C15524" s="168">
        <v>23</v>
      </c>
      <c r="D15524" s="141">
        <f t="shared" ref="D15524:D15525" si="2506">DATE(A15524,B15524,C15524)</f>
        <v>45953</v>
      </c>
      <c r="E15524" s="275">
        <f t="shared" ref="E15524:E15525" si="2507">DATE(A15524,B15524,C15524)</f>
        <v>45953</v>
      </c>
      <c r="F15524" s="479" t="s">
        <v>2116</v>
      </c>
      <c r="G15524" s="220" t="s">
        <v>74</v>
      </c>
      <c r="H15524" s="220"/>
      <c r="I15524" s="142"/>
      <c r="J15524" s="143" t="s">
        <v>147</v>
      </c>
      <c r="K15524" s="226">
        <v>497707.35</v>
      </c>
      <c r="L15524" s="226"/>
    </row>
    <row r="15525" spans="1:14" x14ac:dyDescent="0.2">
      <c r="A15525" s="163">
        <v>2025</v>
      </c>
      <c r="B15525" s="163">
        <v>10</v>
      </c>
      <c r="C15525" s="163">
        <v>23</v>
      </c>
      <c r="D15525" s="280">
        <f t="shared" si="2506"/>
        <v>45953</v>
      </c>
      <c r="E15525" s="281">
        <f t="shared" si="2507"/>
        <v>45953</v>
      </c>
      <c r="F15525" s="480"/>
      <c r="G15525" s="221" t="s">
        <v>74</v>
      </c>
      <c r="H15525" s="221"/>
      <c r="I15525" s="145"/>
      <c r="J15525" s="146" t="s">
        <v>52</v>
      </c>
      <c r="K15525" s="219"/>
      <c r="L15525" s="219">
        <f>K15524</f>
        <v>497707.35</v>
      </c>
      <c r="N15525" s="264"/>
    </row>
    <row r="15526" spans="1:14" ht="11.25" customHeight="1" x14ac:dyDescent="0.2">
      <c r="A15526" s="168">
        <v>2025</v>
      </c>
      <c r="B15526" s="133">
        <v>10</v>
      </c>
      <c r="C15526" s="168">
        <v>23</v>
      </c>
      <c r="D15526" s="141">
        <f t="shared" ref="D15526:D15529" si="2508">DATE(A15526,B15526,C15526)</f>
        <v>45953</v>
      </c>
      <c r="E15526" s="275">
        <f t="shared" ref="E15526:E15529" si="2509">DATE(A15526,B15526,C15526)</f>
        <v>45953</v>
      </c>
      <c r="F15526" s="479" t="s">
        <v>2116</v>
      </c>
      <c r="G15526" s="220" t="s">
        <v>74</v>
      </c>
      <c r="H15526" s="220"/>
      <c r="I15526" s="142"/>
      <c r="J15526" s="143" t="s">
        <v>147</v>
      </c>
      <c r="K15526" s="226">
        <v>645354.87</v>
      </c>
      <c r="L15526" s="226"/>
    </row>
    <row r="15527" spans="1:14" x14ac:dyDescent="0.2">
      <c r="A15527" s="163">
        <v>2025</v>
      </c>
      <c r="B15527" s="163">
        <v>10</v>
      </c>
      <c r="C15527" s="163">
        <v>23</v>
      </c>
      <c r="D15527" s="280">
        <f t="shared" si="2508"/>
        <v>45953</v>
      </c>
      <c r="E15527" s="281">
        <f t="shared" si="2509"/>
        <v>45953</v>
      </c>
      <c r="F15527" s="480"/>
      <c r="G15527" s="221" t="s">
        <v>74</v>
      </c>
      <c r="H15527" s="221"/>
      <c r="I15527" s="145"/>
      <c r="J15527" s="146" t="s">
        <v>52</v>
      </c>
      <c r="K15527" s="219"/>
      <c r="L15527" s="219">
        <f>K15526</f>
        <v>645354.87</v>
      </c>
      <c r="N15527" s="264"/>
    </row>
    <row r="15528" spans="1:14" ht="11.25" customHeight="1" x14ac:dyDescent="0.2">
      <c r="A15528" s="168">
        <v>2025</v>
      </c>
      <c r="B15528" s="133">
        <v>10</v>
      </c>
      <c r="C15528" s="168">
        <v>23</v>
      </c>
      <c r="D15528" s="141">
        <f t="shared" si="2508"/>
        <v>45953</v>
      </c>
      <c r="E15528" s="275">
        <f t="shared" si="2509"/>
        <v>45953</v>
      </c>
      <c r="F15528" s="479" t="s">
        <v>2116</v>
      </c>
      <c r="G15528" s="220" t="s">
        <v>74</v>
      </c>
      <c r="H15528" s="220"/>
      <c r="I15528" s="142"/>
      <c r="J15528" s="143" t="s">
        <v>147</v>
      </c>
      <c r="K15528" s="226">
        <v>975985.8</v>
      </c>
      <c r="L15528" s="226"/>
    </row>
    <row r="15529" spans="1:14" x14ac:dyDescent="0.2">
      <c r="A15529" s="163">
        <v>2025</v>
      </c>
      <c r="B15529" s="163">
        <v>10</v>
      </c>
      <c r="C15529" s="163">
        <v>23</v>
      </c>
      <c r="D15529" s="280">
        <f t="shared" si="2508"/>
        <v>45953</v>
      </c>
      <c r="E15529" s="281">
        <f t="shared" si="2509"/>
        <v>45953</v>
      </c>
      <c r="F15529" s="480"/>
      <c r="G15529" s="221" t="s">
        <v>74</v>
      </c>
      <c r="H15529" s="221"/>
      <c r="I15529" s="145"/>
      <c r="J15529" s="146" t="s">
        <v>52</v>
      </c>
      <c r="K15529" s="219"/>
      <c r="L15529" s="219">
        <f>K15528</f>
        <v>975985.8</v>
      </c>
      <c r="N15529" s="264"/>
    </row>
    <row r="15530" spans="1:14" ht="11.25" customHeight="1" x14ac:dyDescent="0.2">
      <c r="A15530" s="168">
        <v>2025</v>
      </c>
      <c r="B15530" s="133">
        <v>10</v>
      </c>
      <c r="C15530" s="168">
        <v>23</v>
      </c>
      <c r="D15530" s="141">
        <f t="shared" ref="D15530:D15536" si="2510">DATE(A15530,B15530,C15530)</f>
        <v>45953</v>
      </c>
      <c r="E15530" s="275">
        <f t="shared" ref="E15530:E15536" si="2511">DATE(A15530,B15530,C15530)</f>
        <v>45953</v>
      </c>
      <c r="F15530" s="479" t="s">
        <v>2116</v>
      </c>
      <c r="G15530" s="220" t="s">
        <v>74</v>
      </c>
      <c r="H15530" s="220"/>
      <c r="I15530" s="142"/>
      <c r="J15530" s="143" t="s">
        <v>147</v>
      </c>
      <c r="K15530" s="226">
        <v>870692.59</v>
      </c>
      <c r="L15530" s="226"/>
    </row>
    <row r="15531" spans="1:14" x14ac:dyDescent="0.2">
      <c r="A15531" s="163">
        <v>2025</v>
      </c>
      <c r="B15531" s="163">
        <v>10</v>
      </c>
      <c r="C15531" s="163">
        <v>23</v>
      </c>
      <c r="D15531" s="280">
        <f t="shared" si="2510"/>
        <v>45953</v>
      </c>
      <c r="E15531" s="281">
        <f t="shared" si="2511"/>
        <v>45953</v>
      </c>
      <c r="F15531" s="480"/>
      <c r="G15531" s="221" t="s">
        <v>74</v>
      </c>
      <c r="H15531" s="221"/>
      <c r="I15531" s="145"/>
      <c r="J15531" s="146" t="s">
        <v>52</v>
      </c>
      <c r="K15531" s="219"/>
      <c r="L15531" s="219">
        <f>K15530</f>
        <v>870692.59</v>
      </c>
      <c r="N15531" s="264"/>
    </row>
    <row r="15532" spans="1:14" x14ac:dyDescent="0.2">
      <c r="A15532" s="133">
        <v>2025</v>
      </c>
      <c r="B15532" s="133">
        <v>10</v>
      </c>
      <c r="C15532" s="133">
        <v>23</v>
      </c>
      <c r="D15532" s="141">
        <f t="shared" si="2510"/>
        <v>45953</v>
      </c>
      <c r="E15532" s="275">
        <f t="shared" si="2511"/>
        <v>45953</v>
      </c>
      <c r="F15532" s="481" t="s">
        <v>2115</v>
      </c>
      <c r="G15532" s="174" t="s">
        <v>94</v>
      </c>
      <c r="H15532" s="174"/>
      <c r="J15532" s="149" t="s">
        <v>79</v>
      </c>
      <c r="K15532" s="218">
        <v>1156650</v>
      </c>
      <c r="L15532" s="218"/>
      <c r="M15532" s="160"/>
    </row>
    <row r="15533" spans="1:14" x14ac:dyDescent="0.2">
      <c r="A15533" s="133">
        <v>2025</v>
      </c>
      <c r="B15533" s="133">
        <v>10</v>
      </c>
      <c r="C15533" s="133">
        <v>23</v>
      </c>
      <c r="D15533" s="141">
        <f t="shared" si="2510"/>
        <v>45953</v>
      </c>
      <c r="E15533" s="275">
        <f t="shared" si="2511"/>
        <v>45953</v>
      </c>
      <c r="F15533" s="481"/>
      <c r="G15533" s="174" t="s">
        <v>94</v>
      </c>
      <c r="H15533" s="174"/>
      <c r="J15533" s="149" t="s">
        <v>80</v>
      </c>
      <c r="K15533" s="218">
        <v>2995.81</v>
      </c>
      <c r="L15533" s="264"/>
      <c r="M15533" s="264"/>
      <c r="N15533" s="264"/>
    </row>
    <row r="15534" spans="1:14" x14ac:dyDescent="0.2">
      <c r="A15534" s="133">
        <v>2025</v>
      </c>
      <c r="B15534" s="133">
        <v>10</v>
      </c>
      <c r="C15534" s="133">
        <v>23</v>
      </c>
      <c r="D15534" s="141">
        <f t="shared" si="2510"/>
        <v>45953</v>
      </c>
      <c r="E15534" s="275">
        <f t="shared" si="2511"/>
        <v>45953</v>
      </c>
      <c r="F15534" s="481"/>
      <c r="G15534" s="174" t="s">
        <v>94</v>
      </c>
      <c r="H15534" s="174"/>
      <c r="J15534" s="149" t="s">
        <v>147</v>
      </c>
      <c r="K15534" s="218"/>
      <c r="L15534" s="218">
        <v>651958.61</v>
      </c>
      <c r="M15534" s="264"/>
    </row>
    <row r="15535" spans="1:14" x14ac:dyDescent="0.2">
      <c r="A15535" s="133">
        <v>2025</v>
      </c>
      <c r="B15535" s="133">
        <v>10</v>
      </c>
      <c r="C15535" s="133">
        <v>23</v>
      </c>
      <c r="D15535" s="141">
        <f t="shared" si="2510"/>
        <v>45953</v>
      </c>
      <c r="E15535" s="275">
        <f t="shared" si="2511"/>
        <v>45953</v>
      </c>
      <c r="F15535" s="481"/>
      <c r="G15535" s="174" t="s">
        <v>94</v>
      </c>
      <c r="H15535" s="174"/>
      <c r="J15535" s="149" t="s">
        <v>191</v>
      </c>
      <c r="K15535" s="218">
        <v>21804.5</v>
      </c>
      <c r="L15535" s="218"/>
    </row>
    <row r="15536" spans="1:14" x14ac:dyDescent="0.2">
      <c r="A15536" s="163">
        <v>2025</v>
      </c>
      <c r="B15536" s="163">
        <v>10</v>
      </c>
      <c r="C15536" s="163">
        <v>23</v>
      </c>
      <c r="D15536" s="280">
        <f t="shared" si="2510"/>
        <v>45953</v>
      </c>
      <c r="E15536" s="281">
        <f t="shared" si="2511"/>
        <v>45953</v>
      </c>
      <c r="F15536" s="480"/>
      <c r="G15536" s="221" t="s">
        <v>94</v>
      </c>
      <c r="H15536" s="145"/>
      <c r="I15536" s="145"/>
      <c r="J15536" s="163" t="s">
        <v>79</v>
      </c>
      <c r="K15536" s="219"/>
      <c r="L15536" s="219">
        <v>529491.69999999995</v>
      </c>
      <c r="M15536" s="264"/>
    </row>
    <row r="15537" spans="1:13" x14ac:dyDescent="0.2">
      <c r="A15537" s="325">
        <v>2025</v>
      </c>
      <c r="B15537" s="325">
        <v>10</v>
      </c>
      <c r="C15537" s="325">
        <v>23</v>
      </c>
      <c r="D15537" s="326">
        <f t="shared" ref="D15537:D15558" si="2512">DATE(A15537,B15537,C15537)</f>
        <v>45953</v>
      </c>
      <c r="E15537" s="327">
        <f t="shared" ref="E15537:E15558" si="2513">DATE(A15537,B15537,C15537)</f>
        <v>45953</v>
      </c>
      <c r="F15537" s="473" t="s">
        <v>1940</v>
      </c>
      <c r="G15537" s="340" t="s">
        <v>94</v>
      </c>
      <c r="H15537" s="340"/>
      <c r="I15537" s="341" t="s">
        <v>348</v>
      </c>
      <c r="J15537" s="374" t="s">
        <v>133</v>
      </c>
      <c r="K15537" s="375">
        <v>12905.56</v>
      </c>
      <c r="L15537" s="375"/>
      <c r="M15537" s="176"/>
    </row>
    <row r="15538" spans="1:13" x14ac:dyDescent="0.2">
      <c r="A15538" s="331">
        <v>2025</v>
      </c>
      <c r="B15538" s="331">
        <v>10</v>
      </c>
      <c r="C15538" s="331">
        <v>23</v>
      </c>
      <c r="D15538" s="326">
        <f t="shared" si="2512"/>
        <v>45953</v>
      </c>
      <c r="E15538" s="327">
        <f t="shared" si="2513"/>
        <v>45953</v>
      </c>
      <c r="F15538" s="474"/>
      <c r="G15538" s="332" t="s">
        <v>94</v>
      </c>
      <c r="H15538" s="332"/>
      <c r="I15538" s="333" t="s">
        <v>348</v>
      </c>
      <c r="J15538" s="376" t="s">
        <v>60</v>
      </c>
      <c r="K15538" s="334"/>
      <c r="L15538" s="334">
        <f>K15537</f>
        <v>12905.56</v>
      </c>
    </row>
    <row r="15539" spans="1:13" x14ac:dyDescent="0.2">
      <c r="A15539" s="384">
        <v>2025</v>
      </c>
      <c r="B15539" s="384">
        <v>10</v>
      </c>
      <c r="C15539" s="384">
        <v>23</v>
      </c>
      <c r="D15539" s="385">
        <f t="shared" si="2512"/>
        <v>45953</v>
      </c>
      <c r="E15539" s="386">
        <f t="shared" si="2513"/>
        <v>45953</v>
      </c>
      <c r="F15539" s="475" t="s">
        <v>1966</v>
      </c>
      <c r="G15539" s="387" t="s">
        <v>94</v>
      </c>
      <c r="H15539" s="387"/>
      <c r="I15539" s="388" t="s">
        <v>348</v>
      </c>
      <c r="J15539" s="389" t="s">
        <v>67</v>
      </c>
      <c r="K15539" s="390">
        <v>3109.37</v>
      </c>
      <c r="L15539" s="390"/>
    </row>
    <row r="15540" spans="1:13" x14ac:dyDescent="0.2">
      <c r="A15540" s="391">
        <v>2025</v>
      </c>
      <c r="B15540" s="391">
        <v>10</v>
      </c>
      <c r="C15540" s="391">
        <v>23</v>
      </c>
      <c r="D15540" s="385">
        <f t="shared" si="2512"/>
        <v>45953</v>
      </c>
      <c r="E15540" s="386">
        <f t="shared" si="2513"/>
        <v>45953</v>
      </c>
      <c r="F15540" s="476"/>
      <c r="G15540" s="392" t="s">
        <v>94</v>
      </c>
      <c r="H15540" s="392"/>
      <c r="I15540" s="393" t="s">
        <v>348</v>
      </c>
      <c r="J15540" s="394" t="s">
        <v>60</v>
      </c>
      <c r="K15540" s="395"/>
      <c r="L15540" s="395">
        <f>K15539</f>
        <v>3109.37</v>
      </c>
    </row>
    <row r="15541" spans="1:13" x14ac:dyDescent="0.2">
      <c r="A15541" s="343">
        <v>2025</v>
      </c>
      <c r="B15541" s="343">
        <v>10</v>
      </c>
      <c r="C15541" s="343">
        <v>23</v>
      </c>
      <c r="D15541" s="344">
        <f t="shared" si="2512"/>
        <v>45953</v>
      </c>
      <c r="E15541" s="345">
        <f t="shared" si="2513"/>
        <v>45953</v>
      </c>
      <c r="F15541" s="483" t="s">
        <v>1813</v>
      </c>
      <c r="G15541" s="350" t="s">
        <v>94</v>
      </c>
      <c r="H15541" s="350"/>
      <c r="I15541" s="352" t="s">
        <v>348</v>
      </c>
      <c r="J15541" s="353" t="s">
        <v>1807</v>
      </c>
      <c r="K15541" s="354">
        <v>0</v>
      </c>
      <c r="L15541" s="354"/>
      <c r="M15541" s="133">
        <v>0</v>
      </c>
    </row>
    <row r="15542" spans="1:13" x14ac:dyDescent="0.2">
      <c r="A15542" s="346">
        <v>2025</v>
      </c>
      <c r="B15542" s="346">
        <v>10</v>
      </c>
      <c r="C15542" s="346">
        <v>23</v>
      </c>
      <c r="D15542" s="344">
        <f t="shared" si="2512"/>
        <v>45953</v>
      </c>
      <c r="E15542" s="345">
        <f t="shared" si="2513"/>
        <v>45953</v>
      </c>
      <c r="F15542" s="484"/>
      <c r="G15542" s="347" t="s">
        <v>94</v>
      </c>
      <c r="H15542" s="347"/>
      <c r="I15542" s="348" t="s">
        <v>348</v>
      </c>
      <c r="J15542" s="355" t="s">
        <v>1798</v>
      </c>
      <c r="K15542" s="349"/>
      <c r="L15542" s="349">
        <v>0</v>
      </c>
    </row>
    <row r="15543" spans="1:13" x14ac:dyDescent="0.2">
      <c r="A15543" s="343">
        <v>2025</v>
      </c>
      <c r="B15543" s="343">
        <v>10</v>
      </c>
      <c r="C15543" s="343">
        <v>23</v>
      </c>
      <c r="D15543" s="344">
        <f t="shared" si="2512"/>
        <v>45953</v>
      </c>
      <c r="E15543" s="345">
        <f t="shared" si="2513"/>
        <v>45953</v>
      </c>
      <c r="F15543" s="483" t="s">
        <v>1913</v>
      </c>
      <c r="G15543" s="350" t="s">
        <v>94</v>
      </c>
      <c r="H15543" s="350"/>
      <c r="I15543" s="352" t="s">
        <v>348</v>
      </c>
      <c r="J15543" s="353" t="s">
        <v>1808</v>
      </c>
      <c r="K15543" s="354"/>
      <c r="L15543" s="354"/>
      <c r="M15543" s="160">
        <v>0</v>
      </c>
    </row>
    <row r="15544" spans="1:13" x14ac:dyDescent="0.2">
      <c r="A15544" s="346">
        <v>2025</v>
      </c>
      <c r="B15544" s="346">
        <v>10</v>
      </c>
      <c r="C15544" s="346">
        <v>23</v>
      </c>
      <c r="D15544" s="344">
        <f t="shared" si="2512"/>
        <v>45953</v>
      </c>
      <c r="E15544" s="345">
        <f t="shared" si="2513"/>
        <v>45953</v>
      </c>
      <c r="F15544" s="484"/>
      <c r="G15544" s="347" t="s">
        <v>94</v>
      </c>
      <c r="H15544" s="347"/>
      <c r="I15544" s="348" t="s">
        <v>348</v>
      </c>
      <c r="J15544" s="355" t="s">
        <v>1799</v>
      </c>
      <c r="K15544" s="349"/>
      <c r="L15544" s="349">
        <f>K15543</f>
        <v>0</v>
      </c>
    </row>
    <row r="15545" spans="1:13" x14ac:dyDescent="0.2">
      <c r="A15545" s="238">
        <v>2025</v>
      </c>
      <c r="B15545" s="238">
        <v>10</v>
      </c>
      <c r="C15545" s="238">
        <v>23</v>
      </c>
      <c r="D15545" s="270">
        <f t="shared" si="2512"/>
        <v>45953</v>
      </c>
      <c r="E15545" s="279">
        <f t="shared" si="2513"/>
        <v>45953</v>
      </c>
      <c r="F15545" s="477" t="s">
        <v>347</v>
      </c>
      <c r="G15545" s="239" t="s">
        <v>94</v>
      </c>
      <c r="H15545" s="239"/>
      <c r="I15545" s="262" t="s">
        <v>348</v>
      </c>
      <c r="J15545" s="240" t="s">
        <v>108</v>
      </c>
      <c r="K15545" s="241">
        <v>1087390.1085000336</v>
      </c>
      <c r="L15545" s="241"/>
      <c r="M15545" s="160">
        <v>13139541.900000483</v>
      </c>
    </row>
    <row r="15546" spans="1:13" x14ac:dyDescent="0.2">
      <c r="A15546" s="242">
        <v>2025</v>
      </c>
      <c r="B15546" s="242">
        <v>10</v>
      </c>
      <c r="C15546" s="242">
        <v>23</v>
      </c>
      <c r="D15546" s="270">
        <f t="shared" si="2512"/>
        <v>45953</v>
      </c>
      <c r="E15546" s="279">
        <f t="shared" si="2513"/>
        <v>45953</v>
      </c>
      <c r="F15546" s="478"/>
      <c r="G15546" s="243" t="s">
        <v>94</v>
      </c>
      <c r="H15546" s="243"/>
      <c r="I15546" s="263" t="s">
        <v>348</v>
      </c>
      <c r="J15546" s="244" t="s">
        <v>82</v>
      </c>
      <c r="K15546" s="245"/>
      <c r="L15546" s="245">
        <f>K15545</f>
        <v>1087390.1085000336</v>
      </c>
    </row>
    <row r="15547" spans="1:13" ht="12" customHeight="1" x14ac:dyDescent="0.2">
      <c r="A15547" s="246">
        <v>2025</v>
      </c>
      <c r="B15547" s="238">
        <v>10</v>
      </c>
      <c r="C15547" s="238">
        <v>23</v>
      </c>
      <c r="D15547" s="270">
        <f t="shared" si="2512"/>
        <v>45953</v>
      </c>
      <c r="E15547" s="279">
        <f t="shared" si="2513"/>
        <v>45953</v>
      </c>
      <c r="F15547" s="482" t="s">
        <v>148</v>
      </c>
      <c r="G15547" s="247" t="s">
        <v>94</v>
      </c>
      <c r="H15547" s="247"/>
      <c r="I15547" s="248" t="s">
        <v>348</v>
      </c>
      <c r="J15547" s="249" t="s">
        <v>95</v>
      </c>
      <c r="K15547" s="250">
        <v>2747.2527472527472</v>
      </c>
      <c r="L15547" s="241"/>
      <c r="M15547" s="176"/>
    </row>
    <row r="15548" spans="1:13" x14ac:dyDescent="0.2">
      <c r="A15548" s="242">
        <v>2025</v>
      </c>
      <c r="B15548" s="242">
        <v>10</v>
      </c>
      <c r="C15548" s="242">
        <v>23</v>
      </c>
      <c r="D15548" s="270">
        <f t="shared" si="2512"/>
        <v>45953</v>
      </c>
      <c r="E15548" s="279">
        <f t="shared" si="2513"/>
        <v>45953</v>
      </c>
      <c r="F15548" s="478"/>
      <c r="G15548" s="243" t="s">
        <v>94</v>
      </c>
      <c r="H15548" s="243"/>
      <c r="I15548" s="263" t="s">
        <v>348</v>
      </c>
      <c r="J15548" s="244" t="s">
        <v>63</v>
      </c>
      <c r="K15548" s="245"/>
      <c r="L15548" s="245">
        <f>K15547</f>
        <v>2747.2527472527472</v>
      </c>
    </row>
    <row r="15549" spans="1:13" x14ac:dyDescent="0.2">
      <c r="A15549" s="246">
        <v>2025</v>
      </c>
      <c r="B15549" s="238">
        <v>10</v>
      </c>
      <c r="C15549" s="238">
        <v>23</v>
      </c>
      <c r="D15549" s="270">
        <f t="shared" si="2512"/>
        <v>45953</v>
      </c>
      <c r="E15549" s="279">
        <f t="shared" si="2513"/>
        <v>45953</v>
      </c>
      <c r="F15549" s="482" t="s">
        <v>137</v>
      </c>
      <c r="G15549" s="247" t="s">
        <v>94</v>
      </c>
      <c r="H15549" s="247"/>
      <c r="I15549" s="248" t="s">
        <v>348</v>
      </c>
      <c r="J15549" s="249" t="s">
        <v>97</v>
      </c>
      <c r="K15549" s="250">
        <f>M15549</f>
        <v>89089.988245106157</v>
      </c>
      <c r="L15549" s="252"/>
      <c r="M15549" s="133">
        <v>89089.988245106157</v>
      </c>
    </row>
    <row r="15550" spans="1:13" x14ac:dyDescent="0.2">
      <c r="A15550" s="242">
        <v>2025</v>
      </c>
      <c r="B15550" s="242">
        <v>10</v>
      </c>
      <c r="C15550" s="242">
        <v>23</v>
      </c>
      <c r="D15550" s="270">
        <f t="shared" si="2512"/>
        <v>45953</v>
      </c>
      <c r="E15550" s="279">
        <f t="shared" si="2513"/>
        <v>45953</v>
      </c>
      <c r="F15550" s="478"/>
      <c r="G15550" s="243" t="s">
        <v>94</v>
      </c>
      <c r="H15550" s="243"/>
      <c r="I15550" s="263" t="s">
        <v>348</v>
      </c>
      <c r="J15550" s="244" t="s">
        <v>47</v>
      </c>
      <c r="K15550" s="245"/>
      <c r="L15550" s="245">
        <f>K15549</f>
        <v>89089.988245106157</v>
      </c>
      <c r="M15550" s="133">
        <v>4214.1147968706919</v>
      </c>
    </row>
    <row r="15551" spans="1:13" x14ac:dyDescent="0.2">
      <c r="A15551" s="246">
        <v>2025</v>
      </c>
      <c r="B15551" s="238">
        <v>10</v>
      </c>
      <c r="C15551" s="238">
        <v>23</v>
      </c>
      <c r="D15551" s="270">
        <f t="shared" si="2512"/>
        <v>45953</v>
      </c>
      <c r="E15551" s="279">
        <f t="shared" si="2513"/>
        <v>45953</v>
      </c>
      <c r="F15551" s="482" t="s">
        <v>138</v>
      </c>
      <c r="G15551" s="247" t="s">
        <v>94</v>
      </c>
      <c r="H15551" s="247"/>
      <c r="I15551" s="248" t="s">
        <v>348</v>
      </c>
      <c r="J15551" s="249" t="s">
        <v>100</v>
      </c>
      <c r="K15551" s="250">
        <f>M15550</f>
        <v>4214.1147968706919</v>
      </c>
      <c r="L15551" s="252"/>
    </row>
    <row r="15552" spans="1:13" x14ac:dyDescent="0.2">
      <c r="A15552" s="242">
        <v>2025</v>
      </c>
      <c r="B15552" s="242">
        <v>10</v>
      </c>
      <c r="C15552" s="242">
        <v>23</v>
      </c>
      <c r="D15552" s="321">
        <f t="shared" si="2512"/>
        <v>45953</v>
      </c>
      <c r="E15552" s="322">
        <f t="shared" si="2513"/>
        <v>45953</v>
      </c>
      <c r="F15552" s="478"/>
      <c r="G15552" s="243" t="s">
        <v>94</v>
      </c>
      <c r="H15552" s="243"/>
      <c r="I15552" s="263" t="s">
        <v>348</v>
      </c>
      <c r="J15552" s="244" t="s">
        <v>48</v>
      </c>
      <c r="K15552" s="245"/>
      <c r="L15552" s="245">
        <f>K15551</f>
        <v>4214.1147968706919</v>
      </c>
    </row>
    <row r="15553" spans="1:14" ht="11.25" customHeight="1" x14ac:dyDescent="0.2">
      <c r="A15553" s="168">
        <v>2025</v>
      </c>
      <c r="B15553" s="168">
        <v>10</v>
      </c>
      <c r="C15553" s="133">
        <v>26</v>
      </c>
      <c r="D15553" s="141">
        <f t="shared" si="2512"/>
        <v>45956</v>
      </c>
      <c r="E15553" s="275">
        <f t="shared" si="2513"/>
        <v>45956</v>
      </c>
      <c r="F15553" s="479" t="s">
        <v>1319</v>
      </c>
      <c r="G15553" s="220" t="s">
        <v>74</v>
      </c>
      <c r="H15553" s="142"/>
      <c r="I15553" s="142"/>
      <c r="J15553" s="168" t="s">
        <v>52</v>
      </c>
      <c r="K15553" s="226">
        <v>46000</v>
      </c>
      <c r="L15553" s="226"/>
    </row>
    <row r="15554" spans="1:14" ht="11.25" customHeight="1" x14ac:dyDescent="0.2">
      <c r="A15554" s="133">
        <v>2025</v>
      </c>
      <c r="B15554" s="133">
        <v>10</v>
      </c>
      <c r="C15554" s="133">
        <v>26</v>
      </c>
      <c r="D15554" s="141">
        <f t="shared" si="2512"/>
        <v>45956</v>
      </c>
      <c r="E15554" s="275">
        <f t="shared" si="2513"/>
        <v>45956</v>
      </c>
      <c r="F15554" s="481"/>
      <c r="G15554" s="174" t="s">
        <v>74</v>
      </c>
      <c r="J15554" s="133" t="s">
        <v>13</v>
      </c>
      <c r="K15554" s="218"/>
      <c r="L15554" s="218">
        <v>32120</v>
      </c>
    </row>
    <row r="15555" spans="1:14" ht="11.25" customHeight="1" x14ac:dyDescent="0.2">
      <c r="A15555" s="163">
        <v>2025</v>
      </c>
      <c r="B15555" s="163">
        <v>10</v>
      </c>
      <c r="C15555" s="163">
        <v>26</v>
      </c>
      <c r="D15555" s="280">
        <f t="shared" si="2512"/>
        <v>45956</v>
      </c>
      <c r="E15555" s="281">
        <f t="shared" si="2513"/>
        <v>45956</v>
      </c>
      <c r="F15555" s="480"/>
      <c r="G15555" s="221" t="s">
        <v>74</v>
      </c>
      <c r="H15555" s="145"/>
      <c r="I15555" s="145"/>
      <c r="J15555" s="163" t="s">
        <v>53</v>
      </c>
      <c r="K15555" s="219"/>
      <c r="L15555" s="219">
        <v>13880</v>
      </c>
    </row>
    <row r="15556" spans="1:14" ht="11.25" customHeight="1" x14ac:dyDescent="0.2">
      <c r="A15556" s="168">
        <v>2025</v>
      </c>
      <c r="B15556" s="168">
        <v>10</v>
      </c>
      <c r="C15556" s="133">
        <v>26</v>
      </c>
      <c r="D15556" s="141">
        <f t="shared" si="2512"/>
        <v>45956</v>
      </c>
      <c r="E15556" s="275">
        <f t="shared" si="2513"/>
        <v>45956</v>
      </c>
      <c r="F15556" s="479" t="s">
        <v>2113</v>
      </c>
      <c r="G15556" s="220" t="s">
        <v>94</v>
      </c>
      <c r="H15556" s="220"/>
      <c r="I15556" s="142"/>
      <c r="J15556" s="143" t="s">
        <v>79</v>
      </c>
      <c r="K15556" s="226">
        <v>2077494.4</v>
      </c>
      <c r="L15556" s="226"/>
      <c r="M15556" s="160"/>
    </row>
    <row r="15557" spans="1:14" x14ac:dyDescent="0.2">
      <c r="A15557" s="133">
        <v>2025</v>
      </c>
      <c r="B15557" s="133">
        <v>10</v>
      </c>
      <c r="C15557" s="133">
        <v>26</v>
      </c>
      <c r="D15557" s="141">
        <f t="shared" si="2512"/>
        <v>45956</v>
      </c>
      <c r="E15557" s="275">
        <f t="shared" si="2513"/>
        <v>45956</v>
      </c>
      <c r="F15557" s="481"/>
      <c r="G15557" s="174" t="s">
        <v>94</v>
      </c>
      <c r="H15557" s="174"/>
      <c r="J15557" s="149" t="s">
        <v>80</v>
      </c>
      <c r="K15557" s="218">
        <v>3739.49</v>
      </c>
      <c r="L15557" s="133"/>
    </row>
    <row r="15558" spans="1:14" x14ac:dyDescent="0.2">
      <c r="A15558" s="163">
        <v>2025</v>
      </c>
      <c r="B15558" s="163">
        <v>10</v>
      </c>
      <c r="C15558" s="163">
        <v>26</v>
      </c>
      <c r="D15558" s="280">
        <f t="shared" si="2512"/>
        <v>45956</v>
      </c>
      <c r="E15558" s="281">
        <f t="shared" si="2513"/>
        <v>45956</v>
      </c>
      <c r="F15558" s="480"/>
      <c r="G15558" s="221" t="s">
        <v>94</v>
      </c>
      <c r="H15558" s="221"/>
      <c r="I15558" s="145"/>
      <c r="J15558" s="146" t="s">
        <v>147</v>
      </c>
      <c r="K15558" s="219"/>
      <c r="L15558" s="219">
        <v>2081233.89</v>
      </c>
    </row>
    <row r="15559" spans="1:14" ht="11.25" customHeight="1" x14ac:dyDescent="0.2">
      <c r="A15559" s="168">
        <v>2025</v>
      </c>
      <c r="B15559" s="168">
        <v>10</v>
      </c>
      <c r="C15559" s="133">
        <v>27</v>
      </c>
      <c r="D15559" s="141">
        <f t="shared" ref="D15559:D15561" si="2514">DATE(A15559,B15559,C15559)</f>
        <v>45957</v>
      </c>
      <c r="E15559" s="275">
        <f t="shared" ref="E15559:E15561" si="2515">DATE(A15559,B15559,C15559)</f>
        <v>45957</v>
      </c>
      <c r="F15559" s="479" t="s">
        <v>2113</v>
      </c>
      <c r="G15559" s="220" t="s">
        <v>94</v>
      </c>
      <c r="H15559" s="220"/>
      <c r="I15559" s="142"/>
      <c r="J15559" s="143" t="s">
        <v>79</v>
      </c>
      <c r="K15559" s="226">
        <v>1591965</v>
      </c>
      <c r="L15559" s="226"/>
      <c r="M15559" s="160"/>
    </row>
    <row r="15560" spans="1:14" x14ac:dyDescent="0.2">
      <c r="A15560" s="133">
        <v>2025</v>
      </c>
      <c r="B15560" s="133">
        <v>10</v>
      </c>
      <c r="C15560" s="133">
        <v>27</v>
      </c>
      <c r="D15560" s="141">
        <f t="shared" si="2514"/>
        <v>45957</v>
      </c>
      <c r="E15560" s="275">
        <f t="shared" si="2515"/>
        <v>45957</v>
      </c>
      <c r="F15560" s="481"/>
      <c r="G15560" s="174" t="s">
        <v>94</v>
      </c>
      <c r="H15560" s="174"/>
      <c r="J15560" s="149" t="s">
        <v>80</v>
      </c>
      <c r="K15560" s="218">
        <v>2865.54</v>
      </c>
      <c r="L15560" s="133"/>
    </row>
    <row r="15561" spans="1:14" x14ac:dyDescent="0.2">
      <c r="A15561" s="163">
        <v>2025</v>
      </c>
      <c r="B15561" s="163">
        <v>10</v>
      </c>
      <c r="C15561" s="163">
        <v>27</v>
      </c>
      <c r="D15561" s="280">
        <f t="shared" si="2514"/>
        <v>45957</v>
      </c>
      <c r="E15561" s="281">
        <f t="shared" si="2515"/>
        <v>45957</v>
      </c>
      <c r="F15561" s="480"/>
      <c r="G15561" s="221" t="s">
        <v>94</v>
      </c>
      <c r="H15561" s="221"/>
      <c r="I15561" s="145"/>
      <c r="J15561" s="146" t="s">
        <v>147</v>
      </c>
      <c r="K15561" s="219"/>
      <c r="L15561" s="219">
        <v>1594830.54</v>
      </c>
    </row>
    <row r="15562" spans="1:14" ht="11.25" customHeight="1" x14ac:dyDescent="0.2">
      <c r="A15562" s="168">
        <v>2025</v>
      </c>
      <c r="B15562" s="168">
        <v>10</v>
      </c>
      <c r="C15562" s="133">
        <v>27</v>
      </c>
      <c r="D15562" s="141">
        <f t="shared" ref="D15562:D15584" si="2516">DATE(A15562,B15562,C15562)</f>
        <v>45957</v>
      </c>
      <c r="E15562" s="275">
        <f t="shared" ref="E15562:E15584" si="2517">DATE(A15562,B15562,C15562)</f>
        <v>45957</v>
      </c>
      <c r="F15562" s="479" t="s">
        <v>2108</v>
      </c>
      <c r="G15562" s="220" t="s">
        <v>94</v>
      </c>
      <c r="H15562" s="220"/>
      <c r="I15562" s="142"/>
      <c r="J15562" s="143" t="s">
        <v>79</v>
      </c>
      <c r="K15562" s="226">
        <v>796000</v>
      </c>
      <c r="L15562" s="226"/>
      <c r="M15562" s="160"/>
    </row>
    <row r="15563" spans="1:14" x14ac:dyDescent="0.2">
      <c r="A15563" s="133">
        <v>2025</v>
      </c>
      <c r="B15563" s="133">
        <v>10</v>
      </c>
      <c r="C15563" s="133">
        <v>27</v>
      </c>
      <c r="D15563" s="141">
        <f t="shared" si="2516"/>
        <v>45957</v>
      </c>
      <c r="E15563" s="275">
        <f t="shared" si="2517"/>
        <v>45957</v>
      </c>
      <c r="F15563" s="481"/>
      <c r="G15563" s="174" t="s">
        <v>94</v>
      </c>
      <c r="H15563" s="174"/>
      <c r="J15563" s="149" t="s">
        <v>80</v>
      </c>
      <c r="K15563" s="218">
        <v>1432.8</v>
      </c>
      <c r="L15563" s="133"/>
    </row>
    <row r="15564" spans="1:14" x14ac:dyDescent="0.2">
      <c r="A15564" s="163">
        <v>2025</v>
      </c>
      <c r="B15564" s="163">
        <v>10</v>
      </c>
      <c r="C15564" s="163">
        <v>27</v>
      </c>
      <c r="D15564" s="280">
        <f t="shared" si="2516"/>
        <v>45957</v>
      </c>
      <c r="E15564" s="281">
        <f t="shared" si="2517"/>
        <v>45957</v>
      </c>
      <c r="F15564" s="480"/>
      <c r="G15564" s="221" t="s">
        <v>94</v>
      </c>
      <c r="H15564" s="221"/>
      <c r="I15564" s="145"/>
      <c r="J15564" s="146" t="s">
        <v>147</v>
      </c>
      <c r="K15564" s="219"/>
      <c r="L15564" s="219">
        <v>797432.8</v>
      </c>
    </row>
    <row r="15565" spans="1:14" x14ac:dyDescent="0.2">
      <c r="A15565" s="168">
        <v>2025</v>
      </c>
      <c r="B15565" s="133">
        <v>10</v>
      </c>
      <c r="C15565" s="133">
        <v>27</v>
      </c>
      <c r="D15565" s="141">
        <f t="shared" si="2516"/>
        <v>45957</v>
      </c>
      <c r="E15565" s="275">
        <f t="shared" si="2517"/>
        <v>45957</v>
      </c>
      <c r="F15565" s="479" t="s">
        <v>2130</v>
      </c>
      <c r="G15565" s="220" t="s">
        <v>74</v>
      </c>
      <c r="H15565" s="220"/>
      <c r="I15565" s="142" t="s">
        <v>348</v>
      </c>
      <c r="J15565" s="143" t="s">
        <v>79</v>
      </c>
      <c r="K15565" s="226">
        <v>15010000</v>
      </c>
      <c r="L15565" s="226"/>
    </row>
    <row r="15566" spans="1:14" x14ac:dyDescent="0.2">
      <c r="A15566" s="163">
        <v>2025</v>
      </c>
      <c r="B15566" s="163">
        <v>10</v>
      </c>
      <c r="C15566" s="163">
        <v>27</v>
      </c>
      <c r="D15566" s="280">
        <f t="shared" si="2516"/>
        <v>45957</v>
      </c>
      <c r="E15566" s="281">
        <f t="shared" si="2517"/>
        <v>45957</v>
      </c>
      <c r="F15566" s="480"/>
      <c r="G15566" s="221" t="s">
        <v>74</v>
      </c>
      <c r="H15566" s="221"/>
      <c r="I15566" s="145" t="s">
        <v>348</v>
      </c>
      <c r="J15566" s="146" t="s">
        <v>184</v>
      </c>
      <c r="K15566" s="219"/>
      <c r="L15566" s="219">
        <v>15010000</v>
      </c>
    </row>
    <row r="15567" spans="1:14" x14ac:dyDescent="0.2">
      <c r="A15567" s="133">
        <v>2025</v>
      </c>
      <c r="B15567" s="133">
        <v>10</v>
      </c>
      <c r="C15567" s="133">
        <v>28</v>
      </c>
      <c r="D15567" s="141">
        <f t="shared" si="2516"/>
        <v>45958</v>
      </c>
      <c r="E15567" s="275">
        <f t="shared" si="2517"/>
        <v>45958</v>
      </c>
      <c r="F15567" s="481" t="s">
        <v>2115</v>
      </c>
      <c r="G15567" s="174" t="s">
        <v>94</v>
      </c>
      <c r="H15567" s="174"/>
      <c r="J15567" s="149" t="s">
        <v>79</v>
      </c>
      <c r="K15567" s="218">
        <v>801014.7</v>
      </c>
      <c r="L15567" s="218"/>
      <c r="M15567" s="160"/>
    </row>
    <row r="15568" spans="1:14" x14ac:dyDescent="0.2">
      <c r="A15568" s="133">
        <v>2025</v>
      </c>
      <c r="B15568" s="133">
        <v>10</v>
      </c>
      <c r="C15568" s="133">
        <v>28</v>
      </c>
      <c r="D15568" s="141">
        <f t="shared" si="2516"/>
        <v>45958</v>
      </c>
      <c r="E15568" s="275">
        <f t="shared" si="2517"/>
        <v>45958</v>
      </c>
      <c r="F15568" s="481"/>
      <c r="G15568" s="174" t="s">
        <v>94</v>
      </c>
      <c r="H15568" s="174"/>
      <c r="J15568" s="149" t="s">
        <v>80</v>
      </c>
      <c r="K15568" s="218">
        <v>5771.22</v>
      </c>
      <c r="L15568" s="264"/>
      <c r="M15568" s="264"/>
      <c r="N15568" s="264"/>
    </row>
    <row r="15569" spans="1:14" x14ac:dyDescent="0.2">
      <c r="A15569" s="133">
        <v>2025</v>
      </c>
      <c r="B15569" s="133">
        <v>10</v>
      </c>
      <c r="C15569" s="133">
        <v>28</v>
      </c>
      <c r="D15569" s="141">
        <f t="shared" si="2516"/>
        <v>45958</v>
      </c>
      <c r="E15569" s="275">
        <f t="shared" si="2517"/>
        <v>45958</v>
      </c>
      <c r="F15569" s="481"/>
      <c r="G15569" s="174" t="s">
        <v>94</v>
      </c>
      <c r="H15569" s="174"/>
      <c r="J15569" s="149" t="s">
        <v>190</v>
      </c>
      <c r="K15569" s="218">
        <v>1598428.09</v>
      </c>
      <c r="L15569" s="218"/>
      <c r="M15569" s="264"/>
    </row>
    <row r="15570" spans="1:14" x14ac:dyDescent="0.2">
      <c r="A15570" s="133">
        <v>2025</v>
      </c>
      <c r="B15570" s="133">
        <v>10</v>
      </c>
      <c r="C15570" s="133">
        <v>28</v>
      </c>
      <c r="D15570" s="141">
        <f t="shared" si="2516"/>
        <v>45958</v>
      </c>
      <c r="E15570" s="275">
        <f t="shared" si="2517"/>
        <v>45958</v>
      </c>
      <c r="F15570" s="481"/>
      <c r="G15570" s="174" t="s">
        <v>94</v>
      </c>
      <c r="H15570" s="174"/>
      <c r="J15570" s="149" t="s">
        <v>191</v>
      </c>
      <c r="K15570" s="218">
        <v>80494.679999999993</v>
      </c>
      <c r="L15570" s="218"/>
    </row>
    <row r="15571" spans="1:14" x14ac:dyDescent="0.2">
      <c r="A15571" s="163">
        <v>2025</v>
      </c>
      <c r="B15571" s="163">
        <v>10</v>
      </c>
      <c r="C15571" s="163">
        <v>28</v>
      </c>
      <c r="D15571" s="280">
        <f t="shared" si="2516"/>
        <v>45958</v>
      </c>
      <c r="E15571" s="281">
        <f t="shared" si="2517"/>
        <v>45958</v>
      </c>
      <c r="F15571" s="480"/>
      <c r="G15571" s="221" t="s">
        <v>94</v>
      </c>
      <c r="H15571" s="145"/>
      <c r="I15571" s="145"/>
      <c r="J15571" s="163" t="s">
        <v>79</v>
      </c>
      <c r="K15571" s="219"/>
      <c r="L15571" s="219">
        <v>2485708.6800000002</v>
      </c>
      <c r="M15571" s="264"/>
    </row>
    <row r="15572" spans="1:14" ht="11.25" customHeight="1" x14ac:dyDescent="0.2">
      <c r="A15572" s="168">
        <v>2025</v>
      </c>
      <c r="B15572" s="168">
        <v>10</v>
      </c>
      <c r="C15572" s="133">
        <v>28</v>
      </c>
      <c r="D15572" s="141">
        <f t="shared" ref="D15572:D15574" si="2518">DATE(A15572,B15572,C15572)</f>
        <v>45958</v>
      </c>
      <c r="E15572" s="275">
        <f t="shared" ref="E15572:E15574" si="2519">DATE(A15572,B15572,C15572)</f>
        <v>45958</v>
      </c>
      <c r="F15572" s="479" t="s">
        <v>2108</v>
      </c>
      <c r="G15572" s="220" t="s">
        <v>94</v>
      </c>
      <c r="H15572" s="220"/>
      <c r="I15572" s="142"/>
      <c r="J15572" s="143" t="s">
        <v>79</v>
      </c>
      <c r="K15572" s="226">
        <v>650500</v>
      </c>
      <c r="L15572" s="226"/>
      <c r="M15572" s="160"/>
    </row>
    <row r="15573" spans="1:14" x14ac:dyDescent="0.2">
      <c r="A15573" s="133">
        <v>2025</v>
      </c>
      <c r="B15573" s="133">
        <v>10</v>
      </c>
      <c r="C15573" s="133">
        <v>28</v>
      </c>
      <c r="D15573" s="141">
        <f t="shared" si="2518"/>
        <v>45958</v>
      </c>
      <c r="E15573" s="275">
        <f t="shared" si="2519"/>
        <v>45958</v>
      </c>
      <c r="F15573" s="481"/>
      <c r="G15573" s="174" t="s">
        <v>94</v>
      </c>
      <c r="H15573" s="174"/>
      <c r="J15573" s="149" t="s">
        <v>80</v>
      </c>
      <c r="K15573" s="218">
        <v>1170.9000000000001</v>
      </c>
      <c r="L15573" s="133"/>
    </row>
    <row r="15574" spans="1:14" x14ac:dyDescent="0.2">
      <c r="A15574" s="163">
        <v>2025</v>
      </c>
      <c r="B15574" s="163">
        <v>10</v>
      </c>
      <c r="C15574" s="163">
        <v>28</v>
      </c>
      <c r="D15574" s="280">
        <f t="shared" si="2518"/>
        <v>45958</v>
      </c>
      <c r="E15574" s="281">
        <f t="shared" si="2519"/>
        <v>45958</v>
      </c>
      <c r="F15574" s="480"/>
      <c r="G15574" s="221" t="s">
        <v>94</v>
      </c>
      <c r="H15574" s="221"/>
      <c r="I15574" s="145"/>
      <c r="J15574" s="146" t="s">
        <v>147</v>
      </c>
      <c r="K15574" s="219"/>
      <c r="L15574" s="219">
        <v>651670.9</v>
      </c>
    </row>
    <row r="15575" spans="1:14" x14ac:dyDescent="0.2">
      <c r="A15575" s="168">
        <v>2025</v>
      </c>
      <c r="B15575" s="168">
        <v>10</v>
      </c>
      <c r="C15575" s="133">
        <v>29</v>
      </c>
      <c r="D15575" s="141">
        <f t="shared" si="2516"/>
        <v>45959</v>
      </c>
      <c r="E15575" s="275">
        <f t="shared" si="2517"/>
        <v>45959</v>
      </c>
      <c r="F15575" s="479" t="s">
        <v>275</v>
      </c>
      <c r="G15575" s="174" t="s">
        <v>74</v>
      </c>
      <c r="H15575" s="174"/>
      <c r="I15575" s="148" t="s">
        <v>348</v>
      </c>
      <c r="J15575" s="149" t="s">
        <v>163</v>
      </c>
      <c r="K15575" s="218">
        <v>1575</v>
      </c>
      <c r="L15575" s="218"/>
    </row>
    <row r="15576" spans="1:14" x14ac:dyDescent="0.2">
      <c r="A15576" s="133">
        <v>2025</v>
      </c>
      <c r="B15576" s="133">
        <v>10</v>
      </c>
      <c r="C15576" s="133">
        <v>29</v>
      </c>
      <c r="D15576" s="141">
        <f t="shared" si="2516"/>
        <v>45959</v>
      </c>
      <c r="E15576" s="275">
        <f t="shared" si="2517"/>
        <v>45959</v>
      </c>
      <c r="F15576" s="481"/>
      <c r="G15576" s="174" t="s">
        <v>74</v>
      </c>
      <c r="H15576" s="174"/>
      <c r="J15576" s="149" t="s">
        <v>1907</v>
      </c>
      <c r="K15576" s="218"/>
      <c r="L15576" s="218">
        <v>75</v>
      </c>
    </row>
    <row r="15577" spans="1:14" x14ac:dyDescent="0.2">
      <c r="A15577" s="163">
        <v>2025</v>
      </c>
      <c r="B15577" s="163">
        <v>10</v>
      </c>
      <c r="C15577" s="163">
        <v>29</v>
      </c>
      <c r="D15577" s="280">
        <f t="shared" si="2516"/>
        <v>45959</v>
      </c>
      <c r="E15577" s="281">
        <f t="shared" si="2517"/>
        <v>45959</v>
      </c>
      <c r="F15577" s="480"/>
      <c r="G15577" s="221" t="s">
        <v>74</v>
      </c>
      <c r="H15577" s="221"/>
      <c r="I15577" s="145"/>
      <c r="J15577" s="146" t="s">
        <v>52</v>
      </c>
      <c r="K15577" s="219"/>
      <c r="L15577" s="219">
        <v>1500</v>
      </c>
    </row>
    <row r="15578" spans="1:14" ht="11.25" customHeight="1" x14ac:dyDescent="0.2">
      <c r="A15578" s="168">
        <v>2025</v>
      </c>
      <c r="B15578" s="133">
        <v>10</v>
      </c>
      <c r="C15578" s="168">
        <v>29</v>
      </c>
      <c r="D15578" s="141">
        <f t="shared" si="2516"/>
        <v>45959</v>
      </c>
      <c r="E15578" s="275">
        <f t="shared" si="2517"/>
        <v>45959</v>
      </c>
      <c r="F15578" s="479" t="s">
        <v>2074</v>
      </c>
      <c r="G15578" s="220" t="s">
        <v>74</v>
      </c>
      <c r="H15578" s="220"/>
      <c r="I15578" s="142"/>
      <c r="J15578" s="143" t="s">
        <v>147</v>
      </c>
      <c r="K15578" s="226">
        <v>797432.8</v>
      </c>
      <c r="L15578" s="226"/>
    </row>
    <row r="15579" spans="1:14" x14ac:dyDescent="0.2">
      <c r="A15579" s="163">
        <v>2025</v>
      </c>
      <c r="B15579" s="163">
        <v>10</v>
      </c>
      <c r="C15579" s="163">
        <v>29</v>
      </c>
      <c r="D15579" s="280">
        <f t="shared" si="2516"/>
        <v>45959</v>
      </c>
      <c r="E15579" s="281">
        <f t="shared" si="2517"/>
        <v>45959</v>
      </c>
      <c r="F15579" s="480"/>
      <c r="G15579" s="221" t="s">
        <v>74</v>
      </c>
      <c r="H15579" s="221"/>
      <c r="I15579" s="145"/>
      <c r="J15579" s="146" t="s">
        <v>52</v>
      </c>
      <c r="K15579" s="219"/>
      <c r="L15579" s="219">
        <f>K15578</f>
        <v>797432.8</v>
      </c>
      <c r="N15579" s="264"/>
    </row>
    <row r="15580" spans="1:14" ht="11.25" customHeight="1" x14ac:dyDescent="0.2">
      <c r="A15580" s="168">
        <v>2025</v>
      </c>
      <c r="B15580" s="133">
        <v>10</v>
      </c>
      <c r="C15580" s="168">
        <v>29</v>
      </c>
      <c r="D15580" s="141">
        <f t="shared" si="2516"/>
        <v>45959</v>
      </c>
      <c r="E15580" s="275">
        <f t="shared" si="2517"/>
        <v>45959</v>
      </c>
      <c r="F15580" s="479" t="s">
        <v>2116</v>
      </c>
      <c r="G15580" s="220" t="s">
        <v>74</v>
      </c>
      <c r="H15580" s="220"/>
      <c r="I15580" s="142"/>
      <c r="J15580" s="143" t="s">
        <v>147</v>
      </c>
      <c r="K15580" s="226">
        <v>352888.06</v>
      </c>
      <c r="L15580" s="226"/>
    </row>
    <row r="15581" spans="1:14" ht="11.25" customHeight="1" x14ac:dyDescent="0.2">
      <c r="A15581" s="133">
        <v>2025</v>
      </c>
      <c r="B15581" s="133">
        <v>10</v>
      </c>
      <c r="C15581" s="133">
        <v>29</v>
      </c>
      <c r="D15581" s="141">
        <f t="shared" ref="D15581:D15583" si="2520">DATE(A15581,B15581,C15581)</f>
        <v>45959</v>
      </c>
      <c r="E15581" s="275">
        <f t="shared" ref="E15581:E15583" si="2521">DATE(A15581,B15581,C15581)</f>
        <v>45959</v>
      </c>
      <c r="F15581" s="481"/>
      <c r="G15581" s="174" t="s">
        <v>74</v>
      </c>
      <c r="H15581" s="174"/>
      <c r="J15581" s="149" t="s">
        <v>147</v>
      </c>
      <c r="K15581" s="218">
        <v>651958.61</v>
      </c>
      <c r="L15581" s="218"/>
    </row>
    <row r="15582" spans="1:14" ht="11.25" customHeight="1" x14ac:dyDescent="0.2">
      <c r="A15582" s="133">
        <v>2025</v>
      </c>
      <c r="B15582" s="133">
        <v>10</v>
      </c>
      <c r="C15582" s="133">
        <v>29</v>
      </c>
      <c r="D15582" s="141">
        <f t="shared" si="2520"/>
        <v>45959</v>
      </c>
      <c r="E15582" s="275">
        <f t="shared" si="2521"/>
        <v>45959</v>
      </c>
      <c r="F15582" s="481"/>
      <c r="G15582" s="174" t="s">
        <v>74</v>
      </c>
      <c r="H15582" s="174"/>
      <c r="J15582" s="149" t="s">
        <v>147</v>
      </c>
      <c r="K15582" s="218">
        <v>2081233.89</v>
      </c>
      <c r="L15582" s="218"/>
    </row>
    <row r="15583" spans="1:14" ht="11.25" customHeight="1" x14ac:dyDescent="0.2">
      <c r="A15583" s="133">
        <v>2025</v>
      </c>
      <c r="B15583" s="133">
        <v>10</v>
      </c>
      <c r="C15583" s="133">
        <v>29</v>
      </c>
      <c r="D15583" s="141">
        <f t="shared" si="2520"/>
        <v>45959</v>
      </c>
      <c r="E15583" s="275">
        <f t="shared" si="2521"/>
        <v>45959</v>
      </c>
      <c r="F15583" s="481"/>
      <c r="G15583" s="174" t="s">
        <v>74</v>
      </c>
      <c r="H15583" s="174"/>
      <c r="J15583" s="149" t="s">
        <v>147</v>
      </c>
      <c r="K15583" s="218">
        <v>1594830.54</v>
      </c>
      <c r="L15583" s="218"/>
    </row>
    <row r="15584" spans="1:14" x14ac:dyDescent="0.2">
      <c r="A15584" s="163">
        <v>2025</v>
      </c>
      <c r="B15584" s="163">
        <v>10</v>
      </c>
      <c r="C15584" s="163">
        <v>29</v>
      </c>
      <c r="D15584" s="280">
        <f t="shared" si="2516"/>
        <v>45959</v>
      </c>
      <c r="E15584" s="281">
        <f t="shared" si="2517"/>
        <v>45959</v>
      </c>
      <c r="F15584" s="480"/>
      <c r="G15584" s="221" t="s">
        <v>74</v>
      </c>
      <c r="H15584" s="221"/>
      <c r="I15584" s="145"/>
      <c r="J15584" s="146" t="s">
        <v>52</v>
      </c>
      <c r="K15584" s="219"/>
      <c r="L15584" s="219">
        <v>4680911.0999999996</v>
      </c>
      <c r="N15584" s="264"/>
    </row>
    <row r="15585" spans="1:17" ht="11.25" customHeight="1" x14ac:dyDescent="0.2">
      <c r="A15585" s="168">
        <v>2025</v>
      </c>
      <c r="B15585" s="133">
        <v>10</v>
      </c>
      <c r="C15585" s="168">
        <v>29</v>
      </c>
      <c r="D15585" s="141">
        <f t="shared" ref="D15585:D15592" si="2522">DATE(A15585,B15585,C15585)</f>
        <v>45959</v>
      </c>
      <c r="E15585" s="275">
        <f t="shared" ref="E15585:E15592" si="2523">DATE(A15585,B15585,C15585)</f>
        <v>45959</v>
      </c>
      <c r="F15585" s="479" t="s">
        <v>2074</v>
      </c>
      <c r="G15585" s="220" t="s">
        <v>74</v>
      </c>
      <c r="H15585" s="220"/>
      <c r="I15585" s="142"/>
      <c r="J15585" s="143" t="s">
        <v>147</v>
      </c>
      <c r="K15585" s="226">
        <v>651670.9</v>
      </c>
      <c r="L15585" s="226"/>
    </row>
    <row r="15586" spans="1:17" x14ac:dyDescent="0.2">
      <c r="A15586" s="163">
        <v>2025</v>
      </c>
      <c r="B15586" s="163">
        <v>10</v>
      </c>
      <c r="C15586" s="163">
        <v>29</v>
      </c>
      <c r="D15586" s="280">
        <f t="shared" si="2522"/>
        <v>45959</v>
      </c>
      <c r="E15586" s="281">
        <f t="shared" si="2523"/>
        <v>45959</v>
      </c>
      <c r="F15586" s="480"/>
      <c r="G15586" s="221" t="s">
        <v>74</v>
      </c>
      <c r="H15586" s="221"/>
      <c r="I15586" s="145"/>
      <c r="J15586" s="146" t="s">
        <v>52</v>
      </c>
      <c r="K15586" s="219"/>
      <c r="L15586" s="219">
        <f>K15585</f>
        <v>651670.9</v>
      </c>
      <c r="N15586" s="264"/>
    </row>
    <row r="15587" spans="1:17" x14ac:dyDescent="0.2">
      <c r="A15587" s="133">
        <v>2025</v>
      </c>
      <c r="B15587" s="133">
        <v>10</v>
      </c>
      <c r="C15587" s="168">
        <v>29</v>
      </c>
      <c r="D15587" s="141">
        <f t="shared" si="2522"/>
        <v>45959</v>
      </c>
      <c r="E15587" s="275">
        <f t="shared" si="2523"/>
        <v>45959</v>
      </c>
      <c r="F15587" s="481" t="s">
        <v>2100</v>
      </c>
      <c r="G15587" s="174" t="s">
        <v>74</v>
      </c>
      <c r="H15587" s="174"/>
      <c r="I15587" s="148" t="s">
        <v>348</v>
      </c>
      <c r="J15587" s="149" t="s">
        <v>52</v>
      </c>
      <c r="K15587" s="218">
        <v>11136252.75</v>
      </c>
      <c r="L15587" s="218"/>
      <c r="M15587" s="147"/>
      <c r="Q15587" s="133" t="s">
        <v>348</v>
      </c>
    </row>
    <row r="15588" spans="1:17" x14ac:dyDescent="0.2">
      <c r="A15588" s="133">
        <v>2025</v>
      </c>
      <c r="B15588" s="133">
        <v>10</v>
      </c>
      <c r="C15588" s="133">
        <v>29</v>
      </c>
      <c r="D15588" s="141">
        <f t="shared" si="2522"/>
        <v>45959</v>
      </c>
      <c r="E15588" s="275">
        <f t="shared" si="2523"/>
        <v>45959</v>
      </c>
      <c r="F15588" s="481"/>
      <c r="G15588" s="174" t="s">
        <v>74</v>
      </c>
      <c r="H15588" s="174"/>
      <c r="J15588" s="149" t="s">
        <v>191</v>
      </c>
      <c r="K15588" s="218"/>
      <c r="L15588" s="218">
        <v>1136252.75</v>
      </c>
    </row>
    <row r="15589" spans="1:17" x14ac:dyDescent="0.2">
      <c r="A15589" s="163">
        <v>2025</v>
      </c>
      <c r="B15589" s="163">
        <v>10</v>
      </c>
      <c r="C15589" s="163">
        <v>29</v>
      </c>
      <c r="D15589" s="280">
        <f t="shared" si="2522"/>
        <v>45959</v>
      </c>
      <c r="E15589" s="281">
        <f t="shared" si="2523"/>
        <v>45959</v>
      </c>
      <c r="F15589" s="480"/>
      <c r="G15589" s="221" t="s">
        <v>74</v>
      </c>
      <c r="H15589" s="221"/>
      <c r="I15589" s="145" t="s">
        <v>348</v>
      </c>
      <c r="J15589" s="146" t="s">
        <v>79</v>
      </c>
      <c r="K15589" s="219"/>
      <c r="L15589" s="219">
        <v>10000000</v>
      </c>
      <c r="M15589" s="147"/>
      <c r="Q15589" s="133" t="s">
        <v>348</v>
      </c>
    </row>
    <row r="15590" spans="1:17" ht="11.25" customHeight="1" x14ac:dyDescent="0.2">
      <c r="A15590" s="168">
        <v>2025</v>
      </c>
      <c r="B15590" s="168">
        <v>10</v>
      </c>
      <c r="C15590" s="168">
        <v>29</v>
      </c>
      <c r="D15590" s="141">
        <f t="shared" si="2522"/>
        <v>45959</v>
      </c>
      <c r="E15590" s="275">
        <f t="shared" si="2523"/>
        <v>45959</v>
      </c>
      <c r="F15590" s="479" t="s">
        <v>2113</v>
      </c>
      <c r="G15590" s="220" t="s">
        <v>94</v>
      </c>
      <c r="H15590" s="220"/>
      <c r="I15590" s="142"/>
      <c r="J15590" s="143" t="s">
        <v>79</v>
      </c>
      <c r="K15590" s="226">
        <v>1957200</v>
      </c>
      <c r="L15590" s="226"/>
      <c r="M15590" s="160"/>
    </row>
    <row r="15591" spans="1:17" x14ac:dyDescent="0.2">
      <c r="A15591" s="133">
        <v>2025</v>
      </c>
      <c r="B15591" s="133">
        <v>10</v>
      </c>
      <c r="C15591" s="133">
        <v>29</v>
      </c>
      <c r="D15591" s="141">
        <f t="shared" si="2522"/>
        <v>45959</v>
      </c>
      <c r="E15591" s="275">
        <f t="shared" si="2523"/>
        <v>45959</v>
      </c>
      <c r="F15591" s="481"/>
      <c r="G15591" s="174" t="s">
        <v>94</v>
      </c>
      <c r="H15591" s="174"/>
      <c r="J15591" s="149" t="s">
        <v>80</v>
      </c>
      <c r="K15591" s="218">
        <v>3522.96</v>
      </c>
      <c r="L15591" s="133"/>
    </row>
    <row r="15592" spans="1:17" x14ac:dyDescent="0.2">
      <c r="A15592" s="163">
        <v>2025</v>
      </c>
      <c r="B15592" s="163">
        <v>10</v>
      </c>
      <c r="C15592" s="163">
        <v>29</v>
      </c>
      <c r="D15592" s="280">
        <f t="shared" si="2522"/>
        <v>45959</v>
      </c>
      <c r="E15592" s="281">
        <f t="shared" si="2523"/>
        <v>45959</v>
      </c>
      <c r="F15592" s="480"/>
      <c r="G15592" s="221" t="s">
        <v>94</v>
      </c>
      <c r="H15592" s="221"/>
      <c r="I15592" s="145"/>
      <c r="J15592" s="146" t="s">
        <v>147</v>
      </c>
      <c r="K15592" s="219"/>
      <c r="L15592" s="219">
        <v>1960722.96</v>
      </c>
    </row>
    <row r="15593" spans="1:17" x14ac:dyDescent="0.2">
      <c r="A15593" s="168">
        <v>2025</v>
      </c>
      <c r="B15593" s="133">
        <v>10</v>
      </c>
      <c r="C15593" s="168">
        <v>29</v>
      </c>
      <c r="D15593" s="147">
        <f>DATE(A15593,B15593,C15593)</f>
        <v>45959</v>
      </c>
      <c r="E15593" s="311">
        <f>DATE(A15593,B15593,C15593)</f>
        <v>45959</v>
      </c>
      <c r="F15593" s="481" t="s">
        <v>1943</v>
      </c>
      <c r="G15593" s="174" t="s">
        <v>74</v>
      </c>
      <c r="I15593" s="148" t="s">
        <v>348</v>
      </c>
      <c r="J15593" s="133" t="s">
        <v>61</v>
      </c>
      <c r="K15593" s="172">
        <v>100</v>
      </c>
    </row>
    <row r="15594" spans="1:17" x14ac:dyDescent="0.2">
      <c r="A15594" s="163">
        <v>2025</v>
      </c>
      <c r="B15594" s="163">
        <v>10</v>
      </c>
      <c r="C15594" s="163">
        <v>29</v>
      </c>
      <c r="D15594" s="280">
        <f>DATE(A15594,B15594,C15594)</f>
        <v>45959</v>
      </c>
      <c r="E15594" s="281">
        <f>DATE(A15594,B15594,C15594)</f>
        <v>45959</v>
      </c>
      <c r="F15594" s="480"/>
      <c r="G15594" s="221" t="s">
        <v>74</v>
      </c>
      <c r="H15594" s="145"/>
      <c r="I15594" s="145" t="s">
        <v>348</v>
      </c>
      <c r="J15594" s="163" t="s">
        <v>52</v>
      </c>
      <c r="K15594" s="219"/>
      <c r="L15594" s="219">
        <f>K15593</f>
        <v>100</v>
      </c>
    </row>
    <row r="15595" spans="1:17" ht="11.25" customHeight="1" x14ac:dyDescent="0.2">
      <c r="A15595" s="168">
        <v>2025</v>
      </c>
      <c r="B15595" s="133">
        <v>10</v>
      </c>
      <c r="C15595" s="168">
        <v>30</v>
      </c>
      <c r="D15595" s="141">
        <f t="shared" ref="D15595:D15607" si="2524">DATE(A15595,B15595,C15595)</f>
        <v>45960</v>
      </c>
      <c r="E15595" s="275">
        <f t="shared" ref="E15595:E15607" si="2525">DATE(A15595,B15595,C15595)</f>
        <v>45960</v>
      </c>
      <c r="F15595" s="479" t="s">
        <v>2121</v>
      </c>
      <c r="G15595" s="220" t="s">
        <v>74</v>
      </c>
      <c r="H15595" s="220"/>
      <c r="I15595" s="142"/>
      <c r="J15595" s="143" t="s">
        <v>52</v>
      </c>
      <c r="K15595" s="226">
        <v>298461.40999999997</v>
      </c>
      <c r="L15595" s="226"/>
    </row>
    <row r="15596" spans="1:17" x14ac:dyDescent="0.2">
      <c r="A15596" s="163">
        <v>2025</v>
      </c>
      <c r="B15596" s="163">
        <v>10</v>
      </c>
      <c r="C15596" s="163">
        <v>30</v>
      </c>
      <c r="D15596" s="280">
        <f t="shared" si="2524"/>
        <v>45960</v>
      </c>
      <c r="E15596" s="281">
        <f t="shared" si="2525"/>
        <v>45960</v>
      </c>
      <c r="F15596" s="480"/>
      <c r="G15596" s="221" t="s">
        <v>74</v>
      </c>
      <c r="H15596" s="221"/>
      <c r="I15596" s="145"/>
      <c r="J15596" s="146" t="s">
        <v>190</v>
      </c>
      <c r="K15596" s="219"/>
      <c r="L15596" s="219">
        <f>K15595</f>
        <v>298461.40999999997</v>
      </c>
      <c r="N15596" s="264"/>
    </row>
    <row r="15597" spans="1:17" x14ac:dyDescent="0.2">
      <c r="A15597" s="133">
        <v>2025</v>
      </c>
      <c r="B15597" s="133">
        <v>10</v>
      </c>
      <c r="C15597" s="168">
        <v>30</v>
      </c>
      <c r="D15597" s="141">
        <f t="shared" si="2524"/>
        <v>45960</v>
      </c>
      <c r="E15597" s="275">
        <f t="shared" si="2525"/>
        <v>45960</v>
      </c>
      <c r="F15597" s="479" t="s">
        <v>1972</v>
      </c>
      <c r="G15597" s="174" t="s">
        <v>74</v>
      </c>
      <c r="H15597" s="174"/>
      <c r="I15597" s="148" t="s">
        <v>348</v>
      </c>
      <c r="J15597" s="143" t="s">
        <v>1805</v>
      </c>
      <c r="K15597" s="218">
        <v>2203060.31</v>
      </c>
      <c r="L15597" s="218"/>
      <c r="M15597" s="147"/>
      <c r="Q15597" s="133" t="s">
        <v>348</v>
      </c>
    </row>
    <row r="15598" spans="1:17" x14ac:dyDescent="0.2">
      <c r="A15598" s="163">
        <v>2025</v>
      </c>
      <c r="B15598" s="163">
        <v>10</v>
      </c>
      <c r="C15598" s="163">
        <v>30</v>
      </c>
      <c r="D15598" s="280">
        <f t="shared" si="2524"/>
        <v>45960</v>
      </c>
      <c r="E15598" s="281">
        <f t="shared" si="2525"/>
        <v>45960</v>
      </c>
      <c r="F15598" s="480"/>
      <c r="G15598" s="221" t="s">
        <v>74</v>
      </c>
      <c r="H15598" s="221"/>
      <c r="I15598" s="145"/>
      <c r="J15598" s="146" t="s">
        <v>52</v>
      </c>
      <c r="K15598" s="219"/>
      <c r="L15598" s="219">
        <f>K15597</f>
        <v>2203060.31</v>
      </c>
      <c r="M15598" s="147"/>
      <c r="Q15598" s="133" t="s">
        <v>348</v>
      </c>
    </row>
    <row r="15599" spans="1:17" x14ac:dyDescent="0.2">
      <c r="A15599" s="133">
        <v>2025</v>
      </c>
      <c r="B15599" s="133">
        <v>10</v>
      </c>
      <c r="C15599" s="133">
        <v>30</v>
      </c>
      <c r="D15599" s="141">
        <f t="shared" si="2524"/>
        <v>45960</v>
      </c>
      <c r="E15599" s="275">
        <f t="shared" si="2525"/>
        <v>45960</v>
      </c>
      <c r="F15599" s="481" t="s">
        <v>2115</v>
      </c>
      <c r="G15599" s="174" t="s">
        <v>94</v>
      </c>
      <c r="H15599" s="174"/>
      <c r="J15599" s="149" t="s">
        <v>79</v>
      </c>
      <c r="K15599" s="218">
        <v>390300</v>
      </c>
      <c r="L15599" s="218"/>
      <c r="M15599" s="160"/>
    </row>
    <row r="15600" spans="1:17" x14ac:dyDescent="0.2">
      <c r="A15600" s="133">
        <v>2025</v>
      </c>
      <c r="B15600" s="133">
        <v>10</v>
      </c>
      <c r="C15600" s="133">
        <v>30</v>
      </c>
      <c r="D15600" s="141">
        <f t="shared" si="2524"/>
        <v>45960</v>
      </c>
      <c r="E15600" s="275">
        <f t="shared" si="2525"/>
        <v>45960</v>
      </c>
      <c r="F15600" s="481"/>
      <c r="G15600" s="174" t="s">
        <v>94</v>
      </c>
      <c r="H15600" s="174"/>
      <c r="J15600" s="149" t="s">
        <v>80</v>
      </c>
      <c r="K15600" s="218">
        <v>2732.04</v>
      </c>
      <c r="L15600" s="264"/>
      <c r="M15600" s="264"/>
      <c r="N15600" s="264"/>
    </row>
    <row r="15601" spans="1:13" x14ac:dyDescent="0.2">
      <c r="A15601" s="133">
        <v>2025</v>
      </c>
      <c r="B15601" s="133">
        <v>10</v>
      </c>
      <c r="C15601" s="133">
        <v>30</v>
      </c>
      <c r="D15601" s="141">
        <f t="shared" si="2524"/>
        <v>45960</v>
      </c>
      <c r="E15601" s="275">
        <f t="shared" si="2525"/>
        <v>45960</v>
      </c>
      <c r="F15601" s="481"/>
      <c r="G15601" s="174" t="s">
        <v>94</v>
      </c>
      <c r="H15601" s="174"/>
      <c r="J15601" s="149" t="s">
        <v>190</v>
      </c>
      <c r="K15601" s="218">
        <v>734467.96</v>
      </c>
      <c r="L15601" s="218"/>
      <c r="M15601" s="264"/>
    </row>
    <row r="15602" spans="1:13" x14ac:dyDescent="0.2">
      <c r="A15602" s="133">
        <v>2025</v>
      </c>
      <c r="B15602" s="133">
        <v>10</v>
      </c>
      <c r="C15602" s="133">
        <v>30</v>
      </c>
      <c r="D15602" s="141">
        <f t="shared" si="2524"/>
        <v>45960</v>
      </c>
      <c r="E15602" s="275">
        <f t="shared" si="2525"/>
        <v>45960</v>
      </c>
      <c r="F15602" s="481"/>
      <c r="G15602" s="174" t="s">
        <v>94</v>
      </c>
      <c r="H15602" s="174"/>
      <c r="J15602" s="149" t="s">
        <v>191</v>
      </c>
      <c r="K15602" s="218">
        <v>38934.71</v>
      </c>
      <c r="L15602" s="218"/>
    </row>
    <row r="15603" spans="1:13" x14ac:dyDescent="0.2">
      <c r="A15603" s="163">
        <v>2025</v>
      </c>
      <c r="B15603" s="163">
        <v>10</v>
      </c>
      <c r="C15603" s="163">
        <v>30</v>
      </c>
      <c r="D15603" s="280">
        <f t="shared" si="2524"/>
        <v>45960</v>
      </c>
      <c r="E15603" s="281">
        <f t="shared" si="2525"/>
        <v>45960</v>
      </c>
      <c r="F15603" s="480"/>
      <c r="G15603" s="221" t="s">
        <v>94</v>
      </c>
      <c r="H15603" s="145"/>
      <c r="I15603" s="145"/>
      <c r="J15603" s="163" t="s">
        <v>79</v>
      </c>
      <c r="K15603" s="219"/>
      <c r="L15603" s="219">
        <v>1166434.71</v>
      </c>
      <c r="M15603" s="264"/>
    </row>
    <row r="15604" spans="1:13" s="432" customFormat="1" x14ac:dyDescent="0.2">
      <c r="A15604" s="424">
        <v>2025</v>
      </c>
      <c r="B15604" s="133">
        <v>10</v>
      </c>
      <c r="C15604" s="168">
        <v>30</v>
      </c>
      <c r="D15604" s="425">
        <f t="shared" si="2524"/>
        <v>45960</v>
      </c>
      <c r="E15604" s="426">
        <f t="shared" si="2525"/>
        <v>45960</v>
      </c>
      <c r="F15604" s="485" t="s">
        <v>2102</v>
      </c>
      <c r="G15604" s="427" t="s">
        <v>94</v>
      </c>
      <c r="H15604" s="427"/>
      <c r="I15604" s="428" t="s">
        <v>348</v>
      </c>
      <c r="J15604" s="429" t="s">
        <v>52</v>
      </c>
      <c r="K15604" s="430">
        <v>48395.83</v>
      </c>
      <c r="L15604" s="430"/>
      <c r="M15604" s="431"/>
    </row>
    <row r="15605" spans="1:13" s="432" customFormat="1" x14ac:dyDescent="0.2">
      <c r="A15605" s="433">
        <v>2025</v>
      </c>
      <c r="B15605" s="163">
        <v>10</v>
      </c>
      <c r="C15605" s="163">
        <v>30</v>
      </c>
      <c r="D15605" s="425">
        <f t="shared" si="2524"/>
        <v>45960</v>
      </c>
      <c r="E15605" s="426">
        <f t="shared" si="2525"/>
        <v>45960</v>
      </c>
      <c r="F15605" s="486"/>
      <c r="G15605" s="434" t="s">
        <v>94</v>
      </c>
      <c r="H15605" s="434"/>
      <c r="I15605" s="435" t="s">
        <v>348</v>
      </c>
      <c r="J15605" s="436" t="s">
        <v>133</v>
      </c>
      <c r="K15605" s="437"/>
      <c r="L15605" s="437">
        <f>K15604</f>
        <v>48395.83</v>
      </c>
    </row>
    <row r="15606" spans="1:13" s="432" customFormat="1" x14ac:dyDescent="0.2">
      <c r="A15606" s="424">
        <v>2025</v>
      </c>
      <c r="B15606" s="133">
        <v>10</v>
      </c>
      <c r="C15606" s="168">
        <v>30</v>
      </c>
      <c r="D15606" s="425">
        <f t="shared" si="2524"/>
        <v>45960</v>
      </c>
      <c r="E15606" s="426">
        <f t="shared" si="2525"/>
        <v>45960</v>
      </c>
      <c r="F15606" s="485" t="s">
        <v>2102</v>
      </c>
      <c r="G15606" s="427" t="s">
        <v>94</v>
      </c>
      <c r="H15606" s="427"/>
      <c r="I15606" s="428" t="s">
        <v>348</v>
      </c>
      <c r="J15606" s="429" t="s">
        <v>52</v>
      </c>
      <c r="K15606" s="430">
        <v>145187.5</v>
      </c>
      <c r="L15606" s="430"/>
      <c r="M15606" s="431"/>
    </row>
    <row r="15607" spans="1:13" s="432" customFormat="1" x14ac:dyDescent="0.2">
      <c r="A15607" s="433">
        <v>2025</v>
      </c>
      <c r="B15607" s="163">
        <v>10</v>
      </c>
      <c r="C15607" s="163">
        <v>30</v>
      </c>
      <c r="D15607" s="425">
        <f t="shared" si="2524"/>
        <v>45960</v>
      </c>
      <c r="E15607" s="426">
        <f t="shared" si="2525"/>
        <v>45960</v>
      </c>
      <c r="F15607" s="486"/>
      <c r="G15607" s="434" t="s">
        <v>94</v>
      </c>
      <c r="H15607" s="434"/>
      <c r="I15607" s="435" t="s">
        <v>348</v>
      </c>
      <c r="J15607" s="436" t="s">
        <v>133</v>
      </c>
      <c r="K15607" s="437"/>
      <c r="L15607" s="437">
        <f>K15606</f>
        <v>145187.5</v>
      </c>
    </row>
    <row r="15608" spans="1:13" x14ac:dyDescent="0.2">
      <c r="A15608" s="325">
        <v>2025</v>
      </c>
      <c r="B15608" s="325">
        <v>10</v>
      </c>
      <c r="C15608" s="325">
        <v>30</v>
      </c>
      <c r="D15608" s="326">
        <f t="shared" ref="D15608:D15635" si="2526">DATE(A15608,B15608,C15608)</f>
        <v>45960</v>
      </c>
      <c r="E15608" s="327">
        <f t="shared" ref="E15608:E15635" si="2527">DATE(A15608,B15608,C15608)</f>
        <v>45960</v>
      </c>
      <c r="F15608" s="473" t="s">
        <v>1940</v>
      </c>
      <c r="G15608" s="340" t="s">
        <v>94</v>
      </c>
      <c r="H15608" s="340"/>
      <c r="I15608" s="341" t="s">
        <v>348</v>
      </c>
      <c r="J15608" s="374" t="s">
        <v>133</v>
      </c>
      <c r="K15608" s="375">
        <v>12905.56</v>
      </c>
      <c r="L15608" s="375"/>
      <c r="M15608" s="176"/>
    </row>
    <row r="15609" spans="1:13" x14ac:dyDescent="0.2">
      <c r="A15609" s="331">
        <v>2025</v>
      </c>
      <c r="B15609" s="331">
        <v>10</v>
      </c>
      <c r="C15609" s="331">
        <v>30</v>
      </c>
      <c r="D15609" s="326">
        <f t="shared" si="2526"/>
        <v>45960</v>
      </c>
      <c r="E15609" s="327">
        <f t="shared" si="2527"/>
        <v>45960</v>
      </c>
      <c r="F15609" s="474"/>
      <c r="G15609" s="332" t="s">
        <v>94</v>
      </c>
      <c r="H15609" s="332"/>
      <c r="I15609" s="333" t="s">
        <v>348</v>
      </c>
      <c r="J15609" s="376" t="s">
        <v>60</v>
      </c>
      <c r="K15609" s="334"/>
      <c r="L15609" s="334">
        <f>K15608</f>
        <v>12905.56</v>
      </c>
    </row>
    <row r="15610" spans="1:13" x14ac:dyDescent="0.2">
      <c r="A15610" s="325">
        <v>2025</v>
      </c>
      <c r="B15610" s="325">
        <v>10</v>
      </c>
      <c r="C15610" s="325">
        <v>30</v>
      </c>
      <c r="D15610" s="326">
        <f t="shared" ref="D15610:D15611" si="2528">DATE(A15610,B15610,C15610)</f>
        <v>45960</v>
      </c>
      <c r="E15610" s="327">
        <f t="shared" ref="E15610:E15611" si="2529">DATE(A15610,B15610,C15610)</f>
        <v>45960</v>
      </c>
      <c r="F15610" s="473" t="s">
        <v>2131</v>
      </c>
      <c r="G15610" s="340" t="s">
        <v>94</v>
      </c>
      <c r="H15610" s="340"/>
      <c r="I15610" s="341" t="s">
        <v>348</v>
      </c>
      <c r="J15610" s="374" t="s">
        <v>2156</v>
      </c>
      <c r="K15610" s="375">
        <v>43298.076923076922</v>
      </c>
      <c r="L15610" s="375"/>
      <c r="M15610" s="176"/>
    </row>
    <row r="15611" spans="1:13" x14ac:dyDescent="0.2">
      <c r="A15611" s="331">
        <v>2025</v>
      </c>
      <c r="B15611" s="331">
        <v>10</v>
      </c>
      <c r="C15611" s="331">
        <v>30</v>
      </c>
      <c r="D15611" s="326">
        <f t="shared" si="2528"/>
        <v>45960</v>
      </c>
      <c r="E15611" s="327">
        <f t="shared" si="2529"/>
        <v>45960</v>
      </c>
      <c r="F15611" s="474"/>
      <c r="G15611" s="332" t="s">
        <v>94</v>
      </c>
      <c r="H15611" s="332"/>
      <c r="I15611" s="333" t="s">
        <v>348</v>
      </c>
      <c r="J15611" s="376" t="s">
        <v>2154</v>
      </c>
      <c r="K15611" s="334"/>
      <c r="L15611" s="334">
        <f>K15610</f>
        <v>43298.076923076922</v>
      </c>
    </row>
    <row r="15612" spans="1:13" x14ac:dyDescent="0.2">
      <c r="A15612" s="384">
        <v>2025</v>
      </c>
      <c r="B15612" s="384">
        <v>10</v>
      </c>
      <c r="C15612" s="384">
        <v>30</v>
      </c>
      <c r="D15612" s="385">
        <f t="shared" si="2526"/>
        <v>45960</v>
      </c>
      <c r="E15612" s="386">
        <f t="shared" si="2527"/>
        <v>45960</v>
      </c>
      <c r="F15612" s="475" t="s">
        <v>1966</v>
      </c>
      <c r="G15612" s="387" t="s">
        <v>94</v>
      </c>
      <c r="H15612" s="387"/>
      <c r="I15612" s="388" t="s">
        <v>348</v>
      </c>
      <c r="J15612" s="389" t="s">
        <v>67</v>
      </c>
      <c r="K15612" s="390">
        <v>4049.04</v>
      </c>
      <c r="L15612" s="390"/>
    </row>
    <row r="15613" spans="1:13" x14ac:dyDescent="0.2">
      <c r="A15613" s="391">
        <v>2025</v>
      </c>
      <c r="B15613" s="391">
        <v>10</v>
      </c>
      <c r="C15613" s="391">
        <v>30</v>
      </c>
      <c r="D15613" s="385">
        <f t="shared" si="2526"/>
        <v>45960</v>
      </c>
      <c r="E15613" s="386">
        <f t="shared" si="2527"/>
        <v>45960</v>
      </c>
      <c r="F15613" s="476"/>
      <c r="G15613" s="392" t="s">
        <v>94</v>
      </c>
      <c r="H15613" s="392"/>
      <c r="I15613" s="393" t="s">
        <v>348</v>
      </c>
      <c r="J15613" s="394" t="s">
        <v>60</v>
      </c>
      <c r="K15613" s="395"/>
      <c r="L15613" s="395">
        <f>K15612</f>
        <v>4049.04</v>
      </c>
    </row>
    <row r="15614" spans="1:13" x14ac:dyDescent="0.2">
      <c r="A15614" s="343">
        <v>2025</v>
      </c>
      <c r="B15614" s="343">
        <v>10</v>
      </c>
      <c r="C15614" s="343">
        <v>30</v>
      </c>
      <c r="D15614" s="344">
        <f t="shared" si="2526"/>
        <v>45960</v>
      </c>
      <c r="E15614" s="345">
        <f t="shared" si="2527"/>
        <v>45960</v>
      </c>
      <c r="F15614" s="483" t="s">
        <v>1813</v>
      </c>
      <c r="G15614" s="350" t="s">
        <v>94</v>
      </c>
      <c r="H15614" s="350"/>
      <c r="I15614" s="352" t="s">
        <v>348</v>
      </c>
      <c r="J15614" s="353" t="s">
        <v>1807</v>
      </c>
      <c r="K15614" s="354">
        <v>0</v>
      </c>
      <c r="L15614" s="354"/>
      <c r="M15614" s="133">
        <v>0</v>
      </c>
    </row>
    <row r="15615" spans="1:13" x14ac:dyDescent="0.2">
      <c r="A15615" s="346">
        <v>2025</v>
      </c>
      <c r="B15615" s="346">
        <v>10</v>
      </c>
      <c r="C15615" s="346">
        <v>30</v>
      </c>
      <c r="D15615" s="344">
        <f t="shared" si="2526"/>
        <v>45960</v>
      </c>
      <c r="E15615" s="345">
        <f t="shared" si="2527"/>
        <v>45960</v>
      </c>
      <c r="F15615" s="484"/>
      <c r="G15615" s="347" t="s">
        <v>94</v>
      </c>
      <c r="H15615" s="347"/>
      <c r="I15615" s="348" t="s">
        <v>348</v>
      </c>
      <c r="J15615" s="355" t="s">
        <v>1798</v>
      </c>
      <c r="K15615" s="349"/>
      <c r="L15615" s="349">
        <v>0</v>
      </c>
    </row>
    <row r="15616" spans="1:13" x14ac:dyDescent="0.2">
      <c r="A15616" s="343">
        <v>2025</v>
      </c>
      <c r="B15616" s="343">
        <v>10</v>
      </c>
      <c r="C15616" s="343">
        <v>30</v>
      </c>
      <c r="D15616" s="344">
        <f t="shared" si="2526"/>
        <v>45960</v>
      </c>
      <c r="E15616" s="345">
        <f t="shared" si="2527"/>
        <v>45960</v>
      </c>
      <c r="F15616" s="483" t="s">
        <v>1913</v>
      </c>
      <c r="G15616" s="350" t="s">
        <v>94</v>
      </c>
      <c r="H15616" s="350"/>
      <c r="I15616" s="352" t="s">
        <v>348</v>
      </c>
      <c r="J15616" s="353" t="s">
        <v>1799</v>
      </c>
      <c r="K15616" s="354">
        <v>1095.6500000013039</v>
      </c>
      <c r="L15616" s="354"/>
      <c r="M15616" s="160">
        <v>0</v>
      </c>
    </row>
    <row r="15617" spans="1:14" x14ac:dyDescent="0.2">
      <c r="A15617" s="346">
        <v>2025</v>
      </c>
      <c r="B15617" s="346">
        <v>10</v>
      </c>
      <c r="C15617" s="346">
        <v>30</v>
      </c>
      <c r="D15617" s="344">
        <f t="shared" si="2526"/>
        <v>45960</v>
      </c>
      <c r="E15617" s="345">
        <f t="shared" si="2527"/>
        <v>45960</v>
      </c>
      <c r="F15617" s="484"/>
      <c r="G15617" s="347" t="s">
        <v>94</v>
      </c>
      <c r="H15617" s="347"/>
      <c r="I15617" s="348" t="s">
        <v>348</v>
      </c>
      <c r="J15617" s="355" t="s">
        <v>1808</v>
      </c>
      <c r="K15617" s="349"/>
      <c r="L15617" s="349">
        <f>K15616</f>
        <v>1095.6500000013039</v>
      </c>
    </row>
    <row r="15618" spans="1:14" x14ac:dyDescent="0.2">
      <c r="A15618" s="238">
        <v>2025</v>
      </c>
      <c r="B15618" s="238">
        <v>10</v>
      </c>
      <c r="C15618" s="238">
        <v>30</v>
      </c>
      <c r="D15618" s="270">
        <f t="shared" si="2526"/>
        <v>45960</v>
      </c>
      <c r="E15618" s="279">
        <f t="shared" si="2527"/>
        <v>45960</v>
      </c>
      <c r="F15618" s="477" t="s">
        <v>347</v>
      </c>
      <c r="G15618" s="239" t="s">
        <v>94</v>
      </c>
      <c r="H15618" s="239"/>
      <c r="I15618" s="262" t="s">
        <v>348</v>
      </c>
      <c r="J15618" s="240" t="s">
        <v>82</v>
      </c>
      <c r="K15618" s="241">
        <v>2908550.2773999572</v>
      </c>
      <c r="L15618" s="241"/>
      <c r="M15618" s="160">
        <v>13139541.900000483</v>
      </c>
    </row>
    <row r="15619" spans="1:14" x14ac:dyDescent="0.2">
      <c r="A15619" s="242">
        <v>2025</v>
      </c>
      <c r="B15619" s="242">
        <v>10</v>
      </c>
      <c r="C15619" s="242">
        <v>30</v>
      </c>
      <c r="D15619" s="270">
        <f t="shared" si="2526"/>
        <v>45960</v>
      </c>
      <c r="E15619" s="279">
        <f t="shared" si="2527"/>
        <v>45960</v>
      </c>
      <c r="F15619" s="478"/>
      <c r="G15619" s="243" t="s">
        <v>94</v>
      </c>
      <c r="H15619" s="243"/>
      <c r="I15619" s="263" t="s">
        <v>348</v>
      </c>
      <c r="J15619" s="244" t="s">
        <v>108</v>
      </c>
      <c r="K15619" s="245"/>
      <c r="L15619" s="245">
        <f>K15618</f>
        <v>2908550.2773999572</v>
      </c>
    </row>
    <row r="15620" spans="1:14" ht="12" customHeight="1" x14ac:dyDescent="0.2">
      <c r="A15620" s="246">
        <v>2025</v>
      </c>
      <c r="B15620" s="238">
        <v>10</v>
      </c>
      <c r="C15620" s="238">
        <v>30</v>
      </c>
      <c r="D15620" s="270">
        <f t="shared" si="2526"/>
        <v>45960</v>
      </c>
      <c r="E15620" s="279">
        <f t="shared" si="2527"/>
        <v>45960</v>
      </c>
      <c r="F15620" s="482" t="s">
        <v>148</v>
      </c>
      <c r="G15620" s="247" t="s">
        <v>94</v>
      </c>
      <c r="H15620" s="247"/>
      <c r="I15620" s="248" t="s">
        <v>348</v>
      </c>
      <c r="J15620" s="249" t="s">
        <v>95</v>
      </c>
      <c r="K15620" s="250">
        <v>2747.2527472527472</v>
      </c>
      <c r="L15620" s="241"/>
      <c r="M15620" s="176"/>
    </row>
    <row r="15621" spans="1:14" x14ac:dyDescent="0.2">
      <c r="A15621" s="242">
        <v>2025</v>
      </c>
      <c r="B15621" s="242">
        <v>10</v>
      </c>
      <c r="C15621" s="242">
        <v>30</v>
      </c>
      <c r="D15621" s="270">
        <f t="shared" si="2526"/>
        <v>45960</v>
      </c>
      <c r="E15621" s="279">
        <f t="shared" si="2527"/>
        <v>45960</v>
      </c>
      <c r="F15621" s="478"/>
      <c r="G15621" s="243" t="s">
        <v>94</v>
      </c>
      <c r="H15621" s="243"/>
      <c r="I15621" s="263" t="s">
        <v>348</v>
      </c>
      <c r="J15621" s="244" t="s">
        <v>63</v>
      </c>
      <c r="K15621" s="245"/>
      <c r="L15621" s="245">
        <f>K15620</f>
        <v>2747.2527472527472</v>
      </c>
    </row>
    <row r="15622" spans="1:14" x14ac:dyDescent="0.2">
      <c r="A15622" s="246">
        <v>2025</v>
      </c>
      <c r="B15622" s="238">
        <v>10</v>
      </c>
      <c r="C15622" s="238">
        <v>30</v>
      </c>
      <c r="D15622" s="270">
        <f t="shared" si="2526"/>
        <v>45960</v>
      </c>
      <c r="E15622" s="279">
        <f t="shared" si="2527"/>
        <v>45960</v>
      </c>
      <c r="F15622" s="482" t="s">
        <v>137</v>
      </c>
      <c r="G15622" s="247" t="s">
        <v>94</v>
      </c>
      <c r="H15622" s="247"/>
      <c r="I15622" s="248" t="s">
        <v>348</v>
      </c>
      <c r="J15622" s="249" t="s">
        <v>97</v>
      </c>
      <c r="K15622" s="250">
        <f>M15622</f>
        <v>88341.281332341081</v>
      </c>
      <c r="L15622" s="252"/>
      <c r="M15622" s="133">
        <v>88341.281332341081</v>
      </c>
    </row>
    <row r="15623" spans="1:14" x14ac:dyDescent="0.2">
      <c r="A15623" s="242">
        <v>2025</v>
      </c>
      <c r="B15623" s="242">
        <v>10</v>
      </c>
      <c r="C15623" s="242">
        <v>30</v>
      </c>
      <c r="D15623" s="270">
        <f t="shared" si="2526"/>
        <v>45960</v>
      </c>
      <c r="E15623" s="279">
        <f t="shared" si="2527"/>
        <v>45960</v>
      </c>
      <c r="F15623" s="478"/>
      <c r="G15623" s="243" t="s">
        <v>94</v>
      </c>
      <c r="H15623" s="243"/>
      <c r="I15623" s="263" t="s">
        <v>348</v>
      </c>
      <c r="J15623" s="244" t="s">
        <v>47</v>
      </c>
      <c r="K15623" s="245"/>
      <c r="L15623" s="245">
        <f>K15622</f>
        <v>88341.281332341081</v>
      </c>
      <c r="M15623" s="133">
        <v>4176.6794512324386</v>
      </c>
    </row>
    <row r="15624" spans="1:14" x14ac:dyDescent="0.2">
      <c r="A15624" s="246">
        <v>2025</v>
      </c>
      <c r="B15624" s="238">
        <v>10</v>
      </c>
      <c r="C15624" s="238">
        <v>30</v>
      </c>
      <c r="D15624" s="270">
        <f t="shared" si="2526"/>
        <v>45960</v>
      </c>
      <c r="E15624" s="279">
        <f t="shared" si="2527"/>
        <v>45960</v>
      </c>
      <c r="F15624" s="482" t="s">
        <v>138</v>
      </c>
      <c r="G15624" s="247" t="s">
        <v>94</v>
      </c>
      <c r="H15624" s="247"/>
      <c r="I15624" s="248" t="s">
        <v>348</v>
      </c>
      <c r="J15624" s="249" t="s">
        <v>100</v>
      </c>
      <c r="K15624" s="250">
        <f>M15623</f>
        <v>4176.6794512324386</v>
      </c>
      <c r="L15624" s="252"/>
    </row>
    <row r="15625" spans="1:14" x14ac:dyDescent="0.2">
      <c r="A15625" s="242">
        <v>2025</v>
      </c>
      <c r="B15625" s="242">
        <v>10</v>
      </c>
      <c r="C15625" s="242">
        <v>30</v>
      </c>
      <c r="D15625" s="321">
        <f t="shared" si="2526"/>
        <v>45960</v>
      </c>
      <c r="E15625" s="322">
        <f t="shared" si="2527"/>
        <v>45960</v>
      </c>
      <c r="F15625" s="478"/>
      <c r="G15625" s="243" t="s">
        <v>94</v>
      </c>
      <c r="H15625" s="243"/>
      <c r="I15625" s="263" t="s">
        <v>348</v>
      </c>
      <c r="J15625" s="244" t="s">
        <v>48</v>
      </c>
      <c r="K15625" s="245"/>
      <c r="L15625" s="245">
        <f>K15624</f>
        <v>4176.6794512324386</v>
      </c>
    </row>
    <row r="15626" spans="1:14" x14ac:dyDescent="0.2">
      <c r="A15626" s="133">
        <v>2025</v>
      </c>
      <c r="B15626" s="133">
        <v>11</v>
      </c>
      <c r="C15626" s="133">
        <v>2</v>
      </c>
      <c r="D15626" s="141">
        <f t="shared" si="2526"/>
        <v>45963</v>
      </c>
      <c r="E15626" s="275">
        <f t="shared" si="2527"/>
        <v>45963</v>
      </c>
      <c r="F15626" s="481" t="s">
        <v>2115</v>
      </c>
      <c r="G15626" s="174" t="s">
        <v>94</v>
      </c>
      <c r="H15626" s="174"/>
      <c r="J15626" s="149" t="s">
        <v>79</v>
      </c>
      <c r="K15626" s="218">
        <v>725700</v>
      </c>
      <c r="L15626" s="218"/>
      <c r="M15626" s="160"/>
    </row>
    <row r="15627" spans="1:14" x14ac:dyDescent="0.2">
      <c r="A15627" s="133">
        <v>2025</v>
      </c>
      <c r="B15627" s="133">
        <v>11</v>
      </c>
      <c r="C15627" s="133">
        <v>2</v>
      </c>
      <c r="D15627" s="141">
        <f t="shared" si="2526"/>
        <v>45963</v>
      </c>
      <c r="E15627" s="275">
        <f t="shared" si="2527"/>
        <v>45963</v>
      </c>
      <c r="F15627" s="481"/>
      <c r="G15627" s="174" t="s">
        <v>94</v>
      </c>
      <c r="H15627" s="174"/>
      <c r="J15627" s="149" t="s">
        <v>80</v>
      </c>
      <c r="K15627" s="218">
        <v>1791.36</v>
      </c>
      <c r="L15627" s="264"/>
      <c r="M15627" s="264"/>
      <c r="N15627" s="264"/>
    </row>
    <row r="15628" spans="1:14" x14ac:dyDescent="0.2">
      <c r="A15628" s="133">
        <v>2025</v>
      </c>
      <c r="B15628" s="133">
        <v>11</v>
      </c>
      <c r="C15628" s="133">
        <v>2</v>
      </c>
      <c r="D15628" s="141">
        <f t="shared" si="2526"/>
        <v>45963</v>
      </c>
      <c r="E15628" s="275">
        <f t="shared" si="2527"/>
        <v>45963</v>
      </c>
      <c r="F15628" s="481"/>
      <c r="G15628" s="174" t="s">
        <v>94</v>
      </c>
      <c r="H15628" s="174"/>
      <c r="J15628" s="149" t="s">
        <v>147</v>
      </c>
      <c r="K15628" s="218"/>
      <c r="L15628" s="218">
        <v>457991.36</v>
      </c>
      <c r="M15628" s="264"/>
    </row>
    <row r="15629" spans="1:14" x14ac:dyDescent="0.2">
      <c r="A15629" s="133">
        <v>2025</v>
      </c>
      <c r="B15629" s="133">
        <v>11</v>
      </c>
      <c r="C15629" s="133">
        <v>2</v>
      </c>
      <c r="D15629" s="141">
        <f t="shared" si="2526"/>
        <v>45963</v>
      </c>
      <c r="E15629" s="275">
        <f t="shared" si="2527"/>
        <v>45963</v>
      </c>
      <c r="F15629" s="481"/>
      <c r="G15629" s="174" t="s">
        <v>94</v>
      </c>
      <c r="H15629" s="174"/>
      <c r="J15629" s="149" t="s">
        <v>191</v>
      </c>
      <c r="K15629" s="218">
        <v>3596.45</v>
      </c>
      <c r="L15629" s="218"/>
    </row>
    <row r="15630" spans="1:14" x14ac:dyDescent="0.2">
      <c r="A15630" s="163">
        <v>2025</v>
      </c>
      <c r="B15630" s="163">
        <v>11</v>
      </c>
      <c r="C15630" s="163">
        <v>2</v>
      </c>
      <c r="D15630" s="280">
        <f t="shared" si="2526"/>
        <v>45963</v>
      </c>
      <c r="E15630" s="281">
        <f t="shared" si="2527"/>
        <v>45963</v>
      </c>
      <c r="F15630" s="480"/>
      <c r="G15630" s="221" t="s">
        <v>94</v>
      </c>
      <c r="H15630" s="145"/>
      <c r="I15630" s="145"/>
      <c r="J15630" s="163" t="s">
        <v>79</v>
      </c>
      <c r="K15630" s="219"/>
      <c r="L15630" s="219">
        <v>273096.45</v>
      </c>
      <c r="M15630" s="264"/>
    </row>
    <row r="15631" spans="1:14" ht="11.25" customHeight="1" x14ac:dyDescent="0.2">
      <c r="A15631" s="168">
        <v>2025</v>
      </c>
      <c r="B15631" s="168">
        <v>11</v>
      </c>
      <c r="C15631" s="168">
        <v>3</v>
      </c>
      <c r="D15631" s="141">
        <f t="shared" si="2526"/>
        <v>45964</v>
      </c>
      <c r="E15631" s="275">
        <f t="shared" si="2527"/>
        <v>45964</v>
      </c>
      <c r="F15631" s="479" t="s">
        <v>2113</v>
      </c>
      <c r="G15631" s="220" t="s">
        <v>94</v>
      </c>
      <c r="H15631" s="220"/>
      <c r="I15631" s="142"/>
      <c r="J15631" s="143" t="s">
        <v>79</v>
      </c>
      <c r="K15631" s="226">
        <v>1347055</v>
      </c>
      <c r="L15631" s="226"/>
      <c r="M15631" s="160"/>
    </row>
    <row r="15632" spans="1:14" x14ac:dyDescent="0.2">
      <c r="A15632" s="133">
        <v>2025</v>
      </c>
      <c r="B15632" s="133">
        <v>11</v>
      </c>
      <c r="C15632" s="133">
        <v>3</v>
      </c>
      <c r="D15632" s="141">
        <f t="shared" si="2526"/>
        <v>45964</v>
      </c>
      <c r="E15632" s="275">
        <f t="shared" si="2527"/>
        <v>45964</v>
      </c>
      <c r="F15632" s="481"/>
      <c r="G15632" s="174" t="s">
        <v>94</v>
      </c>
      <c r="H15632" s="174"/>
      <c r="J15632" s="149" t="s">
        <v>80</v>
      </c>
      <c r="K15632" s="218">
        <v>2424.6999999999998</v>
      </c>
      <c r="L15632" s="133"/>
    </row>
    <row r="15633" spans="1:14" x14ac:dyDescent="0.2">
      <c r="A15633" s="163">
        <v>2025</v>
      </c>
      <c r="B15633" s="163">
        <v>11</v>
      </c>
      <c r="C15633" s="163">
        <v>3</v>
      </c>
      <c r="D15633" s="280">
        <f t="shared" si="2526"/>
        <v>45964</v>
      </c>
      <c r="E15633" s="281">
        <f t="shared" si="2527"/>
        <v>45964</v>
      </c>
      <c r="F15633" s="480"/>
      <c r="G15633" s="221" t="s">
        <v>94</v>
      </c>
      <c r="H15633" s="221"/>
      <c r="I15633" s="145"/>
      <c r="J15633" s="146" t="s">
        <v>147</v>
      </c>
      <c r="K15633" s="219"/>
      <c r="L15633" s="219">
        <v>1349479.7</v>
      </c>
    </row>
    <row r="15634" spans="1:14" ht="11.25" customHeight="1" x14ac:dyDescent="0.2">
      <c r="A15634" s="168">
        <v>2025</v>
      </c>
      <c r="B15634" s="133">
        <v>11</v>
      </c>
      <c r="C15634" s="168">
        <v>3</v>
      </c>
      <c r="D15634" s="141">
        <f t="shared" si="2526"/>
        <v>45964</v>
      </c>
      <c r="E15634" s="275">
        <f t="shared" si="2527"/>
        <v>45964</v>
      </c>
      <c r="F15634" s="479" t="s">
        <v>2121</v>
      </c>
      <c r="G15634" s="220" t="s">
        <v>74</v>
      </c>
      <c r="H15634" s="220"/>
      <c r="I15634" s="142"/>
      <c r="J15634" s="143" t="s">
        <v>52</v>
      </c>
      <c r="K15634" s="226">
        <v>276476.59999999998</v>
      </c>
      <c r="L15634" s="226"/>
    </row>
    <row r="15635" spans="1:14" x14ac:dyDescent="0.2">
      <c r="A15635" s="163">
        <v>2025</v>
      </c>
      <c r="B15635" s="163">
        <v>11</v>
      </c>
      <c r="C15635" s="163">
        <v>3</v>
      </c>
      <c r="D15635" s="280">
        <f t="shared" si="2526"/>
        <v>45964</v>
      </c>
      <c r="E15635" s="281">
        <f t="shared" si="2527"/>
        <v>45964</v>
      </c>
      <c r="F15635" s="480"/>
      <c r="G15635" s="221" t="s">
        <v>74</v>
      </c>
      <c r="H15635" s="221"/>
      <c r="I15635" s="145"/>
      <c r="J15635" s="146" t="s">
        <v>190</v>
      </c>
      <c r="K15635" s="219"/>
      <c r="L15635" s="219">
        <f>K15634</f>
        <v>276476.59999999998</v>
      </c>
      <c r="N15635" s="264"/>
    </row>
    <row r="15636" spans="1:14" x14ac:dyDescent="0.2">
      <c r="A15636" s="168">
        <v>2025</v>
      </c>
      <c r="B15636" s="133">
        <v>11</v>
      </c>
      <c r="C15636" s="168">
        <v>3</v>
      </c>
      <c r="D15636" s="147">
        <f>DATE(A15636,B15636,C15636)</f>
        <v>45964</v>
      </c>
      <c r="E15636" s="311">
        <f>DATE(A15636,B15636,C15636)</f>
        <v>45964</v>
      </c>
      <c r="F15636" s="481" t="s">
        <v>1943</v>
      </c>
      <c r="G15636" s="174" t="s">
        <v>74</v>
      </c>
      <c r="I15636" s="148" t="s">
        <v>348</v>
      </c>
      <c r="J15636" s="133" t="s">
        <v>61</v>
      </c>
      <c r="K15636" s="172">
        <v>1000</v>
      </c>
    </row>
    <row r="15637" spans="1:14" x14ac:dyDescent="0.2">
      <c r="A15637" s="163">
        <v>2025</v>
      </c>
      <c r="B15637" s="163">
        <v>11</v>
      </c>
      <c r="C15637" s="163">
        <v>3</v>
      </c>
      <c r="D15637" s="280">
        <f>DATE(A15637,B15637,C15637)</f>
        <v>45964</v>
      </c>
      <c r="E15637" s="281">
        <f>DATE(A15637,B15637,C15637)</f>
        <v>45964</v>
      </c>
      <c r="F15637" s="480"/>
      <c r="G15637" s="221" t="s">
        <v>74</v>
      </c>
      <c r="H15637" s="145"/>
      <c r="I15637" s="145" t="s">
        <v>348</v>
      </c>
      <c r="J15637" s="163" t="s">
        <v>52</v>
      </c>
      <c r="K15637" s="219"/>
      <c r="L15637" s="219">
        <f>K15636</f>
        <v>1000</v>
      </c>
    </row>
    <row r="15638" spans="1:14" ht="11.25" customHeight="1" x14ac:dyDescent="0.2">
      <c r="A15638" s="168">
        <v>2025</v>
      </c>
      <c r="B15638" s="133">
        <v>11</v>
      </c>
      <c r="C15638" s="168">
        <v>4</v>
      </c>
      <c r="D15638" s="141">
        <f t="shared" ref="D15638:D15639" si="2530">DATE(A15638,B15638,C15638)</f>
        <v>45965</v>
      </c>
      <c r="E15638" s="275">
        <f t="shared" ref="E15638:E15639" si="2531">DATE(A15638,B15638,C15638)</f>
        <v>45965</v>
      </c>
      <c r="F15638" s="479" t="s">
        <v>2116</v>
      </c>
      <c r="G15638" s="220" t="s">
        <v>74</v>
      </c>
      <c r="H15638" s="220"/>
      <c r="I15638" s="142"/>
      <c r="J15638" s="143" t="s">
        <v>147</v>
      </c>
      <c r="K15638" s="226">
        <v>1960722.96</v>
      </c>
      <c r="L15638" s="226"/>
    </row>
    <row r="15639" spans="1:14" x14ac:dyDescent="0.2">
      <c r="A15639" s="163">
        <v>2025</v>
      </c>
      <c r="B15639" s="163">
        <v>11</v>
      </c>
      <c r="C15639" s="163">
        <v>4</v>
      </c>
      <c r="D15639" s="280">
        <f t="shared" si="2530"/>
        <v>45965</v>
      </c>
      <c r="E15639" s="281">
        <f t="shared" si="2531"/>
        <v>45965</v>
      </c>
      <c r="F15639" s="480"/>
      <c r="G15639" s="221" t="s">
        <v>74</v>
      </c>
      <c r="H15639" s="221"/>
      <c r="I15639" s="145"/>
      <c r="J15639" s="146" t="s">
        <v>52</v>
      </c>
      <c r="K15639" s="219"/>
      <c r="L15639" s="219">
        <f>K15638</f>
        <v>1960722.96</v>
      </c>
      <c r="N15639" s="264"/>
    </row>
    <row r="15640" spans="1:14" x14ac:dyDescent="0.2">
      <c r="A15640" s="168">
        <v>2025</v>
      </c>
      <c r="B15640" s="133">
        <v>11</v>
      </c>
      <c r="C15640" s="168">
        <v>4</v>
      </c>
      <c r="D15640" s="147">
        <f>DATE(A15640,B15640,C15640)</f>
        <v>45965</v>
      </c>
      <c r="E15640" s="311">
        <f>DATE(A15640,B15640,C15640)</f>
        <v>45965</v>
      </c>
      <c r="F15640" s="481" t="s">
        <v>1943</v>
      </c>
      <c r="G15640" s="174" t="s">
        <v>74</v>
      </c>
      <c r="I15640" s="148" t="s">
        <v>348</v>
      </c>
      <c r="J15640" s="133" t="s">
        <v>61</v>
      </c>
      <c r="K15640" s="172">
        <v>100</v>
      </c>
    </row>
    <row r="15641" spans="1:14" x14ac:dyDescent="0.2">
      <c r="A15641" s="163">
        <v>2025</v>
      </c>
      <c r="B15641" s="163">
        <v>11</v>
      </c>
      <c r="C15641" s="163">
        <v>4</v>
      </c>
      <c r="D15641" s="280">
        <f>DATE(A15641,B15641,C15641)</f>
        <v>45965</v>
      </c>
      <c r="E15641" s="281">
        <f>DATE(A15641,B15641,C15641)</f>
        <v>45965</v>
      </c>
      <c r="F15641" s="480"/>
      <c r="G15641" s="221" t="s">
        <v>74</v>
      </c>
      <c r="H15641" s="145"/>
      <c r="I15641" s="145" t="s">
        <v>348</v>
      </c>
      <c r="J15641" s="163" t="s">
        <v>52</v>
      </c>
      <c r="K15641" s="219"/>
      <c r="L15641" s="219">
        <f>K15640</f>
        <v>100</v>
      </c>
    </row>
    <row r="15642" spans="1:14" x14ac:dyDescent="0.2">
      <c r="A15642" s="133">
        <v>2025</v>
      </c>
      <c r="B15642" s="133">
        <v>11</v>
      </c>
      <c r="C15642" s="133">
        <v>4</v>
      </c>
      <c r="D15642" s="141">
        <f t="shared" ref="D15642:D15646" si="2532">DATE(A15642,B15642,C15642)</f>
        <v>45965</v>
      </c>
      <c r="E15642" s="275">
        <f t="shared" ref="E15642:E15646" si="2533">DATE(A15642,B15642,C15642)</f>
        <v>45965</v>
      </c>
      <c r="F15642" s="481" t="s">
        <v>2115</v>
      </c>
      <c r="G15642" s="174" t="s">
        <v>94</v>
      </c>
      <c r="H15642" s="174"/>
      <c r="J15642" s="149" t="s">
        <v>79</v>
      </c>
      <c r="K15642" s="218">
        <v>416065</v>
      </c>
      <c r="L15642" s="218"/>
      <c r="M15642" s="160"/>
    </row>
    <row r="15643" spans="1:14" x14ac:dyDescent="0.2">
      <c r="A15643" s="133">
        <v>2025</v>
      </c>
      <c r="B15643" s="133">
        <v>11</v>
      </c>
      <c r="C15643" s="133">
        <v>4</v>
      </c>
      <c r="D15643" s="141">
        <f t="shared" si="2532"/>
        <v>45965</v>
      </c>
      <c r="E15643" s="275">
        <f t="shared" si="2533"/>
        <v>45965</v>
      </c>
      <c r="F15643" s="481"/>
      <c r="G15643" s="174" t="s">
        <v>94</v>
      </c>
      <c r="H15643" s="174"/>
      <c r="J15643" s="149" t="s">
        <v>80</v>
      </c>
      <c r="K15643" s="218">
        <v>1191.31</v>
      </c>
      <c r="L15643" s="264"/>
      <c r="M15643" s="264"/>
      <c r="N15643" s="264"/>
    </row>
    <row r="15644" spans="1:14" x14ac:dyDescent="0.2">
      <c r="A15644" s="133">
        <v>2025</v>
      </c>
      <c r="B15644" s="133">
        <v>11</v>
      </c>
      <c r="C15644" s="133">
        <v>4</v>
      </c>
      <c r="D15644" s="141">
        <f t="shared" si="2532"/>
        <v>45965</v>
      </c>
      <c r="E15644" s="275">
        <f t="shared" si="2533"/>
        <v>45965</v>
      </c>
      <c r="F15644" s="481"/>
      <c r="G15644" s="174" t="s">
        <v>94</v>
      </c>
      <c r="H15644" s="174"/>
      <c r="J15644" s="149" t="s">
        <v>147</v>
      </c>
      <c r="K15644" s="218"/>
      <c r="L15644" s="218">
        <v>171484.31</v>
      </c>
      <c r="M15644" s="264"/>
    </row>
    <row r="15645" spans="1:14" x14ac:dyDescent="0.2">
      <c r="A15645" s="133">
        <v>2025</v>
      </c>
      <c r="B15645" s="133">
        <v>11</v>
      </c>
      <c r="C15645" s="133">
        <v>4</v>
      </c>
      <c r="D15645" s="141">
        <f t="shared" si="2532"/>
        <v>45965</v>
      </c>
      <c r="E15645" s="275">
        <f t="shared" si="2533"/>
        <v>45965</v>
      </c>
      <c r="F15645" s="481"/>
      <c r="G15645" s="174" t="s">
        <v>94</v>
      </c>
      <c r="H15645" s="174"/>
      <c r="J15645" s="149" t="s">
        <v>191</v>
      </c>
      <c r="K15645" s="218">
        <v>7583.48</v>
      </c>
      <c r="L15645" s="218"/>
    </row>
    <row r="15646" spans="1:14" x14ac:dyDescent="0.2">
      <c r="A15646" s="163">
        <v>2025</v>
      </c>
      <c r="B15646" s="163">
        <v>11</v>
      </c>
      <c r="C15646" s="163">
        <v>4</v>
      </c>
      <c r="D15646" s="280">
        <f t="shared" si="2532"/>
        <v>45965</v>
      </c>
      <c r="E15646" s="281">
        <f t="shared" si="2533"/>
        <v>45965</v>
      </c>
      <c r="F15646" s="480"/>
      <c r="G15646" s="221" t="s">
        <v>94</v>
      </c>
      <c r="H15646" s="145"/>
      <c r="I15646" s="145"/>
      <c r="J15646" s="163" t="s">
        <v>79</v>
      </c>
      <c r="K15646" s="219"/>
      <c r="L15646" s="219">
        <v>253355.48</v>
      </c>
      <c r="M15646" s="264"/>
    </row>
    <row r="15647" spans="1:14" x14ac:dyDescent="0.2">
      <c r="A15647" s="168">
        <v>2025</v>
      </c>
      <c r="B15647" s="133">
        <v>11</v>
      </c>
      <c r="C15647" s="168">
        <v>5</v>
      </c>
      <c r="D15647" s="147">
        <f>DATE(A15647,B15647,C15647)</f>
        <v>45966</v>
      </c>
      <c r="E15647" s="311">
        <f>DATE(A15647,B15647,C15647)</f>
        <v>45966</v>
      </c>
      <c r="F15647" s="481" t="s">
        <v>1943</v>
      </c>
      <c r="G15647" s="174" t="s">
        <v>74</v>
      </c>
      <c r="I15647" s="148" t="s">
        <v>348</v>
      </c>
      <c r="J15647" s="133" t="s">
        <v>61</v>
      </c>
      <c r="K15647" s="172">
        <v>100</v>
      </c>
    </row>
    <row r="15648" spans="1:14" x14ac:dyDescent="0.2">
      <c r="A15648" s="163">
        <v>2025</v>
      </c>
      <c r="B15648" s="163">
        <v>11</v>
      </c>
      <c r="C15648" s="163">
        <v>5</v>
      </c>
      <c r="D15648" s="280">
        <f>DATE(A15648,B15648,C15648)</f>
        <v>45966</v>
      </c>
      <c r="E15648" s="281">
        <f>DATE(A15648,B15648,C15648)</f>
        <v>45966</v>
      </c>
      <c r="F15648" s="480"/>
      <c r="G15648" s="221" t="s">
        <v>74</v>
      </c>
      <c r="H15648" s="145"/>
      <c r="I15648" s="145" t="s">
        <v>348</v>
      </c>
      <c r="J15648" s="163" t="s">
        <v>52</v>
      </c>
      <c r="K15648" s="219"/>
      <c r="L15648" s="219">
        <f>K15647</f>
        <v>100</v>
      </c>
    </row>
    <row r="15649" spans="1:14" ht="11.25" customHeight="1" x14ac:dyDescent="0.2">
      <c r="A15649" s="168">
        <v>2025</v>
      </c>
      <c r="B15649" s="133">
        <v>11</v>
      </c>
      <c r="C15649" s="168">
        <v>5</v>
      </c>
      <c r="D15649" s="141">
        <f t="shared" ref="D15649:D15664" si="2534">DATE(A15649,B15649,C15649)</f>
        <v>45966</v>
      </c>
      <c r="E15649" s="275">
        <f t="shared" ref="E15649:E15664" si="2535">DATE(A15649,B15649,C15649)</f>
        <v>45966</v>
      </c>
      <c r="F15649" s="479" t="s">
        <v>2121</v>
      </c>
      <c r="G15649" s="220" t="s">
        <v>74</v>
      </c>
      <c r="H15649" s="220"/>
      <c r="I15649" s="142"/>
      <c r="J15649" s="143" t="s">
        <v>52</v>
      </c>
      <c r="K15649" s="226">
        <v>439758.95</v>
      </c>
      <c r="L15649" s="226"/>
    </row>
    <row r="15650" spans="1:14" x14ac:dyDescent="0.2">
      <c r="A15650" s="163">
        <v>2025</v>
      </c>
      <c r="B15650" s="163">
        <v>11</v>
      </c>
      <c r="C15650" s="163">
        <v>5</v>
      </c>
      <c r="D15650" s="280">
        <f t="shared" si="2534"/>
        <v>45966</v>
      </c>
      <c r="E15650" s="281">
        <f t="shared" si="2535"/>
        <v>45966</v>
      </c>
      <c r="F15650" s="480"/>
      <c r="G15650" s="221" t="s">
        <v>74</v>
      </c>
      <c r="H15650" s="221"/>
      <c r="I15650" s="145"/>
      <c r="J15650" s="146" t="s">
        <v>190</v>
      </c>
      <c r="K15650" s="219"/>
      <c r="L15650" s="219">
        <f>K15649</f>
        <v>439758.95</v>
      </c>
      <c r="N15650" s="264"/>
    </row>
    <row r="15651" spans="1:14" x14ac:dyDescent="0.2">
      <c r="A15651" s="133">
        <v>2025</v>
      </c>
      <c r="B15651" s="133">
        <v>11</v>
      </c>
      <c r="C15651" s="133">
        <v>5</v>
      </c>
      <c r="D15651" s="141">
        <f t="shared" si="2534"/>
        <v>45966</v>
      </c>
      <c r="E15651" s="275">
        <f t="shared" si="2535"/>
        <v>45966</v>
      </c>
      <c r="F15651" s="481" t="s">
        <v>2115</v>
      </c>
      <c r="G15651" s="174" t="s">
        <v>94</v>
      </c>
      <c r="H15651" s="174"/>
      <c r="J15651" s="149" t="s">
        <v>79</v>
      </c>
      <c r="K15651" s="218">
        <v>322620</v>
      </c>
      <c r="L15651" s="218"/>
      <c r="M15651" s="160"/>
    </row>
    <row r="15652" spans="1:14" x14ac:dyDescent="0.2">
      <c r="A15652" s="133">
        <v>2025</v>
      </c>
      <c r="B15652" s="133">
        <v>11</v>
      </c>
      <c r="C15652" s="133">
        <v>5</v>
      </c>
      <c r="D15652" s="141">
        <f t="shared" si="2534"/>
        <v>45966</v>
      </c>
      <c r="E15652" s="275">
        <f t="shared" si="2535"/>
        <v>45966</v>
      </c>
      <c r="F15652" s="481"/>
      <c r="G15652" s="174" t="s">
        <v>94</v>
      </c>
      <c r="H15652" s="174"/>
      <c r="J15652" s="149" t="s">
        <v>80</v>
      </c>
      <c r="K15652" s="218">
        <v>3015.22</v>
      </c>
      <c r="L15652" s="264"/>
      <c r="M15652" s="264"/>
      <c r="N15652" s="264"/>
    </row>
    <row r="15653" spans="1:14" x14ac:dyDescent="0.2">
      <c r="A15653" s="133">
        <v>2025</v>
      </c>
      <c r="B15653" s="133">
        <v>11</v>
      </c>
      <c r="C15653" s="133">
        <v>5</v>
      </c>
      <c r="D15653" s="141">
        <f t="shared" si="2534"/>
        <v>45966</v>
      </c>
      <c r="E15653" s="275">
        <f t="shared" si="2535"/>
        <v>45966</v>
      </c>
      <c r="F15653" s="481"/>
      <c r="G15653" s="174" t="s">
        <v>94</v>
      </c>
      <c r="H15653" s="174"/>
      <c r="J15653" s="149" t="s">
        <v>190</v>
      </c>
      <c r="K15653" s="218">
        <v>1026864.78</v>
      </c>
      <c r="L15653" s="218"/>
      <c r="M15653" s="264"/>
    </row>
    <row r="15654" spans="1:14" x14ac:dyDescent="0.2">
      <c r="A15654" s="133">
        <v>2025</v>
      </c>
      <c r="B15654" s="133">
        <v>11</v>
      </c>
      <c r="C15654" s="133">
        <v>5</v>
      </c>
      <c r="D15654" s="141">
        <f t="shared" si="2534"/>
        <v>45966</v>
      </c>
      <c r="E15654" s="275">
        <f t="shared" si="2535"/>
        <v>45966</v>
      </c>
      <c r="F15654" s="481"/>
      <c r="G15654" s="174" t="s">
        <v>94</v>
      </c>
      <c r="H15654" s="174"/>
      <c r="J15654" s="149" t="s">
        <v>191</v>
      </c>
      <c r="K15654" s="218">
        <v>42945.25</v>
      </c>
      <c r="L15654" s="218"/>
    </row>
    <row r="15655" spans="1:14" x14ac:dyDescent="0.2">
      <c r="A15655" s="163">
        <v>2025</v>
      </c>
      <c r="B15655" s="163">
        <v>11</v>
      </c>
      <c r="C15655" s="163">
        <v>5</v>
      </c>
      <c r="D15655" s="280">
        <f t="shared" si="2534"/>
        <v>45966</v>
      </c>
      <c r="E15655" s="281">
        <f t="shared" si="2535"/>
        <v>45966</v>
      </c>
      <c r="F15655" s="480"/>
      <c r="G15655" s="221" t="s">
        <v>94</v>
      </c>
      <c r="H15655" s="145"/>
      <c r="I15655" s="145"/>
      <c r="J15655" s="163" t="s">
        <v>79</v>
      </c>
      <c r="K15655" s="219"/>
      <c r="L15655" s="219">
        <v>1395445.25</v>
      </c>
      <c r="M15655" s="264"/>
    </row>
    <row r="15656" spans="1:14" ht="11.25" customHeight="1" x14ac:dyDescent="0.2">
      <c r="A15656" s="168">
        <v>2025</v>
      </c>
      <c r="B15656" s="168">
        <v>11</v>
      </c>
      <c r="C15656" s="133">
        <v>5</v>
      </c>
      <c r="D15656" s="141">
        <f t="shared" ref="D15656:D15658" si="2536">DATE(A15656,B15656,C15656)</f>
        <v>45966</v>
      </c>
      <c r="E15656" s="275">
        <f t="shared" ref="E15656:E15658" si="2537">DATE(A15656,B15656,C15656)</f>
        <v>45966</v>
      </c>
      <c r="F15656" s="479" t="s">
        <v>1319</v>
      </c>
      <c r="G15656" s="220" t="s">
        <v>74</v>
      </c>
      <c r="H15656" s="142"/>
      <c r="I15656" s="142"/>
      <c r="J15656" s="168" t="s">
        <v>52</v>
      </c>
      <c r="K15656" s="226">
        <v>43000</v>
      </c>
      <c r="L15656" s="226"/>
    </row>
    <row r="15657" spans="1:14" ht="11.25" customHeight="1" x14ac:dyDescent="0.2">
      <c r="A15657" s="133">
        <v>2025</v>
      </c>
      <c r="B15657" s="133">
        <v>11</v>
      </c>
      <c r="C15657" s="133">
        <v>5</v>
      </c>
      <c r="D15657" s="141">
        <f t="shared" si="2536"/>
        <v>45966</v>
      </c>
      <c r="E15657" s="275">
        <f t="shared" si="2537"/>
        <v>45966</v>
      </c>
      <c r="F15657" s="481"/>
      <c r="G15657" s="174" t="s">
        <v>74</v>
      </c>
      <c r="J15657" s="133" t="s">
        <v>13</v>
      </c>
      <c r="K15657" s="218"/>
      <c r="L15657" s="218">
        <v>30300</v>
      </c>
    </row>
    <row r="15658" spans="1:14" ht="11.25" customHeight="1" x14ac:dyDescent="0.2">
      <c r="A15658" s="163">
        <v>2025</v>
      </c>
      <c r="B15658" s="163">
        <v>11</v>
      </c>
      <c r="C15658" s="163">
        <v>5</v>
      </c>
      <c r="D15658" s="280">
        <f t="shared" si="2536"/>
        <v>45966</v>
      </c>
      <c r="E15658" s="281">
        <f t="shared" si="2537"/>
        <v>45966</v>
      </c>
      <c r="F15658" s="480"/>
      <c r="G15658" s="221" t="s">
        <v>74</v>
      </c>
      <c r="H15658" s="145"/>
      <c r="I15658" s="145"/>
      <c r="J15658" s="163" t="s">
        <v>53</v>
      </c>
      <c r="K15658" s="219"/>
      <c r="L15658" s="219">
        <v>12700</v>
      </c>
    </row>
    <row r="15659" spans="1:14" ht="11.25" customHeight="1" x14ac:dyDescent="0.2">
      <c r="A15659" s="168">
        <v>2025</v>
      </c>
      <c r="B15659" s="168">
        <v>11</v>
      </c>
      <c r="C15659" s="133">
        <v>6</v>
      </c>
      <c r="D15659" s="141">
        <f t="shared" si="2534"/>
        <v>45967</v>
      </c>
      <c r="E15659" s="275">
        <f t="shared" si="2535"/>
        <v>45967</v>
      </c>
      <c r="F15659" s="479" t="s">
        <v>964</v>
      </c>
      <c r="G15659" s="220" t="s">
        <v>74</v>
      </c>
      <c r="H15659" s="142"/>
      <c r="I15659" s="142"/>
      <c r="J15659" s="168" t="s">
        <v>52</v>
      </c>
      <c r="K15659" s="226">
        <v>25000</v>
      </c>
      <c r="L15659" s="226"/>
    </row>
    <row r="15660" spans="1:14" ht="11.25" customHeight="1" x14ac:dyDescent="0.2">
      <c r="A15660" s="133">
        <v>2025</v>
      </c>
      <c r="B15660" s="133">
        <v>11</v>
      </c>
      <c r="C15660" s="133">
        <v>6</v>
      </c>
      <c r="D15660" s="141">
        <f t="shared" si="2534"/>
        <v>45967</v>
      </c>
      <c r="E15660" s="275">
        <f t="shared" si="2535"/>
        <v>45967</v>
      </c>
      <c r="F15660" s="481"/>
      <c r="G15660" s="174" t="s">
        <v>74</v>
      </c>
      <c r="J15660" s="133" t="s">
        <v>13</v>
      </c>
      <c r="K15660" s="218"/>
      <c r="L15660" s="218">
        <v>17620</v>
      </c>
    </row>
    <row r="15661" spans="1:14" ht="11.25" customHeight="1" x14ac:dyDescent="0.2">
      <c r="A15661" s="163">
        <v>2025</v>
      </c>
      <c r="B15661" s="163">
        <v>11</v>
      </c>
      <c r="C15661" s="163">
        <v>6</v>
      </c>
      <c r="D15661" s="280">
        <f t="shared" si="2534"/>
        <v>45967</v>
      </c>
      <c r="E15661" s="281">
        <f t="shared" si="2535"/>
        <v>45967</v>
      </c>
      <c r="F15661" s="480"/>
      <c r="G15661" s="221" t="s">
        <v>74</v>
      </c>
      <c r="H15661" s="145"/>
      <c r="I15661" s="145"/>
      <c r="J15661" s="163" t="s">
        <v>53</v>
      </c>
      <c r="K15661" s="219"/>
      <c r="L15661" s="219">
        <v>7380</v>
      </c>
    </row>
    <row r="15662" spans="1:14" ht="11.25" customHeight="1" x14ac:dyDescent="0.2">
      <c r="A15662" s="168">
        <v>2025</v>
      </c>
      <c r="B15662" s="168">
        <v>11</v>
      </c>
      <c r="C15662" s="133">
        <v>6</v>
      </c>
      <c r="D15662" s="141">
        <f t="shared" si="2534"/>
        <v>45967</v>
      </c>
      <c r="E15662" s="275">
        <f t="shared" si="2535"/>
        <v>45967</v>
      </c>
      <c r="F15662" s="479" t="s">
        <v>1315</v>
      </c>
      <c r="G15662" s="220" t="s">
        <v>74</v>
      </c>
      <c r="H15662" s="142"/>
      <c r="I15662" s="142"/>
      <c r="J15662" s="168" t="s">
        <v>13</v>
      </c>
      <c r="K15662" s="226">
        <v>550000</v>
      </c>
      <c r="L15662" s="226"/>
    </row>
    <row r="15663" spans="1:14" ht="11.25" customHeight="1" x14ac:dyDescent="0.2">
      <c r="A15663" s="133">
        <v>2025</v>
      </c>
      <c r="B15663" s="133">
        <v>11</v>
      </c>
      <c r="C15663" s="133">
        <v>6</v>
      </c>
      <c r="D15663" s="141">
        <f t="shared" si="2534"/>
        <v>45967</v>
      </c>
      <c r="E15663" s="275">
        <f t="shared" si="2535"/>
        <v>45967</v>
      </c>
      <c r="F15663" s="481"/>
      <c r="G15663" s="174" t="s">
        <v>74</v>
      </c>
      <c r="J15663" s="133" t="s">
        <v>53</v>
      </c>
      <c r="K15663" s="218">
        <v>242110</v>
      </c>
      <c r="L15663" s="218"/>
    </row>
    <row r="15664" spans="1:14" ht="11.25" customHeight="1" x14ac:dyDescent="0.2">
      <c r="A15664" s="163">
        <v>2025</v>
      </c>
      <c r="B15664" s="163">
        <v>11</v>
      </c>
      <c r="C15664" s="163">
        <v>6</v>
      </c>
      <c r="D15664" s="280">
        <f t="shared" si="2534"/>
        <v>45967</v>
      </c>
      <c r="E15664" s="281">
        <f t="shared" si="2535"/>
        <v>45967</v>
      </c>
      <c r="F15664" s="480"/>
      <c r="G15664" s="221" t="s">
        <v>74</v>
      </c>
      <c r="H15664" s="145"/>
      <c r="I15664" s="145"/>
      <c r="J15664" s="163" t="s">
        <v>52</v>
      </c>
      <c r="K15664" s="219"/>
      <c r="L15664" s="219">
        <v>792110</v>
      </c>
    </row>
    <row r="15665" spans="1:13" x14ac:dyDescent="0.2">
      <c r="A15665" s="168">
        <v>2025</v>
      </c>
      <c r="B15665" s="133">
        <v>11</v>
      </c>
      <c r="C15665" s="168">
        <v>6</v>
      </c>
      <c r="D15665" s="147">
        <f>DATE(A15665,B15665,C15665)</f>
        <v>45967</v>
      </c>
      <c r="E15665" s="311">
        <f>DATE(A15665,B15665,C15665)</f>
        <v>45967</v>
      </c>
      <c r="F15665" s="481" t="s">
        <v>1943</v>
      </c>
      <c r="G15665" s="174" t="s">
        <v>74</v>
      </c>
      <c r="I15665" s="148" t="s">
        <v>348</v>
      </c>
      <c r="J15665" s="133" t="s">
        <v>61</v>
      </c>
      <c r="K15665" s="172">
        <v>100</v>
      </c>
    </row>
    <row r="15666" spans="1:13" x14ac:dyDescent="0.2">
      <c r="A15666" s="163">
        <v>2025</v>
      </c>
      <c r="B15666" s="163">
        <v>11</v>
      </c>
      <c r="C15666" s="163">
        <v>6</v>
      </c>
      <c r="D15666" s="280">
        <f>DATE(A15666,B15666,C15666)</f>
        <v>45967</v>
      </c>
      <c r="E15666" s="281">
        <f>DATE(A15666,B15666,C15666)</f>
        <v>45967</v>
      </c>
      <c r="F15666" s="480"/>
      <c r="G15666" s="221" t="s">
        <v>74</v>
      </c>
      <c r="H15666" s="145"/>
      <c r="I15666" s="145" t="s">
        <v>348</v>
      </c>
      <c r="J15666" s="163" t="s">
        <v>52</v>
      </c>
      <c r="K15666" s="219"/>
      <c r="L15666" s="219">
        <f>K15665</f>
        <v>100</v>
      </c>
    </row>
    <row r="15667" spans="1:13" ht="11.25" customHeight="1" x14ac:dyDescent="0.2">
      <c r="A15667" s="168">
        <v>2025</v>
      </c>
      <c r="B15667" s="168">
        <v>11</v>
      </c>
      <c r="C15667" s="168">
        <v>6</v>
      </c>
      <c r="D15667" s="141">
        <f t="shared" ref="D15667:D15695" si="2538">DATE(A15667,B15667,C15667)</f>
        <v>45967</v>
      </c>
      <c r="E15667" s="275">
        <f t="shared" ref="E15667:E15695" si="2539">DATE(A15667,B15667,C15667)</f>
        <v>45967</v>
      </c>
      <c r="F15667" s="479" t="s">
        <v>2113</v>
      </c>
      <c r="G15667" s="220" t="s">
        <v>94</v>
      </c>
      <c r="H15667" s="220"/>
      <c r="I15667" s="142"/>
      <c r="J15667" s="143" t="s">
        <v>79</v>
      </c>
      <c r="K15667" s="226">
        <v>548017.5</v>
      </c>
      <c r="L15667" s="226"/>
      <c r="M15667" s="160"/>
    </row>
    <row r="15668" spans="1:13" x14ac:dyDescent="0.2">
      <c r="A15668" s="133">
        <v>2025</v>
      </c>
      <c r="B15668" s="133">
        <v>11</v>
      </c>
      <c r="C15668" s="133">
        <v>6</v>
      </c>
      <c r="D15668" s="141">
        <f t="shared" si="2538"/>
        <v>45967</v>
      </c>
      <c r="E15668" s="275">
        <f t="shared" si="2539"/>
        <v>45967</v>
      </c>
      <c r="F15668" s="481"/>
      <c r="G15668" s="174" t="s">
        <v>94</v>
      </c>
      <c r="H15668" s="174"/>
      <c r="J15668" s="149" t="s">
        <v>80</v>
      </c>
      <c r="K15668" s="218">
        <v>986.43</v>
      </c>
      <c r="L15668" s="133"/>
    </row>
    <row r="15669" spans="1:13" x14ac:dyDescent="0.2">
      <c r="A15669" s="163">
        <v>2025</v>
      </c>
      <c r="B15669" s="163">
        <v>11</v>
      </c>
      <c r="C15669" s="163">
        <v>6</v>
      </c>
      <c r="D15669" s="280">
        <f t="shared" si="2538"/>
        <v>45967</v>
      </c>
      <c r="E15669" s="281">
        <f t="shared" si="2539"/>
        <v>45967</v>
      </c>
      <c r="F15669" s="480"/>
      <c r="G15669" s="221" t="s">
        <v>94</v>
      </c>
      <c r="H15669" s="221"/>
      <c r="I15669" s="145"/>
      <c r="J15669" s="146" t="s">
        <v>147</v>
      </c>
      <c r="K15669" s="219"/>
      <c r="L15669" s="219">
        <v>549003.93000000005</v>
      </c>
    </row>
    <row r="15670" spans="1:13" ht="11.25" customHeight="1" x14ac:dyDescent="0.2">
      <c r="A15670" s="168">
        <v>2025</v>
      </c>
      <c r="B15670" s="168">
        <v>11</v>
      </c>
      <c r="C15670" s="133">
        <v>6</v>
      </c>
      <c r="D15670" s="141">
        <f t="shared" si="2538"/>
        <v>45967</v>
      </c>
      <c r="E15670" s="275">
        <f t="shared" si="2539"/>
        <v>45967</v>
      </c>
      <c r="F15670" s="479" t="s">
        <v>964</v>
      </c>
      <c r="G15670" s="220" t="s">
        <v>74</v>
      </c>
      <c r="H15670" s="142"/>
      <c r="I15670" s="142"/>
      <c r="J15670" s="168" t="s">
        <v>52</v>
      </c>
      <c r="K15670" s="226">
        <v>652648</v>
      </c>
      <c r="L15670" s="226"/>
    </row>
    <row r="15671" spans="1:13" ht="11.25" customHeight="1" x14ac:dyDescent="0.2">
      <c r="A15671" s="133">
        <v>2025</v>
      </c>
      <c r="B15671" s="133">
        <v>11</v>
      </c>
      <c r="C15671" s="133">
        <v>6</v>
      </c>
      <c r="D15671" s="141">
        <f t="shared" si="2538"/>
        <v>45967</v>
      </c>
      <c r="E15671" s="275">
        <f t="shared" si="2539"/>
        <v>45967</v>
      </c>
      <c r="F15671" s="481"/>
      <c r="G15671" s="174" t="s">
        <v>74</v>
      </c>
      <c r="J15671" s="133" t="s">
        <v>13</v>
      </c>
      <c r="K15671" s="218"/>
      <c r="L15671" s="218">
        <v>465710</v>
      </c>
    </row>
    <row r="15672" spans="1:13" ht="11.25" customHeight="1" x14ac:dyDescent="0.2">
      <c r="A15672" s="163">
        <v>2025</v>
      </c>
      <c r="B15672" s="163">
        <v>11</v>
      </c>
      <c r="C15672" s="163">
        <v>6</v>
      </c>
      <c r="D15672" s="280">
        <f t="shared" si="2538"/>
        <v>45967</v>
      </c>
      <c r="E15672" s="281">
        <f t="shared" si="2539"/>
        <v>45967</v>
      </c>
      <c r="F15672" s="480"/>
      <c r="G15672" s="221" t="s">
        <v>74</v>
      </c>
      <c r="H15672" s="145"/>
      <c r="I15672" s="145"/>
      <c r="J15672" s="163" t="s">
        <v>53</v>
      </c>
      <c r="K15672" s="219"/>
      <c r="L15672" s="219">
        <v>186938</v>
      </c>
    </row>
    <row r="15673" spans="1:13" x14ac:dyDescent="0.2">
      <c r="A15673" s="325">
        <v>2025</v>
      </c>
      <c r="B15673" s="325">
        <v>11</v>
      </c>
      <c r="C15673" s="325">
        <v>6</v>
      </c>
      <c r="D15673" s="326">
        <f t="shared" si="2538"/>
        <v>45967</v>
      </c>
      <c r="E15673" s="327">
        <f t="shared" si="2539"/>
        <v>45967</v>
      </c>
      <c r="F15673" s="473" t="s">
        <v>1940</v>
      </c>
      <c r="G15673" s="340" t="s">
        <v>94</v>
      </c>
      <c r="H15673" s="340"/>
      <c r="I15673" s="341" t="s">
        <v>348</v>
      </c>
      <c r="J15673" s="374" t="s">
        <v>133</v>
      </c>
      <c r="K15673" s="375">
        <v>12905.56</v>
      </c>
      <c r="L15673" s="375"/>
      <c r="M15673" s="176"/>
    </row>
    <row r="15674" spans="1:13" x14ac:dyDescent="0.2">
      <c r="A15674" s="331">
        <v>2025</v>
      </c>
      <c r="B15674" s="331">
        <v>11</v>
      </c>
      <c r="C15674" s="331">
        <v>6</v>
      </c>
      <c r="D15674" s="326">
        <f t="shared" si="2538"/>
        <v>45967</v>
      </c>
      <c r="E15674" s="327">
        <f t="shared" si="2539"/>
        <v>45967</v>
      </c>
      <c r="F15674" s="474"/>
      <c r="G15674" s="332" t="s">
        <v>94</v>
      </c>
      <c r="H15674" s="332"/>
      <c r="I15674" s="333" t="s">
        <v>348</v>
      </c>
      <c r="J15674" s="376" t="s">
        <v>60</v>
      </c>
      <c r="K15674" s="334"/>
      <c r="L15674" s="334">
        <f>K15673</f>
        <v>12905.56</v>
      </c>
    </row>
    <row r="15675" spans="1:13" x14ac:dyDescent="0.2">
      <c r="A15675" s="325">
        <v>2025</v>
      </c>
      <c r="B15675" s="325">
        <v>11</v>
      </c>
      <c r="C15675" s="325">
        <v>6</v>
      </c>
      <c r="D15675" s="326">
        <f t="shared" si="2538"/>
        <v>45967</v>
      </c>
      <c r="E15675" s="327">
        <f t="shared" si="2539"/>
        <v>45967</v>
      </c>
      <c r="F15675" s="473" t="s">
        <v>2131</v>
      </c>
      <c r="G15675" s="340" t="s">
        <v>94</v>
      </c>
      <c r="H15675" s="340"/>
      <c r="I15675" s="341" t="s">
        <v>348</v>
      </c>
      <c r="J15675" s="374" t="s">
        <v>2156</v>
      </c>
      <c r="K15675" s="375">
        <v>43298.076923076922</v>
      </c>
      <c r="L15675" s="375"/>
      <c r="M15675" s="176"/>
    </row>
    <row r="15676" spans="1:13" x14ac:dyDescent="0.2">
      <c r="A15676" s="331">
        <v>2025</v>
      </c>
      <c r="B15676" s="331">
        <v>11</v>
      </c>
      <c r="C15676" s="331">
        <v>6</v>
      </c>
      <c r="D15676" s="326">
        <f t="shared" si="2538"/>
        <v>45967</v>
      </c>
      <c r="E15676" s="327">
        <f t="shared" si="2539"/>
        <v>45967</v>
      </c>
      <c r="F15676" s="474"/>
      <c r="G15676" s="332" t="s">
        <v>94</v>
      </c>
      <c r="H15676" s="332"/>
      <c r="I15676" s="333" t="s">
        <v>348</v>
      </c>
      <c r="J15676" s="376" t="s">
        <v>2154</v>
      </c>
      <c r="K15676" s="334"/>
      <c r="L15676" s="334">
        <f>K15675</f>
        <v>43298.076923076922</v>
      </c>
    </row>
    <row r="15677" spans="1:13" x14ac:dyDescent="0.2">
      <c r="A15677" s="384">
        <v>2025</v>
      </c>
      <c r="B15677" s="384">
        <v>11</v>
      </c>
      <c r="C15677" s="384">
        <v>6</v>
      </c>
      <c r="D15677" s="385">
        <f t="shared" si="2538"/>
        <v>45967</v>
      </c>
      <c r="E15677" s="386">
        <f t="shared" si="2539"/>
        <v>45967</v>
      </c>
      <c r="F15677" s="475" t="s">
        <v>1966</v>
      </c>
      <c r="G15677" s="387" t="s">
        <v>94</v>
      </c>
      <c r="H15677" s="387"/>
      <c r="I15677" s="388" t="s">
        <v>348</v>
      </c>
      <c r="J15677" s="389" t="s">
        <v>67</v>
      </c>
      <c r="K15677" s="390">
        <v>3772.84</v>
      </c>
      <c r="L15677" s="390"/>
    </row>
    <row r="15678" spans="1:13" x14ac:dyDescent="0.2">
      <c r="A15678" s="391">
        <v>2025</v>
      </c>
      <c r="B15678" s="391">
        <v>11</v>
      </c>
      <c r="C15678" s="391">
        <v>6</v>
      </c>
      <c r="D15678" s="385">
        <f t="shared" si="2538"/>
        <v>45967</v>
      </c>
      <c r="E15678" s="386">
        <f t="shared" si="2539"/>
        <v>45967</v>
      </c>
      <c r="F15678" s="476"/>
      <c r="G15678" s="392" t="s">
        <v>94</v>
      </c>
      <c r="H15678" s="392"/>
      <c r="I15678" s="393" t="s">
        <v>348</v>
      </c>
      <c r="J15678" s="394" t="s">
        <v>60</v>
      </c>
      <c r="K15678" s="395"/>
      <c r="L15678" s="395">
        <f>K15677</f>
        <v>3772.84</v>
      </c>
    </row>
    <row r="15679" spans="1:13" x14ac:dyDescent="0.2">
      <c r="A15679" s="343">
        <v>2025</v>
      </c>
      <c r="B15679" s="343">
        <v>11</v>
      </c>
      <c r="C15679" s="343">
        <v>6</v>
      </c>
      <c r="D15679" s="344">
        <f t="shared" si="2538"/>
        <v>45967</v>
      </c>
      <c r="E15679" s="345">
        <f t="shared" si="2539"/>
        <v>45967</v>
      </c>
      <c r="F15679" s="483" t="s">
        <v>1813</v>
      </c>
      <c r="G15679" s="350" t="s">
        <v>94</v>
      </c>
      <c r="H15679" s="350"/>
      <c r="I15679" s="352" t="s">
        <v>348</v>
      </c>
      <c r="J15679" s="353" t="s">
        <v>1807</v>
      </c>
      <c r="K15679" s="354">
        <v>0</v>
      </c>
      <c r="L15679" s="354"/>
      <c r="M15679" s="133">
        <v>0</v>
      </c>
    </row>
    <row r="15680" spans="1:13" x14ac:dyDescent="0.2">
      <c r="A15680" s="346">
        <v>2025</v>
      </c>
      <c r="B15680" s="346">
        <v>11</v>
      </c>
      <c r="C15680" s="346">
        <v>6</v>
      </c>
      <c r="D15680" s="344">
        <f t="shared" si="2538"/>
        <v>45967</v>
      </c>
      <c r="E15680" s="345">
        <f t="shared" si="2539"/>
        <v>45967</v>
      </c>
      <c r="F15680" s="484"/>
      <c r="G15680" s="347" t="s">
        <v>94</v>
      </c>
      <c r="H15680" s="347"/>
      <c r="I15680" s="348" t="s">
        <v>348</v>
      </c>
      <c r="J15680" s="355" t="s">
        <v>1798</v>
      </c>
      <c r="K15680" s="349"/>
      <c r="L15680" s="349">
        <v>0</v>
      </c>
    </row>
    <row r="15681" spans="1:14" x14ac:dyDescent="0.2">
      <c r="A15681" s="343">
        <v>2025</v>
      </c>
      <c r="B15681" s="343">
        <v>11</v>
      </c>
      <c r="C15681" s="343">
        <v>6</v>
      </c>
      <c r="D15681" s="344">
        <f t="shared" si="2538"/>
        <v>45967</v>
      </c>
      <c r="E15681" s="345">
        <f t="shared" si="2539"/>
        <v>45967</v>
      </c>
      <c r="F15681" s="483" t="s">
        <v>1913</v>
      </c>
      <c r="G15681" s="350" t="s">
        <v>94</v>
      </c>
      <c r="H15681" s="350"/>
      <c r="I15681" s="352" t="s">
        <v>348</v>
      </c>
      <c r="J15681" s="353" t="s">
        <v>1799</v>
      </c>
      <c r="K15681" s="354">
        <v>3886.7600000002421</v>
      </c>
      <c r="L15681" s="354"/>
      <c r="M15681" s="160">
        <v>0</v>
      </c>
    </row>
    <row r="15682" spans="1:14" x14ac:dyDescent="0.2">
      <c r="A15682" s="346">
        <v>2025</v>
      </c>
      <c r="B15682" s="346">
        <v>11</v>
      </c>
      <c r="C15682" s="346">
        <v>6</v>
      </c>
      <c r="D15682" s="344">
        <f t="shared" si="2538"/>
        <v>45967</v>
      </c>
      <c r="E15682" s="345">
        <f t="shared" si="2539"/>
        <v>45967</v>
      </c>
      <c r="F15682" s="484"/>
      <c r="G15682" s="347" t="s">
        <v>94</v>
      </c>
      <c r="H15682" s="347"/>
      <c r="I15682" s="348" t="s">
        <v>348</v>
      </c>
      <c r="J15682" s="355" t="s">
        <v>1808</v>
      </c>
      <c r="K15682" s="349"/>
      <c r="L15682" s="349">
        <f>K15681</f>
        <v>3886.7600000002421</v>
      </c>
    </row>
    <row r="15683" spans="1:14" x14ac:dyDescent="0.2">
      <c r="A15683" s="238">
        <v>2025</v>
      </c>
      <c r="B15683" s="238">
        <v>11</v>
      </c>
      <c r="C15683" s="238">
        <v>6</v>
      </c>
      <c r="D15683" s="270">
        <f t="shared" si="2538"/>
        <v>45967</v>
      </c>
      <c r="E15683" s="279">
        <f t="shared" si="2539"/>
        <v>45967</v>
      </c>
      <c r="F15683" s="477" t="s">
        <v>347</v>
      </c>
      <c r="G15683" s="239" t="s">
        <v>94</v>
      </c>
      <c r="H15683" s="239"/>
      <c r="I15683" s="262" t="s">
        <v>348</v>
      </c>
      <c r="J15683" s="240" t="s">
        <v>82</v>
      </c>
      <c r="K15683" s="241">
        <v>567039.05000004172</v>
      </c>
      <c r="L15683" s="241"/>
      <c r="M15683" s="160">
        <v>13139541.900000483</v>
      </c>
    </row>
    <row r="15684" spans="1:14" x14ac:dyDescent="0.2">
      <c r="A15684" s="242">
        <v>2025</v>
      </c>
      <c r="B15684" s="242">
        <v>11</v>
      </c>
      <c r="C15684" s="242">
        <v>6</v>
      </c>
      <c r="D15684" s="270">
        <f t="shared" si="2538"/>
        <v>45967</v>
      </c>
      <c r="E15684" s="279">
        <f t="shared" si="2539"/>
        <v>45967</v>
      </c>
      <c r="F15684" s="478"/>
      <c r="G15684" s="243" t="s">
        <v>94</v>
      </c>
      <c r="H15684" s="243"/>
      <c r="I15684" s="263" t="s">
        <v>348</v>
      </c>
      <c r="J15684" s="244" t="s">
        <v>108</v>
      </c>
      <c r="K15684" s="245"/>
      <c r="L15684" s="245">
        <f>K15683</f>
        <v>567039.05000004172</v>
      </c>
    </row>
    <row r="15685" spans="1:14" ht="12" customHeight="1" x14ac:dyDescent="0.2">
      <c r="A15685" s="246">
        <v>2025</v>
      </c>
      <c r="B15685" s="238">
        <v>11</v>
      </c>
      <c r="C15685" s="238">
        <v>6</v>
      </c>
      <c r="D15685" s="270">
        <f t="shared" si="2538"/>
        <v>45967</v>
      </c>
      <c r="E15685" s="279">
        <f t="shared" si="2539"/>
        <v>45967</v>
      </c>
      <c r="F15685" s="482" t="s">
        <v>148</v>
      </c>
      <c r="G15685" s="247" t="s">
        <v>94</v>
      </c>
      <c r="H15685" s="247"/>
      <c r="I15685" s="248" t="s">
        <v>348</v>
      </c>
      <c r="J15685" s="249" t="s">
        <v>95</v>
      </c>
      <c r="K15685" s="250">
        <v>2747.2527472527472</v>
      </c>
      <c r="L15685" s="241"/>
      <c r="M15685" s="176"/>
    </row>
    <row r="15686" spans="1:14" x14ac:dyDescent="0.2">
      <c r="A15686" s="242">
        <v>2025</v>
      </c>
      <c r="B15686" s="242">
        <v>11</v>
      </c>
      <c r="C15686" s="242">
        <v>6</v>
      </c>
      <c r="D15686" s="270">
        <f t="shared" si="2538"/>
        <v>45967</v>
      </c>
      <c r="E15686" s="279">
        <f t="shared" si="2539"/>
        <v>45967</v>
      </c>
      <c r="F15686" s="478"/>
      <c r="G15686" s="243" t="s">
        <v>94</v>
      </c>
      <c r="H15686" s="243"/>
      <c r="I15686" s="263" t="s">
        <v>348</v>
      </c>
      <c r="J15686" s="244" t="s">
        <v>63</v>
      </c>
      <c r="K15686" s="245"/>
      <c r="L15686" s="245">
        <f>K15685</f>
        <v>2747.2527472527472</v>
      </c>
    </row>
    <row r="15687" spans="1:14" x14ac:dyDescent="0.2">
      <c r="A15687" s="246">
        <v>2025</v>
      </c>
      <c r="B15687" s="238">
        <v>11</v>
      </c>
      <c r="C15687" s="238">
        <v>6</v>
      </c>
      <c r="D15687" s="270">
        <f t="shared" si="2538"/>
        <v>45967</v>
      </c>
      <c r="E15687" s="279">
        <f t="shared" si="2539"/>
        <v>45967</v>
      </c>
      <c r="F15687" s="482" t="s">
        <v>137</v>
      </c>
      <c r="G15687" s="247" t="s">
        <v>94</v>
      </c>
      <c r="H15687" s="247"/>
      <c r="I15687" s="248" t="s">
        <v>348</v>
      </c>
      <c r="J15687" s="249" t="s">
        <v>97</v>
      </c>
      <c r="K15687" s="250">
        <f>M15687</f>
        <v>87791.018523290753</v>
      </c>
      <c r="L15687" s="252"/>
      <c r="M15687" s="133">
        <v>87791.018523290753</v>
      </c>
    </row>
    <row r="15688" spans="1:14" x14ac:dyDescent="0.2">
      <c r="A15688" s="242">
        <v>2025</v>
      </c>
      <c r="B15688" s="242">
        <v>11</v>
      </c>
      <c r="C15688" s="242">
        <v>6</v>
      </c>
      <c r="D15688" s="270">
        <f t="shared" si="2538"/>
        <v>45967</v>
      </c>
      <c r="E15688" s="279">
        <f t="shared" si="2539"/>
        <v>45967</v>
      </c>
      <c r="F15688" s="478"/>
      <c r="G15688" s="243" t="s">
        <v>94</v>
      </c>
      <c r="H15688" s="243"/>
      <c r="I15688" s="263" t="s">
        <v>348</v>
      </c>
      <c r="J15688" s="244" t="s">
        <v>47</v>
      </c>
      <c r="K15688" s="245"/>
      <c r="L15688" s="245">
        <f>K15687</f>
        <v>87791.018523290753</v>
      </c>
      <c r="M15688" s="133">
        <v>4149.1663107799213</v>
      </c>
    </row>
    <row r="15689" spans="1:14" x14ac:dyDescent="0.2">
      <c r="A15689" s="246">
        <v>2025</v>
      </c>
      <c r="B15689" s="238">
        <v>11</v>
      </c>
      <c r="C15689" s="238">
        <v>6</v>
      </c>
      <c r="D15689" s="270">
        <f t="shared" si="2538"/>
        <v>45967</v>
      </c>
      <c r="E15689" s="279">
        <f t="shared" si="2539"/>
        <v>45967</v>
      </c>
      <c r="F15689" s="482" t="s">
        <v>138</v>
      </c>
      <c r="G15689" s="247" t="s">
        <v>94</v>
      </c>
      <c r="H15689" s="247"/>
      <c r="I15689" s="248" t="s">
        <v>348</v>
      </c>
      <c r="J15689" s="249" t="s">
        <v>100</v>
      </c>
      <c r="K15689" s="250">
        <f>M15688</f>
        <v>4149.1663107799213</v>
      </c>
      <c r="L15689" s="252"/>
    </row>
    <row r="15690" spans="1:14" x14ac:dyDescent="0.2">
      <c r="A15690" s="242">
        <v>2025</v>
      </c>
      <c r="B15690" s="242">
        <v>11</v>
      </c>
      <c r="C15690" s="242">
        <v>6</v>
      </c>
      <c r="D15690" s="321">
        <f t="shared" si="2538"/>
        <v>45967</v>
      </c>
      <c r="E15690" s="322">
        <f t="shared" si="2539"/>
        <v>45967</v>
      </c>
      <c r="F15690" s="478"/>
      <c r="G15690" s="243" t="s">
        <v>94</v>
      </c>
      <c r="H15690" s="243"/>
      <c r="I15690" s="263" t="s">
        <v>348</v>
      </c>
      <c r="J15690" s="244" t="s">
        <v>48</v>
      </c>
      <c r="K15690" s="245"/>
      <c r="L15690" s="245">
        <f>K15689</f>
        <v>4149.1663107799213</v>
      </c>
    </row>
    <row r="15691" spans="1:14" x14ac:dyDescent="0.2">
      <c r="A15691" s="133">
        <v>2025</v>
      </c>
      <c r="B15691" s="133">
        <v>11</v>
      </c>
      <c r="C15691" s="133">
        <v>9</v>
      </c>
      <c r="D15691" s="141">
        <f t="shared" si="2538"/>
        <v>45970</v>
      </c>
      <c r="E15691" s="275">
        <f t="shared" si="2539"/>
        <v>45970</v>
      </c>
      <c r="F15691" s="481" t="s">
        <v>2115</v>
      </c>
      <c r="G15691" s="174" t="s">
        <v>94</v>
      </c>
      <c r="H15691" s="174"/>
      <c r="J15691" s="149" t="s">
        <v>79</v>
      </c>
      <c r="K15691" s="218">
        <v>2736318</v>
      </c>
      <c r="L15691" s="218"/>
      <c r="M15691" s="160"/>
    </row>
    <row r="15692" spans="1:14" x14ac:dyDescent="0.2">
      <c r="A15692" s="133">
        <v>2025</v>
      </c>
      <c r="B15692" s="133">
        <v>11</v>
      </c>
      <c r="C15692" s="133">
        <v>9</v>
      </c>
      <c r="D15692" s="141">
        <f t="shared" si="2538"/>
        <v>45970</v>
      </c>
      <c r="E15692" s="275">
        <f t="shared" si="2539"/>
        <v>45970</v>
      </c>
      <c r="F15692" s="481"/>
      <c r="G15692" s="174" t="s">
        <v>94</v>
      </c>
      <c r="H15692" s="174"/>
      <c r="J15692" s="149" t="s">
        <v>80</v>
      </c>
      <c r="K15692" s="218">
        <v>6288.94</v>
      </c>
      <c r="L15692" s="264"/>
      <c r="M15692" s="264"/>
      <c r="N15692" s="264"/>
    </row>
    <row r="15693" spans="1:14" x14ac:dyDescent="0.2">
      <c r="A15693" s="133">
        <v>2025</v>
      </c>
      <c r="B15693" s="133">
        <v>11</v>
      </c>
      <c r="C15693" s="133">
        <v>9</v>
      </c>
      <c r="D15693" s="141">
        <f t="shared" si="2538"/>
        <v>45970</v>
      </c>
      <c r="E15693" s="275">
        <f t="shared" si="2539"/>
        <v>45970</v>
      </c>
      <c r="F15693" s="481"/>
      <c r="G15693" s="174" t="s">
        <v>94</v>
      </c>
      <c r="H15693" s="174"/>
      <c r="J15693" s="149" t="s">
        <v>147</v>
      </c>
      <c r="K15693" s="218"/>
      <c r="L15693" s="218">
        <v>1985068.94</v>
      </c>
      <c r="M15693" s="264"/>
    </row>
    <row r="15694" spans="1:14" x14ac:dyDescent="0.2">
      <c r="A15694" s="133">
        <v>2025</v>
      </c>
      <c r="B15694" s="133">
        <v>11</v>
      </c>
      <c r="C15694" s="133">
        <v>9</v>
      </c>
      <c r="D15694" s="141">
        <f t="shared" si="2538"/>
        <v>45970</v>
      </c>
      <c r="E15694" s="275">
        <f t="shared" si="2539"/>
        <v>45970</v>
      </c>
      <c r="F15694" s="481"/>
      <c r="G15694" s="174" t="s">
        <v>94</v>
      </c>
      <c r="H15694" s="174"/>
      <c r="J15694" s="149" t="s">
        <v>191</v>
      </c>
      <c r="K15694" s="218">
        <v>25678.06</v>
      </c>
      <c r="L15694" s="218"/>
    </row>
    <row r="15695" spans="1:14" x14ac:dyDescent="0.2">
      <c r="A15695" s="163">
        <v>2025</v>
      </c>
      <c r="B15695" s="163">
        <v>11</v>
      </c>
      <c r="C15695" s="163">
        <v>9</v>
      </c>
      <c r="D15695" s="280">
        <f t="shared" si="2538"/>
        <v>45970</v>
      </c>
      <c r="E15695" s="281">
        <f t="shared" si="2539"/>
        <v>45970</v>
      </c>
      <c r="F15695" s="480"/>
      <c r="G15695" s="221" t="s">
        <v>94</v>
      </c>
      <c r="H15695" s="145"/>
      <c r="I15695" s="145"/>
      <c r="J15695" s="163" t="s">
        <v>79</v>
      </c>
      <c r="K15695" s="219"/>
      <c r="L15695" s="219">
        <v>783216.06</v>
      </c>
      <c r="M15695" s="264"/>
    </row>
    <row r="15696" spans="1:14" ht="11.25" customHeight="1" x14ac:dyDescent="0.2">
      <c r="A15696" s="168">
        <v>2025</v>
      </c>
      <c r="B15696" s="168">
        <v>11</v>
      </c>
      <c r="C15696" s="168">
        <v>9</v>
      </c>
      <c r="D15696" s="141">
        <f t="shared" ref="D15696:D15705" si="2540">DATE(A15696,B15696,C15696)</f>
        <v>45970</v>
      </c>
      <c r="E15696" s="275">
        <f t="shared" ref="E15696:E15705" si="2541">DATE(A15696,B15696,C15696)</f>
        <v>45970</v>
      </c>
      <c r="F15696" s="479" t="s">
        <v>2108</v>
      </c>
      <c r="G15696" s="220" t="s">
        <v>94</v>
      </c>
      <c r="H15696" s="220"/>
      <c r="I15696" s="142"/>
      <c r="J15696" s="143" t="s">
        <v>79</v>
      </c>
      <c r="K15696" s="226">
        <v>663000</v>
      </c>
      <c r="L15696" s="226"/>
      <c r="M15696" s="160"/>
    </row>
    <row r="15697" spans="1:17" x14ac:dyDescent="0.2">
      <c r="A15697" s="133">
        <v>2025</v>
      </c>
      <c r="B15697" s="133">
        <v>11</v>
      </c>
      <c r="C15697" s="133">
        <v>9</v>
      </c>
      <c r="D15697" s="141">
        <f t="shared" si="2540"/>
        <v>45970</v>
      </c>
      <c r="E15697" s="275">
        <f t="shared" si="2541"/>
        <v>45970</v>
      </c>
      <c r="F15697" s="481"/>
      <c r="G15697" s="174" t="s">
        <v>94</v>
      </c>
      <c r="H15697" s="174"/>
      <c r="J15697" s="149" t="s">
        <v>80</v>
      </c>
      <c r="K15697" s="218">
        <v>1193.4000000000001</v>
      </c>
      <c r="L15697" s="133"/>
    </row>
    <row r="15698" spans="1:17" x14ac:dyDescent="0.2">
      <c r="A15698" s="163">
        <v>2025</v>
      </c>
      <c r="B15698" s="163">
        <v>11</v>
      </c>
      <c r="C15698" s="163">
        <v>9</v>
      </c>
      <c r="D15698" s="280">
        <f t="shared" si="2540"/>
        <v>45970</v>
      </c>
      <c r="E15698" s="281">
        <f t="shared" si="2541"/>
        <v>45970</v>
      </c>
      <c r="F15698" s="480"/>
      <c r="G15698" s="221" t="s">
        <v>94</v>
      </c>
      <c r="H15698" s="221"/>
      <c r="I15698" s="145"/>
      <c r="J15698" s="146" t="s">
        <v>147</v>
      </c>
      <c r="K15698" s="219"/>
      <c r="L15698" s="219">
        <v>664193.4</v>
      </c>
    </row>
    <row r="15699" spans="1:17" ht="11.25" customHeight="1" x14ac:dyDescent="0.2">
      <c r="A15699" s="168">
        <v>2025</v>
      </c>
      <c r="B15699" s="133">
        <v>11</v>
      </c>
      <c r="C15699" s="168">
        <v>9</v>
      </c>
      <c r="D15699" s="141">
        <f t="shared" si="2540"/>
        <v>45970</v>
      </c>
      <c r="E15699" s="275">
        <f t="shared" si="2541"/>
        <v>45970</v>
      </c>
      <c r="F15699" s="479" t="s">
        <v>2121</v>
      </c>
      <c r="G15699" s="220" t="s">
        <v>74</v>
      </c>
      <c r="H15699" s="220"/>
      <c r="I15699" s="142"/>
      <c r="J15699" s="143" t="s">
        <v>52</v>
      </c>
      <c r="K15699" s="226">
        <v>477860.85</v>
      </c>
      <c r="L15699" s="226"/>
    </row>
    <row r="15700" spans="1:17" x14ac:dyDescent="0.2">
      <c r="A15700" s="163">
        <v>2025</v>
      </c>
      <c r="B15700" s="163">
        <v>11</v>
      </c>
      <c r="C15700" s="163">
        <v>9</v>
      </c>
      <c r="D15700" s="280">
        <f t="shared" si="2540"/>
        <v>45970</v>
      </c>
      <c r="E15700" s="281">
        <f t="shared" si="2541"/>
        <v>45970</v>
      </c>
      <c r="F15700" s="480"/>
      <c r="G15700" s="221" t="s">
        <v>74</v>
      </c>
      <c r="H15700" s="221"/>
      <c r="I15700" s="145"/>
      <c r="J15700" s="146" t="s">
        <v>190</v>
      </c>
      <c r="K15700" s="219"/>
      <c r="L15700" s="219">
        <f>K15699</f>
        <v>477860.85</v>
      </c>
      <c r="N15700" s="264"/>
    </row>
    <row r="15701" spans="1:17" ht="11.25" customHeight="1" x14ac:dyDescent="0.2">
      <c r="A15701" s="168">
        <v>2025</v>
      </c>
      <c r="B15701" s="168">
        <v>11</v>
      </c>
      <c r="C15701" s="133">
        <v>9</v>
      </c>
      <c r="D15701" s="141">
        <f>DATE(A15701,B15701,C15701)</f>
        <v>45970</v>
      </c>
      <c r="E15701" s="275">
        <f>DATE(A15701,B15701,C15701)</f>
        <v>45970</v>
      </c>
      <c r="F15701" s="481" t="s">
        <v>2012</v>
      </c>
      <c r="G15701" s="174" t="s">
        <v>74</v>
      </c>
      <c r="H15701" s="174"/>
      <c r="I15701" s="148" t="s">
        <v>348</v>
      </c>
      <c r="J15701" s="149" t="s">
        <v>52</v>
      </c>
      <c r="K15701" s="218">
        <v>2208598.5499999998</v>
      </c>
      <c r="L15701" s="218"/>
      <c r="M15701" s="147"/>
      <c r="Q15701" s="133" t="s">
        <v>348</v>
      </c>
    </row>
    <row r="15702" spans="1:17" x14ac:dyDescent="0.2">
      <c r="A15702" s="133">
        <v>2025</v>
      </c>
      <c r="B15702" s="133">
        <v>11</v>
      </c>
      <c r="C15702" s="133">
        <v>9</v>
      </c>
      <c r="D15702" s="141">
        <f t="shared" ref="D15702" si="2542">DATE(A15702,B15702,C15702)</f>
        <v>45970</v>
      </c>
      <c r="E15702" s="275">
        <f t="shared" ref="E15702" si="2543">DATE(A15702,B15702,C15702)</f>
        <v>45970</v>
      </c>
      <c r="F15702" s="481"/>
      <c r="G15702" s="174" t="s">
        <v>74</v>
      </c>
      <c r="H15702" s="174"/>
      <c r="J15702" s="149" t="s">
        <v>1810</v>
      </c>
      <c r="K15702" s="218"/>
      <c r="L15702" s="218">
        <v>5538.2399999997579</v>
      </c>
      <c r="M15702" s="147"/>
    </row>
    <row r="15703" spans="1:17" x14ac:dyDescent="0.2">
      <c r="A15703" s="163">
        <v>2025</v>
      </c>
      <c r="B15703" s="163">
        <v>11</v>
      </c>
      <c r="C15703" s="163">
        <v>9</v>
      </c>
      <c r="D15703" s="280">
        <f>DATE(A15703,B15703,C15703)</f>
        <v>45970</v>
      </c>
      <c r="E15703" s="281">
        <f>DATE(A15703,B15703,C15703)</f>
        <v>45970</v>
      </c>
      <c r="F15703" s="480"/>
      <c r="G15703" s="221" t="s">
        <v>74</v>
      </c>
      <c r="H15703" s="221"/>
      <c r="I15703" s="145"/>
      <c r="J15703" s="146" t="s">
        <v>1805</v>
      </c>
      <c r="K15703" s="219"/>
      <c r="L15703" s="219">
        <v>2203060.31</v>
      </c>
      <c r="M15703" s="147"/>
      <c r="Q15703" s="133" t="s">
        <v>348</v>
      </c>
    </row>
    <row r="15704" spans="1:17" ht="11.25" customHeight="1" x14ac:dyDescent="0.2">
      <c r="A15704" s="168">
        <v>2025</v>
      </c>
      <c r="B15704" s="133">
        <v>11</v>
      </c>
      <c r="C15704" s="168">
        <v>10</v>
      </c>
      <c r="D15704" s="141">
        <f t="shared" si="2540"/>
        <v>45971</v>
      </c>
      <c r="E15704" s="275">
        <f t="shared" si="2541"/>
        <v>45971</v>
      </c>
      <c r="F15704" s="479" t="s">
        <v>2074</v>
      </c>
      <c r="G15704" s="220" t="s">
        <v>74</v>
      </c>
      <c r="H15704" s="220"/>
      <c r="I15704" s="142"/>
      <c r="J15704" s="143" t="s">
        <v>147</v>
      </c>
      <c r="K15704" s="226">
        <v>664193.4</v>
      </c>
      <c r="L15704" s="226"/>
    </row>
    <row r="15705" spans="1:17" x14ac:dyDescent="0.2">
      <c r="A15705" s="163">
        <v>2025</v>
      </c>
      <c r="B15705" s="163">
        <v>11</v>
      </c>
      <c r="C15705" s="163">
        <v>10</v>
      </c>
      <c r="D15705" s="280">
        <f t="shared" si="2540"/>
        <v>45971</v>
      </c>
      <c r="E15705" s="281">
        <f t="shared" si="2541"/>
        <v>45971</v>
      </c>
      <c r="F15705" s="480"/>
      <c r="G15705" s="221" t="s">
        <v>74</v>
      </c>
      <c r="H15705" s="221"/>
      <c r="I15705" s="145"/>
      <c r="J15705" s="146" t="s">
        <v>52</v>
      </c>
      <c r="K15705" s="219"/>
      <c r="L15705" s="219">
        <f>K15704</f>
        <v>664193.4</v>
      </c>
      <c r="N15705" s="264"/>
    </row>
    <row r="15706" spans="1:17" x14ac:dyDescent="0.2">
      <c r="A15706" s="168">
        <v>2025</v>
      </c>
      <c r="B15706" s="133">
        <v>11</v>
      </c>
      <c r="C15706" s="168">
        <v>10</v>
      </c>
      <c r="D15706" s="147">
        <f>DATE(A15706,B15706,C15706)</f>
        <v>45971</v>
      </c>
      <c r="E15706" s="311">
        <f>DATE(A15706,B15706,C15706)</f>
        <v>45971</v>
      </c>
      <c r="F15706" s="481" t="s">
        <v>1943</v>
      </c>
      <c r="G15706" s="174" t="s">
        <v>74</v>
      </c>
      <c r="I15706" s="148" t="s">
        <v>348</v>
      </c>
      <c r="J15706" s="133" t="s">
        <v>61</v>
      </c>
      <c r="K15706" s="172">
        <v>300</v>
      </c>
    </row>
    <row r="15707" spans="1:17" x14ac:dyDescent="0.2">
      <c r="A15707" s="163">
        <v>2025</v>
      </c>
      <c r="B15707" s="163">
        <v>11</v>
      </c>
      <c r="C15707" s="163">
        <v>10</v>
      </c>
      <c r="D15707" s="280">
        <f>DATE(A15707,B15707,C15707)</f>
        <v>45971</v>
      </c>
      <c r="E15707" s="281">
        <f>DATE(A15707,B15707,C15707)</f>
        <v>45971</v>
      </c>
      <c r="F15707" s="480"/>
      <c r="G15707" s="221" t="s">
        <v>74</v>
      </c>
      <c r="H15707" s="145"/>
      <c r="I15707" s="145" t="s">
        <v>348</v>
      </c>
      <c r="J15707" s="163" t="s">
        <v>52</v>
      </c>
      <c r="K15707" s="219"/>
      <c r="L15707" s="219">
        <f>K15706</f>
        <v>300</v>
      </c>
    </row>
    <row r="15708" spans="1:17" ht="11.25" customHeight="1" x14ac:dyDescent="0.2">
      <c r="A15708" s="168">
        <v>2025</v>
      </c>
      <c r="B15708" s="133">
        <v>11</v>
      </c>
      <c r="C15708" s="168">
        <v>10</v>
      </c>
      <c r="D15708" s="141">
        <f t="shared" ref="D15708:D15717" si="2544">DATE(A15708,B15708,C15708)</f>
        <v>45971</v>
      </c>
      <c r="E15708" s="275">
        <f t="shared" ref="E15708:E15717" si="2545">DATE(A15708,B15708,C15708)</f>
        <v>45971</v>
      </c>
      <c r="F15708" s="479" t="s">
        <v>2116</v>
      </c>
      <c r="G15708" s="220" t="s">
        <v>74</v>
      </c>
      <c r="H15708" s="220"/>
      <c r="I15708" s="142"/>
      <c r="J15708" s="143" t="s">
        <v>147</v>
      </c>
      <c r="K15708" s="226">
        <v>4513028.24</v>
      </c>
      <c r="L15708" s="226"/>
    </row>
    <row r="15709" spans="1:17" x14ac:dyDescent="0.2">
      <c r="A15709" s="133">
        <v>2025</v>
      </c>
      <c r="B15709" s="133">
        <v>11</v>
      </c>
      <c r="C15709" s="133">
        <v>10</v>
      </c>
      <c r="D15709" s="141">
        <f t="shared" si="2544"/>
        <v>45971</v>
      </c>
      <c r="E15709" s="275">
        <f t="shared" si="2545"/>
        <v>45971</v>
      </c>
      <c r="F15709" s="481"/>
      <c r="G15709" s="174" t="s">
        <v>74</v>
      </c>
      <c r="H15709" s="174"/>
      <c r="J15709" s="149" t="s">
        <v>190</v>
      </c>
      <c r="K15709" s="218"/>
      <c r="L15709" s="373">
        <v>2527959.34</v>
      </c>
    </row>
    <row r="15710" spans="1:17" x14ac:dyDescent="0.2">
      <c r="A15710" s="163">
        <v>2025</v>
      </c>
      <c r="B15710" s="163">
        <v>11</v>
      </c>
      <c r="C15710" s="163">
        <v>10</v>
      </c>
      <c r="D15710" s="280">
        <f t="shared" si="2544"/>
        <v>45971</v>
      </c>
      <c r="E15710" s="281">
        <f t="shared" si="2545"/>
        <v>45971</v>
      </c>
      <c r="F15710" s="480"/>
      <c r="G15710" s="221" t="s">
        <v>74</v>
      </c>
      <c r="H15710" s="221"/>
      <c r="I15710" s="145"/>
      <c r="J15710" s="146" t="s">
        <v>52</v>
      </c>
      <c r="K15710" s="219"/>
      <c r="L15710" s="219">
        <v>1985068.9</v>
      </c>
      <c r="N15710" s="264"/>
    </row>
    <row r="15711" spans="1:17" x14ac:dyDescent="0.2">
      <c r="A15711" s="133">
        <v>2025</v>
      </c>
      <c r="B15711" s="133">
        <v>11</v>
      </c>
      <c r="C15711" s="133">
        <v>10</v>
      </c>
      <c r="D15711" s="141">
        <f t="shared" si="2544"/>
        <v>45971</v>
      </c>
      <c r="E15711" s="275">
        <f t="shared" si="2545"/>
        <v>45971</v>
      </c>
      <c r="F15711" s="481" t="s">
        <v>2115</v>
      </c>
      <c r="G15711" s="174" t="s">
        <v>94</v>
      </c>
      <c r="H15711" s="174"/>
      <c r="J15711" s="149" t="s">
        <v>79</v>
      </c>
      <c r="K15711" s="218">
        <v>851294.4</v>
      </c>
      <c r="L15711" s="218"/>
      <c r="M15711" s="160"/>
    </row>
    <row r="15712" spans="1:17" x14ac:dyDescent="0.2">
      <c r="A15712" s="133">
        <v>2025</v>
      </c>
      <c r="B15712" s="133">
        <v>11</v>
      </c>
      <c r="C15712" s="133">
        <v>10</v>
      </c>
      <c r="D15712" s="141">
        <f t="shared" si="2544"/>
        <v>45971</v>
      </c>
      <c r="E15712" s="275">
        <f t="shared" si="2545"/>
        <v>45971</v>
      </c>
      <c r="F15712" s="481"/>
      <c r="G15712" s="174" t="s">
        <v>94</v>
      </c>
      <c r="H15712" s="174"/>
      <c r="J15712" s="149" t="s">
        <v>80</v>
      </c>
      <c r="K15712" s="218">
        <v>3435.83</v>
      </c>
      <c r="L15712" s="264"/>
      <c r="M15712" s="264"/>
      <c r="N15712" s="264"/>
    </row>
    <row r="15713" spans="1:14" x14ac:dyDescent="0.2">
      <c r="A15713" s="133">
        <v>2025</v>
      </c>
      <c r="B15713" s="133">
        <v>11</v>
      </c>
      <c r="C15713" s="133">
        <v>10</v>
      </c>
      <c r="D15713" s="141">
        <f t="shared" si="2544"/>
        <v>45971</v>
      </c>
      <c r="E15713" s="275">
        <f t="shared" si="2545"/>
        <v>45971</v>
      </c>
      <c r="F15713" s="481"/>
      <c r="G15713" s="174" t="s">
        <v>94</v>
      </c>
      <c r="H15713" s="174"/>
      <c r="J15713" s="149" t="s">
        <v>190</v>
      </c>
      <c r="K15713" s="218">
        <v>202769.77</v>
      </c>
      <c r="L15713" s="218"/>
      <c r="M15713" s="264"/>
    </row>
    <row r="15714" spans="1:14" x14ac:dyDescent="0.2">
      <c r="A15714" s="133">
        <v>2025</v>
      </c>
      <c r="B15714" s="133">
        <v>11</v>
      </c>
      <c r="C15714" s="133">
        <v>10</v>
      </c>
      <c r="D15714" s="141">
        <f t="shared" si="2544"/>
        <v>45971</v>
      </c>
      <c r="E15714" s="275">
        <f t="shared" si="2545"/>
        <v>45971</v>
      </c>
      <c r="F15714" s="481"/>
      <c r="G15714" s="174" t="s">
        <v>94</v>
      </c>
      <c r="H15714" s="174"/>
      <c r="J15714" s="149" t="s">
        <v>191</v>
      </c>
      <c r="K15714" s="218">
        <v>7687.01</v>
      </c>
      <c r="L15714" s="218"/>
    </row>
    <row r="15715" spans="1:14" x14ac:dyDescent="0.2">
      <c r="A15715" s="163">
        <v>2025</v>
      </c>
      <c r="B15715" s="163">
        <v>11</v>
      </c>
      <c r="C15715" s="163">
        <v>10</v>
      </c>
      <c r="D15715" s="280">
        <f t="shared" si="2544"/>
        <v>45971</v>
      </c>
      <c r="E15715" s="281">
        <f t="shared" si="2545"/>
        <v>45971</v>
      </c>
      <c r="F15715" s="480"/>
      <c r="G15715" s="221" t="s">
        <v>94</v>
      </c>
      <c r="H15715" s="145"/>
      <c r="I15715" s="145"/>
      <c r="J15715" s="163" t="s">
        <v>79</v>
      </c>
      <c r="K15715" s="219"/>
      <c r="L15715" s="219">
        <v>1065187.01</v>
      </c>
      <c r="M15715" s="264"/>
    </row>
    <row r="15716" spans="1:14" x14ac:dyDescent="0.2">
      <c r="A15716" s="168">
        <v>2025</v>
      </c>
      <c r="B15716" s="133">
        <v>11</v>
      </c>
      <c r="C15716" s="168">
        <v>10</v>
      </c>
      <c r="D15716" s="141">
        <f t="shared" si="2544"/>
        <v>45971</v>
      </c>
      <c r="E15716" s="275">
        <f t="shared" si="2545"/>
        <v>45971</v>
      </c>
      <c r="F15716" s="481" t="s">
        <v>2129</v>
      </c>
      <c r="G15716" s="174" t="s">
        <v>94</v>
      </c>
      <c r="H15716" s="174"/>
      <c r="I15716" s="148" t="s">
        <v>348</v>
      </c>
      <c r="J15716" s="149" t="s">
        <v>168</v>
      </c>
      <c r="K15716" s="218">
        <v>207500</v>
      </c>
      <c r="L15716" s="218"/>
    </row>
    <row r="15717" spans="1:14" x14ac:dyDescent="0.2">
      <c r="A15717" s="163">
        <v>2025</v>
      </c>
      <c r="B15717" s="163">
        <v>11</v>
      </c>
      <c r="C15717" s="163">
        <v>10</v>
      </c>
      <c r="D15717" s="141">
        <f t="shared" si="2544"/>
        <v>45971</v>
      </c>
      <c r="E15717" s="275">
        <f t="shared" si="2545"/>
        <v>45971</v>
      </c>
      <c r="F15717" s="480"/>
      <c r="G15717" s="221" t="s">
        <v>94</v>
      </c>
      <c r="H15717" s="221"/>
      <c r="I15717" s="145" t="s">
        <v>348</v>
      </c>
      <c r="J15717" s="146" t="s">
        <v>166</v>
      </c>
      <c r="K15717" s="219"/>
      <c r="L15717" s="219">
        <f>K15716</f>
        <v>207500</v>
      </c>
    </row>
    <row r="15718" spans="1:14" x14ac:dyDescent="0.2">
      <c r="A15718" s="133">
        <v>2025</v>
      </c>
      <c r="B15718" s="133">
        <v>11</v>
      </c>
      <c r="C15718" s="133">
        <v>11</v>
      </c>
      <c r="D15718" s="141">
        <f t="shared" ref="D15718:D15769" si="2546">DATE(A15718,B15718,C15718)</f>
        <v>45972</v>
      </c>
      <c r="E15718" s="275">
        <f t="shared" ref="E15718:E15769" si="2547">DATE(A15718,B15718,C15718)</f>
        <v>45972</v>
      </c>
      <c r="F15718" s="481" t="s">
        <v>2115</v>
      </c>
      <c r="G15718" s="174" t="s">
        <v>94</v>
      </c>
      <c r="H15718" s="174"/>
      <c r="J15718" s="149" t="s">
        <v>79</v>
      </c>
      <c r="K15718" s="218">
        <v>762680</v>
      </c>
      <c r="L15718" s="218"/>
      <c r="M15718" s="160"/>
    </row>
    <row r="15719" spans="1:14" x14ac:dyDescent="0.2">
      <c r="A15719" s="133">
        <v>2025</v>
      </c>
      <c r="B15719" s="133">
        <v>11</v>
      </c>
      <c r="C15719" s="133">
        <v>11</v>
      </c>
      <c r="D15719" s="141">
        <f t="shared" si="2546"/>
        <v>45972</v>
      </c>
      <c r="E15719" s="275">
        <f t="shared" si="2547"/>
        <v>45972</v>
      </c>
      <c r="F15719" s="481"/>
      <c r="G15719" s="174" t="s">
        <v>94</v>
      </c>
      <c r="H15719" s="174"/>
      <c r="J15719" s="149" t="s">
        <v>80</v>
      </c>
      <c r="K15719" s="218">
        <v>3279.02</v>
      </c>
      <c r="L15719" s="264"/>
      <c r="M15719" s="264"/>
      <c r="N15719" s="264"/>
    </row>
    <row r="15720" spans="1:14" x14ac:dyDescent="0.2">
      <c r="A15720" s="133">
        <v>2025</v>
      </c>
      <c r="B15720" s="133">
        <v>11</v>
      </c>
      <c r="C15720" s="133">
        <v>11</v>
      </c>
      <c r="D15720" s="141">
        <f t="shared" si="2546"/>
        <v>45972</v>
      </c>
      <c r="E15720" s="275">
        <f t="shared" si="2547"/>
        <v>45972</v>
      </c>
      <c r="F15720" s="481"/>
      <c r="G15720" s="174" t="s">
        <v>94</v>
      </c>
      <c r="H15720" s="174"/>
      <c r="J15720" s="149" t="s">
        <v>190</v>
      </c>
      <c r="K15720" s="218">
        <v>293040.98</v>
      </c>
      <c r="L15720" s="218"/>
      <c r="M15720" s="264"/>
    </row>
    <row r="15721" spans="1:14" x14ac:dyDescent="0.2">
      <c r="A15721" s="133">
        <v>2025</v>
      </c>
      <c r="B15721" s="133">
        <v>11</v>
      </c>
      <c r="C15721" s="133">
        <v>11</v>
      </c>
      <c r="D15721" s="141">
        <f t="shared" si="2546"/>
        <v>45972</v>
      </c>
      <c r="E15721" s="275">
        <f t="shared" si="2547"/>
        <v>45972</v>
      </c>
      <c r="F15721" s="481"/>
      <c r="G15721" s="174" t="s">
        <v>94</v>
      </c>
      <c r="H15721" s="174"/>
      <c r="J15721" s="149" t="s">
        <v>191</v>
      </c>
      <c r="K15721" s="218">
        <v>6187.01</v>
      </c>
      <c r="L15721" s="218"/>
    </row>
    <row r="15722" spans="1:14" x14ac:dyDescent="0.2">
      <c r="A15722" s="163">
        <v>2025</v>
      </c>
      <c r="B15722" s="163">
        <v>11</v>
      </c>
      <c r="C15722" s="163">
        <v>11</v>
      </c>
      <c r="D15722" s="280">
        <f t="shared" si="2546"/>
        <v>45972</v>
      </c>
      <c r="E15722" s="281">
        <f t="shared" si="2547"/>
        <v>45972</v>
      </c>
      <c r="F15722" s="480"/>
      <c r="G15722" s="221" t="s">
        <v>94</v>
      </c>
      <c r="H15722" s="145"/>
      <c r="I15722" s="145"/>
      <c r="J15722" s="163" t="s">
        <v>79</v>
      </c>
      <c r="K15722" s="219"/>
      <c r="L15722" s="219">
        <v>1065187.01</v>
      </c>
      <c r="M15722" s="264"/>
    </row>
    <row r="15723" spans="1:14" ht="11.25" customHeight="1" x14ac:dyDescent="0.2">
      <c r="A15723" s="168">
        <v>2025</v>
      </c>
      <c r="B15723" s="133">
        <v>11</v>
      </c>
      <c r="C15723" s="168">
        <v>12</v>
      </c>
      <c r="D15723" s="141">
        <f t="shared" si="2546"/>
        <v>45973</v>
      </c>
      <c r="E15723" s="275">
        <f t="shared" si="2547"/>
        <v>45973</v>
      </c>
      <c r="F15723" s="479" t="s">
        <v>2121</v>
      </c>
      <c r="G15723" s="220" t="s">
        <v>74</v>
      </c>
      <c r="H15723" s="220"/>
      <c r="I15723" s="142"/>
      <c r="J15723" s="143" t="s">
        <v>52</v>
      </c>
      <c r="K15723" s="226">
        <v>200863.53</v>
      </c>
      <c r="L15723" s="226"/>
    </row>
    <row r="15724" spans="1:14" x14ac:dyDescent="0.2">
      <c r="A15724" s="163">
        <v>2025</v>
      </c>
      <c r="B15724" s="163">
        <v>11</v>
      </c>
      <c r="C15724" s="163">
        <v>12</v>
      </c>
      <c r="D15724" s="280">
        <f t="shared" si="2546"/>
        <v>45973</v>
      </c>
      <c r="E15724" s="281">
        <f t="shared" si="2547"/>
        <v>45973</v>
      </c>
      <c r="F15724" s="480"/>
      <c r="G15724" s="221" t="s">
        <v>74</v>
      </c>
      <c r="H15724" s="221"/>
      <c r="I15724" s="145"/>
      <c r="J15724" s="146" t="s">
        <v>190</v>
      </c>
      <c r="K15724" s="219"/>
      <c r="L15724" s="219">
        <f>K15723</f>
        <v>200863.53</v>
      </c>
      <c r="N15724" s="264"/>
    </row>
    <row r="15725" spans="1:14" x14ac:dyDescent="0.2">
      <c r="A15725" s="168">
        <v>2025</v>
      </c>
      <c r="B15725" s="133">
        <v>11</v>
      </c>
      <c r="C15725" s="168">
        <v>12</v>
      </c>
      <c r="D15725" s="141">
        <f t="shared" si="2546"/>
        <v>45973</v>
      </c>
      <c r="E15725" s="275">
        <f t="shared" si="2547"/>
        <v>45973</v>
      </c>
      <c r="F15725" s="481" t="s">
        <v>2006</v>
      </c>
      <c r="G15725" s="174" t="s">
        <v>74</v>
      </c>
      <c r="H15725" s="174"/>
      <c r="J15725" s="149" t="s">
        <v>1906</v>
      </c>
      <c r="K15725" s="218">
        <v>187.5</v>
      </c>
      <c r="L15725" s="218"/>
    </row>
    <row r="15726" spans="1:14" x14ac:dyDescent="0.2">
      <c r="A15726" s="133">
        <v>2025</v>
      </c>
      <c r="B15726" s="133">
        <v>11</v>
      </c>
      <c r="C15726" s="133">
        <v>12</v>
      </c>
      <c r="D15726" s="141">
        <f t="shared" ref="D15726" si="2548">DATE(A15726,B15726,C15726)</f>
        <v>45973</v>
      </c>
      <c r="E15726" s="275">
        <f t="shared" ref="E15726" si="2549">DATE(A15726,B15726,C15726)</f>
        <v>45973</v>
      </c>
      <c r="F15726" s="481"/>
      <c r="G15726" s="174" t="s">
        <v>74</v>
      </c>
      <c r="H15726" s="174"/>
      <c r="J15726" s="149" t="s">
        <v>1906</v>
      </c>
      <c r="K15726" s="218">
        <v>312.5</v>
      </c>
      <c r="L15726" s="218"/>
    </row>
    <row r="15727" spans="1:14" x14ac:dyDescent="0.2">
      <c r="A15727" s="133">
        <v>2025</v>
      </c>
      <c r="B15727" s="133">
        <v>11</v>
      </c>
      <c r="C15727" s="133">
        <v>12</v>
      </c>
      <c r="D15727" s="141">
        <f t="shared" si="2546"/>
        <v>45973</v>
      </c>
      <c r="E15727" s="275">
        <f t="shared" si="2547"/>
        <v>45973</v>
      </c>
      <c r="F15727" s="481"/>
      <c r="G15727" s="174" t="s">
        <v>74</v>
      </c>
      <c r="H15727" s="174"/>
      <c r="J15727" s="149" t="s">
        <v>1907</v>
      </c>
      <c r="K15727" s="218">
        <v>75</v>
      </c>
      <c r="L15727" s="218"/>
    </row>
    <row r="15728" spans="1:14" x14ac:dyDescent="0.2">
      <c r="A15728" s="133">
        <v>2025</v>
      </c>
      <c r="B15728" s="133">
        <v>11</v>
      </c>
      <c r="C15728" s="133">
        <v>12</v>
      </c>
      <c r="D15728" s="141">
        <f t="shared" ref="D15728" si="2550">DATE(A15728,B15728,C15728)</f>
        <v>45973</v>
      </c>
      <c r="E15728" s="275">
        <f t="shared" ref="E15728" si="2551">DATE(A15728,B15728,C15728)</f>
        <v>45973</v>
      </c>
      <c r="F15728" s="481"/>
      <c r="G15728" s="174" t="s">
        <v>74</v>
      </c>
      <c r="H15728" s="174"/>
      <c r="J15728" s="149" t="s">
        <v>534</v>
      </c>
      <c r="K15728" s="218">
        <v>574.41</v>
      </c>
      <c r="L15728" s="218"/>
    </row>
    <row r="15729" spans="1:14" x14ac:dyDescent="0.2">
      <c r="A15729" s="163">
        <v>2025</v>
      </c>
      <c r="B15729" s="163">
        <v>11</v>
      </c>
      <c r="C15729" s="163">
        <v>12</v>
      </c>
      <c r="D15729" s="280">
        <f t="shared" si="2546"/>
        <v>45973</v>
      </c>
      <c r="E15729" s="281">
        <f t="shared" si="2547"/>
        <v>45973</v>
      </c>
      <c r="F15729" s="480"/>
      <c r="G15729" s="221" t="s">
        <v>74</v>
      </c>
      <c r="H15729" s="221"/>
      <c r="I15729" s="145"/>
      <c r="J15729" s="146" t="s">
        <v>52</v>
      </c>
      <c r="K15729" s="219"/>
      <c r="L15729" s="219">
        <v>1149.4100000000001</v>
      </c>
    </row>
    <row r="15730" spans="1:14" x14ac:dyDescent="0.2">
      <c r="A15730" s="133">
        <v>2025</v>
      </c>
      <c r="B15730" s="133">
        <v>11</v>
      </c>
      <c r="C15730" s="168">
        <v>12</v>
      </c>
      <c r="D15730" s="141">
        <f t="shared" si="2546"/>
        <v>45973</v>
      </c>
      <c r="E15730" s="275">
        <f t="shared" si="2547"/>
        <v>45973</v>
      </c>
      <c r="F15730" s="481" t="s">
        <v>2115</v>
      </c>
      <c r="G15730" s="174" t="s">
        <v>94</v>
      </c>
      <c r="H15730" s="174"/>
      <c r="J15730" s="149" t="s">
        <v>79</v>
      </c>
      <c r="K15730" s="218">
        <v>822409</v>
      </c>
      <c r="L15730" s="218"/>
      <c r="M15730" s="160"/>
    </row>
    <row r="15731" spans="1:14" x14ac:dyDescent="0.2">
      <c r="A15731" s="133">
        <v>2025</v>
      </c>
      <c r="B15731" s="133">
        <v>11</v>
      </c>
      <c r="C15731" s="133">
        <v>12</v>
      </c>
      <c r="D15731" s="141">
        <f t="shared" si="2546"/>
        <v>45973</v>
      </c>
      <c r="E15731" s="275">
        <f t="shared" si="2547"/>
        <v>45973</v>
      </c>
      <c r="F15731" s="481"/>
      <c r="G15731" s="174" t="s">
        <v>94</v>
      </c>
      <c r="H15731" s="174"/>
      <c r="J15731" s="149" t="s">
        <v>80</v>
      </c>
      <c r="K15731" s="218">
        <v>1816.08</v>
      </c>
      <c r="L15731" s="264"/>
      <c r="M15731" s="264"/>
      <c r="N15731" s="264"/>
    </row>
    <row r="15732" spans="1:14" x14ac:dyDescent="0.2">
      <c r="A15732" s="133">
        <v>2025</v>
      </c>
      <c r="B15732" s="133">
        <v>11</v>
      </c>
      <c r="C15732" s="133">
        <v>12</v>
      </c>
      <c r="D15732" s="141">
        <f t="shared" si="2546"/>
        <v>45973</v>
      </c>
      <c r="E15732" s="275">
        <f t="shared" si="2547"/>
        <v>45973</v>
      </c>
      <c r="F15732" s="481"/>
      <c r="G15732" s="174" t="s">
        <v>94</v>
      </c>
      <c r="H15732" s="174"/>
      <c r="J15732" s="149" t="s">
        <v>147</v>
      </c>
      <c r="K15732" s="218"/>
      <c r="L15732" s="218">
        <v>637699.07999999996</v>
      </c>
      <c r="M15732" s="264"/>
    </row>
    <row r="15733" spans="1:14" x14ac:dyDescent="0.2">
      <c r="A15733" s="133">
        <v>2025</v>
      </c>
      <c r="B15733" s="133">
        <v>11</v>
      </c>
      <c r="C15733" s="133">
        <v>12</v>
      </c>
      <c r="D15733" s="141">
        <f t="shared" si="2546"/>
        <v>45973</v>
      </c>
      <c r="E15733" s="275">
        <f t="shared" si="2547"/>
        <v>45973</v>
      </c>
      <c r="F15733" s="481"/>
      <c r="G15733" s="174" t="s">
        <v>94</v>
      </c>
      <c r="H15733" s="174"/>
      <c r="J15733" s="149" t="s">
        <v>191</v>
      </c>
      <c r="K15733" s="218">
        <v>29110.27</v>
      </c>
      <c r="L15733" s="218"/>
    </row>
    <row r="15734" spans="1:14" x14ac:dyDescent="0.2">
      <c r="A15734" s="163">
        <v>2025</v>
      </c>
      <c r="B15734" s="163">
        <v>11</v>
      </c>
      <c r="C15734" s="163">
        <v>12</v>
      </c>
      <c r="D15734" s="280">
        <f t="shared" si="2546"/>
        <v>45973</v>
      </c>
      <c r="E15734" s="281">
        <f t="shared" si="2547"/>
        <v>45973</v>
      </c>
      <c r="F15734" s="480"/>
      <c r="G15734" s="221" t="s">
        <v>94</v>
      </c>
      <c r="H15734" s="145"/>
      <c r="I15734" s="145"/>
      <c r="J15734" s="163" t="s">
        <v>79</v>
      </c>
      <c r="K15734" s="219"/>
      <c r="L15734" s="219">
        <v>215636.27</v>
      </c>
      <c r="M15734" s="264"/>
    </row>
    <row r="15735" spans="1:14" x14ac:dyDescent="0.2">
      <c r="A15735" s="133">
        <v>2025</v>
      </c>
      <c r="B15735" s="133">
        <v>11</v>
      </c>
      <c r="C15735" s="168">
        <v>13</v>
      </c>
      <c r="D15735" s="141">
        <f t="shared" ref="D15735:D15739" si="2552">DATE(A15735,B15735,C15735)</f>
        <v>45974</v>
      </c>
      <c r="E15735" s="275">
        <f t="shared" ref="E15735:E15739" si="2553">DATE(A15735,B15735,C15735)</f>
        <v>45974</v>
      </c>
      <c r="F15735" s="481" t="s">
        <v>2115</v>
      </c>
      <c r="G15735" s="174" t="s">
        <v>94</v>
      </c>
      <c r="H15735" s="174"/>
      <c r="J15735" s="149" t="s">
        <v>79</v>
      </c>
      <c r="K15735" s="218">
        <v>5284963.2</v>
      </c>
      <c r="L15735" s="218"/>
      <c r="M15735" s="160"/>
    </row>
    <row r="15736" spans="1:14" x14ac:dyDescent="0.2">
      <c r="A15736" s="133">
        <v>2025</v>
      </c>
      <c r="B15736" s="133">
        <v>11</v>
      </c>
      <c r="C15736" s="133">
        <v>13</v>
      </c>
      <c r="D15736" s="141">
        <f t="shared" si="2552"/>
        <v>45974</v>
      </c>
      <c r="E15736" s="275">
        <f t="shared" si="2553"/>
        <v>45974</v>
      </c>
      <c r="F15736" s="481"/>
      <c r="G15736" s="174" t="s">
        <v>94</v>
      </c>
      <c r="H15736" s="174"/>
      <c r="J15736" s="149" t="s">
        <v>80</v>
      </c>
      <c r="K15736" s="218">
        <v>18672.82</v>
      </c>
      <c r="L15736" s="264"/>
      <c r="M15736" s="264"/>
      <c r="N15736" s="264"/>
    </row>
    <row r="15737" spans="1:14" x14ac:dyDescent="0.2">
      <c r="A15737" s="133">
        <v>2025</v>
      </c>
      <c r="B15737" s="133">
        <v>11</v>
      </c>
      <c r="C15737" s="133">
        <v>13</v>
      </c>
      <c r="D15737" s="141">
        <f t="shared" si="2552"/>
        <v>45974</v>
      </c>
      <c r="E15737" s="275">
        <f t="shared" si="2553"/>
        <v>45974</v>
      </c>
      <c r="F15737" s="481"/>
      <c r="G15737" s="174" t="s">
        <v>94</v>
      </c>
      <c r="H15737" s="174"/>
      <c r="J15737" s="149" t="s">
        <v>147</v>
      </c>
      <c r="K15737" s="218"/>
      <c r="L15737" s="218">
        <v>214812.72</v>
      </c>
      <c r="M15737" s="264"/>
    </row>
    <row r="15738" spans="1:14" x14ac:dyDescent="0.2">
      <c r="A15738" s="133">
        <v>2025</v>
      </c>
      <c r="B15738" s="133">
        <v>11</v>
      </c>
      <c r="C15738" s="133">
        <v>13</v>
      </c>
      <c r="D15738" s="141">
        <f t="shared" si="2552"/>
        <v>45974</v>
      </c>
      <c r="E15738" s="275">
        <f t="shared" si="2553"/>
        <v>45974</v>
      </c>
      <c r="F15738" s="481"/>
      <c r="G15738" s="174" t="s">
        <v>94</v>
      </c>
      <c r="H15738" s="174"/>
      <c r="J15738" s="149" t="s">
        <v>191</v>
      </c>
      <c r="K15738" s="218">
        <v>153296.4</v>
      </c>
      <c r="L15738" s="218"/>
    </row>
    <row r="15739" spans="1:14" x14ac:dyDescent="0.2">
      <c r="A15739" s="163">
        <v>2025</v>
      </c>
      <c r="B15739" s="163">
        <v>11</v>
      </c>
      <c r="C15739" s="163">
        <v>13</v>
      </c>
      <c r="D15739" s="280">
        <f t="shared" si="2552"/>
        <v>45974</v>
      </c>
      <c r="E15739" s="281">
        <f t="shared" si="2553"/>
        <v>45974</v>
      </c>
      <c r="F15739" s="480"/>
      <c r="G15739" s="221" t="s">
        <v>94</v>
      </c>
      <c r="H15739" s="145"/>
      <c r="I15739" s="145"/>
      <c r="J15739" s="163" t="s">
        <v>79</v>
      </c>
      <c r="K15739" s="219"/>
      <c r="L15739" s="219">
        <v>5242119.7</v>
      </c>
      <c r="M15739" s="264"/>
    </row>
    <row r="15740" spans="1:14" x14ac:dyDescent="0.2">
      <c r="A15740" s="325">
        <v>2025</v>
      </c>
      <c r="B15740" s="325">
        <v>11</v>
      </c>
      <c r="C15740" s="325">
        <v>13</v>
      </c>
      <c r="D15740" s="326">
        <f t="shared" si="2546"/>
        <v>45974</v>
      </c>
      <c r="E15740" s="327">
        <f t="shared" si="2547"/>
        <v>45974</v>
      </c>
      <c r="F15740" s="473" t="s">
        <v>1940</v>
      </c>
      <c r="G15740" s="340" t="s">
        <v>94</v>
      </c>
      <c r="H15740" s="340"/>
      <c r="I15740" s="341" t="s">
        <v>348</v>
      </c>
      <c r="J15740" s="374" t="s">
        <v>133</v>
      </c>
      <c r="K15740" s="375">
        <v>12905.56</v>
      </c>
      <c r="L15740" s="375"/>
      <c r="M15740" s="176"/>
    </row>
    <row r="15741" spans="1:14" x14ac:dyDescent="0.2">
      <c r="A15741" s="331">
        <v>2025</v>
      </c>
      <c r="B15741" s="331">
        <v>11</v>
      </c>
      <c r="C15741" s="331">
        <v>13</v>
      </c>
      <c r="D15741" s="326">
        <f t="shared" si="2546"/>
        <v>45974</v>
      </c>
      <c r="E15741" s="327">
        <f t="shared" si="2547"/>
        <v>45974</v>
      </c>
      <c r="F15741" s="474"/>
      <c r="G15741" s="332" t="s">
        <v>94</v>
      </c>
      <c r="H15741" s="332"/>
      <c r="I15741" s="333" t="s">
        <v>348</v>
      </c>
      <c r="J15741" s="376" t="s">
        <v>60</v>
      </c>
      <c r="K15741" s="334"/>
      <c r="L15741" s="334">
        <f>K15740</f>
        <v>12905.56</v>
      </c>
    </row>
    <row r="15742" spans="1:14" x14ac:dyDescent="0.2">
      <c r="A15742" s="325">
        <v>2025</v>
      </c>
      <c r="B15742" s="325">
        <v>11</v>
      </c>
      <c r="C15742" s="325">
        <v>13</v>
      </c>
      <c r="D15742" s="326">
        <f t="shared" si="2546"/>
        <v>45974</v>
      </c>
      <c r="E15742" s="327">
        <f t="shared" si="2547"/>
        <v>45974</v>
      </c>
      <c r="F15742" s="473" t="s">
        <v>2131</v>
      </c>
      <c r="G15742" s="340" t="s">
        <v>94</v>
      </c>
      <c r="H15742" s="340"/>
      <c r="I15742" s="341" t="s">
        <v>348</v>
      </c>
      <c r="J15742" s="374" t="s">
        <v>2156</v>
      </c>
      <c r="K15742" s="375">
        <v>43298.076923076922</v>
      </c>
      <c r="L15742" s="375"/>
      <c r="M15742" s="176"/>
    </row>
    <row r="15743" spans="1:14" x14ac:dyDescent="0.2">
      <c r="A15743" s="331">
        <v>2025</v>
      </c>
      <c r="B15743" s="331">
        <v>11</v>
      </c>
      <c r="C15743" s="331">
        <v>13</v>
      </c>
      <c r="D15743" s="326">
        <f t="shared" si="2546"/>
        <v>45974</v>
      </c>
      <c r="E15743" s="327">
        <f t="shared" si="2547"/>
        <v>45974</v>
      </c>
      <c r="F15743" s="474"/>
      <c r="G15743" s="332" t="s">
        <v>94</v>
      </c>
      <c r="H15743" s="332"/>
      <c r="I15743" s="333" t="s">
        <v>348</v>
      </c>
      <c r="J15743" s="376" t="s">
        <v>2154</v>
      </c>
      <c r="K15743" s="334"/>
      <c r="L15743" s="334">
        <f>K15742</f>
        <v>43298.076923076922</v>
      </c>
    </row>
    <row r="15744" spans="1:14" x14ac:dyDescent="0.2">
      <c r="A15744" s="384">
        <v>2025</v>
      </c>
      <c r="B15744" s="384">
        <v>11</v>
      </c>
      <c r="C15744" s="384">
        <v>13</v>
      </c>
      <c r="D15744" s="385">
        <f t="shared" si="2546"/>
        <v>45974</v>
      </c>
      <c r="E15744" s="386">
        <f t="shared" si="2547"/>
        <v>45974</v>
      </c>
      <c r="F15744" s="475" t="s">
        <v>1966</v>
      </c>
      <c r="G15744" s="387" t="s">
        <v>94</v>
      </c>
      <c r="H15744" s="387"/>
      <c r="I15744" s="388" t="s">
        <v>348</v>
      </c>
      <c r="J15744" s="389" t="s">
        <v>67</v>
      </c>
      <c r="K15744" s="390">
        <v>4410.3</v>
      </c>
      <c r="L15744" s="390"/>
    </row>
    <row r="15745" spans="1:13" x14ac:dyDescent="0.2">
      <c r="A15745" s="391">
        <v>2025</v>
      </c>
      <c r="B15745" s="391">
        <v>11</v>
      </c>
      <c r="C15745" s="391">
        <v>13</v>
      </c>
      <c r="D15745" s="385">
        <f t="shared" si="2546"/>
        <v>45974</v>
      </c>
      <c r="E15745" s="386">
        <f t="shared" si="2547"/>
        <v>45974</v>
      </c>
      <c r="F15745" s="476"/>
      <c r="G15745" s="392" t="s">
        <v>94</v>
      </c>
      <c r="H15745" s="392"/>
      <c r="I15745" s="393" t="s">
        <v>348</v>
      </c>
      <c r="J15745" s="394" t="s">
        <v>60</v>
      </c>
      <c r="K15745" s="395"/>
      <c r="L15745" s="395">
        <f>K15744</f>
        <v>4410.3</v>
      </c>
    </row>
    <row r="15746" spans="1:13" x14ac:dyDescent="0.2">
      <c r="A15746" s="343">
        <v>2025</v>
      </c>
      <c r="B15746" s="343">
        <v>11</v>
      </c>
      <c r="C15746" s="343">
        <v>13</v>
      </c>
      <c r="D15746" s="344">
        <f t="shared" si="2546"/>
        <v>45974</v>
      </c>
      <c r="E15746" s="345">
        <f t="shared" si="2547"/>
        <v>45974</v>
      </c>
      <c r="F15746" s="483" t="s">
        <v>1813</v>
      </c>
      <c r="G15746" s="350" t="s">
        <v>94</v>
      </c>
      <c r="H15746" s="350"/>
      <c r="I15746" s="352" t="s">
        <v>348</v>
      </c>
      <c r="J15746" s="353" t="s">
        <v>1807</v>
      </c>
      <c r="K15746" s="354">
        <v>0</v>
      </c>
      <c r="L15746" s="354"/>
      <c r="M15746" s="133">
        <v>0</v>
      </c>
    </row>
    <row r="15747" spans="1:13" x14ac:dyDescent="0.2">
      <c r="A15747" s="346">
        <v>2025</v>
      </c>
      <c r="B15747" s="346">
        <v>11</v>
      </c>
      <c r="C15747" s="346">
        <v>13</v>
      </c>
      <c r="D15747" s="344">
        <f t="shared" si="2546"/>
        <v>45974</v>
      </c>
      <c r="E15747" s="345">
        <f t="shared" si="2547"/>
        <v>45974</v>
      </c>
      <c r="F15747" s="484"/>
      <c r="G15747" s="347" t="s">
        <v>94</v>
      </c>
      <c r="H15747" s="347"/>
      <c r="I15747" s="348" t="s">
        <v>348</v>
      </c>
      <c r="J15747" s="355" t="s">
        <v>1798</v>
      </c>
      <c r="K15747" s="349"/>
      <c r="L15747" s="349">
        <v>0</v>
      </c>
    </row>
    <row r="15748" spans="1:13" x14ac:dyDescent="0.2">
      <c r="A15748" s="343">
        <v>2025</v>
      </c>
      <c r="B15748" s="343">
        <v>11</v>
      </c>
      <c r="C15748" s="343">
        <v>13</v>
      </c>
      <c r="D15748" s="344">
        <f t="shared" si="2546"/>
        <v>45974</v>
      </c>
      <c r="E15748" s="345">
        <f t="shared" si="2547"/>
        <v>45974</v>
      </c>
      <c r="F15748" s="483" t="s">
        <v>1913</v>
      </c>
      <c r="G15748" s="350" t="s">
        <v>94</v>
      </c>
      <c r="H15748" s="350"/>
      <c r="I15748" s="352" t="s">
        <v>348</v>
      </c>
      <c r="J15748" s="353" t="s">
        <v>1808</v>
      </c>
      <c r="K15748" s="354">
        <v>4982.4100000020117</v>
      </c>
      <c r="L15748" s="354"/>
      <c r="M15748" s="160">
        <v>0</v>
      </c>
    </row>
    <row r="15749" spans="1:13" x14ac:dyDescent="0.2">
      <c r="A15749" s="346">
        <v>2025</v>
      </c>
      <c r="B15749" s="346">
        <v>11</v>
      </c>
      <c r="C15749" s="346">
        <v>13</v>
      </c>
      <c r="D15749" s="344">
        <f t="shared" si="2546"/>
        <v>45974</v>
      </c>
      <c r="E15749" s="345">
        <f t="shared" si="2547"/>
        <v>45974</v>
      </c>
      <c r="F15749" s="484"/>
      <c r="G15749" s="347" t="s">
        <v>94</v>
      </c>
      <c r="H15749" s="347"/>
      <c r="I15749" s="348" t="s">
        <v>348</v>
      </c>
      <c r="J15749" s="355" t="s">
        <v>1799</v>
      </c>
      <c r="K15749" s="349"/>
      <c r="L15749" s="349">
        <f>K15748</f>
        <v>4982.4100000020117</v>
      </c>
    </row>
    <row r="15750" spans="1:13" x14ac:dyDescent="0.2">
      <c r="A15750" s="238">
        <v>2025</v>
      </c>
      <c r="B15750" s="238">
        <v>11</v>
      </c>
      <c r="C15750" s="238">
        <v>13</v>
      </c>
      <c r="D15750" s="270">
        <f t="shared" si="2546"/>
        <v>45974</v>
      </c>
      <c r="E15750" s="279">
        <f t="shared" si="2547"/>
        <v>45974</v>
      </c>
      <c r="F15750" s="477" t="s">
        <v>347</v>
      </c>
      <c r="G15750" s="239" t="s">
        <v>94</v>
      </c>
      <c r="H15750" s="239"/>
      <c r="I15750" s="262" t="s">
        <v>348</v>
      </c>
      <c r="J15750" s="240" t="s">
        <v>82</v>
      </c>
      <c r="K15750" s="241">
        <v>3904927.689999938</v>
      </c>
      <c r="L15750" s="241"/>
      <c r="M15750" s="160">
        <v>13139541.900000483</v>
      </c>
    </row>
    <row r="15751" spans="1:13" x14ac:dyDescent="0.2">
      <c r="A15751" s="242">
        <v>2025</v>
      </c>
      <c r="B15751" s="242">
        <v>11</v>
      </c>
      <c r="C15751" s="242">
        <v>13</v>
      </c>
      <c r="D15751" s="270">
        <f t="shared" si="2546"/>
        <v>45974</v>
      </c>
      <c r="E15751" s="279">
        <f t="shared" si="2547"/>
        <v>45974</v>
      </c>
      <c r="F15751" s="478"/>
      <c r="G15751" s="243" t="s">
        <v>94</v>
      </c>
      <c r="H15751" s="243"/>
      <c r="I15751" s="263" t="s">
        <v>348</v>
      </c>
      <c r="J15751" s="244" t="s">
        <v>108</v>
      </c>
      <c r="K15751" s="245"/>
      <c r="L15751" s="245">
        <f>K15750</f>
        <v>3904927.689999938</v>
      </c>
    </row>
    <row r="15752" spans="1:13" ht="12" customHeight="1" x14ac:dyDescent="0.2">
      <c r="A15752" s="246">
        <v>2025</v>
      </c>
      <c r="B15752" s="238">
        <v>11</v>
      </c>
      <c r="C15752" s="238">
        <v>13</v>
      </c>
      <c r="D15752" s="270">
        <f t="shared" si="2546"/>
        <v>45974</v>
      </c>
      <c r="E15752" s="279">
        <f t="shared" si="2547"/>
        <v>45974</v>
      </c>
      <c r="F15752" s="482" t="s">
        <v>148</v>
      </c>
      <c r="G15752" s="247" t="s">
        <v>94</v>
      </c>
      <c r="H15752" s="247"/>
      <c r="I15752" s="248" t="s">
        <v>348</v>
      </c>
      <c r="J15752" s="249" t="s">
        <v>95</v>
      </c>
      <c r="K15752" s="250">
        <v>2747.2527472527472</v>
      </c>
      <c r="L15752" s="241"/>
      <c r="M15752" s="176"/>
    </row>
    <row r="15753" spans="1:13" x14ac:dyDescent="0.2">
      <c r="A15753" s="242">
        <v>2025</v>
      </c>
      <c r="B15753" s="242">
        <v>11</v>
      </c>
      <c r="C15753" s="242">
        <v>13</v>
      </c>
      <c r="D15753" s="270">
        <f t="shared" si="2546"/>
        <v>45974</v>
      </c>
      <c r="E15753" s="279">
        <f t="shared" si="2547"/>
        <v>45974</v>
      </c>
      <c r="F15753" s="478"/>
      <c r="G15753" s="243" t="s">
        <v>94</v>
      </c>
      <c r="H15753" s="243"/>
      <c r="I15753" s="263" t="s">
        <v>348</v>
      </c>
      <c r="J15753" s="244" t="s">
        <v>63</v>
      </c>
      <c r="K15753" s="245"/>
      <c r="L15753" s="245">
        <f>K15752</f>
        <v>2747.2527472527472</v>
      </c>
    </row>
    <row r="15754" spans="1:13" x14ac:dyDescent="0.2">
      <c r="A15754" s="246">
        <v>2025</v>
      </c>
      <c r="B15754" s="238">
        <v>11</v>
      </c>
      <c r="C15754" s="238">
        <v>13</v>
      </c>
      <c r="D15754" s="270">
        <f t="shared" si="2546"/>
        <v>45974</v>
      </c>
      <c r="E15754" s="279">
        <f t="shared" si="2547"/>
        <v>45974</v>
      </c>
      <c r="F15754" s="482" t="s">
        <v>137</v>
      </c>
      <c r="G15754" s="247" t="s">
        <v>94</v>
      </c>
      <c r="H15754" s="247"/>
      <c r="I15754" s="248" t="s">
        <v>348</v>
      </c>
      <c r="J15754" s="249" t="s">
        <v>97</v>
      </c>
      <c r="K15754" s="250">
        <f>M15754</f>
        <v>86411.772262682571</v>
      </c>
      <c r="L15754" s="252"/>
      <c r="M15754" s="133">
        <v>86411.772262682571</v>
      </c>
    </row>
    <row r="15755" spans="1:13" x14ac:dyDescent="0.2">
      <c r="A15755" s="242">
        <v>2025</v>
      </c>
      <c r="B15755" s="242">
        <v>11</v>
      </c>
      <c r="C15755" s="242">
        <v>13</v>
      </c>
      <c r="D15755" s="270">
        <f t="shared" si="2546"/>
        <v>45974</v>
      </c>
      <c r="E15755" s="279">
        <f t="shared" si="2547"/>
        <v>45974</v>
      </c>
      <c r="F15755" s="478"/>
      <c r="G15755" s="243" t="s">
        <v>94</v>
      </c>
      <c r="H15755" s="243"/>
      <c r="I15755" s="263" t="s">
        <v>348</v>
      </c>
      <c r="J15755" s="244" t="s">
        <v>47</v>
      </c>
      <c r="K15755" s="245"/>
      <c r="L15755" s="245">
        <f>K15754</f>
        <v>86411.772262682571</v>
      </c>
      <c r="M15755" s="133">
        <v>4080.2039977495128</v>
      </c>
    </row>
    <row r="15756" spans="1:13" x14ac:dyDescent="0.2">
      <c r="A15756" s="246">
        <v>2025</v>
      </c>
      <c r="B15756" s="238">
        <v>11</v>
      </c>
      <c r="C15756" s="238">
        <v>13</v>
      </c>
      <c r="D15756" s="270">
        <f t="shared" si="2546"/>
        <v>45974</v>
      </c>
      <c r="E15756" s="279">
        <f t="shared" si="2547"/>
        <v>45974</v>
      </c>
      <c r="F15756" s="482" t="s">
        <v>138</v>
      </c>
      <c r="G15756" s="247" t="s">
        <v>94</v>
      </c>
      <c r="H15756" s="247"/>
      <c r="I15756" s="248" t="s">
        <v>348</v>
      </c>
      <c r="J15756" s="249" t="s">
        <v>100</v>
      </c>
      <c r="K15756" s="250">
        <f>M15755</f>
        <v>4080.2039977495128</v>
      </c>
      <c r="L15756" s="252"/>
    </row>
    <row r="15757" spans="1:13" x14ac:dyDescent="0.2">
      <c r="A15757" s="242">
        <v>2025</v>
      </c>
      <c r="B15757" s="242">
        <v>11</v>
      </c>
      <c r="C15757" s="242">
        <v>13</v>
      </c>
      <c r="D15757" s="321">
        <f t="shared" si="2546"/>
        <v>45974</v>
      </c>
      <c r="E15757" s="322">
        <f t="shared" si="2547"/>
        <v>45974</v>
      </c>
      <c r="F15757" s="478"/>
      <c r="G15757" s="243" t="s">
        <v>94</v>
      </c>
      <c r="H15757" s="243"/>
      <c r="I15757" s="263" t="s">
        <v>348</v>
      </c>
      <c r="J15757" s="244" t="s">
        <v>48</v>
      </c>
      <c r="K15757" s="245"/>
      <c r="L15757" s="245">
        <f>K15756</f>
        <v>4080.2039977495128</v>
      </c>
    </row>
    <row r="15758" spans="1:13" ht="11.25" customHeight="1" x14ac:dyDescent="0.2">
      <c r="A15758" s="168">
        <v>2025</v>
      </c>
      <c r="B15758" s="168">
        <v>11</v>
      </c>
      <c r="C15758" s="133">
        <v>16</v>
      </c>
      <c r="D15758" s="141">
        <f t="shared" si="2546"/>
        <v>45977</v>
      </c>
      <c r="E15758" s="275">
        <f t="shared" si="2547"/>
        <v>45977</v>
      </c>
      <c r="F15758" s="479" t="s">
        <v>1319</v>
      </c>
      <c r="G15758" s="220" t="s">
        <v>74</v>
      </c>
      <c r="H15758" s="142"/>
      <c r="I15758" s="142"/>
      <c r="J15758" s="168" t="s">
        <v>52</v>
      </c>
      <c r="K15758" s="226">
        <v>2000</v>
      </c>
      <c r="L15758" s="226"/>
    </row>
    <row r="15759" spans="1:13" ht="11.25" customHeight="1" x14ac:dyDescent="0.2">
      <c r="A15759" s="133">
        <v>2025</v>
      </c>
      <c r="B15759" s="133">
        <v>11</v>
      </c>
      <c r="C15759" s="133">
        <v>16</v>
      </c>
      <c r="D15759" s="141">
        <f t="shared" si="2546"/>
        <v>45977</v>
      </c>
      <c r="E15759" s="275">
        <f t="shared" si="2547"/>
        <v>45977</v>
      </c>
      <c r="F15759" s="481"/>
      <c r="G15759" s="174" t="s">
        <v>74</v>
      </c>
      <c r="J15759" s="133" t="s">
        <v>13</v>
      </c>
      <c r="K15759" s="218"/>
      <c r="L15759" s="218">
        <v>1440</v>
      </c>
    </row>
    <row r="15760" spans="1:13" ht="11.25" customHeight="1" x14ac:dyDescent="0.2">
      <c r="A15760" s="163">
        <v>2025</v>
      </c>
      <c r="B15760" s="163">
        <v>11</v>
      </c>
      <c r="C15760" s="163">
        <v>16</v>
      </c>
      <c r="D15760" s="280">
        <f t="shared" si="2546"/>
        <v>45977</v>
      </c>
      <c r="E15760" s="281">
        <f t="shared" si="2547"/>
        <v>45977</v>
      </c>
      <c r="F15760" s="480"/>
      <c r="G15760" s="221" t="s">
        <v>74</v>
      </c>
      <c r="H15760" s="145"/>
      <c r="I15760" s="145"/>
      <c r="J15760" s="163" t="s">
        <v>53</v>
      </c>
      <c r="K15760" s="219"/>
      <c r="L15760" s="219">
        <v>560</v>
      </c>
    </row>
    <row r="15761" spans="1:14" x14ac:dyDescent="0.2">
      <c r="A15761" s="133">
        <v>2025</v>
      </c>
      <c r="B15761" s="133">
        <v>11</v>
      </c>
      <c r="C15761" s="168">
        <v>16</v>
      </c>
      <c r="D15761" s="141">
        <f t="shared" si="2546"/>
        <v>45977</v>
      </c>
      <c r="E15761" s="275">
        <f t="shared" si="2547"/>
        <v>45977</v>
      </c>
      <c r="F15761" s="481" t="s">
        <v>2073</v>
      </c>
      <c r="G15761" s="174" t="s">
        <v>94</v>
      </c>
      <c r="H15761" s="174"/>
      <c r="J15761" s="149" t="s">
        <v>79</v>
      </c>
      <c r="K15761" s="218">
        <v>1164734.1000000001</v>
      </c>
      <c r="L15761" s="218"/>
      <c r="M15761" s="160"/>
    </row>
    <row r="15762" spans="1:14" x14ac:dyDescent="0.2">
      <c r="A15762" s="133">
        <v>2025</v>
      </c>
      <c r="B15762" s="133">
        <v>11</v>
      </c>
      <c r="C15762" s="133">
        <v>16</v>
      </c>
      <c r="D15762" s="141">
        <f t="shared" si="2546"/>
        <v>45977</v>
      </c>
      <c r="E15762" s="275">
        <f t="shared" si="2547"/>
        <v>45977</v>
      </c>
      <c r="F15762" s="481"/>
      <c r="G15762" s="174" t="s">
        <v>94</v>
      </c>
      <c r="H15762" s="174"/>
      <c r="J15762" s="149" t="s">
        <v>80</v>
      </c>
      <c r="K15762" s="218">
        <v>3149.33</v>
      </c>
      <c r="L15762" s="264"/>
      <c r="M15762" s="264"/>
      <c r="N15762" s="264"/>
    </row>
    <row r="15763" spans="1:14" x14ac:dyDescent="0.2">
      <c r="A15763" s="133">
        <v>2025</v>
      </c>
      <c r="B15763" s="133">
        <v>11</v>
      </c>
      <c r="C15763" s="133">
        <v>16</v>
      </c>
      <c r="D15763" s="141">
        <f t="shared" si="2546"/>
        <v>45977</v>
      </c>
      <c r="E15763" s="275">
        <f t="shared" si="2547"/>
        <v>45977</v>
      </c>
      <c r="F15763" s="481"/>
      <c r="G15763" s="174" t="s">
        <v>94</v>
      </c>
      <c r="H15763" s="174"/>
      <c r="J15763" s="149" t="s">
        <v>147</v>
      </c>
      <c r="K15763" s="218"/>
      <c r="L15763" s="218">
        <v>582988.13</v>
      </c>
      <c r="M15763" s="264"/>
    </row>
    <row r="15764" spans="1:14" x14ac:dyDescent="0.2">
      <c r="A15764" s="133">
        <v>2025</v>
      </c>
      <c r="B15764" s="133">
        <v>11</v>
      </c>
      <c r="C15764" s="133">
        <v>16</v>
      </c>
      <c r="D15764" s="141">
        <f t="shared" si="2546"/>
        <v>45977</v>
      </c>
      <c r="E15764" s="275">
        <f t="shared" si="2547"/>
        <v>45977</v>
      </c>
      <c r="F15764" s="481"/>
      <c r="G15764" s="174" t="s">
        <v>94</v>
      </c>
      <c r="H15764" s="174"/>
      <c r="J15764" s="149" t="s">
        <v>191</v>
      </c>
      <c r="K15764" s="218"/>
      <c r="L15764" s="218">
        <v>20960.84</v>
      </c>
    </row>
    <row r="15765" spans="1:14" x14ac:dyDescent="0.2">
      <c r="A15765" s="163">
        <v>2025</v>
      </c>
      <c r="B15765" s="163">
        <v>11</v>
      </c>
      <c r="C15765" s="163">
        <v>16</v>
      </c>
      <c r="D15765" s="280">
        <f t="shared" si="2546"/>
        <v>45977</v>
      </c>
      <c r="E15765" s="281">
        <f t="shared" si="2547"/>
        <v>45977</v>
      </c>
      <c r="F15765" s="480"/>
      <c r="G15765" s="221" t="s">
        <v>94</v>
      </c>
      <c r="H15765" s="145"/>
      <c r="I15765" s="145"/>
      <c r="J15765" s="163" t="s">
        <v>79</v>
      </c>
      <c r="K15765" s="219"/>
      <c r="L15765" s="219">
        <v>563934.46</v>
      </c>
      <c r="M15765" s="264"/>
    </row>
    <row r="15766" spans="1:14" ht="11.25" customHeight="1" x14ac:dyDescent="0.2">
      <c r="A15766" s="168">
        <v>2025</v>
      </c>
      <c r="B15766" s="133">
        <v>11</v>
      </c>
      <c r="C15766" s="168">
        <v>16</v>
      </c>
      <c r="D15766" s="141">
        <f t="shared" si="2546"/>
        <v>45977</v>
      </c>
      <c r="E15766" s="275">
        <f t="shared" si="2547"/>
        <v>45977</v>
      </c>
      <c r="F15766" s="479" t="s">
        <v>2116</v>
      </c>
      <c r="G15766" s="220" t="s">
        <v>74</v>
      </c>
      <c r="H15766" s="220"/>
      <c r="I15766" s="142"/>
      <c r="J15766" s="143" t="s">
        <v>147</v>
      </c>
      <c r="K15766" s="226">
        <v>852511.8</v>
      </c>
      <c r="L15766" s="226"/>
    </row>
    <row r="15767" spans="1:14" x14ac:dyDescent="0.2">
      <c r="A15767" s="163">
        <v>2025</v>
      </c>
      <c r="B15767" s="163">
        <v>11</v>
      </c>
      <c r="C15767" s="163">
        <v>16</v>
      </c>
      <c r="D15767" s="280">
        <f t="shared" si="2546"/>
        <v>45977</v>
      </c>
      <c r="E15767" s="281">
        <f t="shared" si="2547"/>
        <v>45977</v>
      </c>
      <c r="F15767" s="480"/>
      <c r="G15767" s="221" t="s">
        <v>74</v>
      </c>
      <c r="H15767" s="221"/>
      <c r="I15767" s="145"/>
      <c r="J15767" s="146" t="s">
        <v>52</v>
      </c>
      <c r="K15767" s="219"/>
      <c r="L15767" s="219">
        <f>K15766</f>
        <v>852511.8</v>
      </c>
      <c r="N15767" s="264"/>
    </row>
    <row r="15768" spans="1:14" x14ac:dyDescent="0.2">
      <c r="A15768" s="168">
        <v>2025</v>
      </c>
      <c r="B15768" s="133">
        <v>11</v>
      </c>
      <c r="C15768" s="168">
        <v>16</v>
      </c>
      <c r="D15768" s="141">
        <f t="shared" si="2546"/>
        <v>45977</v>
      </c>
      <c r="E15768" s="275">
        <f t="shared" si="2547"/>
        <v>45977</v>
      </c>
      <c r="F15768" s="481" t="s">
        <v>2134</v>
      </c>
      <c r="G15768" s="174" t="s">
        <v>94</v>
      </c>
      <c r="H15768" s="174"/>
      <c r="I15768" s="148" t="s">
        <v>348</v>
      </c>
      <c r="J15768" s="149" t="s">
        <v>168</v>
      </c>
      <c r="K15768" s="218">
        <v>751380</v>
      </c>
      <c r="L15768" s="218"/>
    </row>
    <row r="15769" spans="1:14" x14ac:dyDescent="0.2">
      <c r="A15769" s="163">
        <v>2025</v>
      </c>
      <c r="B15769" s="163">
        <v>11</v>
      </c>
      <c r="C15769" s="163">
        <v>16</v>
      </c>
      <c r="D15769" s="141">
        <f t="shared" si="2546"/>
        <v>45977</v>
      </c>
      <c r="E15769" s="275">
        <f t="shared" si="2547"/>
        <v>45977</v>
      </c>
      <c r="F15769" s="480"/>
      <c r="G15769" s="221" t="s">
        <v>94</v>
      </c>
      <c r="H15769" s="221"/>
      <c r="I15769" s="145" t="s">
        <v>348</v>
      </c>
      <c r="J15769" s="146" t="s">
        <v>166</v>
      </c>
      <c r="K15769" s="219"/>
      <c r="L15769" s="219">
        <f>K15768</f>
        <v>751380</v>
      </c>
    </row>
    <row r="15770" spans="1:14" x14ac:dyDescent="0.2">
      <c r="A15770" s="133">
        <v>2025</v>
      </c>
      <c r="B15770" s="133">
        <v>11</v>
      </c>
      <c r="C15770" s="168">
        <v>17</v>
      </c>
      <c r="D15770" s="141">
        <f t="shared" ref="D15770:D15789" si="2554">DATE(A15770,B15770,C15770)</f>
        <v>45978</v>
      </c>
      <c r="E15770" s="275">
        <f t="shared" ref="E15770:E15789" si="2555">DATE(A15770,B15770,C15770)</f>
        <v>45978</v>
      </c>
      <c r="F15770" s="481" t="s">
        <v>2073</v>
      </c>
      <c r="G15770" s="174" t="s">
        <v>94</v>
      </c>
      <c r="H15770" s="174"/>
      <c r="J15770" s="149" t="s">
        <v>79</v>
      </c>
      <c r="K15770" s="218">
        <v>2176421.2999999998</v>
      </c>
      <c r="L15770" s="218"/>
      <c r="M15770" s="160"/>
    </row>
    <row r="15771" spans="1:14" x14ac:dyDescent="0.2">
      <c r="A15771" s="133">
        <v>2025</v>
      </c>
      <c r="B15771" s="133">
        <v>11</v>
      </c>
      <c r="C15771" s="133">
        <v>17</v>
      </c>
      <c r="D15771" s="141">
        <f t="shared" si="2554"/>
        <v>45978</v>
      </c>
      <c r="E15771" s="275">
        <f t="shared" si="2555"/>
        <v>45978</v>
      </c>
      <c r="F15771" s="481"/>
      <c r="G15771" s="174" t="s">
        <v>94</v>
      </c>
      <c r="H15771" s="174"/>
      <c r="J15771" s="149" t="s">
        <v>80</v>
      </c>
      <c r="K15771" s="218">
        <v>3947.26</v>
      </c>
      <c r="L15771" s="264"/>
      <c r="M15771" s="264"/>
      <c r="N15771" s="264"/>
    </row>
    <row r="15772" spans="1:14" x14ac:dyDescent="0.2">
      <c r="A15772" s="133">
        <v>2025</v>
      </c>
      <c r="B15772" s="133">
        <v>11</v>
      </c>
      <c r="C15772" s="133">
        <v>17</v>
      </c>
      <c r="D15772" s="141">
        <f t="shared" si="2554"/>
        <v>45978</v>
      </c>
      <c r="E15772" s="275">
        <f t="shared" si="2555"/>
        <v>45978</v>
      </c>
      <c r="F15772" s="481"/>
      <c r="G15772" s="174" t="s">
        <v>94</v>
      </c>
      <c r="H15772" s="174"/>
      <c r="J15772" s="149" t="s">
        <v>147</v>
      </c>
      <c r="K15772" s="218"/>
      <c r="L15772" s="218">
        <v>2163868.56</v>
      </c>
      <c r="M15772" s="264"/>
    </row>
    <row r="15773" spans="1:14" x14ac:dyDescent="0.2">
      <c r="A15773" s="133">
        <v>2025</v>
      </c>
      <c r="B15773" s="133">
        <v>11</v>
      </c>
      <c r="C15773" s="133">
        <v>17</v>
      </c>
      <c r="D15773" s="141">
        <f t="shared" si="2554"/>
        <v>45978</v>
      </c>
      <c r="E15773" s="275">
        <f t="shared" si="2555"/>
        <v>45978</v>
      </c>
      <c r="F15773" s="481"/>
      <c r="G15773" s="174" t="s">
        <v>94</v>
      </c>
      <c r="H15773" s="174"/>
      <c r="J15773" s="149" t="s">
        <v>191</v>
      </c>
      <c r="K15773" s="218"/>
      <c r="L15773" s="218">
        <v>762.29</v>
      </c>
    </row>
    <row r="15774" spans="1:14" x14ac:dyDescent="0.2">
      <c r="A15774" s="163">
        <v>2025</v>
      </c>
      <c r="B15774" s="163">
        <v>11</v>
      </c>
      <c r="C15774" s="163">
        <v>17</v>
      </c>
      <c r="D15774" s="280">
        <f t="shared" si="2554"/>
        <v>45978</v>
      </c>
      <c r="E15774" s="281">
        <f t="shared" si="2555"/>
        <v>45978</v>
      </c>
      <c r="F15774" s="480"/>
      <c r="G15774" s="221" t="s">
        <v>94</v>
      </c>
      <c r="H15774" s="145"/>
      <c r="I15774" s="145"/>
      <c r="J15774" s="163" t="s">
        <v>79</v>
      </c>
      <c r="K15774" s="219"/>
      <c r="L15774" s="219">
        <v>15737.71</v>
      </c>
      <c r="M15774" s="264"/>
    </row>
    <row r="15775" spans="1:14" ht="11.25" customHeight="1" x14ac:dyDescent="0.2">
      <c r="A15775" s="168">
        <v>2025</v>
      </c>
      <c r="B15775" s="133">
        <v>11</v>
      </c>
      <c r="C15775" s="168">
        <v>17</v>
      </c>
      <c r="D15775" s="141">
        <f t="shared" si="2554"/>
        <v>45978</v>
      </c>
      <c r="E15775" s="275">
        <f t="shared" si="2555"/>
        <v>45978</v>
      </c>
      <c r="F15775" s="479" t="s">
        <v>2121</v>
      </c>
      <c r="G15775" s="220" t="s">
        <v>74</v>
      </c>
      <c r="H15775" s="220"/>
      <c r="I15775" s="142"/>
      <c r="J15775" s="143" t="s">
        <v>52</v>
      </c>
      <c r="K15775" s="226">
        <v>294947.18</v>
      </c>
      <c r="L15775" s="226"/>
    </row>
    <row r="15776" spans="1:14" x14ac:dyDescent="0.2">
      <c r="A15776" s="163">
        <v>2025</v>
      </c>
      <c r="B15776" s="163">
        <v>11</v>
      </c>
      <c r="C15776" s="163">
        <v>17</v>
      </c>
      <c r="D15776" s="280">
        <f t="shared" si="2554"/>
        <v>45978</v>
      </c>
      <c r="E15776" s="281">
        <f t="shared" si="2555"/>
        <v>45978</v>
      </c>
      <c r="F15776" s="480"/>
      <c r="G15776" s="221" t="s">
        <v>74</v>
      </c>
      <c r="H15776" s="221"/>
      <c r="I15776" s="145"/>
      <c r="J15776" s="146" t="s">
        <v>190</v>
      </c>
      <c r="K15776" s="219"/>
      <c r="L15776" s="219">
        <f>K15775</f>
        <v>294947.18</v>
      </c>
      <c r="N15776" s="264"/>
    </row>
    <row r="15777" spans="1:14" ht="11.25" customHeight="1" x14ac:dyDescent="0.2">
      <c r="A15777" s="168">
        <v>2025</v>
      </c>
      <c r="B15777" s="133">
        <v>11</v>
      </c>
      <c r="C15777" s="168">
        <v>17</v>
      </c>
      <c r="D15777" s="141">
        <f t="shared" si="2554"/>
        <v>45978</v>
      </c>
      <c r="E15777" s="275">
        <f t="shared" si="2555"/>
        <v>45978</v>
      </c>
      <c r="F15777" s="479" t="s">
        <v>2074</v>
      </c>
      <c r="G15777" s="220" t="s">
        <v>74</v>
      </c>
      <c r="H15777" s="220"/>
      <c r="I15777" s="142"/>
      <c r="J15777" s="143" t="s">
        <v>147</v>
      </c>
      <c r="K15777" s="226">
        <v>582988.13</v>
      </c>
      <c r="L15777" s="226"/>
    </row>
    <row r="15778" spans="1:14" x14ac:dyDescent="0.2">
      <c r="A15778" s="163">
        <v>2025</v>
      </c>
      <c r="B15778" s="163">
        <v>11</v>
      </c>
      <c r="C15778" s="163">
        <v>17</v>
      </c>
      <c r="D15778" s="280">
        <f t="shared" si="2554"/>
        <v>45978</v>
      </c>
      <c r="E15778" s="281">
        <f t="shared" si="2555"/>
        <v>45978</v>
      </c>
      <c r="F15778" s="480"/>
      <c r="G15778" s="221" t="s">
        <v>74</v>
      </c>
      <c r="H15778" s="221"/>
      <c r="I15778" s="145"/>
      <c r="J15778" s="146" t="s">
        <v>52</v>
      </c>
      <c r="K15778" s="219"/>
      <c r="L15778" s="219">
        <f>K15777</f>
        <v>582988.13</v>
      </c>
      <c r="N15778" s="264"/>
    </row>
    <row r="15779" spans="1:14" x14ac:dyDescent="0.2">
      <c r="A15779" s="168">
        <v>2025</v>
      </c>
      <c r="B15779" s="133">
        <v>11</v>
      </c>
      <c r="C15779" s="168">
        <v>17</v>
      </c>
      <c r="D15779" s="141">
        <f t="shared" si="2554"/>
        <v>45978</v>
      </c>
      <c r="E15779" s="275">
        <f t="shared" si="2555"/>
        <v>45978</v>
      </c>
      <c r="F15779" s="481" t="s">
        <v>2132</v>
      </c>
      <c r="G15779" s="174" t="s">
        <v>94</v>
      </c>
      <c r="H15779" s="174"/>
      <c r="I15779" s="148" t="s">
        <v>348</v>
      </c>
      <c r="J15779" s="149" t="s">
        <v>168</v>
      </c>
      <c r="K15779" s="218">
        <v>21741</v>
      </c>
      <c r="L15779" s="218"/>
    </row>
    <row r="15780" spans="1:14" x14ac:dyDescent="0.2">
      <c r="A15780" s="163">
        <v>2025</v>
      </c>
      <c r="B15780" s="163">
        <v>11</v>
      </c>
      <c r="C15780" s="163">
        <v>17</v>
      </c>
      <c r="D15780" s="141">
        <f t="shared" si="2554"/>
        <v>45978</v>
      </c>
      <c r="E15780" s="275">
        <f t="shared" si="2555"/>
        <v>45978</v>
      </c>
      <c r="F15780" s="480"/>
      <c r="G15780" s="221" t="s">
        <v>94</v>
      </c>
      <c r="H15780" s="221"/>
      <c r="I15780" s="145" t="s">
        <v>348</v>
      </c>
      <c r="J15780" s="146" t="s">
        <v>166</v>
      </c>
      <c r="K15780" s="219"/>
      <c r="L15780" s="219">
        <f>K15779</f>
        <v>21741</v>
      </c>
    </row>
    <row r="15781" spans="1:14" x14ac:dyDescent="0.2">
      <c r="A15781" s="168">
        <v>2025</v>
      </c>
      <c r="B15781" s="133">
        <v>11</v>
      </c>
      <c r="C15781" s="168">
        <v>17</v>
      </c>
      <c r="D15781" s="141">
        <f t="shared" ref="D15781:D15782" si="2556">DATE(A15781,B15781,C15781)</f>
        <v>45978</v>
      </c>
      <c r="E15781" s="275">
        <f t="shared" ref="E15781:E15782" si="2557">DATE(A15781,B15781,C15781)</f>
        <v>45978</v>
      </c>
      <c r="F15781" s="481" t="s">
        <v>2133</v>
      </c>
      <c r="G15781" s="174" t="s">
        <v>94</v>
      </c>
      <c r="H15781" s="174"/>
      <c r="I15781" s="148" t="s">
        <v>348</v>
      </c>
      <c r="J15781" s="149" t="s">
        <v>168</v>
      </c>
      <c r="K15781" s="218">
        <v>27.5</v>
      </c>
      <c r="L15781" s="218"/>
    </row>
    <row r="15782" spans="1:14" x14ac:dyDescent="0.2">
      <c r="A15782" s="163">
        <v>2025</v>
      </c>
      <c r="B15782" s="163">
        <v>11</v>
      </c>
      <c r="C15782" s="163">
        <v>17</v>
      </c>
      <c r="D15782" s="141">
        <f t="shared" si="2556"/>
        <v>45978</v>
      </c>
      <c r="E15782" s="275">
        <f t="shared" si="2557"/>
        <v>45978</v>
      </c>
      <c r="F15782" s="480"/>
      <c r="G15782" s="221" t="s">
        <v>94</v>
      </c>
      <c r="H15782" s="221"/>
      <c r="I15782" s="145" t="s">
        <v>348</v>
      </c>
      <c r="J15782" s="146" t="s">
        <v>166</v>
      </c>
      <c r="K15782" s="219"/>
      <c r="L15782" s="219">
        <f>K15781</f>
        <v>27.5</v>
      </c>
    </row>
    <row r="15783" spans="1:14" x14ac:dyDescent="0.2">
      <c r="A15783" s="168">
        <v>2025</v>
      </c>
      <c r="B15783" s="133">
        <v>11</v>
      </c>
      <c r="C15783" s="168">
        <v>18</v>
      </c>
      <c r="D15783" s="141">
        <f t="shared" ref="D15783:D15784" si="2558">DATE(A15783,B15783,C15783)</f>
        <v>45979</v>
      </c>
      <c r="E15783" s="275">
        <f t="shared" ref="E15783:E15784" si="2559">DATE(A15783,B15783,C15783)</f>
        <v>45979</v>
      </c>
      <c r="F15783" s="481" t="s">
        <v>2135</v>
      </c>
      <c r="G15783" s="174" t="s">
        <v>94</v>
      </c>
      <c r="H15783" s="174"/>
      <c r="I15783" s="148" t="s">
        <v>348</v>
      </c>
      <c r="J15783" s="149" t="s">
        <v>168</v>
      </c>
      <c r="K15783" s="218">
        <v>2121</v>
      </c>
      <c r="L15783" s="218"/>
    </row>
    <row r="15784" spans="1:14" x14ac:dyDescent="0.2">
      <c r="A15784" s="163">
        <v>2025</v>
      </c>
      <c r="B15784" s="163">
        <v>11</v>
      </c>
      <c r="C15784" s="163">
        <v>18</v>
      </c>
      <c r="D15784" s="141">
        <f t="shared" si="2558"/>
        <v>45979</v>
      </c>
      <c r="E15784" s="275">
        <f t="shared" si="2559"/>
        <v>45979</v>
      </c>
      <c r="F15784" s="480"/>
      <c r="G15784" s="221" t="s">
        <v>94</v>
      </c>
      <c r="H15784" s="221"/>
      <c r="I15784" s="145" t="s">
        <v>348</v>
      </c>
      <c r="J15784" s="146" t="s">
        <v>166</v>
      </c>
      <c r="K15784" s="219"/>
      <c r="L15784" s="219">
        <f>K15783</f>
        <v>2121</v>
      </c>
    </row>
    <row r="15785" spans="1:14" x14ac:dyDescent="0.2">
      <c r="A15785" s="133">
        <v>2025</v>
      </c>
      <c r="B15785" s="133">
        <v>11</v>
      </c>
      <c r="C15785" s="168">
        <v>18</v>
      </c>
      <c r="D15785" s="141">
        <f t="shared" si="2554"/>
        <v>45979</v>
      </c>
      <c r="E15785" s="275">
        <f t="shared" si="2555"/>
        <v>45979</v>
      </c>
      <c r="F15785" s="481" t="s">
        <v>2115</v>
      </c>
      <c r="G15785" s="174" t="s">
        <v>94</v>
      </c>
      <c r="H15785" s="174"/>
      <c r="J15785" s="149" t="s">
        <v>79</v>
      </c>
      <c r="K15785" s="218">
        <v>884209.5</v>
      </c>
      <c r="L15785" s="218"/>
      <c r="M15785" s="160"/>
    </row>
    <row r="15786" spans="1:14" x14ac:dyDescent="0.2">
      <c r="A15786" s="133">
        <v>2025</v>
      </c>
      <c r="B15786" s="133">
        <v>11</v>
      </c>
      <c r="C15786" s="133">
        <v>18</v>
      </c>
      <c r="D15786" s="141">
        <f t="shared" si="2554"/>
        <v>45979</v>
      </c>
      <c r="E15786" s="275">
        <f t="shared" si="2555"/>
        <v>45979</v>
      </c>
      <c r="F15786" s="481"/>
      <c r="G15786" s="174" t="s">
        <v>94</v>
      </c>
      <c r="H15786" s="174"/>
      <c r="J15786" s="149" t="s">
        <v>80</v>
      </c>
      <c r="K15786" s="218">
        <v>2740.84</v>
      </c>
      <c r="L15786" s="264"/>
      <c r="M15786" s="264"/>
      <c r="N15786" s="264"/>
    </row>
    <row r="15787" spans="1:14" x14ac:dyDescent="0.2">
      <c r="A15787" s="133">
        <v>2025</v>
      </c>
      <c r="B15787" s="133">
        <v>11</v>
      </c>
      <c r="C15787" s="133">
        <v>18</v>
      </c>
      <c r="D15787" s="141">
        <f t="shared" si="2554"/>
        <v>45979</v>
      </c>
      <c r="E15787" s="275">
        <f t="shared" si="2555"/>
        <v>45979</v>
      </c>
      <c r="F15787" s="481"/>
      <c r="G15787" s="174" t="s">
        <v>94</v>
      </c>
      <c r="H15787" s="174"/>
      <c r="J15787" s="149" t="s">
        <v>147</v>
      </c>
      <c r="K15787" s="218"/>
      <c r="L15787" s="218">
        <v>248469.34</v>
      </c>
      <c r="M15787" s="264"/>
    </row>
    <row r="15788" spans="1:14" x14ac:dyDescent="0.2">
      <c r="A15788" s="133">
        <v>2025</v>
      </c>
      <c r="B15788" s="133">
        <v>11</v>
      </c>
      <c r="C15788" s="133">
        <v>18</v>
      </c>
      <c r="D15788" s="141">
        <f t="shared" si="2554"/>
        <v>45979</v>
      </c>
      <c r="E15788" s="275">
        <f t="shared" si="2555"/>
        <v>45979</v>
      </c>
      <c r="F15788" s="481"/>
      <c r="G15788" s="174" t="s">
        <v>94</v>
      </c>
      <c r="H15788" s="174"/>
      <c r="J15788" s="149" t="s">
        <v>191</v>
      </c>
      <c r="K15788" s="218">
        <v>64429.4</v>
      </c>
      <c r="L15788" s="218"/>
    </row>
    <row r="15789" spans="1:14" x14ac:dyDescent="0.2">
      <c r="A15789" s="163">
        <v>2025</v>
      </c>
      <c r="B15789" s="163">
        <v>11</v>
      </c>
      <c r="C15789" s="163">
        <v>18</v>
      </c>
      <c r="D15789" s="280">
        <f t="shared" si="2554"/>
        <v>45979</v>
      </c>
      <c r="E15789" s="281">
        <f t="shared" si="2555"/>
        <v>45979</v>
      </c>
      <c r="F15789" s="480"/>
      <c r="G15789" s="221" t="s">
        <v>94</v>
      </c>
      <c r="H15789" s="145"/>
      <c r="I15789" s="145"/>
      <c r="J15789" s="163" t="s">
        <v>79</v>
      </c>
      <c r="K15789" s="219"/>
      <c r="L15789" s="219">
        <v>702910.4</v>
      </c>
      <c r="M15789" s="264"/>
    </row>
    <row r="15790" spans="1:14" x14ac:dyDescent="0.2">
      <c r="A15790" s="133">
        <v>2025</v>
      </c>
      <c r="B15790" s="133">
        <v>11</v>
      </c>
      <c r="C15790" s="168">
        <v>18</v>
      </c>
      <c r="D15790" s="141">
        <f t="shared" ref="D15790:D15808" si="2560">DATE(A15790,B15790,C15790)</f>
        <v>45979</v>
      </c>
      <c r="E15790" s="275">
        <f t="shared" ref="E15790:E15808" si="2561">DATE(A15790,B15790,C15790)</f>
        <v>45979</v>
      </c>
      <c r="F15790" s="481" t="s">
        <v>2073</v>
      </c>
      <c r="G15790" s="174" t="s">
        <v>94</v>
      </c>
      <c r="H15790" s="174"/>
      <c r="J15790" s="149" t="s">
        <v>79</v>
      </c>
      <c r="K15790" s="218">
        <v>612000</v>
      </c>
      <c r="L15790" s="218"/>
      <c r="M15790" s="160"/>
    </row>
    <row r="15791" spans="1:14" x14ac:dyDescent="0.2">
      <c r="A15791" s="133">
        <v>2025</v>
      </c>
      <c r="B15791" s="133">
        <v>11</v>
      </c>
      <c r="C15791" s="133">
        <v>18</v>
      </c>
      <c r="D15791" s="141">
        <f t="shared" si="2560"/>
        <v>45979</v>
      </c>
      <c r="E15791" s="275">
        <f t="shared" si="2561"/>
        <v>45979</v>
      </c>
      <c r="F15791" s="481"/>
      <c r="G15791" s="174" t="s">
        <v>94</v>
      </c>
      <c r="H15791" s="174"/>
      <c r="J15791" s="149" t="s">
        <v>80</v>
      </c>
      <c r="K15791" s="218">
        <v>1872.49</v>
      </c>
      <c r="L15791" s="264"/>
      <c r="M15791" s="264"/>
      <c r="N15791" s="264"/>
    </row>
    <row r="15792" spans="1:14" x14ac:dyDescent="0.2">
      <c r="A15792" s="133">
        <v>2025</v>
      </c>
      <c r="B15792" s="133">
        <v>11</v>
      </c>
      <c r="C15792" s="133">
        <v>18</v>
      </c>
      <c r="D15792" s="141">
        <f t="shared" si="2560"/>
        <v>45979</v>
      </c>
      <c r="E15792" s="275">
        <f t="shared" si="2561"/>
        <v>45979</v>
      </c>
      <c r="F15792" s="481"/>
      <c r="G15792" s="174" t="s">
        <v>94</v>
      </c>
      <c r="H15792" s="174"/>
      <c r="J15792" s="149" t="s">
        <v>147</v>
      </c>
      <c r="K15792" s="218"/>
      <c r="L15792" s="218">
        <v>185600.19</v>
      </c>
      <c r="M15792" s="264"/>
    </row>
    <row r="15793" spans="1:14" x14ac:dyDescent="0.2">
      <c r="A15793" s="133">
        <v>2025</v>
      </c>
      <c r="B15793" s="133">
        <v>11</v>
      </c>
      <c r="C15793" s="133">
        <v>18</v>
      </c>
      <c r="D15793" s="141">
        <f t="shared" si="2560"/>
        <v>45979</v>
      </c>
      <c r="E15793" s="275">
        <f t="shared" si="2561"/>
        <v>45979</v>
      </c>
      <c r="F15793" s="481"/>
      <c r="G15793" s="174" t="s">
        <v>94</v>
      </c>
      <c r="H15793" s="174"/>
      <c r="J15793" s="149" t="s">
        <v>191</v>
      </c>
      <c r="K15793" s="218">
        <v>61810.14</v>
      </c>
      <c r="L15793" s="218"/>
    </row>
    <row r="15794" spans="1:14" x14ac:dyDescent="0.2">
      <c r="A15794" s="163">
        <v>2025</v>
      </c>
      <c r="B15794" s="163">
        <v>11</v>
      </c>
      <c r="C15794" s="163">
        <v>18</v>
      </c>
      <c r="D15794" s="280">
        <f t="shared" si="2560"/>
        <v>45979</v>
      </c>
      <c r="E15794" s="281">
        <f t="shared" si="2561"/>
        <v>45979</v>
      </c>
      <c r="F15794" s="480"/>
      <c r="G15794" s="221" t="s">
        <v>94</v>
      </c>
      <c r="H15794" s="145"/>
      <c r="I15794" s="145"/>
      <c r="J15794" s="163" t="s">
        <v>79</v>
      </c>
      <c r="K15794" s="219"/>
      <c r="L15794" s="219">
        <v>490082.44</v>
      </c>
      <c r="M15794" s="264"/>
    </row>
    <row r="15795" spans="1:14" ht="11.25" customHeight="1" x14ac:dyDescent="0.2">
      <c r="A15795" s="168">
        <v>2025</v>
      </c>
      <c r="B15795" s="168">
        <v>11</v>
      </c>
      <c r="C15795" s="133">
        <v>18</v>
      </c>
      <c r="D15795" s="141">
        <f t="shared" si="2560"/>
        <v>45979</v>
      </c>
      <c r="E15795" s="275">
        <f t="shared" si="2561"/>
        <v>45979</v>
      </c>
      <c r="F15795" s="479" t="s">
        <v>964</v>
      </c>
      <c r="G15795" s="220" t="s">
        <v>74</v>
      </c>
      <c r="H15795" s="142"/>
      <c r="I15795" s="142"/>
      <c r="J15795" s="168" t="s">
        <v>52</v>
      </c>
      <c r="K15795" s="226">
        <v>2000000</v>
      </c>
      <c r="L15795" s="226"/>
    </row>
    <row r="15796" spans="1:14" ht="11.25" customHeight="1" x14ac:dyDescent="0.2">
      <c r="A15796" s="133">
        <v>2025</v>
      </c>
      <c r="B15796" s="133">
        <v>11</v>
      </c>
      <c r="C15796" s="133">
        <v>18</v>
      </c>
      <c r="D15796" s="141">
        <f t="shared" si="2560"/>
        <v>45979</v>
      </c>
      <c r="E15796" s="275">
        <f t="shared" si="2561"/>
        <v>45979</v>
      </c>
      <c r="F15796" s="481"/>
      <c r="G15796" s="174" t="s">
        <v>74</v>
      </c>
      <c r="J15796" s="133" t="s">
        <v>13</v>
      </c>
      <c r="K15796" s="218"/>
      <c r="L15796" s="218">
        <v>1440300</v>
      </c>
    </row>
    <row r="15797" spans="1:14" ht="11.25" customHeight="1" x14ac:dyDescent="0.2">
      <c r="A15797" s="163">
        <v>2025</v>
      </c>
      <c r="B15797" s="163">
        <v>11</v>
      </c>
      <c r="C15797" s="163">
        <v>18</v>
      </c>
      <c r="D15797" s="280">
        <f t="shared" si="2560"/>
        <v>45979</v>
      </c>
      <c r="E15797" s="281">
        <f t="shared" si="2561"/>
        <v>45979</v>
      </c>
      <c r="F15797" s="480"/>
      <c r="G15797" s="221" t="s">
        <v>74</v>
      </c>
      <c r="H15797" s="145"/>
      <c r="I15797" s="145"/>
      <c r="J15797" s="163" t="s">
        <v>53</v>
      </c>
      <c r="K15797" s="219"/>
      <c r="L15797" s="219">
        <v>559700</v>
      </c>
    </row>
    <row r="15798" spans="1:14" x14ac:dyDescent="0.2">
      <c r="A15798" s="133">
        <v>2025</v>
      </c>
      <c r="B15798" s="168">
        <v>11</v>
      </c>
      <c r="C15798" s="133">
        <v>18</v>
      </c>
      <c r="D15798" s="141">
        <f>DATE(A15798,B15798,C15798)</f>
        <v>45979</v>
      </c>
      <c r="E15798" s="275">
        <f>DATE(A15798,B15798,C15798)</f>
        <v>45979</v>
      </c>
      <c r="F15798" s="479" t="s">
        <v>362</v>
      </c>
      <c r="G15798" s="220" t="s">
        <v>74</v>
      </c>
      <c r="H15798" s="220"/>
      <c r="I15798" s="142" t="s">
        <v>348</v>
      </c>
      <c r="J15798" s="143" t="s">
        <v>104</v>
      </c>
      <c r="K15798" s="226">
        <v>5744.11</v>
      </c>
      <c r="L15798" s="226"/>
    </row>
    <row r="15799" spans="1:14" x14ac:dyDescent="0.2">
      <c r="A15799" s="133">
        <v>2025</v>
      </c>
      <c r="B15799" s="133">
        <v>11</v>
      </c>
      <c r="C15799" s="133">
        <v>18</v>
      </c>
      <c r="D15799" s="280">
        <f>DATE(A15799,B15799,C15799)</f>
        <v>45979</v>
      </c>
      <c r="E15799" s="281">
        <f>DATE(A15799,B15799,C15799)</f>
        <v>45979</v>
      </c>
      <c r="F15799" s="481"/>
      <c r="G15799" s="174" t="s">
        <v>74</v>
      </c>
      <c r="H15799" s="174"/>
      <c r="J15799" s="149" t="s">
        <v>534</v>
      </c>
      <c r="K15799" s="218"/>
      <c r="L15799" s="218">
        <v>574.41</v>
      </c>
    </row>
    <row r="15800" spans="1:14" x14ac:dyDescent="0.2">
      <c r="A15800" s="163">
        <v>2025</v>
      </c>
      <c r="B15800" s="163">
        <v>11</v>
      </c>
      <c r="C15800" s="163">
        <v>18</v>
      </c>
      <c r="D15800" s="144">
        <f>DATE(A15800,B15800,C15800)</f>
        <v>45979</v>
      </c>
      <c r="E15800" s="313">
        <f>DATE(A15800,B15800,C15800)</f>
        <v>45979</v>
      </c>
      <c r="F15800" s="480"/>
      <c r="G15800" s="221" t="s">
        <v>74</v>
      </c>
      <c r="H15800" s="221"/>
      <c r="I15800" s="145" t="s">
        <v>348</v>
      </c>
      <c r="J15800" s="146" t="s">
        <v>52</v>
      </c>
      <c r="K15800" s="219"/>
      <c r="L15800" s="219">
        <v>5169.7</v>
      </c>
      <c r="M15800" s="160"/>
    </row>
    <row r="15801" spans="1:14" x14ac:dyDescent="0.2">
      <c r="A15801" s="168">
        <v>2025</v>
      </c>
      <c r="B15801" s="168">
        <v>11</v>
      </c>
      <c r="C15801" s="168">
        <v>18</v>
      </c>
      <c r="D15801" s="141">
        <f t="shared" ref="D15801:D15802" si="2562">DATE(A15801,B15801,C15801)</f>
        <v>45979</v>
      </c>
      <c r="E15801" s="275">
        <f t="shared" ref="E15801:E15802" si="2563">DATE(A15801,B15801,C15801)</f>
        <v>45979</v>
      </c>
      <c r="F15801" s="479" t="s">
        <v>908</v>
      </c>
      <c r="G15801" s="220" t="s">
        <v>74</v>
      </c>
      <c r="H15801" s="220"/>
      <c r="I15801" s="142" t="s">
        <v>348</v>
      </c>
      <c r="J15801" s="143" t="s">
        <v>104</v>
      </c>
      <c r="K15801" s="226">
        <v>600</v>
      </c>
      <c r="L15801" s="226"/>
    </row>
    <row r="15802" spans="1:14" x14ac:dyDescent="0.2">
      <c r="A15802" s="163">
        <v>2025</v>
      </c>
      <c r="B15802" s="163">
        <v>11</v>
      </c>
      <c r="C15802" s="163">
        <v>18</v>
      </c>
      <c r="D15802" s="280">
        <f t="shared" si="2562"/>
        <v>45979</v>
      </c>
      <c r="E15802" s="281">
        <f t="shared" si="2563"/>
        <v>45979</v>
      </c>
      <c r="F15802" s="480"/>
      <c r="G15802" s="221" t="s">
        <v>74</v>
      </c>
      <c r="H15802" s="221"/>
      <c r="I15802" s="145" t="s">
        <v>348</v>
      </c>
      <c r="J15802" s="146" t="s">
        <v>52</v>
      </c>
      <c r="K15802" s="219"/>
      <c r="L15802" s="219">
        <v>600</v>
      </c>
    </row>
    <row r="15803" spans="1:14" x14ac:dyDescent="0.2">
      <c r="A15803" s="168">
        <v>2025</v>
      </c>
      <c r="B15803" s="168">
        <v>11</v>
      </c>
      <c r="C15803" s="168">
        <v>18</v>
      </c>
      <c r="D15803" s="147">
        <f>DATE(A15803,B15803,C15803)</f>
        <v>45979</v>
      </c>
      <c r="E15803" s="311">
        <f>DATE(A15803,B15803,C15803)</f>
        <v>45979</v>
      </c>
      <c r="F15803" s="481" t="s">
        <v>1943</v>
      </c>
      <c r="G15803" s="174" t="s">
        <v>74</v>
      </c>
      <c r="I15803" s="148" t="s">
        <v>348</v>
      </c>
      <c r="J15803" s="133" t="s">
        <v>61</v>
      </c>
      <c r="K15803" s="172">
        <v>60</v>
      </c>
    </row>
    <row r="15804" spans="1:14" x14ac:dyDescent="0.2">
      <c r="A15804" s="163">
        <v>2025</v>
      </c>
      <c r="B15804" s="163">
        <v>11</v>
      </c>
      <c r="C15804" s="163">
        <v>18</v>
      </c>
      <c r="D15804" s="280">
        <f>DATE(A15804,B15804,C15804)</f>
        <v>45979</v>
      </c>
      <c r="E15804" s="281">
        <f>DATE(A15804,B15804,C15804)</f>
        <v>45979</v>
      </c>
      <c r="F15804" s="480"/>
      <c r="G15804" s="221" t="s">
        <v>74</v>
      </c>
      <c r="H15804" s="145"/>
      <c r="I15804" s="145" t="s">
        <v>348</v>
      </c>
      <c r="J15804" s="163" t="s">
        <v>52</v>
      </c>
      <c r="K15804" s="219"/>
      <c r="L15804" s="219">
        <f>K15803</f>
        <v>60</v>
      </c>
    </row>
    <row r="15805" spans="1:14" ht="11.25" customHeight="1" x14ac:dyDescent="0.2">
      <c r="A15805" s="168">
        <v>2025</v>
      </c>
      <c r="B15805" s="133">
        <v>11</v>
      </c>
      <c r="C15805" s="168">
        <v>19</v>
      </c>
      <c r="D15805" s="141">
        <f t="shared" si="2560"/>
        <v>45980</v>
      </c>
      <c r="E15805" s="275">
        <f t="shared" si="2561"/>
        <v>45980</v>
      </c>
      <c r="F15805" s="479" t="s">
        <v>2074</v>
      </c>
      <c r="G15805" s="220" t="s">
        <v>74</v>
      </c>
      <c r="H15805" s="220"/>
      <c r="I15805" s="142"/>
      <c r="J15805" s="143" t="s">
        <v>147</v>
      </c>
      <c r="K15805" s="226">
        <v>185600.19</v>
      </c>
      <c r="L15805" s="226"/>
    </row>
    <row r="15806" spans="1:14" x14ac:dyDescent="0.2">
      <c r="A15806" s="163">
        <v>2025</v>
      </c>
      <c r="B15806" s="163">
        <v>11</v>
      </c>
      <c r="C15806" s="163">
        <v>19</v>
      </c>
      <c r="D15806" s="280">
        <f t="shared" si="2560"/>
        <v>45980</v>
      </c>
      <c r="E15806" s="281">
        <f t="shared" si="2561"/>
        <v>45980</v>
      </c>
      <c r="F15806" s="480"/>
      <c r="G15806" s="221" t="s">
        <v>74</v>
      </c>
      <c r="H15806" s="221"/>
      <c r="I15806" s="145"/>
      <c r="J15806" s="146" t="s">
        <v>52</v>
      </c>
      <c r="K15806" s="219"/>
      <c r="L15806" s="219">
        <f>K15805</f>
        <v>185600.19</v>
      </c>
      <c r="N15806" s="264"/>
    </row>
    <row r="15807" spans="1:14" ht="11.25" customHeight="1" x14ac:dyDescent="0.2">
      <c r="A15807" s="168">
        <v>2025</v>
      </c>
      <c r="B15807" s="133">
        <v>11</v>
      </c>
      <c r="C15807" s="168">
        <v>19</v>
      </c>
      <c r="D15807" s="141">
        <f t="shared" si="2560"/>
        <v>45980</v>
      </c>
      <c r="E15807" s="275">
        <f t="shared" si="2561"/>
        <v>45980</v>
      </c>
      <c r="F15807" s="479" t="s">
        <v>2116</v>
      </c>
      <c r="G15807" s="220" t="s">
        <v>74</v>
      </c>
      <c r="H15807" s="220"/>
      <c r="I15807" s="142"/>
      <c r="J15807" s="143" t="s">
        <v>147</v>
      </c>
      <c r="K15807" s="226">
        <v>248469.34</v>
      </c>
      <c r="L15807" s="226"/>
    </row>
    <row r="15808" spans="1:14" x14ac:dyDescent="0.2">
      <c r="A15808" s="163">
        <v>2025</v>
      </c>
      <c r="B15808" s="163">
        <v>11</v>
      </c>
      <c r="C15808" s="163">
        <v>19</v>
      </c>
      <c r="D15808" s="280">
        <f t="shared" si="2560"/>
        <v>45980</v>
      </c>
      <c r="E15808" s="281">
        <f t="shared" si="2561"/>
        <v>45980</v>
      </c>
      <c r="F15808" s="480"/>
      <c r="G15808" s="221" t="s">
        <v>74</v>
      </c>
      <c r="H15808" s="221"/>
      <c r="I15808" s="145"/>
      <c r="J15808" s="146" t="s">
        <v>52</v>
      </c>
      <c r="K15808" s="219"/>
      <c r="L15808" s="219">
        <f>K15807</f>
        <v>248469.34</v>
      </c>
      <c r="N15808" s="264"/>
    </row>
    <row r="15809" spans="1:14" ht="11.25" customHeight="1" x14ac:dyDescent="0.2">
      <c r="A15809" s="168">
        <v>2025</v>
      </c>
      <c r="B15809" s="133">
        <v>11</v>
      </c>
      <c r="C15809" s="168">
        <v>19</v>
      </c>
      <c r="D15809" s="141">
        <f t="shared" ref="D15809:D15810" si="2564">DATE(A15809,B15809,C15809)</f>
        <v>45980</v>
      </c>
      <c r="E15809" s="275">
        <f t="shared" ref="E15809:E15810" si="2565">DATE(A15809,B15809,C15809)</f>
        <v>45980</v>
      </c>
      <c r="F15809" s="479" t="s">
        <v>2074</v>
      </c>
      <c r="G15809" s="220" t="s">
        <v>74</v>
      </c>
      <c r="H15809" s="220"/>
      <c r="I15809" s="142"/>
      <c r="J15809" s="143" t="s">
        <v>147</v>
      </c>
      <c r="K15809" s="226">
        <v>2163868.56</v>
      </c>
      <c r="L15809" s="226"/>
    </row>
    <row r="15810" spans="1:14" x14ac:dyDescent="0.2">
      <c r="A15810" s="163">
        <v>2025</v>
      </c>
      <c r="B15810" s="163">
        <v>11</v>
      </c>
      <c r="C15810" s="163">
        <v>19</v>
      </c>
      <c r="D15810" s="280">
        <f t="shared" si="2564"/>
        <v>45980</v>
      </c>
      <c r="E15810" s="281">
        <f t="shared" si="2565"/>
        <v>45980</v>
      </c>
      <c r="F15810" s="480"/>
      <c r="G15810" s="221" t="s">
        <v>74</v>
      </c>
      <c r="H15810" s="221"/>
      <c r="I15810" s="145"/>
      <c r="J15810" s="146" t="s">
        <v>52</v>
      </c>
      <c r="K15810" s="219"/>
      <c r="L15810" s="219">
        <f>K15809</f>
        <v>2163868.56</v>
      </c>
      <c r="N15810" s="264"/>
    </row>
    <row r="15811" spans="1:14" x14ac:dyDescent="0.2">
      <c r="A15811" s="168">
        <v>2025</v>
      </c>
      <c r="B15811" s="133">
        <v>11</v>
      </c>
      <c r="C15811" s="168">
        <v>19</v>
      </c>
      <c r="D15811" s="147">
        <f>DATE(A15811,B15811,C15811)</f>
        <v>45980</v>
      </c>
      <c r="E15811" s="311">
        <f>DATE(A15811,B15811,C15811)</f>
        <v>45980</v>
      </c>
      <c r="F15811" s="481" t="s">
        <v>1943</v>
      </c>
      <c r="G15811" s="174" t="s">
        <v>74</v>
      </c>
      <c r="I15811" s="148" t="s">
        <v>348</v>
      </c>
      <c r="J15811" s="133" t="s">
        <v>61</v>
      </c>
      <c r="K15811" s="172">
        <f>58*2</f>
        <v>116</v>
      </c>
    </row>
    <row r="15812" spans="1:14" x14ac:dyDescent="0.2">
      <c r="A15812" s="163">
        <v>2025</v>
      </c>
      <c r="B15812" s="163">
        <v>11</v>
      </c>
      <c r="C15812" s="163">
        <v>19</v>
      </c>
      <c r="D15812" s="280">
        <f>DATE(A15812,B15812,C15812)</f>
        <v>45980</v>
      </c>
      <c r="E15812" s="281">
        <f>DATE(A15812,B15812,C15812)</f>
        <v>45980</v>
      </c>
      <c r="F15812" s="480"/>
      <c r="G15812" s="221" t="s">
        <v>74</v>
      </c>
      <c r="H15812" s="145"/>
      <c r="I15812" s="145" t="s">
        <v>348</v>
      </c>
      <c r="J15812" s="163" t="s">
        <v>52</v>
      </c>
      <c r="K15812" s="219"/>
      <c r="L15812" s="219">
        <f>K15811</f>
        <v>116</v>
      </c>
    </row>
    <row r="15813" spans="1:14" ht="11.25" customHeight="1" x14ac:dyDescent="0.2">
      <c r="A15813" s="168">
        <v>2025</v>
      </c>
      <c r="B15813" s="168">
        <v>11</v>
      </c>
      <c r="C15813" s="133">
        <v>19</v>
      </c>
      <c r="D15813" s="141">
        <f t="shared" ref="D15813:D15815" si="2566">DATE(A15813,B15813,C15813)</f>
        <v>45980</v>
      </c>
      <c r="E15813" s="275">
        <f t="shared" ref="E15813:E15815" si="2567">DATE(A15813,B15813,C15813)</f>
        <v>45980</v>
      </c>
      <c r="F15813" s="479" t="s">
        <v>964</v>
      </c>
      <c r="G15813" s="220" t="s">
        <v>74</v>
      </c>
      <c r="H15813" s="142"/>
      <c r="I15813" s="142"/>
      <c r="J15813" s="168" t="s">
        <v>52</v>
      </c>
      <c r="K15813" s="226">
        <v>2000000</v>
      </c>
      <c r="L15813" s="226"/>
    </row>
    <row r="15814" spans="1:14" ht="11.25" customHeight="1" x14ac:dyDescent="0.2">
      <c r="A15814" s="133">
        <v>2025</v>
      </c>
      <c r="B15814" s="133">
        <v>11</v>
      </c>
      <c r="C15814" s="133">
        <v>19</v>
      </c>
      <c r="D15814" s="141">
        <f t="shared" si="2566"/>
        <v>45980</v>
      </c>
      <c r="E15814" s="275">
        <f t="shared" si="2567"/>
        <v>45980</v>
      </c>
      <c r="F15814" s="481"/>
      <c r="G15814" s="174" t="s">
        <v>74</v>
      </c>
      <c r="J15814" s="133" t="s">
        <v>13</v>
      </c>
      <c r="K15814" s="218"/>
      <c r="L15814" s="218">
        <v>1440300</v>
      </c>
    </row>
    <row r="15815" spans="1:14" ht="11.25" customHeight="1" x14ac:dyDescent="0.2">
      <c r="A15815" s="163">
        <v>2025</v>
      </c>
      <c r="B15815" s="163">
        <v>11</v>
      </c>
      <c r="C15815" s="163">
        <v>19</v>
      </c>
      <c r="D15815" s="280">
        <f t="shared" si="2566"/>
        <v>45980</v>
      </c>
      <c r="E15815" s="281">
        <f t="shared" si="2567"/>
        <v>45980</v>
      </c>
      <c r="F15815" s="480"/>
      <c r="G15815" s="221" t="s">
        <v>74</v>
      </c>
      <c r="H15815" s="145"/>
      <c r="I15815" s="145"/>
      <c r="J15815" s="163" t="s">
        <v>53</v>
      </c>
      <c r="K15815" s="219"/>
      <c r="L15815" s="219">
        <v>559700</v>
      </c>
    </row>
    <row r="15816" spans="1:14" x14ac:dyDescent="0.2">
      <c r="A15816" s="168">
        <v>2025</v>
      </c>
      <c r="B15816" s="133">
        <v>11</v>
      </c>
      <c r="C15816" s="168">
        <v>19</v>
      </c>
      <c r="D15816" s="147">
        <f>DATE(A15816,B15816,C15816)</f>
        <v>45980</v>
      </c>
      <c r="E15816" s="311">
        <f>DATE(A15816,B15816,C15816)</f>
        <v>45980</v>
      </c>
      <c r="F15816" s="481" t="s">
        <v>1956</v>
      </c>
      <c r="G15816" s="174" t="s">
        <v>74</v>
      </c>
      <c r="I15816" s="148" t="s">
        <v>348</v>
      </c>
      <c r="J15816" s="133" t="s">
        <v>61</v>
      </c>
      <c r="K15816" s="172">
        <v>60</v>
      </c>
    </row>
    <row r="15817" spans="1:14" x14ac:dyDescent="0.2">
      <c r="A15817" s="163">
        <v>2025</v>
      </c>
      <c r="B15817" s="163">
        <v>11</v>
      </c>
      <c r="C15817" s="163">
        <v>19</v>
      </c>
      <c r="D15817" s="280">
        <f>DATE(A15817,B15817,C15817)</f>
        <v>45980</v>
      </c>
      <c r="E15817" s="281">
        <f>DATE(A15817,B15817,C15817)</f>
        <v>45980</v>
      </c>
      <c r="F15817" s="480"/>
      <c r="G15817" s="221" t="s">
        <v>74</v>
      </c>
      <c r="H15817" s="145"/>
      <c r="I15817" s="145" t="s">
        <v>348</v>
      </c>
      <c r="J15817" s="163" t="s">
        <v>52</v>
      </c>
      <c r="K15817" s="219"/>
      <c r="L15817" s="219">
        <f>K15816</f>
        <v>60</v>
      </c>
    </row>
    <row r="15818" spans="1:14" x14ac:dyDescent="0.2">
      <c r="A15818" s="168">
        <v>2025</v>
      </c>
      <c r="B15818" s="168">
        <v>11</v>
      </c>
      <c r="C15818" s="168">
        <v>19</v>
      </c>
      <c r="D15818" s="141">
        <f t="shared" ref="D15818:D15820" si="2568">DATE(A15818,B15818,C15818)</f>
        <v>45980</v>
      </c>
      <c r="E15818" s="275">
        <f t="shared" ref="E15818:E15820" si="2569">DATE(A15818,B15818,C15818)</f>
        <v>45980</v>
      </c>
      <c r="F15818" s="479" t="s">
        <v>2108</v>
      </c>
      <c r="G15818" s="220" t="s">
        <v>94</v>
      </c>
      <c r="H15818" s="220"/>
      <c r="I15818" s="142"/>
      <c r="J15818" s="143" t="s">
        <v>79</v>
      </c>
      <c r="K15818" s="226">
        <v>3835611.5</v>
      </c>
      <c r="L15818" s="226"/>
      <c r="M15818" s="160"/>
    </row>
    <row r="15819" spans="1:14" x14ac:dyDescent="0.2">
      <c r="A15819" s="133">
        <v>2025</v>
      </c>
      <c r="B15819" s="133">
        <v>11</v>
      </c>
      <c r="C15819" s="133">
        <v>19</v>
      </c>
      <c r="D15819" s="141">
        <f t="shared" si="2568"/>
        <v>45980</v>
      </c>
      <c r="E15819" s="275">
        <f t="shared" si="2569"/>
        <v>45980</v>
      </c>
      <c r="F15819" s="481"/>
      <c r="G15819" s="174" t="s">
        <v>94</v>
      </c>
      <c r="H15819" s="174"/>
      <c r="J15819" s="149" t="s">
        <v>80</v>
      </c>
      <c r="K15819" s="218">
        <v>6904.1</v>
      </c>
      <c r="L15819" s="264"/>
      <c r="M15819" s="264"/>
      <c r="N15819" s="264"/>
    </row>
    <row r="15820" spans="1:14" x14ac:dyDescent="0.2">
      <c r="A15820" s="163">
        <v>2025</v>
      </c>
      <c r="B15820" s="163">
        <v>11</v>
      </c>
      <c r="C15820" s="163">
        <v>19</v>
      </c>
      <c r="D15820" s="280">
        <f t="shared" si="2568"/>
        <v>45980</v>
      </c>
      <c r="E15820" s="281">
        <f t="shared" si="2569"/>
        <v>45980</v>
      </c>
      <c r="F15820" s="480"/>
      <c r="G15820" s="221" t="s">
        <v>94</v>
      </c>
      <c r="H15820" s="221"/>
      <c r="I15820" s="145"/>
      <c r="J15820" s="146" t="s">
        <v>147</v>
      </c>
      <c r="K15820" s="219"/>
      <c r="L15820" s="219">
        <v>3842515.6</v>
      </c>
      <c r="M15820" s="264"/>
    </row>
    <row r="15821" spans="1:14" x14ac:dyDescent="0.2">
      <c r="A15821" s="168">
        <v>2025</v>
      </c>
      <c r="B15821" s="168">
        <v>11</v>
      </c>
      <c r="C15821" s="168">
        <v>19</v>
      </c>
      <c r="D15821" s="141">
        <f t="shared" ref="D15821:D15874" si="2570">DATE(A15821,B15821,C15821)</f>
        <v>45980</v>
      </c>
      <c r="E15821" s="275">
        <f t="shared" ref="E15821:E15874" si="2571">DATE(A15821,B15821,C15821)</f>
        <v>45980</v>
      </c>
      <c r="F15821" s="479" t="s">
        <v>2113</v>
      </c>
      <c r="G15821" s="220" t="s">
        <v>94</v>
      </c>
      <c r="H15821" s="220"/>
      <c r="I15821" s="142"/>
      <c r="J15821" s="143" t="s">
        <v>79</v>
      </c>
      <c r="K15821" s="226">
        <v>515300</v>
      </c>
      <c r="L15821" s="226"/>
      <c r="M15821" s="160"/>
    </row>
    <row r="15822" spans="1:14" x14ac:dyDescent="0.2">
      <c r="A15822" s="133">
        <v>2025</v>
      </c>
      <c r="B15822" s="133">
        <v>11</v>
      </c>
      <c r="C15822" s="133">
        <v>19</v>
      </c>
      <c r="D15822" s="141">
        <f t="shared" si="2570"/>
        <v>45980</v>
      </c>
      <c r="E15822" s="275">
        <f t="shared" si="2571"/>
        <v>45980</v>
      </c>
      <c r="F15822" s="481"/>
      <c r="G15822" s="174" t="s">
        <v>94</v>
      </c>
      <c r="H15822" s="174"/>
      <c r="J15822" s="149" t="s">
        <v>80</v>
      </c>
      <c r="K15822" s="218">
        <v>927.54</v>
      </c>
      <c r="L15822" s="264"/>
      <c r="M15822" s="264"/>
      <c r="N15822" s="264"/>
    </row>
    <row r="15823" spans="1:14" x14ac:dyDescent="0.2">
      <c r="A15823" s="163">
        <v>2025</v>
      </c>
      <c r="B15823" s="163">
        <v>11</v>
      </c>
      <c r="C15823" s="163">
        <v>19</v>
      </c>
      <c r="D15823" s="280">
        <f t="shared" si="2570"/>
        <v>45980</v>
      </c>
      <c r="E15823" s="281">
        <f t="shared" si="2571"/>
        <v>45980</v>
      </c>
      <c r="F15823" s="480"/>
      <c r="G15823" s="221" t="s">
        <v>94</v>
      </c>
      <c r="H15823" s="221"/>
      <c r="I15823" s="145"/>
      <c r="J15823" s="146" t="s">
        <v>147</v>
      </c>
      <c r="K15823" s="219"/>
      <c r="L15823" s="219">
        <v>516227.54</v>
      </c>
      <c r="M15823" s="264"/>
    </row>
    <row r="15824" spans="1:14" ht="11.25" customHeight="1" x14ac:dyDescent="0.2">
      <c r="A15824" s="168">
        <v>2025</v>
      </c>
      <c r="B15824" s="168">
        <v>11</v>
      </c>
      <c r="C15824" s="133">
        <v>20</v>
      </c>
      <c r="D15824" s="141">
        <f t="shared" si="2570"/>
        <v>45981</v>
      </c>
      <c r="E15824" s="275">
        <f t="shared" si="2571"/>
        <v>45981</v>
      </c>
      <c r="F15824" s="479" t="s">
        <v>964</v>
      </c>
      <c r="G15824" s="220" t="s">
        <v>74</v>
      </c>
      <c r="H15824" s="142"/>
      <c r="I15824" s="142"/>
      <c r="J15824" s="168" t="s">
        <v>52</v>
      </c>
      <c r="K15824" s="226">
        <v>277720</v>
      </c>
      <c r="L15824" s="226"/>
    </row>
    <row r="15825" spans="1:14" ht="11.25" customHeight="1" x14ac:dyDescent="0.2">
      <c r="A15825" s="133">
        <v>2025</v>
      </c>
      <c r="B15825" s="133">
        <v>11</v>
      </c>
      <c r="C15825" s="133">
        <v>20</v>
      </c>
      <c r="D15825" s="141">
        <f t="shared" si="2570"/>
        <v>45981</v>
      </c>
      <c r="E15825" s="275">
        <f t="shared" si="2571"/>
        <v>45981</v>
      </c>
      <c r="F15825" s="481"/>
      <c r="G15825" s="174" t="s">
        <v>74</v>
      </c>
      <c r="J15825" s="133" t="s">
        <v>13</v>
      </c>
      <c r="K15825" s="218"/>
      <c r="L15825" s="218">
        <v>200000</v>
      </c>
    </row>
    <row r="15826" spans="1:14" ht="11.25" customHeight="1" x14ac:dyDescent="0.2">
      <c r="A15826" s="163">
        <v>2025</v>
      </c>
      <c r="B15826" s="163">
        <v>11</v>
      </c>
      <c r="C15826" s="163">
        <v>20</v>
      </c>
      <c r="D15826" s="280">
        <f t="shared" si="2570"/>
        <v>45981</v>
      </c>
      <c r="E15826" s="281">
        <f t="shared" si="2571"/>
        <v>45981</v>
      </c>
      <c r="F15826" s="480"/>
      <c r="G15826" s="221" t="s">
        <v>74</v>
      </c>
      <c r="H15826" s="145"/>
      <c r="I15826" s="145"/>
      <c r="J15826" s="163" t="s">
        <v>53</v>
      </c>
      <c r="K15826" s="219"/>
      <c r="L15826" s="219">
        <v>77720</v>
      </c>
    </row>
    <row r="15827" spans="1:14" ht="11.25" customHeight="1" x14ac:dyDescent="0.2">
      <c r="A15827" s="168">
        <v>2025</v>
      </c>
      <c r="B15827" s="168">
        <v>11</v>
      </c>
      <c r="C15827" s="133">
        <v>20</v>
      </c>
      <c r="D15827" s="141">
        <f t="shared" ref="D15827:D15831" si="2572">DATE(A15827,B15827,C15827)</f>
        <v>45981</v>
      </c>
      <c r="E15827" s="275">
        <f t="shared" ref="E15827:E15831" si="2573">DATE(A15827,B15827,C15827)</f>
        <v>45981</v>
      </c>
      <c r="F15827" s="479" t="s">
        <v>964</v>
      </c>
      <c r="G15827" s="220" t="s">
        <v>74</v>
      </c>
      <c r="H15827" s="142"/>
      <c r="I15827" s="142"/>
      <c r="J15827" s="168" t="s">
        <v>52</v>
      </c>
      <c r="K15827" s="226">
        <v>5000000</v>
      </c>
      <c r="L15827" s="226"/>
    </row>
    <row r="15828" spans="1:14" ht="11.25" customHeight="1" x14ac:dyDescent="0.2">
      <c r="A15828" s="133">
        <v>2025</v>
      </c>
      <c r="B15828" s="133">
        <v>11</v>
      </c>
      <c r="C15828" s="133">
        <v>20</v>
      </c>
      <c r="D15828" s="141">
        <f t="shared" si="2572"/>
        <v>45981</v>
      </c>
      <c r="E15828" s="275">
        <f t="shared" si="2573"/>
        <v>45981</v>
      </c>
      <c r="F15828" s="481"/>
      <c r="G15828" s="174" t="s">
        <v>74</v>
      </c>
      <c r="J15828" s="133" t="s">
        <v>13</v>
      </c>
      <c r="K15828" s="218"/>
      <c r="L15828" s="218">
        <v>3600750</v>
      </c>
    </row>
    <row r="15829" spans="1:14" ht="11.25" customHeight="1" x14ac:dyDescent="0.2">
      <c r="A15829" s="163">
        <v>2025</v>
      </c>
      <c r="B15829" s="163">
        <v>11</v>
      </c>
      <c r="C15829" s="163">
        <v>20</v>
      </c>
      <c r="D15829" s="280">
        <f t="shared" si="2572"/>
        <v>45981</v>
      </c>
      <c r="E15829" s="281">
        <f t="shared" si="2573"/>
        <v>45981</v>
      </c>
      <c r="F15829" s="480"/>
      <c r="G15829" s="221" t="s">
        <v>74</v>
      </c>
      <c r="H15829" s="145"/>
      <c r="I15829" s="145"/>
      <c r="J15829" s="163" t="s">
        <v>53</v>
      </c>
      <c r="K15829" s="219"/>
      <c r="L15829" s="219">
        <v>1399250</v>
      </c>
    </row>
    <row r="15830" spans="1:14" ht="11.25" customHeight="1" x14ac:dyDescent="0.2">
      <c r="A15830" s="168">
        <v>2025</v>
      </c>
      <c r="B15830" s="133">
        <v>11</v>
      </c>
      <c r="C15830" s="168">
        <v>20</v>
      </c>
      <c r="D15830" s="141">
        <f t="shared" si="2572"/>
        <v>45981</v>
      </c>
      <c r="E15830" s="275">
        <f t="shared" si="2573"/>
        <v>45981</v>
      </c>
      <c r="F15830" s="479" t="s">
        <v>2116</v>
      </c>
      <c r="G15830" s="220" t="s">
        <v>74</v>
      </c>
      <c r="H15830" s="220"/>
      <c r="I15830" s="142"/>
      <c r="J15830" s="143" t="s">
        <v>147</v>
      </c>
      <c r="K15830" s="226">
        <v>516227.54</v>
      </c>
      <c r="L15830" s="226"/>
    </row>
    <row r="15831" spans="1:14" x14ac:dyDescent="0.2">
      <c r="A15831" s="163">
        <v>2025</v>
      </c>
      <c r="B15831" s="163">
        <v>11</v>
      </c>
      <c r="C15831" s="163">
        <v>20</v>
      </c>
      <c r="D15831" s="280">
        <f t="shared" si="2572"/>
        <v>45981</v>
      </c>
      <c r="E15831" s="281">
        <f t="shared" si="2573"/>
        <v>45981</v>
      </c>
      <c r="F15831" s="480"/>
      <c r="G15831" s="221" t="s">
        <v>74</v>
      </c>
      <c r="H15831" s="221"/>
      <c r="I15831" s="145"/>
      <c r="J15831" s="146" t="s">
        <v>52</v>
      </c>
      <c r="K15831" s="219"/>
      <c r="L15831" s="219">
        <f>K15830</f>
        <v>516227.54</v>
      </c>
      <c r="N15831" s="264"/>
    </row>
    <row r="15832" spans="1:14" x14ac:dyDescent="0.2">
      <c r="A15832" s="168">
        <v>2025</v>
      </c>
      <c r="B15832" s="133">
        <v>11</v>
      </c>
      <c r="C15832" s="168">
        <v>20</v>
      </c>
      <c r="D15832" s="147">
        <f>DATE(A15832,B15832,C15832)</f>
        <v>45981</v>
      </c>
      <c r="E15832" s="311">
        <f>DATE(A15832,B15832,C15832)</f>
        <v>45981</v>
      </c>
      <c r="F15832" s="481" t="s">
        <v>1943</v>
      </c>
      <c r="G15832" s="174" t="s">
        <v>74</v>
      </c>
      <c r="I15832" s="148" t="s">
        <v>348</v>
      </c>
      <c r="J15832" s="133" t="s">
        <v>61</v>
      </c>
      <c r="K15832" s="172">
        <v>100</v>
      </c>
    </row>
    <row r="15833" spans="1:14" x14ac:dyDescent="0.2">
      <c r="A15833" s="163">
        <v>2025</v>
      </c>
      <c r="B15833" s="163">
        <v>11</v>
      </c>
      <c r="C15833" s="163">
        <v>20</v>
      </c>
      <c r="D15833" s="280">
        <f>DATE(A15833,B15833,C15833)</f>
        <v>45981</v>
      </c>
      <c r="E15833" s="281">
        <f>DATE(A15833,B15833,C15833)</f>
        <v>45981</v>
      </c>
      <c r="F15833" s="480"/>
      <c r="G15833" s="221" t="s">
        <v>74</v>
      </c>
      <c r="H15833" s="145"/>
      <c r="I15833" s="145" t="s">
        <v>348</v>
      </c>
      <c r="J15833" s="163" t="s">
        <v>52</v>
      </c>
      <c r="K15833" s="219"/>
      <c r="L15833" s="219">
        <f>K15832</f>
        <v>100</v>
      </c>
    </row>
    <row r="15834" spans="1:14" x14ac:dyDescent="0.2">
      <c r="A15834" s="168">
        <v>2025</v>
      </c>
      <c r="B15834" s="168">
        <v>11</v>
      </c>
      <c r="C15834" s="133">
        <v>20</v>
      </c>
      <c r="D15834" s="141">
        <f t="shared" ref="D15834:D15839" si="2574">DATE(A15834,B15834,C15834)</f>
        <v>45981</v>
      </c>
      <c r="E15834" s="275">
        <f t="shared" ref="E15834:E15839" si="2575">DATE(A15834,B15834,C15834)</f>
        <v>45981</v>
      </c>
      <c r="F15834" s="479" t="s">
        <v>2113</v>
      </c>
      <c r="G15834" s="220" t="s">
        <v>94</v>
      </c>
      <c r="H15834" s="220"/>
      <c r="I15834" s="142"/>
      <c r="J15834" s="143" t="s">
        <v>79</v>
      </c>
      <c r="K15834" s="226">
        <v>955115</v>
      </c>
      <c r="L15834" s="226"/>
      <c r="M15834" s="160"/>
    </row>
    <row r="15835" spans="1:14" x14ac:dyDescent="0.2">
      <c r="A15835" s="133">
        <v>2025</v>
      </c>
      <c r="B15835" s="133">
        <v>11</v>
      </c>
      <c r="C15835" s="133">
        <v>20</v>
      </c>
      <c r="D15835" s="141">
        <f t="shared" si="2574"/>
        <v>45981</v>
      </c>
      <c r="E15835" s="275">
        <f t="shared" si="2575"/>
        <v>45981</v>
      </c>
      <c r="F15835" s="481"/>
      <c r="G15835" s="174" t="s">
        <v>94</v>
      </c>
      <c r="H15835" s="174"/>
      <c r="J15835" s="149" t="s">
        <v>80</v>
      </c>
      <c r="K15835" s="218">
        <v>1719.21</v>
      </c>
      <c r="L15835" s="264"/>
      <c r="M15835" s="264"/>
      <c r="N15835" s="264"/>
    </row>
    <row r="15836" spans="1:14" x14ac:dyDescent="0.2">
      <c r="A15836" s="163">
        <v>2025</v>
      </c>
      <c r="B15836" s="163">
        <v>11</v>
      </c>
      <c r="C15836" s="163">
        <v>20</v>
      </c>
      <c r="D15836" s="280">
        <f t="shared" si="2574"/>
        <v>45981</v>
      </c>
      <c r="E15836" s="281">
        <f t="shared" si="2575"/>
        <v>45981</v>
      </c>
      <c r="F15836" s="480"/>
      <c r="G15836" s="221" t="s">
        <v>94</v>
      </c>
      <c r="H15836" s="221"/>
      <c r="I15836" s="145"/>
      <c r="J15836" s="146" t="s">
        <v>147</v>
      </c>
      <c r="K15836" s="219"/>
      <c r="L15836" s="219">
        <v>956834.21</v>
      </c>
      <c r="M15836" s="264"/>
    </row>
    <row r="15837" spans="1:14" x14ac:dyDescent="0.2">
      <c r="A15837" s="168">
        <v>2025</v>
      </c>
      <c r="B15837" s="168">
        <v>11</v>
      </c>
      <c r="C15837" s="133">
        <v>20</v>
      </c>
      <c r="D15837" s="141">
        <f t="shared" si="2574"/>
        <v>45981</v>
      </c>
      <c r="E15837" s="275">
        <f t="shared" si="2575"/>
        <v>45981</v>
      </c>
      <c r="F15837" s="479" t="s">
        <v>2108</v>
      </c>
      <c r="G15837" s="220" t="s">
        <v>94</v>
      </c>
      <c r="H15837" s="220"/>
      <c r="I15837" s="142"/>
      <c r="J15837" s="143" t="s">
        <v>79</v>
      </c>
      <c r="K15837" s="226">
        <v>202100</v>
      </c>
      <c r="L15837" s="226"/>
      <c r="M15837" s="160"/>
    </row>
    <row r="15838" spans="1:14" x14ac:dyDescent="0.2">
      <c r="A15838" s="133">
        <v>2025</v>
      </c>
      <c r="B15838" s="133">
        <v>11</v>
      </c>
      <c r="C15838" s="133">
        <v>20</v>
      </c>
      <c r="D15838" s="141">
        <f t="shared" si="2574"/>
        <v>45981</v>
      </c>
      <c r="E15838" s="275">
        <f t="shared" si="2575"/>
        <v>45981</v>
      </c>
      <c r="F15838" s="481"/>
      <c r="G15838" s="174" t="s">
        <v>94</v>
      </c>
      <c r="H15838" s="174"/>
      <c r="J15838" s="149" t="s">
        <v>80</v>
      </c>
      <c r="K15838" s="218">
        <v>363.78</v>
      </c>
      <c r="L15838" s="264"/>
      <c r="M15838" s="264"/>
      <c r="N15838" s="264"/>
    </row>
    <row r="15839" spans="1:14" x14ac:dyDescent="0.2">
      <c r="A15839" s="163">
        <v>2025</v>
      </c>
      <c r="B15839" s="163">
        <v>11</v>
      </c>
      <c r="C15839" s="163">
        <v>20</v>
      </c>
      <c r="D15839" s="280">
        <f t="shared" si="2574"/>
        <v>45981</v>
      </c>
      <c r="E15839" s="281">
        <f t="shared" si="2575"/>
        <v>45981</v>
      </c>
      <c r="F15839" s="480"/>
      <c r="G15839" s="221" t="s">
        <v>94</v>
      </c>
      <c r="H15839" s="221"/>
      <c r="I15839" s="145"/>
      <c r="J15839" s="146" t="s">
        <v>147</v>
      </c>
      <c r="K15839" s="219"/>
      <c r="L15839" s="219">
        <v>202463.78</v>
      </c>
      <c r="M15839" s="264"/>
    </row>
    <row r="15840" spans="1:14" x14ac:dyDescent="0.2">
      <c r="A15840" s="168">
        <v>2025</v>
      </c>
      <c r="B15840" s="133">
        <v>11</v>
      </c>
      <c r="C15840" s="168">
        <v>20</v>
      </c>
      <c r="D15840" s="147">
        <f>DATE(A15840,B15840,C15840)</f>
        <v>45981</v>
      </c>
      <c r="E15840" s="311">
        <f>DATE(A15840,B15840,C15840)</f>
        <v>45981</v>
      </c>
      <c r="F15840" s="481" t="s">
        <v>1943</v>
      </c>
      <c r="G15840" s="174" t="s">
        <v>74</v>
      </c>
      <c r="I15840" s="148" t="s">
        <v>348</v>
      </c>
      <c r="J15840" s="133" t="s">
        <v>61</v>
      </c>
      <c r="K15840" s="172">
        <v>60</v>
      </c>
    </row>
    <row r="15841" spans="1:13" x14ac:dyDescent="0.2">
      <c r="A15841" s="163">
        <v>2025</v>
      </c>
      <c r="B15841" s="163">
        <v>11</v>
      </c>
      <c r="C15841" s="163">
        <v>20</v>
      </c>
      <c r="D15841" s="280">
        <f>DATE(A15841,B15841,C15841)</f>
        <v>45981</v>
      </c>
      <c r="E15841" s="281">
        <f>DATE(A15841,B15841,C15841)</f>
        <v>45981</v>
      </c>
      <c r="F15841" s="480"/>
      <c r="G15841" s="221" t="s">
        <v>74</v>
      </c>
      <c r="H15841" s="145"/>
      <c r="I15841" s="145" t="s">
        <v>348</v>
      </c>
      <c r="J15841" s="163" t="s">
        <v>52</v>
      </c>
      <c r="K15841" s="219"/>
      <c r="L15841" s="219">
        <f>K15840</f>
        <v>60</v>
      </c>
    </row>
    <row r="15842" spans="1:13" x14ac:dyDescent="0.2">
      <c r="A15842" s="325">
        <v>2025</v>
      </c>
      <c r="B15842" s="325">
        <v>11</v>
      </c>
      <c r="C15842" s="325">
        <v>20</v>
      </c>
      <c r="D15842" s="326">
        <f t="shared" si="2570"/>
        <v>45981</v>
      </c>
      <c r="E15842" s="327">
        <f t="shared" si="2571"/>
        <v>45981</v>
      </c>
      <c r="F15842" s="473" t="s">
        <v>1940</v>
      </c>
      <c r="G15842" s="340" t="s">
        <v>94</v>
      </c>
      <c r="H15842" s="340"/>
      <c r="I15842" s="341" t="s">
        <v>348</v>
      </c>
      <c r="J15842" s="374" t="s">
        <v>133</v>
      </c>
      <c r="K15842" s="375">
        <v>12905.56</v>
      </c>
      <c r="L15842" s="375"/>
      <c r="M15842" s="176"/>
    </row>
    <row r="15843" spans="1:13" x14ac:dyDescent="0.2">
      <c r="A15843" s="331">
        <v>2025</v>
      </c>
      <c r="B15843" s="331">
        <v>11</v>
      </c>
      <c r="C15843" s="331">
        <v>20</v>
      </c>
      <c r="D15843" s="326">
        <f t="shared" si="2570"/>
        <v>45981</v>
      </c>
      <c r="E15843" s="327">
        <f t="shared" si="2571"/>
        <v>45981</v>
      </c>
      <c r="F15843" s="474"/>
      <c r="G15843" s="332" t="s">
        <v>94</v>
      </c>
      <c r="H15843" s="332"/>
      <c r="I15843" s="333" t="s">
        <v>348</v>
      </c>
      <c r="J15843" s="376" t="s">
        <v>60</v>
      </c>
      <c r="K15843" s="334"/>
      <c r="L15843" s="334">
        <f>K15842</f>
        <v>12905.56</v>
      </c>
    </row>
    <row r="15844" spans="1:13" x14ac:dyDescent="0.2">
      <c r="A15844" s="325">
        <v>2025</v>
      </c>
      <c r="B15844" s="325">
        <v>11</v>
      </c>
      <c r="C15844" s="325">
        <v>20</v>
      </c>
      <c r="D15844" s="326">
        <f t="shared" si="2570"/>
        <v>45981</v>
      </c>
      <c r="E15844" s="327">
        <f t="shared" si="2571"/>
        <v>45981</v>
      </c>
      <c r="F15844" s="473" t="s">
        <v>2131</v>
      </c>
      <c r="G15844" s="340" t="s">
        <v>94</v>
      </c>
      <c r="H15844" s="340"/>
      <c r="I15844" s="341" t="s">
        <v>348</v>
      </c>
      <c r="J15844" s="374" t="s">
        <v>2156</v>
      </c>
      <c r="K15844" s="375">
        <v>43298.076923076922</v>
      </c>
      <c r="L15844" s="375"/>
      <c r="M15844" s="176"/>
    </row>
    <row r="15845" spans="1:13" x14ac:dyDescent="0.2">
      <c r="A15845" s="331">
        <v>2025</v>
      </c>
      <c r="B15845" s="331">
        <v>11</v>
      </c>
      <c r="C15845" s="331">
        <v>20</v>
      </c>
      <c r="D15845" s="326">
        <f t="shared" si="2570"/>
        <v>45981</v>
      </c>
      <c r="E15845" s="327">
        <f t="shared" si="2571"/>
        <v>45981</v>
      </c>
      <c r="F15845" s="474"/>
      <c r="G15845" s="332" t="s">
        <v>94</v>
      </c>
      <c r="H15845" s="332"/>
      <c r="I15845" s="333" t="s">
        <v>348</v>
      </c>
      <c r="J15845" s="376" t="s">
        <v>2154</v>
      </c>
      <c r="K15845" s="334"/>
      <c r="L15845" s="334">
        <f>K15844</f>
        <v>43298.076923076922</v>
      </c>
    </row>
    <row r="15846" spans="1:13" x14ac:dyDescent="0.2">
      <c r="A15846" s="384">
        <v>2025</v>
      </c>
      <c r="B15846" s="384">
        <v>11</v>
      </c>
      <c r="C15846" s="384">
        <v>20</v>
      </c>
      <c r="D15846" s="385">
        <f t="shared" si="2570"/>
        <v>45981</v>
      </c>
      <c r="E15846" s="386">
        <f t="shared" si="2571"/>
        <v>45981</v>
      </c>
      <c r="F15846" s="475" t="s">
        <v>1966</v>
      </c>
      <c r="G15846" s="387" t="s">
        <v>94</v>
      </c>
      <c r="H15846" s="387"/>
      <c r="I15846" s="388" t="s">
        <v>348</v>
      </c>
      <c r="J15846" s="389" t="s">
        <v>67</v>
      </c>
      <c r="K15846" s="390">
        <v>6822.04</v>
      </c>
      <c r="L15846" s="390"/>
    </row>
    <row r="15847" spans="1:13" x14ac:dyDescent="0.2">
      <c r="A15847" s="391">
        <v>2025</v>
      </c>
      <c r="B15847" s="391">
        <v>11</v>
      </c>
      <c r="C15847" s="391">
        <v>20</v>
      </c>
      <c r="D15847" s="385">
        <f t="shared" si="2570"/>
        <v>45981</v>
      </c>
      <c r="E15847" s="386">
        <f t="shared" si="2571"/>
        <v>45981</v>
      </c>
      <c r="F15847" s="476"/>
      <c r="G15847" s="392" t="s">
        <v>94</v>
      </c>
      <c r="H15847" s="392"/>
      <c r="I15847" s="393" t="s">
        <v>348</v>
      </c>
      <c r="J15847" s="394" t="s">
        <v>60</v>
      </c>
      <c r="K15847" s="395"/>
      <c r="L15847" s="395">
        <f>K15846</f>
        <v>6822.04</v>
      </c>
    </row>
    <row r="15848" spans="1:13" x14ac:dyDescent="0.2">
      <c r="A15848" s="343">
        <v>2025</v>
      </c>
      <c r="B15848" s="343">
        <v>11</v>
      </c>
      <c r="C15848" s="343">
        <v>20</v>
      </c>
      <c r="D15848" s="344">
        <f t="shared" si="2570"/>
        <v>45981</v>
      </c>
      <c r="E15848" s="345">
        <f t="shared" si="2571"/>
        <v>45981</v>
      </c>
      <c r="F15848" s="483" t="s">
        <v>1813</v>
      </c>
      <c r="G15848" s="350" t="s">
        <v>94</v>
      </c>
      <c r="H15848" s="350"/>
      <c r="I15848" s="352" t="s">
        <v>348</v>
      </c>
      <c r="J15848" s="353" t="s">
        <v>1807</v>
      </c>
      <c r="K15848" s="354">
        <v>0</v>
      </c>
      <c r="L15848" s="354"/>
      <c r="M15848" s="133">
        <v>0</v>
      </c>
    </row>
    <row r="15849" spans="1:13" x14ac:dyDescent="0.2">
      <c r="A15849" s="346">
        <v>2025</v>
      </c>
      <c r="B15849" s="346">
        <v>11</v>
      </c>
      <c r="C15849" s="346">
        <v>20</v>
      </c>
      <c r="D15849" s="344">
        <f t="shared" si="2570"/>
        <v>45981</v>
      </c>
      <c r="E15849" s="345">
        <f t="shared" si="2571"/>
        <v>45981</v>
      </c>
      <c r="F15849" s="484"/>
      <c r="G15849" s="347" t="s">
        <v>94</v>
      </c>
      <c r="H15849" s="347"/>
      <c r="I15849" s="348" t="s">
        <v>348</v>
      </c>
      <c r="J15849" s="355" t="s">
        <v>1798</v>
      </c>
      <c r="K15849" s="349"/>
      <c r="L15849" s="349">
        <v>0</v>
      </c>
    </row>
    <row r="15850" spans="1:13" x14ac:dyDescent="0.2">
      <c r="A15850" s="343">
        <v>2025</v>
      </c>
      <c r="B15850" s="343">
        <v>11</v>
      </c>
      <c r="C15850" s="343">
        <v>20</v>
      </c>
      <c r="D15850" s="344">
        <f t="shared" si="2570"/>
        <v>45981</v>
      </c>
      <c r="E15850" s="345">
        <f t="shared" si="2571"/>
        <v>45981</v>
      </c>
      <c r="F15850" s="483" t="s">
        <v>1913</v>
      </c>
      <c r="G15850" s="350" t="s">
        <v>94</v>
      </c>
      <c r="H15850" s="350"/>
      <c r="I15850" s="352" t="s">
        <v>348</v>
      </c>
      <c r="J15850" s="353" t="s">
        <v>1808</v>
      </c>
      <c r="K15850" s="354"/>
      <c r="L15850" s="354"/>
      <c r="M15850" s="160">
        <v>0</v>
      </c>
    </row>
    <row r="15851" spans="1:13" x14ac:dyDescent="0.2">
      <c r="A15851" s="346">
        <v>2025</v>
      </c>
      <c r="B15851" s="346">
        <v>11</v>
      </c>
      <c r="C15851" s="346">
        <v>20</v>
      </c>
      <c r="D15851" s="344">
        <f t="shared" si="2570"/>
        <v>45981</v>
      </c>
      <c r="E15851" s="345">
        <f t="shared" si="2571"/>
        <v>45981</v>
      </c>
      <c r="F15851" s="484"/>
      <c r="G15851" s="347" t="s">
        <v>94</v>
      </c>
      <c r="H15851" s="347"/>
      <c r="I15851" s="348" t="s">
        <v>348</v>
      </c>
      <c r="J15851" s="355" t="s">
        <v>1799</v>
      </c>
      <c r="K15851" s="349"/>
      <c r="L15851" s="349">
        <f>K15850</f>
        <v>0</v>
      </c>
    </row>
    <row r="15852" spans="1:13" x14ac:dyDescent="0.2">
      <c r="A15852" s="238">
        <v>2025</v>
      </c>
      <c r="B15852" s="238">
        <v>11</v>
      </c>
      <c r="C15852" s="238">
        <v>20</v>
      </c>
      <c r="D15852" s="270">
        <f t="shared" si="2570"/>
        <v>45981</v>
      </c>
      <c r="E15852" s="279">
        <f t="shared" si="2571"/>
        <v>45981</v>
      </c>
      <c r="F15852" s="477" t="s">
        <v>347</v>
      </c>
      <c r="G15852" s="239" t="s">
        <v>94</v>
      </c>
      <c r="H15852" s="239"/>
      <c r="I15852" s="262" t="s">
        <v>348</v>
      </c>
      <c r="J15852" s="240" t="s">
        <v>108</v>
      </c>
      <c r="K15852" s="241">
        <v>1539276.6299999654</v>
      </c>
      <c r="L15852" s="241"/>
      <c r="M15852" s="160">
        <v>13139541.900000483</v>
      </c>
    </row>
    <row r="15853" spans="1:13" x14ac:dyDescent="0.2">
      <c r="A15853" s="242">
        <v>2025</v>
      </c>
      <c r="B15853" s="242">
        <v>11</v>
      </c>
      <c r="C15853" s="242">
        <v>20</v>
      </c>
      <c r="D15853" s="270">
        <f t="shared" si="2570"/>
        <v>45981</v>
      </c>
      <c r="E15853" s="279">
        <f t="shared" si="2571"/>
        <v>45981</v>
      </c>
      <c r="F15853" s="478"/>
      <c r="G15853" s="243" t="s">
        <v>94</v>
      </c>
      <c r="H15853" s="243"/>
      <c r="I15853" s="263" t="s">
        <v>348</v>
      </c>
      <c r="J15853" s="244" t="s">
        <v>82</v>
      </c>
      <c r="K15853" s="245"/>
      <c r="L15853" s="245">
        <f>K15852</f>
        <v>1539276.6299999654</v>
      </c>
    </row>
    <row r="15854" spans="1:13" ht="12" customHeight="1" x14ac:dyDescent="0.2">
      <c r="A15854" s="246">
        <v>2025</v>
      </c>
      <c r="B15854" s="238">
        <v>11</v>
      </c>
      <c r="C15854" s="238">
        <v>20</v>
      </c>
      <c r="D15854" s="270">
        <f t="shared" si="2570"/>
        <v>45981</v>
      </c>
      <c r="E15854" s="279">
        <f t="shared" si="2571"/>
        <v>45981</v>
      </c>
      <c r="F15854" s="482" t="s">
        <v>148</v>
      </c>
      <c r="G15854" s="247" t="s">
        <v>94</v>
      </c>
      <c r="H15854" s="247"/>
      <c r="I15854" s="248" t="s">
        <v>348</v>
      </c>
      <c r="J15854" s="249" t="s">
        <v>95</v>
      </c>
      <c r="K15854" s="250">
        <v>2747.2527472527472</v>
      </c>
      <c r="L15854" s="241"/>
      <c r="M15854" s="176"/>
    </row>
    <row r="15855" spans="1:13" x14ac:dyDescent="0.2">
      <c r="A15855" s="242">
        <v>2025</v>
      </c>
      <c r="B15855" s="242">
        <v>11</v>
      </c>
      <c r="C15855" s="242">
        <v>20</v>
      </c>
      <c r="D15855" s="270">
        <f t="shared" si="2570"/>
        <v>45981</v>
      </c>
      <c r="E15855" s="279">
        <f t="shared" si="2571"/>
        <v>45981</v>
      </c>
      <c r="F15855" s="478"/>
      <c r="G15855" s="243" t="s">
        <v>94</v>
      </c>
      <c r="H15855" s="243"/>
      <c r="I15855" s="263" t="s">
        <v>348</v>
      </c>
      <c r="J15855" s="244" t="s">
        <v>63</v>
      </c>
      <c r="K15855" s="245"/>
      <c r="L15855" s="245">
        <f>K15854</f>
        <v>2747.2527472527472</v>
      </c>
    </row>
    <row r="15856" spans="1:13" x14ac:dyDescent="0.2">
      <c r="A15856" s="246">
        <v>2025</v>
      </c>
      <c r="B15856" s="238">
        <v>11</v>
      </c>
      <c r="C15856" s="238">
        <v>20</v>
      </c>
      <c r="D15856" s="270">
        <f t="shared" si="2570"/>
        <v>45981</v>
      </c>
      <c r="E15856" s="279">
        <f t="shared" si="2571"/>
        <v>45981</v>
      </c>
      <c r="F15856" s="482" t="s">
        <v>137</v>
      </c>
      <c r="G15856" s="247" t="s">
        <v>94</v>
      </c>
      <c r="H15856" s="247"/>
      <c r="I15856" s="248" t="s">
        <v>348</v>
      </c>
      <c r="J15856" s="249" t="s">
        <v>97</v>
      </c>
      <c r="K15856" s="250">
        <f>M15856</f>
        <v>89754.107831407426</v>
      </c>
      <c r="L15856" s="252"/>
      <c r="M15856" s="133">
        <v>89754.107831407426</v>
      </c>
    </row>
    <row r="15857" spans="1:14" x14ac:dyDescent="0.2">
      <c r="A15857" s="242">
        <v>2025</v>
      </c>
      <c r="B15857" s="242">
        <v>11</v>
      </c>
      <c r="C15857" s="242">
        <v>20</v>
      </c>
      <c r="D15857" s="270">
        <f t="shared" si="2570"/>
        <v>45981</v>
      </c>
      <c r="E15857" s="279">
        <f t="shared" si="2571"/>
        <v>45981</v>
      </c>
      <c r="F15857" s="478"/>
      <c r="G15857" s="243" t="s">
        <v>94</v>
      </c>
      <c r="H15857" s="243"/>
      <c r="I15857" s="263" t="s">
        <v>348</v>
      </c>
      <c r="J15857" s="244" t="s">
        <v>47</v>
      </c>
      <c r="K15857" s="245"/>
      <c r="L15857" s="245">
        <f>K15856</f>
        <v>89754.107831407426</v>
      </c>
      <c r="M15857" s="133">
        <v>4247.3207761857566</v>
      </c>
    </row>
    <row r="15858" spans="1:14" x14ac:dyDescent="0.2">
      <c r="A15858" s="246">
        <v>2025</v>
      </c>
      <c r="B15858" s="238">
        <v>11</v>
      </c>
      <c r="C15858" s="238">
        <v>20</v>
      </c>
      <c r="D15858" s="270">
        <f t="shared" si="2570"/>
        <v>45981</v>
      </c>
      <c r="E15858" s="279">
        <f t="shared" si="2571"/>
        <v>45981</v>
      </c>
      <c r="F15858" s="482" t="s">
        <v>138</v>
      </c>
      <c r="G15858" s="247" t="s">
        <v>94</v>
      </c>
      <c r="H15858" s="247"/>
      <c r="I15858" s="248" t="s">
        <v>348</v>
      </c>
      <c r="J15858" s="249" t="s">
        <v>100</v>
      </c>
      <c r="K15858" s="250">
        <f>M15857</f>
        <v>4247.3207761857566</v>
      </c>
      <c r="L15858" s="252"/>
    </row>
    <row r="15859" spans="1:14" x14ac:dyDescent="0.2">
      <c r="A15859" s="242">
        <v>2025</v>
      </c>
      <c r="B15859" s="242">
        <v>11</v>
      </c>
      <c r="C15859" s="242">
        <v>20</v>
      </c>
      <c r="D15859" s="321">
        <f t="shared" si="2570"/>
        <v>45981</v>
      </c>
      <c r="E15859" s="322">
        <f t="shared" si="2571"/>
        <v>45981</v>
      </c>
      <c r="F15859" s="478"/>
      <c r="G15859" s="243" t="s">
        <v>94</v>
      </c>
      <c r="H15859" s="243"/>
      <c r="I15859" s="263" t="s">
        <v>348</v>
      </c>
      <c r="J15859" s="244" t="s">
        <v>48</v>
      </c>
      <c r="K15859" s="245"/>
      <c r="L15859" s="245">
        <f>K15858</f>
        <v>4247.3207761857566</v>
      </c>
    </row>
    <row r="15860" spans="1:14" ht="11.25" customHeight="1" x14ac:dyDescent="0.2">
      <c r="A15860" s="168">
        <v>2025</v>
      </c>
      <c r="B15860" s="133">
        <v>11</v>
      </c>
      <c r="C15860" s="168">
        <v>23</v>
      </c>
      <c r="D15860" s="141">
        <f t="shared" si="2570"/>
        <v>45984</v>
      </c>
      <c r="E15860" s="275">
        <f t="shared" si="2571"/>
        <v>45984</v>
      </c>
      <c r="F15860" s="479" t="s">
        <v>2116</v>
      </c>
      <c r="G15860" s="220" t="s">
        <v>74</v>
      </c>
      <c r="H15860" s="220"/>
      <c r="I15860" s="142"/>
      <c r="J15860" s="143" t="s">
        <v>147</v>
      </c>
      <c r="K15860" s="226">
        <v>956834.21</v>
      </c>
      <c r="L15860" s="226"/>
    </row>
    <row r="15861" spans="1:14" x14ac:dyDescent="0.2">
      <c r="A15861" s="163">
        <v>2025</v>
      </c>
      <c r="B15861" s="163">
        <v>11</v>
      </c>
      <c r="C15861" s="163">
        <v>23</v>
      </c>
      <c r="D15861" s="280">
        <f t="shared" si="2570"/>
        <v>45984</v>
      </c>
      <c r="E15861" s="281">
        <f t="shared" si="2571"/>
        <v>45984</v>
      </c>
      <c r="F15861" s="480"/>
      <c r="G15861" s="221" t="s">
        <v>74</v>
      </c>
      <c r="H15861" s="221"/>
      <c r="I15861" s="145"/>
      <c r="J15861" s="146" t="s">
        <v>52</v>
      </c>
      <c r="K15861" s="219"/>
      <c r="L15861" s="219">
        <f>K15860</f>
        <v>956834.21</v>
      </c>
      <c r="N15861" s="264"/>
    </row>
    <row r="15862" spans="1:14" ht="11.25" customHeight="1" x14ac:dyDescent="0.2">
      <c r="A15862" s="168">
        <v>2025</v>
      </c>
      <c r="B15862" s="133">
        <v>11</v>
      </c>
      <c r="C15862" s="168">
        <v>23</v>
      </c>
      <c r="D15862" s="141">
        <f t="shared" ref="D15862:D15866" si="2576">DATE(A15862,B15862,C15862)</f>
        <v>45984</v>
      </c>
      <c r="E15862" s="275">
        <f t="shared" ref="E15862:E15866" si="2577">DATE(A15862,B15862,C15862)</f>
        <v>45984</v>
      </c>
      <c r="F15862" s="479" t="s">
        <v>2074</v>
      </c>
      <c r="G15862" s="220" t="s">
        <v>74</v>
      </c>
      <c r="H15862" s="220"/>
      <c r="I15862" s="142"/>
      <c r="J15862" s="143" t="s">
        <v>147</v>
      </c>
      <c r="K15862" s="226">
        <v>202463.78</v>
      </c>
      <c r="L15862" s="226"/>
    </row>
    <row r="15863" spans="1:14" x14ac:dyDescent="0.2">
      <c r="A15863" s="163">
        <v>2025</v>
      </c>
      <c r="B15863" s="163">
        <v>11</v>
      </c>
      <c r="C15863" s="163">
        <v>23</v>
      </c>
      <c r="D15863" s="280">
        <f t="shared" si="2576"/>
        <v>45984</v>
      </c>
      <c r="E15863" s="281">
        <f t="shared" si="2577"/>
        <v>45984</v>
      </c>
      <c r="F15863" s="480"/>
      <c r="G15863" s="221" t="s">
        <v>74</v>
      </c>
      <c r="H15863" s="221"/>
      <c r="I15863" s="145"/>
      <c r="J15863" s="146" t="s">
        <v>52</v>
      </c>
      <c r="K15863" s="219"/>
      <c r="L15863" s="219">
        <f>K15862</f>
        <v>202463.78</v>
      </c>
      <c r="N15863" s="264"/>
    </row>
    <row r="15864" spans="1:14" x14ac:dyDescent="0.2">
      <c r="A15864" s="168">
        <v>2025</v>
      </c>
      <c r="B15864" s="168">
        <v>11</v>
      </c>
      <c r="C15864" s="133">
        <v>23</v>
      </c>
      <c r="D15864" s="141">
        <f t="shared" si="2576"/>
        <v>45984</v>
      </c>
      <c r="E15864" s="275">
        <f t="shared" si="2577"/>
        <v>45984</v>
      </c>
      <c r="F15864" s="479" t="s">
        <v>275</v>
      </c>
      <c r="G15864" s="174" t="s">
        <v>74</v>
      </c>
      <c r="H15864" s="174"/>
      <c r="I15864" s="148" t="s">
        <v>348</v>
      </c>
      <c r="J15864" s="149" t="s">
        <v>163</v>
      </c>
      <c r="K15864" s="218">
        <v>1575</v>
      </c>
      <c r="L15864" s="218"/>
    </row>
    <row r="15865" spans="1:14" x14ac:dyDescent="0.2">
      <c r="A15865" s="133">
        <v>2025</v>
      </c>
      <c r="B15865" s="133">
        <v>11</v>
      </c>
      <c r="C15865" s="133">
        <v>23</v>
      </c>
      <c r="D15865" s="141">
        <f t="shared" si="2576"/>
        <v>45984</v>
      </c>
      <c r="E15865" s="275">
        <f t="shared" si="2577"/>
        <v>45984</v>
      </c>
      <c r="F15865" s="481"/>
      <c r="G15865" s="174" t="s">
        <v>74</v>
      </c>
      <c r="H15865" s="174"/>
      <c r="J15865" s="149" t="s">
        <v>1907</v>
      </c>
      <c r="K15865" s="218"/>
      <c r="L15865" s="218">
        <v>75</v>
      </c>
    </row>
    <row r="15866" spans="1:14" x14ac:dyDescent="0.2">
      <c r="A15866" s="163">
        <v>2025</v>
      </c>
      <c r="B15866" s="163">
        <v>11</v>
      </c>
      <c r="C15866" s="163">
        <v>23</v>
      </c>
      <c r="D15866" s="280">
        <f t="shared" si="2576"/>
        <v>45984</v>
      </c>
      <c r="E15866" s="281">
        <f t="shared" si="2577"/>
        <v>45984</v>
      </c>
      <c r="F15866" s="480"/>
      <c r="G15866" s="221" t="s">
        <v>74</v>
      </c>
      <c r="H15866" s="221"/>
      <c r="I15866" s="145"/>
      <c r="J15866" s="146" t="s">
        <v>52</v>
      </c>
      <c r="K15866" s="219"/>
      <c r="L15866" s="219">
        <v>1500</v>
      </c>
    </row>
    <row r="15867" spans="1:14" ht="11.25" customHeight="1" x14ac:dyDescent="0.2">
      <c r="A15867" s="168">
        <v>2025</v>
      </c>
      <c r="B15867" s="133">
        <v>11</v>
      </c>
      <c r="C15867" s="168">
        <v>23</v>
      </c>
      <c r="D15867" s="141">
        <f t="shared" ref="D15867:D15868" si="2578">DATE(A15867,B15867,C15867)</f>
        <v>45984</v>
      </c>
      <c r="E15867" s="275">
        <f t="shared" ref="E15867:E15868" si="2579">DATE(A15867,B15867,C15867)</f>
        <v>45984</v>
      </c>
      <c r="F15867" s="479" t="s">
        <v>2074</v>
      </c>
      <c r="G15867" s="220" t="s">
        <v>74</v>
      </c>
      <c r="H15867" s="220"/>
      <c r="I15867" s="142"/>
      <c r="J15867" s="143" t="s">
        <v>147</v>
      </c>
      <c r="K15867" s="226">
        <v>3842515.6</v>
      </c>
      <c r="L15867" s="226"/>
    </row>
    <row r="15868" spans="1:14" x14ac:dyDescent="0.2">
      <c r="A15868" s="163">
        <v>2025</v>
      </c>
      <c r="B15868" s="163">
        <v>11</v>
      </c>
      <c r="C15868" s="163">
        <v>23</v>
      </c>
      <c r="D15868" s="280">
        <f t="shared" si="2578"/>
        <v>45984</v>
      </c>
      <c r="E15868" s="281">
        <f t="shared" si="2579"/>
        <v>45984</v>
      </c>
      <c r="F15868" s="480"/>
      <c r="G15868" s="221" t="s">
        <v>74</v>
      </c>
      <c r="H15868" s="221"/>
      <c r="I15868" s="145"/>
      <c r="J15868" s="146" t="s">
        <v>52</v>
      </c>
      <c r="K15868" s="219"/>
      <c r="L15868" s="219">
        <f>K15867</f>
        <v>3842515.6</v>
      </c>
      <c r="N15868" s="264"/>
    </row>
    <row r="15869" spans="1:14" x14ac:dyDescent="0.2">
      <c r="A15869" s="168">
        <v>2025</v>
      </c>
      <c r="B15869" s="168">
        <v>11</v>
      </c>
      <c r="C15869" s="133">
        <v>23</v>
      </c>
      <c r="D15869" s="141">
        <f t="shared" si="2570"/>
        <v>45984</v>
      </c>
      <c r="E15869" s="275">
        <f t="shared" si="2571"/>
        <v>45984</v>
      </c>
      <c r="F15869" s="479" t="s">
        <v>2108</v>
      </c>
      <c r="G15869" s="220" t="s">
        <v>94</v>
      </c>
      <c r="H15869" s="220"/>
      <c r="I15869" s="142"/>
      <c r="J15869" s="143" t="s">
        <v>79</v>
      </c>
      <c r="K15869" s="226">
        <v>129800</v>
      </c>
      <c r="L15869" s="226"/>
      <c r="M15869" s="160"/>
    </row>
    <row r="15870" spans="1:14" x14ac:dyDescent="0.2">
      <c r="A15870" s="133">
        <v>2025</v>
      </c>
      <c r="B15870" s="133">
        <v>11</v>
      </c>
      <c r="C15870" s="133">
        <v>23</v>
      </c>
      <c r="D15870" s="141">
        <f t="shared" si="2570"/>
        <v>45984</v>
      </c>
      <c r="E15870" s="275">
        <f t="shared" si="2571"/>
        <v>45984</v>
      </c>
      <c r="F15870" s="481"/>
      <c r="G15870" s="174" t="s">
        <v>94</v>
      </c>
      <c r="H15870" s="174"/>
      <c r="J15870" s="149" t="s">
        <v>80</v>
      </c>
      <c r="K15870" s="218">
        <v>233.64</v>
      </c>
      <c r="L15870" s="264"/>
      <c r="M15870" s="264"/>
      <c r="N15870" s="264"/>
    </row>
    <row r="15871" spans="1:14" x14ac:dyDescent="0.2">
      <c r="A15871" s="163">
        <v>2025</v>
      </c>
      <c r="B15871" s="163">
        <v>11</v>
      </c>
      <c r="C15871" s="163">
        <v>23</v>
      </c>
      <c r="D15871" s="280">
        <f t="shared" si="2570"/>
        <v>45984</v>
      </c>
      <c r="E15871" s="281">
        <f t="shared" si="2571"/>
        <v>45984</v>
      </c>
      <c r="F15871" s="480"/>
      <c r="G15871" s="221" t="s">
        <v>94</v>
      </c>
      <c r="H15871" s="221"/>
      <c r="I15871" s="145"/>
      <c r="J15871" s="146" t="s">
        <v>147</v>
      </c>
      <c r="K15871" s="219"/>
      <c r="L15871" s="219">
        <v>130033.64</v>
      </c>
      <c r="M15871" s="264"/>
    </row>
    <row r="15872" spans="1:14" x14ac:dyDescent="0.2">
      <c r="A15872" s="168">
        <v>2025</v>
      </c>
      <c r="B15872" s="168">
        <v>11</v>
      </c>
      <c r="C15872" s="133">
        <v>23</v>
      </c>
      <c r="D15872" s="141">
        <f t="shared" si="2570"/>
        <v>45984</v>
      </c>
      <c r="E15872" s="275">
        <f t="shared" si="2571"/>
        <v>45984</v>
      </c>
      <c r="F15872" s="479" t="s">
        <v>2113</v>
      </c>
      <c r="G15872" s="220" t="s">
        <v>94</v>
      </c>
      <c r="H15872" s="220"/>
      <c r="I15872" s="142"/>
      <c r="J15872" s="143" t="s">
        <v>79</v>
      </c>
      <c r="K15872" s="226">
        <v>438896</v>
      </c>
      <c r="L15872" s="226"/>
      <c r="M15872" s="160"/>
    </row>
    <row r="15873" spans="1:14" x14ac:dyDescent="0.2">
      <c r="A15873" s="133">
        <v>2025</v>
      </c>
      <c r="B15873" s="133">
        <v>11</v>
      </c>
      <c r="C15873" s="133">
        <v>23</v>
      </c>
      <c r="D15873" s="141">
        <f t="shared" si="2570"/>
        <v>45984</v>
      </c>
      <c r="E15873" s="275">
        <f t="shared" si="2571"/>
        <v>45984</v>
      </c>
      <c r="F15873" s="481"/>
      <c r="G15873" s="174" t="s">
        <v>94</v>
      </c>
      <c r="H15873" s="174"/>
      <c r="J15873" s="149" t="s">
        <v>80</v>
      </c>
      <c r="K15873" s="218">
        <v>790.01</v>
      </c>
      <c r="L15873" s="264"/>
      <c r="M15873" s="264"/>
      <c r="N15873" s="264"/>
    </row>
    <row r="15874" spans="1:14" x14ac:dyDescent="0.2">
      <c r="A15874" s="163">
        <v>2025</v>
      </c>
      <c r="B15874" s="163">
        <v>11</v>
      </c>
      <c r="C15874" s="163">
        <v>23</v>
      </c>
      <c r="D15874" s="280">
        <f t="shared" si="2570"/>
        <v>45984</v>
      </c>
      <c r="E15874" s="281">
        <f t="shared" si="2571"/>
        <v>45984</v>
      </c>
      <c r="F15874" s="480"/>
      <c r="G15874" s="221" t="s">
        <v>94</v>
      </c>
      <c r="H15874" s="221"/>
      <c r="I15874" s="145"/>
      <c r="J15874" s="146" t="s">
        <v>147</v>
      </c>
      <c r="K15874" s="219"/>
      <c r="L15874" s="219">
        <v>439686.01</v>
      </c>
      <c r="M15874" s="264"/>
    </row>
    <row r="15875" spans="1:14" x14ac:dyDescent="0.2">
      <c r="A15875" s="168">
        <v>2025</v>
      </c>
      <c r="B15875" s="133">
        <v>11</v>
      </c>
      <c r="C15875" s="168">
        <v>23</v>
      </c>
      <c r="D15875" s="147">
        <f>DATE(A15875,B15875,C15875)</f>
        <v>45984</v>
      </c>
      <c r="E15875" s="311">
        <f>DATE(A15875,B15875,C15875)</f>
        <v>45984</v>
      </c>
      <c r="F15875" s="481" t="s">
        <v>1943</v>
      </c>
      <c r="G15875" s="174" t="s">
        <v>74</v>
      </c>
      <c r="I15875" s="148" t="s">
        <v>348</v>
      </c>
      <c r="J15875" s="133" t="s">
        <v>61</v>
      </c>
      <c r="K15875" s="172">
        <v>158</v>
      </c>
    </row>
    <row r="15876" spans="1:14" x14ac:dyDescent="0.2">
      <c r="A15876" s="163">
        <v>2025</v>
      </c>
      <c r="B15876" s="163">
        <v>11</v>
      </c>
      <c r="C15876" s="163">
        <v>23</v>
      </c>
      <c r="D15876" s="280">
        <f>DATE(A15876,B15876,C15876)</f>
        <v>45984</v>
      </c>
      <c r="E15876" s="281">
        <f>DATE(A15876,B15876,C15876)</f>
        <v>45984</v>
      </c>
      <c r="F15876" s="480"/>
      <c r="G15876" s="221" t="s">
        <v>74</v>
      </c>
      <c r="H15876" s="145"/>
      <c r="I15876" s="145" t="s">
        <v>348</v>
      </c>
      <c r="J15876" s="163" t="s">
        <v>52</v>
      </c>
      <c r="K15876" s="219"/>
      <c r="L15876" s="219">
        <f>K15875</f>
        <v>158</v>
      </c>
    </row>
    <row r="15877" spans="1:14" x14ac:dyDescent="0.2">
      <c r="A15877" s="168">
        <v>2025</v>
      </c>
      <c r="B15877" s="133">
        <v>11</v>
      </c>
      <c r="C15877" s="168">
        <v>23</v>
      </c>
      <c r="D15877" s="141">
        <f t="shared" ref="D15877:D15878" si="2580">DATE(A15877,B15877,C15877)</f>
        <v>45984</v>
      </c>
      <c r="E15877" s="275">
        <f t="shared" ref="E15877:E15878" si="2581">DATE(A15877,B15877,C15877)</f>
        <v>45984</v>
      </c>
      <c r="F15877" s="481" t="s">
        <v>2138</v>
      </c>
      <c r="G15877" s="174" t="s">
        <v>94</v>
      </c>
      <c r="H15877" s="174"/>
      <c r="I15877" s="148" t="s">
        <v>348</v>
      </c>
      <c r="J15877" s="149" t="s">
        <v>168</v>
      </c>
      <c r="K15877" s="218">
        <v>335600</v>
      </c>
      <c r="L15877" s="218"/>
    </row>
    <row r="15878" spans="1:14" x14ac:dyDescent="0.2">
      <c r="A15878" s="163">
        <v>2025</v>
      </c>
      <c r="B15878" s="163">
        <v>11</v>
      </c>
      <c r="C15878" s="163">
        <v>23</v>
      </c>
      <c r="D15878" s="141">
        <f t="shared" si="2580"/>
        <v>45984</v>
      </c>
      <c r="E15878" s="275">
        <f t="shared" si="2581"/>
        <v>45984</v>
      </c>
      <c r="F15878" s="480"/>
      <c r="G15878" s="221" t="s">
        <v>94</v>
      </c>
      <c r="H15878" s="221"/>
      <c r="I15878" s="145" t="s">
        <v>348</v>
      </c>
      <c r="J15878" s="146" t="s">
        <v>166</v>
      </c>
      <c r="K15878" s="219"/>
      <c r="L15878" s="219">
        <f>K15877</f>
        <v>335600</v>
      </c>
    </row>
    <row r="15879" spans="1:14" ht="11.25" customHeight="1" x14ac:dyDescent="0.2">
      <c r="A15879" s="168">
        <v>2025</v>
      </c>
      <c r="B15879" s="133">
        <v>11</v>
      </c>
      <c r="C15879" s="168">
        <v>24</v>
      </c>
      <c r="D15879" s="141">
        <f t="shared" ref="D15879:D15882" si="2582">DATE(A15879,B15879,C15879)</f>
        <v>45985</v>
      </c>
      <c r="E15879" s="275">
        <f t="shared" ref="E15879:E15882" si="2583">DATE(A15879,B15879,C15879)</f>
        <v>45985</v>
      </c>
      <c r="F15879" s="479" t="s">
        <v>2116</v>
      </c>
      <c r="G15879" s="220" t="s">
        <v>74</v>
      </c>
      <c r="H15879" s="220"/>
      <c r="I15879" s="142"/>
      <c r="J15879" s="143" t="s">
        <v>147</v>
      </c>
      <c r="K15879" s="226">
        <v>439686.01</v>
      </c>
      <c r="L15879" s="226"/>
    </row>
    <row r="15880" spans="1:14" x14ac:dyDescent="0.2">
      <c r="A15880" s="163">
        <v>2025</v>
      </c>
      <c r="B15880" s="163">
        <v>11</v>
      </c>
      <c r="C15880" s="163">
        <v>24</v>
      </c>
      <c r="D15880" s="280">
        <f t="shared" si="2582"/>
        <v>45985</v>
      </c>
      <c r="E15880" s="281">
        <f t="shared" si="2583"/>
        <v>45985</v>
      </c>
      <c r="F15880" s="480"/>
      <c r="G15880" s="221" t="s">
        <v>74</v>
      </c>
      <c r="H15880" s="221"/>
      <c r="I15880" s="145"/>
      <c r="J15880" s="146" t="s">
        <v>52</v>
      </c>
      <c r="K15880" s="219"/>
      <c r="L15880" s="219">
        <f>K15879</f>
        <v>439686.01</v>
      </c>
      <c r="N15880" s="264"/>
    </row>
    <row r="15881" spans="1:14" ht="11.25" customHeight="1" x14ac:dyDescent="0.2">
      <c r="A15881" s="168">
        <v>2025</v>
      </c>
      <c r="B15881" s="133">
        <v>11</v>
      </c>
      <c r="C15881" s="168">
        <v>24</v>
      </c>
      <c r="D15881" s="141">
        <f t="shared" si="2582"/>
        <v>45985</v>
      </c>
      <c r="E15881" s="275">
        <f t="shared" si="2583"/>
        <v>45985</v>
      </c>
      <c r="F15881" s="479" t="s">
        <v>2074</v>
      </c>
      <c r="G15881" s="220" t="s">
        <v>74</v>
      </c>
      <c r="H15881" s="220"/>
      <c r="I15881" s="142"/>
      <c r="J15881" s="143" t="s">
        <v>147</v>
      </c>
      <c r="K15881" s="226">
        <v>130033.64</v>
      </c>
      <c r="L15881" s="226"/>
    </row>
    <row r="15882" spans="1:14" x14ac:dyDescent="0.2">
      <c r="A15882" s="163">
        <v>2025</v>
      </c>
      <c r="B15882" s="163">
        <v>11</v>
      </c>
      <c r="C15882" s="163">
        <v>24</v>
      </c>
      <c r="D15882" s="280">
        <f t="shared" si="2582"/>
        <v>45985</v>
      </c>
      <c r="E15882" s="281">
        <f t="shared" si="2583"/>
        <v>45985</v>
      </c>
      <c r="F15882" s="480"/>
      <c r="G15882" s="221" t="s">
        <v>74</v>
      </c>
      <c r="H15882" s="221"/>
      <c r="I15882" s="145"/>
      <c r="J15882" s="146" t="s">
        <v>52</v>
      </c>
      <c r="K15882" s="219"/>
      <c r="L15882" s="219">
        <f>K15881</f>
        <v>130033.64</v>
      </c>
      <c r="N15882" s="264"/>
    </row>
    <row r="15883" spans="1:14" x14ac:dyDescent="0.2">
      <c r="A15883" s="168">
        <v>2025</v>
      </c>
      <c r="B15883" s="133">
        <v>11</v>
      </c>
      <c r="C15883" s="168">
        <v>24</v>
      </c>
      <c r="D15883" s="147">
        <f>DATE(A15883,B15883,C15883)</f>
        <v>45985</v>
      </c>
      <c r="E15883" s="311">
        <f>DATE(A15883,B15883,C15883)</f>
        <v>45985</v>
      </c>
      <c r="F15883" s="481" t="s">
        <v>1943</v>
      </c>
      <c r="G15883" s="174" t="s">
        <v>74</v>
      </c>
      <c r="I15883" s="148" t="s">
        <v>348</v>
      </c>
      <c r="J15883" s="133" t="s">
        <v>61</v>
      </c>
      <c r="K15883" s="172">
        <v>216</v>
      </c>
    </row>
    <row r="15884" spans="1:14" x14ac:dyDescent="0.2">
      <c r="A15884" s="163">
        <v>2025</v>
      </c>
      <c r="B15884" s="163">
        <v>11</v>
      </c>
      <c r="C15884" s="163">
        <v>24</v>
      </c>
      <c r="D15884" s="280">
        <f>DATE(A15884,B15884,C15884)</f>
        <v>45985</v>
      </c>
      <c r="E15884" s="281">
        <f>DATE(A15884,B15884,C15884)</f>
        <v>45985</v>
      </c>
      <c r="F15884" s="480"/>
      <c r="G15884" s="221" t="s">
        <v>74</v>
      </c>
      <c r="H15884" s="145"/>
      <c r="I15884" s="145" t="s">
        <v>348</v>
      </c>
      <c r="J15884" s="163" t="s">
        <v>52</v>
      </c>
      <c r="K15884" s="219"/>
      <c r="L15884" s="219">
        <f>K15883</f>
        <v>216</v>
      </c>
    </row>
    <row r="15885" spans="1:14" ht="11.25" customHeight="1" x14ac:dyDescent="0.2">
      <c r="A15885" s="168">
        <v>2025</v>
      </c>
      <c r="B15885" s="168">
        <v>11</v>
      </c>
      <c r="C15885" s="133">
        <v>24</v>
      </c>
      <c r="D15885" s="141">
        <f t="shared" ref="D15885:D15887" si="2584">DATE(A15885,B15885,C15885)</f>
        <v>45985</v>
      </c>
      <c r="E15885" s="275">
        <f t="shared" ref="E15885:E15887" si="2585">DATE(A15885,B15885,C15885)</f>
        <v>45985</v>
      </c>
      <c r="F15885" s="479" t="s">
        <v>1315</v>
      </c>
      <c r="G15885" s="220" t="s">
        <v>74</v>
      </c>
      <c r="H15885" s="142"/>
      <c r="I15885" s="142"/>
      <c r="J15885" s="168" t="s">
        <v>13</v>
      </c>
      <c r="K15885" s="226">
        <v>1120000</v>
      </c>
      <c r="L15885" s="226"/>
    </row>
    <row r="15886" spans="1:14" ht="11.25" customHeight="1" x14ac:dyDescent="0.2">
      <c r="A15886" s="133">
        <v>2025</v>
      </c>
      <c r="B15886" s="133">
        <v>11</v>
      </c>
      <c r="C15886" s="133">
        <v>24</v>
      </c>
      <c r="D15886" s="141">
        <f t="shared" si="2584"/>
        <v>45985</v>
      </c>
      <c r="E15886" s="275">
        <f t="shared" si="2585"/>
        <v>45985</v>
      </c>
      <c r="F15886" s="481"/>
      <c r="G15886" s="174" t="s">
        <v>74</v>
      </c>
      <c r="J15886" s="133" t="s">
        <v>53</v>
      </c>
      <c r="K15886" s="218">
        <v>483616</v>
      </c>
      <c r="L15886" s="218"/>
    </row>
    <row r="15887" spans="1:14" ht="11.25" customHeight="1" x14ac:dyDescent="0.2">
      <c r="A15887" s="163">
        <v>2025</v>
      </c>
      <c r="B15887" s="163">
        <v>11</v>
      </c>
      <c r="C15887" s="163">
        <v>24</v>
      </c>
      <c r="D15887" s="280">
        <f t="shared" si="2584"/>
        <v>45985</v>
      </c>
      <c r="E15887" s="281">
        <f t="shared" si="2585"/>
        <v>45985</v>
      </c>
      <c r="F15887" s="480"/>
      <c r="G15887" s="221" t="s">
        <v>74</v>
      </c>
      <c r="H15887" s="145"/>
      <c r="I15887" s="145"/>
      <c r="J15887" s="163" t="s">
        <v>52</v>
      </c>
      <c r="K15887" s="219"/>
      <c r="L15887" s="219">
        <v>1603616</v>
      </c>
    </row>
    <row r="15888" spans="1:14" ht="11.25" customHeight="1" x14ac:dyDescent="0.2">
      <c r="A15888" s="168">
        <v>2025</v>
      </c>
      <c r="B15888" s="168">
        <v>11</v>
      </c>
      <c r="C15888" s="133">
        <v>24</v>
      </c>
      <c r="D15888" s="141">
        <f t="shared" ref="D15888:D15895" si="2586">DATE(A15888,B15888,C15888)</f>
        <v>45985</v>
      </c>
      <c r="E15888" s="275">
        <f t="shared" ref="E15888:E15895" si="2587">DATE(A15888,B15888,C15888)</f>
        <v>45985</v>
      </c>
      <c r="F15888" s="479" t="s">
        <v>1315</v>
      </c>
      <c r="G15888" s="220" t="s">
        <v>74</v>
      </c>
      <c r="H15888" s="142"/>
      <c r="I15888" s="142"/>
      <c r="J15888" s="168" t="s">
        <v>13</v>
      </c>
      <c r="K15888" s="226">
        <v>142650</v>
      </c>
      <c r="L15888" s="226"/>
    </row>
    <row r="15889" spans="1:14" ht="11.25" customHeight="1" x14ac:dyDescent="0.2">
      <c r="A15889" s="133">
        <v>2025</v>
      </c>
      <c r="B15889" s="133">
        <v>11</v>
      </c>
      <c r="C15889" s="133">
        <v>24</v>
      </c>
      <c r="D15889" s="141">
        <f t="shared" si="2586"/>
        <v>45985</v>
      </c>
      <c r="E15889" s="275">
        <f t="shared" si="2587"/>
        <v>45985</v>
      </c>
      <c r="F15889" s="481"/>
      <c r="G15889" s="174" t="s">
        <v>74</v>
      </c>
      <c r="J15889" s="133" t="s">
        <v>53</v>
      </c>
      <c r="K15889" s="218">
        <v>57350</v>
      </c>
      <c r="L15889" s="218"/>
    </row>
    <row r="15890" spans="1:14" ht="11.25" customHeight="1" x14ac:dyDescent="0.2">
      <c r="A15890" s="163">
        <v>2025</v>
      </c>
      <c r="B15890" s="163">
        <v>11</v>
      </c>
      <c r="C15890" s="163">
        <v>24</v>
      </c>
      <c r="D15890" s="280">
        <f t="shared" si="2586"/>
        <v>45985</v>
      </c>
      <c r="E15890" s="281">
        <f t="shared" si="2587"/>
        <v>45985</v>
      </c>
      <c r="F15890" s="480"/>
      <c r="G15890" s="221" t="s">
        <v>74</v>
      </c>
      <c r="H15890" s="145"/>
      <c r="I15890" s="145"/>
      <c r="J15890" s="163" t="s">
        <v>52</v>
      </c>
      <c r="K15890" s="219"/>
      <c r="L15890" s="219">
        <v>200000</v>
      </c>
    </row>
    <row r="15891" spans="1:14" x14ac:dyDescent="0.2">
      <c r="A15891" s="133">
        <v>2025</v>
      </c>
      <c r="B15891" s="133">
        <v>11</v>
      </c>
      <c r="C15891" s="168">
        <v>24</v>
      </c>
      <c r="D15891" s="141">
        <f t="shared" si="2586"/>
        <v>45985</v>
      </c>
      <c r="E15891" s="275">
        <f t="shared" si="2587"/>
        <v>45985</v>
      </c>
      <c r="F15891" s="481" t="s">
        <v>2073</v>
      </c>
      <c r="G15891" s="174" t="s">
        <v>94</v>
      </c>
      <c r="H15891" s="174"/>
      <c r="J15891" s="149" t="s">
        <v>79</v>
      </c>
      <c r="K15891" s="218">
        <v>728400</v>
      </c>
      <c r="L15891" s="218"/>
      <c r="M15891" s="160"/>
    </row>
    <row r="15892" spans="1:14" x14ac:dyDescent="0.2">
      <c r="A15892" s="133">
        <v>2025</v>
      </c>
      <c r="B15892" s="133">
        <v>11</v>
      </c>
      <c r="C15892" s="133">
        <v>24</v>
      </c>
      <c r="D15892" s="141">
        <f t="shared" si="2586"/>
        <v>45985</v>
      </c>
      <c r="E15892" s="275">
        <f t="shared" si="2587"/>
        <v>45985</v>
      </c>
      <c r="F15892" s="481"/>
      <c r="G15892" s="174" t="s">
        <v>94</v>
      </c>
      <c r="H15892" s="174"/>
      <c r="J15892" s="149" t="s">
        <v>80</v>
      </c>
      <c r="K15892" s="218">
        <v>2725.02</v>
      </c>
      <c r="L15892" s="264"/>
      <c r="M15892" s="264"/>
      <c r="N15892" s="264"/>
    </row>
    <row r="15893" spans="1:14" x14ac:dyDescent="0.2">
      <c r="A15893" s="133">
        <v>2025</v>
      </c>
      <c r="B15893" s="133">
        <v>11</v>
      </c>
      <c r="C15893" s="133">
        <v>24</v>
      </c>
      <c r="D15893" s="141">
        <f t="shared" si="2586"/>
        <v>45985</v>
      </c>
      <c r="E15893" s="275">
        <f t="shared" si="2587"/>
        <v>45985</v>
      </c>
      <c r="F15893" s="481"/>
      <c r="G15893" s="174" t="s">
        <v>94</v>
      </c>
      <c r="H15893" s="174"/>
      <c r="J15893" s="149" t="s">
        <v>190</v>
      </c>
      <c r="K15893" s="218">
        <v>54374.98</v>
      </c>
      <c r="L15893" s="218"/>
      <c r="M15893" s="264"/>
    </row>
    <row r="15894" spans="1:14" x14ac:dyDescent="0.2">
      <c r="A15894" s="133">
        <v>2025</v>
      </c>
      <c r="B15894" s="133">
        <v>11</v>
      </c>
      <c r="C15894" s="133">
        <v>24</v>
      </c>
      <c r="D15894" s="141">
        <f t="shared" si="2586"/>
        <v>45985</v>
      </c>
      <c r="E15894" s="275">
        <f t="shared" si="2587"/>
        <v>45985</v>
      </c>
      <c r="F15894" s="481"/>
      <c r="G15894" s="174" t="s">
        <v>94</v>
      </c>
      <c r="H15894" s="174"/>
      <c r="J15894" s="149" t="s">
        <v>191</v>
      </c>
      <c r="K15894" s="218">
        <v>6192.03</v>
      </c>
      <c r="L15894" s="218"/>
    </row>
    <row r="15895" spans="1:14" x14ac:dyDescent="0.2">
      <c r="A15895" s="163">
        <v>2025</v>
      </c>
      <c r="B15895" s="163">
        <v>11</v>
      </c>
      <c r="C15895" s="163">
        <v>24</v>
      </c>
      <c r="D15895" s="280">
        <f t="shared" si="2586"/>
        <v>45985</v>
      </c>
      <c r="E15895" s="281">
        <f t="shared" si="2587"/>
        <v>45985</v>
      </c>
      <c r="F15895" s="480"/>
      <c r="G15895" s="221" t="s">
        <v>94</v>
      </c>
      <c r="H15895" s="145"/>
      <c r="I15895" s="145"/>
      <c r="J15895" s="163" t="s">
        <v>79</v>
      </c>
      <c r="K15895" s="219"/>
      <c r="L15895" s="219">
        <v>791692.03</v>
      </c>
      <c r="M15895" s="264"/>
    </row>
    <row r="15896" spans="1:14" x14ac:dyDescent="0.2">
      <c r="A15896" s="133">
        <v>2025</v>
      </c>
      <c r="B15896" s="133">
        <v>11</v>
      </c>
      <c r="C15896" s="168">
        <v>24</v>
      </c>
      <c r="D15896" s="141">
        <f t="shared" ref="D15896:D15923" si="2588">DATE(A15896,B15896,C15896)</f>
        <v>45985</v>
      </c>
      <c r="E15896" s="275">
        <f t="shared" ref="E15896:E15923" si="2589">DATE(A15896,B15896,C15896)</f>
        <v>45985</v>
      </c>
      <c r="F15896" s="481" t="s">
        <v>2115</v>
      </c>
      <c r="G15896" s="174" t="s">
        <v>94</v>
      </c>
      <c r="H15896" s="174"/>
      <c r="J15896" s="149" t="s">
        <v>79</v>
      </c>
      <c r="K15896" s="218">
        <v>420950</v>
      </c>
      <c r="L15896" s="218"/>
      <c r="M15896" s="160"/>
    </row>
    <row r="15897" spans="1:14" x14ac:dyDescent="0.2">
      <c r="A15897" s="133">
        <v>2025</v>
      </c>
      <c r="B15897" s="133">
        <v>11</v>
      </c>
      <c r="C15897" s="133">
        <v>24</v>
      </c>
      <c r="D15897" s="141">
        <f t="shared" si="2588"/>
        <v>45985</v>
      </c>
      <c r="E15897" s="275">
        <f t="shared" si="2589"/>
        <v>45985</v>
      </c>
      <c r="F15897" s="481"/>
      <c r="G15897" s="174" t="s">
        <v>94</v>
      </c>
      <c r="H15897" s="174"/>
      <c r="J15897" s="149" t="s">
        <v>80</v>
      </c>
      <c r="K15897" s="218">
        <v>2198.6999999999998</v>
      </c>
      <c r="L15897" s="264"/>
      <c r="M15897" s="264"/>
      <c r="N15897" s="264"/>
    </row>
    <row r="15898" spans="1:14" x14ac:dyDescent="0.2">
      <c r="A15898" s="133">
        <v>2025</v>
      </c>
      <c r="B15898" s="133">
        <v>11</v>
      </c>
      <c r="C15898" s="133">
        <v>24</v>
      </c>
      <c r="D15898" s="141">
        <f t="shared" si="2588"/>
        <v>45985</v>
      </c>
      <c r="E15898" s="275">
        <f t="shared" si="2589"/>
        <v>45985</v>
      </c>
      <c r="F15898" s="481"/>
      <c r="G15898" s="174" t="s">
        <v>94</v>
      </c>
      <c r="H15898" s="174"/>
      <c r="J15898" s="149" t="s">
        <v>190</v>
      </c>
      <c r="K15898" s="254">
        <v>377401.3</v>
      </c>
      <c r="L15898" s="218"/>
      <c r="M15898" s="264"/>
    </row>
    <row r="15899" spans="1:14" x14ac:dyDescent="0.2">
      <c r="A15899" s="133">
        <v>2025</v>
      </c>
      <c r="B15899" s="133">
        <v>11</v>
      </c>
      <c r="C15899" s="133">
        <v>24</v>
      </c>
      <c r="D15899" s="141">
        <f t="shared" si="2588"/>
        <v>45985</v>
      </c>
      <c r="E15899" s="275">
        <f t="shared" si="2589"/>
        <v>45985</v>
      </c>
      <c r="F15899" s="481"/>
      <c r="G15899" s="174" t="s">
        <v>94</v>
      </c>
      <c r="H15899" s="174"/>
      <c r="J15899" s="149" t="s">
        <v>191</v>
      </c>
      <c r="K15899" s="218"/>
      <c r="L15899" s="218">
        <v>30878.19</v>
      </c>
    </row>
    <row r="15900" spans="1:14" x14ac:dyDescent="0.2">
      <c r="A15900" s="163">
        <v>2025</v>
      </c>
      <c r="B15900" s="163">
        <v>11</v>
      </c>
      <c r="C15900" s="163">
        <v>24</v>
      </c>
      <c r="D15900" s="280">
        <f t="shared" si="2588"/>
        <v>45985</v>
      </c>
      <c r="E15900" s="281">
        <f t="shared" si="2589"/>
        <v>45985</v>
      </c>
      <c r="F15900" s="480"/>
      <c r="G15900" s="221" t="s">
        <v>94</v>
      </c>
      <c r="H15900" s="145"/>
      <c r="I15900" s="145"/>
      <c r="J15900" s="163" t="s">
        <v>79</v>
      </c>
      <c r="K15900" s="219"/>
      <c r="L15900" s="219">
        <v>769671.81</v>
      </c>
      <c r="M15900" s="264"/>
    </row>
    <row r="15901" spans="1:14" ht="11.25" customHeight="1" x14ac:dyDescent="0.2">
      <c r="A15901" s="168">
        <v>2025</v>
      </c>
      <c r="B15901" s="168">
        <v>11</v>
      </c>
      <c r="C15901" s="133">
        <v>24</v>
      </c>
      <c r="D15901" s="141">
        <f t="shared" ref="D15901:D15903" si="2590">DATE(A15901,B15901,C15901)</f>
        <v>45985</v>
      </c>
      <c r="E15901" s="275">
        <f t="shared" ref="E15901:E15903" si="2591">DATE(A15901,B15901,C15901)</f>
        <v>45985</v>
      </c>
      <c r="F15901" s="479" t="s">
        <v>964</v>
      </c>
      <c r="G15901" s="220" t="s">
        <v>74</v>
      </c>
      <c r="H15901" s="142"/>
      <c r="I15901" s="142"/>
      <c r="J15901" s="168" t="s">
        <v>52</v>
      </c>
      <c r="K15901" s="226">
        <v>10000</v>
      </c>
      <c r="L15901" s="226"/>
    </row>
    <row r="15902" spans="1:14" ht="11.25" customHeight="1" x14ac:dyDescent="0.2">
      <c r="A15902" s="133">
        <v>2025</v>
      </c>
      <c r="B15902" s="133">
        <v>11</v>
      </c>
      <c r="C15902" s="133">
        <v>24</v>
      </c>
      <c r="D15902" s="141">
        <f t="shared" si="2590"/>
        <v>45985</v>
      </c>
      <c r="E15902" s="275">
        <f t="shared" si="2591"/>
        <v>45985</v>
      </c>
      <c r="F15902" s="481"/>
      <c r="G15902" s="174" t="s">
        <v>74</v>
      </c>
      <c r="J15902" s="133" t="s">
        <v>13</v>
      </c>
      <c r="K15902" s="218"/>
      <c r="L15902" s="218">
        <v>7130</v>
      </c>
    </row>
    <row r="15903" spans="1:14" ht="11.25" customHeight="1" x14ac:dyDescent="0.2">
      <c r="A15903" s="163">
        <v>2025</v>
      </c>
      <c r="B15903" s="163">
        <v>11</v>
      </c>
      <c r="C15903" s="163">
        <v>24</v>
      </c>
      <c r="D15903" s="280">
        <f t="shared" si="2590"/>
        <v>45985</v>
      </c>
      <c r="E15903" s="281">
        <f t="shared" si="2591"/>
        <v>45985</v>
      </c>
      <c r="F15903" s="480"/>
      <c r="G15903" s="221" t="s">
        <v>74</v>
      </c>
      <c r="H15903" s="145"/>
      <c r="I15903" s="145"/>
      <c r="J15903" s="163" t="s">
        <v>53</v>
      </c>
      <c r="K15903" s="219"/>
      <c r="L15903" s="219">
        <v>2870</v>
      </c>
    </row>
    <row r="15904" spans="1:14" x14ac:dyDescent="0.2">
      <c r="A15904" s="133">
        <v>2025</v>
      </c>
      <c r="B15904" s="133">
        <v>11</v>
      </c>
      <c r="C15904" s="168">
        <v>25</v>
      </c>
      <c r="D15904" s="141">
        <f t="shared" ref="D15904:D15911" si="2592">DATE(A15904,B15904,C15904)</f>
        <v>45986</v>
      </c>
      <c r="E15904" s="275">
        <f t="shared" ref="E15904:E15911" si="2593">DATE(A15904,B15904,C15904)</f>
        <v>45986</v>
      </c>
      <c r="F15904" s="481" t="s">
        <v>2115</v>
      </c>
      <c r="G15904" s="174" t="s">
        <v>94</v>
      </c>
      <c r="H15904" s="174"/>
      <c r="J15904" s="149" t="s">
        <v>79</v>
      </c>
      <c r="K15904" s="218">
        <v>101400</v>
      </c>
      <c r="L15904" s="218"/>
      <c r="M15904" s="160"/>
    </row>
    <row r="15905" spans="1:14" x14ac:dyDescent="0.2">
      <c r="A15905" s="133">
        <v>2025</v>
      </c>
      <c r="B15905" s="133">
        <v>11</v>
      </c>
      <c r="C15905" s="133">
        <v>25</v>
      </c>
      <c r="D15905" s="141">
        <f t="shared" si="2592"/>
        <v>45986</v>
      </c>
      <c r="E15905" s="275">
        <f t="shared" si="2593"/>
        <v>45986</v>
      </c>
      <c r="F15905" s="481"/>
      <c r="G15905" s="174" t="s">
        <v>94</v>
      </c>
      <c r="H15905" s="174"/>
      <c r="J15905" s="149" t="s">
        <v>80</v>
      </c>
      <c r="K15905" s="218">
        <v>879.2</v>
      </c>
      <c r="L15905" s="264"/>
      <c r="M15905" s="264"/>
      <c r="N15905" s="264"/>
    </row>
    <row r="15906" spans="1:14" x14ac:dyDescent="0.2">
      <c r="A15906" s="133">
        <v>2025</v>
      </c>
      <c r="B15906" s="133">
        <v>11</v>
      </c>
      <c r="C15906" s="133">
        <v>25</v>
      </c>
      <c r="D15906" s="141">
        <f t="shared" si="2592"/>
        <v>45986</v>
      </c>
      <c r="E15906" s="275">
        <f t="shared" si="2593"/>
        <v>45986</v>
      </c>
      <c r="F15906" s="481"/>
      <c r="G15906" s="174" t="s">
        <v>94</v>
      </c>
      <c r="H15906" s="174"/>
      <c r="J15906" s="149" t="s">
        <v>190</v>
      </c>
      <c r="K15906" s="218">
        <v>284766.8</v>
      </c>
      <c r="L15906" s="218"/>
      <c r="M15906" s="264"/>
    </row>
    <row r="15907" spans="1:14" x14ac:dyDescent="0.2">
      <c r="A15907" s="133">
        <v>2025</v>
      </c>
      <c r="B15907" s="133">
        <v>11</v>
      </c>
      <c r="C15907" s="133">
        <v>25</v>
      </c>
      <c r="D15907" s="141">
        <f t="shared" si="2592"/>
        <v>45986</v>
      </c>
      <c r="E15907" s="275">
        <f t="shared" si="2593"/>
        <v>45986</v>
      </c>
      <c r="F15907" s="481"/>
      <c r="G15907" s="174" t="s">
        <v>94</v>
      </c>
      <c r="H15907" s="174"/>
      <c r="J15907" s="149" t="s">
        <v>191</v>
      </c>
      <c r="K15907" s="218"/>
      <c r="L15907" s="218">
        <v>13740.03</v>
      </c>
    </row>
    <row r="15908" spans="1:14" x14ac:dyDescent="0.2">
      <c r="A15908" s="163">
        <v>2025</v>
      </c>
      <c r="B15908" s="163">
        <v>11</v>
      </c>
      <c r="C15908" s="163">
        <v>25</v>
      </c>
      <c r="D15908" s="280">
        <f t="shared" si="2592"/>
        <v>45986</v>
      </c>
      <c r="E15908" s="281">
        <f t="shared" si="2593"/>
        <v>45986</v>
      </c>
      <c r="F15908" s="480"/>
      <c r="G15908" s="221" t="s">
        <v>94</v>
      </c>
      <c r="H15908" s="145"/>
      <c r="I15908" s="145"/>
      <c r="J15908" s="163" t="s">
        <v>79</v>
      </c>
      <c r="K15908" s="219"/>
      <c r="L15908" s="219">
        <v>373305.97</v>
      </c>
      <c r="M15908" s="264"/>
    </row>
    <row r="15909" spans="1:14" x14ac:dyDescent="0.2">
      <c r="A15909" s="168">
        <v>2025</v>
      </c>
      <c r="B15909" s="168">
        <v>11</v>
      </c>
      <c r="C15909" s="133">
        <v>26</v>
      </c>
      <c r="D15909" s="141">
        <f t="shared" si="2592"/>
        <v>45987</v>
      </c>
      <c r="E15909" s="275">
        <f t="shared" si="2593"/>
        <v>45987</v>
      </c>
      <c r="F15909" s="479" t="s">
        <v>2108</v>
      </c>
      <c r="G15909" s="220" t="s">
        <v>94</v>
      </c>
      <c r="H15909" s="220"/>
      <c r="I15909" s="142"/>
      <c r="J15909" s="143" t="s">
        <v>79</v>
      </c>
      <c r="K15909" s="226">
        <v>174000</v>
      </c>
      <c r="L15909" s="226"/>
      <c r="M15909" s="160"/>
    </row>
    <row r="15910" spans="1:14" x14ac:dyDescent="0.2">
      <c r="A15910" s="133">
        <v>2025</v>
      </c>
      <c r="B15910" s="133">
        <v>11</v>
      </c>
      <c r="C15910" s="133">
        <v>26</v>
      </c>
      <c r="D15910" s="141">
        <f t="shared" si="2592"/>
        <v>45987</v>
      </c>
      <c r="E15910" s="275">
        <f t="shared" si="2593"/>
        <v>45987</v>
      </c>
      <c r="F15910" s="481"/>
      <c r="G15910" s="174" t="s">
        <v>94</v>
      </c>
      <c r="H15910" s="174"/>
      <c r="J15910" s="149" t="s">
        <v>80</v>
      </c>
      <c r="K15910" s="218">
        <v>313.2</v>
      </c>
      <c r="L15910" s="264"/>
      <c r="M15910" s="264"/>
      <c r="N15910" s="264"/>
    </row>
    <row r="15911" spans="1:14" x14ac:dyDescent="0.2">
      <c r="A15911" s="163">
        <v>2025</v>
      </c>
      <c r="B15911" s="163">
        <v>11</v>
      </c>
      <c r="C15911" s="163">
        <v>26</v>
      </c>
      <c r="D15911" s="280">
        <f t="shared" si="2592"/>
        <v>45987</v>
      </c>
      <c r="E15911" s="281">
        <f t="shared" si="2593"/>
        <v>45987</v>
      </c>
      <c r="F15911" s="480"/>
      <c r="G15911" s="221" t="s">
        <v>94</v>
      </c>
      <c r="H15911" s="221"/>
      <c r="I15911" s="145"/>
      <c r="J15911" s="146" t="s">
        <v>147</v>
      </c>
      <c r="K15911" s="219"/>
      <c r="L15911" s="219">
        <v>174313.2</v>
      </c>
      <c r="M15911" s="264"/>
    </row>
    <row r="15912" spans="1:14" x14ac:dyDescent="0.2">
      <c r="A15912" s="133">
        <v>2025</v>
      </c>
      <c r="B15912" s="133">
        <v>11</v>
      </c>
      <c r="C15912" s="168">
        <v>26</v>
      </c>
      <c r="D15912" s="141">
        <f t="shared" ref="D15912:D15916" si="2594">DATE(A15912,B15912,C15912)</f>
        <v>45987</v>
      </c>
      <c r="E15912" s="275">
        <f t="shared" ref="E15912:E15916" si="2595">DATE(A15912,B15912,C15912)</f>
        <v>45987</v>
      </c>
      <c r="F15912" s="481" t="s">
        <v>2115</v>
      </c>
      <c r="G15912" s="174" t="s">
        <v>94</v>
      </c>
      <c r="H15912" s="174"/>
      <c r="J15912" s="149" t="s">
        <v>79</v>
      </c>
      <c r="K15912" s="218">
        <v>222529</v>
      </c>
      <c r="L15912" s="218"/>
      <c r="M15912" s="160"/>
    </row>
    <row r="15913" spans="1:14" x14ac:dyDescent="0.2">
      <c r="A15913" s="133">
        <v>2025</v>
      </c>
      <c r="B15913" s="133">
        <v>11</v>
      </c>
      <c r="C15913" s="133">
        <v>26</v>
      </c>
      <c r="D15913" s="141">
        <f t="shared" si="2594"/>
        <v>45987</v>
      </c>
      <c r="E15913" s="275">
        <f t="shared" si="2595"/>
        <v>45987</v>
      </c>
      <c r="F15913" s="481"/>
      <c r="G15913" s="174" t="s">
        <v>94</v>
      </c>
      <c r="H15913" s="174"/>
      <c r="J15913" s="149" t="s">
        <v>80</v>
      </c>
      <c r="K15913" s="218">
        <v>2170.27</v>
      </c>
      <c r="L15913" s="264"/>
      <c r="M15913" s="264"/>
      <c r="N15913" s="264"/>
    </row>
    <row r="15914" spans="1:14" x14ac:dyDescent="0.2">
      <c r="A15914" s="133">
        <v>2025</v>
      </c>
      <c r="B15914" s="133">
        <v>11</v>
      </c>
      <c r="C15914" s="133">
        <v>26</v>
      </c>
      <c r="D15914" s="141">
        <f t="shared" si="2594"/>
        <v>45987</v>
      </c>
      <c r="E15914" s="275">
        <f t="shared" si="2595"/>
        <v>45987</v>
      </c>
      <c r="F15914" s="481"/>
      <c r="G15914" s="174" t="s">
        <v>94</v>
      </c>
      <c r="H15914" s="174"/>
      <c r="J15914" s="149" t="s">
        <v>190</v>
      </c>
      <c r="K15914" s="218">
        <v>758475.73</v>
      </c>
      <c r="L15914" s="218"/>
      <c r="M15914" s="264"/>
    </row>
    <row r="15915" spans="1:14" x14ac:dyDescent="0.2">
      <c r="A15915" s="133">
        <v>2025</v>
      </c>
      <c r="B15915" s="133">
        <v>11</v>
      </c>
      <c r="C15915" s="133">
        <v>26</v>
      </c>
      <c r="D15915" s="141">
        <f t="shared" si="2594"/>
        <v>45987</v>
      </c>
      <c r="E15915" s="275">
        <f t="shared" si="2595"/>
        <v>45987</v>
      </c>
      <c r="F15915" s="481"/>
      <c r="G15915" s="174" t="s">
        <v>94</v>
      </c>
      <c r="H15915" s="174"/>
      <c r="J15915" s="149" t="s">
        <v>191</v>
      </c>
      <c r="K15915" s="218"/>
      <c r="L15915" s="218">
        <v>351.08</v>
      </c>
    </row>
    <row r="15916" spans="1:14" x14ac:dyDescent="0.2">
      <c r="A15916" s="163">
        <v>2025</v>
      </c>
      <c r="B15916" s="163">
        <v>11</v>
      </c>
      <c r="C15916" s="163">
        <v>26</v>
      </c>
      <c r="D15916" s="280">
        <f t="shared" si="2594"/>
        <v>45987</v>
      </c>
      <c r="E15916" s="281">
        <f t="shared" si="2595"/>
        <v>45987</v>
      </c>
      <c r="F15916" s="480"/>
      <c r="G15916" s="221" t="s">
        <v>94</v>
      </c>
      <c r="H15916" s="145"/>
      <c r="I15916" s="145"/>
      <c r="J15916" s="163" t="s">
        <v>79</v>
      </c>
      <c r="K15916" s="219"/>
      <c r="L15916" s="219">
        <v>982823.92</v>
      </c>
      <c r="M15916" s="264"/>
    </row>
    <row r="15917" spans="1:14" ht="11.25" customHeight="1" x14ac:dyDescent="0.2">
      <c r="A15917" s="168">
        <v>2025</v>
      </c>
      <c r="B15917" s="133">
        <v>11</v>
      </c>
      <c r="C15917" s="168">
        <v>26</v>
      </c>
      <c r="D15917" s="141">
        <f t="shared" si="2588"/>
        <v>45987</v>
      </c>
      <c r="E15917" s="275">
        <f t="shared" si="2589"/>
        <v>45987</v>
      </c>
      <c r="F15917" s="479" t="s">
        <v>2121</v>
      </c>
      <c r="G15917" s="220" t="s">
        <v>74</v>
      </c>
      <c r="H15917" s="220"/>
      <c r="I15917" s="142"/>
      <c r="J15917" s="143" t="s">
        <v>52</v>
      </c>
      <c r="K15917" s="226">
        <v>376704.62</v>
      </c>
      <c r="L15917" s="226"/>
    </row>
    <row r="15918" spans="1:14" x14ac:dyDescent="0.2">
      <c r="A15918" s="163">
        <v>2025</v>
      </c>
      <c r="B15918" s="163">
        <v>11</v>
      </c>
      <c r="C15918" s="163">
        <v>26</v>
      </c>
      <c r="D15918" s="280">
        <f t="shared" si="2588"/>
        <v>45987</v>
      </c>
      <c r="E15918" s="281">
        <f t="shared" si="2589"/>
        <v>45987</v>
      </c>
      <c r="F15918" s="480"/>
      <c r="G15918" s="221" t="s">
        <v>74</v>
      </c>
      <c r="H15918" s="221"/>
      <c r="I15918" s="145"/>
      <c r="J15918" s="146" t="s">
        <v>190</v>
      </c>
      <c r="K15918" s="219"/>
      <c r="L15918" s="219">
        <f>K15917</f>
        <v>376704.62</v>
      </c>
      <c r="N15918" s="264"/>
    </row>
    <row r="15919" spans="1:14" ht="11.25" customHeight="1" x14ac:dyDescent="0.2">
      <c r="A15919" s="168">
        <v>2025</v>
      </c>
      <c r="B15919" s="133">
        <v>11</v>
      </c>
      <c r="C15919" s="168">
        <v>26</v>
      </c>
      <c r="D15919" s="141">
        <f t="shared" ref="D15919:D15920" si="2596">DATE(A15919,B15919,C15919)</f>
        <v>45987</v>
      </c>
      <c r="E15919" s="275">
        <f t="shared" ref="E15919:E15920" si="2597">DATE(A15919,B15919,C15919)</f>
        <v>45987</v>
      </c>
      <c r="F15919" s="479" t="s">
        <v>2037</v>
      </c>
      <c r="G15919" s="220" t="s">
        <v>74</v>
      </c>
      <c r="H15919" s="220"/>
      <c r="I15919" s="142"/>
      <c r="J15919" s="143" t="s">
        <v>52</v>
      </c>
      <c r="K15919" s="226">
        <v>54374.98</v>
      </c>
      <c r="L15919" s="226"/>
    </row>
    <row r="15920" spans="1:14" x14ac:dyDescent="0.2">
      <c r="A15920" s="163">
        <v>2025</v>
      </c>
      <c r="B15920" s="163">
        <v>11</v>
      </c>
      <c r="C15920" s="163">
        <v>26</v>
      </c>
      <c r="D15920" s="280">
        <f t="shared" si="2596"/>
        <v>45987</v>
      </c>
      <c r="E15920" s="281">
        <f t="shared" si="2597"/>
        <v>45987</v>
      </c>
      <c r="F15920" s="480"/>
      <c r="G15920" s="221" t="s">
        <v>74</v>
      </c>
      <c r="H15920" s="221"/>
      <c r="I15920" s="145"/>
      <c r="J15920" s="146" t="s">
        <v>190</v>
      </c>
      <c r="K15920" s="219"/>
      <c r="L15920" s="219">
        <f>K15919</f>
        <v>54374.98</v>
      </c>
      <c r="N15920" s="264"/>
    </row>
    <row r="15921" spans="1:14" ht="11.25" customHeight="1" x14ac:dyDescent="0.2">
      <c r="A15921" s="168">
        <v>2025</v>
      </c>
      <c r="B15921" s="168">
        <v>11</v>
      </c>
      <c r="C15921" s="133">
        <v>26</v>
      </c>
      <c r="D15921" s="141">
        <f t="shared" si="2588"/>
        <v>45987</v>
      </c>
      <c r="E15921" s="275">
        <f t="shared" si="2589"/>
        <v>45987</v>
      </c>
      <c r="F15921" s="479" t="s">
        <v>964</v>
      </c>
      <c r="G15921" s="220" t="s">
        <v>74</v>
      </c>
      <c r="H15921" s="142"/>
      <c r="I15921" s="142"/>
      <c r="J15921" s="168" t="s">
        <v>52</v>
      </c>
      <c r="K15921" s="226">
        <v>100000</v>
      </c>
      <c r="L15921" s="226"/>
    </row>
    <row r="15922" spans="1:14" ht="11.25" customHeight="1" x14ac:dyDescent="0.2">
      <c r="A15922" s="133">
        <v>2025</v>
      </c>
      <c r="B15922" s="133">
        <v>11</v>
      </c>
      <c r="C15922" s="133">
        <v>26</v>
      </c>
      <c r="D15922" s="141">
        <f t="shared" si="2588"/>
        <v>45987</v>
      </c>
      <c r="E15922" s="275">
        <f t="shared" si="2589"/>
        <v>45987</v>
      </c>
      <c r="F15922" s="481"/>
      <c r="G15922" s="174" t="s">
        <v>74</v>
      </c>
      <c r="J15922" s="133" t="s">
        <v>13</v>
      </c>
      <c r="K15922" s="218"/>
      <c r="L15922" s="218">
        <v>71330</v>
      </c>
    </row>
    <row r="15923" spans="1:14" ht="11.25" customHeight="1" x14ac:dyDescent="0.2">
      <c r="A15923" s="163">
        <v>2025</v>
      </c>
      <c r="B15923" s="163">
        <v>11</v>
      </c>
      <c r="C15923" s="163">
        <v>26</v>
      </c>
      <c r="D15923" s="280">
        <f t="shared" si="2588"/>
        <v>45987</v>
      </c>
      <c r="E15923" s="281">
        <f t="shared" si="2589"/>
        <v>45987</v>
      </c>
      <c r="F15923" s="480"/>
      <c r="G15923" s="221" t="s">
        <v>74</v>
      </c>
      <c r="H15923" s="145"/>
      <c r="I15923" s="145"/>
      <c r="J15923" s="163" t="s">
        <v>53</v>
      </c>
      <c r="K15923" s="219"/>
      <c r="L15923" s="219">
        <v>28670</v>
      </c>
    </row>
    <row r="15924" spans="1:14" ht="11.25" customHeight="1" x14ac:dyDescent="0.2">
      <c r="A15924" s="168">
        <v>2025</v>
      </c>
      <c r="B15924" s="168">
        <v>11</v>
      </c>
      <c r="C15924" s="133">
        <v>26</v>
      </c>
      <c r="D15924" s="141">
        <f t="shared" ref="D15924:D15936" si="2598">DATE(A15924,B15924,C15924)</f>
        <v>45987</v>
      </c>
      <c r="E15924" s="275">
        <f t="shared" ref="E15924:E15936" si="2599">DATE(A15924,B15924,C15924)</f>
        <v>45987</v>
      </c>
      <c r="F15924" s="479" t="s">
        <v>964</v>
      </c>
      <c r="G15924" s="220" t="s">
        <v>74</v>
      </c>
      <c r="H15924" s="142"/>
      <c r="I15924" s="142"/>
      <c r="J15924" s="168" t="s">
        <v>52</v>
      </c>
      <c r="K15924" s="226">
        <v>500000</v>
      </c>
      <c r="L15924" s="226"/>
    </row>
    <row r="15925" spans="1:14" ht="11.25" customHeight="1" x14ac:dyDescent="0.2">
      <c r="A15925" s="133">
        <v>2025</v>
      </c>
      <c r="B15925" s="133">
        <v>11</v>
      </c>
      <c r="C15925" s="133">
        <v>26</v>
      </c>
      <c r="D15925" s="141">
        <f t="shared" si="2598"/>
        <v>45987</v>
      </c>
      <c r="E15925" s="275">
        <f t="shared" si="2599"/>
        <v>45987</v>
      </c>
      <c r="F15925" s="481"/>
      <c r="G15925" s="174" t="s">
        <v>74</v>
      </c>
      <c r="J15925" s="133" t="s">
        <v>13</v>
      </c>
      <c r="K15925" s="218"/>
      <c r="L15925" s="218">
        <v>356630</v>
      </c>
    </row>
    <row r="15926" spans="1:14" ht="11.25" customHeight="1" x14ac:dyDescent="0.2">
      <c r="A15926" s="163">
        <v>2025</v>
      </c>
      <c r="B15926" s="163">
        <v>11</v>
      </c>
      <c r="C15926" s="163">
        <v>26</v>
      </c>
      <c r="D15926" s="280">
        <f t="shared" si="2598"/>
        <v>45987</v>
      </c>
      <c r="E15926" s="281">
        <f t="shared" si="2599"/>
        <v>45987</v>
      </c>
      <c r="F15926" s="480"/>
      <c r="G15926" s="221" t="s">
        <v>74</v>
      </c>
      <c r="H15926" s="145"/>
      <c r="I15926" s="145"/>
      <c r="J15926" s="163" t="s">
        <v>53</v>
      </c>
      <c r="K15926" s="219"/>
      <c r="L15926" s="219">
        <v>143370</v>
      </c>
    </row>
    <row r="15927" spans="1:14" ht="11.25" customHeight="1" x14ac:dyDescent="0.2">
      <c r="A15927" s="168">
        <v>2025</v>
      </c>
      <c r="B15927" s="168">
        <v>11</v>
      </c>
      <c r="C15927" s="133">
        <v>26</v>
      </c>
      <c r="D15927" s="141">
        <f t="shared" ref="D15927:D15929" si="2600">DATE(A15927,B15927,C15927)</f>
        <v>45987</v>
      </c>
      <c r="E15927" s="275">
        <f t="shared" ref="E15927:E15929" si="2601">DATE(A15927,B15927,C15927)</f>
        <v>45987</v>
      </c>
      <c r="F15927" s="479" t="s">
        <v>1319</v>
      </c>
      <c r="G15927" s="220" t="s">
        <v>74</v>
      </c>
      <c r="H15927" s="142"/>
      <c r="I15927" s="142"/>
      <c r="J15927" s="168" t="s">
        <v>52</v>
      </c>
      <c r="K15927" s="226">
        <v>71000</v>
      </c>
      <c r="L15927" s="226"/>
    </row>
    <row r="15928" spans="1:14" ht="11.25" customHeight="1" x14ac:dyDescent="0.2">
      <c r="A15928" s="133">
        <v>2025</v>
      </c>
      <c r="B15928" s="133">
        <v>11</v>
      </c>
      <c r="C15928" s="133">
        <v>26</v>
      </c>
      <c r="D15928" s="141">
        <f t="shared" si="2600"/>
        <v>45987</v>
      </c>
      <c r="E15928" s="275">
        <f t="shared" si="2601"/>
        <v>45987</v>
      </c>
      <c r="F15928" s="481"/>
      <c r="G15928" s="174" t="s">
        <v>74</v>
      </c>
      <c r="J15928" s="133" t="s">
        <v>13</v>
      </c>
      <c r="K15928" s="218"/>
      <c r="L15928" s="218">
        <v>50650</v>
      </c>
    </row>
    <row r="15929" spans="1:14" ht="11.25" customHeight="1" x14ac:dyDescent="0.2">
      <c r="A15929" s="163">
        <v>2025</v>
      </c>
      <c r="B15929" s="163">
        <v>11</v>
      </c>
      <c r="C15929" s="163">
        <v>26</v>
      </c>
      <c r="D15929" s="280">
        <f t="shared" si="2600"/>
        <v>45987</v>
      </c>
      <c r="E15929" s="281">
        <f t="shared" si="2601"/>
        <v>45987</v>
      </c>
      <c r="F15929" s="480"/>
      <c r="G15929" s="221" t="s">
        <v>74</v>
      </c>
      <c r="H15929" s="145"/>
      <c r="I15929" s="145"/>
      <c r="J15929" s="163" t="s">
        <v>53</v>
      </c>
      <c r="K15929" s="219"/>
      <c r="L15929" s="219">
        <v>20350</v>
      </c>
    </row>
    <row r="15930" spans="1:14" ht="11.25" customHeight="1" x14ac:dyDescent="0.2">
      <c r="A15930" s="168">
        <v>2025</v>
      </c>
      <c r="B15930" s="133">
        <v>11</v>
      </c>
      <c r="C15930" s="168">
        <v>27</v>
      </c>
      <c r="D15930" s="141">
        <f t="shared" si="2598"/>
        <v>45988</v>
      </c>
      <c r="E15930" s="275">
        <f t="shared" si="2599"/>
        <v>45988</v>
      </c>
      <c r="F15930" s="479" t="s">
        <v>2121</v>
      </c>
      <c r="G15930" s="220" t="s">
        <v>74</v>
      </c>
      <c r="H15930" s="220"/>
      <c r="I15930" s="142"/>
      <c r="J15930" s="143" t="s">
        <v>52</v>
      </c>
      <c r="K15930" s="226">
        <v>283693.76</v>
      </c>
      <c r="L15930" s="226"/>
    </row>
    <row r="15931" spans="1:14" x14ac:dyDescent="0.2">
      <c r="A15931" s="163">
        <v>2025</v>
      </c>
      <c r="B15931" s="163">
        <v>11</v>
      </c>
      <c r="C15931" s="163">
        <v>27</v>
      </c>
      <c r="D15931" s="280">
        <f t="shared" si="2598"/>
        <v>45988</v>
      </c>
      <c r="E15931" s="281">
        <f t="shared" si="2599"/>
        <v>45988</v>
      </c>
      <c r="F15931" s="480"/>
      <c r="G15931" s="221" t="s">
        <v>74</v>
      </c>
      <c r="H15931" s="221"/>
      <c r="I15931" s="145"/>
      <c r="J15931" s="146" t="s">
        <v>190</v>
      </c>
      <c r="K15931" s="219"/>
      <c r="L15931" s="219">
        <f>K15930</f>
        <v>283693.76</v>
      </c>
      <c r="N15931" s="264"/>
    </row>
    <row r="15932" spans="1:14" ht="11.25" customHeight="1" x14ac:dyDescent="0.2">
      <c r="A15932" s="168">
        <v>2025</v>
      </c>
      <c r="B15932" s="133">
        <v>11</v>
      </c>
      <c r="C15932" s="168">
        <v>27</v>
      </c>
      <c r="D15932" s="141">
        <f t="shared" si="2598"/>
        <v>45988</v>
      </c>
      <c r="E15932" s="275">
        <f t="shared" si="2599"/>
        <v>45988</v>
      </c>
      <c r="F15932" s="479" t="s">
        <v>2074</v>
      </c>
      <c r="G15932" s="220" t="s">
        <v>74</v>
      </c>
      <c r="H15932" s="220"/>
      <c r="I15932" s="142"/>
      <c r="J15932" s="143" t="s">
        <v>147</v>
      </c>
      <c r="K15932" s="226">
        <v>174313.2</v>
      </c>
      <c r="L15932" s="226"/>
    </row>
    <row r="15933" spans="1:14" x14ac:dyDescent="0.2">
      <c r="A15933" s="163">
        <v>2025</v>
      </c>
      <c r="B15933" s="163">
        <v>11</v>
      </c>
      <c r="C15933" s="163">
        <v>27</v>
      </c>
      <c r="D15933" s="280">
        <f t="shared" si="2598"/>
        <v>45988</v>
      </c>
      <c r="E15933" s="281">
        <f t="shared" si="2599"/>
        <v>45988</v>
      </c>
      <c r="F15933" s="480"/>
      <c r="G15933" s="221" t="s">
        <v>74</v>
      </c>
      <c r="H15933" s="221"/>
      <c r="I15933" s="145"/>
      <c r="J15933" s="146" t="s">
        <v>52</v>
      </c>
      <c r="K15933" s="219"/>
      <c r="L15933" s="219">
        <f>K15932</f>
        <v>174313.2</v>
      </c>
      <c r="N15933" s="264"/>
    </row>
    <row r="15934" spans="1:14" ht="11.25" customHeight="1" x14ac:dyDescent="0.2">
      <c r="A15934" s="168">
        <v>2025</v>
      </c>
      <c r="B15934" s="168">
        <v>11</v>
      </c>
      <c r="C15934" s="133">
        <v>27</v>
      </c>
      <c r="D15934" s="141">
        <f t="shared" si="2598"/>
        <v>45988</v>
      </c>
      <c r="E15934" s="275">
        <f t="shared" si="2599"/>
        <v>45988</v>
      </c>
      <c r="F15934" s="479" t="s">
        <v>1315</v>
      </c>
      <c r="G15934" s="220" t="s">
        <v>74</v>
      </c>
      <c r="H15934" s="142"/>
      <c r="I15934" s="142"/>
      <c r="J15934" s="168" t="s">
        <v>13</v>
      </c>
      <c r="K15934" s="226">
        <v>250000</v>
      </c>
      <c r="L15934" s="226"/>
    </row>
    <row r="15935" spans="1:14" ht="11.25" customHeight="1" x14ac:dyDescent="0.2">
      <c r="A15935" s="133">
        <v>2025</v>
      </c>
      <c r="B15935" s="133">
        <v>11</v>
      </c>
      <c r="C15935" s="133">
        <v>27</v>
      </c>
      <c r="D15935" s="141">
        <f t="shared" si="2598"/>
        <v>45988</v>
      </c>
      <c r="E15935" s="275">
        <f t="shared" si="2599"/>
        <v>45988</v>
      </c>
      <c r="F15935" s="481"/>
      <c r="G15935" s="174" t="s">
        <v>74</v>
      </c>
      <c r="J15935" s="133" t="s">
        <v>53</v>
      </c>
      <c r="K15935" s="218">
        <v>100500</v>
      </c>
      <c r="L15935" s="218"/>
    </row>
    <row r="15936" spans="1:14" ht="11.25" customHeight="1" x14ac:dyDescent="0.2">
      <c r="A15936" s="163">
        <v>2025</v>
      </c>
      <c r="B15936" s="163">
        <v>11</v>
      </c>
      <c r="C15936" s="163">
        <v>27</v>
      </c>
      <c r="D15936" s="280">
        <f t="shared" si="2598"/>
        <v>45988</v>
      </c>
      <c r="E15936" s="281">
        <f t="shared" si="2599"/>
        <v>45988</v>
      </c>
      <c r="F15936" s="480"/>
      <c r="G15936" s="221" t="s">
        <v>74</v>
      </c>
      <c r="H15936" s="145"/>
      <c r="I15936" s="145"/>
      <c r="J15936" s="163" t="s">
        <v>52</v>
      </c>
      <c r="K15936" s="219"/>
      <c r="L15936" s="219">
        <v>350500</v>
      </c>
    </row>
    <row r="15937" spans="1:14" x14ac:dyDescent="0.2">
      <c r="A15937" s="168">
        <v>2025</v>
      </c>
      <c r="B15937" s="133">
        <v>11</v>
      </c>
      <c r="C15937" s="168">
        <v>27</v>
      </c>
      <c r="D15937" s="147">
        <f>DATE(A15937,B15937,C15937)</f>
        <v>45988</v>
      </c>
      <c r="E15937" s="311">
        <f>DATE(A15937,B15937,C15937)</f>
        <v>45988</v>
      </c>
      <c r="F15937" s="481" t="s">
        <v>1943</v>
      </c>
      <c r="G15937" s="174" t="s">
        <v>74</v>
      </c>
      <c r="I15937" s="148" t="s">
        <v>348</v>
      </c>
      <c r="J15937" s="133" t="s">
        <v>61</v>
      </c>
      <c r="K15937" s="172">
        <v>58</v>
      </c>
    </row>
    <row r="15938" spans="1:14" x14ac:dyDescent="0.2">
      <c r="A15938" s="163">
        <v>2025</v>
      </c>
      <c r="B15938" s="163">
        <v>11</v>
      </c>
      <c r="C15938" s="163">
        <v>27</v>
      </c>
      <c r="D15938" s="280">
        <f>DATE(A15938,B15938,C15938)</f>
        <v>45988</v>
      </c>
      <c r="E15938" s="281">
        <f>DATE(A15938,B15938,C15938)</f>
        <v>45988</v>
      </c>
      <c r="F15938" s="480"/>
      <c r="G15938" s="221" t="s">
        <v>74</v>
      </c>
      <c r="H15938" s="145"/>
      <c r="I15938" s="145" t="s">
        <v>348</v>
      </c>
      <c r="J15938" s="163" t="s">
        <v>52</v>
      </c>
      <c r="K15938" s="219"/>
      <c r="L15938" s="219">
        <f>K15937</f>
        <v>58</v>
      </c>
    </row>
    <row r="15939" spans="1:14" x14ac:dyDescent="0.2">
      <c r="A15939" s="133">
        <v>2025</v>
      </c>
      <c r="B15939" s="133">
        <v>11</v>
      </c>
      <c r="C15939" s="168">
        <v>27</v>
      </c>
      <c r="D15939" s="141">
        <f t="shared" ref="D15939:D15949" si="2602">DATE(A15939,B15939,C15939)</f>
        <v>45988</v>
      </c>
      <c r="E15939" s="275">
        <f t="shared" ref="E15939:E15949" si="2603">DATE(A15939,B15939,C15939)</f>
        <v>45988</v>
      </c>
      <c r="F15939" s="481" t="s">
        <v>2115</v>
      </c>
      <c r="G15939" s="174" t="s">
        <v>94</v>
      </c>
      <c r="H15939" s="174"/>
      <c r="J15939" s="149" t="s">
        <v>79</v>
      </c>
      <c r="K15939" s="218">
        <v>107000</v>
      </c>
      <c r="L15939" s="218"/>
      <c r="M15939" s="160"/>
    </row>
    <row r="15940" spans="1:14" x14ac:dyDescent="0.2">
      <c r="A15940" s="133">
        <v>2025</v>
      </c>
      <c r="B15940" s="133">
        <v>11</v>
      </c>
      <c r="C15940" s="133">
        <v>27</v>
      </c>
      <c r="D15940" s="141">
        <f t="shared" si="2602"/>
        <v>45988</v>
      </c>
      <c r="E15940" s="275">
        <f t="shared" si="2603"/>
        <v>45988</v>
      </c>
      <c r="F15940" s="481"/>
      <c r="G15940" s="174" t="s">
        <v>94</v>
      </c>
      <c r="H15940" s="174"/>
      <c r="J15940" s="149" t="s">
        <v>80</v>
      </c>
      <c r="K15940" s="218">
        <v>767.5</v>
      </c>
      <c r="L15940" s="264"/>
      <c r="M15940" s="264"/>
      <c r="N15940" s="264"/>
    </row>
    <row r="15941" spans="1:14" x14ac:dyDescent="0.2">
      <c r="A15941" s="133">
        <v>2025</v>
      </c>
      <c r="B15941" s="133">
        <v>11</v>
      </c>
      <c r="C15941" s="133">
        <v>27</v>
      </c>
      <c r="D15941" s="141">
        <f t="shared" si="2602"/>
        <v>45988</v>
      </c>
      <c r="E15941" s="275">
        <f t="shared" si="2603"/>
        <v>45988</v>
      </c>
      <c r="F15941" s="481"/>
      <c r="G15941" s="174" t="s">
        <v>94</v>
      </c>
      <c r="H15941" s="174"/>
      <c r="J15941" s="149" t="s">
        <v>190</v>
      </c>
      <c r="K15941" s="218">
        <v>211622.5</v>
      </c>
      <c r="L15941" s="218"/>
      <c r="M15941" s="264"/>
    </row>
    <row r="15942" spans="1:14" x14ac:dyDescent="0.2">
      <c r="A15942" s="133">
        <v>2025</v>
      </c>
      <c r="B15942" s="133">
        <v>11</v>
      </c>
      <c r="C15942" s="133">
        <v>27</v>
      </c>
      <c r="D15942" s="141">
        <f t="shared" si="2602"/>
        <v>45988</v>
      </c>
      <c r="E15942" s="275">
        <f t="shared" si="2603"/>
        <v>45988</v>
      </c>
      <c r="F15942" s="481"/>
      <c r="G15942" s="174" t="s">
        <v>94</v>
      </c>
      <c r="H15942" s="174"/>
      <c r="J15942" s="149" t="s">
        <v>191</v>
      </c>
      <c r="K15942" s="218"/>
      <c r="L15942" s="218">
        <v>9848.1</v>
      </c>
    </row>
    <row r="15943" spans="1:14" x14ac:dyDescent="0.2">
      <c r="A15943" s="163">
        <v>2025</v>
      </c>
      <c r="B15943" s="163">
        <v>11</v>
      </c>
      <c r="C15943" s="163">
        <v>27</v>
      </c>
      <c r="D15943" s="280">
        <f t="shared" si="2602"/>
        <v>45988</v>
      </c>
      <c r="E15943" s="281">
        <f t="shared" si="2603"/>
        <v>45988</v>
      </c>
      <c r="F15943" s="480"/>
      <c r="G15943" s="221" t="s">
        <v>94</v>
      </c>
      <c r="H15943" s="145"/>
      <c r="I15943" s="145"/>
      <c r="J15943" s="163" t="s">
        <v>79</v>
      </c>
      <c r="K15943" s="219"/>
      <c r="L15943" s="219">
        <v>309541.90000000002</v>
      </c>
      <c r="M15943" s="264"/>
    </row>
    <row r="15944" spans="1:14" ht="11.25" customHeight="1" x14ac:dyDescent="0.2">
      <c r="A15944" s="168">
        <v>2025</v>
      </c>
      <c r="B15944" s="168">
        <v>11</v>
      </c>
      <c r="C15944" s="133">
        <v>27</v>
      </c>
      <c r="D15944" s="141">
        <f t="shared" si="2602"/>
        <v>45988</v>
      </c>
      <c r="E15944" s="275">
        <f t="shared" si="2603"/>
        <v>45988</v>
      </c>
      <c r="F15944" s="479" t="s">
        <v>964</v>
      </c>
      <c r="G15944" s="220" t="s">
        <v>74</v>
      </c>
      <c r="H15944" s="142"/>
      <c r="I15944" s="142"/>
      <c r="J15944" s="168" t="s">
        <v>52</v>
      </c>
      <c r="K15944" s="226">
        <v>16000</v>
      </c>
      <c r="L15944" s="226"/>
    </row>
    <row r="15945" spans="1:14" ht="11.25" customHeight="1" x14ac:dyDescent="0.2">
      <c r="A15945" s="133">
        <v>2025</v>
      </c>
      <c r="B15945" s="133">
        <v>11</v>
      </c>
      <c r="C15945" s="133">
        <v>27</v>
      </c>
      <c r="D15945" s="141">
        <f t="shared" si="2602"/>
        <v>45988</v>
      </c>
      <c r="E15945" s="275">
        <f t="shared" si="2603"/>
        <v>45988</v>
      </c>
      <c r="F15945" s="481"/>
      <c r="G15945" s="174" t="s">
        <v>74</v>
      </c>
      <c r="J15945" s="133" t="s">
        <v>13</v>
      </c>
      <c r="K15945" s="218"/>
      <c r="L15945" s="218">
        <v>11410</v>
      </c>
    </row>
    <row r="15946" spans="1:14" ht="11.25" customHeight="1" x14ac:dyDescent="0.2">
      <c r="A15946" s="163">
        <v>2025</v>
      </c>
      <c r="B15946" s="163">
        <v>11</v>
      </c>
      <c r="C15946" s="163">
        <v>27</v>
      </c>
      <c r="D15946" s="280">
        <f t="shared" si="2602"/>
        <v>45988</v>
      </c>
      <c r="E15946" s="281">
        <f t="shared" si="2603"/>
        <v>45988</v>
      </c>
      <c r="F15946" s="480"/>
      <c r="G15946" s="221" t="s">
        <v>74</v>
      </c>
      <c r="H15946" s="145"/>
      <c r="I15946" s="145"/>
      <c r="J15946" s="163" t="s">
        <v>53</v>
      </c>
      <c r="K15946" s="219"/>
      <c r="L15946" s="219">
        <v>4590</v>
      </c>
    </row>
    <row r="15947" spans="1:14" ht="11.25" customHeight="1" x14ac:dyDescent="0.2">
      <c r="A15947" s="168">
        <v>2025</v>
      </c>
      <c r="B15947" s="168">
        <v>11</v>
      </c>
      <c r="C15947" s="133">
        <v>27</v>
      </c>
      <c r="D15947" s="141">
        <f t="shared" si="2602"/>
        <v>45988</v>
      </c>
      <c r="E15947" s="275">
        <f t="shared" si="2603"/>
        <v>45988</v>
      </c>
      <c r="F15947" s="479" t="s">
        <v>964</v>
      </c>
      <c r="G15947" s="220" t="s">
        <v>74</v>
      </c>
      <c r="H15947" s="142"/>
      <c r="I15947" s="142"/>
      <c r="J15947" s="168" t="s">
        <v>52</v>
      </c>
      <c r="K15947" s="226">
        <v>19000</v>
      </c>
      <c r="L15947" s="226"/>
    </row>
    <row r="15948" spans="1:14" ht="11.25" customHeight="1" x14ac:dyDescent="0.2">
      <c r="A15948" s="133">
        <v>2025</v>
      </c>
      <c r="B15948" s="133">
        <v>11</v>
      </c>
      <c r="C15948" s="133">
        <v>27</v>
      </c>
      <c r="D15948" s="141">
        <f t="shared" si="2602"/>
        <v>45988</v>
      </c>
      <c r="E15948" s="275">
        <f t="shared" si="2603"/>
        <v>45988</v>
      </c>
      <c r="F15948" s="481"/>
      <c r="G15948" s="174" t="s">
        <v>74</v>
      </c>
      <c r="J15948" s="133" t="s">
        <v>13</v>
      </c>
      <c r="K15948" s="218"/>
      <c r="L15948" s="218">
        <v>13550</v>
      </c>
    </row>
    <row r="15949" spans="1:14" ht="11.25" customHeight="1" x14ac:dyDescent="0.2">
      <c r="A15949" s="163">
        <v>2025</v>
      </c>
      <c r="B15949" s="163">
        <v>11</v>
      </c>
      <c r="C15949" s="163">
        <v>27</v>
      </c>
      <c r="D15949" s="280">
        <f t="shared" si="2602"/>
        <v>45988</v>
      </c>
      <c r="E15949" s="281">
        <f t="shared" si="2603"/>
        <v>45988</v>
      </c>
      <c r="F15949" s="480"/>
      <c r="G15949" s="221" t="s">
        <v>74</v>
      </c>
      <c r="H15949" s="145"/>
      <c r="I15949" s="145"/>
      <c r="J15949" s="163" t="s">
        <v>53</v>
      </c>
      <c r="K15949" s="219"/>
      <c r="L15949" s="219">
        <v>5450</v>
      </c>
    </row>
    <row r="15950" spans="1:14" x14ac:dyDescent="0.2">
      <c r="A15950" s="168">
        <v>2025</v>
      </c>
      <c r="B15950" s="133">
        <v>11</v>
      </c>
      <c r="C15950" s="168">
        <v>27</v>
      </c>
      <c r="D15950" s="147">
        <f>DATE(A15950,B15950,C15950)</f>
        <v>45988</v>
      </c>
      <c r="E15950" s="311">
        <f>DATE(A15950,B15950,C15950)</f>
        <v>45988</v>
      </c>
      <c r="F15950" s="481" t="s">
        <v>1943</v>
      </c>
      <c r="G15950" s="174" t="s">
        <v>74</v>
      </c>
      <c r="I15950" s="148" t="s">
        <v>348</v>
      </c>
      <c r="J15950" s="133" t="s">
        <v>61</v>
      </c>
      <c r="K15950" s="172">
        <v>58</v>
      </c>
    </row>
    <row r="15951" spans="1:14" x14ac:dyDescent="0.2">
      <c r="A15951" s="163">
        <v>2025</v>
      </c>
      <c r="B15951" s="163">
        <v>11</v>
      </c>
      <c r="C15951" s="163">
        <v>27</v>
      </c>
      <c r="D15951" s="280">
        <f>DATE(A15951,B15951,C15951)</f>
        <v>45988</v>
      </c>
      <c r="E15951" s="281">
        <f>DATE(A15951,B15951,C15951)</f>
        <v>45988</v>
      </c>
      <c r="F15951" s="480"/>
      <c r="G15951" s="221" t="s">
        <v>74</v>
      </c>
      <c r="H15951" s="145"/>
      <c r="I15951" s="145" t="s">
        <v>348</v>
      </c>
      <c r="J15951" s="163" t="s">
        <v>52</v>
      </c>
      <c r="K15951" s="219"/>
      <c r="L15951" s="219">
        <f>K15950</f>
        <v>58</v>
      </c>
    </row>
    <row r="15952" spans="1:14" x14ac:dyDescent="0.2">
      <c r="A15952" s="325">
        <v>2025</v>
      </c>
      <c r="B15952" s="325">
        <v>11</v>
      </c>
      <c r="C15952" s="325">
        <v>27</v>
      </c>
      <c r="D15952" s="326">
        <f t="shared" ref="D15952:D15981" si="2604">DATE(A15952,B15952,C15952)</f>
        <v>45988</v>
      </c>
      <c r="E15952" s="327">
        <f t="shared" ref="E15952:E15981" si="2605">DATE(A15952,B15952,C15952)</f>
        <v>45988</v>
      </c>
      <c r="F15952" s="473" t="s">
        <v>1940</v>
      </c>
      <c r="G15952" s="340" t="s">
        <v>94</v>
      </c>
      <c r="H15952" s="340"/>
      <c r="I15952" s="341" t="s">
        <v>348</v>
      </c>
      <c r="J15952" s="374" t="s">
        <v>133</v>
      </c>
      <c r="K15952" s="375">
        <v>12905.56</v>
      </c>
      <c r="L15952" s="375"/>
      <c r="M15952" s="176"/>
    </row>
    <row r="15953" spans="1:13" x14ac:dyDescent="0.2">
      <c r="A15953" s="331">
        <v>2025</v>
      </c>
      <c r="B15953" s="331">
        <v>11</v>
      </c>
      <c r="C15953" s="331">
        <v>27</v>
      </c>
      <c r="D15953" s="326">
        <f t="shared" si="2604"/>
        <v>45988</v>
      </c>
      <c r="E15953" s="327">
        <f t="shared" si="2605"/>
        <v>45988</v>
      </c>
      <c r="F15953" s="474"/>
      <c r="G15953" s="332" t="s">
        <v>94</v>
      </c>
      <c r="H15953" s="332"/>
      <c r="I15953" s="333" t="s">
        <v>348</v>
      </c>
      <c r="J15953" s="376" t="s">
        <v>60</v>
      </c>
      <c r="K15953" s="334"/>
      <c r="L15953" s="334">
        <f>K15952</f>
        <v>12905.56</v>
      </c>
    </row>
    <row r="15954" spans="1:13" x14ac:dyDescent="0.2">
      <c r="A15954" s="325">
        <v>2025</v>
      </c>
      <c r="B15954" s="325">
        <v>11</v>
      </c>
      <c r="C15954" s="325">
        <v>27</v>
      </c>
      <c r="D15954" s="326">
        <f t="shared" si="2604"/>
        <v>45988</v>
      </c>
      <c r="E15954" s="327">
        <f t="shared" si="2605"/>
        <v>45988</v>
      </c>
      <c r="F15954" s="473" t="s">
        <v>2131</v>
      </c>
      <c r="G15954" s="340" t="s">
        <v>94</v>
      </c>
      <c r="H15954" s="340"/>
      <c r="I15954" s="341" t="s">
        <v>348</v>
      </c>
      <c r="J15954" s="374" t="s">
        <v>2156</v>
      </c>
      <c r="K15954" s="375">
        <v>43298.076923076922</v>
      </c>
      <c r="L15954" s="375"/>
      <c r="M15954" s="176"/>
    </row>
    <row r="15955" spans="1:13" x14ac:dyDescent="0.2">
      <c r="A15955" s="331">
        <v>2025</v>
      </c>
      <c r="B15955" s="331">
        <v>11</v>
      </c>
      <c r="C15955" s="331">
        <v>27</v>
      </c>
      <c r="D15955" s="326">
        <f t="shared" si="2604"/>
        <v>45988</v>
      </c>
      <c r="E15955" s="327">
        <f t="shared" si="2605"/>
        <v>45988</v>
      </c>
      <c r="F15955" s="474"/>
      <c r="G15955" s="332" t="s">
        <v>94</v>
      </c>
      <c r="H15955" s="332"/>
      <c r="I15955" s="333" t="s">
        <v>348</v>
      </c>
      <c r="J15955" s="376" t="s">
        <v>2154</v>
      </c>
      <c r="K15955" s="334"/>
      <c r="L15955" s="334">
        <f>K15954</f>
        <v>43298.076923076922</v>
      </c>
    </row>
    <row r="15956" spans="1:13" x14ac:dyDescent="0.2">
      <c r="A15956" s="384">
        <v>2025</v>
      </c>
      <c r="B15956" s="384">
        <v>11</v>
      </c>
      <c r="C15956" s="384">
        <v>27</v>
      </c>
      <c r="D15956" s="385">
        <f t="shared" si="2604"/>
        <v>45988</v>
      </c>
      <c r="E15956" s="386">
        <f t="shared" si="2605"/>
        <v>45988</v>
      </c>
      <c r="F15956" s="475" t="s">
        <v>1966</v>
      </c>
      <c r="G15956" s="387" t="s">
        <v>94</v>
      </c>
      <c r="H15956" s="387"/>
      <c r="I15956" s="388" t="s">
        <v>348</v>
      </c>
      <c r="J15956" s="389" t="s">
        <v>67</v>
      </c>
      <c r="K15956" s="390">
        <v>1942.83</v>
      </c>
      <c r="L15956" s="390"/>
    </row>
    <row r="15957" spans="1:13" x14ac:dyDescent="0.2">
      <c r="A15957" s="391">
        <v>2025</v>
      </c>
      <c r="B15957" s="391">
        <v>11</v>
      </c>
      <c r="C15957" s="391">
        <v>27</v>
      </c>
      <c r="D15957" s="385">
        <f t="shared" si="2604"/>
        <v>45988</v>
      </c>
      <c r="E15957" s="386">
        <f t="shared" si="2605"/>
        <v>45988</v>
      </c>
      <c r="F15957" s="476"/>
      <c r="G15957" s="392" t="s">
        <v>94</v>
      </c>
      <c r="H15957" s="392"/>
      <c r="I15957" s="393" t="s">
        <v>348</v>
      </c>
      <c r="J15957" s="394" t="s">
        <v>60</v>
      </c>
      <c r="K15957" s="395"/>
      <c r="L15957" s="395">
        <f>K15956</f>
        <v>1942.83</v>
      </c>
    </row>
    <row r="15958" spans="1:13" x14ac:dyDescent="0.2">
      <c r="A15958" s="343">
        <v>2025</v>
      </c>
      <c r="B15958" s="343">
        <v>11</v>
      </c>
      <c r="C15958" s="343">
        <v>27</v>
      </c>
      <c r="D15958" s="344">
        <f t="shared" si="2604"/>
        <v>45988</v>
      </c>
      <c r="E15958" s="345">
        <f t="shared" si="2605"/>
        <v>45988</v>
      </c>
      <c r="F15958" s="483" t="s">
        <v>1813</v>
      </c>
      <c r="G15958" s="350" t="s">
        <v>94</v>
      </c>
      <c r="H15958" s="350"/>
      <c r="I15958" s="352" t="s">
        <v>348</v>
      </c>
      <c r="J15958" s="353" t="s">
        <v>1807</v>
      </c>
      <c r="K15958" s="354">
        <v>0</v>
      </c>
      <c r="L15958" s="354"/>
      <c r="M15958" s="133">
        <v>0</v>
      </c>
    </row>
    <row r="15959" spans="1:13" x14ac:dyDescent="0.2">
      <c r="A15959" s="346">
        <v>2025</v>
      </c>
      <c r="B15959" s="346">
        <v>11</v>
      </c>
      <c r="C15959" s="346">
        <v>27</v>
      </c>
      <c r="D15959" s="344">
        <f t="shared" si="2604"/>
        <v>45988</v>
      </c>
      <c r="E15959" s="345">
        <f t="shared" si="2605"/>
        <v>45988</v>
      </c>
      <c r="F15959" s="484"/>
      <c r="G15959" s="347" t="s">
        <v>94</v>
      </c>
      <c r="H15959" s="347"/>
      <c r="I15959" s="348" t="s">
        <v>348</v>
      </c>
      <c r="J15959" s="355" t="s">
        <v>1798</v>
      </c>
      <c r="K15959" s="349"/>
      <c r="L15959" s="349">
        <v>0</v>
      </c>
    </row>
    <row r="15960" spans="1:13" x14ac:dyDescent="0.2">
      <c r="A15960" s="343">
        <v>2025</v>
      </c>
      <c r="B15960" s="343">
        <v>11</v>
      </c>
      <c r="C15960" s="343">
        <v>27</v>
      </c>
      <c r="D15960" s="344">
        <f t="shared" si="2604"/>
        <v>45988</v>
      </c>
      <c r="E15960" s="345">
        <f t="shared" si="2605"/>
        <v>45988</v>
      </c>
      <c r="F15960" s="483" t="s">
        <v>1913</v>
      </c>
      <c r="G15960" s="350" t="s">
        <v>94</v>
      </c>
      <c r="H15960" s="350"/>
      <c r="I15960" s="352" t="s">
        <v>348</v>
      </c>
      <c r="J15960" s="353" t="s">
        <v>1808</v>
      </c>
      <c r="K15960" s="354"/>
      <c r="L15960" s="354"/>
      <c r="M15960" s="160">
        <v>0</v>
      </c>
    </row>
    <row r="15961" spans="1:13" x14ac:dyDescent="0.2">
      <c r="A15961" s="346">
        <v>2025</v>
      </c>
      <c r="B15961" s="346">
        <v>11</v>
      </c>
      <c r="C15961" s="346">
        <v>27</v>
      </c>
      <c r="D15961" s="344">
        <f t="shared" si="2604"/>
        <v>45988</v>
      </c>
      <c r="E15961" s="345">
        <f t="shared" si="2605"/>
        <v>45988</v>
      </c>
      <c r="F15961" s="484"/>
      <c r="G15961" s="347" t="s">
        <v>94</v>
      </c>
      <c r="H15961" s="347"/>
      <c r="I15961" s="348" t="s">
        <v>348</v>
      </c>
      <c r="J15961" s="355" t="s">
        <v>1799</v>
      </c>
      <c r="K15961" s="349"/>
      <c r="L15961" s="349">
        <f>K15960</f>
        <v>0</v>
      </c>
    </row>
    <row r="15962" spans="1:13" x14ac:dyDescent="0.2">
      <c r="A15962" s="238">
        <v>2025</v>
      </c>
      <c r="B15962" s="238">
        <v>11</v>
      </c>
      <c r="C15962" s="238">
        <v>27</v>
      </c>
      <c r="D15962" s="270">
        <f t="shared" si="2604"/>
        <v>45988</v>
      </c>
      <c r="E15962" s="279">
        <f t="shared" si="2605"/>
        <v>45988</v>
      </c>
      <c r="F15962" s="477" t="s">
        <v>347</v>
      </c>
      <c r="G15962" s="239" t="s">
        <v>94</v>
      </c>
      <c r="H15962" s="239"/>
      <c r="I15962" s="262" t="s">
        <v>348</v>
      </c>
      <c r="J15962" s="240" t="s">
        <v>108</v>
      </c>
      <c r="K15962" s="241">
        <v>3448534.5800000131</v>
      </c>
      <c r="L15962" s="241"/>
      <c r="M15962" s="160">
        <v>13139541.900000483</v>
      </c>
    </row>
    <row r="15963" spans="1:13" x14ac:dyDescent="0.2">
      <c r="A15963" s="242">
        <v>2025</v>
      </c>
      <c r="B15963" s="242">
        <v>11</v>
      </c>
      <c r="C15963" s="242">
        <v>27</v>
      </c>
      <c r="D15963" s="270">
        <f t="shared" si="2604"/>
        <v>45988</v>
      </c>
      <c r="E15963" s="279">
        <f t="shared" si="2605"/>
        <v>45988</v>
      </c>
      <c r="F15963" s="478"/>
      <c r="G15963" s="243" t="s">
        <v>94</v>
      </c>
      <c r="H15963" s="243"/>
      <c r="I15963" s="263" t="s">
        <v>348</v>
      </c>
      <c r="J15963" s="244" t="s">
        <v>82</v>
      </c>
      <c r="K15963" s="245"/>
      <c r="L15963" s="245">
        <f>K15962</f>
        <v>3448534.5800000131</v>
      </c>
    </row>
    <row r="15964" spans="1:13" ht="12" customHeight="1" x14ac:dyDescent="0.2">
      <c r="A15964" s="246">
        <v>2025</v>
      </c>
      <c r="B15964" s="238">
        <v>11</v>
      </c>
      <c r="C15964" s="238">
        <v>27</v>
      </c>
      <c r="D15964" s="270">
        <f t="shared" si="2604"/>
        <v>45988</v>
      </c>
      <c r="E15964" s="279">
        <f t="shared" si="2605"/>
        <v>45988</v>
      </c>
      <c r="F15964" s="482" t="s">
        <v>148</v>
      </c>
      <c r="G15964" s="247" t="s">
        <v>94</v>
      </c>
      <c r="H15964" s="247"/>
      <c r="I15964" s="248" t="s">
        <v>348</v>
      </c>
      <c r="J15964" s="249" t="s">
        <v>95</v>
      </c>
      <c r="K15964" s="250">
        <v>2747.2527472527472</v>
      </c>
      <c r="L15964" s="241"/>
      <c r="M15964" s="176"/>
    </row>
    <row r="15965" spans="1:13" x14ac:dyDescent="0.2">
      <c r="A15965" s="242">
        <v>2025</v>
      </c>
      <c r="B15965" s="242">
        <v>11</v>
      </c>
      <c r="C15965" s="242">
        <v>27</v>
      </c>
      <c r="D15965" s="270">
        <f t="shared" si="2604"/>
        <v>45988</v>
      </c>
      <c r="E15965" s="279">
        <f t="shared" si="2605"/>
        <v>45988</v>
      </c>
      <c r="F15965" s="478"/>
      <c r="G15965" s="243" t="s">
        <v>94</v>
      </c>
      <c r="H15965" s="243"/>
      <c r="I15965" s="263" t="s">
        <v>348</v>
      </c>
      <c r="J15965" s="244" t="s">
        <v>63</v>
      </c>
      <c r="K15965" s="245"/>
      <c r="L15965" s="245">
        <f>K15964</f>
        <v>2747.2527472527472</v>
      </c>
    </row>
    <row r="15966" spans="1:13" x14ac:dyDescent="0.2">
      <c r="A15966" s="246">
        <v>2025</v>
      </c>
      <c r="B15966" s="238">
        <v>11</v>
      </c>
      <c r="C15966" s="238">
        <v>27</v>
      </c>
      <c r="D15966" s="270">
        <f t="shared" si="2604"/>
        <v>45988</v>
      </c>
      <c r="E15966" s="279">
        <f t="shared" si="2605"/>
        <v>45988</v>
      </c>
      <c r="F15966" s="482" t="s">
        <v>137</v>
      </c>
      <c r="G15966" s="247" t="s">
        <v>94</v>
      </c>
      <c r="H15966" s="247"/>
      <c r="I15966" s="248" t="s">
        <v>348</v>
      </c>
      <c r="J15966" s="249" t="s">
        <v>97</v>
      </c>
      <c r="K15966" s="250">
        <f>M15966</f>
        <v>91697.118825856727</v>
      </c>
      <c r="L15966" s="252"/>
      <c r="M15966" s="133">
        <v>91697.118825856727</v>
      </c>
    </row>
    <row r="15967" spans="1:13" x14ac:dyDescent="0.2">
      <c r="A15967" s="242">
        <v>2025</v>
      </c>
      <c r="B15967" s="242">
        <v>11</v>
      </c>
      <c r="C15967" s="242">
        <v>27</v>
      </c>
      <c r="D15967" s="270">
        <f t="shared" si="2604"/>
        <v>45988</v>
      </c>
      <c r="E15967" s="279">
        <f t="shared" si="2605"/>
        <v>45988</v>
      </c>
      <c r="F15967" s="478"/>
      <c r="G15967" s="243" t="s">
        <v>94</v>
      </c>
      <c r="H15967" s="243"/>
      <c r="I15967" s="263" t="s">
        <v>348</v>
      </c>
      <c r="J15967" s="244" t="s">
        <v>47</v>
      </c>
      <c r="K15967" s="245"/>
      <c r="L15967" s="245">
        <f>K15966</f>
        <v>91697.118825856727</v>
      </c>
      <c r="M15967" s="133">
        <v>4344.4713259082209</v>
      </c>
    </row>
    <row r="15968" spans="1:13" x14ac:dyDescent="0.2">
      <c r="A15968" s="246">
        <v>2025</v>
      </c>
      <c r="B15968" s="238">
        <v>11</v>
      </c>
      <c r="C15968" s="238">
        <v>27</v>
      </c>
      <c r="D15968" s="270">
        <f t="shared" si="2604"/>
        <v>45988</v>
      </c>
      <c r="E15968" s="279">
        <f t="shared" si="2605"/>
        <v>45988</v>
      </c>
      <c r="F15968" s="482" t="s">
        <v>138</v>
      </c>
      <c r="G15968" s="247" t="s">
        <v>94</v>
      </c>
      <c r="H15968" s="247"/>
      <c r="I15968" s="248" t="s">
        <v>348</v>
      </c>
      <c r="J15968" s="249" t="s">
        <v>100</v>
      </c>
      <c r="K15968" s="250">
        <f>M15967</f>
        <v>4344.4713259082209</v>
      </c>
      <c r="L15968" s="252"/>
    </row>
    <row r="15969" spans="1:14" x14ac:dyDescent="0.2">
      <c r="A15969" s="242">
        <v>2025</v>
      </c>
      <c r="B15969" s="242">
        <v>11</v>
      </c>
      <c r="C15969" s="242">
        <v>27</v>
      </c>
      <c r="D15969" s="321">
        <f t="shared" si="2604"/>
        <v>45988</v>
      </c>
      <c r="E15969" s="322">
        <f t="shared" si="2605"/>
        <v>45988</v>
      </c>
      <c r="F15969" s="478"/>
      <c r="G15969" s="243" t="s">
        <v>94</v>
      </c>
      <c r="H15969" s="243"/>
      <c r="I15969" s="263" t="s">
        <v>348</v>
      </c>
      <c r="J15969" s="244" t="s">
        <v>48</v>
      </c>
      <c r="K15969" s="245"/>
      <c r="L15969" s="245">
        <f>K15968</f>
        <v>4344.4713259082209</v>
      </c>
    </row>
    <row r="15970" spans="1:14" ht="11.25" customHeight="1" x14ac:dyDescent="0.2">
      <c r="A15970" s="168">
        <v>2025</v>
      </c>
      <c r="B15970" s="133">
        <v>11</v>
      </c>
      <c r="C15970" s="168">
        <v>30</v>
      </c>
      <c r="D15970" s="141">
        <f t="shared" si="2604"/>
        <v>45991</v>
      </c>
      <c r="E15970" s="275">
        <f t="shared" si="2605"/>
        <v>45991</v>
      </c>
      <c r="F15970" s="479" t="s">
        <v>2121</v>
      </c>
      <c r="G15970" s="220" t="s">
        <v>74</v>
      </c>
      <c r="H15970" s="220"/>
      <c r="I15970" s="142"/>
      <c r="J15970" s="143" t="s">
        <v>52</v>
      </c>
      <c r="K15970" s="226">
        <v>759670.55</v>
      </c>
      <c r="L15970" s="226"/>
    </row>
    <row r="15971" spans="1:14" x14ac:dyDescent="0.2">
      <c r="A15971" s="163">
        <v>2025</v>
      </c>
      <c r="B15971" s="163">
        <v>11</v>
      </c>
      <c r="C15971" s="163">
        <v>30</v>
      </c>
      <c r="D15971" s="280">
        <f t="shared" si="2604"/>
        <v>45991</v>
      </c>
      <c r="E15971" s="281">
        <f t="shared" si="2605"/>
        <v>45991</v>
      </c>
      <c r="F15971" s="480"/>
      <c r="G15971" s="221" t="s">
        <v>74</v>
      </c>
      <c r="H15971" s="221"/>
      <c r="I15971" s="145"/>
      <c r="J15971" s="146" t="s">
        <v>190</v>
      </c>
      <c r="K15971" s="219"/>
      <c r="L15971" s="219">
        <f>K15970</f>
        <v>759670.55</v>
      </c>
      <c r="N15971" s="264"/>
    </row>
    <row r="15972" spans="1:14" x14ac:dyDescent="0.2">
      <c r="A15972" s="168">
        <v>2025</v>
      </c>
      <c r="B15972" s="133">
        <v>11</v>
      </c>
      <c r="C15972" s="168">
        <v>30</v>
      </c>
      <c r="D15972" s="141">
        <f t="shared" si="2604"/>
        <v>45991</v>
      </c>
      <c r="E15972" s="275">
        <f t="shared" si="2605"/>
        <v>45991</v>
      </c>
      <c r="F15972" s="479" t="s">
        <v>907</v>
      </c>
      <c r="G15972" s="220" t="s">
        <v>74</v>
      </c>
      <c r="H15972" s="220"/>
      <c r="I15972" s="142" t="s">
        <v>348</v>
      </c>
      <c r="J15972" s="143" t="s">
        <v>104</v>
      </c>
      <c r="K15972" s="226">
        <v>26000</v>
      </c>
      <c r="L15972" s="226"/>
    </row>
    <row r="15973" spans="1:14" x14ac:dyDescent="0.2">
      <c r="A15973" s="163">
        <v>2025</v>
      </c>
      <c r="B15973" s="163">
        <v>11</v>
      </c>
      <c r="C15973" s="163">
        <v>30</v>
      </c>
      <c r="D15973" s="280">
        <f t="shared" si="2604"/>
        <v>45991</v>
      </c>
      <c r="E15973" s="281">
        <f t="shared" si="2605"/>
        <v>45991</v>
      </c>
      <c r="F15973" s="480"/>
      <c r="G15973" s="221" t="s">
        <v>74</v>
      </c>
      <c r="H15973" s="221"/>
      <c r="I15973" s="145" t="s">
        <v>348</v>
      </c>
      <c r="J15973" s="146" t="s">
        <v>52</v>
      </c>
      <c r="K15973" s="219"/>
      <c r="L15973" s="219">
        <v>26000</v>
      </c>
    </row>
    <row r="15974" spans="1:14" ht="11.25" customHeight="1" x14ac:dyDescent="0.2">
      <c r="A15974" s="168">
        <v>2025</v>
      </c>
      <c r="B15974" s="168">
        <v>11</v>
      </c>
      <c r="C15974" s="133">
        <v>30</v>
      </c>
      <c r="D15974" s="141">
        <f t="shared" si="2604"/>
        <v>45991</v>
      </c>
      <c r="E15974" s="275">
        <f t="shared" si="2605"/>
        <v>45991</v>
      </c>
      <c r="F15974" s="479" t="s">
        <v>1315</v>
      </c>
      <c r="G15974" s="220" t="s">
        <v>74</v>
      </c>
      <c r="H15974" s="142"/>
      <c r="I15974" s="142"/>
      <c r="J15974" s="168" t="s">
        <v>13</v>
      </c>
      <c r="K15974" s="226">
        <v>356630</v>
      </c>
      <c r="L15974" s="226"/>
    </row>
    <row r="15975" spans="1:14" ht="11.25" customHeight="1" x14ac:dyDescent="0.2">
      <c r="A15975" s="133">
        <v>2025</v>
      </c>
      <c r="B15975" s="133">
        <v>11</v>
      </c>
      <c r="C15975" s="133">
        <v>30</v>
      </c>
      <c r="D15975" s="141">
        <f t="shared" si="2604"/>
        <v>45991</v>
      </c>
      <c r="E15975" s="275">
        <f t="shared" si="2605"/>
        <v>45991</v>
      </c>
      <c r="F15975" s="481"/>
      <c r="G15975" s="174" t="s">
        <v>74</v>
      </c>
      <c r="J15975" s="133" t="s">
        <v>53</v>
      </c>
      <c r="K15975" s="218">
        <v>151817.39000000001</v>
      </c>
      <c r="L15975" s="218"/>
    </row>
    <row r="15976" spans="1:14" ht="11.25" customHeight="1" x14ac:dyDescent="0.2">
      <c r="A15976" s="163">
        <v>2025</v>
      </c>
      <c r="B15976" s="163">
        <v>11</v>
      </c>
      <c r="C15976" s="163">
        <v>30</v>
      </c>
      <c r="D15976" s="280">
        <f t="shared" si="2604"/>
        <v>45991</v>
      </c>
      <c r="E15976" s="281">
        <f t="shared" si="2605"/>
        <v>45991</v>
      </c>
      <c r="F15976" s="480"/>
      <c r="G15976" s="221" t="s">
        <v>74</v>
      </c>
      <c r="H15976" s="145"/>
      <c r="I15976" s="145"/>
      <c r="J15976" s="163" t="s">
        <v>52</v>
      </c>
      <c r="K15976" s="219"/>
      <c r="L15976" s="219">
        <v>508447.39</v>
      </c>
    </row>
    <row r="15977" spans="1:14" x14ac:dyDescent="0.2">
      <c r="A15977" s="133">
        <v>2025</v>
      </c>
      <c r="B15977" s="133">
        <v>11</v>
      </c>
      <c r="C15977" s="168">
        <v>30</v>
      </c>
      <c r="D15977" s="141">
        <f t="shared" si="2604"/>
        <v>45991</v>
      </c>
      <c r="E15977" s="275">
        <f t="shared" si="2605"/>
        <v>45991</v>
      </c>
      <c r="F15977" s="481" t="s">
        <v>2115</v>
      </c>
      <c r="G15977" s="174" t="s">
        <v>94</v>
      </c>
      <c r="H15977" s="174"/>
      <c r="J15977" s="149" t="s">
        <v>79</v>
      </c>
      <c r="K15977" s="218">
        <v>106500</v>
      </c>
      <c r="L15977" s="218"/>
      <c r="M15977" s="160"/>
    </row>
    <row r="15978" spans="1:14" x14ac:dyDescent="0.2">
      <c r="A15978" s="133">
        <v>2025</v>
      </c>
      <c r="B15978" s="133">
        <v>11</v>
      </c>
      <c r="C15978" s="133">
        <v>30</v>
      </c>
      <c r="D15978" s="141">
        <f t="shared" si="2604"/>
        <v>45991</v>
      </c>
      <c r="E15978" s="275">
        <f t="shared" si="2605"/>
        <v>45991</v>
      </c>
      <c r="F15978" s="481"/>
      <c r="G15978" s="174" t="s">
        <v>94</v>
      </c>
      <c r="H15978" s="174"/>
      <c r="J15978" s="149" t="s">
        <v>80</v>
      </c>
      <c r="K15978" s="218">
        <v>3083.85</v>
      </c>
      <c r="L15978" s="264"/>
      <c r="M15978" s="264"/>
      <c r="N15978" s="264"/>
    </row>
    <row r="15979" spans="1:14" x14ac:dyDescent="0.2">
      <c r="A15979" s="133">
        <v>2025</v>
      </c>
      <c r="B15979" s="133">
        <v>11</v>
      </c>
      <c r="C15979" s="133">
        <v>30</v>
      </c>
      <c r="D15979" s="141">
        <f t="shared" si="2604"/>
        <v>45991</v>
      </c>
      <c r="E15979" s="275">
        <f t="shared" si="2605"/>
        <v>45991</v>
      </c>
      <c r="F15979" s="481"/>
      <c r="G15979" s="174" t="s">
        <v>94</v>
      </c>
      <c r="H15979" s="174"/>
      <c r="J15979" s="149" t="s">
        <v>190</v>
      </c>
      <c r="K15979" s="218">
        <v>1497168.15</v>
      </c>
      <c r="L15979" s="218"/>
      <c r="M15979" s="264"/>
    </row>
    <row r="15980" spans="1:14" x14ac:dyDescent="0.2">
      <c r="A15980" s="133">
        <v>2025</v>
      </c>
      <c r="B15980" s="133">
        <v>11</v>
      </c>
      <c r="C15980" s="133">
        <v>30</v>
      </c>
      <c r="D15980" s="141">
        <f t="shared" si="2604"/>
        <v>45991</v>
      </c>
      <c r="E15980" s="275">
        <f t="shared" si="2605"/>
        <v>45991</v>
      </c>
      <c r="F15980" s="481"/>
      <c r="G15980" s="174" t="s">
        <v>94</v>
      </c>
      <c r="H15980" s="174"/>
      <c r="J15980" s="149" t="s">
        <v>191</v>
      </c>
      <c r="K15980" s="218"/>
      <c r="L15980" s="218">
        <v>59812.79</v>
      </c>
    </row>
    <row r="15981" spans="1:14" x14ac:dyDescent="0.2">
      <c r="A15981" s="163">
        <v>2025</v>
      </c>
      <c r="B15981" s="163">
        <v>11</v>
      </c>
      <c r="C15981" s="163">
        <v>30</v>
      </c>
      <c r="D15981" s="280">
        <f t="shared" si="2604"/>
        <v>45991</v>
      </c>
      <c r="E15981" s="281">
        <f t="shared" si="2605"/>
        <v>45991</v>
      </c>
      <c r="F15981" s="480"/>
      <c r="G15981" s="221" t="s">
        <v>94</v>
      </c>
      <c r="H15981" s="145"/>
      <c r="I15981" s="145"/>
      <c r="J15981" s="163" t="s">
        <v>79</v>
      </c>
      <c r="K15981" s="219"/>
      <c r="L15981" s="219">
        <v>1546939.21</v>
      </c>
      <c r="M15981" s="264"/>
    </row>
    <row r="15982" spans="1:14" x14ac:dyDescent="0.2">
      <c r="A15982" s="325">
        <v>2025</v>
      </c>
      <c r="B15982" s="325">
        <v>11</v>
      </c>
      <c r="C15982" s="325">
        <v>30</v>
      </c>
      <c r="D15982" s="326">
        <f t="shared" ref="D15982:D16009" si="2606">DATE(A15982,B15982,C15982)</f>
        <v>45991</v>
      </c>
      <c r="E15982" s="327">
        <f t="shared" ref="E15982:E16009" si="2607">DATE(A15982,B15982,C15982)</f>
        <v>45991</v>
      </c>
      <c r="F15982" s="473" t="s">
        <v>1940</v>
      </c>
      <c r="G15982" s="340" t="s">
        <v>94</v>
      </c>
      <c r="H15982" s="340"/>
      <c r="I15982" s="341" t="s">
        <v>348</v>
      </c>
      <c r="J15982" s="374" t="s">
        <v>133</v>
      </c>
      <c r="K15982" s="375">
        <v>1843.6514285714286</v>
      </c>
      <c r="L15982" s="375"/>
      <c r="M15982" s="176"/>
    </row>
    <row r="15983" spans="1:14" x14ac:dyDescent="0.2">
      <c r="A15983" s="331">
        <v>2025</v>
      </c>
      <c r="B15983" s="331">
        <v>11</v>
      </c>
      <c r="C15983" s="331">
        <v>30</v>
      </c>
      <c r="D15983" s="326">
        <f t="shared" si="2606"/>
        <v>45991</v>
      </c>
      <c r="E15983" s="327">
        <f t="shared" si="2607"/>
        <v>45991</v>
      </c>
      <c r="F15983" s="474"/>
      <c r="G15983" s="332" t="s">
        <v>94</v>
      </c>
      <c r="H15983" s="332"/>
      <c r="I15983" s="333" t="s">
        <v>348</v>
      </c>
      <c r="J15983" s="376" t="s">
        <v>60</v>
      </c>
      <c r="K15983" s="334"/>
      <c r="L15983" s="334">
        <f>K15982</f>
        <v>1843.6514285714286</v>
      </c>
    </row>
    <row r="15984" spans="1:14" x14ac:dyDescent="0.2">
      <c r="A15984" s="325">
        <v>2025</v>
      </c>
      <c r="B15984" s="325">
        <v>11</v>
      </c>
      <c r="C15984" s="325">
        <v>30</v>
      </c>
      <c r="D15984" s="326">
        <f t="shared" si="2606"/>
        <v>45991</v>
      </c>
      <c r="E15984" s="327">
        <f t="shared" si="2607"/>
        <v>45991</v>
      </c>
      <c r="F15984" s="473" t="s">
        <v>2131</v>
      </c>
      <c r="G15984" s="340" t="s">
        <v>94</v>
      </c>
      <c r="H15984" s="340"/>
      <c r="I15984" s="341" t="s">
        <v>348</v>
      </c>
      <c r="J15984" s="374" t="s">
        <v>2156</v>
      </c>
      <c r="K15984" s="375">
        <v>6185.4395604395604</v>
      </c>
      <c r="L15984" s="375"/>
      <c r="M15984" s="176"/>
    </row>
    <row r="15985" spans="1:13" x14ac:dyDescent="0.2">
      <c r="A15985" s="331">
        <v>2025</v>
      </c>
      <c r="B15985" s="331">
        <v>11</v>
      </c>
      <c r="C15985" s="331">
        <v>30</v>
      </c>
      <c r="D15985" s="326">
        <f t="shared" si="2606"/>
        <v>45991</v>
      </c>
      <c r="E15985" s="327">
        <f t="shared" si="2607"/>
        <v>45991</v>
      </c>
      <c r="F15985" s="474"/>
      <c r="G15985" s="332" t="s">
        <v>94</v>
      </c>
      <c r="H15985" s="332"/>
      <c r="I15985" s="333" t="s">
        <v>348</v>
      </c>
      <c r="J15985" s="376" t="s">
        <v>2154</v>
      </c>
      <c r="K15985" s="334"/>
      <c r="L15985" s="334">
        <f>K15984</f>
        <v>6185.4395604395604</v>
      </c>
    </row>
    <row r="15986" spans="1:13" x14ac:dyDescent="0.2">
      <c r="A15986" s="384">
        <v>2025</v>
      </c>
      <c r="B15986" s="384">
        <v>11</v>
      </c>
      <c r="C15986" s="384">
        <v>30</v>
      </c>
      <c r="D15986" s="385">
        <f t="shared" si="2606"/>
        <v>45991</v>
      </c>
      <c r="E15986" s="386">
        <f t="shared" si="2607"/>
        <v>45991</v>
      </c>
      <c r="F15986" s="475" t="s">
        <v>1966</v>
      </c>
      <c r="G15986" s="387" t="s">
        <v>94</v>
      </c>
      <c r="H15986" s="387"/>
      <c r="I15986" s="388" t="s">
        <v>348</v>
      </c>
      <c r="J15986" s="389" t="s">
        <v>67</v>
      </c>
      <c r="K15986" s="390">
        <v>323.60000000000002</v>
      </c>
      <c r="L15986" s="390"/>
    </row>
    <row r="15987" spans="1:13" x14ac:dyDescent="0.2">
      <c r="A15987" s="391">
        <v>2025</v>
      </c>
      <c r="B15987" s="391">
        <v>11</v>
      </c>
      <c r="C15987" s="391">
        <v>30</v>
      </c>
      <c r="D15987" s="385">
        <f t="shared" si="2606"/>
        <v>45991</v>
      </c>
      <c r="E15987" s="386">
        <f t="shared" si="2607"/>
        <v>45991</v>
      </c>
      <c r="F15987" s="476"/>
      <c r="G15987" s="392" t="s">
        <v>94</v>
      </c>
      <c r="H15987" s="392"/>
      <c r="I15987" s="393" t="s">
        <v>348</v>
      </c>
      <c r="J15987" s="394" t="s">
        <v>60</v>
      </c>
      <c r="K15987" s="395"/>
      <c r="L15987" s="395">
        <f>K15986</f>
        <v>323.60000000000002</v>
      </c>
    </row>
    <row r="15988" spans="1:13" x14ac:dyDescent="0.2">
      <c r="A15988" s="343">
        <v>2025</v>
      </c>
      <c r="B15988" s="343">
        <v>11</v>
      </c>
      <c r="C15988" s="343">
        <v>30</v>
      </c>
      <c r="D15988" s="344">
        <f t="shared" si="2606"/>
        <v>45991</v>
      </c>
      <c r="E15988" s="345">
        <f t="shared" si="2607"/>
        <v>45991</v>
      </c>
      <c r="F15988" s="483" t="s">
        <v>1813</v>
      </c>
      <c r="G15988" s="350" t="s">
        <v>94</v>
      </c>
      <c r="H15988" s="350"/>
      <c r="I15988" s="352" t="s">
        <v>348</v>
      </c>
      <c r="J15988" s="353" t="s">
        <v>1807</v>
      </c>
      <c r="K15988" s="354">
        <v>0</v>
      </c>
      <c r="L15988" s="354"/>
      <c r="M15988" s="133">
        <v>0</v>
      </c>
    </row>
    <row r="15989" spans="1:13" x14ac:dyDescent="0.2">
      <c r="A15989" s="346">
        <v>2025</v>
      </c>
      <c r="B15989" s="346">
        <v>11</v>
      </c>
      <c r="C15989" s="346">
        <v>30</v>
      </c>
      <c r="D15989" s="344">
        <f t="shared" si="2606"/>
        <v>45991</v>
      </c>
      <c r="E15989" s="345">
        <f t="shared" si="2607"/>
        <v>45991</v>
      </c>
      <c r="F15989" s="484"/>
      <c r="G15989" s="347" t="s">
        <v>94</v>
      </c>
      <c r="H15989" s="347"/>
      <c r="I15989" s="348" t="s">
        <v>348</v>
      </c>
      <c r="J15989" s="355" t="s">
        <v>1798</v>
      </c>
      <c r="K15989" s="349"/>
      <c r="L15989" s="349">
        <v>0</v>
      </c>
    </row>
    <row r="15990" spans="1:13" x14ac:dyDescent="0.2">
      <c r="A15990" s="343">
        <v>2025</v>
      </c>
      <c r="B15990" s="343">
        <v>11</v>
      </c>
      <c r="C15990" s="343">
        <v>30</v>
      </c>
      <c r="D15990" s="344">
        <f t="shared" si="2606"/>
        <v>45991</v>
      </c>
      <c r="E15990" s="345">
        <f t="shared" si="2607"/>
        <v>45991</v>
      </c>
      <c r="F15990" s="483" t="s">
        <v>1913</v>
      </c>
      <c r="G15990" s="350" t="s">
        <v>94</v>
      </c>
      <c r="H15990" s="350"/>
      <c r="I15990" s="352" t="s">
        <v>348</v>
      </c>
      <c r="J15990" s="353" t="s">
        <v>1808</v>
      </c>
      <c r="K15990" s="354"/>
      <c r="L15990" s="354"/>
      <c r="M15990" s="160">
        <v>0</v>
      </c>
    </row>
    <row r="15991" spans="1:13" x14ac:dyDescent="0.2">
      <c r="A15991" s="346">
        <v>2025</v>
      </c>
      <c r="B15991" s="346">
        <v>11</v>
      </c>
      <c r="C15991" s="346">
        <v>30</v>
      </c>
      <c r="D15991" s="344">
        <f t="shared" si="2606"/>
        <v>45991</v>
      </c>
      <c r="E15991" s="345">
        <f t="shared" si="2607"/>
        <v>45991</v>
      </c>
      <c r="F15991" s="484"/>
      <c r="G15991" s="347" t="s">
        <v>94</v>
      </c>
      <c r="H15991" s="347"/>
      <c r="I15991" s="348" t="s">
        <v>348</v>
      </c>
      <c r="J15991" s="355" t="s">
        <v>1799</v>
      </c>
      <c r="K15991" s="349"/>
      <c r="L15991" s="349">
        <f>K15990</f>
        <v>0</v>
      </c>
    </row>
    <row r="15992" spans="1:13" x14ac:dyDescent="0.2">
      <c r="A15992" s="238">
        <v>2025</v>
      </c>
      <c r="B15992" s="238">
        <v>11</v>
      </c>
      <c r="C15992" s="238">
        <v>30</v>
      </c>
      <c r="D15992" s="270">
        <f t="shared" si="2606"/>
        <v>45991</v>
      </c>
      <c r="E15992" s="279">
        <f t="shared" si="2607"/>
        <v>45991</v>
      </c>
      <c r="F15992" s="477" t="s">
        <v>347</v>
      </c>
      <c r="G15992" s="239" t="s">
        <v>94</v>
      </c>
      <c r="H15992" s="239"/>
      <c r="I15992" s="262" t="s">
        <v>348</v>
      </c>
      <c r="J15992" s="240" t="s">
        <v>82</v>
      </c>
      <c r="K15992" s="241">
        <v>579742.31000006199</v>
      </c>
      <c r="L15992" s="241"/>
      <c r="M15992" s="160">
        <v>13139541.900000483</v>
      </c>
    </row>
    <row r="15993" spans="1:13" x14ac:dyDescent="0.2">
      <c r="A15993" s="242">
        <v>2025</v>
      </c>
      <c r="B15993" s="242">
        <v>11</v>
      </c>
      <c r="C15993" s="242">
        <v>30</v>
      </c>
      <c r="D15993" s="270">
        <f t="shared" si="2606"/>
        <v>45991</v>
      </c>
      <c r="E15993" s="279">
        <f t="shared" si="2607"/>
        <v>45991</v>
      </c>
      <c r="F15993" s="478"/>
      <c r="G15993" s="243" t="s">
        <v>94</v>
      </c>
      <c r="H15993" s="243"/>
      <c r="I15993" s="263" t="s">
        <v>348</v>
      </c>
      <c r="J15993" s="244" t="s">
        <v>108</v>
      </c>
      <c r="K15993" s="245"/>
      <c r="L15993" s="245">
        <f>K15992</f>
        <v>579742.31000006199</v>
      </c>
    </row>
    <row r="15994" spans="1:13" ht="12" customHeight="1" x14ac:dyDescent="0.2">
      <c r="A15994" s="246">
        <v>2025</v>
      </c>
      <c r="B15994" s="238">
        <v>11</v>
      </c>
      <c r="C15994" s="238">
        <v>30</v>
      </c>
      <c r="D15994" s="270">
        <f t="shared" si="2606"/>
        <v>45991</v>
      </c>
      <c r="E15994" s="279">
        <f t="shared" si="2607"/>
        <v>45991</v>
      </c>
      <c r="F15994" s="482" t="s">
        <v>148</v>
      </c>
      <c r="G15994" s="247" t="s">
        <v>94</v>
      </c>
      <c r="H15994" s="247"/>
      <c r="I15994" s="248" t="s">
        <v>348</v>
      </c>
      <c r="J15994" s="249" t="s">
        <v>95</v>
      </c>
      <c r="K15994" s="250">
        <v>392.46467817896388</v>
      </c>
      <c r="L15994" s="241"/>
      <c r="M15994" s="176"/>
    </row>
    <row r="15995" spans="1:13" x14ac:dyDescent="0.2">
      <c r="A15995" s="242">
        <v>2025</v>
      </c>
      <c r="B15995" s="242">
        <v>11</v>
      </c>
      <c r="C15995" s="242">
        <v>30</v>
      </c>
      <c r="D15995" s="270">
        <f t="shared" si="2606"/>
        <v>45991</v>
      </c>
      <c r="E15995" s="279">
        <f t="shared" si="2607"/>
        <v>45991</v>
      </c>
      <c r="F15995" s="478"/>
      <c r="G15995" s="243" t="s">
        <v>94</v>
      </c>
      <c r="H15995" s="243"/>
      <c r="I15995" s="263" t="s">
        <v>348</v>
      </c>
      <c r="J15995" s="244" t="s">
        <v>63</v>
      </c>
      <c r="K15995" s="245"/>
      <c r="L15995" s="245">
        <f>K15994</f>
        <v>392.46467817896388</v>
      </c>
    </row>
    <row r="15996" spans="1:13" x14ac:dyDescent="0.2">
      <c r="A15996" s="246">
        <v>2025</v>
      </c>
      <c r="B15996" s="238">
        <v>11</v>
      </c>
      <c r="C15996" s="238">
        <v>30</v>
      </c>
      <c r="D15996" s="270">
        <f t="shared" si="2606"/>
        <v>45991</v>
      </c>
      <c r="E15996" s="279">
        <f t="shared" si="2607"/>
        <v>45991</v>
      </c>
      <c r="F15996" s="482" t="s">
        <v>137</v>
      </c>
      <c r="G15996" s="247" t="s">
        <v>94</v>
      </c>
      <c r="H15996" s="247"/>
      <c r="I15996" s="248" t="s">
        <v>348</v>
      </c>
      <c r="J15996" s="249" t="s">
        <v>97</v>
      </c>
      <c r="K15996" s="250">
        <f>M15996</f>
        <v>13083.566363364549</v>
      </c>
      <c r="L15996" s="252"/>
      <c r="M15996" s="133">
        <v>13083.566363364549</v>
      </c>
    </row>
    <row r="15997" spans="1:13" x14ac:dyDescent="0.2">
      <c r="A15997" s="242">
        <v>2025</v>
      </c>
      <c r="B15997" s="242">
        <v>11</v>
      </c>
      <c r="C15997" s="242">
        <v>30</v>
      </c>
      <c r="D15997" s="270">
        <f t="shared" si="2606"/>
        <v>45991</v>
      </c>
      <c r="E15997" s="279">
        <f t="shared" si="2607"/>
        <v>45991</v>
      </c>
      <c r="F15997" s="478"/>
      <c r="G15997" s="243" t="s">
        <v>94</v>
      </c>
      <c r="H15997" s="243"/>
      <c r="I15997" s="263" t="s">
        <v>348</v>
      </c>
      <c r="J15997" s="244" t="s">
        <v>47</v>
      </c>
      <c r="K15997" s="245"/>
      <c r="L15997" s="245">
        <f>K15996</f>
        <v>13083.566363364549</v>
      </c>
      <c r="M15997" s="133">
        <v>619.83765882756813</v>
      </c>
    </row>
    <row r="15998" spans="1:13" x14ac:dyDescent="0.2">
      <c r="A15998" s="246">
        <v>2025</v>
      </c>
      <c r="B15998" s="238">
        <v>11</v>
      </c>
      <c r="C15998" s="238">
        <v>30</v>
      </c>
      <c r="D15998" s="270">
        <f t="shared" si="2606"/>
        <v>45991</v>
      </c>
      <c r="E15998" s="279">
        <f t="shared" si="2607"/>
        <v>45991</v>
      </c>
      <c r="F15998" s="482" t="s">
        <v>138</v>
      </c>
      <c r="G15998" s="247" t="s">
        <v>94</v>
      </c>
      <c r="H15998" s="247"/>
      <c r="I15998" s="248" t="s">
        <v>348</v>
      </c>
      <c r="J15998" s="249" t="s">
        <v>100</v>
      </c>
      <c r="K15998" s="250">
        <f>M15997</f>
        <v>619.83765882756813</v>
      </c>
      <c r="L15998" s="252"/>
    </row>
    <row r="15999" spans="1:13" x14ac:dyDescent="0.2">
      <c r="A15999" s="242">
        <v>2025</v>
      </c>
      <c r="B15999" s="242">
        <v>11</v>
      </c>
      <c r="C15999" s="242">
        <v>30</v>
      </c>
      <c r="D15999" s="321">
        <f t="shared" si="2606"/>
        <v>45991</v>
      </c>
      <c r="E15999" s="322">
        <f t="shared" si="2607"/>
        <v>45991</v>
      </c>
      <c r="F15999" s="478"/>
      <c r="G15999" s="243" t="s">
        <v>94</v>
      </c>
      <c r="H15999" s="243"/>
      <c r="I15999" s="263" t="s">
        <v>348</v>
      </c>
      <c r="J15999" s="244" t="s">
        <v>48</v>
      </c>
      <c r="K15999" s="245"/>
      <c r="L15999" s="245">
        <f>K15998</f>
        <v>619.83765882756813</v>
      </c>
    </row>
    <row r="16000" spans="1:13" ht="11.25" customHeight="1" x14ac:dyDescent="0.2">
      <c r="A16000" s="168">
        <v>2025</v>
      </c>
      <c r="B16000" s="133">
        <v>12</v>
      </c>
      <c r="C16000" s="168">
        <v>1</v>
      </c>
      <c r="D16000" s="141">
        <f t="shared" si="2606"/>
        <v>45992</v>
      </c>
      <c r="E16000" s="275">
        <f t="shared" si="2607"/>
        <v>45992</v>
      </c>
      <c r="F16000" s="479" t="s">
        <v>2121</v>
      </c>
      <c r="G16000" s="220" t="s">
        <v>74</v>
      </c>
      <c r="H16000" s="220"/>
      <c r="I16000" s="142"/>
      <c r="J16000" s="143" t="s">
        <v>52</v>
      </c>
      <c r="K16000" s="226">
        <v>209305.24</v>
      </c>
      <c r="L16000" s="226"/>
    </row>
    <row r="16001" spans="1:14" x14ac:dyDescent="0.2">
      <c r="A16001" s="163">
        <v>2025</v>
      </c>
      <c r="B16001" s="163">
        <v>12</v>
      </c>
      <c r="C16001" s="163">
        <v>1</v>
      </c>
      <c r="D16001" s="280">
        <f t="shared" si="2606"/>
        <v>45992</v>
      </c>
      <c r="E16001" s="281">
        <f t="shared" si="2607"/>
        <v>45992</v>
      </c>
      <c r="F16001" s="480"/>
      <c r="G16001" s="221" t="s">
        <v>74</v>
      </c>
      <c r="H16001" s="221"/>
      <c r="I16001" s="145"/>
      <c r="J16001" s="146" t="s">
        <v>190</v>
      </c>
      <c r="K16001" s="219"/>
      <c r="L16001" s="219">
        <f>K16000</f>
        <v>209305.24</v>
      </c>
      <c r="N16001" s="264"/>
    </row>
    <row r="16002" spans="1:14" ht="11.25" customHeight="1" x14ac:dyDescent="0.2">
      <c r="A16002" s="168">
        <v>2025</v>
      </c>
      <c r="B16002" s="168">
        <v>12</v>
      </c>
      <c r="C16002" s="133">
        <v>1</v>
      </c>
      <c r="D16002" s="141">
        <f t="shared" si="2606"/>
        <v>45992</v>
      </c>
      <c r="E16002" s="275">
        <f t="shared" si="2607"/>
        <v>45992</v>
      </c>
      <c r="F16002" s="479" t="s">
        <v>964</v>
      </c>
      <c r="G16002" s="220" t="s">
        <v>74</v>
      </c>
      <c r="H16002" s="142"/>
      <c r="I16002" s="142"/>
      <c r="J16002" s="168" t="s">
        <v>52</v>
      </c>
      <c r="K16002" s="226">
        <v>10000</v>
      </c>
      <c r="L16002" s="226"/>
    </row>
    <row r="16003" spans="1:14" ht="11.25" customHeight="1" x14ac:dyDescent="0.2">
      <c r="A16003" s="133">
        <v>2025</v>
      </c>
      <c r="B16003" s="133">
        <v>12</v>
      </c>
      <c r="C16003" s="133">
        <v>1</v>
      </c>
      <c r="D16003" s="141">
        <f t="shared" si="2606"/>
        <v>45992</v>
      </c>
      <c r="E16003" s="275">
        <f t="shared" si="2607"/>
        <v>45992</v>
      </c>
      <c r="F16003" s="481"/>
      <c r="G16003" s="174" t="s">
        <v>74</v>
      </c>
      <c r="J16003" s="133" t="s">
        <v>13</v>
      </c>
      <c r="K16003" s="218"/>
      <c r="L16003" s="218">
        <v>7040</v>
      </c>
    </row>
    <row r="16004" spans="1:14" ht="11.25" customHeight="1" x14ac:dyDescent="0.2">
      <c r="A16004" s="163">
        <v>2025</v>
      </c>
      <c r="B16004" s="163">
        <v>12</v>
      </c>
      <c r="C16004" s="163">
        <v>1</v>
      </c>
      <c r="D16004" s="280">
        <f t="shared" si="2606"/>
        <v>45992</v>
      </c>
      <c r="E16004" s="281">
        <f t="shared" si="2607"/>
        <v>45992</v>
      </c>
      <c r="F16004" s="480"/>
      <c r="G16004" s="221" t="s">
        <v>74</v>
      </c>
      <c r="H16004" s="145"/>
      <c r="I16004" s="145"/>
      <c r="J16004" s="163" t="s">
        <v>53</v>
      </c>
      <c r="K16004" s="219"/>
      <c r="L16004" s="219">
        <v>2960</v>
      </c>
    </row>
    <row r="16005" spans="1:14" x14ac:dyDescent="0.2">
      <c r="A16005" s="133">
        <v>2025</v>
      </c>
      <c r="B16005" s="133">
        <v>12</v>
      </c>
      <c r="C16005" s="168">
        <v>1</v>
      </c>
      <c r="D16005" s="141">
        <f t="shared" si="2606"/>
        <v>45992</v>
      </c>
      <c r="E16005" s="275">
        <f t="shared" si="2607"/>
        <v>45992</v>
      </c>
      <c r="F16005" s="481" t="s">
        <v>2115</v>
      </c>
      <c r="G16005" s="174" t="s">
        <v>94</v>
      </c>
      <c r="H16005" s="174"/>
      <c r="J16005" s="149" t="s">
        <v>79</v>
      </c>
      <c r="K16005" s="218">
        <v>388718</v>
      </c>
      <c r="L16005" s="218"/>
      <c r="M16005" s="160"/>
    </row>
    <row r="16006" spans="1:14" x14ac:dyDescent="0.2">
      <c r="A16006" s="133">
        <v>2025</v>
      </c>
      <c r="B16006" s="133">
        <v>12</v>
      </c>
      <c r="C16006" s="133">
        <v>1</v>
      </c>
      <c r="D16006" s="141">
        <f t="shared" si="2606"/>
        <v>45992</v>
      </c>
      <c r="E16006" s="275">
        <f t="shared" si="2607"/>
        <v>45992</v>
      </c>
      <c r="F16006" s="481"/>
      <c r="G16006" s="174" t="s">
        <v>94</v>
      </c>
      <c r="H16006" s="174"/>
      <c r="J16006" s="149" t="s">
        <v>80</v>
      </c>
      <c r="K16006" s="218">
        <v>1786.6</v>
      </c>
      <c r="L16006" s="264"/>
      <c r="M16006" s="264"/>
      <c r="N16006" s="264"/>
    </row>
    <row r="16007" spans="1:14" x14ac:dyDescent="0.2">
      <c r="A16007" s="133">
        <v>2025</v>
      </c>
      <c r="B16007" s="133">
        <v>12</v>
      </c>
      <c r="C16007" s="133">
        <v>1</v>
      </c>
      <c r="D16007" s="141">
        <f t="shared" si="2606"/>
        <v>45992</v>
      </c>
      <c r="E16007" s="275">
        <f t="shared" si="2607"/>
        <v>45992</v>
      </c>
      <c r="F16007" s="481"/>
      <c r="G16007" s="174" t="s">
        <v>94</v>
      </c>
      <c r="H16007" s="174"/>
      <c r="J16007" s="149" t="s">
        <v>190</v>
      </c>
      <c r="K16007" s="218">
        <v>213335.1</v>
      </c>
      <c r="L16007" s="218"/>
      <c r="M16007" s="264"/>
    </row>
    <row r="16008" spans="1:14" x14ac:dyDescent="0.2">
      <c r="A16008" s="133">
        <v>2025</v>
      </c>
      <c r="B16008" s="133">
        <v>12</v>
      </c>
      <c r="C16008" s="133">
        <v>1</v>
      </c>
      <c r="D16008" s="141">
        <f t="shared" si="2606"/>
        <v>45992</v>
      </c>
      <c r="E16008" s="275">
        <f t="shared" si="2607"/>
        <v>45992</v>
      </c>
      <c r="F16008" s="481"/>
      <c r="G16008" s="174" t="s">
        <v>94</v>
      </c>
      <c r="H16008" s="174"/>
      <c r="J16008" s="149" t="s">
        <v>191</v>
      </c>
      <c r="K16008" s="218"/>
      <c r="L16008" s="218">
        <v>28717.41</v>
      </c>
    </row>
    <row r="16009" spans="1:14" x14ac:dyDescent="0.2">
      <c r="A16009" s="163">
        <v>2025</v>
      </c>
      <c r="B16009" s="163">
        <v>12</v>
      </c>
      <c r="C16009" s="163">
        <v>1</v>
      </c>
      <c r="D16009" s="280">
        <f t="shared" si="2606"/>
        <v>45992</v>
      </c>
      <c r="E16009" s="281">
        <f t="shared" si="2607"/>
        <v>45992</v>
      </c>
      <c r="F16009" s="480"/>
      <c r="G16009" s="221" t="s">
        <v>94</v>
      </c>
      <c r="H16009" s="145"/>
      <c r="I16009" s="145"/>
      <c r="J16009" s="163" t="s">
        <v>79</v>
      </c>
      <c r="K16009" s="219"/>
      <c r="L16009" s="219">
        <v>575122.29</v>
      </c>
      <c r="M16009" s="264"/>
    </row>
    <row r="16010" spans="1:14" x14ac:dyDescent="0.2">
      <c r="A16010" s="133">
        <v>2025</v>
      </c>
      <c r="B16010" s="133">
        <v>12</v>
      </c>
      <c r="C16010" s="168">
        <v>1</v>
      </c>
      <c r="D16010" s="141">
        <f t="shared" ref="D16010:D16037" si="2608">DATE(A16010,B16010,C16010)</f>
        <v>45992</v>
      </c>
      <c r="E16010" s="275">
        <f t="shared" ref="E16010:E16037" si="2609">DATE(A16010,B16010,C16010)</f>
        <v>45992</v>
      </c>
      <c r="F16010" s="481" t="s">
        <v>2073</v>
      </c>
      <c r="G16010" s="174" t="s">
        <v>94</v>
      </c>
      <c r="H16010" s="174"/>
      <c r="J16010" s="149" t="s">
        <v>79</v>
      </c>
      <c r="K16010" s="218">
        <v>420750</v>
      </c>
      <c r="L16010" s="218"/>
      <c r="M16010" s="160"/>
    </row>
    <row r="16011" spans="1:14" x14ac:dyDescent="0.2">
      <c r="A16011" s="133">
        <v>2025</v>
      </c>
      <c r="B16011" s="133">
        <v>12</v>
      </c>
      <c r="C16011" s="133">
        <v>1</v>
      </c>
      <c r="D16011" s="141">
        <f t="shared" si="2608"/>
        <v>45992</v>
      </c>
      <c r="E16011" s="275">
        <f t="shared" si="2609"/>
        <v>45992</v>
      </c>
      <c r="F16011" s="481"/>
      <c r="G16011" s="174" t="s">
        <v>94</v>
      </c>
      <c r="H16011" s="174"/>
      <c r="J16011" s="149" t="s">
        <v>80</v>
      </c>
      <c r="K16011" s="218">
        <v>5694.29</v>
      </c>
      <c r="L16011" s="264"/>
      <c r="M16011" s="264"/>
      <c r="N16011" s="264"/>
    </row>
    <row r="16012" spans="1:14" x14ac:dyDescent="0.2">
      <c r="A16012" s="133">
        <v>2025</v>
      </c>
      <c r="B16012" s="133">
        <v>12</v>
      </c>
      <c r="C16012" s="133">
        <v>1</v>
      </c>
      <c r="D16012" s="141">
        <f t="shared" si="2608"/>
        <v>45992</v>
      </c>
      <c r="E16012" s="275">
        <f t="shared" si="2609"/>
        <v>45992</v>
      </c>
      <c r="F16012" s="481"/>
      <c r="G16012" s="174" t="s">
        <v>94</v>
      </c>
      <c r="H16012" s="174"/>
      <c r="J16012" s="149" t="s">
        <v>190</v>
      </c>
      <c r="K16012" s="218">
        <v>2316300.71</v>
      </c>
      <c r="L16012" s="218"/>
      <c r="M16012" s="264"/>
    </row>
    <row r="16013" spans="1:14" x14ac:dyDescent="0.2">
      <c r="A16013" s="133">
        <v>2025</v>
      </c>
      <c r="B16013" s="133">
        <v>12</v>
      </c>
      <c r="C16013" s="133">
        <v>1</v>
      </c>
      <c r="D16013" s="141">
        <f t="shared" si="2608"/>
        <v>45992</v>
      </c>
      <c r="E16013" s="275">
        <f t="shared" si="2609"/>
        <v>45992</v>
      </c>
      <c r="F16013" s="481"/>
      <c r="G16013" s="174" t="s">
        <v>94</v>
      </c>
      <c r="H16013" s="174"/>
      <c r="J16013" s="149" t="s">
        <v>191</v>
      </c>
      <c r="K16013" s="218"/>
      <c r="L16013" s="218">
        <v>117171.06</v>
      </c>
    </row>
    <row r="16014" spans="1:14" x14ac:dyDescent="0.2">
      <c r="A16014" s="163">
        <v>2025</v>
      </c>
      <c r="B16014" s="163">
        <v>12</v>
      </c>
      <c r="C16014" s="163">
        <v>1</v>
      </c>
      <c r="D16014" s="280">
        <f t="shared" si="2608"/>
        <v>45992</v>
      </c>
      <c r="E16014" s="281">
        <f t="shared" si="2609"/>
        <v>45992</v>
      </c>
      <c r="F16014" s="480"/>
      <c r="G16014" s="221" t="s">
        <v>94</v>
      </c>
      <c r="H16014" s="145"/>
      <c r="I16014" s="145"/>
      <c r="J16014" s="163" t="s">
        <v>79</v>
      </c>
      <c r="K16014" s="219"/>
      <c r="L16014" s="219">
        <v>2625573.94</v>
      </c>
      <c r="M16014" s="264"/>
    </row>
    <row r="16015" spans="1:14" x14ac:dyDescent="0.2">
      <c r="A16015" s="325">
        <v>2025</v>
      </c>
      <c r="B16015" s="325">
        <v>12</v>
      </c>
      <c r="C16015" s="325">
        <v>1</v>
      </c>
      <c r="D16015" s="326">
        <f t="shared" si="2608"/>
        <v>45992</v>
      </c>
      <c r="E16015" s="327">
        <f t="shared" si="2609"/>
        <v>45992</v>
      </c>
      <c r="F16015" s="473" t="s">
        <v>1940</v>
      </c>
      <c r="G16015" s="340" t="s">
        <v>94</v>
      </c>
      <c r="H16015" s="340"/>
      <c r="I16015" s="341" t="s">
        <v>348</v>
      </c>
      <c r="J16015" s="374" t="s">
        <v>133</v>
      </c>
      <c r="K16015" s="375">
        <v>1843.6514285714286</v>
      </c>
      <c r="L16015" s="375"/>
      <c r="M16015" s="176"/>
    </row>
    <row r="16016" spans="1:14" x14ac:dyDescent="0.2">
      <c r="A16016" s="331">
        <v>2025</v>
      </c>
      <c r="B16016" s="331">
        <v>12</v>
      </c>
      <c r="C16016" s="331">
        <v>1</v>
      </c>
      <c r="D16016" s="326">
        <f t="shared" si="2608"/>
        <v>45992</v>
      </c>
      <c r="E16016" s="327">
        <f t="shared" si="2609"/>
        <v>45992</v>
      </c>
      <c r="F16016" s="474"/>
      <c r="G16016" s="332" t="s">
        <v>94</v>
      </c>
      <c r="H16016" s="332"/>
      <c r="I16016" s="333" t="s">
        <v>348</v>
      </c>
      <c r="J16016" s="376" t="s">
        <v>60</v>
      </c>
      <c r="K16016" s="334"/>
      <c r="L16016" s="334">
        <f>K16015</f>
        <v>1843.6514285714286</v>
      </c>
    </row>
    <row r="16017" spans="1:13" x14ac:dyDescent="0.2">
      <c r="A16017" s="325">
        <v>2025</v>
      </c>
      <c r="B16017" s="325">
        <v>12</v>
      </c>
      <c r="C16017" s="325">
        <v>1</v>
      </c>
      <c r="D16017" s="326">
        <f t="shared" si="2608"/>
        <v>45992</v>
      </c>
      <c r="E16017" s="327">
        <f t="shared" si="2609"/>
        <v>45992</v>
      </c>
      <c r="F16017" s="473" t="s">
        <v>2131</v>
      </c>
      <c r="G16017" s="340" t="s">
        <v>94</v>
      </c>
      <c r="H16017" s="340"/>
      <c r="I16017" s="341" t="s">
        <v>348</v>
      </c>
      <c r="J16017" s="374" t="s">
        <v>2156</v>
      </c>
      <c r="K16017" s="375">
        <v>6185.4395604395604</v>
      </c>
      <c r="L16017" s="375"/>
      <c r="M16017" s="176"/>
    </row>
    <row r="16018" spans="1:13" x14ac:dyDescent="0.2">
      <c r="A16018" s="331">
        <v>2025</v>
      </c>
      <c r="B16018" s="331">
        <v>12</v>
      </c>
      <c r="C16018" s="331">
        <v>1</v>
      </c>
      <c r="D16018" s="326">
        <f t="shared" si="2608"/>
        <v>45992</v>
      </c>
      <c r="E16018" s="327">
        <f t="shared" si="2609"/>
        <v>45992</v>
      </c>
      <c r="F16018" s="474"/>
      <c r="G16018" s="332" t="s">
        <v>94</v>
      </c>
      <c r="H16018" s="332"/>
      <c r="I16018" s="333" t="s">
        <v>348</v>
      </c>
      <c r="J16018" s="376" t="s">
        <v>2154</v>
      </c>
      <c r="K16018" s="334"/>
      <c r="L16018" s="334">
        <f>K16017</f>
        <v>6185.4395604395604</v>
      </c>
    </row>
    <row r="16019" spans="1:13" x14ac:dyDescent="0.2">
      <c r="A16019" s="384">
        <v>2025</v>
      </c>
      <c r="B16019" s="384">
        <v>12</v>
      </c>
      <c r="C16019" s="384">
        <v>1</v>
      </c>
      <c r="D16019" s="385">
        <f t="shared" si="2608"/>
        <v>45992</v>
      </c>
      <c r="E16019" s="386">
        <f t="shared" si="2609"/>
        <v>45992</v>
      </c>
      <c r="F16019" s="475" t="s">
        <v>1966</v>
      </c>
      <c r="G16019" s="387" t="s">
        <v>94</v>
      </c>
      <c r="H16019" s="387"/>
      <c r="I16019" s="388" t="s">
        <v>348</v>
      </c>
      <c r="J16019" s="389" t="s">
        <v>67</v>
      </c>
      <c r="K16019" s="390">
        <v>367.21</v>
      </c>
      <c r="L16019" s="390"/>
    </row>
    <row r="16020" spans="1:13" x14ac:dyDescent="0.2">
      <c r="A16020" s="391">
        <v>2025</v>
      </c>
      <c r="B16020" s="391">
        <v>12</v>
      </c>
      <c r="C16020" s="391">
        <v>1</v>
      </c>
      <c r="D16020" s="385">
        <f t="shared" si="2608"/>
        <v>45992</v>
      </c>
      <c r="E16020" s="386">
        <f t="shared" si="2609"/>
        <v>45992</v>
      </c>
      <c r="F16020" s="476"/>
      <c r="G16020" s="392" t="s">
        <v>94</v>
      </c>
      <c r="H16020" s="392"/>
      <c r="I16020" s="393" t="s">
        <v>348</v>
      </c>
      <c r="J16020" s="394" t="s">
        <v>60</v>
      </c>
      <c r="K16020" s="395"/>
      <c r="L16020" s="395">
        <f>K16019</f>
        <v>367.21</v>
      </c>
    </row>
    <row r="16021" spans="1:13" x14ac:dyDescent="0.2">
      <c r="A16021" s="343">
        <v>2025</v>
      </c>
      <c r="B16021" s="343">
        <v>12</v>
      </c>
      <c r="C16021" s="343">
        <v>1</v>
      </c>
      <c r="D16021" s="344">
        <f t="shared" si="2608"/>
        <v>45992</v>
      </c>
      <c r="E16021" s="345">
        <f t="shared" si="2609"/>
        <v>45992</v>
      </c>
      <c r="F16021" s="483" t="s">
        <v>1813</v>
      </c>
      <c r="G16021" s="350" t="s">
        <v>94</v>
      </c>
      <c r="H16021" s="350"/>
      <c r="I16021" s="352" t="s">
        <v>348</v>
      </c>
      <c r="J16021" s="353" t="s">
        <v>1807</v>
      </c>
      <c r="K16021" s="354">
        <v>0</v>
      </c>
      <c r="L16021" s="354"/>
      <c r="M16021" s="133">
        <v>0</v>
      </c>
    </row>
    <row r="16022" spans="1:13" x14ac:dyDescent="0.2">
      <c r="A16022" s="346">
        <v>2025</v>
      </c>
      <c r="B16022" s="346">
        <v>12</v>
      </c>
      <c r="C16022" s="346">
        <v>1</v>
      </c>
      <c r="D16022" s="344">
        <f t="shared" si="2608"/>
        <v>45992</v>
      </c>
      <c r="E16022" s="345">
        <f t="shared" si="2609"/>
        <v>45992</v>
      </c>
      <c r="F16022" s="484"/>
      <c r="G16022" s="347" t="s">
        <v>94</v>
      </c>
      <c r="H16022" s="347"/>
      <c r="I16022" s="348" t="s">
        <v>348</v>
      </c>
      <c r="J16022" s="355" t="s">
        <v>1798</v>
      </c>
      <c r="K16022" s="349"/>
      <c r="L16022" s="349">
        <v>0</v>
      </c>
    </row>
    <row r="16023" spans="1:13" x14ac:dyDescent="0.2">
      <c r="A16023" s="343">
        <v>2025</v>
      </c>
      <c r="B16023" s="343">
        <v>12</v>
      </c>
      <c r="C16023" s="343">
        <v>1</v>
      </c>
      <c r="D16023" s="344">
        <f t="shared" si="2608"/>
        <v>45992</v>
      </c>
      <c r="E16023" s="345">
        <f t="shared" si="2609"/>
        <v>45992</v>
      </c>
      <c r="F16023" s="483" t="s">
        <v>1913</v>
      </c>
      <c r="G16023" s="350" t="s">
        <v>94</v>
      </c>
      <c r="H16023" s="350"/>
      <c r="I16023" s="352" t="s">
        <v>348</v>
      </c>
      <c r="J16023" s="353" t="s">
        <v>1808</v>
      </c>
      <c r="K16023" s="354"/>
      <c r="L16023" s="354"/>
      <c r="M16023" s="160">
        <v>0</v>
      </c>
    </row>
    <row r="16024" spans="1:13" x14ac:dyDescent="0.2">
      <c r="A16024" s="346">
        <v>2025</v>
      </c>
      <c r="B16024" s="346">
        <v>12</v>
      </c>
      <c r="C16024" s="346">
        <v>1</v>
      </c>
      <c r="D16024" s="344">
        <f t="shared" si="2608"/>
        <v>45992</v>
      </c>
      <c r="E16024" s="345">
        <f t="shared" si="2609"/>
        <v>45992</v>
      </c>
      <c r="F16024" s="484"/>
      <c r="G16024" s="347" t="s">
        <v>94</v>
      </c>
      <c r="H16024" s="347"/>
      <c r="I16024" s="348" t="s">
        <v>348</v>
      </c>
      <c r="J16024" s="355" t="s">
        <v>1799</v>
      </c>
      <c r="K16024" s="349"/>
      <c r="L16024" s="349">
        <f>K16023</f>
        <v>0</v>
      </c>
    </row>
    <row r="16025" spans="1:13" x14ac:dyDescent="0.2">
      <c r="A16025" s="238">
        <v>2025</v>
      </c>
      <c r="B16025" s="238">
        <v>12</v>
      </c>
      <c r="C16025" s="238">
        <v>1</v>
      </c>
      <c r="D16025" s="270">
        <f t="shared" si="2608"/>
        <v>45992</v>
      </c>
      <c r="E16025" s="279">
        <f t="shared" si="2609"/>
        <v>45992</v>
      </c>
      <c r="F16025" s="477" t="s">
        <v>347</v>
      </c>
      <c r="G16025" s="239" t="s">
        <v>94</v>
      </c>
      <c r="H16025" s="239"/>
      <c r="I16025" s="262" t="s">
        <v>348</v>
      </c>
      <c r="J16025" s="240" t="s">
        <v>82</v>
      </c>
      <c r="K16025" s="241">
        <v>576992.27999997139</v>
      </c>
      <c r="L16025" s="241"/>
      <c r="M16025" s="160">
        <v>13139541.900000483</v>
      </c>
    </row>
    <row r="16026" spans="1:13" x14ac:dyDescent="0.2">
      <c r="A16026" s="242">
        <v>2025</v>
      </c>
      <c r="B16026" s="242">
        <v>12</v>
      </c>
      <c r="C16026" s="242">
        <v>1</v>
      </c>
      <c r="D16026" s="270">
        <f t="shared" si="2608"/>
        <v>45992</v>
      </c>
      <c r="E16026" s="279">
        <f t="shared" si="2609"/>
        <v>45992</v>
      </c>
      <c r="F16026" s="478"/>
      <c r="G16026" s="243" t="s">
        <v>94</v>
      </c>
      <c r="H16026" s="243"/>
      <c r="I16026" s="263" t="s">
        <v>348</v>
      </c>
      <c r="J16026" s="244" t="s">
        <v>108</v>
      </c>
      <c r="K16026" s="245"/>
      <c r="L16026" s="245">
        <f>K16025</f>
        <v>576992.27999997139</v>
      </c>
    </row>
    <row r="16027" spans="1:13" ht="12" customHeight="1" x14ac:dyDescent="0.2">
      <c r="A16027" s="246">
        <v>2025</v>
      </c>
      <c r="B16027" s="238">
        <v>12</v>
      </c>
      <c r="C16027" s="238">
        <v>1</v>
      </c>
      <c r="D16027" s="270">
        <f t="shared" si="2608"/>
        <v>45992</v>
      </c>
      <c r="E16027" s="279">
        <f t="shared" si="2609"/>
        <v>45992</v>
      </c>
      <c r="F16027" s="482" t="s">
        <v>148</v>
      </c>
      <c r="G16027" s="247" t="s">
        <v>94</v>
      </c>
      <c r="H16027" s="247"/>
      <c r="I16027" s="248" t="s">
        <v>348</v>
      </c>
      <c r="J16027" s="249" t="s">
        <v>95</v>
      </c>
      <c r="K16027" s="250">
        <v>392.46467817896388</v>
      </c>
      <c r="L16027" s="241"/>
      <c r="M16027" s="176"/>
    </row>
    <row r="16028" spans="1:13" x14ac:dyDescent="0.2">
      <c r="A16028" s="242">
        <v>2025</v>
      </c>
      <c r="B16028" s="242">
        <v>12</v>
      </c>
      <c r="C16028" s="242">
        <v>1</v>
      </c>
      <c r="D16028" s="270">
        <f t="shared" si="2608"/>
        <v>45992</v>
      </c>
      <c r="E16028" s="279">
        <f t="shared" si="2609"/>
        <v>45992</v>
      </c>
      <c r="F16028" s="478"/>
      <c r="G16028" s="243" t="s">
        <v>94</v>
      </c>
      <c r="H16028" s="243"/>
      <c r="I16028" s="263" t="s">
        <v>348</v>
      </c>
      <c r="J16028" s="244" t="s">
        <v>63</v>
      </c>
      <c r="K16028" s="245"/>
      <c r="L16028" s="245">
        <f>K16027</f>
        <v>392.46467817896388</v>
      </c>
    </row>
    <row r="16029" spans="1:13" x14ac:dyDescent="0.2">
      <c r="A16029" s="246">
        <v>2025</v>
      </c>
      <c r="B16029" s="238">
        <v>12</v>
      </c>
      <c r="C16029" s="238">
        <v>1</v>
      </c>
      <c r="D16029" s="270">
        <f t="shared" si="2608"/>
        <v>45992</v>
      </c>
      <c r="E16029" s="279">
        <f t="shared" si="2609"/>
        <v>45992</v>
      </c>
      <c r="F16029" s="482" t="s">
        <v>137</v>
      </c>
      <c r="G16029" s="247" t="s">
        <v>94</v>
      </c>
      <c r="H16029" s="247"/>
      <c r="I16029" s="248" t="s">
        <v>348</v>
      </c>
      <c r="J16029" s="249" t="s">
        <v>97</v>
      </c>
      <c r="K16029" s="250">
        <f>M16029</f>
        <v>13032.595957454681</v>
      </c>
      <c r="L16029" s="252"/>
      <c r="M16029" s="170">
        <v>13032.595957454681</v>
      </c>
    </row>
    <row r="16030" spans="1:13" x14ac:dyDescent="0.2">
      <c r="A16030" s="242">
        <v>2025</v>
      </c>
      <c r="B16030" s="242">
        <v>12</v>
      </c>
      <c r="C16030" s="242">
        <v>1</v>
      </c>
      <c r="D16030" s="270">
        <f t="shared" si="2608"/>
        <v>45992</v>
      </c>
      <c r="E16030" s="279">
        <f t="shared" si="2609"/>
        <v>45992</v>
      </c>
      <c r="F16030" s="478"/>
      <c r="G16030" s="243" t="s">
        <v>94</v>
      </c>
      <c r="H16030" s="243"/>
      <c r="I16030" s="263" t="s">
        <v>348</v>
      </c>
      <c r="J16030" s="244" t="s">
        <v>47</v>
      </c>
      <c r="K16030" s="245"/>
      <c r="L16030" s="245">
        <f>K16029</f>
        <v>13032.595957454681</v>
      </c>
      <c r="M16030" s="170">
        <v>617.28913853207473</v>
      </c>
    </row>
    <row r="16031" spans="1:13" x14ac:dyDescent="0.2">
      <c r="A16031" s="246">
        <v>2025</v>
      </c>
      <c r="B16031" s="238">
        <v>12</v>
      </c>
      <c r="C16031" s="238">
        <v>1</v>
      </c>
      <c r="D16031" s="270">
        <f t="shared" si="2608"/>
        <v>45992</v>
      </c>
      <c r="E16031" s="279">
        <f t="shared" si="2609"/>
        <v>45992</v>
      </c>
      <c r="F16031" s="482" t="s">
        <v>138</v>
      </c>
      <c r="G16031" s="247" t="s">
        <v>94</v>
      </c>
      <c r="H16031" s="247"/>
      <c r="I16031" s="248" t="s">
        <v>348</v>
      </c>
      <c r="J16031" s="249" t="s">
        <v>100</v>
      </c>
      <c r="K16031" s="250">
        <f>M16030</f>
        <v>617.28913853207473</v>
      </c>
      <c r="L16031" s="252"/>
    </row>
    <row r="16032" spans="1:13" x14ac:dyDescent="0.2">
      <c r="A16032" s="242">
        <v>2025</v>
      </c>
      <c r="B16032" s="242">
        <v>12</v>
      </c>
      <c r="C16032" s="242">
        <v>1</v>
      </c>
      <c r="D16032" s="321">
        <f t="shared" si="2608"/>
        <v>45992</v>
      </c>
      <c r="E16032" s="322">
        <f t="shared" si="2609"/>
        <v>45992</v>
      </c>
      <c r="F16032" s="478"/>
      <c r="G16032" s="243" t="s">
        <v>94</v>
      </c>
      <c r="H16032" s="243"/>
      <c r="I16032" s="263" t="s">
        <v>348</v>
      </c>
      <c r="J16032" s="244" t="s">
        <v>48</v>
      </c>
      <c r="K16032" s="245"/>
      <c r="L16032" s="245">
        <f>K16031</f>
        <v>617.28913853207473</v>
      </c>
    </row>
    <row r="16033" spans="1:14" ht="11.25" customHeight="1" x14ac:dyDescent="0.2">
      <c r="A16033" s="168">
        <v>2025</v>
      </c>
      <c r="B16033" s="133">
        <v>12</v>
      </c>
      <c r="C16033" s="168">
        <v>2</v>
      </c>
      <c r="D16033" s="141">
        <f t="shared" si="2608"/>
        <v>45993</v>
      </c>
      <c r="E16033" s="275">
        <f t="shared" si="2609"/>
        <v>45993</v>
      </c>
      <c r="F16033" s="479" t="s">
        <v>2121</v>
      </c>
      <c r="G16033" s="220" t="s">
        <v>74</v>
      </c>
      <c r="H16033" s="220"/>
      <c r="I16033" s="142"/>
      <c r="J16033" s="143" t="s">
        <v>52</v>
      </c>
      <c r="K16033" s="226">
        <v>1498973.39</v>
      </c>
      <c r="L16033" s="226"/>
    </row>
    <row r="16034" spans="1:14" x14ac:dyDescent="0.2">
      <c r="A16034" s="163">
        <v>2025</v>
      </c>
      <c r="B16034" s="163">
        <v>12</v>
      </c>
      <c r="C16034" s="163">
        <v>2</v>
      </c>
      <c r="D16034" s="280">
        <f t="shared" si="2608"/>
        <v>45993</v>
      </c>
      <c r="E16034" s="281">
        <f t="shared" si="2609"/>
        <v>45993</v>
      </c>
      <c r="F16034" s="480"/>
      <c r="G16034" s="221" t="s">
        <v>74</v>
      </c>
      <c r="H16034" s="221"/>
      <c r="I16034" s="145"/>
      <c r="J16034" s="146" t="s">
        <v>190</v>
      </c>
      <c r="K16034" s="219"/>
      <c r="L16034" s="219">
        <f>K16033</f>
        <v>1498973.39</v>
      </c>
      <c r="N16034" s="264"/>
    </row>
    <row r="16035" spans="1:14" x14ac:dyDescent="0.2">
      <c r="A16035" s="168">
        <v>2025</v>
      </c>
      <c r="B16035" s="168">
        <v>12</v>
      </c>
      <c r="C16035" s="133">
        <v>2</v>
      </c>
      <c r="D16035" s="141">
        <f t="shared" si="2608"/>
        <v>45993</v>
      </c>
      <c r="E16035" s="275">
        <f t="shared" si="2609"/>
        <v>45993</v>
      </c>
      <c r="F16035" s="479" t="s">
        <v>2113</v>
      </c>
      <c r="G16035" s="220" t="s">
        <v>94</v>
      </c>
      <c r="H16035" s="220"/>
      <c r="I16035" s="142"/>
      <c r="J16035" s="143" t="s">
        <v>79</v>
      </c>
      <c r="K16035" s="226">
        <v>319715.5</v>
      </c>
      <c r="L16035" s="226"/>
      <c r="M16035" s="160"/>
    </row>
    <row r="16036" spans="1:14" x14ac:dyDescent="0.2">
      <c r="A16036" s="133">
        <v>2025</v>
      </c>
      <c r="B16036" s="133">
        <v>12</v>
      </c>
      <c r="C16036" s="133">
        <v>2</v>
      </c>
      <c r="D16036" s="141">
        <f t="shared" si="2608"/>
        <v>45993</v>
      </c>
      <c r="E16036" s="275">
        <f t="shared" si="2609"/>
        <v>45993</v>
      </c>
      <c r="F16036" s="481"/>
      <c r="G16036" s="174" t="s">
        <v>94</v>
      </c>
      <c r="H16036" s="174"/>
      <c r="J16036" s="149" t="s">
        <v>80</v>
      </c>
      <c r="K16036" s="218">
        <v>575.49</v>
      </c>
      <c r="L16036" s="264"/>
      <c r="M16036" s="264"/>
      <c r="N16036" s="264"/>
    </row>
    <row r="16037" spans="1:14" x14ac:dyDescent="0.2">
      <c r="A16037" s="163">
        <v>2025</v>
      </c>
      <c r="B16037" s="163">
        <v>12</v>
      </c>
      <c r="C16037" s="163">
        <v>2</v>
      </c>
      <c r="D16037" s="280">
        <f t="shared" si="2608"/>
        <v>45993</v>
      </c>
      <c r="E16037" s="281">
        <f t="shared" si="2609"/>
        <v>45993</v>
      </c>
      <c r="F16037" s="480"/>
      <c r="G16037" s="221" t="s">
        <v>94</v>
      </c>
      <c r="H16037" s="221"/>
      <c r="I16037" s="145"/>
      <c r="J16037" s="146" t="s">
        <v>147</v>
      </c>
      <c r="K16037" s="219"/>
      <c r="L16037" s="219">
        <v>320290.99</v>
      </c>
      <c r="M16037" s="264"/>
    </row>
    <row r="16038" spans="1:14" x14ac:dyDescent="0.2">
      <c r="A16038" s="325">
        <v>2025</v>
      </c>
      <c r="B16038" s="325">
        <v>12</v>
      </c>
      <c r="C16038" s="325">
        <v>2</v>
      </c>
      <c r="D16038" s="326">
        <f t="shared" ref="D16038:D16063" si="2610">DATE(A16038,B16038,C16038)</f>
        <v>45993</v>
      </c>
      <c r="E16038" s="327">
        <f t="shared" ref="E16038:E16063" si="2611">DATE(A16038,B16038,C16038)</f>
        <v>45993</v>
      </c>
      <c r="F16038" s="473" t="s">
        <v>1940</v>
      </c>
      <c r="G16038" s="340" t="s">
        <v>94</v>
      </c>
      <c r="H16038" s="340"/>
      <c r="I16038" s="341" t="s">
        <v>348</v>
      </c>
      <c r="J16038" s="374" t="s">
        <v>133</v>
      </c>
      <c r="K16038" s="375">
        <v>1843.6514285714286</v>
      </c>
      <c r="L16038" s="375"/>
      <c r="M16038" s="176"/>
    </row>
    <row r="16039" spans="1:14" x14ac:dyDescent="0.2">
      <c r="A16039" s="331">
        <v>2025</v>
      </c>
      <c r="B16039" s="331">
        <v>12</v>
      </c>
      <c r="C16039" s="331">
        <v>2</v>
      </c>
      <c r="D16039" s="326">
        <f t="shared" si="2610"/>
        <v>45993</v>
      </c>
      <c r="E16039" s="327">
        <f t="shared" si="2611"/>
        <v>45993</v>
      </c>
      <c r="F16039" s="474"/>
      <c r="G16039" s="332" t="s">
        <v>94</v>
      </c>
      <c r="H16039" s="332"/>
      <c r="I16039" s="333" t="s">
        <v>348</v>
      </c>
      <c r="J16039" s="376" t="s">
        <v>60</v>
      </c>
      <c r="K16039" s="334"/>
      <c r="L16039" s="334">
        <f>K16038</f>
        <v>1843.6514285714286</v>
      </c>
    </row>
    <row r="16040" spans="1:14" x14ac:dyDescent="0.2">
      <c r="A16040" s="325">
        <v>2025</v>
      </c>
      <c r="B16040" s="325">
        <v>12</v>
      </c>
      <c r="C16040" s="325">
        <v>2</v>
      </c>
      <c r="D16040" s="326">
        <f t="shared" si="2610"/>
        <v>45993</v>
      </c>
      <c r="E16040" s="327">
        <f t="shared" si="2611"/>
        <v>45993</v>
      </c>
      <c r="F16040" s="473" t="s">
        <v>2131</v>
      </c>
      <c r="G16040" s="340" t="s">
        <v>94</v>
      </c>
      <c r="H16040" s="340"/>
      <c r="I16040" s="341" t="s">
        <v>348</v>
      </c>
      <c r="J16040" s="374" t="s">
        <v>2156</v>
      </c>
      <c r="K16040" s="375">
        <v>6185.4395604395604</v>
      </c>
      <c r="L16040" s="375"/>
      <c r="M16040" s="176"/>
    </row>
    <row r="16041" spans="1:14" x14ac:dyDescent="0.2">
      <c r="A16041" s="331">
        <v>2025</v>
      </c>
      <c r="B16041" s="331">
        <v>12</v>
      </c>
      <c r="C16041" s="331">
        <v>2</v>
      </c>
      <c r="D16041" s="326">
        <f t="shared" si="2610"/>
        <v>45993</v>
      </c>
      <c r="E16041" s="327">
        <f t="shared" si="2611"/>
        <v>45993</v>
      </c>
      <c r="F16041" s="474"/>
      <c r="G16041" s="332" t="s">
        <v>94</v>
      </c>
      <c r="H16041" s="332"/>
      <c r="I16041" s="333" t="s">
        <v>348</v>
      </c>
      <c r="J16041" s="376" t="s">
        <v>2154</v>
      </c>
      <c r="K16041" s="334"/>
      <c r="L16041" s="334">
        <f>K16040</f>
        <v>6185.4395604395604</v>
      </c>
    </row>
    <row r="16042" spans="1:14" x14ac:dyDescent="0.2">
      <c r="A16042" s="384">
        <v>2025</v>
      </c>
      <c r="B16042" s="384">
        <v>12</v>
      </c>
      <c r="C16042" s="384">
        <v>2</v>
      </c>
      <c r="D16042" s="385">
        <f t="shared" si="2610"/>
        <v>45993</v>
      </c>
      <c r="E16042" s="386">
        <f t="shared" si="2611"/>
        <v>45993</v>
      </c>
      <c r="F16042" s="475" t="s">
        <v>1966</v>
      </c>
      <c r="G16042" s="387" t="s">
        <v>94</v>
      </c>
      <c r="H16042" s="387"/>
      <c r="I16042" s="388" t="s">
        <v>348</v>
      </c>
      <c r="J16042" s="389" t="s">
        <v>67</v>
      </c>
      <c r="K16042" s="390">
        <v>679.49608722222229</v>
      </c>
      <c r="L16042" s="390"/>
    </row>
    <row r="16043" spans="1:14" x14ac:dyDescent="0.2">
      <c r="A16043" s="391">
        <v>2025</v>
      </c>
      <c r="B16043" s="391">
        <v>12</v>
      </c>
      <c r="C16043" s="391">
        <v>2</v>
      </c>
      <c r="D16043" s="385">
        <f t="shared" si="2610"/>
        <v>45993</v>
      </c>
      <c r="E16043" s="386">
        <f t="shared" si="2611"/>
        <v>45993</v>
      </c>
      <c r="F16043" s="476"/>
      <c r="G16043" s="392" t="s">
        <v>94</v>
      </c>
      <c r="H16043" s="392"/>
      <c r="I16043" s="393" t="s">
        <v>348</v>
      </c>
      <c r="J16043" s="394" t="s">
        <v>60</v>
      </c>
      <c r="K16043" s="395"/>
      <c r="L16043" s="395">
        <f>K16042</f>
        <v>679.49608722222229</v>
      </c>
    </row>
    <row r="16044" spans="1:14" x14ac:dyDescent="0.2">
      <c r="A16044" s="343">
        <v>2025</v>
      </c>
      <c r="B16044" s="343">
        <v>12</v>
      </c>
      <c r="C16044" s="343">
        <v>2</v>
      </c>
      <c r="D16044" s="344">
        <f t="shared" si="2610"/>
        <v>45993</v>
      </c>
      <c r="E16044" s="345">
        <f t="shared" si="2611"/>
        <v>45993</v>
      </c>
      <c r="F16044" s="483" t="s">
        <v>1813</v>
      </c>
      <c r="G16044" s="350" t="s">
        <v>94</v>
      </c>
      <c r="H16044" s="350"/>
      <c r="I16044" s="352" t="s">
        <v>348</v>
      </c>
      <c r="J16044" s="353" t="s">
        <v>1807</v>
      </c>
      <c r="K16044" s="354">
        <v>0</v>
      </c>
      <c r="L16044" s="354"/>
      <c r="M16044" s="133">
        <v>0</v>
      </c>
    </row>
    <row r="16045" spans="1:14" x14ac:dyDescent="0.2">
      <c r="A16045" s="346">
        <v>2025</v>
      </c>
      <c r="B16045" s="346">
        <v>12</v>
      </c>
      <c r="C16045" s="346">
        <v>2</v>
      </c>
      <c r="D16045" s="344">
        <f t="shared" si="2610"/>
        <v>45993</v>
      </c>
      <c r="E16045" s="345">
        <f t="shared" si="2611"/>
        <v>45993</v>
      </c>
      <c r="F16045" s="484"/>
      <c r="G16045" s="347" t="s">
        <v>94</v>
      </c>
      <c r="H16045" s="347"/>
      <c r="I16045" s="348" t="s">
        <v>348</v>
      </c>
      <c r="J16045" s="355" t="s">
        <v>1798</v>
      </c>
      <c r="K16045" s="349"/>
      <c r="L16045" s="349">
        <v>0</v>
      </c>
    </row>
    <row r="16046" spans="1:14" x14ac:dyDescent="0.2">
      <c r="A16046" s="343">
        <v>2025</v>
      </c>
      <c r="B16046" s="343">
        <v>12</v>
      </c>
      <c r="C16046" s="343">
        <v>2</v>
      </c>
      <c r="D16046" s="344">
        <f t="shared" si="2610"/>
        <v>45993</v>
      </c>
      <c r="E16046" s="345">
        <f t="shared" si="2611"/>
        <v>45993</v>
      </c>
      <c r="F16046" s="483" t="s">
        <v>1913</v>
      </c>
      <c r="G16046" s="350" t="s">
        <v>94</v>
      </c>
      <c r="H16046" s="350"/>
      <c r="I16046" s="352" t="s">
        <v>348</v>
      </c>
      <c r="J16046" s="353" t="s">
        <v>1808</v>
      </c>
      <c r="K16046" s="354"/>
      <c r="L16046" s="354"/>
      <c r="M16046" s="160">
        <v>0</v>
      </c>
    </row>
    <row r="16047" spans="1:14" x14ac:dyDescent="0.2">
      <c r="A16047" s="346">
        <v>2025</v>
      </c>
      <c r="B16047" s="346">
        <v>12</v>
      </c>
      <c r="C16047" s="346">
        <v>2</v>
      </c>
      <c r="D16047" s="344">
        <f t="shared" si="2610"/>
        <v>45993</v>
      </c>
      <c r="E16047" s="345">
        <f t="shared" si="2611"/>
        <v>45993</v>
      </c>
      <c r="F16047" s="484"/>
      <c r="G16047" s="347" t="s">
        <v>94</v>
      </c>
      <c r="H16047" s="347"/>
      <c r="I16047" s="348" t="s">
        <v>348</v>
      </c>
      <c r="J16047" s="355" t="s">
        <v>1799</v>
      </c>
      <c r="K16047" s="349"/>
      <c r="L16047" s="349">
        <f>K16046</f>
        <v>0</v>
      </c>
    </row>
    <row r="16048" spans="1:14" x14ac:dyDescent="0.2">
      <c r="A16048" s="238">
        <v>2025</v>
      </c>
      <c r="B16048" s="238">
        <v>12</v>
      </c>
      <c r="C16048" s="238">
        <v>2</v>
      </c>
      <c r="D16048" s="270">
        <f t="shared" si="2610"/>
        <v>45993</v>
      </c>
      <c r="E16048" s="279">
        <f t="shared" si="2611"/>
        <v>45993</v>
      </c>
      <c r="F16048" s="477" t="s">
        <v>347</v>
      </c>
      <c r="G16048" s="239" t="s">
        <v>94</v>
      </c>
      <c r="H16048" s="239"/>
      <c r="I16048" s="262" t="s">
        <v>348</v>
      </c>
      <c r="J16048" s="240" t="s">
        <v>108</v>
      </c>
      <c r="K16048" s="241">
        <v>109296.05999997258</v>
      </c>
      <c r="L16048" s="241"/>
      <c r="M16048" s="160">
        <v>13139541.900000483</v>
      </c>
    </row>
    <row r="16049" spans="1:17" x14ac:dyDescent="0.2">
      <c r="A16049" s="242">
        <v>2025</v>
      </c>
      <c r="B16049" s="242">
        <v>12</v>
      </c>
      <c r="C16049" s="242">
        <v>2</v>
      </c>
      <c r="D16049" s="270">
        <f t="shared" si="2610"/>
        <v>45993</v>
      </c>
      <c r="E16049" s="279">
        <f t="shared" si="2611"/>
        <v>45993</v>
      </c>
      <c r="F16049" s="478"/>
      <c r="G16049" s="243" t="s">
        <v>94</v>
      </c>
      <c r="H16049" s="243"/>
      <c r="I16049" s="263" t="s">
        <v>348</v>
      </c>
      <c r="J16049" s="244" t="s">
        <v>82</v>
      </c>
      <c r="K16049" s="245"/>
      <c r="L16049" s="245">
        <f>K16048</f>
        <v>109296.05999997258</v>
      </c>
    </row>
    <row r="16050" spans="1:17" ht="12" customHeight="1" x14ac:dyDescent="0.2">
      <c r="A16050" s="246">
        <v>2025</v>
      </c>
      <c r="B16050" s="238">
        <v>12</v>
      </c>
      <c r="C16050" s="238">
        <v>2</v>
      </c>
      <c r="D16050" s="270">
        <f t="shared" si="2610"/>
        <v>45993</v>
      </c>
      <c r="E16050" s="279">
        <f t="shared" si="2611"/>
        <v>45993</v>
      </c>
      <c r="F16050" s="482" t="s">
        <v>148</v>
      </c>
      <c r="G16050" s="247" t="s">
        <v>94</v>
      </c>
      <c r="H16050" s="247"/>
      <c r="I16050" s="248" t="s">
        <v>348</v>
      </c>
      <c r="J16050" s="249" t="s">
        <v>95</v>
      </c>
      <c r="K16050" s="250">
        <v>392.46467817896388</v>
      </c>
      <c r="L16050" s="241"/>
      <c r="M16050" s="176"/>
    </row>
    <row r="16051" spans="1:17" x14ac:dyDescent="0.2">
      <c r="A16051" s="242">
        <v>2025</v>
      </c>
      <c r="B16051" s="242">
        <v>12</v>
      </c>
      <c r="C16051" s="242">
        <v>2</v>
      </c>
      <c r="D16051" s="270">
        <f t="shared" si="2610"/>
        <v>45993</v>
      </c>
      <c r="E16051" s="279">
        <f t="shared" si="2611"/>
        <v>45993</v>
      </c>
      <c r="F16051" s="478"/>
      <c r="G16051" s="243" t="s">
        <v>94</v>
      </c>
      <c r="H16051" s="243"/>
      <c r="I16051" s="263" t="s">
        <v>348</v>
      </c>
      <c r="J16051" s="244" t="s">
        <v>63</v>
      </c>
      <c r="K16051" s="245"/>
      <c r="L16051" s="245">
        <f>K16050</f>
        <v>392.46467817896388</v>
      </c>
    </row>
    <row r="16052" spans="1:17" x14ac:dyDescent="0.2">
      <c r="A16052" s="246">
        <v>2025</v>
      </c>
      <c r="B16052" s="238">
        <v>12</v>
      </c>
      <c r="C16052" s="238">
        <v>2</v>
      </c>
      <c r="D16052" s="270">
        <f t="shared" si="2610"/>
        <v>45993</v>
      </c>
      <c r="E16052" s="279">
        <f t="shared" si="2611"/>
        <v>45993</v>
      </c>
      <c r="F16052" s="482" t="s">
        <v>137</v>
      </c>
      <c r="G16052" s="247" t="s">
        <v>94</v>
      </c>
      <c r="H16052" s="247"/>
      <c r="I16052" s="248" t="s">
        <v>348</v>
      </c>
      <c r="J16052" s="249" t="s">
        <v>97</v>
      </c>
      <c r="K16052" s="250">
        <f>M16052</f>
        <v>13038.276551262486</v>
      </c>
      <c r="L16052" s="252"/>
      <c r="M16052" s="170">
        <v>13038.276551262486</v>
      </c>
    </row>
    <row r="16053" spans="1:17" x14ac:dyDescent="0.2">
      <c r="A16053" s="242">
        <v>2025</v>
      </c>
      <c r="B16053" s="242">
        <v>12</v>
      </c>
      <c r="C16053" s="242">
        <v>2</v>
      </c>
      <c r="D16053" s="270">
        <f t="shared" si="2610"/>
        <v>45993</v>
      </c>
      <c r="E16053" s="279">
        <f t="shared" si="2611"/>
        <v>45993</v>
      </c>
      <c r="F16053" s="478"/>
      <c r="G16053" s="243" t="s">
        <v>94</v>
      </c>
      <c r="H16053" s="243"/>
      <c r="I16053" s="263" t="s">
        <v>348</v>
      </c>
      <c r="J16053" s="244" t="s">
        <v>47</v>
      </c>
      <c r="K16053" s="245"/>
      <c r="L16053" s="245">
        <f>K16052</f>
        <v>13038.276551262486</v>
      </c>
      <c r="M16053" s="170">
        <v>617.57316822246491</v>
      </c>
    </row>
    <row r="16054" spans="1:17" x14ac:dyDescent="0.2">
      <c r="A16054" s="246">
        <v>2025</v>
      </c>
      <c r="B16054" s="238">
        <v>12</v>
      </c>
      <c r="C16054" s="238">
        <v>2</v>
      </c>
      <c r="D16054" s="270">
        <f t="shared" si="2610"/>
        <v>45993</v>
      </c>
      <c r="E16054" s="279">
        <f t="shared" si="2611"/>
        <v>45993</v>
      </c>
      <c r="F16054" s="482" t="s">
        <v>138</v>
      </c>
      <c r="G16054" s="247" t="s">
        <v>94</v>
      </c>
      <c r="H16054" s="247"/>
      <c r="I16054" s="248" t="s">
        <v>348</v>
      </c>
      <c r="J16054" s="249" t="s">
        <v>100</v>
      </c>
      <c r="K16054" s="250">
        <f>M16053</f>
        <v>617.57316822246491</v>
      </c>
      <c r="L16054" s="252"/>
    </row>
    <row r="16055" spans="1:17" x14ac:dyDescent="0.2">
      <c r="A16055" s="242">
        <v>2025</v>
      </c>
      <c r="B16055" s="242">
        <v>12</v>
      </c>
      <c r="C16055" s="242">
        <v>2</v>
      </c>
      <c r="D16055" s="321">
        <f t="shared" si="2610"/>
        <v>45993</v>
      </c>
      <c r="E16055" s="322">
        <f t="shared" si="2611"/>
        <v>45993</v>
      </c>
      <c r="F16055" s="478"/>
      <c r="G16055" s="243" t="s">
        <v>94</v>
      </c>
      <c r="H16055" s="243"/>
      <c r="I16055" s="263" t="s">
        <v>348</v>
      </c>
      <c r="J16055" s="244" t="s">
        <v>48</v>
      </c>
      <c r="K16055" s="245"/>
      <c r="L16055" s="245">
        <f>K16054</f>
        <v>617.57316822246491</v>
      </c>
    </row>
    <row r="16056" spans="1:17" x14ac:dyDescent="0.2">
      <c r="A16056" s="133">
        <v>2025</v>
      </c>
      <c r="B16056" s="133">
        <v>12</v>
      </c>
      <c r="C16056" s="133">
        <v>3</v>
      </c>
      <c r="D16056" s="141">
        <f t="shared" si="2610"/>
        <v>45994</v>
      </c>
      <c r="E16056" s="275">
        <f t="shared" si="2611"/>
        <v>45994</v>
      </c>
      <c r="F16056" s="481" t="s">
        <v>1696</v>
      </c>
      <c r="G16056" s="174" t="s">
        <v>74</v>
      </c>
      <c r="H16056" s="174"/>
      <c r="I16056" s="148" t="s">
        <v>348</v>
      </c>
      <c r="J16056" s="149" t="s">
        <v>52</v>
      </c>
      <c r="K16056" s="218">
        <v>3710978.28</v>
      </c>
      <c r="L16056" s="218"/>
      <c r="M16056" s="147"/>
      <c r="Q16056" s="133" t="s">
        <v>348</v>
      </c>
    </row>
    <row r="16057" spans="1:17" x14ac:dyDescent="0.2">
      <c r="A16057" s="133">
        <v>2025</v>
      </c>
      <c r="B16057" s="133">
        <v>12</v>
      </c>
      <c r="C16057" s="133">
        <v>3</v>
      </c>
      <c r="D16057" s="141">
        <f t="shared" si="2610"/>
        <v>45994</v>
      </c>
      <c r="E16057" s="275">
        <f t="shared" si="2611"/>
        <v>45994</v>
      </c>
      <c r="F16057" s="481"/>
      <c r="G16057" s="174" t="s">
        <v>74</v>
      </c>
      <c r="H16057" s="174"/>
      <c r="J16057" s="149" t="s">
        <v>191</v>
      </c>
      <c r="K16057" s="218"/>
      <c r="L16057" s="218">
        <v>710981.82</v>
      </c>
      <c r="M16057" s="147"/>
    </row>
    <row r="16058" spans="1:17" x14ac:dyDescent="0.2">
      <c r="A16058" s="163">
        <v>2025</v>
      </c>
      <c r="B16058" s="163">
        <v>12</v>
      </c>
      <c r="C16058" s="163">
        <v>3</v>
      </c>
      <c r="D16058" s="280">
        <f t="shared" si="2610"/>
        <v>45994</v>
      </c>
      <c r="E16058" s="281">
        <f t="shared" si="2611"/>
        <v>45994</v>
      </c>
      <c r="F16058" s="480"/>
      <c r="G16058" s="221" t="s">
        <v>74</v>
      </c>
      <c r="H16058" s="221"/>
      <c r="I16058" s="145" t="s">
        <v>348</v>
      </c>
      <c r="J16058" s="146" t="s">
        <v>79</v>
      </c>
      <c r="K16058" s="219"/>
      <c r="L16058" s="219">
        <v>2999996.46</v>
      </c>
      <c r="M16058" s="147"/>
      <c r="Q16058" s="133" t="s">
        <v>348</v>
      </c>
    </row>
    <row r="16059" spans="1:17" x14ac:dyDescent="0.2">
      <c r="A16059" s="168">
        <v>2025</v>
      </c>
      <c r="B16059" s="168">
        <v>12</v>
      </c>
      <c r="C16059" s="133">
        <v>3</v>
      </c>
      <c r="D16059" s="141">
        <f t="shared" si="2610"/>
        <v>45994</v>
      </c>
      <c r="E16059" s="275">
        <f t="shared" si="2611"/>
        <v>45994</v>
      </c>
      <c r="F16059" s="479" t="s">
        <v>2108</v>
      </c>
      <c r="G16059" s="220" t="s">
        <v>94</v>
      </c>
      <c r="H16059" s="220"/>
      <c r="I16059" s="142"/>
      <c r="J16059" s="143" t="s">
        <v>79</v>
      </c>
      <c r="K16059" s="226">
        <v>200050</v>
      </c>
      <c r="L16059" s="226"/>
      <c r="M16059" s="160"/>
    </row>
    <row r="16060" spans="1:17" x14ac:dyDescent="0.2">
      <c r="A16060" s="133">
        <v>2025</v>
      </c>
      <c r="B16060" s="133">
        <v>12</v>
      </c>
      <c r="C16060" s="133">
        <v>3</v>
      </c>
      <c r="D16060" s="141">
        <f t="shared" si="2610"/>
        <v>45994</v>
      </c>
      <c r="E16060" s="275">
        <f t="shared" si="2611"/>
        <v>45994</v>
      </c>
      <c r="F16060" s="481"/>
      <c r="G16060" s="174" t="s">
        <v>94</v>
      </c>
      <c r="H16060" s="174"/>
      <c r="J16060" s="149" t="s">
        <v>80</v>
      </c>
      <c r="K16060" s="218">
        <v>360.09</v>
      </c>
      <c r="L16060" s="264"/>
      <c r="M16060" s="264"/>
      <c r="N16060" s="264"/>
    </row>
    <row r="16061" spans="1:17" x14ac:dyDescent="0.2">
      <c r="A16061" s="163">
        <v>2025</v>
      </c>
      <c r="B16061" s="163">
        <v>12</v>
      </c>
      <c r="C16061" s="163">
        <v>3</v>
      </c>
      <c r="D16061" s="280">
        <f t="shared" si="2610"/>
        <v>45994</v>
      </c>
      <c r="E16061" s="281">
        <f t="shared" si="2611"/>
        <v>45994</v>
      </c>
      <c r="F16061" s="480"/>
      <c r="G16061" s="221" t="s">
        <v>94</v>
      </c>
      <c r="H16061" s="221"/>
      <c r="I16061" s="145"/>
      <c r="J16061" s="146" t="s">
        <v>147</v>
      </c>
      <c r="K16061" s="219"/>
      <c r="L16061" s="219">
        <v>200410.09</v>
      </c>
      <c r="M16061" s="264"/>
    </row>
    <row r="16062" spans="1:17" ht="11.25" customHeight="1" x14ac:dyDescent="0.2">
      <c r="A16062" s="168">
        <v>2025</v>
      </c>
      <c r="B16062" s="133">
        <v>12</v>
      </c>
      <c r="C16062" s="168">
        <v>3</v>
      </c>
      <c r="D16062" s="141">
        <f t="shared" si="2610"/>
        <v>45994</v>
      </c>
      <c r="E16062" s="275">
        <f t="shared" si="2611"/>
        <v>45994</v>
      </c>
      <c r="F16062" s="479" t="s">
        <v>2037</v>
      </c>
      <c r="G16062" s="220" t="s">
        <v>74</v>
      </c>
      <c r="H16062" s="220"/>
      <c r="I16062" s="142"/>
      <c r="J16062" s="143" t="s">
        <v>52</v>
      </c>
      <c r="K16062" s="226">
        <v>2316300.71</v>
      </c>
      <c r="L16062" s="226"/>
    </row>
    <row r="16063" spans="1:17" x14ac:dyDescent="0.2">
      <c r="A16063" s="163">
        <v>2025</v>
      </c>
      <c r="B16063" s="163">
        <v>12</v>
      </c>
      <c r="C16063" s="163">
        <v>3</v>
      </c>
      <c r="D16063" s="280">
        <f t="shared" si="2610"/>
        <v>45994</v>
      </c>
      <c r="E16063" s="281">
        <f t="shared" si="2611"/>
        <v>45994</v>
      </c>
      <c r="F16063" s="480"/>
      <c r="G16063" s="221" t="s">
        <v>74</v>
      </c>
      <c r="H16063" s="221"/>
      <c r="I16063" s="145"/>
      <c r="J16063" s="146" t="s">
        <v>190</v>
      </c>
      <c r="K16063" s="219"/>
      <c r="L16063" s="219">
        <f>K16062</f>
        <v>2316300.71</v>
      </c>
      <c r="N16063" s="264"/>
    </row>
    <row r="16064" spans="1:17" x14ac:dyDescent="0.2">
      <c r="A16064" s="325">
        <v>2025</v>
      </c>
      <c r="B16064" s="325">
        <v>12</v>
      </c>
      <c r="C16064" s="325">
        <v>3</v>
      </c>
      <c r="D16064" s="326">
        <f t="shared" ref="D16064:D16084" si="2612">DATE(A16064,B16064,C16064)</f>
        <v>45994</v>
      </c>
      <c r="E16064" s="327">
        <f t="shared" ref="E16064:E16084" si="2613">DATE(A16064,B16064,C16064)</f>
        <v>45994</v>
      </c>
      <c r="F16064" s="473" t="s">
        <v>1940</v>
      </c>
      <c r="G16064" s="340" t="s">
        <v>94</v>
      </c>
      <c r="H16064" s="340"/>
      <c r="I16064" s="341" t="s">
        <v>348</v>
      </c>
      <c r="J16064" s="374" t="s">
        <v>133</v>
      </c>
      <c r="K16064" s="375">
        <v>1843.6514285714286</v>
      </c>
      <c r="L16064" s="375"/>
      <c r="M16064" s="176"/>
    </row>
    <row r="16065" spans="1:13" x14ac:dyDescent="0.2">
      <c r="A16065" s="331">
        <v>2025</v>
      </c>
      <c r="B16065" s="331">
        <v>12</v>
      </c>
      <c r="C16065" s="331">
        <v>3</v>
      </c>
      <c r="D16065" s="326">
        <f t="shared" si="2612"/>
        <v>45994</v>
      </c>
      <c r="E16065" s="327">
        <f t="shared" si="2613"/>
        <v>45994</v>
      </c>
      <c r="F16065" s="474"/>
      <c r="G16065" s="332" t="s">
        <v>94</v>
      </c>
      <c r="H16065" s="332"/>
      <c r="I16065" s="333" t="s">
        <v>348</v>
      </c>
      <c r="J16065" s="376" t="s">
        <v>60</v>
      </c>
      <c r="K16065" s="334"/>
      <c r="L16065" s="334">
        <f>K16064</f>
        <v>1843.6514285714286</v>
      </c>
    </row>
    <row r="16066" spans="1:13" x14ac:dyDescent="0.2">
      <c r="A16066" s="325">
        <v>2025</v>
      </c>
      <c r="B16066" s="325">
        <v>12</v>
      </c>
      <c r="C16066" s="325">
        <v>3</v>
      </c>
      <c r="D16066" s="326">
        <f t="shared" si="2612"/>
        <v>45994</v>
      </c>
      <c r="E16066" s="327">
        <f t="shared" si="2613"/>
        <v>45994</v>
      </c>
      <c r="F16066" s="473" t="s">
        <v>2131</v>
      </c>
      <c r="G16066" s="340" t="s">
        <v>94</v>
      </c>
      <c r="H16066" s="340"/>
      <c r="I16066" s="341" t="s">
        <v>348</v>
      </c>
      <c r="J16066" s="374" t="s">
        <v>2156</v>
      </c>
      <c r="K16066" s="375">
        <v>6185.4395604395604</v>
      </c>
      <c r="L16066" s="375"/>
      <c r="M16066" s="176"/>
    </row>
    <row r="16067" spans="1:13" x14ac:dyDescent="0.2">
      <c r="A16067" s="331">
        <v>2025</v>
      </c>
      <c r="B16067" s="331">
        <v>12</v>
      </c>
      <c r="C16067" s="331">
        <v>3</v>
      </c>
      <c r="D16067" s="326">
        <f t="shared" si="2612"/>
        <v>45994</v>
      </c>
      <c r="E16067" s="327">
        <f t="shared" si="2613"/>
        <v>45994</v>
      </c>
      <c r="F16067" s="474"/>
      <c r="G16067" s="332" t="s">
        <v>94</v>
      </c>
      <c r="H16067" s="332"/>
      <c r="I16067" s="333" t="s">
        <v>348</v>
      </c>
      <c r="J16067" s="376" t="s">
        <v>2154</v>
      </c>
      <c r="K16067" s="334"/>
      <c r="L16067" s="334">
        <f>K16066</f>
        <v>6185.4395604395604</v>
      </c>
    </row>
    <row r="16068" spans="1:13" x14ac:dyDescent="0.2">
      <c r="A16068" s="384">
        <v>2025</v>
      </c>
      <c r="B16068" s="384">
        <v>12</v>
      </c>
      <c r="C16068" s="384">
        <v>3</v>
      </c>
      <c r="D16068" s="385">
        <f t="shared" si="2612"/>
        <v>45994</v>
      </c>
      <c r="E16068" s="386">
        <f t="shared" si="2613"/>
        <v>45994</v>
      </c>
      <c r="F16068" s="475" t="s">
        <v>1966</v>
      </c>
      <c r="G16068" s="387" t="s">
        <v>94</v>
      </c>
      <c r="H16068" s="387"/>
      <c r="I16068" s="388" t="s">
        <v>348</v>
      </c>
      <c r="J16068" s="389" t="s">
        <v>67</v>
      </c>
      <c r="K16068" s="390">
        <v>1452.616562222222</v>
      </c>
      <c r="L16068" s="390"/>
    </row>
    <row r="16069" spans="1:13" x14ac:dyDescent="0.2">
      <c r="A16069" s="391">
        <v>2025</v>
      </c>
      <c r="B16069" s="391">
        <v>12</v>
      </c>
      <c r="C16069" s="391">
        <v>3</v>
      </c>
      <c r="D16069" s="385">
        <f t="shared" si="2612"/>
        <v>45994</v>
      </c>
      <c r="E16069" s="386">
        <f t="shared" si="2613"/>
        <v>45994</v>
      </c>
      <c r="F16069" s="476"/>
      <c r="G16069" s="392" t="s">
        <v>94</v>
      </c>
      <c r="H16069" s="392"/>
      <c r="I16069" s="393" t="s">
        <v>348</v>
      </c>
      <c r="J16069" s="394" t="s">
        <v>60</v>
      </c>
      <c r="K16069" s="395"/>
      <c r="L16069" s="395">
        <f>K16068</f>
        <v>1452.616562222222</v>
      </c>
    </row>
    <row r="16070" spans="1:13" x14ac:dyDescent="0.2">
      <c r="A16070" s="343">
        <v>2025</v>
      </c>
      <c r="B16070" s="343">
        <v>12</v>
      </c>
      <c r="C16070" s="343">
        <v>3</v>
      </c>
      <c r="D16070" s="344">
        <f t="shared" si="2612"/>
        <v>45994</v>
      </c>
      <c r="E16070" s="345">
        <f t="shared" si="2613"/>
        <v>45994</v>
      </c>
      <c r="F16070" s="483" t="s">
        <v>1813</v>
      </c>
      <c r="G16070" s="350" t="s">
        <v>94</v>
      </c>
      <c r="H16070" s="350"/>
      <c r="I16070" s="352" t="s">
        <v>348</v>
      </c>
      <c r="J16070" s="353" t="s">
        <v>1807</v>
      </c>
      <c r="K16070" s="354">
        <v>0</v>
      </c>
      <c r="L16070" s="354"/>
      <c r="M16070" s="133">
        <v>0</v>
      </c>
    </row>
    <row r="16071" spans="1:13" x14ac:dyDescent="0.2">
      <c r="A16071" s="346">
        <v>2025</v>
      </c>
      <c r="B16071" s="346">
        <v>12</v>
      </c>
      <c r="C16071" s="346">
        <v>3</v>
      </c>
      <c r="D16071" s="344">
        <f t="shared" si="2612"/>
        <v>45994</v>
      </c>
      <c r="E16071" s="345">
        <f t="shared" si="2613"/>
        <v>45994</v>
      </c>
      <c r="F16071" s="484"/>
      <c r="G16071" s="347" t="s">
        <v>94</v>
      </c>
      <c r="H16071" s="347"/>
      <c r="I16071" s="348" t="s">
        <v>348</v>
      </c>
      <c r="J16071" s="355" t="s">
        <v>1798</v>
      </c>
      <c r="K16071" s="349"/>
      <c r="L16071" s="349">
        <v>0</v>
      </c>
    </row>
    <row r="16072" spans="1:13" x14ac:dyDescent="0.2">
      <c r="A16072" s="343">
        <v>2025</v>
      </c>
      <c r="B16072" s="343">
        <v>12</v>
      </c>
      <c r="C16072" s="343">
        <v>3</v>
      </c>
      <c r="D16072" s="344">
        <f t="shared" si="2612"/>
        <v>45994</v>
      </c>
      <c r="E16072" s="345">
        <f t="shared" si="2613"/>
        <v>45994</v>
      </c>
      <c r="F16072" s="483" t="s">
        <v>1913</v>
      </c>
      <c r="G16072" s="350" t="s">
        <v>94</v>
      </c>
      <c r="H16072" s="350"/>
      <c r="I16072" s="352" t="s">
        <v>348</v>
      </c>
      <c r="J16072" s="353" t="s">
        <v>1808</v>
      </c>
      <c r="K16072" s="354"/>
      <c r="L16072" s="354"/>
      <c r="M16072" s="160">
        <v>0</v>
      </c>
    </row>
    <row r="16073" spans="1:13" x14ac:dyDescent="0.2">
      <c r="A16073" s="346">
        <v>2025</v>
      </c>
      <c r="B16073" s="346">
        <v>12</v>
      </c>
      <c r="C16073" s="346">
        <v>3</v>
      </c>
      <c r="D16073" s="344">
        <f t="shared" si="2612"/>
        <v>45994</v>
      </c>
      <c r="E16073" s="345">
        <f t="shared" si="2613"/>
        <v>45994</v>
      </c>
      <c r="F16073" s="484"/>
      <c r="G16073" s="347" t="s">
        <v>94</v>
      </c>
      <c r="H16073" s="347"/>
      <c r="I16073" s="348" t="s">
        <v>348</v>
      </c>
      <c r="J16073" s="355" t="s">
        <v>1799</v>
      </c>
      <c r="K16073" s="349"/>
      <c r="L16073" s="349">
        <f>K16072</f>
        <v>0</v>
      </c>
    </row>
    <row r="16074" spans="1:13" x14ac:dyDescent="0.2">
      <c r="A16074" s="238">
        <v>2025</v>
      </c>
      <c r="B16074" s="238">
        <v>12</v>
      </c>
      <c r="C16074" s="238">
        <v>3</v>
      </c>
      <c r="D16074" s="270">
        <f t="shared" si="2612"/>
        <v>45994</v>
      </c>
      <c r="E16074" s="279">
        <f t="shared" si="2613"/>
        <v>45994</v>
      </c>
      <c r="F16074" s="477" t="s">
        <v>347</v>
      </c>
      <c r="G16074" s="239" t="s">
        <v>94</v>
      </c>
      <c r="H16074" s="239"/>
      <c r="I16074" s="262" t="s">
        <v>348</v>
      </c>
      <c r="J16074" s="240" t="s">
        <v>82</v>
      </c>
      <c r="K16074" s="241">
        <v>946513.81999996305</v>
      </c>
      <c r="L16074" s="241"/>
      <c r="M16074" s="160">
        <v>13139541.900000483</v>
      </c>
    </row>
    <row r="16075" spans="1:13" x14ac:dyDescent="0.2">
      <c r="A16075" s="242">
        <v>2025</v>
      </c>
      <c r="B16075" s="242">
        <v>12</v>
      </c>
      <c r="C16075" s="242">
        <v>3</v>
      </c>
      <c r="D16075" s="270">
        <f t="shared" si="2612"/>
        <v>45994</v>
      </c>
      <c r="E16075" s="279">
        <f t="shared" si="2613"/>
        <v>45994</v>
      </c>
      <c r="F16075" s="478"/>
      <c r="G16075" s="243" t="s">
        <v>94</v>
      </c>
      <c r="H16075" s="243"/>
      <c r="I16075" s="263" t="s">
        <v>348</v>
      </c>
      <c r="J16075" s="244" t="s">
        <v>108</v>
      </c>
      <c r="K16075" s="245"/>
      <c r="L16075" s="245">
        <f>K16074</f>
        <v>946513.81999996305</v>
      </c>
    </row>
    <row r="16076" spans="1:13" ht="12" customHeight="1" x14ac:dyDescent="0.2">
      <c r="A16076" s="246">
        <v>2025</v>
      </c>
      <c r="B16076" s="238">
        <v>12</v>
      </c>
      <c r="C16076" s="238">
        <v>3</v>
      </c>
      <c r="D16076" s="270">
        <f t="shared" si="2612"/>
        <v>45994</v>
      </c>
      <c r="E16076" s="279">
        <f t="shared" si="2613"/>
        <v>45994</v>
      </c>
      <c r="F16076" s="482" t="s">
        <v>148</v>
      </c>
      <c r="G16076" s="247" t="s">
        <v>94</v>
      </c>
      <c r="H16076" s="247"/>
      <c r="I16076" s="248" t="s">
        <v>348</v>
      </c>
      <c r="J16076" s="249" t="s">
        <v>95</v>
      </c>
      <c r="K16076" s="250">
        <v>392.46467817896388</v>
      </c>
      <c r="L16076" s="241"/>
      <c r="M16076" s="176"/>
    </row>
    <row r="16077" spans="1:13" x14ac:dyDescent="0.2">
      <c r="A16077" s="242">
        <v>2025</v>
      </c>
      <c r="B16077" s="242">
        <v>12</v>
      </c>
      <c r="C16077" s="242">
        <v>3</v>
      </c>
      <c r="D16077" s="270">
        <f t="shared" si="2612"/>
        <v>45994</v>
      </c>
      <c r="E16077" s="279">
        <f t="shared" si="2613"/>
        <v>45994</v>
      </c>
      <c r="F16077" s="478"/>
      <c r="G16077" s="243" t="s">
        <v>94</v>
      </c>
      <c r="H16077" s="243"/>
      <c r="I16077" s="263" t="s">
        <v>348</v>
      </c>
      <c r="J16077" s="244" t="s">
        <v>63</v>
      </c>
      <c r="K16077" s="245"/>
      <c r="L16077" s="245">
        <f>K16076</f>
        <v>392.46467817896388</v>
      </c>
    </row>
    <row r="16078" spans="1:13" x14ac:dyDescent="0.2">
      <c r="A16078" s="246">
        <v>2025</v>
      </c>
      <c r="B16078" s="238">
        <v>12</v>
      </c>
      <c r="C16078" s="238">
        <v>3</v>
      </c>
      <c r="D16078" s="270">
        <f t="shared" si="2612"/>
        <v>45994</v>
      </c>
      <c r="E16078" s="279">
        <f t="shared" si="2613"/>
        <v>45994</v>
      </c>
      <c r="F16078" s="482" t="s">
        <v>137</v>
      </c>
      <c r="G16078" s="247" t="s">
        <v>94</v>
      </c>
      <c r="H16078" s="247"/>
      <c r="I16078" s="248" t="s">
        <v>348</v>
      </c>
      <c r="J16078" s="249" t="s">
        <v>97</v>
      </c>
      <c r="K16078" s="250">
        <f>M16078</f>
        <v>13128.326721231389</v>
      </c>
      <c r="L16078" s="252"/>
      <c r="M16078" s="170">
        <v>13128.326721231389</v>
      </c>
    </row>
    <row r="16079" spans="1:13" x14ac:dyDescent="0.2">
      <c r="A16079" s="242">
        <v>2025</v>
      </c>
      <c r="B16079" s="242">
        <v>12</v>
      </c>
      <c r="C16079" s="242">
        <v>3</v>
      </c>
      <c r="D16079" s="270">
        <f t="shared" si="2612"/>
        <v>45994</v>
      </c>
      <c r="E16079" s="279">
        <f t="shared" si="2613"/>
        <v>45994</v>
      </c>
      <c r="F16079" s="478"/>
      <c r="G16079" s="243" t="s">
        <v>94</v>
      </c>
      <c r="H16079" s="243"/>
      <c r="I16079" s="263" t="s">
        <v>348</v>
      </c>
      <c r="J16079" s="244" t="s">
        <v>47</v>
      </c>
      <c r="K16079" s="245"/>
      <c r="L16079" s="245">
        <f>K16078</f>
        <v>13128.326721231389</v>
      </c>
      <c r="M16079" s="170">
        <v>622.07567672091011</v>
      </c>
    </row>
    <row r="16080" spans="1:13" x14ac:dyDescent="0.2">
      <c r="A16080" s="246">
        <v>2025</v>
      </c>
      <c r="B16080" s="238">
        <v>12</v>
      </c>
      <c r="C16080" s="238">
        <v>3</v>
      </c>
      <c r="D16080" s="270">
        <f t="shared" si="2612"/>
        <v>45994</v>
      </c>
      <c r="E16080" s="279">
        <f t="shared" si="2613"/>
        <v>45994</v>
      </c>
      <c r="F16080" s="482" t="s">
        <v>138</v>
      </c>
      <c r="G16080" s="247" t="s">
        <v>94</v>
      </c>
      <c r="H16080" s="247"/>
      <c r="I16080" s="248" t="s">
        <v>348</v>
      </c>
      <c r="J16080" s="249" t="s">
        <v>100</v>
      </c>
      <c r="K16080" s="250">
        <f>M16079</f>
        <v>622.07567672091011</v>
      </c>
      <c r="L16080" s="252"/>
    </row>
    <row r="16081" spans="1:14" x14ac:dyDescent="0.2">
      <c r="A16081" s="242">
        <v>2025</v>
      </c>
      <c r="B16081" s="242">
        <v>12</v>
      </c>
      <c r="C16081" s="242">
        <v>3</v>
      </c>
      <c r="D16081" s="321">
        <f t="shared" si="2612"/>
        <v>45994</v>
      </c>
      <c r="E16081" s="322">
        <f t="shared" si="2613"/>
        <v>45994</v>
      </c>
      <c r="F16081" s="478"/>
      <c r="G16081" s="243" t="s">
        <v>94</v>
      </c>
      <c r="H16081" s="243"/>
      <c r="I16081" s="263" t="s">
        <v>348</v>
      </c>
      <c r="J16081" s="244" t="s">
        <v>48</v>
      </c>
      <c r="K16081" s="245"/>
      <c r="L16081" s="245">
        <f>K16080</f>
        <v>622.07567672091011</v>
      </c>
    </row>
    <row r="16082" spans="1:14" ht="11.25" customHeight="1" x14ac:dyDescent="0.2">
      <c r="A16082" s="168">
        <v>2025</v>
      </c>
      <c r="B16082" s="168">
        <v>12</v>
      </c>
      <c r="C16082" s="133">
        <v>4</v>
      </c>
      <c r="D16082" s="141">
        <f t="shared" si="2612"/>
        <v>45995</v>
      </c>
      <c r="E16082" s="275">
        <f t="shared" si="2613"/>
        <v>45995</v>
      </c>
      <c r="F16082" s="479" t="s">
        <v>1315</v>
      </c>
      <c r="G16082" s="220" t="s">
        <v>74</v>
      </c>
      <c r="H16082" s="142"/>
      <c r="I16082" s="142"/>
      <c r="J16082" s="168" t="s">
        <v>13</v>
      </c>
      <c r="K16082" s="226">
        <v>4960000</v>
      </c>
      <c r="L16082" s="226"/>
    </row>
    <row r="16083" spans="1:14" ht="11.25" customHeight="1" x14ac:dyDescent="0.2">
      <c r="A16083" s="133">
        <v>2025</v>
      </c>
      <c r="B16083" s="133">
        <v>12</v>
      </c>
      <c r="C16083" s="133">
        <v>4</v>
      </c>
      <c r="D16083" s="141">
        <f t="shared" si="2612"/>
        <v>45995</v>
      </c>
      <c r="E16083" s="275">
        <f t="shared" si="2613"/>
        <v>45995</v>
      </c>
      <c r="F16083" s="481"/>
      <c r="G16083" s="174" t="s">
        <v>74</v>
      </c>
      <c r="J16083" s="133" t="s">
        <v>53</v>
      </c>
      <c r="K16083" s="218">
        <v>2059392</v>
      </c>
      <c r="L16083" s="218"/>
    </row>
    <row r="16084" spans="1:14" ht="11.25" customHeight="1" x14ac:dyDescent="0.2">
      <c r="A16084" s="163">
        <v>2025</v>
      </c>
      <c r="B16084" s="163">
        <v>12</v>
      </c>
      <c r="C16084" s="163">
        <v>4</v>
      </c>
      <c r="D16084" s="280">
        <f t="shared" si="2612"/>
        <v>45995</v>
      </c>
      <c r="E16084" s="281">
        <f t="shared" si="2613"/>
        <v>45995</v>
      </c>
      <c r="F16084" s="480"/>
      <c r="G16084" s="221" t="s">
        <v>74</v>
      </c>
      <c r="H16084" s="145"/>
      <c r="I16084" s="145"/>
      <c r="J16084" s="163" t="s">
        <v>52</v>
      </c>
      <c r="K16084" s="219"/>
      <c r="L16084" s="219">
        <v>7019392</v>
      </c>
    </row>
    <row r="16085" spans="1:14" x14ac:dyDescent="0.2">
      <c r="A16085" s="168">
        <v>2025</v>
      </c>
      <c r="B16085" s="133">
        <v>12</v>
      </c>
      <c r="C16085" s="168">
        <v>4</v>
      </c>
      <c r="D16085" s="147">
        <f>DATE(A16085,B16085,C16085)</f>
        <v>45995</v>
      </c>
      <c r="E16085" s="311">
        <f>DATE(A16085,B16085,C16085)</f>
        <v>45995</v>
      </c>
      <c r="F16085" s="481" t="s">
        <v>1943</v>
      </c>
      <c r="G16085" s="174" t="s">
        <v>74</v>
      </c>
      <c r="I16085" s="148" t="s">
        <v>348</v>
      </c>
      <c r="J16085" s="133" t="s">
        <v>61</v>
      </c>
      <c r="K16085" s="172">
        <v>100</v>
      </c>
    </row>
    <row r="16086" spans="1:14" x14ac:dyDescent="0.2">
      <c r="A16086" s="163">
        <v>2025</v>
      </c>
      <c r="B16086" s="163">
        <v>12</v>
      </c>
      <c r="C16086" s="163">
        <v>4</v>
      </c>
      <c r="D16086" s="280">
        <f>DATE(A16086,B16086,C16086)</f>
        <v>45995</v>
      </c>
      <c r="E16086" s="281">
        <f>DATE(A16086,B16086,C16086)</f>
        <v>45995</v>
      </c>
      <c r="F16086" s="480"/>
      <c r="G16086" s="221" t="s">
        <v>74</v>
      </c>
      <c r="H16086" s="145"/>
      <c r="I16086" s="145" t="s">
        <v>348</v>
      </c>
      <c r="J16086" s="163" t="s">
        <v>52</v>
      </c>
      <c r="K16086" s="219"/>
      <c r="L16086" s="219">
        <f>K16085</f>
        <v>100</v>
      </c>
    </row>
    <row r="16087" spans="1:14" ht="11.25" customHeight="1" x14ac:dyDescent="0.2">
      <c r="A16087" s="168">
        <v>2025</v>
      </c>
      <c r="B16087" s="133">
        <v>12</v>
      </c>
      <c r="C16087" s="168">
        <v>4</v>
      </c>
      <c r="D16087" s="141">
        <f t="shared" ref="D16087:D16088" si="2614">DATE(A16087,B16087,C16087)</f>
        <v>45995</v>
      </c>
      <c r="E16087" s="275">
        <f t="shared" ref="E16087:E16088" si="2615">DATE(A16087,B16087,C16087)</f>
        <v>45995</v>
      </c>
      <c r="F16087" s="479" t="s">
        <v>2116</v>
      </c>
      <c r="G16087" s="220" t="s">
        <v>74</v>
      </c>
      <c r="H16087" s="220"/>
      <c r="I16087" s="142"/>
      <c r="J16087" s="143" t="s">
        <v>147</v>
      </c>
      <c r="K16087" s="226">
        <v>320290.99</v>
      </c>
      <c r="L16087" s="226"/>
    </row>
    <row r="16088" spans="1:14" x14ac:dyDescent="0.2">
      <c r="A16088" s="163">
        <v>2025</v>
      </c>
      <c r="B16088" s="163">
        <v>12</v>
      </c>
      <c r="C16088" s="163">
        <v>4</v>
      </c>
      <c r="D16088" s="280">
        <f t="shared" si="2614"/>
        <v>45995</v>
      </c>
      <c r="E16088" s="281">
        <f t="shared" si="2615"/>
        <v>45995</v>
      </c>
      <c r="F16088" s="480"/>
      <c r="G16088" s="221" t="s">
        <v>74</v>
      </c>
      <c r="H16088" s="221"/>
      <c r="I16088" s="145"/>
      <c r="J16088" s="146" t="s">
        <v>52</v>
      </c>
      <c r="K16088" s="219"/>
      <c r="L16088" s="219">
        <f>K16087</f>
        <v>320290.99</v>
      </c>
      <c r="N16088" s="264"/>
    </row>
    <row r="16089" spans="1:14" x14ac:dyDescent="0.2">
      <c r="A16089" s="133">
        <v>2025</v>
      </c>
      <c r="B16089" s="133">
        <v>12</v>
      </c>
      <c r="C16089" s="168">
        <v>4</v>
      </c>
      <c r="D16089" s="141">
        <f t="shared" ref="D16089:D16116" si="2616">DATE(A16089,B16089,C16089)</f>
        <v>45995</v>
      </c>
      <c r="E16089" s="275">
        <f t="shared" ref="E16089:E16116" si="2617">DATE(A16089,B16089,C16089)</f>
        <v>45995</v>
      </c>
      <c r="F16089" s="479" t="s">
        <v>2115</v>
      </c>
      <c r="G16089" s="174" t="s">
        <v>94</v>
      </c>
      <c r="H16089" s="174"/>
      <c r="J16089" s="149" t="s">
        <v>79</v>
      </c>
      <c r="K16089" s="218">
        <v>210850</v>
      </c>
      <c r="L16089" s="218"/>
      <c r="M16089" s="160"/>
    </row>
    <row r="16090" spans="1:14" x14ac:dyDescent="0.2">
      <c r="A16090" s="133">
        <v>2025</v>
      </c>
      <c r="B16090" s="133">
        <v>12</v>
      </c>
      <c r="C16090" s="133">
        <v>4</v>
      </c>
      <c r="D16090" s="141">
        <f t="shared" si="2616"/>
        <v>45995</v>
      </c>
      <c r="E16090" s="275">
        <f t="shared" si="2617"/>
        <v>45995</v>
      </c>
      <c r="F16090" s="481"/>
      <c r="G16090" s="174" t="s">
        <v>94</v>
      </c>
      <c r="H16090" s="174"/>
      <c r="J16090" s="149" t="s">
        <v>80</v>
      </c>
      <c r="K16090" s="218">
        <v>379.93</v>
      </c>
      <c r="L16090" s="264"/>
      <c r="M16090" s="264"/>
      <c r="N16090" s="264"/>
    </row>
    <row r="16091" spans="1:14" x14ac:dyDescent="0.2">
      <c r="A16091" s="133">
        <v>2025</v>
      </c>
      <c r="B16091" s="133">
        <v>12</v>
      </c>
      <c r="C16091" s="133">
        <v>4</v>
      </c>
      <c r="D16091" s="141">
        <f t="shared" si="2616"/>
        <v>45995</v>
      </c>
      <c r="E16091" s="275">
        <f t="shared" si="2617"/>
        <v>45995</v>
      </c>
      <c r="F16091" s="481"/>
      <c r="G16091" s="174" t="s">
        <v>94</v>
      </c>
      <c r="H16091" s="174"/>
      <c r="J16091" s="149" t="s">
        <v>147</v>
      </c>
      <c r="K16091" s="218"/>
      <c r="L16091" s="218">
        <v>211007.93</v>
      </c>
      <c r="M16091" s="264"/>
    </row>
    <row r="16092" spans="1:14" x14ac:dyDescent="0.2">
      <c r="A16092" s="133">
        <v>2025</v>
      </c>
      <c r="B16092" s="133">
        <v>12</v>
      </c>
      <c r="C16092" s="133">
        <v>4</v>
      </c>
      <c r="D16092" s="141">
        <f t="shared" si="2616"/>
        <v>45995</v>
      </c>
      <c r="E16092" s="275">
        <f t="shared" si="2617"/>
        <v>45995</v>
      </c>
      <c r="F16092" s="481"/>
      <c r="G16092" s="174" t="s">
        <v>94</v>
      </c>
      <c r="H16092" s="174"/>
      <c r="J16092" s="149" t="s">
        <v>191</v>
      </c>
      <c r="K16092" s="218">
        <v>5.16</v>
      </c>
      <c r="L16092" s="218"/>
    </row>
    <row r="16093" spans="1:14" x14ac:dyDescent="0.2">
      <c r="A16093" s="163">
        <v>2025</v>
      </c>
      <c r="B16093" s="163">
        <v>12</v>
      </c>
      <c r="C16093" s="163">
        <v>4</v>
      </c>
      <c r="D16093" s="280">
        <f t="shared" si="2616"/>
        <v>45995</v>
      </c>
      <c r="E16093" s="281">
        <f t="shared" si="2617"/>
        <v>45995</v>
      </c>
      <c r="F16093" s="480"/>
      <c r="G16093" s="221" t="s">
        <v>94</v>
      </c>
      <c r="H16093" s="145"/>
      <c r="I16093" s="145"/>
      <c r="J16093" s="163" t="s">
        <v>79</v>
      </c>
      <c r="K16093" s="219"/>
      <c r="L16093" s="219">
        <v>227.16</v>
      </c>
      <c r="M16093" s="264"/>
    </row>
    <row r="16094" spans="1:14" x14ac:dyDescent="0.2">
      <c r="A16094" s="133">
        <v>2025</v>
      </c>
      <c r="B16094" s="133">
        <v>12</v>
      </c>
      <c r="C16094" s="168">
        <v>4</v>
      </c>
      <c r="D16094" s="141">
        <f t="shared" si="2616"/>
        <v>45995</v>
      </c>
      <c r="E16094" s="275">
        <f t="shared" si="2617"/>
        <v>45995</v>
      </c>
      <c r="F16094" s="481" t="s">
        <v>2073</v>
      </c>
      <c r="G16094" s="174" t="s">
        <v>94</v>
      </c>
      <c r="H16094" s="174"/>
      <c r="J16094" s="149" t="s">
        <v>79</v>
      </c>
      <c r="K16094" s="218">
        <v>251300</v>
      </c>
      <c r="L16094" s="218"/>
      <c r="M16094" s="160"/>
    </row>
    <row r="16095" spans="1:14" x14ac:dyDescent="0.2">
      <c r="A16095" s="133">
        <v>2025</v>
      </c>
      <c r="B16095" s="133">
        <v>12</v>
      </c>
      <c r="C16095" s="133">
        <v>4</v>
      </c>
      <c r="D16095" s="141">
        <f t="shared" si="2616"/>
        <v>45995</v>
      </c>
      <c r="E16095" s="275">
        <f t="shared" si="2617"/>
        <v>45995</v>
      </c>
      <c r="F16095" s="481"/>
      <c r="G16095" s="174" t="s">
        <v>94</v>
      </c>
      <c r="H16095" s="174"/>
      <c r="J16095" s="149" t="s">
        <v>80</v>
      </c>
      <c r="K16095" s="218">
        <v>709.74</v>
      </c>
      <c r="L16095" s="264"/>
      <c r="M16095" s="264"/>
      <c r="N16095" s="264"/>
    </row>
    <row r="16096" spans="1:14" x14ac:dyDescent="0.2">
      <c r="A16096" s="133">
        <v>2025</v>
      </c>
      <c r="B16096" s="133">
        <v>12</v>
      </c>
      <c r="C16096" s="133">
        <v>4</v>
      </c>
      <c r="D16096" s="141">
        <f t="shared" si="2616"/>
        <v>45995</v>
      </c>
      <c r="E16096" s="275">
        <f t="shared" si="2617"/>
        <v>45995</v>
      </c>
      <c r="F16096" s="481"/>
      <c r="G16096" s="174" t="s">
        <v>94</v>
      </c>
      <c r="H16096" s="174"/>
      <c r="J16096" s="149" t="s">
        <v>147</v>
      </c>
      <c r="K16096" s="218"/>
      <c r="L16096" s="218">
        <v>109009.74</v>
      </c>
      <c r="M16096" s="264"/>
    </row>
    <row r="16097" spans="1:13" x14ac:dyDescent="0.2">
      <c r="A16097" s="133">
        <v>2025</v>
      </c>
      <c r="B16097" s="133">
        <v>12</v>
      </c>
      <c r="C16097" s="133">
        <v>4</v>
      </c>
      <c r="D16097" s="141">
        <f t="shared" si="2616"/>
        <v>45995</v>
      </c>
      <c r="E16097" s="275">
        <f t="shared" si="2617"/>
        <v>45995</v>
      </c>
      <c r="F16097" s="481"/>
      <c r="G16097" s="174" t="s">
        <v>94</v>
      </c>
      <c r="H16097" s="174"/>
      <c r="J16097" s="149" t="s">
        <v>191</v>
      </c>
      <c r="K16097" s="218"/>
      <c r="L16097" s="218">
        <v>7570.01</v>
      </c>
    </row>
    <row r="16098" spans="1:13" x14ac:dyDescent="0.2">
      <c r="A16098" s="163">
        <v>2025</v>
      </c>
      <c r="B16098" s="163">
        <v>12</v>
      </c>
      <c r="C16098" s="163">
        <v>4</v>
      </c>
      <c r="D16098" s="280">
        <f t="shared" si="2616"/>
        <v>45995</v>
      </c>
      <c r="E16098" s="281">
        <f t="shared" si="2617"/>
        <v>45995</v>
      </c>
      <c r="F16098" s="480"/>
      <c r="G16098" s="221" t="s">
        <v>94</v>
      </c>
      <c r="H16098" s="145"/>
      <c r="I16098" s="145"/>
      <c r="J16098" s="163" t="s">
        <v>79</v>
      </c>
      <c r="K16098" s="219"/>
      <c r="L16098" s="219">
        <v>135429.99</v>
      </c>
      <c r="M16098" s="264"/>
    </row>
    <row r="16099" spans="1:13" x14ac:dyDescent="0.2">
      <c r="A16099" s="325">
        <v>2025</v>
      </c>
      <c r="B16099" s="325">
        <v>12</v>
      </c>
      <c r="C16099" s="325">
        <v>4</v>
      </c>
      <c r="D16099" s="326">
        <f t="shared" si="2616"/>
        <v>45995</v>
      </c>
      <c r="E16099" s="327">
        <f t="shared" si="2617"/>
        <v>45995</v>
      </c>
      <c r="F16099" s="473" t="s">
        <v>1940</v>
      </c>
      <c r="G16099" s="340" t="s">
        <v>94</v>
      </c>
      <c r="H16099" s="340"/>
      <c r="I16099" s="341" t="s">
        <v>348</v>
      </c>
      <c r="J16099" s="374" t="s">
        <v>133</v>
      </c>
      <c r="K16099" s="375">
        <v>1843.6514285714286</v>
      </c>
      <c r="L16099" s="375"/>
      <c r="M16099" s="176"/>
    </row>
    <row r="16100" spans="1:13" x14ac:dyDescent="0.2">
      <c r="A16100" s="331">
        <v>2025</v>
      </c>
      <c r="B16100" s="331">
        <v>12</v>
      </c>
      <c r="C16100" s="331">
        <v>4</v>
      </c>
      <c r="D16100" s="326">
        <f t="shared" si="2616"/>
        <v>45995</v>
      </c>
      <c r="E16100" s="327">
        <f t="shared" si="2617"/>
        <v>45995</v>
      </c>
      <c r="F16100" s="474"/>
      <c r="G16100" s="332" t="s">
        <v>94</v>
      </c>
      <c r="H16100" s="332"/>
      <c r="I16100" s="333" t="s">
        <v>348</v>
      </c>
      <c r="J16100" s="376" t="s">
        <v>60</v>
      </c>
      <c r="K16100" s="334"/>
      <c r="L16100" s="334">
        <f>K16099</f>
        <v>1843.6514285714286</v>
      </c>
    </row>
    <row r="16101" spans="1:13" x14ac:dyDescent="0.2">
      <c r="A16101" s="325">
        <v>2025</v>
      </c>
      <c r="B16101" s="325">
        <v>12</v>
      </c>
      <c r="C16101" s="325">
        <v>4</v>
      </c>
      <c r="D16101" s="326">
        <f t="shared" si="2616"/>
        <v>45995</v>
      </c>
      <c r="E16101" s="327">
        <f t="shared" si="2617"/>
        <v>45995</v>
      </c>
      <c r="F16101" s="473" t="s">
        <v>2131</v>
      </c>
      <c r="G16101" s="340" t="s">
        <v>94</v>
      </c>
      <c r="H16101" s="340"/>
      <c r="I16101" s="341" t="s">
        <v>348</v>
      </c>
      <c r="J16101" s="374" t="s">
        <v>2156</v>
      </c>
      <c r="K16101" s="375">
        <v>6185.4395604395604</v>
      </c>
      <c r="L16101" s="375"/>
      <c r="M16101" s="176"/>
    </row>
    <row r="16102" spans="1:13" x14ac:dyDescent="0.2">
      <c r="A16102" s="331">
        <v>2025</v>
      </c>
      <c r="B16102" s="331">
        <v>12</v>
      </c>
      <c r="C16102" s="331">
        <v>4</v>
      </c>
      <c r="D16102" s="326">
        <f t="shared" si="2616"/>
        <v>45995</v>
      </c>
      <c r="E16102" s="327">
        <f t="shared" si="2617"/>
        <v>45995</v>
      </c>
      <c r="F16102" s="474"/>
      <c r="G16102" s="332" t="s">
        <v>94</v>
      </c>
      <c r="H16102" s="332"/>
      <c r="I16102" s="333" t="s">
        <v>348</v>
      </c>
      <c r="J16102" s="376" t="s">
        <v>2154</v>
      </c>
      <c r="K16102" s="334"/>
      <c r="L16102" s="334">
        <f>K16101</f>
        <v>6185.4395604395604</v>
      </c>
    </row>
    <row r="16103" spans="1:13" x14ac:dyDescent="0.2">
      <c r="A16103" s="384">
        <v>2025</v>
      </c>
      <c r="B16103" s="384">
        <v>12</v>
      </c>
      <c r="C16103" s="384">
        <v>4</v>
      </c>
      <c r="D16103" s="385">
        <f t="shared" si="2616"/>
        <v>45995</v>
      </c>
      <c r="E16103" s="386">
        <f t="shared" si="2617"/>
        <v>45995</v>
      </c>
      <c r="F16103" s="475" t="s">
        <v>1966</v>
      </c>
      <c r="G16103" s="387" t="s">
        <v>94</v>
      </c>
      <c r="H16103" s="387"/>
      <c r="I16103" s="388" t="s">
        <v>348</v>
      </c>
      <c r="J16103" s="389" t="s">
        <v>67</v>
      </c>
      <c r="K16103" s="390">
        <v>365.53481847222218</v>
      </c>
      <c r="L16103" s="390"/>
    </row>
    <row r="16104" spans="1:13" x14ac:dyDescent="0.2">
      <c r="A16104" s="391">
        <v>2025</v>
      </c>
      <c r="B16104" s="391">
        <v>12</v>
      </c>
      <c r="C16104" s="391">
        <v>4</v>
      </c>
      <c r="D16104" s="385">
        <f t="shared" si="2616"/>
        <v>45995</v>
      </c>
      <c r="E16104" s="386">
        <f t="shared" si="2617"/>
        <v>45995</v>
      </c>
      <c r="F16104" s="476"/>
      <c r="G16104" s="392" t="s">
        <v>94</v>
      </c>
      <c r="H16104" s="392"/>
      <c r="I16104" s="393" t="s">
        <v>348</v>
      </c>
      <c r="J16104" s="394" t="s">
        <v>60</v>
      </c>
      <c r="K16104" s="395"/>
      <c r="L16104" s="395">
        <f>K16103</f>
        <v>365.53481847222218</v>
      </c>
    </row>
    <row r="16105" spans="1:13" x14ac:dyDescent="0.2">
      <c r="A16105" s="343">
        <v>2025</v>
      </c>
      <c r="B16105" s="343">
        <v>12</v>
      </c>
      <c r="C16105" s="343">
        <v>4</v>
      </c>
      <c r="D16105" s="344">
        <f t="shared" si="2616"/>
        <v>45995</v>
      </c>
      <c r="E16105" s="345">
        <f t="shared" si="2617"/>
        <v>45995</v>
      </c>
      <c r="F16105" s="483" t="s">
        <v>1813</v>
      </c>
      <c r="G16105" s="350" t="s">
        <v>94</v>
      </c>
      <c r="H16105" s="350"/>
      <c r="I16105" s="352" t="s">
        <v>348</v>
      </c>
      <c r="J16105" s="353" t="s">
        <v>1807</v>
      </c>
      <c r="K16105" s="354">
        <v>0</v>
      </c>
      <c r="L16105" s="354"/>
      <c r="M16105" s="133">
        <v>0</v>
      </c>
    </row>
    <row r="16106" spans="1:13" x14ac:dyDescent="0.2">
      <c r="A16106" s="346">
        <v>2025</v>
      </c>
      <c r="B16106" s="346">
        <v>12</v>
      </c>
      <c r="C16106" s="346">
        <v>4</v>
      </c>
      <c r="D16106" s="344">
        <f t="shared" si="2616"/>
        <v>45995</v>
      </c>
      <c r="E16106" s="345">
        <f t="shared" si="2617"/>
        <v>45995</v>
      </c>
      <c r="F16106" s="484"/>
      <c r="G16106" s="347" t="s">
        <v>94</v>
      </c>
      <c r="H16106" s="347"/>
      <c r="I16106" s="348" t="s">
        <v>348</v>
      </c>
      <c r="J16106" s="355" t="s">
        <v>1798</v>
      </c>
      <c r="K16106" s="349"/>
      <c r="L16106" s="349">
        <v>0</v>
      </c>
    </row>
    <row r="16107" spans="1:13" x14ac:dyDescent="0.2">
      <c r="A16107" s="343">
        <v>2025</v>
      </c>
      <c r="B16107" s="343">
        <v>12</v>
      </c>
      <c r="C16107" s="343">
        <v>4</v>
      </c>
      <c r="D16107" s="344">
        <f t="shared" si="2616"/>
        <v>45995</v>
      </c>
      <c r="E16107" s="345">
        <f t="shared" si="2617"/>
        <v>45995</v>
      </c>
      <c r="F16107" s="483" t="s">
        <v>1913</v>
      </c>
      <c r="G16107" s="350" t="s">
        <v>94</v>
      </c>
      <c r="H16107" s="350"/>
      <c r="I16107" s="352" t="s">
        <v>348</v>
      </c>
      <c r="J16107" s="353" t="s">
        <v>1808</v>
      </c>
      <c r="K16107" s="354"/>
      <c r="L16107" s="354"/>
      <c r="M16107" s="160">
        <v>0</v>
      </c>
    </row>
    <row r="16108" spans="1:13" x14ac:dyDescent="0.2">
      <c r="A16108" s="346">
        <v>2025</v>
      </c>
      <c r="B16108" s="346">
        <v>12</v>
      </c>
      <c r="C16108" s="346">
        <v>4</v>
      </c>
      <c r="D16108" s="344">
        <f t="shared" si="2616"/>
        <v>45995</v>
      </c>
      <c r="E16108" s="345">
        <f t="shared" si="2617"/>
        <v>45995</v>
      </c>
      <c r="F16108" s="484"/>
      <c r="G16108" s="347" t="s">
        <v>94</v>
      </c>
      <c r="H16108" s="347"/>
      <c r="I16108" s="348" t="s">
        <v>348</v>
      </c>
      <c r="J16108" s="355" t="s">
        <v>1799</v>
      </c>
      <c r="K16108" s="349"/>
      <c r="L16108" s="349">
        <f>K16107</f>
        <v>0</v>
      </c>
    </row>
    <row r="16109" spans="1:13" x14ac:dyDescent="0.2">
      <c r="A16109" s="238">
        <v>2025</v>
      </c>
      <c r="B16109" s="238">
        <v>12</v>
      </c>
      <c r="C16109" s="238">
        <v>4</v>
      </c>
      <c r="D16109" s="270">
        <f t="shared" si="2616"/>
        <v>45995</v>
      </c>
      <c r="E16109" s="279">
        <f t="shared" si="2617"/>
        <v>45995</v>
      </c>
      <c r="F16109" s="477" t="s">
        <v>347</v>
      </c>
      <c r="G16109" s="239" t="s">
        <v>94</v>
      </c>
      <c r="H16109" s="239"/>
      <c r="I16109" s="262" t="s">
        <v>348</v>
      </c>
      <c r="J16109" s="240" t="s">
        <v>108</v>
      </c>
      <c r="K16109" s="241">
        <v>56457.649999976158</v>
      </c>
      <c r="L16109" s="241"/>
      <c r="M16109" s="160">
        <v>13139541.900000483</v>
      </c>
    </row>
    <row r="16110" spans="1:13" x14ac:dyDescent="0.2">
      <c r="A16110" s="242">
        <v>2025</v>
      </c>
      <c r="B16110" s="242">
        <v>12</v>
      </c>
      <c r="C16110" s="242">
        <v>4</v>
      </c>
      <c r="D16110" s="270">
        <f t="shared" si="2616"/>
        <v>45995</v>
      </c>
      <c r="E16110" s="279">
        <f t="shared" si="2617"/>
        <v>45995</v>
      </c>
      <c r="F16110" s="478"/>
      <c r="G16110" s="243" t="s">
        <v>94</v>
      </c>
      <c r="H16110" s="243"/>
      <c r="I16110" s="263" t="s">
        <v>348</v>
      </c>
      <c r="J16110" s="244" t="s">
        <v>82</v>
      </c>
      <c r="K16110" s="245"/>
      <c r="L16110" s="245">
        <f>K16109</f>
        <v>56457.649999976158</v>
      </c>
    </row>
    <row r="16111" spans="1:13" ht="12" customHeight="1" x14ac:dyDescent="0.2">
      <c r="A16111" s="246">
        <v>2025</v>
      </c>
      <c r="B16111" s="238">
        <v>12</v>
      </c>
      <c r="C16111" s="238">
        <v>4</v>
      </c>
      <c r="D16111" s="270">
        <f t="shared" si="2616"/>
        <v>45995</v>
      </c>
      <c r="E16111" s="279">
        <f t="shared" si="2617"/>
        <v>45995</v>
      </c>
      <c r="F16111" s="482" t="s">
        <v>148</v>
      </c>
      <c r="G16111" s="247" t="s">
        <v>94</v>
      </c>
      <c r="H16111" s="247"/>
      <c r="I16111" s="248" t="s">
        <v>348</v>
      </c>
      <c r="J16111" s="249" t="s">
        <v>95</v>
      </c>
      <c r="K16111" s="250">
        <v>392.46467817896388</v>
      </c>
      <c r="L16111" s="241"/>
      <c r="M16111" s="176"/>
    </row>
    <row r="16112" spans="1:13" x14ac:dyDescent="0.2">
      <c r="A16112" s="242">
        <v>2025</v>
      </c>
      <c r="B16112" s="242">
        <v>12</v>
      </c>
      <c r="C16112" s="242">
        <v>4</v>
      </c>
      <c r="D16112" s="270">
        <f t="shared" si="2616"/>
        <v>45995</v>
      </c>
      <c r="E16112" s="279">
        <f t="shared" si="2617"/>
        <v>45995</v>
      </c>
      <c r="F16112" s="478"/>
      <c r="G16112" s="243" t="s">
        <v>94</v>
      </c>
      <c r="H16112" s="243"/>
      <c r="I16112" s="263" t="s">
        <v>348</v>
      </c>
      <c r="J16112" s="244" t="s">
        <v>63</v>
      </c>
      <c r="K16112" s="245"/>
      <c r="L16112" s="245">
        <f>K16111</f>
        <v>392.46467817896388</v>
      </c>
    </row>
    <row r="16113" spans="1:14" x14ac:dyDescent="0.2">
      <c r="A16113" s="246">
        <v>2025</v>
      </c>
      <c r="B16113" s="238">
        <v>12</v>
      </c>
      <c r="C16113" s="238">
        <v>4</v>
      </c>
      <c r="D16113" s="270">
        <f t="shared" si="2616"/>
        <v>45995</v>
      </c>
      <c r="E16113" s="279">
        <f t="shared" si="2617"/>
        <v>45995</v>
      </c>
      <c r="F16113" s="482" t="s">
        <v>137</v>
      </c>
      <c r="G16113" s="247" t="s">
        <v>94</v>
      </c>
      <c r="H16113" s="247"/>
      <c r="I16113" s="248" t="s">
        <v>348</v>
      </c>
      <c r="J16113" s="249" t="s">
        <v>97</v>
      </c>
      <c r="K16113" s="250">
        <f>M16113</f>
        <v>12643.064059058361</v>
      </c>
      <c r="L16113" s="252"/>
      <c r="M16113" s="170">
        <v>12643.064059058361</v>
      </c>
    </row>
    <row r="16114" spans="1:14" x14ac:dyDescent="0.2">
      <c r="A16114" s="242">
        <v>2025</v>
      </c>
      <c r="B16114" s="242">
        <v>12</v>
      </c>
      <c r="C16114" s="242">
        <v>4</v>
      </c>
      <c r="D16114" s="270">
        <f t="shared" si="2616"/>
        <v>45995</v>
      </c>
      <c r="E16114" s="279">
        <f t="shared" si="2617"/>
        <v>45995</v>
      </c>
      <c r="F16114" s="478"/>
      <c r="G16114" s="243" t="s">
        <v>94</v>
      </c>
      <c r="H16114" s="243"/>
      <c r="I16114" s="263" t="s">
        <v>348</v>
      </c>
      <c r="J16114" s="244" t="s">
        <v>47</v>
      </c>
      <c r="K16114" s="245"/>
      <c r="L16114" s="245">
        <f>K16113</f>
        <v>12643.064059058361</v>
      </c>
      <c r="M16114" s="170">
        <v>597.81254361225876</v>
      </c>
    </row>
    <row r="16115" spans="1:14" x14ac:dyDescent="0.2">
      <c r="A16115" s="246">
        <v>2025</v>
      </c>
      <c r="B16115" s="238">
        <v>12</v>
      </c>
      <c r="C16115" s="238">
        <v>4</v>
      </c>
      <c r="D16115" s="270">
        <f t="shared" si="2616"/>
        <v>45995</v>
      </c>
      <c r="E16115" s="279">
        <f t="shared" si="2617"/>
        <v>45995</v>
      </c>
      <c r="F16115" s="482" t="s">
        <v>138</v>
      </c>
      <c r="G16115" s="247" t="s">
        <v>94</v>
      </c>
      <c r="H16115" s="247"/>
      <c r="I16115" s="248" t="s">
        <v>348</v>
      </c>
      <c r="J16115" s="249" t="s">
        <v>100</v>
      </c>
      <c r="K16115" s="250">
        <f>M16114</f>
        <v>597.81254361225876</v>
      </c>
      <c r="L16115" s="252"/>
    </row>
    <row r="16116" spans="1:14" x14ac:dyDescent="0.2">
      <c r="A16116" s="242">
        <v>2025</v>
      </c>
      <c r="B16116" s="242">
        <v>12</v>
      </c>
      <c r="C16116" s="242">
        <v>4</v>
      </c>
      <c r="D16116" s="321">
        <f t="shared" si="2616"/>
        <v>45995</v>
      </c>
      <c r="E16116" s="322">
        <f t="shared" si="2617"/>
        <v>45995</v>
      </c>
      <c r="F16116" s="478"/>
      <c r="G16116" s="243" t="s">
        <v>94</v>
      </c>
      <c r="H16116" s="243"/>
      <c r="I16116" s="263" t="s">
        <v>348</v>
      </c>
      <c r="J16116" s="244" t="s">
        <v>48</v>
      </c>
      <c r="K16116" s="245"/>
      <c r="L16116" s="245">
        <f>K16115</f>
        <v>597.81254361225876</v>
      </c>
    </row>
    <row r="16117" spans="1:14" ht="11.25" customHeight="1" x14ac:dyDescent="0.2">
      <c r="A16117" s="168">
        <v>2025</v>
      </c>
      <c r="B16117" s="168">
        <v>12</v>
      </c>
      <c r="C16117" s="133">
        <v>5</v>
      </c>
      <c r="D16117" s="141">
        <f>DATE(A16117,B16117,C16117)</f>
        <v>45996</v>
      </c>
      <c r="E16117" s="275">
        <f>DATE(A16117,B16117,C16117)</f>
        <v>45996</v>
      </c>
      <c r="F16117" s="479" t="s">
        <v>1319</v>
      </c>
      <c r="G16117" s="220" t="s">
        <v>74</v>
      </c>
      <c r="H16117" s="142"/>
      <c r="I16117" s="142"/>
      <c r="J16117" s="168" t="s">
        <v>52</v>
      </c>
      <c r="K16117" s="226">
        <v>10000</v>
      </c>
      <c r="L16117" s="226"/>
    </row>
    <row r="16118" spans="1:14" ht="11.25" customHeight="1" x14ac:dyDescent="0.2">
      <c r="A16118" s="133">
        <v>2025</v>
      </c>
      <c r="B16118" s="133">
        <v>12</v>
      </c>
      <c r="C16118" s="133">
        <v>5</v>
      </c>
      <c r="D16118" s="141">
        <f>DATE(A16118,B16118,C16118)</f>
        <v>45996</v>
      </c>
      <c r="E16118" s="275">
        <f>DATE(A16118,B16118,C16118)</f>
        <v>45996</v>
      </c>
      <c r="F16118" s="481"/>
      <c r="G16118" s="174" t="s">
        <v>74</v>
      </c>
      <c r="J16118" s="133" t="s">
        <v>13</v>
      </c>
      <c r="K16118" s="218"/>
      <c r="L16118" s="218">
        <v>7050</v>
      </c>
    </row>
    <row r="16119" spans="1:14" ht="11.25" customHeight="1" x14ac:dyDescent="0.2">
      <c r="A16119" s="163">
        <v>2025</v>
      </c>
      <c r="B16119" s="163">
        <v>12</v>
      </c>
      <c r="C16119" s="163">
        <v>5</v>
      </c>
      <c r="D16119" s="280">
        <f>DATE(A16119,B16119,C16119)</f>
        <v>45996</v>
      </c>
      <c r="E16119" s="281">
        <f>DATE(A16119,B16119,C16119)</f>
        <v>45996</v>
      </c>
      <c r="F16119" s="480"/>
      <c r="G16119" s="221" t="s">
        <v>74</v>
      </c>
      <c r="H16119" s="145"/>
      <c r="I16119" s="145"/>
      <c r="J16119" s="163" t="s">
        <v>53</v>
      </c>
      <c r="K16119" s="219"/>
      <c r="L16119" s="219">
        <v>2950</v>
      </c>
    </row>
    <row r="16120" spans="1:14" ht="11.25" customHeight="1" x14ac:dyDescent="0.2">
      <c r="A16120" s="168">
        <v>2025</v>
      </c>
      <c r="B16120" s="133">
        <v>12</v>
      </c>
      <c r="C16120" s="168">
        <v>7</v>
      </c>
      <c r="D16120" s="141">
        <f t="shared" ref="D16120:D16127" si="2618">DATE(A16120,B16120,C16120)</f>
        <v>45998</v>
      </c>
      <c r="E16120" s="275">
        <f t="shared" ref="E16120:E16127" si="2619">DATE(A16120,B16120,C16120)</f>
        <v>45998</v>
      </c>
      <c r="F16120" s="479" t="s">
        <v>2116</v>
      </c>
      <c r="G16120" s="220" t="s">
        <v>74</v>
      </c>
      <c r="H16120" s="220"/>
      <c r="I16120" s="142"/>
      <c r="J16120" s="143" t="s">
        <v>147</v>
      </c>
      <c r="K16120" s="226">
        <v>211007.93</v>
      </c>
      <c r="L16120" s="226"/>
    </row>
    <row r="16121" spans="1:14" x14ac:dyDescent="0.2">
      <c r="A16121" s="163">
        <v>2025</v>
      </c>
      <c r="B16121" s="163">
        <v>12</v>
      </c>
      <c r="C16121" s="163">
        <v>7</v>
      </c>
      <c r="D16121" s="280">
        <f t="shared" si="2618"/>
        <v>45998</v>
      </c>
      <c r="E16121" s="281">
        <f t="shared" si="2619"/>
        <v>45998</v>
      </c>
      <c r="F16121" s="480"/>
      <c r="G16121" s="221" t="s">
        <v>74</v>
      </c>
      <c r="H16121" s="221"/>
      <c r="I16121" s="145"/>
      <c r="J16121" s="146" t="s">
        <v>52</v>
      </c>
      <c r="K16121" s="219"/>
      <c r="L16121" s="219">
        <f>K16120</f>
        <v>211007.93</v>
      </c>
      <c r="N16121" s="264"/>
    </row>
    <row r="16122" spans="1:14" ht="11.25" customHeight="1" x14ac:dyDescent="0.2">
      <c r="A16122" s="168">
        <v>2025</v>
      </c>
      <c r="B16122" s="133">
        <v>12</v>
      </c>
      <c r="C16122" s="168">
        <v>7</v>
      </c>
      <c r="D16122" s="141">
        <f t="shared" si="2618"/>
        <v>45998</v>
      </c>
      <c r="E16122" s="275">
        <f t="shared" si="2619"/>
        <v>45998</v>
      </c>
      <c r="F16122" s="479" t="s">
        <v>2074</v>
      </c>
      <c r="G16122" s="220" t="s">
        <v>74</v>
      </c>
      <c r="H16122" s="220"/>
      <c r="I16122" s="142"/>
      <c r="J16122" s="143" t="s">
        <v>147</v>
      </c>
      <c r="K16122" s="226">
        <v>200410.09</v>
      </c>
      <c r="L16122" s="226"/>
    </row>
    <row r="16123" spans="1:14" x14ac:dyDescent="0.2">
      <c r="A16123" s="163">
        <v>2025</v>
      </c>
      <c r="B16123" s="163">
        <v>12</v>
      </c>
      <c r="C16123" s="163">
        <v>7</v>
      </c>
      <c r="D16123" s="280">
        <f t="shared" si="2618"/>
        <v>45998</v>
      </c>
      <c r="E16123" s="281">
        <f t="shared" si="2619"/>
        <v>45998</v>
      </c>
      <c r="F16123" s="480"/>
      <c r="G16123" s="221" t="s">
        <v>74</v>
      </c>
      <c r="H16123" s="221"/>
      <c r="I16123" s="145"/>
      <c r="J16123" s="146" t="s">
        <v>52</v>
      </c>
      <c r="K16123" s="219"/>
      <c r="L16123" s="219">
        <f>K16122</f>
        <v>200410.09</v>
      </c>
      <c r="N16123" s="264"/>
    </row>
    <row r="16124" spans="1:14" ht="11.25" customHeight="1" x14ac:dyDescent="0.2">
      <c r="A16124" s="168">
        <v>2025</v>
      </c>
      <c r="B16124" s="133">
        <v>12</v>
      </c>
      <c r="C16124" s="168">
        <v>7</v>
      </c>
      <c r="D16124" s="141">
        <f t="shared" si="2618"/>
        <v>45998</v>
      </c>
      <c r="E16124" s="275">
        <f t="shared" si="2619"/>
        <v>45998</v>
      </c>
      <c r="F16124" s="479" t="s">
        <v>2074</v>
      </c>
      <c r="G16124" s="220" t="s">
        <v>74</v>
      </c>
      <c r="H16124" s="220"/>
      <c r="I16124" s="142"/>
      <c r="J16124" s="143" t="s">
        <v>147</v>
      </c>
      <c r="K16124" s="226">
        <v>109009.74</v>
      </c>
      <c r="L16124" s="226"/>
    </row>
    <row r="16125" spans="1:14" x14ac:dyDescent="0.2">
      <c r="A16125" s="163">
        <v>2025</v>
      </c>
      <c r="B16125" s="163">
        <v>12</v>
      </c>
      <c r="C16125" s="163">
        <v>7</v>
      </c>
      <c r="D16125" s="280">
        <f t="shared" si="2618"/>
        <v>45998</v>
      </c>
      <c r="E16125" s="281">
        <f t="shared" si="2619"/>
        <v>45998</v>
      </c>
      <c r="F16125" s="480"/>
      <c r="G16125" s="221" t="s">
        <v>74</v>
      </c>
      <c r="H16125" s="221"/>
      <c r="I16125" s="145"/>
      <c r="J16125" s="146" t="s">
        <v>52</v>
      </c>
      <c r="K16125" s="219"/>
      <c r="L16125" s="219">
        <f>K16124</f>
        <v>109009.74</v>
      </c>
      <c r="N16125" s="264"/>
    </row>
    <row r="16126" spans="1:14" x14ac:dyDescent="0.2">
      <c r="A16126" s="168">
        <v>2025</v>
      </c>
      <c r="B16126" s="133">
        <v>12</v>
      </c>
      <c r="C16126" s="168">
        <v>7</v>
      </c>
      <c r="D16126" s="147">
        <f t="shared" si="2618"/>
        <v>45998</v>
      </c>
      <c r="E16126" s="311">
        <f t="shared" si="2619"/>
        <v>45998</v>
      </c>
      <c r="F16126" s="481" t="s">
        <v>1943</v>
      </c>
      <c r="G16126" s="174" t="s">
        <v>74</v>
      </c>
      <c r="I16126" s="148" t="s">
        <v>348</v>
      </c>
      <c r="J16126" s="133" t="s">
        <v>61</v>
      </c>
      <c r="K16126" s="172">
        <v>174</v>
      </c>
    </row>
    <row r="16127" spans="1:14" x14ac:dyDescent="0.2">
      <c r="A16127" s="163">
        <v>2025</v>
      </c>
      <c r="B16127" s="163">
        <v>12</v>
      </c>
      <c r="C16127" s="163">
        <v>7</v>
      </c>
      <c r="D16127" s="280">
        <f t="shared" si="2618"/>
        <v>45998</v>
      </c>
      <c r="E16127" s="281">
        <f t="shared" si="2619"/>
        <v>45998</v>
      </c>
      <c r="F16127" s="480"/>
      <c r="G16127" s="221" t="s">
        <v>74</v>
      </c>
      <c r="H16127" s="145"/>
      <c r="I16127" s="145" t="s">
        <v>348</v>
      </c>
      <c r="J16127" s="163" t="s">
        <v>52</v>
      </c>
      <c r="K16127" s="219"/>
      <c r="L16127" s="219">
        <f>K16126</f>
        <v>174</v>
      </c>
    </row>
    <row r="16128" spans="1:14" x14ac:dyDescent="0.2">
      <c r="A16128" s="168">
        <v>2025</v>
      </c>
      <c r="B16128" s="168">
        <v>12</v>
      </c>
      <c r="C16128" s="133">
        <v>7</v>
      </c>
      <c r="D16128" s="141">
        <f t="shared" ref="D16128:D16185" si="2620">DATE(A16128,B16128,C16128)</f>
        <v>45998</v>
      </c>
      <c r="E16128" s="275">
        <f t="shared" ref="E16128:E16185" si="2621">DATE(A16128,B16128,C16128)</f>
        <v>45998</v>
      </c>
      <c r="F16128" s="479" t="s">
        <v>2108</v>
      </c>
      <c r="G16128" s="220" t="s">
        <v>94</v>
      </c>
      <c r="H16128" s="220"/>
      <c r="I16128" s="142"/>
      <c r="J16128" s="143" t="s">
        <v>79</v>
      </c>
      <c r="K16128" s="226">
        <v>590700</v>
      </c>
      <c r="L16128" s="226"/>
      <c r="M16128" s="160"/>
    </row>
    <row r="16129" spans="1:14" x14ac:dyDescent="0.2">
      <c r="A16129" s="133">
        <v>2025</v>
      </c>
      <c r="B16129" s="133">
        <v>12</v>
      </c>
      <c r="C16129" s="133">
        <v>7</v>
      </c>
      <c r="D16129" s="141">
        <f t="shared" si="2620"/>
        <v>45998</v>
      </c>
      <c r="E16129" s="275">
        <f t="shared" si="2621"/>
        <v>45998</v>
      </c>
      <c r="F16129" s="481"/>
      <c r="G16129" s="174" t="s">
        <v>94</v>
      </c>
      <c r="H16129" s="174"/>
      <c r="J16129" s="149" t="s">
        <v>80</v>
      </c>
      <c r="K16129" s="218">
        <v>1063.26</v>
      </c>
      <c r="L16129" s="264"/>
      <c r="M16129" s="264"/>
      <c r="N16129" s="264"/>
    </row>
    <row r="16130" spans="1:14" x14ac:dyDescent="0.2">
      <c r="A16130" s="163">
        <v>2025</v>
      </c>
      <c r="B16130" s="163">
        <v>12</v>
      </c>
      <c r="C16130" s="163">
        <v>7</v>
      </c>
      <c r="D16130" s="280">
        <f t="shared" si="2620"/>
        <v>45998</v>
      </c>
      <c r="E16130" s="281">
        <f t="shared" si="2621"/>
        <v>45998</v>
      </c>
      <c r="F16130" s="480"/>
      <c r="G16130" s="221" t="s">
        <v>94</v>
      </c>
      <c r="H16130" s="221"/>
      <c r="I16130" s="145"/>
      <c r="J16130" s="146" t="s">
        <v>147</v>
      </c>
      <c r="K16130" s="219"/>
      <c r="L16130" s="219">
        <v>591763.26</v>
      </c>
      <c r="M16130" s="264"/>
    </row>
    <row r="16131" spans="1:14" ht="11.25" customHeight="1" x14ac:dyDescent="0.2">
      <c r="A16131" s="168">
        <v>2025</v>
      </c>
      <c r="B16131" s="168">
        <v>12</v>
      </c>
      <c r="C16131" s="133">
        <v>7</v>
      </c>
      <c r="D16131" s="141">
        <f t="shared" ref="D16131:D16135" si="2622">DATE(A16131,B16131,C16131)</f>
        <v>45998</v>
      </c>
      <c r="E16131" s="275">
        <f t="shared" ref="E16131:E16135" si="2623">DATE(A16131,B16131,C16131)</f>
        <v>45998</v>
      </c>
      <c r="F16131" s="479" t="s">
        <v>1319</v>
      </c>
      <c r="G16131" s="220" t="s">
        <v>74</v>
      </c>
      <c r="H16131" s="142"/>
      <c r="I16131" s="142"/>
      <c r="J16131" s="168" t="s">
        <v>52</v>
      </c>
      <c r="K16131" s="226">
        <v>33000</v>
      </c>
      <c r="L16131" s="226"/>
    </row>
    <row r="16132" spans="1:14" ht="11.25" customHeight="1" x14ac:dyDescent="0.2">
      <c r="A16132" s="133">
        <v>2025</v>
      </c>
      <c r="B16132" s="133">
        <v>12</v>
      </c>
      <c r="C16132" s="133">
        <v>7</v>
      </c>
      <c r="D16132" s="141">
        <f t="shared" si="2622"/>
        <v>45998</v>
      </c>
      <c r="E16132" s="275">
        <f t="shared" si="2623"/>
        <v>45998</v>
      </c>
      <c r="F16132" s="481"/>
      <c r="G16132" s="174" t="s">
        <v>74</v>
      </c>
      <c r="J16132" s="133" t="s">
        <v>13</v>
      </c>
      <c r="K16132" s="218"/>
      <c r="L16132" s="218">
        <v>23240</v>
      </c>
    </row>
    <row r="16133" spans="1:14" ht="11.25" customHeight="1" x14ac:dyDescent="0.2">
      <c r="A16133" s="163">
        <v>2025</v>
      </c>
      <c r="B16133" s="163">
        <v>12</v>
      </c>
      <c r="C16133" s="163">
        <v>7</v>
      </c>
      <c r="D16133" s="280">
        <f t="shared" si="2622"/>
        <v>45998</v>
      </c>
      <c r="E16133" s="281">
        <f t="shared" si="2623"/>
        <v>45998</v>
      </c>
      <c r="F16133" s="480"/>
      <c r="G16133" s="221" t="s">
        <v>74</v>
      </c>
      <c r="H16133" s="145"/>
      <c r="I16133" s="145"/>
      <c r="J16133" s="163" t="s">
        <v>53</v>
      </c>
      <c r="K16133" s="219"/>
      <c r="L16133" s="219">
        <v>9760</v>
      </c>
    </row>
    <row r="16134" spans="1:14" x14ac:dyDescent="0.2">
      <c r="A16134" s="168">
        <v>2025</v>
      </c>
      <c r="B16134" s="133">
        <v>12</v>
      </c>
      <c r="C16134" s="168">
        <v>7</v>
      </c>
      <c r="D16134" s="141">
        <f t="shared" si="2622"/>
        <v>45998</v>
      </c>
      <c r="E16134" s="275">
        <f t="shared" si="2623"/>
        <v>45998</v>
      </c>
      <c r="F16134" s="481" t="s">
        <v>2139</v>
      </c>
      <c r="G16134" s="174" t="s">
        <v>94</v>
      </c>
      <c r="H16134" s="174"/>
      <c r="I16134" s="148" t="s">
        <v>348</v>
      </c>
      <c r="J16134" s="149" t="s">
        <v>168</v>
      </c>
      <c r="K16134" s="218">
        <v>250965</v>
      </c>
      <c r="L16134" s="218"/>
    </row>
    <row r="16135" spans="1:14" x14ac:dyDescent="0.2">
      <c r="A16135" s="163">
        <v>2025</v>
      </c>
      <c r="B16135" s="163">
        <v>12</v>
      </c>
      <c r="C16135" s="163">
        <v>7</v>
      </c>
      <c r="D16135" s="141">
        <f t="shared" si="2622"/>
        <v>45998</v>
      </c>
      <c r="E16135" s="275">
        <f t="shared" si="2623"/>
        <v>45998</v>
      </c>
      <c r="F16135" s="480"/>
      <c r="G16135" s="221" t="s">
        <v>94</v>
      </c>
      <c r="H16135" s="221"/>
      <c r="I16135" s="145" t="s">
        <v>348</v>
      </c>
      <c r="J16135" s="146" t="s">
        <v>166</v>
      </c>
      <c r="K16135" s="219"/>
      <c r="L16135" s="219">
        <f>K16134</f>
        <v>250965</v>
      </c>
    </row>
    <row r="16136" spans="1:14" x14ac:dyDescent="0.2">
      <c r="A16136" s="325">
        <v>2025</v>
      </c>
      <c r="B16136" s="325">
        <v>12</v>
      </c>
      <c r="C16136" s="325">
        <v>7</v>
      </c>
      <c r="D16136" s="326">
        <f t="shared" si="2620"/>
        <v>45998</v>
      </c>
      <c r="E16136" s="327">
        <f t="shared" si="2621"/>
        <v>45998</v>
      </c>
      <c r="F16136" s="473" t="s">
        <v>1940</v>
      </c>
      <c r="G16136" s="340" t="s">
        <v>94</v>
      </c>
      <c r="H16136" s="340"/>
      <c r="I16136" s="341" t="s">
        <v>348</v>
      </c>
      <c r="J16136" s="374" t="s">
        <v>133</v>
      </c>
      <c r="K16136" s="375">
        <v>5530.954285714286</v>
      </c>
      <c r="L16136" s="375"/>
      <c r="M16136" s="176"/>
    </row>
    <row r="16137" spans="1:14" x14ac:dyDescent="0.2">
      <c r="A16137" s="331">
        <v>2025</v>
      </c>
      <c r="B16137" s="331">
        <v>12</v>
      </c>
      <c r="C16137" s="331">
        <v>7</v>
      </c>
      <c r="D16137" s="326">
        <f t="shared" si="2620"/>
        <v>45998</v>
      </c>
      <c r="E16137" s="327">
        <f t="shared" si="2621"/>
        <v>45998</v>
      </c>
      <c r="F16137" s="474"/>
      <c r="G16137" s="332" t="s">
        <v>94</v>
      </c>
      <c r="H16137" s="332"/>
      <c r="I16137" s="333" t="s">
        <v>348</v>
      </c>
      <c r="J16137" s="376" t="s">
        <v>60</v>
      </c>
      <c r="K16137" s="334"/>
      <c r="L16137" s="334">
        <f>K16136</f>
        <v>5530.954285714286</v>
      </c>
    </row>
    <row r="16138" spans="1:14" x14ac:dyDescent="0.2">
      <c r="A16138" s="325">
        <v>2025</v>
      </c>
      <c r="B16138" s="325">
        <v>12</v>
      </c>
      <c r="C16138" s="325">
        <v>7</v>
      </c>
      <c r="D16138" s="326">
        <f t="shared" si="2620"/>
        <v>45998</v>
      </c>
      <c r="E16138" s="327">
        <f t="shared" si="2621"/>
        <v>45998</v>
      </c>
      <c r="F16138" s="473" t="s">
        <v>2131</v>
      </c>
      <c r="G16138" s="340" t="s">
        <v>94</v>
      </c>
      <c r="H16138" s="340"/>
      <c r="I16138" s="341" t="s">
        <v>348</v>
      </c>
      <c r="J16138" s="374" t="s">
        <v>2156</v>
      </c>
      <c r="K16138" s="375">
        <v>18556.31868131868</v>
      </c>
      <c r="L16138" s="375"/>
      <c r="M16138" s="176"/>
    </row>
    <row r="16139" spans="1:14" x14ac:dyDescent="0.2">
      <c r="A16139" s="331">
        <v>2025</v>
      </c>
      <c r="B16139" s="331">
        <v>12</v>
      </c>
      <c r="C16139" s="331">
        <v>7</v>
      </c>
      <c r="D16139" s="326">
        <f t="shared" si="2620"/>
        <v>45998</v>
      </c>
      <c r="E16139" s="327">
        <f t="shared" si="2621"/>
        <v>45998</v>
      </c>
      <c r="F16139" s="474"/>
      <c r="G16139" s="332" t="s">
        <v>94</v>
      </c>
      <c r="H16139" s="332"/>
      <c r="I16139" s="333" t="s">
        <v>348</v>
      </c>
      <c r="J16139" s="376" t="s">
        <v>2154</v>
      </c>
      <c r="K16139" s="334"/>
      <c r="L16139" s="334">
        <f>K16138</f>
        <v>18556.31868131868</v>
      </c>
    </row>
    <row r="16140" spans="1:14" x14ac:dyDescent="0.2">
      <c r="A16140" s="384">
        <v>2025</v>
      </c>
      <c r="B16140" s="384">
        <v>12</v>
      </c>
      <c r="C16140" s="384">
        <v>7</v>
      </c>
      <c r="D16140" s="385">
        <f t="shared" si="2620"/>
        <v>45998</v>
      </c>
      <c r="E16140" s="386">
        <f t="shared" si="2621"/>
        <v>45998</v>
      </c>
      <c r="F16140" s="475" t="s">
        <v>1966</v>
      </c>
      <c r="G16140" s="387" t="s">
        <v>94</v>
      </c>
      <c r="H16140" s="387"/>
      <c r="I16140" s="388" t="s">
        <v>348</v>
      </c>
      <c r="J16140" s="389" t="s">
        <v>67</v>
      </c>
      <c r="K16140" s="390">
        <v>1075.44</v>
      </c>
      <c r="L16140" s="390"/>
    </row>
    <row r="16141" spans="1:14" x14ac:dyDescent="0.2">
      <c r="A16141" s="391">
        <v>2025</v>
      </c>
      <c r="B16141" s="391">
        <v>12</v>
      </c>
      <c r="C16141" s="391">
        <v>7</v>
      </c>
      <c r="D16141" s="385">
        <f t="shared" si="2620"/>
        <v>45998</v>
      </c>
      <c r="E16141" s="386">
        <f t="shared" si="2621"/>
        <v>45998</v>
      </c>
      <c r="F16141" s="476"/>
      <c r="G16141" s="392" t="s">
        <v>94</v>
      </c>
      <c r="H16141" s="392"/>
      <c r="I16141" s="393" t="s">
        <v>348</v>
      </c>
      <c r="J16141" s="394" t="s">
        <v>60</v>
      </c>
      <c r="K16141" s="395"/>
      <c r="L16141" s="395">
        <f>K16140</f>
        <v>1075.44</v>
      </c>
    </row>
    <row r="16142" spans="1:14" x14ac:dyDescent="0.2">
      <c r="A16142" s="343">
        <v>2025</v>
      </c>
      <c r="B16142" s="343">
        <v>12</v>
      </c>
      <c r="C16142" s="343">
        <v>7</v>
      </c>
      <c r="D16142" s="344">
        <f t="shared" si="2620"/>
        <v>45998</v>
      </c>
      <c r="E16142" s="345">
        <f t="shared" si="2621"/>
        <v>45998</v>
      </c>
      <c r="F16142" s="483" t="s">
        <v>1813</v>
      </c>
      <c r="G16142" s="350" t="s">
        <v>94</v>
      </c>
      <c r="H16142" s="350"/>
      <c r="I16142" s="352" t="s">
        <v>348</v>
      </c>
      <c r="J16142" s="353" t="s">
        <v>1807</v>
      </c>
      <c r="K16142" s="354">
        <v>0</v>
      </c>
      <c r="L16142" s="354"/>
      <c r="M16142" s="133">
        <v>0</v>
      </c>
    </row>
    <row r="16143" spans="1:14" x14ac:dyDescent="0.2">
      <c r="A16143" s="346">
        <v>2025</v>
      </c>
      <c r="B16143" s="346">
        <v>12</v>
      </c>
      <c r="C16143" s="346">
        <v>7</v>
      </c>
      <c r="D16143" s="344">
        <f t="shared" si="2620"/>
        <v>45998</v>
      </c>
      <c r="E16143" s="345">
        <f t="shared" si="2621"/>
        <v>45998</v>
      </c>
      <c r="F16143" s="484"/>
      <c r="G16143" s="347" t="s">
        <v>94</v>
      </c>
      <c r="H16143" s="347"/>
      <c r="I16143" s="348" t="s">
        <v>348</v>
      </c>
      <c r="J16143" s="355" t="s">
        <v>1798</v>
      </c>
      <c r="K16143" s="349"/>
      <c r="L16143" s="349">
        <v>0</v>
      </c>
    </row>
    <row r="16144" spans="1:14" x14ac:dyDescent="0.2">
      <c r="A16144" s="343">
        <v>2025</v>
      </c>
      <c r="B16144" s="343">
        <v>12</v>
      </c>
      <c r="C16144" s="343">
        <v>7</v>
      </c>
      <c r="D16144" s="344">
        <f t="shared" si="2620"/>
        <v>45998</v>
      </c>
      <c r="E16144" s="345">
        <f t="shared" si="2621"/>
        <v>45998</v>
      </c>
      <c r="F16144" s="483" t="s">
        <v>1913</v>
      </c>
      <c r="G16144" s="350" t="s">
        <v>94</v>
      </c>
      <c r="H16144" s="350"/>
      <c r="I16144" s="352" t="s">
        <v>348</v>
      </c>
      <c r="J16144" s="353" t="s">
        <v>1808</v>
      </c>
      <c r="K16144" s="354"/>
      <c r="L16144" s="354"/>
      <c r="M16144" s="160">
        <v>0</v>
      </c>
    </row>
    <row r="16145" spans="1:14" x14ac:dyDescent="0.2">
      <c r="A16145" s="346">
        <v>2025</v>
      </c>
      <c r="B16145" s="346">
        <v>12</v>
      </c>
      <c r="C16145" s="346">
        <v>7</v>
      </c>
      <c r="D16145" s="344">
        <f t="shared" si="2620"/>
        <v>45998</v>
      </c>
      <c r="E16145" s="345">
        <f t="shared" si="2621"/>
        <v>45998</v>
      </c>
      <c r="F16145" s="484"/>
      <c r="G16145" s="347" t="s">
        <v>94</v>
      </c>
      <c r="H16145" s="347"/>
      <c r="I16145" s="348" t="s">
        <v>348</v>
      </c>
      <c r="J16145" s="355" t="s">
        <v>1799</v>
      </c>
      <c r="K16145" s="349"/>
      <c r="L16145" s="349">
        <f>K16144</f>
        <v>0</v>
      </c>
    </row>
    <row r="16146" spans="1:14" x14ac:dyDescent="0.2">
      <c r="A16146" s="238">
        <v>2025</v>
      </c>
      <c r="B16146" s="238">
        <v>12</v>
      </c>
      <c r="C16146" s="238">
        <v>7</v>
      </c>
      <c r="D16146" s="270">
        <f t="shared" si="2620"/>
        <v>45998</v>
      </c>
      <c r="E16146" s="279">
        <f t="shared" si="2621"/>
        <v>45998</v>
      </c>
      <c r="F16146" s="477" t="s">
        <v>347</v>
      </c>
      <c r="G16146" s="239" t="s">
        <v>94</v>
      </c>
      <c r="H16146" s="239"/>
      <c r="I16146" s="262" t="s">
        <v>348</v>
      </c>
      <c r="J16146" s="240" t="s">
        <v>82</v>
      </c>
      <c r="K16146" s="241">
        <v>618081</v>
      </c>
      <c r="L16146" s="241"/>
      <c r="M16146" s="160">
        <v>13139541.900000483</v>
      </c>
    </row>
    <row r="16147" spans="1:14" x14ac:dyDescent="0.2">
      <c r="A16147" s="242">
        <v>2025</v>
      </c>
      <c r="B16147" s="242">
        <v>12</v>
      </c>
      <c r="C16147" s="242">
        <v>7</v>
      </c>
      <c r="D16147" s="270">
        <f t="shared" si="2620"/>
        <v>45998</v>
      </c>
      <c r="E16147" s="279">
        <f t="shared" si="2621"/>
        <v>45998</v>
      </c>
      <c r="F16147" s="478"/>
      <c r="G16147" s="243" t="s">
        <v>94</v>
      </c>
      <c r="H16147" s="243"/>
      <c r="I16147" s="263" t="s">
        <v>348</v>
      </c>
      <c r="J16147" s="244" t="s">
        <v>108</v>
      </c>
      <c r="K16147" s="245"/>
      <c r="L16147" s="245">
        <f>K16146</f>
        <v>618081</v>
      </c>
    </row>
    <row r="16148" spans="1:14" ht="12" customHeight="1" x14ac:dyDescent="0.2">
      <c r="A16148" s="246">
        <v>2025</v>
      </c>
      <c r="B16148" s="238">
        <v>12</v>
      </c>
      <c r="C16148" s="238">
        <v>7</v>
      </c>
      <c r="D16148" s="270">
        <f t="shared" si="2620"/>
        <v>45998</v>
      </c>
      <c r="E16148" s="279">
        <f t="shared" si="2621"/>
        <v>45998</v>
      </c>
      <c r="F16148" s="482" t="s">
        <v>148</v>
      </c>
      <c r="G16148" s="247" t="s">
        <v>94</v>
      </c>
      <c r="H16148" s="247"/>
      <c r="I16148" s="248" t="s">
        <v>348</v>
      </c>
      <c r="J16148" s="249" t="s">
        <v>95</v>
      </c>
      <c r="K16148" s="250">
        <v>1177.3940345368917</v>
      </c>
      <c r="L16148" s="241"/>
      <c r="M16148" s="176"/>
    </row>
    <row r="16149" spans="1:14" x14ac:dyDescent="0.2">
      <c r="A16149" s="242">
        <v>2025</v>
      </c>
      <c r="B16149" s="242">
        <v>12</v>
      </c>
      <c r="C16149" s="242">
        <v>7</v>
      </c>
      <c r="D16149" s="270">
        <f t="shared" si="2620"/>
        <v>45998</v>
      </c>
      <c r="E16149" s="279">
        <f t="shared" si="2621"/>
        <v>45998</v>
      </c>
      <c r="F16149" s="478"/>
      <c r="G16149" s="243" t="s">
        <v>94</v>
      </c>
      <c r="H16149" s="243"/>
      <c r="I16149" s="263" t="s">
        <v>348</v>
      </c>
      <c r="J16149" s="244" t="s">
        <v>63</v>
      </c>
      <c r="K16149" s="245"/>
      <c r="L16149" s="245">
        <f>K16148</f>
        <v>1177.3940345368917</v>
      </c>
    </row>
    <row r="16150" spans="1:14" x14ac:dyDescent="0.2">
      <c r="A16150" s="246">
        <v>2025</v>
      </c>
      <c r="B16150" s="238">
        <v>12</v>
      </c>
      <c r="C16150" s="238">
        <v>7</v>
      </c>
      <c r="D16150" s="270">
        <f t="shared" si="2620"/>
        <v>45998</v>
      </c>
      <c r="E16150" s="279">
        <f t="shared" si="2621"/>
        <v>45998</v>
      </c>
      <c r="F16150" s="482" t="s">
        <v>137</v>
      </c>
      <c r="G16150" s="247" t="s">
        <v>94</v>
      </c>
      <c r="H16150" s="247"/>
      <c r="I16150" s="248" t="s">
        <v>348</v>
      </c>
      <c r="J16150" s="249" t="s">
        <v>97</v>
      </c>
      <c r="K16150" s="250">
        <f>M16150</f>
        <v>37828.025283720381</v>
      </c>
      <c r="L16150" s="252"/>
      <c r="M16150" s="170">
        <v>37828.025283720381</v>
      </c>
    </row>
    <row r="16151" spans="1:14" x14ac:dyDescent="0.2">
      <c r="A16151" s="242">
        <v>2025</v>
      </c>
      <c r="B16151" s="242">
        <v>12</v>
      </c>
      <c r="C16151" s="242">
        <v>7</v>
      </c>
      <c r="D16151" s="270">
        <f t="shared" si="2620"/>
        <v>45998</v>
      </c>
      <c r="E16151" s="279">
        <f t="shared" si="2621"/>
        <v>45998</v>
      </c>
      <c r="F16151" s="478"/>
      <c r="G16151" s="243" t="s">
        <v>94</v>
      </c>
      <c r="H16151" s="243"/>
      <c r="I16151" s="263" t="s">
        <v>348</v>
      </c>
      <c r="J16151" s="244" t="s">
        <v>47</v>
      </c>
      <c r="K16151" s="245"/>
      <c r="L16151" s="245">
        <f>K16150</f>
        <v>37828.025283720381</v>
      </c>
      <c r="M16151" s="170">
        <v>1788.3792861640409</v>
      </c>
    </row>
    <row r="16152" spans="1:14" x14ac:dyDescent="0.2">
      <c r="A16152" s="246">
        <v>2025</v>
      </c>
      <c r="B16152" s="238">
        <v>12</v>
      </c>
      <c r="C16152" s="238">
        <v>7</v>
      </c>
      <c r="D16152" s="270">
        <f t="shared" si="2620"/>
        <v>45998</v>
      </c>
      <c r="E16152" s="279">
        <f t="shared" si="2621"/>
        <v>45998</v>
      </c>
      <c r="F16152" s="482" t="s">
        <v>138</v>
      </c>
      <c r="G16152" s="247" t="s">
        <v>94</v>
      </c>
      <c r="H16152" s="247"/>
      <c r="I16152" s="248" t="s">
        <v>348</v>
      </c>
      <c r="J16152" s="249" t="s">
        <v>100</v>
      </c>
      <c r="K16152" s="250">
        <f>M16151</f>
        <v>1788.3792861640409</v>
      </c>
      <c r="L16152" s="252"/>
    </row>
    <row r="16153" spans="1:14" x14ac:dyDescent="0.2">
      <c r="A16153" s="242">
        <v>2025</v>
      </c>
      <c r="B16153" s="242">
        <v>12</v>
      </c>
      <c r="C16153" s="242">
        <v>7</v>
      </c>
      <c r="D16153" s="321">
        <f t="shared" si="2620"/>
        <v>45998</v>
      </c>
      <c r="E16153" s="322">
        <f t="shared" si="2621"/>
        <v>45998</v>
      </c>
      <c r="F16153" s="478"/>
      <c r="G16153" s="243" t="s">
        <v>94</v>
      </c>
      <c r="H16153" s="243"/>
      <c r="I16153" s="263" t="s">
        <v>348</v>
      </c>
      <c r="J16153" s="244" t="s">
        <v>48</v>
      </c>
      <c r="K16153" s="245"/>
      <c r="L16153" s="245">
        <f>K16152</f>
        <v>1788.3792861640409</v>
      </c>
    </row>
    <row r="16154" spans="1:14" ht="11.25" customHeight="1" x14ac:dyDescent="0.2">
      <c r="A16154" s="168">
        <v>2025</v>
      </c>
      <c r="B16154" s="168">
        <v>12</v>
      </c>
      <c r="C16154" s="133">
        <v>8</v>
      </c>
      <c r="D16154" s="141">
        <f t="shared" si="2620"/>
        <v>45999</v>
      </c>
      <c r="E16154" s="275">
        <f t="shared" si="2621"/>
        <v>45999</v>
      </c>
      <c r="F16154" s="479" t="s">
        <v>964</v>
      </c>
      <c r="G16154" s="220" t="s">
        <v>74</v>
      </c>
      <c r="H16154" s="142"/>
      <c r="I16154" s="142"/>
      <c r="J16154" s="168" t="s">
        <v>52</v>
      </c>
      <c r="K16154" s="226">
        <v>500000</v>
      </c>
      <c r="L16154" s="226"/>
    </row>
    <row r="16155" spans="1:14" ht="11.25" customHeight="1" x14ac:dyDescent="0.2">
      <c r="A16155" s="133">
        <v>2025</v>
      </c>
      <c r="B16155" s="133">
        <v>12</v>
      </c>
      <c r="C16155" s="133">
        <v>8</v>
      </c>
      <c r="D16155" s="141">
        <f t="shared" si="2620"/>
        <v>45999</v>
      </c>
      <c r="E16155" s="275">
        <f t="shared" si="2621"/>
        <v>45999</v>
      </c>
      <c r="F16155" s="481"/>
      <c r="G16155" s="174" t="s">
        <v>74</v>
      </c>
      <c r="J16155" s="133" t="s">
        <v>13</v>
      </c>
      <c r="K16155" s="218"/>
      <c r="L16155" s="218">
        <v>353400</v>
      </c>
    </row>
    <row r="16156" spans="1:14" ht="11.25" customHeight="1" x14ac:dyDescent="0.2">
      <c r="A16156" s="163">
        <v>2025</v>
      </c>
      <c r="B16156" s="163">
        <v>12</v>
      </c>
      <c r="C16156" s="163">
        <v>8</v>
      </c>
      <c r="D16156" s="280">
        <f t="shared" si="2620"/>
        <v>45999</v>
      </c>
      <c r="E16156" s="281">
        <f t="shared" si="2621"/>
        <v>45999</v>
      </c>
      <c r="F16156" s="480"/>
      <c r="G16156" s="221" t="s">
        <v>74</v>
      </c>
      <c r="H16156" s="145"/>
      <c r="I16156" s="145"/>
      <c r="J16156" s="163" t="s">
        <v>53</v>
      </c>
      <c r="K16156" s="219"/>
      <c r="L16156" s="219">
        <v>146600</v>
      </c>
    </row>
    <row r="16157" spans="1:14" ht="11.25" customHeight="1" x14ac:dyDescent="0.2">
      <c r="A16157" s="168">
        <v>2025</v>
      </c>
      <c r="B16157" s="133">
        <v>12</v>
      </c>
      <c r="C16157" s="168">
        <v>8</v>
      </c>
      <c r="D16157" s="141">
        <f t="shared" si="2620"/>
        <v>45999</v>
      </c>
      <c r="E16157" s="275">
        <f t="shared" si="2621"/>
        <v>45999</v>
      </c>
      <c r="F16157" s="479" t="s">
        <v>2121</v>
      </c>
      <c r="G16157" s="220" t="s">
        <v>74</v>
      </c>
      <c r="H16157" s="220"/>
      <c r="I16157" s="142"/>
      <c r="J16157" s="143" t="s">
        <v>52</v>
      </c>
      <c r="K16157" s="226">
        <v>214422.01</v>
      </c>
      <c r="L16157" s="226"/>
    </row>
    <row r="16158" spans="1:14" x14ac:dyDescent="0.2">
      <c r="A16158" s="163">
        <v>2025</v>
      </c>
      <c r="B16158" s="163">
        <v>12</v>
      </c>
      <c r="C16158" s="163">
        <v>8</v>
      </c>
      <c r="D16158" s="280">
        <f t="shared" si="2620"/>
        <v>45999</v>
      </c>
      <c r="E16158" s="281">
        <f t="shared" si="2621"/>
        <v>45999</v>
      </c>
      <c r="F16158" s="480"/>
      <c r="G16158" s="221" t="s">
        <v>74</v>
      </c>
      <c r="H16158" s="221"/>
      <c r="I16158" s="145"/>
      <c r="J16158" s="146" t="s">
        <v>190</v>
      </c>
      <c r="K16158" s="219"/>
      <c r="L16158" s="219">
        <f>K16157</f>
        <v>214422.01</v>
      </c>
      <c r="N16158" s="264"/>
    </row>
    <row r="16159" spans="1:14" ht="11.25" customHeight="1" x14ac:dyDescent="0.2">
      <c r="A16159" s="168">
        <v>2025</v>
      </c>
      <c r="B16159" s="133">
        <v>12</v>
      </c>
      <c r="C16159" s="168">
        <v>8</v>
      </c>
      <c r="D16159" s="141">
        <f t="shared" si="2620"/>
        <v>45999</v>
      </c>
      <c r="E16159" s="275">
        <f t="shared" si="2621"/>
        <v>45999</v>
      </c>
      <c r="F16159" s="479" t="s">
        <v>2074</v>
      </c>
      <c r="G16159" s="220" t="s">
        <v>74</v>
      </c>
      <c r="H16159" s="220"/>
      <c r="I16159" s="142"/>
      <c r="J16159" s="143" t="s">
        <v>147</v>
      </c>
      <c r="K16159" s="226">
        <v>591763.26</v>
      </c>
      <c r="L16159" s="226"/>
    </row>
    <row r="16160" spans="1:14" x14ac:dyDescent="0.2">
      <c r="A16160" s="163">
        <v>2025</v>
      </c>
      <c r="B16160" s="163">
        <v>12</v>
      </c>
      <c r="C16160" s="163">
        <v>8</v>
      </c>
      <c r="D16160" s="280">
        <f t="shared" si="2620"/>
        <v>45999</v>
      </c>
      <c r="E16160" s="281">
        <f t="shared" si="2621"/>
        <v>45999</v>
      </c>
      <c r="F16160" s="480"/>
      <c r="G16160" s="221" t="s">
        <v>74</v>
      </c>
      <c r="H16160" s="221"/>
      <c r="I16160" s="145"/>
      <c r="J16160" s="146" t="s">
        <v>52</v>
      </c>
      <c r="K16160" s="219"/>
      <c r="L16160" s="219">
        <f>K16159</f>
        <v>591763.26</v>
      </c>
      <c r="N16160" s="264"/>
    </row>
    <row r="16161" spans="1:14" x14ac:dyDescent="0.2">
      <c r="A16161" s="168">
        <v>2025</v>
      </c>
      <c r="B16161" s="133">
        <v>12</v>
      </c>
      <c r="C16161" s="168">
        <v>8</v>
      </c>
      <c r="D16161" s="147">
        <f t="shared" si="2620"/>
        <v>45999</v>
      </c>
      <c r="E16161" s="311">
        <f t="shared" si="2621"/>
        <v>45999</v>
      </c>
      <c r="F16161" s="481" t="s">
        <v>1943</v>
      </c>
      <c r="G16161" s="174" t="s">
        <v>74</v>
      </c>
      <c r="I16161" s="148" t="s">
        <v>348</v>
      </c>
      <c r="J16161" s="133" t="s">
        <v>61</v>
      </c>
      <c r="K16161" s="172">
        <v>100</v>
      </c>
    </row>
    <row r="16162" spans="1:14" x14ac:dyDescent="0.2">
      <c r="A16162" s="163">
        <v>2025</v>
      </c>
      <c r="B16162" s="163">
        <v>12</v>
      </c>
      <c r="C16162" s="163">
        <v>8</v>
      </c>
      <c r="D16162" s="280">
        <f t="shared" si="2620"/>
        <v>45999</v>
      </c>
      <c r="E16162" s="281">
        <f t="shared" si="2621"/>
        <v>45999</v>
      </c>
      <c r="F16162" s="480"/>
      <c r="G16162" s="221" t="s">
        <v>74</v>
      </c>
      <c r="H16162" s="145"/>
      <c r="I16162" s="145" t="s">
        <v>348</v>
      </c>
      <c r="J16162" s="163" t="s">
        <v>52</v>
      </c>
      <c r="K16162" s="219"/>
      <c r="L16162" s="219">
        <f>K16161</f>
        <v>100</v>
      </c>
    </row>
    <row r="16163" spans="1:14" x14ac:dyDescent="0.2">
      <c r="A16163" s="133">
        <v>2025</v>
      </c>
      <c r="B16163" s="133">
        <v>12</v>
      </c>
      <c r="C16163" s="168">
        <v>8</v>
      </c>
      <c r="D16163" s="141">
        <f t="shared" si="2620"/>
        <v>45999</v>
      </c>
      <c r="E16163" s="275">
        <f t="shared" si="2621"/>
        <v>45999</v>
      </c>
      <c r="F16163" s="481" t="s">
        <v>2073</v>
      </c>
      <c r="G16163" s="174" t="s">
        <v>94</v>
      </c>
      <c r="H16163" s="174"/>
      <c r="J16163" s="149" t="s">
        <v>79</v>
      </c>
      <c r="K16163" s="218">
        <v>63000</v>
      </c>
      <c r="L16163" s="218"/>
      <c r="M16163" s="160"/>
    </row>
    <row r="16164" spans="1:14" x14ac:dyDescent="0.2">
      <c r="A16164" s="133">
        <v>2025</v>
      </c>
      <c r="B16164" s="133">
        <v>12</v>
      </c>
      <c r="C16164" s="133">
        <v>8</v>
      </c>
      <c r="D16164" s="141">
        <f t="shared" si="2620"/>
        <v>45999</v>
      </c>
      <c r="E16164" s="275">
        <f t="shared" si="2621"/>
        <v>45999</v>
      </c>
      <c r="F16164" s="481"/>
      <c r="G16164" s="174" t="s">
        <v>94</v>
      </c>
      <c r="H16164" s="174"/>
      <c r="J16164" s="149" t="s">
        <v>80</v>
      </c>
      <c r="K16164" s="218">
        <v>437.4</v>
      </c>
      <c r="L16164" s="264"/>
      <c r="M16164" s="264"/>
      <c r="N16164" s="264"/>
    </row>
    <row r="16165" spans="1:14" x14ac:dyDescent="0.2">
      <c r="A16165" s="133">
        <v>2025</v>
      </c>
      <c r="B16165" s="133">
        <v>12</v>
      </c>
      <c r="C16165" s="133">
        <v>8</v>
      </c>
      <c r="D16165" s="141">
        <f t="shared" si="2620"/>
        <v>45999</v>
      </c>
      <c r="E16165" s="275">
        <f t="shared" si="2621"/>
        <v>45999</v>
      </c>
      <c r="F16165" s="481"/>
      <c r="G16165" s="174" t="s">
        <v>94</v>
      </c>
      <c r="H16165" s="174"/>
      <c r="J16165" s="149" t="s">
        <v>190</v>
      </c>
      <c r="K16165" s="218">
        <v>116562.6</v>
      </c>
      <c r="L16165" s="218"/>
      <c r="M16165" s="264"/>
    </row>
    <row r="16166" spans="1:14" x14ac:dyDescent="0.2">
      <c r="A16166" s="133">
        <v>2025</v>
      </c>
      <c r="B16166" s="133">
        <v>12</v>
      </c>
      <c r="C16166" s="133">
        <v>8</v>
      </c>
      <c r="D16166" s="141">
        <f t="shared" si="2620"/>
        <v>45999</v>
      </c>
      <c r="E16166" s="275">
        <f t="shared" si="2621"/>
        <v>45999</v>
      </c>
      <c r="F16166" s="481"/>
      <c r="G16166" s="174" t="s">
        <v>94</v>
      </c>
      <c r="H16166" s="174"/>
      <c r="J16166" s="149" t="s">
        <v>191</v>
      </c>
      <c r="K16166" s="218">
        <v>9296.9699999999993</v>
      </c>
      <c r="L16166" s="218"/>
    </row>
    <row r="16167" spans="1:14" x14ac:dyDescent="0.2">
      <c r="A16167" s="163">
        <v>2025</v>
      </c>
      <c r="B16167" s="163">
        <v>12</v>
      </c>
      <c r="C16167" s="163">
        <v>8</v>
      </c>
      <c r="D16167" s="280">
        <f t="shared" si="2620"/>
        <v>45999</v>
      </c>
      <c r="E16167" s="281">
        <f t="shared" si="2621"/>
        <v>45999</v>
      </c>
      <c r="F16167" s="480"/>
      <c r="G16167" s="221" t="s">
        <v>94</v>
      </c>
      <c r="H16167" s="145"/>
      <c r="I16167" s="145"/>
      <c r="J16167" s="163" t="s">
        <v>79</v>
      </c>
      <c r="K16167" s="219"/>
      <c r="L16167" s="219">
        <v>189296.97</v>
      </c>
      <c r="M16167" s="264"/>
    </row>
    <row r="16168" spans="1:14" x14ac:dyDescent="0.2">
      <c r="A16168" s="325">
        <v>2025</v>
      </c>
      <c r="B16168" s="325">
        <v>12</v>
      </c>
      <c r="C16168" s="325">
        <v>8</v>
      </c>
      <c r="D16168" s="326">
        <f t="shared" si="2620"/>
        <v>45999</v>
      </c>
      <c r="E16168" s="327">
        <f t="shared" si="2621"/>
        <v>45999</v>
      </c>
      <c r="F16168" s="473" t="s">
        <v>1940</v>
      </c>
      <c r="G16168" s="340" t="s">
        <v>94</v>
      </c>
      <c r="H16168" s="340"/>
      <c r="I16168" s="341" t="s">
        <v>348</v>
      </c>
      <c r="J16168" s="374" t="s">
        <v>133</v>
      </c>
      <c r="K16168" s="375">
        <v>1843.6514285714286</v>
      </c>
      <c r="L16168" s="375"/>
      <c r="M16168" s="176"/>
    </row>
    <row r="16169" spans="1:14" x14ac:dyDescent="0.2">
      <c r="A16169" s="331">
        <v>2025</v>
      </c>
      <c r="B16169" s="331">
        <v>12</v>
      </c>
      <c r="C16169" s="331">
        <v>8</v>
      </c>
      <c r="D16169" s="326">
        <f t="shared" si="2620"/>
        <v>45999</v>
      </c>
      <c r="E16169" s="327">
        <f t="shared" si="2621"/>
        <v>45999</v>
      </c>
      <c r="F16169" s="474"/>
      <c r="G16169" s="332" t="s">
        <v>94</v>
      </c>
      <c r="H16169" s="332"/>
      <c r="I16169" s="333" t="s">
        <v>348</v>
      </c>
      <c r="J16169" s="376" t="s">
        <v>60</v>
      </c>
      <c r="K16169" s="334"/>
      <c r="L16169" s="334">
        <f>K16168</f>
        <v>1843.6514285714286</v>
      </c>
    </row>
    <row r="16170" spans="1:14" x14ac:dyDescent="0.2">
      <c r="A16170" s="325">
        <v>2025</v>
      </c>
      <c r="B16170" s="325">
        <v>12</v>
      </c>
      <c r="C16170" s="325">
        <v>8</v>
      </c>
      <c r="D16170" s="326">
        <f t="shared" si="2620"/>
        <v>45999</v>
      </c>
      <c r="E16170" s="327">
        <f t="shared" si="2621"/>
        <v>45999</v>
      </c>
      <c r="F16170" s="473" t="s">
        <v>2131</v>
      </c>
      <c r="G16170" s="340" t="s">
        <v>94</v>
      </c>
      <c r="H16170" s="340"/>
      <c r="I16170" s="341" t="s">
        <v>348</v>
      </c>
      <c r="J16170" s="374" t="s">
        <v>2156</v>
      </c>
      <c r="K16170" s="375">
        <v>6185.4395604395604</v>
      </c>
      <c r="L16170" s="375"/>
      <c r="M16170" s="176"/>
    </row>
    <row r="16171" spans="1:14" x14ac:dyDescent="0.2">
      <c r="A16171" s="331">
        <v>2025</v>
      </c>
      <c r="B16171" s="331">
        <v>12</v>
      </c>
      <c r="C16171" s="331">
        <v>8</v>
      </c>
      <c r="D16171" s="326">
        <f t="shared" si="2620"/>
        <v>45999</v>
      </c>
      <c r="E16171" s="327">
        <f t="shared" si="2621"/>
        <v>45999</v>
      </c>
      <c r="F16171" s="474"/>
      <c r="G16171" s="332" t="s">
        <v>94</v>
      </c>
      <c r="H16171" s="332"/>
      <c r="I16171" s="333" t="s">
        <v>348</v>
      </c>
      <c r="J16171" s="376" t="s">
        <v>2154</v>
      </c>
      <c r="K16171" s="334"/>
      <c r="L16171" s="334">
        <f>K16170</f>
        <v>6185.4395604395604</v>
      </c>
    </row>
    <row r="16172" spans="1:14" x14ac:dyDescent="0.2">
      <c r="A16172" s="384">
        <v>2025</v>
      </c>
      <c r="B16172" s="384">
        <v>12</v>
      </c>
      <c r="C16172" s="384">
        <v>8</v>
      </c>
      <c r="D16172" s="385">
        <f t="shared" si="2620"/>
        <v>45999</v>
      </c>
      <c r="E16172" s="386">
        <f t="shared" si="2621"/>
        <v>45999</v>
      </c>
      <c r="F16172" s="475" t="s">
        <v>1966</v>
      </c>
      <c r="G16172" s="387" t="s">
        <v>94</v>
      </c>
      <c r="H16172" s="387"/>
      <c r="I16172" s="388" t="s">
        <v>348</v>
      </c>
      <c r="J16172" s="389" t="s">
        <v>67</v>
      </c>
      <c r="K16172" s="390">
        <v>329.75712680555552</v>
      </c>
      <c r="L16172" s="390"/>
    </row>
    <row r="16173" spans="1:14" x14ac:dyDescent="0.2">
      <c r="A16173" s="391">
        <v>2025</v>
      </c>
      <c r="B16173" s="391">
        <v>12</v>
      </c>
      <c r="C16173" s="391">
        <v>8</v>
      </c>
      <c r="D16173" s="385">
        <f t="shared" si="2620"/>
        <v>45999</v>
      </c>
      <c r="E16173" s="386">
        <f t="shared" si="2621"/>
        <v>45999</v>
      </c>
      <c r="F16173" s="476"/>
      <c r="G16173" s="392" t="s">
        <v>94</v>
      </c>
      <c r="H16173" s="392"/>
      <c r="I16173" s="393" t="s">
        <v>348</v>
      </c>
      <c r="J16173" s="394" t="s">
        <v>60</v>
      </c>
      <c r="K16173" s="395"/>
      <c r="L16173" s="395">
        <f>K16172</f>
        <v>329.75712680555552</v>
      </c>
    </row>
    <row r="16174" spans="1:14" x14ac:dyDescent="0.2">
      <c r="A16174" s="343">
        <v>2025</v>
      </c>
      <c r="B16174" s="343">
        <v>12</v>
      </c>
      <c r="C16174" s="343">
        <v>8</v>
      </c>
      <c r="D16174" s="344">
        <f t="shared" si="2620"/>
        <v>45999</v>
      </c>
      <c r="E16174" s="345">
        <f t="shared" si="2621"/>
        <v>45999</v>
      </c>
      <c r="F16174" s="483" t="s">
        <v>1813</v>
      </c>
      <c r="G16174" s="350" t="s">
        <v>94</v>
      </c>
      <c r="H16174" s="350"/>
      <c r="I16174" s="352" t="s">
        <v>348</v>
      </c>
      <c r="J16174" s="353" t="s">
        <v>1807</v>
      </c>
      <c r="K16174" s="354">
        <v>0</v>
      </c>
      <c r="L16174" s="354"/>
      <c r="M16174" s="133">
        <v>0</v>
      </c>
    </row>
    <row r="16175" spans="1:14" x14ac:dyDescent="0.2">
      <c r="A16175" s="346">
        <v>2025</v>
      </c>
      <c r="B16175" s="346">
        <v>12</v>
      </c>
      <c r="C16175" s="346">
        <v>8</v>
      </c>
      <c r="D16175" s="344">
        <f t="shared" si="2620"/>
        <v>45999</v>
      </c>
      <c r="E16175" s="345">
        <f t="shared" si="2621"/>
        <v>45999</v>
      </c>
      <c r="F16175" s="484"/>
      <c r="G16175" s="347" t="s">
        <v>94</v>
      </c>
      <c r="H16175" s="347"/>
      <c r="I16175" s="348" t="s">
        <v>348</v>
      </c>
      <c r="J16175" s="355" t="s">
        <v>1798</v>
      </c>
      <c r="K16175" s="349"/>
      <c r="L16175" s="349">
        <v>0</v>
      </c>
    </row>
    <row r="16176" spans="1:14" x14ac:dyDescent="0.2">
      <c r="A16176" s="343">
        <v>2025</v>
      </c>
      <c r="B16176" s="343">
        <v>12</v>
      </c>
      <c r="C16176" s="343">
        <v>8</v>
      </c>
      <c r="D16176" s="344">
        <f t="shared" si="2620"/>
        <v>45999</v>
      </c>
      <c r="E16176" s="345">
        <f t="shared" si="2621"/>
        <v>45999</v>
      </c>
      <c r="F16176" s="483" t="s">
        <v>1913</v>
      </c>
      <c r="G16176" s="350" t="s">
        <v>94</v>
      </c>
      <c r="H16176" s="350"/>
      <c r="I16176" s="352" t="s">
        <v>348</v>
      </c>
      <c r="J16176" s="353" t="s">
        <v>1808</v>
      </c>
      <c r="K16176" s="354"/>
      <c r="L16176" s="354"/>
      <c r="M16176" s="160">
        <v>0</v>
      </c>
    </row>
    <row r="16177" spans="1:14" x14ac:dyDescent="0.2">
      <c r="A16177" s="346">
        <v>2025</v>
      </c>
      <c r="B16177" s="346">
        <v>12</v>
      </c>
      <c r="C16177" s="346">
        <v>8</v>
      </c>
      <c r="D16177" s="344">
        <f t="shared" si="2620"/>
        <v>45999</v>
      </c>
      <c r="E16177" s="345">
        <f t="shared" si="2621"/>
        <v>45999</v>
      </c>
      <c r="F16177" s="484"/>
      <c r="G16177" s="347" t="s">
        <v>94</v>
      </c>
      <c r="H16177" s="347"/>
      <c r="I16177" s="348" t="s">
        <v>348</v>
      </c>
      <c r="J16177" s="355" t="s">
        <v>1799</v>
      </c>
      <c r="K16177" s="349"/>
      <c r="L16177" s="349">
        <f>K16176</f>
        <v>0</v>
      </c>
    </row>
    <row r="16178" spans="1:14" x14ac:dyDescent="0.2">
      <c r="A16178" s="238">
        <v>2025</v>
      </c>
      <c r="B16178" s="238">
        <v>12</v>
      </c>
      <c r="C16178" s="238">
        <v>8</v>
      </c>
      <c r="D16178" s="270">
        <f t="shared" si="2620"/>
        <v>45999</v>
      </c>
      <c r="E16178" s="279">
        <f t="shared" si="2621"/>
        <v>45999</v>
      </c>
      <c r="F16178" s="477" t="s">
        <v>347</v>
      </c>
      <c r="G16178" s="239" t="s">
        <v>94</v>
      </c>
      <c r="H16178" s="239"/>
      <c r="I16178" s="262" t="s">
        <v>348</v>
      </c>
      <c r="J16178" s="240" t="s">
        <v>108</v>
      </c>
      <c r="K16178" s="241">
        <v>281691.07000002265</v>
      </c>
      <c r="L16178" s="241"/>
      <c r="M16178" s="160">
        <v>13139541.900000483</v>
      </c>
    </row>
    <row r="16179" spans="1:14" x14ac:dyDescent="0.2">
      <c r="A16179" s="242">
        <v>2025</v>
      </c>
      <c r="B16179" s="242">
        <v>12</v>
      </c>
      <c r="C16179" s="242">
        <v>8</v>
      </c>
      <c r="D16179" s="270">
        <f t="shared" si="2620"/>
        <v>45999</v>
      </c>
      <c r="E16179" s="279">
        <f t="shared" si="2621"/>
        <v>45999</v>
      </c>
      <c r="F16179" s="478"/>
      <c r="G16179" s="243" t="s">
        <v>94</v>
      </c>
      <c r="H16179" s="243"/>
      <c r="I16179" s="263" t="s">
        <v>348</v>
      </c>
      <c r="J16179" s="244" t="s">
        <v>82</v>
      </c>
      <c r="K16179" s="245"/>
      <c r="L16179" s="245">
        <f>K16178</f>
        <v>281691.07000002265</v>
      </c>
    </row>
    <row r="16180" spans="1:14" ht="12" customHeight="1" x14ac:dyDescent="0.2">
      <c r="A16180" s="246">
        <v>2025</v>
      </c>
      <c r="B16180" s="238">
        <v>12</v>
      </c>
      <c r="C16180" s="238">
        <v>8</v>
      </c>
      <c r="D16180" s="270">
        <f t="shared" si="2620"/>
        <v>45999</v>
      </c>
      <c r="E16180" s="279">
        <f t="shared" si="2621"/>
        <v>45999</v>
      </c>
      <c r="F16180" s="482" t="s">
        <v>148</v>
      </c>
      <c r="G16180" s="247" t="s">
        <v>94</v>
      </c>
      <c r="H16180" s="247"/>
      <c r="I16180" s="248" t="s">
        <v>348</v>
      </c>
      <c r="J16180" s="249" t="s">
        <v>95</v>
      </c>
      <c r="K16180" s="250">
        <v>392.46467817896388</v>
      </c>
      <c r="L16180" s="241"/>
      <c r="M16180" s="176"/>
    </row>
    <row r="16181" spans="1:14" x14ac:dyDescent="0.2">
      <c r="A16181" s="242">
        <v>2025</v>
      </c>
      <c r="B16181" s="242">
        <v>12</v>
      </c>
      <c r="C16181" s="242">
        <v>8</v>
      </c>
      <c r="D16181" s="270">
        <f t="shared" si="2620"/>
        <v>45999</v>
      </c>
      <c r="E16181" s="279">
        <f t="shared" si="2621"/>
        <v>45999</v>
      </c>
      <c r="F16181" s="478"/>
      <c r="G16181" s="243" t="s">
        <v>94</v>
      </c>
      <c r="H16181" s="243"/>
      <c r="I16181" s="263" t="s">
        <v>348</v>
      </c>
      <c r="J16181" s="244" t="s">
        <v>63</v>
      </c>
      <c r="K16181" s="245"/>
      <c r="L16181" s="245">
        <f>K16180</f>
        <v>392.46467817896388</v>
      </c>
    </row>
    <row r="16182" spans="1:14" x14ac:dyDescent="0.2">
      <c r="A16182" s="246">
        <v>2025</v>
      </c>
      <c r="B16182" s="238">
        <v>12</v>
      </c>
      <c r="C16182" s="238">
        <v>8</v>
      </c>
      <c r="D16182" s="270">
        <f t="shared" si="2620"/>
        <v>45999</v>
      </c>
      <c r="E16182" s="279">
        <f t="shared" si="2621"/>
        <v>45999</v>
      </c>
      <c r="F16182" s="482" t="s">
        <v>137</v>
      </c>
      <c r="G16182" s="247" t="s">
        <v>94</v>
      </c>
      <c r="H16182" s="247"/>
      <c r="I16182" s="248" t="s">
        <v>348</v>
      </c>
      <c r="J16182" s="249" t="s">
        <v>97</v>
      </c>
      <c r="K16182" s="250">
        <f>M16182</f>
        <v>12666.454120113174</v>
      </c>
      <c r="L16182" s="252"/>
      <c r="M16182" s="170">
        <v>12666.454120113174</v>
      </c>
    </row>
    <row r="16183" spans="1:14" x14ac:dyDescent="0.2">
      <c r="A16183" s="242">
        <v>2025</v>
      </c>
      <c r="B16183" s="242">
        <v>12</v>
      </c>
      <c r="C16183" s="242">
        <v>8</v>
      </c>
      <c r="D16183" s="270">
        <f t="shared" si="2620"/>
        <v>45999</v>
      </c>
      <c r="E16183" s="279">
        <f t="shared" si="2621"/>
        <v>45999</v>
      </c>
      <c r="F16183" s="478"/>
      <c r="G16183" s="243" t="s">
        <v>94</v>
      </c>
      <c r="H16183" s="243"/>
      <c r="I16183" s="263" t="s">
        <v>348</v>
      </c>
      <c r="J16183" s="244" t="s">
        <v>47</v>
      </c>
      <c r="K16183" s="245"/>
      <c r="L16183" s="245">
        <f>K16182</f>
        <v>12666.454120113174</v>
      </c>
      <c r="M16183" s="170">
        <v>598.9820466649993</v>
      </c>
    </row>
    <row r="16184" spans="1:14" x14ac:dyDescent="0.2">
      <c r="A16184" s="246">
        <v>2025</v>
      </c>
      <c r="B16184" s="238">
        <v>12</v>
      </c>
      <c r="C16184" s="238">
        <v>8</v>
      </c>
      <c r="D16184" s="270">
        <f t="shared" si="2620"/>
        <v>45999</v>
      </c>
      <c r="E16184" s="279">
        <f t="shared" si="2621"/>
        <v>45999</v>
      </c>
      <c r="F16184" s="482" t="s">
        <v>138</v>
      </c>
      <c r="G16184" s="247" t="s">
        <v>94</v>
      </c>
      <c r="H16184" s="247"/>
      <c r="I16184" s="248" t="s">
        <v>348</v>
      </c>
      <c r="J16184" s="249" t="s">
        <v>100</v>
      </c>
      <c r="K16184" s="250">
        <f>M16183</f>
        <v>598.9820466649993</v>
      </c>
      <c r="L16184" s="252"/>
    </row>
    <row r="16185" spans="1:14" x14ac:dyDescent="0.2">
      <c r="A16185" s="242">
        <v>2025</v>
      </c>
      <c r="B16185" s="242">
        <v>12</v>
      </c>
      <c r="C16185" s="242">
        <v>8</v>
      </c>
      <c r="D16185" s="321">
        <f t="shared" si="2620"/>
        <v>45999</v>
      </c>
      <c r="E16185" s="322">
        <f t="shared" si="2621"/>
        <v>45999</v>
      </c>
      <c r="F16185" s="478"/>
      <c r="G16185" s="243" t="s">
        <v>94</v>
      </c>
      <c r="H16185" s="243"/>
      <c r="I16185" s="263" t="s">
        <v>348</v>
      </c>
      <c r="J16185" s="244" t="s">
        <v>48</v>
      </c>
      <c r="K16185" s="245"/>
      <c r="L16185" s="245">
        <f>K16184</f>
        <v>598.9820466649993</v>
      </c>
    </row>
    <row r="16186" spans="1:14" ht="11.25" customHeight="1" x14ac:dyDescent="0.2">
      <c r="A16186" s="168">
        <v>2025</v>
      </c>
      <c r="B16186" s="168">
        <v>12</v>
      </c>
      <c r="C16186" s="133">
        <v>9</v>
      </c>
      <c r="D16186" s="141">
        <f t="shared" ref="D16186:D16215" si="2624">DATE(A16186,B16186,C16186)</f>
        <v>46000</v>
      </c>
      <c r="E16186" s="275">
        <f t="shared" ref="E16186:E16215" si="2625">DATE(A16186,B16186,C16186)</f>
        <v>46000</v>
      </c>
      <c r="F16186" s="479" t="s">
        <v>964</v>
      </c>
      <c r="G16186" s="220" t="s">
        <v>74</v>
      </c>
      <c r="H16186" s="142"/>
      <c r="I16186" s="142"/>
      <c r="J16186" s="168" t="s">
        <v>52</v>
      </c>
      <c r="K16186" s="226">
        <v>1400000</v>
      </c>
      <c r="L16186" s="226"/>
    </row>
    <row r="16187" spans="1:14" ht="11.25" customHeight="1" x14ac:dyDescent="0.2">
      <c r="A16187" s="133">
        <v>2025</v>
      </c>
      <c r="B16187" s="133">
        <v>12</v>
      </c>
      <c r="C16187" s="133">
        <v>9</v>
      </c>
      <c r="D16187" s="141">
        <f t="shared" si="2624"/>
        <v>46000</v>
      </c>
      <c r="E16187" s="275">
        <f t="shared" si="2625"/>
        <v>46000</v>
      </c>
      <c r="F16187" s="481"/>
      <c r="G16187" s="174" t="s">
        <v>74</v>
      </c>
      <c r="J16187" s="133" t="s">
        <v>13</v>
      </c>
      <c r="K16187" s="218"/>
      <c r="L16187" s="218">
        <v>987180</v>
      </c>
    </row>
    <row r="16188" spans="1:14" ht="11.25" customHeight="1" x14ac:dyDescent="0.2">
      <c r="A16188" s="163">
        <v>2025</v>
      </c>
      <c r="B16188" s="163">
        <v>12</v>
      </c>
      <c r="C16188" s="163">
        <v>9</v>
      </c>
      <c r="D16188" s="280">
        <f t="shared" si="2624"/>
        <v>46000</v>
      </c>
      <c r="E16188" s="281">
        <f t="shared" si="2625"/>
        <v>46000</v>
      </c>
      <c r="F16188" s="480"/>
      <c r="G16188" s="221" t="s">
        <v>74</v>
      </c>
      <c r="H16188" s="145"/>
      <c r="I16188" s="145"/>
      <c r="J16188" s="163" t="s">
        <v>53</v>
      </c>
      <c r="K16188" s="219"/>
      <c r="L16188" s="219">
        <v>412820</v>
      </c>
    </row>
    <row r="16189" spans="1:14" x14ac:dyDescent="0.2">
      <c r="A16189" s="133">
        <v>2025</v>
      </c>
      <c r="B16189" s="133">
        <v>9</v>
      </c>
      <c r="C16189" s="133">
        <v>9</v>
      </c>
      <c r="D16189" s="141">
        <f t="shared" si="2624"/>
        <v>45909</v>
      </c>
      <c r="E16189" s="275">
        <f t="shared" si="2625"/>
        <v>45909</v>
      </c>
      <c r="F16189" s="481" t="s">
        <v>2123</v>
      </c>
      <c r="G16189" s="174" t="s">
        <v>94</v>
      </c>
      <c r="H16189" s="174"/>
      <c r="J16189" s="149" t="s">
        <v>80</v>
      </c>
      <c r="K16189" s="218">
        <v>388.08</v>
      </c>
      <c r="L16189" s="264"/>
      <c r="M16189" s="264"/>
      <c r="N16189" s="264"/>
    </row>
    <row r="16190" spans="1:14" x14ac:dyDescent="0.2">
      <c r="A16190" s="133">
        <v>2025</v>
      </c>
      <c r="B16190" s="133">
        <v>9</v>
      </c>
      <c r="C16190" s="133">
        <v>9</v>
      </c>
      <c r="D16190" s="141">
        <f t="shared" si="2624"/>
        <v>45909</v>
      </c>
      <c r="E16190" s="275">
        <f t="shared" si="2625"/>
        <v>45909</v>
      </c>
      <c r="F16190" s="481"/>
      <c r="G16190" s="174" t="s">
        <v>94</v>
      </c>
      <c r="H16190" s="174"/>
      <c r="J16190" s="149" t="s">
        <v>190</v>
      </c>
      <c r="K16190" s="218">
        <v>215211.92</v>
      </c>
      <c r="L16190" s="218"/>
      <c r="M16190" s="264"/>
    </row>
    <row r="16191" spans="1:14" x14ac:dyDescent="0.2">
      <c r="A16191" s="133">
        <v>2025</v>
      </c>
      <c r="B16191" s="133">
        <v>9</v>
      </c>
      <c r="C16191" s="133">
        <v>9</v>
      </c>
      <c r="D16191" s="141">
        <f t="shared" si="2624"/>
        <v>45909</v>
      </c>
      <c r="E16191" s="275">
        <f t="shared" si="2625"/>
        <v>45909</v>
      </c>
      <c r="F16191" s="481"/>
      <c r="G16191" s="174" t="s">
        <v>94</v>
      </c>
      <c r="H16191" s="174"/>
      <c r="J16191" s="149" t="s">
        <v>191</v>
      </c>
      <c r="K16191" s="172">
        <v>5326.27</v>
      </c>
      <c r="L16191" s="218"/>
    </row>
    <row r="16192" spans="1:14" x14ac:dyDescent="0.2">
      <c r="A16192" s="163">
        <v>2025</v>
      </c>
      <c r="B16192" s="163">
        <v>9</v>
      </c>
      <c r="C16192" s="163">
        <v>9</v>
      </c>
      <c r="D16192" s="280">
        <f t="shared" si="2624"/>
        <v>45909</v>
      </c>
      <c r="E16192" s="281">
        <f t="shared" si="2625"/>
        <v>45909</v>
      </c>
      <c r="F16192" s="480"/>
      <c r="G16192" s="221" t="s">
        <v>94</v>
      </c>
      <c r="H16192" s="145"/>
      <c r="I16192" s="145"/>
      <c r="J16192" s="163" t="s">
        <v>79</v>
      </c>
      <c r="K16192" s="219"/>
      <c r="L16192" s="219">
        <v>220926.27</v>
      </c>
      <c r="M16192" s="264"/>
    </row>
    <row r="16193" spans="1:14" x14ac:dyDescent="0.2">
      <c r="A16193" s="133">
        <v>2025</v>
      </c>
      <c r="B16193" s="133">
        <v>12</v>
      </c>
      <c r="C16193" s="168">
        <v>9</v>
      </c>
      <c r="D16193" s="141">
        <f t="shared" si="2624"/>
        <v>46000</v>
      </c>
      <c r="E16193" s="275">
        <f t="shared" si="2625"/>
        <v>46000</v>
      </c>
      <c r="F16193" s="481" t="s">
        <v>2073</v>
      </c>
      <c r="G16193" s="174" t="s">
        <v>94</v>
      </c>
      <c r="H16193" s="174"/>
      <c r="J16193" s="149" t="s">
        <v>79</v>
      </c>
      <c r="K16193" s="218">
        <v>913235</v>
      </c>
      <c r="L16193" s="218"/>
      <c r="M16193" s="160"/>
    </row>
    <row r="16194" spans="1:14" x14ac:dyDescent="0.2">
      <c r="A16194" s="133">
        <v>2025</v>
      </c>
      <c r="B16194" s="133">
        <v>12</v>
      </c>
      <c r="C16194" s="133">
        <v>9</v>
      </c>
      <c r="D16194" s="141">
        <f t="shared" si="2624"/>
        <v>46000</v>
      </c>
      <c r="E16194" s="275">
        <f t="shared" si="2625"/>
        <v>46000</v>
      </c>
      <c r="F16194" s="481"/>
      <c r="G16194" s="174" t="s">
        <v>94</v>
      </c>
      <c r="H16194" s="174"/>
      <c r="J16194" s="149" t="s">
        <v>80</v>
      </c>
      <c r="K16194" s="218">
        <v>4353.3599999999997</v>
      </c>
      <c r="L16194" s="264"/>
      <c r="M16194" s="264"/>
      <c r="N16194" s="264"/>
    </row>
    <row r="16195" spans="1:14" x14ac:dyDescent="0.2">
      <c r="A16195" s="133">
        <v>2025</v>
      </c>
      <c r="B16195" s="133">
        <v>12</v>
      </c>
      <c r="C16195" s="133">
        <v>9</v>
      </c>
      <c r="D16195" s="141">
        <f t="shared" si="2624"/>
        <v>46000</v>
      </c>
      <c r="E16195" s="275">
        <f t="shared" si="2625"/>
        <v>46000</v>
      </c>
      <c r="F16195" s="481"/>
      <c r="G16195" s="174" t="s">
        <v>94</v>
      </c>
      <c r="H16195" s="174"/>
      <c r="J16195" s="149" t="s">
        <v>190</v>
      </c>
      <c r="K16195" s="218">
        <v>587711.64</v>
      </c>
      <c r="L16195" s="218"/>
      <c r="M16195" s="264"/>
    </row>
    <row r="16196" spans="1:14" x14ac:dyDescent="0.2">
      <c r="A16196" s="133">
        <v>2025</v>
      </c>
      <c r="B16196" s="133">
        <v>12</v>
      </c>
      <c r="C16196" s="133">
        <v>9</v>
      </c>
      <c r="D16196" s="141">
        <f t="shared" si="2624"/>
        <v>46000</v>
      </c>
      <c r="E16196" s="275">
        <f t="shared" si="2625"/>
        <v>46000</v>
      </c>
      <c r="F16196" s="481"/>
      <c r="G16196" s="174" t="s">
        <v>94</v>
      </c>
      <c r="H16196" s="174"/>
      <c r="J16196" s="149" t="s">
        <v>191</v>
      </c>
      <c r="K16196" s="218">
        <v>11457.08</v>
      </c>
      <c r="L16196" s="218"/>
    </row>
    <row r="16197" spans="1:14" x14ac:dyDescent="0.2">
      <c r="A16197" s="163">
        <v>2025</v>
      </c>
      <c r="B16197" s="163">
        <v>12</v>
      </c>
      <c r="C16197" s="163">
        <v>9</v>
      </c>
      <c r="D16197" s="280">
        <f t="shared" si="2624"/>
        <v>46000</v>
      </c>
      <c r="E16197" s="281">
        <f t="shared" si="2625"/>
        <v>46000</v>
      </c>
      <c r="F16197" s="480"/>
      <c r="G16197" s="221" t="s">
        <v>94</v>
      </c>
      <c r="H16197" s="145"/>
      <c r="I16197" s="145"/>
      <c r="J16197" s="163" t="s">
        <v>79</v>
      </c>
      <c r="K16197" s="219"/>
      <c r="L16197" s="219">
        <v>1516757.08</v>
      </c>
      <c r="M16197" s="264"/>
    </row>
    <row r="16198" spans="1:14" x14ac:dyDescent="0.2">
      <c r="A16198" s="325">
        <v>2025</v>
      </c>
      <c r="B16198" s="325">
        <v>12</v>
      </c>
      <c r="C16198" s="325">
        <v>9</v>
      </c>
      <c r="D16198" s="326">
        <f t="shared" si="2624"/>
        <v>46000</v>
      </c>
      <c r="E16198" s="327">
        <f t="shared" si="2625"/>
        <v>46000</v>
      </c>
      <c r="F16198" s="473" t="s">
        <v>1940</v>
      </c>
      <c r="G16198" s="340" t="s">
        <v>94</v>
      </c>
      <c r="H16198" s="340"/>
      <c r="I16198" s="341" t="s">
        <v>348</v>
      </c>
      <c r="J16198" s="374" t="s">
        <v>133</v>
      </c>
      <c r="K16198" s="375">
        <v>1843.6514285714286</v>
      </c>
      <c r="L16198" s="375"/>
      <c r="M16198" s="176"/>
    </row>
    <row r="16199" spans="1:14" x14ac:dyDescent="0.2">
      <c r="A16199" s="331">
        <v>2025</v>
      </c>
      <c r="B16199" s="331">
        <v>12</v>
      </c>
      <c r="C16199" s="331">
        <v>9</v>
      </c>
      <c r="D16199" s="326">
        <f t="shared" si="2624"/>
        <v>46000</v>
      </c>
      <c r="E16199" s="327">
        <f t="shared" si="2625"/>
        <v>46000</v>
      </c>
      <c r="F16199" s="474"/>
      <c r="G16199" s="332" t="s">
        <v>94</v>
      </c>
      <c r="H16199" s="332"/>
      <c r="I16199" s="333" t="s">
        <v>348</v>
      </c>
      <c r="J16199" s="376" t="s">
        <v>60</v>
      </c>
      <c r="K16199" s="334"/>
      <c r="L16199" s="334">
        <f>K16198</f>
        <v>1843.6514285714286</v>
      </c>
    </row>
    <row r="16200" spans="1:14" x14ac:dyDescent="0.2">
      <c r="A16200" s="325">
        <v>2025</v>
      </c>
      <c r="B16200" s="325">
        <v>12</v>
      </c>
      <c r="C16200" s="325">
        <v>9</v>
      </c>
      <c r="D16200" s="326">
        <f t="shared" si="2624"/>
        <v>46000</v>
      </c>
      <c r="E16200" s="327">
        <f t="shared" si="2625"/>
        <v>46000</v>
      </c>
      <c r="F16200" s="473" t="s">
        <v>2131</v>
      </c>
      <c r="G16200" s="340" t="s">
        <v>94</v>
      </c>
      <c r="H16200" s="340"/>
      <c r="I16200" s="341" t="s">
        <v>348</v>
      </c>
      <c r="J16200" s="374" t="s">
        <v>2156</v>
      </c>
      <c r="K16200" s="375">
        <v>6185.4395604395604</v>
      </c>
      <c r="L16200" s="375"/>
      <c r="M16200" s="176"/>
    </row>
    <row r="16201" spans="1:14" x14ac:dyDescent="0.2">
      <c r="A16201" s="331">
        <v>2025</v>
      </c>
      <c r="B16201" s="331">
        <v>12</v>
      </c>
      <c r="C16201" s="331">
        <v>9</v>
      </c>
      <c r="D16201" s="326">
        <f t="shared" si="2624"/>
        <v>46000</v>
      </c>
      <c r="E16201" s="327">
        <f t="shared" si="2625"/>
        <v>46000</v>
      </c>
      <c r="F16201" s="474"/>
      <c r="G16201" s="332" t="s">
        <v>94</v>
      </c>
      <c r="H16201" s="332"/>
      <c r="I16201" s="333" t="s">
        <v>348</v>
      </c>
      <c r="J16201" s="376" t="s">
        <v>2154</v>
      </c>
      <c r="K16201" s="334"/>
      <c r="L16201" s="334">
        <f>K16200</f>
        <v>6185.4395604395604</v>
      </c>
    </row>
    <row r="16202" spans="1:14" x14ac:dyDescent="0.2">
      <c r="A16202" s="384">
        <v>2025</v>
      </c>
      <c r="B16202" s="384">
        <v>12</v>
      </c>
      <c r="C16202" s="384">
        <v>9</v>
      </c>
      <c r="D16202" s="385">
        <f t="shared" si="2624"/>
        <v>46000</v>
      </c>
      <c r="E16202" s="386">
        <f t="shared" si="2625"/>
        <v>46000</v>
      </c>
      <c r="F16202" s="475" t="s">
        <v>1966</v>
      </c>
      <c r="G16202" s="387" t="s">
        <v>94</v>
      </c>
      <c r="H16202" s="387"/>
      <c r="I16202" s="388" t="s">
        <v>348</v>
      </c>
      <c r="J16202" s="389" t="s">
        <v>67</v>
      </c>
      <c r="K16202" s="390">
        <v>659.83335805555566</v>
      </c>
      <c r="L16202" s="390"/>
    </row>
    <row r="16203" spans="1:14" x14ac:dyDescent="0.2">
      <c r="A16203" s="391">
        <v>2025</v>
      </c>
      <c r="B16203" s="391">
        <v>12</v>
      </c>
      <c r="C16203" s="391">
        <v>9</v>
      </c>
      <c r="D16203" s="385">
        <f t="shared" si="2624"/>
        <v>46000</v>
      </c>
      <c r="E16203" s="386">
        <f t="shared" si="2625"/>
        <v>46000</v>
      </c>
      <c r="F16203" s="476"/>
      <c r="G16203" s="392" t="s">
        <v>94</v>
      </c>
      <c r="H16203" s="392"/>
      <c r="I16203" s="393" t="s">
        <v>348</v>
      </c>
      <c r="J16203" s="394" t="s">
        <v>60</v>
      </c>
      <c r="K16203" s="395"/>
      <c r="L16203" s="395">
        <f>K16202</f>
        <v>659.83335805555566</v>
      </c>
    </row>
    <row r="16204" spans="1:14" x14ac:dyDescent="0.2">
      <c r="A16204" s="343">
        <v>2025</v>
      </c>
      <c r="B16204" s="343">
        <v>12</v>
      </c>
      <c r="C16204" s="343">
        <v>9</v>
      </c>
      <c r="D16204" s="344">
        <f t="shared" si="2624"/>
        <v>46000</v>
      </c>
      <c r="E16204" s="345">
        <f t="shared" si="2625"/>
        <v>46000</v>
      </c>
      <c r="F16204" s="483" t="s">
        <v>1813</v>
      </c>
      <c r="G16204" s="350" t="s">
        <v>94</v>
      </c>
      <c r="H16204" s="350"/>
      <c r="I16204" s="352" t="s">
        <v>348</v>
      </c>
      <c r="J16204" s="353" t="s">
        <v>1807</v>
      </c>
      <c r="K16204" s="354">
        <v>0</v>
      </c>
      <c r="L16204" s="354"/>
      <c r="M16204" s="133">
        <v>0</v>
      </c>
    </row>
    <row r="16205" spans="1:14" x14ac:dyDescent="0.2">
      <c r="A16205" s="346">
        <v>2025</v>
      </c>
      <c r="B16205" s="346">
        <v>12</v>
      </c>
      <c r="C16205" s="346">
        <v>9</v>
      </c>
      <c r="D16205" s="344">
        <f t="shared" si="2624"/>
        <v>46000</v>
      </c>
      <c r="E16205" s="345">
        <f t="shared" si="2625"/>
        <v>46000</v>
      </c>
      <c r="F16205" s="484"/>
      <c r="G16205" s="347" t="s">
        <v>94</v>
      </c>
      <c r="H16205" s="347"/>
      <c r="I16205" s="348" t="s">
        <v>348</v>
      </c>
      <c r="J16205" s="355" t="s">
        <v>1798</v>
      </c>
      <c r="K16205" s="349"/>
      <c r="L16205" s="349">
        <v>0</v>
      </c>
    </row>
    <row r="16206" spans="1:14" x14ac:dyDescent="0.2">
      <c r="A16206" s="343">
        <v>2025</v>
      </c>
      <c r="B16206" s="343">
        <v>12</v>
      </c>
      <c r="C16206" s="343">
        <v>9</v>
      </c>
      <c r="D16206" s="344">
        <f t="shared" si="2624"/>
        <v>46000</v>
      </c>
      <c r="E16206" s="345">
        <f t="shared" si="2625"/>
        <v>46000</v>
      </c>
      <c r="F16206" s="483" t="s">
        <v>1913</v>
      </c>
      <c r="G16206" s="350" t="s">
        <v>94</v>
      </c>
      <c r="H16206" s="350"/>
      <c r="I16206" s="352" t="s">
        <v>348</v>
      </c>
      <c r="J16206" s="353" t="s">
        <v>1808</v>
      </c>
      <c r="K16206" s="354"/>
      <c r="L16206" s="354"/>
      <c r="M16206" s="160">
        <v>0</v>
      </c>
    </row>
    <row r="16207" spans="1:14" x14ac:dyDescent="0.2">
      <c r="A16207" s="346">
        <v>2025</v>
      </c>
      <c r="B16207" s="346">
        <v>12</v>
      </c>
      <c r="C16207" s="346">
        <v>9</v>
      </c>
      <c r="D16207" s="344">
        <f t="shared" si="2624"/>
        <v>46000</v>
      </c>
      <c r="E16207" s="345">
        <f t="shared" si="2625"/>
        <v>46000</v>
      </c>
      <c r="F16207" s="484"/>
      <c r="G16207" s="347" t="s">
        <v>94</v>
      </c>
      <c r="H16207" s="347"/>
      <c r="I16207" s="348" t="s">
        <v>348</v>
      </c>
      <c r="J16207" s="355" t="s">
        <v>1799</v>
      </c>
      <c r="K16207" s="349"/>
      <c r="L16207" s="349">
        <f>K16206</f>
        <v>0</v>
      </c>
    </row>
    <row r="16208" spans="1:14" x14ac:dyDescent="0.2">
      <c r="A16208" s="238">
        <v>2025</v>
      </c>
      <c r="B16208" s="238">
        <v>12</v>
      </c>
      <c r="C16208" s="238">
        <v>9</v>
      </c>
      <c r="D16208" s="270">
        <f t="shared" si="2624"/>
        <v>46000</v>
      </c>
      <c r="E16208" s="279">
        <f t="shared" si="2625"/>
        <v>46000</v>
      </c>
      <c r="F16208" s="477" t="s">
        <v>347</v>
      </c>
      <c r="G16208" s="239" t="s">
        <v>94</v>
      </c>
      <c r="H16208" s="239"/>
      <c r="I16208" s="262" t="s">
        <v>348</v>
      </c>
      <c r="J16208" s="240" t="s">
        <v>108</v>
      </c>
      <c r="K16208" s="241">
        <v>1542493.7500000596</v>
      </c>
      <c r="L16208" s="241"/>
      <c r="M16208" s="160">
        <v>13139541.900000483</v>
      </c>
    </row>
    <row r="16209" spans="1:14" x14ac:dyDescent="0.2">
      <c r="A16209" s="242">
        <v>2025</v>
      </c>
      <c r="B16209" s="242">
        <v>12</v>
      </c>
      <c r="C16209" s="242">
        <v>9</v>
      </c>
      <c r="D16209" s="270">
        <f t="shared" si="2624"/>
        <v>46000</v>
      </c>
      <c r="E16209" s="279">
        <f t="shared" si="2625"/>
        <v>46000</v>
      </c>
      <c r="F16209" s="478"/>
      <c r="G16209" s="243" t="s">
        <v>94</v>
      </c>
      <c r="H16209" s="243"/>
      <c r="I16209" s="263" t="s">
        <v>348</v>
      </c>
      <c r="J16209" s="244" t="s">
        <v>82</v>
      </c>
      <c r="K16209" s="245"/>
      <c r="L16209" s="245">
        <f>K16208</f>
        <v>1542493.7500000596</v>
      </c>
    </row>
    <row r="16210" spans="1:14" ht="12" customHeight="1" x14ac:dyDescent="0.2">
      <c r="A16210" s="246">
        <v>2025</v>
      </c>
      <c r="B16210" s="238">
        <v>12</v>
      </c>
      <c r="C16210" s="238">
        <v>9</v>
      </c>
      <c r="D16210" s="270">
        <f t="shared" si="2624"/>
        <v>46000</v>
      </c>
      <c r="E16210" s="279">
        <f t="shared" si="2625"/>
        <v>46000</v>
      </c>
      <c r="F16210" s="482" t="s">
        <v>148</v>
      </c>
      <c r="G16210" s="247" t="s">
        <v>94</v>
      </c>
      <c r="H16210" s="247"/>
      <c r="I16210" s="248" t="s">
        <v>348</v>
      </c>
      <c r="J16210" s="249" t="s">
        <v>95</v>
      </c>
      <c r="K16210" s="250">
        <v>392.46467817896388</v>
      </c>
      <c r="L16210" s="241"/>
      <c r="M16210" s="176"/>
    </row>
    <row r="16211" spans="1:14" x14ac:dyDescent="0.2">
      <c r="A16211" s="242">
        <v>2025</v>
      </c>
      <c r="B16211" s="242">
        <v>12</v>
      </c>
      <c r="C16211" s="242">
        <v>9</v>
      </c>
      <c r="D16211" s="270">
        <f t="shared" si="2624"/>
        <v>46000</v>
      </c>
      <c r="E16211" s="279">
        <f t="shared" si="2625"/>
        <v>46000</v>
      </c>
      <c r="F16211" s="478"/>
      <c r="G16211" s="243" t="s">
        <v>94</v>
      </c>
      <c r="H16211" s="243"/>
      <c r="I16211" s="263" t="s">
        <v>348</v>
      </c>
      <c r="J16211" s="244" t="s">
        <v>63</v>
      </c>
      <c r="K16211" s="245"/>
      <c r="L16211" s="245">
        <f>K16210</f>
        <v>392.46467817896388</v>
      </c>
    </row>
    <row r="16212" spans="1:14" x14ac:dyDescent="0.2">
      <c r="A16212" s="246">
        <v>2025</v>
      </c>
      <c r="B16212" s="238">
        <v>12</v>
      </c>
      <c r="C16212" s="238">
        <v>9</v>
      </c>
      <c r="D16212" s="270">
        <f t="shared" si="2624"/>
        <v>46000</v>
      </c>
      <c r="E16212" s="279">
        <f t="shared" si="2625"/>
        <v>46000</v>
      </c>
      <c r="F16212" s="482" t="s">
        <v>137</v>
      </c>
      <c r="G16212" s="247" t="s">
        <v>94</v>
      </c>
      <c r="H16212" s="247"/>
      <c r="I16212" s="248" t="s">
        <v>348</v>
      </c>
      <c r="J16212" s="249" t="s">
        <v>97</v>
      </c>
      <c r="K16212" s="250">
        <f>M16212</f>
        <v>12826.67389942648</v>
      </c>
      <c r="L16212" s="252"/>
      <c r="M16212" s="170">
        <v>12826.67389942648</v>
      </c>
    </row>
    <row r="16213" spans="1:14" x14ac:dyDescent="0.2">
      <c r="A16213" s="242">
        <v>2025</v>
      </c>
      <c r="B16213" s="242">
        <v>12</v>
      </c>
      <c r="C16213" s="242">
        <v>9</v>
      </c>
      <c r="D16213" s="270">
        <f t="shared" si="2624"/>
        <v>46000</v>
      </c>
      <c r="E16213" s="279">
        <f t="shared" si="2625"/>
        <v>46000</v>
      </c>
      <c r="F16213" s="478"/>
      <c r="G16213" s="243" t="s">
        <v>94</v>
      </c>
      <c r="H16213" s="243"/>
      <c r="I16213" s="263" t="s">
        <v>348</v>
      </c>
      <c r="J16213" s="244" t="s">
        <v>47</v>
      </c>
      <c r="K16213" s="245"/>
      <c r="L16213" s="245">
        <f>K16212</f>
        <v>12826.67389942648</v>
      </c>
      <c r="M16213" s="170">
        <v>606.99303563066474</v>
      </c>
    </row>
    <row r="16214" spans="1:14" x14ac:dyDescent="0.2">
      <c r="A16214" s="246">
        <v>2025</v>
      </c>
      <c r="B16214" s="238">
        <v>12</v>
      </c>
      <c r="C16214" s="238">
        <v>9</v>
      </c>
      <c r="D16214" s="270">
        <f t="shared" si="2624"/>
        <v>46000</v>
      </c>
      <c r="E16214" s="279">
        <f t="shared" si="2625"/>
        <v>46000</v>
      </c>
      <c r="F16214" s="482" t="s">
        <v>138</v>
      </c>
      <c r="G16214" s="247" t="s">
        <v>94</v>
      </c>
      <c r="H16214" s="247"/>
      <c r="I16214" s="248" t="s">
        <v>348</v>
      </c>
      <c r="J16214" s="249" t="s">
        <v>100</v>
      </c>
      <c r="K16214" s="250">
        <f>M16213</f>
        <v>606.99303563066474</v>
      </c>
      <c r="L16214" s="252"/>
    </row>
    <row r="16215" spans="1:14" x14ac:dyDescent="0.2">
      <c r="A16215" s="242">
        <v>2025</v>
      </c>
      <c r="B16215" s="242">
        <v>12</v>
      </c>
      <c r="C16215" s="242">
        <v>9</v>
      </c>
      <c r="D16215" s="321">
        <f t="shared" si="2624"/>
        <v>46000</v>
      </c>
      <c r="E16215" s="322">
        <f t="shared" si="2625"/>
        <v>46000</v>
      </c>
      <c r="F16215" s="478"/>
      <c r="G16215" s="243" t="s">
        <v>94</v>
      </c>
      <c r="H16215" s="243"/>
      <c r="I16215" s="263" t="s">
        <v>348</v>
      </c>
      <c r="J16215" s="244" t="s">
        <v>48</v>
      </c>
      <c r="K16215" s="245"/>
      <c r="L16215" s="245">
        <f>K16214</f>
        <v>606.99303563066474</v>
      </c>
    </row>
    <row r="16216" spans="1:14" x14ac:dyDescent="0.2">
      <c r="A16216" s="133">
        <v>2025</v>
      </c>
      <c r="B16216" s="133">
        <v>12</v>
      </c>
      <c r="C16216" s="168">
        <v>10</v>
      </c>
      <c r="D16216" s="141">
        <f t="shared" ref="D16216:D16273" si="2626">DATE(A16216,B16216,C16216)</f>
        <v>46001</v>
      </c>
      <c r="E16216" s="275">
        <f t="shared" ref="E16216:E16273" si="2627">DATE(A16216,B16216,C16216)</f>
        <v>46001</v>
      </c>
      <c r="F16216" s="481" t="s">
        <v>2073</v>
      </c>
      <c r="G16216" s="174" t="s">
        <v>94</v>
      </c>
      <c r="H16216" s="174"/>
      <c r="J16216" s="149" t="s">
        <v>79</v>
      </c>
      <c r="K16216" s="218">
        <v>1358108</v>
      </c>
      <c r="L16216" s="218"/>
      <c r="M16216" s="160"/>
    </row>
    <row r="16217" spans="1:14" x14ac:dyDescent="0.2">
      <c r="A16217" s="133">
        <v>2025</v>
      </c>
      <c r="B16217" s="133">
        <v>12</v>
      </c>
      <c r="C16217" s="133">
        <v>10</v>
      </c>
      <c r="D16217" s="141">
        <f t="shared" si="2626"/>
        <v>46001</v>
      </c>
      <c r="E16217" s="275">
        <f t="shared" si="2627"/>
        <v>46001</v>
      </c>
      <c r="F16217" s="481"/>
      <c r="G16217" s="174" t="s">
        <v>94</v>
      </c>
      <c r="H16217" s="174"/>
      <c r="J16217" s="149" t="s">
        <v>80</v>
      </c>
      <c r="K16217" s="218">
        <v>3003.95</v>
      </c>
      <c r="L16217" s="264"/>
      <c r="M16217" s="264"/>
      <c r="N16217" s="264"/>
    </row>
    <row r="16218" spans="1:14" x14ac:dyDescent="0.2">
      <c r="A16218" s="133">
        <v>2025</v>
      </c>
      <c r="B16218" s="133">
        <v>12</v>
      </c>
      <c r="C16218" s="133">
        <v>10</v>
      </c>
      <c r="D16218" s="141">
        <f t="shared" si="2626"/>
        <v>46001</v>
      </c>
      <c r="E16218" s="275">
        <f t="shared" si="2627"/>
        <v>46001</v>
      </c>
      <c r="F16218" s="481"/>
      <c r="G16218" s="174" t="s">
        <v>94</v>
      </c>
      <c r="H16218" s="174"/>
      <c r="J16218" s="149" t="s">
        <v>147</v>
      </c>
      <c r="K16218" s="218"/>
      <c r="L16218" s="218">
        <v>1050358.75</v>
      </c>
      <c r="M16218" s="264"/>
    </row>
    <row r="16219" spans="1:14" x14ac:dyDescent="0.2">
      <c r="A16219" s="133">
        <v>2025</v>
      </c>
      <c r="B16219" s="133">
        <v>12</v>
      </c>
      <c r="C16219" s="133">
        <v>10</v>
      </c>
      <c r="D16219" s="141">
        <f t="shared" si="2626"/>
        <v>46001</v>
      </c>
      <c r="E16219" s="275">
        <f t="shared" si="2627"/>
        <v>46001</v>
      </c>
      <c r="F16219" s="481"/>
      <c r="G16219" s="174" t="s">
        <v>94</v>
      </c>
      <c r="H16219" s="174"/>
      <c r="J16219" s="149" t="s">
        <v>191</v>
      </c>
      <c r="K16219" s="218"/>
      <c r="L16219" s="218">
        <v>23236.11</v>
      </c>
    </row>
    <row r="16220" spans="1:14" x14ac:dyDescent="0.2">
      <c r="A16220" s="163">
        <v>2025</v>
      </c>
      <c r="B16220" s="163">
        <v>12</v>
      </c>
      <c r="C16220" s="163">
        <v>10</v>
      </c>
      <c r="D16220" s="280">
        <f t="shared" si="2626"/>
        <v>46001</v>
      </c>
      <c r="E16220" s="281">
        <f t="shared" si="2627"/>
        <v>46001</v>
      </c>
      <c r="F16220" s="480"/>
      <c r="G16220" s="221" t="s">
        <v>94</v>
      </c>
      <c r="H16220" s="145"/>
      <c r="I16220" s="145"/>
      <c r="J16220" s="163" t="s">
        <v>79</v>
      </c>
      <c r="K16220" s="219"/>
      <c r="L16220" s="219">
        <v>287517.09000000003</v>
      </c>
      <c r="M16220" s="264"/>
    </row>
    <row r="16221" spans="1:14" ht="11.25" customHeight="1" x14ac:dyDescent="0.2">
      <c r="A16221" s="168">
        <v>2025</v>
      </c>
      <c r="B16221" s="133">
        <v>12</v>
      </c>
      <c r="C16221" s="168">
        <v>10</v>
      </c>
      <c r="D16221" s="141">
        <f t="shared" ref="D16221:D16222" si="2628">DATE(A16221,B16221,C16221)</f>
        <v>46001</v>
      </c>
      <c r="E16221" s="275">
        <f t="shared" ref="E16221:E16222" si="2629">DATE(A16221,B16221,C16221)</f>
        <v>46001</v>
      </c>
      <c r="F16221" s="479" t="s">
        <v>2037</v>
      </c>
      <c r="G16221" s="220" t="s">
        <v>74</v>
      </c>
      <c r="H16221" s="220"/>
      <c r="I16221" s="142"/>
      <c r="J16221" s="143" t="s">
        <v>52</v>
      </c>
      <c r="K16221" s="226">
        <v>116562.6</v>
      </c>
      <c r="L16221" s="226"/>
    </row>
    <row r="16222" spans="1:14" x14ac:dyDescent="0.2">
      <c r="A16222" s="163">
        <v>2025</v>
      </c>
      <c r="B16222" s="163">
        <v>12</v>
      </c>
      <c r="C16222" s="163">
        <v>10</v>
      </c>
      <c r="D16222" s="280">
        <f t="shared" si="2628"/>
        <v>46001</v>
      </c>
      <c r="E16222" s="281">
        <f t="shared" si="2629"/>
        <v>46001</v>
      </c>
      <c r="F16222" s="480"/>
      <c r="G16222" s="221" t="s">
        <v>74</v>
      </c>
      <c r="H16222" s="221"/>
      <c r="I16222" s="145"/>
      <c r="J16222" s="146" t="s">
        <v>190</v>
      </c>
      <c r="K16222" s="219"/>
      <c r="L16222" s="219">
        <f>K16221</f>
        <v>116562.6</v>
      </c>
      <c r="N16222" s="264"/>
    </row>
    <row r="16223" spans="1:14" x14ac:dyDescent="0.2">
      <c r="A16223" s="325">
        <v>2025</v>
      </c>
      <c r="B16223" s="325">
        <v>12</v>
      </c>
      <c r="C16223" s="325">
        <v>10</v>
      </c>
      <c r="D16223" s="326">
        <f t="shared" si="2626"/>
        <v>46001</v>
      </c>
      <c r="E16223" s="327">
        <f t="shared" si="2627"/>
        <v>46001</v>
      </c>
      <c r="F16223" s="473" t="s">
        <v>1940</v>
      </c>
      <c r="G16223" s="340" t="s">
        <v>94</v>
      </c>
      <c r="H16223" s="340"/>
      <c r="I16223" s="341" t="s">
        <v>348</v>
      </c>
      <c r="J16223" s="374" t="s">
        <v>133</v>
      </c>
      <c r="K16223" s="375">
        <v>1843.6514285714286</v>
      </c>
      <c r="L16223" s="375"/>
      <c r="M16223" s="176"/>
    </row>
    <row r="16224" spans="1:14" x14ac:dyDescent="0.2">
      <c r="A16224" s="331">
        <v>2025</v>
      </c>
      <c r="B16224" s="331">
        <v>12</v>
      </c>
      <c r="C16224" s="331">
        <v>10</v>
      </c>
      <c r="D16224" s="326">
        <f t="shared" si="2626"/>
        <v>46001</v>
      </c>
      <c r="E16224" s="327">
        <f t="shared" si="2627"/>
        <v>46001</v>
      </c>
      <c r="F16224" s="474"/>
      <c r="G16224" s="332" t="s">
        <v>94</v>
      </c>
      <c r="H16224" s="332"/>
      <c r="I16224" s="333" t="s">
        <v>348</v>
      </c>
      <c r="J16224" s="376" t="s">
        <v>60</v>
      </c>
      <c r="K16224" s="334"/>
      <c r="L16224" s="334">
        <f>K16223</f>
        <v>1843.6514285714286</v>
      </c>
    </row>
    <row r="16225" spans="1:13" x14ac:dyDescent="0.2">
      <c r="A16225" s="325">
        <v>2025</v>
      </c>
      <c r="B16225" s="325">
        <v>12</v>
      </c>
      <c r="C16225" s="325">
        <v>10</v>
      </c>
      <c r="D16225" s="326">
        <f t="shared" si="2626"/>
        <v>46001</v>
      </c>
      <c r="E16225" s="327">
        <f t="shared" si="2627"/>
        <v>46001</v>
      </c>
      <c r="F16225" s="473" t="s">
        <v>2131</v>
      </c>
      <c r="G16225" s="340" t="s">
        <v>94</v>
      </c>
      <c r="H16225" s="340"/>
      <c r="I16225" s="341" t="s">
        <v>348</v>
      </c>
      <c r="J16225" s="374" t="s">
        <v>2156</v>
      </c>
      <c r="K16225" s="375">
        <v>6185.4395604395604</v>
      </c>
      <c r="L16225" s="375"/>
      <c r="M16225" s="176"/>
    </row>
    <row r="16226" spans="1:13" x14ac:dyDescent="0.2">
      <c r="A16226" s="331">
        <v>2025</v>
      </c>
      <c r="B16226" s="331">
        <v>12</v>
      </c>
      <c r="C16226" s="331">
        <v>10</v>
      </c>
      <c r="D16226" s="326">
        <f t="shared" si="2626"/>
        <v>46001</v>
      </c>
      <c r="E16226" s="327">
        <f t="shared" si="2627"/>
        <v>46001</v>
      </c>
      <c r="F16226" s="474"/>
      <c r="G16226" s="332" t="s">
        <v>94</v>
      </c>
      <c r="H16226" s="332"/>
      <c r="I16226" s="333" t="s">
        <v>348</v>
      </c>
      <c r="J16226" s="376" t="s">
        <v>2154</v>
      </c>
      <c r="K16226" s="334"/>
      <c r="L16226" s="334">
        <f>K16225</f>
        <v>6185.4395604395604</v>
      </c>
    </row>
    <row r="16227" spans="1:13" x14ac:dyDescent="0.2">
      <c r="A16227" s="384">
        <v>2025</v>
      </c>
      <c r="B16227" s="384">
        <v>12</v>
      </c>
      <c r="C16227" s="384">
        <v>10</v>
      </c>
      <c r="D16227" s="385">
        <f t="shared" si="2626"/>
        <v>46001</v>
      </c>
      <c r="E16227" s="386">
        <f t="shared" si="2627"/>
        <v>46001</v>
      </c>
      <c r="F16227" s="475" t="s">
        <v>1966</v>
      </c>
      <c r="G16227" s="387" t="s">
        <v>94</v>
      </c>
      <c r="H16227" s="387"/>
      <c r="I16227" s="388" t="s">
        <v>348</v>
      </c>
      <c r="J16227" s="389" t="s">
        <v>67</v>
      </c>
      <c r="K16227" s="390">
        <v>621.42379347222231</v>
      </c>
      <c r="L16227" s="390"/>
    </row>
    <row r="16228" spans="1:13" x14ac:dyDescent="0.2">
      <c r="A16228" s="391">
        <v>2025</v>
      </c>
      <c r="B16228" s="391">
        <v>12</v>
      </c>
      <c r="C16228" s="391">
        <v>10</v>
      </c>
      <c r="D16228" s="385">
        <f t="shared" si="2626"/>
        <v>46001</v>
      </c>
      <c r="E16228" s="386">
        <f t="shared" si="2627"/>
        <v>46001</v>
      </c>
      <c r="F16228" s="476"/>
      <c r="G16228" s="392" t="s">
        <v>94</v>
      </c>
      <c r="H16228" s="392"/>
      <c r="I16228" s="393" t="s">
        <v>348</v>
      </c>
      <c r="J16228" s="394" t="s">
        <v>60</v>
      </c>
      <c r="K16228" s="395"/>
      <c r="L16228" s="395">
        <f>K16227</f>
        <v>621.42379347222231</v>
      </c>
    </row>
    <row r="16229" spans="1:13" x14ac:dyDescent="0.2">
      <c r="A16229" s="343">
        <v>2025</v>
      </c>
      <c r="B16229" s="343">
        <v>12</v>
      </c>
      <c r="C16229" s="343">
        <v>10</v>
      </c>
      <c r="D16229" s="344">
        <f t="shared" si="2626"/>
        <v>46001</v>
      </c>
      <c r="E16229" s="345">
        <f t="shared" si="2627"/>
        <v>46001</v>
      </c>
      <c r="F16229" s="483" t="s">
        <v>1813</v>
      </c>
      <c r="G16229" s="350" t="s">
        <v>94</v>
      </c>
      <c r="H16229" s="350"/>
      <c r="I16229" s="352" t="s">
        <v>348</v>
      </c>
      <c r="J16229" s="353" t="s">
        <v>1807</v>
      </c>
      <c r="K16229" s="354">
        <v>0</v>
      </c>
      <c r="L16229" s="354"/>
      <c r="M16229" s="133">
        <v>0</v>
      </c>
    </row>
    <row r="16230" spans="1:13" x14ac:dyDescent="0.2">
      <c r="A16230" s="346">
        <v>2025</v>
      </c>
      <c r="B16230" s="346">
        <v>12</v>
      </c>
      <c r="C16230" s="346">
        <v>10</v>
      </c>
      <c r="D16230" s="344">
        <f t="shared" si="2626"/>
        <v>46001</v>
      </c>
      <c r="E16230" s="345">
        <f t="shared" si="2627"/>
        <v>46001</v>
      </c>
      <c r="F16230" s="484"/>
      <c r="G16230" s="347" t="s">
        <v>94</v>
      </c>
      <c r="H16230" s="347"/>
      <c r="I16230" s="348" t="s">
        <v>348</v>
      </c>
      <c r="J16230" s="355" t="s">
        <v>1798</v>
      </c>
      <c r="K16230" s="349"/>
      <c r="L16230" s="349">
        <v>0</v>
      </c>
    </row>
    <row r="16231" spans="1:13" x14ac:dyDescent="0.2">
      <c r="A16231" s="343">
        <v>2025</v>
      </c>
      <c r="B16231" s="343">
        <v>12</v>
      </c>
      <c r="C16231" s="343">
        <v>10</v>
      </c>
      <c r="D16231" s="344">
        <f t="shared" si="2626"/>
        <v>46001</v>
      </c>
      <c r="E16231" s="345">
        <f t="shared" si="2627"/>
        <v>46001</v>
      </c>
      <c r="F16231" s="483" t="s">
        <v>1913</v>
      </c>
      <c r="G16231" s="350" t="s">
        <v>94</v>
      </c>
      <c r="H16231" s="350"/>
      <c r="I16231" s="352" t="s">
        <v>348</v>
      </c>
      <c r="J16231" s="353" t="s">
        <v>1808</v>
      </c>
      <c r="K16231" s="354"/>
      <c r="L16231" s="354"/>
      <c r="M16231" s="160">
        <v>0</v>
      </c>
    </row>
    <row r="16232" spans="1:13" x14ac:dyDescent="0.2">
      <c r="A16232" s="346">
        <v>2025</v>
      </c>
      <c r="B16232" s="346">
        <v>12</v>
      </c>
      <c r="C16232" s="346">
        <v>10</v>
      </c>
      <c r="D16232" s="344">
        <f t="shared" si="2626"/>
        <v>46001</v>
      </c>
      <c r="E16232" s="345">
        <f t="shared" si="2627"/>
        <v>46001</v>
      </c>
      <c r="F16232" s="484"/>
      <c r="G16232" s="347" t="s">
        <v>94</v>
      </c>
      <c r="H16232" s="347"/>
      <c r="I16232" s="348" t="s">
        <v>348</v>
      </c>
      <c r="J16232" s="355" t="s">
        <v>1799</v>
      </c>
      <c r="K16232" s="349"/>
      <c r="L16232" s="349">
        <f>K16231</f>
        <v>0</v>
      </c>
    </row>
    <row r="16233" spans="1:13" x14ac:dyDescent="0.2">
      <c r="A16233" s="238">
        <v>2025</v>
      </c>
      <c r="B16233" s="238">
        <v>12</v>
      </c>
      <c r="C16233" s="238">
        <v>10</v>
      </c>
      <c r="D16233" s="270">
        <f t="shared" si="2626"/>
        <v>46001</v>
      </c>
      <c r="E16233" s="279">
        <f t="shared" si="2627"/>
        <v>46001</v>
      </c>
      <c r="F16233" s="477" t="s">
        <v>347</v>
      </c>
      <c r="G16233" s="239" t="s">
        <v>94</v>
      </c>
      <c r="H16233" s="239"/>
      <c r="I16233" s="262" t="s">
        <v>348</v>
      </c>
      <c r="J16233" s="240" t="s">
        <v>82</v>
      </c>
      <c r="K16233" s="241">
        <v>158054.81000003219</v>
      </c>
      <c r="L16233" s="241"/>
      <c r="M16233" s="160">
        <v>13139541.900000483</v>
      </c>
    </row>
    <row r="16234" spans="1:13" x14ac:dyDescent="0.2">
      <c r="A16234" s="242">
        <v>2025</v>
      </c>
      <c r="B16234" s="242">
        <v>12</v>
      </c>
      <c r="C16234" s="242">
        <v>10</v>
      </c>
      <c r="D16234" s="270">
        <f t="shared" si="2626"/>
        <v>46001</v>
      </c>
      <c r="E16234" s="279">
        <f t="shared" si="2627"/>
        <v>46001</v>
      </c>
      <c r="F16234" s="478"/>
      <c r="G16234" s="243" t="s">
        <v>94</v>
      </c>
      <c r="H16234" s="243"/>
      <c r="I16234" s="263" t="s">
        <v>348</v>
      </c>
      <c r="J16234" s="244" t="s">
        <v>108</v>
      </c>
      <c r="K16234" s="245"/>
      <c r="L16234" s="245">
        <f>K16233</f>
        <v>158054.81000003219</v>
      </c>
    </row>
    <row r="16235" spans="1:13" ht="12" customHeight="1" x14ac:dyDescent="0.2">
      <c r="A16235" s="246">
        <v>2025</v>
      </c>
      <c r="B16235" s="238">
        <v>12</v>
      </c>
      <c r="C16235" s="238">
        <v>10</v>
      </c>
      <c r="D16235" s="270">
        <f t="shared" si="2626"/>
        <v>46001</v>
      </c>
      <c r="E16235" s="279">
        <f t="shared" si="2627"/>
        <v>46001</v>
      </c>
      <c r="F16235" s="482" t="s">
        <v>148</v>
      </c>
      <c r="G16235" s="247" t="s">
        <v>94</v>
      </c>
      <c r="H16235" s="247"/>
      <c r="I16235" s="248" t="s">
        <v>348</v>
      </c>
      <c r="J16235" s="249" t="s">
        <v>95</v>
      </c>
      <c r="K16235" s="250">
        <v>392.46467817896388</v>
      </c>
      <c r="L16235" s="241"/>
      <c r="M16235" s="176"/>
    </row>
    <row r="16236" spans="1:13" x14ac:dyDescent="0.2">
      <c r="A16236" s="242">
        <v>2025</v>
      </c>
      <c r="B16236" s="242">
        <v>12</v>
      </c>
      <c r="C16236" s="242">
        <v>10</v>
      </c>
      <c r="D16236" s="270">
        <f t="shared" si="2626"/>
        <v>46001</v>
      </c>
      <c r="E16236" s="279">
        <f t="shared" si="2627"/>
        <v>46001</v>
      </c>
      <c r="F16236" s="478"/>
      <c r="G16236" s="243" t="s">
        <v>94</v>
      </c>
      <c r="H16236" s="243"/>
      <c r="I16236" s="263" t="s">
        <v>348</v>
      </c>
      <c r="J16236" s="244" t="s">
        <v>63</v>
      </c>
      <c r="K16236" s="245"/>
      <c r="L16236" s="245">
        <f>K16235</f>
        <v>392.46467817896388</v>
      </c>
    </row>
    <row r="16237" spans="1:13" x14ac:dyDescent="0.2">
      <c r="A16237" s="246">
        <v>2025</v>
      </c>
      <c r="B16237" s="238">
        <v>12</v>
      </c>
      <c r="C16237" s="238">
        <v>10</v>
      </c>
      <c r="D16237" s="270">
        <f t="shared" si="2626"/>
        <v>46001</v>
      </c>
      <c r="E16237" s="279">
        <f t="shared" si="2627"/>
        <v>46001</v>
      </c>
      <c r="F16237" s="482" t="s">
        <v>137</v>
      </c>
      <c r="G16237" s="247" t="s">
        <v>94</v>
      </c>
      <c r="H16237" s="247"/>
      <c r="I16237" s="248" t="s">
        <v>348</v>
      </c>
      <c r="J16237" s="249" t="s">
        <v>97</v>
      </c>
      <c r="K16237" s="250">
        <f>M16237</f>
        <v>12818.816851798414</v>
      </c>
      <c r="L16237" s="252"/>
      <c r="M16237" s="170">
        <v>12818.816851798414</v>
      </c>
    </row>
    <row r="16238" spans="1:13" x14ac:dyDescent="0.2">
      <c r="A16238" s="242">
        <v>2025</v>
      </c>
      <c r="B16238" s="242">
        <v>12</v>
      </c>
      <c r="C16238" s="242">
        <v>10</v>
      </c>
      <c r="D16238" s="270">
        <f t="shared" si="2626"/>
        <v>46001</v>
      </c>
      <c r="E16238" s="279">
        <f t="shared" si="2627"/>
        <v>46001</v>
      </c>
      <c r="F16238" s="478"/>
      <c r="G16238" s="243" t="s">
        <v>94</v>
      </c>
      <c r="H16238" s="243"/>
      <c r="I16238" s="263" t="s">
        <v>348</v>
      </c>
      <c r="J16238" s="244" t="s">
        <v>47</v>
      </c>
      <c r="K16238" s="245"/>
      <c r="L16238" s="245">
        <f>K16237</f>
        <v>12818.816851798414</v>
      </c>
      <c r="M16238" s="170">
        <v>606.60018324926136</v>
      </c>
    </row>
    <row r="16239" spans="1:13" x14ac:dyDescent="0.2">
      <c r="A16239" s="246">
        <v>2025</v>
      </c>
      <c r="B16239" s="238">
        <v>12</v>
      </c>
      <c r="C16239" s="238">
        <v>10</v>
      </c>
      <c r="D16239" s="270">
        <f t="shared" si="2626"/>
        <v>46001</v>
      </c>
      <c r="E16239" s="279">
        <f t="shared" si="2627"/>
        <v>46001</v>
      </c>
      <c r="F16239" s="482" t="s">
        <v>138</v>
      </c>
      <c r="G16239" s="247" t="s">
        <v>94</v>
      </c>
      <c r="H16239" s="247"/>
      <c r="I16239" s="248" t="s">
        <v>348</v>
      </c>
      <c r="J16239" s="249" t="s">
        <v>100</v>
      </c>
      <c r="K16239" s="250">
        <f>M16238</f>
        <v>606.60018324926136</v>
      </c>
      <c r="L16239" s="252"/>
    </row>
    <row r="16240" spans="1:13" x14ac:dyDescent="0.2">
      <c r="A16240" s="242">
        <v>2025</v>
      </c>
      <c r="B16240" s="242">
        <v>12</v>
      </c>
      <c r="C16240" s="242">
        <v>10</v>
      </c>
      <c r="D16240" s="321">
        <f t="shared" si="2626"/>
        <v>46001</v>
      </c>
      <c r="E16240" s="322">
        <f t="shared" si="2627"/>
        <v>46001</v>
      </c>
      <c r="F16240" s="478"/>
      <c r="G16240" s="243" t="s">
        <v>94</v>
      </c>
      <c r="H16240" s="243"/>
      <c r="I16240" s="263" t="s">
        <v>348</v>
      </c>
      <c r="J16240" s="244" t="s">
        <v>48</v>
      </c>
      <c r="K16240" s="245"/>
      <c r="L16240" s="245">
        <f>K16239</f>
        <v>606.60018324926136</v>
      </c>
    </row>
    <row r="16241" spans="1:14" ht="11.25" customHeight="1" x14ac:dyDescent="0.2">
      <c r="A16241" s="168">
        <v>2025</v>
      </c>
      <c r="B16241" s="133">
        <v>12</v>
      </c>
      <c r="C16241" s="168">
        <v>11</v>
      </c>
      <c r="D16241" s="141">
        <f t="shared" si="2626"/>
        <v>46002</v>
      </c>
      <c r="E16241" s="275">
        <f t="shared" si="2627"/>
        <v>46002</v>
      </c>
      <c r="F16241" s="479" t="s">
        <v>2121</v>
      </c>
      <c r="G16241" s="220" t="s">
        <v>74</v>
      </c>
      <c r="H16241" s="220"/>
      <c r="I16241" s="142"/>
      <c r="J16241" s="143" t="s">
        <v>52</v>
      </c>
      <c r="K16241" s="226">
        <v>215211.92</v>
      </c>
      <c r="L16241" s="226"/>
    </row>
    <row r="16242" spans="1:14" x14ac:dyDescent="0.2">
      <c r="A16242" s="163">
        <v>2025</v>
      </c>
      <c r="B16242" s="163">
        <v>12</v>
      </c>
      <c r="C16242" s="163">
        <v>11</v>
      </c>
      <c r="D16242" s="280">
        <f t="shared" si="2626"/>
        <v>46002</v>
      </c>
      <c r="E16242" s="281">
        <f t="shared" si="2627"/>
        <v>46002</v>
      </c>
      <c r="F16242" s="480"/>
      <c r="G16242" s="221" t="s">
        <v>74</v>
      </c>
      <c r="H16242" s="221"/>
      <c r="I16242" s="145"/>
      <c r="J16242" s="146" t="s">
        <v>190</v>
      </c>
      <c r="K16242" s="219"/>
      <c r="L16242" s="219">
        <f>K16241</f>
        <v>215211.92</v>
      </c>
      <c r="N16242" s="264"/>
    </row>
    <row r="16243" spans="1:14" ht="11.25" customHeight="1" x14ac:dyDescent="0.2">
      <c r="A16243" s="168">
        <v>2025</v>
      </c>
      <c r="B16243" s="133">
        <v>12</v>
      </c>
      <c r="C16243" s="168">
        <v>11</v>
      </c>
      <c r="D16243" s="141">
        <f t="shared" si="2626"/>
        <v>46002</v>
      </c>
      <c r="E16243" s="275">
        <f t="shared" si="2627"/>
        <v>46002</v>
      </c>
      <c r="F16243" s="479" t="s">
        <v>2074</v>
      </c>
      <c r="G16243" s="220" t="s">
        <v>74</v>
      </c>
      <c r="H16243" s="220"/>
      <c r="I16243" s="142"/>
      <c r="J16243" s="143" t="s">
        <v>147</v>
      </c>
      <c r="K16243" s="226">
        <v>1050358.75</v>
      </c>
      <c r="L16243" s="226"/>
    </row>
    <row r="16244" spans="1:14" x14ac:dyDescent="0.2">
      <c r="A16244" s="163">
        <v>2025</v>
      </c>
      <c r="B16244" s="163">
        <v>12</v>
      </c>
      <c r="C16244" s="163">
        <v>11</v>
      </c>
      <c r="D16244" s="280">
        <f t="shared" si="2626"/>
        <v>46002</v>
      </c>
      <c r="E16244" s="281">
        <f t="shared" si="2627"/>
        <v>46002</v>
      </c>
      <c r="F16244" s="480"/>
      <c r="G16244" s="221" t="s">
        <v>74</v>
      </c>
      <c r="H16244" s="221"/>
      <c r="I16244" s="145"/>
      <c r="J16244" s="146" t="s">
        <v>52</v>
      </c>
      <c r="K16244" s="219"/>
      <c r="L16244" s="219">
        <f>K16243</f>
        <v>1050358.75</v>
      </c>
      <c r="N16244" s="264"/>
    </row>
    <row r="16245" spans="1:14" x14ac:dyDescent="0.2">
      <c r="A16245" s="168">
        <v>2025</v>
      </c>
      <c r="B16245" s="133">
        <v>12</v>
      </c>
      <c r="C16245" s="168">
        <v>11</v>
      </c>
      <c r="D16245" s="147">
        <f t="shared" si="2626"/>
        <v>46002</v>
      </c>
      <c r="E16245" s="311">
        <f t="shared" si="2627"/>
        <v>46002</v>
      </c>
      <c r="F16245" s="481" t="s">
        <v>1943</v>
      </c>
      <c r="G16245" s="174" t="s">
        <v>74</v>
      </c>
      <c r="I16245" s="148" t="s">
        <v>348</v>
      </c>
      <c r="J16245" s="133" t="s">
        <v>61</v>
      </c>
      <c r="K16245" s="172">
        <v>100</v>
      </c>
    </row>
    <row r="16246" spans="1:14" x14ac:dyDescent="0.2">
      <c r="A16246" s="163">
        <v>2025</v>
      </c>
      <c r="B16246" s="163">
        <v>12</v>
      </c>
      <c r="C16246" s="163">
        <v>11</v>
      </c>
      <c r="D16246" s="280">
        <f t="shared" si="2626"/>
        <v>46002</v>
      </c>
      <c r="E16246" s="281">
        <f t="shared" si="2627"/>
        <v>46002</v>
      </c>
      <c r="F16246" s="480"/>
      <c r="G16246" s="221" t="s">
        <v>74</v>
      </c>
      <c r="H16246" s="145"/>
      <c r="I16246" s="145" t="s">
        <v>348</v>
      </c>
      <c r="J16246" s="163" t="s">
        <v>52</v>
      </c>
      <c r="K16246" s="219"/>
      <c r="L16246" s="219">
        <f>K16245</f>
        <v>100</v>
      </c>
    </row>
    <row r="16247" spans="1:14" x14ac:dyDescent="0.2">
      <c r="A16247" s="133">
        <v>2025</v>
      </c>
      <c r="B16247" s="133">
        <v>12</v>
      </c>
      <c r="C16247" s="168">
        <v>11</v>
      </c>
      <c r="D16247" s="141">
        <f t="shared" ref="D16247:D16255" si="2630">DATE(A16247,B16247,C16247)</f>
        <v>46002</v>
      </c>
      <c r="E16247" s="275">
        <f t="shared" ref="E16247:E16255" si="2631">DATE(A16247,B16247,C16247)</f>
        <v>46002</v>
      </c>
      <c r="F16247" s="481" t="s">
        <v>2073</v>
      </c>
      <c r="G16247" s="174" t="s">
        <v>94</v>
      </c>
      <c r="H16247" s="174"/>
      <c r="J16247" s="149" t="s">
        <v>79</v>
      </c>
      <c r="K16247" s="218">
        <v>2083871</v>
      </c>
      <c r="L16247" s="218"/>
      <c r="M16247" s="160"/>
    </row>
    <row r="16248" spans="1:14" x14ac:dyDescent="0.2">
      <c r="A16248" s="133">
        <v>2025</v>
      </c>
      <c r="B16248" s="133">
        <v>12</v>
      </c>
      <c r="C16248" s="133">
        <v>11</v>
      </c>
      <c r="D16248" s="141">
        <f t="shared" si="2630"/>
        <v>46002</v>
      </c>
      <c r="E16248" s="275">
        <f t="shared" si="2631"/>
        <v>46002</v>
      </c>
      <c r="F16248" s="481"/>
      <c r="G16248" s="174" t="s">
        <v>94</v>
      </c>
      <c r="H16248" s="174"/>
      <c r="J16248" s="149" t="s">
        <v>80</v>
      </c>
      <c r="K16248" s="218">
        <v>5217.55</v>
      </c>
      <c r="L16248" s="264"/>
      <c r="M16248" s="264"/>
      <c r="N16248" s="264"/>
    </row>
    <row r="16249" spans="1:14" x14ac:dyDescent="0.2">
      <c r="A16249" s="133">
        <v>2025</v>
      </c>
      <c r="B16249" s="133">
        <v>12</v>
      </c>
      <c r="C16249" s="133">
        <v>11</v>
      </c>
      <c r="D16249" s="141">
        <f t="shared" si="2630"/>
        <v>46002</v>
      </c>
      <c r="E16249" s="275">
        <f t="shared" si="2631"/>
        <v>46002</v>
      </c>
      <c r="F16249" s="481"/>
      <c r="G16249" s="174" t="s">
        <v>94</v>
      </c>
      <c r="H16249" s="174"/>
      <c r="J16249" s="149" t="s">
        <v>147</v>
      </c>
      <c r="K16249" s="218"/>
      <c r="L16249" s="218">
        <v>1274322.25</v>
      </c>
      <c r="M16249" s="264"/>
    </row>
    <row r="16250" spans="1:14" x14ac:dyDescent="0.2">
      <c r="A16250" s="133">
        <v>2025</v>
      </c>
      <c r="B16250" s="133">
        <v>12</v>
      </c>
      <c r="C16250" s="133">
        <v>11</v>
      </c>
      <c r="D16250" s="141">
        <f t="shared" si="2630"/>
        <v>46002</v>
      </c>
      <c r="E16250" s="275">
        <f t="shared" si="2631"/>
        <v>46002</v>
      </c>
      <c r="F16250" s="481"/>
      <c r="G16250" s="174" t="s">
        <v>94</v>
      </c>
      <c r="H16250" s="174"/>
      <c r="J16250" s="149" t="s">
        <v>191</v>
      </c>
      <c r="K16250" s="218">
        <v>34987.919999999998</v>
      </c>
      <c r="L16250" s="218"/>
    </row>
    <row r="16251" spans="1:14" x14ac:dyDescent="0.2">
      <c r="A16251" s="163">
        <v>2025</v>
      </c>
      <c r="B16251" s="163">
        <v>12</v>
      </c>
      <c r="C16251" s="163">
        <v>11</v>
      </c>
      <c r="D16251" s="280">
        <f t="shared" si="2630"/>
        <v>46002</v>
      </c>
      <c r="E16251" s="281">
        <f t="shared" si="2631"/>
        <v>46002</v>
      </c>
      <c r="F16251" s="480"/>
      <c r="G16251" s="221" t="s">
        <v>94</v>
      </c>
      <c r="H16251" s="145"/>
      <c r="I16251" s="145"/>
      <c r="J16251" s="163" t="s">
        <v>79</v>
      </c>
      <c r="K16251" s="219"/>
      <c r="L16251" s="219">
        <v>849754.22</v>
      </c>
      <c r="M16251" s="264"/>
    </row>
    <row r="16252" spans="1:14" ht="11.25" customHeight="1" x14ac:dyDescent="0.2">
      <c r="A16252" s="168">
        <v>2025</v>
      </c>
      <c r="B16252" s="133">
        <v>12</v>
      </c>
      <c r="C16252" s="168">
        <v>11</v>
      </c>
      <c r="D16252" s="141">
        <f t="shared" si="2630"/>
        <v>46002</v>
      </c>
      <c r="E16252" s="275">
        <f t="shared" si="2631"/>
        <v>46002</v>
      </c>
      <c r="F16252" s="479" t="s">
        <v>2037</v>
      </c>
      <c r="G16252" s="220" t="s">
        <v>74</v>
      </c>
      <c r="H16252" s="220"/>
      <c r="I16252" s="142"/>
      <c r="J16252" s="143" t="s">
        <v>52</v>
      </c>
      <c r="K16252" s="226">
        <v>587711.64</v>
      </c>
      <c r="L16252" s="226"/>
    </row>
    <row r="16253" spans="1:14" x14ac:dyDescent="0.2">
      <c r="A16253" s="163">
        <v>2025</v>
      </c>
      <c r="B16253" s="163">
        <v>12</v>
      </c>
      <c r="C16253" s="163">
        <v>11</v>
      </c>
      <c r="D16253" s="280">
        <f t="shared" si="2630"/>
        <v>46002</v>
      </c>
      <c r="E16253" s="281">
        <f t="shared" si="2631"/>
        <v>46002</v>
      </c>
      <c r="F16253" s="480"/>
      <c r="G16253" s="221" t="s">
        <v>74</v>
      </c>
      <c r="H16253" s="221"/>
      <c r="I16253" s="145"/>
      <c r="J16253" s="146" t="s">
        <v>190</v>
      </c>
      <c r="K16253" s="219"/>
      <c r="L16253" s="219">
        <f>K16252</f>
        <v>587711.64</v>
      </c>
      <c r="N16253" s="264"/>
    </row>
    <row r="16254" spans="1:14" x14ac:dyDescent="0.2">
      <c r="A16254" s="168">
        <v>2025</v>
      </c>
      <c r="B16254" s="133">
        <v>12</v>
      </c>
      <c r="C16254" s="168">
        <v>11</v>
      </c>
      <c r="D16254" s="147">
        <f t="shared" si="2630"/>
        <v>46002</v>
      </c>
      <c r="E16254" s="311">
        <f t="shared" si="2631"/>
        <v>46002</v>
      </c>
      <c r="F16254" s="481" t="s">
        <v>1950</v>
      </c>
      <c r="G16254" s="174" t="s">
        <v>74</v>
      </c>
      <c r="I16254" s="148" t="s">
        <v>348</v>
      </c>
      <c r="J16254" s="133" t="s">
        <v>61</v>
      </c>
      <c r="K16254" s="172">
        <v>287.5</v>
      </c>
    </row>
    <row r="16255" spans="1:14" x14ac:dyDescent="0.2">
      <c r="A16255" s="163">
        <v>2025</v>
      </c>
      <c r="B16255" s="163">
        <v>12</v>
      </c>
      <c r="C16255" s="163">
        <v>11</v>
      </c>
      <c r="D16255" s="280">
        <f t="shared" si="2630"/>
        <v>46002</v>
      </c>
      <c r="E16255" s="281">
        <f t="shared" si="2631"/>
        <v>46002</v>
      </c>
      <c r="F16255" s="480"/>
      <c r="G16255" s="221" t="s">
        <v>74</v>
      </c>
      <c r="H16255" s="145"/>
      <c r="I16255" s="145" t="s">
        <v>348</v>
      </c>
      <c r="J16255" s="163" t="s">
        <v>52</v>
      </c>
      <c r="K16255" s="219"/>
      <c r="L16255" s="219">
        <f>K16254</f>
        <v>287.5</v>
      </c>
    </row>
    <row r="16256" spans="1:14" x14ac:dyDescent="0.2">
      <c r="A16256" s="325">
        <v>2025</v>
      </c>
      <c r="B16256" s="325">
        <v>12</v>
      </c>
      <c r="C16256" s="325">
        <v>11</v>
      </c>
      <c r="D16256" s="326">
        <f t="shared" si="2626"/>
        <v>46002</v>
      </c>
      <c r="E16256" s="327">
        <f t="shared" si="2627"/>
        <v>46002</v>
      </c>
      <c r="F16256" s="473" t="s">
        <v>1940</v>
      </c>
      <c r="G16256" s="340" t="s">
        <v>94</v>
      </c>
      <c r="H16256" s="340"/>
      <c r="I16256" s="341" t="s">
        <v>348</v>
      </c>
      <c r="J16256" s="374" t="s">
        <v>133</v>
      </c>
      <c r="K16256" s="375">
        <v>5530.954285714286</v>
      </c>
      <c r="L16256" s="375"/>
      <c r="M16256" s="176"/>
    </row>
    <row r="16257" spans="1:13" x14ac:dyDescent="0.2">
      <c r="A16257" s="331">
        <v>2025</v>
      </c>
      <c r="B16257" s="331">
        <v>12</v>
      </c>
      <c r="C16257" s="331">
        <v>11</v>
      </c>
      <c r="D16257" s="326">
        <f t="shared" si="2626"/>
        <v>46002</v>
      </c>
      <c r="E16257" s="327">
        <f t="shared" si="2627"/>
        <v>46002</v>
      </c>
      <c r="F16257" s="474"/>
      <c r="G16257" s="332" t="s">
        <v>94</v>
      </c>
      <c r="H16257" s="332"/>
      <c r="I16257" s="333" t="s">
        <v>348</v>
      </c>
      <c r="J16257" s="376" t="s">
        <v>60</v>
      </c>
      <c r="K16257" s="334"/>
      <c r="L16257" s="334">
        <f>K16256</f>
        <v>5530.954285714286</v>
      </c>
    </row>
    <row r="16258" spans="1:13" x14ac:dyDescent="0.2">
      <c r="A16258" s="325">
        <v>2025</v>
      </c>
      <c r="B16258" s="325">
        <v>12</v>
      </c>
      <c r="C16258" s="325">
        <v>11</v>
      </c>
      <c r="D16258" s="326">
        <f t="shared" si="2626"/>
        <v>46002</v>
      </c>
      <c r="E16258" s="327">
        <f t="shared" si="2627"/>
        <v>46002</v>
      </c>
      <c r="F16258" s="473" t="s">
        <v>2131</v>
      </c>
      <c r="G16258" s="340" t="s">
        <v>94</v>
      </c>
      <c r="H16258" s="340"/>
      <c r="I16258" s="341" t="s">
        <v>348</v>
      </c>
      <c r="J16258" s="374" t="s">
        <v>2156</v>
      </c>
      <c r="K16258" s="375">
        <v>18556.31868131868</v>
      </c>
      <c r="L16258" s="375"/>
      <c r="M16258" s="176"/>
    </row>
    <row r="16259" spans="1:13" x14ac:dyDescent="0.2">
      <c r="A16259" s="331">
        <v>2025</v>
      </c>
      <c r="B16259" s="331">
        <v>12</v>
      </c>
      <c r="C16259" s="331">
        <v>11</v>
      </c>
      <c r="D16259" s="326">
        <f t="shared" si="2626"/>
        <v>46002</v>
      </c>
      <c r="E16259" s="327">
        <f t="shared" si="2627"/>
        <v>46002</v>
      </c>
      <c r="F16259" s="474"/>
      <c r="G16259" s="332" t="s">
        <v>94</v>
      </c>
      <c r="H16259" s="332"/>
      <c r="I16259" s="333" t="s">
        <v>348</v>
      </c>
      <c r="J16259" s="376" t="s">
        <v>2154</v>
      </c>
      <c r="K16259" s="334"/>
      <c r="L16259" s="334">
        <f>K16258</f>
        <v>18556.31868131868</v>
      </c>
    </row>
    <row r="16260" spans="1:13" x14ac:dyDescent="0.2">
      <c r="A16260" s="384">
        <v>2025</v>
      </c>
      <c r="B16260" s="384">
        <v>12</v>
      </c>
      <c r="C16260" s="384">
        <v>11</v>
      </c>
      <c r="D16260" s="385">
        <f t="shared" si="2626"/>
        <v>46002</v>
      </c>
      <c r="E16260" s="386">
        <f t="shared" si="2627"/>
        <v>46002</v>
      </c>
      <c r="F16260" s="475" t="s">
        <v>1966</v>
      </c>
      <c r="G16260" s="387" t="s">
        <v>94</v>
      </c>
      <c r="H16260" s="387"/>
      <c r="I16260" s="388" t="s">
        <v>348</v>
      </c>
      <c r="J16260" s="389" t="s">
        <v>67</v>
      </c>
      <c r="K16260" s="390">
        <v>1415.09</v>
      </c>
      <c r="L16260" s="390"/>
    </row>
    <row r="16261" spans="1:13" x14ac:dyDescent="0.2">
      <c r="A16261" s="391">
        <v>2025</v>
      </c>
      <c r="B16261" s="391">
        <v>12</v>
      </c>
      <c r="C16261" s="391">
        <v>11</v>
      </c>
      <c r="D16261" s="385">
        <f t="shared" si="2626"/>
        <v>46002</v>
      </c>
      <c r="E16261" s="386">
        <f t="shared" si="2627"/>
        <v>46002</v>
      </c>
      <c r="F16261" s="476"/>
      <c r="G16261" s="392" t="s">
        <v>94</v>
      </c>
      <c r="H16261" s="392"/>
      <c r="I16261" s="393" t="s">
        <v>348</v>
      </c>
      <c r="J16261" s="394" t="s">
        <v>60</v>
      </c>
      <c r="K16261" s="395"/>
      <c r="L16261" s="395">
        <f>K16260</f>
        <v>1415.09</v>
      </c>
    </row>
    <row r="16262" spans="1:13" x14ac:dyDescent="0.2">
      <c r="A16262" s="343">
        <v>2025</v>
      </c>
      <c r="B16262" s="343">
        <v>12</v>
      </c>
      <c r="C16262" s="343">
        <v>11</v>
      </c>
      <c r="D16262" s="344">
        <f t="shared" si="2626"/>
        <v>46002</v>
      </c>
      <c r="E16262" s="345">
        <f t="shared" si="2627"/>
        <v>46002</v>
      </c>
      <c r="F16262" s="483" t="s">
        <v>1813</v>
      </c>
      <c r="G16262" s="350" t="s">
        <v>94</v>
      </c>
      <c r="H16262" s="350"/>
      <c r="I16262" s="352" t="s">
        <v>348</v>
      </c>
      <c r="J16262" s="353" t="s">
        <v>1807</v>
      </c>
      <c r="K16262" s="354">
        <v>0</v>
      </c>
      <c r="L16262" s="354"/>
      <c r="M16262" s="133">
        <v>0</v>
      </c>
    </row>
    <row r="16263" spans="1:13" x14ac:dyDescent="0.2">
      <c r="A16263" s="346">
        <v>2025</v>
      </c>
      <c r="B16263" s="346">
        <v>12</v>
      </c>
      <c r="C16263" s="346">
        <v>11</v>
      </c>
      <c r="D16263" s="344">
        <f t="shared" si="2626"/>
        <v>46002</v>
      </c>
      <c r="E16263" s="345">
        <f t="shared" si="2627"/>
        <v>46002</v>
      </c>
      <c r="F16263" s="484"/>
      <c r="G16263" s="347" t="s">
        <v>94</v>
      </c>
      <c r="H16263" s="347"/>
      <c r="I16263" s="348" t="s">
        <v>348</v>
      </c>
      <c r="J16263" s="355" t="s">
        <v>1798</v>
      </c>
      <c r="K16263" s="349"/>
      <c r="L16263" s="349">
        <v>0</v>
      </c>
    </row>
    <row r="16264" spans="1:13" x14ac:dyDescent="0.2">
      <c r="A16264" s="343">
        <v>2025</v>
      </c>
      <c r="B16264" s="343">
        <v>12</v>
      </c>
      <c r="C16264" s="343">
        <v>11</v>
      </c>
      <c r="D16264" s="344">
        <f t="shared" si="2626"/>
        <v>46002</v>
      </c>
      <c r="E16264" s="345">
        <f t="shared" si="2627"/>
        <v>46002</v>
      </c>
      <c r="F16264" s="483" t="s">
        <v>1913</v>
      </c>
      <c r="G16264" s="350" t="s">
        <v>94</v>
      </c>
      <c r="H16264" s="350"/>
      <c r="I16264" s="352" t="s">
        <v>348</v>
      </c>
      <c r="J16264" s="353" t="s">
        <v>1808</v>
      </c>
      <c r="K16264" s="354"/>
      <c r="L16264" s="354"/>
      <c r="M16264" s="160">
        <v>0</v>
      </c>
    </row>
    <row r="16265" spans="1:13" x14ac:dyDescent="0.2">
      <c r="A16265" s="346">
        <v>2025</v>
      </c>
      <c r="B16265" s="346">
        <v>12</v>
      </c>
      <c r="C16265" s="346">
        <v>11</v>
      </c>
      <c r="D16265" s="344">
        <f t="shared" si="2626"/>
        <v>46002</v>
      </c>
      <c r="E16265" s="345">
        <f t="shared" si="2627"/>
        <v>46002</v>
      </c>
      <c r="F16265" s="484"/>
      <c r="G16265" s="347" t="s">
        <v>94</v>
      </c>
      <c r="H16265" s="347"/>
      <c r="I16265" s="348" t="s">
        <v>348</v>
      </c>
      <c r="J16265" s="355" t="s">
        <v>1799</v>
      </c>
      <c r="K16265" s="349"/>
      <c r="L16265" s="349">
        <f>K16264</f>
        <v>0</v>
      </c>
    </row>
    <row r="16266" spans="1:13" x14ac:dyDescent="0.2">
      <c r="A16266" s="238">
        <v>2025</v>
      </c>
      <c r="B16266" s="238">
        <v>12</v>
      </c>
      <c r="C16266" s="238">
        <v>11</v>
      </c>
      <c r="D16266" s="270">
        <f t="shared" si="2626"/>
        <v>46002</v>
      </c>
      <c r="E16266" s="279">
        <f t="shared" si="2627"/>
        <v>46002</v>
      </c>
      <c r="F16266" s="477" t="s">
        <v>347</v>
      </c>
      <c r="G16266" s="239" t="s">
        <v>94</v>
      </c>
      <c r="H16266" s="239"/>
      <c r="I16266" s="262" t="s">
        <v>348</v>
      </c>
      <c r="J16266" s="240" t="s">
        <v>108</v>
      </c>
      <c r="K16266" s="241">
        <v>595393.52000001073</v>
      </c>
      <c r="L16266" s="241"/>
      <c r="M16266" s="160">
        <v>13139541.900000483</v>
      </c>
    </row>
    <row r="16267" spans="1:13" x14ac:dyDescent="0.2">
      <c r="A16267" s="242">
        <v>2025</v>
      </c>
      <c r="B16267" s="242">
        <v>12</v>
      </c>
      <c r="C16267" s="242">
        <v>11</v>
      </c>
      <c r="D16267" s="270">
        <f t="shared" si="2626"/>
        <v>46002</v>
      </c>
      <c r="E16267" s="279">
        <f t="shared" si="2627"/>
        <v>46002</v>
      </c>
      <c r="F16267" s="478"/>
      <c r="G16267" s="243" t="s">
        <v>94</v>
      </c>
      <c r="H16267" s="243"/>
      <c r="I16267" s="263" t="s">
        <v>348</v>
      </c>
      <c r="J16267" s="244" t="s">
        <v>82</v>
      </c>
      <c r="K16267" s="245"/>
      <c r="L16267" s="245">
        <f>K16266</f>
        <v>595393.52000001073</v>
      </c>
    </row>
    <row r="16268" spans="1:13" ht="12" customHeight="1" x14ac:dyDescent="0.2">
      <c r="A16268" s="246">
        <v>2025</v>
      </c>
      <c r="B16268" s="238">
        <v>12</v>
      </c>
      <c r="C16268" s="238">
        <v>11</v>
      </c>
      <c r="D16268" s="270">
        <f t="shared" si="2626"/>
        <v>46002</v>
      </c>
      <c r="E16268" s="279">
        <f t="shared" si="2627"/>
        <v>46002</v>
      </c>
      <c r="F16268" s="482" t="s">
        <v>148</v>
      </c>
      <c r="G16268" s="247" t="s">
        <v>94</v>
      </c>
      <c r="H16268" s="247"/>
      <c r="I16268" s="248" t="s">
        <v>348</v>
      </c>
      <c r="J16268" s="249" t="s">
        <v>95</v>
      </c>
      <c r="K16268" s="250">
        <v>1177.3940345368917</v>
      </c>
      <c r="L16268" s="241"/>
      <c r="M16268" s="176"/>
    </row>
    <row r="16269" spans="1:13" x14ac:dyDescent="0.2">
      <c r="A16269" s="242">
        <v>2025</v>
      </c>
      <c r="B16269" s="242">
        <v>12</v>
      </c>
      <c r="C16269" s="242">
        <v>11</v>
      </c>
      <c r="D16269" s="270">
        <f t="shared" si="2626"/>
        <v>46002</v>
      </c>
      <c r="E16269" s="279">
        <f t="shared" si="2627"/>
        <v>46002</v>
      </c>
      <c r="F16269" s="478"/>
      <c r="G16269" s="243" t="s">
        <v>94</v>
      </c>
      <c r="H16269" s="243"/>
      <c r="I16269" s="263" t="s">
        <v>348</v>
      </c>
      <c r="J16269" s="244" t="s">
        <v>63</v>
      </c>
      <c r="K16269" s="245"/>
      <c r="L16269" s="245">
        <f>K16268</f>
        <v>1177.3940345368917</v>
      </c>
    </row>
    <row r="16270" spans="1:13" x14ac:dyDescent="0.2">
      <c r="A16270" s="246">
        <v>2025</v>
      </c>
      <c r="B16270" s="238">
        <v>12</v>
      </c>
      <c r="C16270" s="238">
        <v>11</v>
      </c>
      <c r="D16270" s="270">
        <f t="shared" si="2626"/>
        <v>46002</v>
      </c>
      <c r="E16270" s="279">
        <f t="shared" si="2627"/>
        <v>46002</v>
      </c>
      <c r="F16270" s="482" t="s">
        <v>137</v>
      </c>
      <c r="G16270" s="247" t="s">
        <v>94</v>
      </c>
      <c r="H16270" s="247"/>
      <c r="I16270" s="248" t="s">
        <v>348</v>
      </c>
      <c r="J16270" s="249" t="s">
        <v>97</v>
      </c>
      <c r="K16270" s="250">
        <f>M16270</f>
        <v>38549.745215048679</v>
      </c>
      <c r="L16270" s="252"/>
      <c r="M16270" s="170">
        <v>38549.745215048679</v>
      </c>
    </row>
    <row r="16271" spans="1:13" x14ac:dyDescent="0.2">
      <c r="A16271" s="242">
        <v>2025</v>
      </c>
      <c r="B16271" s="242">
        <v>12</v>
      </c>
      <c r="C16271" s="242">
        <v>11</v>
      </c>
      <c r="D16271" s="270">
        <f t="shared" si="2626"/>
        <v>46002</v>
      </c>
      <c r="E16271" s="279">
        <f t="shared" si="2627"/>
        <v>46002</v>
      </c>
      <c r="F16271" s="478"/>
      <c r="G16271" s="243" t="s">
        <v>94</v>
      </c>
      <c r="H16271" s="243"/>
      <c r="I16271" s="263" t="s">
        <v>348</v>
      </c>
      <c r="J16271" s="244" t="s">
        <v>47</v>
      </c>
      <c r="K16271" s="245"/>
      <c r="L16271" s="245">
        <f>K16270</f>
        <v>38549.745215048679</v>
      </c>
      <c r="M16271" s="170">
        <v>1824.4652827304558</v>
      </c>
    </row>
    <row r="16272" spans="1:13" x14ac:dyDescent="0.2">
      <c r="A16272" s="246">
        <v>2025</v>
      </c>
      <c r="B16272" s="238">
        <v>12</v>
      </c>
      <c r="C16272" s="238">
        <v>11</v>
      </c>
      <c r="D16272" s="270">
        <f t="shared" si="2626"/>
        <v>46002</v>
      </c>
      <c r="E16272" s="279">
        <f t="shared" si="2627"/>
        <v>46002</v>
      </c>
      <c r="F16272" s="482" t="s">
        <v>138</v>
      </c>
      <c r="G16272" s="247" t="s">
        <v>94</v>
      </c>
      <c r="H16272" s="247"/>
      <c r="I16272" s="248" t="s">
        <v>348</v>
      </c>
      <c r="J16272" s="249" t="s">
        <v>100</v>
      </c>
      <c r="K16272" s="250">
        <f>M16271</f>
        <v>1824.4652827304558</v>
      </c>
      <c r="L16272" s="252"/>
    </row>
    <row r="16273" spans="1:14" x14ac:dyDescent="0.2">
      <c r="A16273" s="242">
        <v>2025</v>
      </c>
      <c r="B16273" s="242">
        <v>12</v>
      </c>
      <c r="C16273" s="242">
        <v>11</v>
      </c>
      <c r="D16273" s="321">
        <f t="shared" si="2626"/>
        <v>46002</v>
      </c>
      <c r="E16273" s="322">
        <f t="shared" si="2627"/>
        <v>46002</v>
      </c>
      <c r="F16273" s="478"/>
      <c r="G16273" s="243" t="s">
        <v>94</v>
      </c>
      <c r="H16273" s="243"/>
      <c r="I16273" s="263" t="s">
        <v>348</v>
      </c>
      <c r="J16273" s="244" t="s">
        <v>48</v>
      </c>
      <c r="K16273" s="245"/>
      <c r="L16273" s="245">
        <f>K16272</f>
        <v>1824.4652827304558</v>
      </c>
    </row>
    <row r="16274" spans="1:14" ht="11.25" customHeight="1" x14ac:dyDescent="0.2">
      <c r="A16274" s="168">
        <v>2025</v>
      </c>
      <c r="B16274" s="133">
        <v>12</v>
      </c>
      <c r="C16274" s="168">
        <v>14</v>
      </c>
      <c r="D16274" s="141">
        <f t="shared" ref="D16274:D16300" si="2632">DATE(A16274,B16274,C16274)</f>
        <v>46005</v>
      </c>
      <c r="E16274" s="275">
        <f t="shared" ref="E16274:E16300" si="2633">DATE(A16274,B16274,C16274)</f>
        <v>46005</v>
      </c>
      <c r="F16274" s="479" t="s">
        <v>2074</v>
      </c>
      <c r="G16274" s="220" t="s">
        <v>74</v>
      </c>
      <c r="H16274" s="220"/>
      <c r="I16274" s="142"/>
      <c r="J16274" s="143" t="s">
        <v>147</v>
      </c>
      <c r="K16274" s="226">
        <v>1274322.25</v>
      </c>
      <c r="L16274" s="226"/>
    </row>
    <row r="16275" spans="1:14" x14ac:dyDescent="0.2">
      <c r="A16275" s="163">
        <v>2025</v>
      </c>
      <c r="B16275" s="163">
        <v>12</v>
      </c>
      <c r="C16275" s="163">
        <v>14</v>
      </c>
      <c r="D16275" s="280">
        <f t="shared" si="2632"/>
        <v>46005</v>
      </c>
      <c r="E16275" s="281">
        <f t="shared" si="2633"/>
        <v>46005</v>
      </c>
      <c r="F16275" s="480"/>
      <c r="G16275" s="221" t="s">
        <v>74</v>
      </c>
      <c r="H16275" s="221"/>
      <c r="I16275" s="145"/>
      <c r="J16275" s="146" t="s">
        <v>52</v>
      </c>
      <c r="K16275" s="219"/>
      <c r="L16275" s="219">
        <f>K16274</f>
        <v>1274322.25</v>
      </c>
      <c r="N16275" s="264"/>
    </row>
    <row r="16276" spans="1:14" x14ac:dyDescent="0.2">
      <c r="A16276" s="133">
        <v>2025</v>
      </c>
      <c r="B16276" s="133">
        <v>12</v>
      </c>
      <c r="C16276" s="168">
        <v>14</v>
      </c>
      <c r="D16276" s="141">
        <f t="shared" si="2632"/>
        <v>46005</v>
      </c>
      <c r="E16276" s="275">
        <f t="shared" si="2633"/>
        <v>46005</v>
      </c>
      <c r="F16276" s="481" t="s">
        <v>2073</v>
      </c>
      <c r="G16276" s="174" t="s">
        <v>94</v>
      </c>
      <c r="H16276" s="174"/>
      <c r="J16276" s="149" t="s">
        <v>79</v>
      </c>
      <c r="K16276" s="218">
        <v>135840</v>
      </c>
      <c r="L16276" s="218"/>
      <c r="M16276" s="160"/>
    </row>
    <row r="16277" spans="1:14" x14ac:dyDescent="0.2">
      <c r="A16277" s="133">
        <v>2025</v>
      </c>
      <c r="B16277" s="133">
        <v>12</v>
      </c>
      <c r="C16277" s="133">
        <v>14</v>
      </c>
      <c r="D16277" s="141">
        <f t="shared" si="2632"/>
        <v>46005</v>
      </c>
      <c r="E16277" s="275">
        <f t="shared" si="2633"/>
        <v>46005</v>
      </c>
      <c r="F16277" s="481"/>
      <c r="G16277" s="174" t="s">
        <v>94</v>
      </c>
      <c r="H16277" s="174"/>
      <c r="J16277" s="149" t="s">
        <v>80</v>
      </c>
      <c r="K16277" s="218">
        <v>475.37</v>
      </c>
      <c r="L16277" s="264"/>
      <c r="M16277" s="264"/>
      <c r="N16277" s="264"/>
    </row>
    <row r="16278" spans="1:14" x14ac:dyDescent="0.2">
      <c r="A16278" s="133">
        <v>2025</v>
      </c>
      <c r="B16278" s="133">
        <v>12</v>
      </c>
      <c r="C16278" s="133">
        <v>14</v>
      </c>
      <c r="D16278" s="141">
        <f t="shared" si="2632"/>
        <v>46005</v>
      </c>
      <c r="E16278" s="275">
        <f t="shared" si="2633"/>
        <v>46005</v>
      </c>
      <c r="F16278" s="481"/>
      <c r="G16278" s="174" t="s">
        <v>94</v>
      </c>
      <c r="H16278" s="174"/>
      <c r="J16278" s="149" t="s">
        <v>147</v>
      </c>
      <c r="K16278" s="218"/>
      <c r="L16278" s="218">
        <v>8060.97</v>
      </c>
      <c r="M16278" s="264"/>
    </row>
    <row r="16279" spans="1:14" x14ac:dyDescent="0.2">
      <c r="A16279" s="133">
        <v>2025</v>
      </c>
      <c r="B16279" s="133">
        <v>12</v>
      </c>
      <c r="C16279" s="133">
        <v>14</v>
      </c>
      <c r="D16279" s="141">
        <f t="shared" si="2632"/>
        <v>46005</v>
      </c>
      <c r="E16279" s="275">
        <f t="shared" si="2633"/>
        <v>46005</v>
      </c>
      <c r="F16279" s="481"/>
      <c r="G16279" s="174" t="s">
        <v>94</v>
      </c>
      <c r="H16279" s="174"/>
      <c r="J16279" s="149" t="s">
        <v>191</v>
      </c>
      <c r="K16279" s="218">
        <v>4139.8999999999996</v>
      </c>
      <c r="L16279" s="218"/>
    </row>
    <row r="16280" spans="1:14" x14ac:dyDescent="0.2">
      <c r="A16280" s="163">
        <v>2025</v>
      </c>
      <c r="B16280" s="163">
        <v>12</v>
      </c>
      <c r="C16280" s="163">
        <v>14</v>
      </c>
      <c r="D16280" s="280">
        <f t="shared" si="2632"/>
        <v>46005</v>
      </c>
      <c r="E16280" s="281">
        <f t="shared" si="2633"/>
        <v>46005</v>
      </c>
      <c r="F16280" s="480"/>
      <c r="G16280" s="221" t="s">
        <v>94</v>
      </c>
      <c r="H16280" s="145"/>
      <c r="I16280" s="145"/>
      <c r="J16280" s="163" t="s">
        <v>79</v>
      </c>
      <c r="K16280" s="219"/>
      <c r="L16280" s="219">
        <v>132394.29999999999</v>
      </c>
      <c r="M16280" s="264"/>
    </row>
    <row r="16281" spans="1:14" x14ac:dyDescent="0.2">
      <c r="A16281" s="168">
        <v>2025</v>
      </c>
      <c r="B16281" s="133">
        <v>12</v>
      </c>
      <c r="C16281" s="168">
        <v>14</v>
      </c>
      <c r="D16281" s="147">
        <f t="shared" si="2632"/>
        <v>46005</v>
      </c>
      <c r="E16281" s="311">
        <f t="shared" si="2633"/>
        <v>46005</v>
      </c>
      <c r="F16281" s="481" t="s">
        <v>1943</v>
      </c>
      <c r="G16281" s="174" t="s">
        <v>74</v>
      </c>
      <c r="I16281" s="148" t="s">
        <v>348</v>
      </c>
      <c r="J16281" s="133" t="s">
        <v>61</v>
      </c>
      <c r="K16281" s="172">
        <v>100</v>
      </c>
    </row>
    <row r="16282" spans="1:14" x14ac:dyDescent="0.2">
      <c r="A16282" s="163">
        <v>2025</v>
      </c>
      <c r="B16282" s="163">
        <v>12</v>
      </c>
      <c r="C16282" s="163">
        <v>14</v>
      </c>
      <c r="D16282" s="280">
        <f t="shared" si="2632"/>
        <v>46005</v>
      </c>
      <c r="E16282" s="281">
        <f t="shared" si="2633"/>
        <v>46005</v>
      </c>
      <c r="F16282" s="480"/>
      <c r="G16282" s="221" t="s">
        <v>74</v>
      </c>
      <c r="H16282" s="145"/>
      <c r="I16282" s="145" t="s">
        <v>348</v>
      </c>
      <c r="J16282" s="163" t="s">
        <v>52</v>
      </c>
      <c r="K16282" s="219"/>
      <c r="L16282" s="219">
        <f>K16281</f>
        <v>100</v>
      </c>
    </row>
    <row r="16283" spans="1:14" x14ac:dyDescent="0.2">
      <c r="A16283" s="325">
        <v>2025</v>
      </c>
      <c r="B16283" s="325">
        <v>12</v>
      </c>
      <c r="C16283" s="325">
        <v>14</v>
      </c>
      <c r="D16283" s="326">
        <f t="shared" si="2632"/>
        <v>46005</v>
      </c>
      <c r="E16283" s="327">
        <f t="shared" si="2633"/>
        <v>46005</v>
      </c>
      <c r="F16283" s="473" t="s">
        <v>1940</v>
      </c>
      <c r="G16283" s="340" t="s">
        <v>94</v>
      </c>
      <c r="H16283" s="340"/>
      <c r="I16283" s="341" t="s">
        <v>348</v>
      </c>
      <c r="J16283" s="374" t="s">
        <v>133</v>
      </c>
      <c r="K16283" s="375">
        <v>1843.6514285714286</v>
      </c>
      <c r="L16283" s="375"/>
      <c r="M16283" s="176"/>
    </row>
    <row r="16284" spans="1:14" x14ac:dyDescent="0.2">
      <c r="A16284" s="331">
        <v>2025</v>
      </c>
      <c r="B16284" s="331">
        <v>12</v>
      </c>
      <c r="C16284" s="331">
        <v>14</v>
      </c>
      <c r="D16284" s="326">
        <f t="shared" si="2632"/>
        <v>46005</v>
      </c>
      <c r="E16284" s="327">
        <f t="shared" si="2633"/>
        <v>46005</v>
      </c>
      <c r="F16284" s="474"/>
      <c r="G16284" s="332" t="s">
        <v>94</v>
      </c>
      <c r="H16284" s="332"/>
      <c r="I16284" s="333" t="s">
        <v>348</v>
      </c>
      <c r="J16284" s="376" t="s">
        <v>60</v>
      </c>
      <c r="K16284" s="334"/>
      <c r="L16284" s="334">
        <f>K16283</f>
        <v>1843.6514285714286</v>
      </c>
    </row>
    <row r="16285" spans="1:14" x14ac:dyDescent="0.2">
      <c r="A16285" s="325">
        <v>2025</v>
      </c>
      <c r="B16285" s="325">
        <v>12</v>
      </c>
      <c r="C16285" s="325">
        <v>14</v>
      </c>
      <c r="D16285" s="326">
        <f t="shared" si="2632"/>
        <v>46005</v>
      </c>
      <c r="E16285" s="327">
        <f t="shared" si="2633"/>
        <v>46005</v>
      </c>
      <c r="F16285" s="473" t="s">
        <v>2131</v>
      </c>
      <c r="G16285" s="340" t="s">
        <v>94</v>
      </c>
      <c r="H16285" s="340"/>
      <c r="I16285" s="341" t="s">
        <v>348</v>
      </c>
      <c r="J16285" s="374" t="s">
        <v>2156</v>
      </c>
      <c r="K16285" s="375">
        <v>6185.4395604395604</v>
      </c>
      <c r="L16285" s="375"/>
      <c r="M16285" s="176"/>
    </row>
    <row r="16286" spans="1:14" x14ac:dyDescent="0.2">
      <c r="A16286" s="331">
        <v>2025</v>
      </c>
      <c r="B16286" s="331">
        <v>12</v>
      </c>
      <c r="C16286" s="331">
        <v>14</v>
      </c>
      <c r="D16286" s="326">
        <f t="shared" si="2632"/>
        <v>46005</v>
      </c>
      <c r="E16286" s="327">
        <f t="shared" si="2633"/>
        <v>46005</v>
      </c>
      <c r="F16286" s="474"/>
      <c r="G16286" s="332" t="s">
        <v>94</v>
      </c>
      <c r="H16286" s="332"/>
      <c r="I16286" s="333" t="s">
        <v>348</v>
      </c>
      <c r="J16286" s="376" t="s">
        <v>2154</v>
      </c>
      <c r="K16286" s="334"/>
      <c r="L16286" s="334">
        <f>K16285</f>
        <v>6185.4395604395604</v>
      </c>
    </row>
    <row r="16287" spans="1:14" x14ac:dyDescent="0.2">
      <c r="A16287" s="384">
        <v>2025</v>
      </c>
      <c r="B16287" s="384">
        <v>12</v>
      </c>
      <c r="C16287" s="384">
        <v>14</v>
      </c>
      <c r="D16287" s="385">
        <f t="shared" si="2632"/>
        <v>46005</v>
      </c>
      <c r="E16287" s="386">
        <f t="shared" si="2633"/>
        <v>46005</v>
      </c>
      <c r="F16287" s="475" t="s">
        <v>1966</v>
      </c>
      <c r="G16287" s="387" t="s">
        <v>94</v>
      </c>
      <c r="H16287" s="387"/>
      <c r="I16287" s="388" t="s">
        <v>348</v>
      </c>
      <c r="J16287" s="389" t="s">
        <v>67</v>
      </c>
      <c r="K16287" s="390">
        <v>328.63320180555553</v>
      </c>
      <c r="L16287" s="390"/>
    </row>
    <row r="16288" spans="1:14" x14ac:dyDescent="0.2">
      <c r="A16288" s="391">
        <v>2025</v>
      </c>
      <c r="B16288" s="391">
        <v>12</v>
      </c>
      <c r="C16288" s="391">
        <v>14</v>
      </c>
      <c r="D16288" s="385">
        <f t="shared" si="2632"/>
        <v>46005</v>
      </c>
      <c r="E16288" s="386">
        <f t="shared" si="2633"/>
        <v>46005</v>
      </c>
      <c r="F16288" s="476"/>
      <c r="G16288" s="392" t="s">
        <v>94</v>
      </c>
      <c r="H16288" s="392"/>
      <c r="I16288" s="393" t="s">
        <v>348</v>
      </c>
      <c r="J16288" s="394" t="s">
        <v>60</v>
      </c>
      <c r="K16288" s="395"/>
      <c r="L16288" s="395">
        <f>K16287</f>
        <v>328.63320180555553</v>
      </c>
    </row>
    <row r="16289" spans="1:14" x14ac:dyDescent="0.2">
      <c r="A16289" s="343">
        <v>2025</v>
      </c>
      <c r="B16289" s="343">
        <v>12</v>
      </c>
      <c r="C16289" s="343">
        <v>14</v>
      </c>
      <c r="D16289" s="344">
        <f t="shared" si="2632"/>
        <v>46005</v>
      </c>
      <c r="E16289" s="345">
        <f t="shared" si="2633"/>
        <v>46005</v>
      </c>
      <c r="F16289" s="483" t="s">
        <v>1813</v>
      </c>
      <c r="G16289" s="350" t="s">
        <v>94</v>
      </c>
      <c r="H16289" s="350"/>
      <c r="I16289" s="352" t="s">
        <v>348</v>
      </c>
      <c r="J16289" s="353" t="s">
        <v>1807</v>
      </c>
      <c r="K16289" s="354">
        <v>0</v>
      </c>
      <c r="L16289" s="354"/>
      <c r="M16289" s="133">
        <v>0</v>
      </c>
    </row>
    <row r="16290" spans="1:14" x14ac:dyDescent="0.2">
      <c r="A16290" s="346">
        <v>2025</v>
      </c>
      <c r="B16290" s="346">
        <v>12</v>
      </c>
      <c r="C16290" s="346">
        <v>14</v>
      </c>
      <c r="D16290" s="344">
        <f t="shared" si="2632"/>
        <v>46005</v>
      </c>
      <c r="E16290" s="345">
        <f t="shared" si="2633"/>
        <v>46005</v>
      </c>
      <c r="F16290" s="484"/>
      <c r="G16290" s="347" t="s">
        <v>94</v>
      </c>
      <c r="H16290" s="347"/>
      <c r="I16290" s="348" t="s">
        <v>348</v>
      </c>
      <c r="J16290" s="355" t="s">
        <v>1798</v>
      </c>
      <c r="K16290" s="349"/>
      <c r="L16290" s="349">
        <v>0</v>
      </c>
    </row>
    <row r="16291" spans="1:14" x14ac:dyDescent="0.2">
      <c r="A16291" s="343">
        <v>2025</v>
      </c>
      <c r="B16291" s="343">
        <v>12</v>
      </c>
      <c r="C16291" s="343">
        <v>14</v>
      </c>
      <c r="D16291" s="344">
        <f t="shared" si="2632"/>
        <v>46005</v>
      </c>
      <c r="E16291" s="345">
        <f t="shared" si="2633"/>
        <v>46005</v>
      </c>
      <c r="F16291" s="483" t="s">
        <v>1913</v>
      </c>
      <c r="G16291" s="350" t="s">
        <v>94</v>
      </c>
      <c r="H16291" s="350"/>
      <c r="I16291" s="352" t="s">
        <v>348</v>
      </c>
      <c r="J16291" s="353" t="s">
        <v>1808</v>
      </c>
      <c r="K16291" s="354"/>
      <c r="L16291" s="354"/>
      <c r="M16291" s="160">
        <v>0</v>
      </c>
    </row>
    <row r="16292" spans="1:14" x14ac:dyDescent="0.2">
      <c r="A16292" s="346">
        <v>2025</v>
      </c>
      <c r="B16292" s="346">
        <v>12</v>
      </c>
      <c r="C16292" s="346">
        <v>14</v>
      </c>
      <c r="D16292" s="344">
        <f t="shared" si="2632"/>
        <v>46005</v>
      </c>
      <c r="E16292" s="345">
        <f t="shared" si="2633"/>
        <v>46005</v>
      </c>
      <c r="F16292" s="484"/>
      <c r="G16292" s="347" t="s">
        <v>94</v>
      </c>
      <c r="H16292" s="347"/>
      <c r="I16292" s="348" t="s">
        <v>348</v>
      </c>
      <c r="J16292" s="355" t="s">
        <v>1799</v>
      </c>
      <c r="K16292" s="349"/>
      <c r="L16292" s="349">
        <f>K16291</f>
        <v>0</v>
      </c>
    </row>
    <row r="16293" spans="1:14" x14ac:dyDescent="0.2">
      <c r="A16293" s="238">
        <v>2025</v>
      </c>
      <c r="B16293" s="238">
        <v>12</v>
      </c>
      <c r="C16293" s="238">
        <v>14</v>
      </c>
      <c r="D16293" s="270">
        <f t="shared" si="2632"/>
        <v>46005</v>
      </c>
      <c r="E16293" s="279">
        <f t="shared" si="2633"/>
        <v>46005</v>
      </c>
      <c r="F16293" s="477" t="s">
        <v>347</v>
      </c>
      <c r="G16293" s="239" t="s">
        <v>94</v>
      </c>
      <c r="H16293" s="239"/>
      <c r="I16293" s="262" t="s">
        <v>348</v>
      </c>
      <c r="J16293" s="240" t="s">
        <v>82</v>
      </c>
      <c r="K16293" s="241">
        <v>873064.89999997616</v>
      </c>
      <c r="L16293" s="241"/>
      <c r="M16293" s="160">
        <v>13139541.900000483</v>
      </c>
    </row>
    <row r="16294" spans="1:14" x14ac:dyDescent="0.2">
      <c r="A16294" s="242">
        <v>2025</v>
      </c>
      <c r="B16294" s="242">
        <v>12</v>
      </c>
      <c r="C16294" s="242">
        <v>14</v>
      </c>
      <c r="D16294" s="270">
        <f t="shared" si="2632"/>
        <v>46005</v>
      </c>
      <c r="E16294" s="279">
        <f t="shared" si="2633"/>
        <v>46005</v>
      </c>
      <c r="F16294" s="478"/>
      <c r="G16294" s="243" t="s">
        <v>94</v>
      </c>
      <c r="H16294" s="243"/>
      <c r="I16294" s="263" t="s">
        <v>348</v>
      </c>
      <c r="J16294" s="244" t="s">
        <v>108</v>
      </c>
      <c r="K16294" s="245"/>
      <c r="L16294" s="245">
        <f>K16293</f>
        <v>873064.89999997616</v>
      </c>
    </row>
    <row r="16295" spans="1:14" ht="12" customHeight="1" x14ac:dyDescent="0.2">
      <c r="A16295" s="246">
        <v>2025</v>
      </c>
      <c r="B16295" s="238">
        <v>12</v>
      </c>
      <c r="C16295" s="238">
        <v>14</v>
      </c>
      <c r="D16295" s="270">
        <f t="shared" si="2632"/>
        <v>46005</v>
      </c>
      <c r="E16295" s="279">
        <f t="shared" si="2633"/>
        <v>46005</v>
      </c>
      <c r="F16295" s="482" t="s">
        <v>148</v>
      </c>
      <c r="G16295" s="247" t="s">
        <v>94</v>
      </c>
      <c r="H16295" s="247"/>
      <c r="I16295" s="248" t="s">
        <v>348</v>
      </c>
      <c r="J16295" s="249" t="s">
        <v>95</v>
      </c>
      <c r="K16295" s="250">
        <v>392.46467817896388</v>
      </c>
      <c r="L16295" s="241"/>
      <c r="M16295" s="176"/>
    </row>
    <row r="16296" spans="1:14" x14ac:dyDescent="0.2">
      <c r="A16296" s="242">
        <v>2025</v>
      </c>
      <c r="B16296" s="242">
        <v>12</v>
      </c>
      <c r="C16296" s="242">
        <v>14</v>
      </c>
      <c r="D16296" s="270">
        <f t="shared" si="2632"/>
        <v>46005</v>
      </c>
      <c r="E16296" s="279">
        <f t="shared" si="2633"/>
        <v>46005</v>
      </c>
      <c r="F16296" s="478"/>
      <c r="G16296" s="243" t="s">
        <v>94</v>
      </c>
      <c r="H16296" s="243"/>
      <c r="I16296" s="263" t="s">
        <v>348</v>
      </c>
      <c r="J16296" s="244" t="s">
        <v>63</v>
      </c>
      <c r="K16296" s="245"/>
      <c r="L16296" s="245">
        <f>K16295</f>
        <v>392.46467817896388</v>
      </c>
    </row>
    <row r="16297" spans="1:14" x14ac:dyDescent="0.2">
      <c r="A16297" s="246">
        <v>2025</v>
      </c>
      <c r="B16297" s="238">
        <v>12</v>
      </c>
      <c r="C16297" s="238">
        <v>14</v>
      </c>
      <c r="D16297" s="270">
        <f t="shared" si="2632"/>
        <v>46005</v>
      </c>
      <c r="E16297" s="279">
        <f t="shared" si="2633"/>
        <v>46005</v>
      </c>
      <c r="F16297" s="482" t="s">
        <v>137</v>
      </c>
      <c r="G16297" s="247" t="s">
        <v>94</v>
      </c>
      <c r="H16297" s="247"/>
      <c r="I16297" s="248" t="s">
        <v>348</v>
      </c>
      <c r="J16297" s="249" t="s">
        <v>97</v>
      </c>
      <c r="K16297" s="250">
        <f>M16297</f>
        <v>12799.904680419972</v>
      </c>
      <c r="L16297" s="252"/>
      <c r="M16297" s="170">
        <v>12799.904680419972</v>
      </c>
    </row>
    <row r="16298" spans="1:14" x14ac:dyDescent="0.2">
      <c r="A16298" s="242">
        <v>2025</v>
      </c>
      <c r="B16298" s="242">
        <v>12</v>
      </c>
      <c r="C16298" s="242">
        <v>14</v>
      </c>
      <c r="D16298" s="270">
        <f t="shared" si="2632"/>
        <v>46005</v>
      </c>
      <c r="E16298" s="279">
        <f t="shared" si="2633"/>
        <v>46005</v>
      </c>
      <c r="F16298" s="478"/>
      <c r="G16298" s="243" t="s">
        <v>94</v>
      </c>
      <c r="H16298" s="243"/>
      <c r="I16298" s="263" t="s">
        <v>348</v>
      </c>
      <c r="J16298" s="244" t="s">
        <v>47</v>
      </c>
      <c r="K16298" s="245"/>
      <c r="L16298" s="245">
        <f>K16297</f>
        <v>12799.904680419972</v>
      </c>
      <c r="M16298" s="170">
        <v>605.65457468033935</v>
      </c>
    </row>
    <row r="16299" spans="1:14" x14ac:dyDescent="0.2">
      <c r="A16299" s="246">
        <v>2025</v>
      </c>
      <c r="B16299" s="238">
        <v>12</v>
      </c>
      <c r="C16299" s="238">
        <v>14</v>
      </c>
      <c r="D16299" s="270">
        <f t="shared" si="2632"/>
        <v>46005</v>
      </c>
      <c r="E16299" s="279">
        <f t="shared" si="2633"/>
        <v>46005</v>
      </c>
      <c r="F16299" s="482" t="s">
        <v>138</v>
      </c>
      <c r="G16299" s="247" t="s">
        <v>94</v>
      </c>
      <c r="H16299" s="247"/>
      <c r="I16299" s="248" t="s">
        <v>348</v>
      </c>
      <c r="J16299" s="249" t="s">
        <v>100</v>
      </c>
      <c r="K16299" s="250">
        <f>M16298</f>
        <v>605.65457468033935</v>
      </c>
      <c r="L16299" s="252"/>
    </row>
    <row r="16300" spans="1:14" x14ac:dyDescent="0.2">
      <c r="A16300" s="242">
        <v>2025</v>
      </c>
      <c r="B16300" s="242">
        <v>12</v>
      </c>
      <c r="C16300" s="242">
        <v>14</v>
      </c>
      <c r="D16300" s="321">
        <f t="shared" si="2632"/>
        <v>46005</v>
      </c>
      <c r="E16300" s="322">
        <f t="shared" si="2633"/>
        <v>46005</v>
      </c>
      <c r="F16300" s="478"/>
      <c r="G16300" s="243" t="s">
        <v>94</v>
      </c>
      <c r="H16300" s="243"/>
      <c r="I16300" s="263" t="s">
        <v>348</v>
      </c>
      <c r="J16300" s="244" t="s">
        <v>48</v>
      </c>
      <c r="K16300" s="245"/>
      <c r="L16300" s="245">
        <f>K16299</f>
        <v>605.65457468033935</v>
      </c>
    </row>
    <row r="16301" spans="1:14" ht="11.25" customHeight="1" x14ac:dyDescent="0.2">
      <c r="A16301" s="168">
        <v>2025</v>
      </c>
      <c r="B16301" s="133">
        <v>12</v>
      </c>
      <c r="C16301" s="168">
        <v>15</v>
      </c>
      <c r="D16301" s="141">
        <f t="shared" ref="D16301:D16331" si="2634">DATE(A16301,B16301,C16301)</f>
        <v>46006</v>
      </c>
      <c r="E16301" s="275">
        <f t="shared" ref="E16301:E16331" si="2635">DATE(A16301,B16301,C16301)</f>
        <v>46006</v>
      </c>
      <c r="F16301" s="479" t="s">
        <v>2074</v>
      </c>
      <c r="G16301" s="220" t="s">
        <v>74</v>
      </c>
      <c r="H16301" s="220"/>
      <c r="I16301" s="142"/>
      <c r="J16301" s="143" t="s">
        <v>147</v>
      </c>
      <c r="K16301" s="226">
        <v>8060.97</v>
      </c>
      <c r="L16301" s="226"/>
    </row>
    <row r="16302" spans="1:14" x14ac:dyDescent="0.2">
      <c r="A16302" s="163">
        <v>2025</v>
      </c>
      <c r="B16302" s="163">
        <v>12</v>
      </c>
      <c r="C16302" s="163">
        <v>15</v>
      </c>
      <c r="D16302" s="280">
        <f t="shared" si="2634"/>
        <v>46006</v>
      </c>
      <c r="E16302" s="281">
        <f t="shared" si="2635"/>
        <v>46006</v>
      </c>
      <c r="F16302" s="480"/>
      <c r="G16302" s="221" t="s">
        <v>74</v>
      </c>
      <c r="H16302" s="221"/>
      <c r="I16302" s="145"/>
      <c r="J16302" s="146" t="s">
        <v>52</v>
      </c>
      <c r="K16302" s="219"/>
      <c r="L16302" s="219">
        <f>K16301</f>
        <v>8060.97</v>
      </c>
      <c r="N16302" s="264"/>
    </row>
    <row r="16303" spans="1:14" x14ac:dyDescent="0.2">
      <c r="A16303" s="168">
        <v>2025</v>
      </c>
      <c r="B16303" s="168">
        <v>12</v>
      </c>
      <c r="C16303" s="168">
        <v>15</v>
      </c>
      <c r="D16303" s="141">
        <f t="shared" si="2634"/>
        <v>46006</v>
      </c>
      <c r="E16303" s="275">
        <f t="shared" si="2635"/>
        <v>46006</v>
      </c>
      <c r="F16303" s="479" t="s">
        <v>2140</v>
      </c>
      <c r="G16303" s="174" t="s">
        <v>74</v>
      </c>
      <c r="I16303" s="148" t="s">
        <v>348</v>
      </c>
      <c r="J16303" s="133" t="s">
        <v>47</v>
      </c>
      <c r="K16303" s="172">
        <v>47058.823529411769</v>
      </c>
    </row>
    <row r="16304" spans="1:14" x14ac:dyDescent="0.2">
      <c r="A16304" s="133">
        <v>2025</v>
      </c>
      <c r="B16304" s="133">
        <v>12</v>
      </c>
      <c r="C16304" s="133">
        <v>15</v>
      </c>
      <c r="D16304" s="141">
        <f t="shared" si="2634"/>
        <v>46006</v>
      </c>
      <c r="E16304" s="275">
        <f t="shared" si="2635"/>
        <v>46006</v>
      </c>
      <c r="F16304" s="481"/>
      <c r="G16304" s="174" t="s">
        <v>74</v>
      </c>
      <c r="J16304" s="133" t="s">
        <v>534</v>
      </c>
      <c r="K16304" s="218"/>
      <c r="L16304" s="218">
        <f>K16303*0.15</f>
        <v>7058.8235294117649</v>
      </c>
      <c r="N16304" s="264"/>
    </row>
    <row r="16305" spans="1:15" x14ac:dyDescent="0.2">
      <c r="A16305" s="163">
        <v>2025</v>
      </c>
      <c r="B16305" s="163">
        <v>12</v>
      </c>
      <c r="C16305" s="163">
        <v>15</v>
      </c>
      <c r="D16305" s="280">
        <f t="shared" si="2634"/>
        <v>46006</v>
      </c>
      <c r="E16305" s="281">
        <f t="shared" si="2635"/>
        <v>46006</v>
      </c>
      <c r="F16305" s="480"/>
      <c r="G16305" s="221" t="s">
        <v>74</v>
      </c>
      <c r="H16305" s="145"/>
      <c r="I16305" s="145" t="s">
        <v>348</v>
      </c>
      <c r="J16305" s="163" t="s">
        <v>52</v>
      </c>
      <c r="K16305" s="219"/>
      <c r="L16305" s="219">
        <f>K16303*0.85</f>
        <v>40000</v>
      </c>
      <c r="O16305" s="373"/>
    </row>
    <row r="16306" spans="1:15" x14ac:dyDescent="0.2">
      <c r="A16306" s="133">
        <v>2025</v>
      </c>
      <c r="B16306" s="133">
        <v>12</v>
      </c>
      <c r="C16306" s="168">
        <v>15</v>
      </c>
      <c r="D16306" s="141">
        <f t="shared" si="2634"/>
        <v>46006</v>
      </c>
      <c r="E16306" s="275">
        <f t="shared" si="2635"/>
        <v>46006</v>
      </c>
      <c r="F16306" s="481" t="s">
        <v>2073</v>
      </c>
      <c r="G16306" s="174" t="s">
        <v>94</v>
      </c>
      <c r="H16306" s="174"/>
      <c r="J16306" s="149" t="s">
        <v>79</v>
      </c>
      <c r="K16306" s="218">
        <v>593970</v>
      </c>
      <c r="L16306" s="218"/>
      <c r="M16306" s="160"/>
    </row>
    <row r="16307" spans="1:15" x14ac:dyDescent="0.2">
      <c r="A16307" s="133">
        <v>2025</v>
      </c>
      <c r="B16307" s="133">
        <v>12</v>
      </c>
      <c r="C16307" s="133">
        <v>15</v>
      </c>
      <c r="D16307" s="141">
        <f t="shared" si="2634"/>
        <v>46006</v>
      </c>
      <c r="E16307" s="275">
        <f t="shared" si="2635"/>
        <v>46006</v>
      </c>
      <c r="F16307" s="481"/>
      <c r="G16307" s="174" t="s">
        <v>94</v>
      </c>
      <c r="H16307" s="174"/>
      <c r="J16307" s="149" t="s">
        <v>80</v>
      </c>
      <c r="K16307" s="218">
        <v>3917.09</v>
      </c>
      <c r="L16307" s="264"/>
      <c r="M16307" s="264"/>
      <c r="N16307" s="264"/>
    </row>
    <row r="16308" spans="1:15" x14ac:dyDescent="0.2">
      <c r="A16308" s="133">
        <v>2025</v>
      </c>
      <c r="B16308" s="133">
        <v>12</v>
      </c>
      <c r="C16308" s="133">
        <v>15</v>
      </c>
      <c r="D16308" s="141">
        <f t="shared" si="2634"/>
        <v>46006</v>
      </c>
      <c r="E16308" s="275">
        <f t="shared" si="2635"/>
        <v>46006</v>
      </c>
      <c r="F16308" s="481"/>
      <c r="G16308" s="174" t="s">
        <v>94</v>
      </c>
      <c r="H16308" s="174"/>
      <c r="J16308" s="149" t="s">
        <v>190</v>
      </c>
      <c r="K16308" s="218">
        <v>984304.61</v>
      </c>
      <c r="L16308" s="218"/>
      <c r="M16308" s="264"/>
    </row>
    <row r="16309" spans="1:15" x14ac:dyDescent="0.2">
      <c r="A16309" s="133">
        <v>2025</v>
      </c>
      <c r="B16309" s="133">
        <v>12</v>
      </c>
      <c r="C16309" s="133">
        <v>15</v>
      </c>
      <c r="D16309" s="141">
        <f t="shared" si="2634"/>
        <v>46006</v>
      </c>
      <c r="E16309" s="275">
        <f t="shared" si="2635"/>
        <v>46006</v>
      </c>
      <c r="F16309" s="481"/>
      <c r="G16309" s="174" t="s">
        <v>94</v>
      </c>
      <c r="H16309" s="174"/>
      <c r="J16309" s="149" t="s">
        <v>191</v>
      </c>
      <c r="K16309" s="218"/>
      <c r="L16309" s="218">
        <v>61302.78</v>
      </c>
    </row>
    <row r="16310" spans="1:15" x14ac:dyDescent="0.2">
      <c r="A16310" s="163">
        <v>2025</v>
      </c>
      <c r="B16310" s="163">
        <v>12</v>
      </c>
      <c r="C16310" s="163">
        <v>15</v>
      </c>
      <c r="D16310" s="280">
        <f t="shared" si="2634"/>
        <v>46006</v>
      </c>
      <c r="E16310" s="281">
        <f t="shared" si="2635"/>
        <v>46006</v>
      </c>
      <c r="F16310" s="480"/>
      <c r="G16310" s="221" t="s">
        <v>94</v>
      </c>
      <c r="H16310" s="145"/>
      <c r="I16310" s="145"/>
      <c r="J16310" s="163" t="s">
        <v>79</v>
      </c>
      <c r="K16310" s="219"/>
      <c r="L16310" s="219">
        <v>1520888.92</v>
      </c>
      <c r="M16310" s="264"/>
    </row>
    <row r="16311" spans="1:15" ht="11.25" customHeight="1" x14ac:dyDescent="0.2">
      <c r="A16311" s="168">
        <v>2025</v>
      </c>
      <c r="B16311" s="168">
        <v>12</v>
      </c>
      <c r="C16311" s="133">
        <v>15</v>
      </c>
      <c r="D16311" s="141">
        <f t="shared" si="2634"/>
        <v>46006</v>
      </c>
      <c r="E16311" s="275">
        <f t="shared" si="2635"/>
        <v>46006</v>
      </c>
      <c r="F16311" s="479" t="s">
        <v>964</v>
      </c>
      <c r="G16311" s="220" t="s">
        <v>74</v>
      </c>
      <c r="H16311" s="142"/>
      <c r="I16311" s="142"/>
      <c r="J16311" s="168" t="s">
        <v>52</v>
      </c>
      <c r="K16311" s="226">
        <v>2000</v>
      </c>
      <c r="L16311" s="226"/>
    </row>
    <row r="16312" spans="1:15" ht="11.25" customHeight="1" x14ac:dyDescent="0.2">
      <c r="A16312" s="133">
        <v>2025</v>
      </c>
      <c r="B16312" s="133">
        <v>12</v>
      </c>
      <c r="C16312" s="133">
        <v>15</v>
      </c>
      <c r="D16312" s="141">
        <f t="shared" si="2634"/>
        <v>46006</v>
      </c>
      <c r="E16312" s="275">
        <f t="shared" si="2635"/>
        <v>46006</v>
      </c>
      <c r="F16312" s="481"/>
      <c r="G16312" s="174" t="s">
        <v>74</v>
      </c>
      <c r="J16312" s="133" t="s">
        <v>13</v>
      </c>
      <c r="K16312" s="218"/>
      <c r="L16312" s="218">
        <v>1400</v>
      </c>
    </row>
    <row r="16313" spans="1:15" ht="11.25" customHeight="1" x14ac:dyDescent="0.2">
      <c r="A16313" s="163">
        <v>2025</v>
      </c>
      <c r="B16313" s="163">
        <v>12</v>
      </c>
      <c r="C16313" s="163">
        <v>15</v>
      </c>
      <c r="D16313" s="280">
        <f t="shared" si="2634"/>
        <v>46006</v>
      </c>
      <c r="E16313" s="281">
        <f t="shared" si="2635"/>
        <v>46006</v>
      </c>
      <c r="F16313" s="480"/>
      <c r="G16313" s="221" t="s">
        <v>74</v>
      </c>
      <c r="H16313" s="145"/>
      <c r="I16313" s="145"/>
      <c r="J16313" s="163" t="s">
        <v>53</v>
      </c>
      <c r="K16313" s="219"/>
      <c r="L16313" s="219">
        <v>600</v>
      </c>
    </row>
    <row r="16314" spans="1:15" x14ac:dyDescent="0.2">
      <c r="A16314" s="325">
        <v>2025</v>
      </c>
      <c r="B16314" s="325">
        <v>12</v>
      </c>
      <c r="C16314" s="325">
        <v>15</v>
      </c>
      <c r="D16314" s="326">
        <f t="shared" si="2634"/>
        <v>46006</v>
      </c>
      <c r="E16314" s="327">
        <f t="shared" si="2635"/>
        <v>46006</v>
      </c>
      <c r="F16314" s="473" t="s">
        <v>1940</v>
      </c>
      <c r="G16314" s="340" t="s">
        <v>94</v>
      </c>
      <c r="H16314" s="340"/>
      <c r="I16314" s="341" t="s">
        <v>348</v>
      </c>
      <c r="J16314" s="374" t="s">
        <v>133</v>
      </c>
      <c r="K16314" s="375">
        <v>1843.6514285714286</v>
      </c>
      <c r="L16314" s="375"/>
      <c r="M16314" s="176"/>
    </row>
    <row r="16315" spans="1:15" x14ac:dyDescent="0.2">
      <c r="A16315" s="331">
        <v>2025</v>
      </c>
      <c r="B16315" s="331">
        <v>12</v>
      </c>
      <c r="C16315" s="331">
        <v>15</v>
      </c>
      <c r="D16315" s="326">
        <f t="shared" si="2634"/>
        <v>46006</v>
      </c>
      <c r="E16315" s="327">
        <f t="shared" si="2635"/>
        <v>46006</v>
      </c>
      <c r="F16315" s="474"/>
      <c r="G16315" s="332" t="s">
        <v>94</v>
      </c>
      <c r="H16315" s="332"/>
      <c r="I16315" s="333" t="s">
        <v>348</v>
      </c>
      <c r="J16315" s="376" t="s">
        <v>60</v>
      </c>
      <c r="K16315" s="334"/>
      <c r="L16315" s="334">
        <f>K16314</f>
        <v>1843.6514285714286</v>
      </c>
    </row>
    <row r="16316" spans="1:15" x14ac:dyDescent="0.2">
      <c r="A16316" s="325">
        <v>2025</v>
      </c>
      <c r="B16316" s="325">
        <v>12</v>
      </c>
      <c r="C16316" s="325">
        <v>15</v>
      </c>
      <c r="D16316" s="326">
        <f t="shared" si="2634"/>
        <v>46006</v>
      </c>
      <c r="E16316" s="327">
        <f t="shared" si="2635"/>
        <v>46006</v>
      </c>
      <c r="F16316" s="473" t="s">
        <v>2131</v>
      </c>
      <c r="G16316" s="340" t="s">
        <v>94</v>
      </c>
      <c r="H16316" s="340"/>
      <c r="I16316" s="341" t="s">
        <v>348</v>
      </c>
      <c r="J16316" s="374" t="s">
        <v>2156</v>
      </c>
      <c r="K16316" s="375">
        <v>6185.4395604395604</v>
      </c>
      <c r="L16316" s="375"/>
      <c r="M16316" s="176"/>
    </row>
    <row r="16317" spans="1:15" x14ac:dyDescent="0.2">
      <c r="A16317" s="331">
        <v>2025</v>
      </c>
      <c r="B16317" s="331">
        <v>12</v>
      </c>
      <c r="C16317" s="331">
        <v>15</v>
      </c>
      <c r="D16317" s="326">
        <f t="shared" si="2634"/>
        <v>46006</v>
      </c>
      <c r="E16317" s="327">
        <f t="shared" si="2635"/>
        <v>46006</v>
      </c>
      <c r="F16317" s="474"/>
      <c r="G16317" s="332" t="s">
        <v>94</v>
      </c>
      <c r="H16317" s="332"/>
      <c r="I16317" s="333" t="s">
        <v>348</v>
      </c>
      <c r="J16317" s="376" t="s">
        <v>2154</v>
      </c>
      <c r="K16317" s="334"/>
      <c r="L16317" s="334">
        <f>K16316</f>
        <v>6185.4395604395604</v>
      </c>
    </row>
    <row r="16318" spans="1:15" x14ac:dyDescent="0.2">
      <c r="A16318" s="384">
        <v>2025</v>
      </c>
      <c r="B16318" s="384">
        <v>12</v>
      </c>
      <c r="C16318" s="384">
        <v>15</v>
      </c>
      <c r="D16318" s="385">
        <f t="shared" si="2634"/>
        <v>46006</v>
      </c>
      <c r="E16318" s="386">
        <f t="shared" si="2635"/>
        <v>46006</v>
      </c>
      <c r="F16318" s="475" t="s">
        <v>1966</v>
      </c>
      <c r="G16318" s="387" t="s">
        <v>94</v>
      </c>
      <c r="H16318" s="387"/>
      <c r="I16318" s="388" t="s">
        <v>348</v>
      </c>
      <c r="J16318" s="389" t="s">
        <v>67</v>
      </c>
      <c r="K16318" s="390">
        <v>279.08701013888884</v>
      </c>
      <c r="L16318" s="390"/>
    </row>
    <row r="16319" spans="1:15" x14ac:dyDescent="0.2">
      <c r="A16319" s="391">
        <v>2025</v>
      </c>
      <c r="B16319" s="391">
        <v>12</v>
      </c>
      <c r="C16319" s="391">
        <v>15</v>
      </c>
      <c r="D16319" s="385">
        <f t="shared" si="2634"/>
        <v>46006</v>
      </c>
      <c r="E16319" s="386">
        <f t="shared" si="2635"/>
        <v>46006</v>
      </c>
      <c r="F16319" s="476"/>
      <c r="G16319" s="392" t="s">
        <v>94</v>
      </c>
      <c r="H16319" s="392"/>
      <c r="I16319" s="393" t="s">
        <v>348</v>
      </c>
      <c r="J16319" s="394" t="s">
        <v>60</v>
      </c>
      <c r="K16319" s="395"/>
      <c r="L16319" s="395">
        <f>K16318</f>
        <v>279.08701013888884</v>
      </c>
    </row>
    <row r="16320" spans="1:15" x14ac:dyDescent="0.2">
      <c r="A16320" s="343">
        <v>2025</v>
      </c>
      <c r="B16320" s="343">
        <v>12</v>
      </c>
      <c r="C16320" s="343">
        <v>15</v>
      </c>
      <c r="D16320" s="344">
        <f t="shared" si="2634"/>
        <v>46006</v>
      </c>
      <c r="E16320" s="345">
        <f t="shared" si="2635"/>
        <v>46006</v>
      </c>
      <c r="F16320" s="483" t="s">
        <v>1813</v>
      </c>
      <c r="G16320" s="350" t="s">
        <v>94</v>
      </c>
      <c r="H16320" s="350"/>
      <c r="I16320" s="352" t="s">
        <v>348</v>
      </c>
      <c r="J16320" s="353" t="s">
        <v>1807</v>
      </c>
      <c r="K16320" s="354">
        <v>0</v>
      </c>
      <c r="L16320" s="354"/>
      <c r="M16320" s="133">
        <v>0</v>
      </c>
    </row>
    <row r="16321" spans="1:14" x14ac:dyDescent="0.2">
      <c r="A16321" s="346">
        <v>2025</v>
      </c>
      <c r="B16321" s="346">
        <v>12</v>
      </c>
      <c r="C16321" s="346">
        <v>15</v>
      </c>
      <c r="D16321" s="344">
        <f t="shared" si="2634"/>
        <v>46006</v>
      </c>
      <c r="E16321" s="345">
        <f t="shared" si="2635"/>
        <v>46006</v>
      </c>
      <c r="F16321" s="484"/>
      <c r="G16321" s="347" t="s">
        <v>94</v>
      </c>
      <c r="H16321" s="347"/>
      <c r="I16321" s="348" t="s">
        <v>348</v>
      </c>
      <c r="J16321" s="355" t="s">
        <v>1798</v>
      </c>
      <c r="K16321" s="349"/>
      <c r="L16321" s="349">
        <v>0</v>
      </c>
    </row>
    <row r="16322" spans="1:14" x14ac:dyDescent="0.2">
      <c r="A16322" s="343">
        <v>2025</v>
      </c>
      <c r="B16322" s="343">
        <v>12</v>
      </c>
      <c r="C16322" s="343">
        <v>15</v>
      </c>
      <c r="D16322" s="344">
        <f t="shared" si="2634"/>
        <v>46006</v>
      </c>
      <c r="E16322" s="345">
        <f t="shared" si="2635"/>
        <v>46006</v>
      </c>
      <c r="F16322" s="483" t="s">
        <v>1913</v>
      </c>
      <c r="G16322" s="350" t="s">
        <v>94</v>
      </c>
      <c r="H16322" s="350"/>
      <c r="I16322" s="352" t="s">
        <v>348</v>
      </c>
      <c r="J16322" s="353" t="s">
        <v>1808</v>
      </c>
      <c r="K16322" s="354"/>
      <c r="L16322" s="354"/>
      <c r="M16322" s="160">
        <v>0</v>
      </c>
    </row>
    <row r="16323" spans="1:14" x14ac:dyDescent="0.2">
      <c r="A16323" s="346">
        <v>2025</v>
      </c>
      <c r="B16323" s="346">
        <v>12</v>
      </c>
      <c r="C16323" s="346">
        <v>15</v>
      </c>
      <c r="D16323" s="344">
        <f t="shared" si="2634"/>
        <v>46006</v>
      </c>
      <c r="E16323" s="345">
        <f t="shared" si="2635"/>
        <v>46006</v>
      </c>
      <c r="F16323" s="484"/>
      <c r="G16323" s="347" t="s">
        <v>94</v>
      </c>
      <c r="H16323" s="347"/>
      <c r="I16323" s="348" t="s">
        <v>348</v>
      </c>
      <c r="J16323" s="355" t="s">
        <v>1799</v>
      </c>
      <c r="K16323" s="349"/>
      <c r="L16323" s="349">
        <f>K16322</f>
        <v>0</v>
      </c>
    </row>
    <row r="16324" spans="1:14" x14ac:dyDescent="0.2">
      <c r="A16324" s="238">
        <v>2025</v>
      </c>
      <c r="B16324" s="238">
        <v>12</v>
      </c>
      <c r="C16324" s="238">
        <v>15</v>
      </c>
      <c r="D16324" s="270">
        <f t="shared" si="2634"/>
        <v>46006</v>
      </c>
      <c r="E16324" s="279">
        <f t="shared" si="2635"/>
        <v>46006</v>
      </c>
      <c r="F16324" s="477" t="s">
        <v>347</v>
      </c>
      <c r="G16324" s="239" t="s">
        <v>94</v>
      </c>
      <c r="H16324" s="239"/>
      <c r="I16324" s="262" t="s">
        <v>348</v>
      </c>
      <c r="J16324" s="240" t="s">
        <v>82</v>
      </c>
      <c r="K16324" s="241">
        <v>1145163.7800000012</v>
      </c>
      <c r="L16324" s="241"/>
      <c r="M16324" s="160">
        <v>13139541.900000483</v>
      </c>
    </row>
    <row r="16325" spans="1:14" x14ac:dyDescent="0.2">
      <c r="A16325" s="242">
        <v>2025</v>
      </c>
      <c r="B16325" s="242">
        <v>12</v>
      </c>
      <c r="C16325" s="242">
        <v>15</v>
      </c>
      <c r="D16325" s="270">
        <f t="shared" si="2634"/>
        <v>46006</v>
      </c>
      <c r="E16325" s="279">
        <f t="shared" si="2635"/>
        <v>46006</v>
      </c>
      <c r="F16325" s="478"/>
      <c r="G16325" s="243" t="s">
        <v>94</v>
      </c>
      <c r="H16325" s="243"/>
      <c r="I16325" s="263" t="s">
        <v>348</v>
      </c>
      <c r="J16325" s="244" t="s">
        <v>108</v>
      </c>
      <c r="K16325" s="245"/>
      <c r="L16325" s="245">
        <f>K16324</f>
        <v>1145163.7800000012</v>
      </c>
    </row>
    <row r="16326" spans="1:14" ht="12" customHeight="1" x14ac:dyDescent="0.2">
      <c r="A16326" s="246">
        <v>2025</v>
      </c>
      <c r="B16326" s="238">
        <v>12</v>
      </c>
      <c r="C16326" s="238">
        <v>15</v>
      </c>
      <c r="D16326" s="270">
        <f t="shared" si="2634"/>
        <v>46006</v>
      </c>
      <c r="E16326" s="279">
        <f t="shared" si="2635"/>
        <v>46006</v>
      </c>
      <c r="F16326" s="482" t="s">
        <v>148</v>
      </c>
      <c r="G16326" s="247" t="s">
        <v>94</v>
      </c>
      <c r="H16326" s="247"/>
      <c r="I16326" s="248" t="s">
        <v>348</v>
      </c>
      <c r="J16326" s="249" t="s">
        <v>95</v>
      </c>
      <c r="K16326" s="250">
        <v>392.46467817896388</v>
      </c>
      <c r="L16326" s="241"/>
      <c r="M16326" s="176"/>
    </row>
    <row r="16327" spans="1:14" x14ac:dyDescent="0.2">
      <c r="A16327" s="242">
        <v>2025</v>
      </c>
      <c r="B16327" s="242">
        <v>12</v>
      </c>
      <c r="C16327" s="242">
        <v>15</v>
      </c>
      <c r="D16327" s="270">
        <f t="shared" si="2634"/>
        <v>46006</v>
      </c>
      <c r="E16327" s="279">
        <f t="shared" si="2635"/>
        <v>46006</v>
      </c>
      <c r="F16327" s="478"/>
      <c r="G16327" s="243" t="s">
        <v>94</v>
      </c>
      <c r="H16327" s="243"/>
      <c r="I16327" s="263" t="s">
        <v>348</v>
      </c>
      <c r="J16327" s="244" t="s">
        <v>63</v>
      </c>
      <c r="K16327" s="245"/>
      <c r="L16327" s="245">
        <f>K16326</f>
        <v>392.46467817896388</v>
      </c>
    </row>
    <row r="16328" spans="1:14" x14ac:dyDescent="0.2">
      <c r="A16328" s="246">
        <v>2025</v>
      </c>
      <c r="B16328" s="238">
        <v>12</v>
      </c>
      <c r="C16328" s="238">
        <v>15</v>
      </c>
      <c r="D16328" s="270">
        <f t="shared" si="2634"/>
        <v>46006</v>
      </c>
      <c r="E16328" s="279">
        <f t="shared" si="2635"/>
        <v>46006</v>
      </c>
      <c r="F16328" s="482" t="s">
        <v>137</v>
      </c>
      <c r="G16328" s="247" t="s">
        <v>94</v>
      </c>
      <c r="H16328" s="247"/>
      <c r="I16328" s="248" t="s">
        <v>348</v>
      </c>
      <c r="J16328" s="249" t="s">
        <v>97</v>
      </c>
      <c r="K16328" s="250">
        <f>M16328</f>
        <v>12739.835013610402</v>
      </c>
      <c r="L16328" s="252"/>
      <c r="M16328" s="170">
        <v>12739.835013610402</v>
      </c>
    </row>
    <row r="16329" spans="1:14" x14ac:dyDescent="0.2">
      <c r="A16329" s="242">
        <v>2025</v>
      </c>
      <c r="B16329" s="242">
        <v>12</v>
      </c>
      <c r="C16329" s="242">
        <v>15</v>
      </c>
      <c r="D16329" s="270">
        <f t="shared" si="2634"/>
        <v>46006</v>
      </c>
      <c r="E16329" s="279">
        <f t="shared" si="2635"/>
        <v>46006</v>
      </c>
      <c r="F16329" s="478"/>
      <c r="G16329" s="243" t="s">
        <v>94</v>
      </c>
      <c r="H16329" s="243"/>
      <c r="I16329" s="263" t="s">
        <v>348</v>
      </c>
      <c r="J16329" s="244" t="s">
        <v>47</v>
      </c>
      <c r="K16329" s="245"/>
      <c r="L16329" s="245">
        <f>K16328</f>
        <v>12739.835013610402</v>
      </c>
      <c r="M16329" s="170">
        <v>602.65109133986084</v>
      </c>
    </row>
    <row r="16330" spans="1:14" x14ac:dyDescent="0.2">
      <c r="A16330" s="246">
        <v>2025</v>
      </c>
      <c r="B16330" s="238">
        <v>12</v>
      </c>
      <c r="C16330" s="238">
        <v>15</v>
      </c>
      <c r="D16330" s="270">
        <f t="shared" si="2634"/>
        <v>46006</v>
      </c>
      <c r="E16330" s="279">
        <f t="shared" si="2635"/>
        <v>46006</v>
      </c>
      <c r="F16330" s="482" t="s">
        <v>138</v>
      </c>
      <c r="G16330" s="247" t="s">
        <v>94</v>
      </c>
      <c r="H16330" s="247"/>
      <c r="I16330" s="248" t="s">
        <v>348</v>
      </c>
      <c r="J16330" s="249" t="s">
        <v>100</v>
      </c>
      <c r="K16330" s="250">
        <f>M16329</f>
        <v>602.65109133986084</v>
      </c>
      <c r="L16330" s="252"/>
    </row>
    <row r="16331" spans="1:14" x14ac:dyDescent="0.2">
      <c r="A16331" s="242">
        <v>2025</v>
      </c>
      <c r="B16331" s="242">
        <v>12</v>
      </c>
      <c r="C16331" s="242">
        <v>15</v>
      </c>
      <c r="D16331" s="321">
        <f t="shared" si="2634"/>
        <v>46006</v>
      </c>
      <c r="E16331" s="322">
        <f t="shared" si="2635"/>
        <v>46006</v>
      </c>
      <c r="F16331" s="478"/>
      <c r="G16331" s="243" t="s">
        <v>94</v>
      </c>
      <c r="H16331" s="243"/>
      <c r="I16331" s="263" t="s">
        <v>348</v>
      </c>
      <c r="J16331" s="244" t="s">
        <v>48</v>
      </c>
      <c r="K16331" s="245"/>
      <c r="L16331" s="245">
        <f>K16330</f>
        <v>602.65109133986084</v>
      </c>
    </row>
    <row r="16332" spans="1:14" x14ac:dyDescent="0.2">
      <c r="A16332" s="133">
        <v>2025</v>
      </c>
      <c r="B16332" s="133">
        <v>12</v>
      </c>
      <c r="C16332" s="168">
        <v>17</v>
      </c>
      <c r="D16332" s="141">
        <f t="shared" ref="D16332:D16336" si="2636">DATE(A16332,B16332,C16332)</f>
        <v>46008</v>
      </c>
      <c r="E16332" s="275">
        <f t="shared" ref="E16332:E16336" si="2637">DATE(A16332,B16332,C16332)</f>
        <v>46008</v>
      </c>
      <c r="F16332" s="481" t="s">
        <v>2115</v>
      </c>
      <c r="G16332" s="174" t="s">
        <v>94</v>
      </c>
      <c r="H16332" s="174"/>
      <c r="J16332" s="149" t="s">
        <v>79</v>
      </c>
      <c r="K16332" s="218">
        <v>799340</v>
      </c>
      <c r="L16332" s="218"/>
      <c r="M16332" s="160"/>
    </row>
    <row r="16333" spans="1:14" x14ac:dyDescent="0.2">
      <c r="A16333" s="133">
        <v>2025</v>
      </c>
      <c r="B16333" s="133">
        <v>12</v>
      </c>
      <c r="C16333" s="133">
        <v>17</v>
      </c>
      <c r="D16333" s="141">
        <f t="shared" si="2636"/>
        <v>46008</v>
      </c>
      <c r="E16333" s="275">
        <f t="shared" si="2637"/>
        <v>46008</v>
      </c>
      <c r="F16333" s="481"/>
      <c r="G16333" s="174" t="s">
        <v>94</v>
      </c>
      <c r="H16333" s="174"/>
      <c r="J16333" s="149" t="s">
        <v>80</v>
      </c>
      <c r="K16333" s="218">
        <v>1757.77</v>
      </c>
      <c r="L16333" s="264"/>
      <c r="M16333" s="264"/>
      <c r="N16333" s="264"/>
    </row>
    <row r="16334" spans="1:14" x14ac:dyDescent="0.2">
      <c r="A16334" s="133">
        <v>2025</v>
      </c>
      <c r="B16334" s="133">
        <v>12</v>
      </c>
      <c r="C16334" s="133">
        <v>17</v>
      </c>
      <c r="D16334" s="141">
        <f t="shared" si="2636"/>
        <v>46008</v>
      </c>
      <c r="E16334" s="275">
        <f t="shared" si="2637"/>
        <v>46008</v>
      </c>
      <c r="F16334" s="481"/>
      <c r="G16334" s="174" t="s">
        <v>94</v>
      </c>
      <c r="H16334" s="174"/>
      <c r="J16334" s="149" t="s">
        <v>147</v>
      </c>
      <c r="K16334" s="218"/>
      <c r="L16334" s="218">
        <v>623897.77</v>
      </c>
      <c r="M16334" s="264"/>
    </row>
    <row r="16335" spans="1:14" x14ac:dyDescent="0.2">
      <c r="A16335" s="133">
        <v>2025</v>
      </c>
      <c r="B16335" s="133">
        <v>12</v>
      </c>
      <c r="C16335" s="133">
        <v>17</v>
      </c>
      <c r="D16335" s="141">
        <f t="shared" si="2636"/>
        <v>46008</v>
      </c>
      <c r="E16335" s="275">
        <f t="shared" si="2637"/>
        <v>46008</v>
      </c>
      <c r="F16335" s="481"/>
      <c r="G16335" s="174" t="s">
        <v>94</v>
      </c>
      <c r="H16335" s="174"/>
      <c r="J16335" s="149" t="s">
        <v>191</v>
      </c>
      <c r="K16335" s="218"/>
      <c r="L16335" s="218">
        <v>14666.65</v>
      </c>
    </row>
    <row r="16336" spans="1:14" x14ac:dyDescent="0.2">
      <c r="A16336" s="163">
        <v>2025</v>
      </c>
      <c r="B16336" s="163">
        <v>12</v>
      </c>
      <c r="C16336" s="163">
        <v>17</v>
      </c>
      <c r="D16336" s="280">
        <f t="shared" si="2636"/>
        <v>46008</v>
      </c>
      <c r="E16336" s="281">
        <f t="shared" si="2637"/>
        <v>46008</v>
      </c>
      <c r="F16336" s="480"/>
      <c r="G16336" s="221" t="s">
        <v>94</v>
      </c>
      <c r="H16336" s="145"/>
      <c r="I16336" s="145"/>
      <c r="J16336" s="163" t="s">
        <v>79</v>
      </c>
      <c r="K16336" s="219"/>
      <c r="L16336" s="219">
        <v>162533.35</v>
      </c>
      <c r="M16336" s="264"/>
    </row>
    <row r="16337" spans="1:13" x14ac:dyDescent="0.2">
      <c r="A16337" s="325">
        <v>2025</v>
      </c>
      <c r="B16337" s="325">
        <v>12</v>
      </c>
      <c r="C16337" s="325">
        <v>17</v>
      </c>
      <c r="D16337" s="326">
        <f t="shared" ref="D16337:D16364" si="2638">DATE(A16337,B16337,C16337)</f>
        <v>46008</v>
      </c>
      <c r="E16337" s="327">
        <f t="shared" ref="E16337:E16364" si="2639">DATE(A16337,B16337,C16337)</f>
        <v>46008</v>
      </c>
      <c r="F16337" s="473" t="s">
        <v>1940</v>
      </c>
      <c r="G16337" s="340" t="s">
        <v>94</v>
      </c>
      <c r="H16337" s="340"/>
      <c r="I16337" s="341" t="s">
        <v>348</v>
      </c>
      <c r="J16337" s="374" t="s">
        <v>133</v>
      </c>
      <c r="K16337" s="375">
        <v>3687.3028571428572</v>
      </c>
      <c r="L16337" s="375"/>
      <c r="M16337" s="176"/>
    </row>
    <row r="16338" spans="1:13" x14ac:dyDescent="0.2">
      <c r="A16338" s="331">
        <v>2025</v>
      </c>
      <c r="B16338" s="331">
        <v>12</v>
      </c>
      <c r="C16338" s="331">
        <v>17</v>
      </c>
      <c r="D16338" s="326">
        <f t="shared" si="2638"/>
        <v>46008</v>
      </c>
      <c r="E16338" s="327">
        <f t="shared" si="2639"/>
        <v>46008</v>
      </c>
      <c r="F16338" s="474"/>
      <c r="G16338" s="332" t="s">
        <v>94</v>
      </c>
      <c r="H16338" s="332"/>
      <c r="I16338" s="333" t="s">
        <v>348</v>
      </c>
      <c r="J16338" s="376" t="s">
        <v>60</v>
      </c>
      <c r="K16338" s="334"/>
      <c r="L16338" s="334">
        <f>K16337</f>
        <v>3687.3028571428572</v>
      </c>
    </row>
    <row r="16339" spans="1:13" x14ac:dyDescent="0.2">
      <c r="A16339" s="325">
        <v>2025</v>
      </c>
      <c r="B16339" s="325">
        <v>12</v>
      </c>
      <c r="C16339" s="325">
        <v>17</v>
      </c>
      <c r="D16339" s="326">
        <f t="shared" si="2638"/>
        <v>46008</v>
      </c>
      <c r="E16339" s="327">
        <f t="shared" si="2639"/>
        <v>46008</v>
      </c>
      <c r="F16339" s="473" t="s">
        <v>2131</v>
      </c>
      <c r="G16339" s="340" t="s">
        <v>94</v>
      </c>
      <c r="H16339" s="340"/>
      <c r="I16339" s="341" t="s">
        <v>348</v>
      </c>
      <c r="J16339" s="374" t="s">
        <v>2156</v>
      </c>
      <c r="K16339" s="375">
        <v>12370.879120879121</v>
      </c>
      <c r="L16339" s="375"/>
      <c r="M16339" s="176"/>
    </row>
    <row r="16340" spans="1:13" x14ac:dyDescent="0.2">
      <c r="A16340" s="331">
        <v>2025</v>
      </c>
      <c r="B16340" s="331">
        <v>12</v>
      </c>
      <c r="C16340" s="331">
        <v>17</v>
      </c>
      <c r="D16340" s="326">
        <f t="shared" si="2638"/>
        <v>46008</v>
      </c>
      <c r="E16340" s="327">
        <f t="shared" si="2639"/>
        <v>46008</v>
      </c>
      <c r="F16340" s="474"/>
      <c r="G16340" s="332" t="s">
        <v>94</v>
      </c>
      <c r="H16340" s="332"/>
      <c r="I16340" s="333" t="s">
        <v>348</v>
      </c>
      <c r="J16340" s="376" t="s">
        <v>2154</v>
      </c>
      <c r="K16340" s="334"/>
      <c r="L16340" s="334">
        <f>K16339</f>
        <v>12370.879120879121</v>
      </c>
    </row>
    <row r="16341" spans="1:13" x14ac:dyDescent="0.2">
      <c r="A16341" s="384">
        <v>2025</v>
      </c>
      <c r="B16341" s="384">
        <v>12</v>
      </c>
      <c r="C16341" s="384">
        <v>17</v>
      </c>
      <c r="D16341" s="385">
        <f t="shared" si="2638"/>
        <v>46008</v>
      </c>
      <c r="E16341" s="386">
        <f t="shared" si="2639"/>
        <v>46008</v>
      </c>
      <c r="F16341" s="475" t="s">
        <v>1966</v>
      </c>
      <c r="G16341" s="387" t="s">
        <v>94</v>
      </c>
      <c r="H16341" s="387"/>
      <c r="I16341" s="388" t="s">
        <v>348</v>
      </c>
      <c r="J16341" s="389" t="s">
        <v>67</v>
      </c>
      <c r="K16341" s="390">
        <v>558.16999999999996</v>
      </c>
      <c r="L16341" s="390"/>
    </row>
    <row r="16342" spans="1:13" x14ac:dyDescent="0.2">
      <c r="A16342" s="391">
        <v>2025</v>
      </c>
      <c r="B16342" s="391">
        <v>12</v>
      </c>
      <c r="C16342" s="391">
        <v>17</v>
      </c>
      <c r="D16342" s="385">
        <f t="shared" si="2638"/>
        <v>46008</v>
      </c>
      <c r="E16342" s="386">
        <f t="shared" si="2639"/>
        <v>46008</v>
      </c>
      <c r="F16342" s="476"/>
      <c r="G16342" s="392" t="s">
        <v>94</v>
      </c>
      <c r="H16342" s="392"/>
      <c r="I16342" s="393" t="s">
        <v>348</v>
      </c>
      <c r="J16342" s="394" t="s">
        <v>60</v>
      </c>
      <c r="K16342" s="395"/>
      <c r="L16342" s="395">
        <f>K16341</f>
        <v>558.16999999999996</v>
      </c>
    </row>
    <row r="16343" spans="1:13" x14ac:dyDescent="0.2">
      <c r="A16343" s="343">
        <v>2025</v>
      </c>
      <c r="B16343" s="343">
        <v>12</v>
      </c>
      <c r="C16343" s="343">
        <v>17</v>
      </c>
      <c r="D16343" s="344">
        <f t="shared" si="2638"/>
        <v>46008</v>
      </c>
      <c r="E16343" s="345">
        <f t="shared" si="2639"/>
        <v>46008</v>
      </c>
      <c r="F16343" s="483" t="s">
        <v>1813</v>
      </c>
      <c r="G16343" s="350" t="s">
        <v>94</v>
      </c>
      <c r="H16343" s="350"/>
      <c r="I16343" s="352" t="s">
        <v>348</v>
      </c>
      <c r="J16343" s="353" t="s">
        <v>1807</v>
      </c>
      <c r="K16343" s="354">
        <v>0</v>
      </c>
      <c r="L16343" s="354"/>
      <c r="M16343" s="133">
        <v>0</v>
      </c>
    </row>
    <row r="16344" spans="1:13" x14ac:dyDescent="0.2">
      <c r="A16344" s="346">
        <v>2025</v>
      </c>
      <c r="B16344" s="346">
        <v>12</v>
      </c>
      <c r="C16344" s="346">
        <v>17</v>
      </c>
      <c r="D16344" s="344">
        <f t="shared" si="2638"/>
        <v>46008</v>
      </c>
      <c r="E16344" s="345">
        <f t="shared" si="2639"/>
        <v>46008</v>
      </c>
      <c r="F16344" s="484"/>
      <c r="G16344" s="347" t="s">
        <v>94</v>
      </c>
      <c r="H16344" s="347"/>
      <c r="I16344" s="348" t="s">
        <v>348</v>
      </c>
      <c r="J16344" s="355" t="s">
        <v>1798</v>
      </c>
      <c r="K16344" s="349"/>
      <c r="L16344" s="349">
        <v>0</v>
      </c>
    </row>
    <row r="16345" spans="1:13" x14ac:dyDescent="0.2">
      <c r="A16345" s="343">
        <v>2025</v>
      </c>
      <c r="B16345" s="343">
        <v>12</v>
      </c>
      <c r="C16345" s="343">
        <v>17</v>
      </c>
      <c r="D16345" s="344">
        <f t="shared" si="2638"/>
        <v>46008</v>
      </c>
      <c r="E16345" s="345">
        <f t="shared" si="2639"/>
        <v>46008</v>
      </c>
      <c r="F16345" s="483" t="s">
        <v>1913</v>
      </c>
      <c r="G16345" s="350" t="s">
        <v>94</v>
      </c>
      <c r="H16345" s="350"/>
      <c r="I16345" s="352" t="s">
        <v>348</v>
      </c>
      <c r="J16345" s="353" t="s">
        <v>1808</v>
      </c>
      <c r="K16345" s="354"/>
      <c r="L16345" s="354"/>
      <c r="M16345" s="160">
        <v>0</v>
      </c>
    </row>
    <row r="16346" spans="1:13" x14ac:dyDescent="0.2">
      <c r="A16346" s="346">
        <v>2025</v>
      </c>
      <c r="B16346" s="346">
        <v>12</v>
      </c>
      <c r="C16346" s="346">
        <v>17</v>
      </c>
      <c r="D16346" s="344">
        <f t="shared" si="2638"/>
        <v>46008</v>
      </c>
      <c r="E16346" s="345">
        <f t="shared" si="2639"/>
        <v>46008</v>
      </c>
      <c r="F16346" s="484"/>
      <c r="G16346" s="347" t="s">
        <v>94</v>
      </c>
      <c r="H16346" s="347"/>
      <c r="I16346" s="348" t="s">
        <v>348</v>
      </c>
      <c r="J16346" s="355" t="s">
        <v>1799</v>
      </c>
      <c r="K16346" s="349"/>
      <c r="L16346" s="349">
        <f>K16345</f>
        <v>0</v>
      </c>
    </row>
    <row r="16347" spans="1:13" x14ac:dyDescent="0.2">
      <c r="A16347" s="238">
        <v>2025</v>
      </c>
      <c r="B16347" s="238">
        <v>12</v>
      </c>
      <c r="C16347" s="238">
        <v>17</v>
      </c>
      <c r="D16347" s="270">
        <f t="shared" si="2638"/>
        <v>46008</v>
      </c>
      <c r="E16347" s="279">
        <f t="shared" si="2639"/>
        <v>46008</v>
      </c>
      <c r="F16347" s="477" t="s">
        <v>347</v>
      </c>
      <c r="G16347" s="239" t="s">
        <v>94</v>
      </c>
      <c r="H16347" s="239"/>
      <c r="I16347" s="262" t="s">
        <v>348</v>
      </c>
      <c r="J16347" s="240" t="s">
        <v>82</v>
      </c>
      <c r="K16347" s="241">
        <v>901507.55000004172</v>
      </c>
      <c r="L16347" s="241"/>
      <c r="M16347" s="160">
        <v>13139541.900000483</v>
      </c>
    </row>
    <row r="16348" spans="1:13" x14ac:dyDescent="0.2">
      <c r="A16348" s="242">
        <v>2025</v>
      </c>
      <c r="B16348" s="242">
        <v>12</v>
      </c>
      <c r="C16348" s="242">
        <v>17</v>
      </c>
      <c r="D16348" s="270">
        <f t="shared" si="2638"/>
        <v>46008</v>
      </c>
      <c r="E16348" s="279">
        <f t="shared" si="2639"/>
        <v>46008</v>
      </c>
      <c r="F16348" s="478"/>
      <c r="G16348" s="243" t="s">
        <v>94</v>
      </c>
      <c r="H16348" s="243"/>
      <c r="I16348" s="263" t="s">
        <v>348</v>
      </c>
      <c r="J16348" s="244" t="s">
        <v>108</v>
      </c>
      <c r="K16348" s="245"/>
      <c r="L16348" s="245">
        <f>K16347</f>
        <v>901507.55000004172</v>
      </c>
    </row>
    <row r="16349" spans="1:13" ht="12" customHeight="1" x14ac:dyDescent="0.2">
      <c r="A16349" s="246">
        <v>2025</v>
      </c>
      <c r="B16349" s="238">
        <v>12</v>
      </c>
      <c r="C16349" s="238">
        <v>17</v>
      </c>
      <c r="D16349" s="270">
        <f t="shared" si="2638"/>
        <v>46008</v>
      </c>
      <c r="E16349" s="279">
        <f t="shared" si="2639"/>
        <v>46008</v>
      </c>
      <c r="F16349" s="482" t="s">
        <v>148</v>
      </c>
      <c r="G16349" s="247" t="s">
        <v>94</v>
      </c>
      <c r="H16349" s="247"/>
      <c r="I16349" s="248" t="s">
        <v>348</v>
      </c>
      <c r="J16349" s="249" t="s">
        <v>95</v>
      </c>
      <c r="K16349" s="250">
        <v>784.92935635792776</v>
      </c>
      <c r="L16349" s="241"/>
      <c r="M16349" s="176"/>
    </row>
    <row r="16350" spans="1:13" x14ac:dyDescent="0.2">
      <c r="A16350" s="242">
        <v>2025</v>
      </c>
      <c r="B16350" s="242">
        <v>12</v>
      </c>
      <c r="C16350" s="242">
        <v>17</v>
      </c>
      <c r="D16350" s="270">
        <f t="shared" si="2638"/>
        <v>46008</v>
      </c>
      <c r="E16350" s="279">
        <f t="shared" si="2639"/>
        <v>46008</v>
      </c>
      <c r="F16350" s="478"/>
      <c r="G16350" s="243" t="s">
        <v>94</v>
      </c>
      <c r="H16350" s="243"/>
      <c r="I16350" s="263" t="s">
        <v>348</v>
      </c>
      <c r="J16350" s="244" t="s">
        <v>63</v>
      </c>
      <c r="K16350" s="245"/>
      <c r="L16350" s="245">
        <f>K16349</f>
        <v>784.92935635792776</v>
      </c>
    </row>
    <row r="16351" spans="1:13" x14ac:dyDescent="0.2">
      <c r="A16351" s="246">
        <v>2025</v>
      </c>
      <c r="B16351" s="238">
        <v>12</v>
      </c>
      <c r="C16351" s="238">
        <v>17</v>
      </c>
      <c r="D16351" s="270">
        <f t="shared" si="2638"/>
        <v>46008</v>
      </c>
      <c r="E16351" s="279">
        <f t="shared" si="2639"/>
        <v>46008</v>
      </c>
      <c r="F16351" s="482" t="s">
        <v>137</v>
      </c>
      <c r="G16351" s="247" t="s">
        <v>94</v>
      </c>
      <c r="H16351" s="247"/>
      <c r="I16351" s="248" t="s">
        <v>348</v>
      </c>
      <c r="J16351" s="249" t="s">
        <v>97</v>
      </c>
      <c r="K16351" s="250">
        <f>M16351</f>
        <v>25382.295331233629</v>
      </c>
      <c r="L16351" s="252"/>
      <c r="M16351" s="170">
        <v>25382.295331233629</v>
      </c>
    </row>
    <row r="16352" spans="1:13" x14ac:dyDescent="0.2">
      <c r="A16352" s="242">
        <v>2025</v>
      </c>
      <c r="B16352" s="242">
        <v>12</v>
      </c>
      <c r="C16352" s="242">
        <v>17</v>
      </c>
      <c r="D16352" s="270">
        <f t="shared" si="2638"/>
        <v>46008</v>
      </c>
      <c r="E16352" s="279">
        <f t="shared" si="2639"/>
        <v>46008</v>
      </c>
      <c r="F16352" s="478"/>
      <c r="G16352" s="243" t="s">
        <v>94</v>
      </c>
      <c r="H16352" s="243"/>
      <c r="I16352" s="263" t="s">
        <v>348</v>
      </c>
      <c r="J16352" s="244" t="s">
        <v>47</v>
      </c>
      <c r="K16352" s="245"/>
      <c r="L16352" s="245">
        <f>K16351</f>
        <v>25382.295331233629</v>
      </c>
      <c r="M16352" s="170">
        <v>1200.4334478803628</v>
      </c>
    </row>
    <row r="16353" spans="1:14" x14ac:dyDescent="0.2">
      <c r="A16353" s="246">
        <v>2025</v>
      </c>
      <c r="B16353" s="238">
        <v>12</v>
      </c>
      <c r="C16353" s="238">
        <v>17</v>
      </c>
      <c r="D16353" s="270">
        <f t="shared" si="2638"/>
        <v>46008</v>
      </c>
      <c r="E16353" s="279">
        <f t="shared" si="2639"/>
        <v>46008</v>
      </c>
      <c r="F16353" s="482" t="s">
        <v>138</v>
      </c>
      <c r="G16353" s="247" t="s">
        <v>94</v>
      </c>
      <c r="H16353" s="247"/>
      <c r="I16353" s="248" t="s">
        <v>348</v>
      </c>
      <c r="J16353" s="249" t="s">
        <v>100</v>
      </c>
      <c r="K16353" s="250">
        <f>M16352</f>
        <v>1200.4334478803628</v>
      </c>
      <c r="L16353" s="252"/>
    </row>
    <row r="16354" spans="1:14" x14ac:dyDescent="0.2">
      <c r="A16354" s="242">
        <v>2025</v>
      </c>
      <c r="B16354" s="242">
        <v>12</v>
      </c>
      <c r="C16354" s="242">
        <v>17</v>
      </c>
      <c r="D16354" s="321">
        <f t="shared" si="2638"/>
        <v>46008</v>
      </c>
      <c r="E16354" s="322">
        <f t="shared" si="2639"/>
        <v>46008</v>
      </c>
      <c r="F16354" s="478"/>
      <c r="G16354" s="243" t="s">
        <v>94</v>
      </c>
      <c r="H16354" s="243"/>
      <c r="I16354" s="263" t="s">
        <v>348</v>
      </c>
      <c r="J16354" s="244" t="s">
        <v>48</v>
      </c>
      <c r="K16354" s="245"/>
      <c r="L16354" s="245">
        <f>K16353</f>
        <v>1200.4334478803628</v>
      </c>
    </row>
    <row r="16355" spans="1:14" ht="11.25" customHeight="1" x14ac:dyDescent="0.2">
      <c r="A16355" s="168">
        <v>2025</v>
      </c>
      <c r="B16355" s="168">
        <v>12</v>
      </c>
      <c r="C16355" s="133">
        <v>18</v>
      </c>
      <c r="D16355" s="141">
        <f t="shared" si="2638"/>
        <v>46009</v>
      </c>
      <c r="E16355" s="275">
        <f t="shared" si="2639"/>
        <v>46009</v>
      </c>
      <c r="F16355" s="479" t="s">
        <v>1315</v>
      </c>
      <c r="G16355" s="220" t="s">
        <v>74</v>
      </c>
      <c r="H16355" s="142"/>
      <c r="I16355" s="142"/>
      <c r="J16355" s="168" t="s">
        <v>13</v>
      </c>
      <c r="K16355" s="226">
        <v>352560</v>
      </c>
      <c r="L16355" s="226"/>
    </row>
    <row r="16356" spans="1:14" ht="11.25" customHeight="1" x14ac:dyDescent="0.2">
      <c r="A16356" s="133">
        <v>2025</v>
      </c>
      <c r="B16356" s="133">
        <v>12</v>
      </c>
      <c r="C16356" s="133">
        <v>18</v>
      </c>
      <c r="D16356" s="141">
        <f t="shared" si="2638"/>
        <v>46009</v>
      </c>
      <c r="E16356" s="275">
        <f t="shared" si="2639"/>
        <v>46009</v>
      </c>
      <c r="F16356" s="481"/>
      <c r="G16356" s="174" t="s">
        <v>74</v>
      </c>
      <c r="J16356" s="133" t="s">
        <v>53</v>
      </c>
      <c r="K16356" s="218">
        <v>151777.08000000002</v>
      </c>
      <c r="L16356" s="218"/>
    </row>
    <row r="16357" spans="1:14" ht="11.25" customHeight="1" x14ac:dyDescent="0.2">
      <c r="A16357" s="163">
        <v>2025</v>
      </c>
      <c r="B16357" s="163">
        <v>12</v>
      </c>
      <c r="C16357" s="163">
        <v>18</v>
      </c>
      <c r="D16357" s="280">
        <f t="shared" si="2638"/>
        <v>46009</v>
      </c>
      <c r="E16357" s="281">
        <f t="shared" si="2639"/>
        <v>46009</v>
      </c>
      <c r="F16357" s="480"/>
      <c r="G16357" s="221" t="s">
        <v>74</v>
      </c>
      <c r="H16357" s="145"/>
      <c r="I16357" s="145"/>
      <c r="J16357" s="163" t="s">
        <v>52</v>
      </c>
      <c r="K16357" s="219"/>
      <c r="L16357" s="219">
        <v>504337.08</v>
      </c>
    </row>
    <row r="16358" spans="1:14" x14ac:dyDescent="0.2">
      <c r="A16358" s="168">
        <v>2025</v>
      </c>
      <c r="B16358" s="133">
        <v>12</v>
      </c>
      <c r="C16358" s="168">
        <v>18</v>
      </c>
      <c r="D16358" s="147">
        <f t="shared" si="2638"/>
        <v>46009</v>
      </c>
      <c r="E16358" s="311">
        <f t="shared" si="2639"/>
        <v>46009</v>
      </c>
      <c r="F16358" s="481" t="s">
        <v>1943</v>
      </c>
      <c r="G16358" s="174" t="s">
        <v>74</v>
      </c>
      <c r="I16358" s="148" t="s">
        <v>348</v>
      </c>
      <c r="J16358" s="133" t="s">
        <v>61</v>
      </c>
      <c r="K16358" s="172">
        <v>100</v>
      </c>
    </row>
    <row r="16359" spans="1:14" x14ac:dyDescent="0.2">
      <c r="A16359" s="163">
        <v>2025</v>
      </c>
      <c r="B16359" s="163">
        <v>12</v>
      </c>
      <c r="C16359" s="163">
        <v>18</v>
      </c>
      <c r="D16359" s="280">
        <f t="shared" si="2638"/>
        <v>46009</v>
      </c>
      <c r="E16359" s="281">
        <f t="shared" si="2639"/>
        <v>46009</v>
      </c>
      <c r="F16359" s="480"/>
      <c r="G16359" s="221" t="s">
        <v>74</v>
      </c>
      <c r="H16359" s="145"/>
      <c r="I16359" s="145" t="s">
        <v>348</v>
      </c>
      <c r="J16359" s="163" t="s">
        <v>52</v>
      </c>
      <c r="K16359" s="219"/>
      <c r="L16359" s="219">
        <f>K16358</f>
        <v>100</v>
      </c>
    </row>
    <row r="16360" spans="1:14" x14ac:dyDescent="0.2">
      <c r="A16360" s="133">
        <v>2025</v>
      </c>
      <c r="B16360" s="133">
        <v>12</v>
      </c>
      <c r="C16360" s="168">
        <v>18</v>
      </c>
      <c r="D16360" s="141">
        <f t="shared" si="2638"/>
        <v>46009</v>
      </c>
      <c r="E16360" s="275">
        <f t="shared" si="2639"/>
        <v>46009</v>
      </c>
      <c r="F16360" s="481" t="s">
        <v>2115</v>
      </c>
      <c r="G16360" s="174" t="s">
        <v>94</v>
      </c>
      <c r="H16360" s="174"/>
      <c r="J16360" s="149" t="s">
        <v>79</v>
      </c>
      <c r="K16360" s="218">
        <v>1515789.2</v>
      </c>
      <c r="L16360" s="218"/>
      <c r="M16360" s="160"/>
    </row>
    <row r="16361" spans="1:14" x14ac:dyDescent="0.2">
      <c r="A16361" s="133">
        <v>2025</v>
      </c>
      <c r="B16361" s="133">
        <v>12</v>
      </c>
      <c r="C16361" s="133">
        <v>18</v>
      </c>
      <c r="D16361" s="141">
        <f t="shared" si="2638"/>
        <v>46009</v>
      </c>
      <c r="E16361" s="275">
        <f t="shared" si="2639"/>
        <v>46009</v>
      </c>
      <c r="F16361" s="481"/>
      <c r="G16361" s="174" t="s">
        <v>94</v>
      </c>
      <c r="H16361" s="174"/>
      <c r="J16361" s="149" t="s">
        <v>80</v>
      </c>
      <c r="K16361" s="218">
        <v>4042.15</v>
      </c>
      <c r="L16361" s="264"/>
      <c r="M16361" s="264"/>
      <c r="N16361" s="264"/>
    </row>
    <row r="16362" spans="1:14" x14ac:dyDescent="0.2">
      <c r="A16362" s="133">
        <v>2025</v>
      </c>
      <c r="B16362" s="133">
        <v>12</v>
      </c>
      <c r="C16362" s="133">
        <v>18</v>
      </c>
      <c r="D16362" s="141">
        <f t="shared" si="2638"/>
        <v>46009</v>
      </c>
      <c r="E16362" s="275">
        <f t="shared" si="2639"/>
        <v>46009</v>
      </c>
      <c r="F16362" s="481"/>
      <c r="G16362" s="174" t="s">
        <v>94</v>
      </c>
      <c r="H16362" s="174"/>
      <c r="J16362" s="149" t="s">
        <v>147</v>
      </c>
      <c r="K16362" s="218"/>
      <c r="L16362" s="218">
        <v>789981.35</v>
      </c>
      <c r="M16362" s="264"/>
    </row>
    <row r="16363" spans="1:14" x14ac:dyDescent="0.2">
      <c r="A16363" s="133">
        <v>2025</v>
      </c>
      <c r="B16363" s="133">
        <v>12</v>
      </c>
      <c r="C16363" s="133">
        <v>18</v>
      </c>
      <c r="D16363" s="141">
        <f t="shared" si="2638"/>
        <v>46009</v>
      </c>
      <c r="E16363" s="275">
        <f t="shared" si="2639"/>
        <v>46009</v>
      </c>
      <c r="F16363" s="481"/>
      <c r="G16363" s="174" t="s">
        <v>94</v>
      </c>
      <c r="H16363" s="174"/>
      <c r="J16363" s="149" t="s">
        <v>191</v>
      </c>
      <c r="K16363" s="218">
        <v>11068.88</v>
      </c>
      <c r="L16363" s="218"/>
    </row>
    <row r="16364" spans="1:14" x14ac:dyDescent="0.2">
      <c r="A16364" s="163">
        <v>2025</v>
      </c>
      <c r="B16364" s="163">
        <v>12</v>
      </c>
      <c r="C16364" s="163">
        <v>18</v>
      </c>
      <c r="D16364" s="280">
        <f t="shared" si="2638"/>
        <v>46009</v>
      </c>
      <c r="E16364" s="281">
        <f t="shared" si="2639"/>
        <v>46009</v>
      </c>
      <c r="F16364" s="480"/>
      <c r="G16364" s="221" t="s">
        <v>94</v>
      </c>
      <c r="H16364" s="145"/>
      <c r="I16364" s="145"/>
      <c r="J16364" s="163" t="s">
        <v>79</v>
      </c>
      <c r="K16364" s="219"/>
      <c r="L16364" s="219">
        <v>740918.88</v>
      </c>
      <c r="M16364" s="264"/>
    </row>
    <row r="16365" spans="1:14" x14ac:dyDescent="0.2">
      <c r="A16365" s="168">
        <v>2025</v>
      </c>
      <c r="B16365" s="133">
        <v>12</v>
      </c>
      <c r="C16365" s="168">
        <v>18</v>
      </c>
      <c r="D16365" s="147">
        <f t="shared" ref="D16365:D16375" si="2640">DATE(A16365,B16365,C16365)</f>
        <v>46009</v>
      </c>
      <c r="E16365" s="311">
        <f t="shared" ref="E16365:E16375" si="2641">DATE(A16365,B16365,C16365)</f>
        <v>46009</v>
      </c>
      <c r="F16365" s="481" t="s">
        <v>1956</v>
      </c>
      <c r="G16365" s="174" t="s">
        <v>74</v>
      </c>
      <c r="I16365" s="148" t="s">
        <v>348</v>
      </c>
      <c r="J16365" s="133" t="s">
        <v>61</v>
      </c>
      <c r="K16365" s="172">
        <v>60</v>
      </c>
    </row>
    <row r="16366" spans="1:14" x14ac:dyDescent="0.2">
      <c r="A16366" s="163">
        <v>2025</v>
      </c>
      <c r="B16366" s="163">
        <v>12</v>
      </c>
      <c r="C16366" s="163">
        <v>18</v>
      </c>
      <c r="D16366" s="280">
        <f t="shared" si="2640"/>
        <v>46009</v>
      </c>
      <c r="E16366" s="281">
        <f t="shared" si="2641"/>
        <v>46009</v>
      </c>
      <c r="F16366" s="480"/>
      <c r="G16366" s="221" t="s">
        <v>74</v>
      </c>
      <c r="H16366" s="145"/>
      <c r="I16366" s="145" t="s">
        <v>348</v>
      </c>
      <c r="J16366" s="163" t="s">
        <v>52</v>
      </c>
      <c r="K16366" s="219"/>
      <c r="L16366" s="219">
        <f>K16365</f>
        <v>60</v>
      </c>
    </row>
    <row r="16367" spans="1:14" x14ac:dyDescent="0.2">
      <c r="A16367" s="168">
        <v>2025</v>
      </c>
      <c r="B16367" s="133">
        <v>12</v>
      </c>
      <c r="C16367" s="168">
        <v>18</v>
      </c>
      <c r="D16367" s="141">
        <f t="shared" si="2640"/>
        <v>46009</v>
      </c>
      <c r="E16367" s="275">
        <f t="shared" si="2641"/>
        <v>46009</v>
      </c>
      <c r="F16367" s="481" t="s">
        <v>2006</v>
      </c>
      <c r="G16367" s="174" t="s">
        <v>74</v>
      </c>
      <c r="H16367" s="174"/>
      <c r="J16367" s="149" t="s">
        <v>534</v>
      </c>
      <c r="K16367" s="218">
        <v>7058.8235294117649</v>
      </c>
      <c r="L16367" s="218"/>
    </row>
    <row r="16368" spans="1:14" x14ac:dyDescent="0.2">
      <c r="A16368" s="133">
        <v>2025</v>
      </c>
      <c r="B16368" s="133">
        <v>12</v>
      </c>
      <c r="C16368" s="133">
        <v>18</v>
      </c>
      <c r="D16368" s="141">
        <f t="shared" si="2640"/>
        <v>46009</v>
      </c>
      <c r="E16368" s="275">
        <f t="shared" si="2641"/>
        <v>46009</v>
      </c>
      <c r="F16368" s="481"/>
      <c r="G16368" s="174" t="s">
        <v>74</v>
      </c>
      <c r="H16368" s="174"/>
      <c r="J16368" s="149" t="s">
        <v>1907</v>
      </c>
      <c r="K16368" s="218">
        <v>75</v>
      </c>
      <c r="L16368" s="218"/>
    </row>
    <row r="16369" spans="1:14" x14ac:dyDescent="0.2">
      <c r="A16369" s="133">
        <v>2025</v>
      </c>
      <c r="B16369" s="133">
        <v>12</v>
      </c>
      <c r="C16369" s="133">
        <v>18</v>
      </c>
      <c r="D16369" s="141">
        <f t="shared" si="2640"/>
        <v>46009</v>
      </c>
      <c r="E16369" s="275">
        <f t="shared" si="2641"/>
        <v>46009</v>
      </c>
      <c r="F16369" s="481"/>
      <c r="G16369" s="174" t="s">
        <v>74</v>
      </c>
      <c r="H16369" s="174"/>
      <c r="J16369" s="149" t="s">
        <v>534</v>
      </c>
      <c r="K16369" s="218">
        <v>6893.6606648806646</v>
      </c>
      <c r="L16369" s="218"/>
    </row>
    <row r="16370" spans="1:14" x14ac:dyDescent="0.2">
      <c r="A16370" s="163">
        <v>2025</v>
      </c>
      <c r="B16370" s="163">
        <v>12</v>
      </c>
      <c r="C16370" s="163">
        <v>18</v>
      </c>
      <c r="D16370" s="280">
        <f t="shared" si="2640"/>
        <v>46009</v>
      </c>
      <c r="E16370" s="281">
        <f t="shared" si="2641"/>
        <v>46009</v>
      </c>
      <c r="F16370" s="480"/>
      <c r="G16370" s="221" t="s">
        <v>74</v>
      </c>
      <c r="H16370" s="221"/>
      <c r="I16370" s="145"/>
      <c r="J16370" s="146" t="s">
        <v>52</v>
      </c>
      <c r="K16370" s="219"/>
      <c r="L16370" s="219">
        <v>14027.48</v>
      </c>
    </row>
    <row r="16371" spans="1:14" ht="11.25" customHeight="1" x14ac:dyDescent="0.2">
      <c r="A16371" s="168">
        <v>2025</v>
      </c>
      <c r="B16371" s="133">
        <v>12</v>
      </c>
      <c r="C16371" s="168">
        <v>18</v>
      </c>
      <c r="D16371" s="141">
        <f t="shared" si="2640"/>
        <v>46009</v>
      </c>
      <c r="E16371" s="275">
        <f t="shared" si="2641"/>
        <v>46009</v>
      </c>
      <c r="F16371" s="479" t="s">
        <v>2037</v>
      </c>
      <c r="G16371" s="220" t="s">
        <v>74</v>
      </c>
      <c r="H16371" s="220"/>
      <c r="I16371" s="142"/>
      <c r="J16371" s="143" t="s">
        <v>52</v>
      </c>
      <c r="K16371" s="226">
        <v>984304.61</v>
      </c>
      <c r="L16371" s="226"/>
    </row>
    <row r="16372" spans="1:14" x14ac:dyDescent="0.2">
      <c r="A16372" s="163">
        <v>2025</v>
      </c>
      <c r="B16372" s="163">
        <v>12</v>
      </c>
      <c r="C16372" s="163">
        <v>18</v>
      </c>
      <c r="D16372" s="280">
        <f t="shared" si="2640"/>
        <v>46009</v>
      </c>
      <c r="E16372" s="281">
        <f t="shared" si="2641"/>
        <v>46009</v>
      </c>
      <c r="F16372" s="480"/>
      <c r="G16372" s="221" t="s">
        <v>74</v>
      </c>
      <c r="H16372" s="221"/>
      <c r="I16372" s="145"/>
      <c r="J16372" s="146" t="s">
        <v>190</v>
      </c>
      <c r="K16372" s="219"/>
      <c r="L16372" s="219">
        <f>K16371</f>
        <v>984304.61</v>
      </c>
      <c r="N16372" s="264"/>
    </row>
    <row r="16373" spans="1:14" ht="11.25" customHeight="1" x14ac:dyDescent="0.2">
      <c r="A16373" s="168">
        <v>2025</v>
      </c>
      <c r="B16373" s="168">
        <v>12</v>
      </c>
      <c r="C16373" s="133">
        <v>18</v>
      </c>
      <c r="D16373" s="141">
        <f t="shared" si="2640"/>
        <v>46009</v>
      </c>
      <c r="E16373" s="275">
        <f t="shared" si="2641"/>
        <v>46009</v>
      </c>
      <c r="F16373" s="479" t="s">
        <v>964</v>
      </c>
      <c r="G16373" s="220" t="s">
        <v>74</v>
      </c>
      <c r="H16373" s="142"/>
      <c r="I16373" s="142"/>
      <c r="J16373" s="168" t="s">
        <v>52</v>
      </c>
      <c r="K16373" s="226">
        <v>2000000</v>
      </c>
      <c r="L16373" s="226"/>
    </row>
    <row r="16374" spans="1:14" ht="11.25" customHeight="1" x14ac:dyDescent="0.2">
      <c r="A16374" s="133">
        <v>2025</v>
      </c>
      <c r="B16374" s="133">
        <v>12</v>
      </c>
      <c r="C16374" s="133">
        <v>18</v>
      </c>
      <c r="D16374" s="141">
        <f t="shared" si="2640"/>
        <v>46009</v>
      </c>
      <c r="E16374" s="275">
        <f t="shared" si="2641"/>
        <v>46009</v>
      </c>
      <c r="F16374" s="481"/>
      <c r="G16374" s="174" t="s">
        <v>74</v>
      </c>
      <c r="J16374" s="133" t="s">
        <v>13</v>
      </c>
      <c r="K16374" s="218"/>
      <c r="L16374" s="218">
        <v>1416430</v>
      </c>
    </row>
    <row r="16375" spans="1:14" ht="11.25" customHeight="1" x14ac:dyDescent="0.2">
      <c r="A16375" s="163">
        <v>2025</v>
      </c>
      <c r="B16375" s="163">
        <v>12</v>
      </c>
      <c r="C16375" s="163">
        <v>18</v>
      </c>
      <c r="D16375" s="280">
        <f t="shared" si="2640"/>
        <v>46009</v>
      </c>
      <c r="E16375" s="281">
        <f t="shared" si="2641"/>
        <v>46009</v>
      </c>
      <c r="F16375" s="480"/>
      <c r="G16375" s="221" t="s">
        <v>74</v>
      </c>
      <c r="H16375" s="145"/>
      <c r="I16375" s="145"/>
      <c r="J16375" s="163" t="s">
        <v>53</v>
      </c>
      <c r="K16375" s="219"/>
      <c r="L16375" s="219">
        <v>583570</v>
      </c>
    </row>
    <row r="16376" spans="1:14" x14ac:dyDescent="0.2">
      <c r="A16376" s="325">
        <v>2025</v>
      </c>
      <c r="B16376" s="325">
        <v>12</v>
      </c>
      <c r="C16376" s="325">
        <v>18</v>
      </c>
      <c r="D16376" s="326">
        <f t="shared" ref="D16376:D16410" si="2642">DATE(A16376,B16376,C16376)</f>
        <v>46009</v>
      </c>
      <c r="E16376" s="327">
        <f t="shared" ref="E16376:E16410" si="2643">DATE(A16376,B16376,C16376)</f>
        <v>46009</v>
      </c>
      <c r="F16376" s="473" t="s">
        <v>1940</v>
      </c>
      <c r="G16376" s="340" t="s">
        <v>94</v>
      </c>
      <c r="H16376" s="340"/>
      <c r="I16376" s="341" t="s">
        <v>348</v>
      </c>
      <c r="J16376" s="374" t="s">
        <v>133</v>
      </c>
      <c r="K16376" s="375">
        <v>1843.6514285714286</v>
      </c>
      <c r="L16376" s="375"/>
      <c r="M16376" s="176"/>
    </row>
    <row r="16377" spans="1:14" x14ac:dyDescent="0.2">
      <c r="A16377" s="331">
        <v>2025</v>
      </c>
      <c r="B16377" s="331">
        <v>12</v>
      </c>
      <c r="C16377" s="331">
        <v>18</v>
      </c>
      <c r="D16377" s="326">
        <f t="shared" si="2642"/>
        <v>46009</v>
      </c>
      <c r="E16377" s="327">
        <f t="shared" si="2643"/>
        <v>46009</v>
      </c>
      <c r="F16377" s="474"/>
      <c r="G16377" s="332" t="s">
        <v>94</v>
      </c>
      <c r="H16377" s="332"/>
      <c r="I16377" s="333" t="s">
        <v>348</v>
      </c>
      <c r="J16377" s="376" t="s">
        <v>60</v>
      </c>
      <c r="K16377" s="334"/>
      <c r="L16377" s="334">
        <f>K16376</f>
        <v>1843.6514285714286</v>
      </c>
    </row>
    <row r="16378" spans="1:14" x14ac:dyDescent="0.2">
      <c r="A16378" s="325">
        <v>2025</v>
      </c>
      <c r="B16378" s="325">
        <v>12</v>
      </c>
      <c r="C16378" s="325">
        <v>18</v>
      </c>
      <c r="D16378" s="326">
        <f t="shared" si="2642"/>
        <v>46009</v>
      </c>
      <c r="E16378" s="327">
        <f t="shared" si="2643"/>
        <v>46009</v>
      </c>
      <c r="F16378" s="473" t="s">
        <v>2131</v>
      </c>
      <c r="G16378" s="340" t="s">
        <v>94</v>
      </c>
      <c r="H16378" s="340"/>
      <c r="I16378" s="341" t="s">
        <v>348</v>
      </c>
      <c r="J16378" s="374" t="s">
        <v>2156</v>
      </c>
      <c r="K16378" s="375">
        <v>6185.4395604395604</v>
      </c>
      <c r="L16378" s="375"/>
      <c r="M16378" s="176"/>
    </row>
    <row r="16379" spans="1:14" x14ac:dyDescent="0.2">
      <c r="A16379" s="331">
        <v>2025</v>
      </c>
      <c r="B16379" s="331">
        <v>12</v>
      </c>
      <c r="C16379" s="331">
        <v>18</v>
      </c>
      <c r="D16379" s="326">
        <f t="shared" si="2642"/>
        <v>46009</v>
      </c>
      <c r="E16379" s="327">
        <f t="shared" si="2643"/>
        <v>46009</v>
      </c>
      <c r="F16379" s="474"/>
      <c r="G16379" s="332" t="s">
        <v>94</v>
      </c>
      <c r="H16379" s="332"/>
      <c r="I16379" s="333" t="s">
        <v>348</v>
      </c>
      <c r="J16379" s="376" t="s">
        <v>2154</v>
      </c>
      <c r="K16379" s="334"/>
      <c r="L16379" s="334">
        <f>K16378</f>
        <v>6185.4395604395604</v>
      </c>
    </row>
    <row r="16380" spans="1:14" x14ac:dyDescent="0.2">
      <c r="A16380" s="384">
        <v>2025</v>
      </c>
      <c r="B16380" s="384">
        <v>12</v>
      </c>
      <c r="C16380" s="384">
        <v>18</v>
      </c>
      <c r="D16380" s="385">
        <f t="shared" si="2642"/>
        <v>46009</v>
      </c>
      <c r="E16380" s="386">
        <f t="shared" si="2643"/>
        <v>46009</v>
      </c>
      <c r="F16380" s="475" t="s">
        <v>1966</v>
      </c>
      <c r="G16380" s="387" t="s">
        <v>94</v>
      </c>
      <c r="H16380" s="387"/>
      <c r="I16380" s="388" t="s">
        <v>348</v>
      </c>
      <c r="J16380" s="389" t="s">
        <v>67</v>
      </c>
      <c r="K16380" s="390">
        <v>227.11277472222224</v>
      </c>
      <c r="L16380" s="390"/>
    </row>
    <row r="16381" spans="1:14" x14ac:dyDescent="0.2">
      <c r="A16381" s="391">
        <v>2025</v>
      </c>
      <c r="B16381" s="391">
        <v>12</v>
      </c>
      <c r="C16381" s="391">
        <v>18</v>
      </c>
      <c r="D16381" s="385">
        <f t="shared" si="2642"/>
        <v>46009</v>
      </c>
      <c r="E16381" s="386">
        <f t="shared" si="2643"/>
        <v>46009</v>
      </c>
      <c r="F16381" s="476"/>
      <c r="G16381" s="392" t="s">
        <v>94</v>
      </c>
      <c r="H16381" s="392"/>
      <c r="I16381" s="393" t="s">
        <v>348</v>
      </c>
      <c r="J16381" s="394" t="s">
        <v>60</v>
      </c>
      <c r="K16381" s="395"/>
      <c r="L16381" s="395">
        <f>K16380</f>
        <v>227.11277472222224</v>
      </c>
    </row>
    <row r="16382" spans="1:14" x14ac:dyDescent="0.2">
      <c r="A16382" s="343">
        <v>2025</v>
      </c>
      <c r="B16382" s="343">
        <v>12</v>
      </c>
      <c r="C16382" s="343">
        <v>18</v>
      </c>
      <c r="D16382" s="344">
        <f t="shared" si="2642"/>
        <v>46009</v>
      </c>
      <c r="E16382" s="345">
        <f t="shared" si="2643"/>
        <v>46009</v>
      </c>
      <c r="F16382" s="483" t="s">
        <v>1813</v>
      </c>
      <c r="G16382" s="350" t="s">
        <v>94</v>
      </c>
      <c r="H16382" s="350"/>
      <c r="I16382" s="352" t="s">
        <v>348</v>
      </c>
      <c r="J16382" s="353" t="s">
        <v>1807</v>
      </c>
      <c r="K16382" s="354">
        <v>0</v>
      </c>
      <c r="L16382" s="354"/>
      <c r="M16382" s="133">
        <v>0</v>
      </c>
    </row>
    <row r="16383" spans="1:14" x14ac:dyDescent="0.2">
      <c r="A16383" s="346">
        <v>2025</v>
      </c>
      <c r="B16383" s="346">
        <v>12</v>
      </c>
      <c r="C16383" s="346">
        <v>18</v>
      </c>
      <c r="D16383" s="344">
        <f t="shared" si="2642"/>
        <v>46009</v>
      </c>
      <c r="E16383" s="345">
        <f t="shared" si="2643"/>
        <v>46009</v>
      </c>
      <c r="F16383" s="484"/>
      <c r="G16383" s="347" t="s">
        <v>94</v>
      </c>
      <c r="H16383" s="347"/>
      <c r="I16383" s="348" t="s">
        <v>348</v>
      </c>
      <c r="J16383" s="355" t="s">
        <v>1798</v>
      </c>
      <c r="K16383" s="349"/>
      <c r="L16383" s="349">
        <v>0</v>
      </c>
    </row>
    <row r="16384" spans="1:14" x14ac:dyDescent="0.2">
      <c r="A16384" s="343">
        <v>2025</v>
      </c>
      <c r="B16384" s="343">
        <v>12</v>
      </c>
      <c r="C16384" s="343">
        <v>18</v>
      </c>
      <c r="D16384" s="344">
        <f t="shared" si="2642"/>
        <v>46009</v>
      </c>
      <c r="E16384" s="345">
        <f t="shared" si="2643"/>
        <v>46009</v>
      </c>
      <c r="F16384" s="483" t="s">
        <v>1913</v>
      </c>
      <c r="G16384" s="350" t="s">
        <v>94</v>
      </c>
      <c r="H16384" s="350"/>
      <c r="I16384" s="352" t="s">
        <v>348</v>
      </c>
      <c r="J16384" s="353" t="s">
        <v>1808</v>
      </c>
      <c r="K16384" s="354"/>
      <c r="L16384" s="354"/>
      <c r="M16384" s="160">
        <v>0</v>
      </c>
    </row>
    <row r="16385" spans="1:13" x14ac:dyDescent="0.2">
      <c r="A16385" s="346">
        <v>2025</v>
      </c>
      <c r="B16385" s="346">
        <v>12</v>
      </c>
      <c r="C16385" s="346">
        <v>18</v>
      </c>
      <c r="D16385" s="344">
        <f t="shared" si="2642"/>
        <v>46009</v>
      </c>
      <c r="E16385" s="345">
        <f t="shared" si="2643"/>
        <v>46009</v>
      </c>
      <c r="F16385" s="484"/>
      <c r="G16385" s="347" t="s">
        <v>94</v>
      </c>
      <c r="H16385" s="347"/>
      <c r="I16385" s="348" t="s">
        <v>348</v>
      </c>
      <c r="J16385" s="355" t="s">
        <v>1799</v>
      </c>
      <c r="K16385" s="349"/>
      <c r="L16385" s="349">
        <f>K16384</f>
        <v>0</v>
      </c>
    </row>
    <row r="16386" spans="1:13" x14ac:dyDescent="0.2">
      <c r="A16386" s="238">
        <v>2025</v>
      </c>
      <c r="B16386" s="238">
        <v>12</v>
      </c>
      <c r="C16386" s="238">
        <v>18</v>
      </c>
      <c r="D16386" s="270">
        <f t="shared" si="2642"/>
        <v>46009</v>
      </c>
      <c r="E16386" s="279">
        <f t="shared" si="2643"/>
        <v>46009</v>
      </c>
      <c r="F16386" s="477" t="s">
        <v>347</v>
      </c>
      <c r="G16386" s="239" t="s">
        <v>94</v>
      </c>
      <c r="H16386" s="239"/>
      <c r="I16386" s="262" t="s">
        <v>348</v>
      </c>
      <c r="J16386" s="240" t="s">
        <v>82</v>
      </c>
      <c r="K16386" s="241">
        <v>714868.31999996305</v>
      </c>
      <c r="L16386" s="241"/>
      <c r="M16386" s="160">
        <v>13139541.900000483</v>
      </c>
    </row>
    <row r="16387" spans="1:13" x14ac:dyDescent="0.2">
      <c r="A16387" s="242">
        <v>2025</v>
      </c>
      <c r="B16387" s="242">
        <v>12</v>
      </c>
      <c r="C16387" s="242">
        <v>18</v>
      </c>
      <c r="D16387" s="270">
        <f t="shared" si="2642"/>
        <v>46009</v>
      </c>
      <c r="E16387" s="279">
        <f t="shared" si="2643"/>
        <v>46009</v>
      </c>
      <c r="F16387" s="478"/>
      <c r="G16387" s="243" t="s">
        <v>94</v>
      </c>
      <c r="H16387" s="243"/>
      <c r="I16387" s="263" t="s">
        <v>348</v>
      </c>
      <c r="J16387" s="244" t="s">
        <v>108</v>
      </c>
      <c r="K16387" s="245"/>
      <c r="L16387" s="245">
        <f>K16386</f>
        <v>714868.31999996305</v>
      </c>
    </row>
    <row r="16388" spans="1:13" ht="12" customHeight="1" x14ac:dyDescent="0.2">
      <c r="A16388" s="246">
        <v>2025</v>
      </c>
      <c r="B16388" s="238">
        <v>12</v>
      </c>
      <c r="C16388" s="238">
        <v>18</v>
      </c>
      <c r="D16388" s="270">
        <f t="shared" si="2642"/>
        <v>46009</v>
      </c>
      <c r="E16388" s="279">
        <f t="shared" si="2643"/>
        <v>46009</v>
      </c>
      <c r="F16388" s="482" t="s">
        <v>148</v>
      </c>
      <c r="G16388" s="247" t="s">
        <v>94</v>
      </c>
      <c r="H16388" s="247"/>
      <c r="I16388" s="248" t="s">
        <v>348</v>
      </c>
      <c r="J16388" s="249" t="s">
        <v>95</v>
      </c>
      <c r="K16388" s="250">
        <v>392.46467817896388</v>
      </c>
      <c r="L16388" s="241"/>
      <c r="M16388" s="176"/>
    </row>
    <row r="16389" spans="1:13" x14ac:dyDescent="0.2">
      <c r="A16389" s="242">
        <v>2025</v>
      </c>
      <c r="B16389" s="242">
        <v>12</v>
      </c>
      <c r="C16389" s="242">
        <v>18</v>
      </c>
      <c r="D16389" s="270">
        <f t="shared" si="2642"/>
        <v>46009</v>
      </c>
      <c r="E16389" s="279">
        <f t="shared" si="2643"/>
        <v>46009</v>
      </c>
      <c r="F16389" s="478"/>
      <c r="G16389" s="243" t="s">
        <v>94</v>
      </c>
      <c r="H16389" s="243"/>
      <c r="I16389" s="263" t="s">
        <v>348</v>
      </c>
      <c r="J16389" s="244" t="s">
        <v>63</v>
      </c>
      <c r="K16389" s="245"/>
      <c r="L16389" s="245">
        <f>K16388</f>
        <v>392.46467817896388</v>
      </c>
    </row>
    <row r="16390" spans="1:13" x14ac:dyDescent="0.2">
      <c r="A16390" s="246">
        <v>2025</v>
      </c>
      <c r="B16390" s="238">
        <v>12</v>
      </c>
      <c r="C16390" s="238">
        <v>18</v>
      </c>
      <c r="D16390" s="270">
        <f t="shared" si="2642"/>
        <v>46009</v>
      </c>
      <c r="E16390" s="279">
        <f t="shared" si="2643"/>
        <v>46009</v>
      </c>
      <c r="F16390" s="482" t="s">
        <v>137</v>
      </c>
      <c r="G16390" s="247" t="s">
        <v>94</v>
      </c>
      <c r="H16390" s="247"/>
      <c r="I16390" s="248" t="s">
        <v>348</v>
      </c>
      <c r="J16390" s="249" t="s">
        <v>97</v>
      </c>
      <c r="K16390" s="250">
        <f>M16390</f>
        <v>12622.403961238049</v>
      </c>
      <c r="L16390" s="252"/>
      <c r="M16390" s="170">
        <v>12622.403961238049</v>
      </c>
    </row>
    <row r="16391" spans="1:13" x14ac:dyDescent="0.2">
      <c r="A16391" s="242">
        <v>2025</v>
      </c>
      <c r="B16391" s="242">
        <v>12</v>
      </c>
      <c r="C16391" s="242">
        <v>18</v>
      </c>
      <c r="D16391" s="270">
        <f t="shared" si="2642"/>
        <v>46009</v>
      </c>
      <c r="E16391" s="279">
        <f t="shared" si="2643"/>
        <v>46009</v>
      </c>
      <c r="F16391" s="478"/>
      <c r="G16391" s="243" t="s">
        <v>94</v>
      </c>
      <c r="H16391" s="243"/>
      <c r="I16391" s="263" t="s">
        <v>348</v>
      </c>
      <c r="J16391" s="244" t="s">
        <v>47</v>
      </c>
      <c r="K16391" s="245"/>
      <c r="L16391" s="245">
        <f>K16390</f>
        <v>12622.403961238049</v>
      </c>
      <c r="M16391" s="170">
        <v>596.77953872124306</v>
      </c>
    </row>
    <row r="16392" spans="1:13" x14ac:dyDescent="0.2">
      <c r="A16392" s="246">
        <v>2025</v>
      </c>
      <c r="B16392" s="238">
        <v>12</v>
      </c>
      <c r="C16392" s="238">
        <v>18</v>
      </c>
      <c r="D16392" s="270">
        <f t="shared" si="2642"/>
        <v>46009</v>
      </c>
      <c r="E16392" s="279">
        <f t="shared" si="2643"/>
        <v>46009</v>
      </c>
      <c r="F16392" s="482" t="s">
        <v>138</v>
      </c>
      <c r="G16392" s="247" t="s">
        <v>94</v>
      </c>
      <c r="H16392" s="247"/>
      <c r="I16392" s="248" t="s">
        <v>348</v>
      </c>
      <c r="J16392" s="249" t="s">
        <v>100</v>
      </c>
      <c r="K16392" s="250">
        <f>M16391</f>
        <v>596.77953872124306</v>
      </c>
      <c r="L16392" s="252"/>
    </row>
    <row r="16393" spans="1:13" x14ac:dyDescent="0.2">
      <c r="A16393" s="242">
        <v>2025</v>
      </c>
      <c r="B16393" s="242">
        <v>12</v>
      </c>
      <c r="C16393" s="242">
        <v>18</v>
      </c>
      <c r="D16393" s="321">
        <f t="shared" si="2642"/>
        <v>46009</v>
      </c>
      <c r="E16393" s="322">
        <f t="shared" si="2643"/>
        <v>46009</v>
      </c>
      <c r="F16393" s="478"/>
      <c r="G16393" s="243" t="s">
        <v>94</v>
      </c>
      <c r="H16393" s="243"/>
      <c r="I16393" s="263" t="s">
        <v>348</v>
      </c>
      <c r="J16393" s="244" t="s">
        <v>48</v>
      </c>
      <c r="K16393" s="245"/>
      <c r="L16393" s="245">
        <f>K16392</f>
        <v>596.77953872124306</v>
      </c>
    </row>
    <row r="16394" spans="1:13" ht="11.25" customHeight="1" x14ac:dyDescent="0.2">
      <c r="A16394" s="168">
        <v>2025</v>
      </c>
      <c r="B16394" s="168">
        <v>12</v>
      </c>
      <c r="C16394" s="133">
        <v>21</v>
      </c>
      <c r="D16394" s="141">
        <f t="shared" si="2642"/>
        <v>46012</v>
      </c>
      <c r="E16394" s="275">
        <f t="shared" si="2643"/>
        <v>46012</v>
      </c>
      <c r="F16394" s="479" t="s">
        <v>964</v>
      </c>
      <c r="G16394" s="220" t="s">
        <v>74</v>
      </c>
      <c r="H16394" s="142"/>
      <c r="I16394" s="142"/>
      <c r="J16394" s="168" t="s">
        <v>52</v>
      </c>
      <c r="K16394" s="226">
        <v>10000</v>
      </c>
      <c r="L16394" s="226"/>
    </row>
    <row r="16395" spans="1:13" ht="11.25" customHeight="1" x14ac:dyDescent="0.2">
      <c r="A16395" s="133">
        <v>2025</v>
      </c>
      <c r="B16395" s="133">
        <v>12</v>
      </c>
      <c r="C16395" s="133">
        <v>21</v>
      </c>
      <c r="D16395" s="141">
        <f t="shared" si="2642"/>
        <v>46012</v>
      </c>
      <c r="E16395" s="275">
        <f t="shared" si="2643"/>
        <v>46012</v>
      </c>
      <c r="F16395" s="481"/>
      <c r="G16395" s="174" t="s">
        <v>74</v>
      </c>
      <c r="J16395" s="133" t="s">
        <v>13</v>
      </c>
      <c r="K16395" s="218"/>
      <c r="L16395" s="218">
        <v>7110</v>
      </c>
    </row>
    <row r="16396" spans="1:13" ht="11.25" customHeight="1" x14ac:dyDescent="0.2">
      <c r="A16396" s="163">
        <v>2025</v>
      </c>
      <c r="B16396" s="163">
        <v>12</v>
      </c>
      <c r="C16396" s="163">
        <v>21</v>
      </c>
      <c r="D16396" s="280">
        <f t="shared" si="2642"/>
        <v>46012</v>
      </c>
      <c r="E16396" s="281">
        <f t="shared" si="2643"/>
        <v>46012</v>
      </c>
      <c r="F16396" s="480"/>
      <c r="G16396" s="221" t="s">
        <v>74</v>
      </c>
      <c r="H16396" s="145"/>
      <c r="I16396" s="145"/>
      <c r="J16396" s="163" t="s">
        <v>53</v>
      </c>
      <c r="K16396" s="219"/>
      <c r="L16396" s="219">
        <v>2890</v>
      </c>
    </row>
    <row r="16397" spans="1:13" ht="11.25" customHeight="1" x14ac:dyDescent="0.2">
      <c r="A16397" s="168">
        <v>2025</v>
      </c>
      <c r="B16397" s="168">
        <v>12</v>
      </c>
      <c r="C16397" s="133">
        <v>21</v>
      </c>
      <c r="D16397" s="141">
        <f t="shared" si="2642"/>
        <v>46012</v>
      </c>
      <c r="E16397" s="275">
        <f t="shared" si="2643"/>
        <v>46012</v>
      </c>
      <c r="F16397" s="479" t="s">
        <v>1315</v>
      </c>
      <c r="G16397" s="220" t="s">
        <v>74</v>
      </c>
      <c r="H16397" s="142"/>
      <c r="I16397" s="142"/>
      <c r="J16397" s="168" t="s">
        <v>13</v>
      </c>
      <c r="K16397" s="226">
        <v>838930</v>
      </c>
      <c r="L16397" s="226"/>
    </row>
    <row r="16398" spans="1:13" ht="11.25" customHeight="1" x14ac:dyDescent="0.2">
      <c r="A16398" s="133">
        <v>2025</v>
      </c>
      <c r="B16398" s="133">
        <v>12</v>
      </c>
      <c r="C16398" s="133">
        <v>21</v>
      </c>
      <c r="D16398" s="141">
        <f t="shared" si="2642"/>
        <v>46012</v>
      </c>
      <c r="E16398" s="275">
        <f t="shared" si="2643"/>
        <v>46012</v>
      </c>
      <c r="F16398" s="481"/>
      <c r="G16398" s="174" t="s">
        <v>74</v>
      </c>
      <c r="J16398" s="133" t="s">
        <v>53</v>
      </c>
      <c r="K16398" s="218">
        <v>351511.66999999993</v>
      </c>
      <c r="L16398" s="218"/>
    </row>
    <row r="16399" spans="1:13" ht="11.25" customHeight="1" x14ac:dyDescent="0.2">
      <c r="A16399" s="163">
        <v>2025</v>
      </c>
      <c r="B16399" s="163">
        <v>12</v>
      </c>
      <c r="C16399" s="163">
        <v>21</v>
      </c>
      <c r="D16399" s="280">
        <f t="shared" si="2642"/>
        <v>46012</v>
      </c>
      <c r="E16399" s="281">
        <f t="shared" si="2643"/>
        <v>46012</v>
      </c>
      <c r="F16399" s="480"/>
      <c r="G16399" s="221" t="s">
        <v>74</v>
      </c>
      <c r="H16399" s="145"/>
      <c r="I16399" s="145"/>
      <c r="J16399" s="163" t="s">
        <v>52</v>
      </c>
      <c r="K16399" s="219"/>
      <c r="L16399" s="219">
        <v>1190441.67</v>
      </c>
    </row>
    <row r="16400" spans="1:13" x14ac:dyDescent="0.2">
      <c r="A16400" s="168">
        <v>2025</v>
      </c>
      <c r="B16400" s="133">
        <v>12</v>
      </c>
      <c r="C16400" s="168">
        <v>21</v>
      </c>
      <c r="D16400" s="147">
        <f t="shared" si="2642"/>
        <v>46012</v>
      </c>
      <c r="E16400" s="311">
        <f t="shared" si="2643"/>
        <v>46012</v>
      </c>
      <c r="F16400" s="481" t="s">
        <v>1943</v>
      </c>
      <c r="G16400" s="174" t="s">
        <v>74</v>
      </c>
      <c r="I16400" s="148" t="s">
        <v>348</v>
      </c>
      <c r="J16400" s="133" t="s">
        <v>61</v>
      </c>
      <c r="K16400" s="172">
        <v>100</v>
      </c>
    </row>
    <row r="16401" spans="1:14" x14ac:dyDescent="0.2">
      <c r="A16401" s="163">
        <v>2025</v>
      </c>
      <c r="B16401" s="163">
        <v>12</v>
      </c>
      <c r="C16401" s="163">
        <v>21</v>
      </c>
      <c r="D16401" s="280">
        <f t="shared" si="2642"/>
        <v>46012</v>
      </c>
      <c r="E16401" s="281">
        <f t="shared" si="2643"/>
        <v>46012</v>
      </c>
      <c r="F16401" s="480"/>
      <c r="G16401" s="221" t="s">
        <v>74</v>
      </c>
      <c r="H16401" s="145"/>
      <c r="I16401" s="145" t="s">
        <v>348</v>
      </c>
      <c r="J16401" s="163" t="s">
        <v>52</v>
      </c>
      <c r="K16401" s="219"/>
      <c r="L16401" s="219">
        <f>K16400</f>
        <v>100</v>
      </c>
    </row>
    <row r="16402" spans="1:14" ht="11.25" customHeight="1" x14ac:dyDescent="0.2">
      <c r="A16402" s="168">
        <v>2025</v>
      </c>
      <c r="B16402" s="133">
        <v>12</v>
      </c>
      <c r="C16402" s="168">
        <v>21</v>
      </c>
      <c r="D16402" s="141">
        <f t="shared" si="2642"/>
        <v>46012</v>
      </c>
      <c r="E16402" s="275">
        <f t="shared" si="2643"/>
        <v>46012</v>
      </c>
      <c r="F16402" s="479" t="s">
        <v>2116</v>
      </c>
      <c r="G16402" s="220" t="s">
        <v>74</v>
      </c>
      <c r="H16402" s="220"/>
      <c r="I16402" s="142"/>
      <c r="J16402" s="143" t="s">
        <v>147</v>
      </c>
      <c r="K16402" s="226">
        <v>623897.77</v>
      </c>
      <c r="L16402" s="226"/>
    </row>
    <row r="16403" spans="1:14" x14ac:dyDescent="0.2">
      <c r="A16403" s="163">
        <v>2025</v>
      </c>
      <c r="B16403" s="163">
        <v>12</v>
      </c>
      <c r="C16403" s="163">
        <v>21</v>
      </c>
      <c r="D16403" s="280">
        <f t="shared" si="2642"/>
        <v>46012</v>
      </c>
      <c r="E16403" s="281">
        <f t="shared" si="2643"/>
        <v>46012</v>
      </c>
      <c r="F16403" s="480"/>
      <c r="G16403" s="221" t="s">
        <v>74</v>
      </c>
      <c r="H16403" s="221"/>
      <c r="I16403" s="145"/>
      <c r="J16403" s="146" t="s">
        <v>52</v>
      </c>
      <c r="K16403" s="219"/>
      <c r="L16403" s="219">
        <f>K16402</f>
        <v>623897.77</v>
      </c>
      <c r="N16403" s="264"/>
    </row>
    <row r="16404" spans="1:14" x14ac:dyDescent="0.2">
      <c r="A16404" s="133">
        <v>2025</v>
      </c>
      <c r="B16404" s="133">
        <v>12</v>
      </c>
      <c r="C16404" s="168">
        <v>21</v>
      </c>
      <c r="D16404" s="141">
        <f t="shared" si="2642"/>
        <v>46012</v>
      </c>
      <c r="E16404" s="275">
        <f t="shared" si="2643"/>
        <v>46012</v>
      </c>
      <c r="F16404" s="481" t="s">
        <v>2115</v>
      </c>
      <c r="G16404" s="174" t="s">
        <v>94</v>
      </c>
      <c r="H16404" s="174"/>
      <c r="J16404" s="149" t="s">
        <v>79</v>
      </c>
      <c r="K16404" s="218">
        <v>3219307.7</v>
      </c>
      <c r="L16404" s="218"/>
      <c r="M16404" s="160"/>
    </row>
    <row r="16405" spans="1:14" x14ac:dyDescent="0.2">
      <c r="A16405" s="133">
        <v>2025</v>
      </c>
      <c r="B16405" s="133">
        <v>12</v>
      </c>
      <c r="C16405" s="133">
        <v>21</v>
      </c>
      <c r="D16405" s="141">
        <f t="shared" si="2642"/>
        <v>46012</v>
      </c>
      <c r="E16405" s="275">
        <f t="shared" si="2643"/>
        <v>46012</v>
      </c>
      <c r="F16405" s="481"/>
      <c r="G16405" s="174" t="s">
        <v>94</v>
      </c>
      <c r="H16405" s="174"/>
      <c r="J16405" s="149" t="s">
        <v>80</v>
      </c>
      <c r="K16405" s="218">
        <v>9636.41</v>
      </c>
      <c r="L16405" s="264"/>
      <c r="M16405" s="264"/>
      <c r="N16405" s="264"/>
    </row>
    <row r="16406" spans="1:14" x14ac:dyDescent="0.2">
      <c r="A16406" s="133">
        <v>2025</v>
      </c>
      <c r="B16406" s="133">
        <v>12</v>
      </c>
      <c r="C16406" s="133">
        <v>21</v>
      </c>
      <c r="D16406" s="141">
        <f t="shared" si="2642"/>
        <v>46012</v>
      </c>
      <c r="E16406" s="275">
        <f t="shared" si="2643"/>
        <v>46012</v>
      </c>
      <c r="F16406" s="481"/>
      <c r="G16406" s="174" t="s">
        <v>94</v>
      </c>
      <c r="H16406" s="174"/>
      <c r="J16406" s="149" t="s">
        <v>147</v>
      </c>
      <c r="K16406" s="218"/>
      <c r="L16406" s="218">
        <v>1094689.81</v>
      </c>
      <c r="M16406" s="264"/>
    </row>
    <row r="16407" spans="1:14" x14ac:dyDescent="0.2">
      <c r="A16407" s="133">
        <v>2025</v>
      </c>
      <c r="B16407" s="133">
        <v>12</v>
      </c>
      <c r="C16407" s="133">
        <v>21</v>
      </c>
      <c r="D16407" s="141">
        <f t="shared" si="2642"/>
        <v>46012</v>
      </c>
      <c r="E16407" s="275">
        <f t="shared" si="2643"/>
        <v>46012</v>
      </c>
      <c r="F16407" s="481"/>
      <c r="G16407" s="174" t="s">
        <v>94</v>
      </c>
      <c r="H16407" s="174"/>
      <c r="J16407" s="149" t="s">
        <v>191</v>
      </c>
      <c r="K16407" s="218">
        <v>39605.26</v>
      </c>
      <c r="L16407" s="218"/>
    </row>
    <row r="16408" spans="1:14" x14ac:dyDescent="0.2">
      <c r="A16408" s="163">
        <v>2025</v>
      </c>
      <c r="B16408" s="163">
        <v>12</v>
      </c>
      <c r="C16408" s="163">
        <v>21</v>
      </c>
      <c r="D16408" s="280">
        <f t="shared" si="2642"/>
        <v>46012</v>
      </c>
      <c r="E16408" s="281">
        <f t="shared" si="2643"/>
        <v>46012</v>
      </c>
      <c r="F16408" s="480"/>
      <c r="G16408" s="221" t="s">
        <v>94</v>
      </c>
      <c r="H16408" s="145"/>
      <c r="I16408" s="145"/>
      <c r="J16408" s="163" t="s">
        <v>79</v>
      </c>
      <c r="K16408" s="219"/>
      <c r="L16408" s="219">
        <v>2173859.56</v>
      </c>
      <c r="M16408" s="264"/>
    </row>
    <row r="16409" spans="1:14" x14ac:dyDescent="0.2">
      <c r="A16409" s="168">
        <v>2025</v>
      </c>
      <c r="B16409" s="133">
        <v>12</v>
      </c>
      <c r="C16409" s="168">
        <v>21</v>
      </c>
      <c r="D16409" s="141">
        <f t="shared" si="2642"/>
        <v>46012</v>
      </c>
      <c r="E16409" s="275">
        <f t="shared" si="2643"/>
        <v>46012</v>
      </c>
      <c r="F16409" s="481" t="s">
        <v>2006</v>
      </c>
      <c r="G16409" s="174" t="s">
        <v>74</v>
      </c>
      <c r="H16409" s="174"/>
      <c r="J16409" s="149" t="s">
        <v>534</v>
      </c>
      <c r="K16409" s="218">
        <v>575.48</v>
      </c>
      <c r="L16409" s="218"/>
    </row>
    <row r="16410" spans="1:14" x14ac:dyDescent="0.2">
      <c r="A16410" s="163">
        <v>2025</v>
      </c>
      <c r="B16410" s="163">
        <v>12</v>
      </c>
      <c r="C16410" s="163">
        <v>21</v>
      </c>
      <c r="D16410" s="280">
        <f t="shared" si="2642"/>
        <v>46012</v>
      </c>
      <c r="E16410" s="281">
        <f t="shared" si="2643"/>
        <v>46012</v>
      </c>
      <c r="F16410" s="480"/>
      <c r="G16410" s="221" t="s">
        <v>74</v>
      </c>
      <c r="H16410" s="221"/>
      <c r="I16410" s="145"/>
      <c r="J16410" s="146" t="s">
        <v>52</v>
      </c>
      <c r="K16410" s="219"/>
      <c r="L16410" s="219">
        <v>575.48</v>
      </c>
    </row>
    <row r="16411" spans="1:14" x14ac:dyDescent="0.2">
      <c r="A16411" s="325">
        <v>2025</v>
      </c>
      <c r="B16411" s="325">
        <v>12</v>
      </c>
      <c r="C16411" s="325">
        <v>21</v>
      </c>
      <c r="D16411" s="326">
        <f t="shared" ref="D16411:D16432" si="2644">DATE(A16411,B16411,C16411)</f>
        <v>46012</v>
      </c>
      <c r="E16411" s="327">
        <f t="shared" ref="E16411:E16432" si="2645">DATE(A16411,B16411,C16411)</f>
        <v>46012</v>
      </c>
      <c r="F16411" s="473" t="s">
        <v>1940</v>
      </c>
      <c r="G16411" s="340" t="s">
        <v>94</v>
      </c>
      <c r="H16411" s="340"/>
      <c r="I16411" s="341" t="s">
        <v>348</v>
      </c>
      <c r="J16411" s="374" t="s">
        <v>133</v>
      </c>
      <c r="K16411" s="375">
        <v>5530.954285714286</v>
      </c>
      <c r="L16411" s="375"/>
      <c r="M16411" s="176"/>
    </row>
    <row r="16412" spans="1:14" x14ac:dyDescent="0.2">
      <c r="A16412" s="331">
        <v>2025</v>
      </c>
      <c r="B16412" s="331">
        <v>12</v>
      </c>
      <c r="C16412" s="331">
        <v>21</v>
      </c>
      <c r="D16412" s="326">
        <f t="shared" si="2644"/>
        <v>46012</v>
      </c>
      <c r="E16412" s="327">
        <f t="shared" si="2645"/>
        <v>46012</v>
      </c>
      <c r="F16412" s="474"/>
      <c r="G16412" s="332" t="s">
        <v>94</v>
      </c>
      <c r="H16412" s="332"/>
      <c r="I16412" s="333" t="s">
        <v>348</v>
      </c>
      <c r="J16412" s="376" t="s">
        <v>60</v>
      </c>
      <c r="K16412" s="334"/>
      <c r="L16412" s="334">
        <f>K16411</f>
        <v>5530.954285714286</v>
      </c>
    </row>
    <row r="16413" spans="1:14" x14ac:dyDescent="0.2">
      <c r="A16413" s="325">
        <v>2025</v>
      </c>
      <c r="B16413" s="325">
        <v>12</v>
      </c>
      <c r="C16413" s="325">
        <v>21</v>
      </c>
      <c r="D16413" s="326">
        <f t="shared" si="2644"/>
        <v>46012</v>
      </c>
      <c r="E16413" s="327">
        <f t="shared" si="2645"/>
        <v>46012</v>
      </c>
      <c r="F16413" s="473" t="s">
        <v>2131</v>
      </c>
      <c r="G16413" s="340" t="s">
        <v>94</v>
      </c>
      <c r="H16413" s="340"/>
      <c r="I16413" s="341" t="s">
        <v>348</v>
      </c>
      <c r="J16413" s="374" t="s">
        <v>2156</v>
      </c>
      <c r="K16413" s="375">
        <v>18556.31868131868</v>
      </c>
      <c r="L16413" s="375"/>
      <c r="M16413" s="176"/>
    </row>
    <row r="16414" spans="1:14" x14ac:dyDescent="0.2">
      <c r="A16414" s="331">
        <v>2025</v>
      </c>
      <c r="B16414" s="331">
        <v>12</v>
      </c>
      <c r="C16414" s="331">
        <v>21</v>
      </c>
      <c r="D16414" s="326">
        <f t="shared" si="2644"/>
        <v>46012</v>
      </c>
      <c r="E16414" s="327">
        <f t="shared" si="2645"/>
        <v>46012</v>
      </c>
      <c r="F16414" s="474"/>
      <c r="G16414" s="332" t="s">
        <v>94</v>
      </c>
      <c r="H16414" s="332"/>
      <c r="I16414" s="333" t="s">
        <v>348</v>
      </c>
      <c r="J16414" s="376" t="s">
        <v>2154</v>
      </c>
      <c r="K16414" s="334"/>
      <c r="L16414" s="334">
        <f>K16413</f>
        <v>18556.31868131868</v>
      </c>
    </row>
    <row r="16415" spans="1:14" x14ac:dyDescent="0.2">
      <c r="A16415" s="384">
        <v>2025</v>
      </c>
      <c r="B16415" s="384">
        <v>12</v>
      </c>
      <c r="C16415" s="384">
        <v>21</v>
      </c>
      <c r="D16415" s="385">
        <f t="shared" si="2644"/>
        <v>46012</v>
      </c>
      <c r="E16415" s="386">
        <f t="shared" si="2645"/>
        <v>46012</v>
      </c>
      <c r="F16415" s="475" t="s">
        <v>1966</v>
      </c>
      <c r="G16415" s="387" t="s">
        <v>94</v>
      </c>
      <c r="H16415" s="387"/>
      <c r="I16415" s="388" t="s">
        <v>348</v>
      </c>
      <c r="J16415" s="389" t="s">
        <v>67</v>
      </c>
      <c r="K16415" s="390">
        <v>1828.48</v>
      </c>
      <c r="L16415" s="390"/>
    </row>
    <row r="16416" spans="1:14" x14ac:dyDescent="0.2">
      <c r="A16416" s="391">
        <v>2025</v>
      </c>
      <c r="B16416" s="391">
        <v>12</v>
      </c>
      <c r="C16416" s="391">
        <v>21</v>
      </c>
      <c r="D16416" s="385">
        <f t="shared" si="2644"/>
        <v>46012</v>
      </c>
      <c r="E16416" s="386">
        <f t="shared" si="2645"/>
        <v>46012</v>
      </c>
      <c r="F16416" s="476"/>
      <c r="G16416" s="392" t="s">
        <v>94</v>
      </c>
      <c r="H16416" s="392"/>
      <c r="I16416" s="393" t="s">
        <v>348</v>
      </c>
      <c r="J16416" s="394" t="s">
        <v>60</v>
      </c>
      <c r="K16416" s="395"/>
      <c r="L16416" s="395">
        <f>K16415</f>
        <v>1828.48</v>
      </c>
    </row>
    <row r="16417" spans="1:14" x14ac:dyDescent="0.2">
      <c r="A16417" s="343">
        <v>2025</v>
      </c>
      <c r="B16417" s="343">
        <v>12</v>
      </c>
      <c r="C16417" s="343">
        <v>21</v>
      </c>
      <c r="D16417" s="344">
        <f t="shared" si="2644"/>
        <v>46012</v>
      </c>
      <c r="E16417" s="345">
        <f t="shared" si="2645"/>
        <v>46012</v>
      </c>
      <c r="F16417" s="483" t="s">
        <v>1813</v>
      </c>
      <c r="G16417" s="350" t="s">
        <v>94</v>
      </c>
      <c r="H16417" s="350"/>
      <c r="I16417" s="352" t="s">
        <v>348</v>
      </c>
      <c r="J16417" s="353" t="s">
        <v>1807</v>
      </c>
      <c r="K16417" s="354">
        <v>0</v>
      </c>
      <c r="L16417" s="354"/>
      <c r="M16417" s="133">
        <v>0</v>
      </c>
    </row>
    <row r="16418" spans="1:14" x14ac:dyDescent="0.2">
      <c r="A16418" s="346">
        <v>2025</v>
      </c>
      <c r="B16418" s="346">
        <v>12</v>
      </c>
      <c r="C16418" s="346">
        <v>21</v>
      </c>
      <c r="D16418" s="344">
        <f t="shared" si="2644"/>
        <v>46012</v>
      </c>
      <c r="E16418" s="345">
        <f t="shared" si="2645"/>
        <v>46012</v>
      </c>
      <c r="F16418" s="484"/>
      <c r="G16418" s="347" t="s">
        <v>94</v>
      </c>
      <c r="H16418" s="347"/>
      <c r="I16418" s="348" t="s">
        <v>348</v>
      </c>
      <c r="J16418" s="355" t="s">
        <v>1798</v>
      </c>
      <c r="K16418" s="349"/>
      <c r="L16418" s="349">
        <v>0</v>
      </c>
    </row>
    <row r="16419" spans="1:14" x14ac:dyDescent="0.2">
      <c r="A16419" s="343">
        <v>2025</v>
      </c>
      <c r="B16419" s="343">
        <v>12</v>
      </c>
      <c r="C16419" s="343">
        <v>21</v>
      </c>
      <c r="D16419" s="344">
        <f t="shared" si="2644"/>
        <v>46012</v>
      </c>
      <c r="E16419" s="345">
        <f t="shared" si="2645"/>
        <v>46012</v>
      </c>
      <c r="F16419" s="483" t="s">
        <v>1913</v>
      </c>
      <c r="G16419" s="350" t="s">
        <v>94</v>
      </c>
      <c r="H16419" s="350"/>
      <c r="I16419" s="352" t="s">
        <v>348</v>
      </c>
      <c r="J16419" s="353" t="s">
        <v>1808</v>
      </c>
      <c r="K16419" s="354"/>
      <c r="L16419" s="354"/>
      <c r="M16419" s="160">
        <v>0</v>
      </c>
    </row>
    <row r="16420" spans="1:14" x14ac:dyDescent="0.2">
      <c r="A16420" s="346">
        <v>2025</v>
      </c>
      <c r="B16420" s="346">
        <v>12</v>
      </c>
      <c r="C16420" s="346">
        <v>21</v>
      </c>
      <c r="D16420" s="344">
        <f t="shared" si="2644"/>
        <v>46012</v>
      </c>
      <c r="E16420" s="345">
        <f t="shared" si="2645"/>
        <v>46012</v>
      </c>
      <c r="F16420" s="484"/>
      <c r="G16420" s="347" t="s">
        <v>94</v>
      </c>
      <c r="H16420" s="347"/>
      <c r="I16420" s="348" t="s">
        <v>348</v>
      </c>
      <c r="J16420" s="355" t="s">
        <v>1799</v>
      </c>
      <c r="K16420" s="349"/>
      <c r="L16420" s="349">
        <f>K16419</f>
        <v>0</v>
      </c>
    </row>
    <row r="16421" spans="1:14" x14ac:dyDescent="0.2">
      <c r="A16421" s="238">
        <v>2025</v>
      </c>
      <c r="B16421" s="238">
        <v>12</v>
      </c>
      <c r="C16421" s="238">
        <v>21</v>
      </c>
      <c r="D16421" s="270">
        <f t="shared" si="2644"/>
        <v>46012</v>
      </c>
      <c r="E16421" s="279">
        <f t="shared" si="2645"/>
        <v>46012</v>
      </c>
      <c r="F16421" s="477" t="s">
        <v>347</v>
      </c>
      <c r="G16421" s="239" t="s">
        <v>94</v>
      </c>
      <c r="H16421" s="239"/>
      <c r="I16421" s="262" t="s">
        <v>348</v>
      </c>
      <c r="J16421" s="240" t="s">
        <v>82</v>
      </c>
      <c r="K16421" s="241">
        <v>553030.24000000954</v>
      </c>
      <c r="L16421" s="241"/>
      <c r="M16421" s="160">
        <v>13139541.900000483</v>
      </c>
    </row>
    <row r="16422" spans="1:14" x14ac:dyDescent="0.2">
      <c r="A16422" s="242">
        <v>2025</v>
      </c>
      <c r="B16422" s="242">
        <v>12</v>
      </c>
      <c r="C16422" s="242">
        <v>21</v>
      </c>
      <c r="D16422" s="270">
        <f t="shared" si="2644"/>
        <v>46012</v>
      </c>
      <c r="E16422" s="279">
        <f t="shared" si="2645"/>
        <v>46012</v>
      </c>
      <c r="F16422" s="478"/>
      <c r="G16422" s="243" t="s">
        <v>94</v>
      </c>
      <c r="H16422" s="243"/>
      <c r="I16422" s="263" t="s">
        <v>348</v>
      </c>
      <c r="J16422" s="244" t="s">
        <v>108</v>
      </c>
      <c r="K16422" s="245"/>
      <c r="L16422" s="245">
        <f>K16421</f>
        <v>553030.24000000954</v>
      </c>
    </row>
    <row r="16423" spans="1:14" ht="12" customHeight="1" x14ac:dyDescent="0.2">
      <c r="A16423" s="246">
        <v>2025</v>
      </c>
      <c r="B16423" s="238">
        <v>12</v>
      </c>
      <c r="C16423" s="238">
        <v>21</v>
      </c>
      <c r="D16423" s="270">
        <f t="shared" si="2644"/>
        <v>46012</v>
      </c>
      <c r="E16423" s="279">
        <f t="shared" si="2645"/>
        <v>46012</v>
      </c>
      <c r="F16423" s="482" t="s">
        <v>148</v>
      </c>
      <c r="G16423" s="247" t="s">
        <v>94</v>
      </c>
      <c r="H16423" s="247"/>
      <c r="I16423" s="248" t="s">
        <v>348</v>
      </c>
      <c r="J16423" s="249" t="s">
        <v>95</v>
      </c>
      <c r="K16423" s="250">
        <v>1177.3940345368917</v>
      </c>
      <c r="L16423" s="241"/>
      <c r="M16423" s="176"/>
    </row>
    <row r="16424" spans="1:14" x14ac:dyDescent="0.2">
      <c r="A16424" s="242">
        <v>2025</v>
      </c>
      <c r="B16424" s="242">
        <v>12</v>
      </c>
      <c r="C16424" s="242">
        <v>21</v>
      </c>
      <c r="D16424" s="270">
        <f t="shared" si="2644"/>
        <v>46012</v>
      </c>
      <c r="E16424" s="279">
        <f t="shared" si="2645"/>
        <v>46012</v>
      </c>
      <c r="F16424" s="478"/>
      <c r="G16424" s="243" t="s">
        <v>94</v>
      </c>
      <c r="H16424" s="243"/>
      <c r="I16424" s="263" t="s">
        <v>348</v>
      </c>
      <c r="J16424" s="244" t="s">
        <v>63</v>
      </c>
      <c r="K16424" s="245"/>
      <c r="L16424" s="245">
        <f>K16423</f>
        <v>1177.3940345368917</v>
      </c>
    </row>
    <row r="16425" spans="1:14" x14ac:dyDescent="0.2">
      <c r="A16425" s="246">
        <v>2025</v>
      </c>
      <c r="B16425" s="238">
        <v>12</v>
      </c>
      <c r="C16425" s="238">
        <v>21</v>
      </c>
      <c r="D16425" s="270">
        <f t="shared" si="2644"/>
        <v>46012</v>
      </c>
      <c r="E16425" s="279">
        <f t="shared" si="2645"/>
        <v>46012</v>
      </c>
      <c r="F16425" s="482" t="s">
        <v>137</v>
      </c>
      <c r="G16425" s="247" t="s">
        <v>94</v>
      </c>
      <c r="H16425" s="247"/>
      <c r="I16425" s="248" t="s">
        <v>348</v>
      </c>
      <c r="J16425" s="249" t="s">
        <v>97</v>
      </c>
      <c r="K16425" s="250">
        <f>M16425</f>
        <v>37904.900718126097</v>
      </c>
      <c r="L16425" s="252"/>
      <c r="M16425" s="170">
        <v>37904.900718126097</v>
      </c>
    </row>
    <row r="16426" spans="1:14" x14ac:dyDescent="0.2">
      <c r="A16426" s="242">
        <v>2025</v>
      </c>
      <c r="B16426" s="242">
        <v>12</v>
      </c>
      <c r="C16426" s="242">
        <v>21</v>
      </c>
      <c r="D16426" s="270">
        <f t="shared" si="2644"/>
        <v>46012</v>
      </c>
      <c r="E16426" s="279">
        <f t="shared" si="2645"/>
        <v>46012</v>
      </c>
      <c r="F16426" s="478"/>
      <c r="G16426" s="243" t="s">
        <v>94</v>
      </c>
      <c r="H16426" s="243"/>
      <c r="I16426" s="263" t="s">
        <v>348</v>
      </c>
      <c r="J16426" s="244" t="s">
        <v>47</v>
      </c>
      <c r="K16426" s="245"/>
      <c r="L16426" s="245">
        <f>K16425</f>
        <v>37904.900718126097</v>
      </c>
      <c r="M16426" s="170">
        <v>1792.2230578843269</v>
      </c>
    </row>
    <row r="16427" spans="1:14" x14ac:dyDescent="0.2">
      <c r="A16427" s="246">
        <v>2025</v>
      </c>
      <c r="B16427" s="238">
        <v>12</v>
      </c>
      <c r="C16427" s="238">
        <v>21</v>
      </c>
      <c r="D16427" s="270">
        <f t="shared" si="2644"/>
        <v>46012</v>
      </c>
      <c r="E16427" s="279">
        <f t="shared" si="2645"/>
        <v>46012</v>
      </c>
      <c r="F16427" s="482" t="s">
        <v>138</v>
      </c>
      <c r="G16427" s="247" t="s">
        <v>94</v>
      </c>
      <c r="H16427" s="247"/>
      <c r="I16427" s="248" t="s">
        <v>348</v>
      </c>
      <c r="J16427" s="249" t="s">
        <v>100</v>
      </c>
      <c r="K16427" s="250">
        <f>M16426</f>
        <v>1792.2230578843269</v>
      </c>
      <c r="L16427" s="252"/>
    </row>
    <row r="16428" spans="1:14" x14ac:dyDescent="0.2">
      <c r="A16428" s="242">
        <v>2025</v>
      </c>
      <c r="B16428" s="242">
        <v>12</v>
      </c>
      <c r="C16428" s="242">
        <v>21</v>
      </c>
      <c r="D16428" s="321">
        <f t="shared" si="2644"/>
        <v>46012</v>
      </c>
      <c r="E16428" s="322">
        <f t="shared" si="2645"/>
        <v>46012</v>
      </c>
      <c r="F16428" s="478"/>
      <c r="G16428" s="243" t="s">
        <v>94</v>
      </c>
      <c r="H16428" s="243"/>
      <c r="I16428" s="263" t="s">
        <v>348</v>
      </c>
      <c r="J16428" s="244" t="s">
        <v>48</v>
      </c>
      <c r="K16428" s="245"/>
      <c r="L16428" s="245">
        <f>K16427</f>
        <v>1792.2230578843269</v>
      </c>
    </row>
    <row r="16429" spans="1:14" x14ac:dyDescent="0.2">
      <c r="A16429" s="168">
        <v>2025</v>
      </c>
      <c r="B16429" s="133">
        <v>12</v>
      </c>
      <c r="C16429" s="168">
        <v>22</v>
      </c>
      <c r="D16429" s="141">
        <f t="shared" si="2644"/>
        <v>46013</v>
      </c>
      <c r="E16429" s="275">
        <f t="shared" si="2645"/>
        <v>46013</v>
      </c>
      <c r="F16429" s="481" t="s">
        <v>2141</v>
      </c>
      <c r="G16429" s="174" t="s">
        <v>94</v>
      </c>
      <c r="H16429" s="174"/>
      <c r="I16429" s="148" t="s">
        <v>348</v>
      </c>
      <c r="J16429" s="149" t="s">
        <v>52</v>
      </c>
      <c r="K16429" s="218">
        <v>335600</v>
      </c>
      <c r="L16429" s="218"/>
    </row>
    <row r="16430" spans="1:14" x14ac:dyDescent="0.2">
      <c r="A16430" s="163">
        <v>2025</v>
      </c>
      <c r="B16430" s="163">
        <v>12</v>
      </c>
      <c r="C16430" s="163">
        <v>22</v>
      </c>
      <c r="D16430" s="141">
        <f t="shared" si="2644"/>
        <v>46013</v>
      </c>
      <c r="E16430" s="275">
        <f t="shared" si="2645"/>
        <v>46013</v>
      </c>
      <c r="F16430" s="480"/>
      <c r="G16430" s="221" t="s">
        <v>94</v>
      </c>
      <c r="H16430" s="221"/>
      <c r="I16430" s="145" t="s">
        <v>348</v>
      </c>
      <c r="J16430" s="146" t="s">
        <v>168</v>
      </c>
      <c r="K16430" s="219"/>
      <c r="L16430" s="219">
        <f>K16429</f>
        <v>335600</v>
      </c>
    </row>
    <row r="16431" spans="1:14" ht="11.25" customHeight="1" x14ac:dyDescent="0.2">
      <c r="A16431" s="168">
        <v>2025</v>
      </c>
      <c r="B16431" s="133">
        <v>12</v>
      </c>
      <c r="C16431" s="168">
        <v>22</v>
      </c>
      <c r="D16431" s="141">
        <f t="shared" si="2644"/>
        <v>46013</v>
      </c>
      <c r="E16431" s="275">
        <f t="shared" si="2645"/>
        <v>46013</v>
      </c>
      <c r="F16431" s="479" t="s">
        <v>2116</v>
      </c>
      <c r="G16431" s="220" t="s">
        <v>74</v>
      </c>
      <c r="H16431" s="220"/>
      <c r="I16431" s="142"/>
      <c r="J16431" s="143" t="s">
        <v>147</v>
      </c>
      <c r="K16431" s="226">
        <v>789981.35</v>
      </c>
      <c r="L16431" s="226"/>
    </row>
    <row r="16432" spans="1:14" x14ac:dyDescent="0.2">
      <c r="A16432" s="163">
        <v>2025</v>
      </c>
      <c r="B16432" s="163">
        <v>12</v>
      </c>
      <c r="C16432" s="163">
        <v>22</v>
      </c>
      <c r="D16432" s="280">
        <f t="shared" si="2644"/>
        <v>46013</v>
      </c>
      <c r="E16432" s="281">
        <f t="shared" si="2645"/>
        <v>46013</v>
      </c>
      <c r="F16432" s="480"/>
      <c r="G16432" s="221" t="s">
        <v>74</v>
      </c>
      <c r="H16432" s="221"/>
      <c r="I16432" s="145"/>
      <c r="J16432" s="146" t="s">
        <v>52</v>
      </c>
      <c r="K16432" s="219"/>
      <c r="L16432" s="219">
        <f>K16431</f>
        <v>789981.35</v>
      </c>
      <c r="N16432" s="264"/>
    </row>
    <row r="16433" spans="1:14" ht="11.25" customHeight="1" x14ac:dyDescent="0.2">
      <c r="A16433" s="168">
        <v>2025</v>
      </c>
      <c r="B16433" s="133">
        <v>12</v>
      </c>
      <c r="C16433" s="168">
        <v>22</v>
      </c>
      <c r="D16433" s="141">
        <f t="shared" ref="D16433:D16471" si="2646">DATE(A16433,B16433,C16433)</f>
        <v>46013</v>
      </c>
      <c r="E16433" s="275">
        <f t="shared" ref="E16433:E16471" si="2647">DATE(A16433,B16433,C16433)</f>
        <v>46013</v>
      </c>
      <c r="F16433" s="479" t="s">
        <v>2116</v>
      </c>
      <c r="G16433" s="220" t="s">
        <v>74</v>
      </c>
      <c r="H16433" s="220"/>
      <c r="I16433" s="142"/>
      <c r="J16433" s="143" t="s">
        <v>147</v>
      </c>
      <c r="K16433" s="226">
        <v>1094689.81</v>
      </c>
      <c r="L16433" s="226"/>
    </row>
    <row r="16434" spans="1:14" x14ac:dyDescent="0.2">
      <c r="A16434" s="163">
        <v>2025</v>
      </c>
      <c r="B16434" s="163">
        <v>12</v>
      </c>
      <c r="C16434" s="163">
        <v>22</v>
      </c>
      <c r="D16434" s="280">
        <f t="shared" si="2646"/>
        <v>46013</v>
      </c>
      <c r="E16434" s="281">
        <f t="shared" si="2647"/>
        <v>46013</v>
      </c>
      <c r="F16434" s="480"/>
      <c r="G16434" s="221" t="s">
        <v>74</v>
      </c>
      <c r="H16434" s="221"/>
      <c r="I16434" s="145"/>
      <c r="J16434" s="146" t="s">
        <v>52</v>
      </c>
      <c r="K16434" s="219"/>
      <c r="L16434" s="219">
        <f>K16433</f>
        <v>1094689.81</v>
      </c>
      <c r="N16434" s="264"/>
    </row>
    <row r="16435" spans="1:14" x14ac:dyDescent="0.2">
      <c r="A16435" s="168">
        <v>2025</v>
      </c>
      <c r="B16435" s="133">
        <v>12</v>
      </c>
      <c r="C16435" s="168">
        <v>22</v>
      </c>
      <c r="D16435" s="147">
        <f t="shared" si="2646"/>
        <v>46013</v>
      </c>
      <c r="E16435" s="311">
        <f t="shared" si="2647"/>
        <v>46013</v>
      </c>
      <c r="F16435" s="481" t="s">
        <v>1943</v>
      </c>
      <c r="G16435" s="174" t="s">
        <v>74</v>
      </c>
      <c r="I16435" s="148" t="s">
        <v>348</v>
      </c>
      <c r="J16435" s="133" t="s">
        <v>61</v>
      </c>
      <c r="K16435" s="172">
        <v>100</v>
      </c>
    </row>
    <row r="16436" spans="1:14" x14ac:dyDescent="0.2">
      <c r="A16436" s="163">
        <v>2025</v>
      </c>
      <c r="B16436" s="163">
        <v>12</v>
      </c>
      <c r="C16436" s="163">
        <v>22</v>
      </c>
      <c r="D16436" s="280">
        <f t="shared" si="2646"/>
        <v>46013</v>
      </c>
      <c r="E16436" s="281">
        <f t="shared" si="2647"/>
        <v>46013</v>
      </c>
      <c r="F16436" s="480"/>
      <c r="G16436" s="221" t="s">
        <v>74</v>
      </c>
      <c r="H16436" s="145"/>
      <c r="I16436" s="145" t="s">
        <v>348</v>
      </c>
      <c r="J16436" s="163" t="s">
        <v>52</v>
      </c>
      <c r="K16436" s="219"/>
      <c r="L16436" s="219">
        <f>K16435</f>
        <v>100</v>
      </c>
    </row>
    <row r="16437" spans="1:14" x14ac:dyDescent="0.2">
      <c r="A16437" s="133">
        <v>2025</v>
      </c>
      <c r="B16437" s="133">
        <v>12</v>
      </c>
      <c r="C16437" s="168">
        <v>22</v>
      </c>
      <c r="D16437" s="141">
        <f t="shared" si="2646"/>
        <v>46013</v>
      </c>
      <c r="E16437" s="275">
        <f t="shared" si="2647"/>
        <v>46013</v>
      </c>
      <c r="F16437" s="481" t="s">
        <v>2115</v>
      </c>
      <c r="G16437" s="174" t="s">
        <v>94</v>
      </c>
      <c r="H16437" s="174"/>
      <c r="J16437" s="149" t="s">
        <v>79</v>
      </c>
      <c r="K16437" s="218">
        <v>2367923.2999999998</v>
      </c>
      <c r="L16437" s="218"/>
      <c r="M16437" s="160"/>
    </row>
    <row r="16438" spans="1:14" x14ac:dyDescent="0.2">
      <c r="A16438" s="133">
        <v>2025</v>
      </c>
      <c r="B16438" s="133">
        <v>12</v>
      </c>
      <c r="C16438" s="133">
        <v>22</v>
      </c>
      <c r="D16438" s="141">
        <f t="shared" si="2646"/>
        <v>46013</v>
      </c>
      <c r="E16438" s="275">
        <f t="shared" si="2647"/>
        <v>46013</v>
      </c>
      <c r="F16438" s="481"/>
      <c r="G16438" s="174" t="s">
        <v>94</v>
      </c>
      <c r="H16438" s="174"/>
      <c r="J16438" s="149" t="s">
        <v>80</v>
      </c>
      <c r="K16438" s="218">
        <v>7008.25</v>
      </c>
      <c r="L16438" s="264"/>
      <c r="M16438" s="264"/>
      <c r="N16438" s="264"/>
    </row>
    <row r="16439" spans="1:14" x14ac:dyDescent="0.2">
      <c r="A16439" s="133">
        <v>2025</v>
      </c>
      <c r="B16439" s="133">
        <v>12</v>
      </c>
      <c r="C16439" s="133">
        <v>22</v>
      </c>
      <c r="D16439" s="141">
        <f t="shared" si="2646"/>
        <v>46013</v>
      </c>
      <c r="E16439" s="275">
        <f t="shared" si="2647"/>
        <v>46013</v>
      </c>
      <c r="F16439" s="481"/>
      <c r="G16439" s="174" t="s">
        <v>94</v>
      </c>
      <c r="H16439" s="174"/>
      <c r="J16439" s="149" t="s">
        <v>147</v>
      </c>
      <c r="K16439" s="218"/>
      <c r="L16439" s="218">
        <v>849384.85</v>
      </c>
      <c r="M16439" s="264"/>
    </row>
    <row r="16440" spans="1:14" x14ac:dyDescent="0.2">
      <c r="A16440" s="133">
        <v>2025</v>
      </c>
      <c r="B16440" s="133">
        <v>12</v>
      </c>
      <c r="C16440" s="133">
        <v>22</v>
      </c>
      <c r="D16440" s="141">
        <f t="shared" si="2646"/>
        <v>46013</v>
      </c>
      <c r="E16440" s="275">
        <f t="shared" si="2647"/>
        <v>46013</v>
      </c>
      <c r="F16440" s="481"/>
      <c r="G16440" s="174" t="s">
        <v>94</v>
      </c>
      <c r="H16440" s="174"/>
      <c r="J16440" s="149" t="s">
        <v>191</v>
      </c>
      <c r="K16440" s="218">
        <v>52049.75</v>
      </c>
      <c r="L16440" s="218"/>
    </row>
    <row r="16441" spans="1:14" x14ac:dyDescent="0.2">
      <c r="A16441" s="163">
        <v>2025</v>
      </c>
      <c r="B16441" s="163">
        <v>12</v>
      </c>
      <c r="C16441" s="163">
        <v>22</v>
      </c>
      <c r="D16441" s="280">
        <f t="shared" si="2646"/>
        <v>46013</v>
      </c>
      <c r="E16441" s="281">
        <f t="shared" si="2647"/>
        <v>46013</v>
      </c>
      <c r="F16441" s="480"/>
      <c r="G16441" s="221" t="s">
        <v>94</v>
      </c>
      <c r="H16441" s="145"/>
      <c r="I16441" s="145"/>
      <c r="J16441" s="163" t="s">
        <v>79</v>
      </c>
      <c r="K16441" s="219"/>
      <c r="L16441" s="219">
        <v>1577596.45</v>
      </c>
      <c r="M16441" s="264"/>
    </row>
    <row r="16442" spans="1:14" x14ac:dyDescent="0.2">
      <c r="A16442" s="168">
        <v>2025</v>
      </c>
      <c r="B16442" s="168">
        <v>12</v>
      </c>
      <c r="C16442" s="133">
        <v>22</v>
      </c>
      <c r="D16442" s="141">
        <f t="shared" si="2646"/>
        <v>46013</v>
      </c>
      <c r="E16442" s="275">
        <f t="shared" si="2647"/>
        <v>46013</v>
      </c>
      <c r="F16442" s="481" t="s">
        <v>982</v>
      </c>
      <c r="G16442" s="174" t="s">
        <v>74</v>
      </c>
      <c r="H16442" s="174"/>
      <c r="I16442" s="148" t="s">
        <v>348</v>
      </c>
      <c r="J16442" s="149" t="s">
        <v>163</v>
      </c>
      <c r="K16442" s="218">
        <v>5750</v>
      </c>
      <c r="L16442" s="218"/>
      <c r="M16442" s="160"/>
    </row>
    <row r="16443" spans="1:14" x14ac:dyDescent="0.2">
      <c r="A16443" s="133">
        <v>2025</v>
      </c>
      <c r="B16443" s="133">
        <v>12</v>
      </c>
      <c r="C16443" s="133">
        <v>22</v>
      </c>
      <c r="D16443" s="141">
        <f t="shared" si="2646"/>
        <v>46013</v>
      </c>
      <c r="E16443" s="275">
        <f t="shared" si="2647"/>
        <v>46013</v>
      </c>
      <c r="F16443" s="481"/>
      <c r="G16443" s="174" t="s">
        <v>74</v>
      </c>
      <c r="H16443" s="174"/>
      <c r="J16443" s="149" t="s">
        <v>1906</v>
      </c>
      <c r="K16443" s="218"/>
      <c r="L16443" s="218">
        <v>250</v>
      </c>
      <c r="M16443" s="160"/>
    </row>
    <row r="16444" spans="1:14" x14ac:dyDescent="0.2">
      <c r="A16444" s="163">
        <v>2025</v>
      </c>
      <c r="B16444" s="163">
        <v>12</v>
      </c>
      <c r="C16444" s="163">
        <v>22</v>
      </c>
      <c r="D16444" s="280">
        <f t="shared" si="2646"/>
        <v>46013</v>
      </c>
      <c r="E16444" s="281">
        <f t="shared" si="2647"/>
        <v>46013</v>
      </c>
      <c r="F16444" s="480"/>
      <c r="G16444" s="221" t="s">
        <v>74</v>
      </c>
      <c r="H16444" s="221"/>
      <c r="I16444" s="145"/>
      <c r="J16444" s="146" t="s">
        <v>52</v>
      </c>
      <c r="K16444" s="219"/>
      <c r="L16444" s="219">
        <v>5500</v>
      </c>
    </row>
    <row r="16445" spans="1:14" x14ac:dyDescent="0.2">
      <c r="A16445" s="168">
        <v>2025</v>
      </c>
      <c r="B16445" s="168">
        <v>12</v>
      </c>
      <c r="C16445" s="133">
        <v>22</v>
      </c>
      <c r="D16445" s="141">
        <f t="shared" ref="D16445:D16447" si="2648">DATE(A16445,B16445,C16445)</f>
        <v>46013</v>
      </c>
      <c r="E16445" s="275">
        <f t="shared" ref="E16445:E16447" si="2649">DATE(A16445,B16445,C16445)</f>
        <v>46013</v>
      </c>
      <c r="F16445" s="481" t="s">
        <v>982</v>
      </c>
      <c r="G16445" s="174" t="s">
        <v>74</v>
      </c>
      <c r="H16445" s="174"/>
      <c r="I16445" s="148" t="s">
        <v>348</v>
      </c>
      <c r="J16445" s="149" t="s">
        <v>163</v>
      </c>
      <c r="K16445" s="218">
        <v>5750</v>
      </c>
      <c r="L16445" s="218"/>
      <c r="M16445" s="160"/>
    </row>
    <row r="16446" spans="1:14" x14ac:dyDescent="0.2">
      <c r="A16446" s="133">
        <v>2025</v>
      </c>
      <c r="B16446" s="133">
        <v>12</v>
      </c>
      <c r="C16446" s="133">
        <v>22</v>
      </c>
      <c r="D16446" s="141">
        <f t="shared" si="2648"/>
        <v>46013</v>
      </c>
      <c r="E16446" s="275">
        <f t="shared" si="2649"/>
        <v>46013</v>
      </c>
      <c r="F16446" s="481"/>
      <c r="G16446" s="174" t="s">
        <v>74</v>
      </c>
      <c r="H16446" s="174"/>
      <c r="J16446" s="149" t="s">
        <v>1906</v>
      </c>
      <c r="K16446" s="218"/>
      <c r="L16446" s="218">
        <v>250</v>
      </c>
      <c r="M16446" s="160"/>
    </row>
    <row r="16447" spans="1:14" x14ac:dyDescent="0.2">
      <c r="A16447" s="163">
        <v>2025</v>
      </c>
      <c r="B16447" s="163">
        <v>12</v>
      </c>
      <c r="C16447" s="163">
        <v>22</v>
      </c>
      <c r="D16447" s="280">
        <f t="shared" si="2648"/>
        <v>46013</v>
      </c>
      <c r="E16447" s="281">
        <f t="shared" si="2649"/>
        <v>46013</v>
      </c>
      <c r="F16447" s="480"/>
      <c r="G16447" s="221" t="s">
        <v>74</v>
      </c>
      <c r="H16447" s="221"/>
      <c r="I16447" s="145"/>
      <c r="J16447" s="146" t="s">
        <v>52</v>
      </c>
      <c r="K16447" s="219"/>
      <c r="L16447" s="219">
        <v>5500</v>
      </c>
    </row>
    <row r="16448" spans="1:14" x14ac:dyDescent="0.2">
      <c r="A16448" s="133">
        <v>2025</v>
      </c>
      <c r="B16448" s="168">
        <v>12</v>
      </c>
      <c r="C16448" s="133">
        <v>22</v>
      </c>
      <c r="D16448" s="141">
        <f>DATE(A16448,B16448,C16448)</f>
        <v>46013</v>
      </c>
      <c r="E16448" s="275">
        <f>DATE(A16448,B16448,C16448)</f>
        <v>46013</v>
      </c>
      <c r="F16448" s="479" t="s">
        <v>2142</v>
      </c>
      <c r="G16448" s="220" t="s">
        <v>74</v>
      </c>
      <c r="H16448" s="142"/>
      <c r="I16448" s="142"/>
      <c r="J16448" s="168" t="s">
        <v>48</v>
      </c>
      <c r="K16448" s="226">
        <v>68936.606648806643</v>
      </c>
      <c r="L16448" s="226"/>
    </row>
    <row r="16449" spans="1:13" x14ac:dyDescent="0.2">
      <c r="A16449" s="133">
        <v>2025</v>
      </c>
      <c r="B16449" s="133">
        <v>12</v>
      </c>
      <c r="C16449" s="133">
        <v>22</v>
      </c>
      <c r="D16449" s="141">
        <f>DATE(A16449,B16449,C16449)</f>
        <v>46013</v>
      </c>
      <c r="E16449" s="275">
        <f>DATE(A16449,B16449,C16449)</f>
        <v>46013</v>
      </c>
      <c r="F16449" s="481"/>
      <c r="G16449" s="174" t="s">
        <v>74</v>
      </c>
      <c r="J16449" s="133" t="s">
        <v>534</v>
      </c>
      <c r="K16449" s="218"/>
      <c r="L16449" s="218">
        <v>6893.6606648806646</v>
      </c>
    </row>
    <row r="16450" spans="1:13" x14ac:dyDescent="0.2">
      <c r="A16450" s="163">
        <v>2025</v>
      </c>
      <c r="B16450" s="163">
        <v>12</v>
      </c>
      <c r="C16450" s="163">
        <v>22</v>
      </c>
      <c r="D16450" s="280">
        <f>DATE(A16450,B16450,C16450)</f>
        <v>46013</v>
      </c>
      <c r="E16450" s="281">
        <f>DATE(A16450,B16450,C16450)</f>
        <v>46013</v>
      </c>
      <c r="F16450" s="480"/>
      <c r="G16450" s="221" t="s">
        <v>74</v>
      </c>
      <c r="H16450" s="145"/>
      <c r="I16450" s="145"/>
      <c r="J16450" s="163" t="s">
        <v>52</v>
      </c>
      <c r="K16450" s="219"/>
      <c r="L16450" s="219">
        <v>62042.94598392598</v>
      </c>
    </row>
    <row r="16451" spans="1:13" x14ac:dyDescent="0.2">
      <c r="A16451" s="325">
        <v>2025</v>
      </c>
      <c r="B16451" s="325">
        <v>12</v>
      </c>
      <c r="C16451" s="325">
        <v>22</v>
      </c>
      <c r="D16451" s="326">
        <f t="shared" si="2646"/>
        <v>46013</v>
      </c>
      <c r="E16451" s="327">
        <f t="shared" si="2647"/>
        <v>46013</v>
      </c>
      <c r="F16451" s="473" t="s">
        <v>1940</v>
      </c>
      <c r="G16451" s="340" t="s">
        <v>94</v>
      </c>
      <c r="H16451" s="340"/>
      <c r="I16451" s="341" t="s">
        <v>348</v>
      </c>
      <c r="J16451" s="374" t="s">
        <v>133</v>
      </c>
      <c r="K16451" s="375">
        <v>1843.6514285714286</v>
      </c>
      <c r="L16451" s="375"/>
      <c r="M16451" s="176"/>
    </row>
    <row r="16452" spans="1:13" x14ac:dyDescent="0.2">
      <c r="A16452" s="331">
        <v>2025</v>
      </c>
      <c r="B16452" s="331">
        <v>12</v>
      </c>
      <c r="C16452" s="331">
        <v>22</v>
      </c>
      <c r="D16452" s="326">
        <f t="shared" si="2646"/>
        <v>46013</v>
      </c>
      <c r="E16452" s="327">
        <f t="shared" si="2647"/>
        <v>46013</v>
      </c>
      <c r="F16452" s="474"/>
      <c r="G16452" s="332" t="s">
        <v>94</v>
      </c>
      <c r="H16452" s="332"/>
      <c r="I16452" s="333" t="s">
        <v>348</v>
      </c>
      <c r="J16452" s="376" t="s">
        <v>60</v>
      </c>
      <c r="K16452" s="334"/>
      <c r="L16452" s="334">
        <f>K16451</f>
        <v>1843.6514285714286</v>
      </c>
    </row>
    <row r="16453" spans="1:13" x14ac:dyDescent="0.2">
      <c r="A16453" s="325">
        <v>2025</v>
      </c>
      <c r="B16453" s="325">
        <v>12</v>
      </c>
      <c r="C16453" s="325">
        <v>22</v>
      </c>
      <c r="D16453" s="326">
        <f t="shared" si="2646"/>
        <v>46013</v>
      </c>
      <c r="E16453" s="327">
        <f t="shared" si="2647"/>
        <v>46013</v>
      </c>
      <c r="F16453" s="473" t="s">
        <v>2131</v>
      </c>
      <c r="G16453" s="340" t="s">
        <v>94</v>
      </c>
      <c r="H16453" s="340"/>
      <c r="I16453" s="341" t="s">
        <v>348</v>
      </c>
      <c r="J16453" s="374" t="s">
        <v>2156</v>
      </c>
      <c r="K16453" s="375">
        <v>6185.4395604395604</v>
      </c>
      <c r="L16453" s="375"/>
      <c r="M16453" s="176"/>
    </row>
    <row r="16454" spans="1:13" x14ac:dyDescent="0.2">
      <c r="A16454" s="331">
        <v>2025</v>
      </c>
      <c r="B16454" s="331">
        <v>12</v>
      </c>
      <c r="C16454" s="331">
        <v>22</v>
      </c>
      <c r="D16454" s="326">
        <f t="shared" si="2646"/>
        <v>46013</v>
      </c>
      <c r="E16454" s="327">
        <f t="shared" si="2647"/>
        <v>46013</v>
      </c>
      <c r="F16454" s="474"/>
      <c r="G16454" s="332" t="s">
        <v>94</v>
      </c>
      <c r="H16454" s="332"/>
      <c r="I16454" s="333" t="s">
        <v>348</v>
      </c>
      <c r="J16454" s="376" t="s">
        <v>2154</v>
      </c>
      <c r="K16454" s="334"/>
      <c r="L16454" s="334">
        <f>K16453</f>
        <v>6185.4395604395604</v>
      </c>
    </row>
    <row r="16455" spans="1:13" x14ac:dyDescent="0.2">
      <c r="A16455" s="384">
        <v>2025</v>
      </c>
      <c r="B16455" s="384">
        <v>12</v>
      </c>
      <c r="C16455" s="384">
        <v>22</v>
      </c>
      <c r="D16455" s="385">
        <f t="shared" si="2646"/>
        <v>46013</v>
      </c>
      <c r="E16455" s="386">
        <f t="shared" si="2647"/>
        <v>46013</v>
      </c>
      <c r="F16455" s="475" t="s">
        <v>1966</v>
      </c>
      <c r="G16455" s="387" t="s">
        <v>94</v>
      </c>
      <c r="H16455" s="387"/>
      <c r="I16455" s="388" t="s">
        <v>348</v>
      </c>
      <c r="J16455" s="389" t="s">
        <v>67</v>
      </c>
      <c r="K16455" s="390">
        <v>131.90696222222221</v>
      </c>
      <c r="L16455" s="390"/>
    </row>
    <row r="16456" spans="1:13" x14ac:dyDescent="0.2">
      <c r="A16456" s="391">
        <v>2025</v>
      </c>
      <c r="B16456" s="391">
        <v>12</v>
      </c>
      <c r="C16456" s="391">
        <v>22</v>
      </c>
      <c r="D16456" s="385">
        <f t="shared" si="2646"/>
        <v>46013</v>
      </c>
      <c r="E16456" s="386">
        <f t="shared" si="2647"/>
        <v>46013</v>
      </c>
      <c r="F16456" s="476"/>
      <c r="G16456" s="392" t="s">
        <v>94</v>
      </c>
      <c r="H16456" s="392"/>
      <c r="I16456" s="393" t="s">
        <v>348</v>
      </c>
      <c r="J16456" s="394" t="s">
        <v>60</v>
      </c>
      <c r="K16456" s="395"/>
      <c r="L16456" s="395">
        <f>K16455</f>
        <v>131.90696222222221</v>
      </c>
    </row>
    <row r="16457" spans="1:13" x14ac:dyDescent="0.2">
      <c r="A16457" s="343">
        <v>2025</v>
      </c>
      <c r="B16457" s="343">
        <v>12</v>
      </c>
      <c r="C16457" s="343">
        <v>22</v>
      </c>
      <c r="D16457" s="344">
        <f t="shared" si="2646"/>
        <v>46013</v>
      </c>
      <c r="E16457" s="345">
        <f t="shared" si="2647"/>
        <v>46013</v>
      </c>
      <c r="F16457" s="483" t="s">
        <v>1813</v>
      </c>
      <c r="G16457" s="350" t="s">
        <v>94</v>
      </c>
      <c r="H16457" s="350"/>
      <c r="I16457" s="352" t="s">
        <v>348</v>
      </c>
      <c r="J16457" s="353" t="s">
        <v>1807</v>
      </c>
      <c r="K16457" s="354">
        <v>0</v>
      </c>
      <c r="L16457" s="354"/>
      <c r="M16457" s="133">
        <v>0</v>
      </c>
    </row>
    <row r="16458" spans="1:13" x14ac:dyDescent="0.2">
      <c r="A16458" s="346">
        <v>2025</v>
      </c>
      <c r="B16458" s="346">
        <v>12</v>
      </c>
      <c r="C16458" s="346">
        <v>22</v>
      </c>
      <c r="D16458" s="344">
        <f t="shared" si="2646"/>
        <v>46013</v>
      </c>
      <c r="E16458" s="345">
        <f t="shared" si="2647"/>
        <v>46013</v>
      </c>
      <c r="F16458" s="484"/>
      <c r="G16458" s="347" t="s">
        <v>94</v>
      </c>
      <c r="H16458" s="347"/>
      <c r="I16458" s="348" t="s">
        <v>348</v>
      </c>
      <c r="J16458" s="355" t="s">
        <v>1798</v>
      </c>
      <c r="K16458" s="349"/>
      <c r="L16458" s="349">
        <v>0</v>
      </c>
    </row>
    <row r="16459" spans="1:13" x14ac:dyDescent="0.2">
      <c r="A16459" s="343">
        <v>2025</v>
      </c>
      <c r="B16459" s="343">
        <v>12</v>
      </c>
      <c r="C16459" s="343">
        <v>22</v>
      </c>
      <c r="D16459" s="344">
        <f t="shared" si="2646"/>
        <v>46013</v>
      </c>
      <c r="E16459" s="345">
        <f t="shared" si="2647"/>
        <v>46013</v>
      </c>
      <c r="F16459" s="483" t="s">
        <v>1913</v>
      </c>
      <c r="G16459" s="350" t="s">
        <v>94</v>
      </c>
      <c r="H16459" s="350"/>
      <c r="I16459" s="352" t="s">
        <v>348</v>
      </c>
      <c r="J16459" s="353" t="s">
        <v>1808</v>
      </c>
      <c r="K16459" s="354"/>
      <c r="L16459" s="354"/>
      <c r="M16459" s="160">
        <v>0</v>
      </c>
    </row>
    <row r="16460" spans="1:13" x14ac:dyDescent="0.2">
      <c r="A16460" s="346">
        <v>2025</v>
      </c>
      <c r="B16460" s="346">
        <v>12</v>
      </c>
      <c r="C16460" s="346">
        <v>22</v>
      </c>
      <c r="D16460" s="344">
        <f t="shared" si="2646"/>
        <v>46013</v>
      </c>
      <c r="E16460" s="345">
        <f t="shared" si="2647"/>
        <v>46013</v>
      </c>
      <c r="F16460" s="484"/>
      <c r="G16460" s="347" t="s">
        <v>94</v>
      </c>
      <c r="H16460" s="347"/>
      <c r="I16460" s="348" t="s">
        <v>348</v>
      </c>
      <c r="J16460" s="355" t="s">
        <v>1799</v>
      </c>
      <c r="K16460" s="349"/>
      <c r="L16460" s="349">
        <f>K16459</f>
        <v>0</v>
      </c>
    </row>
    <row r="16461" spans="1:13" x14ac:dyDescent="0.2">
      <c r="A16461" s="238">
        <v>2025</v>
      </c>
      <c r="B16461" s="238">
        <v>12</v>
      </c>
      <c r="C16461" s="238">
        <v>22</v>
      </c>
      <c r="D16461" s="270">
        <f t="shared" si="2646"/>
        <v>46013</v>
      </c>
      <c r="E16461" s="279">
        <f t="shared" si="2647"/>
        <v>46013</v>
      </c>
      <c r="F16461" s="477" t="s">
        <v>347</v>
      </c>
      <c r="G16461" s="239" t="s">
        <v>94</v>
      </c>
      <c r="H16461" s="239"/>
      <c r="I16461" s="262" t="s">
        <v>348</v>
      </c>
      <c r="J16461" s="240" t="s">
        <v>108</v>
      </c>
      <c r="K16461" s="241">
        <v>1206889.75</v>
      </c>
      <c r="L16461" s="241"/>
      <c r="M16461" s="160">
        <v>13139541.900000483</v>
      </c>
    </row>
    <row r="16462" spans="1:13" x14ac:dyDescent="0.2">
      <c r="A16462" s="242">
        <v>2025</v>
      </c>
      <c r="B16462" s="242">
        <v>12</v>
      </c>
      <c r="C16462" s="242">
        <v>22</v>
      </c>
      <c r="D16462" s="270">
        <f t="shared" si="2646"/>
        <v>46013</v>
      </c>
      <c r="E16462" s="279">
        <f t="shared" si="2647"/>
        <v>46013</v>
      </c>
      <c r="F16462" s="478"/>
      <c r="G16462" s="243" t="s">
        <v>94</v>
      </c>
      <c r="H16462" s="243"/>
      <c r="I16462" s="263" t="s">
        <v>348</v>
      </c>
      <c r="J16462" s="244" t="s">
        <v>82</v>
      </c>
      <c r="K16462" s="245"/>
      <c r="L16462" s="245">
        <f>K16461</f>
        <v>1206889.75</v>
      </c>
    </row>
    <row r="16463" spans="1:13" ht="12" customHeight="1" x14ac:dyDescent="0.2">
      <c r="A16463" s="246">
        <v>2025</v>
      </c>
      <c r="B16463" s="238">
        <v>12</v>
      </c>
      <c r="C16463" s="238">
        <v>22</v>
      </c>
      <c r="D16463" s="270">
        <f t="shared" si="2646"/>
        <v>46013</v>
      </c>
      <c r="E16463" s="279">
        <f t="shared" si="2647"/>
        <v>46013</v>
      </c>
      <c r="F16463" s="482" t="s">
        <v>148</v>
      </c>
      <c r="G16463" s="247" t="s">
        <v>94</v>
      </c>
      <c r="H16463" s="247"/>
      <c r="I16463" s="248" t="s">
        <v>348</v>
      </c>
      <c r="J16463" s="249" t="s">
        <v>95</v>
      </c>
      <c r="K16463" s="250">
        <v>392.46467817896388</v>
      </c>
      <c r="L16463" s="241"/>
      <c r="M16463" s="176"/>
    </row>
    <row r="16464" spans="1:13" x14ac:dyDescent="0.2">
      <c r="A16464" s="242">
        <v>2025</v>
      </c>
      <c r="B16464" s="242">
        <v>12</v>
      </c>
      <c r="C16464" s="242">
        <v>22</v>
      </c>
      <c r="D16464" s="270">
        <f t="shared" si="2646"/>
        <v>46013</v>
      </c>
      <c r="E16464" s="279">
        <f t="shared" si="2647"/>
        <v>46013</v>
      </c>
      <c r="F16464" s="478"/>
      <c r="G16464" s="243" t="s">
        <v>94</v>
      </c>
      <c r="H16464" s="243"/>
      <c r="I16464" s="263" t="s">
        <v>348</v>
      </c>
      <c r="J16464" s="244" t="s">
        <v>63</v>
      </c>
      <c r="K16464" s="245"/>
      <c r="L16464" s="245">
        <f>K16463</f>
        <v>392.46467817896388</v>
      </c>
    </row>
    <row r="16465" spans="1:14" x14ac:dyDescent="0.2">
      <c r="A16465" s="246">
        <v>2025</v>
      </c>
      <c r="B16465" s="238">
        <v>12</v>
      </c>
      <c r="C16465" s="238">
        <v>22</v>
      </c>
      <c r="D16465" s="270">
        <f t="shared" si="2646"/>
        <v>46013</v>
      </c>
      <c r="E16465" s="279">
        <f t="shared" si="2647"/>
        <v>46013</v>
      </c>
      <c r="F16465" s="482" t="s">
        <v>137</v>
      </c>
      <c r="G16465" s="247" t="s">
        <v>94</v>
      </c>
      <c r="H16465" s="247"/>
      <c r="I16465" s="248" t="s">
        <v>348</v>
      </c>
      <c r="J16465" s="249" t="s">
        <v>97</v>
      </c>
      <c r="K16465" s="250">
        <f>M16465</f>
        <v>12563.017656563852</v>
      </c>
      <c r="L16465" s="252"/>
      <c r="M16465" s="170">
        <v>12563.017656563852</v>
      </c>
    </row>
    <row r="16466" spans="1:14" x14ac:dyDescent="0.2">
      <c r="A16466" s="242">
        <v>2025</v>
      </c>
      <c r="B16466" s="242">
        <v>12</v>
      </c>
      <c r="C16466" s="242">
        <v>22</v>
      </c>
      <c r="D16466" s="270">
        <f t="shared" si="2646"/>
        <v>46013</v>
      </c>
      <c r="E16466" s="279">
        <f t="shared" si="2647"/>
        <v>46013</v>
      </c>
      <c r="F16466" s="478"/>
      <c r="G16466" s="243" t="s">
        <v>94</v>
      </c>
      <c r="H16466" s="243"/>
      <c r="I16466" s="263" t="s">
        <v>348</v>
      </c>
      <c r="J16466" s="244" t="s">
        <v>47</v>
      </c>
      <c r="K16466" s="245"/>
      <c r="L16466" s="245">
        <f>K16465</f>
        <v>12563.017656563852</v>
      </c>
      <c r="M16466" s="170">
        <v>593.81022348753322</v>
      </c>
    </row>
    <row r="16467" spans="1:14" x14ac:dyDescent="0.2">
      <c r="A16467" s="246">
        <v>2025</v>
      </c>
      <c r="B16467" s="238">
        <v>12</v>
      </c>
      <c r="C16467" s="238">
        <v>22</v>
      </c>
      <c r="D16467" s="270">
        <f t="shared" si="2646"/>
        <v>46013</v>
      </c>
      <c r="E16467" s="279">
        <f t="shared" si="2647"/>
        <v>46013</v>
      </c>
      <c r="F16467" s="482" t="s">
        <v>138</v>
      </c>
      <c r="G16467" s="247" t="s">
        <v>94</v>
      </c>
      <c r="H16467" s="247"/>
      <c r="I16467" s="248" t="s">
        <v>348</v>
      </c>
      <c r="J16467" s="249" t="s">
        <v>100</v>
      </c>
      <c r="K16467" s="250">
        <f>M16466</f>
        <v>593.81022348753322</v>
      </c>
      <c r="L16467" s="252"/>
    </row>
    <row r="16468" spans="1:14" x14ac:dyDescent="0.2">
      <c r="A16468" s="242">
        <v>2025</v>
      </c>
      <c r="B16468" s="242">
        <v>12</v>
      </c>
      <c r="C16468" s="242">
        <v>22</v>
      </c>
      <c r="D16468" s="321">
        <f t="shared" si="2646"/>
        <v>46013</v>
      </c>
      <c r="E16468" s="322">
        <f t="shared" si="2647"/>
        <v>46013</v>
      </c>
      <c r="F16468" s="478"/>
      <c r="G16468" s="243" t="s">
        <v>94</v>
      </c>
      <c r="H16468" s="243"/>
      <c r="I16468" s="263" t="s">
        <v>348</v>
      </c>
      <c r="J16468" s="244" t="s">
        <v>48</v>
      </c>
      <c r="K16468" s="245"/>
      <c r="L16468" s="245">
        <f>K16467</f>
        <v>593.81022348753322</v>
      </c>
    </row>
    <row r="16469" spans="1:14" x14ac:dyDescent="0.2">
      <c r="A16469" s="168">
        <v>2025</v>
      </c>
      <c r="B16469" s="168">
        <v>12</v>
      </c>
      <c r="C16469" s="133">
        <v>23</v>
      </c>
      <c r="D16469" s="141">
        <f t="shared" si="2646"/>
        <v>46014</v>
      </c>
      <c r="E16469" s="275">
        <f t="shared" si="2647"/>
        <v>46014</v>
      </c>
      <c r="F16469" s="479" t="s">
        <v>275</v>
      </c>
      <c r="G16469" s="174" t="s">
        <v>74</v>
      </c>
      <c r="H16469" s="174"/>
      <c r="I16469" s="148" t="s">
        <v>348</v>
      </c>
      <c r="J16469" s="149" t="s">
        <v>163</v>
      </c>
      <c r="K16469" s="218">
        <v>1575</v>
      </c>
      <c r="L16469" s="218"/>
    </row>
    <row r="16470" spans="1:14" x14ac:dyDescent="0.2">
      <c r="A16470" s="133">
        <v>2025</v>
      </c>
      <c r="B16470" s="133">
        <v>12</v>
      </c>
      <c r="C16470" s="133">
        <v>23</v>
      </c>
      <c r="D16470" s="141">
        <f t="shared" si="2646"/>
        <v>46014</v>
      </c>
      <c r="E16470" s="275">
        <f t="shared" si="2647"/>
        <v>46014</v>
      </c>
      <c r="F16470" s="481"/>
      <c r="G16470" s="174" t="s">
        <v>74</v>
      </c>
      <c r="H16470" s="174"/>
      <c r="J16470" s="149" t="s">
        <v>1907</v>
      </c>
      <c r="K16470" s="218"/>
      <c r="L16470" s="218">
        <v>75</v>
      </c>
    </row>
    <row r="16471" spans="1:14" x14ac:dyDescent="0.2">
      <c r="A16471" s="163">
        <v>2025</v>
      </c>
      <c r="B16471" s="163">
        <v>12</v>
      </c>
      <c r="C16471" s="163">
        <v>23</v>
      </c>
      <c r="D16471" s="280">
        <f t="shared" si="2646"/>
        <v>46014</v>
      </c>
      <c r="E16471" s="281">
        <f t="shared" si="2647"/>
        <v>46014</v>
      </c>
      <c r="F16471" s="480"/>
      <c r="G16471" s="221" t="s">
        <v>74</v>
      </c>
      <c r="H16471" s="221"/>
      <c r="I16471" s="145"/>
      <c r="J16471" s="146" t="s">
        <v>52</v>
      </c>
      <c r="K16471" s="219"/>
      <c r="L16471" s="219">
        <v>1500</v>
      </c>
    </row>
    <row r="16472" spans="1:14" x14ac:dyDescent="0.2">
      <c r="A16472" s="133">
        <v>2025</v>
      </c>
      <c r="B16472" s="133">
        <v>12</v>
      </c>
      <c r="C16472" s="168">
        <v>23</v>
      </c>
      <c r="D16472" s="141">
        <f t="shared" ref="D16472:D16476" si="2650">DATE(A16472,B16472,C16472)</f>
        <v>46014</v>
      </c>
      <c r="E16472" s="275">
        <f t="shared" ref="E16472:E16476" si="2651">DATE(A16472,B16472,C16472)</f>
        <v>46014</v>
      </c>
      <c r="F16472" s="481" t="s">
        <v>2115</v>
      </c>
      <c r="G16472" s="174" t="s">
        <v>94</v>
      </c>
      <c r="H16472" s="174"/>
      <c r="J16472" s="149" t="s">
        <v>79</v>
      </c>
      <c r="K16472" s="218">
        <v>2831458.9</v>
      </c>
      <c r="L16472" s="218"/>
      <c r="M16472" s="160"/>
    </row>
    <row r="16473" spans="1:14" x14ac:dyDescent="0.2">
      <c r="A16473" s="133">
        <v>2025</v>
      </c>
      <c r="B16473" s="133">
        <v>12</v>
      </c>
      <c r="C16473" s="133">
        <v>23</v>
      </c>
      <c r="D16473" s="141">
        <f t="shared" si="2650"/>
        <v>46014</v>
      </c>
      <c r="E16473" s="275">
        <f t="shared" si="2651"/>
        <v>46014</v>
      </c>
      <c r="F16473" s="481"/>
      <c r="G16473" s="174" t="s">
        <v>94</v>
      </c>
      <c r="H16473" s="174"/>
      <c r="J16473" s="149" t="s">
        <v>80</v>
      </c>
      <c r="K16473" s="218">
        <v>10694.24</v>
      </c>
      <c r="L16473" s="264"/>
      <c r="M16473" s="264"/>
      <c r="N16473" s="264"/>
    </row>
    <row r="16474" spans="1:14" x14ac:dyDescent="0.2">
      <c r="A16474" s="133">
        <v>2025</v>
      </c>
      <c r="B16474" s="133">
        <v>12</v>
      </c>
      <c r="C16474" s="133">
        <v>23</v>
      </c>
      <c r="D16474" s="141">
        <f t="shared" si="2650"/>
        <v>46014</v>
      </c>
      <c r="E16474" s="275">
        <f t="shared" si="2651"/>
        <v>46014</v>
      </c>
      <c r="F16474" s="481"/>
      <c r="G16474" s="174" t="s">
        <v>94</v>
      </c>
      <c r="H16474" s="174"/>
      <c r="J16474" s="149" t="s">
        <v>190</v>
      </c>
      <c r="K16474" s="218">
        <v>267634.86</v>
      </c>
      <c r="L16474" s="218"/>
      <c r="M16474" s="264"/>
    </row>
    <row r="16475" spans="1:14" x14ac:dyDescent="0.2">
      <c r="A16475" s="133">
        <v>2025</v>
      </c>
      <c r="B16475" s="133">
        <v>12</v>
      </c>
      <c r="C16475" s="133">
        <v>23</v>
      </c>
      <c r="D16475" s="141">
        <f t="shared" si="2650"/>
        <v>46014</v>
      </c>
      <c r="E16475" s="275">
        <f t="shared" si="2651"/>
        <v>46014</v>
      </c>
      <c r="F16475" s="481"/>
      <c r="G16475" s="174" t="s">
        <v>94</v>
      </c>
      <c r="H16475" s="174"/>
      <c r="J16475" s="149" t="s">
        <v>191</v>
      </c>
      <c r="K16475" s="218">
        <v>20917.22</v>
      </c>
      <c r="L16475" s="218"/>
    </row>
    <row r="16476" spans="1:14" x14ac:dyDescent="0.2">
      <c r="A16476" s="163">
        <v>2025</v>
      </c>
      <c r="B16476" s="163">
        <v>12</v>
      </c>
      <c r="C16476" s="163">
        <v>23</v>
      </c>
      <c r="D16476" s="280">
        <f t="shared" si="2650"/>
        <v>46014</v>
      </c>
      <c r="E16476" s="281">
        <f t="shared" si="2651"/>
        <v>46014</v>
      </c>
      <c r="F16476" s="480"/>
      <c r="G16476" s="221" t="s">
        <v>94</v>
      </c>
      <c r="H16476" s="145"/>
      <c r="I16476" s="145"/>
      <c r="J16476" s="163" t="s">
        <v>79</v>
      </c>
      <c r="K16476" s="219"/>
      <c r="L16476" s="219">
        <v>3130705.22</v>
      </c>
      <c r="M16476" s="264"/>
    </row>
    <row r="16477" spans="1:14" ht="11.25" customHeight="1" x14ac:dyDescent="0.2">
      <c r="A16477" s="168">
        <v>2025</v>
      </c>
      <c r="B16477" s="168">
        <v>12</v>
      </c>
      <c r="C16477" s="133">
        <v>23</v>
      </c>
      <c r="D16477" s="141">
        <f>DATE(A16477,B16477,C16477)</f>
        <v>46014</v>
      </c>
      <c r="E16477" s="275">
        <f>DATE(A16477,B16477,C16477)</f>
        <v>46014</v>
      </c>
      <c r="F16477" s="479" t="s">
        <v>964</v>
      </c>
      <c r="G16477" s="220" t="s">
        <v>74</v>
      </c>
      <c r="H16477" s="142"/>
      <c r="I16477" s="142"/>
      <c r="J16477" s="168" t="s">
        <v>52</v>
      </c>
      <c r="K16477" s="226">
        <v>31000</v>
      </c>
      <c r="L16477" s="226"/>
    </row>
    <row r="16478" spans="1:14" ht="11.25" customHeight="1" x14ac:dyDescent="0.2">
      <c r="A16478" s="133">
        <v>2025</v>
      </c>
      <c r="B16478" s="133">
        <v>12</v>
      </c>
      <c r="C16478" s="133">
        <v>23</v>
      </c>
      <c r="D16478" s="141">
        <f>DATE(A16478,B16478,C16478)</f>
        <v>46014</v>
      </c>
      <c r="E16478" s="275">
        <f>DATE(A16478,B16478,C16478)</f>
        <v>46014</v>
      </c>
      <c r="F16478" s="481"/>
      <c r="G16478" s="174" t="s">
        <v>74</v>
      </c>
      <c r="J16478" s="133" t="s">
        <v>13</v>
      </c>
      <c r="K16478" s="218"/>
      <c r="L16478" s="218">
        <v>21940</v>
      </c>
    </row>
    <row r="16479" spans="1:14" ht="11.25" customHeight="1" x14ac:dyDescent="0.2">
      <c r="A16479" s="163">
        <v>2025</v>
      </c>
      <c r="B16479" s="163">
        <v>12</v>
      </c>
      <c r="C16479" s="163">
        <v>23</v>
      </c>
      <c r="D16479" s="280">
        <f>DATE(A16479,B16479,C16479)</f>
        <v>46014</v>
      </c>
      <c r="E16479" s="281">
        <f>DATE(A16479,B16479,C16479)</f>
        <v>46014</v>
      </c>
      <c r="F16479" s="480"/>
      <c r="G16479" s="221" t="s">
        <v>74</v>
      </c>
      <c r="H16479" s="145"/>
      <c r="I16479" s="145"/>
      <c r="J16479" s="163" t="s">
        <v>53</v>
      </c>
      <c r="K16479" s="219"/>
      <c r="L16479" s="219">
        <v>9060</v>
      </c>
    </row>
    <row r="16480" spans="1:14" x14ac:dyDescent="0.2">
      <c r="A16480" s="168">
        <v>2025</v>
      </c>
      <c r="B16480" s="133">
        <v>12</v>
      </c>
      <c r="C16480" s="168">
        <v>23</v>
      </c>
      <c r="D16480" s="147">
        <f t="shared" ref="D16480:D16481" si="2652">DATE(A16480,B16480,C16480)</f>
        <v>46014</v>
      </c>
      <c r="E16480" s="311">
        <f t="shared" ref="E16480:E16481" si="2653">DATE(A16480,B16480,C16480)</f>
        <v>46014</v>
      </c>
      <c r="F16480" s="481" t="s">
        <v>1950</v>
      </c>
      <c r="G16480" s="174" t="s">
        <v>74</v>
      </c>
      <c r="I16480" s="148" t="s">
        <v>348</v>
      </c>
      <c r="J16480" s="133" t="s">
        <v>61</v>
      </c>
      <c r="K16480" s="172">
        <v>345</v>
      </c>
    </row>
    <row r="16481" spans="1:13" x14ac:dyDescent="0.2">
      <c r="A16481" s="163">
        <v>2025</v>
      </c>
      <c r="B16481" s="163">
        <v>12</v>
      </c>
      <c r="C16481" s="163">
        <v>23</v>
      </c>
      <c r="D16481" s="280">
        <f t="shared" si="2652"/>
        <v>46014</v>
      </c>
      <c r="E16481" s="281">
        <f t="shared" si="2653"/>
        <v>46014</v>
      </c>
      <c r="F16481" s="480"/>
      <c r="G16481" s="221" t="s">
        <v>74</v>
      </c>
      <c r="H16481" s="145"/>
      <c r="I16481" s="145" t="s">
        <v>348</v>
      </c>
      <c r="J16481" s="163" t="s">
        <v>52</v>
      </c>
      <c r="K16481" s="219"/>
      <c r="L16481" s="219">
        <f>K16480</f>
        <v>345</v>
      </c>
    </row>
    <row r="16482" spans="1:13" x14ac:dyDescent="0.2">
      <c r="A16482" s="325">
        <v>2025</v>
      </c>
      <c r="B16482" s="325">
        <v>12</v>
      </c>
      <c r="C16482" s="325">
        <v>23</v>
      </c>
      <c r="D16482" s="326">
        <f t="shared" ref="D16482:D16495" si="2654">DATE(A16482,B16482,C16482)</f>
        <v>46014</v>
      </c>
      <c r="E16482" s="327">
        <f t="shared" ref="E16482:E16495" si="2655">DATE(A16482,B16482,C16482)</f>
        <v>46014</v>
      </c>
      <c r="F16482" s="473" t="s">
        <v>1940</v>
      </c>
      <c r="G16482" s="340" t="s">
        <v>94</v>
      </c>
      <c r="H16482" s="340"/>
      <c r="I16482" s="341" t="s">
        <v>348</v>
      </c>
      <c r="J16482" s="374" t="s">
        <v>133</v>
      </c>
      <c r="K16482" s="375">
        <v>1843.6514285714286</v>
      </c>
      <c r="L16482" s="375"/>
      <c r="M16482" s="176"/>
    </row>
    <row r="16483" spans="1:13" x14ac:dyDescent="0.2">
      <c r="A16483" s="331">
        <v>2025</v>
      </c>
      <c r="B16483" s="331">
        <v>12</v>
      </c>
      <c r="C16483" s="331">
        <v>23</v>
      </c>
      <c r="D16483" s="326">
        <f t="shared" si="2654"/>
        <v>46014</v>
      </c>
      <c r="E16483" s="327">
        <f t="shared" si="2655"/>
        <v>46014</v>
      </c>
      <c r="F16483" s="474"/>
      <c r="G16483" s="332" t="s">
        <v>94</v>
      </c>
      <c r="H16483" s="332"/>
      <c r="I16483" s="333" t="s">
        <v>348</v>
      </c>
      <c r="J16483" s="376" t="s">
        <v>60</v>
      </c>
      <c r="K16483" s="334"/>
      <c r="L16483" s="334">
        <f>K16482</f>
        <v>1843.6514285714286</v>
      </c>
    </row>
    <row r="16484" spans="1:13" x14ac:dyDescent="0.2">
      <c r="A16484" s="325">
        <v>2025</v>
      </c>
      <c r="B16484" s="325">
        <v>12</v>
      </c>
      <c r="C16484" s="325">
        <v>23</v>
      </c>
      <c r="D16484" s="326">
        <f t="shared" si="2654"/>
        <v>46014</v>
      </c>
      <c r="E16484" s="327">
        <f t="shared" si="2655"/>
        <v>46014</v>
      </c>
      <c r="F16484" s="473" t="s">
        <v>2131</v>
      </c>
      <c r="G16484" s="340" t="s">
        <v>94</v>
      </c>
      <c r="H16484" s="340"/>
      <c r="I16484" s="341" t="s">
        <v>348</v>
      </c>
      <c r="J16484" s="374" t="s">
        <v>2156</v>
      </c>
      <c r="K16484" s="375">
        <v>6185.4395604395604</v>
      </c>
      <c r="L16484" s="375"/>
      <c r="M16484" s="176"/>
    </row>
    <row r="16485" spans="1:13" x14ac:dyDescent="0.2">
      <c r="A16485" s="331">
        <v>2025</v>
      </c>
      <c r="B16485" s="331">
        <v>12</v>
      </c>
      <c r="C16485" s="331">
        <v>23</v>
      </c>
      <c r="D16485" s="326">
        <f t="shared" si="2654"/>
        <v>46014</v>
      </c>
      <c r="E16485" s="327">
        <f t="shared" si="2655"/>
        <v>46014</v>
      </c>
      <c r="F16485" s="474"/>
      <c r="G16485" s="332" t="s">
        <v>94</v>
      </c>
      <c r="H16485" s="332"/>
      <c r="I16485" s="333" t="s">
        <v>348</v>
      </c>
      <c r="J16485" s="376" t="s">
        <v>2154</v>
      </c>
      <c r="K16485" s="334"/>
      <c r="L16485" s="334">
        <f>K16484</f>
        <v>6185.4395604395604</v>
      </c>
    </row>
    <row r="16486" spans="1:13" x14ac:dyDescent="0.2">
      <c r="A16486" s="384">
        <v>2025</v>
      </c>
      <c r="B16486" s="384">
        <v>12</v>
      </c>
      <c r="C16486" s="384">
        <v>23</v>
      </c>
      <c r="D16486" s="385">
        <f t="shared" si="2654"/>
        <v>46014</v>
      </c>
      <c r="E16486" s="386">
        <f t="shared" si="2655"/>
        <v>46014</v>
      </c>
      <c r="F16486" s="475" t="s">
        <v>1966</v>
      </c>
      <c r="G16486" s="387" t="s">
        <v>94</v>
      </c>
      <c r="H16486" s="387"/>
      <c r="I16486" s="388" t="s">
        <v>348</v>
      </c>
      <c r="J16486" s="389" t="s">
        <v>67</v>
      </c>
      <c r="K16486" s="390">
        <v>131.59446222222221</v>
      </c>
      <c r="L16486" s="390"/>
    </row>
    <row r="16487" spans="1:13" x14ac:dyDescent="0.2">
      <c r="A16487" s="391">
        <v>2025</v>
      </c>
      <c r="B16487" s="391">
        <v>12</v>
      </c>
      <c r="C16487" s="391">
        <v>23</v>
      </c>
      <c r="D16487" s="385">
        <f t="shared" si="2654"/>
        <v>46014</v>
      </c>
      <c r="E16487" s="386">
        <f t="shared" si="2655"/>
        <v>46014</v>
      </c>
      <c r="F16487" s="476"/>
      <c r="G16487" s="392" t="s">
        <v>94</v>
      </c>
      <c r="H16487" s="392"/>
      <c r="I16487" s="393" t="s">
        <v>348</v>
      </c>
      <c r="J16487" s="394" t="s">
        <v>60</v>
      </c>
      <c r="K16487" s="395"/>
      <c r="L16487" s="395">
        <f>K16486</f>
        <v>131.59446222222221</v>
      </c>
    </row>
    <row r="16488" spans="1:13" x14ac:dyDescent="0.2">
      <c r="A16488" s="238">
        <v>2025</v>
      </c>
      <c r="B16488" s="238">
        <v>12</v>
      </c>
      <c r="C16488" s="238">
        <v>23</v>
      </c>
      <c r="D16488" s="270">
        <f t="shared" si="2654"/>
        <v>46014</v>
      </c>
      <c r="E16488" s="279">
        <f t="shared" si="2655"/>
        <v>46014</v>
      </c>
      <c r="F16488" s="477" t="s">
        <v>347</v>
      </c>
      <c r="G16488" s="239" t="s">
        <v>94</v>
      </c>
      <c r="H16488" s="239"/>
      <c r="I16488" s="262" t="s">
        <v>348</v>
      </c>
      <c r="J16488" s="240" t="s">
        <v>108</v>
      </c>
      <c r="K16488" s="241">
        <v>443877.91999998689</v>
      </c>
      <c r="L16488" s="241"/>
      <c r="M16488" s="160">
        <v>13139541.900000483</v>
      </c>
    </row>
    <row r="16489" spans="1:13" x14ac:dyDescent="0.2">
      <c r="A16489" s="242">
        <v>2025</v>
      </c>
      <c r="B16489" s="242">
        <v>12</v>
      </c>
      <c r="C16489" s="242">
        <v>23</v>
      </c>
      <c r="D16489" s="270">
        <f t="shared" si="2654"/>
        <v>46014</v>
      </c>
      <c r="E16489" s="279">
        <f t="shared" si="2655"/>
        <v>46014</v>
      </c>
      <c r="F16489" s="478"/>
      <c r="G16489" s="243" t="s">
        <v>94</v>
      </c>
      <c r="H16489" s="243"/>
      <c r="I16489" s="263" t="s">
        <v>348</v>
      </c>
      <c r="J16489" s="244" t="s">
        <v>82</v>
      </c>
      <c r="K16489" s="245"/>
      <c r="L16489" s="245">
        <f>K16488</f>
        <v>443877.91999998689</v>
      </c>
    </row>
    <row r="16490" spans="1:13" ht="12" customHeight="1" x14ac:dyDescent="0.2">
      <c r="A16490" s="246">
        <v>2025</v>
      </c>
      <c r="B16490" s="238">
        <v>12</v>
      </c>
      <c r="C16490" s="238">
        <v>23</v>
      </c>
      <c r="D16490" s="270">
        <f t="shared" si="2654"/>
        <v>46014</v>
      </c>
      <c r="E16490" s="279">
        <f t="shared" si="2655"/>
        <v>46014</v>
      </c>
      <c r="F16490" s="482" t="s">
        <v>148</v>
      </c>
      <c r="G16490" s="247" t="s">
        <v>94</v>
      </c>
      <c r="H16490" s="247"/>
      <c r="I16490" s="248" t="s">
        <v>348</v>
      </c>
      <c r="J16490" s="249" t="s">
        <v>95</v>
      </c>
      <c r="K16490" s="250">
        <v>392.46467817896388</v>
      </c>
      <c r="L16490" s="241"/>
      <c r="M16490" s="176"/>
    </row>
    <row r="16491" spans="1:13" x14ac:dyDescent="0.2">
      <c r="A16491" s="242">
        <v>2025</v>
      </c>
      <c r="B16491" s="242">
        <v>12</v>
      </c>
      <c r="C16491" s="242">
        <v>23</v>
      </c>
      <c r="D16491" s="270">
        <f t="shared" si="2654"/>
        <v>46014</v>
      </c>
      <c r="E16491" s="279">
        <f t="shared" si="2655"/>
        <v>46014</v>
      </c>
      <c r="F16491" s="478"/>
      <c r="G16491" s="243" t="s">
        <v>94</v>
      </c>
      <c r="H16491" s="243"/>
      <c r="I16491" s="263" t="s">
        <v>348</v>
      </c>
      <c r="J16491" s="244" t="s">
        <v>63</v>
      </c>
      <c r="K16491" s="245"/>
      <c r="L16491" s="245">
        <f>K16490</f>
        <v>392.46467817896388</v>
      </c>
    </row>
    <row r="16492" spans="1:13" x14ac:dyDescent="0.2">
      <c r="A16492" s="246">
        <v>2025</v>
      </c>
      <c r="B16492" s="238">
        <v>12</v>
      </c>
      <c r="C16492" s="238">
        <v>23</v>
      </c>
      <c r="D16492" s="270">
        <f t="shared" si="2654"/>
        <v>46014</v>
      </c>
      <c r="E16492" s="279">
        <f t="shared" si="2655"/>
        <v>46014</v>
      </c>
      <c r="F16492" s="482" t="s">
        <v>137</v>
      </c>
      <c r="G16492" s="247" t="s">
        <v>94</v>
      </c>
      <c r="H16492" s="247"/>
      <c r="I16492" s="248" t="s">
        <v>348</v>
      </c>
      <c r="J16492" s="249" t="s">
        <v>97</v>
      </c>
      <c r="K16492" s="250">
        <v>12717.912291338191</v>
      </c>
      <c r="L16492" s="252"/>
      <c r="M16492" s="170"/>
    </row>
    <row r="16493" spans="1:13" x14ac:dyDescent="0.2">
      <c r="A16493" s="242">
        <v>2025</v>
      </c>
      <c r="B16493" s="242">
        <v>12</v>
      </c>
      <c r="C16493" s="242">
        <v>23</v>
      </c>
      <c r="D16493" s="270">
        <f t="shared" si="2654"/>
        <v>46014</v>
      </c>
      <c r="E16493" s="279">
        <f t="shared" si="2655"/>
        <v>46014</v>
      </c>
      <c r="F16493" s="478"/>
      <c r="G16493" s="243" t="s">
        <v>94</v>
      </c>
      <c r="H16493" s="243"/>
      <c r="I16493" s="263" t="s">
        <v>348</v>
      </c>
      <c r="J16493" s="244" t="s">
        <v>47</v>
      </c>
      <c r="K16493" s="245"/>
      <c r="L16493" s="245">
        <f>K16492</f>
        <v>12717.912291338191</v>
      </c>
      <c r="M16493" s="170"/>
    </row>
    <row r="16494" spans="1:13" x14ac:dyDescent="0.2">
      <c r="A16494" s="246">
        <v>2025</v>
      </c>
      <c r="B16494" s="238">
        <v>12</v>
      </c>
      <c r="C16494" s="238">
        <v>23</v>
      </c>
      <c r="D16494" s="270">
        <f t="shared" si="2654"/>
        <v>46014</v>
      </c>
      <c r="E16494" s="279">
        <f t="shared" si="2655"/>
        <v>46014</v>
      </c>
      <c r="F16494" s="482" t="s">
        <v>138</v>
      </c>
      <c r="G16494" s="247" t="s">
        <v>94</v>
      </c>
      <c r="H16494" s="247"/>
      <c r="I16494" s="248" t="s">
        <v>348</v>
      </c>
      <c r="J16494" s="249" t="s">
        <v>100</v>
      </c>
      <c r="K16494" s="250">
        <v>601.52001590676844</v>
      </c>
      <c r="L16494" s="252"/>
    </row>
    <row r="16495" spans="1:13" x14ac:dyDescent="0.2">
      <c r="A16495" s="242">
        <v>2025</v>
      </c>
      <c r="B16495" s="242">
        <v>12</v>
      </c>
      <c r="C16495" s="242">
        <v>23</v>
      </c>
      <c r="D16495" s="321">
        <f t="shared" si="2654"/>
        <v>46014</v>
      </c>
      <c r="E16495" s="322">
        <f t="shared" si="2655"/>
        <v>46014</v>
      </c>
      <c r="F16495" s="478"/>
      <c r="G16495" s="243" t="s">
        <v>94</v>
      </c>
      <c r="H16495" s="243"/>
      <c r="I16495" s="263" t="s">
        <v>348</v>
      </c>
      <c r="J16495" s="244" t="s">
        <v>48</v>
      </c>
      <c r="K16495" s="245"/>
      <c r="L16495" s="245">
        <f>K16494</f>
        <v>601.52001590676844</v>
      </c>
    </row>
    <row r="16496" spans="1:13" x14ac:dyDescent="0.2">
      <c r="A16496" s="133">
        <v>2025</v>
      </c>
      <c r="B16496" s="168">
        <v>12</v>
      </c>
      <c r="C16496" s="133">
        <v>24</v>
      </c>
      <c r="D16496" s="141">
        <f>DATE(A16496,B16496,C16496)</f>
        <v>46015</v>
      </c>
      <c r="E16496" s="275">
        <f>DATE(A16496,B16496,C16496)</f>
        <v>46015</v>
      </c>
      <c r="F16496" s="479" t="s">
        <v>362</v>
      </c>
      <c r="G16496" s="220" t="s">
        <v>74</v>
      </c>
      <c r="H16496" s="220"/>
      <c r="I16496" s="142" t="s">
        <v>348</v>
      </c>
      <c r="J16496" s="143" t="s">
        <v>104</v>
      </c>
      <c r="K16496" s="226">
        <v>5754.75</v>
      </c>
      <c r="L16496" s="226"/>
    </row>
    <row r="16497" spans="1:14" x14ac:dyDescent="0.2">
      <c r="A16497" s="133">
        <v>2025</v>
      </c>
      <c r="B16497" s="133">
        <v>12</v>
      </c>
      <c r="C16497" s="133">
        <v>24</v>
      </c>
      <c r="D16497" s="280">
        <f>DATE(A16497,B16497,C16497)</f>
        <v>46015</v>
      </c>
      <c r="E16497" s="281">
        <f>DATE(A16497,B16497,C16497)</f>
        <v>46015</v>
      </c>
      <c r="F16497" s="481"/>
      <c r="G16497" s="174" t="s">
        <v>74</v>
      </c>
      <c r="H16497" s="174"/>
      <c r="J16497" s="149" t="s">
        <v>534</v>
      </c>
      <c r="K16497" s="218"/>
      <c r="L16497" s="218">
        <v>575.47500000000002</v>
      </c>
    </row>
    <row r="16498" spans="1:14" x14ac:dyDescent="0.2">
      <c r="A16498" s="163">
        <v>2025</v>
      </c>
      <c r="B16498" s="163">
        <v>12</v>
      </c>
      <c r="C16498" s="163">
        <v>24</v>
      </c>
      <c r="D16498" s="144">
        <f>DATE(A16498,B16498,C16498)</f>
        <v>46015</v>
      </c>
      <c r="E16498" s="313">
        <f>DATE(A16498,B16498,C16498)</f>
        <v>46015</v>
      </c>
      <c r="F16498" s="480"/>
      <c r="G16498" s="221" t="s">
        <v>74</v>
      </c>
      <c r="H16498" s="221"/>
      <c r="I16498" s="145" t="s">
        <v>348</v>
      </c>
      <c r="J16498" s="146" t="s">
        <v>52</v>
      </c>
      <c r="K16498" s="219"/>
      <c r="L16498" s="219">
        <v>5179.2700000000004</v>
      </c>
    </row>
    <row r="16499" spans="1:14" x14ac:dyDescent="0.2">
      <c r="A16499" s="133">
        <v>2025</v>
      </c>
      <c r="B16499" s="133">
        <v>12</v>
      </c>
      <c r="C16499" s="168">
        <v>24</v>
      </c>
      <c r="D16499" s="141">
        <f t="shared" ref="D16499:D16503" si="2656">DATE(A16499,B16499,C16499)</f>
        <v>46015</v>
      </c>
      <c r="E16499" s="275">
        <f t="shared" ref="E16499:E16503" si="2657">DATE(A16499,B16499,C16499)</f>
        <v>46015</v>
      </c>
      <c r="F16499" s="481" t="s">
        <v>2115</v>
      </c>
      <c r="G16499" s="174" t="s">
        <v>94</v>
      </c>
      <c r="H16499" s="174"/>
      <c r="J16499" s="149" t="s">
        <v>79</v>
      </c>
      <c r="K16499" s="218">
        <v>1074187</v>
      </c>
      <c r="L16499" s="218"/>
      <c r="M16499" s="160"/>
    </row>
    <row r="16500" spans="1:14" x14ac:dyDescent="0.2">
      <c r="A16500" s="133">
        <v>2025</v>
      </c>
      <c r="B16500" s="133">
        <v>12</v>
      </c>
      <c r="C16500" s="133">
        <v>24</v>
      </c>
      <c r="D16500" s="141">
        <f t="shared" si="2656"/>
        <v>46015</v>
      </c>
      <c r="E16500" s="275">
        <f t="shared" si="2657"/>
        <v>46015</v>
      </c>
      <c r="F16500" s="481"/>
      <c r="G16500" s="174" t="s">
        <v>94</v>
      </c>
      <c r="H16500" s="174"/>
      <c r="J16500" s="149" t="s">
        <v>80</v>
      </c>
      <c r="K16500" s="218">
        <v>4260.58</v>
      </c>
      <c r="L16500" s="264"/>
      <c r="M16500" s="264"/>
      <c r="N16500" s="264"/>
    </row>
    <row r="16501" spans="1:14" x14ac:dyDescent="0.2">
      <c r="A16501" s="133">
        <v>2025</v>
      </c>
      <c r="B16501" s="133">
        <v>12</v>
      </c>
      <c r="C16501" s="133">
        <v>24</v>
      </c>
      <c r="D16501" s="141">
        <f t="shared" si="2656"/>
        <v>46015</v>
      </c>
      <c r="E16501" s="275">
        <f t="shared" si="2657"/>
        <v>46015</v>
      </c>
      <c r="F16501" s="481"/>
      <c r="G16501" s="174" t="s">
        <v>94</v>
      </c>
      <c r="H16501" s="174"/>
      <c r="J16501" s="149" t="s">
        <v>190</v>
      </c>
      <c r="K16501" s="218">
        <v>214356.72</v>
      </c>
      <c r="L16501" s="218"/>
      <c r="M16501" s="264"/>
    </row>
    <row r="16502" spans="1:14" x14ac:dyDescent="0.2">
      <c r="A16502" s="133">
        <v>2025</v>
      </c>
      <c r="B16502" s="133">
        <v>12</v>
      </c>
      <c r="C16502" s="133">
        <v>24</v>
      </c>
      <c r="D16502" s="141">
        <f t="shared" si="2656"/>
        <v>46015</v>
      </c>
      <c r="E16502" s="275">
        <f t="shared" si="2657"/>
        <v>46015</v>
      </c>
      <c r="F16502" s="481"/>
      <c r="G16502" s="174" t="s">
        <v>94</v>
      </c>
      <c r="H16502" s="174"/>
      <c r="J16502" s="149" t="s">
        <v>191</v>
      </c>
      <c r="K16502" s="218">
        <v>39673.25</v>
      </c>
      <c r="L16502" s="218"/>
    </row>
    <row r="16503" spans="1:14" x14ac:dyDescent="0.2">
      <c r="A16503" s="163">
        <v>2025</v>
      </c>
      <c r="B16503" s="163">
        <v>12</v>
      </c>
      <c r="C16503" s="163">
        <v>24</v>
      </c>
      <c r="D16503" s="280">
        <f t="shared" si="2656"/>
        <v>46015</v>
      </c>
      <c r="E16503" s="281">
        <f t="shared" si="2657"/>
        <v>46015</v>
      </c>
      <c r="F16503" s="480"/>
      <c r="G16503" s="221" t="s">
        <v>94</v>
      </c>
      <c r="H16503" s="145"/>
      <c r="I16503" s="145"/>
      <c r="J16503" s="163" t="s">
        <v>79</v>
      </c>
      <c r="K16503" s="219"/>
      <c r="L16503" s="219">
        <v>1332477.55</v>
      </c>
      <c r="M16503" s="264"/>
    </row>
    <row r="16504" spans="1:14" x14ac:dyDescent="0.2">
      <c r="A16504" s="325">
        <v>2025</v>
      </c>
      <c r="B16504" s="325">
        <v>12</v>
      </c>
      <c r="C16504" s="325">
        <v>24</v>
      </c>
      <c r="D16504" s="326">
        <f t="shared" ref="D16504:D16522" si="2658">DATE(A16504,B16504,C16504)</f>
        <v>46015</v>
      </c>
      <c r="E16504" s="327">
        <f t="shared" ref="E16504:E16522" si="2659">DATE(A16504,B16504,C16504)</f>
        <v>46015</v>
      </c>
      <c r="F16504" s="473" t="s">
        <v>1940</v>
      </c>
      <c r="G16504" s="340" t="s">
        <v>94</v>
      </c>
      <c r="H16504" s="340"/>
      <c r="I16504" s="341" t="s">
        <v>348</v>
      </c>
      <c r="J16504" s="374" t="s">
        <v>133</v>
      </c>
      <c r="K16504" s="375">
        <v>1843.6514285714286</v>
      </c>
      <c r="L16504" s="375"/>
      <c r="M16504" s="176"/>
    </row>
    <row r="16505" spans="1:14" x14ac:dyDescent="0.2">
      <c r="A16505" s="331">
        <v>2025</v>
      </c>
      <c r="B16505" s="331">
        <v>12</v>
      </c>
      <c r="C16505" s="331">
        <v>24</v>
      </c>
      <c r="D16505" s="326">
        <f t="shared" si="2658"/>
        <v>46015</v>
      </c>
      <c r="E16505" s="327">
        <f t="shared" si="2659"/>
        <v>46015</v>
      </c>
      <c r="F16505" s="474"/>
      <c r="G16505" s="332" t="s">
        <v>94</v>
      </c>
      <c r="H16505" s="332"/>
      <c r="I16505" s="333" t="s">
        <v>348</v>
      </c>
      <c r="J16505" s="376" t="s">
        <v>60</v>
      </c>
      <c r="K16505" s="334"/>
      <c r="L16505" s="334">
        <f>K16504</f>
        <v>1843.6514285714286</v>
      </c>
    </row>
    <row r="16506" spans="1:14" x14ac:dyDescent="0.2">
      <c r="A16506" s="325">
        <v>2025</v>
      </c>
      <c r="B16506" s="325">
        <v>12</v>
      </c>
      <c r="C16506" s="325">
        <v>24</v>
      </c>
      <c r="D16506" s="326">
        <f t="shared" si="2658"/>
        <v>46015</v>
      </c>
      <c r="E16506" s="327">
        <f t="shared" si="2659"/>
        <v>46015</v>
      </c>
      <c r="F16506" s="473" t="s">
        <v>2131</v>
      </c>
      <c r="G16506" s="340" t="s">
        <v>94</v>
      </c>
      <c r="H16506" s="340"/>
      <c r="I16506" s="341" t="s">
        <v>348</v>
      </c>
      <c r="J16506" s="374" t="s">
        <v>2156</v>
      </c>
      <c r="K16506" s="375">
        <v>6185.4395604395604</v>
      </c>
      <c r="L16506" s="375"/>
      <c r="M16506" s="176"/>
    </row>
    <row r="16507" spans="1:14" x14ac:dyDescent="0.2">
      <c r="A16507" s="331">
        <v>2025</v>
      </c>
      <c r="B16507" s="331">
        <v>12</v>
      </c>
      <c r="C16507" s="331">
        <v>24</v>
      </c>
      <c r="D16507" s="326">
        <f t="shared" si="2658"/>
        <v>46015</v>
      </c>
      <c r="E16507" s="327">
        <f t="shared" si="2659"/>
        <v>46015</v>
      </c>
      <c r="F16507" s="474"/>
      <c r="G16507" s="332" t="s">
        <v>94</v>
      </c>
      <c r="H16507" s="332"/>
      <c r="I16507" s="333" t="s">
        <v>348</v>
      </c>
      <c r="J16507" s="376" t="s">
        <v>2154</v>
      </c>
      <c r="K16507" s="334"/>
      <c r="L16507" s="334">
        <f>K16506</f>
        <v>6185.4395604395604</v>
      </c>
    </row>
    <row r="16508" spans="1:14" x14ac:dyDescent="0.2">
      <c r="A16508" s="384">
        <v>2025</v>
      </c>
      <c r="B16508" s="384">
        <v>12</v>
      </c>
      <c r="C16508" s="384">
        <v>24</v>
      </c>
      <c r="D16508" s="385">
        <f t="shared" si="2658"/>
        <v>46015</v>
      </c>
      <c r="E16508" s="386">
        <f t="shared" si="2659"/>
        <v>46015</v>
      </c>
      <c r="F16508" s="475" t="s">
        <v>1966</v>
      </c>
      <c r="G16508" s="387" t="s">
        <v>94</v>
      </c>
      <c r="H16508" s="387"/>
      <c r="I16508" s="388" t="s">
        <v>348</v>
      </c>
      <c r="J16508" s="389" t="s">
        <v>67</v>
      </c>
      <c r="K16508" s="390">
        <v>180.36001569444443</v>
      </c>
      <c r="L16508" s="390"/>
    </row>
    <row r="16509" spans="1:14" x14ac:dyDescent="0.2">
      <c r="A16509" s="391">
        <v>2025</v>
      </c>
      <c r="B16509" s="391">
        <v>12</v>
      </c>
      <c r="C16509" s="391">
        <v>24</v>
      </c>
      <c r="D16509" s="385">
        <f t="shared" si="2658"/>
        <v>46015</v>
      </c>
      <c r="E16509" s="386">
        <f t="shared" si="2659"/>
        <v>46015</v>
      </c>
      <c r="F16509" s="476"/>
      <c r="G16509" s="392" t="s">
        <v>94</v>
      </c>
      <c r="H16509" s="392"/>
      <c r="I16509" s="393" t="s">
        <v>348</v>
      </c>
      <c r="J16509" s="394" t="s">
        <v>60</v>
      </c>
      <c r="K16509" s="395"/>
      <c r="L16509" s="395">
        <f>K16508</f>
        <v>180.36001569444443</v>
      </c>
    </row>
    <row r="16510" spans="1:14" x14ac:dyDescent="0.2">
      <c r="A16510" s="238">
        <v>2025</v>
      </c>
      <c r="B16510" s="238">
        <v>12</v>
      </c>
      <c r="C16510" s="238">
        <v>24</v>
      </c>
      <c r="D16510" s="270">
        <f t="shared" si="2658"/>
        <v>46015</v>
      </c>
      <c r="E16510" s="279">
        <f t="shared" si="2659"/>
        <v>46015</v>
      </c>
      <c r="F16510" s="477" t="s">
        <v>347</v>
      </c>
      <c r="G16510" s="239" t="s">
        <v>94</v>
      </c>
      <c r="H16510" s="239"/>
      <c r="I16510" s="262" t="s">
        <v>348</v>
      </c>
      <c r="J16510" s="240" t="s">
        <v>108</v>
      </c>
      <c r="K16510" s="241">
        <v>800152.05000001192</v>
      </c>
      <c r="L16510" s="241"/>
      <c r="M16510" s="160">
        <v>13139541.900000483</v>
      </c>
    </row>
    <row r="16511" spans="1:14" x14ac:dyDescent="0.2">
      <c r="A16511" s="242">
        <v>2025</v>
      </c>
      <c r="B16511" s="242">
        <v>12</v>
      </c>
      <c r="C16511" s="242">
        <v>24</v>
      </c>
      <c r="D16511" s="270">
        <f t="shared" si="2658"/>
        <v>46015</v>
      </c>
      <c r="E16511" s="279">
        <f t="shared" si="2659"/>
        <v>46015</v>
      </c>
      <c r="F16511" s="478"/>
      <c r="G16511" s="243" t="s">
        <v>94</v>
      </c>
      <c r="H16511" s="243"/>
      <c r="I16511" s="263" t="s">
        <v>348</v>
      </c>
      <c r="J16511" s="244" t="s">
        <v>82</v>
      </c>
      <c r="K16511" s="245"/>
      <c r="L16511" s="245">
        <f>K16510</f>
        <v>800152.05000001192</v>
      </c>
    </row>
    <row r="16512" spans="1:14" ht="12" customHeight="1" x14ac:dyDescent="0.2">
      <c r="A16512" s="246">
        <v>2025</v>
      </c>
      <c r="B16512" s="238">
        <v>12</v>
      </c>
      <c r="C16512" s="238">
        <v>24</v>
      </c>
      <c r="D16512" s="270">
        <f t="shared" si="2658"/>
        <v>46015</v>
      </c>
      <c r="E16512" s="279">
        <f t="shared" si="2659"/>
        <v>46015</v>
      </c>
      <c r="F16512" s="482" t="s">
        <v>148</v>
      </c>
      <c r="G16512" s="247" t="s">
        <v>94</v>
      </c>
      <c r="H16512" s="247"/>
      <c r="I16512" s="248" t="s">
        <v>348</v>
      </c>
      <c r="J16512" s="249" t="s">
        <v>95</v>
      </c>
      <c r="K16512" s="250">
        <v>392.46467817896388</v>
      </c>
      <c r="L16512" s="241"/>
      <c r="M16512" s="176"/>
    </row>
    <row r="16513" spans="1:14" x14ac:dyDescent="0.2">
      <c r="A16513" s="242">
        <v>2025</v>
      </c>
      <c r="B16513" s="242">
        <v>12</v>
      </c>
      <c r="C16513" s="242">
        <v>24</v>
      </c>
      <c r="D16513" s="270">
        <f t="shared" si="2658"/>
        <v>46015</v>
      </c>
      <c r="E16513" s="279">
        <f t="shared" si="2659"/>
        <v>46015</v>
      </c>
      <c r="F16513" s="478"/>
      <c r="G16513" s="243" t="s">
        <v>94</v>
      </c>
      <c r="H16513" s="243"/>
      <c r="I16513" s="263" t="s">
        <v>348</v>
      </c>
      <c r="J16513" s="244" t="s">
        <v>63</v>
      </c>
      <c r="K16513" s="245"/>
      <c r="L16513" s="245">
        <f>K16512</f>
        <v>392.46467817896388</v>
      </c>
    </row>
    <row r="16514" spans="1:14" x14ac:dyDescent="0.2">
      <c r="A16514" s="246">
        <v>2025</v>
      </c>
      <c r="B16514" s="238">
        <v>12</v>
      </c>
      <c r="C16514" s="238">
        <v>24</v>
      </c>
      <c r="D16514" s="270">
        <f t="shared" si="2658"/>
        <v>46015</v>
      </c>
      <c r="E16514" s="279">
        <f t="shared" si="2659"/>
        <v>46015</v>
      </c>
      <c r="F16514" s="482" t="s">
        <v>137</v>
      </c>
      <c r="G16514" s="247" t="s">
        <v>94</v>
      </c>
      <c r="H16514" s="247"/>
      <c r="I16514" s="248" t="s">
        <v>348</v>
      </c>
      <c r="J16514" s="249" t="s">
        <v>97</v>
      </c>
      <c r="K16514" s="250">
        <f>M16514</f>
        <v>12760.531715734858</v>
      </c>
      <c r="L16514" s="252"/>
      <c r="M16514" s="170">
        <v>12760.531715734858</v>
      </c>
    </row>
    <row r="16515" spans="1:14" x14ac:dyDescent="0.2">
      <c r="A16515" s="242">
        <v>2025</v>
      </c>
      <c r="B16515" s="242">
        <v>12</v>
      </c>
      <c r="C16515" s="242">
        <v>24</v>
      </c>
      <c r="D16515" s="270">
        <f t="shared" si="2658"/>
        <v>46015</v>
      </c>
      <c r="E16515" s="279">
        <f t="shared" si="2659"/>
        <v>46015</v>
      </c>
      <c r="F16515" s="478"/>
      <c r="G16515" s="243" t="s">
        <v>94</v>
      </c>
      <c r="H16515" s="243"/>
      <c r="I16515" s="263" t="s">
        <v>348</v>
      </c>
      <c r="J16515" s="244" t="s">
        <v>47</v>
      </c>
      <c r="K16515" s="245"/>
      <c r="L16515" s="245">
        <f>K16514</f>
        <v>12760.531715734858</v>
      </c>
      <c r="M16515" s="170">
        <v>603.68592644608339</v>
      </c>
    </row>
    <row r="16516" spans="1:14" x14ac:dyDescent="0.2">
      <c r="A16516" s="246">
        <v>2025</v>
      </c>
      <c r="B16516" s="238">
        <v>12</v>
      </c>
      <c r="C16516" s="238">
        <v>24</v>
      </c>
      <c r="D16516" s="270">
        <f t="shared" si="2658"/>
        <v>46015</v>
      </c>
      <c r="E16516" s="279">
        <f t="shared" si="2659"/>
        <v>46015</v>
      </c>
      <c r="F16516" s="482" t="s">
        <v>138</v>
      </c>
      <c r="G16516" s="247" t="s">
        <v>94</v>
      </c>
      <c r="H16516" s="247"/>
      <c r="I16516" s="248" t="s">
        <v>348</v>
      </c>
      <c r="J16516" s="249" t="s">
        <v>100</v>
      </c>
      <c r="K16516" s="250">
        <f>M16515</f>
        <v>603.68592644608339</v>
      </c>
      <c r="L16516" s="252"/>
    </row>
    <row r="16517" spans="1:14" x14ac:dyDescent="0.2">
      <c r="A16517" s="242">
        <v>2025</v>
      </c>
      <c r="B16517" s="242">
        <v>12</v>
      </c>
      <c r="C16517" s="242">
        <v>24</v>
      </c>
      <c r="D16517" s="321">
        <f t="shared" si="2658"/>
        <v>46015</v>
      </c>
      <c r="E16517" s="322">
        <f t="shared" si="2659"/>
        <v>46015</v>
      </c>
      <c r="F16517" s="478"/>
      <c r="G16517" s="243" t="s">
        <v>94</v>
      </c>
      <c r="H16517" s="243"/>
      <c r="I16517" s="263" t="s">
        <v>348</v>
      </c>
      <c r="J16517" s="244" t="s">
        <v>48</v>
      </c>
      <c r="K16517" s="245"/>
      <c r="L16517" s="245">
        <f>K16516</f>
        <v>603.68592644608339</v>
      </c>
    </row>
    <row r="16518" spans="1:14" x14ac:dyDescent="0.2">
      <c r="A16518" s="168">
        <v>2025</v>
      </c>
      <c r="B16518" s="133">
        <v>12</v>
      </c>
      <c r="C16518" s="168">
        <v>28</v>
      </c>
      <c r="D16518" s="147">
        <f t="shared" si="2658"/>
        <v>46019</v>
      </c>
      <c r="E16518" s="311">
        <f t="shared" si="2659"/>
        <v>46019</v>
      </c>
      <c r="F16518" s="481" t="s">
        <v>1943</v>
      </c>
      <c r="G16518" s="174" t="s">
        <v>74</v>
      </c>
      <c r="I16518" s="148" t="s">
        <v>348</v>
      </c>
      <c r="J16518" s="133" t="s">
        <v>61</v>
      </c>
      <c r="K16518" s="172">
        <v>57.5</v>
      </c>
    </row>
    <row r="16519" spans="1:14" x14ac:dyDescent="0.2">
      <c r="A16519" s="163">
        <v>2025</v>
      </c>
      <c r="B16519" s="163">
        <v>12</v>
      </c>
      <c r="C16519" s="163">
        <v>28</v>
      </c>
      <c r="D16519" s="280">
        <f t="shared" si="2658"/>
        <v>46019</v>
      </c>
      <c r="E16519" s="281">
        <f t="shared" si="2659"/>
        <v>46019</v>
      </c>
      <c r="F16519" s="480"/>
      <c r="G16519" s="221" t="s">
        <v>74</v>
      </c>
      <c r="H16519" s="145"/>
      <c r="I16519" s="145" t="s">
        <v>348</v>
      </c>
      <c r="J16519" s="163" t="s">
        <v>52</v>
      </c>
      <c r="K16519" s="219"/>
      <c r="L16519" s="219">
        <f>K16518</f>
        <v>57.5</v>
      </c>
    </row>
    <row r="16520" spans="1:14" ht="11.25" customHeight="1" x14ac:dyDescent="0.2">
      <c r="A16520" s="168">
        <v>2025</v>
      </c>
      <c r="B16520" s="168">
        <v>12</v>
      </c>
      <c r="C16520" s="133">
        <v>28</v>
      </c>
      <c r="D16520" s="141">
        <f t="shared" si="2658"/>
        <v>46019</v>
      </c>
      <c r="E16520" s="275">
        <f t="shared" si="2659"/>
        <v>46019</v>
      </c>
      <c r="F16520" s="479" t="s">
        <v>1310</v>
      </c>
      <c r="G16520" s="220" t="s">
        <v>74</v>
      </c>
      <c r="H16520" s="142"/>
      <c r="I16520" s="142"/>
      <c r="J16520" s="168" t="s">
        <v>13</v>
      </c>
      <c r="K16520" s="226">
        <v>1060</v>
      </c>
      <c r="L16520" s="226"/>
    </row>
    <row r="16521" spans="1:14" ht="11.25" customHeight="1" x14ac:dyDescent="0.2">
      <c r="A16521" s="133">
        <v>2025</v>
      </c>
      <c r="B16521" s="133">
        <v>12</v>
      </c>
      <c r="C16521" s="133">
        <v>28</v>
      </c>
      <c r="D16521" s="141">
        <f t="shared" si="2658"/>
        <v>46019</v>
      </c>
      <c r="E16521" s="275">
        <f t="shared" si="2659"/>
        <v>46019</v>
      </c>
      <c r="F16521" s="481"/>
      <c r="G16521" s="174" t="s">
        <v>74</v>
      </c>
      <c r="J16521" s="133" t="s">
        <v>53</v>
      </c>
      <c r="K16521" s="218">
        <v>440</v>
      </c>
      <c r="L16521" s="218"/>
    </row>
    <row r="16522" spans="1:14" ht="11.25" customHeight="1" x14ac:dyDescent="0.2">
      <c r="A16522" s="163">
        <v>2025</v>
      </c>
      <c r="B16522" s="163">
        <v>12</v>
      </c>
      <c r="C16522" s="163">
        <v>28</v>
      </c>
      <c r="D16522" s="280">
        <f t="shared" si="2658"/>
        <v>46019</v>
      </c>
      <c r="E16522" s="281">
        <f t="shared" si="2659"/>
        <v>46019</v>
      </c>
      <c r="F16522" s="480"/>
      <c r="G16522" s="221" t="s">
        <v>74</v>
      </c>
      <c r="H16522" s="145"/>
      <c r="I16522" s="145"/>
      <c r="J16522" s="163" t="s">
        <v>52</v>
      </c>
      <c r="K16522" s="219"/>
      <c r="L16522" s="219">
        <v>1500</v>
      </c>
    </row>
    <row r="16523" spans="1:14" ht="11.25" customHeight="1" x14ac:dyDescent="0.2">
      <c r="A16523" s="168">
        <v>2025</v>
      </c>
      <c r="B16523" s="168">
        <v>12</v>
      </c>
      <c r="C16523" s="133">
        <v>28</v>
      </c>
      <c r="D16523" s="141">
        <f>DATE(A16523,B16523,C16523)</f>
        <v>46019</v>
      </c>
      <c r="E16523" s="275">
        <f>DATE(A16523,B16523,C16523)</f>
        <v>46019</v>
      </c>
      <c r="F16523" s="479" t="s">
        <v>1319</v>
      </c>
      <c r="G16523" s="220" t="s">
        <v>74</v>
      </c>
      <c r="H16523" s="142"/>
      <c r="I16523" s="142"/>
      <c r="J16523" s="168" t="s">
        <v>52</v>
      </c>
      <c r="K16523" s="226">
        <v>96000</v>
      </c>
      <c r="L16523" s="226"/>
    </row>
    <row r="16524" spans="1:14" ht="11.25" customHeight="1" x14ac:dyDescent="0.2">
      <c r="A16524" s="133">
        <v>2025</v>
      </c>
      <c r="B16524" s="133">
        <v>12</v>
      </c>
      <c r="C16524" s="133">
        <v>28</v>
      </c>
      <c r="D16524" s="141">
        <f>DATE(A16524,B16524,C16524)</f>
        <v>46019</v>
      </c>
      <c r="E16524" s="275">
        <f>DATE(A16524,B16524,C16524)</f>
        <v>46019</v>
      </c>
      <c r="F16524" s="481"/>
      <c r="G16524" s="174" t="s">
        <v>74</v>
      </c>
      <c r="J16524" s="133" t="s">
        <v>13</v>
      </c>
      <c r="K16524" s="218"/>
      <c r="L16524" s="218">
        <v>67720</v>
      </c>
    </row>
    <row r="16525" spans="1:14" ht="11.25" customHeight="1" x14ac:dyDescent="0.2">
      <c r="A16525" s="163">
        <v>2025</v>
      </c>
      <c r="B16525" s="163">
        <v>12</v>
      </c>
      <c r="C16525" s="163">
        <v>28</v>
      </c>
      <c r="D16525" s="280">
        <f>DATE(A16525,B16525,C16525)</f>
        <v>46019</v>
      </c>
      <c r="E16525" s="281">
        <f>DATE(A16525,B16525,C16525)</f>
        <v>46019</v>
      </c>
      <c r="F16525" s="480"/>
      <c r="G16525" s="221" t="s">
        <v>74</v>
      </c>
      <c r="H16525" s="145"/>
      <c r="I16525" s="145"/>
      <c r="J16525" s="163" t="s">
        <v>53</v>
      </c>
      <c r="K16525" s="219"/>
      <c r="L16525" s="219">
        <v>28280</v>
      </c>
    </row>
    <row r="16526" spans="1:14" x14ac:dyDescent="0.2">
      <c r="A16526" s="133">
        <v>2025</v>
      </c>
      <c r="B16526" s="133">
        <v>12</v>
      </c>
      <c r="C16526" s="168">
        <v>28</v>
      </c>
      <c r="D16526" s="141">
        <f t="shared" ref="D16526:D16544" si="2660">DATE(A16526,B16526,C16526)</f>
        <v>46019</v>
      </c>
      <c r="E16526" s="275">
        <f t="shared" ref="E16526:E16544" si="2661">DATE(A16526,B16526,C16526)</f>
        <v>46019</v>
      </c>
      <c r="F16526" s="481" t="s">
        <v>2115</v>
      </c>
      <c r="G16526" s="174" t="s">
        <v>94</v>
      </c>
      <c r="H16526" s="174"/>
      <c r="J16526" s="149" t="s">
        <v>79</v>
      </c>
      <c r="K16526" s="218">
        <v>1723827.5</v>
      </c>
      <c r="L16526" s="218"/>
      <c r="M16526" s="160"/>
    </row>
    <row r="16527" spans="1:14" x14ac:dyDescent="0.2">
      <c r="A16527" s="133">
        <v>2025</v>
      </c>
      <c r="B16527" s="133">
        <v>12</v>
      </c>
      <c r="C16527" s="133">
        <v>28</v>
      </c>
      <c r="D16527" s="141">
        <f t="shared" si="2660"/>
        <v>46019</v>
      </c>
      <c r="E16527" s="275">
        <f t="shared" si="2661"/>
        <v>46019</v>
      </c>
      <c r="F16527" s="481"/>
      <c r="G16527" s="174" t="s">
        <v>94</v>
      </c>
      <c r="H16527" s="174"/>
      <c r="J16527" s="149" t="s">
        <v>80</v>
      </c>
      <c r="K16527" s="218">
        <v>7111.18</v>
      </c>
      <c r="L16527" s="264"/>
      <c r="M16527" s="264"/>
      <c r="N16527" s="264"/>
    </row>
    <row r="16528" spans="1:14" x14ac:dyDescent="0.2">
      <c r="A16528" s="133">
        <v>2025</v>
      </c>
      <c r="B16528" s="133">
        <v>12</v>
      </c>
      <c r="C16528" s="133">
        <v>28</v>
      </c>
      <c r="D16528" s="141">
        <f t="shared" si="2660"/>
        <v>46019</v>
      </c>
      <c r="E16528" s="275">
        <f t="shared" si="2661"/>
        <v>46019</v>
      </c>
      <c r="F16528" s="481"/>
      <c r="G16528" s="174" t="s">
        <v>94</v>
      </c>
      <c r="H16528" s="174"/>
      <c r="J16528" s="149" t="s">
        <v>190</v>
      </c>
      <c r="K16528" s="218">
        <v>495887.72</v>
      </c>
      <c r="L16528" s="218"/>
      <c r="M16528" s="264"/>
    </row>
    <row r="16529" spans="1:13" x14ac:dyDescent="0.2">
      <c r="A16529" s="133">
        <v>2025</v>
      </c>
      <c r="B16529" s="133">
        <v>12</v>
      </c>
      <c r="C16529" s="133">
        <v>28</v>
      </c>
      <c r="D16529" s="141">
        <f t="shared" si="2660"/>
        <v>46019</v>
      </c>
      <c r="E16529" s="275">
        <f t="shared" si="2661"/>
        <v>46019</v>
      </c>
      <c r="F16529" s="481"/>
      <c r="G16529" s="174" t="s">
        <v>94</v>
      </c>
      <c r="H16529" s="174"/>
      <c r="J16529" s="149" t="s">
        <v>191</v>
      </c>
      <c r="K16529" s="218">
        <v>23325.09</v>
      </c>
      <c r="L16529" s="218"/>
    </row>
    <row r="16530" spans="1:13" x14ac:dyDescent="0.2">
      <c r="A16530" s="163">
        <v>2025</v>
      </c>
      <c r="B16530" s="163">
        <v>12</v>
      </c>
      <c r="C16530" s="163">
        <v>28</v>
      </c>
      <c r="D16530" s="280">
        <f t="shared" si="2660"/>
        <v>46019</v>
      </c>
      <c r="E16530" s="281">
        <f t="shared" si="2661"/>
        <v>46019</v>
      </c>
      <c r="F16530" s="480"/>
      <c r="G16530" s="221" t="s">
        <v>94</v>
      </c>
      <c r="H16530" s="145"/>
      <c r="I16530" s="145"/>
      <c r="J16530" s="163" t="s">
        <v>79</v>
      </c>
      <c r="K16530" s="219"/>
      <c r="L16530" s="219">
        <v>2250151.4900000002</v>
      </c>
      <c r="M16530" s="264"/>
    </row>
    <row r="16531" spans="1:13" x14ac:dyDescent="0.2">
      <c r="A16531" s="325">
        <v>2025</v>
      </c>
      <c r="B16531" s="325">
        <v>12</v>
      </c>
      <c r="C16531" s="325">
        <v>28</v>
      </c>
      <c r="D16531" s="326">
        <f t="shared" si="2660"/>
        <v>46019</v>
      </c>
      <c r="E16531" s="327">
        <f t="shared" si="2661"/>
        <v>46019</v>
      </c>
      <c r="F16531" s="473" t="s">
        <v>1940</v>
      </c>
      <c r="G16531" s="340" t="s">
        <v>94</v>
      </c>
      <c r="H16531" s="340"/>
      <c r="I16531" s="341" t="s">
        <v>348</v>
      </c>
      <c r="J16531" s="374" t="s">
        <v>133</v>
      </c>
      <c r="K16531" s="375">
        <v>7374.6057142857144</v>
      </c>
      <c r="L16531" s="375"/>
      <c r="M16531" s="176"/>
    </row>
    <row r="16532" spans="1:13" x14ac:dyDescent="0.2">
      <c r="A16532" s="331">
        <v>2025</v>
      </c>
      <c r="B16532" s="331">
        <v>12</v>
      </c>
      <c r="C16532" s="331">
        <v>28</v>
      </c>
      <c r="D16532" s="326">
        <f t="shared" si="2660"/>
        <v>46019</v>
      </c>
      <c r="E16532" s="327">
        <f t="shared" si="2661"/>
        <v>46019</v>
      </c>
      <c r="F16532" s="474"/>
      <c r="G16532" s="332" t="s">
        <v>94</v>
      </c>
      <c r="H16532" s="332"/>
      <c r="I16532" s="333" t="s">
        <v>348</v>
      </c>
      <c r="J16532" s="376" t="s">
        <v>60</v>
      </c>
      <c r="K16532" s="334"/>
      <c r="L16532" s="334">
        <f>K16531</f>
        <v>7374.6057142857144</v>
      </c>
    </row>
    <row r="16533" spans="1:13" x14ac:dyDescent="0.2">
      <c r="A16533" s="325">
        <v>2025</v>
      </c>
      <c r="B16533" s="325">
        <v>12</v>
      </c>
      <c r="C16533" s="325">
        <v>28</v>
      </c>
      <c r="D16533" s="326">
        <f t="shared" si="2660"/>
        <v>46019</v>
      </c>
      <c r="E16533" s="327">
        <f t="shared" si="2661"/>
        <v>46019</v>
      </c>
      <c r="F16533" s="473" t="s">
        <v>2131</v>
      </c>
      <c r="G16533" s="340" t="s">
        <v>94</v>
      </c>
      <c r="H16533" s="340"/>
      <c r="I16533" s="341" t="s">
        <v>348</v>
      </c>
      <c r="J16533" s="374" t="s">
        <v>2156</v>
      </c>
      <c r="K16533" s="375">
        <v>24741.758241758242</v>
      </c>
      <c r="L16533" s="375"/>
      <c r="M16533" s="176"/>
    </row>
    <row r="16534" spans="1:13" x14ac:dyDescent="0.2">
      <c r="A16534" s="331">
        <v>2025</v>
      </c>
      <c r="B16534" s="331">
        <v>12</v>
      </c>
      <c r="C16534" s="331">
        <v>28</v>
      </c>
      <c r="D16534" s="326">
        <f t="shared" si="2660"/>
        <v>46019</v>
      </c>
      <c r="E16534" s="327">
        <f t="shared" si="2661"/>
        <v>46019</v>
      </c>
      <c r="F16534" s="474"/>
      <c r="G16534" s="332" t="s">
        <v>94</v>
      </c>
      <c r="H16534" s="332"/>
      <c r="I16534" s="333" t="s">
        <v>348</v>
      </c>
      <c r="J16534" s="376" t="s">
        <v>2154</v>
      </c>
      <c r="K16534" s="334"/>
      <c r="L16534" s="334">
        <f>K16533</f>
        <v>24741.758241758242</v>
      </c>
    </row>
    <row r="16535" spans="1:13" x14ac:dyDescent="0.2">
      <c r="A16535" s="384">
        <v>2025</v>
      </c>
      <c r="B16535" s="384">
        <v>12</v>
      </c>
      <c r="C16535" s="384">
        <v>28</v>
      </c>
      <c r="D16535" s="385">
        <f t="shared" si="2660"/>
        <v>46019</v>
      </c>
      <c r="E16535" s="386">
        <f t="shared" si="2661"/>
        <v>46019</v>
      </c>
      <c r="F16535" s="475" t="s">
        <v>1966</v>
      </c>
      <c r="G16535" s="387" t="s">
        <v>94</v>
      </c>
      <c r="H16535" s="387"/>
      <c r="I16535" s="388" t="s">
        <v>348</v>
      </c>
      <c r="J16535" s="389" t="s">
        <v>67</v>
      </c>
      <c r="K16535" s="390">
        <v>736.24</v>
      </c>
      <c r="L16535" s="390"/>
      <c r="M16535" s="176"/>
    </row>
    <row r="16536" spans="1:13" x14ac:dyDescent="0.2">
      <c r="A16536" s="391">
        <v>2025</v>
      </c>
      <c r="B16536" s="391">
        <v>12</v>
      </c>
      <c r="C16536" s="391">
        <v>28</v>
      </c>
      <c r="D16536" s="385">
        <f t="shared" si="2660"/>
        <v>46019</v>
      </c>
      <c r="E16536" s="386">
        <f t="shared" si="2661"/>
        <v>46019</v>
      </c>
      <c r="F16536" s="476"/>
      <c r="G16536" s="392" t="s">
        <v>94</v>
      </c>
      <c r="H16536" s="392"/>
      <c r="I16536" s="393" t="s">
        <v>348</v>
      </c>
      <c r="J16536" s="394" t="s">
        <v>60</v>
      </c>
      <c r="K16536" s="395"/>
      <c r="L16536" s="395">
        <f>K16535</f>
        <v>736.24</v>
      </c>
    </row>
    <row r="16537" spans="1:13" x14ac:dyDescent="0.2">
      <c r="A16537" s="238">
        <v>2025</v>
      </c>
      <c r="B16537" s="238">
        <v>12</v>
      </c>
      <c r="C16537" s="238">
        <v>28</v>
      </c>
      <c r="D16537" s="270">
        <f t="shared" si="2660"/>
        <v>46019</v>
      </c>
      <c r="E16537" s="279">
        <f t="shared" si="2661"/>
        <v>46019</v>
      </c>
      <c r="F16537" s="477" t="s">
        <v>347</v>
      </c>
      <c r="G16537" s="239" t="s">
        <v>94</v>
      </c>
      <c r="H16537" s="239"/>
      <c r="I16537" s="262" t="s">
        <v>348</v>
      </c>
      <c r="J16537" s="240" t="s">
        <v>82</v>
      </c>
      <c r="K16537" s="241">
        <v>450280.30999994278</v>
      </c>
      <c r="L16537" s="241"/>
      <c r="M16537" s="160">
        <v>13139541.900000483</v>
      </c>
    </row>
    <row r="16538" spans="1:13" x14ac:dyDescent="0.2">
      <c r="A16538" s="242">
        <v>2025</v>
      </c>
      <c r="B16538" s="242">
        <v>12</v>
      </c>
      <c r="C16538" s="242">
        <v>28</v>
      </c>
      <c r="D16538" s="270">
        <f t="shared" si="2660"/>
        <v>46019</v>
      </c>
      <c r="E16538" s="279">
        <f t="shared" si="2661"/>
        <v>46019</v>
      </c>
      <c r="F16538" s="478"/>
      <c r="G16538" s="243" t="s">
        <v>94</v>
      </c>
      <c r="H16538" s="243"/>
      <c r="I16538" s="263" t="s">
        <v>348</v>
      </c>
      <c r="J16538" s="244" t="s">
        <v>108</v>
      </c>
      <c r="K16538" s="245"/>
      <c r="L16538" s="245">
        <f>K16537</f>
        <v>450280.30999994278</v>
      </c>
    </row>
    <row r="16539" spans="1:13" ht="12" customHeight="1" x14ac:dyDescent="0.2">
      <c r="A16539" s="246">
        <v>2025</v>
      </c>
      <c r="B16539" s="238">
        <v>12</v>
      </c>
      <c r="C16539" s="238">
        <v>28</v>
      </c>
      <c r="D16539" s="270">
        <f t="shared" si="2660"/>
        <v>46019</v>
      </c>
      <c r="E16539" s="279">
        <f t="shared" si="2661"/>
        <v>46019</v>
      </c>
      <c r="F16539" s="482" t="s">
        <v>148</v>
      </c>
      <c r="G16539" s="247" t="s">
        <v>94</v>
      </c>
      <c r="H16539" s="247"/>
      <c r="I16539" s="248" t="s">
        <v>348</v>
      </c>
      <c r="J16539" s="249" t="s">
        <v>95</v>
      </c>
      <c r="K16539" s="250">
        <v>1569.8587127158555</v>
      </c>
      <c r="L16539" s="241"/>
      <c r="M16539" s="176"/>
    </row>
    <row r="16540" spans="1:13" x14ac:dyDescent="0.2">
      <c r="A16540" s="242">
        <v>2025</v>
      </c>
      <c r="B16540" s="242">
        <v>12</v>
      </c>
      <c r="C16540" s="242">
        <v>28</v>
      </c>
      <c r="D16540" s="270">
        <f t="shared" si="2660"/>
        <v>46019</v>
      </c>
      <c r="E16540" s="279">
        <f t="shared" si="2661"/>
        <v>46019</v>
      </c>
      <c r="F16540" s="478"/>
      <c r="G16540" s="243" t="s">
        <v>94</v>
      </c>
      <c r="H16540" s="243"/>
      <c r="I16540" s="263" t="s">
        <v>348</v>
      </c>
      <c r="J16540" s="244" t="s">
        <v>63</v>
      </c>
      <c r="K16540" s="245"/>
      <c r="L16540" s="245">
        <f>K16539</f>
        <v>1569.8587127158555</v>
      </c>
    </row>
    <row r="16541" spans="1:13" x14ac:dyDescent="0.2">
      <c r="A16541" s="246">
        <v>2025</v>
      </c>
      <c r="B16541" s="238">
        <v>12</v>
      </c>
      <c r="C16541" s="238">
        <v>28</v>
      </c>
      <c r="D16541" s="270">
        <f t="shared" si="2660"/>
        <v>46019</v>
      </c>
      <c r="E16541" s="279">
        <f t="shared" si="2661"/>
        <v>46019</v>
      </c>
      <c r="F16541" s="482" t="s">
        <v>137</v>
      </c>
      <c r="G16541" s="247" t="s">
        <v>94</v>
      </c>
      <c r="H16541" s="247"/>
      <c r="I16541" s="248" t="s">
        <v>348</v>
      </c>
      <c r="J16541" s="249" t="s">
        <v>97</v>
      </c>
      <c r="K16541" s="250">
        <f>M16541</f>
        <v>50966.66410417045</v>
      </c>
      <c r="L16541" s="252"/>
      <c r="M16541" s="170">
        <v>50966.66410417045</v>
      </c>
    </row>
    <row r="16542" spans="1:13" x14ac:dyDescent="0.2">
      <c r="A16542" s="242">
        <v>2025</v>
      </c>
      <c r="B16542" s="242">
        <v>12</v>
      </c>
      <c r="C16542" s="242">
        <v>28</v>
      </c>
      <c r="D16542" s="270">
        <f t="shared" si="2660"/>
        <v>46019</v>
      </c>
      <c r="E16542" s="279">
        <f t="shared" si="2661"/>
        <v>46019</v>
      </c>
      <c r="F16542" s="478"/>
      <c r="G16542" s="243" t="s">
        <v>94</v>
      </c>
      <c r="H16542" s="243"/>
      <c r="I16542" s="263" t="s">
        <v>348</v>
      </c>
      <c r="J16542" s="244" t="s">
        <v>47</v>
      </c>
      <c r="K16542" s="245"/>
      <c r="L16542" s="245">
        <f>K16541</f>
        <v>50966.66410417045</v>
      </c>
      <c r="M16542" s="170">
        <v>2410.9705678458854</v>
      </c>
    </row>
    <row r="16543" spans="1:13" x14ac:dyDescent="0.2">
      <c r="A16543" s="246">
        <v>2025</v>
      </c>
      <c r="B16543" s="238">
        <v>12</v>
      </c>
      <c r="C16543" s="238">
        <v>28</v>
      </c>
      <c r="D16543" s="270">
        <f t="shared" si="2660"/>
        <v>46019</v>
      </c>
      <c r="E16543" s="279">
        <f t="shared" si="2661"/>
        <v>46019</v>
      </c>
      <c r="F16543" s="482" t="s">
        <v>138</v>
      </c>
      <c r="G16543" s="247" t="s">
        <v>94</v>
      </c>
      <c r="H16543" s="247"/>
      <c r="I16543" s="248" t="s">
        <v>348</v>
      </c>
      <c r="J16543" s="249" t="s">
        <v>100</v>
      </c>
      <c r="K16543" s="250">
        <f>M16542</f>
        <v>2410.9705678458854</v>
      </c>
      <c r="L16543" s="252"/>
    </row>
    <row r="16544" spans="1:13" x14ac:dyDescent="0.2">
      <c r="A16544" s="242">
        <v>2025</v>
      </c>
      <c r="B16544" s="242">
        <v>12</v>
      </c>
      <c r="C16544" s="242">
        <v>28</v>
      </c>
      <c r="D16544" s="321">
        <f t="shared" si="2660"/>
        <v>46019</v>
      </c>
      <c r="E16544" s="322">
        <f t="shared" si="2661"/>
        <v>46019</v>
      </c>
      <c r="F16544" s="478"/>
      <c r="G16544" s="243" t="s">
        <v>94</v>
      </c>
      <c r="H16544" s="243"/>
      <c r="I16544" s="263" t="s">
        <v>348</v>
      </c>
      <c r="J16544" s="244" t="s">
        <v>48</v>
      </c>
      <c r="K16544" s="245"/>
      <c r="L16544" s="245">
        <f>K16543</f>
        <v>2410.9705678458854</v>
      </c>
    </row>
    <row r="16545" spans="1:14" ht="11.25" customHeight="1" x14ac:dyDescent="0.2">
      <c r="A16545" s="168">
        <v>2025</v>
      </c>
      <c r="B16545" s="168">
        <v>12</v>
      </c>
      <c r="C16545" s="133">
        <v>29</v>
      </c>
      <c r="D16545" s="141">
        <f>DATE(A16545,B16545,C16545)</f>
        <v>46020</v>
      </c>
      <c r="E16545" s="275">
        <f>DATE(A16545,B16545,C16545)</f>
        <v>46020</v>
      </c>
      <c r="F16545" s="479" t="s">
        <v>964</v>
      </c>
      <c r="G16545" s="220" t="s">
        <v>74</v>
      </c>
      <c r="H16545" s="142"/>
      <c r="I16545" s="142"/>
      <c r="J16545" s="168" t="s">
        <v>52</v>
      </c>
      <c r="K16545" s="226">
        <v>360000</v>
      </c>
      <c r="L16545" s="226"/>
    </row>
    <row r="16546" spans="1:14" ht="11.25" customHeight="1" x14ac:dyDescent="0.2">
      <c r="A16546" s="133">
        <v>2025</v>
      </c>
      <c r="B16546" s="133">
        <v>12</v>
      </c>
      <c r="C16546" s="133">
        <v>29</v>
      </c>
      <c r="D16546" s="141">
        <f>DATE(A16546,B16546,C16546)</f>
        <v>46020</v>
      </c>
      <c r="E16546" s="275">
        <f>DATE(A16546,B16546,C16546)</f>
        <v>46020</v>
      </c>
      <c r="F16546" s="481"/>
      <c r="G16546" s="174" t="s">
        <v>74</v>
      </c>
      <c r="J16546" s="133" t="s">
        <v>13</v>
      </c>
      <c r="K16546" s="218"/>
      <c r="L16546" s="218">
        <v>254490</v>
      </c>
    </row>
    <row r="16547" spans="1:14" ht="11.25" customHeight="1" x14ac:dyDescent="0.2">
      <c r="A16547" s="163">
        <v>2025</v>
      </c>
      <c r="B16547" s="163">
        <v>12</v>
      </c>
      <c r="C16547" s="163">
        <v>29</v>
      </c>
      <c r="D16547" s="280">
        <f>DATE(A16547,B16547,C16547)</f>
        <v>46020</v>
      </c>
      <c r="E16547" s="281">
        <f>DATE(A16547,B16547,C16547)</f>
        <v>46020</v>
      </c>
      <c r="F16547" s="480"/>
      <c r="G16547" s="221" t="s">
        <v>74</v>
      </c>
      <c r="H16547" s="145"/>
      <c r="I16547" s="145"/>
      <c r="J16547" s="163" t="s">
        <v>53</v>
      </c>
      <c r="K16547" s="219"/>
      <c r="L16547" s="219">
        <v>105510</v>
      </c>
    </row>
    <row r="16548" spans="1:14" x14ac:dyDescent="0.2">
      <c r="A16548" s="133">
        <v>2025</v>
      </c>
      <c r="B16548" s="133">
        <v>12</v>
      </c>
      <c r="C16548" s="168">
        <v>29</v>
      </c>
      <c r="D16548" s="141">
        <f t="shared" ref="D16548:D16575" si="2662">DATE(A16548,B16548,C16548)</f>
        <v>46020</v>
      </c>
      <c r="E16548" s="275">
        <f t="shared" ref="E16548:E16575" si="2663">DATE(A16548,B16548,C16548)</f>
        <v>46020</v>
      </c>
      <c r="F16548" s="481" t="s">
        <v>2115</v>
      </c>
      <c r="G16548" s="174" t="s">
        <v>94</v>
      </c>
      <c r="H16548" s="174"/>
      <c r="J16548" s="149" t="s">
        <v>79</v>
      </c>
      <c r="K16548" s="218">
        <v>1807476</v>
      </c>
      <c r="L16548" s="218"/>
      <c r="M16548" s="160"/>
    </row>
    <row r="16549" spans="1:14" x14ac:dyDescent="0.2">
      <c r="A16549" s="133">
        <v>2025</v>
      </c>
      <c r="B16549" s="133">
        <v>12</v>
      </c>
      <c r="C16549" s="133">
        <v>29</v>
      </c>
      <c r="D16549" s="141">
        <f t="shared" si="2662"/>
        <v>46020</v>
      </c>
      <c r="E16549" s="275">
        <f t="shared" si="2663"/>
        <v>46020</v>
      </c>
      <c r="F16549" s="481"/>
      <c r="G16549" s="174" t="s">
        <v>94</v>
      </c>
      <c r="H16549" s="174"/>
      <c r="J16549" s="149" t="s">
        <v>80</v>
      </c>
      <c r="K16549" s="218">
        <v>6935.62</v>
      </c>
      <c r="L16549" s="264"/>
      <c r="M16549" s="264"/>
      <c r="N16549" s="264"/>
    </row>
    <row r="16550" spans="1:14" x14ac:dyDescent="0.2">
      <c r="A16550" s="133">
        <v>2025</v>
      </c>
      <c r="B16550" s="133">
        <v>12</v>
      </c>
      <c r="C16550" s="133">
        <v>29</v>
      </c>
      <c r="D16550" s="141">
        <f t="shared" si="2662"/>
        <v>46020</v>
      </c>
      <c r="E16550" s="275">
        <f t="shared" si="2663"/>
        <v>46020</v>
      </c>
      <c r="F16550" s="481"/>
      <c r="G16550" s="174" t="s">
        <v>94</v>
      </c>
      <c r="H16550" s="174"/>
      <c r="J16550" s="149" t="s">
        <v>190</v>
      </c>
      <c r="K16550" s="218">
        <v>231239.07</v>
      </c>
      <c r="L16550" s="218"/>
      <c r="M16550" s="264"/>
    </row>
    <row r="16551" spans="1:14" x14ac:dyDescent="0.2">
      <c r="A16551" s="133">
        <v>2025</v>
      </c>
      <c r="B16551" s="133">
        <v>12</v>
      </c>
      <c r="C16551" s="133">
        <v>29</v>
      </c>
      <c r="D16551" s="141">
        <f t="shared" si="2662"/>
        <v>46020</v>
      </c>
      <c r="E16551" s="275">
        <f t="shared" si="2663"/>
        <v>46020</v>
      </c>
      <c r="F16551" s="481"/>
      <c r="G16551" s="174" t="s">
        <v>94</v>
      </c>
      <c r="H16551" s="174"/>
      <c r="J16551" s="149" t="s">
        <v>191</v>
      </c>
      <c r="K16551" s="218">
        <v>15621.45</v>
      </c>
      <c r="L16551" s="218"/>
    </row>
    <row r="16552" spans="1:14" x14ac:dyDescent="0.2">
      <c r="A16552" s="163">
        <v>2025</v>
      </c>
      <c r="B16552" s="163">
        <v>12</v>
      </c>
      <c r="C16552" s="163">
        <v>29</v>
      </c>
      <c r="D16552" s="280">
        <f t="shared" si="2662"/>
        <v>46020</v>
      </c>
      <c r="E16552" s="281">
        <f t="shared" si="2663"/>
        <v>46020</v>
      </c>
      <c r="F16552" s="480"/>
      <c r="G16552" s="221" t="s">
        <v>94</v>
      </c>
      <c r="H16552" s="145"/>
      <c r="I16552" s="145"/>
      <c r="J16552" s="163" t="s">
        <v>79</v>
      </c>
      <c r="K16552" s="219"/>
      <c r="L16552" s="219">
        <v>2061272.15</v>
      </c>
      <c r="M16552" s="264"/>
    </row>
    <row r="16553" spans="1:14" x14ac:dyDescent="0.2">
      <c r="A16553" s="168">
        <v>2025</v>
      </c>
      <c r="B16553" s="133">
        <v>12</v>
      </c>
      <c r="C16553" s="168">
        <v>29</v>
      </c>
      <c r="D16553" s="147">
        <f>DATE(A16553,B16553,C16553)</f>
        <v>46020</v>
      </c>
      <c r="E16553" s="311">
        <f>DATE(A16553,B16553,C16553)</f>
        <v>46020</v>
      </c>
      <c r="F16553" s="481" t="s">
        <v>1951</v>
      </c>
      <c r="G16553" s="174" t="s">
        <v>74</v>
      </c>
      <c r="I16553" s="148" t="s">
        <v>348</v>
      </c>
      <c r="J16553" s="133" t="s">
        <v>61</v>
      </c>
      <c r="K16553" s="172">
        <v>805</v>
      </c>
    </row>
    <row r="16554" spans="1:14" x14ac:dyDescent="0.2">
      <c r="A16554" s="163">
        <v>2025</v>
      </c>
      <c r="B16554" s="163">
        <v>12</v>
      </c>
      <c r="C16554" s="163">
        <v>29</v>
      </c>
      <c r="D16554" s="280">
        <f>DATE(A16554,B16554,C16554)</f>
        <v>46020</v>
      </c>
      <c r="E16554" s="281">
        <f>DATE(A16554,B16554,C16554)</f>
        <v>46020</v>
      </c>
      <c r="F16554" s="480"/>
      <c r="G16554" s="221" t="s">
        <v>74</v>
      </c>
      <c r="H16554" s="145"/>
      <c r="I16554" s="145" t="s">
        <v>348</v>
      </c>
      <c r="J16554" s="163" t="s">
        <v>52</v>
      </c>
      <c r="K16554" s="219"/>
      <c r="L16554" s="219">
        <f>K16553</f>
        <v>805</v>
      </c>
    </row>
    <row r="16555" spans="1:14" x14ac:dyDescent="0.2">
      <c r="A16555" s="168">
        <v>2025</v>
      </c>
      <c r="B16555" s="133">
        <v>12</v>
      </c>
      <c r="C16555" s="168">
        <v>23</v>
      </c>
      <c r="D16555" s="147">
        <f t="shared" ref="D16555:D16556" si="2664">DATE(A16555,B16555,C16555)</f>
        <v>46014</v>
      </c>
      <c r="E16555" s="311">
        <f t="shared" ref="E16555:E16556" si="2665">DATE(A16555,B16555,C16555)</f>
        <v>46014</v>
      </c>
      <c r="F16555" s="481" t="s">
        <v>1950</v>
      </c>
      <c r="G16555" s="174" t="s">
        <v>74</v>
      </c>
      <c r="I16555" s="148" t="s">
        <v>348</v>
      </c>
      <c r="J16555" s="133" t="s">
        <v>61</v>
      </c>
      <c r="K16555" s="172">
        <v>100</v>
      </c>
    </row>
    <row r="16556" spans="1:14" x14ac:dyDescent="0.2">
      <c r="A16556" s="163">
        <v>2025</v>
      </c>
      <c r="B16556" s="163">
        <v>12</v>
      </c>
      <c r="C16556" s="163">
        <v>23</v>
      </c>
      <c r="D16556" s="280">
        <f t="shared" si="2664"/>
        <v>46014</v>
      </c>
      <c r="E16556" s="281">
        <f t="shared" si="2665"/>
        <v>46014</v>
      </c>
      <c r="F16556" s="480"/>
      <c r="G16556" s="221" t="s">
        <v>74</v>
      </c>
      <c r="H16556" s="145"/>
      <c r="I16556" s="145" t="s">
        <v>348</v>
      </c>
      <c r="J16556" s="163" t="s">
        <v>52</v>
      </c>
      <c r="K16556" s="219"/>
      <c r="L16556" s="219">
        <f>K16555</f>
        <v>100</v>
      </c>
    </row>
    <row r="16557" spans="1:14" x14ac:dyDescent="0.2">
      <c r="A16557" s="325">
        <v>2025</v>
      </c>
      <c r="B16557" s="325">
        <v>12</v>
      </c>
      <c r="C16557" s="325">
        <v>29</v>
      </c>
      <c r="D16557" s="326">
        <f t="shared" si="2662"/>
        <v>46020</v>
      </c>
      <c r="E16557" s="327">
        <f t="shared" si="2663"/>
        <v>46020</v>
      </c>
      <c r="F16557" s="473" t="s">
        <v>1940</v>
      </c>
      <c r="G16557" s="340" t="s">
        <v>94</v>
      </c>
      <c r="H16557" s="340"/>
      <c r="I16557" s="341" t="s">
        <v>348</v>
      </c>
      <c r="J16557" s="374" t="s">
        <v>133</v>
      </c>
      <c r="K16557" s="375">
        <v>1843.6514285714286</v>
      </c>
      <c r="L16557" s="375"/>
      <c r="M16557" s="176"/>
    </row>
    <row r="16558" spans="1:14" x14ac:dyDescent="0.2">
      <c r="A16558" s="331">
        <v>2025</v>
      </c>
      <c r="B16558" s="331">
        <v>12</v>
      </c>
      <c r="C16558" s="331">
        <v>29</v>
      </c>
      <c r="D16558" s="326">
        <f t="shared" si="2662"/>
        <v>46020</v>
      </c>
      <c r="E16558" s="327">
        <f t="shared" si="2663"/>
        <v>46020</v>
      </c>
      <c r="F16558" s="474"/>
      <c r="G16558" s="332" t="s">
        <v>94</v>
      </c>
      <c r="H16558" s="332"/>
      <c r="I16558" s="333" t="s">
        <v>348</v>
      </c>
      <c r="J16558" s="376" t="s">
        <v>60</v>
      </c>
      <c r="K16558" s="334"/>
      <c r="L16558" s="334">
        <f>K16557</f>
        <v>1843.6514285714286</v>
      </c>
    </row>
    <row r="16559" spans="1:14" x14ac:dyDescent="0.2">
      <c r="A16559" s="325">
        <v>2025</v>
      </c>
      <c r="B16559" s="325">
        <v>12</v>
      </c>
      <c r="C16559" s="325">
        <v>29</v>
      </c>
      <c r="D16559" s="326">
        <f t="shared" si="2662"/>
        <v>46020</v>
      </c>
      <c r="E16559" s="327">
        <f t="shared" si="2663"/>
        <v>46020</v>
      </c>
      <c r="F16559" s="473" t="s">
        <v>2131</v>
      </c>
      <c r="G16559" s="340" t="s">
        <v>94</v>
      </c>
      <c r="H16559" s="340"/>
      <c r="I16559" s="341" t="s">
        <v>348</v>
      </c>
      <c r="J16559" s="374" t="s">
        <v>2156</v>
      </c>
      <c r="K16559" s="375">
        <v>6185.4395604395604</v>
      </c>
      <c r="L16559" s="375"/>
      <c r="M16559" s="176"/>
    </row>
    <row r="16560" spans="1:14" x14ac:dyDescent="0.2">
      <c r="A16560" s="331">
        <v>2025</v>
      </c>
      <c r="B16560" s="331">
        <v>12</v>
      </c>
      <c r="C16560" s="331">
        <v>29</v>
      </c>
      <c r="D16560" s="326">
        <f t="shared" si="2662"/>
        <v>46020</v>
      </c>
      <c r="E16560" s="327">
        <f t="shared" si="2663"/>
        <v>46020</v>
      </c>
      <c r="F16560" s="474"/>
      <c r="G16560" s="332" t="s">
        <v>94</v>
      </c>
      <c r="H16560" s="332"/>
      <c r="I16560" s="333" t="s">
        <v>348</v>
      </c>
      <c r="J16560" s="376" t="s">
        <v>2154</v>
      </c>
      <c r="K16560" s="334"/>
      <c r="L16560" s="334">
        <f>K16559</f>
        <v>6185.4395604395604</v>
      </c>
    </row>
    <row r="16561" spans="1:14" x14ac:dyDescent="0.2">
      <c r="A16561" s="384">
        <v>2025</v>
      </c>
      <c r="B16561" s="384">
        <v>12</v>
      </c>
      <c r="C16561" s="384">
        <v>29</v>
      </c>
      <c r="D16561" s="385">
        <f t="shared" si="2662"/>
        <v>46020</v>
      </c>
      <c r="E16561" s="386">
        <f t="shared" si="2663"/>
        <v>46020</v>
      </c>
      <c r="F16561" s="475" t="s">
        <v>1966</v>
      </c>
      <c r="G16561" s="387" t="s">
        <v>94</v>
      </c>
      <c r="H16561" s="387"/>
      <c r="I16561" s="388" t="s">
        <v>348</v>
      </c>
      <c r="J16561" s="389" t="s">
        <v>67</v>
      </c>
      <c r="K16561" s="390">
        <v>337.86886986111108</v>
      </c>
      <c r="L16561" s="390"/>
    </row>
    <row r="16562" spans="1:14" x14ac:dyDescent="0.2">
      <c r="A16562" s="391">
        <v>2025</v>
      </c>
      <c r="B16562" s="391">
        <v>12</v>
      </c>
      <c r="C16562" s="391">
        <v>29</v>
      </c>
      <c r="D16562" s="385">
        <f t="shared" si="2662"/>
        <v>46020</v>
      </c>
      <c r="E16562" s="386">
        <f t="shared" si="2663"/>
        <v>46020</v>
      </c>
      <c r="F16562" s="476"/>
      <c r="G16562" s="392" t="s">
        <v>94</v>
      </c>
      <c r="H16562" s="392"/>
      <c r="I16562" s="393" t="s">
        <v>348</v>
      </c>
      <c r="J16562" s="394" t="s">
        <v>60</v>
      </c>
      <c r="K16562" s="395"/>
      <c r="L16562" s="395">
        <f>K16561</f>
        <v>337.86886986111108</v>
      </c>
    </row>
    <row r="16563" spans="1:14" x14ac:dyDescent="0.2">
      <c r="A16563" s="238">
        <v>2025</v>
      </c>
      <c r="B16563" s="238">
        <v>12</v>
      </c>
      <c r="C16563" s="238">
        <v>29</v>
      </c>
      <c r="D16563" s="270">
        <f t="shared" si="2662"/>
        <v>46020</v>
      </c>
      <c r="E16563" s="279">
        <f t="shared" si="2663"/>
        <v>46020</v>
      </c>
      <c r="F16563" s="477" t="s">
        <v>347</v>
      </c>
      <c r="G16563" s="239" t="s">
        <v>94</v>
      </c>
      <c r="H16563" s="239"/>
      <c r="I16563" s="262" t="s">
        <v>348</v>
      </c>
      <c r="J16563" s="240" t="s">
        <v>82</v>
      </c>
      <c r="K16563" s="241">
        <v>500420.55000004172</v>
      </c>
      <c r="L16563" s="241"/>
      <c r="M16563" s="160">
        <v>13139541.900000483</v>
      </c>
    </row>
    <row r="16564" spans="1:14" x14ac:dyDescent="0.2">
      <c r="A16564" s="242">
        <v>2025</v>
      </c>
      <c r="B16564" s="242">
        <v>12</v>
      </c>
      <c r="C16564" s="242">
        <v>29</v>
      </c>
      <c r="D16564" s="270">
        <f t="shared" si="2662"/>
        <v>46020</v>
      </c>
      <c r="E16564" s="279">
        <f t="shared" si="2663"/>
        <v>46020</v>
      </c>
      <c r="F16564" s="478"/>
      <c r="G16564" s="243" t="s">
        <v>94</v>
      </c>
      <c r="H16564" s="243"/>
      <c r="I16564" s="263" t="s">
        <v>348</v>
      </c>
      <c r="J16564" s="244" t="s">
        <v>108</v>
      </c>
      <c r="K16564" s="245"/>
      <c r="L16564" s="245">
        <f>K16563</f>
        <v>500420.55000004172</v>
      </c>
    </row>
    <row r="16565" spans="1:14" ht="12" customHeight="1" x14ac:dyDescent="0.2">
      <c r="A16565" s="246">
        <v>2025</v>
      </c>
      <c r="B16565" s="238">
        <v>12</v>
      </c>
      <c r="C16565" s="238">
        <v>29</v>
      </c>
      <c r="D16565" s="270">
        <f t="shared" si="2662"/>
        <v>46020</v>
      </c>
      <c r="E16565" s="279">
        <f t="shared" si="2663"/>
        <v>46020</v>
      </c>
      <c r="F16565" s="482" t="s">
        <v>148</v>
      </c>
      <c r="G16565" s="247" t="s">
        <v>94</v>
      </c>
      <c r="H16565" s="247"/>
      <c r="I16565" s="248" t="s">
        <v>348</v>
      </c>
      <c r="J16565" s="249" t="s">
        <v>95</v>
      </c>
      <c r="K16565" s="250">
        <v>392.46467817896388</v>
      </c>
      <c r="L16565" s="241"/>
      <c r="M16565" s="176"/>
    </row>
    <row r="16566" spans="1:14" x14ac:dyDescent="0.2">
      <c r="A16566" s="242">
        <v>2025</v>
      </c>
      <c r="B16566" s="242">
        <v>12</v>
      </c>
      <c r="C16566" s="242">
        <v>29</v>
      </c>
      <c r="D16566" s="270">
        <f t="shared" si="2662"/>
        <v>46020</v>
      </c>
      <c r="E16566" s="279">
        <f t="shared" si="2663"/>
        <v>46020</v>
      </c>
      <c r="F16566" s="478"/>
      <c r="G16566" s="243" t="s">
        <v>94</v>
      </c>
      <c r="H16566" s="243"/>
      <c r="I16566" s="263" t="s">
        <v>348</v>
      </c>
      <c r="J16566" s="244" t="s">
        <v>63</v>
      </c>
      <c r="K16566" s="245"/>
      <c r="L16566" s="245">
        <f>K16565</f>
        <v>392.46467817896388</v>
      </c>
    </row>
    <row r="16567" spans="1:14" x14ac:dyDescent="0.2">
      <c r="A16567" s="246">
        <v>2025</v>
      </c>
      <c r="B16567" s="238">
        <v>12</v>
      </c>
      <c r="C16567" s="238">
        <v>29</v>
      </c>
      <c r="D16567" s="270">
        <f t="shared" si="2662"/>
        <v>46020</v>
      </c>
      <c r="E16567" s="279">
        <f t="shared" si="2663"/>
        <v>46020</v>
      </c>
      <c r="F16567" s="482" t="s">
        <v>137</v>
      </c>
      <c r="G16567" s="247" t="s">
        <v>94</v>
      </c>
      <c r="H16567" s="247"/>
      <c r="I16567" s="248" t="s">
        <v>348</v>
      </c>
      <c r="J16567" s="249" t="s">
        <v>97</v>
      </c>
      <c r="K16567" s="250">
        <f>M16567</f>
        <v>12760.531715734858</v>
      </c>
      <c r="L16567" s="252"/>
      <c r="M16567" s="170">
        <v>12760.531715734858</v>
      </c>
    </row>
    <row r="16568" spans="1:14" x14ac:dyDescent="0.2">
      <c r="A16568" s="242">
        <v>2025</v>
      </c>
      <c r="B16568" s="242">
        <v>12</v>
      </c>
      <c r="C16568" s="242">
        <v>29</v>
      </c>
      <c r="D16568" s="270">
        <f t="shared" si="2662"/>
        <v>46020</v>
      </c>
      <c r="E16568" s="279">
        <f t="shared" si="2663"/>
        <v>46020</v>
      </c>
      <c r="F16568" s="478"/>
      <c r="G16568" s="243" t="s">
        <v>94</v>
      </c>
      <c r="H16568" s="243"/>
      <c r="I16568" s="263" t="s">
        <v>348</v>
      </c>
      <c r="J16568" s="244" t="s">
        <v>47</v>
      </c>
      <c r="K16568" s="245"/>
      <c r="L16568" s="245">
        <f>K16567</f>
        <v>12760.531715734858</v>
      </c>
      <c r="M16568" s="170">
        <v>603.68592644608339</v>
      </c>
    </row>
    <row r="16569" spans="1:14" x14ac:dyDescent="0.2">
      <c r="A16569" s="246">
        <v>2025</v>
      </c>
      <c r="B16569" s="238">
        <v>12</v>
      </c>
      <c r="C16569" s="238">
        <v>29</v>
      </c>
      <c r="D16569" s="270">
        <f t="shared" si="2662"/>
        <v>46020</v>
      </c>
      <c r="E16569" s="279">
        <f t="shared" si="2663"/>
        <v>46020</v>
      </c>
      <c r="F16569" s="482" t="s">
        <v>138</v>
      </c>
      <c r="G16569" s="247" t="s">
        <v>94</v>
      </c>
      <c r="H16569" s="247"/>
      <c r="I16569" s="248" t="s">
        <v>348</v>
      </c>
      <c r="J16569" s="249" t="s">
        <v>100</v>
      </c>
      <c r="K16569" s="250">
        <f>M16568</f>
        <v>603.68592644608339</v>
      </c>
      <c r="L16569" s="252"/>
    </row>
    <row r="16570" spans="1:14" x14ac:dyDescent="0.2">
      <c r="A16570" s="242">
        <v>2025</v>
      </c>
      <c r="B16570" s="242">
        <v>12</v>
      </c>
      <c r="C16570" s="242">
        <v>29</v>
      </c>
      <c r="D16570" s="321">
        <f t="shared" si="2662"/>
        <v>46020</v>
      </c>
      <c r="E16570" s="322">
        <f t="shared" si="2663"/>
        <v>46020</v>
      </c>
      <c r="F16570" s="478"/>
      <c r="G16570" s="243" t="s">
        <v>94</v>
      </c>
      <c r="H16570" s="243"/>
      <c r="I16570" s="263" t="s">
        <v>348</v>
      </c>
      <c r="J16570" s="244" t="s">
        <v>48</v>
      </c>
      <c r="K16570" s="245"/>
      <c r="L16570" s="245">
        <f>K16569</f>
        <v>603.68592644608339</v>
      </c>
    </row>
    <row r="16571" spans="1:14" ht="11.25" customHeight="1" x14ac:dyDescent="0.2">
      <c r="A16571" s="168">
        <v>2025</v>
      </c>
      <c r="B16571" s="133">
        <v>12</v>
      </c>
      <c r="C16571" s="168">
        <v>30</v>
      </c>
      <c r="D16571" s="141">
        <f t="shared" si="2662"/>
        <v>46021</v>
      </c>
      <c r="E16571" s="275">
        <f t="shared" si="2663"/>
        <v>46021</v>
      </c>
      <c r="F16571" s="479" t="s">
        <v>2121</v>
      </c>
      <c r="G16571" s="220" t="s">
        <v>74</v>
      </c>
      <c r="H16571" s="220"/>
      <c r="I16571" s="142"/>
      <c r="J16571" s="143" t="s">
        <v>52</v>
      </c>
      <c r="K16571" s="226">
        <v>124612.27</v>
      </c>
      <c r="L16571" s="226"/>
    </row>
    <row r="16572" spans="1:14" x14ac:dyDescent="0.2">
      <c r="A16572" s="163">
        <v>2025</v>
      </c>
      <c r="B16572" s="163">
        <v>12</v>
      </c>
      <c r="C16572" s="163">
        <v>30</v>
      </c>
      <c r="D16572" s="280">
        <f t="shared" si="2662"/>
        <v>46021</v>
      </c>
      <c r="E16572" s="281">
        <f t="shared" si="2663"/>
        <v>46021</v>
      </c>
      <c r="F16572" s="480"/>
      <c r="G16572" s="221" t="s">
        <v>74</v>
      </c>
      <c r="H16572" s="221"/>
      <c r="I16572" s="145"/>
      <c r="J16572" s="146" t="s">
        <v>190</v>
      </c>
      <c r="K16572" s="219"/>
      <c r="L16572" s="219">
        <f>K16571</f>
        <v>124612.27</v>
      </c>
      <c r="N16572" s="264"/>
    </row>
    <row r="16573" spans="1:14" ht="11.25" customHeight="1" x14ac:dyDescent="0.2">
      <c r="A16573" s="168">
        <v>2025</v>
      </c>
      <c r="B16573" s="168">
        <v>12</v>
      </c>
      <c r="C16573" s="133">
        <v>30</v>
      </c>
      <c r="D16573" s="141">
        <f t="shared" si="2662"/>
        <v>46021</v>
      </c>
      <c r="E16573" s="275">
        <f t="shared" si="2663"/>
        <v>46021</v>
      </c>
      <c r="F16573" s="479" t="s">
        <v>965</v>
      </c>
      <c r="G16573" s="220" t="s">
        <v>74</v>
      </c>
      <c r="H16573" s="142"/>
      <c r="I16573" s="142"/>
      <c r="J16573" s="168" t="s">
        <v>13</v>
      </c>
      <c r="K16573" s="226">
        <v>103460</v>
      </c>
      <c r="L16573" s="226"/>
    </row>
    <row r="16574" spans="1:14" ht="11.25" customHeight="1" x14ac:dyDescent="0.2">
      <c r="A16574" s="133">
        <v>2025</v>
      </c>
      <c r="B16574" s="133">
        <v>12</v>
      </c>
      <c r="C16574" s="133">
        <v>30</v>
      </c>
      <c r="D16574" s="141">
        <f t="shared" si="2662"/>
        <v>46021</v>
      </c>
      <c r="E16574" s="275">
        <f t="shared" si="2663"/>
        <v>46021</v>
      </c>
      <c r="F16574" s="481"/>
      <c r="G16574" s="174" t="s">
        <v>74</v>
      </c>
      <c r="J16574" s="133" t="s">
        <v>53</v>
      </c>
      <c r="K16574" s="218">
        <v>42540</v>
      </c>
      <c r="L16574" s="218"/>
    </row>
    <row r="16575" spans="1:14" ht="11.25" customHeight="1" x14ac:dyDescent="0.2">
      <c r="A16575" s="163">
        <v>2025</v>
      </c>
      <c r="B16575" s="163">
        <v>12</v>
      </c>
      <c r="C16575" s="163">
        <v>30</v>
      </c>
      <c r="D16575" s="280">
        <f t="shared" si="2662"/>
        <v>46021</v>
      </c>
      <c r="E16575" s="281">
        <f t="shared" si="2663"/>
        <v>46021</v>
      </c>
      <c r="F16575" s="480"/>
      <c r="G16575" s="221" t="s">
        <v>74</v>
      </c>
      <c r="H16575" s="145"/>
      <c r="I16575" s="145"/>
      <c r="J16575" s="163" t="s">
        <v>52</v>
      </c>
      <c r="K16575" s="219"/>
      <c r="L16575" s="219">
        <v>146000</v>
      </c>
    </row>
    <row r="16576" spans="1:14" x14ac:dyDescent="0.2">
      <c r="A16576" s="133">
        <v>2025</v>
      </c>
      <c r="B16576" s="133">
        <v>12</v>
      </c>
      <c r="C16576" s="168">
        <v>30</v>
      </c>
      <c r="D16576" s="141">
        <f t="shared" ref="D16576:D16637" si="2666">DATE(A16576,B16576,C16576)</f>
        <v>46021</v>
      </c>
      <c r="E16576" s="275">
        <f t="shared" ref="E16576:E16637" si="2667">DATE(A16576,B16576,C16576)</f>
        <v>46021</v>
      </c>
      <c r="F16576" s="481" t="s">
        <v>2115</v>
      </c>
      <c r="G16576" s="174" t="s">
        <v>94</v>
      </c>
      <c r="H16576" s="174"/>
      <c r="J16576" s="149" t="s">
        <v>79</v>
      </c>
      <c r="K16576" s="218">
        <v>1475835.8</v>
      </c>
      <c r="L16576" s="218"/>
      <c r="M16576" s="160"/>
    </row>
    <row r="16577" spans="1:15" x14ac:dyDescent="0.2">
      <c r="A16577" s="133">
        <v>2025</v>
      </c>
      <c r="B16577" s="133">
        <v>12</v>
      </c>
      <c r="C16577" s="133">
        <v>30</v>
      </c>
      <c r="D16577" s="141">
        <f t="shared" si="2666"/>
        <v>46021</v>
      </c>
      <c r="E16577" s="275">
        <f t="shared" si="2667"/>
        <v>46021</v>
      </c>
      <c r="F16577" s="481"/>
      <c r="G16577" s="174" t="s">
        <v>94</v>
      </c>
      <c r="H16577" s="174"/>
      <c r="J16577" s="149" t="s">
        <v>80</v>
      </c>
      <c r="K16577" s="218">
        <v>5206.25</v>
      </c>
      <c r="L16577" s="264"/>
      <c r="M16577" s="264"/>
      <c r="N16577" s="264"/>
    </row>
    <row r="16578" spans="1:15" x14ac:dyDescent="0.2">
      <c r="A16578" s="133">
        <v>2025</v>
      </c>
      <c r="B16578" s="133">
        <v>12</v>
      </c>
      <c r="C16578" s="133">
        <v>30</v>
      </c>
      <c r="D16578" s="141">
        <f t="shared" si="2666"/>
        <v>46021</v>
      </c>
      <c r="E16578" s="275">
        <f t="shared" si="2667"/>
        <v>46021</v>
      </c>
      <c r="F16578" s="481"/>
      <c r="G16578" s="174" t="s">
        <v>94</v>
      </c>
      <c r="H16578" s="174"/>
      <c r="J16578" s="149" t="s">
        <v>147</v>
      </c>
      <c r="K16578" s="218"/>
      <c r="L16578" s="218">
        <v>64518.85</v>
      </c>
      <c r="M16578" s="264"/>
    </row>
    <row r="16579" spans="1:15" x14ac:dyDescent="0.2">
      <c r="A16579" s="133">
        <v>2025</v>
      </c>
      <c r="B16579" s="133">
        <v>12</v>
      </c>
      <c r="C16579" s="133">
        <v>30</v>
      </c>
      <c r="D16579" s="141">
        <f t="shared" si="2666"/>
        <v>46021</v>
      </c>
      <c r="E16579" s="275">
        <f t="shared" si="2667"/>
        <v>46021</v>
      </c>
      <c r="F16579" s="481"/>
      <c r="G16579" s="174" t="s">
        <v>94</v>
      </c>
      <c r="H16579" s="174"/>
      <c r="J16579" s="149" t="s">
        <v>191</v>
      </c>
      <c r="K16579" s="218">
        <v>31095.19</v>
      </c>
      <c r="L16579" s="218"/>
    </row>
    <row r="16580" spans="1:15" x14ac:dyDescent="0.2">
      <c r="A16580" s="163">
        <v>2025</v>
      </c>
      <c r="B16580" s="163">
        <v>12</v>
      </c>
      <c r="C16580" s="163">
        <v>30</v>
      </c>
      <c r="D16580" s="280">
        <f t="shared" si="2666"/>
        <v>46021</v>
      </c>
      <c r="E16580" s="281">
        <f t="shared" si="2667"/>
        <v>46021</v>
      </c>
      <c r="F16580" s="480"/>
      <c r="G16580" s="221" t="s">
        <v>94</v>
      </c>
      <c r="H16580" s="145"/>
      <c r="I16580" s="145"/>
      <c r="J16580" s="163" t="s">
        <v>79</v>
      </c>
      <c r="K16580" s="219"/>
      <c r="L16580" s="219">
        <v>1447618.39</v>
      </c>
      <c r="M16580" s="264"/>
    </row>
    <row r="16581" spans="1:15" x14ac:dyDescent="0.2">
      <c r="A16581" s="133">
        <v>2025</v>
      </c>
      <c r="B16581" s="133">
        <v>12</v>
      </c>
      <c r="C16581" s="133">
        <v>30</v>
      </c>
      <c r="D16581" s="141">
        <f t="shared" ref="D16581:D16582" si="2668">DATE(A16581,B16581,C16581)</f>
        <v>46021</v>
      </c>
      <c r="E16581" s="275">
        <f t="shared" ref="E16581:E16582" si="2669">DATE(A16581,B16581,C16581)</f>
        <v>46021</v>
      </c>
      <c r="F16581" s="481" t="s">
        <v>2146</v>
      </c>
      <c r="G16581" s="174" t="s">
        <v>94</v>
      </c>
      <c r="H16581" s="174"/>
      <c r="J16581" s="149" t="s">
        <v>80</v>
      </c>
      <c r="K16581" s="218">
        <v>200.89</v>
      </c>
      <c r="L16581" s="264"/>
      <c r="M16581" s="264"/>
      <c r="N16581" s="264"/>
    </row>
    <row r="16582" spans="1:15" x14ac:dyDescent="0.2">
      <c r="A16582" s="163">
        <v>2025</v>
      </c>
      <c r="B16582" s="163">
        <v>12</v>
      </c>
      <c r="C16582" s="163">
        <v>30</v>
      </c>
      <c r="D16582" s="280">
        <f t="shared" si="2668"/>
        <v>46021</v>
      </c>
      <c r="E16582" s="281">
        <f t="shared" si="2669"/>
        <v>46021</v>
      </c>
      <c r="F16582" s="480"/>
      <c r="G16582" s="221" t="s">
        <v>94</v>
      </c>
      <c r="H16582" s="145"/>
      <c r="I16582" s="145"/>
      <c r="J16582" s="163" t="s">
        <v>190</v>
      </c>
      <c r="K16582" s="219"/>
      <c r="L16582" s="219">
        <f>K16581</f>
        <v>200.89</v>
      </c>
      <c r="M16582" s="264"/>
    </row>
    <row r="16583" spans="1:15" ht="11.25" customHeight="1" x14ac:dyDescent="0.2">
      <c r="A16583" s="168">
        <v>2025</v>
      </c>
      <c r="B16583" s="168">
        <v>12</v>
      </c>
      <c r="C16583" s="133">
        <v>30</v>
      </c>
      <c r="D16583" s="141">
        <f>DATE(A16583,B16583,C16583)</f>
        <v>46021</v>
      </c>
      <c r="E16583" s="275">
        <f>DATE(A16583,B16583,C16583)</f>
        <v>46021</v>
      </c>
      <c r="F16583" s="479" t="s">
        <v>964</v>
      </c>
      <c r="G16583" s="220" t="s">
        <v>74</v>
      </c>
      <c r="H16583" s="142"/>
      <c r="I16583" s="142"/>
      <c r="J16583" s="168" t="s">
        <v>52</v>
      </c>
      <c r="K16583" s="226">
        <v>1300000</v>
      </c>
      <c r="L16583" s="226"/>
    </row>
    <row r="16584" spans="1:15" ht="11.25" customHeight="1" x14ac:dyDescent="0.2">
      <c r="A16584" s="133">
        <v>2025</v>
      </c>
      <c r="B16584" s="133">
        <v>12</v>
      </c>
      <c r="C16584" s="133">
        <v>30</v>
      </c>
      <c r="D16584" s="141">
        <f>DATE(A16584,B16584,C16584)</f>
        <v>46021</v>
      </c>
      <c r="E16584" s="275">
        <f>DATE(A16584,B16584,C16584)</f>
        <v>46021</v>
      </c>
      <c r="F16584" s="481"/>
      <c r="G16584" s="174" t="s">
        <v>74</v>
      </c>
      <c r="J16584" s="133" t="s">
        <v>13</v>
      </c>
      <c r="K16584" s="218"/>
      <c r="L16584" s="218">
        <v>921200</v>
      </c>
    </row>
    <row r="16585" spans="1:15" ht="11.25" customHeight="1" x14ac:dyDescent="0.2">
      <c r="A16585" s="163">
        <v>2025</v>
      </c>
      <c r="B16585" s="163">
        <v>12</v>
      </c>
      <c r="C16585" s="163">
        <v>30</v>
      </c>
      <c r="D16585" s="280">
        <f>DATE(A16585,B16585,C16585)</f>
        <v>46021</v>
      </c>
      <c r="E16585" s="281">
        <f>DATE(A16585,B16585,C16585)</f>
        <v>46021</v>
      </c>
      <c r="F16585" s="480"/>
      <c r="G16585" s="221" t="s">
        <v>74</v>
      </c>
      <c r="H16585" s="145"/>
      <c r="I16585" s="145"/>
      <c r="J16585" s="163" t="s">
        <v>53</v>
      </c>
      <c r="K16585" s="219"/>
      <c r="L16585" s="219">
        <v>378800</v>
      </c>
    </row>
    <row r="16586" spans="1:15" x14ac:dyDescent="0.2">
      <c r="A16586" s="168">
        <v>2025</v>
      </c>
      <c r="B16586" s="133">
        <v>12</v>
      </c>
      <c r="C16586" s="168">
        <v>30</v>
      </c>
      <c r="D16586" s="147">
        <f t="shared" ref="D16586:D16592" si="2670">DATE(A16586,B16586,C16586)</f>
        <v>46021</v>
      </c>
      <c r="E16586" s="311">
        <f t="shared" ref="E16586:E16592" si="2671">DATE(A16586,B16586,C16586)</f>
        <v>46021</v>
      </c>
      <c r="F16586" s="481" t="s">
        <v>1956</v>
      </c>
      <c r="G16586" s="174" t="s">
        <v>74</v>
      </c>
      <c r="I16586" s="148" t="s">
        <v>348</v>
      </c>
      <c r="J16586" s="133" t="s">
        <v>61</v>
      </c>
      <c r="K16586" s="172">
        <v>60</v>
      </c>
    </row>
    <row r="16587" spans="1:15" x14ac:dyDescent="0.2">
      <c r="A16587" s="163">
        <v>2025</v>
      </c>
      <c r="B16587" s="163">
        <v>12</v>
      </c>
      <c r="C16587" s="163">
        <v>30</v>
      </c>
      <c r="D16587" s="280">
        <f t="shared" si="2670"/>
        <v>46021</v>
      </c>
      <c r="E16587" s="281">
        <f t="shared" si="2671"/>
        <v>46021</v>
      </c>
      <c r="F16587" s="480"/>
      <c r="G16587" s="221" t="s">
        <v>74</v>
      </c>
      <c r="H16587" s="145"/>
      <c r="I16587" s="145" t="s">
        <v>348</v>
      </c>
      <c r="J16587" s="163" t="s">
        <v>52</v>
      </c>
      <c r="K16587" s="219"/>
      <c r="L16587" s="219">
        <f>K16586</f>
        <v>60</v>
      </c>
    </row>
    <row r="16588" spans="1:15" x14ac:dyDescent="0.2">
      <c r="A16588" s="168">
        <v>2025</v>
      </c>
      <c r="B16588" s="168">
        <v>12</v>
      </c>
      <c r="C16588" s="168">
        <v>30</v>
      </c>
      <c r="D16588" s="141">
        <f t="shared" si="2670"/>
        <v>46021</v>
      </c>
      <c r="E16588" s="275">
        <f t="shared" si="2671"/>
        <v>46021</v>
      </c>
      <c r="F16588" s="479" t="s">
        <v>2143</v>
      </c>
      <c r="G16588" s="174" t="s">
        <v>74</v>
      </c>
      <c r="I16588" s="148" t="s">
        <v>348</v>
      </c>
      <c r="J16588" s="133" t="s">
        <v>47</v>
      </c>
      <c r="K16588" s="172">
        <v>141176.47</v>
      </c>
      <c r="N16588" s="264"/>
    </row>
    <row r="16589" spans="1:15" x14ac:dyDescent="0.2">
      <c r="A16589" s="133">
        <v>2025</v>
      </c>
      <c r="B16589" s="133">
        <v>12</v>
      </c>
      <c r="C16589" s="133">
        <v>30</v>
      </c>
      <c r="D16589" s="141">
        <f t="shared" si="2670"/>
        <v>46021</v>
      </c>
      <c r="E16589" s="275">
        <f t="shared" si="2671"/>
        <v>46021</v>
      </c>
      <c r="F16589" s="481"/>
      <c r="G16589" s="174" t="s">
        <v>74</v>
      </c>
      <c r="J16589" s="133" t="s">
        <v>534</v>
      </c>
      <c r="K16589" s="218"/>
      <c r="L16589" s="218">
        <v>21176.47</v>
      </c>
      <c r="N16589" s="264"/>
    </row>
    <row r="16590" spans="1:15" x14ac:dyDescent="0.2">
      <c r="A16590" s="163">
        <v>2025</v>
      </c>
      <c r="B16590" s="163">
        <v>12</v>
      </c>
      <c r="C16590" s="163">
        <v>30</v>
      </c>
      <c r="D16590" s="280">
        <f t="shared" si="2670"/>
        <v>46021</v>
      </c>
      <c r="E16590" s="281">
        <f t="shared" si="2671"/>
        <v>46021</v>
      </c>
      <c r="F16590" s="480"/>
      <c r="G16590" s="221" t="s">
        <v>74</v>
      </c>
      <c r="H16590" s="145"/>
      <c r="I16590" s="145" t="s">
        <v>348</v>
      </c>
      <c r="J16590" s="163" t="s">
        <v>52</v>
      </c>
      <c r="K16590" s="219"/>
      <c r="L16590" s="219">
        <v>120000</v>
      </c>
      <c r="M16590" s="160"/>
      <c r="O16590" s="373"/>
    </row>
    <row r="16591" spans="1:15" ht="11.25" customHeight="1" x14ac:dyDescent="0.2">
      <c r="A16591" s="168">
        <v>2025</v>
      </c>
      <c r="B16591" s="133">
        <v>12</v>
      </c>
      <c r="C16591" s="168">
        <v>30</v>
      </c>
      <c r="D16591" s="141">
        <f t="shared" si="2670"/>
        <v>46021</v>
      </c>
      <c r="E16591" s="275">
        <f t="shared" si="2671"/>
        <v>46021</v>
      </c>
      <c r="F16591" s="479" t="s">
        <v>2116</v>
      </c>
      <c r="G16591" s="220" t="s">
        <v>74</v>
      </c>
      <c r="H16591" s="220"/>
      <c r="I16591" s="142"/>
      <c r="J16591" s="143" t="s">
        <v>147</v>
      </c>
      <c r="K16591" s="226">
        <v>849384.85</v>
      </c>
      <c r="L16591" s="226"/>
    </row>
    <row r="16592" spans="1:15" x14ac:dyDescent="0.2">
      <c r="A16592" s="163">
        <v>2025</v>
      </c>
      <c r="B16592" s="163">
        <v>12</v>
      </c>
      <c r="C16592" s="163">
        <v>30</v>
      </c>
      <c r="D16592" s="280">
        <f t="shared" si="2670"/>
        <v>46021</v>
      </c>
      <c r="E16592" s="281">
        <f t="shared" si="2671"/>
        <v>46021</v>
      </c>
      <c r="F16592" s="480"/>
      <c r="G16592" s="221" t="s">
        <v>74</v>
      </c>
      <c r="H16592" s="221"/>
      <c r="I16592" s="145"/>
      <c r="J16592" s="146" t="s">
        <v>52</v>
      </c>
      <c r="K16592" s="219"/>
      <c r="L16592" s="219">
        <f>K16591</f>
        <v>849384.85</v>
      </c>
      <c r="N16592" s="264"/>
    </row>
    <row r="16593" spans="1:12" x14ac:dyDescent="0.2">
      <c r="A16593" s="168">
        <v>2025</v>
      </c>
      <c r="B16593" s="133">
        <v>12</v>
      </c>
      <c r="C16593" s="168">
        <v>30</v>
      </c>
      <c r="D16593" s="147">
        <f t="shared" ref="D16593:D16597" si="2672">DATE(A16593,B16593,C16593)</f>
        <v>46021</v>
      </c>
      <c r="E16593" s="311">
        <f t="shared" ref="E16593:E16597" si="2673">DATE(A16593,B16593,C16593)</f>
        <v>46021</v>
      </c>
      <c r="F16593" s="481" t="s">
        <v>1943</v>
      </c>
      <c r="G16593" s="174" t="s">
        <v>74</v>
      </c>
      <c r="I16593" s="148" t="s">
        <v>348</v>
      </c>
      <c r="J16593" s="133" t="s">
        <v>61</v>
      </c>
      <c r="K16593" s="172">
        <v>58</v>
      </c>
    </row>
    <row r="16594" spans="1:12" x14ac:dyDescent="0.2">
      <c r="A16594" s="163">
        <v>2025</v>
      </c>
      <c r="B16594" s="163">
        <v>12</v>
      </c>
      <c r="C16594" s="163">
        <v>30</v>
      </c>
      <c r="D16594" s="280">
        <f t="shared" si="2672"/>
        <v>46021</v>
      </c>
      <c r="E16594" s="281">
        <f t="shared" si="2673"/>
        <v>46021</v>
      </c>
      <c r="F16594" s="480"/>
      <c r="G16594" s="221" t="s">
        <v>74</v>
      </c>
      <c r="H16594" s="145"/>
      <c r="I16594" s="145" t="s">
        <v>348</v>
      </c>
      <c r="J16594" s="163" t="s">
        <v>52</v>
      </c>
      <c r="K16594" s="219"/>
      <c r="L16594" s="219">
        <f>K16593</f>
        <v>58</v>
      </c>
    </row>
    <row r="16595" spans="1:12" x14ac:dyDescent="0.2">
      <c r="A16595" s="133">
        <v>2025</v>
      </c>
      <c r="B16595" s="133">
        <v>12</v>
      </c>
      <c r="C16595" s="168">
        <v>30</v>
      </c>
      <c r="D16595" s="141">
        <f t="shared" si="2672"/>
        <v>46021</v>
      </c>
      <c r="E16595" s="275">
        <f t="shared" si="2673"/>
        <v>46021</v>
      </c>
      <c r="F16595" s="479" t="s">
        <v>2018</v>
      </c>
      <c r="G16595" s="174" t="s">
        <v>74</v>
      </c>
      <c r="I16595" s="148" t="s">
        <v>348</v>
      </c>
      <c r="J16595" s="133" t="s">
        <v>52</v>
      </c>
      <c r="K16595" s="172">
        <v>115544</v>
      </c>
    </row>
    <row r="16596" spans="1:12" x14ac:dyDescent="0.2">
      <c r="A16596" s="133">
        <v>2025</v>
      </c>
      <c r="B16596" s="133">
        <v>12</v>
      </c>
      <c r="C16596" s="133">
        <v>30</v>
      </c>
      <c r="D16596" s="280">
        <f t="shared" si="2672"/>
        <v>46021</v>
      </c>
      <c r="E16596" s="281">
        <f t="shared" si="2673"/>
        <v>46021</v>
      </c>
      <c r="F16596" s="481"/>
      <c r="G16596" s="174" t="s">
        <v>74</v>
      </c>
      <c r="I16596" s="148" t="s">
        <v>348</v>
      </c>
      <c r="J16596" s="133" t="s">
        <v>60</v>
      </c>
      <c r="K16596" s="218"/>
      <c r="L16596" s="218">
        <v>1393.77</v>
      </c>
    </row>
    <row r="16597" spans="1:12" x14ac:dyDescent="0.2">
      <c r="A16597" s="163">
        <v>2025</v>
      </c>
      <c r="B16597" s="163">
        <v>12</v>
      </c>
      <c r="C16597" s="163">
        <v>30</v>
      </c>
      <c r="D16597" s="280">
        <f t="shared" si="2672"/>
        <v>46021</v>
      </c>
      <c r="E16597" s="281">
        <f t="shared" si="2673"/>
        <v>46021</v>
      </c>
      <c r="F16597" s="480"/>
      <c r="G16597" s="221" t="s">
        <v>74</v>
      </c>
      <c r="H16597" s="145"/>
      <c r="I16597" s="145" t="s">
        <v>348</v>
      </c>
      <c r="J16597" s="163" t="s">
        <v>67</v>
      </c>
      <c r="K16597" s="219"/>
      <c r="L16597" s="219">
        <v>114150.23246087431</v>
      </c>
    </row>
    <row r="16598" spans="1:12" x14ac:dyDescent="0.2">
      <c r="A16598" s="168">
        <v>2025</v>
      </c>
      <c r="B16598" s="133">
        <v>12</v>
      </c>
      <c r="C16598" s="168">
        <v>30</v>
      </c>
      <c r="D16598" s="147">
        <f>DATE(A16598,B16598,C16598)</f>
        <v>46021</v>
      </c>
      <c r="E16598" s="311">
        <f>DATE(A16598,B16598,C16598)</f>
        <v>46021</v>
      </c>
      <c r="F16598" s="481" t="s">
        <v>1943</v>
      </c>
      <c r="G16598" s="174" t="s">
        <v>74</v>
      </c>
      <c r="I16598" s="148" t="s">
        <v>348</v>
      </c>
      <c r="J16598" s="133" t="s">
        <v>61</v>
      </c>
      <c r="K16598" s="172">
        <v>20345</v>
      </c>
    </row>
    <row r="16599" spans="1:12" x14ac:dyDescent="0.2">
      <c r="A16599" s="163">
        <v>2025</v>
      </c>
      <c r="B16599" s="163">
        <v>12</v>
      </c>
      <c r="C16599" s="163">
        <v>30</v>
      </c>
      <c r="D16599" s="280">
        <f>DATE(A16599,B16599,C16599)</f>
        <v>46021</v>
      </c>
      <c r="E16599" s="281">
        <f>DATE(A16599,B16599,C16599)</f>
        <v>46021</v>
      </c>
      <c r="F16599" s="480"/>
      <c r="G16599" s="221" t="s">
        <v>74</v>
      </c>
      <c r="H16599" s="145"/>
      <c r="I16599" s="145" t="s">
        <v>348</v>
      </c>
      <c r="J16599" s="163" t="s">
        <v>52</v>
      </c>
      <c r="K16599" s="219"/>
      <c r="L16599" s="219">
        <f>K16598</f>
        <v>20345</v>
      </c>
    </row>
    <row r="16600" spans="1:12" x14ac:dyDescent="0.2">
      <c r="A16600" s="133">
        <v>2025</v>
      </c>
      <c r="B16600" s="133">
        <v>12</v>
      </c>
      <c r="C16600" s="168">
        <v>30</v>
      </c>
      <c r="D16600" s="141">
        <f t="shared" ref="D16600:D16602" si="2674">DATE(A16600,B16600,C16600)</f>
        <v>46021</v>
      </c>
      <c r="E16600" s="275">
        <f t="shared" ref="E16600:E16602" si="2675">DATE(A16600,B16600,C16600)</f>
        <v>46021</v>
      </c>
      <c r="F16600" s="479" t="s">
        <v>2018</v>
      </c>
      <c r="G16600" s="174" t="s">
        <v>74</v>
      </c>
      <c r="I16600" s="148" t="s">
        <v>348</v>
      </c>
      <c r="J16600" s="133" t="s">
        <v>52</v>
      </c>
      <c r="K16600" s="172">
        <v>31542</v>
      </c>
    </row>
    <row r="16601" spans="1:12" x14ac:dyDescent="0.2">
      <c r="A16601" s="133">
        <v>2025</v>
      </c>
      <c r="B16601" s="133">
        <v>12</v>
      </c>
      <c r="C16601" s="133">
        <v>30</v>
      </c>
      <c r="D16601" s="280">
        <f t="shared" si="2674"/>
        <v>46021</v>
      </c>
      <c r="E16601" s="281">
        <f t="shared" si="2675"/>
        <v>46021</v>
      </c>
      <c r="F16601" s="481"/>
      <c r="G16601" s="174" t="s">
        <v>74</v>
      </c>
      <c r="I16601" s="148" t="s">
        <v>348</v>
      </c>
      <c r="J16601" s="133" t="s">
        <v>60</v>
      </c>
      <c r="K16601" s="218">
        <v>807.6</v>
      </c>
      <c r="L16601" s="218"/>
    </row>
    <row r="16602" spans="1:12" x14ac:dyDescent="0.2">
      <c r="A16602" s="163">
        <v>2025</v>
      </c>
      <c r="B16602" s="163">
        <v>12</v>
      </c>
      <c r="C16602" s="163">
        <v>30</v>
      </c>
      <c r="D16602" s="280">
        <f t="shared" si="2674"/>
        <v>46021</v>
      </c>
      <c r="E16602" s="281">
        <f t="shared" si="2675"/>
        <v>46021</v>
      </c>
      <c r="F16602" s="480"/>
      <c r="G16602" s="221" t="s">
        <v>74</v>
      </c>
      <c r="H16602" s="145"/>
      <c r="I16602" s="145" t="s">
        <v>348</v>
      </c>
      <c r="J16602" s="163" t="s">
        <v>67</v>
      </c>
      <c r="K16602" s="219"/>
      <c r="L16602" s="219">
        <v>32349.601716666704</v>
      </c>
    </row>
    <row r="16603" spans="1:12" x14ac:dyDescent="0.2">
      <c r="A16603" s="168">
        <v>2025</v>
      </c>
      <c r="B16603" s="133">
        <v>12</v>
      </c>
      <c r="C16603" s="168">
        <v>30</v>
      </c>
      <c r="D16603" s="147">
        <f>DATE(A16603,B16603,C16603)</f>
        <v>46021</v>
      </c>
      <c r="E16603" s="311">
        <f>DATE(A16603,B16603,C16603)</f>
        <v>46021</v>
      </c>
      <c r="F16603" s="481" t="s">
        <v>1943</v>
      </c>
      <c r="G16603" s="174" t="s">
        <v>74</v>
      </c>
      <c r="I16603" s="148" t="s">
        <v>348</v>
      </c>
      <c r="J16603" s="133" t="s">
        <v>61</v>
      </c>
      <c r="K16603" s="172">
        <v>10575</v>
      </c>
    </row>
    <row r="16604" spans="1:12" x14ac:dyDescent="0.2">
      <c r="A16604" s="163">
        <v>2025</v>
      </c>
      <c r="B16604" s="163">
        <v>12</v>
      </c>
      <c r="C16604" s="163">
        <v>30</v>
      </c>
      <c r="D16604" s="280">
        <f>DATE(A16604,B16604,C16604)</f>
        <v>46021</v>
      </c>
      <c r="E16604" s="281">
        <f>DATE(A16604,B16604,C16604)</f>
        <v>46021</v>
      </c>
      <c r="F16604" s="480"/>
      <c r="G16604" s="221" t="s">
        <v>74</v>
      </c>
      <c r="H16604" s="145"/>
      <c r="I16604" s="145" t="s">
        <v>348</v>
      </c>
      <c r="J16604" s="163" t="s">
        <v>52</v>
      </c>
      <c r="K16604" s="219"/>
      <c r="L16604" s="219">
        <f>K16603</f>
        <v>10575</v>
      </c>
    </row>
    <row r="16605" spans="1:12" x14ac:dyDescent="0.2">
      <c r="A16605" s="168">
        <v>2025</v>
      </c>
      <c r="B16605" s="133">
        <v>12</v>
      </c>
      <c r="C16605" s="168">
        <v>30</v>
      </c>
      <c r="D16605" s="147">
        <f t="shared" ref="D16605:D16609" si="2676">DATE(A16605,B16605,C16605)</f>
        <v>46021</v>
      </c>
      <c r="E16605" s="311">
        <f t="shared" ref="E16605:E16609" si="2677">DATE(A16605,B16605,C16605)</f>
        <v>46021</v>
      </c>
      <c r="F16605" s="481" t="s">
        <v>1950</v>
      </c>
      <c r="G16605" s="174" t="s">
        <v>74</v>
      </c>
      <c r="I16605" s="148" t="s">
        <v>348</v>
      </c>
      <c r="J16605" s="133" t="s">
        <v>61</v>
      </c>
      <c r="K16605" s="172">
        <v>5000</v>
      </c>
    </row>
    <row r="16606" spans="1:12" x14ac:dyDescent="0.2">
      <c r="A16606" s="163">
        <v>2025</v>
      </c>
      <c r="B16606" s="163">
        <v>12</v>
      </c>
      <c r="C16606" s="163">
        <v>30</v>
      </c>
      <c r="D16606" s="280">
        <f t="shared" si="2676"/>
        <v>46021</v>
      </c>
      <c r="E16606" s="281">
        <f t="shared" si="2677"/>
        <v>46021</v>
      </c>
      <c r="F16606" s="480"/>
      <c r="G16606" s="221" t="s">
        <v>74</v>
      </c>
      <c r="H16606" s="145"/>
      <c r="I16606" s="145" t="s">
        <v>348</v>
      </c>
      <c r="J16606" s="163" t="s">
        <v>52</v>
      </c>
      <c r="K16606" s="219"/>
      <c r="L16606" s="219">
        <f>K16605</f>
        <v>5000</v>
      </c>
    </row>
    <row r="16607" spans="1:12" x14ac:dyDescent="0.2">
      <c r="A16607" s="133">
        <v>2025</v>
      </c>
      <c r="B16607" s="133">
        <v>12</v>
      </c>
      <c r="C16607" s="168">
        <v>30</v>
      </c>
      <c r="D16607" s="141">
        <f t="shared" si="2676"/>
        <v>46021</v>
      </c>
      <c r="E16607" s="275">
        <f t="shared" si="2677"/>
        <v>46021</v>
      </c>
      <c r="F16607" s="479" t="s">
        <v>1949</v>
      </c>
      <c r="G16607" s="174" t="s">
        <v>74</v>
      </c>
      <c r="I16607" s="148" t="s">
        <v>348</v>
      </c>
      <c r="J16607" s="133" t="s">
        <v>52</v>
      </c>
      <c r="K16607" s="172">
        <v>18539.8</v>
      </c>
    </row>
    <row r="16608" spans="1:12" x14ac:dyDescent="0.2">
      <c r="A16608" s="133">
        <v>2025</v>
      </c>
      <c r="B16608" s="133">
        <v>12</v>
      </c>
      <c r="C16608" s="133">
        <v>30</v>
      </c>
      <c r="D16608" s="280">
        <f t="shared" si="2676"/>
        <v>46021</v>
      </c>
      <c r="E16608" s="281">
        <f t="shared" si="2677"/>
        <v>46021</v>
      </c>
      <c r="F16608" s="481"/>
      <c r="G16608" s="174" t="s">
        <v>74</v>
      </c>
      <c r="I16608" s="148" t="s">
        <v>348</v>
      </c>
      <c r="J16608" s="133" t="s">
        <v>60</v>
      </c>
      <c r="K16608" s="218"/>
      <c r="L16608" s="218">
        <v>6410.64</v>
      </c>
    </row>
    <row r="16609" spans="1:13" x14ac:dyDescent="0.2">
      <c r="A16609" s="163">
        <v>2025</v>
      </c>
      <c r="B16609" s="163">
        <v>12</v>
      </c>
      <c r="C16609" s="163">
        <v>30</v>
      </c>
      <c r="D16609" s="280">
        <f t="shared" si="2676"/>
        <v>46021</v>
      </c>
      <c r="E16609" s="281">
        <f t="shared" si="2677"/>
        <v>46021</v>
      </c>
      <c r="F16609" s="480"/>
      <c r="G16609" s="221" t="s">
        <v>74</v>
      </c>
      <c r="H16609" s="145"/>
      <c r="I16609" s="145" t="s">
        <v>348</v>
      </c>
      <c r="J16609" s="163" t="s">
        <v>67</v>
      </c>
      <c r="K16609" s="219"/>
      <c r="L16609" s="219">
        <v>12129.168724444467</v>
      </c>
    </row>
    <row r="16610" spans="1:13" x14ac:dyDescent="0.2">
      <c r="A16610" s="133">
        <v>2025</v>
      </c>
      <c r="B16610" s="133">
        <v>12</v>
      </c>
      <c r="C16610" s="168">
        <v>30</v>
      </c>
      <c r="D16610" s="141">
        <f t="shared" ref="D16610:D16614" si="2678">DATE(A16610,B16610,C16610)</f>
        <v>46021</v>
      </c>
      <c r="E16610" s="275">
        <f t="shared" ref="E16610:E16614" si="2679">DATE(A16610,B16610,C16610)</f>
        <v>46021</v>
      </c>
      <c r="F16610" s="479" t="s">
        <v>1954</v>
      </c>
      <c r="G16610" s="174" t="s">
        <v>74</v>
      </c>
      <c r="I16610" s="148" t="s">
        <v>348</v>
      </c>
      <c r="J16610" s="133" t="s">
        <v>52</v>
      </c>
      <c r="K16610" s="172">
        <v>27</v>
      </c>
    </row>
    <row r="16611" spans="1:13" x14ac:dyDescent="0.2">
      <c r="A16611" s="133">
        <v>2025</v>
      </c>
      <c r="B16611" s="133">
        <v>12</v>
      </c>
      <c r="C16611" s="133">
        <v>30</v>
      </c>
      <c r="D16611" s="280">
        <f t="shared" si="2678"/>
        <v>46021</v>
      </c>
      <c r="E16611" s="281">
        <f t="shared" si="2679"/>
        <v>46021</v>
      </c>
      <c r="F16611" s="481"/>
      <c r="G16611" s="174" t="s">
        <v>74</v>
      </c>
      <c r="I16611" s="148" t="s">
        <v>348</v>
      </c>
      <c r="J16611" s="133" t="s">
        <v>60</v>
      </c>
      <c r="K16611" s="218">
        <v>12.33</v>
      </c>
      <c r="L16611" s="218"/>
    </row>
    <row r="16612" spans="1:13" x14ac:dyDescent="0.2">
      <c r="A16612" s="163">
        <v>2025</v>
      </c>
      <c r="B16612" s="163">
        <v>12</v>
      </c>
      <c r="C16612" s="163">
        <v>30</v>
      </c>
      <c r="D16612" s="280">
        <f t="shared" si="2678"/>
        <v>46021</v>
      </c>
      <c r="E16612" s="281">
        <f t="shared" si="2679"/>
        <v>46021</v>
      </c>
      <c r="F16612" s="480"/>
      <c r="G16612" s="221" t="s">
        <v>74</v>
      </c>
      <c r="H16612" s="145"/>
      <c r="I16612" s="145" t="s">
        <v>348</v>
      </c>
      <c r="J16612" s="163" t="s">
        <v>67</v>
      </c>
      <c r="K16612" s="219"/>
      <c r="L16612" s="219">
        <v>39.329854861111201</v>
      </c>
    </row>
    <row r="16613" spans="1:13" x14ac:dyDescent="0.2">
      <c r="A16613" s="168">
        <v>2025</v>
      </c>
      <c r="B16613" s="133">
        <v>12</v>
      </c>
      <c r="C16613" s="168">
        <v>30</v>
      </c>
      <c r="D16613" s="147">
        <f t="shared" si="2678"/>
        <v>46021</v>
      </c>
      <c r="E16613" s="311">
        <f t="shared" si="2679"/>
        <v>46021</v>
      </c>
      <c r="F16613" s="481" t="s">
        <v>1953</v>
      </c>
      <c r="G16613" s="174" t="s">
        <v>74</v>
      </c>
      <c r="I16613" s="148" t="s">
        <v>348</v>
      </c>
      <c r="J16613" s="133" t="s">
        <v>61</v>
      </c>
      <c r="K16613" s="172">
        <v>8.1</v>
      </c>
    </row>
    <row r="16614" spans="1:13" x14ac:dyDescent="0.2">
      <c r="A16614" s="163">
        <v>2025</v>
      </c>
      <c r="B16614" s="163">
        <v>12</v>
      </c>
      <c r="C16614" s="163">
        <v>30</v>
      </c>
      <c r="D16614" s="280">
        <f t="shared" si="2678"/>
        <v>46021</v>
      </c>
      <c r="E16614" s="281">
        <f t="shared" si="2679"/>
        <v>46021</v>
      </c>
      <c r="F16614" s="480"/>
      <c r="G16614" s="221" t="s">
        <v>74</v>
      </c>
      <c r="H16614" s="145"/>
      <c r="I16614" s="145" t="s">
        <v>348</v>
      </c>
      <c r="J16614" s="163" t="s">
        <v>52</v>
      </c>
      <c r="K16614" s="219"/>
      <c r="L16614" s="219">
        <f>K16613</f>
        <v>8.1</v>
      </c>
    </row>
    <row r="16615" spans="1:13" x14ac:dyDescent="0.2">
      <c r="A16615" s="168">
        <v>2025</v>
      </c>
      <c r="B16615" s="133">
        <v>12</v>
      </c>
      <c r="C16615" s="168">
        <v>30</v>
      </c>
      <c r="D16615" s="147">
        <f t="shared" ref="D16615:D16616" si="2680">DATE(A16615,B16615,C16615)</f>
        <v>46021</v>
      </c>
      <c r="E16615" s="311">
        <f t="shared" ref="E16615:E16616" si="2681">DATE(A16615,B16615,C16615)</f>
        <v>46021</v>
      </c>
      <c r="F16615" s="481" t="s">
        <v>1955</v>
      </c>
      <c r="G16615" s="174" t="s">
        <v>74</v>
      </c>
      <c r="I16615" s="148" t="s">
        <v>348</v>
      </c>
      <c r="J16615" s="133" t="s">
        <v>61</v>
      </c>
      <c r="K16615" s="172">
        <v>115</v>
      </c>
    </row>
    <row r="16616" spans="1:13" x14ac:dyDescent="0.2">
      <c r="A16616" s="163">
        <v>2025</v>
      </c>
      <c r="B16616" s="163">
        <v>12</v>
      </c>
      <c r="C16616" s="163">
        <v>30</v>
      </c>
      <c r="D16616" s="280">
        <f t="shared" si="2680"/>
        <v>46021</v>
      </c>
      <c r="E16616" s="281">
        <f t="shared" si="2681"/>
        <v>46021</v>
      </c>
      <c r="F16616" s="480"/>
      <c r="G16616" s="221" t="s">
        <v>74</v>
      </c>
      <c r="H16616" s="145"/>
      <c r="I16616" s="145" t="s">
        <v>348</v>
      </c>
      <c r="J16616" s="163" t="s">
        <v>52</v>
      </c>
      <c r="K16616" s="219"/>
      <c r="L16616" s="219">
        <f>K16615</f>
        <v>115</v>
      </c>
    </row>
    <row r="16617" spans="1:13" x14ac:dyDescent="0.2">
      <c r="A16617" s="133">
        <v>2025</v>
      </c>
      <c r="B16617" s="133">
        <v>12</v>
      </c>
      <c r="C16617" s="168">
        <v>31</v>
      </c>
      <c r="D16617" s="141">
        <f t="shared" ref="D16617:D16619" si="2682">DATE(A16617,B16617,C16617)</f>
        <v>46022</v>
      </c>
      <c r="E16617" s="275">
        <f t="shared" ref="E16617:E16619" si="2683">DATE(A16617,B16617,C16617)</f>
        <v>46022</v>
      </c>
      <c r="F16617" s="479" t="s">
        <v>1952</v>
      </c>
      <c r="G16617" s="174" t="s">
        <v>74</v>
      </c>
      <c r="I16617" s="148" t="s">
        <v>348</v>
      </c>
      <c r="J16617" s="133" t="s">
        <v>52</v>
      </c>
      <c r="K16617" s="172">
        <v>1018.92</v>
      </c>
    </row>
    <row r="16618" spans="1:13" x14ac:dyDescent="0.2">
      <c r="A16618" s="133">
        <v>2025</v>
      </c>
      <c r="B16618" s="133">
        <v>12</v>
      </c>
      <c r="C16618" s="133">
        <v>31</v>
      </c>
      <c r="D16618" s="280">
        <f t="shared" si="2682"/>
        <v>46022</v>
      </c>
      <c r="E16618" s="281">
        <f t="shared" si="2683"/>
        <v>46022</v>
      </c>
      <c r="F16618" s="481"/>
      <c r="G16618" s="174" t="s">
        <v>74</v>
      </c>
      <c r="I16618" s="148" t="s">
        <v>348</v>
      </c>
      <c r="J16618" s="133" t="s">
        <v>60</v>
      </c>
      <c r="K16618" s="218">
        <v>4467.46</v>
      </c>
      <c r="L16618" s="218"/>
    </row>
    <row r="16619" spans="1:13" x14ac:dyDescent="0.2">
      <c r="A16619" s="163">
        <v>2025</v>
      </c>
      <c r="B16619" s="163">
        <v>12</v>
      </c>
      <c r="C16619" s="163">
        <v>31</v>
      </c>
      <c r="D16619" s="280">
        <f t="shared" si="2682"/>
        <v>46022</v>
      </c>
      <c r="E16619" s="281">
        <f t="shared" si="2683"/>
        <v>46022</v>
      </c>
      <c r="F16619" s="480"/>
      <c r="G16619" s="221" t="s">
        <v>74</v>
      </c>
      <c r="H16619" s="145"/>
      <c r="I16619" s="145" t="s">
        <v>348</v>
      </c>
      <c r="J16619" s="163" t="s">
        <v>67</v>
      </c>
      <c r="K16619" s="219"/>
      <c r="L16619" s="219">
        <v>5486.3771047222335</v>
      </c>
    </row>
    <row r="16620" spans="1:13" x14ac:dyDescent="0.2">
      <c r="A16620" s="168">
        <v>2025</v>
      </c>
      <c r="B16620" s="133">
        <v>12</v>
      </c>
      <c r="C16620" s="168">
        <v>31</v>
      </c>
      <c r="D16620" s="147">
        <f>DATE(A16620,B16620,C16620)</f>
        <v>46022</v>
      </c>
      <c r="E16620" s="311">
        <f>DATE(A16620,B16620,C16620)</f>
        <v>46022</v>
      </c>
      <c r="F16620" s="481" t="s">
        <v>1951</v>
      </c>
      <c r="G16620" s="174" t="s">
        <v>74</v>
      </c>
      <c r="I16620" s="148" t="s">
        <v>348</v>
      </c>
      <c r="J16620" s="133" t="s">
        <v>61</v>
      </c>
      <c r="K16620" s="172">
        <v>306</v>
      </c>
    </row>
    <row r="16621" spans="1:13" x14ac:dyDescent="0.2">
      <c r="A16621" s="163">
        <v>2025</v>
      </c>
      <c r="B16621" s="163">
        <v>12</v>
      </c>
      <c r="C16621" s="163">
        <v>31</v>
      </c>
      <c r="D16621" s="280">
        <f>DATE(A16621,B16621,C16621)</f>
        <v>46022</v>
      </c>
      <c r="E16621" s="281">
        <f>DATE(A16621,B16621,C16621)</f>
        <v>46022</v>
      </c>
      <c r="F16621" s="480"/>
      <c r="G16621" s="221" t="s">
        <v>74</v>
      </c>
      <c r="H16621" s="145"/>
      <c r="I16621" s="145" t="s">
        <v>348</v>
      </c>
      <c r="J16621" s="163" t="s">
        <v>52</v>
      </c>
      <c r="K16621" s="219"/>
      <c r="L16621" s="219">
        <f>K16620</f>
        <v>306</v>
      </c>
    </row>
    <row r="16622" spans="1:13" x14ac:dyDescent="0.2">
      <c r="A16622" s="133">
        <v>2025</v>
      </c>
      <c r="B16622" s="133">
        <v>12</v>
      </c>
      <c r="C16622" s="168">
        <v>31</v>
      </c>
      <c r="D16622" s="141">
        <f>DATE(A16622,B16622,C16622)</f>
        <v>46022</v>
      </c>
      <c r="E16622" s="275">
        <f>DATE(A16622,B16622,C16622)</f>
        <v>46022</v>
      </c>
      <c r="F16622" s="479" t="s">
        <v>973</v>
      </c>
      <c r="G16622" s="174" t="s">
        <v>94</v>
      </c>
      <c r="I16622" s="148" t="s">
        <v>348</v>
      </c>
      <c r="J16622" s="133" t="s">
        <v>103</v>
      </c>
      <c r="K16622" s="172">
        <v>46000</v>
      </c>
    </row>
    <row r="16623" spans="1:13" x14ac:dyDescent="0.2">
      <c r="A16623" s="163">
        <v>2025</v>
      </c>
      <c r="B16623" s="163">
        <v>12</v>
      </c>
      <c r="C16623" s="163">
        <v>31</v>
      </c>
      <c r="D16623" s="280">
        <f>DATE(A16623,B16623,C16623)</f>
        <v>46022</v>
      </c>
      <c r="E16623" s="281">
        <f>DATE(A16623,B16623,C16623)</f>
        <v>46022</v>
      </c>
      <c r="F16623" s="480"/>
      <c r="G16623" s="221" t="s">
        <v>94</v>
      </c>
      <c r="H16623" s="145"/>
      <c r="I16623" s="145" t="s">
        <v>348</v>
      </c>
      <c r="J16623" s="163" t="s">
        <v>50</v>
      </c>
      <c r="K16623" s="219"/>
      <c r="L16623" s="219">
        <v>46000</v>
      </c>
    </row>
    <row r="16624" spans="1:13" x14ac:dyDescent="0.2">
      <c r="A16624" s="325">
        <v>2025</v>
      </c>
      <c r="B16624" s="325">
        <v>12</v>
      </c>
      <c r="C16624" s="325">
        <v>30</v>
      </c>
      <c r="D16624" s="326">
        <f t="shared" si="2666"/>
        <v>46021</v>
      </c>
      <c r="E16624" s="327">
        <f t="shared" si="2667"/>
        <v>46021</v>
      </c>
      <c r="F16624" s="473" t="s">
        <v>1940</v>
      </c>
      <c r="G16624" s="340" t="s">
        <v>94</v>
      </c>
      <c r="H16624" s="340"/>
      <c r="I16624" s="341" t="s">
        <v>348</v>
      </c>
      <c r="J16624" s="374" t="s">
        <v>133</v>
      </c>
      <c r="K16624" s="375">
        <v>1843.6514285714286</v>
      </c>
      <c r="L16624" s="375"/>
      <c r="M16624" s="176"/>
    </row>
    <row r="16625" spans="1:13" x14ac:dyDescent="0.2">
      <c r="A16625" s="331">
        <v>2025</v>
      </c>
      <c r="B16625" s="331">
        <v>12</v>
      </c>
      <c r="C16625" s="331">
        <v>30</v>
      </c>
      <c r="D16625" s="326">
        <f t="shared" si="2666"/>
        <v>46021</v>
      </c>
      <c r="E16625" s="327">
        <f t="shared" si="2667"/>
        <v>46021</v>
      </c>
      <c r="F16625" s="474"/>
      <c r="G16625" s="332" t="s">
        <v>94</v>
      </c>
      <c r="H16625" s="332"/>
      <c r="I16625" s="333" t="s">
        <v>348</v>
      </c>
      <c r="J16625" s="376" t="s">
        <v>60</v>
      </c>
      <c r="K16625" s="334"/>
      <c r="L16625" s="334">
        <f>K16624</f>
        <v>1843.6514285714286</v>
      </c>
    </row>
    <row r="16626" spans="1:13" x14ac:dyDescent="0.2">
      <c r="A16626" s="384">
        <v>2025</v>
      </c>
      <c r="B16626" s="384">
        <v>12</v>
      </c>
      <c r="C16626" s="384">
        <v>30</v>
      </c>
      <c r="D16626" s="385">
        <f t="shared" si="2666"/>
        <v>46021</v>
      </c>
      <c r="E16626" s="386">
        <f t="shared" si="2667"/>
        <v>46021</v>
      </c>
      <c r="F16626" s="475" t="s">
        <v>1966</v>
      </c>
      <c r="G16626" s="387" t="s">
        <v>94</v>
      </c>
      <c r="H16626" s="387"/>
      <c r="I16626" s="388" t="s">
        <v>348</v>
      </c>
      <c r="J16626" s="389" t="s">
        <v>67</v>
      </c>
      <c r="K16626" s="390">
        <v>415</v>
      </c>
      <c r="L16626" s="390"/>
    </row>
    <row r="16627" spans="1:13" x14ac:dyDescent="0.2">
      <c r="A16627" s="391">
        <v>2025</v>
      </c>
      <c r="B16627" s="391">
        <v>12</v>
      </c>
      <c r="C16627" s="391">
        <v>30</v>
      </c>
      <c r="D16627" s="385">
        <f t="shared" si="2666"/>
        <v>46021</v>
      </c>
      <c r="E16627" s="386">
        <f t="shared" si="2667"/>
        <v>46021</v>
      </c>
      <c r="F16627" s="476"/>
      <c r="G16627" s="392" t="s">
        <v>94</v>
      </c>
      <c r="H16627" s="392"/>
      <c r="I16627" s="393" t="s">
        <v>348</v>
      </c>
      <c r="J16627" s="394" t="s">
        <v>60</v>
      </c>
      <c r="K16627" s="395"/>
      <c r="L16627" s="395">
        <f>K16626</f>
        <v>415</v>
      </c>
    </row>
    <row r="16628" spans="1:13" x14ac:dyDescent="0.2">
      <c r="A16628" s="238">
        <v>2025</v>
      </c>
      <c r="B16628" s="238">
        <v>12</v>
      </c>
      <c r="C16628" s="238">
        <v>30</v>
      </c>
      <c r="D16628" s="270">
        <f t="shared" si="2666"/>
        <v>46021</v>
      </c>
      <c r="E16628" s="279">
        <f t="shared" si="2667"/>
        <v>46021</v>
      </c>
      <c r="F16628" s="477" t="s">
        <v>347</v>
      </c>
      <c r="G16628" s="239" t="s">
        <v>94</v>
      </c>
      <c r="H16628" s="239"/>
      <c r="I16628" s="262" t="s">
        <v>348</v>
      </c>
      <c r="J16628" s="240" t="s">
        <v>82</v>
      </c>
      <c r="K16628" s="241">
        <v>220836.41000002623</v>
      </c>
      <c r="L16628" s="241"/>
      <c r="M16628" s="160">
        <v>13139541.900000483</v>
      </c>
    </row>
    <row r="16629" spans="1:13" x14ac:dyDescent="0.2">
      <c r="A16629" s="242">
        <v>2025</v>
      </c>
      <c r="B16629" s="242">
        <v>12</v>
      </c>
      <c r="C16629" s="242">
        <v>30</v>
      </c>
      <c r="D16629" s="270">
        <f t="shared" si="2666"/>
        <v>46021</v>
      </c>
      <c r="E16629" s="279">
        <f t="shared" si="2667"/>
        <v>46021</v>
      </c>
      <c r="F16629" s="478"/>
      <c r="G16629" s="243" t="s">
        <v>94</v>
      </c>
      <c r="H16629" s="243"/>
      <c r="I16629" s="263" t="s">
        <v>348</v>
      </c>
      <c r="J16629" s="244" t="s">
        <v>108</v>
      </c>
      <c r="K16629" s="245"/>
      <c r="L16629" s="245">
        <f>K16628</f>
        <v>220836.41000002623</v>
      </c>
    </row>
    <row r="16630" spans="1:13" ht="12" customHeight="1" x14ac:dyDescent="0.2">
      <c r="A16630" s="246">
        <v>2025</v>
      </c>
      <c r="B16630" s="238">
        <v>12</v>
      </c>
      <c r="C16630" s="238">
        <v>30</v>
      </c>
      <c r="D16630" s="270">
        <f t="shared" si="2666"/>
        <v>46021</v>
      </c>
      <c r="E16630" s="279">
        <f t="shared" si="2667"/>
        <v>46021</v>
      </c>
      <c r="F16630" s="482" t="s">
        <v>148</v>
      </c>
      <c r="G16630" s="247" t="s">
        <v>94</v>
      </c>
      <c r="H16630" s="247"/>
      <c r="I16630" s="248" t="s">
        <v>348</v>
      </c>
      <c r="J16630" s="249" t="s">
        <v>95</v>
      </c>
      <c r="K16630" s="250">
        <v>392.46467817896388</v>
      </c>
      <c r="L16630" s="241"/>
      <c r="M16630" s="176"/>
    </row>
    <row r="16631" spans="1:13" x14ac:dyDescent="0.2">
      <c r="A16631" s="242">
        <v>2025</v>
      </c>
      <c r="B16631" s="242">
        <v>12</v>
      </c>
      <c r="C16631" s="242">
        <v>30</v>
      </c>
      <c r="D16631" s="270">
        <f t="shared" si="2666"/>
        <v>46021</v>
      </c>
      <c r="E16631" s="279">
        <f t="shared" si="2667"/>
        <v>46021</v>
      </c>
      <c r="F16631" s="478"/>
      <c r="G16631" s="243" t="s">
        <v>94</v>
      </c>
      <c r="H16631" s="243"/>
      <c r="I16631" s="263" t="s">
        <v>348</v>
      </c>
      <c r="J16631" s="244" t="s">
        <v>63</v>
      </c>
      <c r="K16631" s="245"/>
      <c r="L16631" s="245">
        <f>K16630</f>
        <v>392.46467817896388</v>
      </c>
    </row>
    <row r="16632" spans="1:13" x14ac:dyDescent="0.2">
      <c r="A16632" s="246">
        <v>2025</v>
      </c>
      <c r="B16632" s="238">
        <v>12</v>
      </c>
      <c r="C16632" s="238">
        <v>30</v>
      </c>
      <c r="D16632" s="270">
        <f t="shared" si="2666"/>
        <v>46021</v>
      </c>
      <c r="E16632" s="279">
        <f t="shared" si="2667"/>
        <v>46021</v>
      </c>
      <c r="F16632" s="482" t="s">
        <v>137</v>
      </c>
      <c r="G16632" s="247" t="s">
        <v>94</v>
      </c>
      <c r="H16632" s="247"/>
      <c r="I16632" s="248" t="s">
        <v>348</v>
      </c>
      <c r="J16632" s="249" t="s">
        <v>97</v>
      </c>
      <c r="K16632" s="250">
        <f>M16632</f>
        <v>12706.36911891751</v>
      </c>
      <c r="L16632" s="252"/>
      <c r="M16632" s="170">
        <v>12706.36911891751</v>
      </c>
    </row>
    <row r="16633" spans="1:13" x14ac:dyDescent="0.2">
      <c r="A16633" s="242">
        <v>2025</v>
      </c>
      <c r="B16633" s="242">
        <v>12</v>
      </c>
      <c r="C16633" s="242">
        <v>30</v>
      </c>
      <c r="D16633" s="270">
        <f t="shared" si="2666"/>
        <v>46021</v>
      </c>
      <c r="E16633" s="279">
        <f t="shared" si="2667"/>
        <v>46021</v>
      </c>
      <c r="F16633" s="478"/>
      <c r="G16633" s="243" t="s">
        <v>94</v>
      </c>
      <c r="H16633" s="243"/>
      <c r="I16633" s="263" t="s">
        <v>348</v>
      </c>
      <c r="J16633" s="244" t="s">
        <v>47</v>
      </c>
      <c r="K16633" s="245"/>
      <c r="L16633" s="245">
        <f>K16632</f>
        <v>12706.36911891751</v>
      </c>
      <c r="M16633" s="170">
        <v>600.9777966052161</v>
      </c>
    </row>
    <row r="16634" spans="1:13" x14ac:dyDescent="0.2">
      <c r="A16634" s="246">
        <v>2025</v>
      </c>
      <c r="B16634" s="238">
        <v>12</v>
      </c>
      <c r="C16634" s="238">
        <v>30</v>
      </c>
      <c r="D16634" s="270">
        <f t="shared" si="2666"/>
        <v>46021</v>
      </c>
      <c r="E16634" s="279">
        <f t="shared" si="2667"/>
        <v>46021</v>
      </c>
      <c r="F16634" s="482" t="s">
        <v>138</v>
      </c>
      <c r="G16634" s="247" t="s">
        <v>94</v>
      </c>
      <c r="H16634" s="247"/>
      <c r="I16634" s="248" t="s">
        <v>348</v>
      </c>
      <c r="J16634" s="249" t="s">
        <v>100</v>
      </c>
      <c r="K16634" s="250">
        <f>M16633</f>
        <v>600.9777966052161</v>
      </c>
      <c r="L16634" s="252"/>
    </row>
    <row r="16635" spans="1:13" x14ac:dyDescent="0.2">
      <c r="A16635" s="242">
        <v>2025</v>
      </c>
      <c r="B16635" s="242">
        <v>12</v>
      </c>
      <c r="C16635" s="242">
        <v>30</v>
      </c>
      <c r="D16635" s="321">
        <f t="shared" si="2666"/>
        <v>46021</v>
      </c>
      <c r="E16635" s="322">
        <f t="shared" si="2667"/>
        <v>46021</v>
      </c>
      <c r="F16635" s="478"/>
      <c r="G16635" s="243" t="s">
        <v>94</v>
      </c>
      <c r="H16635" s="243"/>
      <c r="I16635" s="263" t="s">
        <v>348</v>
      </c>
      <c r="J16635" s="244" t="s">
        <v>48</v>
      </c>
      <c r="K16635" s="245"/>
      <c r="L16635" s="245">
        <f>K16634</f>
        <v>600.9777966052161</v>
      </c>
    </row>
    <row r="16636" spans="1:13" x14ac:dyDescent="0.2">
      <c r="A16636" s="325">
        <v>2025</v>
      </c>
      <c r="B16636" s="325">
        <v>12</v>
      </c>
      <c r="C16636" s="325">
        <v>31</v>
      </c>
      <c r="D16636" s="326">
        <f t="shared" si="2666"/>
        <v>46022</v>
      </c>
      <c r="E16636" s="327">
        <f t="shared" si="2667"/>
        <v>46022</v>
      </c>
      <c r="F16636" s="473" t="s">
        <v>2144</v>
      </c>
      <c r="G16636" s="340" t="s">
        <v>94</v>
      </c>
      <c r="H16636" s="340"/>
      <c r="I16636" s="341" t="s">
        <v>348</v>
      </c>
      <c r="J16636" s="374" t="s">
        <v>133</v>
      </c>
      <c r="K16636" s="375">
        <v>21119.803333333279</v>
      </c>
      <c r="L16636" s="375"/>
      <c r="M16636" s="176"/>
    </row>
    <row r="16637" spans="1:13" x14ac:dyDescent="0.2">
      <c r="A16637" s="331">
        <v>2025</v>
      </c>
      <c r="B16637" s="331">
        <v>12</v>
      </c>
      <c r="C16637" s="331">
        <v>31</v>
      </c>
      <c r="D16637" s="326">
        <f t="shared" si="2666"/>
        <v>46022</v>
      </c>
      <c r="E16637" s="327">
        <f t="shared" si="2667"/>
        <v>46022</v>
      </c>
      <c r="F16637" s="474"/>
      <c r="G16637" s="332" t="s">
        <v>94</v>
      </c>
      <c r="H16637" s="332"/>
      <c r="I16637" s="333" t="s">
        <v>348</v>
      </c>
      <c r="J16637" s="376" t="s">
        <v>60</v>
      </c>
      <c r="K16637" s="334"/>
      <c r="L16637" s="334">
        <f>K16636</f>
        <v>21119.803333333279</v>
      </c>
    </row>
    <row r="16638" spans="1:13" x14ac:dyDescent="0.2">
      <c r="A16638" s="325">
        <v>2025</v>
      </c>
      <c r="B16638" s="325">
        <v>12</v>
      </c>
      <c r="C16638" s="325">
        <v>31</v>
      </c>
      <c r="D16638" s="326">
        <f t="shared" ref="D16638:D16703" si="2684">DATE(A16638,B16638,C16638)</f>
        <v>46022</v>
      </c>
      <c r="E16638" s="327">
        <f t="shared" ref="E16638:E16703" si="2685">DATE(A16638,B16638,C16638)</f>
        <v>46022</v>
      </c>
      <c r="F16638" s="473" t="s">
        <v>1940</v>
      </c>
      <c r="G16638" s="340" t="s">
        <v>94</v>
      </c>
      <c r="H16638" s="340"/>
      <c r="I16638" s="341" t="s">
        <v>348</v>
      </c>
      <c r="J16638" s="374" t="s">
        <v>133</v>
      </c>
      <c r="K16638" s="375">
        <v>1843.6514285714286</v>
      </c>
      <c r="L16638" s="375"/>
      <c r="M16638" s="176"/>
    </row>
    <row r="16639" spans="1:13" x14ac:dyDescent="0.2">
      <c r="A16639" s="331">
        <v>2025</v>
      </c>
      <c r="B16639" s="331">
        <v>12</v>
      </c>
      <c r="C16639" s="331">
        <v>31</v>
      </c>
      <c r="D16639" s="326">
        <f t="shared" si="2684"/>
        <v>46022</v>
      </c>
      <c r="E16639" s="327">
        <f t="shared" si="2685"/>
        <v>46022</v>
      </c>
      <c r="F16639" s="474"/>
      <c r="G16639" s="332" t="s">
        <v>94</v>
      </c>
      <c r="H16639" s="332"/>
      <c r="I16639" s="333" t="s">
        <v>348</v>
      </c>
      <c r="J16639" s="376" t="s">
        <v>60</v>
      </c>
      <c r="K16639" s="334"/>
      <c r="L16639" s="334">
        <f>K16638</f>
        <v>1843.6514285714286</v>
      </c>
    </row>
    <row r="16640" spans="1:13" ht="12" customHeight="1" x14ac:dyDescent="0.2">
      <c r="A16640" s="246">
        <v>2025</v>
      </c>
      <c r="B16640" s="238">
        <v>12</v>
      </c>
      <c r="C16640" s="238">
        <v>31</v>
      </c>
      <c r="D16640" s="270">
        <f t="shared" si="2684"/>
        <v>46022</v>
      </c>
      <c r="E16640" s="279">
        <f t="shared" si="2685"/>
        <v>46022</v>
      </c>
      <c r="F16640" s="482" t="s">
        <v>148</v>
      </c>
      <c r="G16640" s="247" t="s">
        <v>94</v>
      </c>
      <c r="H16640" s="247"/>
      <c r="I16640" s="248" t="s">
        <v>348</v>
      </c>
      <c r="J16640" s="249" t="s">
        <v>95</v>
      </c>
      <c r="K16640" s="250">
        <v>392.46467817896388</v>
      </c>
      <c r="L16640" s="241"/>
      <c r="M16640" s="176"/>
    </row>
    <row r="16641" spans="1:17" x14ac:dyDescent="0.2">
      <c r="A16641" s="242">
        <v>2025</v>
      </c>
      <c r="B16641" s="242">
        <v>12</v>
      </c>
      <c r="C16641" s="242">
        <v>31</v>
      </c>
      <c r="D16641" s="270">
        <f t="shared" si="2684"/>
        <v>46022</v>
      </c>
      <c r="E16641" s="279">
        <f t="shared" si="2685"/>
        <v>46022</v>
      </c>
      <c r="F16641" s="478"/>
      <c r="G16641" s="243" t="s">
        <v>94</v>
      </c>
      <c r="H16641" s="243"/>
      <c r="I16641" s="263" t="s">
        <v>348</v>
      </c>
      <c r="J16641" s="244" t="s">
        <v>63</v>
      </c>
      <c r="K16641" s="245"/>
      <c r="L16641" s="245">
        <f>K16640</f>
        <v>392.46467817896388</v>
      </c>
    </row>
    <row r="16642" spans="1:17" x14ac:dyDescent="0.2">
      <c r="A16642" s="246">
        <v>2025</v>
      </c>
      <c r="B16642" s="238">
        <v>12</v>
      </c>
      <c r="C16642" s="238">
        <v>31</v>
      </c>
      <c r="D16642" s="270">
        <f t="shared" si="2684"/>
        <v>46022</v>
      </c>
      <c r="E16642" s="279">
        <f t="shared" si="2685"/>
        <v>46022</v>
      </c>
      <c r="F16642" s="482" t="s">
        <v>137</v>
      </c>
      <c r="G16642" s="247" t="s">
        <v>94</v>
      </c>
      <c r="H16642" s="247"/>
      <c r="I16642" s="248" t="s">
        <v>348</v>
      </c>
      <c r="J16642" s="249" t="s">
        <v>97</v>
      </c>
      <c r="K16642" s="250">
        <f>M16642</f>
        <v>12775.579015694557</v>
      </c>
      <c r="L16642" s="252"/>
      <c r="M16642" s="170">
        <v>12775.579015694557</v>
      </c>
    </row>
    <row r="16643" spans="1:17" x14ac:dyDescent="0.2">
      <c r="A16643" s="242">
        <v>2025</v>
      </c>
      <c r="B16643" s="242">
        <v>12</v>
      </c>
      <c r="C16643" s="242">
        <v>31</v>
      </c>
      <c r="D16643" s="270">
        <f t="shared" si="2684"/>
        <v>46022</v>
      </c>
      <c r="E16643" s="279">
        <f t="shared" si="2685"/>
        <v>46022</v>
      </c>
      <c r="F16643" s="478"/>
      <c r="G16643" s="243" t="s">
        <v>94</v>
      </c>
      <c r="H16643" s="243"/>
      <c r="I16643" s="263" t="s">
        <v>348</v>
      </c>
      <c r="J16643" s="244" t="s">
        <v>47</v>
      </c>
      <c r="K16643" s="245"/>
      <c r="L16643" s="245">
        <f>K16642</f>
        <v>12775.579015694557</v>
      </c>
      <c r="M16643" s="170">
        <v>604.43829144406845</v>
      </c>
    </row>
    <row r="16644" spans="1:17" x14ac:dyDescent="0.2">
      <c r="A16644" s="246">
        <v>2025</v>
      </c>
      <c r="B16644" s="238">
        <v>12</v>
      </c>
      <c r="C16644" s="238">
        <v>31</v>
      </c>
      <c r="D16644" s="270">
        <f t="shared" si="2684"/>
        <v>46022</v>
      </c>
      <c r="E16644" s="279">
        <f t="shared" si="2685"/>
        <v>46022</v>
      </c>
      <c r="F16644" s="482" t="s">
        <v>138</v>
      </c>
      <c r="G16644" s="247" t="s">
        <v>94</v>
      </c>
      <c r="H16644" s="247"/>
      <c r="I16644" s="248" t="s">
        <v>348</v>
      </c>
      <c r="J16644" s="249" t="s">
        <v>100</v>
      </c>
      <c r="K16644" s="250">
        <f>M16643</f>
        <v>604.43829144406845</v>
      </c>
      <c r="L16644" s="252"/>
    </row>
    <row r="16645" spans="1:17" x14ac:dyDescent="0.2">
      <c r="A16645" s="242">
        <v>2025</v>
      </c>
      <c r="B16645" s="242">
        <v>12</v>
      </c>
      <c r="C16645" s="242">
        <v>31</v>
      </c>
      <c r="D16645" s="321">
        <f t="shared" si="2684"/>
        <v>46022</v>
      </c>
      <c r="E16645" s="322">
        <f t="shared" si="2685"/>
        <v>46022</v>
      </c>
      <c r="F16645" s="478"/>
      <c r="G16645" s="243" t="s">
        <v>94</v>
      </c>
      <c r="H16645" s="243"/>
      <c r="I16645" s="263" t="s">
        <v>348</v>
      </c>
      <c r="J16645" s="244" t="s">
        <v>48</v>
      </c>
      <c r="K16645" s="245"/>
      <c r="L16645" s="245">
        <f>K16644</f>
        <v>604.43829144406845</v>
      </c>
    </row>
    <row r="16646" spans="1:17" x14ac:dyDescent="0.2">
      <c r="A16646" s="133">
        <v>2026</v>
      </c>
      <c r="B16646" s="133">
        <v>1</v>
      </c>
      <c r="C16646" s="133">
        <v>1</v>
      </c>
      <c r="D16646" s="141">
        <f>DATE(A16646,B16646,C16646)</f>
        <v>46023</v>
      </c>
      <c r="E16646" s="275">
        <f>DATE(A16646,B16646,C16646)</f>
        <v>46023</v>
      </c>
      <c r="F16646" s="479" t="s">
        <v>2170</v>
      </c>
      <c r="G16646" s="174" t="s">
        <v>94</v>
      </c>
      <c r="H16646" s="174"/>
      <c r="I16646" s="148" t="s">
        <v>348</v>
      </c>
      <c r="J16646" s="149" t="s">
        <v>359</v>
      </c>
      <c r="K16646" s="218">
        <v>9054438.5800000001</v>
      </c>
      <c r="L16646" s="218"/>
      <c r="Q16646" s="133" t="s">
        <v>348</v>
      </c>
    </row>
    <row r="16647" spans="1:17" x14ac:dyDescent="0.2">
      <c r="A16647" s="163">
        <v>2026</v>
      </c>
      <c r="B16647" s="163">
        <v>1</v>
      </c>
      <c r="C16647" s="163">
        <v>1</v>
      </c>
      <c r="D16647" s="280">
        <f>DATE(A16647,B16647,C16647)</f>
        <v>46023</v>
      </c>
      <c r="E16647" s="281">
        <f>DATE(A16647,B16647,C16647)</f>
        <v>46023</v>
      </c>
      <c r="F16647" s="480"/>
      <c r="G16647" s="221" t="s">
        <v>94</v>
      </c>
      <c r="H16647" s="221"/>
      <c r="I16647" s="145" t="s">
        <v>348</v>
      </c>
      <c r="J16647" s="146" t="s">
        <v>358</v>
      </c>
      <c r="K16647" s="219"/>
      <c r="L16647" s="219">
        <v>9054438.5800000001</v>
      </c>
      <c r="Q16647" s="133" t="s">
        <v>348</v>
      </c>
    </row>
    <row r="16648" spans="1:17" x14ac:dyDescent="0.2">
      <c r="A16648" s="168">
        <v>2026</v>
      </c>
      <c r="B16648" s="133">
        <v>1</v>
      </c>
      <c r="C16648" s="168">
        <v>1</v>
      </c>
      <c r="D16648" s="147">
        <f t="shared" si="2684"/>
        <v>46023</v>
      </c>
      <c r="E16648" s="311">
        <f t="shared" si="2685"/>
        <v>46023</v>
      </c>
      <c r="F16648" s="481" t="s">
        <v>1956</v>
      </c>
      <c r="G16648" s="174" t="s">
        <v>74</v>
      </c>
      <c r="I16648" s="148" t="s">
        <v>348</v>
      </c>
      <c r="J16648" s="133" t="s">
        <v>61</v>
      </c>
      <c r="K16648" s="172">
        <v>3345</v>
      </c>
    </row>
    <row r="16649" spans="1:17" x14ac:dyDescent="0.2">
      <c r="A16649" s="163">
        <v>2026</v>
      </c>
      <c r="B16649" s="163">
        <v>1</v>
      </c>
      <c r="C16649" s="163">
        <v>1</v>
      </c>
      <c r="D16649" s="280">
        <f t="shared" si="2684"/>
        <v>46023</v>
      </c>
      <c r="E16649" s="281">
        <f t="shared" si="2685"/>
        <v>46023</v>
      </c>
      <c r="F16649" s="480"/>
      <c r="G16649" s="221" t="s">
        <v>74</v>
      </c>
      <c r="H16649" s="145"/>
      <c r="I16649" s="145" t="s">
        <v>348</v>
      </c>
      <c r="J16649" s="163" t="s">
        <v>52</v>
      </c>
      <c r="K16649" s="219"/>
      <c r="L16649" s="219">
        <f>K16648</f>
        <v>3345</v>
      </c>
    </row>
    <row r="16650" spans="1:17" x14ac:dyDescent="0.2">
      <c r="A16650" s="168">
        <v>2026</v>
      </c>
      <c r="B16650" s="133">
        <v>1</v>
      </c>
      <c r="C16650" s="168">
        <v>1</v>
      </c>
      <c r="D16650" s="147">
        <f t="shared" si="2684"/>
        <v>46023</v>
      </c>
      <c r="E16650" s="311">
        <f t="shared" si="2685"/>
        <v>46023</v>
      </c>
      <c r="F16650" s="481" t="s">
        <v>1956</v>
      </c>
      <c r="G16650" s="174" t="s">
        <v>74</v>
      </c>
      <c r="I16650" s="148" t="s">
        <v>348</v>
      </c>
      <c r="J16650" s="133" t="s">
        <v>61</v>
      </c>
      <c r="K16650" s="172">
        <v>345</v>
      </c>
    </row>
    <row r="16651" spans="1:17" x14ac:dyDescent="0.2">
      <c r="A16651" s="163">
        <v>2026</v>
      </c>
      <c r="B16651" s="163">
        <v>1</v>
      </c>
      <c r="C16651" s="163">
        <v>1</v>
      </c>
      <c r="D16651" s="280">
        <f t="shared" si="2684"/>
        <v>46023</v>
      </c>
      <c r="E16651" s="281">
        <f t="shared" si="2685"/>
        <v>46023</v>
      </c>
      <c r="F16651" s="480"/>
      <c r="G16651" s="221" t="s">
        <v>74</v>
      </c>
      <c r="H16651" s="145"/>
      <c r="I16651" s="145" t="s">
        <v>348</v>
      </c>
      <c r="J16651" s="163" t="s">
        <v>52</v>
      </c>
      <c r="K16651" s="219"/>
      <c r="L16651" s="219">
        <f>K16650</f>
        <v>345</v>
      </c>
    </row>
    <row r="16652" spans="1:17" ht="11.25" customHeight="1" x14ac:dyDescent="0.2">
      <c r="A16652" s="168">
        <v>2026</v>
      </c>
      <c r="B16652" s="168">
        <v>1</v>
      </c>
      <c r="C16652" s="133">
        <v>1</v>
      </c>
      <c r="D16652" s="141">
        <f t="shared" si="2684"/>
        <v>46023</v>
      </c>
      <c r="E16652" s="275">
        <f t="shared" si="2685"/>
        <v>46023</v>
      </c>
      <c r="F16652" s="479" t="s">
        <v>964</v>
      </c>
      <c r="G16652" s="220" t="s">
        <v>74</v>
      </c>
      <c r="H16652" s="142"/>
      <c r="I16652" s="142"/>
      <c r="J16652" s="168" t="s">
        <v>52</v>
      </c>
      <c r="K16652" s="226">
        <v>500000</v>
      </c>
      <c r="L16652" s="226"/>
    </row>
    <row r="16653" spans="1:17" ht="11.25" customHeight="1" x14ac:dyDescent="0.2">
      <c r="A16653" s="133">
        <v>2026</v>
      </c>
      <c r="B16653" s="133">
        <v>1</v>
      </c>
      <c r="C16653" s="133">
        <v>1</v>
      </c>
      <c r="D16653" s="141">
        <f t="shared" si="2684"/>
        <v>46023</v>
      </c>
      <c r="E16653" s="275">
        <f t="shared" si="2685"/>
        <v>46023</v>
      </c>
      <c r="F16653" s="481"/>
      <c r="G16653" s="174" t="s">
        <v>74</v>
      </c>
      <c r="J16653" s="133" t="s">
        <v>13</v>
      </c>
      <c r="K16653" s="218"/>
      <c r="L16653" s="218">
        <v>369500</v>
      </c>
    </row>
    <row r="16654" spans="1:17" ht="11.25" customHeight="1" x14ac:dyDescent="0.2">
      <c r="A16654" s="163">
        <v>2026</v>
      </c>
      <c r="B16654" s="163">
        <v>1</v>
      </c>
      <c r="C16654" s="163">
        <v>1</v>
      </c>
      <c r="D16654" s="280">
        <f t="shared" si="2684"/>
        <v>46023</v>
      </c>
      <c r="E16654" s="281">
        <f t="shared" si="2685"/>
        <v>46023</v>
      </c>
      <c r="F16654" s="480"/>
      <c r="G16654" s="221" t="s">
        <v>74</v>
      </c>
      <c r="H16654" s="145"/>
      <c r="I16654" s="145"/>
      <c r="J16654" s="163" t="s">
        <v>53</v>
      </c>
      <c r="K16654" s="219"/>
      <c r="L16654" s="219">
        <v>130500</v>
      </c>
    </row>
    <row r="16655" spans="1:17" ht="11.25" customHeight="1" x14ac:dyDescent="0.2">
      <c r="A16655" s="168">
        <v>2026</v>
      </c>
      <c r="B16655" s="133">
        <v>1</v>
      </c>
      <c r="C16655" s="168">
        <v>1</v>
      </c>
      <c r="D16655" s="141">
        <f t="shared" si="2684"/>
        <v>46023</v>
      </c>
      <c r="E16655" s="275">
        <f t="shared" si="2685"/>
        <v>46023</v>
      </c>
      <c r="F16655" s="479" t="s">
        <v>2121</v>
      </c>
      <c r="G16655" s="220" t="s">
        <v>74</v>
      </c>
      <c r="H16655" s="220"/>
      <c r="I16655" s="142"/>
      <c r="J16655" s="143" t="s">
        <v>52</v>
      </c>
      <c r="K16655" s="226">
        <v>1019787.25</v>
      </c>
      <c r="L16655" s="226"/>
    </row>
    <row r="16656" spans="1:17" x14ac:dyDescent="0.2">
      <c r="A16656" s="163">
        <v>2026</v>
      </c>
      <c r="B16656" s="163">
        <v>1</v>
      </c>
      <c r="C16656" s="163">
        <v>1</v>
      </c>
      <c r="D16656" s="280">
        <f t="shared" si="2684"/>
        <v>46023</v>
      </c>
      <c r="E16656" s="281">
        <f t="shared" si="2685"/>
        <v>46023</v>
      </c>
      <c r="F16656" s="480"/>
      <c r="G16656" s="221" t="s">
        <v>74</v>
      </c>
      <c r="H16656" s="221"/>
      <c r="I16656" s="145"/>
      <c r="J16656" s="146" t="s">
        <v>190</v>
      </c>
      <c r="K16656" s="219"/>
      <c r="L16656" s="219">
        <f>K16655</f>
        <v>1019787.25</v>
      </c>
      <c r="N16656" s="264"/>
    </row>
    <row r="16657" spans="1:14" x14ac:dyDescent="0.2">
      <c r="A16657" s="133">
        <v>2026</v>
      </c>
      <c r="B16657" s="133">
        <v>1</v>
      </c>
      <c r="C16657" s="168">
        <v>1</v>
      </c>
      <c r="D16657" s="141">
        <f t="shared" si="2684"/>
        <v>46023</v>
      </c>
      <c r="E16657" s="275">
        <f t="shared" si="2685"/>
        <v>46023</v>
      </c>
      <c r="F16657" s="481" t="s">
        <v>2115</v>
      </c>
      <c r="G16657" s="174" t="s">
        <v>94</v>
      </c>
      <c r="H16657" s="174"/>
      <c r="J16657" s="149" t="s">
        <v>79</v>
      </c>
      <c r="K16657" s="218">
        <v>1512522.5</v>
      </c>
      <c r="L16657" s="218"/>
      <c r="M16657" s="160"/>
    </row>
    <row r="16658" spans="1:14" x14ac:dyDescent="0.2">
      <c r="A16658" s="133">
        <v>2026</v>
      </c>
      <c r="B16658" s="133">
        <v>1</v>
      </c>
      <c r="C16658" s="133">
        <v>1</v>
      </c>
      <c r="D16658" s="141">
        <f t="shared" si="2684"/>
        <v>46023</v>
      </c>
      <c r="E16658" s="275">
        <f t="shared" si="2685"/>
        <v>46023</v>
      </c>
      <c r="F16658" s="481"/>
      <c r="G16658" s="174" t="s">
        <v>94</v>
      </c>
      <c r="H16658" s="174"/>
      <c r="J16658" s="149" t="s">
        <v>80</v>
      </c>
      <c r="K16658" s="218">
        <v>4203.8500000000004</v>
      </c>
      <c r="L16658" s="264"/>
      <c r="M16658" s="264"/>
      <c r="N16658" s="264"/>
    </row>
    <row r="16659" spans="1:14" x14ac:dyDescent="0.2">
      <c r="A16659" s="133">
        <v>2026</v>
      </c>
      <c r="B16659" s="133">
        <v>1</v>
      </c>
      <c r="C16659" s="133">
        <v>1</v>
      </c>
      <c r="D16659" s="141">
        <f t="shared" si="2684"/>
        <v>46023</v>
      </c>
      <c r="E16659" s="275">
        <f t="shared" si="2685"/>
        <v>46023</v>
      </c>
      <c r="F16659" s="481"/>
      <c r="G16659" s="174" t="s">
        <v>94</v>
      </c>
      <c r="H16659" s="174"/>
      <c r="J16659" s="149" t="s">
        <v>147</v>
      </c>
      <c r="K16659" s="218"/>
      <c r="L16659" s="218">
        <v>693776.35</v>
      </c>
      <c r="M16659" s="264"/>
    </row>
    <row r="16660" spans="1:14" x14ac:dyDescent="0.2">
      <c r="A16660" s="133">
        <v>2026</v>
      </c>
      <c r="B16660" s="133">
        <v>1</v>
      </c>
      <c r="C16660" s="133">
        <v>1</v>
      </c>
      <c r="D16660" s="141">
        <f t="shared" si="2684"/>
        <v>46023</v>
      </c>
      <c r="E16660" s="275">
        <f t="shared" si="2685"/>
        <v>46023</v>
      </c>
      <c r="F16660" s="481"/>
      <c r="G16660" s="174" t="s">
        <v>94</v>
      </c>
      <c r="H16660" s="174"/>
      <c r="J16660" s="149" t="s">
        <v>191</v>
      </c>
      <c r="K16660" s="218"/>
      <c r="L16660" s="218">
        <v>50509.66</v>
      </c>
    </row>
    <row r="16661" spans="1:14" x14ac:dyDescent="0.2">
      <c r="A16661" s="163">
        <v>2026</v>
      </c>
      <c r="B16661" s="163">
        <v>1</v>
      </c>
      <c r="C16661" s="163">
        <v>1</v>
      </c>
      <c r="D16661" s="280">
        <f t="shared" si="2684"/>
        <v>46023</v>
      </c>
      <c r="E16661" s="281">
        <f t="shared" si="2685"/>
        <v>46023</v>
      </c>
      <c r="F16661" s="480"/>
      <c r="G16661" s="221" t="s">
        <v>94</v>
      </c>
      <c r="H16661" s="145"/>
      <c r="I16661" s="145"/>
      <c r="J16661" s="163" t="s">
        <v>79</v>
      </c>
      <c r="K16661" s="219"/>
      <c r="L16661" s="219">
        <v>772440.34</v>
      </c>
      <c r="M16661" s="264"/>
    </row>
    <row r="16662" spans="1:14" x14ac:dyDescent="0.2">
      <c r="A16662" s="325">
        <v>2026</v>
      </c>
      <c r="B16662" s="325">
        <v>1</v>
      </c>
      <c r="C16662" s="325">
        <v>1</v>
      </c>
      <c r="D16662" s="326">
        <f t="shared" si="2684"/>
        <v>46023</v>
      </c>
      <c r="E16662" s="327">
        <f t="shared" si="2685"/>
        <v>46023</v>
      </c>
      <c r="F16662" s="473" t="s">
        <v>1940</v>
      </c>
      <c r="G16662" s="340" t="s">
        <v>94</v>
      </c>
      <c r="H16662" s="340"/>
      <c r="I16662" s="341" t="s">
        <v>348</v>
      </c>
      <c r="J16662" s="374" t="s">
        <v>133</v>
      </c>
      <c r="K16662" s="375">
        <v>2104.17</v>
      </c>
      <c r="L16662" s="375"/>
      <c r="M16662" s="176"/>
    </row>
    <row r="16663" spans="1:14" x14ac:dyDescent="0.2">
      <c r="A16663" s="331">
        <v>2026</v>
      </c>
      <c r="B16663" s="331">
        <v>1</v>
      </c>
      <c r="C16663" s="331">
        <v>1</v>
      </c>
      <c r="D16663" s="326">
        <f t="shared" si="2684"/>
        <v>46023</v>
      </c>
      <c r="E16663" s="327">
        <f t="shared" si="2685"/>
        <v>46023</v>
      </c>
      <c r="F16663" s="474"/>
      <c r="G16663" s="332" t="s">
        <v>94</v>
      </c>
      <c r="H16663" s="332"/>
      <c r="I16663" s="333" t="s">
        <v>348</v>
      </c>
      <c r="J16663" s="376" t="s">
        <v>2153</v>
      </c>
      <c r="K16663" s="334"/>
      <c r="L16663" s="334">
        <f>K16662</f>
        <v>2104.17</v>
      </c>
    </row>
    <row r="16664" spans="1:14" x14ac:dyDescent="0.2">
      <c r="A16664" s="325">
        <v>2026</v>
      </c>
      <c r="B16664" s="325">
        <v>1</v>
      </c>
      <c r="C16664" s="325">
        <v>1</v>
      </c>
      <c r="D16664" s="326">
        <f t="shared" si="2684"/>
        <v>46023</v>
      </c>
      <c r="E16664" s="327">
        <f t="shared" si="2685"/>
        <v>46023</v>
      </c>
      <c r="F16664" s="473" t="s">
        <v>2131</v>
      </c>
      <c r="G16664" s="340" t="s">
        <v>94</v>
      </c>
      <c r="H16664" s="340"/>
      <c r="I16664" s="341" t="s">
        <v>348</v>
      </c>
      <c r="J16664" s="374" t="s">
        <v>2156</v>
      </c>
      <c r="K16664" s="375">
        <v>6185.4395604395604</v>
      </c>
      <c r="L16664" s="375"/>
      <c r="M16664" s="176"/>
    </row>
    <row r="16665" spans="1:14" x14ac:dyDescent="0.2">
      <c r="A16665" s="331">
        <v>2026</v>
      </c>
      <c r="B16665" s="331">
        <v>1</v>
      </c>
      <c r="C16665" s="331">
        <v>1</v>
      </c>
      <c r="D16665" s="326">
        <f t="shared" si="2684"/>
        <v>46023</v>
      </c>
      <c r="E16665" s="327">
        <f t="shared" si="2685"/>
        <v>46023</v>
      </c>
      <c r="F16665" s="474"/>
      <c r="G16665" s="332" t="s">
        <v>94</v>
      </c>
      <c r="H16665" s="332"/>
      <c r="I16665" s="333" t="s">
        <v>348</v>
      </c>
      <c r="J16665" s="376" t="s">
        <v>2154</v>
      </c>
      <c r="K16665" s="334"/>
      <c r="L16665" s="334">
        <f>K16664</f>
        <v>6185.4395604395604</v>
      </c>
    </row>
    <row r="16666" spans="1:14" x14ac:dyDescent="0.2">
      <c r="A16666" s="384">
        <v>2026</v>
      </c>
      <c r="B16666" s="384">
        <v>1</v>
      </c>
      <c r="C16666" s="384">
        <v>1</v>
      </c>
      <c r="D16666" s="385">
        <f t="shared" si="2684"/>
        <v>46023</v>
      </c>
      <c r="E16666" s="386">
        <f t="shared" si="2685"/>
        <v>46023</v>
      </c>
      <c r="F16666" s="475" t="s">
        <v>1966</v>
      </c>
      <c r="G16666" s="387" t="s">
        <v>94</v>
      </c>
      <c r="H16666" s="387"/>
      <c r="I16666" s="388" t="s">
        <v>348</v>
      </c>
      <c r="J16666" s="389" t="s">
        <v>67</v>
      </c>
      <c r="K16666" s="390">
        <v>605.88068611111112</v>
      </c>
      <c r="L16666" s="390"/>
    </row>
    <row r="16667" spans="1:14" x14ac:dyDescent="0.2">
      <c r="A16667" s="391">
        <v>2026</v>
      </c>
      <c r="B16667" s="391">
        <v>1</v>
      </c>
      <c r="C16667" s="391">
        <v>1</v>
      </c>
      <c r="D16667" s="385">
        <f t="shared" si="2684"/>
        <v>46023</v>
      </c>
      <c r="E16667" s="386">
        <f t="shared" si="2685"/>
        <v>46023</v>
      </c>
      <c r="F16667" s="476"/>
      <c r="G16667" s="392" t="s">
        <v>94</v>
      </c>
      <c r="H16667" s="392"/>
      <c r="I16667" s="393" t="s">
        <v>348</v>
      </c>
      <c r="J16667" s="394" t="s">
        <v>2155</v>
      </c>
      <c r="K16667" s="395"/>
      <c r="L16667" s="395">
        <f>K16666</f>
        <v>605.88068611111112</v>
      </c>
    </row>
    <row r="16668" spans="1:14" x14ac:dyDescent="0.2">
      <c r="A16668" s="238">
        <v>2026</v>
      </c>
      <c r="B16668" s="238">
        <v>1</v>
      </c>
      <c r="C16668" s="238">
        <v>1</v>
      </c>
      <c r="D16668" s="270">
        <f t="shared" si="2684"/>
        <v>46023</v>
      </c>
      <c r="E16668" s="279">
        <f t="shared" si="2685"/>
        <v>46023</v>
      </c>
      <c r="F16668" s="477" t="s">
        <v>347</v>
      </c>
      <c r="G16668" s="239" t="s">
        <v>94</v>
      </c>
      <c r="H16668" s="239"/>
      <c r="I16668" s="262" t="s">
        <v>348</v>
      </c>
      <c r="J16668" s="240" t="s">
        <v>108</v>
      </c>
      <c r="K16668" s="241">
        <v>1956906.3400000334</v>
      </c>
      <c r="L16668" s="241"/>
      <c r="M16668" s="160"/>
    </row>
    <row r="16669" spans="1:14" x14ac:dyDescent="0.2">
      <c r="A16669" s="242">
        <v>2026</v>
      </c>
      <c r="B16669" s="242">
        <v>1</v>
      </c>
      <c r="C16669" s="242">
        <v>1</v>
      </c>
      <c r="D16669" s="270">
        <f t="shared" si="2684"/>
        <v>46023</v>
      </c>
      <c r="E16669" s="279">
        <f t="shared" si="2685"/>
        <v>46023</v>
      </c>
      <c r="F16669" s="478"/>
      <c r="G16669" s="243" t="s">
        <v>94</v>
      </c>
      <c r="H16669" s="243"/>
      <c r="I16669" s="263" t="s">
        <v>348</v>
      </c>
      <c r="J16669" s="244" t="s">
        <v>82</v>
      </c>
      <c r="K16669" s="245"/>
      <c r="L16669" s="245">
        <f>K16668</f>
        <v>1956906.3400000334</v>
      </c>
    </row>
    <row r="16670" spans="1:14" ht="12" customHeight="1" x14ac:dyDescent="0.2">
      <c r="A16670" s="246">
        <v>2026</v>
      </c>
      <c r="B16670" s="238">
        <v>1</v>
      </c>
      <c r="C16670" s="238">
        <v>1</v>
      </c>
      <c r="D16670" s="270">
        <f t="shared" si="2684"/>
        <v>46023</v>
      </c>
      <c r="E16670" s="279">
        <f t="shared" si="2685"/>
        <v>46023</v>
      </c>
      <c r="F16670" s="482" t="s">
        <v>148</v>
      </c>
      <c r="G16670" s="247" t="s">
        <v>94</v>
      </c>
      <c r="H16670" s="247"/>
      <c r="I16670" s="248" t="s">
        <v>348</v>
      </c>
      <c r="J16670" s="249" t="s">
        <v>95</v>
      </c>
      <c r="K16670" s="250">
        <v>392.46467817896388</v>
      </c>
      <c r="L16670" s="241"/>
      <c r="M16670" s="176"/>
    </row>
    <row r="16671" spans="1:14" x14ac:dyDescent="0.2">
      <c r="A16671" s="242">
        <v>2026</v>
      </c>
      <c r="B16671" s="242">
        <v>1</v>
      </c>
      <c r="C16671" s="242">
        <v>1</v>
      </c>
      <c r="D16671" s="270">
        <f t="shared" si="2684"/>
        <v>46023</v>
      </c>
      <c r="E16671" s="279">
        <f t="shared" si="2685"/>
        <v>46023</v>
      </c>
      <c r="F16671" s="478"/>
      <c r="G16671" s="243" t="s">
        <v>94</v>
      </c>
      <c r="H16671" s="243"/>
      <c r="I16671" s="263" t="s">
        <v>348</v>
      </c>
      <c r="J16671" s="244" t="s">
        <v>63</v>
      </c>
      <c r="K16671" s="245"/>
      <c r="L16671" s="245">
        <f>K16670</f>
        <v>392.46467817896388</v>
      </c>
    </row>
    <row r="16672" spans="1:14" x14ac:dyDescent="0.2">
      <c r="A16672" s="246">
        <v>2026</v>
      </c>
      <c r="B16672" s="238">
        <v>1</v>
      </c>
      <c r="C16672" s="238">
        <v>1</v>
      </c>
      <c r="D16672" s="270">
        <f t="shared" si="2684"/>
        <v>46023</v>
      </c>
      <c r="E16672" s="279">
        <f t="shared" si="2685"/>
        <v>46023</v>
      </c>
      <c r="F16672" s="482" t="s">
        <v>137</v>
      </c>
      <c r="G16672" s="247" t="s">
        <v>94</v>
      </c>
      <c r="H16672" s="247"/>
      <c r="I16672" s="248" t="s">
        <v>348</v>
      </c>
      <c r="J16672" s="249" t="s">
        <v>97</v>
      </c>
      <c r="K16672" s="250">
        <f>M16672</f>
        <v>12909.107852845764</v>
      </c>
      <c r="L16672" s="252"/>
      <c r="M16672" s="170">
        <v>12909.107852845764</v>
      </c>
    </row>
    <row r="16673" spans="1:14" x14ac:dyDescent="0.2">
      <c r="A16673" s="242">
        <v>2026</v>
      </c>
      <c r="B16673" s="242">
        <v>1</v>
      </c>
      <c r="C16673" s="242">
        <v>1</v>
      </c>
      <c r="D16673" s="270">
        <f t="shared" si="2684"/>
        <v>46023</v>
      </c>
      <c r="E16673" s="279">
        <f t="shared" si="2685"/>
        <v>46023</v>
      </c>
      <c r="F16673" s="478"/>
      <c r="G16673" s="243" t="s">
        <v>94</v>
      </c>
      <c r="H16673" s="243"/>
      <c r="I16673" s="263" t="s">
        <v>348</v>
      </c>
      <c r="J16673" s="244" t="s">
        <v>47</v>
      </c>
      <c r="K16673" s="245"/>
      <c r="L16673" s="245">
        <f>K16672</f>
        <v>12909.107852845764</v>
      </c>
      <c r="M16673" s="170">
        <v>611.11473330162892</v>
      </c>
    </row>
    <row r="16674" spans="1:14" x14ac:dyDescent="0.2">
      <c r="A16674" s="246">
        <v>2026</v>
      </c>
      <c r="B16674" s="238">
        <v>1</v>
      </c>
      <c r="C16674" s="238">
        <v>1</v>
      </c>
      <c r="D16674" s="270">
        <f t="shared" si="2684"/>
        <v>46023</v>
      </c>
      <c r="E16674" s="279">
        <f t="shared" si="2685"/>
        <v>46023</v>
      </c>
      <c r="F16674" s="482" t="s">
        <v>138</v>
      </c>
      <c r="G16674" s="247" t="s">
        <v>94</v>
      </c>
      <c r="H16674" s="247"/>
      <c r="I16674" s="248" t="s">
        <v>348</v>
      </c>
      <c r="J16674" s="249" t="s">
        <v>100</v>
      </c>
      <c r="K16674" s="250">
        <f>M16673</f>
        <v>611.11473330162892</v>
      </c>
      <c r="L16674" s="252"/>
    </row>
    <row r="16675" spans="1:14" x14ac:dyDescent="0.2">
      <c r="A16675" s="242">
        <v>2026</v>
      </c>
      <c r="B16675" s="242">
        <v>1</v>
      </c>
      <c r="C16675" s="242">
        <v>1</v>
      </c>
      <c r="D16675" s="321">
        <f t="shared" si="2684"/>
        <v>46023</v>
      </c>
      <c r="E16675" s="322">
        <f t="shared" si="2685"/>
        <v>46023</v>
      </c>
      <c r="F16675" s="478"/>
      <c r="G16675" s="243" t="s">
        <v>94</v>
      </c>
      <c r="H16675" s="243"/>
      <c r="I16675" s="263" t="s">
        <v>348</v>
      </c>
      <c r="J16675" s="244" t="s">
        <v>48</v>
      </c>
      <c r="K16675" s="245"/>
      <c r="L16675" s="245">
        <f>K16674</f>
        <v>611.11473330162892</v>
      </c>
    </row>
    <row r="16676" spans="1:14" ht="11.25" customHeight="1" x14ac:dyDescent="0.2">
      <c r="A16676" s="168">
        <v>2026</v>
      </c>
      <c r="B16676" s="133">
        <v>1</v>
      </c>
      <c r="C16676" s="168">
        <v>4</v>
      </c>
      <c r="D16676" s="141">
        <f t="shared" si="2684"/>
        <v>46026</v>
      </c>
      <c r="E16676" s="275">
        <f t="shared" si="2685"/>
        <v>46026</v>
      </c>
      <c r="F16676" s="479" t="s">
        <v>2116</v>
      </c>
      <c r="G16676" s="220" t="s">
        <v>74</v>
      </c>
      <c r="H16676" s="220"/>
      <c r="I16676" s="142"/>
      <c r="J16676" s="143" t="s">
        <v>147</v>
      </c>
      <c r="K16676" s="226">
        <v>693776.35</v>
      </c>
      <c r="L16676" s="226"/>
    </row>
    <row r="16677" spans="1:14" x14ac:dyDescent="0.2">
      <c r="A16677" s="163">
        <v>2026</v>
      </c>
      <c r="B16677" s="163">
        <v>1</v>
      </c>
      <c r="C16677" s="163">
        <v>4</v>
      </c>
      <c r="D16677" s="280">
        <f t="shared" si="2684"/>
        <v>46026</v>
      </c>
      <c r="E16677" s="281">
        <f t="shared" si="2685"/>
        <v>46026</v>
      </c>
      <c r="F16677" s="480"/>
      <c r="G16677" s="221" t="s">
        <v>74</v>
      </c>
      <c r="H16677" s="221"/>
      <c r="I16677" s="145"/>
      <c r="J16677" s="146" t="s">
        <v>52</v>
      </c>
      <c r="K16677" s="219"/>
      <c r="L16677" s="219">
        <f>K16676</f>
        <v>693776.35</v>
      </c>
      <c r="N16677" s="264"/>
    </row>
    <row r="16678" spans="1:14" x14ac:dyDescent="0.2">
      <c r="A16678" s="168">
        <v>2026</v>
      </c>
      <c r="B16678" s="133">
        <v>1</v>
      </c>
      <c r="C16678" s="168">
        <v>4</v>
      </c>
      <c r="D16678" s="147">
        <f t="shared" si="2684"/>
        <v>46026</v>
      </c>
      <c r="E16678" s="311">
        <f t="shared" si="2685"/>
        <v>46026</v>
      </c>
      <c r="F16678" s="481" t="s">
        <v>1943</v>
      </c>
      <c r="G16678" s="174" t="s">
        <v>74</v>
      </c>
      <c r="I16678" s="148" t="s">
        <v>348</v>
      </c>
      <c r="J16678" s="133" t="s">
        <v>61</v>
      </c>
      <c r="K16678" s="172">
        <v>445</v>
      </c>
    </row>
    <row r="16679" spans="1:14" x14ac:dyDescent="0.2">
      <c r="A16679" s="163">
        <v>2026</v>
      </c>
      <c r="B16679" s="163">
        <v>1</v>
      </c>
      <c r="C16679" s="163">
        <v>4</v>
      </c>
      <c r="D16679" s="280">
        <f t="shared" si="2684"/>
        <v>46026</v>
      </c>
      <c r="E16679" s="281">
        <f t="shared" si="2685"/>
        <v>46026</v>
      </c>
      <c r="F16679" s="480"/>
      <c r="G16679" s="221" t="s">
        <v>74</v>
      </c>
      <c r="H16679" s="145"/>
      <c r="I16679" s="145" t="s">
        <v>348</v>
      </c>
      <c r="J16679" s="163" t="s">
        <v>52</v>
      </c>
      <c r="K16679" s="219"/>
      <c r="L16679" s="219">
        <f>K16678</f>
        <v>445</v>
      </c>
    </row>
    <row r="16680" spans="1:14" ht="11.25" customHeight="1" x14ac:dyDescent="0.2">
      <c r="A16680" s="168">
        <v>2026</v>
      </c>
      <c r="B16680" s="133">
        <v>1</v>
      </c>
      <c r="C16680" s="168">
        <v>4</v>
      </c>
      <c r="D16680" s="141">
        <f t="shared" si="2684"/>
        <v>46026</v>
      </c>
      <c r="E16680" s="275">
        <f t="shared" si="2685"/>
        <v>46026</v>
      </c>
      <c r="F16680" s="479" t="s">
        <v>2116</v>
      </c>
      <c r="G16680" s="220" t="s">
        <v>74</v>
      </c>
      <c r="H16680" s="220"/>
      <c r="I16680" s="142"/>
      <c r="J16680" s="143" t="s">
        <v>147</v>
      </c>
      <c r="K16680" s="226">
        <v>64518.85</v>
      </c>
      <c r="L16680" s="226"/>
    </row>
    <row r="16681" spans="1:14" x14ac:dyDescent="0.2">
      <c r="A16681" s="163">
        <v>2026</v>
      </c>
      <c r="B16681" s="163">
        <v>1</v>
      </c>
      <c r="C16681" s="163">
        <v>4</v>
      </c>
      <c r="D16681" s="280">
        <f t="shared" si="2684"/>
        <v>46026</v>
      </c>
      <c r="E16681" s="281">
        <f t="shared" si="2685"/>
        <v>46026</v>
      </c>
      <c r="F16681" s="480"/>
      <c r="G16681" s="221" t="s">
        <v>74</v>
      </c>
      <c r="H16681" s="221"/>
      <c r="I16681" s="145"/>
      <c r="J16681" s="146" t="s">
        <v>52</v>
      </c>
      <c r="K16681" s="219"/>
      <c r="L16681" s="219">
        <f>K16680</f>
        <v>64518.85</v>
      </c>
      <c r="N16681" s="264"/>
    </row>
    <row r="16682" spans="1:14" x14ac:dyDescent="0.2">
      <c r="A16682" s="133">
        <v>2026</v>
      </c>
      <c r="B16682" s="133">
        <v>1</v>
      </c>
      <c r="C16682" s="168">
        <v>4</v>
      </c>
      <c r="D16682" s="141">
        <f t="shared" si="2684"/>
        <v>46026</v>
      </c>
      <c r="E16682" s="275">
        <f t="shared" si="2685"/>
        <v>46026</v>
      </c>
      <c r="F16682" s="481" t="s">
        <v>2115</v>
      </c>
      <c r="G16682" s="174" t="s">
        <v>94</v>
      </c>
      <c r="H16682" s="174"/>
      <c r="J16682" s="149" t="s">
        <v>79</v>
      </c>
      <c r="K16682" s="218">
        <v>4314914.5</v>
      </c>
      <c r="L16682" s="218"/>
      <c r="M16682" s="160"/>
    </row>
    <row r="16683" spans="1:14" x14ac:dyDescent="0.2">
      <c r="A16683" s="133">
        <v>2026</v>
      </c>
      <c r="B16683" s="133">
        <v>1</v>
      </c>
      <c r="C16683" s="133">
        <v>4</v>
      </c>
      <c r="D16683" s="141">
        <f t="shared" si="2684"/>
        <v>46026</v>
      </c>
      <c r="E16683" s="275">
        <f t="shared" si="2685"/>
        <v>46026</v>
      </c>
      <c r="F16683" s="481"/>
      <c r="G16683" s="174" t="s">
        <v>94</v>
      </c>
      <c r="H16683" s="174"/>
      <c r="J16683" s="149" t="s">
        <v>80</v>
      </c>
      <c r="K16683" s="218">
        <v>12759.17</v>
      </c>
      <c r="L16683" s="264"/>
      <c r="M16683" s="264"/>
      <c r="N16683" s="264"/>
    </row>
    <row r="16684" spans="1:14" x14ac:dyDescent="0.2">
      <c r="A16684" s="133">
        <v>2026</v>
      </c>
      <c r="B16684" s="133">
        <v>1</v>
      </c>
      <c r="C16684" s="133">
        <v>4</v>
      </c>
      <c r="D16684" s="141">
        <f t="shared" si="2684"/>
        <v>46026</v>
      </c>
      <c r="E16684" s="275">
        <f t="shared" si="2685"/>
        <v>46026</v>
      </c>
      <c r="F16684" s="481"/>
      <c r="G16684" s="174" t="s">
        <v>94</v>
      </c>
      <c r="H16684" s="174"/>
      <c r="J16684" s="149" t="s">
        <v>147</v>
      </c>
      <c r="K16684" s="218"/>
      <c r="L16684" s="218">
        <v>1554161.67</v>
      </c>
      <c r="M16684" s="264"/>
    </row>
    <row r="16685" spans="1:14" x14ac:dyDescent="0.2">
      <c r="A16685" s="133">
        <v>2026</v>
      </c>
      <c r="B16685" s="133">
        <v>1</v>
      </c>
      <c r="C16685" s="133">
        <v>4</v>
      </c>
      <c r="D16685" s="141">
        <f t="shared" si="2684"/>
        <v>46026</v>
      </c>
      <c r="E16685" s="275">
        <f t="shared" si="2685"/>
        <v>46026</v>
      </c>
      <c r="F16685" s="481"/>
      <c r="G16685" s="174" t="s">
        <v>94</v>
      </c>
      <c r="H16685" s="174"/>
      <c r="J16685" s="149" t="s">
        <v>191</v>
      </c>
      <c r="K16685" s="218"/>
      <c r="L16685" s="218">
        <v>181991.59</v>
      </c>
    </row>
    <row r="16686" spans="1:14" x14ac:dyDescent="0.2">
      <c r="A16686" s="163">
        <v>2026</v>
      </c>
      <c r="B16686" s="163">
        <v>1</v>
      </c>
      <c r="C16686" s="163">
        <v>4</v>
      </c>
      <c r="D16686" s="280">
        <f t="shared" si="2684"/>
        <v>46026</v>
      </c>
      <c r="E16686" s="281">
        <f t="shared" si="2685"/>
        <v>46026</v>
      </c>
      <c r="F16686" s="480"/>
      <c r="G16686" s="221" t="s">
        <v>94</v>
      </c>
      <c r="H16686" s="145"/>
      <c r="I16686" s="145"/>
      <c r="J16686" s="163" t="s">
        <v>79</v>
      </c>
      <c r="K16686" s="219"/>
      <c r="L16686" s="219">
        <v>2591520.41</v>
      </c>
      <c r="M16686" s="264"/>
    </row>
    <row r="16687" spans="1:14" x14ac:dyDescent="0.2">
      <c r="A16687" s="168">
        <v>2026</v>
      </c>
      <c r="B16687" s="168">
        <v>1</v>
      </c>
      <c r="C16687" s="168">
        <v>4</v>
      </c>
      <c r="D16687" s="141">
        <f t="shared" si="2684"/>
        <v>46026</v>
      </c>
      <c r="E16687" s="275">
        <f t="shared" si="2685"/>
        <v>46026</v>
      </c>
      <c r="F16687" s="479" t="s">
        <v>2148</v>
      </c>
      <c r="G16687" s="174" t="s">
        <v>74</v>
      </c>
      <c r="I16687" s="148" t="s">
        <v>348</v>
      </c>
      <c r="J16687" s="133" t="s">
        <v>47</v>
      </c>
      <c r="K16687" s="172">
        <v>61176.470588235294</v>
      </c>
      <c r="M16687" s="264"/>
      <c r="N16687" s="264"/>
    </row>
    <row r="16688" spans="1:14" x14ac:dyDescent="0.2">
      <c r="A16688" s="133">
        <v>2026</v>
      </c>
      <c r="B16688" s="133">
        <v>1</v>
      </c>
      <c r="C16688" s="133">
        <v>4</v>
      </c>
      <c r="D16688" s="141">
        <f t="shared" si="2684"/>
        <v>46026</v>
      </c>
      <c r="E16688" s="275">
        <f t="shared" si="2685"/>
        <v>46026</v>
      </c>
      <c r="F16688" s="481"/>
      <c r="G16688" s="174" t="s">
        <v>74</v>
      </c>
      <c r="J16688" s="133" t="s">
        <v>534</v>
      </c>
      <c r="K16688" s="218"/>
      <c r="L16688" s="218">
        <v>9176.4699999999993</v>
      </c>
      <c r="N16688" s="264"/>
    </row>
    <row r="16689" spans="1:15" x14ac:dyDescent="0.2">
      <c r="A16689" s="163">
        <v>2026</v>
      </c>
      <c r="B16689" s="163">
        <v>1</v>
      </c>
      <c r="C16689" s="163">
        <v>4</v>
      </c>
      <c r="D16689" s="280">
        <f t="shared" si="2684"/>
        <v>46026</v>
      </c>
      <c r="E16689" s="281">
        <f t="shared" si="2685"/>
        <v>46026</v>
      </c>
      <c r="F16689" s="480"/>
      <c r="G16689" s="221" t="s">
        <v>74</v>
      </c>
      <c r="H16689" s="145"/>
      <c r="I16689" s="145" t="s">
        <v>348</v>
      </c>
      <c r="J16689" s="163" t="s">
        <v>52</v>
      </c>
      <c r="K16689" s="219"/>
      <c r="L16689" s="219">
        <v>52000</v>
      </c>
      <c r="M16689" s="160"/>
      <c r="O16689" s="373"/>
    </row>
    <row r="16690" spans="1:15" ht="11.25" customHeight="1" x14ac:dyDescent="0.2">
      <c r="A16690" s="168">
        <v>2026</v>
      </c>
      <c r="B16690" s="168">
        <v>1</v>
      </c>
      <c r="C16690" s="133">
        <v>4</v>
      </c>
      <c r="D16690" s="141">
        <f t="shared" si="2684"/>
        <v>46026</v>
      </c>
      <c r="E16690" s="275">
        <f t="shared" si="2685"/>
        <v>46026</v>
      </c>
      <c r="F16690" s="479" t="s">
        <v>964</v>
      </c>
      <c r="G16690" s="220" t="s">
        <v>74</v>
      </c>
      <c r="H16690" s="142"/>
      <c r="I16690" s="142"/>
      <c r="J16690" s="168" t="s">
        <v>52</v>
      </c>
      <c r="K16690" s="226">
        <v>15000</v>
      </c>
      <c r="L16690" s="226"/>
    </row>
    <row r="16691" spans="1:15" ht="11.25" customHeight="1" x14ac:dyDescent="0.2">
      <c r="A16691" s="133">
        <v>2026</v>
      </c>
      <c r="B16691" s="133">
        <v>1</v>
      </c>
      <c r="C16691" s="133">
        <v>4</v>
      </c>
      <c r="D16691" s="141">
        <f t="shared" si="2684"/>
        <v>46026</v>
      </c>
      <c r="E16691" s="275">
        <f t="shared" si="2685"/>
        <v>46026</v>
      </c>
      <c r="F16691" s="481"/>
      <c r="G16691" s="174" t="s">
        <v>74</v>
      </c>
      <c r="J16691" s="133" t="s">
        <v>13</v>
      </c>
      <c r="K16691" s="218"/>
      <c r="L16691" s="218">
        <v>11000</v>
      </c>
    </row>
    <row r="16692" spans="1:15" ht="11.25" customHeight="1" x14ac:dyDescent="0.2">
      <c r="A16692" s="163">
        <v>2026</v>
      </c>
      <c r="B16692" s="163">
        <v>1</v>
      </c>
      <c r="C16692" s="163">
        <v>4</v>
      </c>
      <c r="D16692" s="280">
        <f t="shared" si="2684"/>
        <v>46026</v>
      </c>
      <c r="E16692" s="281">
        <f t="shared" si="2685"/>
        <v>46026</v>
      </c>
      <c r="F16692" s="480"/>
      <c r="G16692" s="221" t="s">
        <v>74</v>
      </c>
      <c r="H16692" s="145"/>
      <c r="I16692" s="145"/>
      <c r="J16692" s="163" t="s">
        <v>53</v>
      </c>
      <c r="K16692" s="219"/>
      <c r="L16692" s="219">
        <v>4000</v>
      </c>
    </row>
    <row r="16693" spans="1:15" x14ac:dyDescent="0.2">
      <c r="A16693" s="168">
        <v>2026</v>
      </c>
      <c r="B16693" s="133">
        <v>1</v>
      </c>
      <c r="C16693" s="168">
        <v>4</v>
      </c>
      <c r="D16693" s="141">
        <f t="shared" si="2684"/>
        <v>46026</v>
      </c>
      <c r="E16693" s="275">
        <f t="shared" si="2685"/>
        <v>46026</v>
      </c>
      <c r="F16693" s="481" t="s">
        <v>2149</v>
      </c>
      <c r="G16693" s="174" t="s">
        <v>94</v>
      </c>
      <c r="H16693" s="174"/>
      <c r="I16693" s="148" t="s">
        <v>348</v>
      </c>
      <c r="J16693" s="149" t="s">
        <v>52</v>
      </c>
      <c r="K16693" s="218">
        <v>21741</v>
      </c>
      <c r="L16693" s="218"/>
    </row>
    <row r="16694" spans="1:15" x14ac:dyDescent="0.2">
      <c r="A16694" s="163">
        <v>2026</v>
      </c>
      <c r="B16694" s="163">
        <v>1</v>
      </c>
      <c r="C16694" s="163">
        <v>4</v>
      </c>
      <c r="D16694" s="141">
        <f t="shared" si="2684"/>
        <v>46026</v>
      </c>
      <c r="E16694" s="275">
        <f t="shared" si="2685"/>
        <v>46026</v>
      </c>
      <c r="F16694" s="480"/>
      <c r="G16694" s="221" t="s">
        <v>94</v>
      </c>
      <c r="H16694" s="221"/>
      <c r="I16694" s="145" t="s">
        <v>348</v>
      </c>
      <c r="J16694" s="146" t="s">
        <v>168</v>
      </c>
      <c r="K16694" s="219"/>
      <c r="L16694" s="219">
        <f>K16693</f>
        <v>21741</v>
      </c>
    </row>
    <row r="16695" spans="1:15" x14ac:dyDescent="0.2">
      <c r="A16695" s="325">
        <v>2026</v>
      </c>
      <c r="B16695" s="325">
        <v>1</v>
      </c>
      <c r="C16695" s="325">
        <v>4</v>
      </c>
      <c r="D16695" s="326">
        <f t="shared" si="2684"/>
        <v>46026</v>
      </c>
      <c r="E16695" s="327">
        <f t="shared" si="2685"/>
        <v>46026</v>
      </c>
      <c r="F16695" s="473" t="s">
        <v>1940</v>
      </c>
      <c r="G16695" s="340" t="s">
        <v>94</v>
      </c>
      <c r="H16695" s="340"/>
      <c r="I16695" s="341" t="s">
        <v>348</v>
      </c>
      <c r="J16695" s="374" t="s">
        <v>133</v>
      </c>
      <c r="K16695" s="375">
        <v>6312.51</v>
      </c>
      <c r="L16695" s="375"/>
      <c r="M16695" s="176"/>
      <c r="N16695" s="160"/>
    </row>
    <row r="16696" spans="1:15" x14ac:dyDescent="0.2">
      <c r="A16696" s="331">
        <v>2026</v>
      </c>
      <c r="B16696" s="331">
        <v>1</v>
      </c>
      <c r="C16696" s="331">
        <v>4</v>
      </c>
      <c r="D16696" s="326">
        <f t="shared" si="2684"/>
        <v>46026</v>
      </c>
      <c r="E16696" s="327">
        <f t="shared" si="2685"/>
        <v>46026</v>
      </c>
      <c r="F16696" s="474"/>
      <c r="G16696" s="332" t="s">
        <v>94</v>
      </c>
      <c r="H16696" s="332"/>
      <c r="I16696" s="333" t="s">
        <v>348</v>
      </c>
      <c r="J16696" s="376" t="s">
        <v>2153</v>
      </c>
      <c r="K16696" s="334"/>
      <c r="L16696" s="334">
        <f>K16695</f>
        <v>6312.51</v>
      </c>
    </row>
    <row r="16697" spans="1:15" x14ac:dyDescent="0.2">
      <c r="A16697" s="325">
        <v>2026</v>
      </c>
      <c r="B16697" s="325">
        <v>1</v>
      </c>
      <c r="C16697" s="325">
        <v>4</v>
      </c>
      <c r="D16697" s="326">
        <f t="shared" si="2684"/>
        <v>46026</v>
      </c>
      <c r="E16697" s="327">
        <f t="shared" si="2685"/>
        <v>46026</v>
      </c>
      <c r="F16697" s="473" t="s">
        <v>2131</v>
      </c>
      <c r="G16697" s="340" t="s">
        <v>94</v>
      </c>
      <c r="H16697" s="340"/>
      <c r="I16697" s="341" t="s">
        <v>348</v>
      </c>
      <c r="J16697" s="374" t="s">
        <v>2156</v>
      </c>
      <c r="K16697" s="375">
        <v>18556.31868131868</v>
      </c>
      <c r="L16697" s="375"/>
      <c r="M16697" s="176"/>
    </row>
    <row r="16698" spans="1:15" x14ac:dyDescent="0.2">
      <c r="A16698" s="331">
        <v>2026</v>
      </c>
      <c r="B16698" s="331">
        <v>1</v>
      </c>
      <c r="C16698" s="331">
        <v>4</v>
      </c>
      <c r="D16698" s="326">
        <f t="shared" si="2684"/>
        <v>46026</v>
      </c>
      <c r="E16698" s="327">
        <f t="shared" si="2685"/>
        <v>46026</v>
      </c>
      <c r="F16698" s="474"/>
      <c r="G16698" s="332" t="s">
        <v>94</v>
      </c>
      <c r="H16698" s="332"/>
      <c r="I16698" s="333" t="s">
        <v>348</v>
      </c>
      <c r="J16698" s="376" t="s">
        <v>2154</v>
      </c>
      <c r="K16698" s="334"/>
      <c r="L16698" s="334">
        <f>K16697</f>
        <v>18556.31868131868</v>
      </c>
    </row>
    <row r="16699" spans="1:15" x14ac:dyDescent="0.2">
      <c r="A16699" s="384">
        <v>2026</v>
      </c>
      <c r="B16699" s="384">
        <v>1</v>
      </c>
      <c r="C16699" s="384">
        <v>4</v>
      </c>
      <c r="D16699" s="385">
        <f t="shared" si="2684"/>
        <v>46026</v>
      </c>
      <c r="E16699" s="386">
        <f t="shared" si="2685"/>
        <v>46026</v>
      </c>
      <c r="F16699" s="475" t="s">
        <v>1966</v>
      </c>
      <c r="G16699" s="387" t="s">
        <v>94</v>
      </c>
      <c r="H16699" s="387"/>
      <c r="I16699" s="388" t="s">
        <v>348</v>
      </c>
      <c r="J16699" s="389" t="s">
        <v>67</v>
      </c>
      <c r="K16699" s="390">
        <v>1301.94</v>
      </c>
      <c r="L16699" s="390"/>
    </row>
    <row r="16700" spans="1:15" x14ac:dyDescent="0.2">
      <c r="A16700" s="391">
        <v>2026</v>
      </c>
      <c r="B16700" s="391">
        <v>1</v>
      </c>
      <c r="C16700" s="391">
        <v>4</v>
      </c>
      <c r="D16700" s="385">
        <f t="shared" si="2684"/>
        <v>46026</v>
      </c>
      <c r="E16700" s="386">
        <f t="shared" si="2685"/>
        <v>46026</v>
      </c>
      <c r="F16700" s="476"/>
      <c r="G16700" s="392" t="s">
        <v>94</v>
      </c>
      <c r="H16700" s="392"/>
      <c r="I16700" s="393" t="s">
        <v>348</v>
      </c>
      <c r="J16700" s="394" t="s">
        <v>2155</v>
      </c>
      <c r="K16700" s="395"/>
      <c r="L16700" s="395">
        <f>K16699</f>
        <v>1301.94</v>
      </c>
    </row>
    <row r="16701" spans="1:15" x14ac:dyDescent="0.2">
      <c r="A16701" s="238">
        <v>2026</v>
      </c>
      <c r="B16701" s="238">
        <v>1</v>
      </c>
      <c r="C16701" s="238">
        <v>4</v>
      </c>
      <c r="D16701" s="270">
        <f t="shared" si="2684"/>
        <v>46026</v>
      </c>
      <c r="E16701" s="279">
        <f t="shared" si="2685"/>
        <v>46026</v>
      </c>
      <c r="F16701" s="477" t="s">
        <v>347</v>
      </c>
      <c r="G16701" s="239" t="s">
        <v>94</v>
      </c>
      <c r="H16701" s="239"/>
      <c r="I16701" s="262" t="s">
        <v>348</v>
      </c>
      <c r="J16701" s="240" t="s">
        <v>108</v>
      </c>
      <c r="K16701" s="241">
        <v>3289346.8100000024</v>
      </c>
      <c r="L16701" s="241"/>
      <c r="M16701" s="160"/>
    </row>
    <row r="16702" spans="1:15" x14ac:dyDescent="0.2">
      <c r="A16702" s="242">
        <v>2026</v>
      </c>
      <c r="B16702" s="242">
        <v>1</v>
      </c>
      <c r="C16702" s="242">
        <v>4</v>
      </c>
      <c r="D16702" s="270">
        <f t="shared" si="2684"/>
        <v>46026</v>
      </c>
      <c r="E16702" s="279">
        <f t="shared" si="2685"/>
        <v>46026</v>
      </c>
      <c r="F16702" s="478"/>
      <c r="G16702" s="243" t="s">
        <v>94</v>
      </c>
      <c r="H16702" s="243"/>
      <c r="I16702" s="263" t="s">
        <v>348</v>
      </c>
      <c r="J16702" s="244" t="s">
        <v>82</v>
      </c>
      <c r="K16702" s="245"/>
      <c r="L16702" s="245">
        <f>K16701</f>
        <v>3289346.8100000024</v>
      </c>
    </row>
    <row r="16703" spans="1:15" ht="12" customHeight="1" x14ac:dyDescent="0.2">
      <c r="A16703" s="246">
        <v>2026</v>
      </c>
      <c r="B16703" s="238">
        <v>1</v>
      </c>
      <c r="C16703" s="238">
        <v>4</v>
      </c>
      <c r="D16703" s="270">
        <f t="shared" si="2684"/>
        <v>46026</v>
      </c>
      <c r="E16703" s="279">
        <f t="shared" si="2685"/>
        <v>46026</v>
      </c>
      <c r="F16703" s="482" t="s">
        <v>148</v>
      </c>
      <c r="G16703" s="247" t="s">
        <v>94</v>
      </c>
      <c r="H16703" s="247"/>
      <c r="I16703" s="248" t="s">
        <v>348</v>
      </c>
      <c r="J16703" s="249" t="s">
        <v>95</v>
      </c>
      <c r="K16703" s="250">
        <v>1177.3940345368917</v>
      </c>
      <c r="L16703" s="241"/>
      <c r="M16703" s="176"/>
    </row>
    <row r="16704" spans="1:15" x14ac:dyDescent="0.2">
      <c r="A16704" s="242">
        <v>2026</v>
      </c>
      <c r="B16704" s="242">
        <v>1</v>
      </c>
      <c r="C16704" s="242">
        <v>4</v>
      </c>
      <c r="D16704" s="270">
        <f t="shared" ref="D16704:D16767" si="2686">DATE(A16704,B16704,C16704)</f>
        <v>46026</v>
      </c>
      <c r="E16704" s="279">
        <f t="shared" ref="E16704:E16767" si="2687">DATE(A16704,B16704,C16704)</f>
        <v>46026</v>
      </c>
      <c r="F16704" s="478"/>
      <c r="G16704" s="243" t="s">
        <v>94</v>
      </c>
      <c r="H16704" s="243"/>
      <c r="I16704" s="263" t="s">
        <v>348</v>
      </c>
      <c r="J16704" s="244" t="s">
        <v>63</v>
      </c>
      <c r="K16704" s="245"/>
      <c r="L16704" s="245">
        <f>K16703</f>
        <v>1177.3940345368917</v>
      </c>
    </row>
    <row r="16705" spans="1:14" x14ac:dyDescent="0.2">
      <c r="A16705" s="246">
        <v>2026</v>
      </c>
      <c r="B16705" s="238">
        <v>1</v>
      </c>
      <c r="C16705" s="238">
        <v>4</v>
      </c>
      <c r="D16705" s="270">
        <f t="shared" si="2686"/>
        <v>46026</v>
      </c>
      <c r="E16705" s="279">
        <f t="shared" si="2687"/>
        <v>46026</v>
      </c>
      <c r="F16705" s="482" t="s">
        <v>137</v>
      </c>
      <c r="G16705" s="247" t="s">
        <v>94</v>
      </c>
      <c r="H16705" s="247"/>
      <c r="I16705" s="248" t="s">
        <v>348</v>
      </c>
      <c r="J16705" s="249" t="s">
        <v>97</v>
      </c>
      <c r="K16705" s="250">
        <f>M16705</f>
        <v>39296.561417856836</v>
      </c>
      <c r="L16705" s="252"/>
      <c r="M16705" s="170">
        <v>39296.561417856836</v>
      </c>
    </row>
    <row r="16706" spans="1:14" x14ac:dyDescent="0.2">
      <c r="A16706" s="242">
        <v>2026</v>
      </c>
      <c r="B16706" s="242">
        <v>1</v>
      </c>
      <c r="C16706" s="242">
        <v>4</v>
      </c>
      <c r="D16706" s="270">
        <f t="shared" si="2686"/>
        <v>46026</v>
      </c>
      <c r="E16706" s="279">
        <f t="shared" si="2687"/>
        <v>46026</v>
      </c>
      <c r="F16706" s="478"/>
      <c r="G16706" s="243" t="s">
        <v>94</v>
      </c>
      <c r="H16706" s="243"/>
      <c r="I16706" s="263" t="s">
        <v>348</v>
      </c>
      <c r="J16706" s="244" t="s">
        <v>47</v>
      </c>
      <c r="K16706" s="245"/>
      <c r="L16706" s="245">
        <f>K16705</f>
        <v>39296.561417856836</v>
      </c>
      <c r="M16706" s="170">
        <v>1861.8060928708639</v>
      </c>
    </row>
    <row r="16707" spans="1:14" x14ac:dyDescent="0.2">
      <c r="A16707" s="246">
        <v>2026</v>
      </c>
      <c r="B16707" s="238">
        <v>1</v>
      </c>
      <c r="C16707" s="238">
        <v>4</v>
      </c>
      <c r="D16707" s="270">
        <f t="shared" si="2686"/>
        <v>46026</v>
      </c>
      <c r="E16707" s="279">
        <f t="shared" si="2687"/>
        <v>46026</v>
      </c>
      <c r="F16707" s="482" t="s">
        <v>138</v>
      </c>
      <c r="G16707" s="247" t="s">
        <v>94</v>
      </c>
      <c r="H16707" s="247"/>
      <c r="I16707" s="248" t="s">
        <v>348</v>
      </c>
      <c r="J16707" s="249" t="s">
        <v>100</v>
      </c>
      <c r="K16707" s="250">
        <f>M16706</f>
        <v>1861.8060928708639</v>
      </c>
      <c r="L16707" s="252"/>
    </row>
    <row r="16708" spans="1:14" x14ac:dyDescent="0.2">
      <c r="A16708" s="242">
        <v>2026</v>
      </c>
      <c r="B16708" s="242">
        <v>1</v>
      </c>
      <c r="C16708" s="242">
        <v>4</v>
      </c>
      <c r="D16708" s="321">
        <f t="shared" si="2686"/>
        <v>46026</v>
      </c>
      <c r="E16708" s="322">
        <f t="shared" si="2687"/>
        <v>46026</v>
      </c>
      <c r="F16708" s="478"/>
      <c r="G16708" s="243" t="s">
        <v>94</v>
      </c>
      <c r="H16708" s="243"/>
      <c r="I16708" s="263" t="s">
        <v>348</v>
      </c>
      <c r="J16708" s="244" t="s">
        <v>48</v>
      </c>
      <c r="K16708" s="245"/>
      <c r="L16708" s="245">
        <f>K16707</f>
        <v>1861.8060928708639</v>
      </c>
    </row>
    <row r="16709" spans="1:14" ht="11.25" customHeight="1" x14ac:dyDescent="0.2">
      <c r="A16709" s="168">
        <v>2026</v>
      </c>
      <c r="B16709" s="168">
        <v>1</v>
      </c>
      <c r="C16709" s="133">
        <v>5</v>
      </c>
      <c r="D16709" s="141">
        <f t="shared" si="2686"/>
        <v>46027</v>
      </c>
      <c r="E16709" s="275">
        <f t="shared" si="2687"/>
        <v>46027</v>
      </c>
      <c r="F16709" s="479" t="s">
        <v>964</v>
      </c>
      <c r="G16709" s="220" t="s">
        <v>74</v>
      </c>
      <c r="H16709" s="142"/>
      <c r="I16709" s="142"/>
      <c r="J16709" s="168" t="s">
        <v>52</v>
      </c>
      <c r="K16709" s="226">
        <v>25000</v>
      </c>
      <c r="L16709" s="226"/>
    </row>
    <row r="16710" spans="1:14" ht="11.25" customHeight="1" x14ac:dyDescent="0.2">
      <c r="A16710" s="133">
        <v>2026</v>
      </c>
      <c r="B16710" s="133">
        <v>1</v>
      </c>
      <c r="C16710" s="133">
        <v>5</v>
      </c>
      <c r="D16710" s="141">
        <f t="shared" si="2686"/>
        <v>46027</v>
      </c>
      <c r="E16710" s="275">
        <f t="shared" si="2687"/>
        <v>46027</v>
      </c>
      <c r="F16710" s="481"/>
      <c r="G16710" s="174" t="s">
        <v>74</v>
      </c>
      <c r="J16710" s="133" t="s">
        <v>13</v>
      </c>
      <c r="K16710" s="218"/>
      <c r="L16710" s="218">
        <v>18040</v>
      </c>
    </row>
    <row r="16711" spans="1:14" ht="11.25" customHeight="1" x14ac:dyDescent="0.2">
      <c r="A16711" s="163">
        <v>2026</v>
      </c>
      <c r="B16711" s="163">
        <v>1</v>
      </c>
      <c r="C16711" s="163">
        <v>5</v>
      </c>
      <c r="D16711" s="280">
        <f t="shared" si="2686"/>
        <v>46027</v>
      </c>
      <c r="E16711" s="281">
        <f t="shared" si="2687"/>
        <v>46027</v>
      </c>
      <c r="F16711" s="480"/>
      <c r="G16711" s="221" t="s">
        <v>74</v>
      </c>
      <c r="H16711" s="145"/>
      <c r="I16711" s="145"/>
      <c r="J16711" s="163" t="s">
        <v>53</v>
      </c>
      <c r="K16711" s="219"/>
      <c r="L16711" s="219">
        <v>6960</v>
      </c>
    </row>
    <row r="16712" spans="1:14" x14ac:dyDescent="0.2">
      <c r="A16712" s="133">
        <v>2026</v>
      </c>
      <c r="B16712" s="133">
        <v>1</v>
      </c>
      <c r="C16712" s="168">
        <v>5</v>
      </c>
      <c r="D16712" s="141">
        <f t="shared" si="2686"/>
        <v>46027</v>
      </c>
      <c r="E16712" s="275">
        <f t="shared" si="2687"/>
        <v>46027</v>
      </c>
      <c r="F16712" s="481" t="s">
        <v>2115</v>
      </c>
      <c r="G16712" s="174" t="s">
        <v>94</v>
      </c>
      <c r="H16712" s="174"/>
      <c r="J16712" s="149" t="s">
        <v>79</v>
      </c>
      <c r="K16712" s="218">
        <v>986184.8</v>
      </c>
      <c r="L16712" s="218"/>
      <c r="M16712" s="160"/>
    </row>
    <row r="16713" spans="1:14" x14ac:dyDescent="0.2">
      <c r="A16713" s="133">
        <v>2026</v>
      </c>
      <c r="B16713" s="133">
        <v>1</v>
      </c>
      <c r="C16713" s="133">
        <v>5</v>
      </c>
      <c r="D16713" s="141">
        <f t="shared" si="2686"/>
        <v>46027</v>
      </c>
      <c r="E16713" s="275">
        <f t="shared" si="2687"/>
        <v>46027</v>
      </c>
      <c r="F16713" s="481"/>
      <c r="G16713" s="174" t="s">
        <v>94</v>
      </c>
      <c r="H16713" s="174"/>
      <c r="J16713" s="149" t="s">
        <v>80</v>
      </c>
      <c r="K16713" s="218">
        <v>3861.4</v>
      </c>
      <c r="L16713" s="264"/>
      <c r="M16713" s="264"/>
      <c r="N16713" s="264"/>
    </row>
    <row r="16714" spans="1:14" x14ac:dyDescent="0.2">
      <c r="A16714" s="133">
        <v>2026</v>
      </c>
      <c r="B16714" s="133">
        <v>1</v>
      </c>
      <c r="C16714" s="133">
        <v>5</v>
      </c>
      <c r="D16714" s="141">
        <f t="shared" si="2686"/>
        <v>46027</v>
      </c>
      <c r="E16714" s="275">
        <f t="shared" si="2687"/>
        <v>46027</v>
      </c>
      <c r="F16714" s="481"/>
      <c r="G16714" s="174" t="s">
        <v>94</v>
      </c>
      <c r="H16714" s="174"/>
      <c r="J16714" s="149" t="s">
        <v>190</v>
      </c>
      <c r="K16714" s="218">
        <v>168992.8</v>
      </c>
      <c r="L16714" s="218"/>
      <c r="M16714" s="264"/>
    </row>
    <row r="16715" spans="1:14" x14ac:dyDescent="0.2">
      <c r="A16715" s="133">
        <v>2026</v>
      </c>
      <c r="B16715" s="133">
        <v>1</v>
      </c>
      <c r="C16715" s="133">
        <v>5</v>
      </c>
      <c r="D16715" s="141">
        <f t="shared" si="2686"/>
        <v>46027</v>
      </c>
      <c r="E16715" s="275">
        <f t="shared" si="2687"/>
        <v>46027</v>
      </c>
      <c r="F16715" s="481"/>
      <c r="G16715" s="174" t="s">
        <v>94</v>
      </c>
      <c r="H16715" s="174"/>
      <c r="J16715" s="149" t="s">
        <v>191</v>
      </c>
      <c r="K16715" s="218"/>
      <c r="L16715" s="218">
        <v>45676.05</v>
      </c>
    </row>
    <row r="16716" spans="1:14" x14ac:dyDescent="0.2">
      <c r="A16716" s="163">
        <v>2026</v>
      </c>
      <c r="B16716" s="163">
        <v>1</v>
      </c>
      <c r="C16716" s="163">
        <v>5</v>
      </c>
      <c r="D16716" s="280">
        <f t="shared" si="2686"/>
        <v>46027</v>
      </c>
      <c r="E16716" s="281">
        <f t="shared" si="2687"/>
        <v>46027</v>
      </c>
      <c r="F16716" s="480"/>
      <c r="G16716" s="221" t="s">
        <v>94</v>
      </c>
      <c r="H16716" s="145"/>
      <c r="I16716" s="145"/>
      <c r="J16716" s="163" t="s">
        <v>79</v>
      </c>
      <c r="K16716" s="219"/>
      <c r="L16716" s="219">
        <v>1113362.95</v>
      </c>
      <c r="M16716" s="264"/>
    </row>
    <row r="16717" spans="1:14" ht="11.25" customHeight="1" x14ac:dyDescent="0.2">
      <c r="A16717" s="168">
        <v>2026</v>
      </c>
      <c r="B16717" s="168">
        <v>1</v>
      </c>
      <c r="C16717" s="133">
        <v>5</v>
      </c>
      <c r="D16717" s="141">
        <f t="shared" si="2686"/>
        <v>46027</v>
      </c>
      <c r="E16717" s="275">
        <f t="shared" si="2687"/>
        <v>46027</v>
      </c>
      <c r="F16717" s="479" t="s">
        <v>964</v>
      </c>
      <c r="G16717" s="220" t="s">
        <v>74</v>
      </c>
      <c r="H16717" s="142"/>
      <c r="I16717" s="142"/>
      <c r="J16717" s="168" t="s">
        <v>52</v>
      </c>
      <c r="K16717" s="226">
        <v>1200000</v>
      </c>
      <c r="L16717" s="226"/>
    </row>
    <row r="16718" spans="1:14" ht="11.25" customHeight="1" x14ac:dyDescent="0.2">
      <c r="A16718" s="133">
        <v>2026</v>
      </c>
      <c r="B16718" s="133">
        <v>1</v>
      </c>
      <c r="C16718" s="133">
        <v>5</v>
      </c>
      <c r="D16718" s="141">
        <f t="shared" si="2686"/>
        <v>46027</v>
      </c>
      <c r="E16718" s="275">
        <f t="shared" si="2687"/>
        <v>46027</v>
      </c>
      <c r="F16718" s="481"/>
      <c r="G16718" s="174" t="s">
        <v>74</v>
      </c>
      <c r="J16718" s="133" t="s">
        <v>13</v>
      </c>
      <c r="K16718" s="218"/>
      <c r="L16718" s="218">
        <v>865860</v>
      </c>
    </row>
    <row r="16719" spans="1:14" ht="11.25" customHeight="1" x14ac:dyDescent="0.2">
      <c r="A16719" s="163">
        <v>2026</v>
      </c>
      <c r="B16719" s="163">
        <v>1</v>
      </c>
      <c r="C16719" s="163">
        <v>5</v>
      </c>
      <c r="D16719" s="280">
        <f t="shared" si="2686"/>
        <v>46027</v>
      </c>
      <c r="E16719" s="281">
        <f t="shared" si="2687"/>
        <v>46027</v>
      </c>
      <c r="F16719" s="480"/>
      <c r="G16719" s="221" t="s">
        <v>74</v>
      </c>
      <c r="H16719" s="145"/>
      <c r="I16719" s="145"/>
      <c r="J16719" s="163" t="s">
        <v>53</v>
      </c>
      <c r="K16719" s="219"/>
      <c r="L16719" s="219">
        <v>334140</v>
      </c>
    </row>
    <row r="16720" spans="1:14" x14ac:dyDescent="0.2">
      <c r="A16720" s="168">
        <v>2026</v>
      </c>
      <c r="B16720" s="133">
        <v>1</v>
      </c>
      <c r="C16720" s="168">
        <v>5</v>
      </c>
      <c r="D16720" s="147">
        <f t="shared" si="2686"/>
        <v>46027</v>
      </c>
      <c r="E16720" s="311">
        <f t="shared" si="2687"/>
        <v>46027</v>
      </c>
      <c r="F16720" s="481" t="s">
        <v>1943</v>
      </c>
      <c r="G16720" s="174" t="s">
        <v>74</v>
      </c>
      <c r="I16720" s="148" t="s">
        <v>348</v>
      </c>
      <c r="J16720" s="133" t="s">
        <v>61</v>
      </c>
      <c r="K16720" s="172">
        <v>25</v>
      </c>
    </row>
    <row r="16721" spans="1:13" x14ac:dyDescent="0.2">
      <c r="A16721" s="163">
        <v>2026</v>
      </c>
      <c r="B16721" s="163">
        <v>1</v>
      </c>
      <c r="C16721" s="163">
        <v>5</v>
      </c>
      <c r="D16721" s="280">
        <f t="shared" si="2686"/>
        <v>46027</v>
      </c>
      <c r="E16721" s="281">
        <f t="shared" si="2687"/>
        <v>46027</v>
      </c>
      <c r="F16721" s="480"/>
      <c r="G16721" s="221" t="s">
        <v>74</v>
      </c>
      <c r="H16721" s="145"/>
      <c r="I16721" s="145" t="s">
        <v>348</v>
      </c>
      <c r="J16721" s="163" t="s">
        <v>52</v>
      </c>
      <c r="K16721" s="219"/>
      <c r="L16721" s="219">
        <f>K16720</f>
        <v>25</v>
      </c>
    </row>
    <row r="16722" spans="1:13" ht="11.25" customHeight="1" x14ac:dyDescent="0.2">
      <c r="A16722" s="168">
        <v>2026</v>
      </c>
      <c r="B16722" s="168">
        <v>1</v>
      </c>
      <c r="C16722" s="133">
        <v>5</v>
      </c>
      <c r="D16722" s="141">
        <f t="shared" si="2686"/>
        <v>46027</v>
      </c>
      <c r="E16722" s="275">
        <f t="shared" si="2687"/>
        <v>46027</v>
      </c>
      <c r="F16722" s="479" t="s">
        <v>1319</v>
      </c>
      <c r="G16722" s="220" t="s">
        <v>74</v>
      </c>
      <c r="H16722" s="142"/>
      <c r="I16722" s="142"/>
      <c r="J16722" s="168" t="s">
        <v>52</v>
      </c>
      <c r="K16722" s="226">
        <v>43000</v>
      </c>
      <c r="L16722" s="226"/>
    </row>
    <row r="16723" spans="1:13" ht="11.25" customHeight="1" x14ac:dyDescent="0.2">
      <c r="A16723" s="133">
        <v>2026</v>
      </c>
      <c r="B16723" s="133">
        <v>1</v>
      </c>
      <c r="C16723" s="133">
        <v>5</v>
      </c>
      <c r="D16723" s="141">
        <f t="shared" si="2686"/>
        <v>46027</v>
      </c>
      <c r="E16723" s="275">
        <f t="shared" si="2687"/>
        <v>46027</v>
      </c>
      <c r="F16723" s="481"/>
      <c r="G16723" s="174" t="s">
        <v>74</v>
      </c>
      <c r="J16723" s="133" t="s">
        <v>13</v>
      </c>
      <c r="K16723" s="218"/>
      <c r="L16723" s="218">
        <v>31030</v>
      </c>
    </row>
    <row r="16724" spans="1:13" ht="11.25" customHeight="1" x14ac:dyDescent="0.2">
      <c r="A16724" s="163">
        <v>2026</v>
      </c>
      <c r="B16724" s="163">
        <v>1</v>
      </c>
      <c r="C16724" s="163">
        <v>5</v>
      </c>
      <c r="D16724" s="280">
        <f t="shared" si="2686"/>
        <v>46027</v>
      </c>
      <c r="E16724" s="281">
        <f t="shared" si="2687"/>
        <v>46027</v>
      </c>
      <c r="F16724" s="480"/>
      <c r="G16724" s="221" t="s">
        <v>74</v>
      </c>
      <c r="H16724" s="145"/>
      <c r="I16724" s="145"/>
      <c r="J16724" s="163" t="s">
        <v>53</v>
      </c>
      <c r="K16724" s="219"/>
      <c r="L16724" s="219">
        <v>11970</v>
      </c>
    </row>
    <row r="16725" spans="1:13" x14ac:dyDescent="0.2">
      <c r="A16725" s="325">
        <v>2026</v>
      </c>
      <c r="B16725" s="325">
        <v>1</v>
      </c>
      <c r="C16725" s="325">
        <v>5</v>
      </c>
      <c r="D16725" s="326">
        <f t="shared" si="2686"/>
        <v>46027</v>
      </c>
      <c r="E16725" s="327">
        <f t="shared" si="2687"/>
        <v>46027</v>
      </c>
      <c r="F16725" s="473" t="s">
        <v>1940</v>
      </c>
      <c r="G16725" s="340" t="s">
        <v>94</v>
      </c>
      <c r="H16725" s="340"/>
      <c r="I16725" s="341" t="s">
        <v>348</v>
      </c>
      <c r="J16725" s="374" t="s">
        <v>133</v>
      </c>
      <c r="K16725" s="375">
        <v>2104.17</v>
      </c>
      <c r="L16725" s="375"/>
      <c r="M16725" s="176"/>
    </row>
    <row r="16726" spans="1:13" x14ac:dyDescent="0.2">
      <c r="A16726" s="331">
        <v>2026</v>
      </c>
      <c r="B16726" s="331">
        <v>1</v>
      </c>
      <c r="C16726" s="331">
        <v>5</v>
      </c>
      <c r="D16726" s="326">
        <f t="shared" si="2686"/>
        <v>46027</v>
      </c>
      <c r="E16726" s="327">
        <f t="shared" si="2687"/>
        <v>46027</v>
      </c>
      <c r="F16726" s="474"/>
      <c r="G16726" s="332" t="s">
        <v>94</v>
      </c>
      <c r="H16726" s="332"/>
      <c r="I16726" s="333" t="s">
        <v>348</v>
      </c>
      <c r="J16726" s="376" t="s">
        <v>2153</v>
      </c>
      <c r="K16726" s="334"/>
      <c r="L16726" s="334">
        <f>K16725</f>
        <v>2104.17</v>
      </c>
    </row>
    <row r="16727" spans="1:13" x14ac:dyDescent="0.2">
      <c r="A16727" s="325">
        <v>2026</v>
      </c>
      <c r="B16727" s="325">
        <v>1</v>
      </c>
      <c r="C16727" s="325">
        <v>5</v>
      </c>
      <c r="D16727" s="326">
        <f t="shared" si="2686"/>
        <v>46027</v>
      </c>
      <c r="E16727" s="327">
        <f t="shared" si="2687"/>
        <v>46027</v>
      </c>
      <c r="F16727" s="473" t="s">
        <v>2131</v>
      </c>
      <c r="G16727" s="340" t="s">
        <v>94</v>
      </c>
      <c r="H16727" s="340"/>
      <c r="I16727" s="341" t="s">
        <v>348</v>
      </c>
      <c r="J16727" s="374" t="s">
        <v>2156</v>
      </c>
      <c r="K16727" s="375">
        <v>6185.4395604395604</v>
      </c>
      <c r="L16727" s="375"/>
      <c r="M16727" s="176"/>
    </row>
    <row r="16728" spans="1:13" x14ac:dyDescent="0.2">
      <c r="A16728" s="331">
        <v>2026</v>
      </c>
      <c r="B16728" s="331">
        <v>1</v>
      </c>
      <c r="C16728" s="331">
        <v>5</v>
      </c>
      <c r="D16728" s="326">
        <f t="shared" si="2686"/>
        <v>46027</v>
      </c>
      <c r="E16728" s="327">
        <f t="shared" si="2687"/>
        <v>46027</v>
      </c>
      <c r="F16728" s="474"/>
      <c r="G16728" s="332" t="s">
        <v>94</v>
      </c>
      <c r="H16728" s="332"/>
      <c r="I16728" s="333" t="s">
        <v>348</v>
      </c>
      <c r="J16728" s="376" t="s">
        <v>2154</v>
      </c>
      <c r="K16728" s="334"/>
      <c r="L16728" s="334">
        <f>K16727</f>
        <v>6185.4395604395604</v>
      </c>
    </row>
    <row r="16729" spans="1:13" x14ac:dyDescent="0.2">
      <c r="A16729" s="384">
        <v>2026</v>
      </c>
      <c r="B16729" s="384">
        <v>1</v>
      </c>
      <c r="C16729" s="384">
        <v>5</v>
      </c>
      <c r="D16729" s="385">
        <f t="shared" si="2686"/>
        <v>46027</v>
      </c>
      <c r="E16729" s="386">
        <f t="shared" si="2687"/>
        <v>46027</v>
      </c>
      <c r="F16729" s="475" t="s">
        <v>1966</v>
      </c>
      <c r="G16729" s="387" t="s">
        <v>94</v>
      </c>
      <c r="H16729" s="387"/>
      <c r="I16729" s="388" t="s">
        <v>348</v>
      </c>
      <c r="J16729" s="389" t="s">
        <v>67</v>
      </c>
      <c r="K16729" s="390">
        <v>324.10123111111108</v>
      </c>
      <c r="L16729" s="390"/>
    </row>
    <row r="16730" spans="1:13" x14ac:dyDescent="0.2">
      <c r="A16730" s="391">
        <v>2026</v>
      </c>
      <c r="B16730" s="391">
        <v>1</v>
      </c>
      <c r="C16730" s="391">
        <v>5</v>
      </c>
      <c r="D16730" s="385">
        <f t="shared" si="2686"/>
        <v>46027</v>
      </c>
      <c r="E16730" s="386">
        <f t="shared" si="2687"/>
        <v>46027</v>
      </c>
      <c r="F16730" s="476"/>
      <c r="G16730" s="392" t="s">
        <v>94</v>
      </c>
      <c r="H16730" s="392"/>
      <c r="I16730" s="393" t="s">
        <v>348</v>
      </c>
      <c r="J16730" s="394" t="s">
        <v>2155</v>
      </c>
      <c r="K16730" s="395"/>
      <c r="L16730" s="395">
        <f>K16729</f>
        <v>324.10123111111108</v>
      </c>
    </row>
    <row r="16731" spans="1:13" x14ac:dyDescent="0.2">
      <c r="A16731" s="238">
        <v>2026</v>
      </c>
      <c r="B16731" s="238">
        <v>1</v>
      </c>
      <c r="C16731" s="238">
        <v>5</v>
      </c>
      <c r="D16731" s="270">
        <f t="shared" si="2686"/>
        <v>46027</v>
      </c>
      <c r="E16731" s="279">
        <f t="shared" si="2687"/>
        <v>46027</v>
      </c>
      <c r="F16731" s="477" t="s">
        <v>347</v>
      </c>
      <c r="G16731" s="239" t="s">
        <v>94</v>
      </c>
      <c r="H16731" s="239"/>
      <c r="I16731" s="262" t="s">
        <v>348</v>
      </c>
      <c r="J16731" s="240" t="s">
        <v>82</v>
      </c>
      <c r="K16731" s="241">
        <v>713886.95000007749</v>
      </c>
      <c r="L16731" s="241"/>
      <c r="M16731" s="160"/>
    </row>
    <row r="16732" spans="1:13" x14ac:dyDescent="0.2">
      <c r="A16732" s="242">
        <v>2026</v>
      </c>
      <c r="B16732" s="242">
        <v>1</v>
      </c>
      <c r="C16732" s="242">
        <v>5</v>
      </c>
      <c r="D16732" s="270">
        <f t="shared" si="2686"/>
        <v>46027</v>
      </c>
      <c r="E16732" s="279">
        <f t="shared" si="2687"/>
        <v>46027</v>
      </c>
      <c r="F16732" s="478"/>
      <c r="G16732" s="243" t="s">
        <v>94</v>
      </c>
      <c r="H16732" s="243"/>
      <c r="I16732" s="263" t="s">
        <v>348</v>
      </c>
      <c r="J16732" s="244" t="s">
        <v>108</v>
      </c>
      <c r="K16732" s="245"/>
      <c r="L16732" s="245">
        <f>K16731</f>
        <v>713886.95000007749</v>
      </c>
    </row>
    <row r="16733" spans="1:13" ht="12" customHeight="1" x14ac:dyDescent="0.2">
      <c r="A16733" s="246">
        <v>2026</v>
      </c>
      <c r="B16733" s="238">
        <v>1</v>
      </c>
      <c r="C16733" s="238">
        <v>5</v>
      </c>
      <c r="D16733" s="270">
        <f t="shared" si="2686"/>
        <v>46027</v>
      </c>
      <c r="E16733" s="279">
        <f t="shared" si="2687"/>
        <v>46027</v>
      </c>
      <c r="F16733" s="482" t="s">
        <v>148</v>
      </c>
      <c r="G16733" s="247" t="s">
        <v>94</v>
      </c>
      <c r="H16733" s="247"/>
      <c r="I16733" s="248" t="s">
        <v>348</v>
      </c>
      <c r="J16733" s="249" t="s">
        <v>95</v>
      </c>
      <c r="K16733" s="250">
        <v>392.46467817896388</v>
      </c>
      <c r="L16733" s="241"/>
      <c r="M16733" s="176"/>
    </row>
    <row r="16734" spans="1:13" x14ac:dyDescent="0.2">
      <c r="A16734" s="242">
        <v>2026</v>
      </c>
      <c r="B16734" s="242">
        <v>1</v>
      </c>
      <c r="C16734" s="242">
        <v>5</v>
      </c>
      <c r="D16734" s="270">
        <f t="shared" si="2686"/>
        <v>46027</v>
      </c>
      <c r="E16734" s="279">
        <f t="shared" si="2687"/>
        <v>46027</v>
      </c>
      <c r="F16734" s="478"/>
      <c r="G16734" s="243" t="s">
        <v>94</v>
      </c>
      <c r="H16734" s="243"/>
      <c r="I16734" s="263" t="s">
        <v>348</v>
      </c>
      <c r="J16734" s="244" t="s">
        <v>63</v>
      </c>
      <c r="K16734" s="245"/>
      <c r="L16734" s="245">
        <f>K16733</f>
        <v>392.46467817896388</v>
      </c>
    </row>
    <row r="16735" spans="1:13" x14ac:dyDescent="0.2">
      <c r="A16735" s="246">
        <v>2026</v>
      </c>
      <c r="B16735" s="238">
        <v>1</v>
      </c>
      <c r="C16735" s="238">
        <v>5</v>
      </c>
      <c r="D16735" s="270">
        <f t="shared" si="2686"/>
        <v>46027</v>
      </c>
      <c r="E16735" s="279">
        <f t="shared" si="2687"/>
        <v>46027</v>
      </c>
      <c r="F16735" s="482" t="s">
        <v>137</v>
      </c>
      <c r="G16735" s="247" t="s">
        <v>94</v>
      </c>
      <c r="H16735" s="247"/>
      <c r="I16735" s="248" t="s">
        <v>348</v>
      </c>
      <c r="J16735" s="249" t="s">
        <v>97</v>
      </c>
      <c r="K16735" s="250">
        <f>M16735</f>
        <v>13061.514497780026</v>
      </c>
      <c r="L16735" s="252"/>
      <c r="M16735" s="170">
        <v>13061.514497780026</v>
      </c>
    </row>
    <row r="16736" spans="1:13" x14ac:dyDescent="0.2">
      <c r="A16736" s="242">
        <v>2026</v>
      </c>
      <c r="B16736" s="242">
        <v>1</v>
      </c>
      <c r="C16736" s="242">
        <v>5</v>
      </c>
      <c r="D16736" s="270">
        <f t="shared" si="2686"/>
        <v>46027</v>
      </c>
      <c r="E16736" s="279">
        <f t="shared" si="2687"/>
        <v>46027</v>
      </c>
      <c r="F16736" s="478"/>
      <c r="G16736" s="243" t="s">
        <v>94</v>
      </c>
      <c r="H16736" s="243"/>
      <c r="I16736" s="263" t="s">
        <v>348</v>
      </c>
      <c r="J16736" s="244" t="s">
        <v>47</v>
      </c>
      <c r="K16736" s="245"/>
      <c r="L16736" s="245">
        <f>K16735</f>
        <v>13061.514497780026</v>
      </c>
      <c r="M16736" s="170">
        <v>618.73506554834205</v>
      </c>
    </row>
    <row r="16737" spans="1:14" x14ac:dyDescent="0.2">
      <c r="A16737" s="246">
        <v>2026</v>
      </c>
      <c r="B16737" s="238">
        <v>1</v>
      </c>
      <c r="C16737" s="238">
        <v>5</v>
      </c>
      <c r="D16737" s="270">
        <f t="shared" si="2686"/>
        <v>46027</v>
      </c>
      <c r="E16737" s="279">
        <f t="shared" si="2687"/>
        <v>46027</v>
      </c>
      <c r="F16737" s="482" t="s">
        <v>138</v>
      </c>
      <c r="G16737" s="247" t="s">
        <v>94</v>
      </c>
      <c r="H16737" s="247"/>
      <c r="I16737" s="248" t="s">
        <v>348</v>
      </c>
      <c r="J16737" s="249" t="s">
        <v>100</v>
      </c>
      <c r="K16737" s="250">
        <f>M16736</f>
        <v>618.73506554834205</v>
      </c>
      <c r="L16737" s="252"/>
    </row>
    <row r="16738" spans="1:14" x14ac:dyDescent="0.2">
      <c r="A16738" s="242">
        <v>2026</v>
      </c>
      <c r="B16738" s="242">
        <v>1</v>
      </c>
      <c r="C16738" s="242">
        <v>5</v>
      </c>
      <c r="D16738" s="321">
        <f t="shared" si="2686"/>
        <v>46027</v>
      </c>
      <c r="E16738" s="322">
        <f t="shared" si="2687"/>
        <v>46027</v>
      </c>
      <c r="F16738" s="478"/>
      <c r="G16738" s="243" t="s">
        <v>94</v>
      </c>
      <c r="H16738" s="243"/>
      <c r="I16738" s="263" t="s">
        <v>348</v>
      </c>
      <c r="J16738" s="244" t="s">
        <v>48</v>
      </c>
      <c r="K16738" s="245"/>
      <c r="L16738" s="245">
        <f>K16737</f>
        <v>618.73506554834205</v>
      </c>
    </row>
    <row r="16739" spans="1:14" x14ac:dyDescent="0.2">
      <c r="A16739" s="133">
        <v>2026</v>
      </c>
      <c r="B16739" s="133">
        <v>1</v>
      </c>
      <c r="C16739" s="168">
        <v>6</v>
      </c>
      <c r="D16739" s="141">
        <f t="shared" si="2686"/>
        <v>46028</v>
      </c>
      <c r="E16739" s="275">
        <f t="shared" si="2687"/>
        <v>46028</v>
      </c>
      <c r="F16739" s="481" t="s">
        <v>2115</v>
      </c>
      <c r="G16739" s="174" t="s">
        <v>94</v>
      </c>
      <c r="H16739" s="174"/>
      <c r="J16739" s="149" t="s">
        <v>79</v>
      </c>
      <c r="K16739" s="218">
        <v>2333763.7999999998</v>
      </c>
      <c r="L16739" s="218"/>
      <c r="M16739" s="160"/>
    </row>
    <row r="16740" spans="1:14" x14ac:dyDescent="0.2">
      <c r="A16740" s="133">
        <v>2026</v>
      </c>
      <c r="B16740" s="133">
        <v>1</v>
      </c>
      <c r="C16740" s="133">
        <v>6</v>
      </c>
      <c r="D16740" s="141">
        <f t="shared" si="2686"/>
        <v>46028</v>
      </c>
      <c r="E16740" s="275">
        <f t="shared" si="2687"/>
        <v>46028</v>
      </c>
      <c r="F16740" s="481"/>
      <c r="G16740" s="174" t="s">
        <v>94</v>
      </c>
      <c r="H16740" s="174"/>
      <c r="J16740" s="149" t="s">
        <v>80</v>
      </c>
      <c r="K16740" s="218">
        <v>7385.87</v>
      </c>
      <c r="L16740" s="264"/>
      <c r="M16740" s="264"/>
      <c r="N16740" s="264"/>
    </row>
    <row r="16741" spans="1:14" x14ac:dyDescent="0.2">
      <c r="A16741" s="133">
        <v>2026</v>
      </c>
      <c r="B16741" s="133">
        <v>1</v>
      </c>
      <c r="C16741" s="133">
        <v>6</v>
      </c>
      <c r="D16741" s="141">
        <f t="shared" si="2686"/>
        <v>46028</v>
      </c>
      <c r="E16741" s="275">
        <f t="shared" si="2687"/>
        <v>46028</v>
      </c>
      <c r="F16741" s="481"/>
      <c r="G16741" s="174" t="s">
        <v>94</v>
      </c>
      <c r="H16741" s="174"/>
      <c r="J16741" s="149" t="s">
        <v>147</v>
      </c>
      <c r="K16741" s="218"/>
      <c r="L16741" s="218">
        <v>571649.67000000004</v>
      </c>
      <c r="M16741" s="264"/>
    </row>
    <row r="16742" spans="1:14" x14ac:dyDescent="0.2">
      <c r="A16742" s="133">
        <v>2026</v>
      </c>
      <c r="B16742" s="133">
        <v>1</v>
      </c>
      <c r="C16742" s="133">
        <v>6</v>
      </c>
      <c r="D16742" s="141">
        <f t="shared" si="2686"/>
        <v>46028</v>
      </c>
      <c r="E16742" s="275">
        <f t="shared" si="2687"/>
        <v>46028</v>
      </c>
      <c r="F16742" s="481"/>
      <c r="G16742" s="174" t="s">
        <v>94</v>
      </c>
      <c r="H16742" s="174"/>
      <c r="J16742" s="149" t="s">
        <v>191</v>
      </c>
      <c r="K16742" s="218"/>
      <c r="L16742" s="218">
        <v>92683.55</v>
      </c>
    </row>
    <row r="16743" spans="1:14" x14ac:dyDescent="0.2">
      <c r="A16743" s="163">
        <v>2026</v>
      </c>
      <c r="B16743" s="163">
        <v>1</v>
      </c>
      <c r="C16743" s="163">
        <v>6</v>
      </c>
      <c r="D16743" s="280">
        <f t="shared" si="2686"/>
        <v>46028</v>
      </c>
      <c r="E16743" s="281">
        <f t="shared" si="2687"/>
        <v>46028</v>
      </c>
      <c r="F16743" s="480"/>
      <c r="G16743" s="221" t="s">
        <v>94</v>
      </c>
      <c r="H16743" s="145"/>
      <c r="I16743" s="145"/>
      <c r="J16743" s="163" t="s">
        <v>79</v>
      </c>
      <c r="K16743" s="219"/>
      <c r="L16743" s="219">
        <v>1676816.45</v>
      </c>
      <c r="M16743" s="264"/>
    </row>
    <row r="16744" spans="1:14" x14ac:dyDescent="0.2">
      <c r="A16744" s="325">
        <v>2026</v>
      </c>
      <c r="B16744" s="325">
        <v>1</v>
      </c>
      <c r="C16744" s="325">
        <v>6</v>
      </c>
      <c r="D16744" s="326">
        <f t="shared" si="2686"/>
        <v>46028</v>
      </c>
      <c r="E16744" s="327">
        <f t="shared" si="2687"/>
        <v>46028</v>
      </c>
      <c r="F16744" s="473" t="s">
        <v>1940</v>
      </c>
      <c r="G16744" s="340" t="s">
        <v>94</v>
      </c>
      <c r="H16744" s="340"/>
      <c r="I16744" s="341" t="s">
        <v>348</v>
      </c>
      <c r="J16744" s="374" t="s">
        <v>133</v>
      </c>
      <c r="K16744" s="375">
        <v>2104.17</v>
      </c>
      <c r="L16744" s="375"/>
      <c r="M16744" s="176"/>
    </row>
    <row r="16745" spans="1:14" x14ac:dyDescent="0.2">
      <c r="A16745" s="331">
        <v>2026</v>
      </c>
      <c r="B16745" s="331">
        <v>1</v>
      </c>
      <c r="C16745" s="331">
        <v>6</v>
      </c>
      <c r="D16745" s="326">
        <f t="shared" si="2686"/>
        <v>46028</v>
      </c>
      <c r="E16745" s="327">
        <f t="shared" si="2687"/>
        <v>46028</v>
      </c>
      <c r="F16745" s="474"/>
      <c r="G16745" s="332" t="s">
        <v>94</v>
      </c>
      <c r="H16745" s="332"/>
      <c r="I16745" s="333" t="s">
        <v>348</v>
      </c>
      <c r="J16745" s="376" t="s">
        <v>2153</v>
      </c>
      <c r="K16745" s="334"/>
      <c r="L16745" s="334">
        <f>K16744</f>
        <v>2104.17</v>
      </c>
    </row>
    <row r="16746" spans="1:14" x14ac:dyDescent="0.2">
      <c r="A16746" s="325">
        <v>2026</v>
      </c>
      <c r="B16746" s="325">
        <v>1</v>
      </c>
      <c r="C16746" s="325">
        <v>6</v>
      </c>
      <c r="D16746" s="326">
        <f t="shared" si="2686"/>
        <v>46028</v>
      </c>
      <c r="E16746" s="327">
        <f t="shared" si="2687"/>
        <v>46028</v>
      </c>
      <c r="F16746" s="473" t="s">
        <v>2131</v>
      </c>
      <c r="G16746" s="340" t="s">
        <v>94</v>
      </c>
      <c r="H16746" s="340"/>
      <c r="I16746" s="341" t="s">
        <v>348</v>
      </c>
      <c r="J16746" s="374" t="s">
        <v>2156</v>
      </c>
      <c r="K16746" s="375">
        <v>6185.4395604395604</v>
      </c>
      <c r="L16746" s="375"/>
      <c r="M16746" s="176"/>
    </row>
    <row r="16747" spans="1:14" x14ac:dyDescent="0.2">
      <c r="A16747" s="331">
        <v>2026</v>
      </c>
      <c r="B16747" s="331">
        <v>1</v>
      </c>
      <c r="C16747" s="331">
        <v>6</v>
      </c>
      <c r="D16747" s="326">
        <f t="shared" si="2686"/>
        <v>46028</v>
      </c>
      <c r="E16747" s="327">
        <f t="shared" si="2687"/>
        <v>46028</v>
      </c>
      <c r="F16747" s="474"/>
      <c r="G16747" s="332" t="s">
        <v>94</v>
      </c>
      <c r="H16747" s="332"/>
      <c r="I16747" s="333" t="s">
        <v>348</v>
      </c>
      <c r="J16747" s="376" t="s">
        <v>2154</v>
      </c>
      <c r="K16747" s="334"/>
      <c r="L16747" s="334">
        <f>K16746</f>
        <v>6185.4395604395604</v>
      </c>
    </row>
    <row r="16748" spans="1:14" x14ac:dyDescent="0.2">
      <c r="A16748" s="384">
        <v>2026</v>
      </c>
      <c r="B16748" s="384">
        <v>1</v>
      </c>
      <c r="C16748" s="384">
        <v>6</v>
      </c>
      <c r="D16748" s="385">
        <f t="shared" si="2686"/>
        <v>46028</v>
      </c>
      <c r="E16748" s="386">
        <f t="shared" si="2687"/>
        <v>46028</v>
      </c>
      <c r="F16748" s="475" t="s">
        <v>1966</v>
      </c>
      <c r="G16748" s="387" t="s">
        <v>94</v>
      </c>
      <c r="H16748" s="387"/>
      <c r="I16748" s="388" t="s">
        <v>348</v>
      </c>
      <c r="J16748" s="389" t="s">
        <v>67</v>
      </c>
      <c r="K16748" s="390">
        <v>577.08213388888885</v>
      </c>
      <c r="L16748" s="390"/>
    </row>
    <row r="16749" spans="1:14" x14ac:dyDescent="0.2">
      <c r="A16749" s="391">
        <v>2026</v>
      </c>
      <c r="B16749" s="391">
        <v>1</v>
      </c>
      <c r="C16749" s="391">
        <v>6</v>
      </c>
      <c r="D16749" s="385">
        <f t="shared" si="2686"/>
        <v>46028</v>
      </c>
      <c r="E16749" s="386">
        <f t="shared" si="2687"/>
        <v>46028</v>
      </c>
      <c r="F16749" s="476"/>
      <c r="G16749" s="392" t="s">
        <v>94</v>
      </c>
      <c r="H16749" s="392"/>
      <c r="I16749" s="393" t="s">
        <v>348</v>
      </c>
      <c r="J16749" s="394" t="s">
        <v>2155</v>
      </c>
      <c r="K16749" s="395"/>
      <c r="L16749" s="395">
        <f>K16748</f>
        <v>577.08213388888885</v>
      </c>
    </row>
    <row r="16750" spans="1:14" x14ac:dyDescent="0.2">
      <c r="A16750" s="238">
        <v>2026</v>
      </c>
      <c r="B16750" s="238">
        <v>1</v>
      </c>
      <c r="C16750" s="238">
        <v>6</v>
      </c>
      <c r="D16750" s="270">
        <f t="shared" si="2686"/>
        <v>46028</v>
      </c>
      <c r="E16750" s="279">
        <f t="shared" si="2687"/>
        <v>46028</v>
      </c>
      <c r="F16750" s="477" t="s">
        <v>347</v>
      </c>
      <c r="G16750" s="239" t="s">
        <v>94</v>
      </c>
      <c r="H16750" s="239"/>
      <c r="I16750" s="262" t="s">
        <v>348</v>
      </c>
      <c r="J16750" s="240" t="s">
        <v>108</v>
      </c>
      <c r="K16750" s="241">
        <v>1231529.0499999821</v>
      </c>
      <c r="L16750" s="241"/>
      <c r="M16750" s="160"/>
    </row>
    <row r="16751" spans="1:14" x14ac:dyDescent="0.2">
      <c r="A16751" s="242">
        <v>2026</v>
      </c>
      <c r="B16751" s="242">
        <v>1</v>
      </c>
      <c r="C16751" s="242">
        <v>6</v>
      </c>
      <c r="D16751" s="270">
        <f t="shared" si="2686"/>
        <v>46028</v>
      </c>
      <c r="E16751" s="279">
        <f t="shared" si="2687"/>
        <v>46028</v>
      </c>
      <c r="F16751" s="478"/>
      <c r="G16751" s="243" t="s">
        <v>94</v>
      </c>
      <c r="H16751" s="243"/>
      <c r="I16751" s="263" t="s">
        <v>348</v>
      </c>
      <c r="J16751" s="244" t="s">
        <v>82</v>
      </c>
      <c r="K16751" s="245"/>
      <c r="L16751" s="245">
        <f>K16750</f>
        <v>1231529.0499999821</v>
      </c>
    </row>
    <row r="16752" spans="1:14" ht="12" customHeight="1" x14ac:dyDescent="0.2">
      <c r="A16752" s="246">
        <v>2026</v>
      </c>
      <c r="B16752" s="238">
        <v>1</v>
      </c>
      <c r="C16752" s="238">
        <v>6</v>
      </c>
      <c r="D16752" s="270">
        <f t="shared" si="2686"/>
        <v>46028</v>
      </c>
      <c r="E16752" s="279">
        <f t="shared" si="2687"/>
        <v>46028</v>
      </c>
      <c r="F16752" s="482" t="s">
        <v>148</v>
      </c>
      <c r="G16752" s="247" t="s">
        <v>94</v>
      </c>
      <c r="H16752" s="247"/>
      <c r="I16752" s="248" t="s">
        <v>348</v>
      </c>
      <c r="J16752" s="249" t="s">
        <v>95</v>
      </c>
      <c r="K16752" s="250">
        <v>392.46467817896388</v>
      </c>
      <c r="L16752" s="241"/>
      <c r="M16752" s="176"/>
    </row>
    <row r="16753" spans="1:14" x14ac:dyDescent="0.2">
      <c r="A16753" s="242">
        <v>2026</v>
      </c>
      <c r="B16753" s="242">
        <v>1</v>
      </c>
      <c r="C16753" s="242">
        <v>6</v>
      </c>
      <c r="D16753" s="270">
        <f t="shared" si="2686"/>
        <v>46028</v>
      </c>
      <c r="E16753" s="279">
        <f t="shared" si="2687"/>
        <v>46028</v>
      </c>
      <c r="F16753" s="478"/>
      <c r="G16753" s="243" t="s">
        <v>94</v>
      </c>
      <c r="H16753" s="243"/>
      <c r="I16753" s="263" t="s">
        <v>348</v>
      </c>
      <c r="J16753" s="244" t="s">
        <v>63</v>
      </c>
      <c r="K16753" s="245"/>
      <c r="L16753" s="245">
        <f>K16752</f>
        <v>392.46467817896388</v>
      </c>
    </row>
    <row r="16754" spans="1:14" x14ac:dyDescent="0.2">
      <c r="A16754" s="246">
        <v>2026</v>
      </c>
      <c r="B16754" s="238">
        <v>1</v>
      </c>
      <c r="C16754" s="238">
        <v>6</v>
      </c>
      <c r="D16754" s="270">
        <f t="shared" si="2686"/>
        <v>46028</v>
      </c>
      <c r="E16754" s="279">
        <f t="shared" si="2687"/>
        <v>46028</v>
      </c>
      <c r="F16754" s="482" t="s">
        <v>137</v>
      </c>
      <c r="G16754" s="247" t="s">
        <v>94</v>
      </c>
      <c r="H16754" s="247"/>
      <c r="I16754" s="248" t="s">
        <v>348</v>
      </c>
      <c r="J16754" s="249" t="s">
        <v>97</v>
      </c>
      <c r="K16754" s="250">
        <f>M16754</f>
        <v>13128.704260362671</v>
      </c>
      <c r="L16754" s="252"/>
      <c r="M16754" s="170">
        <v>13128.704260362671</v>
      </c>
    </row>
    <row r="16755" spans="1:14" x14ac:dyDescent="0.2">
      <c r="A16755" s="242">
        <v>2026</v>
      </c>
      <c r="B16755" s="242">
        <v>1</v>
      </c>
      <c r="C16755" s="242">
        <v>6</v>
      </c>
      <c r="D16755" s="270">
        <f t="shared" si="2686"/>
        <v>46028</v>
      </c>
      <c r="E16755" s="279">
        <f t="shared" si="2687"/>
        <v>46028</v>
      </c>
      <c r="F16755" s="478"/>
      <c r="G16755" s="243" t="s">
        <v>94</v>
      </c>
      <c r="H16755" s="243"/>
      <c r="I16755" s="263" t="s">
        <v>348</v>
      </c>
      <c r="J16755" s="244" t="s">
        <v>47</v>
      </c>
      <c r="K16755" s="245"/>
      <c r="L16755" s="245">
        <f>K16754</f>
        <v>13128.704260362671</v>
      </c>
      <c r="M16755" s="170">
        <v>622.09455367747421</v>
      </c>
    </row>
    <row r="16756" spans="1:14" x14ac:dyDescent="0.2">
      <c r="A16756" s="246">
        <v>2026</v>
      </c>
      <c r="B16756" s="238">
        <v>1</v>
      </c>
      <c r="C16756" s="238">
        <v>6</v>
      </c>
      <c r="D16756" s="270">
        <f t="shared" si="2686"/>
        <v>46028</v>
      </c>
      <c r="E16756" s="279">
        <f t="shared" si="2687"/>
        <v>46028</v>
      </c>
      <c r="F16756" s="482" t="s">
        <v>138</v>
      </c>
      <c r="G16756" s="247" t="s">
        <v>94</v>
      </c>
      <c r="H16756" s="247"/>
      <c r="I16756" s="248" t="s">
        <v>348</v>
      </c>
      <c r="J16756" s="249" t="s">
        <v>100</v>
      </c>
      <c r="K16756" s="250">
        <f>M16755</f>
        <v>622.09455367747421</v>
      </c>
      <c r="L16756" s="252"/>
    </row>
    <row r="16757" spans="1:14" x14ac:dyDescent="0.2">
      <c r="A16757" s="242">
        <v>2026</v>
      </c>
      <c r="B16757" s="242">
        <v>1</v>
      </c>
      <c r="C16757" s="242">
        <v>6</v>
      </c>
      <c r="D16757" s="321">
        <f t="shared" si="2686"/>
        <v>46028</v>
      </c>
      <c r="E16757" s="322">
        <f t="shared" si="2687"/>
        <v>46028</v>
      </c>
      <c r="F16757" s="478"/>
      <c r="G16757" s="243" t="s">
        <v>94</v>
      </c>
      <c r="H16757" s="243"/>
      <c r="I16757" s="263" t="s">
        <v>348</v>
      </c>
      <c r="J16757" s="244" t="s">
        <v>48</v>
      </c>
      <c r="K16757" s="245"/>
      <c r="L16757" s="245">
        <f>K16756</f>
        <v>622.09455367747421</v>
      </c>
    </row>
    <row r="16758" spans="1:14" ht="11.25" customHeight="1" x14ac:dyDescent="0.2">
      <c r="A16758" s="168">
        <v>2026</v>
      </c>
      <c r="B16758" s="133">
        <v>1</v>
      </c>
      <c r="C16758" s="168">
        <v>7</v>
      </c>
      <c r="D16758" s="141">
        <f t="shared" si="2686"/>
        <v>46029</v>
      </c>
      <c r="E16758" s="275">
        <f t="shared" si="2687"/>
        <v>46029</v>
      </c>
      <c r="F16758" s="479" t="s">
        <v>2116</v>
      </c>
      <c r="G16758" s="220" t="s">
        <v>74</v>
      </c>
      <c r="H16758" s="220"/>
      <c r="I16758" s="142"/>
      <c r="J16758" s="143" t="s">
        <v>147</v>
      </c>
      <c r="K16758" s="226">
        <v>1554161.67</v>
      </c>
      <c r="L16758" s="226"/>
    </row>
    <row r="16759" spans="1:14" x14ac:dyDescent="0.2">
      <c r="A16759" s="163">
        <v>2026</v>
      </c>
      <c r="B16759" s="163">
        <v>1</v>
      </c>
      <c r="C16759" s="163">
        <v>7</v>
      </c>
      <c r="D16759" s="280">
        <f t="shared" si="2686"/>
        <v>46029</v>
      </c>
      <c r="E16759" s="281">
        <f t="shared" si="2687"/>
        <v>46029</v>
      </c>
      <c r="F16759" s="480"/>
      <c r="G16759" s="221" t="s">
        <v>74</v>
      </c>
      <c r="H16759" s="221"/>
      <c r="I16759" s="145"/>
      <c r="J16759" s="146" t="s">
        <v>52</v>
      </c>
      <c r="K16759" s="219"/>
      <c r="L16759" s="219">
        <f>K16758</f>
        <v>1554161.67</v>
      </c>
      <c r="N16759" s="264"/>
    </row>
    <row r="16760" spans="1:14" x14ac:dyDescent="0.2">
      <c r="A16760" s="133">
        <v>2026</v>
      </c>
      <c r="B16760" s="133">
        <v>1</v>
      </c>
      <c r="C16760" s="168">
        <v>7</v>
      </c>
      <c r="D16760" s="141">
        <f t="shared" si="2686"/>
        <v>46029</v>
      </c>
      <c r="E16760" s="275">
        <f t="shared" si="2687"/>
        <v>46029</v>
      </c>
      <c r="F16760" s="481" t="s">
        <v>2115</v>
      </c>
      <c r="G16760" s="174" t="s">
        <v>94</v>
      </c>
      <c r="H16760" s="174"/>
      <c r="J16760" s="149" t="s">
        <v>79</v>
      </c>
      <c r="K16760" s="218">
        <v>3589134.5</v>
      </c>
      <c r="L16760" s="218"/>
      <c r="M16760" s="160"/>
    </row>
    <row r="16761" spans="1:14" x14ac:dyDescent="0.2">
      <c r="A16761" s="133">
        <v>2026</v>
      </c>
      <c r="B16761" s="133">
        <v>1</v>
      </c>
      <c r="C16761" s="133">
        <v>7</v>
      </c>
      <c r="D16761" s="141">
        <f t="shared" si="2686"/>
        <v>46029</v>
      </c>
      <c r="E16761" s="275">
        <f t="shared" si="2687"/>
        <v>46029</v>
      </c>
      <c r="F16761" s="481"/>
      <c r="G16761" s="174" t="s">
        <v>94</v>
      </c>
      <c r="H16761" s="174"/>
      <c r="J16761" s="149" t="s">
        <v>80</v>
      </c>
      <c r="K16761" s="218">
        <v>12652.64</v>
      </c>
      <c r="L16761" s="264"/>
      <c r="M16761" s="264"/>
      <c r="N16761" s="264"/>
    </row>
    <row r="16762" spans="1:14" x14ac:dyDescent="0.2">
      <c r="A16762" s="133">
        <v>2026</v>
      </c>
      <c r="B16762" s="133">
        <v>1</v>
      </c>
      <c r="C16762" s="133">
        <v>7</v>
      </c>
      <c r="D16762" s="141">
        <f t="shared" si="2686"/>
        <v>46029</v>
      </c>
      <c r="E16762" s="275">
        <f t="shared" si="2687"/>
        <v>46029</v>
      </c>
      <c r="F16762" s="481"/>
      <c r="G16762" s="174" t="s">
        <v>94</v>
      </c>
      <c r="H16762" s="174"/>
      <c r="J16762" s="149" t="s">
        <v>147</v>
      </c>
      <c r="K16762" s="218"/>
      <c r="L16762" s="218">
        <v>161677.14000000001</v>
      </c>
      <c r="M16762" s="264"/>
    </row>
    <row r="16763" spans="1:14" x14ac:dyDescent="0.2">
      <c r="A16763" s="133">
        <v>2026</v>
      </c>
      <c r="B16763" s="133">
        <v>1</v>
      </c>
      <c r="C16763" s="133">
        <v>7</v>
      </c>
      <c r="D16763" s="141">
        <f t="shared" si="2686"/>
        <v>46029</v>
      </c>
      <c r="E16763" s="275">
        <f t="shared" si="2687"/>
        <v>46029</v>
      </c>
      <c r="F16763" s="481"/>
      <c r="G16763" s="174" t="s">
        <v>94</v>
      </c>
      <c r="H16763" s="174"/>
      <c r="J16763" s="149" t="s">
        <v>191</v>
      </c>
      <c r="K16763" s="218"/>
      <c r="L16763" s="218">
        <v>260862.24</v>
      </c>
    </row>
    <row r="16764" spans="1:14" x14ac:dyDescent="0.2">
      <c r="A16764" s="163">
        <v>2026</v>
      </c>
      <c r="B16764" s="163">
        <v>1</v>
      </c>
      <c r="C16764" s="163">
        <v>7</v>
      </c>
      <c r="D16764" s="280">
        <f t="shared" si="2686"/>
        <v>46029</v>
      </c>
      <c r="E16764" s="281">
        <f t="shared" si="2687"/>
        <v>46029</v>
      </c>
      <c r="F16764" s="480"/>
      <c r="G16764" s="221" t="s">
        <v>94</v>
      </c>
      <c r="H16764" s="145"/>
      <c r="I16764" s="145"/>
      <c r="J16764" s="163" t="s">
        <v>79</v>
      </c>
      <c r="K16764" s="219"/>
      <c r="L16764" s="219">
        <v>3179247.76</v>
      </c>
      <c r="M16764" s="264"/>
    </row>
    <row r="16765" spans="1:14" x14ac:dyDescent="0.2">
      <c r="A16765" s="325">
        <v>2026</v>
      </c>
      <c r="B16765" s="325">
        <v>1</v>
      </c>
      <c r="C16765" s="325">
        <v>7</v>
      </c>
      <c r="D16765" s="326">
        <f t="shared" si="2686"/>
        <v>46029</v>
      </c>
      <c r="E16765" s="327">
        <f t="shared" si="2687"/>
        <v>46029</v>
      </c>
      <c r="F16765" s="473" t="s">
        <v>1940</v>
      </c>
      <c r="G16765" s="340" t="s">
        <v>94</v>
      </c>
      <c r="H16765" s="340"/>
      <c r="I16765" s="341" t="s">
        <v>348</v>
      </c>
      <c r="J16765" s="374" t="s">
        <v>133</v>
      </c>
      <c r="K16765" s="375">
        <v>2104.17</v>
      </c>
      <c r="L16765" s="375"/>
      <c r="M16765" s="176"/>
    </row>
    <row r="16766" spans="1:14" x14ac:dyDescent="0.2">
      <c r="A16766" s="331">
        <v>2026</v>
      </c>
      <c r="B16766" s="331">
        <v>1</v>
      </c>
      <c r="C16766" s="331">
        <v>7</v>
      </c>
      <c r="D16766" s="326">
        <f t="shared" si="2686"/>
        <v>46029</v>
      </c>
      <c r="E16766" s="327">
        <f t="shared" si="2687"/>
        <v>46029</v>
      </c>
      <c r="F16766" s="474"/>
      <c r="G16766" s="332" t="s">
        <v>94</v>
      </c>
      <c r="H16766" s="332"/>
      <c r="I16766" s="333" t="s">
        <v>348</v>
      </c>
      <c r="J16766" s="376" t="s">
        <v>2153</v>
      </c>
      <c r="K16766" s="334"/>
      <c r="L16766" s="334">
        <f>K16765</f>
        <v>2104.17</v>
      </c>
    </row>
    <row r="16767" spans="1:14" x14ac:dyDescent="0.2">
      <c r="A16767" s="325">
        <v>2026</v>
      </c>
      <c r="B16767" s="325">
        <v>1</v>
      </c>
      <c r="C16767" s="325">
        <v>7</v>
      </c>
      <c r="D16767" s="326">
        <f t="shared" si="2686"/>
        <v>46029</v>
      </c>
      <c r="E16767" s="327">
        <f t="shared" si="2687"/>
        <v>46029</v>
      </c>
      <c r="F16767" s="473" t="s">
        <v>2131</v>
      </c>
      <c r="G16767" s="340" t="s">
        <v>94</v>
      </c>
      <c r="H16767" s="340"/>
      <c r="I16767" s="341" t="s">
        <v>348</v>
      </c>
      <c r="J16767" s="374" t="s">
        <v>2156</v>
      </c>
      <c r="K16767" s="375">
        <v>6185.4395604395604</v>
      </c>
      <c r="L16767" s="375"/>
      <c r="M16767" s="176"/>
    </row>
    <row r="16768" spans="1:14" x14ac:dyDescent="0.2">
      <c r="A16768" s="331">
        <v>2026</v>
      </c>
      <c r="B16768" s="331">
        <v>1</v>
      </c>
      <c r="C16768" s="331">
        <v>7</v>
      </c>
      <c r="D16768" s="326">
        <f t="shared" ref="D16768:D16817" si="2688">DATE(A16768,B16768,C16768)</f>
        <v>46029</v>
      </c>
      <c r="E16768" s="327">
        <f t="shared" ref="E16768:E16817" si="2689">DATE(A16768,B16768,C16768)</f>
        <v>46029</v>
      </c>
      <c r="F16768" s="474"/>
      <c r="G16768" s="332" t="s">
        <v>94</v>
      </c>
      <c r="H16768" s="332"/>
      <c r="I16768" s="333" t="s">
        <v>348</v>
      </c>
      <c r="J16768" s="376" t="s">
        <v>2154</v>
      </c>
      <c r="K16768" s="334"/>
      <c r="L16768" s="334">
        <f>K16767</f>
        <v>6185.4395604395604</v>
      </c>
    </row>
    <row r="16769" spans="1:14" x14ac:dyDescent="0.2">
      <c r="A16769" s="384">
        <v>2026</v>
      </c>
      <c r="B16769" s="384">
        <v>1</v>
      </c>
      <c r="C16769" s="384">
        <v>7</v>
      </c>
      <c r="D16769" s="385">
        <f t="shared" si="2688"/>
        <v>46029</v>
      </c>
      <c r="E16769" s="386">
        <f t="shared" si="2689"/>
        <v>46029</v>
      </c>
      <c r="F16769" s="475" t="s">
        <v>1966</v>
      </c>
      <c r="G16769" s="387" t="s">
        <v>94</v>
      </c>
      <c r="H16769" s="387"/>
      <c r="I16769" s="388" t="s">
        <v>348</v>
      </c>
      <c r="J16769" s="389" t="s">
        <v>67</v>
      </c>
      <c r="K16769" s="390">
        <v>433.85400819444442</v>
      </c>
      <c r="L16769" s="390"/>
    </row>
    <row r="16770" spans="1:14" x14ac:dyDescent="0.2">
      <c r="A16770" s="391">
        <v>2026</v>
      </c>
      <c r="B16770" s="391">
        <v>1</v>
      </c>
      <c r="C16770" s="391">
        <v>7</v>
      </c>
      <c r="D16770" s="385">
        <f t="shared" si="2688"/>
        <v>46029</v>
      </c>
      <c r="E16770" s="386">
        <f t="shared" si="2689"/>
        <v>46029</v>
      </c>
      <c r="F16770" s="476"/>
      <c r="G16770" s="392" t="s">
        <v>94</v>
      </c>
      <c r="H16770" s="392"/>
      <c r="I16770" s="393" t="s">
        <v>348</v>
      </c>
      <c r="J16770" s="394" t="s">
        <v>2155</v>
      </c>
      <c r="K16770" s="395"/>
      <c r="L16770" s="395">
        <f>K16769</f>
        <v>433.85400819444442</v>
      </c>
    </row>
    <row r="16771" spans="1:14" x14ac:dyDescent="0.2">
      <c r="A16771" s="238">
        <v>2026</v>
      </c>
      <c r="B16771" s="238">
        <v>1</v>
      </c>
      <c r="C16771" s="238">
        <v>7</v>
      </c>
      <c r="D16771" s="270">
        <f t="shared" si="2688"/>
        <v>46029</v>
      </c>
      <c r="E16771" s="279">
        <f t="shared" si="2689"/>
        <v>46029</v>
      </c>
      <c r="F16771" s="477" t="s">
        <v>347</v>
      </c>
      <c r="G16771" s="239" t="s">
        <v>94</v>
      </c>
      <c r="H16771" s="239"/>
      <c r="I16771" s="262" t="s">
        <v>348</v>
      </c>
      <c r="J16771" s="240" t="s">
        <v>108</v>
      </c>
      <c r="K16771" s="241">
        <v>2153104.560000062</v>
      </c>
      <c r="L16771" s="241"/>
      <c r="M16771" s="160"/>
    </row>
    <row r="16772" spans="1:14" x14ac:dyDescent="0.2">
      <c r="A16772" s="242">
        <v>2026</v>
      </c>
      <c r="B16772" s="242">
        <v>1</v>
      </c>
      <c r="C16772" s="242">
        <v>7</v>
      </c>
      <c r="D16772" s="270">
        <f t="shared" si="2688"/>
        <v>46029</v>
      </c>
      <c r="E16772" s="279">
        <f t="shared" si="2689"/>
        <v>46029</v>
      </c>
      <c r="F16772" s="478"/>
      <c r="G16772" s="243" t="s">
        <v>94</v>
      </c>
      <c r="H16772" s="243"/>
      <c r="I16772" s="263" t="s">
        <v>348</v>
      </c>
      <c r="J16772" s="244" t="s">
        <v>82</v>
      </c>
      <c r="K16772" s="245"/>
      <c r="L16772" s="245">
        <f>K16771</f>
        <v>2153104.560000062</v>
      </c>
    </row>
    <row r="16773" spans="1:14" ht="12" customHeight="1" x14ac:dyDescent="0.2">
      <c r="A16773" s="246">
        <v>2026</v>
      </c>
      <c r="B16773" s="238">
        <v>1</v>
      </c>
      <c r="C16773" s="238">
        <v>7</v>
      </c>
      <c r="D16773" s="270">
        <f t="shared" si="2688"/>
        <v>46029</v>
      </c>
      <c r="E16773" s="279">
        <f t="shared" si="2689"/>
        <v>46029</v>
      </c>
      <c r="F16773" s="482" t="s">
        <v>148</v>
      </c>
      <c r="G16773" s="247" t="s">
        <v>94</v>
      </c>
      <c r="H16773" s="247"/>
      <c r="I16773" s="248" t="s">
        <v>348</v>
      </c>
      <c r="J16773" s="249" t="s">
        <v>95</v>
      </c>
      <c r="K16773" s="250">
        <v>392.46467817896388</v>
      </c>
      <c r="L16773" s="241"/>
      <c r="M16773" s="176"/>
    </row>
    <row r="16774" spans="1:14" x14ac:dyDescent="0.2">
      <c r="A16774" s="242">
        <v>2026</v>
      </c>
      <c r="B16774" s="242">
        <v>1</v>
      </c>
      <c r="C16774" s="242">
        <v>7</v>
      </c>
      <c r="D16774" s="270">
        <f t="shared" si="2688"/>
        <v>46029</v>
      </c>
      <c r="E16774" s="279">
        <f t="shared" si="2689"/>
        <v>46029</v>
      </c>
      <c r="F16774" s="478"/>
      <c r="G16774" s="243" t="s">
        <v>94</v>
      </c>
      <c r="H16774" s="243"/>
      <c r="I16774" s="263" t="s">
        <v>348</v>
      </c>
      <c r="J16774" s="244" t="s">
        <v>63</v>
      </c>
      <c r="K16774" s="245"/>
      <c r="L16774" s="245">
        <f>K16773</f>
        <v>392.46467817896388</v>
      </c>
    </row>
    <row r="16775" spans="1:14" x14ac:dyDescent="0.2">
      <c r="A16775" s="246">
        <v>2026</v>
      </c>
      <c r="B16775" s="238">
        <v>1</v>
      </c>
      <c r="C16775" s="238">
        <v>7</v>
      </c>
      <c r="D16775" s="270">
        <f t="shared" si="2688"/>
        <v>46029</v>
      </c>
      <c r="E16775" s="279">
        <f t="shared" si="2689"/>
        <v>46029</v>
      </c>
      <c r="F16775" s="482" t="s">
        <v>137</v>
      </c>
      <c r="G16775" s="247" t="s">
        <v>94</v>
      </c>
      <c r="H16775" s="247"/>
      <c r="I16775" s="248" t="s">
        <v>348</v>
      </c>
      <c r="J16775" s="249" t="s">
        <v>97</v>
      </c>
      <c r="K16775" s="250">
        <f>M16775</f>
        <v>13333.49204659375</v>
      </c>
      <c r="L16775" s="252"/>
      <c r="M16775" s="170">
        <v>13333.49204659375</v>
      </c>
    </row>
    <row r="16776" spans="1:14" x14ac:dyDescent="0.2">
      <c r="A16776" s="242">
        <v>2026</v>
      </c>
      <c r="B16776" s="242">
        <v>1</v>
      </c>
      <c r="C16776" s="242">
        <v>7</v>
      </c>
      <c r="D16776" s="270">
        <f t="shared" si="2688"/>
        <v>46029</v>
      </c>
      <c r="E16776" s="279">
        <f t="shared" si="2689"/>
        <v>46029</v>
      </c>
      <c r="F16776" s="478"/>
      <c r="G16776" s="243" t="s">
        <v>94</v>
      </c>
      <c r="H16776" s="243"/>
      <c r="I16776" s="263" t="s">
        <v>348</v>
      </c>
      <c r="J16776" s="244" t="s">
        <v>47</v>
      </c>
      <c r="K16776" s="245"/>
      <c r="L16776" s="245">
        <f>K16775</f>
        <v>13333.49204659375</v>
      </c>
      <c r="M16776" s="170">
        <v>632.33394298902806</v>
      </c>
    </row>
    <row r="16777" spans="1:14" x14ac:dyDescent="0.2">
      <c r="A16777" s="246">
        <v>2026</v>
      </c>
      <c r="B16777" s="238">
        <v>1</v>
      </c>
      <c r="C16777" s="238">
        <v>7</v>
      </c>
      <c r="D16777" s="270">
        <f t="shared" si="2688"/>
        <v>46029</v>
      </c>
      <c r="E16777" s="279">
        <f t="shared" si="2689"/>
        <v>46029</v>
      </c>
      <c r="F16777" s="482" t="s">
        <v>138</v>
      </c>
      <c r="G16777" s="247" t="s">
        <v>94</v>
      </c>
      <c r="H16777" s="247"/>
      <c r="I16777" s="248" t="s">
        <v>348</v>
      </c>
      <c r="J16777" s="249" t="s">
        <v>100</v>
      </c>
      <c r="K16777" s="250">
        <f>M16776</f>
        <v>632.33394298902806</v>
      </c>
      <c r="L16777" s="252"/>
    </row>
    <row r="16778" spans="1:14" x14ac:dyDescent="0.2">
      <c r="A16778" s="242">
        <v>2026</v>
      </c>
      <c r="B16778" s="242">
        <v>1</v>
      </c>
      <c r="C16778" s="242">
        <v>7</v>
      </c>
      <c r="D16778" s="321">
        <f t="shared" si="2688"/>
        <v>46029</v>
      </c>
      <c r="E16778" s="322">
        <f t="shared" si="2689"/>
        <v>46029</v>
      </c>
      <c r="F16778" s="478"/>
      <c r="G16778" s="243" t="s">
        <v>94</v>
      </c>
      <c r="H16778" s="243"/>
      <c r="I16778" s="263" t="s">
        <v>348</v>
      </c>
      <c r="J16778" s="244" t="s">
        <v>48</v>
      </c>
      <c r="K16778" s="245"/>
      <c r="L16778" s="245">
        <f>K16777</f>
        <v>632.33394298902806</v>
      </c>
    </row>
    <row r="16779" spans="1:14" x14ac:dyDescent="0.2">
      <c r="A16779" s="168">
        <v>2026</v>
      </c>
      <c r="B16779" s="133">
        <v>1</v>
      </c>
      <c r="C16779" s="168">
        <v>8</v>
      </c>
      <c r="D16779" s="141">
        <f t="shared" si="2688"/>
        <v>46030</v>
      </c>
      <c r="E16779" s="275">
        <f t="shared" si="2689"/>
        <v>46030</v>
      </c>
      <c r="F16779" s="479" t="s">
        <v>2150</v>
      </c>
      <c r="G16779" s="174" t="s">
        <v>94</v>
      </c>
      <c r="H16779" s="174"/>
      <c r="I16779" s="148" t="s">
        <v>348</v>
      </c>
      <c r="J16779" s="149" t="s">
        <v>52</v>
      </c>
      <c r="K16779" s="218">
        <v>751380</v>
      </c>
      <c r="L16779" s="218"/>
    </row>
    <row r="16780" spans="1:14" x14ac:dyDescent="0.2">
      <c r="A16780" s="163">
        <v>2026</v>
      </c>
      <c r="B16780" s="163">
        <v>1</v>
      </c>
      <c r="C16780" s="163">
        <v>8</v>
      </c>
      <c r="D16780" s="280">
        <f t="shared" si="2688"/>
        <v>46030</v>
      </c>
      <c r="E16780" s="281">
        <f t="shared" si="2689"/>
        <v>46030</v>
      </c>
      <c r="F16780" s="480"/>
      <c r="G16780" s="221" t="s">
        <v>94</v>
      </c>
      <c r="H16780" s="221"/>
      <c r="I16780" s="145" t="s">
        <v>348</v>
      </c>
      <c r="J16780" s="146" t="s">
        <v>168</v>
      </c>
      <c r="K16780" s="219"/>
      <c r="L16780" s="219">
        <f>K16779</f>
        <v>751380</v>
      </c>
    </row>
    <row r="16781" spans="1:14" ht="11.25" customHeight="1" x14ac:dyDescent="0.2">
      <c r="A16781" s="168">
        <v>2026</v>
      </c>
      <c r="B16781" s="133">
        <v>1</v>
      </c>
      <c r="C16781" s="168">
        <v>8</v>
      </c>
      <c r="D16781" s="141">
        <f t="shared" si="2688"/>
        <v>46030</v>
      </c>
      <c r="E16781" s="275">
        <f t="shared" si="2689"/>
        <v>46030</v>
      </c>
      <c r="F16781" s="479" t="s">
        <v>2116</v>
      </c>
      <c r="G16781" s="220" t="s">
        <v>74</v>
      </c>
      <c r="H16781" s="220"/>
      <c r="I16781" s="142"/>
      <c r="J16781" s="143" t="s">
        <v>147</v>
      </c>
      <c r="K16781" s="226">
        <v>571649.67000000004</v>
      </c>
      <c r="L16781" s="226"/>
    </row>
    <row r="16782" spans="1:14" x14ac:dyDescent="0.2">
      <c r="A16782" s="163">
        <v>2026</v>
      </c>
      <c r="B16782" s="163">
        <v>1</v>
      </c>
      <c r="C16782" s="163">
        <v>8</v>
      </c>
      <c r="D16782" s="280">
        <f t="shared" si="2688"/>
        <v>46030</v>
      </c>
      <c r="E16782" s="281">
        <f t="shared" si="2689"/>
        <v>46030</v>
      </c>
      <c r="F16782" s="480"/>
      <c r="G16782" s="221" t="s">
        <v>74</v>
      </c>
      <c r="H16782" s="221"/>
      <c r="I16782" s="145"/>
      <c r="J16782" s="146" t="s">
        <v>52</v>
      </c>
      <c r="K16782" s="219"/>
      <c r="L16782" s="219">
        <f>K16781</f>
        <v>571649.67000000004</v>
      </c>
      <c r="N16782" s="264"/>
    </row>
    <row r="16783" spans="1:14" ht="11.25" customHeight="1" x14ac:dyDescent="0.2">
      <c r="A16783" s="168">
        <v>2026</v>
      </c>
      <c r="B16783" s="133">
        <v>1</v>
      </c>
      <c r="C16783" s="168">
        <v>8</v>
      </c>
      <c r="D16783" s="141">
        <f t="shared" si="2688"/>
        <v>46030</v>
      </c>
      <c r="E16783" s="275">
        <f t="shared" si="2689"/>
        <v>46030</v>
      </c>
      <c r="F16783" s="479" t="s">
        <v>2116</v>
      </c>
      <c r="G16783" s="220" t="s">
        <v>74</v>
      </c>
      <c r="H16783" s="220"/>
      <c r="I16783" s="142"/>
      <c r="J16783" s="143" t="s">
        <v>147</v>
      </c>
      <c r="K16783" s="226">
        <v>161677.14000000001</v>
      </c>
      <c r="L16783" s="226"/>
    </row>
    <row r="16784" spans="1:14" x14ac:dyDescent="0.2">
      <c r="A16784" s="163">
        <v>2026</v>
      </c>
      <c r="B16784" s="163">
        <v>1</v>
      </c>
      <c r="C16784" s="163">
        <v>8</v>
      </c>
      <c r="D16784" s="280">
        <f t="shared" si="2688"/>
        <v>46030</v>
      </c>
      <c r="E16784" s="281">
        <f t="shared" si="2689"/>
        <v>46030</v>
      </c>
      <c r="F16784" s="480"/>
      <c r="G16784" s="221" t="s">
        <v>74</v>
      </c>
      <c r="H16784" s="221"/>
      <c r="I16784" s="145"/>
      <c r="J16784" s="146" t="s">
        <v>52</v>
      </c>
      <c r="K16784" s="219"/>
      <c r="L16784" s="219">
        <f>K16783</f>
        <v>161677.14000000001</v>
      </c>
      <c r="N16784" s="264"/>
    </row>
    <row r="16785" spans="1:14" x14ac:dyDescent="0.2">
      <c r="A16785" s="168">
        <v>2026</v>
      </c>
      <c r="B16785" s="133">
        <v>1</v>
      </c>
      <c r="C16785" s="168">
        <v>8</v>
      </c>
      <c r="D16785" s="147">
        <f t="shared" si="2688"/>
        <v>46030</v>
      </c>
      <c r="E16785" s="311">
        <f t="shared" si="2689"/>
        <v>46030</v>
      </c>
      <c r="F16785" s="481" t="s">
        <v>1943</v>
      </c>
      <c r="G16785" s="174" t="s">
        <v>74</v>
      </c>
      <c r="I16785" s="148" t="s">
        <v>348</v>
      </c>
      <c r="J16785" s="133" t="s">
        <v>61</v>
      </c>
      <c r="K16785" s="172">
        <v>58</v>
      </c>
    </row>
    <row r="16786" spans="1:14" x14ac:dyDescent="0.2">
      <c r="A16786" s="163">
        <v>2026</v>
      </c>
      <c r="B16786" s="163">
        <v>1</v>
      </c>
      <c r="C16786" s="163">
        <v>8</v>
      </c>
      <c r="D16786" s="280">
        <f t="shared" si="2688"/>
        <v>46030</v>
      </c>
      <c r="E16786" s="281">
        <f t="shared" si="2689"/>
        <v>46030</v>
      </c>
      <c r="F16786" s="480"/>
      <c r="G16786" s="221" t="s">
        <v>74</v>
      </c>
      <c r="H16786" s="145"/>
      <c r="I16786" s="145" t="s">
        <v>348</v>
      </c>
      <c r="J16786" s="163" t="s">
        <v>52</v>
      </c>
      <c r="K16786" s="219"/>
      <c r="L16786" s="219">
        <f>K16785</f>
        <v>58</v>
      </c>
    </row>
    <row r="16787" spans="1:14" x14ac:dyDescent="0.2">
      <c r="A16787" s="133">
        <v>2026</v>
      </c>
      <c r="B16787" s="133">
        <v>1</v>
      </c>
      <c r="C16787" s="168">
        <v>8</v>
      </c>
      <c r="D16787" s="141">
        <f t="shared" si="2688"/>
        <v>46030</v>
      </c>
      <c r="E16787" s="275">
        <f t="shared" si="2689"/>
        <v>46030</v>
      </c>
      <c r="F16787" s="481" t="s">
        <v>2115</v>
      </c>
      <c r="G16787" s="174" t="s">
        <v>94</v>
      </c>
      <c r="H16787" s="174"/>
      <c r="J16787" s="149" t="s">
        <v>79</v>
      </c>
      <c r="K16787" s="218">
        <v>551811.5</v>
      </c>
      <c r="L16787" s="218"/>
      <c r="M16787" s="160"/>
    </row>
    <row r="16788" spans="1:14" x14ac:dyDescent="0.2">
      <c r="A16788" s="133">
        <v>2026</v>
      </c>
      <c r="B16788" s="133">
        <v>1</v>
      </c>
      <c r="C16788" s="133">
        <v>8</v>
      </c>
      <c r="D16788" s="141">
        <f t="shared" si="2688"/>
        <v>46030</v>
      </c>
      <c r="E16788" s="275">
        <f t="shared" si="2689"/>
        <v>46030</v>
      </c>
      <c r="F16788" s="481"/>
      <c r="G16788" s="174" t="s">
        <v>94</v>
      </c>
      <c r="H16788" s="174"/>
      <c r="J16788" s="149" t="s">
        <v>80</v>
      </c>
      <c r="K16788" s="218">
        <v>1831.16</v>
      </c>
      <c r="L16788" s="264"/>
      <c r="M16788" s="264"/>
      <c r="N16788" s="264"/>
    </row>
    <row r="16789" spans="1:14" x14ac:dyDescent="0.2">
      <c r="A16789" s="133">
        <v>2026</v>
      </c>
      <c r="B16789" s="133">
        <v>1</v>
      </c>
      <c r="C16789" s="133">
        <v>8</v>
      </c>
      <c r="D16789" s="141">
        <f t="shared" si="2688"/>
        <v>46030</v>
      </c>
      <c r="E16789" s="275">
        <f t="shared" si="2689"/>
        <v>46030</v>
      </c>
      <c r="F16789" s="481"/>
      <c r="G16789" s="174" t="s">
        <v>94</v>
      </c>
      <c r="H16789" s="174"/>
      <c r="J16789" s="149" t="s">
        <v>147</v>
      </c>
      <c r="K16789" s="218"/>
      <c r="L16789" s="218">
        <v>88142.66</v>
      </c>
      <c r="M16789" s="264"/>
    </row>
    <row r="16790" spans="1:14" x14ac:dyDescent="0.2">
      <c r="A16790" s="133">
        <v>2026</v>
      </c>
      <c r="B16790" s="133">
        <v>1</v>
      </c>
      <c r="C16790" s="133">
        <v>8</v>
      </c>
      <c r="D16790" s="141">
        <f t="shared" si="2688"/>
        <v>46030</v>
      </c>
      <c r="E16790" s="275">
        <f t="shared" si="2689"/>
        <v>46030</v>
      </c>
      <c r="F16790" s="481"/>
      <c r="G16790" s="174" t="s">
        <v>94</v>
      </c>
      <c r="H16790" s="174"/>
      <c r="J16790" s="149" t="s">
        <v>191</v>
      </c>
      <c r="K16790" s="218"/>
      <c r="L16790" s="218">
        <v>57912.04</v>
      </c>
    </row>
    <row r="16791" spans="1:14" x14ac:dyDescent="0.2">
      <c r="A16791" s="163">
        <v>2026</v>
      </c>
      <c r="B16791" s="163">
        <v>1</v>
      </c>
      <c r="C16791" s="163">
        <v>8</v>
      </c>
      <c r="D16791" s="280">
        <f t="shared" si="2688"/>
        <v>46030</v>
      </c>
      <c r="E16791" s="281">
        <f t="shared" si="2689"/>
        <v>46030</v>
      </c>
      <c r="F16791" s="480"/>
      <c r="G16791" s="221" t="s">
        <v>94</v>
      </c>
      <c r="H16791" s="145"/>
      <c r="I16791" s="145"/>
      <c r="J16791" s="163" t="s">
        <v>79</v>
      </c>
      <c r="K16791" s="219"/>
      <c r="L16791" s="219">
        <v>407587.96</v>
      </c>
      <c r="M16791" s="264"/>
    </row>
    <row r="16792" spans="1:14" x14ac:dyDescent="0.2">
      <c r="A16792" s="325">
        <v>2026</v>
      </c>
      <c r="B16792" s="325">
        <v>1</v>
      </c>
      <c r="C16792" s="325">
        <v>8</v>
      </c>
      <c r="D16792" s="326">
        <f t="shared" si="2688"/>
        <v>46030</v>
      </c>
      <c r="E16792" s="327">
        <f t="shared" si="2689"/>
        <v>46030</v>
      </c>
      <c r="F16792" s="473" t="s">
        <v>1940</v>
      </c>
      <c r="G16792" s="340" t="s">
        <v>94</v>
      </c>
      <c r="H16792" s="340"/>
      <c r="I16792" s="341" t="s">
        <v>348</v>
      </c>
      <c r="J16792" s="374" t="s">
        <v>133</v>
      </c>
      <c r="K16792" s="375">
        <v>2104.17</v>
      </c>
      <c r="L16792" s="375"/>
      <c r="M16792" s="176"/>
    </row>
    <row r="16793" spans="1:14" x14ac:dyDescent="0.2">
      <c r="A16793" s="331">
        <v>2026</v>
      </c>
      <c r="B16793" s="331">
        <v>1</v>
      </c>
      <c r="C16793" s="331">
        <v>8</v>
      </c>
      <c r="D16793" s="326">
        <f t="shared" si="2688"/>
        <v>46030</v>
      </c>
      <c r="E16793" s="327">
        <f t="shared" si="2689"/>
        <v>46030</v>
      </c>
      <c r="F16793" s="474"/>
      <c r="G16793" s="332" t="s">
        <v>94</v>
      </c>
      <c r="H16793" s="332"/>
      <c r="I16793" s="333" t="s">
        <v>348</v>
      </c>
      <c r="J16793" s="376" t="s">
        <v>2153</v>
      </c>
      <c r="K16793" s="334"/>
      <c r="L16793" s="334">
        <f>K16792</f>
        <v>2104.17</v>
      </c>
    </row>
    <row r="16794" spans="1:14" x14ac:dyDescent="0.2">
      <c r="A16794" s="325">
        <v>2026</v>
      </c>
      <c r="B16794" s="325">
        <v>1</v>
      </c>
      <c r="C16794" s="325">
        <v>8</v>
      </c>
      <c r="D16794" s="326">
        <f t="shared" si="2688"/>
        <v>46030</v>
      </c>
      <c r="E16794" s="327">
        <f t="shared" si="2689"/>
        <v>46030</v>
      </c>
      <c r="F16794" s="473" t="s">
        <v>2131</v>
      </c>
      <c r="G16794" s="340" t="s">
        <v>94</v>
      </c>
      <c r="H16794" s="340"/>
      <c r="I16794" s="341" t="s">
        <v>348</v>
      </c>
      <c r="J16794" s="374" t="s">
        <v>2156</v>
      </c>
      <c r="K16794" s="375">
        <v>6185.4395604395604</v>
      </c>
      <c r="L16794" s="375"/>
      <c r="M16794" s="176"/>
    </row>
    <row r="16795" spans="1:14" x14ac:dyDescent="0.2">
      <c r="A16795" s="331">
        <v>2026</v>
      </c>
      <c r="B16795" s="331">
        <v>1</v>
      </c>
      <c r="C16795" s="331">
        <v>8</v>
      </c>
      <c r="D16795" s="326">
        <f t="shared" si="2688"/>
        <v>46030</v>
      </c>
      <c r="E16795" s="327">
        <f t="shared" si="2689"/>
        <v>46030</v>
      </c>
      <c r="F16795" s="474"/>
      <c r="G16795" s="332" t="s">
        <v>94</v>
      </c>
      <c r="H16795" s="332"/>
      <c r="I16795" s="333" t="s">
        <v>348</v>
      </c>
      <c r="J16795" s="376" t="s">
        <v>2154</v>
      </c>
      <c r="K16795" s="334"/>
      <c r="L16795" s="334">
        <f>K16794</f>
        <v>6185.4395604395604</v>
      </c>
    </row>
    <row r="16796" spans="1:14" x14ac:dyDescent="0.2">
      <c r="A16796" s="384">
        <v>2026</v>
      </c>
      <c r="B16796" s="384">
        <v>1</v>
      </c>
      <c r="C16796" s="384">
        <v>8</v>
      </c>
      <c r="D16796" s="385">
        <f t="shared" si="2688"/>
        <v>46030</v>
      </c>
      <c r="E16796" s="386">
        <f t="shared" si="2689"/>
        <v>46030</v>
      </c>
      <c r="F16796" s="475" t="s">
        <v>1966</v>
      </c>
      <c r="G16796" s="387" t="s">
        <v>94</v>
      </c>
      <c r="H16796" s="387"/>
      <c r="I16796" s="388" t="s">
        <v>348</v>
      </c>
      <c r="J16796" s="389" t="s">
        <v>67</v>
      </c>
      <c r="K16796" s="390">
        <v>437.60300611111114</v>
      </c>
      <c r="L16796" s="390"/>
    </row>
    <row r="16797" spans="1:14" x14ac:dyDescent="0.2">
      <c r="A16797" s="391">
        <v>2026</v>
      </c>
      <c r="B16797" s="391">
        <v>1</v>
      </c>
      <c r="C16797" s="391">
        <v>8</v>
      </c>
      <c r="D16797" s="385">
        <f t="shared" si="2688"/>
        <v>46030</v>
      </c>
      <c r="E16797" s="386">
        <f t="shared" si="2689"/>
        <v>46030</v>
      </c>
      <c r="F16797" s="476"/>
      <c r="G16797" s="392" t="s">
        <v>94</v>
      </c>
      <c r="H16797" s="392"/>
      <c r="I16797" s="393" t="s">
        <v>348</v>
      </c>
      <c r="J16797" s="394" t="s">
        <v>2155</v>
      </c>
      <c r="K16797" s="395"/>
      <c r="L16797" s="395">
        <f>K16796</f>
        <v>437.60300611111114</v>
      </c>
    </row>
    <row r="16798" spans="1:14" x14ac:dyDescent="0.2">
      <c r="A16798" s="238">
        <v>2026</v>
      </c>
      <c r="B16798" s="238">
        <v>1</v>
      </c>
      <c r="C16798" s="238">
        <v>8</v>
      </c>
      <c r="D16798" s="270">
        <f t="shared" si="2688"/>
        <v>46030</v>
      </c>
      <c r="E16798" s="279">
        <f t="shared" si="2689"/>
        <v>46030</v>
      </c>
      <c r="F16798" s="477" t="s">
        <v>347</v>
      </c>
      <c r="G16798" s="239" t="s">
        <v>94</v>
      </c>
      <c r="H16798" s="239"/>
      <c r="I16798" s="262" t="s">
        <v>348</v>
      </c>
      <c r="J16798" s="240" t="s">
        <v>108</v>
      </c>
      <c r="K16798" s="241">
        <v>651322.3599999547</v>
      </c>
      <c r="L16798" s="241"/>
      <c r="M16798" s="160"/>
    </row>
    <row r="16799" spans="1:14" x14ac:dyDescent="0.2">
      <c r="A16799" s="242">
        <v>2026</v>
      </c>
      <c r="B16799" s="242">
        <v>1</v>
      </c>
      <c r="C16799" s="242">
        <v>8</v>
      </c>
      <c r="D16799" s="270">
        <f t="shared" si="2688"/>
        <v>46030</v>
      </c>
      <c r="E16799" s="279">
        <f t="shared" si="2689"/>
        <v>46030</v>
      </c>
      <c r="F16799" s="478"/>
      <c r="G16799" s="243" t="s">
        <v>94</v>
      </c>
      <c r="H16799" s="243"/>
      <c r="I16799" s="263" t="s">
        <v>348</v>
      </c>
      <c r="J16799" s="244" t="s">
        <v>82</v>
      </c>
      <c r="K16799" s="245"/>
      <c r="L16799" s="245">
        <f>K16798</f>
        <v>651322.3599999547</v>
      </c>
    </row>
    <row r="16800" spans="1:14" ht="12" customHeight="1" x14ac:dyDescent="0.2">
      <c r="A16800" s="246">
        <v>2026</v>
      </c>
      <c r="B16800" s="238">
        <v>1</v>
      </c>
      <c r="C16800" s="238">
        <v>8</v>
      </c>
      <c r="D16800" s="270">
        <f t="shared" si="2688"/>
        <v>46030</v>
      </c>
      <c r="E16800" s="279">
        <f t="shared" si="2689"/>
        <v>46030</v>
      </c>
      <c r="F16800" s="482" t="s">
        <v>148</v>
      </c>
      <c r="G16800" s="247" t="s">
        <v>94</v>
      </c>
      <c r="H16800" s="247"/>
      <c r="I16800" s="248" t="s">
        <v>348</v>
      </c>
      <c r="J16800" s="249" t="s">
        <v>95</v>
      </c>
      <c r="K16800" s="250">
        <v>392.46467817896388</v>
      </c>
      <c r="L16800" s="241"/>
      <c r="M16800" s="176"/>
    </row>
    <row r="16801" spans="1:15" x14ac:dyDescent="0.2">
      <c r="A16801" s="242">
        <v>2026</v>
      </c>
      <c r="B16801" s="242">
        <v>1</v>
      </c>
      <c r="C16801" s="242">
        <v>8</v>
      </c>
      <c r="D16801" s="270">
        <f t="shared" si="2688"/>
        <v>46030</v>
      </c>
      <c r="E16801" s="279">
        <f t="shared" si="2689"/>
        <v>46030</v>
      </c>
      <c r="F16801" s="478"/>
      <c r="G16801" s="243" t="s">
        <v>94</v>
      </c>
      <c r="H16801" s="243"/>
      <c r="I16801" s="263" t="s">
        <v>348</v>
      </c>
      <c r="J16801" s="244" t="s">
        <v>63</v>
      </c>
      <c r="K16801" s="245"/>
      <c r="L16801" s="245">
        <f>K16800</f>
        <v>392.46467817896388</v>
      </c>
    </row>
    <row r="16802" spans="1:15" x14ac:dyDescent="0.2">
      <c r="A16802" s="246">
        <v>2026</v>
      </c>
      <c r="B16802" s="238">
        <v>1</v>
      </c>
      <c r="C16802" s="238">
        <v>8</v>
      </c>
      <c r="D16802" s="270">
        <f t="shared" si="2688"/>
        <v>46030</v>
      </c>
      <c r="E16802" s="279">
        <f t="shared" si="2689"/>
        <v>46030</v>
      </c>
      <c r="F16802" s="482" t="s">
        <v>137</v>
      </c>
      <c r="G16802" s="247" t="s">
        <v>94</v>
      </c>
      <c r="H16802" s="247"/>
      <c r="I16802" s="248" t="s">
        <v>348</v>
      </c>
      <c r="J16802" s="249" t="s">
        <v>97</v>
      </c>
      <c r="K16802" s="250">
        <f>M16802</f>
        <v>13372.036865891987</v>
      </c>
      <c r="L16802" s="252"/>
      <c r="M16802" s="170">
        <v>13372.036865891987</v>
      </c>
    </row>
    <row r="16803" spans="1:15" x14ac:dyDescent="0.2">
      <c r="A16803" s="242">
        <v>2026</v>
      </c>
      <c r="B16803" s="242">
        <v>1</v>
      </c>
      <c r="C16803" s="242">
        <v>8</v>
      </c>
      <c r="D16803" s="270">
        <f t="shared" si="2688"/>
        <v>46030</v>
      </c>
      <c r="E16803" s="279">
        <f t="shared" si="2689"/>
        <v>46030</v>
      </c>
      <c r="F16803" s="478"/>
      <c r="G16803" s="243" t="s">
        <v>94</v>
      </c>
      <c r="H16803" s="243"/>
      <c r="I16803" s="263" t="s">
        <v>348</v>
      </c>
      <c r="J16803" s="244" t="s">
        <v>47</v>
      </c>
      <c r="K16803" s="245"/>
      <c r="L16803" s="245">
        <f>K16802</f>
        <v>13372.036865891987</v>
      </c>
      <c r="M16803" s="170">
        <v>634.26118395393985</v>
      </c>
    </row>
    <row r="16804" spans="1:15" x14ac:dyDescent="0.2">
      <c r="A16804" s="246">
        <v>2026</v>
      </c>
      <c r="B16804" s="238">
        <v>1</v>
      </c>
      <c r="C16804" s="238">
        <v>8</v>
      </c>
      <c r="D16804" s="270">
        <f t="shared" si="2688"/>
        <v>46030</v>
      </c>
      <c r="E16804" s="279">
        <f t="shared" si="2689"/>
        <v>46030</v>
      </c>
      <c r="F16804" s="482" t="s">
        <v>138</v>
      </c>
      <c r="G16804" s="247" t="s">
        <v>94</v>
      </c>
      <c r="H16804" s="247"/>
      <c r="I16804" s="248" t="s">
        <v>348</v>
      </c>
      <c r="J16804" s="249" t="s">
        <v>100</v>
      </c>
      <c r="K16804" s="250">
        <f>M16803</f>
        <v>634.26118395393985</v>
      </c>
      <c r="L16804" s="252"/>
    </row>
    <row r="16805" spans="1:15" x14ac:dyDescent="0.2">
      <c r="A16805" s="242">
        <v>2026</v>
      </c>
      <c r="B16805" s="242">
        <v>1</v>
      </c>
      <c r="C16805" s="242">
        <v>8</v>
      </c>
      <c r="D16805" s="321">
        <f t="shared" si="2688"/>
        <v>46030</v>
      </c>
      <c r="E16805" s="322">
        <f t="shared" si="2689"/>
        <v>46030</v>
      </c>
      <c r="F16805" s="478"/>
      <c r="G16805" s="243" t="s">
        <v>94</v>
      </c>
      <c r="H16805" s="243"/>
      <c r="I16805" s="263" t="s">
        <v>348</v>
      </c>
      <c r="J16805" s="244" t="s">
        <v>48</v>
      </c>
      <c r="K16805" s="245"/>
      <c r="L16805" s="245">
        <f>K16804</f>
        <v>634.26118395393985</v>
      </c>
    </row>
    <row r="16806" spans="1:15" ht="11.25" customHeight="1" x14ac:dyDescent="0.2">
      <c r="A16806" s="168">
        <v>2026</v>
      </c>
      <c r="B16806" s="133">
        <v>1</v>
      </c>
      <c r="C16806" s="168">
        <v>11</v>
      </c>
      <c r="D16806" s="141">
        <f t="shared" si="2688"/>
        <v>46033</v>
      </c>
      <c r="E16806" s="275">
        <f t="shared" si="2689"/>
        <v>46033</v>
      </c>
      <c r="F16806" s="479" t="s">
        <v>2121</v>
      </c>
      <c r="G16806" s="220" t="s">
        <v>74</v>
      </c>
      <c r="H16806" s="220"/>
      <c r="I16806" s="142"/>
      <c r="J16806" s="143" t="s">
        <v>52</v>
      </c>
      <c r="K16806" s="226">
        <v>145368.98000000001</v>
      </c>
      <c r="L16806" s="226"/>
    </row>
    <row r="16807" spans="1:15" x14ac:dyDescent="0.2">
      <c r="A16807" s="163">
        <v>2026</v>
      </c>
      <c r="B16807" s="163">
        <v>1</v>
      </c>
      <c r="C16807" s="163">
        <v>11</v>
      </c>
      <c r="D16807" s="280">
        <f t="shared" si="2688"/>
        <v>46033</v>
      </c>
      <c r="E16807" s="281">
        <f t="shared" si="2689"/>
        <v>46033</v>
      </c>
      <c r="F16807" s="480"/>
      <c r="G16807" s="221" t="s">
        <v>74</v>
      </c>
      <c r="H16807" s="221"/>
      <c r="I16807" s="145"/>
      <c r="J16807" s="146" t="s">
        <v>190</v>
      </c>
      <c r="K16807" s="219"/>
      <c r="L16807" s="219">
        <f>K16806</f>
        <v>145368.98000000001</v>
      </c>
      <c r="N16807" s="264"/>
    </row>
    <row r="16808" spans="1:15" x14ac:dyDescent="0.2">
      <c r="A16808" s="168">
        <v>2026</v>
      </c>
      <c r="B16808" s="168">
        <v>1</v>
      </c>
      <c r="C16808" s="168">
        <v>11</v>
      </c>
      <c r="D16808" s="141">
        <f t="shared" si="2688"/>
        <v>46033</v>
      </c>
      <c r="E16808" s="275">
        <f t="shared" si="2689"/>
        <v>46033</v>
      </c>
      <c r="F16808" s="479" t="s">
        <v>2151</v>
      </c>
      <c r="G16808" s="174" t="s">
        <v>74</v>
      </c>
      <c r="I16808" s="148" t="s">
        <v>348</v>
      </c>
      <c r="J16808" s="133" t="s">
        <v>47</v>
      </c>
      <c r="K16808" s="172">
        <v>194862.38</v>
      </c>
      <c r="M16808" s="264"/>
      <c r="N16808" s="264"/>
    </row>
    <row r="16809" spans="1:15" x14ac:dyDescent="0.2">
      <c r="A16809" s="133">
        <v>2026</v>
      </c>
      <c r="B16809" s="133">
        <v>1</v>
      </c>
      <c r="C16809" s="133">
        <v>11</v>
      </c>
      <c r="D16809" s="141">
        <f t="shared" si="2688"/>
        <v>46033</v>
      </c>
      <c r="E16809" s="275">
        <f t="shared" si="2689"/>
        <v>46033</v>
      </c>
      <c r="F16809" s="481"/>
      <c r="G16809" s="174" t="s">
        <v>74</v>
      </c>
      <c r="J16809" s="133" t="s">
        <v>534</v>
      </c>
      <c r="K16809" s="218"/>
      <c r="L16809" s="218">
        <v>29229.360000000001</v>
      </c>
      <c r="N16809" s="264"/>
    </row>
    <row r="16810" spans="1:15" x14ac:dyDescent="0.2">
      <c r="A16810" s="163">
        <v>2026</v>
      </c>
      <c r="B16810" s="163">
        <v>1</v>
      </c>
      <c r="C16810" s="163">
        <v>11</v>
      </c>
      <c r="D16810" s="280">
        <f t="shared" si="2688"/>
        <v>46033</v>
      </c>
      <c r="E16810" s="281">
        <f t="shared" si="2689"/>
        <v>46033</v>
      </c>
      <c r="F16810" s="480"/>
      <c r="G16810" s="221" t="s">
        <v>74</v>
      </c>
      <c r="H16810" s="145"/>
      <c r="I16810" s="145" t="s">
        <v>348</v>
      </c>
      <c r="J16810" s="163" t="s">
        <v>52</v>
      </c>
      <c r="K16810" s="219"/>
      <c r="L16810" s="219">
        <v>165633.01999999999</v>
      </c>
      <c r="M16810" s="160"/>
      <c r="O16810" s="373"/>
    </row>
    <row r="16811" spans="1:15" ht="11.25" customHeight="1" x14ac:dyDescent="0.2">
      <c r="A16811" s="168">
        <v>2026</v>
      </c>
      <c r="B16811" s="133">
        <v>1</v>
      </c>
      <c r="C16811" s="168">
        <v>11</v>
      </c>
      <c r="D16811" s="141">
        <f t="shared" si="2688"/>
        <v>46033</v>
      </c>
      <c r="E16811" s="275">
        <f t="shared" si="2689"/>
        <v>46033</v>
      </c>
      <c r="F16811" s="479" t="s">
        <v>2116</v>
      </c>
      <c r="G16811" s="220" t="s">
        <v>74</v>
      </c>
      <c r="H16811" s="220"/>
      <c r="I16811" s="142"/>
      <c r="J16811" s="143" t="s">
        <v>147</v>
      </c>
      <c r="K16811" s="226">
        <v>88142.66</v>
      </c>
      <c r="L16811" s="226"/>
    </row>
    <row r="16812" spans="1:15" x14ac:dyDescent="0.2">
      <c r="A16812" s="163">
        <v>2026</v>
      </c>
      <c r="B16812" s="163">
        <v>1</v>
      </c>
      <c r="C16812" s="163">
        <v>11</v>
      </c>
      <c r="D16812" s="280">
        <f t="shared" si="2688"/>
        <v>46033</v>
      </c>
      <c r="E16812" s="281">
        <f t="shared" si="2689"/>
        <v>46033</v>
      </c>
      <c r="F16812" s="480"/>
      <c r="G16812" s="221" t="s">
        <v>74</v>
      </c>
      <c r="H16812" s="221"/>
      <c r="I16812" s="145"/>
      <c r="J16812" s="146" t="s">
        <v>52</v>
      </c>
      <c r="K16812" s="219"/>
      <c r="L16812" s="219">
        <f>K16811</f>
        <v>88142.66</v>
      </c>
      <c r="N16812" s="264"/>
    </row>
    <row r="16813" spans="1:15" x14ac:dyDescent="0.2">
      <c r="A16813" s="133">
        <v>2026</v>
      </c>
      <c r="B16813" s="133">
        <v>1</v>
      </c>
      <c r="C16813" s="168">
        <v>11</v>
      </c>
      <c r="D16813" s="141">
        <f t="shared" si="2688"/>
        <v>46033</v>
      </c>
      <c r="E16813" s="275">
        <f t="shared" si="2689"/>
        <v>46033</v>
      </c>
      <c r="F16813" s="481" t="s">
        <v>2115</v>
      </c>
      <c r="G16813" s="174" t="s">
        <v>94</v>
      </c>
      <c r="H16813" s="174"/>
      <c r="J16813" s="149" t="s">
        <v>79</v>
      </c>
      <c r="K16813" s="218">
        <v>1925695.2</v>
      </c>
      <c r="L16813" s="218"/>
      <c r="M16813" s="160"/>
    </row>
    <row r="16814" spans="1:15" x14ac:dyDescent="0.2">
      <c r="A16814" s="133">
        <v>2026</v>
      </c>
      <c r="B16814" s="133">
        <v>1</v>
      </c>
      <c r="C16814" s="133">
        <v>11</v>
      </c>
      <c r="D16814" s="141">
        <f t="shared" si="2688"/>
        <v>46033</v>
      </c>
      <c r="E16814" s="275">
        <f t="shared" si="2689"/>
        <v>46033</v>
      </c>
      <c r="F16814" s="481"/>
      <c r="G16814" s="174" t="s">
        <v>94</v>
      </c>
      <c r="H16814" s="174"/>
      <c r="J16814" s="149" t="s">
        <v>80</v>
      </c>
      <c r="K16814" s="218">
        <v>4999.26</v>
      </c>
      <c r="L16814" s="264"/>
      <c r="M16814" s="264"/>
      <c r="N16814" s="264"/>
    </row>
    <row r="16815" spans="1:15" x14ac:dyDescent="0.2">
      <c r="A16815" s="133">
        <v>2026</v>
      </c>
      <c r="B16815" s="133">
        <v>1</v>
      </c>
      <c r="C16815" s="133">
        <v>11</v>
      </c>
      <c r="D16815" s="141">
        <f t="shared" si="2688"/>
        <v>46033</v>
      </c>
      <c r="E16815" s="275">
        <f t="shared" si="2689"/>
        <v>46033</v>
      </c>
      <c r="F16815" s="481"/>
      <c r="G16815" s="174" t="s">
        <v>94</v>
      </c>
      <c r="H16815" s="174"/>
      <c r="J16815" s="149" t="s">
        <v>147</v>
      </c>
      <c r="K16815" s="218"/>
      <c r="L16815" s="218">
        <v>1079021.76</v>
      </c>
      <c r="M16815" s="264"/>
    </row>
    <row r="16816" spans="1:15" x14ac:dyDescent="0.2">
      <c r="A16816" s="133">
        <v>2026</v>
      </c>
      <c r="B16816" s="133">
        <v>1</v>
      </c>
      <c r="C16816" s="133">
        <v>11</v>
      </c>
      <c r="D16816" s="141">
        <f t="shared" si="2688"/>
        <v>46033</v>
      </c>
      <c r="E16816" s="275">
        <f t="shared" si="2689"/>
        <v>46033</v>
      </c>
      <c r="F16816" s="481"/>
      <c r="G16816" s="174" t="s">
        <v>94</v>
      </c>
      <c r="H16816" s="174"/>
      <c r="J16816" s="149" t="s">
        <v>191</v>
      </c>
      <c r="K16816" s="218"/>
      <c r="L16816" s="218">
        <v>49220.93</v>
      </c>
    </row>
    <row r="16817" spans="1:13" x14ac:dyDescent="0.2">
      <c r="A16817" s="163">
        <v>2026</v>
      </c>
      <c r="B16817" s="163">
        <v>1</v>
      </c>
      <c r="C16817" s="163">
        <v>11</v>
      </c>
      <c r="D16817" s="280">
        <f t="shared" si="2688"/>
        <v>46033</v>
      </c>
      <c r="E16817" s="281">
        <f t="shared" si="2689"/>
        <v>46033</v>
      </c>
      <c r="F16817" s="480"/>
      <c r="G16817" s="221" t="s">
        <v>94</v>
      </c>
      <c r="H16817" s="145"/>
      <c r="I16817" s="145"/>
      <c r="J16817" s="163" t="s">
        <v>79</v>
      </c>
      <c r="K16817" s="219"/>
      <c r="L16817" s="219">
        <v>802451.77</v>
      </c>
      <c r="M16817" s="264"/>
    </row>
    <row r="16818" spans="1:13" ht="11.25" customHeight="1" x14ac:dyDescent="0.2">
      <c r="A16818" s="168">
        <v>2026</v>
      </c>
      <c r="B16818" s="168">
        <v>1</v>
      </c>
      <c r="C16818" s="133">
        <v>11</v>
      </c>
      <c r="D16818" s="141">
        <f>DATE(A16818,B16818,C16818)</f>
        <v>46033</v>
      </c>
      <c r="E16818" s="275">
        <f>DATE(A16818,B16818,C16818)</f>
        <v>46033</v>
      </c>
      <c r="F16818" s="479" t="s">
        <v>964</v>
      </c>
      <c r="G16818" s="220" t="s">
        <v>74</v>
      </c>
      <c r="H16818" s="142"/>
      <c r="I16818" s="142"/>
      <c r="J16818" s="168" t="s">
        <v>52</v>
      </c>
      <c r="K16818" s="226">
        <v>2000000</v>
      </c>
      <c r="L16818" s="226"/>
    </row>
    <row r="16819" spans="1:13" ht="11.25" customHeight="1" x14ac:dyDescent="0.2">
      <c r="A16819" s="133">
        <v>2026</v>
      </c>
      <c r="B16819" s="133">
        <v>1</v>
      </c>
      <c r="C16819" s="133">
        <v>11</v>
      </c>
      <c r="D16819" s="141">
        <f>DATE(A16819,B16819,C16819)</f>
        <v>46033</v>
      </c>
      <c r="E16819" s="275">
        <f>DATE(A16819,B16819,C16819)</f>
        <v>46033</v>
      </c>
      <c r="F16819" s="481"/>
      <c r="G16819" s="174" t="s">
        <v>74</v>
      </c>
      <c r="J16819" s="133" t="s">
        <v>13</v>
      </c>
      <c r="K16819" s="218"/>
      <c r="L16819" s="218">
        <v>1427760</v>
      </c>
    </row>
    <row r="16820" spans="1:13" ht="11.25" customHeight="1" x14ac:dyDescent="0.2">
      <c r="A16820" s="163">
        <v>2026</v>
      </c>
      <c r="B16820" s="163">
        <v>1</v>
      </c>
      <c r="C16820" s="163">
        <v>11</v>
      </c>
      <c r="D16820" s="280">
        <f>DATE(A16820,B16820,C16820)</f>
        <v>46033</v>
      </c>
      <c r="E16820" s="281">
        <f>DATE(A16820,B16820,C16820)</f>
        <v>46033</v>
      </c>
      <c r="F16820" s="480"/>
      <c r="G16820" s="221" t="s">
        <v>74</v>
      </c>
      <c r="H16820" s="145"/>
      <c r="I16820" s="145"/>
      <c r="J16820" s="163" t="s">
        <v>53</v>
      </c>
      <c r="K16820" s="219"/>
      <c r="L16820" s="219">
        <v>572240</v>
      </c>
    </row>
    <row r="16821" spans="1:13" x14ac:dyDescent="0.2">
      <c r="A16821" s="168">
        <v>2026</v>
      </c>
      <c r="B16821" s="133">
        <v>1</v>
      </c>
      <c r="C16821" s="168">
        <v>11</v>
      </c>
      <c r="D16821" s="147">
        <f t="shared" ref="D16821:D16865" si="2690">DATE(A16821,B16821,C16821)</f>
        <v>46033</v>
      </c>
      <c r="E16821" s="311">
        <f t="shared" ref="E16821:E16865" si="2691">DATE(A16821,B16821,C16821)</f>
        <v>46033</v>
      </c>
      <c r="F16821" s="481" t="s">
        <v>1956</v>
      </c>
      <c r="G16821" s="174" t="s">
        <v>74</v>
      </c>
      <c r="I16821" s="148" t="s">
        <v>348</v>
      </c>
      <c r="J16821" s="133" t="s">
        <v>61</v>
      </c>
      <c r="K16821" s="172">
        <v>60</v>
      </c>
    </row>
    <row r="16822" spans="1:13" x14ac:dyDescent="0.2">
      <c r="A16822" s="163">
        <v>2026</v>
      </c>
      <c r="B16822" s="163">
        <v>1</v>
      </c>
      <c r="C16822" s="163">
        <v>11</v>
      </c>
      <c r="D16822" s="280">
        <f t="shared" si="2690"/>
        <v>46033</v>
      </c>
      <c r="E16822" s="281">
        <f t="shared" si="2691"/>
        <v>46033</v>
      </c>
      <c r="F16822" s="480"/>
      <c r="G16822" s="221" t="s">
        <v>74</v>
      </c>
      <c r="H16822" s="145"/>
      <c r="I16822" s="145" t="s">
        <v>348</v>
      </c>
      <c r="J16822" s="163" t="s">
        <v>52</v>
      </c>
      <c r="K16822" s="219"/>
      <c r="L16822" s="219">
        <f>K16821</f>
        <v>60</v>
      </c>
    </row>
    <row r="16823" spans="1:13" x14ac:dyDescent="0.2">
      <c r="A16823" s="325">
        <v>2026</v>
      </c>
      <c r="B16823" s="325">
        <v>1</v>
      </c>
      <c r="C16823" s="325">
        <v>11</v>
      </c>
      <c r="D16823" s="326">
        <f t="shared" si="2690"/>
        <v>46033</v>
      </c>
      <c r="E16823" s="327">
        <f t="shared" si="2691"/>
        <v>46033</v>
      </c>
      <c r="F16823" s="473" t="s">
        <v>1940</v>
      </c>
      <c r="G16823" s="340" t="s">
        <v>94</v>
      </c>
      <c r="H16823" s="340"/>
      <c r="I16823" s="341" t="s">
        <v>348</v>
      </c>
      <c r="J16823" s="374" t="s">
        <v>133</v>
      </c>
      <c r="K16823" s="375">
        <v>6312.51</v>
      </c>
      <c r="L16823" s="375"/>
      <c r="M16823" s="176"/>
    </row>
    <row r="16824" spans="1:13" x14ac:dyDescent="0.2">
      <c r="A16824" s="331">
        <v>2026</v>
      </c>
      <c r="B16824" s="331">
        <v>1</v>
      </c>
      <c r="C16824" s="331">
        <v>11</v>
      </c>
      <c r="D16824" s="326">
        <f t="shared" si="2690"/>
        <v>46033</v>
      </c>
      <c r="E16824" s="327">
        <f t="shared" si="2691"/>
        <v>46033</v>
      </c>
      <c r="F16824" s="474"/>
      <c r="G16824" s="332" t="s">
        <v>94</v>
      </c>
      <c r="H16824" s="332"/>
      <c r="I16824" s="333" t="s">
        <v>348</v>
      </c>
      <c r="J16824" s="376" t="s">
        <v>2153</v>
      </c>
      <c r="K16824" s="334"/>
      <c r="L16824" s="334">
        <f>K16823</f>
        <v>6312.51</v>
      </c>
    </row>
    <row r="16825" spans="1:13" x14ac:dyDescent="0.2">
      <c r="A16825" s="325">
        <v>2026</v>
      </c>
      <c r="B16825" s="325">
        <v>1</v>
      </c>
      <c r="C16825" s="325">
        <v>11</v>
      </c>
      <c r="D16825" s="326">
        <f t="shared" si="2690"/>
        <v>46033</v>
      </c>
      <c r="E16825" s="327">
        <f t="shared" si="2691"/>
        <v>46033</v>
      </c>
      <c r="F16825" s="473" t="s">
        <v>2131</v>
      </c>
      <c r="G16825" s="340" t="s">
        <v>94</v>
      </c>
      <c r="H16825" s="340"/>
      <c r="I16825" s="341" t="s">
        <v>348</v>
      </c>
      <c r="J16825" s="374" t="s">
        <v>2156</v>
      </c>
      <c r="K16825" s="375">
        <v>18556.31868131868</v>
      </c>
      <c r="L16825" s="375"/>
      <c r="M16825" s="176"/>
    </row>
    <row r="16826" spans="1:13" x14ac:dyDescent="0.2">
      <c r="A16826" s="331">
        <v>2026</v>
      </c>
      <c r="B16826" s="331">
        <v>1</v>
      </c>
      <c r="C16826" s="331">
        <v>11</v>
      </c>
      <c r="D16826" s="326">
        <f t="shared" si="2690"/>
        <v>46033</v>
      </c>
      <c r="E16826" s="327">
        <f t="shared" si="2691"/>
        <v>46033</v>
      </c>
      <c r="F16826" s="474"/>
      <c r="G16826" s="332" t="s">
        <v>94</v>
      </c>
      <c r="H16826" s="332"/>
      <c r="I16826" s="333" t="s">
        <v>348</v>
      </c>
      <c r="J16826" s="376" t="s">
        <v>2154</v>
      </c>
      <c r="K16826" s="334"/>
      <c r="L16826" s="334">
        <f>K16825</f>
        <v>18556.31868131868</v>
      </c>
    </row>
    <row r="16827" spans="1:13" x14ac:dyDescent="0.2">
      <c r="A16827" s="384">
        <v>2026</v>
      </c>
      <c r="B16827" s="384">
        <v>1</v>
      </c>
      <c r="C16827" s="384">
        <v>11</v>
      </c>
      <c r="D16827" s="385">
        <f t="shared" si="2690"/>
        <v>46033</v>
      </c>
      <c r="E16827" s="386">
        <f t="shared" si="2691"/>
        <v>46033</v>
      </c>
      <c r="F16827" s="475" t="s">
        <v>1966</v>
      </c>
      <c r="G16827" s="387" t="s">
        <v>94</v>
      </c>
      <c r="H16827" s="387"/>
      <c r="I16827" s="388" t="s">
        <v>348</v>
      </c>
      <c r="J16827" s="389" t="s">
        <v>67</v>
      </c>
      <c r="K16827" s="390">
        <v>1311.06</v>
      </c>
      <c r="L16827" s="390"/>
    </row>
    <row r="16828" spans="1:13" x14ac:dyDescent="0.2">
      <c r="A16828" s="391">
        <v>2026</v>
      </c>
      <c r="B16828" s="391">
        <v>1</v>
      </c>
      <c r="C16828" s="391">
        <v>11</v>
      </c>
      <c r="D16828" s="385">
        <f t="shared" si="2690"/>
        <v>46033</v>
      </c>
      <c r="E16828" s="386">
        <f t="shared" si="2691"/>
        <v>46033</v>
      </c>
      <c r="F16828" s="476"/>
      <c r="G16828" s="392" t="s">
        <v>94</v>
      </c>
      <c r="H16828" s="392"/>
      <c r="I16828" s="393" t="s">
        <v>348</v>
      </c>
      <c r="J16828" s="394" t="s">
        <v>2155</v>
      </c>
      <c r="K16828" s="395"/>
      <c r="L16828" s="395">
        <f>K16827</f>
        <v>1311.06</v>
      </c>
    </row>
    <row r="16829" spans="1:13" x14ac:dyDescent="0.2">
      <c r="A16829" s="238">
        <v>2026</v>
      </c>
      <c r="B16829" s="238">
        <v>1</v>
      </c>
      <c r="C16829" s="238">
        <v>11</v>
      </c>
      <c r="D16829" s="270">
        <f t="shared" si="2690"/>
        <v>46033</v>
      </c>
      <c r="E16829" s="279">
        <f t="shared" si="2691"/>
        <v>46033</v>
      </c>
      <c r="F16829" s="477" t="s">
        <v>347</v>
      </c>
      <c r="G16829" s="239" t="s">
        <v>94</v>
      </c>
      <c r="H16829" s="239"/>
      <c r="I16829" s="262" t="s">
        <v>348</v>
      </c>
      <c r="J16829" s="240" t="s">
        <v>82</v>
      </c>
      <c r="K16829" s="241">
        <v>1433562.130000025</v>
      </c>
      <c r="L16829" s="241"/>
      <c r="M16829" s="160">
        <v>0</v>
      </c>
    </row>
    <row r="16830" spans="1:13" x14ac:dyDescent="0.2">
      <c r="A16830" s="242">
        <v>2026</v>
      </c>
      <c r="B16830" s="242">
        <v>1</v>
      </c>
      <c r="C16830" s="242">
        <v>11</v>
      </c>
      <c r="D16830" s="270">
        <f t="shared" si="2690"/>
        <v>46033</v>
      </c>
      <c r="E16830" s="279">
        <f t="shared" si="2691"/>
        <v>46033</v>
      </c>
      <c r="F16830" s="478"/>
      <c r="G16830" s="243" t="s">
        <v>94</v>
      </c>
      <c r="H16830" s="243"/>
      <c r="I16830" s="263" t="s">
        <v>348</v>
      </c>
      <c r="J16830" s="244" t="s">
        <v>108</v>
      </c>
      <c r="K16830" s="245"/>
      <c r="L16830" s="245">
        <f>K16829</f>
        <v>1433562.130000025</v>
      </c>
    </row>
    <row r="16831" spans="1:13" ht="12" customHeight="1" x14ac:dyDescent="0.2">
      <c r="A16831" s="246">
        <v>2026</v>
      </c>
      <c r="B16831" s="238">
        <v>1</v>
      </c>
      <c r="C16831" s="238">
        <v>11</v>
      </c>
      <c r="D16831" s="270">
        <f t="shared" si="2690"/>
        <v>46033</v>
      </c>
      <c r="E16831" s="279">
        <f t="shared" si="2691"/>
        <v>46033</v>
      </c>
      <c r="F16831" s="482" t="s">
        <v>148</v>
      </c>
      <c r="G16831" s="247" t="s">
        <v>94</v>
      </c>
      <c r="H16831" s="247"/>
      <c r="I16831" s="248" t="s">
        <v>348</v>
      </c>
      <c r="J16831" s="249" t="s">
        <v>95</v>
      </c>
      <c r="K16831" s="250">
        <v>1177.3940345368917</v>
      </c>
      <c r="L16831" s="241"/>
      <c r="M16831" s="176"/>
    </row>
    <row r="16832" spans="1:13" x14ac:dyDescent="0.2">
      <c r="A16832" s="242">
        <v>2026</v>
      </c>
      <c r="B16832" s="242">
        <v>1</v>
      </c>
      <c r="C16832" s="242">
        <v>11</v>
      </c>
      <c r="D16832" s="270">
        <f t="shared" si="2690"/>
        <v>46033</v>
      </c>
      <c r="E16832" s="279">
        <f t="shared" si="2691"/>
        <v>46033</v>
      </c>
      <c r="F16832" s="478"/>
      <c r="G16832" s="243" t="s">
        <v>94</v>
      </c>
      <c r="H16832" s="243"/>
      <c r="I16832" s="263" t="s">
        <v>348</v>
      </c>
      <c r="J16832" s="244" t="s">
        <v>63</v>
      </c>
      <c r="K16832" s="245"/>
      <c r="L16832" s="245">
        <f>K16831</f>
        <v>1177.3940345368917</v>
      </c>
    </row>
    <row r="16833" spans="1:15" x14ac:dyDescent="0.2">
      <c r="A16833" s="246">
        <v>2026</v>
      </c>
      <c r="B16833" s="238">
        <v>1</v>
      </c>
      <c r="C16833" s="238">
        <v>11</v>
      </c>
      <c r="D16833" s="270">
        <f t="shared" si="2690"/>
        <v>46033</v>
      </c>
      <c r="E16833" s="279">
        <f t="shared" si="2691"/>
        <v>46033</v>
      </c>
      <c r="F16833" s="482" t="s">
        <v>137</v>
      </c>
      <c r="G16833" s="247" t="s">
        <v>94</v>
      </c>
      <c r="H16833" s="247"/>
      <c r="I16833" s="248" t="s">
        <v>348</v>
      </c>
      <c r="J16833" s="249" t="s">
        <v>97</v>
      </c>
      <c r="K16833" s="250">
        <f>M16833</f>
        <v>39895.794703701162</v>
      </c>
      <c r="L16833" s="252"/>
      <c r="M16833" s="170">
        <v>39895.794703701162</v>
      </c>
    </row>
    <row r="16834" spans="1:15" x14ac:dyDescent="0.2">
      <c r="A16834" s="242">
        <v>2026</v>
      </c>
      <c r="B16834" s="242">
        <v>1</v>
      </c>
      <c r="C16834" s="242">
        <v>11</v>
      </c>
      <c r="D16834" s="270">
        <f t="shared" si="2690"/>
        <v>46033</v>
      </c>
      <c r="E16834" s="279">
        <f t="shared" si="2691"/>
        <v>46033</v>
      </c>
      <c r="F16834" s="478"/>
      <c r="G16834" s="243" t="s">
        <v>94</v>
      </c>
      <c r="H16834" s="243"/>
      <c r="I16834" s="263" t="s">
        <v>348</v>
      </c>
      <c r="J16834" s="244" t="s">
        <v>47</v>
      </c>
      <c r="K16834" s="245"/>
      <c r="L16834" s="245">
        <f>K16833</f>
        <v>39895.794703701162</v>
      </c>
      <c r="M16834" s="170">
        <v>1891.7677571630804</v>
      </c>
    </row>
    <row r="16835" spans="1:15" x14ac:dyDescent="0.2">
      <c r="A16835" s="246">
        <v>2026</v>
      </c>
      <c r="B16835" s="238">
        <v>1</v>
      </c>
      <c r="C16835" s="238">
        <v>11</v>
      </c>
      <c r="D16835" s="270">
        <f t="shared" si="2690"/>
        <v>46033</v>
      </c>
      <c r="E16835" s="279">
        <f t="shared" si="2691"/>
        <v>46033</v>
      </c>
      <c r="F16835" s="482" t="s">
        <v>138</v>
      </c>
      <c r="G16835" s="247" t="s">
        <v>94</v>
      </c>
      <c r="H16835" s="247"/>
      <c r="I16835" s="248" t="s">
        <v>348</v>
      </c>
      <c r="J16835" s="249" t="s">
        <v>100</v>
      </c>
      <c r="K16835" s="250">
        <f>M16834</f>
        <v>1891.7677571630804</v>
      </c>
      <c r="L16835" s="252"/>
    </row>
    <row r="16836" spans="1:15" x14ac:dyDescent="0.2">
      <c r="A16836" s="242">
        <v>2026</v>
      </c>
      <c r="B16836" s="242">
        <v>1</v>
      </c>
      <c r="C16836" s="242">
        <v>11</v>
      </c>
      <c r="D16836" s="321">
        <f t="shared" si="2690"/>
        <v>46033</v>
      </c>
      <c r="E16836" s="322">
        <f t="shared" si="2691"/>
        <v>46033</v>
      </c>
      <c r="F16836" s="478"/>
      <c r="G16836" s="243" t="s">
        <v>94</v>
      </c>
      <c r="H16836" s="243"/>
      <c r="I16836" s="263" t="s">
        <v>348</v>
      </c>
      <c r="J16836" s="244" t="s">
        <v>48</v>
      </c>
      <c r="K16836" s="245"/>
      <c r="L16836" s="245">
        <f>K16835</f>
        <v>1891.7677571630804</v>
      </c>
    </row>
    <row r="16837" spans="1:15" x14ac:dyDescent="0.2">
      <c r="A16837" s="168">
        <v>2026</v>
      </c>
      <c r="B16837" s="168">
        <v>1</v>
      </c>
      <c r="C16837" s="168">
        <v>12</v>
      </c>
      <c r="D16837" s="141">
        <f t="shared" si="2690"/>
        <v>46034</v>
      </c>
      <c r="E16837" s="275">
        <f t="shared" si="2691"/>
        <v>46034</v>
      </c>
      <c r="F16837" s="479" t="s">
        <v>2152</v>
      </c>
      <c r="G16837" s="174" t="s">
        <v>74</v>
      </c>
      <c r="I16837" s="148" t="s">
        <v>348</v>
      </c>
      <c r="J16837" s="133" t="s">
        <v>47</v>
      </c>
      <c r="K16837" s="172">
        <f>L16839/0.85</f>
        <v>118000</v>
      </c>
      <c r="M16837" s="264"/>
      <c r="N16837" s="264"/>
    </row>
    <row r="16838" spans="1:15" x14ac:dyDescent="0.2">
      <c r="A16838" s="133">
        <v>2026</v>
      </c>
      <c r="B16838" s="133">
        <v>1</v>
      </c>
      <c r="C16838" s="133">
        <v>12</v>
      </c>
      <c r="D16838" s="141">
        <f t="shared" si="2690"/>
        <v>46034</v>
      </c>
      <c r="E16838" s="275">
        <f t="shared" si="2691"/>
        <v>46034</v>
      </c>
      <c r="F16838" s="481"/>
      <c r="G16838" s="174" t="s">
        <v>74</v>
      </c>
      <c r="J16838" s="133" t="s">
        <v>534</v>
      </c>
      <c r="K16838" s="218"/>
      <c r="L16838" s="218">
        <v>17700</v>
      </c>
      <c r="N16838" s="264"/>
    </row>
    <row r="16839" spans="1:15" x14ac:dyDescent="0.2">
      <c r="A16839" s="163">
        <v>2026</v>
      </c>
      <c r="B16839" s="163">
        <v>1</v>
      </c>
      <c r="C16839" s="163">
        <v>12</v>
      </c>
      <c r="D16839" s="280">
        <f t="shared" si="2690"/>
        <v>46034</v>
      </c>
      <c r="E16839" s="281">
        <f t="shared" si="2691"/>
        <v>46034</v>
      </c>
      <c r="F16839" s="480"/>
      <c r="G16839" s="221" t="s">
        <v>74</v>
      </c>
      <c r="H16839" s="145"/>
      <c r="I16839" s="145" t="s">
        <v>348</v>
      </c>
      <c r="J16839" s="163" t="s">
        <v>52</v>
      </c>
      <c r="K16839" s="219"/>
      <c r="L16839" s="219">
        <v>100300</v>
      </c>
      <c r="M16839" s="160"/>
      <c r="N16839" s="160"/>
      <c r="O16839" s="373"/>
    </row>
    <row r="16840" spans="1:15" ht="11.25" customHeight="1" x14ac:dyDescent="0.2">
      <c r="A16840" s="168">
        <v>2026</v>
      </c>
      <c r="B16840" s="133">
        <v>1</v>
      </c>
      <c r="C16840" s="168">
        <v>12</v>
      </c>
      <c r="D16840" s="141">
        <f t="shared" si="2690"/>
        <v>46034</v>
      </c>
      <c r="E16840" s="275">
        <f t="shared" si="2691"/>
        <v>46034</v>
      </c>
      <c r="F16840" s="479" t="s">
        <v>2116</v>
      </c>
      <c r="G16840" s="220" t="s">
        <v>74</v>
      </c>
      <c r="H16840" s="220"/>
      <c r="I16840" s="142"/>
      <c r="J16840" s="143" t="s">
        <v>147</v>
      </c>
      <c r="K16840" s="226">
        <v>1079021.76</v>
      </c>
      <c r="L16840" s="226"/>
    </row>
    <row r="16841" spans="1:15" x14ac:dyDescent="0.2">
      <c r="A16841" s="163">
        <v>2026</v>
      </c>
      <c r="B16841" s="163">
        <v>1</v>
      </c>
      <c r="C16841" s="163">
        <v>12</v>
      </c>
      <c r="D16841" s="280">
        <f t="shared" si="2690"/>
        <v>46034</v>
      </c>
      <c r="E16841" s="281">
        <f t="shared" si="2691"/>
        <v>46034</v>
      </c>
      <c r="F16841" s="480"/>
      <c r="G16841" s="221" t="s">
        <v>74</v>
      </c>
      <c r="H16841" s="221"/>
      <c r="I16841" s="145"/>
      <c r="J16841" s="146" t="s">
        <v>52</v>
      </c>
      <c r="K16841" s="219"/>
      <c r="L16841" s="219">
        <f>K16840</f>
        <v>1079021.76</v>
      </c>
      <c r="N16841" s="264"/>
    </row>
    <row r="16842" spans="1:15" x14ac:dyDescent="0.2">
      <c r="A16842" s="168">
        <v>2026</v>
      </c>
      <c r="B16842" s="133">
        <v>1</v>
      </c>
      <c r="C16842" s="168">
        <v>12</v>
      </c>
      <c r="D16842" s="147">
        <f t="shared" si="2690"/>
        <v>46034</v>
      </c>
      <c r="E16842" s="311">
        <f t="shared" si="2691"/>
        <v>46034</v>
      </c>
      <c r="F16842" s="481" t="s">
        <v>1943</v>
      </c>
      <c r="G16842" s="174" t="s">
        <v>74</v>
      </c>
      <c r="I16842" s="148" t="s">
        <v>348</v>
      </c>
      <c r="J16842" s="133" t="s">
        <v>61</v>
      </c>
      <c r="K16842" s="172">
        <v>100</v>
      </c>
    </row>
    <row r="16843" spans="1:15" x14ac:dyDescent="0.2">
      <c r="A16843" s="163">
        <v>2026</v>
      </c>
      <c r="B16843" s="163">
        <v>1</v>
      </c>
      <c r="C16843" s="163">
        <v>12</v>
      </c>
      <c r="D16843" s="280">
        <f t="shared" si="2690"/>
        <v>46034</v>
      </c>
      <c r="E16843" s="281">
        <f t="shared" si="2691"/>
        <v>46034</v>
      </c>
      <c r="F16843" s="480"/>
      <c r="G16843" s="221" t="s">
        <v>74</v>
      </c>
      <c r="H16843" s="145"/>
      <c r="I16843" s="145" t="s">
        <v>348</v>
      </c>
      <c r="J16843" s="163" t="s">
        <v>52</v>
      </c>
      <c r="K16843" s="219"/>
      <c r="L16843" s="219">
        <f>K16842</f>
        <v>100</v>
      </c>
    </row>
    <row r="16844" spans="1:15" x14ac:dyDescent="0.2">
      <c r="A16844" s="133">
        <v>2026</v>
      </c>
      <c r="B16844" s="133">
        <v>1</v>
      </c>
      <c r="C16844" s="168">
        <v>12</v>
      </c>
      <c r="D16844" s="141">
        <f t="shared" si="2690"/>
        <v>46034</v>
      </c>
      <c r="E16844" s="275">
        <f t="shared" si="2691"/>
        <v>46034</v>
      </c>
      <c r="F16844" s="481" t="s">
        <v>2115</v>
      </c>
      <c r="G16844" s="174" t="s">
        <v>94</v>
      </c>
      <c r="H16844" s="174"/>
      <c r="J16844" s="149" t="s">
        <v>79</v>
      </c>
      <c r="K16844" s="218">
        <v>2042454.6</v>
      </c>
      <c r="L16844" s="218"/>
      <c r="M16844" s="160"/>
    </row>
    <row r="16845" spans="1:15" x14ac:dyDescent="0.2">
      <c r="A16845" s="133">
        <v>2026</v>
      </c>
      <c r="B16845" s="133">
        <v>1</v>
      </c>
      <c r="C16845" s="133">
        <v>12</v>
      </c>
      <c r="D16845" s="141">
        <f t="shared" si="2690"/>
        <v>46034</v>
      </c>
      <c r="E16845" s="275">
        <f t="shared" si="2691"/>
        <v>46034</v>
      </c>
      <c r="F16845" s="481"/>
      <c r="G16845" s="174" t="s">
        <v>94</v>
      </c>
      <c r="H16845" s="174"/>
      <c r="J16845" s="149" t="s">
        <v>80</v>
      </c>
      <c r="K16845" s="218">
        <v>4881.7</v>
      </c>
      <c r="L16845" s="264"/>
      <c r="M16845" s="264"/>
      <c r="N16845" s="264"/>
    </row>
    <row r="16846" spans="1:15" x14ac:dyDescent="0.2">
      <c r="A16846" s="133">
        <v>2026</v>
      </c>
      <c r="B16846" s="133">
        <v>1</v>
      </c>
      <c r="C16846" s="133">
        <v>12</v>
      </c>
      <c r="D16846" s="141">
        <f t="shared" si="2690"/>
        <v>46034</v>
      </c>
      <c r="E16846" s="275">
        <f t="shared" si="2691"/>
        <v>46034</v>
      </c>
      <c r="F16846" s="481"/>
      <c r="G16846" s="174" t="s">
        <v>94</v>
      </c>
      <c r="H16846" s="174"/>
      <c r="J16846" s="149" t="s">
        <v>147</v>
      </c>
      <c r="K16846" s="218"/>
      <c r="L16846" s="218">
        <v>1377732.7</v>
      </c>
      <c r="M16846" s="264"/>
    </row>
    <row r="16847" spans="1:15" x14ac:dyDescent="0.2">
      <c r="A16847" s="133">
        <v>2026</v>
      </c>
      <c r="B16847" s="133">
        <v>1</v>
      </c>
      <c r="C16847" s="133">
        <v>12</v>
      </c>
      <c r="D16847" s="141">
        <f t="shared" si="2690"/>
        <v>46034</v>
      </c>
      <c r="E16847" s="275">
        <f t="shared" si="2691"/>
        <v>46034</v>
      </c>
      <c r="F16847" s="481"/>
      <c r="G16847" s="174" t="s">
        <v>94</v>
      </c>
      <c r="H16847" s="174"/>
      <c r="J16847" s="149" t="s">
        <v>191</v>
      </c>
      <c r="K16847" s="218"/>
      <c r="L16847" s="218">
        <v>21907.040000000001</v>
      </c>
    </row>
    <row r="16848" spans="1:15" x14ac:dyDescent="0.2">
      <c r="A16848" s="163">
        <v>2026</v>
      </c>
      <c r="B16848" s="163">
        <v>1</v>
      </c>
      <c r="C16848" s="163">
        <v>12</v>
      </c>
      <c r="D16848" s="280">
        <f t="shared" si="2690"/>
        <v>46034</v>
      </c>
      <c r="E16848" s="281">
        <f t="shared" si="2691"/>
        <v>46034</v>
      </c>
      <c r="F16848" s="480"/>
      <c r="G16848" s="221" t="s">
        <v>94</v>
      </c>
      <c r="H16848" s="145"/>
      <c r="I16848" s="145"/>
      <c r="J16848" s="163" t="s">
        <v>79</v>
      </c>
      <c r="K16848" s="219"/>
      <c r="L16848" s="219">
        <v>647696.56000000006</v>
      </c>
      <c r="M16848" s="264"/>
    </row>
    <row r="16849" spans="1:13" x14ac:dyDescent="0.2">
      <c r="A16849" s="325">
        <v>2026</v>
      </c>
      <c r="B16849" s="325">
        <v>1</v>
      </c>
      <c r="C16849" s="325">
        <v>12</v>
      </c>
      <c r="D16849" s="326">
        <f t="shared" si="2690"/>
        <v>46034</v>
      </c>
      <c r="E16849" s="327">
        <f t="shared" si="2691"/>
        <v>46034</v>
      </c>
      <c r="F16849" s="473" t="s">
        <v>1940</v>
      </c>
      <c r="G16849" s="340" t="s">
        <v>94</v>
      </c>
      <c r="H16849" s="340"/>
      <c r="I16849" s="341" t="s">
        <v>348</v>
      </c>
      <c r="J16849" s="374" t="s">
        <v>133</v>
      </c>
      <c r="K16849" s="375">
        <v>2104.17</v>
      </c>
      <c r="L16849" s="375"/>
      <c r="M16849" s="176"/>
    </row>
    <row r="16850" spans="1:13" x14ac:dyDescent="0.2">
      <c r="A16850" s="331">
        <v>2026</v>
      </c>
      <c r="B16850" s="331">
        <v>1</v>
      </c>
      <c r="C16850" s="331">
        <v>12</v>
      </c>
      <c r="D16850" s="326">
        <f t="shared" si="2690"/>
        <v>46034</v>
      </c>
      <c r="E16850" s="327">
        <f t="shared" si="2691"/>
        <v>46034</v>
      </c>
      <c r="F16850" s="474"/>
      <c r="G16850" s="332" t="s">
        <v>94</v>
      </c>
      <c r="H16850" s="332"/>
      <c r="I16850" s="333" t="s">
        <v>348</v>
      </c>
      <c r="J16850" s="376" t="s">
        <v>2153</v>
      </c>
      <c r="K16850" s="334"/>
      <c r="L16850" s="334">
        <f>K16849</f>
        <v>2104.17</v>
      </c>
    </row>
    <row r="16851" spans="1:13" x14ac:dyDescent="0.2">
      <c r="A16851" s="325">
        <v>2026</v>
      </c>
      <c r="B16851" s="325">
        <v>1</v>
      </c>
      <c r="C16851" s="325">
        <v>12</v>
      </c>
      <c r="D16851" s="326">
        <f t="shared" si="2690"/>
        <v>46034</v>
      </c>
      <c r="E16851" s="327">
        <f t="shared" si="2691"/>
        <v>46034</v>
      </c>
      <c r="F16851" s="473" t="s">
        <v>2131</v>
      </c>
      <c r="G16851" s="340" t="s">
        <v>94</v>
      </c>
      <c r="H16851" s="340"/>
      <c r="I16851" s="341" t="s">
        <v>348</v>
      </c>
      <c r="J16851" s="374" t="s">
        <v>2156</v>
      </c>
      <c r="K16851" s="375">
        <v>6185.4395604395604</v>
      </c>
      <c r="L16851" s="375"/>
      <c r="M16851" s="176"/>
    </row>
    <row r="16852" spans="1:13" x14ac:dyDescent="0.2">
      <c r="A16852" s="331">
        <v>2026</v>
      </c>
      <c r="B16852" s="331">
        <v>1</v>
      </c>
      <c r="C16852" s="331">
        <v>12</v>
      </c>
      <c r="D16852" s="326">
        <f t="shared" si="2690"/>
        <v>46034</v>
      </c>
      <c r="E16852" s="327">
        <f t="shared" si="2691"/>
        <v>46034</v>
      </c>
      <c r="F16852" s="474"/>
      <c r="G16852" s="332" t="s">
        <v>94</v>
      </c>
      <c r="H16852" s="332"/>
      <c r="I16852" s="333" t="s">
        <v>348</v>
      </c>
      <c r="J16852" s="376" t="s">
        <v>2154</v>
      </c>
      <c r="K16852" s="334"/>
      <c r="L16852" s="334">
        <f>K16851</f>
        <v>6185.4395604395604</v>
      </c>
    </row>
    <row r="16853" spans="1:13" x14ac:dyDescent="0.2">
      <c r="A16853" s="384">
        <v>2026</v>
      </c>
      <c r="B16853" s="384">
        <v>1</v>
      </c>
      <c r="C16853" s="384">
        <v>12</v>
      </c>
      <c r="D16853" s="385">
        <f t="shared" si="2690"/>
        <v>46034</v>
      </c>
      <c r="E16853" s="386">
        <f t="shared" si="2691"/>
        <v>46034</v>
      </c>
      <c r="F16853" s="475" t="s">
        <v>1966</v>
      </c>
      <c r="G16853" s="387" t="s">
        <v>94</v>
      </c>
      <c r="H16853" s="387"/>
      <c r="I16853" s="388" t="s">
        <v>348</v>
      </c>
      <c r="J16853" s="389" t="s">
        <v>67</v>
      </c>
      <c r="K16853" s="390">
        <v>329.02346583333332</v>
      </c>
      <c r="L16853" s="390"/>
    </row>
    <row r="16854" spans="1:13" x14ac:dyDescent="0.2">
      <c r="A16854" s="391">
        <v>2026</v>
      </c>
      <c r="B16854" s="391">
        <v>1</v>
      </c>
      <c r="C16854" s="391">
        <v>12</v>
      </c>
      <c r="D16854" s="385">
        <f t="shared" si="2690"/>
        <v>46034</v>
      </c>
      <c r="E16854" s="386">
        <f t="shared" si="2691"/>
        <v>46034</v>
      </c>
      <c r="F16854" s="476"/>
      <c r="G16854" s="392" t="s">
        <v>94</v>
      </c>
      <c r="H16854" s="392"/>
      <c r="I16854" s="393" t="s">
        <v>348</v>
      </c>
      <c r="J16854" s="394" t="s">
        <v>2155</v>
      </c>
      <c r="K16854" s="395"/>
      <c r="L16854" s="395">
        <f>K16853</f>
        <v>329.02346583333332</v>
      </c>
    </row>
    <row r="16855" spans="1:13" x14ac:dyDescent="0.2">
      <c r="A16855" s="238">
        <v>2026</v>
      </c>
      <c r="B16855" s="238">
        <v>1</v>
      </c>
      <c r="C16855" s="238">
        <v>12</v>
      </c>
      <c r="D16855" s="270">
        <f t="shared" si="2690"/>
        <v>46034</v>
      </c>
      <c r="E16855" s="279">
        <f t="shared" si="2691"/>
        <v>46034</v>
      </c>
      <c r="F16855" s="477" t="s">
        <v>347</v>
      </c>
      <c r="G16855" s="239" t="s">
        <v>94</v>
      </c>
      <c r="H16855" s="239"/>
      <c r="I16855" s="262" t="s">
        <v>348</v>
      </c>
      <c r="J16855" s="240" t="s">
        <v>82</v>
      </c>
      <c r="K16855" s="241">
        <v>60575.339999943972</v>
      </c>
      <c r="L16855" s="241"/>
      <c r="M16855" s="160">
        <v>0</v>
      </c>
    </row>
    <row r="16856" spans="1:13" x14ac:dyDescent="0.2">
      <c r="A16856" s="242">
        <v>2026</v>
      </c>
      <c r="B16856" s="242">
        <v>1</v>
      </c>
      <c r="C16856" s="242">
        <v>12</v>
      </c>
      <c r="D16856" s="270">
        <f t="shared" si="2690"/>
        <v>46034</v>
      </c>
      <c r="E16856" s="279">
        <f t="shared" si="2691"/>
        <v>46034</v>
      </c>
      <c r="F16856" s="478"/>
      <c r="G16856" s="243" t="s">
        <v>94</v>
      </c>
      <c r="H16856" s="243"/>
      <c r="I16856" s="263" t="s">
        <v>348</v>
      </c>
      <c r="J16856" s="244" t="s">
        <v>108</v>
      </c>
      <c r="K16856" s="245"/>
      <c r="L16856" s="245">
        <f>K16855</f>
        <v>60575.339999943972</v>
      </c>
    </row>
    <row r="16857" spans="1:13" ht="12" customHeight="1" x14ac:dyDescent="0.2">
      <c r="A16857" s="246">
        <v>2026</v>
      </c>
      <c r="B16857" s="238">
        <v>1</v>
      </c>
      <c r="C16857" s="238">
        <v>12</v>
      </c>
      <c r="D16857" s="270">
        <f t="shared" si="2690"/>
        <v>46034</v>
      </c>
      <c r="E16857" s="279">
        <f t="shared" si="2691"/>
        <v>46034</v>
      </c>
      <c r="F16857" s="482" t="s">
        <v>148</v>
      </c>
      <c r="G16857" s="247" t="s">
        <v>94</v>
      </c>
      <c r="H16857" s="247"/>
      <c r="I16857" s="248" t="s">
        <v>348</v>
      </c>
      <c r="J16857" s="249" t="s">
        <v>95</v>
      </c>
      <c r="K16857" s="250">
        <v>392.46467817896388</v>
      </c>
      <c r="L16857" s="241"/>
      <c r="M16857" s="176"/>
    </row>
    <row r="16858" spans="1:13" x14ac:dyDescent="0.2">
      <c r="A16858" s="242">
        <v>2026</v>
      </c>
      <c r="B16858" s="242">
        <v>1</v>
      </c>
      <c r="C16858" s="242">
        <v>12</v>
      </c>
      <c r="D16858" s="270">
        <f t="shared" si="2690"/>
        <v>46034</v>
      </c>
      <c r="E16858" s="279">
        <f t="shared" si="2691"/>
        <v>46034</v>
      </c>
      <c r="F16858" s="478"/>
      <c r="G16858" s="243" t="s">
        <v>94</v>
      </c>
      <c r="H16858" s="243"/>
      <c r="I16858" s="263" t="s">
        <v>348</v>
      </c>
      <c r="J16858" s="244" t="s">
        <v>63</v>
      </c>
      <c r="K16858" s="245"/>
      <c r="L16858" s="245">
        <f>K16857</f>
        <v>392.46467817896388</v>
      </c>
    </row>
    <row r="16859" spans="1:13" x14ac:dyDescent="0.2">
      <c r="A16859" s="246">
        <v>2026</v>
      </c>
      <c r="B16859" s="238">
        <v>1</v>
      </c>
      <c r="C16859" s="238">
        <v>12</v>
      </c>
      <c r="D16859" s="270">
        <f t="shared" si="2690"/>
        <v>46034</v>
      </c>
      <c r="E16859" s="279">
        <f t="shared" si="2691"/>
        <v>46034</v>
      </c>
      <c r="F16859" s="482" t="s">
        <v>137</v>
      </c>
      <c r="G16859" s="247" t="s">
        <v>94</v>
      </c>
      <c r="H16859" s="247"/>
      <c r="I16859" s="248" t="s">
        <v>348</v>
      </c>
      <c r="J16859" s="249" t="s">
        <v>97</v>
      </c>
      <c r="K16859" s="250">
        <f>M16859</f>
        <v>13404.228349254741</v>
      </c>
      <c r="L16859" s="252"/>
      <c r="M16859" s="170">
        <v>13404.228349254741</v>
      </c>
    </row>
    <row r="16860" spans="1:13" x14ac:dyDescent="0.2">
      <c r="A16860" s="242">
        <v>2026</v>
      </c>
      <c r="B16860" s="242">
        <v>1</v>
      </c>
      <c r="C16860" s="242">
        <v>12</v>
      </c>
      <c r="D16860" s="270">
        <f t="shared" si="2690"/>
        <v>46034</v>
      </c>
      <c r="E16860" s="279">
        <f t="shared" si="2691"/>
        <v>46034</v>
      </c>
      <c r="F16860" s="478"/>
      <c r="G16860" s="243" t="s">
        <v>94</v>
      </c>
      <c r="H16860" s="243"/>
      <c r="I16860" s="263" t="s">
        <v>348</v>
      </c>
      <c r="J16860" s="244" t="s">
        <v>47</v>
      </c>
      <c r="K16860" s="245"/>
      <c r="L16860" s="245">
        <f>K16859</f>
        <v>13404.228349254741</v>
      </c>
      <c r="M16860" s="170">
        <v>635.87075812207775</v>
      </c>
    </row>
    <row r="16861" spans="1:13" x14ac:dyDescent="0.2">
      <c r="A16861" s="246">
        <v>2026</v>
      </c>
      <c r="B16861" s="238">
        <v>1</v>
      </c>
      <c r="C16861" s="238">
        <v>12</v>
      </c>
      <c r="D16861" s="270">
        <f t="shared" si="2690"/>
        <v>46034</v>
      </c>
      <c r="E16861" s="279">
        <f t="shared" si="2691"/>
        <v>46034</v>
      </c>
      <c r="F16861" s="482" t="s">
        <v>138</v>
      </c>
      <c r="G16861" s="247" t="s">
        <v>94</v>
      </c>
      <c r="H16861" s="247"/>
      <c r="I16861" s="248" t="s">
        <v>348</v>
      </c>
      <c r="J16861" s="249" t="s">
        <v>100</v>
      </c>
      <c r="K16861" s="250">
        <f>M16860</f>
        <v>635.87075812207775</v>
      </c>
      <c r="L16861" s="252"/>
    </row>
    <row r="16862" spans="1:13" x14ac:dyDescent="0.2">
      <c r="A16862" s="242">
        <v>2026</v>
      </c>
      <c r="B16862" s="242">
        <v>1</v>
      </c>
      <c r="C16862" s="242">
        <v>12</v>
      </c>
      <c r="D16862" s="321">
        <f t="shared" si="2690"/>
        <v>46034</v>
      </c>
      <c r="E16862" s="322">
        <f t="shared" si="2691"/>
        <v>46034</v>
      </c>
      <c r="F16862" s="478"/>
      <c r="G16862" s="243" t="s">
        <v>94</v>
      </c>
      <c r="H16862" s="243"/>
      <c r="I16862" s="263" t="s">
        <v>348</v>
      </c>
      <c r="J16862" s="244" t="s">
        <v>48</v>
      </c>
      <c r="K16862" s="245"/>
      <c r="L16862" s="245">
        <f>K16861</f>
        <v>635.87075812207775</v>
      </c>
    </row>
    <row r="16863" spans="1:13" ht="11.25" customHeight="1" x14ac:dyDescent="0.2">
      <c r="A16863" s="168">
        <v>2026</v>
      </c>
      <c r="B16863" s="168">
        <v>1</v>
      </c>
      <c r="C16863" s="133">
        <v>13</v>
      </c>
      <c r="D16863" s="141">
        <f t="shared" si="2690"/>
        <v>46035</v>
      </c>
      <c r="E16863" s="275">
        <f t="shared" si="2691"/>
        <v>46035</v>
      </c>
      <c r="F16863" s="479" t="s">
        <v>965</v>
      </c>
      <c r="G16863" s="220" t="s">
        <v>74</v>
      </c>
      <c r="H16863" s="142"/>
      <c r="I16863" s="142"/>
      <c r="J16863" s="168" t="s">
        <v>13</v>
      </c>
      <c r="K16863" s="226">
        <v>431780</v>
      </c>
      <c r="L16863" s="226"/>
    </row>
    <row r="16864" spans="1:13" ht="11.25" customHeight="1" x14ac:dyDescent="0.2">
      <c r="A16864" s="133">
        <v>2026</v>
      </c>
      <c r="B16864" s="133">
        <v>1</v>
      </c>
      <c r="C16864" s="133">
        <v>13</v>
      </c>
      <c r="D16864" s="141">
        <f t="shared" si="2690"/>
        <v>46035</v>
      </c>
      <c r="E16864" s="275">
        <f t="shared" si="2691"/>
        <v>46035</v>
      </c>
      <c r="F16864" s="481"/>
      <c r="G16864" s="174" t="s">
        <v>74</v>
      </c>
      <c r="J16864" s="133" t="s">
        <v>53</v>
      </c>
      <c r="K16864" s="218">
        <v>185881.29000000004</v>
      </c>
      <c r="L16864" s="218"/>
    </row>
    <row r="16865" spans="1:14" ht="11.25" customHeight="1" x14ac:dyDescent="0.2">
      <c r="A16865" s="163">
        <v>2026</v>
      </c>
      <c r="B16865" s="163">
        <v>1</v>
      </c>
      <c r="C16865" s="163">
        <v>13</v>
      </c>
      <c r="D16865" s="280">
        <f t="shared" si="2690"/>
        <v>46035</v>
      </c>
      <c r="E16865" s="281">
        <f t="shared" si="2691"/>
        <v>46035</v>
      </c>
      <c r="F16865" s="480"/>
      <c r="G16865" s="221" t="s">
        <v>74</v>
      </c>
      <c r="H16865" s="145"/>
      <c r="I16865" s="145"/>
      <c r="J16865" s="163" t="s">
        <v>52</v>
      </c>
      <c r="K16865" s="219"/>
      <c r="L16865" s="219">
        <v>617661.29</v>
      </c>
    </row>
    <row r="16866" spans="1:14" ht="11.25" customHeight="1" x14ac:dyDescent="0.2">
      <c r="A16866" s="168">
        <v>2026</v>
      </c>
      <c r="B16866" s="168">
        <v>1</v>
      </c>
      <c r="C16866" s="133">
        <v>13</v>
      </c>
      <c r="D16866" s="141">
        <f>DATE(A16866,B16866,C16866)</f>
        <v>46035</v>
      </c>
      <c r="E16866" s="275">
        <f>DATE(A16866,B16866,C16866)</f>
        <v>46035</v>
      </c>
      <c r="F16866" s="479" t="s">
        <v>964</v>
      </c>
      <c r="G16866" s="220" t="s">
        <v>74</v>
      </c>
      <c r="H16866" s="142"/>
      <c r="I16866" s="142"/>
      <c r="J16866" s="168" t="s">
        <v>52</v>
      </c>
      <c r="K16866" s="226">
        <v>900000</v>
      </c>
      <c r="L16866" s="226"/>
    </row>
    <row r="16867" spans="1:14" ht="11.25" customHeight="1" x14ac:dyDescent="0.2">
      <c r="A16867" s="133">
        <v>2026</v>
      </c>
      <c r="B16867" s="133">
        <v>1</v>
      </c>
      <c r="C16867" s="133">
        <v>13</v>
      </c>
      <c r="D16867" s="141">
        <f>DATE(A16867,B16867,C16867)</f>
        <v>46035</v>
      </c>
      <c r="E16867" s="275">
        <f>DATE(A16867,B16867,C16867)</f>
        <v>46035</v>
      </c>
      <c r="F16867" s="481"/>
      <c r="G16867" s="174" t="s">
        <v>74</v>
      </c>
      <c r="J16867" s="133" t="s">
        <v>13</v>
      </c>
      <c r="K16867" s="218"/>
      <c r="L16867" s="218">
        <v>642670</v>
      </c>
    </row>
    <row r="16868" spans="1:14" ht="11.25" customHeight="1" x14ac:dyDescent="0.2">
      <c r="A16868" s="163">
        <v>2026</v>
      </c>
      <c r="B16868" s="163">
        <v>1</v>
      </c>
      <c r="C16868" s="163">
        <v>13</v>
      </c>
      <c r="D16868" s="280">
        <f>DATE(A16868,B16868,C16868)</f>
        <v>46035</v>
      </c>
      <c r="E16868" s="281">
        <f>DATE(A16868,B16868,C16868)</f>
        <v>46035</v>
      </c>
      <c r="F16868" s="480"/>
      <c r="G16868" s="221" t="s">
        <v>74</v>
      </c>
      <c r="H16868" s="145"/>
      <c r="I16868" s="145"/>
      <c r="J16868" s="163" t="s">
        <v>53</v>
      </c>
      <c r="K16868" s="219"/>
      <c r="L16868" s="219">
        <v>257330</v>
      </c>
    </row>
    <row r="16869" spans="1:14" x14ac:dyDescent="0.2">
      <c r="A16869" s="168">
        <v>2026</v>
      </c>
      <c r="B16869" s="133">
        <v>1</v>
      </c>
      <c r="C16869" s="168">
        <v>13</v>
      </c>
      <c r="D16869" s="147">
        <f t="shared" ref="D16869:D16893" si="2692">DATE(A16869,B16869,C16869)</f>
        <v>46035</v>
      </c>
      <c r="E16869" s="311">
        <f t="shared" ref="E16869:E16893" si="2693">DATE(A16869,B16869,C16869)</f>
        <v>46035</v>
      </c>
      <c r="F16869" s="481" t="s">
        <v>1943</v>
      </c>
      <c r="G16869" s="174" t="s">
        <v>74</v>
      </c>
      <c r="I16869" s="148" t="s">
        <v>348</v>
      </c>
      <c r="J16869" s="133" t="s">
        <v>61</v>
      </c>
      <c r="K16869" s="172">
        <v>25</v>
      </c>
    </row>
    <row r="16870" spans="1:14" x14ac:dyDescent="0.2">
      <c r="A16870" s="163">
        <v>2026</v>
      </c>
      <c r="B16870" s="163">
        <v>1</v>
      </c>
      <c r="C16870" s="163">
        <v>13</v>
      </c>
      <c r="D16870" s="280">
        <f t="shared" si="2692"/>
        <v>46035</v>
      </c>
      <c r="E16870" s="281">
        <f t="shared" si="2693"/>
        <v>46035</v>
      </c>
      <c r="F16870" s="480"/>
      <c r="G16870" s="221" t="s">
        <v>74</v>
      </c>
      <c r="H16870" s="145"/>
      <c r="I16870" s="145" t="s">
        <v>348</v>
      </c>
      <c r="J16870" s="163" t="s">
        <v>52</v>
      </c>
      <c r="K16870" s="219"/>
      <c r="L16870" s="219">
        <f>K16869</f>
        <v>25</v>
      </c>
    </row>
    <row r="16871" spans="1:14" x14ac:dyDescent="0.2">
      <c r="A16871" s="133">
        <v>2026</v>
      </c>
      <c r="B16871" s="133">
        <v>1</v>
      </c>
      <c r="C16871" s="168">
        <v>13</v>
      </c>
      <c r="D16871" s="141">
        <f t="shared" si="2692"/>
        <v>46035</v>
      </c>
      <c r="E16871" s="275">
        <f t="shared" si="2693"/>
        <v>46035</v>
      </c>
      <c r="F16871" s="481" t="s">
        <v>2115</v>
      </c>
      <c r="G16871" s="174" t="s">
        <v>94</v>
      </c>
      <c r="H16871" s="174"/>
      <c r="J16871" s="149" t="s">
        <v>79</v>
      </c>
      <c r="K16871" s="218">
        <v>1173857.6000000001</v>
      </c>
      <c r="L16871" s="218"/>
      <c r="M16871" s="160"/>
    </row>
    <row r="16872" spans="1:14" x14ac:dyDescent="0.2">
      <c r="A16872" s="133">
        <v>2026</v>
      </c>
      <c r="B16872" s="133">
        <v>1</v>
      </c>
      <c r="C16872" s="133">
        <v>13</v>
      </c>
      <c r="D16872" s="141">
        <f t="shared" si="2692"/>
        <v>46035</v>
      </c>
      <c r="E16872" s="275">
        <f t="shared" si="2693"/>
        <v>46035</v>
      </c>
      <c r="F16872" s="481"/>
      <c r="G16872" s="174" t="s">
        <v>94</v>
      </c>
      <c r="H16872" s="174"/>
      <c r="J16872" s="149" t="s">
        <v>80</v>
      </c>
      <c r="K16872" s="218">
        <v>3165.48</v>
      </c>
      <c r="L16872" s="264"/>
      <c r="M16872" s="264"/>
      <c r="N16872" s="264"/>
    </row>
    <row r="16873" spans="1:14" x14ac:dyDescent="0.2">
      <c r="A16873" s="133">
        <v>2026</v>
      </c>
      <c r="B16873" s="133">
        <v>1</v>
      </c>
      <c r="C16873" s="133">
        <v>13</v>
      </c>
      <c r="D16873" s="141">
        <f t="shared" si="2692"/>
        <v>46035</v>
      </c>
      <c r="E16873" s="275">
        <f t="shared" si="2693"/>
        <v>46035</v>
      </c>
      <c r="F16873" s="481"/>
      <c r="G16873" s="174" t="s">
        <v>94</v>
      </c>
      <c r="H16873" s="174"/>
      <c r="J16873" s="149" t="s">
        <v>147</v>
      </c>
      <c r="K16873" s="218"/>
      <c r="L16873" s="218">
        <v>592279.07999999996</v>
      </c>
      <c r="M16873" s="264"/>
    </row>
    <row r="16874" spans="1:14" x14ac:dyDescent="0.2">
      <c r="A16874" s="133">
        <v>2026</v>
      </c>
      <c r="B16874" s="133">
        <v>1</v>
      </c>
      <c r="C16874" s="133">
        <v>13</v>
      </c>
      <c r="D16874" s="141">
        <f t="shared" si="2692"/>
        <v>46035</v>
      </c>
      <c r="E16874" s="275">
        <f t="shared" si="2693"/>
        <v>46035</v>
      </c>
      <c r="F16874" s="481"/>
      <c r="G16874" s="174" t="s">
        <v>94</v>
      </c>
      <c r="H16874" s="174"/>
      <c r="J16874" s="149" t="s">
        <v>191</v>
      </c>
      <c r="K16874" s="218"/>
      <c r="L16874" s="218">
        <v>38241.39</v>
      </c>
    </row>
    <row r="16875" spans="1:14" x14ac:dyDescent="0.2">
      <c r="A16875" s="163">
        <v>2026</v>
      </c>
      <c r="B16875" s="163">
        <v>1</v>
      </c>
      <c r="C16875" s="163">
        <v>13</v>
      </c>
      <c r="D16875" s="280">
        <f t="shared" si="2692"/>
        <v>46035</v>
      </c>
      <c r="E16875" s="281">
        <f t="shared" si="2693"/>
        <v>46035</v>
      </c>
      <c r="F16875" s="480"/>
      <c r="G16875" s="221" t="s">
        <v>94</v>
      </c>
      <c r="H16875" s="145"/>
      <c r="I16875" s="145"/>
      <c r="J16875" s="163" t="s">
        <v>79</v>
      </c>
      <c r="K16875" s="219"/>
      <c r="L16875" s="219">
        <v>546502.61</v>
      </c>
      <c r="M16875" s="264"/>
    </row>
    <row r="16876" spans="1:14" x14ac:dyDescent="0.2">
      <c r="A16876" s="325">
        <v>2026</v>
      </c>
      <c r="B16876" s="325">
        <v>1</v>
      </c>
      <c r="C16876" s="325">
        <v>13</v>
      </c>
      <c r="D16876" s="326">
        <f t="shared" si="2692"/>
        <v>46035</v>
      </c>
      <c r="E16876" s="327">
        <f t="shared" si="2693"/>
        <v>46035</v>
      </c>
      <c r="F16876" s="473" t="s">
        <v>1940</v>
      </c>
      <c r="G16876" s="340" t="s">
        <v>94</v>
      </c>
      <c r="H16876" s="340"/>
      <c r="I16876" s="341" t="s">
        <v>348</v>
      </c>
      <c r="J16876" s="374" t="s">
        <v>133</v>
      </c>
      <c r="K16876" s="375">
        <v>2104.17</v>
      </c>
      <c r="L16876" s="375"/>
      <c r="M16876" s="176"/>
    </row>
    <row r="16877" spans="1:14" x14ac:dyDescent="0.2">
      <c r="A16877" s="331">
        <v>2026</v>
      </c>
      <c r="B16877" s="331">
        <v>1</v>
      </c>
      <c r="C16877" s="331">
        <v>13</v>
      </c>
      <c r="D16877" s="326">
        <f t="shared" si="2692"/>
        <v>46035</v>
      </c>
      <c r="E16877" s="327">
        <f t="shared" si="2693"/>
        <v>46035</v>
      </c>
      <c r="F16877" s="474"/>
      <c r="G16877" s="332" t="s">
        <v>94</v>
      </c>
      <c r="H16877" s="332"/>
      <c r="I16877" s="333" t="s">
        <v>348</v>
      </c>
      <c r="J16877" s="376" t="s">
        <v>2153</v>
      </c>
      <c r="K16877" s="334"/>
      <c r="L16877" s="334">
        <f>K16876</f>
        <v>2104.17</v>
      </c>
    </row>
    <row r="16878" spans="1:14" x14ac:dyDescent="0.2">
      <c r="A16878" s="325">
        <v>2026</v>
      </c>
      <c r="B16878" s="325">
        <v>1</v>
      </c>
      <c r="C16878" s="325">
        <v>13</v>
      </c>
      <c r="D16878" s="326">
        <f t="shared" si="2692"/>
        <v>46035</v>
      </c>
      <c r="E16878" s="327">
        <f t="shared" si="2693"/>
        <v>46035</v>
      </c>
      <c r="F16878" s="473" t="s">
        <v>2131</v>
      </c>
      <c r="G16878" s="340" t="s">
        <v>94</v>
      </c>
      <c r="H16878" s="340"/>
      <c r="I16878" s="341" t="s">
        <v>348</v>
      </c>
      <c r="J16878" s="374" t="s">
        <v>2156</v>
      </c>
      <c r="K16878" s="375">
        <v>6185.4395604395604</v>
      </c>
      <c r="L16878" s="375"/>
      <c r="M16878" s="176"/>
    </row>
    <row r="16879" spans="1:14" x14ac:dyDescent="0.2">
      <c r="A16879" s="331">
        <v>2026</v>
      </c>
      <c r="B16879" s="331">
        <v>1</v>
      </c>
      <c r="C16879" s="331">
        <v>13</v>
      </c>
      <c r="D16879" s="326">
        <f t="shared" si="2692"/>
        <v>46035</v>
      </c>
      <c r="E16879" s="327">
        <f t="shared" si="2693"/>
        <v>46035</v>
      </c>
      <c r="F16879" s="474"/>
      <c r="G16879" s="332" t="s">
        <v>94</v>
      </c>
      <c r="H16879" s="332"/>
      <c r="I16879" s="333" t="s">
        <v>348</v>
      </c>
      <c r="J16879" s="376" t="s">
        <v>2154</v>
      </c>
      <c r="K16879" s="334"/>
      <c r="L16879" s="334">
        <f>K16878</f>
        <v>6185.4395604395604</v>
      </c>
    </row>
    <row r="16880" spans="1:14" x14ac:dyDescent="0.2">
      <c r="A16880" s="384">
        <v>2026</v>
      </c>
      <c r="B16880" s="384">
        <v>1</v>
      </c>
      <c r="C16880" s="384">
        <v>13</v>
      </c>
      <c r="D16880" s="385">
        <f t="shared" si="2692"/>
        <v>46035</v>
      </c>
      <c r="E16880" s="386">
        <f t="shared" si="2693"/>
        <v>46035</v>
      </c>
      <c r="F16880" s="475" t="s">
        <v>1966</v>
      </c>
      <c r="G16880" s="387" t="s">
        <v>94</v>
      </c>
      <c r="H16880" s="387"/>
      <c r="I16880" s="388" t="s">
        <v>348</v>
      </c>
      <c r="J16880" s="389" t="s">
        <v>67</v>
      </c>
      <c r="K16880" s="390">
        <v>665.58586180555551</v>
      </c>
      <c r="L16880" s="390"/>
    </row>
    <row r="16881" spans="1:14" x14ac:dyDescent="0.2">
      <c r="A16881" s="391">
        <v>2026</v>
      </c>
      <c r="B16881" s="391">
        <v>1</v>
      </c>
      <c r="C16881" s="391">
        <v>13</v>
      </c>
      <c r="D16881" s="385">
        <f t="shared" si="2692"/>
        <v>46035</v>
      </c>
      <c r="E16881" s="386">
        <f t="shared" si="2693"/>
        <v>46035</v>
      </c>
      <c r="F16881" s="476"/>
      <c r="G16881" s="392" t="s">
        <v>94</v>
      </c>
      <c r="H16881" s="392"/>
      <c r="I16881" s="393" t="s">
        <v>348</v>
      </c>
      <c r="J16881" s="394" t="s">
        <v>2155</v>
      </c>
      <c r="K16881" s="395"/>
      <c r="L16881" s="395">
        <f>K16880</f>
        <v>665.58586180555551</v>
      </c>
    </row>
    <row r="16882" spans="1:14" x14ac:dyDescent="0.2">
      <c r="A16882" s="238">
        <v>2026</v>
      </c>
      <c r="B16882" s="238">
        <v>1</v>
      </c>
      <c r="C16882" s="238">
        <v>13</v>
      </c>
      <c r="D16882" s="270">
        <f t="shared" si="2692"/>
        <v>46035</v>
      </c>
      <c r="E16882" s="279">
        <f t="shared" si="2693"/>
        <v>46035</v>
      </c>
      <c r="F16882" s="477" t="s">
        <v>347</v>
      </c>
      <c r="G16882" s="239" t="s">
        <v>94</v>
      </c>
      <c r="H16882" s="239"/>
      <c r="I16882" s="262" t="s">
        <v>348</v>
      </c>
      <c r="J16882" s="240" t="s">
        <v>82</v>
      </c>
      <c r="K16882" s="241">
        <v>189103.49000048637</v>
      </c>
      <c r="L16882" s="241"/>
      <c r="M16882" s="160"/>
    </row>
    <row r="16883" spans="1:14" x14ac:dyDescent="0.2">
      <c r="A16883" s="242">
        <v>2026</v>
      </c>
      <c r="B16883" s="242">
        <v>1</v>
      </c>
      <c r="C16883" s="242">
        <v>13</v>
      </c>
      <c r="D16883" s="270">
        <f t="shared" si="2692"/>
        <v>46035</v>
      </c>
      <c r="E16883" s="279">
        <f t="shared" si="2693"/>
        <v>46035</v>
      </c>
      <c r="F16883" s="478"/>
      <c r="G16883" s="243" t="s">
        <v>94</v>
      </c>
      <c r="H16883" s="243"/>
      <c r="I16883" s="263" t="s">
        <v>348</v>
      </c>
      <c r="J16883" s="244" t="s">
        <v>108</v>
      </c>
      <c r="K16883" s="245"/>
      <c r="L16883" s="245">
        <f>K16882</f>
        <v>189103.49000048637</v>
      </c>
    </row>
    <row r="16884" spans="1:14" ht="12" customHeight="1" x14ac:dyDescent="0.2">
      <c r="A16884" s="246">
        <v>2026</v>
      </c>
      <c r="B16884" s="238">
        <v>1</v>
      </c>
      <c r="C16884" s="238">
        <v>13</v>
      </c>
      <c r="D16884" s="270">
        <f t="shared" si="2692"/>
        <v>46035</v>
      </c>
      <c r="E16884" s="279">
        <f t="shared" si="2693"/>
        <v>46035</v>
      </c>
      <c r="F16884" s="482" t="s">
        <v>148</v>
      </c>
      <c r="G16884" s="247" t="s">
        <v>94</v>
      </c>
      <c r="H16884" s="247"/>
      <c r="I16884" s="248" t="s">
        <v>348</v>
      </c>
      <c r="J16884" s="249" t="s">
        <v>95</v>
      </c>
      <c r="K16884" s="250">
        <v>392.46467817896388</v>
      </c>
      <c r="L16884" s="241"/>
      <c r="M16884" s="176"/>
    </row>
    <row r="16885" spans="1:14" x14ac:dyDescent="0.2">
      <c r="A16885" s="242">
        <v>2026</v>
      </c>
      <c r="B16885" s="242">
        <v>1</v>
      </c>
      <c r="C16885" s="242">
        <v>13</v>
      </c>
      <c r="D16885" s="270">
        <f t="shared" si="2692"/>
        <v>46035</v>
      </c>
      <c r="E16885" s="279">
        <f t="shared" si="2693"/>
        <v>46035</v>
      </c>
      <c r="F16885" s="478"/>
      <c r="G16885" s="243" t="s">
        <v>94</v>
      </c>
      <c r="H16885" s="243"/>
      <c r="I16885" s="263" t="s">
        <v>348</v>
      </c>
      <c r="J16885" s="244" t="s">
        <v>63</v>
      </c>
      <c r="K16885" s="245"/>
      <c r="L16885" s="245">
        <f>K16884</f>
        <v>392.46467817896388</v>
      </c>
    </row>
    <row r="16886" spans="1:14" x14ac:dyDescent="0.2">
      <c r="A16886" s="246">
        <v>2026</v>
      </c>
      <c r="B16886" s="238">
        <v>1</v>
      </c>
      <c r="C16886" s="238">
        <v>13</v>
      </c>
      <c r="D16886" s="270">
        <f t="shared" si="2692"/>
        <v>46035</v>
      </c>
      <c r="E16886" s="279">
        <f t="shared" si="2693"/>
        <v>46035</v>
      </c>
      <c r="F16886" s="482" t="s">
        <v>137</v>
      </c>
      <c r="G16886" s="247" t="s">
        <v>94</v>
      </c>
      <c r="H16886" s="247"/>
      <c r="I16886" s="248" t="s">
        <v>348</v>
      </c>
      <c r="J16886" s="249" t="s">
        <v>97</v>
      </c>
      <c r="K16886" s="250">
        <f>M16886</f>
        <v>13411.912536221624</v>
      </c>
      <c r="L16886" s="252"/>
      <c r="M16886" s="170">
        <v>13411.912536221624</v>
      </c>
    </row>
    <row r="16887" spans="1:14" x14ac:dyDescent="0.2">
      <c r="A16887" s="242">
        <v>2026</v>
      </c>
      <c r="B16887" s="242">
        <v>1</v>
      </c>
      <c r="C16887" s="242">
        <v>13</v>
      </c>
      <c r="D16887" s="270">
        <f t="shared" si="2692"/>
        <v>46035</v>
      </c>
      <c r="E16887" s="279">
        <f t="shared" si="2693"/>
        <v>46035</v>
      </c>
      <c r="F16887" s="478"/>
      <c r="G16887" s="243" t="s">
        <v>94</v>
      </c>
      <c r="H16887" s="243"/>
      <c r="I16887" s="263" t="s">
        <v>348</v>
      </c>
      <c r="J16887" s="244" t="s">
        <v>47</v>
      </c>
      <c r="K16887" s="245"/>
      <c r="L16887" s="245">
        <f>K16886</f>
        <v>13411.912536221624</v>
      </c>
      <c r="M16887" s="170">
        <v>636.25496747042166</v>
      </c>
    </row>
    <row r="16888" spans="1:14" x14ac:dyDescent="0.2">
      <c r="A16888" s="246">
        <v>2026</v>
      </c>
      <c r="B16888" s="238">
        <v>1</v>
      </c>
      <c r="C16888" s="238">
        <v>13</v>
      </c>
      <c r="D16888" s="270">
        <f t="shared" si="2692"/>
        <v>46035</v>
      </c>
      <c r="E16888" s="279">
        <f t="shared" si="2693"/>
        <v>46035</v>
      </c>
      <c r="F16888" s="482" t="s">
        <v>138</v>
      </c>
      <c r="G16888" s="247" t="s">
        <v>94</v>
      </c>
      <c r="H16888" s="247"/>
      <c r="I16888" s="248" t="s">
        <v>348</v>
      </c>
      <c r="J16888" s="249" t="s">
        <v>100</v>
      </c>
      <c r="K16888" s="250">
        <f>M16887</f>
        <v>636.25496747042166</v>
      </c>
      <c r="L16888" s="252"/>
    </row>
    <row r="16889" spans="1:14" x14ac:dyDescent="0.2">
      <c r="A16889" s="242">
        <v>2026</v>
      </c>
      <c r="B16889" s="242">
        <v>1</v>
      </c>
      <c r="C16889" s="242">
        <v>13</v>
      </c>
      <c r="D16889" s="321">
        <f t="shared" si="2692"/>
        <v>46035</v>
      </c>
      <c r="E16889" s="322">
        <f t="shared" si="2693"/>
        <v>46035</v>
      </c>
      <c r="F16889" s="478"/>
      <c r="G16889" s="243" t="s">
        <v>94</v>
      </c>
      <c r="H16889" s="243"/>
      <c r="I16889" s="263" t="s">
        <v>348</v>
      </c>
      <c r="J16889" s="244" t="s">
        <v>48</v>
      </c>
      <c r="K16889" s="245"/>
      <c r="L16889" s="245">
        <f>K16888</f>
        <v>636.25496747042166</v>
      </c>
    </row>
    <row r="16890" spans="1:14" x14ac:dyDescent="0.2">
      <c r="A16890" s="168">
        <v>2026</v>
      </c>
      <c r="B16890" s="133">
        <v>1</v>
      </c>
      <c r="C16890" s="168">
        <v>14</v>
      </c>
      <c r="D16890" s="141">
        <f t="shared" si="2692"/>
        <v>46036</v>
      </c>
      <c r="E16890" s="275">
        <f t="shared" si="2693"/>
        <v>46036</v>
      </c>
      <c r="F16890" s="481" t="s">
        <v>2160</v>
      </c>
      <c r="G16890" s="174" t="s">
        <v>94</v>
      </c>
      <c r="H16890" s="174"/>
      <c r="I16890" s="148" t="s">
        <v>348</v>
      </c>
      <c r="J16890" s="149" t="s">
        <v>52</v>
      </c>
      <c r="K16890" s="218">
        <v>2121</v>
      </c>
      <c r="L16890" s="218"/>
    </row>
    <row r="16891" spans="1:14" x14ac:dyDescent="0.2">
      <c r="A16891" s="163">
        <v>2026</v>
      </c>
      <c r="B16891" s="163">
        <v>1</v>
      </c>
      <c r="C16891" s="163">
        <v>14</v>
      </c>
      <c r="D16891" s="141">
        <f t="shared" si="2692"/>
        <v>46036</v>
      </c>
      <c r="E16891" s="275">
        <f t="shared" si="2693"/>
        <v>46036</v>
      </c>
      <c r="F16891" s="480"/>
      <c r="G16891" s="221" t="s">
        <v>94</v>
      </c>
      <c r="H16891" s="221"/>
      <c r="I16891" s="145" t="s">
        <v>348</v>
      </c>
      <c r="J16891" s="146" t="s">
        <v>168</v>
      </c>
      <c r="K16891" s="219"/>
      <c r="L16891" s="219">
        <f>K16890</f>
        <v>2121</v>
      </c>
    </row>
    <row r="16892" spans="1:14" ht="11.25" customHeight="1" x14ac:dyDescent="0.2">
      <c r="A16892" s="168">
        <v>2026</v>
      </c>
      <c r="B16892" s="133">
        <v>1</v>
      </c>
      <c r="C16892" s="168">
        <v>14</v>
      </c>
      <c r="D16892" s="141">
        <f t="shared" si="2692"/>
        <v>46036</v>
      </c>
      <c r="E16892" s="275">
        <f t="shared" si="2693"/>
        <v>46036</v>
      </c>
      <c r="F16892" s="479" t="s">
        <v>2116</v>
      </c>
      <c r="G16892" s="220" t="s">
        <v>74</v>
      </c>
      <c r="H16892" s="220"/>
      <c r="I16892" s="142"/>
      <c r="J16892" s="143" t="s">
        <v>147</v>
      </c>
      <c r="K16892" s="226">
        <v>1377732.7</v>
      </c>
      <c r="L16892" s="226"/>
    </row>
    <row r="16893" spans="1:14" x14ac:dyDescent="0.2">
      <c r="A16893" s="163">
        <v>2026</v>
      </c>
      <c r="B16893" s="163">
        <v>1</v>
      </c>
      <c r="C16893" s="163">
        <v>14</v>
      </c>
      <c r="D16893" s="280">
        <f t="shared" si="2692"/>
        <v>46036</v>
      </c>
      <c r="E16893" s="281">
        <f t="shared" si="2693"/>
        <v>46036</v>
      </c>
      <c r="F16893" s="480"/>
      <c r="G16893" s="221" t="s">
        <v>74</v>
      </c>
      <c r="H16893" s="221"/>
      <c r="I16893" s="145"/>
      <c r="J16893" s="146" t="s">
        <v>52</v>
      </c>
      <c r="K16893" s="219"/>
      <c r="L16893" s="219">
        <f>K16892</f>
        <v>1377732.7</v>
      </c>
      <c r="N16893" s="264"/>
    </row>
    <row r="16894" spans="1:14" ht="11.25" customHeight="1" x14ac:dyDescent="0.2">
      <c r="A16894" s="168">
        <v>2026</v>
      </c>
      <c r="B16894" s="168">
        <v>1</v>
      </c>
      <c r="C16894" s="133">
        <v>14</v>
      </c>
      <c r="D16894" s="141">
        <f t="shared" ref="D16894:D16899" si="2694">DATE(A16894,B16894,C16894)</f>
        <v>46036</v>
      </c>
      <c r="E16894" s="275">
        <f t="shared" ref="E16894:E16899" si="2695">DATE(A16894,B16894,C16894)</f>
        <v>46036</v>
      </c>
      <c r="F16894" s="479" t="s">
        <v>964</v>
      </c>
      <c r="G16894" s="220" t="s">
        <v>74</v>
      </c>
      <c r="H16894" s="142"/>
      <c r="I16894" s="142"/>
      <c r="J16894" s="168" t="s">
        <v>52</v>
      </c>
      <c r="K16894" s="226">
        <v>2914</v>
      </c>
      <c r="L16894" s="226"/>
    </row>
    <row r="16895" spans="1:14" ht="11.25" customHeight="1" x14ac:dyDescent="0.2">
      <c r="A16895" s="133">
        <v>2026</v>
      </c>
      <c r="B16895" s="133">
        <v>1</v>
      </c>
      <c r="C16895" s="133">
        <v>14</v>
      </c>
      <c r="D16895" s="141">
        <f t="shared" si="2694"/>
        <v>46036</v>
      </c>
      <c r="E16895" s="275">
        <f t="shared" si="2695"/>
        <v>46036</v>
      </c>
      <c r="F16895" s="481"/>
      <c r="G16895" s="174" t="s">
        <v>74</v>
      </c>
      <c r="J16895" s="133" t="s">
        <v>13</v>
      </c>
      <c r="K16895" s="218"/>
      <c r="L16895" s="218">
        <v>2080</v>
      </c>
    </row>
    <row r="16896" spans="1:14" ht="11.25" customHeight="1" x14ac:dyDescent="0.2">
      <c r="A16896" s="163">
        <v>2026</v>
      </c>
      <c r="B16896" s="163">
        <v>1</v>
      </c>
      <c r="C16896" s="163">
        <v>14</v>
      </c>
      <c r="D16896" s="280">
        <f t="shared" si="2694"/>
        <v>46036</v>
      </c>
      <c r="E16896" s="281">
        <f t="shared" si="2695"/>
        <v>46036</v>
      </c>
      <c r="F16896" s="480"/>
      <c r="G16896" s="221" t="s">
        <v>74</v>
      </c>
      <c r="H16896" s="145"/>
      <c r="I16896" s="145"/>
      <c r="J16896" s="163" t="s">
        <v>53</v>
      </c>
      <c r="K16896" s="219"/>
      <c r="L16896" s="219">
        <v>834</v>
      </c>
    </row>
    <row r="16897" spans="1:14" ht="11.25" customHeight="1" x14ac:dyDescent="0.2">
      <c r="A16897" s="168">
        <v>2026</v>
      </c>
      <c r="B16897" s="168">
        <v>1</v>
      </c>
      <c r="C16897" s="133">
        <v>14</v>
      </c>
      <c r="D16897" s="141">
        <f t="shared" si="2694"/>
        <v>46036</v>
      </c>
      <c r="E16897" s="275">
        <f t="shared" si="2695"/>
        <v>46036</v>
      </c>
      <c r="F16897" s="479" t="s">
        <v>1319</v>
      </c>
      <c r="G16897" s="220" t="s">
        <v>74</v>
      </c>
      <c r="H16897" s="142"/>
      <c r="I16897" s="142"/>
      <c r="J16897" s="168" t="s">
        <v>52</v>
      </c>
      <c r="K16897" s="226">
        <v>1000</v>
      </c>
      <c r="L16897" s="226"/>
    </row>
    <row r="16898" spans="1:14" ht="11.25" customHeight="1" x14ac:dyDescent="0.2">
      <c r="A16898" s="133">
        <v>2026</v>
      </c>
      <c r="B16898" s="133">
        <v>1</v>
      </c>
      <c r="C16898" s="133">
        <v>14</v>
      </c>
      <c r="D16898" s="141">
        <f t="shared" si="2694"/>
        <v>46036</v>
      </c>
      <c r="E16898" s="275">
        <f t="shared" si="2695"/>
        <v>46036</v>
      </c>
      <c r="F16898" s="481"/>
      <c r="G16898" s="174" t="s">
        <v>74</v>
      </c>
      <c r="J16898" s="133" t="s">
        <v>13</v>
      </c>
      <c r="K16898" s="218"/>
      <c r="L16898" s="218">
        <v>710</v>
      </c>
    </row>
    <row r="16899" spans="1:14" ht="11.25" customHeight="1" x14ac:dyDescent="0.2">
      <c r="A16899" s="163">
        <v>2026</v>
      </c>
      <c r="B16899" s="163">
        <v>1</v>
      </c>
      <c r="C16899" s="163">
        <v>14</v>
      </c>
      <c r="D16899" s="280">
        <f t="shared" si="2694"/>
        <v>46036</v>
      </c>
      <c r="E16899" s="281">
        <f t="shared" si="2695"/>
        <v>46036</v>
      </c>
      <c r="F16899" s="480"/>
      <c r="G16899" s="221" t="s">
        <v>74</v>
      </c>
      <c r="H16899" s="145"/>
      <c r="I16899" s="145"/>
      <c r="J16899" s="163" t="s">
        <v>53</v>
      </c>
      <c r="K16899" s="219"/>
      <c r="L16899" s="219">
        <v>290</v>
      </c>
    </row>
    <row r="16900" spans="1:14" x14ac:dyDescent="0.2">
      <c r="A16900" s="133">
        <v>2026</v>
      </c>
      <c r="B16900" s="133">
        <v>1</v>
      </c>
      <c r="C16900" s="168">
        <v>14</v>
      </c>
      <c r="D16900" s="141">
        <f t="shared" ref="D16900:D16918" si="2696">DATE(A16900,B16900,C16900)</f>
        <v>46036</v>
      </c>
      <c r="E16900" s="275">
        <f t="shared" ref="E16900:E16918" si="2697">DATE(A16900,B16900,C16900)</f>
        <v>46036</v>
      </c>
      <c r="F16900" s="481" t="s">
        <v>2115</v>
      </c>
      <c r="G16900" s="174" t="s">
        <v>94</v>
      </c>
      <c r="H16900" s="174"/>
      <c r="J16900" s="149" t="s">
        <v>79</v>
      </c>
      <c r="K16900" s="218">
        <v>655830</v>
      </c>
      <c r="L16900" s="218"/>
      <c r="M16900" s="160"/>
    </row>
    <row r="16901" spans="1:14" x14ac:dyDescent="0.2">
      <c r="A16901" s="133">
        <v>2026</v>
      </c>
      <c r="B16901" s="133">
        <v>1</v>
      </c>
      <c r="C16901" s="133">
        <v>14</v>
      </c>
      <c r="D16901" s="141">
        <f t="shared" si="2696"/>
        <v>46036</v>
      </c>
      <c r="E16901" s="275">
        <f t="shared" si="2697"/>
        <v>46036</v>
      </c>
      <c r="F16901" s="481"/>
      <c r="G16901" s="174" t="s">
        <v>94</v>
      </c>
      <c r="H16901" s="174"/>
      <c r="J16901" s="149" t="s">
        <v>80</v>
      </c>
      <c r="K16901" s="218">
        <v>2814.17</v>
      </c>
      <c r="L16901" s="264"/>
      <c r="M16901" s="264"/>
      <c r="N16901" s="264"/>
    </row>
    <row r="16902" spans="1:14" x14ac:dyDescent="0.2">
      <c r="A16902" s="133">
        <v>2026</v>
      </c>
      <c r="B16902" s="133">
        <v>1</v>
      </c>
      <c r="C16902" s="133">
        <v>14</v>
      </c>
      <c r="D16902" s="141">
        <f t="shared" si="2696"/>
        <v>46036</v>
      </c>
      <c r="E16902" s="275">
        <f t="shared" si="2697"/>
        <v>46036</v>
      </c>
      <c r="F16902" s="481"/>
      <c r="G16902" s="174" t="s">
        <v>94</v>
      </c>
      <c r="H16902" s="174"/>
      <c r="J16902" s="149" t="s">
        <v>190</v>
      </c>
      <c r="K16902" s="218">
        <v>248955.83</v>
      </c>
      <c r="L16902" s="218"/>
      <c r="M16902" s="264"/>
    </row>
    <row r="16903" spans="1:14" x14ac:dyDescent="0.2">
      <c r="A16903" s="133">
        <v>2026</v>
      </c>
      <c r="B16903" s="133">
        <v>1</v>
      </c>
      <c r="C16903" s="133">
        <v>14</v>
      </c>
      <c r="D16903" s="141">
        <f t="shared" si="2696"/>
        <v>46036</v>
      </c>
      <c r="E16903" s="275">
        <f t="shared" si="2697"/>
        <v>46036</v>
      </c>
      <c r="F16903" s="481"/>
      <c r="G16903" s="174" t="s">
        <v>94</v>
      </c>
      <c r="H16903" s="174"/>
      <c r="J16903" s="149" t="s">
        <v>191</v>
      </c>
      <c r="K16903" s="218"/>
      <c r="L16903" s="218">
        <v>56850.29</v>
      </c>
    </row>
    <row r="16904" spans="1:14" x14ac:dyDescent="0.2">
      <c r="A16904" s="163">
        <v>2026</v>
      </c>
      <c r="B16904" s="163">
        <v>1</v>
      </c>
      <c r="C16904" s="163">
        <v>14</v>
      </c>
      <c r="D16904" s="280">
        <f t="shared" si="2696"/>
        <v>46036</v>
      </c>
      <c r="E16904" s="281">
        <f t="shared" si="2697"/>
        <v>46036</v>
      </c>
      <c r="F16904" s="480"/>
      <c r="G16904" s="221" t="s">
        <v>94</v>
      </c>
      <c r="H16904" s="145"/>
      <c r="I16904" s="145"/>
      <c r="J16904" s="163" t="s">
        <v>79</v>
      </c>
      <c r="K16904" s="219"/>
      <c r="L16904" s="219">
        <v>850749.71</v>
      </c>
      <c r="M16904" s="264"/>
    </row>
    <row r="16905" spans="1:14" x14ac:dyDescent="0.2">
      <c r="A16905" s="325">
        <v>2026</v>
      </c>
      <c r="B16905" s="325">
        <v>1</v>
      </c>
      <c r="C16905" s="325">
        <v>14</v>
      </c>
      <c r="D16905" s="326">
        <f t="shared" si="2696"/>
        <v>46036</v>
      </c>
      <c r="E16905" s="327">
        <f t="shared" si="2697"/>
        <v>46036</v>
      </c>
      <c r="F16905" s="473" t="s">
        <v>1940</v>
      </c>
      <c r="G16905" s="340" t="s">
        <v>94</v>
      </c>
      <c r="H16905" s="340"/>
      <c r="I16905" s="341" t="s">
        <v>348</v>
      </c>
      <c r="J16905" s="374" t="s">
        <v>133</v>
      </c>
      <c r="K16905" s="375">
        <v>2104.17</v>
      </c>
      <c r="L16905" s="375"/>
      <c r="M16905" s="176"/>
    </row>
    <row r="16906" spans="1:14" x14ac:dyDescent="0.2">
      <c r="A16906" s="331">
        <v>2026</v>
      </c>
      <c r="B16906" s="331">
        <v>1</v>
      </c>
      <c r="C16906" s="331">
        <v>14</v>
      </c>
      <c r="D16906" s="326">
        <f t="shared" si="2696"/>
        <v>46036</v>
      </c>
      <c r="E16906" s="327">
        <f t="shared" si="2697"/>
        <v>46036</v>
      </c>
      <c r="F16906" s="474"/>
      <c r="G16906" s="332" t="s">
        <v>94</v>
      </c>
      <c r="H16906" s="332"/>
      <c r="I16906" s="333" t="s">
        <v>348</v>
      </c>
      <c r="J16906" s="376" t="s">
        <v>2153</v>
      </c>
      <c r="K16906" s="334"/>
      <c r="L16906" s="334">
        <f>K16905</f>
        <v>2104.17</v>
      </c>
    </row>
    <row r="16907" spans="1:14" x14ac:dyDescent="0.2">
      <c r="A16907" s="325">
        <v>2026</v>
      </c>
      <c r="B16907" s="325">
        <v>1</v>
      </c>
      <c r="C16907" s="325">
        <v>14</v>
      </c>
      <c r="D16907" s="326">
        <f t="shared" si="2696"/>
        <v>46036</v>
      </c>
      <c r="E16907" s="327">
        <f t="shared" si="2697"/>
        <v>46036</v>
      </c>
      <c r="F16907" s="473" t="s">
        <v>2131</v>
      </c>
      <c r="G16907" s="340" t="s">
        <v>94</v>
      </c>
      <c r="H16907" s="340"/>
      <c r="I16907" s="341" t="s">
        <v>348</v>
      </c>
      <c r="J16907" s="374" t="s">
        <v>2156</v>
      </c>
      <c r="K16907" s="375">
        <v>6185.4395604395604</v>
      </c>
      <c r="L16907" s="375"/>
      <c r="M16907" s="176"/>
    </row>
    <row r="16908" spans="1:14" x14ac:dyDescent="0.2">
      <c r="A16908" s="331">
        <v>2026</v>
      </c>
      <c r="B16908" s="331">
        <v>1</v>
      </c>
      <c r="C16908" s="331">
        <v>14</v>
      </c>
      <c r="D16908" s="326">
        <f t="shared" si="2696"/>
        <v>46036</v>
      </c>
      <c r="E16908" s="327">
        <f t="shared" si="2697"/>
        <v>46036</v>
      </c>
      <c r="F16908" s="474"/>
      <c r="G16908" s="332" t="s">
        <v>94</v>
      </c>
      <c r="H16908" s="332"/>
      <c r="I16908" s="333" t="s">
        <v>348</v>
      </c>
      <c r="J16908" s="376" t="s">
        <v>2154</v>
      </c>
      <c r="K16908" s="334"/>
      <c r="L16908" s="334">
        <f>K16907</f>
        <v>6185.4395604395604</v>
      </c>
    </row>
    <row r="16909" spans="1:14" x14ac:dyDescent="0.2">
      <c r="A16909" s="384">
        <v>2026</v>
      </c>
      <c r="B16909" s="384">
        <v>1</v>
      </c>
      <c r="C16909" s="384">
        <v>14</v>
      </c>
      <c r="D16909" s="385">
        <f t="shared" si="2696"/>
        <v>46036</v>
      </c>
      <c r="E16909" s="386">
        <f t="shared" si="2697"/>
        <v>46036</v>
      </c>
      <c r="F16909" s="475" t="s">
        <v>1966</v>
      </c>
      <c r="G16909" s="387" t="s">
        <v>94</v>
      </c>
      <c r="H16909" s="387"/>
      <c r="I16909" s="388" t="s">
        <v>348</v>
      </c>
      <c r="J16909" s="389" t="s">
        <v>67</v>
      </c>
      <c r="K16909" s="390">
        <v>379.41078541666667</v>
      </c>
      <c r="L16909" s="390"/>
    </row>
    <row r="16910" spans="1:14" x14ac:dyDescent="0.2">
      <c r="A16910" s="391">
        <v>2026</v>
      </c>
      <c r="B16910" s="391">
        <v>1</v>
      </c>
      <c r="C16910" s="391">
        <v>14</v>
      </c>
      <c r="D16910" s="385">
        <f t="shared" si="2696"/>
        <v>46036</v>
      </c>
      <c r="E16910" s="386">
        <f t="shared" si="2697"/>
        <v>46036</v>
      </c>
      <c r="F16910" s="476"/>
      <c r="G16910" s="392" t="s">
        <v>94</v>
      </c>
      <c r="H16910" s="392"/>
      <c r="I16910" s="393" t="s">
        <v>348</v>
      </c>
      <c r="J16910" s="394" t="s">
        <v>2155</v>
      </c>
      <c r="K16910" s="395"/>
      <c r="L16910" s="395">
        <f>K16909</f>
        <v>379.41078541666667</v>
      </c>
    </row>
    <row r="16911" spans="1:14" x14ac:dyDescent="0.2">
      <c r="A16911" s="238">
        <v>2026</v>
      </c>
      <c r="B16911" s="238">
        <v>1</v>
      </c>
      <c r="C16911" s="238">
        <v>14</v>
      </c>
      <c r="D16911" s="270">
        <f t="shared" si="2696"/>
        <v>46036</v>
      </c>
      <c r="E16911" s="279">
        <f t="shared" si="2697"/>
        <v>46036</v>
      </c>
      <c r="F16911" s="477" t="s">
        <v>347</v>
      </c>
      <c r="G16911" s="239" t="s">
        <v>94</v>
      </c>
      <c r="H16911" s="239"/>
      <c r="I16911" s="262" t="s">
        <v>348</v>
      </c>
      <c r="J16911" s="240" t="s">
        <v>108</v>
      </c>
      <c r="K16911" s="241">
        <v>478477.80999997258</v>
      </c>
      <c r="L16911" s="241"/>
      <c r="M16911" s="160"/>
    </row>
    <row r="16912" spans="1:14" x14ac:dyDescent="0.2">
      <c r="A16912" s="242">
        <v>2026</v>
      </c>
      <c r="B16912" s="242">
        <v>1</v>
      </c>
      <c r="C16912" s="242">
        <v>14</v>
      </c>
      <c r="D16912" s="270">
        <f t="shared" si="2696"/>
        <v>46036</v>
      </c>
      <c r="E16912" s="279">
        <f t="shared" si="2697"/>
        <v>46036</v>
      </c>
      <c r="F16912" s="478"/>
      <c r="G16912" s="243" t="s">
        <v>94</v>
      </c>
      <c r="H16912" s="243"/>
      <c r="I16912" s="263" t="s">
        <v>348</v>
      </c>
      <c r="J16912" s="244" t="s">
        <v>82</v>
      </c>
      <c r="K16912" s="245"/>
      <c r="L16912" s="245">
        <f>K16911</f>
        <v>478477.80999997258</v>
      </c>
    </row>
    <row r="16913" spans="1:14" ht="12" customHeight="1" x14ac:dyDescent="0.2">
      <c r="A16913" s="246">
        <v>2026</v>
      </c>
      <c r="B16913" s="238">
        <v>1</v>
      </c>
      <c r="C16913" s="238">
        <v>14</v>
      </c>
      <c r="D16913" s="270">
        <f t="shared" si="2696"/>
        <v>46036</v>
      </c>
      <c r="E16913" s="279">
        <f t="shared" si="2697"/>
        <v>46036</v>
      </c>
      <c r="F16913" s="482" t="s">
        <v>148</v>
      </c>
      <c r="G16913" s="247" t="s">
        <v>94</v>
      </c>
      <c r="H16913" s="247"/>
      <c r="I16913" s="248" t="s">
        <v>348</v>
      </c>
      <c r="J16913" s="249" t="s">
        <v>95</v>
      </c>
      <c r="K16913" s="250">
        <v>392.46467817896388</v>
      </c>
      <c r="L16913" s="241"/>
      <c r="M16913" s="176"/>
    </row>
    <row r="16914" spans="1:14" x14ac:dyDescent="0.2">
      <c r="A16914" s="242">
        <v>2026</v>
      </c>
      <c r="B16914" s="242">
        <v>1</v>
      </c>
      <c r="C16914" s="242">
        <v>14</v>
      </c>
      <c r="D16914" s="270">
        <f t="shared" si="2696"/>
        <v>46036</v>
      </c>
      <c r="E16914" s="279">
        <f t="shared" si="2697"/>
        <v>46036</v>
      </c>
      <c r="F16914" s="478"/>
      <c r="G16914" s="243" t="s">
        <v>94</v>
      </c>
      <c r="H16914" s="243"/>
      <c r="I16914" s="263" t="s">
        <v>348</v>
      </c>
      <c r="J16914" s="244" t="s">
        <v>63</v>
      </c>
      <c r="K16914" s="245"/>
      <c r="L16914" s="245">
        <f>K16913</f>
        <v>392.46467817896388</v>
      </c>
    </row>
    <row r="16915" spans="1:14" x14ac:dyDescent="0.2">
      <c r="A16915" s="246">
        <v>2026</v>
      </c>
      <c r="B16915" s="238">
        <v>1</v>
      </c>
      <c r="C16915" s="238">
        <v>14</v>
      </c>
      <c r="D16915" s="270">
        <f t="shared" si="2696"/>
        <v>46036</v>
      </c>
      <c r="E16915" s="279">
        <f t="shared" si="2697"/>
        <v>46036</v>
      </c>
      <c r="F16915" s="482" t="s">
        <v>137</v>
      </c>
      <c r="G16915" s="247" t="s">
        <v>94</v>
      </c>
      <c r="H16915" s="247"/>
      <c r="I16915" s="248" t="s">
        <v>348</v>
      </c>
      <c r="J16915" s="249" t="s">
        <v>97</v>
      </c>
      <c r="K16915" s="250">
        <f>M16915</f>
        <v>13441.179366889972</v>
      </c>
      <c r="L16915" s="252"/>
      <c r="M16915" s="170">
        <v>13441.179366889972</v>
      </c>
    </row>
    <row r="16916" spans="1:14" x14ac:dyDescent="0.2">
      <c r="A16916" s="242">
        <v>2026</v>
      </c>
      <c r="B16916" s="242">
        <v>1</v>
      </c>
      <c r="C16916" s="242">
        <v>14</v>
      </c>
      <c r="D16916" s="270">
        <f t="shared" si="2696"/>
        <v>46036</v>
      </c>
      <c r="E16916" s="279">
        <f t="shared" si="2697"/>
        <v>46036</v>
      </c>
      <c r="F16916" s="478"/>
      <c r="G16916" s="243" t="s">
        <v>94</v>
      </c>
      <c r="H16916" s="243"/>
      <c r="I16916" s="263" t="s">
        <v>348</v>
      </c>
      <c r="J16916" s="244" t="s">
        <v>47</v>
      </c>
      <c r="K16916" s="245"/>
      <c r="L16916" s="245">
        <f>K16915</f>
        <v>13441.179366889972</v>
      </c>
      <c r="M16916" s="170">
        <v>637.71830900383907</v>
      </c>
    </row>
    <row r="16917" spans="1:14" x14ac:dyDescent="0.2">
      <c r="A16917" s="246">
        <v>2026</v>
      </c>
      <c r="B16917" s="238">
        <v>1</v>
      </c>
      <c r="C16917" s="238">
        <v>14</v>
      </c>
      <c r="D16917" s="270">
        <f t="shared" si="2696"/>
        <v>46036</v>
      </c>
      <c r="E16917" s="279">
        <f t="shared" si="2697"/>
        <v>46036</v>
      </c>
      <c r="F16917" s="482" t="s">
        <v>138</v>
      </c>
      <c r="G16917" s="247" t="s">
        <v>94</v>
      </c>
      <c r="H16917" s="247"/>
      <c r="I16917" s="248" t="s">
        <v>348</v>
      </c>
      <c r="J16917" s="249" t="s">
        <v>100</v>
      </c>
      <c r="K16917" s="250">
        <f>M16916</f>
        <v>637.71830900383907</v>
      </c>
      <c r="L16917" s="252"/>
    </row>
    <row r="16918" spans="1:14" x14ac:dyDescent="0.2">
      <c r="A16918" s="242">
        <v>2026</v>
      </c>
      <c r="B16918" s="242">
        <v>1</v>
      </c>
      <c r="C16918" s="242">
        <v>14</v>
      </c>
      <c r="D16918" s="321">
        <f t="shared" si="2696"/>
        <v>46036</v>
      </c>
      <c r="E16918" s="322">
        <f t="shared" si="2697"/>
        <v>46036</v>
      </c>
      <c r="F16918" s="478"/>
      <c r="G16918" s="243" t="s">
        <v>94</v>
      </c>
      <c r="H16918" s="243"/>
      <c r="I16918" s="263" t="s">
        <v>348</v>
      </c>
      <c r="J16918" s="244" t="s">
        <v>48</v>
      </c>
      <c r="K16918" s="245"/>
      <c r="L16918" s="245">
        <f>K16917</f>
        <v>637.71830900383907</v>
      </c>
    </row>
    <row r="16919" spans="1:14" ht="11.25" customHeight="1" x14ac:dyDescent="0.2">
      <c r="A16919" s="168">
        <v>2026</v>
      </c>
      <c r="B16919" s="168">
        <v>1</v>
      </c>
      <c r="C16919" s="133">
        <v>15</v>
      </c>
      <c r="D16919" s="141">
        <f>DATE(A16919,B16919,C16919)</f>
        <v>46037</v>
      </c>
      <c r="E16919" s="275">
        <f>DATE(A16919,B16919,C16919)</f>
        <v>46037</v>
      </c>
      <c r="F16919" s="479" t="s">
        <v>1319</v>
      </c>
      <c r="G16919" s="220" t="s">
        <v>74</v>
      </c>
      <c r="H16919" s="142"/>
      <c r="I16919" s="142"/>
      <c r="J16919" s="168" t="s">
        <v>52</v>
      </c>
      <c r="K16919" s="226">
        <v>2000</v>
      </c>
      <c r="L16919" s="226"/>
    </row>
    <row r="16920" spans="1:14" ht="11.25" customHeight="1" x14ac:dyDescent="0.2">
      <c r="A16920" s="133">
        <v>2026</v>
      </c>
      <c r="B16920" s="133">
        <v>1</v>
      </c>
      <c r="C16920" s="133">
        <v>15</v>
      </c>
      <c r="D16920" s="141">
        <f>DATE(A16920,B16920,C16920)</f>
        <v>46037</v>
      </c>
      <c r="E16920" s="275">
        <f>DATE(A16920,B16920,C16920)</f>
        <v>46037</v>
      </c>
      <c r="F16920" s="481"/>
      <c r="G16920" s="174" t="s">
        <v>74</v>
      </c>
      <c r="J16920" s="133" t="s">
        <v>13</v>
      </c>
      <c r="K16920" s="218"/>
      <c r="L16920" s="218">
        <v>1430</v>
      </c>
    </row>
    <row r="16921" spans="1:14" ht="11.25" customHeight="1" x14ac:dyDescent="0.2">
      <c r="A16921" s="163">
        <v>2026</v>
      </c>
      <c r="B16921" s="163">
        <v>1</v>
      </c>
      <c r="C16921" s="163">
        <v>15</v>
      </c>
      <c r="D16921" s="280">
        <f>DATE(A16921,B16921,C16921)</f>
        <v>46037</v>
      </c>
      <c r="E16921" s="281">
        <f>DATE(A16921,B16921,C16921)</f>
        <v>46037</v>
      </c>
      <c r="F16921" s="480"/>
      <c r="G16921" s="221" t="s">
        <v>74</v>
      </c>
      <c r="H16921" s="145"/>
      <c r="I16921" s="145"/>
      <c r="J16921" s="163" t="s">
        <v>53</v>
      </c>
      <c r="K16921" s="219"/>
      <c r="L16921" s="219">
        <v>570</v>
      </c>
    </row>
    <row r="16922" spans="1:14" x14ac:dyDescent="0.2">
      <c r="A16922" s="133">
        <v>2026</v>
      </c>
      <c r="B16922" s="133">
        <v>1</v>
      </c>
      <c r="C16922" s="168">
        <v>15</v>
      </c>
      <c r="D16922" s="141">
        <f t="shared" ref="D16922:D16940" si="2698">DATE(A16922,B16922,C16922)</f>
        <v>46037</v>
      </c>
      <c r="E16922" s="275">
        <f t="shared" ref="E16922:E16940" si="2699">DATE(A16922,B16922,C16922)</f>
        <v>46037</v>
      </c>
      <c r="F16922" s="481" t="s">
        <v>2115</v>
      </c>
      <c r="G16922" s="174" t="s">
        <v>94</v>
      </c>
      <c r="H16922" s="174"/>
      <c r="J16922" s="149" t="s">
        <v>79</v>
      </c>
      <c r="K16922" s="218">
        <v>450096.5</v>
      </c>
      <c r="L16922" s="218"/>
      <c r="M16922" s="160"/>
    </row>
    <row r="16923" spans="1:14" x14ac:dyDescent="0.2">
      <c r="A16923" s="133">
        <v>2026</v>
      </c>
      <c r="B16923" s="133">
        <v>1</v>
      </c>
      <c r="C16923" s="133">
        <v>15</v>
      </c>
      <c r="D16923" s="141">
        <f t="shared" si="2698"/>
        <v>46037</v>
      </c>
      <c r="E16923" s="275">
        <f t="shared" si="2699"/>
        <v>46037</v>
      </c>
      <c r="F16923" s="481"/>
      <c r="G16923" s="174" t="s">
        <v>94</v>
      </c>
      <c r="H16923" s="174"/>
      <c r="J16923" s="149" t="s">
        <v>80</v>
      </c>
      <c r="K16923" s="218">
        <v>1383.65</v>
      </c>
      <c r="L16923" s="264"/>
      <c r="M16923" s="264"/>
      <c r="N16923" s="264"/>
    </row>
    <row r="16924" spans="1:14" x14ac:dyDescent="0.2">
      <c r="A16924" s="133">
        <v>2026</v>
      </c>
      <c r="B16924" s="133">
        <v>1</v>
      </c>
      <c r="C16924" s="133">
        <v>15</v>
      </c>
      <c r="D16924" s="141">
        <f t="shared" si="2698"/>
        <v>46037</v>
      </c>
      <c r="E16924" s="275">
        <f t="shared" si="2699"/>
        <v>46037</v>
      </c>
      <c r="F16924" s="481"/>
      <c r="G16924" s="174" t="s">
        <v>94</v>
      </c>
      <c r="H16924" s="174"/>
      <c r="J16924" s="149" t="s">
        <v>147</v>
      </c>
      <c r="K16924" s="218"/>
      <c r="L16924" s="218">
        <v>132880.15</v>
      </c>
      <c r="M16924" s="264"/>
    </row>
    <row r="16925" spans="1:14" x14ac:dyDescent="0.2">
      <c r="A16925" s="133">
        <v>2026</v>
      </c>
      <c r="B16925" s="133">
        <v>1</v>
      </c>
      <c r="C16925" s="133">
        <v>15</v>
      </c>
      <c r="D16925" s="141">
        <f t="shared" si="2698"/>
        <v>46037</v>
      </c>
      <c r="E16925" s="275">
        <f t="shared" si="2699"/>
        <v>46037</v>
      </c>
      <c r="F16925" s="481"/>
      <c r="G16925" s="174" t="s">
        <v>94</v>
      </c>
      <c r="H16925" s="174"/>
      <c r="J16925" s="149" t="s">
        <v>191</v>
      </c>
      <c r="K16925" s="218"/>
      <c r="L16925" s="218">
        <v>18964.5</v>
      </c>
    </row>
    <row r="16926" spans="1:14" x14ac:dyDescent="0.2">
      <c r="A16926" s="163">
        <v>2026</v>
      </c>
      <c r="B16926" s="163">
        <v>1</v>
      </c>
      <c r="C16926" s="163">
        <v>15</v>
      </c>
      <c r="D16926" s="280">
        <f t="shared" si="2698"/>
        <v>46037</v>
      </c>
      <c r="E16926" s="281">
        <f t="shared" si="2699"/>
        <v>46037</v>
      </c>
      <c r="F16926" s="480"/>
      <c r="G16926" s="221" t="s">
        <v>94</v>
      </c>
      <c r="H16926" s="145"/>
      <c r="I16926" s="145"/>
      <c r="J16926" s="163" t="s">
        <v>79</v>
      </c>
      <c r="K16926" s="219"/>
      <c r="L16926" s="219">
        <v>299635.5</v>
      </c>
      <c r="M16926" s="264"/>
    </row>
    <row r="16927" spans="1:14" x14ac:dyDescent="0.2">
      <c r="A16927" s="325">
        <v>2026</v>
      </c>
      <c r="B16927" s="325">
        <v>1</v>
      </c>
      <c r="C16927" s="325">
        <v>15</v>
      </c>
      <c r="D16927" s="326">
        <f t="shared" si="2698"/>
        <v>46037</v>
      </c>
      <c r="E16927" s="327">
        <f t="shared" si="2699"/>
        <v>46037</v>
      </c>
      <c r="F16927" s="473" t="s">
        <v>1940</v>
      </c>
      <c r="G16927" s="340" t="s">
        <v>94</v>
      </c>
      <c r="H16927" s="340"/>
      <c r="I16927" s="341" t="s">
        <v>348</v>
      </c>
      <c r="J16927" s="374" t="s">
        <v>133</v>
      </c>
      <c r="K16927" s="375">
        <v>2104.17</v>
      </c>
      <c r="L16927" s="375"/>
      <c r="M16927" s="176"/>
    </row>
    <row r="16928" spans="1:14" x14ac:dyDescent="0.2">
      <c r="A16928" s="331">
        <v>2026</v>
      </c>
      <c r="B16928" s="331">
        <v>1</v>
      </c>
      <c r="C16928" s="331">
        <v>15</v>
      </c>
      <c r="D16928" s="326">
        <f t="shared" si="2698"/>
        <v>46037</v>
      </c>
      <c r="E16928" s="327">
        <f t="shared" si="2699"/>
        <v>46037</v>
      </c>
      <c r="F16928" s="474"/>
      <c r="G16928" s="332" t="s">
        <v>94</v>
      </c>
      <c r="H16928" s="332"/>
      <c r="I16928" s="333" t="s">
        <v>348</v>
      </c>
      <c r="J16928" s="376" t="s">
        <v>2153</v>
      </c>
      <c r="K16928" s="334"/>
      <c r="L16928" s="334">
        <f>K16927</f>
        <v>2104.17</v>
      </c>
    </row>
    <row r="16929" spans="1:13" x14ac:dyDescent="0.2">
      <c r="A16929" s="325">
        <v>2026</v>
      </c>
      <c r="B16929" s="325">
        <v>1</v>
      </c>
      <c r="C16929" s="325">
        <v>15</v>
      </c>
      <c r="D16929" s="326">
        <f t="shared" si="2698"/>
        <v>46037</v>
      </c>
      <c r="E16929" s="327">
        <f t="shared" si="2699"/>
        <v>46037</v>
      </c>
      <c r="F16929" s="473" t="s">
        <v>2131</v>
      </c>
      <c r="G16929" s="340" t="s">
        <v>94</v>
      </c>
      <c r="H16929" s="340"/>
      <c r="I16929" s="341" t="s">
        <v>348</v>
      </c>
      <c r="J16929" s="374" t="s">
        <v>2156</v>
      </c>
      <c r="K16929" s="375">
        <v>6185.4395604395604</v>
      </c>
      <c r="L16929" s="375"/>
      <c r="M16929" s="176"/>
    </row>
    <row r="16930" spans="1:13" x14ac:dyDescent="0.2">
      <c r="A16930" s="331">
        <v>2026</v>
      </c>
      <c r="B16930" s="331">
        <v>1</v>
      </c>
      <c r="C16930" s="331">
        <v>15</v>
      </c>
      <c r="D16930" s="326">
        <f t="shared" si="2698"/>
        <v>46037</v>
      </c>
      <c r="E16930" s="327">
        <f t="shared" si="2699"/>
        <v>46037</v>
      </c>
      <c r="F16930" s="474"/>
      <c r="G16930" s="332" t="s">
        <v>94</v>
      </c>
      <c r="H16930" s="332"/>
      <c r="I16930" s="333" t="s">
        <v>348</v>
      </c>
      <c r="J16930" s="376" t="s">
        <v>2154</v>
      </c>
      <c r="K16930" s="334"/>
      <c r="L16930" s="334">
        <f>K16929</f>
        <v>6185.4395604395604</v>
      </c>
    </row>
    <row r="16931" spans="1:13" x14ac:dyDescent="0.2">
      <c r="A16931" s="384">
        <v>2026</v>
      </c>
      <c r="B16931" s="384">
        <v>1</v>
      </c>
      <c r="C16931" s="384">
        <v>15</v>
      </c>
      <c r="D16931" s="385">
        <f t="shared" si="2698"/>
        <v>46037</v>
      </c>
      <c r="E16931" s="386">
        <f t="shared" si="2699"/>
        <v>46037</v>
      </c>
      <c r="F16931" s="475" t="s">
        <v>1966</v>
      </c>
      <c r="G16931" s="387" t="s">
        <v>94</v>
      </c>
      <c r="H16931" s="387"/>
      <c r="I16931" s="388" t="s">
        <v>348</v>
      </c>
      <c r="J16931" s="389" t="s">
        <v>67</v>
      </c>
      <c r="K16931" s="390">
        <v>379.41078541666667</v>
      </c>
      <c r="L16931" s="390"/>
    </row>
    <row r="16932" spans="1:13" x14ac:dyDescent="0.2">
      <c r="A16932" s="391">
        <v>2026</v>
      </c>
      <c r="B16932" s="391">
        <v>1</v>
      </c>
      <c r="C16932" s="391">
        <v>15</v>
      </c>
      <c r="D16932" s="385">
        <f t="shared" si="2698"/>
        <v>46037</v>
      </c>
      <c r="E16932" s="386">
        <f t="shared" si="2699"/>
        <v>46037</v>
      </c>
      <c r="F16932" s="476"/>
      <c r="G16932" s="392" t="s">
        <v>94</v>
      </c>
      <c r="H16932" s="392"/>
      <c r="I16932" s="393" t="s">
        <v>348</v>
      </c>
      <c r="J16932" s="394" t="s">
        <v>2155</v>
      </c>
      <c r="K16932" s="395"/>
      <c r="L16932" s="395">
        <f>K16931</f>
        <v>379.41078541666667</v>
      </c>
    </row>
    <row r="16933" spans="1:13" x14ac:dyDescent="0.2">
      <c r="A16933" s="238">
        <v>2026</v>
      </c>
      <c r="B16933" s="238">
        <v>1</v>
      </c>
      <c r="C16933" s="238">
        <v>15</v>
      </c>
      <c r="D16933" s="270">
        <f t="shared" si="2698"/>
        <v>46037</v>
      </c>
      <c r="E16933" s="279">
        <f t="shared" si="2699"/>
        <v>46037</v>
      </c>
      <c r="F16933" s="477" t="s">
        <v>347</v>
      </c>
      <c r="G16933" s="239" t="s">
        <v>94</v>
      </c>
      <c r="H16933" s="239"/>
      <c r="I16933" s="262" t="s">
        <v>348</v>
      </c>
      <c r="J16933" s="240" t="s">
        <v>108</v>
      </c>
      <c r="K16933" s="241">
        <v>52140.700000077486</v>
      </c>
      <c r="L16933" s="241"/>
      <c r="M16933" s="160"/>
    </row>
    <row r="16934" spans="1:13" x14ac:dyDescent="0.2">
      <c r="A16934" s="242">
        <v>2026</v>
      </c>
      <c r="B16934" s="242">
        <v>1</v>
      </c>
      <c r="C16934" s="242">
        <v>15</v>
      </c>
      <c r="D16934" s="270">
        <f t="shared" si="2698"/>
        <v>46037</v>
      </c>
      <c r="E16934" s="279">
        <f t="shared" si="2699"/>
        <v>46037</v>
      </c>
      <c r="F16934" s="478"/>
      <c r="G16934" s="243" t="s">
        <v>94</v>
      </c>
      <c r="H16934" s="243"/>
      <c r="I16934" s="263" t="s">
        <v>348</v>
      </c>
      <c r="J16934" s="244" t="s">
        <v>82</v>
      </c>
      <c r="K16934" s="245"/>
      <c r="L16934" s="245">
        <f>K16933</f>
        <v>52140.700000077486</v>
      </c>
    </row>
    <row r="16935" spans="1:13" ht="12" customHeight="1" x14ac:dyDescent="0.2">
      <c r="A16935" s="246">
        <v>2026</v>
      </c>
      <c r="B16935" s="238">
        <v>1</v>
      </c>
      <c r="C16935" s="238">
        <v>15</v>
      </c>
      <c r="D16935" s="270">
        <f t="shared" si="2698"/>
        <v>46037</v>
      </c>
      <c r="E16935" s="279">
        <f t="shared" si="2699"/>
        <v>46037</v>
      </c>
      <c r="F16935" s="482" t="s">
        <v>148</v>
      </c>
      <c r="G16935" s="247" t="s">
        <v>94</v>
      </c>
      <c r="H16935" s="247"/>
      <c r="I16935" s="248" t="s">
        <v>348</v>
      </c>
      <c r="J16935" s="249" t="s">
        <v>95</v>
      </c>
      <c r="K16935" s="250">
        <v>392.46467817896388</v>
      </c>
      <c r="L16935" s="241"/>
      <c r="M16935" s="176"/>
    </row>
    <row r="16936" spans="1:13" x14ac:dyDescent="0.2">
      <c r="A16936" s="242">
        <v>2026</v>
      </c>
      <c r="B16936" s="242">
        <v>1</v>
      </c>
      <c r="C16936" s="242">
        <v>15</v>
      </c>
      <c r="D16936" s="270">
        <f t="shared" si="2698"/>
        <v>46037</v>
      </c>
      <c r="E16936" s="279">
        <f t="shared" si="2699"/>
        <v>46037</v>
      </c>
      <c r="F16936" s="478"/>
      <c r="G16936" s="243" t="s">
        <v>94</v>
      </c>
      <c r="H16936" s="243"/>
      <c r="I16936" s="263" t="s">
        <v>348</v>
      </c>
      <c r="J16936" s="244" t="s">
        <v>63</v>
      </c>
      <c r="K16936" s="245"/>
      <c r="L16936" s="245">
        <f>K16935</f>
        <v>392.46467817896388</v>
      </c>
    </row>
    <row r="16937" spans="1:13" x14ac:dyDescent="0.2">
      <c r="A16937" s="246">
        <v>2026</v>
      </c>
      <c r="B16937" s="238">
        <v>1</v>
      </c>
      <c r="C16937" s="238">
        <v>15</v>
      </c>
      <c r="D16937" s="270">
        <f t="shared" si="2698"/>
        <v>46037</v>
      </c>
      <c r="E16937" s="279">
        <f t="shared" si="2699"/>
        <v>46037</v>
      </c>
      <c r="F16937" s="482" t="s">
        <v>137</v>
      </c>
      <c r="G16937" s="247" t="s">
        <v>94</v>
      </c>
      <c r="H16937" s="247"/>
      <c r="I16937" s="248" t="s">
        <v>348</v>
      </c>
      <c r="J16937" s="249" t="s">
        <v>97</v>
      </c>
      <c r="K16937" s="250">
        <f>M16937</f>
        <v>13443.663175021387</v>
      </c>
      <c r="L16937" s="252"/>
      <c r="M16937" s="170">
        <v>13443.663175021387</v>
      </c>
    </row>
    <row r="16938" spans="1:13" x14ac:dyDescent="0.2">
      <c r="A16938" s="242">
        <v>2026</v>
      </c>
      <c r="B16938" s="242">
        <v>1</v>
      </c>
      <c r="C16938" s="242">
        <v>15</v>
      </c>
      <c r="D16938" s="270">
        <f t="shared" si="2698"/>
        <v>46037</v>
      </c>
      <c r="E16938" s="279">
        <f t="shared" si="2699"/>
        <v>46037</v>
      </c>
      <c r="F16938" s="478"/>
      <c r="G16938" s="243" t="s">
        <v>94</v>
      </c>
      <c r="H16938" s="243"/>
      <c r="I16938" s="263" t="s">
        <v>348</v>
      </c>
      <c r="J16938" s="244" t="s">
        <v>47</v>
      </c>
      <c r="K16938" s="245"/>
      <c r="L16938" s="245">
        <f>K16937</f>
        <v>13443.663175021387</v>
      </c>
      <c r="M16938" s="170">
        <v>637.84249941041003</v>
      </c>
    </row>
    <row r="16939" spans="1:13" x14ac:dyDescent="0.2">
      <c r="A16939" s="246">
        <v>2026</v>
      </c>
      <c r="B16939" s="238">
        <v>1</v>
      </c>
      <c r="C16939" s="238">
        <v>15</v>
      </c>
      <c r="D16939" s="270">
        <f t="shared" si="2698"/>
        <v>46037</v>
      </c>
      <c r="E16939" s="279">
        <f t="shared" si="2699"/>
        <v>46037</v>
      </c>
      <c r="F16939" s="482" t="s">
        <v>138</v>
      </c>
      <c r="G16939" s="247" t="s">
        <v>94</v>
      </c>
      <c r="H16939" s="247"/>
      <c r="I16939" s="248" t="s">
        <v>348</v>
      </c>
      <c r="J16939" s="249" t="s">
        <v>100</v>
      </c>
      <c r="K16939" s="250">
        <f>M16938</f>
        <v>637.84249941041003</v>
      </c>
      <c r="L16939" s="252"/>
    </row>
    <row r="16940" spans="1:13" x14ac:dyDescent="0.2">
      <c r="A16940" s="242">
        <v>2026</v>
      </c>
      <c r="B16940" s="242">
        <v>1</v>
      </c>
      <c r="C16940" s="242">
        <v>15</v>
      </c>
      <c r="D16940" s="321">
        <f t="shared" si="2698"/>
        <v>46037</v>
      </c>
      <c r="E16940" s="322">
        <f t="shared" si="2699"/>
        <v>46037</v>
      </c>
      <c r="F16940" s="478"/>
      <c r="G16940" s="243" t="s">
        <v>94</v>
      </c>
      <c r="H16940" s="243"/>
      <c r="I16940" s="263" t="s">
        <v>348</v>
      </c>
      <c r="J16940" s="244" t="s">
        <v>48</v>
      </c>
      <c r="K16940" s="245"/>
      <c r="L16940" s="245">
        <f>K16939</f>
        <v>637.84249941041003</v>
      </c>
    </row>
    <row r="16941" spans="1:13" ht="11.25" customHeight="1" x14ac:dyDescent="0.2">
      <c r="A16941" s="168">
        <v>2026</v>
      </c>
      <c r="B16941" s="168">
        <v>1</v>
      </c>
      <c r="C16941" s="133">
        <v>18</v>
      </c>
      <c r="D16941" s="141">
        <f>DATE(A16941,B16941,C16941)</f>
        <v>46040</v>
      </c>
      <c r="E16941" s="275">
        <f>DATE(A16941,B16941,C16941)</f>
        <v>46040</v>
      </c>
      <c r="F16941" s="479" t="s">
        <v>1319</v>
      </c>
      <c r="G16941" s="220" t="s">
        <v>74</v>
      </c>
      <c r="H16941" s="142"/>
      <c r="I16941" s="142"/>
      <c r="J16941" s="168" t="s">
        <v>52</v>
      </c>
      <c r="K16941" s="226">
        <v>3461</v>
      </c>
      <c r="L16941" s="226"/>
    </row>
    <row r="16942" spans="1:13" ht="11.25" customHeight="1" x14ac:dyDescent="0.2">
      <c r="A16942" s="133">
        <v>2026</v>
      </c>
      <c r="B16942" s="133">
        <v>1</v>
      </c>
      <c r="C16942" s="133">
        <v>18</v>
      </c>
      <c r="D16942" s="141">
        <f>DATE(A16942,B16942,C16942)</f>
        <v>46040</v>
      </c>
      <c r="E16942" s="275">
        <f>DATE(A16942,B16942,C16942)</f>
        <v>46040</v>
      </c>
      <c r="F16942" s="481"/>
      <c r="G16942" s="174" t="s">
        <v>74</v>
      </c>
      <c r="J16942" s="133" t="s">
        <v>13</v>
      </c>
      <c r="K16942" s="218"/>
      <c r="L16942" s="218">
        <v>2470</v>
      </c>
    </row>
    <row r="16943" spans="1:13" ht="11.25" customHeight="1" x14ac:dyDescent="0.2">
      <c r="A16943" s="163">
        <v>2026</v>
      </c>
      <c r="B16943" s="163">
        <v>1</v>
      </c>
      <c r="C16943" s="163">
        <v>18</v>
      </c>
      <c r="D16943" s="280">
        <f>DATE(A16943,B16943,C16943)</f>
        <v>46040</v>
      </c>
      <c r="E16943" s="281">
        <f>DATE(A16943,B16943,C16943)</f>
        <v>46040</v>
      </c>
      <c r="F16943" s="480"/>
      <c r="G16943" s="221" t="s">
        <v>74</v>
      </c>
      <c r="H16943" s="145"/>
      <c r="I16943" s="145"/>
      <c r="J16943" s="163" t="s">
        <v>53</v>
      </c>
      <c r="K16943" s="219"/>
      <c r="L16943" s="219">
        <v>991</v>
      </c>
    </row>
    <row r="16944" spans="1:13" x14ac:dyDescent="0.2">
      <c r="A16944" s="163">
        <v>2026</v>
      </c>
      <c r="B16944" s="163">
        <v>1</v>
      </c>
      <c r="C16944" s="163">
        <v>18</v>
      </c>
      <c r="D16944" s="141">
        <f t="shared" ref="D16944:D16947" si="2700">DATE(A16944,B16944,C16944)</f>
        <v>46040</v>
      </c>
      <c r="E16944" s="275">
        <f t="shared" ref="E16944:E16947" si="2701">DATE(A16944,B16944,C16944)</f>
        <v>46040</v>
      </c>
      <c r="F16944" s="481" t="s">
        <v>2161</v>
      </c>
      <c r="G16944" s="174" t="s">
        <v>94</v>
      </c>
      <c r="H16944" s="174"/>
      <c r="I16944" s="148" t="s">
        <v>348</v>
      </c>
      <c r="J16944" s="149" t="s">
        <v>52</v>
      </c>
      <c r="K16944" s="218">
        <v>27.5</v>
      </c>
      <c r="L16944" s="218"/>
    </row>
    <row r="16945" spans="1:14" x14ac:dyDescent="0.2">
      <c r="A16945" s="163">
        <v>2026</v>
      </c>
      <c r="B16945" s="163">
        <v>1</v>
      </c>
      <c r="C16945" s="163">
        <v>18</v>
      </c>
      <c r="D16945" s="141">
        <f t="shared" si="2700"/>
        <v>46040</v>
      </c>
      <c r="E16945" s="275">
        <f t="shared" si="2701"/>
        <v>46040</v>
      </c>
      <c r="F16945" s="480"/>
      <c r="G16945" s="221" t="s">
        <v>94</v>
      </c>
      <c r="H16945" s="221"/>
      <c r="I16945" s="145" t="s">
        <v>348</v>
      </c>
      <c r="J16945" s="146" t="s">
        <v>168</v>
      </c>
      <c r="K16945" s="219"/>
      <c r="L16945" s="219">
        <f>K16944</f>
        <v>27.5</v>
      </c>
    </row>
    <row r="16946" spans="1:14" ht="11.25" customHeight="1" x14ac:dyDescent="0.2">
      <c r="A16946" s="168">
        <v>2026</v>
      </c>
      <c r="B16946" s="133">
        <v>1</v>
      </c>
      <c r="C16946" s="168">
        <v>18</v>
      </c>
      <c r="D16946" s="141">
        <f t="shared" si="2700"/>
        <v>46040</v>
      </c>
      <c r="E16946" s="275">
        <f t="shared" si="2701"/>
        <v>46040</v>
      </c>
      <c r="F16946" s="479" t="s">
        <v>2116</v>
      </c>
      <c r="G16946" s="220" t="s">
        <v>74</v>
      </c>
      <c r="H16946" s="220"/>
      <c r="I16946" s="142"/>
      <c r="J16946" s="143" t="s">
        <v>147</v>
      </c>
      <c r="K16946" s="226">
        <v>592279.07999999996</v>
      </c>
      <c r="L16946" s="226"/>
    </row>
    <row r="16947" spans="1:14" x14ac:dyDescent="0.2">
      <c r="A16947" s="163">
        <v>2026</v>
      </c>
      <c r="B16947" s="163">
        <v>1</v>
      </c>
      <c r="C16947" s="163">
        <v>18</v>
      </c>
      <c r="D16947" s="280">
        <f t="shared" si="2700"/>
        <v>46040</v>
      </c>
      <c r="E16947" s="281">
        <f t="shared" si="2701"/>
        <v>46040</v>
      </c>
      <c r="F16947" s="480"/>
      <c r="G16947" s="221" t="s">
        <v>74</v>
      </c>
      <c r="H16947" s="221"/>
      <c r="I16947" s="145"/>
      <c r="J16947" s="146" t="s">
        <v>52</v>
      </c>
      <c r="K16947" s="219"/>
      <c r="L16947" s="219">
        <f>K16946</f>
        <v>592279.07999999996</v>
      </c>
      <c r="N16947" s="264"/>
    </row>
    <row r="16948" spans="1:14" ht="11.25" customHeight="1" x14ac:dyDescent="0.2">
      <c r="A16948" s="168">
        <v>2026</v>
      </c>
      <c r="B16948" s="133">
        <v>1</v>
      </c>
      <c r="C16948" s="168">
        <v>18</v>
      </c>
      <c r="D16948" s="141">
        <f t="shared" ref="D16948:D16982" si="2702">DATE(A16948,B16948,C16948)</f>
        <v>46040</v>
      </c>
      <c r="E16948" s="275">
        <f t="shared" ref="E16948:E16982" si="2703">DATE(A16948,B16948,C16948)</f>
        <v>46040</v>
      </c>
      <c r="F16948" s="479" t="s">
        <v>2116</v>
      </c>
      <c r="G16948" s="220" t="s">
        <v>74</v>
      </c>
      <c r="H16948" s="220"/>
      <c r="I16948" s="142"/>
      <c r="J16948" s="143" t="s">
        <v>147</v>
      </c>
      <c r="K16948" s="226">
        <v>132880.15</v>
      </c>
      <c r="L16948" s="226"/>
    </row>
    <row r="16949" spans="1:14" x14ac:dyDescent="0.2">
      <c r="A16949" s="163">
        <v>2026</v>
      </c>
      <c r="B16949" s="163">
        <v>1</v>
      </c>
      <c r="C16949" s="163">
        <v>18</v>
      </c>
      <c r="D16949" s="280">
        <f t="shared" si="2702"/>
        <v>46040</v>
      </c>
      <c r="E16949" s="281">
        <f t="shared" si="2703"/>
        <v>46040</v>
      </c>
      <c r="F16949" s="480"/>
      <c r="G16949" s="221" t="s">
        <v>74</v>
      </c>
      <c r="H16949" s="221"/>
      <c r="I16949" s="145"/>
      <c r="J16949" s="146" t="s">
        <v>52</v>
      </c>
      <c r="K16949" s="219"/>
      <c r="L16949" s="219">
        <f>K16948</f>
        <v>132880.15</v>
      </c>
      <c r="N16949" s="264"/>
    </row>
    <row r="16950" spans="1:14" x14ac:dyDescent="0.2">
      <c r="A16950" s="168">
        <v>2026</v>
      </c>
      <c r="B16950" s="133">
        <v>1</v>
      </c>
      <c r="C16950" s="168">
        <v>18</v>
      </c>
      <c r="D16950" s="147">
        <f t="shared" si="2702"/>
        <v>46040</v>
      </c>
      <c r="E16950" s="311">
        <f t="shared" si="2703"/>
        <v>46040</v>
      </c>
      <c r="F16950" s="481" t="s">
        <v>1943</v>
      </c>
      <c r="G16950" s="174" t="s">
        <v>74</v>
      </c>
      <c r="I16950" s="148" t="s">
        <v>348</v>
      </c>
      <c r="J16950" s="133" t="s">
        <v>61</v>
      </c>
      <c r="K16950" s="172">
        <v>58</v>
      </c>
    </row>
    <row r="16951" spans="1:14" x14ac:dyDescent="0.2">
      <c r="A16951" s="163">
        <v>2026</v>
      </c>
      <c r="B16951" s="163">
        <v>1</v>
      </c>
      <c r="C16951" s="163">
        <v>18</v>
      </c>
      <c r="D16951" s="280">
        <f t="shared" si="2702"/>
        <v>46040</v>
      </c>
      <c r="E16951" s="281">
        <f t="shared" si="2703"/>
        <v>46040</v>
      </c>
      <c r="F16951" s="480"/>
      <c r="G16951" s="221" t="s">
        <v>74</v>
      </c>
      <c r="H16951" s="145"/>
      <c r="I16951" s="145" t="s">
        <v>348</v>
      </c>
      <c r="J16951" s="163" t="s">
        <v>52</v>
      </c>
      <c r="K16951" s="219"/>
      <c r="L16951" s="219">
        <f>K16950</f>
        <v>58</v>
      </c>
    </row>
    <row r="16952" spans="1:14" x14ac:dyDescent="0.2">
      <c r="A16952" s="133">
        <v>2026</v>
      </c>
      <c r="B16952" s="133">
        <v>1</v>
      </c>
      <c r="C16952" s="168">
        <v>18</v>
      </c>
      <c r="D16952" s="141">
        <f t="shared" si="2702"/>
        <v>46040</v>
      </c>
      <c r="E16952" s="275">
        <f t="shared" si="2703"/>
        <v>46040</v>
      </c>
      <c r="F16952" s="481" t="s">
        <v>2115</v>
      </c>
      <c r="G16952" s="174" t="s">
        <v>94</v>
      </c>
      <c r="H16952" s="174"/>
      <c r="J16952" s="149" t="s">
        <v>79</v>
      </c>
      <c r="K16952" s="218">
        <v>1819945.8</v>
      </c>
      <c r="L16952" s="218"/>
      <c r="M16952" s="160"/>
    </row>
    <row r="16953" spans="1:14" x14ac:dyDescent="0.2">
      <c r="A16953" s="133">
        <v>2026</v>
      </c>
      <c r="B16953" s="133">
        <v>1</v>
      </c>
      <c r="C16953" s="133">
        <v>18</v>
      </c>
      <c r="D16953" s="141">
        <f t="shared" si="2702"/>
        <v>46040</v>
      </c>
      <c r="E16953" s="275">
        <f t="shared" si="2703"/>
        <v>46040</v>
      </c>
      <c r="F16953" s="481"/>
      <c r="G16953" s="174" t="s">
        <v>94</v>
      </c>
      <c r="H16953" s="174"/>
      <c r="J16953" s="149" t="s">
        <v>80</v>
      </c>
      <c r="K16953" s="218">
        <v>7382.79</v>
      </c>
      <c r="L16953" s="264"/>
      <c r="M16953" s="264"/>
      <c r="N16953" s="264"/>
    </row>
    <row r="16954" spans="1:14" x14ac:dyDescent="0.2">
      <c r="A16954" s="133">
        <v>2026</v>
      </c>
      <c r="B16954" s="133">
        <v>1</v>
      </c>
      <c r="C16954" s="133">
        <v>18</v>
      </c>
      <c r="D16954" s="141">
        <f t="shared" si="2702"/>
        <v>46040</v>
      </c>
      <c r="E16954" s="275">
        <f t="shared" si="2703"/>
        <v>46040</v>
      </c>
      <c r="F16954" s="481"/>
      <c r="G16954" s="174" t="s">
        <v>94</v>
      </c>
      <c r="H16954" s="174"/>
      <c r="J16954" s="149" t="s">
        <v>190</v>
      </c>
      <c r="K16954" s="218">
        <v>454274.21</v>
      </c>
      <c r="L16954" s="218"/>
      <c r="M16954" s="264"/>
    </row>
    <row r="16955" spans="1:14" x14ac:dyDescent="0.2">
      <c r="A16955" s="133">
        <v>2026</v>
      </c>
      <c r="B16955" s="133">
        <v>1</v>
      </c>
      <c r="C16955" s="133">
        <v>18</v>
      </c>
      <c r="D16955" s="141">
        <f t="shared" si="2702"/>
        <v>46040</v>
      </c>
      <c r="E16955" s="275">
        <f t="shared" si="2703"/>
        <v>46040</v>
      </c>
      <c r="F16955" s="481"/>
      <c r="G16955" s="174" t="s">
        <v>94</v>
      </c>
      <c r="H16955" s="174"/>
      <c r="J16955" s="149" t="s">
        <v>191</v>
      </c>
      <c r="K16955" s="218"/>
      <c r="L16955" s="218">
        <v>134804.91</v>
      </c>
    </row>
    <row r="16956" spans="1:14" x14ac:dyDescent="0.2">
      <c r="A16956" s="163">
        <v>2026</v>
      </c>
      <c r="B16956" s="163">
        <v>1</v>
      </c>
      <c r="C16956" s="163">
        <v>18</v>
      </c>
      <c r="D16956" s="280">
        <f t="shared" si="2702"/>
        <v>46040</v>
      </c>
      <c r="E16956" s="281">
        <f t="shared" si="2703"/>
        <v>46040</v>
      </c>
      <c r="F16956" s="480"/>
      <c r="G16956" s="221" t="s">
        <v>94</v>
      </c>
      <c r="H16956" s="145"/>
      <c r="I16956" s="145"/>
      <c r="J16956" s="163" t="s">
        <v>79</v>
      </c>
      <c r="K16956" s="219"/>
      <c r="L16956" s="219">
        <v>2146797.89</v>
      </c>
      <c r="M16956" s="264"/>
    </row>
    <row r="16957" spans="1:14" ht="11.25" customHeight="1" x14ac:dyDescent="0.2">
      <c r="A16957" s="168">
        <v>2026</v>
      </c>
      <c r="B16957" s="168">
        <v>1</v>
      </c>
      <c r="C16957" s="133">
        <v>18</v>
      </c>
      <c r="D16957" s="141">
        <f>DATE(A16957,B16957,C16957)</f>
        <v>46040</v>
      </c>
      <c r="E16957" s="275">
        <f>DATE(A16957,B16957,C16957)</f>
        <v>46040</v>
      </c>
      <c r="F16957" s="479" t="s">
        <v>964</v>
      </c>
      <c r="G16957" s="220" t="s">
        <v>74</v>
      </c>
      <c r="H16957" s="142"/>
      <c r="I16957" s="142"/>
      <c r="J16957" s="168" t="s">
        <v>52</v>
      </c>
      <c r="K16957" s="226">
        <v>20000</v>
      </c>
      <c r="L16957" s="226"/>
    </row>
    <row r="16958" spans="1:14" ht="11.25" customHeight="1" x14ac:dyDescent="0.2">
      <c r="A16958" s="133">
        <v>2026</v>
      </c>
      <c r="B16958" s="133">
        <v>1</v>
      </c>
      <c r="C16958" s="133">
        <v>18</v>
      </c>
      <c r="D16958" s="141">
        <f>DATE(A16958,B16958,C16958)</f>
        <v>46040</v>
      </c>
      <c r="E16958" s="275">
        <f>DATE(A16958,B16958,C16958)</f>
        <v>46040</v>
      </c>
      <c r="F16958" s="481"/>
      <c r="G16958" s="174" t="s">
        <v>74</v>
      </c>
      <c r="J16958" s="133" t="s">
        <v>13</v>
      </c>
      <c r="K16958" s="218"/>
      <c r="L16958" s="218">
        <v>14260</v>
      </c>
    </row>
    <row r="16959" spans="1:14" ht="11.25" customHeight="1" x14ac:dyDescent="0.2">
      <c r="A16959" s="163">
        <v>2026</v>
      </c>
      <c r="B16959" s="163">
        <v>1</v>
      </c>
      <c r="C16959" s="163">
        <v>18</v>
      </c>
      <c r="D16959" s="280">
        <f>DATE(A16959,B16959,C16959)</f>
        <v>46040</v>
      </c>
      <c r="E16959" s="281">
        <f>DATE(A16959,B16959,C16959)</f>
        <v>46040</v>
      </c>
      <c r="F16959" s="480"/>
      <c r="G16959" s="221" t="s">
        <v>74</v>
      </c>
      <c r="H16959" s="145"/>
      <c r="I16959" s="145"/>
      <c r="J16959" s="163" t="s">
        <v>53</v>
      </c>
      <c r="K16959" s="219"/>
      <c r="L16959" s="219">
        <v>5740</v>
      </c>
    </row>
    <row r="16960" spans="1:14" x14ac:dyDescent="0.2">
      <c r="A16960" s="325">
        <v>2026</v>
      </c>
      <c r="B16960" s="325">
        <v>1</v>
      </c>
      <c r="C16960" s="325">
        <v>18</v>
      </c>
      <c r="D16960" s="326">
        <f t="shared" si="2702"/>
        <v>46040</v>
      </c>
      <c r="E16960" s="327">
        <f t="shared" si="2703"/>
        <v>46040</v>
      </c>
      <c r="F16960" s="473" t="s">
        <v>1940</v>
      </c>
      <c r="G16960" s="340" t="s">
        <v>94</v>
      </c>
      <c r="H16960" s="340"/>
      <c r="I16960" s="341" t="s">
        <v>348</v>
      </c>
      <c r="J16960" s="374" t="s">
        <v>133</v>
      </c>
      <c r="K16960" s="375">
        <v>6312.51</v>
      </c>
      <c r="L16960" s="375"/>
      <c r="M16960" s="176"/>
    </row>
    <row r="16961" spans="1:13" x14ac:dyDescent="0.2">
      <c r="A16961" s="331">
        <v>2026</v>
      </c>
      <c r="B16961" s="331">
        <v>1</v>
      </c>
      <c r="C16961" s="331">
        <v>18</v>
      </c>
      <c r="D16961" s="326">
        <f t="shared" si="2702"/>
        <v>46040</v>
      </c>
      <c r="E16961" s="327">
        <f t="shared" si="2703"/>
        <v>46040</v>
      </c>
      <c r="F16961" s="474"/>
      <c r="G16961" s="332" t="s">
        <v>94</v>
      </c>
      <c r="H16961" s="332"/>
      <c r="I16961" s="333" t="s">
        <v>348</v>
      </c>
      <c r="J16961" s="376" t="s">
        <v>2153</v>
      </c>
      <c r="K16961" s="334"/>
      <c r="L16961" s="334">
        <f>K16960</f>
        <v>6312.51</v>
      </c>
    </row>
    <row r="16962" spans="1:13" x14ac:dyDescent="0.2">
      <c r="A16962" s="325">
        <v>2026</v>
      </c>
      <c r="B16962" s="325">
        <v>1</v>
      </c>
      <c r="C16962" s="325">
        <v>18</v>
      </c>
      <c r="D16962" s="326">
        <f t="shared" si="2702"/>
        <v>46040</v>
      </c>
      <c r="E16962" s="327">
        <f t="shared" si="2703"/>
        <v>46040</v>
      </c>
      <c r="F16962" s="473" t="s">
        <v>2131</v>
      </c>
      <c r="G16962" s="340" t="s">
        <v>94</v>
      </c>
      <c r="H16962" s="340"/>
      <c r="I16962" s="341" t="s">
        <v>348</v>
      </c>
      <c r="J16962" s="374" t="s">
        <v>2156</v>
      </c>
      <c r="K16962" s="375">
        <v>18556.31868131868</v>
      </c>
      <c r="L16962" s="375"/>
      <c r="M16962" s="176"/>
    </row>
    <row r="16963" spans="1:13" x14ac:dyDescent="0.2">
      <c r="A16963" s="331">
        <v>2026</v>
      </c>
      <c r="B16963" s="331">
        <v>1</v>
      </c>
      <c r="C16963" s="331">
        <v>18</v>
      </c>
      <c r="D16963" s="326">
        <f t="shared" si="2702"/>
        <v>46040</v>
      </c>
      <c r="E16963" s="327">
        <f t="shared" si="2703"/>
        <v>46040</v>
      </c>
      <c r="F16963" s="474"/>
      <c r="G16963" s="332" t="s">
        <v>94</v>
      </c>
      <c r="H16963" s="332"/>
      <c r="I16963" s="333" t="s">
        <v>348</v>
      </c>
      <c r="J16963" s="376" t="s">
        <v>2154</v>
      </c>
      <c r="K16963" s="334"/>
      <c r="L16963" s="334">
        <f>K16962</f>
        <v>18556.31868131868</v>
      </c>
    </row>
    <row r="16964" spans="1:13" x14ac:dyDescent="0.2">
      <c r="A16964" s="384">
        <v>2026</v>
      </c>
      <c r="B16964" s="384">
        <v>1</v>
      </c>
      <c r="C16964" s="384">
        <v>18</v>
      </c>
      <c r="D16964" s="385">
        <f t="shared" si="2702"/>
        <v>46040</v>
      </c>
      <c r="E16964" s="386">
        <f t="shared" si="2703"/>
        <v>46040</v>
      </c>
      <c r="F16964" s="475" t="s">
        <v>1966</v>
      </c>
      <c r="G16964" s="387" t="s">
        <v>94</v>
      </c>
      <c r="H16964" s="387"/>
      <c r="I16964" s="388" t="s">
        <v>348</v>
      </c>
      <c r="J16964" s="389" t="s">
        <v>67</v>
      </c>
      <c r="K16964" s="390">
        <v>216.40271388888888</v>
      </c>
      <c r="L16964" s="390"/>
    </row>
    <row r="16965" spans="1:13" x14ac:dyDescent="0.2">
      <c r="A16965" s="391">
        <v>2026</v>
      </c>
      <c r="B16965" s="391">
        <v>1</v>
      </c>
      <c r="C16965" s="391">
        <v>18</v>
      </c>
      <c r="D16965" s="385">
        <f t="shared" si="2702"/>
        <v>46040</v>
      </c>
      <c r="E16965" s="386">
        <f t="shared" si="2703"/>
        <v>46040</v>
      </c>
      <c r="F16965" s="476"/>
      <c r="G16965" s="392" t="s">
        <v>94</v>
      </c>
      <c r="H16965" s="392"/>
      <c r="I16965" s="393" t="s">
        <v>348</v>
      </c>
      <c r="J16965" s="394" t="s">
        <v>2155</v>
      </c>
      <c r="K16965" s="395"/>
      <c r="L16965" s="395">
        <f>K16964</f>
        <v>216.40271388888888</v>
      </c>
    </row>
    <row r="16966" spans="1:13" x14ac:dyDescent="0.2">
      <c r="A16966" s="238">
        <v>2026</v>
      </c>
      <c r="B16966" s="238">
        <v>1</v>
      </c>
      <c r="C16966" s="238">
        <v>18</v>
      </c>
      <c r="D16966" s="270">
        <f t="shared" si="2702"/>
        <v>46040</v>
      </c>
      <c r="E16966" s="279">
        <f t="shared" si="2703"/>
        <v>46040</v>
      </c>
      <c r="F16966" s="477" t="s">
        <v>347</v>
      </c>
      <c r="G16966" s="239" t="s">
        <v>94</v>
      </c>
      <c r="H16966" s="239"/>
      <c r="I16966" s="262" t="s">
        <v>348</v>
      </c>
      <c r="J16966" s="240" t="s">
        <v>108</v>
      </c>
      <c r="K16966" s="241">
        <v>3384297.4900000095</v>
      </c>
      <c r="L16966" s="241"/>
      <c r="M16966" s="160"/>
    </row>
    <row r="16967" spans="1:13" x14ac:dyDescent="0.2">
      <c r="A16967" s="242">
        <v>2026</v>
      </c>
      <c r="B16967" s="242">
        <v>1</v>
      </c>
      <c r="C16967" s="242">
        <v>18</v>
      </c>
      <c r="D16967" s="270">
        <f t="shared" si="2702"/>
        <v>46040</v>
      </c>
      <c r="E16967" s="279">
        <f t="shared" si="2703"/>
        <v>46040</v>
      </c>
      <c r="F16967" s="478"/>
      <c r="G16967" s="243" t="s">
        <v>94</v>
      </c>
      <c r="H16967" s="243"/>
      <c r="I16967" s="263" t="s">
        <v>348</v>
      </c>
      <c r="J16967" s="244" t="s">
        <v>82</v>
      </c>
      <c r="K16967" s="245"/>
      <c r="L16967" s="245">
        <f>K16966</f>
        <v>3384297.4900000095</v>
      </c>
    </row>
    <row r="16968" spans="1:13" ht="12" customHeight="1" x14ac:dyDescent="0.2">
      <c r="A16968" s="246">
        <v>2026</v>
      </c>
      <c r="B16968" s="238">
        <v>1</v>
      </c>
      <c r="C16968" s="238">
        <v>18</v>
      </c>
      <c r="D16968" s="270">
        <f t="shared" si="2702"/>
        <v>46040</v>
      </c>
      <c r="E16968" s="279">
        <f t="shared" si="2703"/>
        <v>46040</v>
      </c>
      <c r="F16968" s="482" t="s">
        <v>148</v>
      </c>
      <c r="G16968" s="247" t="s">
        <v>94</v>
      </c>
      <c r="H16968" s="247"/>
      <c r="I16968" s="248" t="s">
        <v>348</v>
      </c>
      <c r="J16968" s="249" t="s">
        <v>95</v>
      </c>
      <c r="K16968" s="250">
        <v>1177.3940345368917</v>
      </c>
      <c r="L16968" s="241"/>
      <c r="M16968" s="176"/>
    </row>
    <row r="16969" spans="1:13" x14ac:dyDescent="0.2">
      <c r="A16969" s="242">
        <v>2026</v>
      </c>
      <c r="B16969" s="242">
        <v>1</v>
      </c>
      <c r="C16969" s="242">
        <v>18</v>
      </c>
      <c r="D16969" s="270">
        <f t="shared" si="2702"/>
        <v>46040</v>
      </c>
      <c r="E16969" s="279">
        <f t="shared" si="2703"/>
        <v>46040</v>
      </c>
      <c r="F16969" s="478"/>
      <c r="G16969" s="243" t="s">
        <v>94</v>
      </c>
      <c r="H16969" s="243"/>
      <c r="I16969" s="263" t="s">
        <v>348</v>
      </c>
      <c r="J16969" s="244" t="s">
        <v>63</v>
      </c>
      <c r="K16969" s="245"/>
      <c r="L16969" s="245">
        <f>K16968</f>
        <v>1177.3940345368917</v>
      </c>
    </row>
    <row r="16970" spans="1:13" x14ac:dyDescent="0.2">
      <c r="A16970" s="246">
        <v>2026</v>
      </c>
      <c r="B16970" s="238">
        <v>1</v>
      </c>
      <c r="C16970" s="238">
        <v>18</v>
      </c>
      <c r="D16970" s="270">
        <f t="shared" si="2702"/>
        <v>46040</v>
      </c>
      <c r="E16970" s="279">
        <f t="shared" si="2703"/>
        <v>46040</v>
      </c>
      <c r="F16970" s="482" t="s">
        <v>137</v>
      </c>
      <c r="G16970" s="247" t="s">
        <v>94</v>
      </c>
      <c r="H16970" s="247"/>
      <c r="I16970" s="248" t="s">
        <v>348</v>
      </c>
      <c r="J16970" s="249" t="s">
        <v>97</v>
      </c>
      <c r="K16970" s="250">
        <v>40912.583678109411</v>
      </c>
      <c r="L16970" s="252"/>
      <c r="M16970" s="170">
        <v>13637.527892703138</v>
      </c>
    </row>
    <row r="16971" spans="1:13" x14ac:dyDescent="0.2">
      <c r="A16971" s="242">
        <v>2026</v>
      </c>
      <c r="B16971" s="242">
        <v>1</v>
      </c>
      <c r="C16971" s="242">
        <v>18</v>
      </c>
      <c r="D16971" s="270">
        <f t="shared" si="2702"/>
        <v>46040</v>
      </c>
      <c r="E16971" s="279">
        <f t="shared" si="2703"/>
        <v>46040</v>
      </c>
      <c r="F16971" s="478"/>
      <c r="G16971" s="243" t="s">
        <v>94</v>
      </c>
      <c r="H16971" s="243"/>
      <c r="I16971" s="263" t="s">
        <v>348</v>
      </c>
      <c r="J16971" s="244" t="s">
        <v>47</v>
      </c>
      <c r="K16971" s="245"/>
      <c r="L16971" s="245">
        <f>K16970</f>
        <v>40912.583678109411</v>
      </c>
      <c r="M16971" s="170">
        <v>647.53573529449773</v>
      </c>
    </row>
    <row r="16972" spans="1:13" x14ac:dyDescent="0.2">
      <c r="A16972" s="246">
        <v>2026</v>
      </c>
      <c r="B16972" s="238">
        <v>1</v>
      </c>
      <c r="C16972" s="238">
        <v>18</v>
      </c>
      <c r="D16972" s="270">
        <f t="shared" si="2702"/>
        <v>46040</v>
      </c>
      <c r="E16972" s="279">
        <f t="shared" si="2703"/>
        <v>46040</v>
      </c>
      <c r="F16972" s="482" t="s">
        <v>138</v>
      </c>
      <c r="G16972" s="247" t="s">
        <v>94</v>
      </c>
      <c r="H16972" s="247"/>
      <c r="I16972" s="248" t="s">
        <v>348</v>
      </c>
      <c r="J16972" s="249" t="s">
        <v>100</v>
      </c>
      <c r="K16972" s="250">
        <v>1942.6072058834932</v>
      </c>
      <c r="L16972" s="252"/>
    </row>
    <row r="16973" spans="1:13" x14ac:dyDescent="0.2">
      <c r="A16973" s="242">
        <v>2026</v>
      </c>
      <c r="B16973" s="242">
        <v>1</v>
      </c>
      <c r="C16973" s="242">
        <v>18</v>
      </c>
      <c r="D16973" s="321">
        <f t="shared" si="2702"/>
        <v>46040</v>
      </c>
      <c r="E16973" s="322">
        <f t="shared" si="2703"/>
        <v>46040</v>
      </c>
      <c r="F16973" s="478"/>
      <c r="G16973" s="243" t="s">
        <v>94</v>
      </c>
      <c r="H16973" s="243"/>
      <c r="I16973" s="263" t="s">
        <v>348</v>
      </c>
      <c r="J16973" s="244" t="s">
        <v>48</v>
      </c>
      <c r="K16973" s="245"/>
      <c r="L16973" s="245">
        <f>K16972</f>
        <v>1942.6072058834932</v>
      </c>
    </row>
    <row r="16974" spans="1:13" x14ac:dyDescent="0.2">
      <c r="A16974" s="168">
        <v>2026</v>
      </c>
      <c r="B16974" s="133">
        <v>1</v>
      </c>
      <c r="C16974" s="168">
        <v>19</v>
      </c>
      <c r="D16974" s="141">
        <f t="shared" si="2702"/>
        <v>46041</v>
      </c>
      <c r="E16974" s="275">
        <f t="shared" si="2703"/>
        <v>46041</v>
      </c>
      <c r="F16974" s="481" t="s">
        <v>2006</v>
      </c>
      <c r="G16974" s="174" t="s">
        <v>74</v>
      </c>
      <c r="H16974" s="174"/>
      <c r="J16974" s="149" t="s">
        <v>534</v>
      </c>
      <c r="K16974" s="218">
        <v>553.17999999999995</v>
      </c>
      <c r="L16974" s="218"/>
    </row>
    <row r="16975" spans="1:13" x14ac:dyDescent="0.2">
      <c r="A16975" s="133">
        <v>2026</v>
      </c>
      <c r="B16975" s="133">
        <v>1</v>
      </c>
      <c r="C16975" s="133">
        <v>19</v>
      </c>
      <c r="D16975" s="147">
        <f t="shared" ref="D16975:D16981" si="2704">DATE(A16975,B16975,C16975)</f>
        <v>46041</v>
      </c>
      <c r="E16975" s="311">
        <f t="shared" ref="E16975:E16981" si="2705">DATE(A16975,B16975,C16975)</f>
        <v>46041</v>
      </c>
      <c r="F16975" s="481"/>
      <c r="G16975" s="174" t="s">
        <v>74</v>
      </c>
      <c r="H16975" s="174"/>
      <c r="J16975" s="149" t="s">
        <v>1906</v>
      </c>
      <c r="K16975" s="218">
        <v>250</v>
      </c>
      <c r="L16975" s="218"/>
    </row>
    <row r="16976" spans="1:13" x14ac:dyDescent="0.2">
      <c r="A16976" s="133">
        <v>2026</v>
      </c>
      <c r="B16976" s="133">
        <v>1</v>
      </c>
      <c r="C16976" s="133">
        <v>19</v>
      </c>
      <c r="D16976" s="147">
        <f t="shared" si="2704"/>
        <v>46041</v>
      </c>
      <c r="E16976" s="311">
        <f t="shared" si="2705"/>
        <v>46041</v>
      </c>
      <c r="F16976" s="481"/>
      <c r="G16976" s="174" t="s">
        <v>74</v>
      </c>
      <c r="H16976" s="174"/>
      <c r="J16976" s="149" t="s">
        <v>1906</v>
      </c>
      <c r="K16976" s="218">
        <v>250</v>
      </c>
      <c r="L16976" s="218"/>
    </row>
    <row r="16977" spans="1:15" x14ac:dyDescent="0.2">
      <c r="A16977" s="133">
        <v>2026</v>
      </c>
      <c r="B16977" s="133">
        <v>1</v>
      </c>
      <c r="C16977" s="133">
        <v>19</v>
      </c>
      <c r="D16977" s="147">
        <f t="shared" si="2704"/>
        <v>46041</v>
      </c>
      <c r="E16977" s="311">
        <f t="shared" si="2705"/>
        <v>46041</v>
      </c>
      <c r="F16977" s="481"/>
      <c r="G16977" s="174" t="s">
        <v>74</v>
      </c>
      <c r="H16977" s="174"/>
      <c r="J16977" s="149" t="s">
        <v>1907</v>
      </c>
      <c r="K16977" s="218">
        <v>75</v>
      </c>
      <c r="L16977" s="218"/>
    </row>
    <row r="16978" spans="1:15" x14ac:dyDescent="0.2">
      <c r="A16978" s="133">
        <v>2026</v>
      </c>
      <c r="B16978" s="133">
        <v>1</v>
      </c>
      <c r="C16978" s="133">
        <v>19</v>
      </c>
      <c r="D16978" s="147">
        <f t="shared" si="2704"/>
        <v>46041</v>
      </c>
      <c r="E16978" s="311">
        <f t="shared" si="2705"/>
        <v>46041</v>
      </c>
      <c r="F16978" s="481"/>
      <c r="G16978" s="174" t="s">
        <v>74</v>
      </c>
      <c r="H16978" s="174"/>
      <c r="J16978" s="149" t="s">
        <v>534</v>
      </c>
      <c r="K16978" s="218">
        <v>21176.47</v>
      </c>
      <c r="L16978" s="218"/>
    </row>
    <row r="16979" spans="1:15" x14ac:dyDescent="0.2">
      <c r="A16979" s="133">
        <v>2026</v>
      </c>
      <c r="B16979" s="133">
        <v>1</v>
      </c>
      <c r="C16979" s="133">
        <v>19</v>
      </c>
      <c r="D16979" s="147">
        <f t="shared" si="2704"/>
        <v>46041</v>
      </c>
      <c r="E16979" s="311">
        <f t="shared" si="2705"/>
        <v>46041</v>
      </c>
      <c r="F16979" s="481"/>
      <c r="G16979" s="174" t="s">
        <v>74</v>
      </c>
      <c r="H16979" s="174"/>
      <c r="J16979" s="149" t="s">
        <v>534</v>
      </c>
      <c r="K16979" s="218">
        <v>9176.4699999999993</v>
      </c>
      <c r="L16979" s="218"/>
    </row>
    <row r="16980" spans="1:15" x14ac:dyDescent="0.2">
      <c r="A16980" s="133">
        <v>2026</v>
      </c>
      <c r="B16980" s="133">
        <v>1</v>
      </c>
      <c r="C16980" s="133">
        <v>19</v>
      </c>
      <c r="D16980" s="147">
        <f t="shared" si="2704"/>
        <v>46041</v>
      </c>
      <c r="E16980" s="311">
        <f t="shared" si="2705"/>
        <v>46041</v>
      </c>
      <c r="F16980" s="481"/>
      <c r="G16980" s="174" t="s">
        <v>74</v>
      </c>
      <c r="H16980" s="174"/>
      <c r="J16980" s="149" t="s">
        <v>534</v>
      </c>
      <c r="K16980" s="218">
        <v>29229.360000000001</v>
      </c>
      <c r="L16980" s="218"/>
    </row>
    <row r="16981" spans="1:15" x14ac:dyDescent="0.2">
      <c r="A16981" s="133">
        <v>2026</v>
      </c>
      <c r="B16981" s="133">
        <v>1</v>
      </c>
      <c r="C16981" s="133">
        <v>19</v>
      </c>
      <c r="D16981" s="147">
        <f t="shared" si="2704"/>
        <v>46041</v>
      </c>
      <c r="E16981" s="311">
        <f t="shared" si="2705"/>
        <v>46041</v>
      </c>
      <c r="F16981" s="481"/>
      <c r="G16981" s="174" t="s">
        <v>74</v>
      </c>
      <c r="H16981" s="174"/>
      <c r="J16981" s="149" t="s">
        <v>534</v>
      </c>
      <c r="K16981" s="218">
        <v>17700</v>
      </c>
      <c r="L16981" s="218"/>
    </row>
    <row r="16982" spans="1:15" x14ac:dyDescent="0.2">
      <c r="A16982" s="163">
        <v>2026</v>
      </c>
      <c r="B16982" s="163">
        <v>1</v>
      </c>
      <c r="C16982" s="163">
        <v>19</v>
      </c>
      <c r="D16982" s="144">
        <f t="shared" si="2702"/>
        <v>46041</v>
      </c>
      <c r="E16982" s="313">
        <f t="shared" si="2703"/>
        <v>46041</v>
      </c>
      <c r="F16982" s="480"/>
      <c r="G16982" s="221" t="s">
        <v>74</v>
      </c>
      <c r="H16982" s="221"/>
      <c r="I16982" s="145"/>
      <c r="J16982" s="146" t="s">
        <v>52</v>
      </c>
      <c r="K16982" s="219"/>
      <c r="L16982" s="219">
        <v>78410.48</v>
      </c>
    </row>
    <row r="16983" spans="1:15" x14ac:dyDescent="0.2">
      <c r="A16983" s="133">
        <v>2026</v>
      </c>
      <c r="B16983" s="133">
        <v>1</v>
      </c>
      <c r="C16983" s="168">
        <v>19</v>
      </c>
      <c r="D16983" s="141">
        <f t="shared" ref="D16983:D17008" si="2706">DATE(A16983,B16983,C16983)</f>
        <v>46041</v>
      </c>
      <c r="E16983" s="275">
        <f t="shared" ref="E16983:E17008" si="2707">DATE(A16983,B16983,C16983)</f>
        <v>46041</v>
      </c>
      <c r="F16983" s="481" t="s">
        <v>2115</v>
      </c>
      <c r="G16983" s="174" t="s">
        <v>94</v>
      </c>
      <c r="H16983" s="174"/>
      <c r="J16983" s="149" t="s">
        <v>79</v>
      </c>
      <c r="K16983" s="218">
        <v>989341.5</v>
      </c>
      <c r="L16983" s="218"/>
      <c r="M16983" s="160"/>
    </row>
    <row r="16984" spans="1:15" x14ac:dyDescent="0.2">
      <c r="A16984" s="133">
        <v>2026</v>
      </c>
      <c r="B16984" s="133">
        <v>1</v>
      </c>
      <c r="C16984" s="133">
        <v>19</v>
      </c>
      <c r="D16984" s="141">
        <f t="shared" si="2706"/>
        <v>46041</v>
      </c>
      <c r="E16984" s="275">
        <f t="shared" si="2707"/>
        <v>46041</v>
      </c>
      <c r="F16984" s="481"/>
      <c r="G16984" s="174" t="s">
        <v>94</v>
      </c>
      <c r="H16984" s="174"/>
      <c r="J16984" s="149" t="s">
        <v>80</v>
      </c>
      <c r="K16984" s="218">
        <v>4181.09</v>
      </c>
      <c r="L16984" s="264"/>
      <c r="M16984" s="264"/>
      <c r="N16984" s="264"/>
    </row>
    <row r="16985" spans="1:15" x14ac:dyDescent="0.2">
      <c r="A16985" s="133">
        <v>2026</v>
      </c>
      <c r="B16985" s="133">
        <v>1</v>
      </c>
      <c r="C16985" s="133">
        <v>19</v>
      </c>
      <c r="D16985" s="141">
        <f t="shared" si="2706"/>
        <v>46041</v>
      </c>
      <c r="E16985" s="275">
        <f t="shared" si="2707"/>
        <v>46041</v>
      </c>
      <c r="F16985" s="481"/>
      <c r="G16985" s="174" t="s">
        <v>94</v>
      </c>
      <c r="H16985" s="174"/>
      <c r="J16985" s="149" t="s">
        <v>190</v>
      </c>
      <c r="K16985" s="218">
        <v>339962.41</v>
      </c>
      <c r="L16985" s="218"/>
      <c r="M16985" s="264"/>
    </row>
    <row r="16986" spans="1:15" x14ac:dyDescent="0.2">
      <c r="A16986" s="133">
        <v>2026</v>
      </c>
      <c r="B16986" s="133">
        <v>1</v>
      </c>
      <c r="C16986" s="133">
        <v>19</v>
      </c>
      <c r="D16986" s="141">
        <f t="shared" si="2706"/>
        <v>46041</v>
      </c>
      <c r="E16986" s="275">
        <f t="shared" si="2707"/>
        <v>46041</v>
      </c>
      <c r="F16986" s="481"/>
      <c r="G16986" s="174" t="s">
        <v>94</v>
      </c>
      <c r="H16986" s="174"/>
      <c r="J16986" s="149" t="s">
        <v>191</v>
      </c>
      <c r="K16986" s="218"/>
      <c r="L16986" s="218">
        <v>85853.24</v>
      </c>
    </row>
    <row r="16987" spans="1:15" x14ac:dyDescent="0.2">
      <c r="A16987" s="163">
        <v>2026</v>
      </c>
      <c r="B16987" s="163">
        <v>1</v>
      </c>
      <c r="C16987" s="163">
        <v>19</v>
      </c>
      <c r="D16987" s="280">
        <f t="shared" si="2706"/>
        <v>46041</v>
      </c>
      <c r="E16987" s="281">
        <f t="shared" si="2707"/>
        <v>46041</v>
      </c>
      <c r="F16987" s="480"/>
      <c r="G16987" s="221" t="s">
        <v>94</v>
      </c>
      <c r="H16987" s="145"/>
      <c r="I16987" s="145"/>
      <c r="J16987" s="163" t="s">
        <v>79</v>
      </c>
      <c r="K16987" s="219"/>
      <c r="L16987" s="219">
        <v>1247631.76</v>
      </c>
      <c r="M16987" s="264"/>
    </row>
    <row r="16988" spans="1:15" x14ac:dyDescent="0.2">
      <c r="A16988" s="168">
        <v>2026</v>
      </c>
      <c r="B16988" s="168">
        <v>1</v>
      </c>
      <c r="C16988" s="168">
        <v>19</v>
      </c>
      <c r="D16988" s="141">
        <f t="shared" si="2706"/>
        <v>46041</v>
      </c>
      <c r="E16988" s="275">
        <f t="shared" si="2707"/>
        <v>46041</v>
      </c>
      <c r="F16988" s="479" t="s">
        <v>2162</v>
      </c>
      <c r="G16988" s="174" t="s">
        <v>74</v>
      </c>
      <c r="I16988" s="148" t="s">
        <v>348</v>
      </c>
      <c r="J16988" s="133" t="s">
        <v>47</v>
      </c>
      <c r="K16988" s="172">
        <f>L16990/0.85</f>
        <v>5000</v>
      </c>
      <c r="M16988" s="264"/>
      <c r="N16988" s="264"/>
    </row>
    <row r="16989" spans="1:15" x14ac:dyDescent="0.2">
      <c r="A16989" s="133">
        <v>2026</v>
      </c>
      <c r="B16989" s="133">
        <v>1</v>
      </c>
      <c r="C16989" s="133">
        <v>19</v>
      </c>
      <c r="D16989" s="141">
        <f t="shared" si="2706"/>
        <v>46041</v>
      </c>
      <c r="E16989" s="275">
        <f t="shared" si="2707"/>
        <v>46041</v>
      </c>
      <c r="F16989" s="481"/>
      <c r="G16989" s="174" t="s">
        <v>74</v>
      </c>
      <c r="J16989" s="133" t="s">
        <v>534</v>
      </c>
      <c r="K16989" s="218"/>
      <c r="L16989" s="218">
        <f>K16988-L16990</f>
        <v>750</v>
      </c>
      <c r="N16989" s="264"/>
    </row>
    <row r="16990" spans="1:15" x14ac:dyDescent="0.2">
      <c r="A16990" s="163">
        <v>2026</v>
      </c>
      <c r="B16990" s="163">
        <v>1</v>
      </c>
      <c r="C16990" s="163">
        <v>19</v>
      </c>
      <c r="D16990" s="280">
        <f t="shared" si="2706"/>
        <v>46041</v>
      </c>
      <c r="E16990" s="281">
        <f t="shared" si="2707"/>
        <v>46041</v>
      </c>
      <c r="F16990" s="480"/>
      <c r="G16990" s="221" t="s">
        <v>74</v>
      </c>
      <c r="H16990" s="145"/>
      <c r="I16990" s="145" t="s">
        <v>348</v>
      </c>
      <c r="J16990" s="163" t="s">
        <v>52</v>
      </c>
      <c r="K16990" s="219"/>
      <c r="L16990" s="219">
        <v>4250</v>
      </c>
      <c r="M16990" s="160"/>
      <c r="N16990" s="160"/>
      <c r="O16990" s="373"/>
    </row>
    <row r="16991" spans="1:15" x14ac:dyDescent="0.2">
      <c r="A16991" s="168">
        <v>2026</v>
      </c>
      <c r="B16991" s="133">
        <v>1</v>
      </c>
      <c r="C16991" s="168">
        <v>19</v>
      </c>
      <c r="D16991" s="141">
        <f t="shared" si="2706"/>
        <v>46041</v>
      </c>
      <c r="E16991" s="275">
        <f t="shared" si="2707"/>
        <v>46041</v>
      </c>
      <c r="F16991" s="481" t="s">
        <v>2129</v>
      </c>
      <c r="G16991" s="174" t="s">
        <v>94</v>
      </c>
      <c r="H16991" s="174"/>
      <c r="I16991" s="148" t="s">
        <v>348</v>
      </c>
      <c r="J16991" s="149" t="s">
        <v>52</v>
      </c>
      <c r="K16991" s="218">
        <v>207500</v>
      </c>
      <c r="L16991" s="218"/>
    </row>
    <row r="16992" spans="1:15" x14ac:dyDescent="0.2">
      <c r="A16992" s="163">
        <v>2026</v>
      </c>
      <c r="B16992" s="163">
        <v>1</v>
      </c>
      <c r="C16992" s="163">
        <v>19</v>
      </c>
      <c r="D16992" s="141">
        <f t="shared" si="2706"/>
        <v>46041</v>
      </c>
      <c r="E16992" s="275">
        <f t="shared" si="2707"/>
        <v>46041</v>
      </c>
      <c r="F16992" s="480"/>
      <c r="G16992" s="221" t="s">
        <v>94</v>
      </c>
      <c r="H16992" s="221"/>
      <c r="I16992" s="145" t="s">
        <v>348</v>
      </c>
      <c r="J16992" s="146" t="s">
        <v>168</v>
      </c>
      <c r="K16992" s="219"/>
      <c r="L16992" s="219">
        <f>K16991</f>
        <v>207500</v>
      </c>
    </row>
    <row r="16993" spans="1:14" x14ac:dyDescent="0.2">
      <c r="A16993" s="325">
        <v>2026</v>
      </c>
      <c r="B16993" s="325">
        <v>1</v>
      </c>
      <c r="C16993" s="325">
        <v>19</v>
      </c>
      <c r="D16993" s="326">
        <f t="shared" si="2706"/>
        <v>46041</v>
      </c>
      <c r="E16993" s="327">
        <f t="shared" si="2707"/>
        <v>46041</v>
      </c>
      <c r="F16993" s="473" t="s">
        <v>1940</v>
      </c>
      <c r="G16993" s="340" t="s">
        <v>94</v>
      </c>
      <c r="H16993" s="340"/>
      <c r="I16993" s="341" t="s">
        <v>348</v>
      </c>
      <c r="J16993" s="374" t="s">
        <v>133</v>
      </c>
      <c r="K16993" s="375">
        <v>2104.17</v>
      </c>
      <c r="L16993" s="375"/>
      <c r="M16993" s="176"/>
    </row>
    <row r="16994" spans="1:14" x14ac:dyDescent="0.2">
      <c r="A16994" s="331">
        <v>2026</v>
      </c>
      <c r="B16994" s="331">
        <v>1</v>
      </c>
      <c r="C16994" s="331">
        <v>19</v>
      </c>
      <c r="D16994" s="326">
        <f t="shared" si="2706"/>
        <v>46041</v>
      </c>
      <c r="E16994" s="327">
        <f t="shared" si="2707"/>
        <v>46041</v>
      </c>
      <c r="F16994" s="474"/>
      <c r="G16994" s="332" t="s">
        <v>94</v>
      </c>
      <c r="H16994" s="332"/>
      <c r="I16994" s="333" t="s">
        <v>348</v>
      </c>
      <c r="J16994" s="376" t="s">
        <v>2153</v>
      </c>
      <c r="K16994" s="334"/>
      <c r="L16994" s="334">
        <f>K16993</f>
        <v>2104.17</v>
      </c>
    </row>
    <row r="16995" spans="1:14" x14ac:dyDescent="0.2">
      <c r="A16995" s="325">
        <v>2026</v>
      </c>
      <c r="B16995" s="325">
        <v>1</v>
      </c>
      <c r="C16995" s="325">
        <v>19</v>
      </c>
      <c r="D16995" s="326">
        <f t="shared" si="2706"/>
        <v>46041</v>
      </c>
      <c r="E16995" s="327">
        <f t="shared" si="2707"/>
        <v>46041</v>
      </c>
      <c r="F16995" s="473" t="s">
        <v>2131</v>
      </c>
      <c r="G16995" s="340" t="s">
        <v>94</v>
      </c>
      <c r="H16995" s="340"/>
      <c r="I16995" s="341" t="s">
        <v>348</v>
      </c>
      <c r="J16995" s="374" t="s">
        <v>2156</v>
      </c>
      <c r="K16995" s="375">
        <v>6185.4395604395604</v>
      </c>
      <c r="L16995" s="375"/>
      <c r="M16995" s="176"/>
    </row>
    <row r="16996" spans="1:14" x14ac:dyDescent="0.2">
      <c r="A16996" s="331">
        <v>2026</v>
      </c>
      <c r="B16996" s="331">
        <v>1</v>
      </c>
      <c r="C16996" s="331">
        <v>19</v>
      </c>
      <c r="D16996" s="326">
        <f t="shared" si="2706"/>
        <v>46041</v>
      </c>
      <c r="E16996" s="327">
        <f t="shared" si="2707"/>
        <v>46041</v>
      </c>
      <c r="F16996" s="474"/>
      <c r="G16996" s="332" t="s">
        <v>94</v>
      </c>
      <c r="H16996" s="332"/>
      <c r="I16996" s="333" t="s">
        <v>348</v>
      </c>
      <c r="J16996" s="376" t="s">
        <v>2154</v>
      </c>
      <c r="K16996" s="334"/>
      <c r="L16996" s="334">
        <f>K16995</f>
        <v>6185.4395604395604</v>
      </c>
    </row>
    <row r="16997" spans="1:14" x14ac:dyDescent="0.2">
      <c r="A16997" s="384">
        <v>2026</v>
      </c>
      <c r="B16997" s="384">
        <v>1</v>
      </c>
      <c r="C16997" s="384">
        <v>19</v>
      </c>
      <c r="D16997" s="385">
        <f t="shared" si="2706"/>
        <v>46041</v>
      </c>
      <c r="E16997" s="386">
        <f t="shared" si="2707"/>
        <v>46041</v>
      </c>
      <c r="F16997" s="475" t="s">
        <v>1966</v>
      </c>
      <c r="G16997" s="387" t="s">
        <v>94</v>
      </c>
      <c r="H16997" s="387"/>
      <c r="I16997" s="388" t="s">
        <v>348</v>
      </c>
      <c r="J16997" s="389" t="s">
        <v>67</v>
      </c>
      <c r="K16997" s="390">
        <v>215.51783888888886</v>
      </c>
      <c r="L16997" s="390"/>
    </row>
    <row r="16998" spans="1:14" x14ac:dyDescent="0.2">
      <c r="A16998" s="391">
        <v>2026</v>
      </c>
      <c r="B16998" s="391">
        <v>1</v>
      </c>
      <c r="C16998" s="391">
        <v>19</v>
      </c>
      <c r="D16998" s="385">
        <f t="shared" si="2706"/>
        <v>46041</v>
      </c>
      <c r="E16998" s="386">
        <f t="shared" si="2707"/>
        <v>46041</v>
      </c>
      <c r="F16998" s="476"/>
      <c r="G16998" s="392" t="s">
        <v>94</v>
      </c>
      <c r="H16998" s="392"/>
      <c r="I16998" s="393" t="s">
        <v>348</v>
      </c>
      <c r="J16998" s="394" t="s">
        <v>2155</v>
      </c>
      <c r="K16998" s="395"/>
      <c r="L16998" s="395">
        <f>K16997</f>
        <v>215.51783888888886</v>
      </c>
    </row>
    <row r="16999" spans="1:14" x14ac:dyDescent="0.2">
      <c r="A16999" s="238">
        <v>2026</v>
      </c>
      <c r="B16999" s="238">
        <v>1</v>
      </c>
      <c r="C16999" s="238">
        <v>19</v>
      </c>
      <c r="D16999" s="270">
        <f t="shared" si="2706"/>
        <v>46041</v>
      </c>
      <c r="E16999" s="279">
        <f t="shared" si="2707"/>
        <v>46041</v>
      </c>
      <c r="F16999" s="477" t="s">
        <v>347</v>
      </c>
      <c r="G16999" s="239" t="s">
        <v>94</v>
      </c>
      <c r="H16999" s="239"/>
      <c r="I16999" s="262" t="s">
        <v>348</v>
      </c>
      <c r="J16999" s="240" t="s">
        <v>108</v>
      </c>
      <c r="K16999" s="241">
        <v>2123143.4599999189</v>
      </c>
      <c r="L16999" s="241"/>
      <c r="M16999" s="160"/>
    </row>
    <row r="17000" spans="1:14" x14ac:dyDescent="0.2">
      <c r="A17000" s="242">
        <v>2026</v>
      </c>
      <c r="B17000" s="242">
        <v>1</v>
      </c>
      <c r="C17000" s="242">
        <v>19</v>
      </c>
      <c r="D17000" s="270">
        <f t="shared" si="2706"/>
        <v>46041</v>
      </c>
      <c r="E17000" s="279">
        <f t="shared" si="2707"/>
        <v>46041</v>
      </c>
      <c r="F17000" s="478"/>
      <c r="G17000" s="243" t="s">
        <v>94</v>
      </c>
      <c r="H17000" s="243"/>
      <c r="I17000" s="263" t="s">
        <v>348</v>
      </c>
      <c r="J17000" s="244" t="s">
        <v>82</v>
      </c>
      <c r="K17000" s="245"/>
      <c r="L17000" s="245">
        <f>K16999</f>
        <v>2123143.4599999189</v>
      </c>
    </row>
    <row r="17001" spans="1:14" ht="12" customHeight="1" x14ac:dyDescent="0.2">
      <c r="A17001" s="246">
        <v>2026</v>
      </c>
      <c r="B17001" s="238">
        <v>1</v>
      </c>
      <c r="C17001" s="238">
        <v>19</v>
      </c>
      <c r="D17001" s="270">
        <f t="shared" si="2706"/>
        <v>46041</v>
      </c>
      <c r="E17001" s="279">
        <f t="shared" si="2707"/>
        <v>46041</v>
      </c>
      <c r="F17001" s="482" t="s">
        <v>148</v>
      </c>
      <c r="G17001" s="247" t="s">
        <v>94</v>
      </c>
      <c r="H17001" s="247"/>
      <c r="I17001" s="248" t="s">
        <v>348</v>
      </c>
      <c r="J17001" s="249" t="s">
        <v>95</v>
      </c>
      <c r="K17001" s="250">
        <v>392.46467817896388</v>
      </c>
      <c r="L17001" s="241"/>
      <c r="M17001" s="176"/>
    </row>
    <row r="17002" spans="1:14" x14ac:dyDescent="0.2">
      <c r="A17002" s="242">
        <v>2026</v>
      </c>
      <c r="B17002" s="242">
        <v>1</v>
      </c>
      <c r="C17002" s="242">
        <v>19</v>
      </c>
      <c r="D17002" s="270">
        <f t="shared" si="2706"/>
        <v>46041</v>
      </c>
      <c r="E17002" s="279">
        <f t="shared" si="2707"/>
        <v>46041</v>
      </c>
      <c r="F17002" s="478"/>
      <c r="G17002" s="243" t="s">
        <v>94</v>
      </c>
      <c r="H17002" s="243"/>
      <c r="I17002" s="263" t="s">
        <v>348</v>
      </c>
      <c r="J17002" s="244" t="s">
        <v>63</v>
      </c>
      <c r="K17002" s="245"/>
      <c r="L17002" s="245">
        <f>K17001</f>
        <v>392.46467817896388</v>
      </c>
    </row>
    <row r="17003" spans="1:14" x14ac:dyDescent="0.2">
      <c r="A17003" s="246">
        <v>2026</v>
      </c>
      <c r="B17003" s="238">
        <v>1</v>
      </c>
      <c r="C17003" s="238">
        <v>19</v>
      </c>
      <c r="D17003" s="270">
        <f t="shared" si="2706"/>
        <v>46041</v>
      </c>
      <c r="E17003" s="279">
        <f t="shared" si="2707"/>
        <v>46041</v>
      </c>
      <c r="F17003" s="482" t="s">
        <v>137</v>
      </c>
      <c r="G17003" s="247" t="s">
        <v>94</v>
      </c>
      <c r="H17003" s="247"/>
      <c r="I17003" s="248" t="s">
        <v>348</v>
      </c>
      <c r="J17003" s="249" t="s">
        <v>97</v>
      </c>
      <c r="K17003" s="250">
        <v>13759.597214882597</v>
      </c>
      <c r="L17003" s="252"/>
      <c r="M17003" s="170">
        <v>13759.597214882597</v>
      </c>
    </row>
    <row r="17004" spans="1:14" x14ac:dyDescent="0.2">
      <c r="A17004" s="242">
        <v>2026</v>
      </c>
      <c r="B17004" s="242">
        <v>1</v>
      </c>
      <c r="C17004" s="242">
        <v>19</v>
      </c>
      <c r="D17004" s="270">
        <f t="shared" si="2706"/>
        <v>46041</v>
      </c>
      <c r="E17004" s="279">
        <f t="shared" si="2707"/>
        <v>46041</v>
      </c>
      <c r="F17004" s="478"/>
      <c r="G17004" s="243" t="s">
        <v>94</v>
      </c>
      <c r="H17004" s="243"/>
      <c r="I17004" s="263" t="s">
        <v>348</v>
      </c>
      <c r="J17004" s="244" t="s">
        <v>47</v>
      </c>
      <c r="K17004" s="245"/>
      <c r="L17004" s="245">
        <f>K17003</f>
        <v>13759.597214882597</v>
      </c>
      <c r="M17004" s="170">
        <v>653.63920140347057</v>
      </c>
    </row>
    <row r="17005" spans="1:14" x14ac:dyDescent="0.2">
      <c r="A17005" s="246">
        <v>2026</v>
      </c>
      <c r="B17005" s="238">
        <v>1</v>
      </c>
      <c r="C17005" s="238">
        <v>19</v>
      </c>
      <c r="D17005" s="270">
        <f t="shared" si="2706"/>
        <v>46041</v>
      </c>
      <c r="E17005" s="279">
        <f t="shared" si="2707"/>
        <v>46041</v>
      </c>
      <c r="F17005" s="482" t="s">
        <v>138</v>
      </c>
      <c r="G17005" s="247" t="s">
        <v>94</v>
      </c>
      <c r="H17005" s="247"/>
      <c r="I17005" s="248" t="s">
        <v>348</v>
      </c>
      <c r="J17005" s="249" t="s">
        <v>100</v>
      </c>
      <c r="K17005" s="250">
        <v>653.63920140347057</v>
      </c>
      <c r="L17005" s="252"/>
    </row>
    <row r="17006" spans="1:14" x14ac:dyDescent="0.2">
      <c r="A17006" s="242">
        <v>2026</v>
      </c>
      <c r="B17006" s="242">
        <v>1</v>
      </c>
      <c r="C17006" s="242">
        <v>19</v>
      </c>
      <c r="D17006" s="321">
        <f t="shared" si="2706"/>
        <v>46041</v>
      </c>
      <c r="E17006" s="322">
        <f t="shared" si="2707"/>
        <v>46041</v>
      </c>
      <c r="F17006" s="478"/>
      <c r="G17006" s="243" t="s">
        <v>94</v>
      </c>
      <c r="H17006" s="243"/>
      <c r="I17006" s="263" t="s">
        <v>348</v>
      </c>
      <c r="J17006" s="244" t="s">
        <v>48</v>
      </c>
      <c r="K17006" s="245"/>
      <c r="L17006" s="245">
        <f>K17005</f>
        <v>653.63920140347057</v>
      </c>
    </row>
    <row r="17007" spans="1:14" ht="11.25" customHeight="1" x14ac:dyDescent="0.2">
      <c r="A17007" s="168">
        <v>2026</v>
      </c>
      <c r="B17007" s="133">
        <v>1</v>
      </c>
      <c r="C17007" s="168">
        <v>20</v>
      </c>
      <c r="D17007" s="141">
        <f t="shared" si="2706"/>
        <v>46042</v>
      </c>
      <c r="E17007" s="275">
        <f t="shared" si="2707"/>
        <v>46042</v>
      </c>
      <c r="F17007" s="479" t="s">
        <v>2121</v>
      </c>
      <c r="G17007" s="220" t="s">
        <v>74</v>
      </c>
      <c r="H17007" s="220"/>
      <c r="I17007" s="142"/>
      <c r="J17007" s="143" t="s">
        <v>52</v>
      </c>
      <c r="K17007" s="226">
        <v>788972.42</v>
      </c>
      <c r="L17007" s="226"/>
    </row>
    <row r="17008" spans="1:14" x14ac:dyDescent="0.2">
      <c r="A17008" s="163">
        <v>2026</v>
      </c>
      <c r="B17008" s="163">
        <v>1</v>
      </c>
      <c r="C17008" s="163">
        <v>20</v>
      </c>
      <c r="D17008" s="280">
        <f t="shared" si="2706"/>
        <v>46042</v>
      </c>
      <c r="E17008" s="281">
        <f t="shared" si="2707"/>
        <v>46042</v>
      </c>
      <c r="F17008" s="480"/>
      <c r="G17008" s="221" t="s">
        <v>74</v>
      </c>
      <c r="H17008" s="221"/>
      <c r="I17008" s="145"/>
      <c r="J17008" s="146" t="s">
        <v>190</v>
      </c>
      <c r="K17008" s="219"/>
      <c r="L17008" s="219">
        <f>K17007</f>
        <v>788972.42</v>
      </c>
      <c r="N17008" s="264"/>
    </row>
    <row r="17009" spans="1:14" ht="11.25" customHeight="1" x14ac:dyDescent="0.2">
      <c r="A17009" s="168">
        <v>2026</v>
      </c>
      <c r="B17009" s="168">
        <v>1</v>
      </c>
      <c r="C17009" s="133">
        <v>20</v>
      </c>
      <c r="D17009" s="141">
        <f>DATE(A17009,B17009,C17009)</f>
        <v>46042</v>
      </c>
      <c r="E17009" s="275">
        <f>DATE(A17009,B17009,C17009)</f>
        <v>46042</v>
      </c>
      <c r="F17009" s="479" t="s">
        <v>1319</v>
      </c>
      <c r="G17009" s="220" t="s">
        <v>74</v>
      </c>
      <c r="H17009" s="142"/>
      <c r="I17009" s="142"/>
      <c r="J17009" s="168" t="s">
        <v>52</v>
      </c>
      <c r="K17009" s="226">
        <v>5000</v>
      </c>
      <c r="L17009" s="226"/>
    </row>
    <row r="17010" spans="1:14" ht="11.25" customHeight="1" x14ac:dyDescent="0.2">
      <c r="A17010" s="133">
        <v>2026</v>
      </c>
      <c r="B17010" s="133">
        <v>1</v>
      </c>
      <c r="C17010" s="133">
        <v>20</v>
      </c>
      <c r="D17010" s="141">
        <f>DATE(A17010,B17010,C17010)</f>
        <v>46042</v>
      </c>
      <c r="E17010" s="275">
        <f>DATE(A17010,B17010,C17010)</f>
        <v>46042</v>
      </c>
      <c r="F17010" s="481"/>
      <c r="G17010" s="174" t="s">
        <v>74</v>
      </c>
      <c r="J17010" s="133" t="s">
        <v>13</v>
      </c>
      <c r="K17010" s="218"/>
      <c r="L17010" s="218">
        <v>3480</v>
      </c>
    </row>
    <row r="17011" spans="1:14" ht="11.25" customHeight="1" x14ac:dyDescent="0.2">
      <c r="A17011" s="163">
        <v>2026</v>
      </c>
      <c r="B17011" s="163">
        <v>1</v>
      </c>
      <c r="C17011" s="163">
        <v>20</v>
      </c>
      <c r="D17011" s="280">
        <f>DATE(A17011,B17011,C17011)</f>
        <v>46042</v>
      </c>
      <c r="E17011" s="281">
        <f>DATE(A17011,B17011,C17011)</f>
        <v>46042</v>
      </c>
      <c r="F17011" s="480"/>
      <c r="G17011" s="221" t="s">
        <v>74</v>
      </c>
      <c r="H17011" s="145"/>
      <c r="I17011" s="145"/>
      <c r="J17011" s="163" t="s">
        <v>53</v>
      </c>
      <c r="K17011" s="219"/>
      <c r="L17011" s="219">
        <v>1520</v>
      </c>
    </row>
    <row r="17012" spans="1:14" x14ac:dyDescent="0.2">
      <c r="A17012" s="133">
        <v>2026</v>
      </c>
      <c r="B17012" s="133">
        <v>1</v>
      </c>
      <c r="C17012" s="168">
        <v>20</v>
      </c>
      <c r="D17012" s="141">
        <f t="shared" ref="D17012:D17016" si="2708">DATE(A17012,B17012,C17012)</f>
        <v>46042</v>
      </c>
      <c r="E17012" s="275">
        <f t="shared" ref="E17012:E17016" si="2709">DATE(A17012,B17012,C17012)</f>
        <v>46042</v>
      </c>
      <c r="F17012" s="481" t="s">
        <v>2115</v>
      </c>
      <c r="G17012" s="174" t="s">
        <v>94</v>
      </c>
      <c r="H17012" s="174"/>
      <c r="J17012" s="149" t="s">
        <v>79</v>
      </c>
      <c r="K17012" s="218">
        <v>264570</v>
      </c>
      <c r="L17012" s="218"/>
      <c r="M17012" s="160"/>
    </row>
    <row r="17013" spans="1:14" x14ac:dyDescent="0.2">
      <c r="A17013" s="133">
        <v>2026</v>
      </c>
      <c r="B17013" s="133">
        <v>1</v>
      </c>
      <c r="C17013" s="133">
        <v>20</v>
      </c>
      <c r="D17013" s="147">
        <f t="shared" si="2708"/>
        <v>46042</v>
      </c>
      <c r="E17013" s="311">
        <f t="shared" si="2709"/>
        <v>46042</v>
      </c>
      <c r="F17013" s="481"/>
      <c r="G17013" s="174" t="s">
        <v>94</v>
      </c>
      <c r="H17013" s="174"/>
      <c r="J17013" s="149" t="s">
        <v>80</v>
      </c>
      <c r="K17013" s="218">
        <v>886.99</v>
      </c>
      <c r="L17013" s="264"/>
      <c r="M17013" s="264"/>
      <c r="N17013" s="264"/>
    </row>
    <row r="17014" spans="1:14" x14ac:dyDescent="0.2">
      <c r="A17014" s="133">
        <v>2026</v>
      </c>
      <c r="B17014" s="133">
        <v>1</v>
      </c>
      <c r="C17014" s="133">
        <v>20</v>
      </c>
      <c r="D17014" s="147">
        <f t="shared" si="2708"/>
        <v>46042</v>
      </c>
      <c r="E17014" s="311">
        <f t="shared" si="2709"/>
        <v>46042</v>
      </c>
      <c r="F17014" s="481"/>
      <c r="G17014" s="174" t="s">
        <v>94</v>
      </c>
      <c r="H17014" s="174"/>
      <c r="J17014" s="149" t="s">
        <v>147</v>
      </c>
      <c r="K17014" s="218"/>
      <c r="L17014" s="218">
        <v>37256.99</v>
      </c>
      <c r="M17014" s="264"/>
    </row>
    <row r="17015" spans="1:14" x14ac:dyDescent="0.2">
      <c r="A17015" s="133">
        <v>2026</v>
      </c>
      <c r="B17015" s="133">
        <v>1</v>
      </c>
      <c r="C17015" s="133">
        <v>20</v>
      </c>
      <c r="D17015" s="147">
        <f t="shared" si="2708"/>
        <v>46042</v>
      </c>
      <c r="E17015" s="311">
        <f t="shared" si="2709"/>
        <v>46042</v>
      </c>
      <c r="F17015" s="481"/>
      <c r="G17015" s="174" t="s">
        <v>94</v>
      </c>
      <c r="H17015" s="174"/>
      <c r="J17015" s="149" t="s">
        <v>191</v>
      </c>
      <c r="K17015" s="218"/>
      <c r="L17015" s="218">
        <v>16504.259999999998</v>
      </c>
    </row>
    <row r="17016" spans="1:14" x14ac:dyDescent="0.2">
      <c r="A17016" s="163">
        <v>2026</v>
      </c>
      <c r="B17016" s="163">
        <v>1</v>
      </c>
      <c r="C17016" s="163">
        <v>20</v>
      </c>
      <c r="D17016" s="144">
        <f t="shared" si="2708"/>
        <v>46042</v>
      </c>
      <c r="E17016" s="313">
        <f t="shared" si="2709"/>
        <v>46042</v>
      </c>
      <c r="F17016" s="480"/>
      <c r="G17016" s="221" t="s">
        <v>94</v>
      </c>
      <c r="H17016" s="145"/>
      <c r="I17016" s="145"/>
      <c r="J17016" s="163" t="s">
        <v>79</v>
      </c>
      <c r="K17016" s="219"/>
      <c r="L17016" s="219">
        <v>211695.74</v>
      </c>
      <c r="M17016" s="264"/>
    </row>
    <row r="17017" spans="1:14" ht="11.25" customHeight="1" x14ac:dyDescent="0.2">
      <c r="A17017" s="168">
        <v>2026</v>
      </c>
      <c r="B17017" s="168">
        <v>1</v>
      </c>
      <c r="C17017" s="133">
        <v>20</v>
      </c>
      <c r="D17017" s="141">
        <f t="shared" ref="D17017:D17023" si="2710">DATE(A17017,B17017,C17017)</f>
        <v>46042</v>
      </c>
      <c r="E17017" s="275">
        <f t="shared" ref="E17017:E17023" si="2711">DATE(A17017,B17017,C17017)</f>
        <v>46042</v>
      </c>
      <c r="F17017" s="479" t="s">
        <v>964</v>
      </c>
      <c r="G17017" s="220" t="s">
        <v>74</v>
      </c>
      <c r="H17017" s="142"/>
      <c r="I17017" s="142"/>
      <c r="J17017" s="168" t="s">
        <v>52</v>
      </c>
      <c r="K17017" s="226">
        <v>2001570</v>
      </c>
      <c r="L17017" s="226"/>
    </row>
    <row r="17018" spans="1:14" ht="11.25" customHeight="1" x14ac:dyDescent="0.2">
      <c r="A17018" s="133">
        <v>2026</v>
      </c>
      <c r="B17018" s="133">
        <v>1</v>
      </c>
      <c r="C17018" s="133">
        <v>20</v>
      </c>
      <c r="D17018" s="147">
        <f t="shared" si="2710"/>
        <v>46042</v>
      </c>
      <c r="E17018" s="311">
        <f t="shared" si="2711"/>
        <v>46042</v>
      </c>
      <c r="F17018" s="481"/>
      <c r="G17018" s="174" t="s">
        <v>74</v>
      </c>
      <c r="J17018" s="133" t="s">
        <v>13</v>
      </c>
      <c r="K17018" s="218"/>
      <c r="L17018" s="218">
        <v>1426640</v>
      </c>
    </row>
    <row r="17019" spans="1:14" ht="11.25" customHeight="1" x14ac:dyDescent="0.2">
      <c r="A17019" s="163">
        <v>2026</v>
      </c>
      <c r="B17019" s="163">
        <v>1</v>
      </c>
      <c r="C17019" s="163">
        <v>20</v>
      </c>
      <c r="D17019" s="144">
        <f t="shared" si="2710"/>
        <v>46042</v>
      </c>
      <c r="E17019" s="313">
        <f t="shared" si="2711"/>
        <v>46042</v>
      </c>
      <c r="F17019" s="480"/>
      <c r="G17019" s="221" t="s">
        <v>74</v>
      </c>
      <c r="H17019" s="145"/>
      <c r="I17019" s="145"/>
      <c r="J17019" s="163" t="s">
        <v>53</v>
      </c>
      <c r="K17019" s="219"/>
      <c r="L17019" s="219">
        <v>574930</v>
      </c>
    </row>
    <row r="17020" spans="1:14" x14ac:dyDescent="0.2">
      <c r="A17020" s="168">
        <v>2026</v>
      </c>
      <c r="B17020" s="133">
        <v>1</v>
      </c>
      <c r="C17020" s="168">
        <v>20</v>
      </c>
      <c r="D17020" s="147">
        <f t="shared" si="2710"/>
        <v>46042</v>
      </c>
      <c r="E17020" s="311">
        <f t="shared" si="2711"/>
        <v>46042</v>
      </c>
      <c r="F17020" s="481" t="s">
        <v>1943</v>
      </c>
      <c r="G17020" s="174" t="s">
        <v>74</v>
      </c>
      <c r="I17020" s="148" t="s">
        <v>348</v>
      </c>
      <c r="J17020" s="133" t="s">
        <v>61</v>
      </c>
      <c r="K17020" s="172">
        <v>50</v>
      </c>
    </row>
    <row r="17021" spans="1:14" x14ac:dyDescent="0.2">
      <c r="A17021" s="163">
        <v>2026</v>
      </c>
      <c r="B17021" s="163">
        <v>1</v>
      </c>
      <c r="C17021" s="163">
        <v>20</v>
      </c>
      <c r="D17021" s="280">
        <f t="shared" si="2710"/>
        <v>46042</v>
      </c>
      <c r="E17021" s="281">
        <f t="shared" si="2711"/>
        <v>46042</v>
      </c>
      <c r="F17021" s="480"/>
      <c r="G17021" s="221" t="s">
        <v>74</v>
      </c>
      <c r="H17021" s="145"/>
      <c r="I17021" s="145" t="s">
        <v>348</v>
      </c>
      <c r="J17021" s="163" t="s">
        <v>52</v>
      </c>
      <c r="K17021" s="219"/>
      <c r="L17021" s="219">
        <f>K17020</f>
        <v>50</v>
      </c>
    </row>
    <row r="17022" spans="1:14" x14ac:dyDescent="0.2">
      <c r="A17022" s="168">
        <v>2026</v>
      </c>
      <c r="B17022" s="133">
        <v>1</v>
      </c>
      <c r="C17022" s="168">
        <v>20</v>
      </c>
      <c r="D17022" s="147">
        <f t="shared" si="2710"/>
        <v>46042</v>
      </c>
      <c r="E17022" s="311">
        <f t="shared" si="2711"/>
        <v>46042</v>
      </c>
      <c r="F17022" s="481" t="s">
        <v>1956</v>
      </c>
      <c r="G17022" s="174" t="s">
        <v>74</v>
      </c>
      <c r="I17022" s="148" t="s">
        <v>348</v>
      </c>
      <c r="J17022" s="133" t="s">
        <v>61</v>
      </c>
      <c r="K17022" s="172">
        <v>60</v>
      </c>
    </row>
    <row r="17023" spans="1:14" x14ac:dyDescent="0.2">
      <c r="A17023" s="163">
        <v>2026</v>
      </c>
      <c r="B17023" s="163">
        <v>1</v>
      </c>
      <c r="C17023" s="163">
        <v>20</v>
      </c>
      <c r="D17023" s="280">
        <f t="shared" si="2710"/>
        <v>46042</v>
      </c>
      <c r="E17023" s="281">
        <f t="shared" si="2711"/>
        <v>46042</v>
      </c>
      <c r="F17023" s="480"/>
      <c r="G17023" s="221" t="s">
        <v>74</v>
      </c>
      <c r="H17023" s="145"/>
      <c r="I17023" s="145" t="s">
        <v>348</v>
      </c>
      <c r="J17023" s="163" t="s">
        <v>52</v>
      </c>
      <c r="K17023" s="219"/>
      <c r="L17023" s="219">
        <f>K17022</f>
        <v>60</v>
      </c>
    </row>
    <row r="17024" spans="1:14" x14ac:dyDescent="0.2">
      <c r="A17024" s="325">
        <v>2026</v>
      </c>
      <c r="B17024" s="325">
        <v>1</v>
      </c>
      <c r="C17024" s="325">
        <v>20</v>
      </c>
      <c r="D17024" s="326">
        <f t="shared" ref="D17024:D17044" si="2712">DATE(A17024,B17024,C17024)</f>
        <v>46042</v>
      </c>
      <c r="E17024" s="327">
        <f t="shared" ref="E17024:E17044" si="2713">DATE(A17024,B17024,C17024)</f>
        <v>46042</v>
      </c>
      <c r="F17024" s="473" t="s">
        <v>1940</v>
      </c>
      <c r="G17024" s="340" t="s">
        <v>94</v>
      </c>
      <c r="H17024" s="340"/>
      <c r="I17024" s="341" t="s">
        <v>348</v>
      </c>
      <c r="J17024" s="374" t="s">
        <v>133</v>
      </c>
      <c r="K17024" s="375">
        <v>2104.17</v>
      </c>
      <c r="L17024" s="375"/>
      <c r="M17024" s="176"/>
    </row>
    <row r="17025" spans="1:14" x14ac:dyDescent="0.2">
      <c r="A17025" s="331">
        <v>2026</v>
      </c>
      <c r="B17025" s="331">
        <v>1</v>
      </c>
      <c r="C17025" s="331">
        <v>20</v>
      </c>
      <c r="D17025" s="326">
        <f t="shared" si="2712"/>
        <v>46042</v>
      </c>
      <c r="E17025" s="327">
        <f t="shared" si="2713"/>
        <v>46042</v>
      </c>
      <c r="F17025" s="474"/>
      <c r="G17025" s="332" t="s">
        <v>94</v>
      </c>
      <c r="H17025" s="332"/>
      <c r="I17025" s="333" t="s">
        <v>348</v>
      </c>
      <c r="J17025" s="376" t="s">
        <v>2153</v>
      </c>
      <c r="K17025" s="334"/>
      <c r="L17025" s="334">
        <f>K17024</f>
        <v>2104.17</v>
      </c>
    </row>
    <row r="17026" spans="1:14" x14ac:dyDescent="0.2">
      <c r="A17026" s="325">
        <v>2026</v>
      </c>
      <c r="B17026" s="325">
        <v>1</v>
      </c>
      <c r="C17026" s="325">
        <v>20</v>
      </c>
      <c r="D17026" s="326">
        <f t="shared" si="2712"/>
        <v>46042</v>
      </c>
      <c r="E17026" s="327">
        <f t="shared" si="2713"/>
        <v>46042</v>
      </c>
      <c r="F17026" s="473" t="s">
        <v>2131</v>
      </c>
      <c r="G17026" s="340" t="s">
        <v>94</v>
      </c>
      <c r="H17026" s="340"/>
      <c r="I17026" s="341" t="s">
        <v>348</v>
      </c>
      <c r="J17026" s="374" t="s">
        <v>2156</v>
      </c>
      <c r="K17026" s="375">
        <v>6185.4395604395604</v>
      </c>
      <c r="L17026" s="375"/>
      <c r="M17026" s="176"/>
    </row>
    <row r="17027" spans="1:14" x14ac:dyDescent="0.2">
      <c r="A17027" s="331">
        <v>2026</v>
      </c>
      <c r="B17027" s="331">
        <v>1</v>
      </c>
      <c r="C17027" s="331">
        <v>20</v>
      </c>
      <c r="D17027" s="326">
        <f t="shared" si="2712"/>
        <v>46042</v>
      </c>
      <c r="E17027" s="327">
        <f t="shared" si="2713"/>
        <v>46042</v>
      </c>
      <c r="F17027" s="474"/>
      <c r="G17027" s="332" t="s">
        <v>94</v>
      </c>
      <c r="H17027" s="332"/>
      <c r="I17027" s="333" t="s">
        <v>348</v>
      </c>
      <c r="J17027" s="376" t="s">
        <v>2154</v>
      </c>
      <c r="K17027" s="334"/>
      <c r="L17027" s="334">
        <f>K17026</f>
        <v>6185.4395604395604</v>
      </c>
    </row>
    <row r="17028" spans="1:14" x14ac:dyDescent="0.2">
      <c r="A17028" s="384">
        <v>2026</v>
      </c>
      <c r="B17028" s="384">
        <v>1</v>
      </c>
      <c r="C17028" s="384">
        <v>20</v>
      </c>
      <c r="D17028" s="385">
        <f t="shared" si="2712"/>
        <v>46042</v>
      </c>
      <c r="E17028" s="386">
        <f t="shared" si="2713"/>
        <v>46042</v>
      </c>
      <c r="F17028" s="475" t="s">
        <v>1966</v>
      </c>
      <c r="G17028" s="387" t="s">
        <v>94</v>
      </c>
      <c r="H17028" s="387"/>
      <c r="I17028" s="388" t="s">
        <v>348</v>
      </c>
      <c r="J17028" s="389" t="s">
        <v>67</v>
      </c>
      <c r="K17028" s="390">
        <v>423.46348194444448</v>
      </c>
      <c r="L17028" s="390"/>
    </row>
    <row r="17029" spans="1:14" x14ac:dyDescent="0.2">
      <c r="A17029" s="391">
        <v>2026</v>
      </c>
      <c r="B17029" s="391">
        <v>1</v>
      </c>
      <c r="C17029" s="391">
        <v>20</v>
      </c>
      <c r="D17029" s="385">
        <f t="shared" si="2712"/>
        <v>46042</v>
      </c>
      <c r="E17029" s="386">
        <f t="shared" si="2713"/>
        <v>46042</v>
      </c>
      <c r="F17029" s="476"/>
      <c r="G17029" s="392" t="s">
        <v>94</v>
      </c>
      <c r="H17029" s="392"/>
      <c r="I17029" s="393" t="s">
        <v>348</v>
      </c>
      <c r="J17029" s="394" t="s">
        <v>2155</v>
      </c>
      <c r="K17029" s="395"/>
      <c r="L17029" s="395">
        <f>K17028</f>
        <v>423.46348194444448</v>
      </c>
    </row>
    <row r="17030" spans="1:14" x14ac:dyDescent="0.2">
      <c r="A17030" s="238">
        <v>2026</v>
      </c>
      <c r="B17030" s="238">
        <v>1</v>
      </c>
      <c r="C17030" s="238">
        <v>20</v>
      </c>
      <c r="D17030" s="270">
        <f t="shared" si="2712"/>
        <v>46042</v>
      </c>
      <c r="E17030" s="279">
        <f t="shared" si="2713"/>
        <v>46042</v>
      </c>
      <c r="F17030" s="477" t="s">
        <v>347</v>
      </c>
      <c r="G17030" s="239" t="s">
        <v>94</v>
      </c>
      <c r="H17030" s="239"/>
      <c r="I17030" s="262" t="s">
        <v>348</v>
      </c>
      <c r="J17030" s="240" t="s">
        <v>108</v>
      </c>
      <c r="K17030" s="241">
        <v>345959.24000003934</v>
      </c>
      <c r="L17030" s="241"/>
      <c r="M17030" s="160"/>
    </row>
    <row r="17031" spans="1:14" x14ac:dyDescent="0.2">
      <c r="A17031" s="242">
        <v>2026</v>
      </c>
      <c r="B17031" s="242">
        <v>1</v>
      </c>
      <c r="C17031" s="242">
        <v>20</v>
      </c>
      <c r="D17031" s="270">
        <f t="shared" si="2712"/>
        <v>46042</v>
      </c>
      <c r="E17031" s="279">
        <f t="shared" si="2713"/>
        <v>46042</v>
      </c>
      <c r="F17031" s="478"/>
      <c r="G17031" s="243" t="s">
        <v>94</v>
      </c>
      <c r="H17031" s="243"/>
      <c r="I17031" s="263" t="s">
        <v>348</v>
      </c>
      <c r="J17031" s="244" t="s">
        <v>82</v>
      </c>
      <c r="K17031" s="245"/>
      <c r="L17031" s="245">
        <f>K17030</f>
        <v>345959.24000003934</v>
      </c>
    </row>
    <row r="17032" spans="1:14" ht="12" customHeight="1" x14ac:dyDescent="0.2">
      <c r="A17032" s="246">
        <v>2026</v>
      </c>
      <c r="B17032" s="238">
        <v>1</v>
      </c>
      <c r="C17032" s="238">
        <v>20</v>
      </c>
      <c r="D17032" s="270">
        <f t="shared" si="2712"/>
        <v>46042</v>
      </c>
      <c r="E17032" s="279">
        <f t="shared" si="2713"/>
        <v>46042</v>
      </c>
      <c r="F17032" s="482" t="s">
        <v>148</v>
      </c>
      <c r="G17032" s="247" t="s">
        <v>94</v>
      </c>
      <c r="H17032" s="247"/>
      <c r="I17032" s="248" t="s">
        <v>348</v>
      </c>
      <c r="J17032" s="249" t="s">
        <v>95</v>
      </c>
      <c r="K17032" s="250">
        <v>392.46467817896388</v>
      </c>
      <c r="L17032" s="241"/>
      <c r="M17032" s="176"/>
    </row>
    <row r="17033" spans="1:14" x14ac:dyDescent="0.2">
      <c r="A17033" s="242">
        <v>2026</v>
      </c>
      <c r="B17033" s="242">
        <v>1</v>
      </c>
      <c r="C17033" s="242">
        <v>20</v>
      </c>
      <c r="D17033" s="270">
        <f t="shared" si="2712"/>
        <v>46042</v>
      </c>
      <c r="E17033" s="279">
        <f t="shared" si="2713"/>
        <v>46042</v>
      </c>
      <c r="F17033" s="478"/>
      <c r="G17033" s="243" t="s">
        <v>94</v>
      </c>
      <c r="H17033" s="243"/>
      <c r="I17033" s="263" t="s">
        <v>348</v>
      </c>
      <c r="J17033" s="244" t="s">
        <v>63</v>
      </c>
      <c r="K17033" s="245"/>
      <c r="L17033" s="245">
        <f>K17032</f>
        <v>392.46467817896388</v>
      </c>
    </row>
    <row r="17034" spans="1:14" x14ac:dyDescent="0.2">
      <c r="A17034" s="246">
        <v>2026</v>
      </c>
      <c r="B17034" s="238">
        <v>1</v>
      </c>
      <c r="C17034" s="238">
        <v>20</v>
      </c>
      <c r="D17034" s="270">
        <f t="shared" si="2712"/>
        <v>46042</v>
      </c>
      <c r="E17034" s="279">
        <f t="shared" si="2713"/>
        <v>46042</v>
      </c>
      <c r="F17034" s="482" t="s">
        <v>137</v>
      </c>
      <c r="G17034" s="247" t="s">
        <v>94</v>
      </c>
      <c r="H17034" s="247"/>
      <c r="I17034" s="248" t="s">
        <v>348</v>
      </c>
      <c r="J17034" s="249" t="s">
        <v>97</v>
      </c>
      <c r="K17034" s="250">
        <f>M17034</f>
        <v>13888.486790975858</v>
      </c>
      <c r="L17034" s="252"/>
      <c r="M17034" s="170">
        <v>13888.486790975858</v>
      </c>
    </row>
    <row r="17035" spans="1:14" x14ac:dyDescent="0.2">
      <c r="A17035" s="242">
        <v>2026</v>
      </c>
      <c r="B17035" s="242">
        <v>1</v>
      </c>
      <c r="C17035" s="242">
        <v>20</v>
      </c>
      <c r="D17035" s="270">
        <f t="shared" si="2712"/>
        <v>46042</v>
      </c>
      <c r="E17035" s="279">
        <f t="shared" si="2713"/>
        <v>46042</v>
      </c>
      <c r="F17035" s="478"/>
      <c r="G17035" s="243" t="s">
        <v>94</v>
      </c>
      <c r="H17035" s="243"/>
      <c r="I17035" s="263" t="s">
        <v>348</v>
      </c>
      <c r="J17035" s="244" t="s">
        <v>47</v>
      </c>
      <c r="K17035" s="245"/>
      <c r="L17035" s="245">
        <f>K17034</f>
        <v>13888.486790975858</v>
      </c>
      <c r="M17035" s="170">
        <v>660.08368020813339</v>
      </c>
    </row>
    <row r="17036" spans="1:14" x14ac:dyDescent="0.2">
      <c r="A17036" s="246">
        <v>2026</v>
      </c>
      <c r="B17036" s="238">
        <v>1</v>
      </c>
      <c r="C17036" s="238">
        <v>20</v>
      </c>
      <c r="D17036" s="270">
        <f t="shared" si="2712"/>
        <v>46042</v>
      </c>
      <c r="E17036" s="279">
        <f t="shared" si="2713"/>
        <v>46042</v>
      </c>
      <c r="F17036" s="482" t="s">
        <v>138</v>
      </c>
      <c r="G17036" s="247" t="s">
        <v>94</v>
      </c>
      <c r="H17036" s="247"/>
      <c r="I17036" s="248" t="s">
        <v>348</v>
      </c>
      <c r="J17036" s="249" t="s">
        <v>100</v>
      </c>
      <c r="K17036" s="250">
        <f>M17035</f>
        <v>660.08368020813339</v>
      </c>
      <c r="L17036" s="252"/>
    </row>
    <row r="17037" spans="1:14" x14ac:dyDescent="0.2">
      <c r="A17037" s="242">
        <v>2026</v>
      </c>
      <c r="B17037" s="242">
        <v>1</v>
      </c>
      <c r="C17037" s="242">
        <v>20</v>
      </c>
      <c r="D17037" s="321">
        <f t="shared" si="2712"/>
        <v>46042</v>
      </c>
      <c r="E17037" s="322">
        <f t="shared" si="2713"/>
        <v>46042</v>
      </c>
      <c r="F17037" s="478"/>
      <c r="G17037" s="243" t="s">
        <v>94</v>
      </c>
      <c r="H17037" s="243"/>
      <c r="I17037" s="263" t="s">
        <v>348</v>
      </c>
      <c r="J17037" s="244" t="s">
        <v>48</v>
      </c>
      <c r="K17037" s="245"/>
      <c r="L17037" s="245">
        <f>K17036</f>
        <v>660.08368020813339</v>
      </c>
    </row>
    <row r="17038" spans="1:14" x14ac:dyDescent="0.2">
      <c r="A17038" s="133">
        <v>2026</v>
      </c>
      <c r="B17038" s="133">
        <v>1</v>
      </c>
      <c r="C17038" s="168">
        <v>21</v>
      </c>
      <c r="D17038" s="141">
        <f t="shared" si="2712"/>
        <v>46043</v>
      </c>
      <c r="E17038" s="275">
        <f t="shared" si="2713"/>
        <v>46043</v>
      </c>
      <c r="F17038" s="481" t="s">
        <v>2115</v>
      </c>
      <c r="G17038" s="174" t="s">
        <v>94</v>
      </c>
      <c r="H17038" s="174"/>
      <c r="J17038" s="149" t="s">
        <v>79</v>
      </c>
      <c r="K17038" s="218">
        <v>4141654.8</v>
      </c>
      <c r="L17038" s="218"/>
      <c r="M17038" s="160"/>
    </row>
    <row r="17039" spans="1:14" x14ac:dyDescent="0.2">
      <c r="A17039" s="133">
        <v>2026</v>
      </c>
      <c r="B17039" s="133">
        <v>1</v>
      </c>
      <c r="C17039" s="133">
        <v>21</v>
      </c>
      <c r="D17039" s="147">
        <f t="shared" si="2712"/>
        <v>46043</v>
      </c>
      <c r="E17039" s="311">
        <f t="shared" si="2713"/>
        <v>46043</v>
      </c>
      <c r="F17039" s="481"/>
      <c r="G17039" s="174" t="s">
        <v>94</v>
      </c>
      <c r="H17039" s="174"/>
      <c r="J17039" s="149" t="s">
        <v>80</v>
      </c>
      <c r="K17039" s="218">
        <v>8939.3799999999992</v>
      </c>
      <c r="L17039" s="264"/>
      <c r="M17039" s="264"/>
      <c r="N17039" s="264"/>
    </row>
    <row r="17040" spans="1:14" x14ac:dyDescent="0.2">
      <c r="A17040" s="133">
        <v>2026</v>
      </c>
      <c r="B17040" s="133">
        <v>1</v>
      </c>
      <c r="C17040" s="133">
        <v>21</v>
      </c>
      <c r="D17040" s="147">
        <f t="shared" si="2712"/>
        <v>46043</v>
      </c>
      <c r="E17040" s="311">
        <f t="shared" si="2713"/>
        <v>46043</v>
      </c>
      <c r="F17040" s="481"/>
      <c r="G17040" s="174" t="s">
        <v>94</v>
      </c>
      <c r="H17040" s="174"/>
      <c r="J17040" s="149" t="s">
        <v>147</v>
      </c>
      <c r="K17040" s="218"/>
      <c r="L17040" s="218">
        <v>3325924.18</v>
      </c>
      <c r="M17040" s="264"/>
    </row>
    <row r="17041" spans="1:14" x14ac:dyDescent="0.2">
      <c r="A17041" s="133">
        <v>2026</v>
      </c>
      <c r="B17041" s="133">
        <v>1</v>
      </c>
      <c r="C17041" s="133">
        <v>21</v>
      </c>
      <c r="D17041" s="147">
        <f t="shared" si="2712"/>
        <v>46043</v>
      </c>
      <c r="E17041" s="311">
        <f t="shared" si="2713"/>
        <v>46043</v>
      </c>
      <c r="F17041" s="481"/>
      <c r="G17041" s="174" t="s">
        <v>94</v>
      </c>
      <c r="H17041" s="174"/>
      <c r="J17041" s="149" t="s">
        <v>191</v>
      </c>
      <c r="K17041" s="218"/>
      <c r="L17041" s="218">
        <v>36624.51</v>
      </c>
    </row>
    <row r="17042" spans="1:14" x14ac:dyDescent="0.2">
      <c r="A17042" s="163">
        <v>2026</v>
      </c>
      <c r="B17042" s="163">
        <v>1</v>
      </c>
      <c r="C17042" s="163">
        <v>21</v>
      </c>
      <c r="D17042" s="144">
        <f t="shared" si="2712"/>
        <v>46043</v>
      </c>
      <c r="E17042" s="313">
        <f t="shared" si="2713"/>
        <v>46043</v>
      </c>
      <c r="F17042" s="480"/>
      <c r="G17042" s="221" t="s">
        <v>94</v>
      </c>
      <c r="H17042" s="145"/>
      <c r="I17042" s="145"/>
      <c r="J17042" s="163" t="s">
        <v>79</v>
      </c>
      <c r="K17042" s="219"/>
      <c r="L17042" s="219">
        <v>788045.49</v>
      </c>
      <c r="M17042" s="264"/>
    </row>
    <row r="17043" spans="1:14" ht="11.25" customHeight="1" x14ac:dyDescent="0.2">
      <c r="A17043" s="168">
        <v>2026</v>
      </c>
      <c r="B17043" s="133">
        <v>1</v>
      </c>
      <c r="C17043" s="168">
        <v>21</v>
      </c>
      <c r="D17043" s="141">
        <f t="shared" si="2712"/>
        <v>46043</v>
      </c>
      <c r="E17043" s="275">
        <f t="shared" si="2713"/>
        <v>46043</v>
      </c>
      <c r="F17043" s="479" t="s">
        <v>2121</v>
      </c>
      <c r="G17043" s="220" t="s">
        <v>74</v>
      </c>
      <c r="H17043" s="220"/>
      <c r="I17043" s="142"/>
      <c r="J17043" s="143" t="s">
        <v>52</v>
      </c>
      <c r="K17043" s="226">
        <v>305105.7</v>
      </c>
      <c r="L17043" s="226"/>
    </row>
    <row r="17044" spans="1:14" x14ac:dyDescent="0.2">
      <c r="A17044" s="163">
        <v>2026</v>
      </c>
      <c r="B17044" s="163">
        <v>1</v>
      </c>
      <c r="C17044" s="163">
        <v>21</v>
      </c>
      <c r="D17044" s="280">
        <f t="shared" si="2712"/>
        <v>46043</v>
      </c>
      <c r="E17044" s="281">
        <f t="shared" si="2713"/>
        <v>46043</v>
      </c>
      <c r="F17044" s="480"/>
      <c r="G17044" s="221" t="s">
        <v>74</v>
      </c>
      <c r="H17044" s="221"/>
      <c r="I17044" s="145"/>
      <c r="J17044" s="146" t="s">
        <v>190</v>
      </c>
      <c r="K17044" s="219"/>
      <c r="L17044" s="219">
        <f>K17043</f>
        <v>305105.7</v>
      </c>
      <c r="N17044" s="264"/>
    </row>
    <row r="17045" spans="1:14" ht="11.25" customHeight="1" x14ac:dyDescent="0.2">
      <c r="A17045" s="168">
        <v>2026</v>
      </c>
      <c r="B17045" s="168">
        <v>1</v>
      </c>
      <c r="C17045" s="133">
        <v>21</v>
      </c>
      <c r="D17045" s="141">
        <f>DATE(A17045,B17045,C17045)</f>
        <v>46043</v>
      </c>
      <c r="E17045" s="275">
        <f>DATE(A17045,B17045,C17045)</f>
        <v>46043</v>
      </c>
      <c r="F17045" s="479" t="s">
        <v>964</v>
      </c>
      <c r="G17045" s="220" t="s">
        <v>74</v>
      </c>
      <c r="H17045" s="142"/>
      <c r="I17045" s="142"/>
      <c r="J17045" s="168" t="s">
        <v>52</v>
      </c>
      <c r="K17045" s="226">
        <v>10500000</v>
      </c>
      <c r="L17045" s="226"/>
    </row>
    <row r="17046" spans="1:14" ht="11.25" customHeight="1" x14ac:dyDescent="0.2">
      <c r="A17046" s="133">
        <v>2026</v>
      </c>
      <c r="B17046" s="133">
        <v>1</v>
      </c>
      <c r="C17046" s="133">
        <v>21</v>
      </c>
      <c r="D17046" s="147">
        <f>DATE(A17046,B17046,C17046)</f>
        <v>46043</v>
      </c>
      <c r="E17046" s="311">
        <f>DATE(A17046,B17046,C17046)</f>
        <v>46043</v>
      </c>
      <c r="F17046" s="481"/>
      <c r="G17046" s="174" t="s">
        <v>74</v>
      </c>
      <c r="J17046" s="133" t="s">
        <v>13</v>
      </c>
      <c r="K17046" s="218"/>
      <c r="L17046" s="218">
        <v>7298600</v>
      </c>
    </row>
    <row r="17047" spans="1:14" ht="11.25" customHeight="1" x14ac:dyDescent="0.2">
      <c r="A17047" s="163">
        <v>2026</v>
      </c>
      <c r="B17047" s="163">
        <v>1</v>
      </c>
      <c r="C17047" s="163">
        <v>21</v>
      </c>
      <c r="D17047" s="144">
        <f>DATE(A17047,B17047,C17047)</f>
        <v>46043</v>
      </c>
      <c r="E17047" s="313">
        <f>DATE(A17047,B17047,C17047)</f>
        <v>46043</v>
      </c>
      <c r="F17047" s="480"/>
      <c r="G17047" s="221" t="s">
        <v>74</v>
      </c>
      <c r="H17047" s="145"/>
      <c r="I17047" s="145"/>
      <c r="J17047" s="163" t="s">
        <v>53</v>
      </c>
      <c r="K17047" s="219"/>
      <c r="L17047" s="219">
        <v>3201400</v>
      </c>
    </row>
    <row r="17048" spans="1:14" x14ac:dyDescent="0.2">
      <c r="A17048" s="168">
        <v>2026</v>
      </c>
      <c r="B17048" s="133">
        <v>1</v>
      </c>
      <c r="C17048" s="168">
        <v>21</v>
      </c>
      <c r="D17048" s="147">
        <f>DATE(A17048,B17048,C17048)</f>
        <v>46043</v>
      </c>
      <c r="E17048" s="311">
        <f>DATE(A17048,B17048,C17048)</f>
        <v>46043</v>
      </c>
      <c r="F17048" s="481" t="s">
        <v>1943</v>
      </c>
      <c r="G17048" s="174" t="s">
        <v>74</v>
      </c>
      <c r="I17048" s="148" t="s">
        <v>348</v>
      </c>
      <c r="J17048" s="133" t="s">
        <v>61</v>
      </c>
      <c r="K17048" s="172">
        <v>25</v>
      </c>
    </row>
    <row r="17049" spans="1:14" x14ac:dyDescent="0.2">
      <c r="A17049" s="163">
        <v>2026</v>
      </c>
      <c r="B17049" s="163">
        <v>1</v>
      </c>
      <c r="C17049" s="163">
        <v>21</v>
      </c>
      <c r="D17049" s="280">
        <f>DATE(A17049,B17049,C17049)</f>
        <v>46043</v>
      </c>
      <c r="E17049" s="281">
        <f>DATE(A17049,B17049,C17049)</f>
        <v>46043</v>
      </c>
      <c r="F17049" s="480"/>
      <c r="G17049" s="221" t="s">
        <v>74</v>
      </c>
      <c r="H17049" s="145"/>
      <c r="I17049" s="145" t="s">
        <v>348</v>
      </c>
      <c r="J17049" s="163" t="s">
        <v>52</v>
      </c>
      <c r="K17049" s="219"/>
      <c r="L17049" s="219">
        <f>K17048</f>
        <v>25</v>
      </c>
    </row>
    <row r="17050" spans="1:14" x14ac:dyDescent="0.2">
      <c r="A17050" s="325">
        <v>2026</v>
      </c>
      <c r="B17050" s="325">
        <v>1</v>
      </c>
      <c r="C17050" s="325">
        <v>21</v>
      </c>
      <c r="D17050" s="326">
        <f t="shared" ref="D17050:D17068" si="2714">DATE(A17050,B17050,C17050)</f>
        <v>46043</v>
      </c>
      <c r="E17050" s="327">
        <f t="shared" ref="E17050:E17068" si="2715">DATE(A17050,B17050,C17050)</f>
        <v>46043</v>
      </c>
      <c r="F17050" s="473" t="s">
        <v>1940</v>
      </c>
      <c r="G17050" s="340" t="s">
        <v>94</v>
      </c>
      <c r="H17050" s="340"/>
      <c r="I17050" s="341" t="s">
        <v>348</v>
      </c>
      <c r="J17050" s="374" t="s">
        <v>133</v>
      </c>
      <c r="K17050" s="375">
        <v>2104.17</v>
      </c>
      <c r="L17050" s="375"/>
      <c r="M17050" s="176"/>
    </row>
    <row r="17051" spans="1:14" x14ac:dyDescent="0.2">
      <c r="A17051" s="331">
        <v>2026</v>
      </c>
      <c r="B17051" s="331">
        <v>1</v>
      </c>
      <c r="C17051" s="331">
        <v>21</v>
      </c>
      <c r="D17051" s="326">
        <f t="shared" si="2714"/>
        <v>46043</v>
      </c>
      <c r="E17051" s="327">
        <f t="shared" si="2715"/>
        <v>46043</v>
      </c>
      <c r="F17051" s="474"/>
      <c r="G17051" s="332" t="s">
        <v>94</v>
      </c>
      <c r="H17051" s="332"/>
      <c r="I17051" s="333" t="s">
        <v>348</v>
      </c>
      <c r="J17051" s="376" t="s">
        <v>2153</v>
      </c>
      <c r="K17051" s="334"/>
      <c r="L17051" s="334">
        <f>K17050</f>
        <v>2104.17</v>
      </c>
    </row>
    <row r="17052" spans="1:14" x14ac:dyDescent="0.2">
      <c r="A17052" s="325">
        <v>2026</v>
      </c>
      <c r="B17052" s="325">
        <v>1</v>
      </c>
      <c r="C17052" s="325">
        <v>21</v>
      </c>
      <c r="D17052" s="326">
        <f t="shared" si="2714"/>
        <v>46043</v>
      </c>
      <c r="E17052" s="327">
        <f t="shared" si="2715"/>
        <v>46043</v>
      </c>
      <c r="F17052" s="473" t="s">
        <v>2131</v>
      </c>
      <c r="G17052" s="340" t="s">
        <v>94</v>
      </c>
      <c r="H17052" s="340"/>
      <c r="I17052" s="341" t="s">
        <v>348</v>
      </c>
      <c r="J17052" s="374" t="s">
        <v>2156</v>
      </c>
      <c r="K17052" s="375">
        <v>6185.4395604395604</v>
      </c>
      <c r="L17052" s="375"/>
      <c r="M17052" s="176"/>
    </row>
    <row r="17053" spans="1:14" x14ac:dyDescent="0.2">
      <c r="A17053" s="331">
        <v>2026</v>
      </c>
      <c r="B17053" s="331">
        <v>1</v>
      </c>
      <c r="C17053" s="331">
        <v>21</v>
      </c>
      <c r="D17053" s="326">
        <f t="shared" si="2714"/>
        <v>46043</v>
      </c>
      <c r="E17053" s="327">
        <f t="shared" si="2715"/>
        <v>46043</v>
      </c>
      <c r="F17053" s="474"/>
      <c r="G17053" s="332" t="s">
        <v>94</v>
      </c>
      <c r="H17053" s="332"/>
      <c r="I17053" s="333" t="s">
        <v>348</v>
      </c>
      <c r="J17053" s="376" t="s">
        <v>2154</v>
      </c>
      <c r="K17053" s="334"/>
      <c r="L17053" s="334">
        <f>K17052</f>
        <v>6185.4395604395604</v>
      </c>
    </row>
    <row r="17054" spans="1:14" x14ac:dyDescent="0.2">
      <c r="A17054" s="384">
        <v>2026</v>
      </c>
      <c r="B17054" s="384">
        <v>1</v>
      </c>
      <c r="C17054" s="384">
        <v>21</v>
      </c>
      <c r="D17054" s="385">
        <f t="shared" si="2714"/>
        <v>46043</v>
      </c>
      <c r="E17054" s="386">
        <f t="shared" si="2715"/>
        <v>46043</v>
      </c>
      <c r="F17054" s="475" t="s">
        <v>1966</v>
      </c>
      <c r="G17054" s="387" t="s">
        <v>94</v>
      </c>
      <c r="H17054" s="387"/>
      <c r="I17054" s="388" t="s">
        <v>348</v>
      </c>
      <c r="J17054" s="389" t="s">
        <v>67</v>
      </c>
      <c r="K17054" s="390">
        <v>3022.0666694444449</v>
      </c>
      <c r="L17054" s="390"/>
    </row>
    <row r="17055" spans="1:14" x14ac:dyDescent="0.2">
      <c r="A17055" s="391">
        <v>2026</v>
      </c>
      <c r="B17055" s="391">
        <v>1</v>
      </c>
      <c r="C17055" s="391">
        <v>21</v>
      </c>
      <c r="D17055" s="385">
        <f t="shared" si="2714"/>
        <v>46043</v>
      </c>
      <c r="E17055" s="386">
        <f t="shared" si="2715"/>
        <v>46043</v>
      </c>
      <c r="F17055" s="476"/>
      <c r="G17055" s="392" t="s">
        <v>94</v>
      </c>
      <c r="H17055" s="392"/>
      <c r="I17055" s="393" t="s">
        <v>348</v>
      </c>
      <c r="J17055" s="394" t="s">
        <v>2155</v>
      </c>
      <c r="K17055" s="395"/>
      <c r="L17055" s="395">
        <f>K17054</f>
        <v>3022.0666694444449</v>
      </c>
    </row>
    <row r="17056" spans="1:14" x14ac:dyDescent="0.2">
      <c r="A17056" s="238">
        <v>2026</v>
      </c>
      <c r="B17056" s="238">
        <v>1</v>
      </c>
      <c r="C17056" s="238">
        <v>21</v>
      </c>
      <c r="D17056" s="270">
        <f t="shared" si="2714"/>
        <v>46043</v>
      </c>
      <c r="E17056" s="279">
        <f t="shared" si="2715"/>
        <v>46043</v>
      </c>
      <c r="F17056" s="477" t="s">
        <v>347</v>
      </c>
      <c r="G17056" s="239" t="s">
        <v>94</v>
      </c>
      <c r="H17056" s="239"/>
      <c r="I17056" s="262" t="s">
        <v>348</v>
      </c>
      <c r="J17056" s="240" t="s">
        <v>82</v>
      </c>
      <c r="K17056" s="241">
        <v>911997.40999999642</v>
      </c>
      <c r="L17056" s="241"/>
      <c r="M17056" s="160"/>
    </row>
    <row r="17057" spans="1:15" x14ac:dyDescent="0.2">
      <c r="A17057" s="242">
        <v>2026</v>
      </c>
      <c r="B17057" s="242">
        <v>1</v>
      </c>
      <c r="C17057" s="242">
        <v>21</v>
      </c>
      <c r="D17057" s="270">
        <f t="shared" si="2714"/>
        <v>46043</v>
      </c>
      <c r="E17057" s="279">
        <f t="shared" si="2715"/>
        <v>46043</v>
      </c>
      <c r="F17057" s="478"/>
      <c r="G17057" s="243" t="s">
        <v>94</v>
      </c>
      <c r="H17057" s="243"/>
      <c r="I17057" s="263" t="s">
        <v>348</v>
      </c>
      <c r="J17057" s="244" t="s">
        <v>108</v>
      </c>
      <c r="K17057" s="245"/>
      <c r="L17057" s="245">
        <f>K17056</f>
        <v>911997.40999999642</v>
      </c>
    </row>
    <row r="17058" spans="1:15" ht="12" customHeight="1" x14ac:dyDescent="0.2">
      <c r="A17058" s="246">
        <v>2026</v>
      </c>
      <c r="B17058" s="238">
        <v>1</v>
      </c>
      <c r="C17058" s="238">
        <v>21</v>
      </c>
      <c r="D17058" s="270">
        <f t="shared" si="2714"/>
        <v>46043</v>
      </c>
      <c r="E17058" s="279">
        <f t="shared" si="2715"/>
        <v>46043</v>
      </c>
      <c r="F17058" s="482" t="s">
        <v>148</v>
      </c>
      <c r="G17058" s="247" t="s">
        <v>94</v>
      </c>
      <c r="H17058" s="247"/>
      <c r="I17058" s="248" t="s">
        <v>348</v>
      </c>
      <c r="J17058" s="249" t="s">
        <v>95</v>
      </c>
      <c r="K17058" s="250">
        <v>392.46467817896388</v>
      </c>
      <c r="L17058" s="241"/>
      <c r="M17058" s="176"/>
    </row>
    <row r="17059" spans="1:15" x14ac:dyDescent="0.2">
      <c r="A17059" s="242">
        <v>2026</v>
      </c>
      <c r="B17059" s="242">
        <v>1</v>
      </c>
      <c r="C17059" s="242">
        <v>21</v>
      </c>
      <c r="D17059" s="270">
        <f t="shared" si="2714"/>
        <v>46043</v>
      </c>
      <c r="E17059" s="279">
        <f t="shared" si="2715"/>
        <v>46043</v>
      </c>
      <c r="F17059" s="478"/>
      <c r="G17059" s="243" t="s">
        <v>94</v>
      </c>
      <c r="H17059" s="243"/>
      <c r="I17059" s="263" t="s">
        <v>348</v>
      </c>
      <c r="J17059" s="244" t="s">
        <v>63</v>
      </c>
      <c r="K17059" s="245"/>
      <c r="L17059" s="245">
        <f>K17058</f>
        <v>392.46467817896388</v>
      </c>
    </row>
    <row r="17060" spans="1:15" x14ac:dyDescent="0.2">
      <c r="A17060" s="246">
        <v>2026</v>
      </c>
      <c r="B17060" s="238">
        <v>1</v>
      </c>
      <c r="C17060" s="238">
        <v>21</v>
      </c>
      <c r="D17060" s="270">
        <f t="shared" si="2714"/>
        <v>46043</v>
      </c>
      <c r="E17060" s="279">
        <f t="shared" si="2715"/>
        <v>46043</v>
      </c>
      <c r="F17060" s="482" t="s">
        <v>137</v>
      </c>
      <c r="G17060" s="247" t="s">
        <v>94</v>
      </c>
      <c r="H17060" s="247"/>
      <c r="I17060" s="248" t="s">
        <v>348</v>
      </c>
      <c r="J17060" s="249" t="s">
        <v>97</v>
      </c>
      <c r="K17060" s="250">
        <v>14416.619118249511</v>
      </c>
      <c r="L17060" s="252"/>
      <c r="M17060" s="170">
        <v>14416.619118249511</v>
      </c>
    </row>
    <row r="17061" spans="1:15" x14ac:dyDescent="0.2">
      <c r="A17061" s="242">
        <v>2026</v>
      </c>
      <c r="B17061" s="242">
        <v>1</v>
      </c>
      <c r="C17061" s="242">
        <v>21</v>
      </c>
      <c r="D17061" s="270">
        <f t="shared" si="2714"/>
        <v>46043</v>
      </c>
      <c r="E17061" s="279">
        <f t="shared" si="2715"/>
        <v>46043</v>
      </c>
      <c r="F17061" s="478"/>
      <c r="G17061" s="243" t="s">
        <v>94</v>
      </c>
      <c r="H17061" s="243"/>
      <c r="I17061" s="263" t="s">
        <v>348</v>
      </c>
      <c r="J17061" s="244" t="s">
        <v>47</v>
      </c>
      <c r="K17061" s="245"/>
      <c r="L17061" s="245">
        <f>K17060</f>
        <v>14416.619118249511</v>
      </c>
      <c r="M17061" s="170">
        <v>686.4902965718162</v>
      </c>
    </row>
    <row r="17062" spans="1:15" x14ac:dyDescent="0.2">
      <c r="A17062" s="246">
        <v>2026</v>
      </c>
      <c r="B17062" s="238">
        <v>1</v>
      </c>
      <c r="C17062" s="238">
        <v>21</v>
      </c>
      <c r="D17062" s="270">
        <f t="shared" si="2714"/>
        <v>46043</v>
      </c>
      <c r="E17062" s="279">
        <f t="shared" si="2715"/>
        <v>46043</v>
      </c>
      <c r="F17062" s="482" t="s">
        <v>138</v>
      </c>
      <c r="G17062" s="247" t="s">
        <v>94</v>
      </c>
      <c r="H17062" s="247"/>
      <c r="I17062" s="248" t="s">
        <v>348</v>
      </c>
      <c r="J17062" s="249" t="s">
        <v>100</v>
      </c>
      <c r="K17062" s="250">
        <v>686.4902965718162</v>
      </c>
      <c r="L17062" s="252"/>
    </row>
    <row r="17063" spans="1:15" x14ac:dyDescent="0.2">
      <c r="A17063" s="242">
        <v>2026</v>
      </c>
      <c r="B17063" s="242">
        <v>1</v>
      </c>
      <c r="C17063" s="242">
        <v>21</v>
      </c>
      <c r="D17063" s="321">
        <f t="shared" si="2714"/>
        <v>46043</v>
      </c>
      <c r="E17063" s="322">
        <f t="shared" si="2715"/>
        <v>46043</v>
      </c>
      <c r="F17063" s="478"/>
      <c r="G17063" s="243" t="s">
        <v>94</v>
      </c>
      <c r="H17063" s="243"/>
      <c r="I17063" s="263" t="s">
        <v>348</v>
      </c>
      <c r="J17063" s="244" t="s">
        <v>48</v>
      </c>
      <c r="K17063" s="245"/>
      <c r="L17063" s="245">
        <f>K17062</f>
        <v>686.4902965718162</v>
      </c>
    </row>
    <row r="17064" spans="1:15" x14ac:dyDescent="0.2">
      <c r="A17064" s="168">
        <v>2026</v>
      </c>
      <c r="B17064" s="168">
        <v>1</v>
      </c>
      <c r="C17064" s="168">
        <v>22</v>
      </c>
      <c r="D17064" s="141">
        <f t="shared" si="2714"/>
        <v>46044</v>
      </c>
      <c r="E17064" s="275">
        <f t="shared" si="2715"/>
        <v>46044</v>
      </c>
      <c r="F17064" s="479" t="s">
        <v>2177</v>
      </c>
      <c r="G17064" s="174" t="s">
        <v>74</v>
      </c>
      <c r="I17064" s="148" t="s">
        <v>348</v>
      </c>
      <c r="J17064" s="133" t="s">
        <v>47</v>
      </c>
      <c r="K17064" s="172">
        <f>L17066/0.85</f>
        <v>120000</v>
      </c>
      <c r="M17064" s="264"/>
      <c r="N17064" s="264"/>
    </row>
    <row r="17065" spans="1:15" x14ac:dyDescent="0.2">
      <c r="A17065" s="133">
        <v>2026</v>
      </c>
      <c r="B17065" s="133">
        <v>1</v>
      </c>
      <c r="C17065" s="133">
        <v>22</v>
      </c>
      <c r="D17065" s="141">
        <f t="shared" si="2714"/>
        <v>46044</v>
      </c>
      <c r="E17065" s="275">
        <f t="shared" si="2715"/>
        <v>46044</v>
      </c>
      <c r="F17065" s="481"/>
      <c r="G17065" s="174" t="s">
        <v>74</v>
      </c>
      <c r="J17065" s="133" t="s">
        <v>534</v>
      </c>
      <c r="K17065" s="218"/>
      <c r="L17065" s="218">
        <f>K17064-L17066</f>
        <v>18000</v>
      </c>
      <c r="N17065" s="264"/>
    </row>
    <row r="17066" spans="1:15" x14ac:dyDescent="0.2">
      <c r="A17066" s="163">
        <v>2026</v>
      </c>
      <c r="B17066" s="163">
        <v>1</v>
      </c>
      <c r="C17066" s="163">
        <v>22</v>
      </c>
      <c r="D17066" s="280">
        <f t="shared" si="2714"/>
        <v>46044</v>
      </c>
      <c r="E17066" s="281">
        <f t="shared" si="2715"/>
        <v>46044</v>
      </c>
      <c r="F17066" s="480"/>
      <c r="G17066" s="221" t="s">
        <v>74</v>
      </c>
      <c r="H17066" s="145"/>
      <c r="I17066" s="145" t="s">
        <v>348</v>
      </c>
      <c r="J17066" s="163" t="s">
        <v>52</v>
      </c>
      <c r="K17066" s="219"/>
      <c r="L17066" s="219">
        <v>102000</v>
      </c>
      <c r="M17066" s="160"/>
      <c r="N17066" s="160"/>
      <c r="O17066" s="373"/>
    </row>
    <row r="17067" spans="1:15" ht="11.25" customHeight="1" x14ac:dyDescent="0.2">
      <c r="A17067" s="168">
        <v>2026</v>
      </c>
      <c r="B17067" s="133">
        <v>1</v>
      </c>
      <c r="C17067" s="168">
        <v>22</v>
      </c>
      <c r="D17067" s="141">
        <f t="shared" si="2714"/>
        <v>46044</v>
      </c>
      <c r="E17067" s="275">
        <f t="shared" si="2715"/>
        <v>46044</v>
      </c>
      <c r="F17067" s="479" t="s">
        <v>2116</v>
      </c>
      <c r="G17067" s="220" t="s">
        <v>74</v>
      </c>
      <c r="H17067" s="220"/>
      <c r="I17067" s="142"/>
      <c r="J17067" s="143" t="s">
        <v>147</v>
      </c>
      <c r="K17067" s="226">
        <v>3325924.18</v>
      </c>
      <c r="L17067" s="226"/>
    </row>
    <row r="17068" spans="1:15" x14ac:dyDescent="0.2">
      <c r="A17068" s="163">
        <v>2026</v>
      </c>
      <c r="B17068" s="163">
        <v>1</v>
      </c>
      <c r="C17068" s="163">
        <v>22</v>
      </c>
      <c r="D17068" s="280">
        <f t="shared" si="2714"/>
        <v>46044</v>
      </c>
      <c r="E17068" s="281">
        <f t="shared" si="2715"/>
        <v>46044</v>
      </c>
      <c r="F17068" s="480"/>
      <c r="G17068" s="221" t="s">
        <v>74</v>
      </c>
      <c r="H17068" s="221"/>
      <c r="I17068" s="145"/>
      <c r="J17068" s="146" t="s">
        <v>52</v>
      </c>
      <c r="K17068" s="219"/>
      <c r="L17068" s="219">
        <f>K17067</f>
        <v>3325924.18</v>
      </c>
      <c r="N17068" s="264"/>
    </row>
    <row r="17069" spans="1:15" x14ac:dyDescent="0.2">
      <c r="A17069" s="168">
        <v>2026</v>
      </c>
      <c r="B17069" s="133">
        <v>1</v>
      </c>
      <c r="C17069" s="168">
        <v>22</v>
      </c>
      <c r="D17069" s="147">
        <f>DATE(A17069,B17069,C17069)</f>
        <v>46044</v>
      </c>
      <c r="E17069" s="311">
        <f>DATE(A17069,B17069,C17069)</f>
        <v>46044</v>
      </c>
      <c r="F17069" s="481" t="s">
        <v>1943</v>
      </c>
      <c r="G17069" s="174" t="s">
        <v>74</v>
      </c>
      <c r="I17069" s="148" t="s">
        <v>348</v>
      </c>
      <c r="J17069" s="133" t="s">
        <v>61</v>
      </c>
      <c r="K17069" s="172">
        <v>158</v>
      </c>
    </row>
    <row r="17070" spans="1:15" x14ac:dyDescent="0.2">
      <c r="A17070" s="163">
        <v>2026</v>
      </c>
      <c r="B17070" s="163">
        <v>1</v>
      </c>
      <c r="C17070" s="163">
        <v>22</v>
      </c>
      <c r="D17070" s="280">
        <f>DATE(A17070,B17070,C17070)</f>
        <v>46044</v>
      </c>
      <c r="E17070" s="281">
        <f>DATE(A17070,B17070,C17070)</f>
        <v>46044</v>
      </c>
      <c r="F17070" s="480"/>
      <c r="G17070" s="221" t="s">
        <v>74</v>
      </c>
      <c r="H17070" s="145"/>
      <c r="I17070" s="145" t="s">
        <v>348</v>
      </c>
      <c r="J17070" s="163" t="s">
        <v>52</v>
      </c>
      <c r="K17070" s="219"/>
      <c r="L17070" s="219">
        <f>K17069</f>
        <v>158</v>
      </c>
    </row>
    <row r="17071" spans="1:15" x14ac:dyDescent="0.2">
      <c r="A17071" s="168">
        <v>2026</v>
      </c>
      <c r="B17071" s="168">
        <v>1</v>
      </c>
      <c r="C17071" s="168">
        <v>22</v>
      </c>
      <c r="D17071" s="141">
        <f t="shared" ref="D17071:D17097" si="2716">DATE(A17071,B17071,C17071)</f>
        <v>46044</v>
      </c>
      <c r="E17071" s="275">
        <f t="shared" ref="E17071:E17097" si="2717">DATE(A17071,B17071,C17071)</f>
        <v>46044</v>
      </c>
      <c r="F17071" s="479" t="s">
        <v>2113</v>
      </c>
      <c r="G17071" s="220" t="s">
        <v>94</v>
      </c>
      <c r="H17071" s="220"/>
      <c r="I17071" s="142"/>
      <c r="J17071" s="143" t="s">
        <v>79</v>
      </c>
      <c r="K17071" s="226">
        <v>2147415.9</v>
      </c>
      <c r="L17071" s="226"/>
      <c r="M17071" s="160"/>
    </row>
    <row r="17072" spans="1:15" x14ac:dyDescent="0.2">
      <c r="A17072" s="133">
        <v>2026</v>
      </c>
      <c r="B17072" s="133">
        <v>1</v>
      </c>
      <c r="C17072" s="133">
        <v>22</v>
      </c>
      <c r="D17072" s="141">
        <f t="shared" si="2716"/>
        <v>46044</v>
      </c>
      <c r="E17072" s="275">
        <f t="shared" si="2717"/>
        <v>46044</v>
      </c>
      <c r="F17072" s="481"/>
      <c r="G17072" s="174" t="s">
        <v>94</v>
      </c>
      <c r="H17072" s="174"/>
      <c r="J17072" s="149" t="s">
        <v>80</v>
      </c>
      <c r="K17072" s="218">
        <v>3865.35</v>
      </c>
      <c r="L17072" s="264"/>
      <c r="M17072" s="264"/>
      <c r="N17072" s="264"/>
    </row>
    <row r="17073" spans="1:13" x14ac:dyDescent="0.2">
      <c r="A17073" s="163">
        <v>2026</v>
      </c>
      <c r="B17073" s="163">
        <v>1</v>
      </c>
      <c r="C17073" s="163">
        <v>22</v>
      </c>
      <c r="D17073" s="280">
        <f t="shared" si="2716"/>
        <v>46044</v>
      </c>
      <c r="E17073" s="281">
        <f t="shared" si="2717"/>
        <v>46044</v>
      </c>
      <c r="F17073" s="480"/>
      <c r="G17073" s="221" t="s">
        <v>94</v>
      </c>
      <c r="H17073" s="221"/>
      <c r="I17073" s="145"/>
      <c r="J17073" s="146" t="s">
        <v>147</v>
      </c>
      <c r="K17073" s="219"/>
      <c r="L17073" s="219">
        <v>2151281.25</v>
      </c>
      <c r="M17073" s="264"/>
    </row>
    <row r="17074" spans="1:13" x14ac:dyDescent="0.2">
      <c r="A17074" s="325">
        <v>2026</v>
      </c>
      <c r="B17074" s="325">
        <v>1</v>
      </c>
      <c r="C17074" s="325">
        <v>22</v>
      </c>
      <c r="D17074" s="326">
        <f t="shared" si="2716"/>
        <v>46044</v>
      </c>
      <c r="E17074" s="327">
        <f t="shared" si="2717"/>
        <v>46044</v>
      </c>
      <c r="F17074" s="473" t="s">
        <v>1940</v>
      </c>
      <c r="G17074" s="340" t="s">
        <v>94</v>
      </c>
      <c r="H17074" s="340"/>
      <c r="I17074" s="341" t="s">
        <v>348</v>
      </c>
      <c r="J17074" s="374" t="s">
        <v>133</v>
      </c>
      <c r="K17074" s="375">
        <v>2104.17</v>
      </c>
      <c r="L17074" s="375"/>
      <c r="M17074" s="176"/>
    </row>
    <row r="17075" spans="1:13" x14ac:dyDescent="0.2">
      <c r="A17075" s="331">
        <v>2026</v>
      </c>
      <c r="B17075" s="331">
        <v>1</v>
      </c>
      <c r="C17075" s="331">
        <v>22</v>
      </c>
      <c r="D17075" s="326">
        <f t="shared" si="2716"/>
        <v>46044</v>
      </c>
      <c r="E17075" s="327">
        <f t="shared" si="2717"/>
        <v>46044</v>
      </c>
      <c r="F17075" s="474"/>
      <c r="G17075" s="332" t="s">
        <v>94</v>
      </c>
      <c r="H17075" s="332"/>
      <c r="I17075" s="333" t="s">
        <v>348</v>
      </c>
      <c r="J17075" s="376" t="s">
        <v>2153</v>
      </c>
      <c r="K17075" s="334"/>
      <c r="L17075" s="334">
        <f>K17074</f>
        <v>2104.17</v>
      </c>
    </row>
    <row r="17076" spans="1:13" x14ac:dyDescent="0.2">
      <c r="A17076" s="325">
        <v>2026</v>
      </c>
      <c r="B17076" s="325">
        <v>1</v>
      </c>
      <c r="C17076" s="325">
        <v>22</v>
      </c>
      <c r="D17076" s="326">
        <f t="shared" si="2716"/>
        <v>46044</v>
      </c>
      <c r="E17076" s="327">
        <f t="shared" si="2717"/>
        <v>46044</v>
      </c>
      <c r="F17076" s="473" t="s">
        <v>2131</v>
      </c>
      <c r="G17076" s="340" t="s">
        <v>94</v>
      </c>
      <c r="H17076" s="340"/>
      <c r="I17076" s="341" t="s">
        <v>348</v>
      </c>
      <c r="J17076" s="374" t="s">
        <v>2156</v>
      </c>
      <c r="K17076" s="375">
        <v>6185.4395604395604</v>
      </c>
      <c r="L17076" s="375"/>
      <c r="M17076" s="176"/>
    </row>
    <row r="17077" spans="1:13" x14ac:dyDescent="0.2">
      <c r="A17077" s="331">
        <v>2026</v>
      </c>
      <c r="B17077" s="331">
        <v>1</v>
      </c>
      <c r="C17077" s="331">
        <v>22</v>
      </c>
      <c r="D17077" s="326">
        <f t="shared" si="2716"/>
        <v>46044</v>
      </c>
      <c r="E17077" s="327">
        <f t="shared" si="2717"/>
        <v>46044</v>
      </c>
      <c r="F17077" s="474"/>
      <c r="G17077" s="332" t="s">
        <v>94</v>
      </c>
      <c r="H17077" s="332"/>
      <c r="I17077" s="333" t="s">
        <v>348</v>
      </c>
      <c r="J17077" s="376" t="s">
        <v>2154</v>
      </c>
      <c r="K17077" s="334"/>
      <c r="L17077" s="334">
        <f>K17076</f>
        <v>6185.4395604395604</v>
      </c>
    </row>
    <row r="17078" spans="1:13" x14ac:dyDescent="0.2">
      <c r="A17078" s="384">
        <v>2026</v>
      </c>
      <c r="B17078" s="384">
        <v>1</v>
      </c>
      <c r="C17078" s="384">
        <v>22</v>
      </c>
      <c r="D17078" s="385">
        <f t="shared" si="2716"/>
        <v>46044</v>
      </c>
      <c r="E17078" s="386">
        <f t="shared" si="2717"/>
        <v>46044</v>
      </c>
      <c r="F17078" s="475" t="s">
        <v>1966</v>
      </c>
      <c r="G17078" s="387" t="s">
        <v>94</v>
      </c>
      <c r="H17078" s="387"/>
      <c r="I17078" s="388" t="s">
        <v>348</v>
      </c>
      <c r="J17078" s="389" t="s">
        <v>67</v>
      </c>
      <c r="K17078" s="390">
        <v>2307.8776736111117</v>
      </c>
      <c r="L17078" s="390"/>
    </row>
    <row r="17079" spans="1:13" x14ac:dyDescent="0.2">
      <c r="A17079" s="391">
        <v>2026</v>
      </c>
      <c r="B17079" s="391">
        <v>1</v>
      </c>
      <c r="C17079" s="391">
        <v>22</v>
      </c>
      <c r="D17079" s="385">
        <f t="shared" si="2716"/>
        <v>46044</v>
      </c>
      <c r="E17079" s="386">
        <f t="shared" si="2717"/>
        <v>46044</v>
      </c>
      <c r="F17079" s="476"/>
      <c r="G17079" s="392" t="s">
        <v>94</v>
      </c>
      <c r="H17079" s="392"/>
      <c r="I17079" s="393" t="s">
        <v>348</v>
      </c>
      <c r="J17079" s="394" t="s">
        <v>2155</v>
      </c>
      <c r="K17079" s="395"/>
      <c r="L17079" s="395">
        <f>K17078</f>
        <v>2307.8776736111117</v>
      </c>
    </row>
    <row r="17080" spans="1:13" x14ac:dyDescent="0.2">
      <c r="A17080" s="238">
        <v>2026</v>
      </c>
      <c r="B17080" s="238">
        <v>1</v>
      </c>
      <c r="C17080" s="238">
        <v>22</v>
      </c>
      <c r="D17080" s="270">
        <f t="shared" si="2716"/>
        <v>46044</v>
      </c>
      <c r="E17080" s="279">
        <f t="shared" si="2717"/>
        <v>46044</v>
      </c>
      <c r="F17080" s="477" t="s">
        <v>347</v>
      </c>
      <c r="G17080" s="239" t="s">
        <v>94</v>
      </c>
      <c r="H17080" s="239"/>
      <c r="I17080" s="262" t="s">
        <v>348</v>
      </c>
      <c r="J17080" s="240" t="s">
        <v>82</v>
      </c>
      <c r="K17080" s="241">
        <v>198903</v>
      </c>
      <c r="L17080" s="241"/>
      <c r="M17080" s="160"/>
    </row>
    <row r="17081" spans="1:13" x14ac:dyDescent="0.2">
      <c r="A17081" s="242">
        <v>2026</v>
      </c>
      <c r="B17081" s="242">
        <v>1</v>
      </c>
      <c r="C17081" s="242">
        <v>22</v>
      </c>
      <c r="D17081" s="270">
        <f t="shared" si="2716"/>
        <v>46044</v>
      </c>
      <c r="E17081" s="279">
        <f t="shared" si="2717"/>
        <v>46044</v>
      </c>
      <c r="F17081" s="478"/>
      <c r="G17081" s="243" t="s">
        <v>94</v>
      </c>
      <c r="H17081" s="243"/>
      <c r="I17081" s="263" t="s">
        <v>348</v>
      </c>
      <c r="J17081" s="244" t="s">
        <v>108</v>
      </c>
      <c r="K17081" s="245"/>
      <c r="L17081" s="245">
        <f>K17080</f>
        <v>198903</v>
      </c>
    </row>
    <row r="17082" spans="1:13" ht="12" customHeight="1" x14ac:dyDescent="0.2">
      <c r="A17082" s="246">
        <v>2026</v>
      </c>
      <c r="B17082" s="238">
        <v>1</v>
      </c>
      <c r="C17082" s="238">
        <v>22</v>
      </c>
      <c r="D17082" s="270">
        <f t="shared" si="2716"/>
        <v>46044</v>
      </c>
      <c r="E17082" s="279">
        <f t="shared" si="2717"/>
        <v>46044</v>
      </c>
      <c r="F17082" s="482" t="s">
        <v>148</v>
      </c>
      <c r="G17082" s="247" t="s">
        <v>94</v>
      </c>
      <c r="H17082" s="247"/>
      <c r="I17082" s="248" t="s">
        <v>348</v>
      </c>
      <c r="J17082" s="249" t="s">
        <v>95</v>
      </c>
      <c r="K17082" s="250">
        <v>392.46467817896388</v>
      </c>
      <c r="L17082" s="241"/>
      <c r="M17082" s="176"/>
    </row>
    <row r="17083" spans="1:13" x14ac:dyDescent="0.2">
      <c r="A17083" s="242">
        <v>2026</v>
      </c>
      <c r="B17083" s="242">
        <v>1</v>
      </c>
      <c r="C17083" s="242">
        <v>22</v>
      </c>
      <c r="D17083" s="270">
        <f t="shared" si="2716"/>
        <v>46044</v>
      </c>
      <c r="E17083" s="279">
        <f t="shared" si="2717"/>
        <v>46044</v>
      </c>
      <c r="F17083" s="478"/>
      <c r="G17083" s="243" t="s">
        <v>94</v>
      </c>
      <c r="H17083" s="243"/>
      <c r="I17083" s="263" t="s">
        <v>348</v>
      </c>
      <c r="J17083" s="244" t="s">
        <v>63</v>
      </c>
      <c r="K17083" s="245"/>
      <c r="L17083" s="245">
        <f>K17082</f>
        <v>392.46467817896388</v>
      </c>
    </row>
    <row r="17084" spans="1:13" x14ac:dyDescent="0.2">
      <c r="A17084" s="246">
        <v>2026</v>
      </c>
      <c r="B17084" s="238">
        <v>1</v>
      </c>
      <c r="C17084" s="238">
        <v>22</v>
      </c>
      <c r="D17084" s="270">
        <f t="shared" si="2716"/>
        <v>46044</v>
      </c>
      <c r="E17084" s="279">
        <f t="shared" si="2717"/>
        <v>46044</v>
      </c>
      <c r="F17084" s="482" t="s">
        <v>137</v>
      </c>
      <c r="G17084" s="247" t="s">
        <v>94</v>
      </c>
      <c r="H17084" s="247"/>
      <c r="I17084" s="248" t="s">
        <v>348</v>
      </c>
      <c r="J17084" s="249" t="s">
        <v>97</v>
      </c>
      <c r="K17084" s="250">
        <v>14405.195522817701</v>
      </c>
      <c r="L17084" s="252"/>
      <c r="M17084" s="170"/>
    </row>
    <row r="17085" spans="1:13" x14ac:dyDescent="0.2">
      <c r="A17085" s="242">
        <v>2026</v>
      </c>
      <c r="B17085" s="242">
        <v>1</v>
      </c>
      <c r="C17085" s="242">
        <v>22</v>
      </c>
      <c r="D17085" s="270">
        <f t="shared" si="2716"/>
        <v>46044</v>
      </c>
      <c r="E17085" s="279">
        <f t="shared" si="2717"/>
        <v>46044</v>
      </c>
      <c r="F17085" s="478"/>
      <c r="G17085" s="243" t="s">
        <v>94</v>
      </c>
      <c r="H17085" s="243"/>
      <c r="I17085" s="263" t="s">
        <v>348</v>
      </c>
      <c r="J17085" s="244" t="s">
        <v>47</v>
      </c>
      <c r="K17085" s="245"/>
      <c r="L17085" s="245">
        <f>K17084</f>
        <v>14405.195522817701</v>
      </c>
      <c r="M17085" s="170"/>
    </row>
    <row r="17086" spans="1:13" x14ac:dyDescent="0.2">
      <c r="A17086" s="246">
        <v>2026</v>
      </c>
      <c r="B17086" s="238">
        <v>1</v>
      </c>
      <c r="C17086" s="238">
        <v>22</v>
      </c>
      <c r="D17086" s="270">
        <f t="shared" si="2716"/>
        <v>46044</v>
      </c>
      <c r="E17086" s="279">
        <f t="shared" si="2717"/>
        <v>46044</v>
      </c>
      <c r="F17086" s="482" t="s">
        <v>138</v>
      </c>
      <c r="G17086" s="247" t="s">
        <v>94</v>
      </c>
      <c r="H17086" s="247"/>
      <c r="I17086" s="248" t="s">
        <v>348</v>
      </c>
      <c r="J17086" s="249" t="s">
        <v>100</v>
      </c>
      <c r="K17086" s="250">
        <v>685.91911680022565</v>
      </c>
      <c r="L17086" s="252"/>
    </row>
    <row r="17087" spans="1:13" x14ac:dyDescent="0.2">
      <c r="A17087" s="242">
        <v>2026</v>
      </c>
      <c r="B17087" s="242">
        <v>1</v>
      </c>
      <c r="C17087" s="242">
        <v>22</v>
      </c>
      <c r="D17087" s="321">
        <f t="shared" si="2716"/>
        <v>46044</v>
      </c>
      <c r="E17087" s="322">
        <f t="shared" si="2717"/>
        <v>46044</v>
      </c>
      <c r="F17087" s="478"/>
      <c r="G17087" s="243" t="s">
        <v>94</v>
      </c>
      <c r="H17087" s="243"/>
      <c r="I17087" s="263" t="s">
        <v>348</v>
      </c>
      <c r="J17087" s="244" t="s">
        <v>48</v>
      </c>
      <c r="K17087" s="245"/>
      <c r="L17087" s="245">
        <f>K17086</f>
        <v>685.91911680022565</v>
      </c>
    </row>
    <row r="17088" spans="1:13" x14ac:dyDescent="0.2">
      <c r="A17088" s="133">
        <v>2026</v>
      </c>
      <c r="B17088" s="133">
        <v>1</v>
      </c>
      <c r="C17088" s="168">
        <v>25</v>
      </c>
      <c r="D17088" s="141">
        <f t="shared" si="2716"/>
        <v>46047</v>
      </c>
      <c r="E17088" s="275">
        <f t="shared" si="2717"/>
        <v>46047</v>
      </c>
      <c r="F17088" s="481" t="s">
        <v>2115</v>
      </c>
      <c r="G17088" s="174" t="s">
        <v>94</v>
      </c>
      <c r="H17088" s="174"/>
      <c r="J17088" s="149" t="s">
        <v>79</v>
      </c>
      <c r="K17088" s="218">
        <v>3562118.3</v>
      </c>
      <c r="L17088" s="218"/>
      <c r="M17088" s="160"/>
    </row>
    <row r="17089" spans="1:15" x14ac:dyDescent="0.2">
      <c r="A17089" s="133">
        <v>2026</v>
      </c>
      <c r="B17089" s="133">
        <v>1</v>
      </c>
      <c r="C17089" s="133">
        <v>25</v>
      </c>
      <c r="D17089" s="147">
        <f t="shared" si="2716"/>
        <v>46047</v>
      </c>
      <c r="E17089" s="311">
        <f t="shared" si="2717"/>
        <v>46047</v>
      </c>
      <c r="F17089" s="481"/>
      <c r="G17089" s="174" t="s">
        <v>94</v>
      </c>
      <c r="H17089" s="174"/>
      <c r="J17089" s="149" t="s">
        <v>80</v>
      </c>
      <c r="K17089" s="218">
        <v>11425.19</v>
      </c>
      <c r="L17089" s="264"/>
      <c r="M17089" s="264"/>
      <c r="N17089" s="264"/>
    </row>
    <row r="17090" spans="1:15" x14ac:dyDescent="0.2">
      <c r="A17090" s="133">
        <v>2026</v>
      </c>
      <c r="B17090" s="133">
        <v>1</v>
      </c>
      <c r="C17090" s="133">
        <v>25</v>
      </c>
      <c r="D17090" s="147">
        <f t="shared" si="2716"/>
        <v>46047</v>
      </c>
      <c r="E17090" s="311">
        <f t="shared" si="2717"/>
        <v>46047</v>
      </c>
      <c r="F17090" s="481"/>
      <c r="G17090" s="174" t="s">
        <v>94</v>
      </c>
      <c r="H17090" s="174"/>
      <c r="J17090" s="149" t="s">
        <v>147</v>
      </c>
      <c r="K17090" s="218"/>
      <c r="L17090" s="218">
        <v>788334.39</v>
      </c>
      <c r="M17090" s="264"/>
    </row>
    <row r="17091" spans="1:15" x14ac:dyDescent="0.2">
      <c r="A17091" s="133">
        <v>2026</v>
      </c>
      <c r="B17091" s="133">
        <v>1</v>
      </c>
      <c r="C17091" s="133">
        <v>25</v>
      </c>
      <c r="D17091" s="147">
        <f t="shared" si="2716"/>
        <v>46047</v>
      </c>
      <c r="E17091" s="311">
        <f t="shared" si="2717"/>
        <v>46047</v>
      </c>
      <c r="F17091" s="481"/>
      <c r="G17091" s="174" t="s">
        <v>94</v>
      </c>
      <c r="H17091" s="174"/>
      <c r="J17091" s="149" t="s">
        <v>191</v>
      </c>
      <c r="K17091" s="218"/>
      <c r="L17091" s="218">
        <v>124276.54</v>
      </c>
    </row>
    <row r="17092" spans="1:15" x14ac:dyDescent="0.2">
      <c r="A17092" s="163">
        <v>2026</v>
      </c>
      <c r="B17092" s="163">
        <v>1</v>
      </c>
      <c r="C17092" s="133">
        <v>25</v>
      </c>
      <c r="D17092" s="147">
        <f t="shared" si="2716"/>
        <v>46047</v>
      </c>
      <c r="E17092" s="311">
        <f t="shared" si="2717"/>
        <v>46047</v>
      </c>
      <c r="F17092" s="481"/>
      <c r="G17092" s="221" t="s">
        <v>94</v>
      </c>
      <c r="H17092" s="145"/>
      <c r="I17092" s="145"/>
      <c r="J17092" s="163" t="s">
        <v>79</v>
      </c>
      <c r="K17092" s="219"/>
      <c r="L17092" s="219">
        <v>2660932.56</v>
      </c>
      <c r="M17092" s="264"/>
    </row>
    <row r="17093" spans="1:15" ht="11.25" customHeight="1" x14ac:dyDescent="0.2">
      <c r="A17093" s="168">
        <v>2026</v>
      </c>
      <c r="B17093" s="133">
        <v>1</v>
      </c>
      <c r="C17093" s="168">
        <v>25</v>
      </c>
      <c r="D17093" s="141">
        <f t="shared" si="2716"/>
        <v>46047</v>
      </c>
      <c r="E17093" s="275">
        <f t="shared" si="2717"/>
        <v>46047</v>
      </c>
      <c r="F17093" s="479" t="s">
        <v>2116</v>
      </c>
      <c r="G17093" s="220" t="s">
        <v>74</v>
      </c>
      <c r="H17093" s="220"/>
      <c r="I17093" s="142"/>
      <c r="J17093" s="143" t="s">
        <v>147</v>
      </c>
      <c r="K17093" s="226">
        <v>2151281.25</v>
      </c>
      <c r="L17093" s="226"/>
    </row>
    <row r="17094" spans="1:15" x14ac:dyDescent="0.2">
      <c r="A17094" s="163">
        <v>2026</v>
      </c>
      <c r="B17094" s="163">
        <v>1</v>
      </c>
      <c r="C17094" s="133">
        <v>25</v>
      </c>
      <c r="D17094" s="147">
        <f t="shared" si="2716"/>
        <v>46047</v>
      </c>
      <c r="E17094" s="311">
        <f t="shared" si="2717"/>
        <v>46047</v>
      </c>
      <c r="F17094" s="481"/>
      <c r="G17094" s="221" t="s">
        <v>74</v>
      </c>
      <c r="H17094" s="221"/>
      <c r="I17094" s="145"/>
      <c r="J17094" s="146" t="s">
        <v>52</v>
      </c>
      <c r="K17094" s="219"/>
      <c r="L17094" s="219">
        <f>K17093</f>
        <v>2151281.25</v>
      </c>
      <c r="N17094" s="264"/>
    </row>
    <row r="17095" spans="1:15" x14ac:dyDescent="0.2">
      <c r="A17095" s="168">
        <v>2026</v>
      </c>
      <c r="B17095" s="168">
        <v>1</v>
      </c>
      <c r="C17095" s="168">
        <v>25</v>
      </c>
      <c r="D17095" s="141">
        <f t="shared" si="2716"/>
        <v>46047</v>
      </c>
      <c r="E17095" s="275">
        <f t="shared" si="2717"/>
        <v>46047</v>
      </c>
      <c r="F17095" s="479" t="s">
        <v>2178</v>
      </c>
      <c r="G17095" s="174" t="s">
        <v>74</v>
      </c>
      <c r="I17095" s="148" t="s">
        <v>348</v>
      </c>
      <c r="J17095" s="133" t="s">
        <v>47</v>
      </c>
      <c r="K17095" s="172">
        <f>L17097/0.85</f>
        <v>827000</v>
      </c>
      <c r="M17095" s="264"/>
      <c r="N17095" s="264"/>
    </row>
    <row r="17096" spans="1:15" x14ac:dyDescent="0.2">
      <c r="A17096" s="133">
        <v>2026</v>
      </c>
      <c r="B17096" s="133">
        <v>1</v>
      </c>
      <c r="C17096" s="133">
        <v>25</v>
      </c>
      <c r="D17096" s="147">
        <f t="shared" si="2716"/>
        <v>46047</v>
      </c>
      <c r="E17096" s="311">
        <f t="shared" si="2717"/>
        <v>46047</v>
      </c>
      <c r="F17096" s="481"/>
      <c r="G17096" s="174" t="s">
        <v>74</v>
      </c>
      <c r="J17096" s="133" t="s">
        <v>534</v>
      </c>
      <c r="K17096" s="218"/>
      <c r="L17096" s="218">
        <f>K17095-L17097</f>
        <v>124050</v>
      </c>
      <c r="N17096" s="264"/>
    </row>
    <row r="17097" spans="1:15" x14ac:dyDescent="0.2">
      <c r="A17097" s="163">
        <v>2026</v>
      </c>
      <c r="B17097" s="163">
        <v>1</v>
      </c>
      <c r="C17097" s="163">
        <v>25</v>
      </c>
      <c r="D17097" s="144">
        <f t="shared" si="2716"/>
        <v>46047</v>
      </c>
      <c r="E17097" s="313">
        <f t="shared" si="2717"/>
        <v>46047</v>
      </c>
      <c r="F17097" s="480"/>
      <c r="G17097" s="221" t="s">
        <v>74</v>
      </c>
      <c r="H17097" s="145"/>
      <c r="I17097" s="145" t="s">
        <v>348</v>
      </c>
      <c r="J17097" s="163" t="s">
        <v>52</v>
      </c>
      <c r="K17097" s="219"/>
      <c r="L17097" s="219">
        <v>702950</v>
      </c>
      <c r="M17097" s="160"/>
      <c r="N17097" s="160"/>
      <c r="O17097" s="373"/>
    </row>
    <row r="17098" spans="1:15" x14ac:dyDescent="0.2">
      <c r="A17098" s="168">
        <v>2026</v>
      </c>
      <c r="B17098" s="133">
        <v>1</v>
      </c>
      <c r="C17098" s="168">
        <v>25</v>
      </c>
      <c r="D17098" s="147">
        <f>DATE(A17098,B17098,C17098)</f>
        <v>46047</v>
      </c>
      <c r="E17098" s="311">
        <f>DATE(A17098,B17098,C17098)</f>
        <v>46047</v>
      </c>
      <c r="F17098" s="481" t="s">
        <v>1943</v>
      </c>
      <c r="G17098" s="174" t="s">
        <v>74</v>
      </c>
      <c r="I17098" s="148" t="s">
        <v>348</v>
      </c>
      <c r="J17098" s="133" t="s">
        <v>61</v>
      </c>
      <c r="K17098" s="172">
        <v>200</v>
      </c>
    </row>
    <row r="17099" spans="1:15" x14ac:dyDescent="0.2">
      <c r="A17099" s="163">
        <v>2026</v>
      </c>
      <c r="B17099" s="163">
        <v>1</v>
      </c>
      <c r="C17099" s="163">
        <v>25</v>
      </c>
      <c r="D17099" s="280">
        <f>DATE(A17099,B17099,C17099)</f>
        <v>46047</v>
      </c>
      <c r="E17099" s="281">
        <f>DATE(A17099,B17099,C17099)</f>
        <v>46047</v>
      </c>
      <c r="F17099" s="480"/>
      <c r="G17099" s="221" t="s">
        <v>74</v>
      </c>
      <c r="H17099" s="145"/>
      <c r="I17099" s="145" t="s">
        <v>348</v>
      </c>
      <c r="J17099" s="163" t="s">
        <v>52</v>
      </c>
      <c r="K17099" s="219"/>
      <c r="L17099" s="219">
        <f>K17098</f>
        <v>200</v>
      </c>
    </row>
    <row r="17100" spans="1:15" x14ac:dyDescent="0.2">
      <c r="A17100" s="168">
        <v>2026</v>
      </c>
      <c r="B17100" s="168">
        <v>1</v>
      </c>
      <c r="C17100" s="133">
        <v>25</v>
      </c>
      <c r="D17100" s="141">
        <f t="shared" ref="D17100:D17142" si="2718">DATE(A17100,B17100,C17100)</f>
        <v>46047</v>
      </c>
      <c r="E17100" s="275">
        <f t="shared" ref="E17100:E17142" si="2719">DATE(A17100,B17100,C17100)</f>
        <v>46047</v>
      </c>
      <c r="F17100" s="479" t="s">
        <v>275</v>
      </c>
      <c r="G17100" s="174" t="s">
        <v>74</v>
      </c>
      <c r="H17100" s="174"/>
      <c r="I17100" s="148" t="s">
        <v>348</v>
      </c>
      <c r="J17100" s="149" t="s">
        <v>163</v>
      </c>
      <c r="K17100" s="218">
        <v>1575</v>
      </c>
      <c r="L17100" s="218"/>
    </row>
    <row r="17101" spans="1:15" x14ac:dyDescent="0.2">
      <c r="A17101" s="133">
        <v>2026</v>
      </c>
      <c r="B17101" s="133">
        <v>1</v>
      </c>
      <c r="C17101" s="133">
        <v>25</v>
      </c>
      <c r="D17101" s="147">
        <f t="shared" si="2718"/>
        <v>46047</v>
      </c>
      <c r="E17101" s="311">
        <f t="shared" si="2719"/>
        <v>46047</v>
      </c>
      <c r="F17101" s="481"/>
      <c r="G17101" s="174" t="s">
        <v>74</v>
      </c>
      <c r="H17101" s="174"/>
      <c r="J17101" s="149" t="s">
        <v>1907</v>
      </c>
      <c r="K17101" s="218"/>
      <c r="L17101" s="218">
        <v>75</v>
      </c>
    </row>
    <row r="17102" spans="1:15" x14ac:dyDescent="0.2">
      <c r="A17102" s="163">
        <v>2026</v>
      </c>
      <c r="B17102" s="163">
        <v>1</v>
      </c>
      <c r="C17102" s="163">
        <v>25</v>
      </c>
      <c r="D17102" s="144">
        <f t="shared" si="2718"/>
        <v>46047</v>
      </c>
      <c r="E17102" s="313">
        <f t="shared" si="2719"/>
        <v>46047</v>
      </c>
      <c r="F17102" s="480"/>
      <c r="G17102" s="221" t="s">
        <v>74</v>
      </c>
      <c r="H17102" s="221"/>
      <c r="I17102" s="145"/>
      <c r="J17102" s="146" t="s">
        <v>52</v>
      </c>
      <c r="K17102" s="219"/>
      <c r="L17102" s="219">
        <v>1500</v>
      </c>
    </row>
    <row r="17103" spans="1:15" x14ac:dyDescent="0.2">
      <c r="A17103" s="325">
        <v>2026</v>
      </c>
      <c r="B17103" s="325">
        <v>1</v>
      </c>
      <c r="C17103" s="325">
        <v>25</v>
      </c>
      <c r="D17103" s="326">
        <f t="shared" si="2718"/>
        <v>46047</v>
      </c>
      <c r="E17103" s="327">
        <f t="shared" si="2719"/>
        <v>46047</v>
      </c>
      <c r="F17103" s="473" t="s">
        <v>1940</v>
      </c>
      <c r="G17103" s="340" t="s">
        <v>94</v>
      </c>
      <c r="H17103" s="340"/>
      <c r="I17103" s="341" t="s">
        <v>348</v>
      </c>
      <c r="J17103" s="374" t="s">
        <v>133</v>
      </c>
      <c r="K17103" s="375">
        <v>6312.51</v>
      </c>
      <c r="L17103" s="375"/>
      <c r="M17103" s="176"/>
    </row>
    <row r="17104" spans="1:15" x14ac:dyDescent="0.2">
      <c r="A17104" s="331">
        <v>2026</v>
      </c>
      <c r="B17104" s="331">
        <v>1</v>
      </c>
      <c r="C17104" s="331">
        <v>25</v>
      </c>
      <c r="D17104" s="326">
        <f t="shared" si="2718"/>
        <v>46047</v>
      </c>
      <c r="E17104" s="327">
        <f t="shared" si="2719"/>
        <v>46047</v>
      </c>
      <c r="F17104" s="474"/>
      <c r="G17104" s="332" t="s">
        <v>94</v>
      </c>
      <c r="H17104" s="332"/>
      <c r="I17104" s="333" t="s">
        <v>348</v>
      </c>
      <c r="J17104" s="376" t="s">
        <v>2153</v>
      </c>
      <c r="K17104" s="334"/>
      <c r="L17104" s="334">
        <f>K17103</f>
        <v>6312.51</v>
      </c>
    </row>
    <row r="17105" spans="1:14" x14ac:dyDescent="0.2">
      <c r="A17105" s="325">
        <v>2026</v>
      </c>
      <c r="B17105" s="325">
        <v>1</v>
      </c>
      <c r="C17105" s="325">
        <v>25</v>
      </c>
      <c r="D17105" s="326">
        <f t="shared" si="2718"/>
        <v>46047</v>
      </c>
      <c r="E17105" s="327">
        <f t="shared" si="2719"/>
        <v>46047</v>
      </c>
      <c r="F17105" s="473" t="s">
        <v>2131</v>
      </c>
      <c r="G17105" s="340" t="s">
        <v>94</v>
      </c>
      <c r="H17105" s="340"/>
      <c r="I17105" s="341" t="s">
        <v>348</v>
      </c>
      <c r="J17105" s="374" t="s">
        <v>2156</v>
      </c>
      <c r="K17105" s="375">
        <v>18556.31868131868</v>
      </c>
      <c r="L17105" s="375"/>
      <c r="M17105" s="176"/>
    </row>
    <row r="17106" spans="1:14" x14ac:dyDescent="0.2">
      <c r="A17106" s="331">
        <v>2026</v>
      </c>
      <c r="B17106" s="331">
        <v>1</v>
      </c>
      <c r="C17106" s="331">
        <v>25</v>
      </c>
      <c r="D17106" s="326">
        <f t="shared" si="2718"/>
        <v>46047</v>
      </c>
      <c r="E17106" s="327">
        <f t="shared" si="2719"/>
        <v>46047</v>
      </c>
      <c r="F17106" s="474"/>
      <c r="G17106" s="332" t="s">
        <v>94</v>
      </c>
      <c r="H17106" s="332"/>
      <c r="I17106" s="333" t="s">
        <v>348</v>
      </c>
      <c r="J17106" s="376" t="s">
        <v>2154</v>
      </c>
      <c r="K17106" s="334"/>
      <c r="L17106" s="334">
        <f>K17105</f>
        <v>18556.31868131868</v>
      </c>
    </row>
    <row r="17107" spans="1:14" x14ac:dyDescent="0.2">
      <c r="A17107" s="384">
        <v>2026</v>
      </c>
      <c r="B17107" s="384">
        <v>1</v>
      </c>
      <c r="C17107" s="384">
        <v>25</v>
      </c>
      <c r="D17107" s="385">
        <f t="shared" si="2718"/>
        <v>46047</v>
      </c>
      <c r="E17107" s="386">
        <f t="shared" si="2719"/>
        <v>46047</v>
      </c>
      <c r="F17107" s="475" t="s">
        <v>1966</v>
      </c>
      <c r="G17107" s="387" t="s">
        <v>94</v>
      </c>
      <c r="H17107" s="387"/>
      <c r="I17107" s="388" t="s">
        <v>348</v>
      </c>
      <c r="J17107" s="389" t="s">
        <v>67</v>
      </c>
      <c r="K17107" s="390">
        <v>6328.65</v>
      </c>
      <c r="L17107" s="390"/>
    </row>
    <row r="17108" spans="1:14" x14ac:dyDescent="0.2">
      <c r="A17108" s="391">
        <v>2026</v>
      </c>
      <c r="B17108" s="391">
        <v>1</v>
      </c>
      <c r="C17108" s="391">
        <v>25</v>
      </c>
      <c r="D17108" s="385">
        <f t="shared" si="2718"/>
        <v>46047</v>
      </c>
      <c r="E17108" s="386">
        <f t="shared" si="2719"/>
        <v>46047</v>
      </c>
      <c r="F17108" s="476"/>
      <c r="G17108" s="392" t="s">
        <v>94</v>
      </c>
      <c r="H17108" s="392"/>
      <c r="I17108" s="393" t="s">
        <v>348</v>
      </c>
      <c r="J17108" s="394" t="s">
        <v>2155</v>
      </c>
      <c r="K17108" s="395"/>
      <c r="L17108" s="395">
        <f>K17107</f>
        <v>6328.65</v>
      </c>
    </row>
    <row r="17109" spans="1:14" x14ac:dyDescent="0.2">
      <c r="A17109" s="238">
        <v>2026</v>
      </c>
      <c r="B17109" s="238">
        <v>1</v>
      </c>
      <c r="C17109" s="238">
        <v>25</v>
      </c>
      <c r="D17109" s="270">
        <f t="shared" si="2718"/>
        <v>46047</v>
      </c>
      <c r="E17109" s="279">
        <f t="shared" si="2719"/>
        <v>46047</v>
      </c>
      <c r="F17109" s="477" t="s">
        <v>347</v>
      </c>
      <c r="G17109" s="239" t="s">
        <v>94</v>
      </c>
      <c r="H17109" s="239"/>
      <c r="I17109" s="262" t="s">
        <v>348</v>
      </c>
      <c r="J17109" s="240" t="s">
        <v>82</v>
      </c>
      <c r="K17109" s="241">
        <v>1314201.6400000453</v>
      </c>
      <c r="L17109" s="241"/>
      <c r="M17109" s="160"/>
    </row>
    <row r="17110" spans="1:14" x14ac:dyDescent="0.2">
      <c r="A17110" s="242">
        <v>2026</v>
      </c>
      <c r="B17110" s="242">
        <v>1</v>
      </c>
      <c r="C17110" s="242">
        <v>25</v>
      </c>
      <c r="D17110" s="270">
        <f t="shared" si="2718"/>
        <v>46047</v>
      </c>
      <c r="E17110" s="279">
        <f t="shared" si="2719"/>
        <v>46047</v>
      </c>
      <c r="F17110" s="478"/>
      <c r="G17110" s="243" t="s">
        <v>94</v>
      </c>
      <c r="H17110" s="243"/>
      <c r="I17110" s="263" t="s">
        <v>348</v>
      </c>
      <c r="J17110" s="244" t="s">
        <v>108</v>
      </c>
      <c r="K17110" s="245"/>
      <c r="L17110" s="245">
        <f>K17109</f>
        <v>1314201.6400000453</v>
      </c>
    </row>
    <row r="17111" spans="1:14" ht="12" customHeight="1" x14ac:dyDescent="0.2">
      <c r="A17111" s="246">
        <v>2026</v>
      </c>
      <c r="B17111" s="238">
        <v>1</v>
      </c>
      <c r="C17111" s="238">
        <v>25</v>
      </c>
      <c r="D17111" s="270">
        <f t="shared" si="2718"/>
        <v>46047</v>
      </c>
      <c r="E17111" s="279">
        <f t="shared" si="2719"/>
        <v>46047</v>
      </c>
      <c r="F17111" s="482" t="s">
        <v>148</v>
      </c>
      <c r="G17111" s="247" t="s">
        <v>94</v>
      </c>
      <c r="H17111" s="247"/>
      <c r="I17111" s="248" t="s">
        <v>348</v>
      </c>
      <c r="J17111" s="249" t="s">
        <v>95</v>
      </c>
      <c r="K17111" s="250">
        <v>1177.3940345368917</v>
      </c>
      <c r="L17111" s="241"/>
      <c r="M17111" s="176"/>
    </row>
    <row r="17112" spans="1:14" x14ac:dyDescent="0.2">
      <c r="A17112" s="242">
        <v>2026</v>
      </c>
      <c r="B17112" s="242">
        <v>1</v>
      </c>
      <c r="C17112" s="242">
        <v>25</v>
      </c>
      <c r="D17112" s="270">
        <f t="shared" si="2718"/>
        <v>46047</v>
      </c>
      <c r="E17112" s="279">
        <f t="shared" si="2719"/>
        <v>46047</v>
      </c>
      <c r="F17112" s="478"/>
      <c r="G17112" s="243" t="s">
        <v>94</v>
      </c>
      <c r="H17112" s="243"/>
      <c r="I17112" s="263" t="s">
        <v>348</v>
      </c>
      <c r="J17112" s="244" t="s">
        <v>63</v>
      </c>
      <c r="K17112" s="245"/>
      <c r="L17112" s="245">
        <f>K17111</f>
        <v>1177.3940345368917</v>
      </c>
    </row>
    <row r="17113" spans="1:14" x14ac:dyDescent="0.2">
      <c r="A17113" s="246">
        <v>2026</v>
      </c>
      <c r="B17113" s="238">
        <v>1</v>
      </c>
      <c r="C17113" s="238">
        <v>25</v>
      </c>
      <c r="D17113" s="270">
        <f t="shared" si="2718"/>
        <v>46047</v>
      </c>
      <c r="E17113" s="279">
        <f t="shared" si="2719"/>
        <v>46047</v>
      </c>
      <c r="F17113" s="482" t="s">
        <v>137</v>
      </c>
      <c r="G17113" s="247" t="s">
        <v>94</v>
      </c>
      <c r="H17113" s="247"/>
      <c r="I17113" s="248" t="s">
        <v>348</v>
      </c>
      <c r="J17113" s="249" t="s">
        <v>97</v>
      </c>
      <c r="K17113" s="250">
        <v>43019.730032322419</v>
      </c>
      <c r="L17113" s="252"/>
      <c r="M17113" s="170">
        <v>14339.91001077414</v>
      </c>
    </row>
    <row r="17114" spans="1:14" x14ac:dyDescent="0.2">
      <c r="A17114" s="242">
        <v>2026</v>
      </c>
      <c r="B17114" s="242">
        <v>1</v>
      </c>
      <c r="C17114" s="242">
        <v>25</v>
      </c>
      <c r="D17114" s="270">
        <f t="shared" si="2718"/>
        <v>46047</v>
      </c>
      <c r="E17114" s="279">
        <f t="shared" si="2719"/>
        <v>46047</v>
      </c>
      <c r="F17114" s="478"/>
      <c r="G17114" s="243" t="s">
        <v>94</v>
      </c>
      <c r="H17114" s="243"/>
      <c r="I17114" s="263" t="s">
        <v>348</v>
      </c>
      <c r="J17114" s="244" t="s">
        <v>47</v>
      </c>
      <c r="K17114" s="245"/>
      <c r="L17114" s="245">
        <f>K17113</f>
        <v>43019.730032322419</v>
      </c>
      <c r="M17114" s="170">
        <v>682.65484119804751</v>
      </c>
    </row>
    <row r="17115" spans="1:14" x14ac:dyDescent="0.2">
      <c r="A17115" s="246">
        <v>2026</v>
      </c>
      <c r="B17115" s="238">
        <v>1</v>
      </c>
      <c r="C17115" s="238">
        <v>25</v>
      </c>
      <c r="D17115" s="270">
        <f t="shared" si="2718"/>
        <v>46047</v>
      </c>
      <c r="E17115" s="279">
        <f t="shared" si="2719"/>
        <v>46047</v>
      </c>
      <c r="F17115" s="482" t="s">
        <v>138</v>
      </c>
      <c r="G17115" s="247" t="s">
        <v>94</v>
      </c>
      <c r="H17115" s="247"/>
      <c r="I17115" s="248" t="s">
        <v>348</v>
      </c>
      <c r="J17115" s="249" t="s">
        <v>100</v>
      </c>
      <c r="K17115" s="250">
        <v>43019.730032322419</v>
      </c>
      <c r="L17115" s="252"/>
    </row>
    <row r="17116" spans="1:14" x14ac:dyDescent="0.2">
      <c r="A17116" s="242">
        <v>2026</v>
      </c>
      <c r="B17116" s="242">
        <v>1</v>
      </c>
      <c r="C17116" s="242">
        <v>25</v>
      </c>
      <c r="D17116" s="321">
        <f t="shared" si="2718"/>
        <v>46047</v>
      </c>
      <c r="E17116" s="322">
        <f t="shared" si="2719"/>
        <v>46047</v>
      </c>
      <c r="F17116" s="478"/>
      <c r="G17116" s="243" t="s">
        <v>94</v>
      </c>
      <c r="H17116" s="243"/>
      <c r="I17116" s="263" t="s">
        <v>348</v>
      </c>
      <c r="J17116" s="244" t="s">
        <v>48</v>
      </c>
      <c r="K17116" s="245"/>
      <c r="L17116" s="245">
        <f>K17115</f>
        <v>43019.730032322419</v>
      </c>
    </row>
    <row r="17117" spans="1:14" ht="11.25" customHeight="1" x14ac:dyDescent="0.2">
      <c r="A17117" s="168">
        <v>2026</v>
      </c>
      <c r="B17117" s="133">
        <v>1</v>
      </c>
      <c r="C17117" s="168">
        <v>25</v>
      </c>
      <c r="D17117" s="141">
        <f t="shared" si="2718"/>
        <v>46047</v>
      </c>
      <c r="E17117" s="275">
        <f t="shared" si="2719"/>
        <v>46047</v>
      </c>
      <c r="F17117" s="479" t="s">
        <v>2116</v>
      </c>
      <c r="G17117" s="220" t="s">
        <v>74</v>
      </c>
      <c r="H17117" s="220"/>
      <c r="I17117" s="142"/>
      <c r="J17117" s="143" t="s">
        <v>147</v>
      </c>
      <c r="K17117" s="226">
        <v>788334.39</v>
      </c>
      <c r="L17117" s="226"/>
    </row>
    <row r="17118" spans="1:14" x14ac:dyDescent="0.2">
      <c r="A17118" s="163">
        <v>2026</v>
      </c>
      <c r="B17118" s="133">
        <v>1</v>
      </c>
      <c r="C17118" s="133">
        <v>25</v>
      </c>
      <c r="D17118" s="147">
        <f t="shared" si="2718"/>
        <v>46047</v>
      </c>
      <c r="E17118" s="311">
        <f t="shared" si="2719"/>
        <v>46047</v>
      </c>
      <c r="F17118" s="481"/>
      <c r="G17118" s="221" t="s">
        <v>74</v>
      </c>
      <c r="H17118" s="221"/>
      <c r="I17118" s="145"/>
      <c r="J17118" s="146" t="s">
        <v>52</v>
      </c>
      <c r="K17118" s="219"/>
      <c r="L17118" s="219">
        <f>K17117</f>
        <v>788334.39</v>
      </c>
      <c r="N17118" s="264"/>
    </row>
    <row r="17119" spans="1:14" x14ac:dyDescent="0.2">
      <c r="A17119" s="168">
        <v>2026</v>
      </c>
      <c r="B17119" s="168">
        <v>1</v>
      </c>
      <c r="C17119" s="168">
        <v>25</v>
      </c>
      <c r="D17119" s="141">
        <f>DATE(A17119,B17119,C17119)</f>
        <v>46047</v>
      </c>
      <c r="E17119" s="275">
        <f>DATE(A17119,B17119,C17119)</f>
        <v>46047</v>
      </c>
      <c r="F17119" s="479" t="s">
        <v>1943</v>
      </c>
      <c r="G17119" s="174" t="s">
        <v>74</v>
      </c>
      <c r="I17119" s="148" t="s">
        <v>348</v>
      </c>
      <c r="J17119" s="133" t="s">
        <v>61</v>
      </c>
      <c r="K17119" s="172">
        <v>100</v>
      </c>
    </row>
    <row r="17120" spans="1:14" x14ac:dyDescent="0.2">
      <c r="A17120" s="163">
        <v>2026</v>
      </c>
      <c r="B17120" s="163">
        <v>1</v>
      </c>
      <c r="C17120" s="163">
        <v>25</v>
      </c>
      <c r="D17120" s="144">
        <f>DATE(A17120,B17120,C17120)</f>
        <v>46047</v>
      </c>
      <c r="E17120" s="313">
        <f>DATE(A17120,B17120,C17120)</f>
        <v>46047</v>
      </c>
      <c r="F17120" s="480"/>
      <c r="G17120" s="221" t="s">
        <v>74</v>
      </c>
      <c r="H17120" s="145"/>
      <c r="I17120" s="145" t="s">
        <v>348</v>
      </c>
      <c r="J17120" s="163" t="s">
        <v>52</v>
      </c>
      <c r="K17120" s="219"/>
      <c r="L17120" s="219">
        <f>K17119</f>
        <v>100</v>
      </c>
    </row>
    <row r="17121" spans="1:14" x14ac:dyDescent="0.2">
      <c r="A17121" s="133">
        <v>2026</v>
      </c>
      <c r="B17121" s="133">
        <v>1</v>
      </c>
      <c r="C17121" s="133">
        <v>26</v>
      </c>
      <c r="D17121" s="147">
        <f t="shared" si="2718"/>
        <v>46048</v>
      </c>
      <c r="E17121" s="311">
        <f t="shared" si="2719"/>
        <v>46048</v>
      </c>
      <c r="F17121" s="481" t="s">
        <v>2115</v>
      </c>
      <c r="G17121" s="174" t="s">
        <v>94</v>
      </c>
      <c r="H17121" s="174"/>
      <c r="J17121" s="149" t="s">
        <v>79</v>
      </c>
      <c r="K17121" s="218">
        <v>1748918.4</v>
      </c>
      <c r="L17121" s="218"/>
      <c r="M17121" s="160"/>
    </row>
    <row r="17122" spans="1:14" x14ac:dyDescent="0.2">
      <c r="A17122" s="133">
        <v>2026</v>
      </c>
      <c r="B17122" s="133">
        <v>1</v>
      </c>
      <c r="C17122" s="133">
        <v>26</v>
      </c>
      <c r="D17122" s="147">
        <f t="shared" si="2718"/>
        <v>46048</v>
      </c>
      <c r="E17122" s="311">
        <f t="shared" si="2719"/>
        <v>46048</v>
      </c>
      <c r="F17122" s="481"/>
      <c r="G17122" s="174" t="s">
        <v>94</v>
      </c>
      <c r="H17122" s="174"/>
      <c r="J17122" s="149" t="s">
        <v>80</v>
      </c>
      <c r="K17122" s="218">
        <v>5965.33</v>
      </c>
      <c r="L17122" s="264"/>
      <c r="M17122" s="264"/>
      <c r="N17122" s="264"/>
    </row>
    <row r="17123" spans="1:14" x14ac:dyDescent="0.2">
      <c r="A17123" s="133">
        <v>2026</v>
      </c>
      <c r="B17123" s="133">
        <v>1</v>
      </c>
      <c r="C17123" s="133">
        <v>26</v>
      </c>
      <c r="D17123" s="147">
        <f t="shared" si="2718"/>
        <v>46048</v>
      </c>
      <c r="E17123" s="311">
        <f t="shared" si="2719"/>
        <v>46048</v>
      </c>
      <c r="F17123" s="481"/>
      <c r="G17123" s="174" t="s">
        <v>94</v>
      </c>
      <c r="H17123" s="174"/>
      <c r="J17123" s="149" t="s">
        <v>147</v>
      </c>
      <c r="K17123" s="218"/>
      <c r="L17123" s="218">
        <v>189732.03</v>
      </c>
      <c r="M17123" s="264"/>
    </row>
    <row r="17124" spans="1:14" x14ac:dyDescent="0.2">
      <c r="A17124" s="133">
        <v>2026</v>
      </c>
      <c r="B17124" s="133">
        <v>1</v>
      </c>
      <c r="C17124" s="133">
        <v>26</v>
      </c>
      <c r="D17124" s="147">
        <f t="shared" si="2718"/>
        <v>46048</v>
      </c>
      <c r="E17124" s="311">
        <f t="shared" si="2719"/>
        <v>46048</v>
      </c>
      <c r="F17124" s="481"/>
      <c r="G17124" s="174" t="s">
        <v>94</v>
      </c>
      <c r="H17124" s="174"/>
      <c r="J17124" s="149" t="s">
        <v>191</v>
      </c>
      <c r="K17124" s="218"/>
      <c r="L17124" s="218">
        <v>69183.06</v>
      </c>
    </row>
    <row r="17125" spans="1:14" x14ac:dyDescent="0.2">
      <c r="A17125" s="163">
        <v>2026</v>
      </c>
      <c r="B17125" s="163">
        <v>1</v>
      </c>
      <c r="C17125" s="163">
        <v>26</v>
      </c>
      <c r="D17125" s="147">
        <f t="shared" si="2718"/>
        <v>46048</v>
      </c>
      <c r="E17125" s="311">
        <f t="shared" si="2719"/>
        <v>46048</v>
      </c>
      <c r="F17125" s="481"/>
      <c r="G17125" s="221" t="s">
        <v>94</v>
      </c>
      <c r="H17125" s="145"/>
      <c r="I17125" s="145"/>
      <c r="J17125" s="163" t="s">
        <v>79</v>
      </c>
      <c r="K17125" s="219"/>
      <c r="L17125" s="219">
        <v>1495968.64</v>
      </c>
      <c r="M17125" s="264"/>
    </row>
    <row r="17126" spans="1:14" ht="11.25" customHeight="1" x14ac:dyDescent="0.2">
      <c r="A17126" s="168">
        <v>2026</v>
      </c>
      <c r="B17126" s="168">
        <v>1</v>
      </c>
      <c r="C17126" s="133">
        <v>26</v>
      </c>
      <c r="D17126" s="141">
        <f>DATE(A17126,B17126,C17126)</f>
        <v>46048</v>
      </c>
      <c r="E17126" s="275">
        <f>DATE(A17126,B17126,C17126)</f>
        <v>46048</v>
      </c>
      <c r="F17126" s="479" t="s">
        <v>1319</v>
      </c>
      <c r="G17126" s="220" t="s">
        <v>74</v>
      </c>
      <c r="H17126" s="142"/>
      <c r="I17126" s="142"/>
      <c r="J17126" s="168" t="s">
        <v>52</v>
      </c>
      <c r="K17126" s="226">
        <v>184000</v>
      </c>
      <c r="L17126" s="226"/>
    </row>
    <row r="17127" spans="1:14" ht="11.25" customHeight="1" x14ac:dyDescent="0.2">
      <c r="A17127" s="133">
        <v>2026</v>
      </c>
      <c r="B17127" s="133">
        <v>1</v>
      </c>
      <c r="C17127" s="133">
        <v>26</v>
      </c>
      <c r="D17127" s="147">
        <f>DATE(A17127,B17127,C17127)</f>
        <v>46048</v>
      </c>
      <c r="E17127" s="311">
        <f>DATE(A17127,B17127,C17127)</f>
        <v>46048</v>
      </c>
      <c r="F17127" s="481"/>
      <c r="G17127" s="174" t="s">
        <v>74</v>
      </c>
      <c r="J17127" s="133" t="s">
        <v>13</v>
      </c>
      <c r="K17127" s="218"/>
      <c r="L17127" s="218">
        <v>129030</v>
      </c>
    </row>
    <row r="17128" spans="1:14" ht="11.25" customHeight="1" x14ac:dyDescent="0.2">
      <c r="A17128" s="163">
        <v>2026</v>
      </c>
      <c r="B17128" s="163">
        <v>1</v>
      </c>
      <c r="C17128" s="163">
        <v>26</v>
      </c>
      <c r="D17128" s="144">
        <f>DATE(A17128,B17128,C17128)</f>
        <v>46048</v>
      </c>
      <c r="E17128" s="313">
        <f>DATE(A17128,B17128,C17128)</f>
        <v>46048</v>
      </c>
      <c r="F17128" s="480"/>
      <c r="G17128" s="221" t="s">
        <v>74</v>
      </c>
      <c r="H17128" s="145"/>
      <c r="I17128" s="145"/>
      <c r="J17128" s="163" t="s">
        <v>53</v>
      </c>
      <c r="K17128" s="219"/>
      <c r="L17128" s="219">
        <v>54970</v>
      </c>
    </row>
    <row r="17129" spans="1:14" x14ac:dyDescent="0.2">
      <c r="A17129" s="325">
        <v>2026</v>
      </c>
      <c r="B17129" s="325">
        <v>1</v>
      </c>
      <c r="C17129" s="325">
        <v>26</v>
      </c>
      <c r="D17129" s="326">
        <f t="shared" si="2718"/>
        <v>46048</v>
      </c>
      <c r="E17129" s="327">
        <f t="shared" si="2719"/>
        <v>46048</v>
      </c>
      <c r="F17129" s="473" t="s">
        <v>1940</v>
      </c>
      <c r="G17129" s="340" t="s">
        <v>94</v>
      </c>
      <c r="H17129" s="340"/>
      <c r="I17129" s="341" t="s">
        <v>348</v>
      </c>
      <c r="J17129" s="374" t="s">
        <v>133</v>
      </c>
      <c r="K17129" s="375">
        <v>2104.17</v>
      </c>
      <c r="L17129" s="375"/>
      <c r="M17129" s="176"/>
    </row>
    <row r="17130" spans="1:14" x14ac:dyDescent="0.2">
      <c r="A17130" s="331">
        <v>2026</v>
      </c>
      <c r="B17130" s="331">
        <v>1</v>
      </c>
      <c r="C17130" s="331">
        <v>26</v>
      </c>
      <c r="D17130" s="326">
        <f t="shared" si="2718"/>
        <v>46048</v>
      </c>
      <c r="E17130" s="327">
        <f t="shared" si="2719"/>
        <v>46048</v>
      </c>
      <c r="F17130" s="474"/>
      <c r="G17130" s="332" t="s">
        <v>94</v>
      </c>
      <c r="H17130" s="332"/>
      <c r="I17130" s="333" t="s">
        <v>348</v>
      </c>
      <c r="J17130" s="376" t="s">
        <v>2153</v>
      </c>
      <c r="K17130" s="334"/>
      <c r="L17130" s="334">
        <f>K17129</f>
        <v>2104.17</v>
      </c>
    </row>
    <row r="17131" spans="1:14" x14ac:dyDescent="0.2">
      <c r="A17131" s="325">
        <v>2026</v>
      </c>
      <c r="B17131" s="325">
        <v>1</v>
      </c>
      <c r="C17131" s="325">
        <v>26</v>
      </c>
      <c r="D17131" s="326">
        <f t="shared" si="2718"/>
        <v>46048</v>
      </c>
      <c r="E17131" s="327">
        <f t="shared" si="2719"/>
        <v>46048</v>
      </c>
      <c r="F17131" s="473" t="s">
        <v>2131</v>
      </c>
      <c r="G17131" s="340" t="s">
        <v>94</v>
      </c>
      <c r="H17131" s="340"/>
      <c r="I17131" s="341" t="s">
        <v>348</v>
      </c>
      <c r="J17131" s="374" t="s">
        <v>2156</v>
      </c>
      <c r="K17131" s="375">
        <v>6185.4395604395604</v>
      </c>
      <c r="L17131" s="375"/>
      <c r="M17131" s="176"/>
    </row>
    <row r="17132" spans="1:14" x14ac:dyDescent="0.2">
      <c r="A17132" s="331">
        <v>2026</v>
      </c>
      <c r="B17132" s="331">
        <v>1</v>
      </c>
      <c r="C17132" s="331">
        <v>26</v>
      </c>
      <c r="D17132" s="326">
        <f t="shared" si="2718"/>
        <v>46048</v>
      </c>
      <c r="E17132" s="327">
        <f t="shared" si="2719"/>
        <v>46048</v>
      </c>
      <c r="F17132" s="474"/>
      <c r="G17132" s="332" t="s">
        <v>94</v>
      </c>
      <c r="H17132" s="332"/>
      <c r="I17132" s="333" t="s">
        <v>348</v>
      </c>
      <c r="J17132" s="376" t="s">
        <v>2154</v>
      </c>
      <c r="K17132" s="334"/>
      <c r="L17132" s="334">
        <f>K17131</f>
        <v>6185.4395604395604</v>
      </c>
    </row>
    <row r="17133" spans="1:14" x14ac:dyDescent="0.2">
      <c r="A17133" s="384">
        <v>2026</v>
      </c>
      <c r="B17133" s="384">
        <v>1</v>
      </c>
      <c r="C17133" s="384">
        <v>26</v>
      </c>
      <c r="D17133" s="385">
        <f t="shared" si="2718"/>
        <v>46048</v>
      </c>
      <c r="E17133" s="386">
        <f t="shared" si="2719"/>
        <v>46048</v>
      </c>
      <c r="F17133" s="475" t="s">
        <v>1966</v>
      </c>
      <c r="G17133" s="387" t="s">
        <v>94</v>
      </c>
      <c r="H17133" s="387"/>
      <c r="I17133" s="388" t="s">
        <v>348</v>
      </c>
      <c r="J17133" s="389" t="s">
        <v>67</v>
      </c>
      <c r="K17133" s="390">
        <v>1548.6377625000002</v>
      </c>
      <c r="L17133" s="390"/>
    </row>
    <row r="17134" spans="1:14" x14ac:dyDescent="0.2">
      <c r="A17134" s="391">
        <v>2026</v>
      </c>
      <c r="B17134" s="391">
        <v>1</v>
      </c>
      <c r="C17134" s="391">
        <v>26</v>
      </c>
      <c r="D17134" s="385">
        <f t="shared" si="2718"/>
        <v>46048</v>
      </c>
      <c r="E17134" s="386">
        <f t="shared" si="2719"/>
        <v>46048</v>
      </c>
      <c r="F17134" s="476"/>
      <c r="G17134" s="392" t="s">
        <v>94</v>
      </c>
      <c r="H17134" s="392"/>
      <c r="I17134" s="393" t="s">
        <v>348</v>
      </c>
      <c r="J17134" s="394" t="s">
        <v>2155</v>
      </c>
      <c r="K17134" s="395"/>
      <c r="L17134" s="395">
        <f>K17133</f>
        <v>1548.6377625000002</v>
      </c>
    </row>
    <row r="17135" spans="1:14" x14ac:dyDescent="0.2">
      <c r="A17135" s="238">
        <v>2026</v>
      </c>
      <c r="B17135" s="238">
        <v>1</v>
      </c>
      <c r="C17135" s="238">
        <v>26</v>
      </c>
      <c r="D17135" s="270">
        <f t="shared" si="2718"/>
        <v>46048</v>
      </c>
      <c r="E17135" s="279">
        <f t="shared" si="2719"/>
        <v>46048</v>
      </c>
      <c r="F17135" s="477" t="s">
        <v>347</v>
      </c>
      <c r="G17135" s="239" t="s">
        <v>94</v>
      </c>
      <c r="H17135" s="239"/>
      <c r="I17135" s="262" t="s">
        <v>348</v>
      </c>
      <c r="J17135" s="240" t="s">
        <v>108</v>
      </c>
      <c r="K17135" s="241">
        <v>140071.74000000954</v>
      </c>
      <c r="L17135" s="241"/>
      <c r="M17135" s="160"/>
    </row>
    <row r="17136" spans="1:14" x14ac:dyDescent="0.2">
      <c r="A17136" s="242">
        <v>2026</v>
      </c>
      <c r="B17136" s="242">
        <v>1</v>
      </c>
      <c r="C17136" s="242">
        <v>26</v>
      </c>
      <c r="D17136" s="270">
        <f t="shared" si="2718"/>
        <v>46048</v>
      </c>
      <c r="E17136" s="279">
        <f t="shared" si="2719"/>
        <v>46048</v>
      </c>
      <c r="F17136" s="478"/>
      <c r="G17136" s="243" t="s">
        <v>94</v>
      </c>
      <c r="H17136" s="243"/>
      <c r="I17136" s="263" t="s">
        <v>348</v>
      </c>
      <c r="J17136" s="244" t="s">
        <v>82</v>
      </c>
      <c r="K17136" s="245"/>
      <c r="L17136" s="245">
        <f>K17135</f>
        <v>140071.74000000954</v>
      </c>
    </row>
    <row r="17137" spans="1:14" ht="12" customHeight="1" x14ac:dyDescent="0.2">
      <c r="A17137" s="246">
        <v>2026</v>
      </c>
      <c r="B17137" s="238">
        <v>1</v>
      </c>
      <c r="C17137" s="238">
        <v>26</v>
      </c>
      <c r="D17137" s="270">
        <f t="shared" si="2718"/>
        <v>46048</v>
      </c>
      <c r="E17137" s="279">
        <f t="shared" si="2719"/>
        <v>46048</v>
      </c>
      <c r="F17137" s="482" t="s">
        <v>148</v>
      </c>
      <c r="G17137" s="247" t="s">
        <v>94</v>
      </c>
      <c r="H17137" s="247"/>
      <c r="I17137" s="248" t="s">
        <v>348</v>
      </c>
      <c r="J17137" s="249" t="s">
        <v>95</v>
      </c>
      <c r="K17137" s="250">
        <v>392.46467817896388</v>
      </c>
      <c r="L17137" s="241"/>
      <c r="M17137" s="176"/>
    </row>
    <row r="17138" spans="1:14" x14ac:dyDescent="0.2">
      <c r="A17138" s="242">
        <v>2026</v>
      </c>
      <c r="B17138" s="242">
        <v>1</v>
      </c>
      <c r="C17138" s="242">
        <v>26</v>
      </c>
      <c r="D17138" s="270">
        <f t="shared" si="2718"/>
        <v>46048</v>
      </c>
      <c r="E17138" s="279">
        <f t="shared" si="2719"/>
        <v>46048</v>
      </c>
      <c r="F17138" s="478"/>
      <c r="G17138" s="243" t="s">
        <v>94</v>
      </c>
      <c r="H17138" s="243"/>
      <c r="I17138" s="263" t="s">
        <v>348</v>
      </c>
      <c r="J17138" s="244" t="s">
        <v>63</v>
      </c>
      <c r="K17138" s="245"/>
      <c r="L17138" s="245">
        <f>K17137</f>
        <v>392.46467817896388</v>
      </c>
    </row>
    <row r="17139" spans="1:14" x14ac:dyDescent="0.2">
      <c r="A17139" s="246">
        <v>2026</v>
      </c>
      <c r="B17139" s="238">
        <v>1</v>
      </c>
      <c r="C17139" s="238">
        <v>26</v>
      </c>
      <c r="D17139" s="270">
        <f t="shared" si="2718"/>
        <v>46048</v>
      </c>
      <c r="E17139" s="279">
        <f t="shared" si="2719"/>
        <v>46048</v>
      </c>
      <c r="F17139" s="482" t="s">
        <v>137</v>
      </c>
      <c r="G17139" s="247" t="s">
        <v>94</v>
      </c>
      <c r="H17139" s="247"/>
      <c r="I17139" s="248" t="s">
        <v>348</v>
      </c>
      <c r="J17139" s="249" t="s">
        <v>97</v>
      </c>
      <c r="K17139" s="250">
        <v>14357.794560031287</v>
      </c>
      <c r="L17139" s="252"/>
      <c r="M17139" s="170">
        <v>14357.794560031287</v>
      </c>
    </row>
    <row r="17140" spans="1:14" x14ac:dyDescent="0.2">
      <c r="A17140" s="242">
        <v>2026</v>
      </c>
      <c r="B17140" s="242">
        <v>1</v>
      </c>
      <c r="C17140" s="242">
        <v>26</v>
      </c>
      <c r="D17140" s="270">
        <f t="shared" si="2718"/>
        <v>46048</v>
      </c>
      <c r="E17140" s="279">
        <f t="shared" si="2719"/>
        <v>46048</v>
      </c>
      <c r="F17140" s="478"/>
      <c r="G17140" s="243" t="s">
        <v>94</v>
      </c>
      <c r="H17140" s="243"/>
      <c r="I17140" s="263" t="s">
        <v>348</v>
      </c>
      <c r="J17140" s="244" t="s">
        <v>47</v>
      </c>
      <c r="K17140" s="245"/>
      <c r="L17140" s="245">
        <f>K17139</f>
        <v>14357.794560031287</v>
      </c>
      <c r="M17140" s="170">
        <v>683.54906866090494</v>
      </c>
    </row>
    <row r="17141" spans="1:14" x14ac:dyDescent="0.2">
      <c r="A17141" s="246">
        <v>2026</v>
      </c>
      <c r="B17141" s="238">
        <v>1</v>
      </c>
      <c r="C17141" s="238">
        <v>26</v>
      </c>
      <c r="D17141" s="270">
        <f t="shared" si="2718"/>
        <v>46048</v>
      </c>
      <c r="E17141" s="279">
        <f t="shared" si="2719"/>
        <v>46048</v>
      </c>
      <c r="F17141" s="482" t="s">
        <v>138</v>
      </c>
      <c r="G17141" s="247" t="s">
        <v>94</v>
      </c>
      <c r="H17141" s="247"/>
      <c r="I17141" s="248" t="s">
        <v>348</v>
      </c>
      <c r="J17141" s="249" t="s">
        <v>100</v>
      </c>
      <c r="K17141" s="250">
        <v>683.54906866090494</v>
      </c>
      <c r="L17141" s="252"/>
    </row>
    <row r="17142" spans="1:14" x14ac:dyDescent="0.2">
      <c r="A17142" s="242">
        <v>2026</v>
      </c>
      <c r="B17142" s="242">
        <v>1</v>
      </c>
      <c r="C17142" s="242">
        <v>26</v>
      </c>
      <c r="D17142" s="321">
        <f t="shared" si="2718"/>
        <v>46048</v>
      </c>
      <c r="E17142" s="322">
        <f t="shared" si="2719"/>
        <v>46048</v>
      </c>
      <c r="F17142" s="478"/>
      <c r="G17142" s="243" t="s">
        <v>94</v>
      </c>
      <c r="H17142" s="243"/>
      <c r="I17142" s="263" t="s">
        <v>348</v>
      </c>
      <c r="J17142" s="244" t="s">
        <v>48</v>
      </c>
      <c r="K17142" s="245"/>
      <c r="L17142" s="245">
        <f>K17141</f>
        <v>683.54906866090494</v>
      </c>
    </row>
    <row r="17143" spans="1:14" x14ac:dyDescent="0.2">
      <c r="A17143" s="168">
        <v>2026</v>
      </c>
      <c r="B17143" s="168">
        <v>1</v>
      </c>
      <c r="C17143" s="168">
        <v>27</v>
      </c>
      <c r="D17143" s="141">
        <f t="shared" ref="D17143:D17152" si="2720">DATE(A17143,B17143,C17143)</f>
        <v>46049</v>
      </c>
      <c r="E17143" s="275">
        <f t="shared" ref="E17143:E17152" si="2721">DATE(A17143,B17143,C17143)</f>
        <v>46049</v>
      </c>
      <c r="F17143" s="479" t="s">
        <v>2115</v>
      </c>
      <c r="G17143" s="220" t="s">
        <v>94</v>
      </c>
      <c r="H17143" s="174"/>
      <c r="J17143" s="149" t="s">
        <v>79</v>
      </c>
      <c r="K17143" s="218">
        <v>771930.1</v>
      </c>
      <c r="L17143" s="218"/>
      <c r="M17143" s="160"/>
    </row>
    <row r="17144" spans="1:14" x14ac:dyDescent="0.2">
      <c r="A17144" s="133">
        <v>2026</v>
      </c>
      <c r="B17144" s="133">
        <v>1</v>
      </c>
      <c r="C17144" s="133">
        <v>27</v>
      </c>
      <c r="D17144" s="147">
        <f t="shared" si="2720"/>
        <v>46049</v>
      </c>
      <c r="E17144" s="311">
        <f t="shared" si="2721"/>
        <v>46049</v>
      </c>
      <c r="F17144" s="481"/>
      <c r="G17144" s="174" t="s">
        <v>94</v>
      </c>
      <c r="H17144" s="174"/>
      <c r="J17144" s="149" t="s">
        <v>80</v>
      </c>
      <c r="K17144" s="218">
        <v>1842.35</v>
      </c>
      <c r="L17144" s="264"/>
      <c r="M17144" s="264"/>
      <c r="N17144" s="264"/>
    </row>
    <row r="17145" spans="1:14" x14ac:dyDescent="0.2">
      <c r="A17145" s="133">
        <v>2026</v>
      </c>
      <c r="B17145" s="133">
        <v>1</v>
      </c>
      <c r="C17145" s="133">
        <v>27</v>
      </c>
      <c r="D17145" s="147">
        <f t="shared" si="2720"/>
        <v>46049</v>
      </c>
      <c r="E17145" s="311">
        <f t="shared" si="2721"/>
        <v>46049</v>
      </c>
      <c r="F17145" s="481"/>
      <c r="G17145" s="174" t="s">
        <v>94</v>
      </c>
      <c r="H17145" s="174"/>
      <c r="J17145" s="149" t="s">
        <v>147</v>
      </c>
      <c r="K17145" s="218"/>
      <c r="L17145" s="218">
        <v>522172.45</v>
      </c>
      <c r="M17145" s="264"/>
    </row>
    <row r="17146" spans="1:14" x14ac:dyDescent="0.2">
      <c r="A17146" s="133">
        <v>2026</v>
      </c>
      <c r="B17146" s="133">
        <v>1</v>
      </c>
      <c r="C17146" s="133">
        <v>27</v>
      </c>
      <c r="D17146" s="147">
        <f t="shared" si="2720"/>
        <v>46049</v>
      </c>
      <c r="E17146" s="311">
        <f t="shared" si="2721"/>
        <v>46049</v>
      </c>
      <c r="F17146" s="481"/>
      <c r="G17146" s="174" t="s">
        <v>94</v>
      </c>
      <c r="H17146" s="174"/>
      <c r="J17146" s="149" t="s">
        <v>191</v>
      </c>
      <c r="K17146" s="218"/>
      <c r="L17146" s="218">
        <v>30707.02</v>
      </c>
    </row>
    <row r="17147" spans="1:14" x14ac:dyDescent="0.2">
      <c r="A17147" s="163">
        <v>2026</v>
      </c>
      <c r="B17147" s="133">
        <v>1</v>
      </c>
      <c r="C17147" s="133">
        <v>27</v>
      </c>
      <c r="D17147" s="147">
        <f t="shared" si="2720"/>
        <v>46049</v>
      </c>
      <c r="E17147" s="311">
        <f t="shared" si="2721"/>
        <v>46049</v>
      </c>
      <c r="F17147" s="481"/>
      <c r="G17147" s="221" t="s">
        <v>94</v>
      </c>
      <c r="H17147" s="145"/>
      <c r="I17147" s="145"/>
      <c r="J17147" s="163" t="s">
        <v>79</v>
      </c>
      <c r="K17147" s="219"/>
      <c r="L17147" s="219">
        <v>220892.98</v>
      </c>
      <c r="M17147" s="264"/>
    </row>
    <row r="17148" spans="1:14" x14ac:dyDescent="0.2">
      <c r="A17148" s="168">
        <v>2026</v>
      </c>
      <c r="B17148" s="168">
        <v>1</v>
      </c>
      <c r="C17148" s="168">
        <v>27</v>
      </c>
      <c r="D17148" s="141">
        <f t="shared" si="2720"/>
        <v>46049</v>
      </c>
      <c r="E17148" s="275">
        <f t="shared" si="2721"/>
        <v>46049</v>
      </c>
      <c r="F17148" s="479" t="s">
        <v>1529</v>
      </c>
      <c r="G17148" s="220" t="s">
        <v>94</v>
      </c>
      <c r="H17148" s="220"/>
      <c r="I17148" s="142"/>
      <c r="J17148" s="143" t="s">
        <v>79</v>
      </c>
      <c r="K17148" s="226">
        <v>680600</v>
      </c>
      <c r="L17148" s="226"/>
      <c r="M17148" s="160"/>
    </row>
    <row r="17149" spans="1:14" x14ac:dyDescent="0.2">
      <c r="A17149" s="133">
        <v>2026</v>
      </c>
      <c r="B17149" s="133">
        <v>1</v>
      </c>
      <c r="C17149" s="133">
        <v>27</v>
      </c>
      <c r="D17149" s="147">
        <f t="shared" si="2720"/>
        <v>46049</v>
      </c>
      <c r="E17149" s="311">
        <f t="shared" si="2721"/>
        <v>46049</v>
      </c>
      <c r="F17149" s="481"/>
      <c r="G17149" s="174" t="s">
        <v>94</v>
      </c>
      <c r="H17149" s="174"/>
      <c r="J17149" s="149" t="s">
        <v>80</v>
      </c>
      <c r="K17149" s="218">
        <v>1225.08</v>
      </c>
      <c r="L17149" s="218"/>
    </row>
    <row r="17150" spans="1:14" x14ac:dyDescent="0.2">
      <c r="A17150" s="163">
        <v>2026</v>
      </c>
      <c r="B17150" s="163">
        <v>1</v>
      </c>
      <c r="C17150" s="163">
        <v>27</v>
      </c>
      <c r="D17150" s="144">
        <f t="shared" si="2720"/>
        <v>46049</v>
      </c>
      <c r="E17150" s="313">
        <f t="shared" si="2721"/>
        <v>46049</v>
      </c>
      <c r="F17150" s="480"/>
      <c r="G17150" s="221" t="s">
        <v>94</v>
      </c>
      <c r="H17150" s="221"/>
      <c r="I17150" s="145"/>
      <c r="J17150" s="146" t="s">
        <v>147</v>
      </c>
      <c r="K17150" s="219"/>
      <c r="L17150" s="219">
        <v>681825.08</v>
      </c>
    </row>
    <row r="17151" spans="1:14" ht="11.25" customHeight="1" x14ac:dyDescent="0.2">
      <c r="A17151" s="168">
        <v>2026</v>
      </c>
      <c r="B17151" s="133">
        <v>1</v>
      </c>
      <c r="C17151" s="133">
        <v>27</v>
      </c>
      <c r="D17151" s="147">
        <f t="shared" si="2720"/>
        <v>46049</v>
      </c>
      <c r="E17151" s="311">
        <f t="shared" si="2721"/>
        <v>46049</v>
      </c>
      <c r="F17151" s="479" t="s">
        <v>2116</v>
      </c>
      <c r="G17151" s="220" t="s">
        <v>74</v>
      </c>
      <c r="H17151" s="220"/>
      <c r="I17151" s="142"/>
      <c r="J17151" s="143" t="s">
        <v>147</v>
      </c>
      <c r="K17151" s="226">
        <v>189732.03</v>
      </c>
      <c r="L17151" s="226"/>
    </row>
    <row r="17152" spans="1:14" x14ac:dyDescent="0.2">
      <c r="A17152" s="163">
        <v>2026</v>
      </c>
      <c r="B17152" s="133">
        <v>1</v>
      </c>
      <c r="C17152" s="133">
        <v>27</v>
      </c>
      <c r="D17152" s="147">
        <f t="shared" si="2720"/>
        <v>46049</v>
      </c>
      <c r="E17152" s="311">
        <f t="shared" si="2721"/>
        <v>46049</v>
      </c>
      <c r="F17152" s="480"/>
      <c r="G17152" s="221" t="s">
        <v>74</v>
      </c>
      <c r="H17152" s="221"/>
      <c r="I17152" s="145"/>
      <c r="J17152" s="146" t="s">
        <v>52</v>
      </c>
      <c r="K17152" s="219"/>
      <c r="L17152" s="219">
        <f>K17151</f>
        <v>189732.03</v>
      </c>
      <c r="N17152" s="264"/>
    </row>
    <row r="17153" spans="1:13" x14ac:dyDescent="0.2">
      <c r="A17153" s="168">
        <v>2026</v>
      </c>
      <c r="B17153" s="168">
        <v>1</v>
      </c>
      <c r="C17153" s="168">
        <v>27</v>
      </c>
      <c r="D17153" s="141">
        <f>DATE(A17153,B17153,C17153)</f>
        <v>46049</v>
      </c>
      <c r="E17153" s="275">
        <f>DATE(A17153,B17153,C17153)</f>
        <v>46049</v>
      </c>
      <c r="F17153" s="479" t="s">
        <v>1943</v>
      </c>
      <c r="G17153" s="174" t="s">
        <v>74</v>
      </c>
      <c r="I17153" s="148" t="s">
        <v>348</v>
      </c>
      <c r="J17153" s="133" t="s">
        <v>61</v>
      </c>
      <c r="K17153" s="172">
        <v>58</v>
      </c>
    </row>
    <row r="17154" spans="1:13" x14ac:dyDescent="0.2">
      <c r="A17154" s="163">
        <v>2026</v>
      </c>
      <c r="B17154" s="163">
        <v>1</v>
      </c>
      <c r="C17154" s="163">
        <v>27</v>
      </c>
      <c r="D17154" s="144">
        <f>DATE(A17154,B17154,C17154)</f>
        <v>46049</v>
      </c>
      <c r="E17154" s="313">
        <f>DATE(A17154,B17154,C17154)</f>
        <v>46049</v>
      </c>
      <c r="F17154" s="480"/>
      <c r="G17154" s="221" t="s">
        <v>74</v>
      </c>
      <c r="H17154" s="145"/>
      <c r="I17154" s="145" t="s">
        <v>348</v>
      </c>
      <c r="J17154" s="163" t="s">
        <v>52</v>
      </c>
      <c r="K17154" s="219"/>
      <c r="L17154" s="219">
        <f>K17153</f>
        <v>58</v>
      </c>
    </row>
    <row r="17155" spans="1:13" x14ac:dyDescent="0.2">
      <c r="A17155" s="325">
        <v>2026</v>
      </c>
      <c r="B17155" s="325">
        <v>1</v>
      </c>
      <c r="C17155" s="325">
        <v>27</v>
      </c>
      <c r="D17155" s="326">
        <f t="shared" ref="D17155:D17173" si="2722">DATE(A17155,B17155,C17155)</f>
        <v>46049</v>
      </c>
      <c r="E17155" s="327">
        <f t="shared" ref="E17155:E17173" si="2723">DATE(A17155,B17155,C17155)</f>
        <v>46049</v>
      </c>
      <c r="F17155" s="473" t="s">
        <v>1940</v>
      </c>
      <c r="G17155" s="340" t="s">
        <v>94</v>
      </c>
      <c r="H17155" s="340"/>
      <c r="I17155" s="341" t="s">
        <v>348</v>
      </c>
      <c r="J17155" s="374" t="s">
        <v>133</v>
      </c>
      <c r="K17155" s="375">
        <v>2104.17</v>
      </c>
      <c r="L17155" s="375"/>
      <c r="M17155" s="176"/>
    </row>
    <row r="17156" spans="1:13" x14ac:dyDescent="0.2">
      <c r="A17156" s="331">
        <v>2026</v>
      </c>
      <c r="B17156" s="331">
        <v>1</v>
      </c>
      <c r="C17156" s="331">
        <v>27</v>
      </c>
      <c r="D17156" s="326">
        <f t="shared" si="2722"/>
        <v>46049</v>
      </c>
      <c r="E17156" s="327">
        <f t="shared" si="2723"/>
        <v>46049</v>
      </c>
      <c r="F17156" s="474"/>
      <c r="G17156" s="332" t="s">
        <v>94</v>
      </c>
      <c r="H17156" s="332"/>
      <c r="I17156" s="333" t="s">
        <v>348</v>
      </c>
      <c r="J17156" s="376" t="s">
        <v>2153</v>
      </c>
      <c r="K17156" s="334"/>
      <c r="L17156" s="334">
        <f>K17155</f>
        <v>2104.17</v>
      </c>
    </row>
    <row r="17157" spans="1:13" x14ac:dyDescent="0.2">
      <c r="A17157" s="325">
        <v>2026</v>
      </c>
      <c r="B17157" s="325">
        <v>1</v>
      </c>
      <c r="C17157" s="325">
        <v>27</v>
      </c>
      <c r="D17157" s="326">
        <f t="shared" si="2722"/>
        <v>46049</v>
      </c>
      <c r="E17157" s="327">
        <f t="shared" si="2723"/>
        <v>46049</v>
      </c>
      <c r="F17157" s="473" t="s">
        <v>2131</v>
      </c>
      <c r="G17157" s="340" t="s">
        <v>94</v>
      </c>
      <c r="H17157" s="340"/>
      <c r="I17157" s="341" t="s">
        <v>348</v>
      </c>
      <c r="J17157" s="374" t="s">
        <v>2156</v>
      </c>
      <c r="K17157" s="375">
        <v>6185.4395604395604</v>
      </c>
      <c r="L17157" s="375"/>
      <c r="M17157" s="176"/>
    </row>
    <row r="17158" spans="1:13" x14ac:dyDescent="0.2">
      <c r="A17158" s="331">
        <v>2026</v>
      </c>
      <c r="B17158" s="331">
        <v>1</v>
      </c>
      <c r="C17158" s="331">
        <v>27</v>
      </c>
      <c r="D17158" s="326">
        <f t="shared" si="2722"/>
        <v>46049</v>
      </c>
      <c r="E17158" s="327">
        <f t="shared" si="2723"/>
        <v>46049</v>
      </c>
      <c r="F17158" s="474"/>
      <c r="G17158" s="332" t="s">
        <v>94</v>
      </c>
      <c r="H17158" s="332"/>
      <c r="I17158" s="333" t="s">
        <v>348</v>
      </c>
      <c r="J17158" s="376" t="s">
        <v>2154</v>
      </c>
      <c r="K17158" s="334"/>
      <c r="L17158" s="334">
        <f>K17157</f>
        <v>6185.4395604395604</v>
      </c>
    </row>
    <row r="17159" spans="1:13" x14ac:dyDescent="0.2">
      <c r="A17159" s="384">
        <v>2026</v>
      </c>
      <c r="B17159" s="384">
        <v>1</v>
      </c>
      <c r="C17159" s="384">
        <v>27</v>
      </c>
      <c r="D17159" s="385">
        <f t="shared" si="2722"/>
        <v>46049</v>
      </c>
      <c r="E17159" s="386">
        <f t="shared" si="2723"/>
        <v>46049</v>
      </c>
      <c r="F17159" s="475" t="s">
        <v>1966</v>
      </c>
      <c r="G17159" s="387" t="s">
        <v>94</v>
      </c>
      <c r="H17159" s="387"/>
      <c r="I17159" s="388" t="s">
        <v>348</v>
      </c>
      <c r="J17159" s="389" t="s">
        <v>67</v>
      </c>
      <c r="K17159" s="390">
        <v>1518.6770479166669</v>
      </c>
      <c r="L17159" s="390"/>
    </row>
    <row r="17160" spans="1:13" x14ac:dyDescent="0.2">
      <c r="A17160" s="391">
        <v>2026</v>
      </c>
      <c r="B17160" s="391">
        <v>1</v>
      </c>
      <c r="C17160" s="391">
        <v>27</v>
      </c>
      <c r="D17160" s="385">
        <f t="shared" si="2722"/>
        <v>46049</v>
      </c>
      <c r="E17160" s="386">
        <f t="shared" si="2723"/>
        <v>46049</v>
      </c>
      <c r="F17160" s="476"/>
      <c r="G17160" s="392" t="s">
        <v>94</v>
      </c>
      <c r="H17160" s="392"/>
      <c r="I17160" s="393" t="s">
        <v>348</v>
      </c>
      <c r="J17160" s="394" t="s">
        <v>2155</v>
      </c>
      <c r="K17160" s="395"/>
      <c r="L17160" s="395">
        <f>K17159</f>
        <v>1518.6770479166669</v>
      </c>
    </row>
    <row r="17161" spans="1:13" x14ac:dyDescent="0.2">
      <c r="A17161" s="238">
        <v>2026</v>
      </c>
      <c r="B17161" s="238">
        <v>1</v>
      </c>
      <c r="C17161" s="238">
        <v>27</v>
      </c>
      <c r="D17161" s="270">
        <f t="shared" si="2722"/>
        <v>46049</v>
      </c>
      <c r="E17161" s="279">
        <f t="shared" si="2723"/>
        <v>46049</v>
      </c>
      <c r="F17161" s="477" t="s">
        <v>347</v>
      </c>
      <c r="G17161" s="239" t="s">
        <v>94</v>
      </c>
      <c r="H17161" s="239"/>
      <c r="I17161" s="262" t="s">
        <v>348</v>
      </c>
      <c r="J17161" s="240" t="s">
        <v>108</v>
      </c>
      <c r="K17161" s="241">
        <v>3106142.0800000131</v>
      </c>
      <c r="L17161" s="241"/>
      <c r="M17161" s="160"/>
    </row>
    <row r="17162" spans="1:13" x14ac:dyDescent="0.2">
      <c r="A17162" s="242">
        <v>2026</v>
      </c>
      <c r="B17162" s="242">
        <v>1</v>
      </c>
      <c r="C17162" s="242">
        <v>27</v>
      </c>
      <c r="D17162" s="270">
        <f t="shared" si="2722"/>
        <v>46049</v>
      </c>
      <c r="E17162" s="279">
        <f t="shared" si="2723"/>
        <v>46049</v>
      </c>
      <c r="F17162" s="478"/>
      <c r="G17162" s="243" t="s">
        <v>94</v>
      </c>
      <c r="H17162" s="243"/>
      <c r="I17162" s="263" t="s">
        <v>348</v>
      </c>
      <c r="J17162" s="244" t="s">
        <v>82</v>
      </c>
      <c r="K17162" s="245"/>
      <c r="L17162" s="245">
        <f>K17161</f>
        <v>3106142.0800000131</v>
      </c>
    </row>
    <row r="17163" spans="1:13" ht="12" customHeight="1" x14ac:dyDescent="0.2">
      <c r="A17163" s="246">
        <v>2026</v>
      </c>
      <c r="B17163" s="238">
        <v>1</v>
      </c>
      <c r="C17163" s="238">
        <v>27</v>
      </c>
      <c r="D17163" s="270">
        <f t="shared" si="2722"/>
        <v>46049</v>
      </c>
      <c r="E17163" s="279">
        <f t="shared" si="2723"/>
        <v>46049</v>
      </c>
      <c r="F17163" s="482" t="s">
        <v>148</v>
      </c>
      <c r="G17163" s="247" t="s">
        <v>94</v>
      </c>
      <c r="H17163" s="247"/>
      <c r="I17163" s="248" t="s">
        <v>348</v>
      </c>
      <c r="J17163" s="249" t="s">
        <v>95</v>
      </c>
      <c r="K17163" s="250">
        <v>392.46467817896388</v>
      </c>
      <c r="L17163" s="241"/>
      <c r="M17163" s="176"/>
    </row>
    <row r="17164" spans="1:13" x14ac:dyDescent="0.2">
      <c r="A17164" s="242">
        <v>2026</v>
      </c>
      <c r="B17164" s="242">
        <v>1</v>
      </c>
      <c r="C17164" s="242">
        <v>27</v>
      </c>
      <c r="D17164" s="270">
        <f t="shared" si="2722"/>
        <v>46049</v>
      </c>
      <c r="E17164" s="279">
        <f t="shared" si="2723"/>
        <v>46049</v>
      </c>
      <c r="F17164" s="478"/>
      <c r="G17164" s="243" t="s">
        <v>94</v>
      </c>
      <c r="H17164" s="243"/>
      <c r="I17164" s="263" t="s">
        <v>348</v>
      </c>
      <c r="J17164" s="244" t="s">
        <v>63</v>
      </c>
      <c r="K17164" s="245"/>
      <c r="L17164" s="245">
        <f>K17163</f>
        <v>392.46467817896388</v>
      </c>
    </row>
    <row r="17165" spans="1:13" x14ac:dyDescent="0.2">
      <c r="A17165" s="246">
        <v>2026</v>
      </c>
      <c r="B17165" s="238">
        <v>1</v>
      </c>
      <c r="C17165" s="238">
        <v>27</v>
      </c>
      <c r="D17165" s="270">
        <f t="shared" si="2722"/>
        <v>46049</v>
      </c>
      <c r="E17165" s="279">
        <f t="shared" si="2723"/>
        <v>46049</v>
      </c>
      <c r="F17165" s="482" t="s">
        <v>137</v>
      </c>
      <c r="G17165" s="247" t="s">
        <v>94</v>
      </c>
      <c r="H17165" s="247"/>
      <c r="I17165" s="248" t="s">
        <v>348</v>
      </c>
      <c r="J17165" s="249" t="s">
        <v>97</v>
      </c>
      <c r="K17165" s="250">
        <v>14502.406159383416</v>
      </c>
      <c r="L17165" s="252"/>
      <c r="M17165" s="170">
        <v>14502.406159383416</v>
      </c>
    </row>
    <row r="17166" spans="1:13" x14ac:dyDescent="0.2">
      <c r="A17166" s="242">
        <v>2026</v>
      </c>
      <c r="B17166" s="242">
        <v>1</v>
      </c>
      <c r="C17166" s="242">
        <v>27</v>
      </c>
      <c r="D17166" s="270">
        <f t="shared" si="2722"/>
        <v>46049</v>
      </c>
      <c r="E17166" s="279">
        <f t="shared" si="2723"/>
        <v>46049</v>
      </c>
      <c r="F17166" s="478"/>
      <c r="G17166" s="243" t="s">
        <v>94</v>
      </c>
      <c r="H17166" s="243"/>
      <c r="I17166" s="263" t="s">
        <v>348</v>
      </c>
      <c r="J17166" s="244" t="s">
        <v>47</v>
      </c>
      <c r="K17166" s="245"/>
      <c r="L17166" s="245">
        <f>K17165</f>
        <v>14502.406159383416</v>
      </c>
      <c r="M17166" s="170">
        <v>692.1018025669531</v>
      </c>
    </row>
    <row r="17167" spans="1:13" x14ac:dyDescent="0.2">
      <c r="A17167" s="246">
        <v>2026</v>
      </c>
      <c r="B17167" s="238">
        <v>1</v>
      </c>
      <c r="C17167" s="238">
        <v>27</v>
      </c>
      <c r="D17167" s="270">
        <f t="shared" si="2722"/>
        <v>46049</v>
      </c>
      <c r="E17167" s="279">
        <f t="shared" si="2723"/>
        <v>46049</v>
      </c>
      <c r="F17167" s="482" t="s">
        <v>138</v>
      </c>
      <c r="G17167" s="247" t="s">
        <v>94</v>
      </c>
      <c r="H17167" s="247"/>
      <c r="I17167" s="248" t="s">
        <v>348</v>
      </c>
      <c r="J17167" s="249" t="s">
        <v>100</v>
      </c>
      <c r="K17167" s="250">
        <v>692.1018025669531</v>
      </c>
      <c r="L17167" s="252"/>
    </row>
    <row r="17168" spans="1:13" x14ac:dyDescent="0.2">
      <c r="A17168" s="242">
        <v>2026</v>
      </c>
      <c r="B17168" s="242">
        <v>1</v>
      </c>
      <c r="C17168" s="242">
        <v>27</v>
      </c>
      <c r="D17168" s="321">
        <f t="shared" si="2722"/>
        <v>46049</v>
      </c>
      <c r="E17168" s="322">
        <f t="shared" si="2723"/>
        <v>46049</v>
      </c>
      <c r="F17168" s="478"/>
      <c r="G17168" s="243" t="s">
        <v>94</v>
      </c>
      <c r="H17168" s="243"/>
      <c r="I17168" s="263" t="s">
        <v>348</v>
      </c>
      <c r="J17168" s="244" t="s">
        <v>48</v>
      </c>
      <c r="K17168" s="245"/>
      <c r="L17168" s="245">
        <f>K17167</f>
        <v>692.1018025669531</v>
      </c>
    </row>
    <row r="17169" spans="1:17" x14ac:dyDescent="0.2">
      <c r="A17169" s="168">
        <v>2026</v>
      </c>
      <c r="B17169" s="168">
        <v>1</v>
      </c>
      <c r="C17169" s="168">
        <v>27</v>
      </c>
      <c r="D17169" s="141">
        <f t="shared" si="2722"/>
        <v>46049</v>
      </c>
      <c r="E17169" s="275">
        <f t="shared" si="2723"/>
        <v>46049</v>
      </c>
      <c r="F17169" s="479" t="s">
        <v>2139</v>
      </c>
      <c r="G17169" s="174" t="s">
        <v>94</v>
      </c>
      <c r="H17169" s="174"/>
      <c r="I17169" s="148" t="s">
        <v>348</v>
      </c>
      <c r="J17169" s="149" t="s">
        <v>52</v>
      </c>
      <c r="K17169" s="218">
        <v>250965</v>
      </c>
      <c r="L17169" s="218"/>
    </row>
    <row r="17170" spans="1:17" x14ac:dyDescent="0.2">
      <c r="A17170" s="133">
        <v>2026</v>
      </c>
      <c r="B17170" s="133">
        <v>1</v>
      </c>
      <c r="C17170" s="133">
        <v>27</v>
      </c>
      <c r="D17170" s="147">
        <f t="shared" si="2722"/>
        <v>46049</v>
      </c>
      <c r="E17170" s="311">
        <f t="shared" si="2723"/>
        <v>46049</v>
      </c>
      <c r="F17170" s="481"/>
      <c r="G17170" s="221" t="s">
        <v>94</v>
      </c>
      <c r="H17170" s="221"/>
      <c r="I17170" s="145" t="s">
        <v>348</v>
      </c>
      <c r="J17170" s="149" t="s">
        <v>168</v>
      </c>
      <c r="K17170" s="218"/>
      <c r="L17170" s="218">
        <f>K17169</f>
        <v>250965</v>
      </c>
    </row>
    <row r="17171" spans="1:17" x14ac:dyDescent="0.2">
      <c r="A17171" s="168">
        <v>2026</v>
      </c>
      <c r="B17171" s="168">
        <v>1</v>
      </c>
      <c r="C17171" s="168">
        <v>27</v>
      </c>
      <c r="D17171" s="141">
        <f t="shared" si="2722"/>
        <v>46049</v>
      </c>
      <c r="E17171" s="275">
        <f t="shared" si="2723"/>
        <v>46049</v>
      </c>
      <c r="F17171" s="479" t="s">
        <v>916</v>
      </c>
      <c r="G17171" s="220" t="s">
        <v>74</v>
      </c>
      <c r="H17171" s="142"/>
      <c r="I17171" s="142"/>
      <c r="J17171" s="168" t="s">
        <v>52</v>
      </c>
      <c r="K17171" s="226">
        <v>6991429.1200000001</v>
      </c>
      <c r="L17171" s="226"/>
    </row>
    <row r="17172" spans="1:17" x14ac:dyDescent="0.2">
      <c r="A17172" s="133">
        <v>2026</v>
      </c>
      <c r="B17172" s="133">
        <v>1</v>
      </c>
      <c r="C17172" s="133">
        <v>27</v>
      </c>
      <c r="D17172" s="147">
        <f t="shared" si="2722"/>
        <v>46049</v>
      </c>
      <c r="E17172" s="311">
        <f t="shared" si="2723"/>
        <v>46049</v>
      </c>
      <c r="F17172" s="481"/>
      <c r="G17172" s="174" t="s">
        <v>74</v>
      </c>
      <c r="J17172" s="133" t="s">
        <v>191</v>
      </c>
      <c r="K17172" s="218">
        <v>360579.09</v>
      </c>
      <c r="L17172" s="218"/>
    </row>
    <row r="17173" spans="1:17" x14ac:dyDescent="0.2">
      <c r="A17173" s="133">
        <v>2026</v>
      </c>
      <c r="B17173" s="133">
        <v>1</v>
      </c>
      <c r="C17173" s="133">
        <v>27</v>
      </c>
      <c r="D17173" s="147">
        <f t="shared" si="2722"/>
        <v>46049</v>
      </c>
      <c r="E17173" s="311">
        <f t="shared" si="2723"/>
        <v>46049</v>
      </c>
      <c r="F17173" s="481"/>
      <c r="G17173" s="174" t="s">
        <v>74</v>
      </c>
      <c r="I17173" s="145"/>
      <c r="J17173" s="163" t="s">
        <v>79</v>
      </c>
      <c r="K17173" s="219"/>
      <c r="L17173" s="219">
        <v>7352008.21</v>
      </c>
    </row>
    <row r="17174" spans="1:17" x14ac:dyDescent="0.2">
      <c r="A17174" s="168">
        <v>2026</v>
      </c>
      <c r="B17174" s="168">
        <v>1</v>
      </c>
      <c r="C17174" s="168">
        <v>28</v>
      </c>
      <c r="D17174" s="141">
        <f>DATE(A17174,B17174,C17174)</f>
        <v>46050</v>
      </c>
      <c r="E17174" s="275">
        <f>DATE(A17174,B17174,C17174)</f>
        <v>46050</v>
      </c>
      <c r="F17174" s="479" t="s">
        <v>362</v>
      </c>
      <c r="G17174" s="220" t="s">
        <v>74</v>
      </c>
      <c r="H17174" s="220"/>
      <c r="I17174" s="142" t="s">
        <v>348</v>
      </c>
      <c r="J17174" s="149" t="s">
        <v>104</v>
      </c>
      <c r="K17174" s="218">
        <v>5531.84</v>
      </c>
      <c r="L17174" s="218"/>
    </row>
    <row r="17175" spans="1:17" x14ac:dyDescent="0.2">
      <c r="A17175" s="133">
        <v>2026</v>
      </c>
      <c r="B17175" s="133">
        <v>1</v>
      </c>
      <c r="C17175" s="133">
        <v>28</v>
      </c>
      <c r="D17175" s="147">
        <f>DATE(A17175,B17175,C17175)</f>
        <v>46050</v>
      </c>
      <c r="E17175" s="311">
        <f>DATE(A17175,B17175,C17175)</f>
        <v>46050</v>
      </c>
      <c r="F17175" s="481"/>
      <c r="G17175" s="174" t="s">
        <v>74</v>
      </c>
      <c r="H17175" s="174"/>
      <c r="J17175" s="149" t="s">
        <v>534</v>
      </c>
      <c r="K17175" s="218"/>
      <c r="L17175" s="218">
        <f>K17174-L17176</f>
        <v>553.18000000000029</v>
      </c>
    </row>
    <row r="17176" spans="1:17" x14ac:dyDescent="0.2">
      <c r="A17176" s="133">
        <v>2026</v>
      </c>
      <c r="B17176" s="133">
        <v>1</v>
      </c>
      <c r="C17176" s="133">
        <v>28</v>
      </c>
      <c r="D17176" s="147">
        <f>DATE(A17176,B17176,C17176)</f>
        <v>46050</v>
      </c>
      <c r="E17176" s="311">
        <f>DATE(A17176,B17176,C17176)</f>
        <v>46050</v>
      </c>
      <c r="F17176" s="481"/>
      <c r="G17176" s="174" t="s">
        <v>74</v>
      </c>
      <c r="H17176" s="174"/>
      <c r="I17176" s="145" t="s">
        <v>348</v>
      </c>
      <c r="J17176" s="146" t="s">
        <v>52</v>
      </c>
      <c r="K17176" s="219"/>
      <c r="L17176" s="219">
        <v>4978.66</v>
      </c>
    </row>
    <row r="17177" spans="1:17" ht="11.25" customHeight="1" x14ac:dyDescent="0.2">
      <c r="A17177" s="168">
        <v>2026</v>
      </c>
      <c r="B17177" s="168">
        <v>1</v>
      </c>
      <c r="C17177" s="168">
        <v>28</v>
      </c>
      <c r="D17177" s="141">
        <f t="shared" ref="D17177:D17180" si="2724">DATE(A17177,B17177,C17177)</f>
        <v>46050</v>
      </c>
      <c r="E17177" s="275">
        <f t="shared" ref="E17177:E17180" si="2725">DATE(A17177,B17177,C17177)</f>
        <v>46050</v>
      </c>
      <c r="F17177" s="479" t="s">
        <v>2116</v>
      </c>
      <c r="G17177" s="220" t="s">
        <v>74</v>
      </c>
      <c r="H17177" s="220"/>
      <c r="I17177" s="142"/>
      <c r="J17177" s="143" t="s">
        <v>147</v>
      </c>
      <c r="K17177" s="226">
        <v>522172.45</v>
      </c>
      <c r="L17177" s="226"/>
    </row>
    <row r="17178" spans="1:17" x14ac:dyDescent="0.2">
      <c r="A17178" s="133">
        <v>2026</v>
      </c>
      <c r="B17178" s="133">
        <v>1</v>
      </c>
      <c r="C17178" s="133">
        <v>28</v>
      </c>
      <c r="D17178" s="147">
        <f t="shared" si="2724"/>
        <v>46050</v>
      </c>
      <c r="E17178" s="311">
        <f t="shared" si="2725"/>
        <v>46050</v>
      </c>
      <c r="F17178" s="481"/>
      <c r="G17178" s="221" t="s">
        <v>74</v>
      </c>
      <c r="H17178" s="221"/>
      <c r="I17178" s="145"/>
      <c r="J17178" s="146" t="s">
        <v>52</v>
      </c>
      <c r="K17178" s="219"/>
      <c r="L17178" s="219">
        <f>K17177</f>
        <v>522172.45</v>
      </c>
      <c r="N17178" s="264"/>
    </row>
    <row r="17179" spans="1:17" ht="11.25" customHeight="1" x14ac:dyDescent="0.2">
      <c r="A17179" s="168">
        <v>2026</v>
      </c>
      <c r="B17179" s="168">
        <v>1</v>
      </c>
      <c r="C17179" s="168">
        <v>28</v>
      </c>
      <c r="D17179" s="141">
        <f t="shared" si="2724"/>
        <v>46050</v>
      </c>
      <c r="E17179" s="275">
        <f t="shared" si="2725"/>
        <v>46050</v>
      </c>
      <c r="F17179" s="479" t="s">
        <v>2163</v>
      </c>
      <c r="G17179" s="174" t="s">
        <v>74</v>
      </c>
      <c r="H17179" s="174"/>
      <c r="I17179" s="148" t="s">
        <v>348</v>
      </c>
      <c r="J17179" s="149" t="s">
        <v>147</v>
      </c>
      <c r="K17179" s="218">
        <v>681825.08</v>
      </c>
      <c r="L17179" s="218"/>
      <c r="M17179" s="147"/>
      <c r="Q17179" s="133" t="s">
        <v>348</v>
      </c>
    </row>
    <row r="17180" spans="1:17" x14ac:dyDescent="0.2">
      <c r="A17180" s="163">
        <v>2026</v>
      </c>
      <c r="B17180" s="163">
        <v>1</v>
      </c>
      <c r="C17180" s="163">
        <v>28</v>
      </c>
      <c r="D17180" s="144">
        <f t="shared" si="2724"/>
        <v>46050</v>
      </c>
      <c r="E17180" s="313">
        <f t="shared" si="2725"/>
        <v>46050</v>
      </c>
      <c r="F17180" s="481"/>
      <c r="G17180" s="221" t="s">
        <v>74</v>
      </c>
      <c r="H17180" s="221"/>
      <c r="I17180" s="145" t="s">
        <v>348</v>
      </c>
      <c r="J17180" s="146" t="s">
        <v>52</v>
      </c>
      <c r="K17180" s="219"/>
      <c r="L17180" s="219">
        <f>K17179</f>
        <v>681825.08</v>
      </c>
      <c r="M17180" s="147"/>
      <c r="Q17180" s="133" t="s">
        <v>348</v>
      </c>
    </row>
    <row r="17181" spans="1:17" x14ac:dyDescent="0.2">
      <c r="A17181" s="168">
        <v>2026</v>
      </c>
      <c r="B17181" s="168">
        <v>1</v>
      </c>
      <c r="C17181" s="168">
        <v>28</v>
      </c>
      <c r="D17181" s="141">
        <f>DATE(A17181,B17181,C17181)</f>
        <v>46050</v>
      </c>
      <c r="E17181" s="275">
        <f>DATE(A17181,B17181,C17181)</f>
        <v>46050</v>
      </c>
      <c r="F17181" s="479" t="s">
        <v>1943</v>
      </c>
      <c r="G17181" s="174" t="s">
        <v>74</v>
      </c>
      <c r="I17181" s="148" t="s">
        <v>348</v>
      </c>
      <c r="J17181" s="133" t="s">
        <v>61</v>
      </c>
      <c r="K17181" s="172">
        <v>200</v>
      </c>
    </row>
    <row r="17182" spans="1:17" x14ac:dyDescent="0.2">
      <c r="A17182" s="163">
        <v>2026</v>
      </c>
      <c r="B17182" s="163">
        <v>1</v>
      </c>
      <c r="C17182" s="163">
        <v>28</v>
      </c>
      <c r="D17182" s="144">
        <f>DATE(A17182,B17182,C17182)</f>
        <v>46050</v>
      </c>
      <c r="E17182" s="313">
        <f>DATE(A17182,B17182,C17182)</f>
        <v>46050</v>
      </c>
      <c r="F17182" s="480"/>
      <c r="G17182" s="221" t="s">
        <v>74</v>
      </c>
      <c r="H17182" s="145"/>
      <c r="I17182" s="145" t="s">
        <v>348</v>
      </c>
      <c r="J17182" s="163" t="s">
        <v>52</v>
      </c>
      <c r="K17182" s="219"/>
      <c r="L17182" s="219">
        <f>K17181</f>
        <v>200</v>
      </c>
    </row>
    <row r="17183" spans="1:17" x14ac:dyDescent="0.2">
      <c r="A17183" s="168">
        <v>2026</v>
      </c>
      <c r="B17183" s="168">
        <v>1</v>
      </c>
      <c r="C17183" s="168">
        <v>28</v>
      </c>
      <c r="D17183" s="141">
        <f t="shared" ref="D17183:D17208" si="2726">DATE(A17183,B17183,C17183)</f>
        <v>46050</v>
      </c>
      <c r="E17183" s="275">
        <f t="shared" ref="E17183:E17208" si="2727">DATE(A17183,B17183,C17183)</f>
        <v>46050</v>
      </c>
      <c r="F17183" s="479" t="s">
        <v>2115</v>
      </c>
      <c r="G17183" s="220" t="s">
        <v>94</v>
      </c>
      <c r="H17183" s="174"/>
      <c r="J17183" s="149" t="s">
        <v>79</v>
      </c>
      <c r="K17183" s="218">
        <v>1400153.9</v>
      </c>
      <c r="L17183" s="218"/>
      <c r="M17183" s="160"/>
    </row>
    <row r="17184" spans="1:17" x14ac:dyDescent="0.2">
      <c r="A17184" s="133">
        <v>2026</v>
      </c>
      <c r="B17184" s="133">
        <v>1</v>
      </c>
      <c r="C17184" s="133">
        <v>28</v>
      </c>
      <c r="D17184" s="147">
        <f t="shared" si="2726"/>
        <v>46050</v>
      </c>
      <c r="E17184" s="311">
        <f t="shared" si="2727"/>
        <v>46050</v>
      </c>
      <c r="F17184" s="481"/>
      <c r="G17184" s="174" t="s">
        <v>94</v>
      </c>
      <c r="H17184" s="174"/>
      <c r="J17184" s="149" t="s">
        <v>80</v>
      </c>
      <c r="K17184" s="218">
        <v>4538.08</v>
      </c>
      <c r="L17184" s="264"/>
      <c r="M17184" s="264"/>
      <c r="N17184" s="264"/>
    </row>
    <row r="17185" spans="1:13" x14ac:dyDescent="0.2">
      <c r="A17185" s="133">
        <v>2026</v>
      </c>
      <c r="B17185" s="133">
        <v>1</v>
      </c>
      <c r="C17185" s="133">
        <v>28</v>
      </c>
      <c r="D17185" s="147">
        <f t="shared" si="2726"/>
        <v>46050</v>
      </c>
      <c r="E17185" s="311">
        <f t="shared" si="2727"/>
        <v>46050</v>
      </c>
      <c r="F17185" s="481"/>
      <c r="G17185" s="174" t="s">
        <v>94</v>
      </c>
      <c r="H17185" s="174"/>
      <c r="J17185" s="149" t="s">
        <v>147</v>
      </c>
      <c r="K17185" s="218"/>
      <c r="L17185" s="218">
        <v>283691.98</v>
      </c>
      <c r="M17185" s="264"/>
    </row>
    <row r="17186" spans="1:13" x14ac:dyDescent="0.2">
      <c r="A17186" s="133">
        <v>2026</v>
      </c>
      <c r="B17186" s="133">
        <v>1</v>
      </c>
      <c r="C17186" s="133">
        <v>28</v>
      </c>
      <c r="D17186" s="147">
        <f t="shared" si="2726"/>
        <v>46050</v>
      </c>
      <c r="E17186" s="311">
        <f t="shared" si="2727"/>
        <v>46050</v>
      </c>
      <c r="F17186" s="481"/>
      <c r="G17186" s="174" t="s">
        <v>94</v>
      </c>
      <c r="H17186" s="174"/>
      <c r="J17186" s="149" t="s">
        <v>191</v>
      </c>
      <c r="K17186" s="218"/>
      <c r="L17186" s="218">
        <v>149707.44</v>
      </c>
    </row>
    <row r="17187" spans="1:13" x14ac:dyDescent="0.2">
      <c r="A17187" s="163">
        <v>2026</v>
      </c>
      <c r="B17187" s="133">
        <v>1</v>
      </c>
      <c r="C17187" s="133">
        <v>28</v>
      </c>
      <c r="D17187" s="147">
        <f t="shared" si="2726"/>
        <v>46050</v>
      </c>
      <c r="E17187" s="311">
        <f t="shared" si="2727"/>
        <v>46050</v>
      </c>
      <c r="F17187" s="481"/>
      <c r="G17187" s="174" t="s">
        <v>94</v>
      </c>
      <c r="I17187" s="145"/>
      <c r="J17187" s="163" t="s">
        <v>79</v>
      </c>
      <c r="K17187" s="219"/>
      <c r="L17187" s="219">
        <v>971292.56</v>
      </c>
      <c r="M17187" s="264"/>
    </row>
    <row r="17188" spans="1:13" x14ac:dyDescent="0.2">
      <c r="A17188" s="168">
        <v>2026</v>
      </c>
      <c r="B17188" s="168">
        <v>1</v>
      </c>
      <c r="C17188" s="168">
        <v>28</v>
      </c>
      <c r="D17188" s="141">
        <f t="shared" si="2726"/>
        <v>46050</v>
      </c>
      <c r="E17188" s="275">
        <f t="shared" si="2727"/>
        <v>46050</v>
      </c>
      <c r="F17188" s="479" t="s">
        <v>2164</v>
      </c>
      <c r="G17188" s="220" t="s">
        <v>94</v>
      </c>
      <c r="H17188" s="220"/>
      <c r="I17188" s="142"/>
      <c r="J17188" s="149" t="s">
        <v>79</v>
      </c>
      <c r="K17188" s="218">
        <v>442500</v>
      </c>
      <c r="L17188" s="218"/>
      <c r="M17188" s="160"/>
    </row>
    <row r="17189" spans="1:13" x14ac:dyDescent="0.2">
      <c r="A17189" s="133">
        <v>2026</v>
      </c>
      <c r="B17189" s="133">
        <v>1</v>
      </c>
      <c r="C17189" s="133">
        <v>28</v>
      </c>
      <c r="D17189" s="147">
        <f t="shared" si="2726"/>
        <v>46050</v>
      </c>
      <c r="E17189" s="311">
        <f t="shared" si="2727"/>
        <v>46050</v>
      </c>
      <c r="F17189" s="481"/>
      <c r="G17189" s="174" t="s">
        <v>94</v>
      </c>
      <c r="H17189" s="174"/>
      <c r="J17189" s="149" t="s">
        <v>80</v>
      </c>
      <c r="K17189" s="218">
        <v>1670.76</v>
      </c>
      <c r="L17189" s="264"/>
    </row>
    <row r="17190" spans="1:13" x14ac:dyDescent="0.2">
      <c r="A17190" s="133">
        <v>2026</v>
      </c>
      <c r="B17190" s="133">
        <v>1</v>
      </c>
      <c r="C17190" s="133">
        <v>28</v>
      </c>
      <c r="D17190" s="147">
        <f t="shared" ref="D17190:D17191" si="2728">DATE(A17190,B17190,C17190)</f>
        <v>46050</v>
      </c>
      <c r="E17190" s="311">
        <f t="shared" ref="E17190:E17191" si="2729">DATE(A17190,B17190,C17190)</f>
        <v>46050</v>
      </c>
      <c r="F17190" s="481"/>
      <c r="G17190" s="174" t="s">
        <v>94</v>
      </c>
      <c r="H17190" s="174"/>
      <c r="J17190" s="149" t="s">
        <v>190</v>
      </c>
      <c r="K17190" s="218">
        <v>41529.24</v>
      </c>
      <c r="L17190" s="218"/>
    </row>
    <row r="17191" spans="1:13" x14ac:dyDescent="0.2">
      <c r="A17191" s="133">
        <v>2026</v>
      </c>
      <c r="B17191" s="133">
        <v>1</v>
      </c>
      <c r="C17191" s="133">
        <v>28</v>
      </c>
      <c r="D17191" s="147">
        <f t="shared" si="2728"/>
        <v>46050</v>
      </c>
      <c r="E17191" s="311">
        <f t="shared" si="2729"/>
        <v>46050</v>
      </c>
      <c r="F17191" s="481"/>
      <c r="G17191" s="174" t="s">
        <v>94</v>
      </c>
      <c r="H17191" s="174"/>
      <c r="J17191" s="149" t="s">
        <v>191</v>
      </c>
      <c r="K17191" s="218"/>
      <c r="L17191" s="218">
        <v>69075.679999999993</v>
      </c>
    </row>
    <row r="17192" spans="1:13" x14ac:dyDescent="0.2">
      <c r="A17192" s="163">
        <v>2026</v>
      </c>
      <c r="B17192" s="163">
        <v>1</v>
      </c>
      <c r="C17192" s="163">
        <v>28</v>
      </c>
      <c r="D17192" s="144">
        <f t="shared" si="2726"/>
        <v>46050</v>
      </c>
      <c r="E17192" s="313">
        <f t="shared" si="2727"/>
        <v>46050</v>
      </c>
      <c r="F17192" s="480"/>
      <c r="G17192" s="221" t="s">
        <v>94</v>
      </c>
      <c r="H17192" s="221"/>
      <c r="I17192" s="145"/>
      <c r="J17192" s="163" t="s">
        <v>79</v>
      </c>
      <c r="K17192" s="219"/>
      <c r="L17192" s="219">
        <v>416624.32</v>
      </c>
    </row>
    <row r="17193" spans="1:13" x14ac:dyDescent="0.2">
      <c r="A17193" s="325">
        <v>2026</v>
      </c>
      <c r="B17193" s="325">
        <v>1</v>
      </c>
      <c r="C17193" s="325">
        <v>28</v>
      </c>
      <c r="D17193" s="326">
        <f t="shared" si="2726"/>
        <v>46050</v>
      </c>
      <c r="E17193" s="327">
        <f t="shared" si="2727"/>
        <v>46050</v>
      </c>
      <c r="F17193" s="473" t="s">
        <v>1940</v>
      </c>
      <c r="G17193" s="340" t="s">
        <v>94</v>
      </c>
      <c r="H17193" s="340"/>
      <c r="I17193" s="341" t="s">
        <v>348</v>
      </c>
      <c r="J17193" s="374" t="s">
        <v>133</v>
      </c>
      <c r="K17193" s="375">
        <v>2104.17</v>
      </c>
      <c r="L17193" s="375"/>
      <c r="M17193" s="176"/>
    </row>
    <row r="17194" spans="1:13" x14ac:dyDescent="0.2">
      <c r="A17194" s="331">
        <v>2026</v>
      </c>
      <c r="B17194" s="331">
        <v>1</v>
      </c>
      <c r="C17194" s="331">
        <v>28</v>
      </c>
      <c r="D17194" s="326">
        <f t="shared" si="2726"/>
        <v>46050</v>
      </c>
      <c r="E17194" s="327">
        <f t="shared" si="2727"/>
        <v>46050</v>
      </c>
      <c r="F17194" s="474"/>
      <c r="G17194" s="332" t="s">
        <v>94</v>
      </c>
      <c r="H17194" s="332"/>
      <c r="I17194" s="333" t="s">
        <v>348</v>
      </c>
      <c r="J17194" s="376" t="s">
        <v>2153</v>
      </c>
      <c r="K17194" s="334"/>
      <c r="L17194" s="334">
        <f>K17193</f>
        <v>2104.17</v>
      </c>
    </row>
    <row r="17195" spans="1:13" x14ac:dyDescent="0.2">
      <c r="A17195" s="325">
        <v>2026</v>
      </c>
      <c r="B17195" s="325">
        <v>1</v>
      </c>
      <c r="C17195" s="325">
        <v>28</v>
      </c>
      <c r="D17195" s="326">
        <f t="shared" si="2726"/>
        <v>46050</v>
      </c>
      <c r="E17195" s="327">
        <f t="shared" si="2727"/>
        <v>46050</v>
      </c>
      <c r="F17195" s="473" t="s">
        <v>2131</v>
      </c>
      <c r="G17195" s="340" t="s">
        <v>94</v>
      </c>
      <c r="H17195" s="340"/>
      <c r="I17195" s="341" t="s">
        <v>348</v>
      </c>
      <c r="J17195" s="374" t="s">
        <v>2156</v>
      </c>
      <c r="K17195" s="375">
        <v>6185.4395604395604</v>
      </c>
      <c r="L17195" s="375"/>
      <c r="M17195" s="176"/>
    </row>
    <row r="17196" spans="1:13" x14ac:dyDescent="0.2">
      <c r="A17196" s="331">
        <v>2026</v>
      </c>
      <c r="B17196" s="331">
        <v>1</v>
      </c>
      <c r="C17196" s="331">
        <v>28</v>
      </c>
      <c r="D17196" s="326">
        <f t="shared" si="2726"/>
        <v>46050</v>
      </c>
      <c r="E17196" s="327">
        <f t="shared" si="2727"/>
        <v>46050</v>
      </c>
      <c r="F17196" s="474"/>
      <c r="G17196" s="332" t="s">
        <v>94</v>
      </c>
      <c r="H17196" s="332"/>
      <c r="I17196" s="333" t="s">
        <v>348</v>
      </c>
      <c r="J17196" s="376" t="s">
        <v>2154</v>
      </c>
      <c r="K17196" s="334"/>
      <c r="L17196" s="334">
        <f>K17195</f>
        <v>6185.4395604395604</v>
      </c>
    </row>
    <row r="17197" spans="1:13" x14ac:dyDescent="0.2">
      <c r="A17197" s="384">
        <v>2026</v>
      </c>
      <c r="B17197" s="384">
        <v>1</v>
      </c>
      <c r="C17197" s="384">
        <v>28</v>
      </c>
      <c r="D17197" s="385">
        <f t="shared" si="2726"/>
        <v>46050</v>
      </c>
      <c r="E17197" s="386">
        <f t="shared" si="2727"/>
        <v>46050</v>
      </c>
      <c r="F17197" s="475" t="s">
        <v>1966</v>
      </c>
      <c r="G17197" s="387" t="s">
        <v>94</v>
      </c>
      <c r="H17197" s="387"/>
      <c r="I17197" s="388" t="s">
        <v>348</v>
      </c>
      <c r="J17197" s="389" t="s">
        <v>67</v>
      </c>
      <c r="K17197" s="390">
        <v>2776.2894722222222</v>
      </c>
      <c r="L17197" s="390"/>
    </row>
    <row r="17198" spans="1:13" x14ac:dyDescent="0.2">
      <c r="A17198" s="391">
        <v>2026</v>
      </c>
      <c r="B17198" s="391">
        <v>1</v>
      </c>
      <c r="C17198" s="391">
        <v>28</v>
      </c>
      <c r="D17198" s="385">
        <f t="shared" si="2726"/>
        <v>46050</v>
      </c>
      <c r="E17198" s="386">
        <f t="shared" si="2727"/>
        <v>46050</v>
      </c>
      <c r="F17198" s="476"/>
      <c r="G17198" s="392" t="s">
        <v>94</v>
      </c>
      <c r="H17198" s="392"/>
      <c r="I17198" s="393" t="s">
        <v>348</v>
      </c>
      <c r="J17198" s="394" t="s">
        <v>2155</v>
      </c>
      <c r="K17198" s="395"/>
      <c r="L17198" s="395">
        <f>K17197</f>
        <v>2776.2894722222222</v>
      </c>
    </row>
    <row r="17199" spans="1:13" x14ac:dyDescent="0.2">
      <c r="A17199" s="238">
        <v>2026</v>
      </c>
      <c r="B17199" s="238">
        <v>1</v>
      </c>
      <c r="C17199" s="238">
        <v>28</v>
      </c>
      <c r="D17199" s="270">
        <f t="shared" si="2726"/>
        <v>46050</v>
      </c>
      <c r="E17199" s="279">
        <f t="shared" si="2727"/>
        <v>46050</v>
      </c>
      <c r="F17199" s="477" t="s">
        <v>347</v>
      </c>
      <c r="G17199" s="239" t="s">
        <v>94</v>
      </c>
      <c r="H17199" s="239"/>
      <c r="I17199" s="262" t="s">
        <v>348</v>
      </c>
      <c r="J17199" s="240" t="s">
        <v>108</v>
      </c>
      <c r="K17199" s="241">
        <v>2670668.5872019529</v>
      </c>
      <c r="L17199" s="241"/>
      <c r="M17199" s="160"/>
    </row>
    <row r="17200" spans="1:13" x14ac:dyDescent="0.2">
      <c r="A17200" s="242">
        <v>2026</v>
      </c>
      <c r="B17200" s="242">
        <v>1</v>
      </c>
      <c r="C17200" s="242">
        <v>28</v>
      </c>
      <c r="D17200" s="270">
        <f t="shared" si="2726"/>
        <v>46050</v>
      </c>
      <c r="E17200" s="279">
        <f t="shared" si="2727"/>
        <v>46050</v>
      </c>
      <c r="F17200" s="478"/>
      <c r="G17200" s="243" t="s">
        <v>94</v>
      </c>
      <c r="H17200" s="243"/>
      <c r="I17200" s="263" t="s">
        <v>348</v>
      </c>
      <c r="J17200" s="244" t="s">
        <v>82</v>
      </c>
      <c r="K17200" s="245"/>
      <c r="L17200" s="245">
        <f>K17199</f>
        <v>2670668.5872019529</v>
      </c>
    </row>
    <row r="17201" spans="1:14" ht="12" customHeight="1" x14ac:dyDescent="0.2">
      <c r="A17201" s="246">
        <v>2026</v>
      </c>
      <c r="B17201" s="238">
        <v>1</v>
      </c>
      <c r="C17201" s="238">
        <v>28</v>
      </c>
      <c r="D17201" s="270">
        <f t="shared" si="2726"/>
        <v>46050</v>
      </c>
      <c r="E17201" s="279">
        <f t="shared" si="2727"/>
        <v>46050</v>
      </c>
      <c r="F17201" s="482" t="s">
        <v>148</v>
      </c>
      <c r="G17201" s="247" t="s">
        <v>94</v>
      </c>
      <c r="H17201" s="247"/>
      <c r="I17201" s="248" t="s">
        <v>348</v>
      </c>
      <c r="J17201" s="249" t="s">
        <v>95</v>
      </c>
      <c r="K17201" s="250">
        <v>392.46467817896388</v>
      </c>
      <c r="L17201" s="241"/>
      <c r="M17201" s="176"/>
    </row>
    <row r="17202" spans="1:14" x14ac:dyDescent="0.2">
      <c r="A17202" s="242">
        <v>2026</v>
      </c>
      <c r="B17202" s="242">
        <v>1</v>
      </c>
      <c r="C17202" s="242">
        <v>28</v>
      </c>
      <c r="D17202" s="270">
        <f t="shared" si="2726"/>
        <v>46050</v>
      </c>
      <c r="E17202" s="279">
        <f t="shared" si="2727"/>
        <v>46050</v>
      </c>
      <c r="F17202" s="478"/>
      <c r="G17202" s="243" t="s">
        <v>94</v>
      </c>
      <c r="H17202" s="243"/>
      <c r="I17202" s="263" t="s">
        <v>348</v>
      </c>
      <c r="J17202" s="244" t="s">
        <v>63</v>
      </c>
      <c r="K17202" s="245"/>
      <c r="L17202" s="245">
        <f>K17201</f>
        <v>392.46467817896388</v>
      </c>
    </row>
    <row r="17203" spans="1:14" x14ac:dyDescent="0.2">
      <c r="A17203" s="246">
        <v>2026</v>
      </c>
      <c r="B17203" s="238">
        <v>1</v>
      </c>
      <c r="C17203" s="238">
        <v>28</v>
      </c>
      <c r="D17203" s="270">
        <f t="shared" si="2726"/>
        <v>46050</v>
      </c>
      <c r="E17203" s="279">
        <f t="shared" si="2727"/>
        <v>46050</v>
      </c>
      <c r="F17203" s="482" t="s">
        <v>137</v>
      </c>
      <c r="G17203" s="247" t="s">
        <v>94</v>
      </c>
      <c r="H17203" s="247"/>
      <c r="I17203" s="248" t="s">
        <v>348</v>
      </c>
      <c r="J17203" s="249" t="s">
        <v>97</v>
      </c>
      <c r="K17203" s="250">
        <v>14749.483804916994</v>
      </c>
      <c r="L17203" s="252"/>
      <c r="M17203" s="170">
        <v>14749.483804916994</v>
      </c>
    </row>
    <row r="17204" spans="1:14" x14ac:dyDescent="0.2">
      <c r="A17204" s="242">
        <v>2026</v>
      </c>
      <c r="B17204" s="242">
        <v>1</v>
      </c>
      <c r="C17204" s="242">
        <v>28</v>
      </c>
      <c r="D17204" s="270">
        <f t="shared" si="2726"/>
        <v>46050</v>
      </c>
      <c r="E17204" s="279">
        <f t="shared" si="2727"/>
        <v>46050</v>
      </c>
      <c r="F17204" s="478"/>
      <c r="G17204" s="243" t="s">
        <v>94</v>
      </c>
      <c r="H17204" s="243"/>
      <c r="I17204" s="263" t="s">
        <v>348</v>
      </c>
      <c r="J17204" s="244" t="s">
        <v>47</v>
      </c>
      <c r="K17204" s="245"/>
      <c r="L17204" s="245">
        <f>K17203</f>
        <v>14749.483804916994</v>
      </c>
      <c r="M17204" s="170">
        <v>708.57364560252483</v>
      </c>
    </row>
    <row r="17205" spans="1:14" x14ac:dyDescent="0.2">
      <c r="A17205" s="246">
        <v>2026</v>
      </c>
      <c r="B17205" s="238">
        <v>1</v>
      </c>
      <c r="C17205" s="238">
        <v>28</v>
      </c>
      <c r="D17205" s="270">
        <f t="shared" si="2726"/>
        <v>46050</v>
      </c>
      <c r="E17205" s="279">
        <f t="shared" si="2727"/>
        <v>46050</v>
      </c>
      <c r="F17205" s="482" t="s">
        <v>138</v>
      </c>
      <c r="G17205" s="247" t="s">
        <v>94</v>
      </c>
      <c r="H17205" s="247"/>
      <c r="I17205" s="248" t="s">
        <v>348</v>
      </c>
      <c r="J17205" s="249" t="s">
        <v>100</v>
      </c>
      <c r="K17205" s="250">
        <v>708.57364560252483</v>
      </c>
      <c r="L17205" s="252"/>
    </row>
    <row r="17206" spans="1:14" x14ac:dyDescent="0.2">
      <c r="A17206" s="242">
        <v>2026</v>
      </c>
      <c r="B17206" s="242">
        <v>1</v>
      </c>
      <c r="C17206" s="242">
        <v>28</v>
      </c>
      <c r="D17206" s="321">
        <f t="shared" si="2726"/>
        <v>46050</v>
      </c>
      <c r="E17206" s="322">
        <f t="shared" si="2727"/>
        <v>46050</v>
      </c>
      <c r="F17206" s="478"/>
      <c r="G17206" s="243" t="s">
        <v>94</v>
      </c>
      <c r="H17206" s="243"/>
      <c r="I17206" s="263" t="s">
        <v>348</v>
      </c>
      <c r="J17206" s="244" t="s">
        <v>48</v>
      </c>
      <c r="K17206" s="245"/>
      <c r="L17206" s="245">
        <f>K17205</f>
        <v>708.57364560252483</v>
      </c>
    </row>
    <row r="17207" spans="1:14" ht="11.25" customHeight="1" x14ac:dyDescent="0.2">
      <c r="A17207" s="168">
        <v>2026</v>
      </c>
      <c r="B17207" s="168">
        <v>1</v>
      </c>
      <c r="C17207" s="168">
        <v>29</v>
      </c>
      <c r="D17207" s="141">
        <f t="shared" si="2726"/>
        <v>46051</v>
      </c>
      <c r="E17207" s="275">
        <f t="shared" si="2727"/>
        <v>46051</v>
      </c>
      <c r="F17207" s="479" t="s">
        <v>2116</v>
      </c>
      <c r="G17207" s="220" t="s">
        <v>74</v>
      </c>
      <c r="H17207" s="220"/>
      <c r="I17207" s="142"/>
      <c r="J17207" s="143" t="s">
        <v>147</v>
      </c>
      <c r="K17207" s="226">
        <v>283691.98</v>
      </c>
      <c r="L17207" s="226"/>
    </row>
    <row r="17208" spans="1:14" x14ac:dyDescent="0.2">
      <c r="A17208" s="163">
        <v>2026</v>
      </c>
      <c r="B17208" s="163">
        <v>1</v>
      </c>
      <c r="C17208" s="163">
        <v>29</v>
      </c>
      <c r="D17208" s="144">
        <f t="shared" si="2726"/>
        <v>46051</v>
      </c>
      <c r="E17208" s="313">
        <f t="shared" si="2727"/>
        <v>46051</v>
      </c>
      <c r="F17208" s="480"/>
      <c r="G17208" s="221" t="s">
        <v>74</v>
      </c>
      <c r="H17208" s="221"/>
      <c r="I17208" s="145"/>
      <c r="J17208" s="146" t="s">
        <v>52</v>
      </c>
      <c r="K17208" s="219"/>
      <c r="L17208" s="219">
        <f>K17207</f>
        <v>283691.98</v>
      </c>
      <c r="N17208" s="264"/>
    </row>
    <row r="17209" spans="1:14" x14ac:dyDescent="0.2">
      <c r="A17209" s="168">
        <v>2026</v>
      </c>
      <c r="B17209" s="168">
        <v>1</v>
      </c>
      <c r="C17209" s="168">
        <v>29</v>
      </c>
      <c r="D17209" s="141">
        <f>DATE(A17209,B17209,C17209)</f>
        <v>46051</v>
      </c>
      <c r="E17209" s="275">
        <f>DATE(A17209,B17209,C17209)</f>
        <v>46051</v>
      </c>
      <c r="F17209" s="479" t="s">
        <v>1943</v>
      </c>
      <c r="G17209" s="174" t="s">
        <v>74</v>
      </c>
      <c r="I17209" s="148" t="s">
        <v>348</v>
      </c>
      <c r="J17209" s="133" t="s">
        <v>61</v>
      </c>
      <c r="K17209" s="172">
        <v>58</v>
      </c>
    </row>
    <row r="17210" spans="1:14" x14ac:dyDescent="0.2">
      <c r="A17210" s="163">
        <v>2026</v>
      </c>
      <c r="B17210" s="163">
        <v>1</v>
      </c>
      <c r="C17210" s="163">
        <v>29</v>
      </c>
      <c r="D17210" s="144">
        <f>DATE(A17210,B17210,C17210)</f>
        <v>46051</v>
      </c>
      <c r="E17210" s="313">
        <f>DATE(A17210,B17210,C17210)</f>
        <v>46051</v>
      </c>
      <c r="F17210" s="480"/>
      <c r="G17210" s="221" t="s">
        <v>74</v>
      </c>
      <c r="H17210" s="145"/>
      <c r="I17210" s="145" t="s">
        <v>348</v>
      </c>
      <c r="J17210" s="163" t="s">
        <v>52</v>
      </c>
      <c r="K17210" s="219"/>
      <c r="L17210" s="219">
        <f>K17209</f>
        <v>58</v>
      </c>
    </row>
    <row r="17211" spans="1:14" x14ac:dyDescent="0.2">
      <c r="A17211" s="168">
        <v>2026</v>
      </c>
      <c r="B17211" s="168">
        <v>1</v>
      </c>
      <c r="C17211" s="168">
        <v>29</v>
      </c>
      <c r="D17211" s="141">
        <f t="shared" ref="D17211:D17215" si="2730">DATE(A17211,B17211,C17211)</f>
        <v>46051</v>
      </c>
      <c r="E17211" s="275">
        <f t="shared" ref="E17211:E17215" si="2731">DATE(A17211,B17211,C17211)</f>
        <v>46051</v>
      </c>
      <c r="F17211" s="479" t="s">
        <v>2115</v>
      </c>
      <c r="G17211" s="220" t="s">
        <v>94</v>
      </c>
      <c r="H17211" s="220"/>
      <c r="J17211" s="149" t="s">
        <v>79</v>
      </c>
      <c r="K17211" s="218">
        <v>2723021</v>
      </c>
      <c r="L17211" s="218"/>
      <c r="M17211" s="160"/>
    </row>
    <row r="17212" spans="1:14" x14ac:dyDescent="0.2">
      <c r="A17212" s="133">
        <v>2026</v>
      </c>
      <c r="B17212" s="133">
        <v>1</v>
      </c>
      <c r="C17212" s="133">
        <v>29</v>
      </c>
      <c r="D17212" s="147">
        <f t="shared" si="2730"/>
        <v>46051</v>
      </c>
      <c r="E17212" s="311">
        <f t="shared" si="2731"/>
        <v>46051</v>
      </c>
      <c r="F17212" s="481"/>
      <c r="G17212" s="174" t="s">
        <v>94</v>
      </c>
      <c r="H17212" s="174"/>
      <c r="J17212" s="149" t="s">
        <v>80</v>
      </c>
      <c r="K17212" s="218">
        <v>6594.97</v>
      </c>
      <c r="L17212" s="264"/>
      <c r="M17212" s="264"/>
      <c r="N17212" s="264"/>
    </row>
    <row r="17213" spans="1:14" x14ac:dyDescent="0.2">
      <c r="A17213" s="133">
        <v>2026</v>
      </c>
      <c r="B17213" s="133">
        <v>1</v>
      </c>
      <c r="C17213" s="133">
        <v>29</v>
      </c>
      <c r="D17213" s="147">
        <f t="shared" si="2730"/>
        <v>46051</v>
      </c>
      <c r="E17213" s="311">
        <f t="shared" si="2731"/>
        <v>46051</v>
      </c>
      <c r="F17213" s="481"/>
      <c r="G17213" s="174" t="s">
        <v>94</v>
      </c>
      <c r="H17213" s="174"/>
      <c r="J17213" s="149" t="s">
        <v>147</v>
      </c>
      <c r="K17213" s="218"/>
      <c r="L17213" s="218">
        <v>1788765.97</v>
      </c>
      <c r="M17213" s="264"/>
    </row>
    <row r="17214" spans="1:14" x14ac:dyDescent="0.2">
      <c r="A17214" s="133">
        <v>2026</v>
      </c>
      <c r="B17214" s="133">
        <v>1</v>
      </c>
      <c r="C17214" s="133">
        <v>29</v>
      </c>
      <c r="D17214" s="147">
        <f t="shared" si="2730"/>
        <v>46051</v>
      </c>
      <c r="E17214" s="311">
        <f t="shared" si="2731"/>
        <v>46051</v>
      </c>
      <c r="F17214" s="481"/>
      <c r="G17214" s="174" t="s">
        <v>94</v>
      </c>
      <c r="H17214" s="174"/>
      <c r="J17214" s="149" t="s">
        <v>191</v>
      </c>
      <c r="K17214" s="218"/>
      <c r="L17214" s="218">
        <v>126656.05</v>
      </c>
    </row>
    <row r="17215" spans="1:14" x14ac:dyDescent="0.2">
      <c r="A17215" s="163">
        <v>2026</v>
      </c>
      <c r="B17215" s="163">
        <v>1</v>
      </c>
      <c r="C17215" s="163">
        <v>29</v>
      </c>
      <c r="D17215" s="144">
        <f t="shared" si="2730"/>
        <v>46051</v>
      </c>
      <c r="E17215" s="313">
        <f t="shared" si="2731"/>
        <v>46051</v>
      </c>
      <c r="F17215" s="480"/>
      <c r="G17215" s="221" t="s">
        <v>94</v>
      </c>
      <c r="H17215" s="145"/>
      <c r="I17215" s="145"/>
      <c r="J17215" s="163" t="s">
        <v>79</v>
      </c>
      <c r="K17215" s="219"/>
      <c r="L17215" s="219">
        <v>814193.95</v>
      </c>
      <c r="M17215" s="264"/>
    </row>
    <row r="17216" spans="1:14" ht="11.25" customHeight="1" x14ac:dyDescent="0.2">
      <c r="A17216" s="168">
        <v>2026</v>
      </c>
      <c r="B17216" s="168">
        <v>1</v>
      </c>
      <c r="C17216" s="168">
        <v>29</v>
      </c>
      <c r="D17216" s="141">
        <f t="shared" ref="D17216:D17238" si="2732">DATE(A17216,B17216,C17216)</f>
        <v>46051</v>
      </c>
      <c r="E17216" s="275">
        <f t="shared" ref="E17216:E17238" si="2733">DATE(A17216,B17216,C17216)</f>
        <v>46051</v>
      </c>
      <c r="F17216" s="479" t="s">
        <v>2164</v>
      </c>
      <c r="G17216" s="220" t="s">
        <v>94</v>
      </c>
      <c r="H17216" s="220"/>
      <c r="J17216" s="149" t="s">
        <v>79</v>
      </c>
      <c r="K17216" s="218">
        <v>416300</v>
      </c>
      <c r="L17216" s="218"/>
      <c r="M17216" s="160"/>
    </row>
    <row r="17217" spans="1:14" x14ac:dyDescent="0.2">
      <c r="A17217" s="133">
        <v>2026</v>
      </c>
      <c r="B17217" s="133">
        <v>1</v>
      </c>
      <c r="C17217" s="133">
        <v>29</v>
      </c>
      <c r="D17217" s="147">
        <f t="shared" si="2732"/>
        <v>46051</v>
      </c>
      <c r="E17217" s="311">
        <f t="shared" si="2733"/>
        <v>46051</v>
      </c>
      <c r="F17217" s="481"/>
      <c r="G17217" s="174" t="s">
        <v>94</v>
      </c>
      <c r="H17217" s="174"/>
      <c r="J17217" s="149" t="s">
        <v>80</v>
      </c>
      <c r="K17217" s="218">
        <v>1083.69</v>
      </c>
      <c r="L17217" s="264"/>
      <c r="M17217" s="264"/>
      <c r="N17217" s="264"/>
    </row>
    <row r="17218" spans="1:14" x14ac:dyDescent="0.2">
      <c r="A17218" s="133">
        <v>2026</v>
      </c>
      <c r="B17218" s="133">
        <v>1</v>
      </c>
      <c r="C17218" s="133">
        <v>29</v>
      </c>
      <c r="D17218" s="147">
        <f t="shared" si="2732"/>
        <v>46051</v>
      </c>
      <c r="E17218" s="311">
        <f t="shared" si="2733"/>
        <v>46051</v>
      </c>
      <c r="F17218" s="481"/>
      <c r="G17218" s="174" t="s">
        <v>94</v>
      </c>
      <c r="H17218" s="174"/>
      <c r="J17218" s="149" t="s">
        <v>147</v>
      </c>
      <c r="K17218" s="218"/>
      <c r="L17218" s="218">
        <v>231633.69</v>
      </c>
      <c r="M17218" s="264"/>
    </row>
    <row r="17219" spans="1:14" x14ac:dyDescent="0.2">
      <c r="A17219" s="133">
        <v>2026</v>
      </c>
      <c r="B17219" s="133">
        <v>1</v>
      </c>
      <c r="C17219" s="133">
        <v>29</v>
      </c>
      <c r="D17219" s="147">
        <f t="shared" si="2732"/>
        <v>46051</v>
      </c>
      <c r="E17219" s="311">
        <f t="shared" si="2733"/>
        <v>46051</v>
      </c>
      <c r="F17219" s="481"/>
      <c r="G17219" s="174" t="s">
        <v>94</v>
      </c>
      <c r="H17219" s="174"/>
      <c r="J17219" s="149" t="s">
        <v>191</v>
      </c>
      <c r="K17219" s="218"/>
      <c r="L17219" s="218">
        <v>31200.25</v>
      </c>
    </row>
    <row r="17220" spans="1:14" x14ac:dyDescent="0.2">
      <c r="A17220" s="163">
        <v>2026</v>
      </c>
      <c r="B17220" s="163">
        <v>1</v>
      </c>
      <c r="C17220" s="163">
        <v>29</v>
      </c>
      <c r="D17220" s="144">
        <f t="shared" si="2732"/>
        <v>46051</v>
      </c>
      <c r="E17220" s="313">
        <f t="shared" si="2733"/>
        <v>46051</v>
      </c>
      <c r="F17220" s="480"/>
      <c r="G17220" s="221" t="s">
        <v>94</v>
      </c>
      <c r="H17220" s="145"/>
      <c r="I17220" s="145"/>
      <c r="J17220" s="163" t="s">
        <v>79</v>
      </c>
      <c r="K17220" s="219"/>
      <c r="L17220" s="219">
        <v>154549.75</v>
      </c>
      <c r="M17220" s="264"/>
    </row>
    <row r="17221" spans="1:14" x14ac:dyDescent="0.2">
      <c r="A17221" s="325">
        <v>2026</v>
      </c>
      <c r="B17221" s="325">
        <v>1</v>
      </c>
      <c r="C17221" s="325">
        <v>29</v>
      </c>
      <c r="D17221" s="326">
        <f t="shared" si="2732"/>
        <v>46051</v>
      </c>
      <c r="E17221" s="327">
        <f t="shared" si="2733"/>
        <v>46051</v>
      </c>
      <c r="F17221" s="473" t="s">
        <v>1940</v>
      </c>
      <c r="G17221" s="340" t="s">
        <v>94</v>
      </c>
      <c r="H17221" s="340"/>
      <c r="I17221" s="341" t="s">
        <v>348</v>
      </c>
      <c r="J17221" s="374" t="s">
        <v>133</v>
      </c>
      <c r="K17221" s="375">
        <v>2104.17</v>
      </c>
      <c r="L17221" s="375"/>
      <c r="M17221" s="176"/>
    </row>
    <row r="17222" spans="1:14" x14ac:dyDescent="0.2">
      <c r="A17222" s="331">
        <v>2026</v>
      </c>
      <c r="B17222" s="331">
        <v>1</v>
      </c>
      <c r="C17222" s="331">
        <v>29</v>
      </c>
      <c r="D17222" s="326">
        <f t="shared" si="2732"/>
        <v>46051</v>
      </c>
      <c r="E17222" s="327">
        <f t="shared" si="2733"/>
        <v>46051</v>
      </c>
      <c r="F17222" s="474"/>
      <c r="G17222" s="332" t="s">
        <v>94</v>
      </c>
      <c r="H17222" s="332"/>
      <c r="I17222" s="333" t="s">
        <v>348</v>
      </c>
      <c r="J17222" s="376" t="s">
        <v>2153</v>
      </c>
      <c r="K17222" s="334"/>
      <c r="L17222" s="334">
        <f>K17221</f>
        <v>2104.17</v>
      </c>
    </row>
    <row r="17223" spans="1:14" x14ac:dyDescent="0.2">
      <c r="A17223" s="325">
        <v>2026</v>
      </c>
      <c r="B17223" s="325">
        <v>1</v>
      </c>
      <c r="C17223" s="325">
        <v>29</v>
      </c>
      <c r="D17223" s="326">
        <f t="shared" si="2732"/>
        <v>46051</v>
      </c>
      <c r="E17223" s="327">
        <f t="shared" si="2733"/>
        <v>46051</v>
      </c>
      <c r="F17223" s="473" t="s">
        <v>2131</v>
      </c>
      <c r="G17223" s="340" t="s">
        <v>94</v>
      </c>
      <c r="H17223" s="340"/>
      <c r="I17223" s="341" t="s">
        <v>348</v>
      </c>
      <c r="J17223" s="374" t="s">
        <v>2156</v>
      </c>
      <c r="K17223" s="375">
        <v>6185.4395604395604</v>
      </c>
      <c r="L17223" s="375"/>
      <c r="M17223" s="176"/>
    </row>
    <row r="17224" spans="1:14" x14ac:dyDescent="0.2">
      <c r="A17224" s="331">
        <v>2026</v>
      </c>
      <c r="B17224" s="331">
        <v>1</v>
      </c>
      <c r="C17224" s="331">
        <v>29</v>
      </c>
      <c r="D17224" s="326">
        <f t="shared" si="2732"/>
        <v>46051</v>
      </c>
      <c r="E17224" s="327">
        <f t="shared" si="2733"/>
        <v>46051</v>
      </c>
      <c r="F17224" s="474"/>
      <c r="G17224" s="332" t="s">
        <v>94</v>
      </c>
      <c r="H17224" s="332"/>
      <c r="I17224" s="333" t="s">
        <v>348</v>
      </c>
      <c r="J17224" s="376" t="s">
        <v>2154</v>
      </c>
      <c r="K17224" s="334"/>
      <c r="L17224" s="334">
        <f>K17223</f>
        <v>6185.4395604395604</v>
      </c>
    </row>
    <row r="17225" spans="1:14" x14ac:dyDescent="0.2">
      <c r="A17225" s="384">
        <v>2026</v>
      </c>
      <c r="B17225" s="384">
        <v>1</v>
      </c>
      <c r="C17225" s="384">
        <v>29</v>
      </c>
      <c r="D17225" s="385">
        <f t="shared" si="2732"/>
        <v>46051</v>
      </c>
      <c r="E17225" s="386">
        <f t="shared" si="2733"/>
        <v>46051</v>
      </c>
      <c r="F17225" s="475" t="s">
        <v>1966</v>
      </c>
      <c r="G17225" s="387" t="s">
        <v>94</v>
      </c>
      <c r="H17225" s="387"/>
      <c r="I17225" s="388" t="s">
        <v>348</v>
      </c>
      <c r="J17225" s="389" t="s">
        <v>67</v>
      </c>
      <c r="K17225" s="390">
        <v>2717.1689347222223</v>
      </c>
      <c r="L17225" s="390"/>
    </row>
    <row r="17226" spans="1:14" x14ac:dyDescent="0.2">
      <c r="A17226" s="391">
        <v>2026</v>
      </c>
      <c r="B17226" s="391">
        <v>1</v>
      </c>
      <c r="C17226" s="391">
        <v>29</v>
      </c>
      <c r="D17226" s="385">
        <f t="shared" si="2732"/>
        <v>46051</v>
      </c>
      <c r="E17226" s="386">
        <f t="shared" si="2733"/>
        <v>46051</v>
      </c>
      <c r="F17226" s="476"/>
      <c r="G17226" s="392" t="s">
        <v>94</v>
      </c>
      <c r="H17226" s="392"/>
      <c r="I17226" s="393" t="s">
        <v>348</v>
      </c>
      <c r="J17226" s="394" t="s">
        <v>2155</v>
      </c>
      <c r="K17226" s="395"/>
      <c r="L17226" s="395">
        <f>K17225</f>
        <v>2717.1689347222223</v>
      </c>
    </row>
    <row r="17227" spans="1:14" x14ac:dyDescent="0.2">
      <c r="A17227" s="238">
        <v>2026</v>
      </c>
      <c r="B17227" s="238">
        <v>1</v>
      </c>
      <c r="C17227" s="238">
        <v>29</v>
      </c>
      <c r="D17227" s="270">
        <f t="shared" si="2732"/>
        <v>46051</v>
      </c>
      <c r="E17227" s="279">
        <f t="shared" si="2733"/>
        <v>46051</v>
      </c>
      <c r="F17227" s="477" t="s">
        <v>347</v>
      </c>
      <c r="G17227" s="239" t="s">
        <v>94</v>
      </c>
      <c r="H17227" s="239"/>
      <c r="I17227" s="262" t="s">
        <v>348</v>
      </c>
      <c r="J17227" s="240" t="s">
        <v>82</v>
      </c>
      <c r="K17227" s="241">
        <v>585824.5972019434</v>
      </c>
      <c r="L17227" s="241"/>
      <c r="M17227" s="160"/>
    </row>
    <row r="17228" spans="1:14" x14ac:dyDescent="0.2">
      <c r="A17228" s="242">
        <v>2026</v>
      </c>
      <c r="B17228" s="242">
        <v>1</v>
      </c>
      <c r="C17228" s="242">
        <v>29</v>
      </c>
      <c r="D17228" s="270">
        <f t="shared" si="2732"/>
        <v>46051</v>
      </c>
      <c r="E17228" s="279">
        <f t="shared" si="2733"/>
        <v>46051</v>
      </c>
      <c r="F17228" s="478"/>
      <c r="G17228" s="243" t="s">
        <v>94</v>
      </c>
      <c r="H17228" s="243"/>
      <c r="I17228" s="263" t="s">
        <v>348</v>
      </c>
      <c r="J17228" s="244" t="s">
        <v>108</v>
      </c>
      <c r="K17228" s="245"/>
      <c r="L17228" s="245">
        <f>K17227</f>
        <v>585824.5972019434</v>
      </c>
    </row>
    <row r="17229" spans="1:14" ht="12" customHeight="1" x14ac:dyDescent="0.2">
      <c r="A17229" s="246">
        <v>2026</v>
      </c>
      <c r="B17229" s="238">
        <v>1</v>
      </c>
      <c r="C17229" s="238">
        <v>29</v>
      </c>
      <c r="D17229" s="270">
        <f t="shared" si="2732"/>
        <v>46051</v>
      </c>
      <c r="E17229" s="279">
        <f t="shared" si="2733"/>
        <v>46051</v>
      </c>
      <c r="F17229" s="482" t="s">
        <v>148</v>
      </c>
      <c r="G17229" s="247" t="s">
        <v>94</v>
      </c>
      <c r="H17229" s="247"/>
      <c r="I17229" s="248" t="s">
        <v>348</v>
      </c>
      <c r="J17229" s="249" t="s">
        <v>95</v>
      </c>
      <c r="K17229" s="250">
        <v>392.46467817896388</v>
      </c>
      <c r="L17229" s="241"/>
      <c r="M17229" s="176"/>
    </row>
    <row r="17230" spans="1:14" x14ac:dyDescent="0.2">
      <c r="A17230" s="242">
        <v>2026</v>
      </c>
      <c r="B17230" s="242">
        <v>1</v>
      </c>
      <c r="C17230" s="242">
        <v>29</v>
      </c>
      <c r="D17230" s="270">
        <f t="shared" si="2732"/>
        <v>46051</v>
      </c>
      <c r="E17230" s="279">
        <f t="shared" si="2733"/>
        <v>46051</v>
      </c>
      <c r="F17230" s="478"/>
      <c r="G17230" s="243" t="s">
        <v>94</v>
      </c>
      <c r="H17230" s="243"/>
      <c r="I17230" s="263" t="s">
        <v>348</v>
      </c>
      <c r="J17230" s="244" t="s">
        <v>63</v>
      </c>
      <c r="K17230" s="245"/>
      <c r="L17230" s="245">
        <f>K17229</f>
        <v>392.46467817896388</v>
      </c>
    </row>
    <row r="17231" spans="1:14" x14ac:dyDescent="0.2">
      <c r="A17231" s="246">
        <v>2026</v>
      </c>
      <c r="B17231" s="238">
        <v>1</v>
      </c>
      <c r="C17231" s="238">
        <v>29</v>
      </c>
      <c r="D17231" s="270">
        <f t="shared" si="2732"/>
        <v>46051</v>
      </c>
      <c r="E17231" s="279">
        <f t="shared" si="2733"/>
        <v>46051</v>
      </c>
      <c r="F17231" s="482" t="s">
        <v>137</v>
      </c>
      <c r="G17231" s="247" t="s">
        <v>94</v>
      </c>
      <c r="H17231" s="247"/>
      <c r="I17231" s="248" t="s">
        <v>348</v>
      </c>
      <c r="J17231" s="249" t="s">
        <v>97</v>
      </c>
      <c r="K17231" s="250">
        <v>14587.78509472788</v>
      </c>
      <c r="L17231" s="252"/>
      <c r="M17231" s="170"/>
    </row>
    <row r="17232" spans="1:14" x14ac:dyDescent="0.2">
      <c r="A17232" s="242">
        <v>2026</v>
      </c>
      <c r="B17232" s="242">
        <v>1</v>
      </c>
      <c r="C17232" s="242">
        <v>29</v>
      </c>
      <c r="D17232" s="270">
        <f t="shared" si="2732"/>
        <v>46051</v>
      </c>
      <c r="E17232" s="279">
        <f t="shared" si="2733"/>
        <v>46051</v>
      </c>
      <c r="F17232" s="478"/>
      <c r="G17232" s="243" t="s">
        <v>94</v>
      </c>
      <c r="H17232" s="243"/>
      <c r="I17232" s="263" t="s">
        <v>348</v>
      </c>
      <c r="J17232" s="244" t="s">
        <v>47</v>
      </c>
      <c r="K17232" s="245"/>
      <c r="L17232" s="245">
        <f>K17231</f>
        <v>14587.78509472788</v>
      </c>
      <c r="M17232" s="170"/>
    </row>
    <row r="17233" spans="1:17" x14ac:dyDescent="0.2">
      <c r="A17233" s="246">
        <v>2026</v>
      </c>
      <c r="B17233" s="238">
        <v>1</v>
      </c>
      <c r="C17233" s="238">
        <v>29</v>
      </c>
      <c r="D17233" s="270">
        <f t="shared" si="2732"/>
        <v>46051</v>
      </c>
      <c r="E17233" s="279">
        <f t="shared" si="2733"/>
        <v>46051</v>
      </c>
      <c r="F17233" s="482" t="s">
        <v>138</v>
      </c>
      <c r="G17233" s="247" t="s">
        <v>94</v>
      </c>
      <c r="H17233" s="247"/>
      <c r="I17233" s="248" t="s">
        <v>348</v>
      </c>
      <c r="J17233" s="249" t="s">
        <v>100</v>
      </c>
      <c r="K17233" s="250">
        <v>697.79373158991723</v>
      </c>
      <c r="L17233" s="252"/>
    </row>
    <row r="17234" spans="1:17" x14ac:dyDescent="0.2">
      <c r="A17234" s="242">
        <v>2026</v>
      </c>
      <c r="B17234" s="242">
        <v>1</v>
      </c>
      <c r="C17234" s="242">
        <v>29</v>
      </c>
      <c r="D17234" s="321">
        <f t="shared" si="2732"/>
        <v>46051</v>
      </c>
      <c r="E17234" s="322">
        <f t="shared" si="2733"/>
        <v>46051</v>
      </c>
      <c r="F17234" s="478"/>
      <c r="G17234" s="243" t="s">
        <v>94</v>
      </c>
      <c r="H17234" s="243"/>
      <c r="I17234" s="263" t="s">
        <v>348</v>
      </c>
      <c r="J17234" s="244" t="s">
        <v>48</v>
      </c>
      <c r="K17234" s="245"/>
      <c r="L17234" s="245">
        <f>K17233</f>
        <v>697.79373158991723</v>
      </c>
    </row>
    <row r="17235" spans="1:17" ht="11.25" customHeight="1" x14ac:dyDescent="0.2">
      <c r="A17235" s="168">
        <v>2026</v>
      </c>
      <c r="B17235" s="168">
        <v>2</v>
      </c>
      <c r="C17235" s="168">
        <v>1</v>
      </c>
      <c r="D17235" s="141">
        <f t="shared" si="2732"/>
        <v>46054</v>
      </c>
      <c r="E17235" s="275">
        <f t="shared" si="2733"/>
        <v>46054</v>
      </c>
      <c r="F17235" s="479" t="s">
        <v>2116</v>
      </c>
      <c r="G17235" s="220" t="s">
        <v>74</v>
      </c>
      <c r="H17235" s="220"/>
      <c r="I17235" s="142"/>
      <c r="J17235" s="143" t="s">
        <v>147</v>
      </c>
      <c r="K17235" s="226">
        <v>1788765.97</v>
      </c>
      <c r="L17235" s="226"/>
    </row>
    <row r="17236" spans="1:17" x14ac:dyDescent="0.2">
      <c r="A17236" s="133">
        <v>2026</v>
      </c>
      <c r="B17236" s="133">
        <v>2</v>
      </c>
      <c r="C17236" s="133">
        <v>1</v>
      </c>
      <c r="D17236" s="147">
        <f t="shared" si="2732"/>
        <v>46054</v>
      </c>
      <c r="E17236" s="311">
        <f t="shared" si="2733"/>
        <v>46054</v>
      </c>
      <c r="F17236" s="481"/>
      <c r="G17236" s="221" t="s">
        <v>74</v>
      </c>
      <c r="H17236" s="221"/>
      <c r="I17236" s="145"/>
      <c r="J17236" s="146" t="s">
        <v>52</v>
      </c>
      <c r="K17236" s="219"/>
      <c r="L17236" s="219">
        <f>K17235</f>
        <v>1788765.97</v>
      </c>
      <c r="N17236" s="264"/>
    </row>
    <row r="17237" spans="1:17" ht="11.25" customHeight="1" x14ac:dyDescent="0.2">
      <c r="A17237" s="168">
        <v>2026</v>
      </c>
      <c r="B17237" s="168">
        <v>2</v>
      </c>
      <c r="C17237" s="168">
        <v>1</v>
      </c>
      <c r="D17237" s="141">
        <f t="shared" si="2732"/>
        <v>46054</v>
      </c>
      <c r="E17237" s="275">
        <f t="shared" si="2733"/>
        <v>46054</v>
      </c>
      <c r="F17237" s="479" t="s">
        <v>2163</v>
      </c>
      <c r="G17237" s="174" t="s">
        <v>74</v>
      </c>
      <c r="H17237" s="174"/>
      <c r="I17237" s="148" t="s">
        <v>348</v>
      </c>
      <c r="J17237" s="149" t="s">
        <v>147</v>
      </c>
      <c r="K17237" s="218">
        <v>231633.69</v>
      </c>
      <c r="L17237" s="218"/>
      <c r="M17237" s="147"/>
      <c r="Q17237" s="133" t="s">
        <v>348</v>
      </c>
    </row>
    <row r="17238" spans="1:17" x14ac:dyDescent="0.2">
      <c r="A17238" s="163">
        <v>2026</v>
      </c>
      <c r="B17238" s="163">
        <v>2</v>
      </c>
      <c r="C17238" s="163">
        <v>1</v>
      </c>
      <c r="D17238" s="144">
        <f t="shared" si="2732"/>
        <v>46054</v>
      </c>
      <c r="E17238" s="313">
        <f t="shared" si="2733"/>
        <v>46054</v>
      </c>
      <c r="F17238" s="481"/>
      <c r="G17238" s="221" t="s">
        <v>74</v>
      </c>
      <c r="H17238" s="221"/>
      <c r="I17238" s="145" t="s">
        <v>348</v>
      </c>
      <c r="J17238" s="146" t="s">
        <v>52</v>
      </c>
      <c r="K17238" s="219"/>
      <c r="L17238" s="219">
        <f>K17237</f>
        <v>231633.69</v>
      </c>
      <c r="M17238" s="147"/>
      <c r="Q17238" s="133" t="s">
        <v>348</v>
      </c>
    </row>
    <row r="17239" spans="1:17" x14ac:dyDescent="0.2">
      <c r="A17239" s="168">
        <v>2026</v>
      </c>
      <c r="B17239" s="168">
        <v>2</v>
      </c>
      <c r="C17239" s="168">
        <v>1</v>
      </c>
      <c r="D17239" s="141">
        <f>DATE(A17239,B17239,C17239)</f>
        <v>46054</v>
      </c>
      <c r="E17239" s="275">
        <f>DATE(A17239,B17239,C17239)</f>
        <v>46054</v>
      </c>
      <c r="F17239" s="479" t="s">
        <v>1943</v>
      </c>
      <c r="G17239" s="174" t="s">
        <v>74</v>
      </c>
      <c r="I17239" s="148" t="s">
        <v>348</v>
      </c>
      <c r="J17239" s="133" t="s">
        <v>61</v>
      </c>
      <c r="K17239" s="172">
        <v>158</v>
      </c>
    </row>
    <row r="17240" spans="1:17" x14ac:dyDescent="0.2">
      <c r="A17240" s="163">
        <v>2026</v>
      </c>
      <c r="B17240" s="163">
        <v>2</v>
      </c>
      <c r="C17240" s="163">
        <v>1</v>
      </c>
      <c r="D17240" s="144">
        <f>DATE(A17240,B17240,C17240)</f>
        <v>46054</v>
      </c>
      <c r="E17240" s="313">
        <f>DATE(A17240,B17240,C17240)</f>
        <v>46054</v>
      </c>
      <c r="F17240" s="480"/>
      <c r="G17240" s="221" t="s">
        <v>74</v>
      </c>
      <c r="H17240" s="145"/>
      <c r="I17240" s="145" t="s">
        <v>348</v>
      </c>
      <c r="J17240" s="163" t="s">
        <v>52</v>
      </c>
      <c r="K17240" s="219"/>
      <c r="L17240" s="219">
        <f>K17239</f>
        <v>158</v>
      </c>
    </row>
    <row r="17241" spans="1:17" x14ac:dyDescent="0.2">
      <c r="A17241" s="168">
        <v>2026</v>
      </c>
      <c r="B17241" s="168">
        <v>2</v>
      </c>
      <c r="C17241" s="168">
        <v>1</v>
      </c>
      <c r="D17241" s="141">
        <f t="shared" ref="D17241:D17264" si="2734">DATE(A17241,B17241,C17241)</f>
        <v>46054</v>
      </c>
      <c r="E17241" s="275">
        <f t="shared" ref="E17241:E17264" si="2735">DATE(A17241,B17241,C17241)</f>
        <v>46054</v>
      </c>
      <c r="F17241" s="479" t="s">
        <v>2115</v>
      </c>
      <c r="G17241" s="220" t="s">
        <v>94</v>
      </c>
      <c r="H17241" s="220"/>
      <c r="J17241" s="149" t="s">
        <v>79</v>
      </c>
      <c r="K17241" s="218">
        <v>3416279</v>
      </c>
      <c r="L17241" s="218"/>
      <c r="M17241" s="160"/>
    </row>
    <row r="17242" spans="1:17" x14ac:dyDescent="0.2">
      <c r="A17242" s="133">
        <v>2026</v>
      </c>
      <c r="B17242" s="133">
        <v>2</v>
      </c>
      <c r="C17242" s="133">
        <v>1</v>
      </c>
      <c r="D17242" s="147">
        <f t="shared" si="2734"/>
        <v>46054</v>
      </c>
      <c r="E17242" s="311">
        <f t="shared" si="2735"/>
        <v>46054</v>
      </c>
      <c r="F17242" s="481"/>
      <c r="G17242" s="174" t="s">
        <v>94</v>
      </c>
      <c r="H17242" s="174"/>
      <c r="J17242" s="149" t="s">
        <v>80</v>
      </c>
      <c r="K17242" s="218">
        <v>14666.19</v>
      </c>
      <c r="L17242" s="264"/>
      <c r="M17242" s="264"/>
      <c r="N17242" s="264"/>
    </row>
    <row r="17243" spans="1:17" x14ac:dyDescent="0.2">
      <c r="A17243" s="133">
        <v>2026</v>
      </c>
      <c r="B17243" s="133">
        <v>2</v>
      </c>
      <c r="C17243" s="133">
        <v>1</v>
      </c>
      <c r="D17243" s="147">
        <f t="shared" si="2734"/>
        <v>46054</v>
      </c>
      <c r="E17243" s="311">
        <f t="shared" si="2735"/>
        <v>46054</v>
      </c>
      <c r="F17243" s="481"/>
      <c r="G17243" s="174" t="s">
        <v>94</v>
      </c>
      <c r="H17243" s="174"/>
      <c r="J17243" s="149" t="s">
        <v>190</v>
      </c>
      <c r="K17243" s="218">
        <v>1300657.31</v>
      </c>
      <c r="L17243" s="218"/>
      <c r="M17243" s="264"/>
    </row>
    <row r="17244" spans="1:17" x14ac:dyDescent="0.2">
      <c r="A17244" s="133">
        <v>2026</v>
      </c>
      <c r="B17244" s="133">
        <v>2</v>
      </c>
      <c r="C17244" s="133">
        <v>1</v>
      </c>
      <c r="D17244" s="147">
        <f t="shared" si="2734"/>
        <v>46054</v>
      </c>
      <c r="E17244" s="311">
        <f t="shared" si="2735"/>
        <v>46054</v>
      </c>
      <c r="F17244" s="481"/>
      <c r="G17244" s="174" t="s">
        <v>94</v>
      </c>
      <c r="H17244" s="174"/>
      <c r="J17244" s="149" t="s">
        <v>191</v>
      </c>
      <c r="K17244" s="218"/>
      <c r="L17244" s="218">
        <v>676565.07</v>
      </c>
    </row>
    <row r="17245" spans="1:17" x14ac:dyDescent="0.2">
      <c r="A17245" s="163">
        <v>2026</v>
      </c>
      <c r="B17245" s="163">
        <v>2</v>
      </c>
      <c r="C17245" s="163">
        <v>1</v>
      </c>
      <c r="D17245" s="144">
        <f t="shared" si="2734"/>
        <v>46054</v>
      </c>
      <c r="E17245" s="313">
        <f t="shared" si="2735"/>
        <v>46054</v>
      </c>
      <c r="F17245" s="480"/>
      <c r="G17245" s="221" t="s">
        <v>94</v>
      </c>
      <c r="H17245" s="145"/>
      <c r="I17245" s="145"/>
      <c r="J17245" s="163" t="s">
        <v>79</v>
      </c>
      <c r="K17245" s="219"/>
      <c r="L17245" s="219">
        <v>4055037.43</v>
      </c>
      <c r="M17245" s="264"/>
    </row>
    <row r="17246" spans="1:17" ht="11.25" customHeight="1" x14ac:dyDescent="0.2">
      <c r="A17246" s="168">
        <v>2026</v>
      </c>
      <c r="B17246" s="168">
        <v>2</v>
      </c>
      <c r="C17246" s="168">
        <v>1</v>
      </c>
      <c r="D17246" s="141">
        <f t="shared" si="2734"/>
        <v>46054</v>
      </c>
      <c r="E17246" s="275">
        <f t="shared" si="2735"/>
        <v>46054</v>
      </c>
      <c r="F17246" s="479" t="s">
        <v>2164</v>
      </c>
      <c r="G17246" s="220" t="s">
        <v>94</v>
      </c>
      <c r="H17246" s="220"/>
      <c r="J17246" s="149" t="s">
        <v>79</v>
      </c>
      <c r="K17246" s="218">
        <v>543300</v>
      </c>
      <c r="L17246" s="218"/>
      <c r="M17246" s="160"/>
    </row>
    <row r="17247" spans="1:17" x14ac:dyDescent="0.2">
      <c r="A17247" s="133">
        <v>2026</v>
      </c>
      <c r="B17247" s="133">
        <v>2</v>
      </c>
      <c r="C17247" s="133">
        <v>1</v>
      </c>
      <c r="D17247" s="147">
        <f t="shared" si="2734"/>
        <v>46054</v>
      </c>
      <c r="E17247" s="311">
        <f t="shared" si="2735"/>
        <v>46054</v>
      </c>
      <c r="F17247" s="481"/>
      <c r="G17247" s="174" t="s">
        <v>94</v>
      </c>
      <c r="H17247" s="174"/>
      <c r="J17247" s="149" t="s">
        <v>80</v>
      </c>
      <c r="K17247" s="218">
        <v>1385.28</v>
      </c>
      <c r="L17247" s="264"/>
      <c r="M17247" s="264"/>
      <c r="N17247" s="264"/>
    </row>
    <row r="17248" spans="1:17" x14ac:dyDescent="0.2">
      <c r="A17248" s="133">
        <v>2026</v>
      </c>
      <c r="B17248" s="133">
        <v>2</v>
      </c>
      <c r="C17248" s="133">
        <v>1</v>
      </c>
      <c r="D17248" s="147">
        <f t="shared" si="2734"/>
        <v>46054</v>
      </c>
      <c r="E17248" s="311">
        <f t="shared" si="2735"/>
        <v>46054</v>
      </c>
      <c r="F17248" s="481"/>
      <c r="G17248" s="174" t="s">
        <v>94</v>
      </c>
      <c r="H17248" s="174"/>
      <c r="J17248" s="149" t="s">
        <v>147</v>
      </c>
      <c r="K17248" s="218"/>
      <c r="L17248" s="218">
        <v>318385.28000000003</v>
      </c>
      <c r="M17248" s="264"/>
    </row>
    <row r="17249" spans="1:13" x14ac:dyDescent="0.2">
      <c r="A17249" s="133">
        <v>2026</v>
      </c>
      <c r="B17249" s="133">
        <v>2</v>
      </c>
      <c r="C17249" s="133">
        <v>1</v>
      </c>
      <c r="D17249" s="147">
        <f t="shared" si="2734"/>
        <v>46054</v>
      </c>
      <c r="E17249" s="311">
        <f t="shared" si="2735"/>
        <v>46054</v>
      </c>
      <c r="F17249" s="481"/>
      <c r="G17249" s="174" t="s">
        <v>94</v>
      </c>
      <c r="H17249" s="174"/>
      <c r="J17249" s="149" t="s">
        <v>191</v>
      </c>
      <c r="K17249" s="218"/>
      <c r="L17249" s="218">
        <v>40840.300000000003</v>
      </c>
    </row>
    <row r="17250" spans="1:13" x14ac:dyDescent="0.2">
      <c r="A17250" s="163">
        <v>2026</v>
      </c>
      <c r="B17250" s="163">
        <v>2</v>
      </c>
      <c r="C17250" s="163">
        <v>1</v>
      </c>
      <c r="D17250" s="144">
        <f t="shared" si="2734"/>
        <v>46054</v>
      </c>
      <c r="E17250" s="313">
        <f t="shared" si="2735"/>
        <v>46054</v>
      </c>
      <c r="F17250" s="480"/>
      <c r="G17250" s="221" t="s">
        <v>94</v>
      </c>
      <c r="H17250" s="145"/>
      <c r="I17250" s="145"/>
      <c r="J17250" s="163" t="s">
        <v>79</v>
      </c>
      <c r="K17250" s="219"/>
      <c r="L17250" s="219">
        <v>185459.7</v>
      </c>
      <c r="M17250" s="264"/>
    </row>
    <row r="17251" spans="1:13" x14ac:dyDescent="0.2">
      <c r="A17251" s="325">
        <v>2026</v>
      </c>
      <c r="B17251" s="325">
        <v>2</v>
      </c>
      <c r="C17251" s="325">
        <v>1</v>
      </c>
      <c r="D17251" s="326">
        <f t="shared" si="2734"/>
        <v>46054</v>
      </c>
      <c r="E17251" s="327">
        <f t="shared" si="2735"/>
        <v>46054</v>
      </c>
      <c r="F17251" s="473" t="s">
        <v>1940</v>
      </c>
      <c r="G17251" s="340" t="s">
        <v>94</v>
      </c>
      <c r="H17251" s="340"/>
      <c r="I17251" s="341" t="s">
        <v>348</v>
      </c>
      <c r="J17251" s="374" t="s">
        <v>133</v>
      </c>
      <c r="K17251" s="375">
        <v>6312.51</v>
      </c>
      <c r="L17251" s="375"/>
      <c r="M17251" s="176"/>
    </row>
    <row r="17252" spans="1:13" x14ac:dyDescent="0.2">
      <c r="A17252" s="331">
        <v>2026</v>
      </c>
      <c r="B17252" s="331">
        <v>2</v>
      </c>
      <c r="C17252" s="331">
        <v>1</v>
      </c>
      <c r="D17252" s="326">
        <f t="shared" si="2734"/>
        <v>46054</v>
      </c>
      <c r="E17252" s="327">
        <f t="shared" si="2735"/>
        <v>46054</v>
      </c>
      <c r="F17252" s="474"/>
      <c r="G17252" s="332" t="s">
        <v>94</v>
      </c>
      <c r="H17252" s="332"/>
      <c r="I17252" s="333" t="s">
        <v>348</v>
      </c>
      <c r="J17252" s="376" t="s">
        <v>2153</v>
      </c>
      <c r="K17252" s="334"/>
      <c r="L17252" s="334">
        <f>K17251</f>
        <v>6312.51</v>
      </c>
    </row>
    <row r="17253" spans="1:13" x14ac:dyDescent="0.2">
      <c r="A17253" s="325">
        <v>2026</v>
      </c>
      <c r="B17253" s="325">
        <v>2</v>
      </c>
      <c r="C17253" s="325">
        <v>1</v>
      </c>
      <c r="D17253" s="326">
        <f t="shared" si="2734"/>
        <v>46054</v>
      </c>
      <c r="E17253" s="327">
        <f t="shared" si="2735"/>
        <v>46054</v>
      </c>
      <c r="F17253" s="473" t="s">
        <v>2131</v>
      </c>
      <c r="G17253" s="340" t="s">
        <v>94</v>
      </c>
      <c r="H17253" s="340"/>
      <c r="I17253" s="341" t="s">
        <v>348</v>
      </c>
      <c r="J17253" s="374" t="s">
        <v>2156</v>
      </c>
      <c r="K17253" s="375">
        <v>18556.31868131868</v>
      </c>
      <c r="L17253" s="375"/>
      <c r="M17253" s="176"/>
    </row>
    <row r="17254" spans="1:13" x14ac:dyDescent="0.2">
      <c r="A17254" s="331">
        <v>2026</v>
      </c>
      <c r="B17254" s="331">
        <v>2</v>
      </c>
      <c r="C17254" s="331">
        <v>1</v>
      </c>
      <c r="D17254" s="326">
        <f t="shared" si="2734"/>
        <v>46054</v>
      </c>
      <c r="E17254" s="327">
        <f t="shared" si="2735"/>
        <v>46054</v>
      </c>
      <c r="F17254" s="474"/>
      <c r="G17254" s="332" t="s">
        <v>94</v>
      </c>
      <c r="H17254" s="332"/>
      <c r="I17254" s="333" t="s">
        <v>348</v>
      </c>
      <c r="J17254" s="376" t="s">
        <v>2154</v>
      </c>
      <c r="K17254" s="334"/>
      <c r="L17254" s="334">
        <f>K17253</f>
        <v>18556.31868131868</v>
      </c>
    </row>
    <row r="17255" spans="1:13" x14ac:dyDescent="0.2">
      <c r="A17255" s="384">
        <v>2026</v>
      </c>
      <c r="B17255" s="384">
        <v>2</v>
      </c>
      <c r="C17255" s="384">
        <v>1</v>
      </c>
      <c r="D17255" s="385">
        <f t="shared" si="2734"/>
        <v>46054</v>
      </c>
      <c r="E17255" s="386">
        <f t="shared" si="2735"/>
        <v>46054</v>
      </c>
      <c r="F17255" s="475" t="s">
        <v>1966</v>
      </c>
      <c r="G17255" s="387" t="s">
        <v>94</v>
      </c>
      <c r="H17255" s="387"/>
      <c r="I17255" s="388" t="s">
        <v>348</v>
      </c>
      <c r="J17255" s="389" t="s">
        <v>67</v>
      </c>
      <c r="K17255" s="390">
        <v>7730.56</v>
      </c>
      <c r="L17255" s="390"/>
    </row>
    <row r="17256" spans="1:13" x14ac:dyDescent="0.2">
      <c r="A17256" s="391">
        <v>2026</v>
      </c>
      <c r="B17256" s="391">
        <v>2</v>
      </c>
      <c r="C17256" s="391">
        <v>1</v>
      </c>
      <c r="D17256" s="385">
        <f t="shared" si="2734"/>
        <v>46054</v>
      </c>
      <c r="E17256" s="386">
        <f t="shared" si="2735"/>
        <v>46054</v>
      </c>
      <c r="F17256" s="476"/>
      <c r="G17256" s="392" t="s">
        <v>94</v>
      </c>
      <c r="H17256" s="392"/>
      <c r="I17256" s="393" t="s">
        <v>348</v>
      </c>
      <c r="J17256" s="394" t="s">
        <v>2155</v>
      </c>
      <c r="K17256" s="395"/>
      <c r="L17256" s="395">
        <f>K17255</f>
        <v>7730.56</v>
      </c>
    </row>
    <row r="17257" spans="1:13" x14ac:dyDescent="0.2">
      <c r="A17257" s="238">
        <v>2026</v>
      </c>
      <c r="B17257" s="238">
        <v>2</v>
      </c>
      <c r="C17257" s="238">
        <v>1</v>
      </c>
      <c r="D17257" s="270">
        <f t="shared" si="2734"/>
        <v>46054</v>
      </c>
      <c r="E17257" s="279">
        <f t="shared" si="2735"/>
        <v>46054</v>
      </c>
      <c r="F17257" s="477" t="s">
        <v>347</v>
      </c>
      <c r="G17257" s="239" t="s">
        <v>94</v>
      </c>
      <c r="H17257" s="239"/>
      <c r="I17257" s="262" t="s">
        <v>348</v>
      </c>
      <c r="J17257" s="240" t="s">
        <v>82</v>
      </c>
      <c r="K17257" s="241">
        <v>3164746.9300000072</v>
      </c>
      <c r="L17257" s="241"/>
      <c r="M17257" s="160"/>
    </row>
    <row r="17258" spans="1:13" x14ac:dyDescent="0.2">
      <c r="A17258" s="242">
        <v>2026</v>
      </c>
      <c r="B17258" s="242">
        <v>2</v>
      </c>
      <c r="C17258" s="242">
        <v>1</v>
      </c>
      <c r="D17258" s="270">
        <f t="shared" si="2734"/>
        <v>46054</v>
      </c>
      <c r="E17258" s="279">
        <f t="shared" si="2735"/>
        <v>46054</v>
      </c>
      <c r="F17258" s="478"/>
      <c r="G17258" s="243" t="s">
        <v>94</v>
      </c>
      <c r="H17258" s="243"/>
      <c r="I17258" s="263" t="s">
        <v>348</v>
      </c>
      <c r="J17258" s="244" t="s">
        <v>108</v>
      </c>
      <c r="K17258" s="245"/>
      <c r="L17258" s="245">
        <f>K17257</f>
        <v>3164746.9300000072</v>
      </c>
    </row>
    <row r="17259" spans="1:13" ht="12" customHeight="1" x14ac:dyDescent="0.2">
      <c r="A17259" s="246">
        <v>2026</v>
      </c>
      <c r="B17259" s="238">
        <v>2</v>
      </c>
      <c r="C17259" s="238">
        <v>1</v>
      </c>
      <c r="D17259" s="270">
        <f t="shared" si="2734"/>
        <v>46054</v>
      </c>
      <c r="E17259" s="279">
        <f t="shared" si="2735"/>
        <v>46054</v>
      </c>
      <c r="F17259" s="482" t="s">
        <v>148</v>
      </c>
      <c r="G17259" s="247" t="s">
        <v>94</v>
      </c>
      <c r="H17259" s="247"/>
      <c r="I17259" s="248" t="s">
        <v>348</v>
      </c>
      <c r="J17259" s="249" t="s">
        <v>95</v>
      </c>
      <c r="K17259" s="250">
        <v>1177.3940345368917</v>
      </c>
      <c r="L17259" s="241"/>
      <c r="M17259" s="176"/>
    </row>
    <row r="17260" spans="1:13" x14ac:dyDescent="0.2">
      <c r="A17260" s="242">
        <v>2026</v>
      </c>
      <c r="B17260" s="242">
        <v>2</v>
      </c>
      <c r="C17260" s="242">
        <v>1</v>
      </c>
      <c r="D17260" s="270">
        <f t="shared" si="2734"/>
        <v>46054</v>
      </c>
      <c r="E17260" s="279">
        <f t="shared" si="2735"/>
        <v>46054</v>
      </c>
      <c r="F17260" s="478"/>
      <c r="G17260" s="243" t="s">
        <v>94</v>
      </c>
      <c r="H17260" s="243"/>
      <c r="I17260" s="263" t="s">
        <v>348</v>
      </c>
      <c r="J17260" s="244" t="s">
        <v>63</v>
      </c>
      <c r="K17260" s="245"/>
      <c r="L17260" s="245">
        <f>K17259</f>
        <v>1177.3940345368917</v>
      </c>
    </row>
    <row r="17261" spans="1:13" x14ac:dyDescent="0.2">
      <c r="A17261" s="246">
        <v>2026</v>
      </c>
      <c r="B17261" s="238">
        <v>2</v>
      </c>
      <c r="C17261" s="238">
        <v>1</v>
      </c>
      <c r="D17261" s="270">
        <f t="shared" si="2734"/>
        <v>46054</v>
      </c>
      <c r="E17261" s="279">
        <f t="shared" si="2735"/>
        <v>46054</v>
      </c>
      <c r="F17261" s="482" t="s">
        <v>137</v>
      </c>
      <c r="G17261" s="247" t="s">
        <v>94</v>
      </c>
      <c r="H17261" s="247"/>
      <c r="I17261" s="248" t="s">
        <v>348</v>
      </c>
      <c r="J17261" s="249" t="s">
        <v>97</v>
      </c>
      <c r="K17261" s="250">
        <v>43460.790291080411</v>
      </c>
      <c r="L17261" s="252"/>
      <c r="M17261" s="170">
        <v>14486.930097026803</v>
      </c>
    </row>
    <row r="17262" spans="1:13" x14ac:dyDescent="0.2">
      <c r="A17262" s="242">
        <v>2026</v>
      </c>
      <c r="B17262" s="242">
        <v>2</v>
      </c>
      <c r="C17262" s="242">
        <v>1</v>
      </c>
      <c r="D17262" s="270">
        <f t="shared" si="2734"/>
        <v>46054</v>
      </c>
      <c r="E17262" s="279">
        <f t="shared" si="2735"/>
        <v>46054</v>
      </c>
      <c r="F17262" s="478"/>
      <c r="G17262" s="243" t="s">
        <v>94</v>
      </c>
      <c r="H17262" s="243"/>
      <c r="I17262" s="263" t="s">
        <v>348</v>
      </c>
      <c r="J17262" s="244" t="s">
        <v>47</v>
      </c>
      <c r="K17262" s="245"/>
      <c r="L17262" s="245">
        <f>K17261</f>
        <v>43460.790291080411</v>
      </c>
      <c r="M17262" s="170">
        <v>691.07006507651204</v>
      </c>
    </row>
    <row r="17263" spans="1:13" x14ac:dyDescent="0.2">
      <c r="A17263" s="246">
        <v>2026</v>
      </c>
      <c r="B17263" s="238">
        <v>2</v>
      </c>
      <c r="C17263" s="238">
        <v>1</v>
      </c>
      <c r="D17263" s="270">
        <f t="shared" si="2734"/>
        <v>46054</v>
      </c>
      <c r="E17263" s="279">
        <f t="shared" si="2735"/>
        <v>46054</v>
      </c>
      <c r="F17263" s="482" t="s">
        <v>138</v>
      </c>
      <c r="G17263" s="247" t="s">
        <v>94</v>
      </c>
      <c r="H17263" s="247"/>
      <c r="I17263" s="248" t="s">
        <v>348</v>
      </c>
      <c r="J17263" s="249" t="s">
        <v>100</v>
      </c>
      <c r="K17263" s="250">
        <v>2073.2101952295361</v>
      </c>
      <c r="L17263" s="252"/>
    </row>
    <row r="17264" spans="1:13" x14ac:dyDescent="0.2">
      <c r="A17264" s="242">
        <v>2026</v>
      </c>
      <c r="B17264" s="242">
        <v>2</v>
      </c>
      <c r="C17264" s="242">
        <v>1</v>
      </c>
      <c r="D17264" s="321">
        <f t="shared" si="2734"/>
        <v>46054</v>
      </c>
      <c r="E17264" s="322">
        <f t="shared" si="2735"/>
        <v>46054</v>
      </c>
      <c r="F17264" s="478"/>
      <c r="G17264" s="243" t="s">
        <v>94</v>
      </c>
      <c r="H17264" s="243"/>
      <c r="I17264" s="263" t="s">
        <v>348</v>
      </c>
      <c r="J17264" s="244" t="s">
        <v>48</v>
      </c>
      <c r="K17264" s="245"/>
      <c r="L17264" s="245">
        <f>K17263</f>
        <v>2073.2101952295361</v>
      </c>
    </row>
    <row r="17265" spans="1:17" ht="11.25" customHeight="1" x14ac:dyDescent="0.2">
      <c r="A17265" s="168">
        <v>2026</v>
      </c>
      <c r="B17265" s="168">
        <v>2</v>
      </c>
      <c r="C17265" s="133">
        <v>2</v>
      </c>
      <c r="D17265" s="141">
        <f>DATE(A17265,B17265,C17265)</f>
        <v>46055</v>
      </c>
      <c r="E17265" s="275">
        <f>DATE(A17265,B17265,C17265)</f>
        <v>46055</v>
      </c>
      <c r="F17265" s="479" t="s">
        <v>964</v>
      </c>
      <c r="G17265" s="220" t="s">
        <v>74</v>
      </c>
      <c r="H17265" s="142"/>
      <c r="I17265" s="142"/>
      <c r="J17265" s="168" t="s">
        <v>52</v>
      </c>
      <c r="K17265" s="226">
        <v>3500000</v>
      </c>
      <c r="L17265" s="226"/>
    </row>
    <row r="17266" spans="1:17" ht="11.25" customHeight="1" x14ac:dyDescent="0.2">
      <c r="A17266" s="133">
        <v>2026</v>
      </c>
      <c r="B17266" s="133">
        <v>2</v>
      </c>
      <c r="C17266" s="133">
        <v>2</v>
      </c>
      <c r="D17266" s="147">
        <f>DATE(A17266,B17266,C17266)</f>
        <v>46055</v>
      </c>
      <c r="E17266" s="311">
        <f>DATE(A17266,B17266,C17266)</f>
        <v>46055</v>
      </c>
      <c r="F17266" s="481"/>
      <c r="G17266" s="174" t="s">
        <v>74</v>
      </c>
      <c r="J17266" s="133" t="s">
        <v>13</v>
      </c>
      <c r="K17266" s="218"/>
      <c r="L17266" s="218">
        <v>2399400</v>
      </c>
    </row>
    <row r="17267" spans="1:17" ht="11.25" customHeight="1" x14ac:dyDescent="0.2">
      <c r="A17267" s="163">
        <v>2026</v>
      </c>
      <c r="B17267" s="163">
        <v>2</v>
      </c>
      <c r="C17267" s="163">
        <v>2</v>
      </c>
      <c r="D17267" s="144">
        <f>DATE(A17267,B17267,C17267)</f>
        <v>46055</v>
      </c>
      <c r="E17267" s="313">
        <f>DATE(A17267,B17267,C17267)</f>
        <v>46055</v>
      </c>
      <c r="F17267" s="480"/>
      <c r="G17267" s="221" t="s">
        <v>74</v>
      </c>
      <c r="H17267" s="145"/>
      <c r="I17267" s="145"/>
      <c r="J17267" s="163" t="s">
        <v>53</v>
      </c>
      <c r="K17267" s="219"/>
      <c r="L17267" s="219">
        <v>1100600</v>
      </c>
    </row>
    <row r="17268" spans="1:17" ht="11.25" customHeight="1" x14ac:dyDescent="0.2">
      <c r="A17268" s="168">
        <v>2026</v>
      </c>
      <c r="B17268" s="168">
        <v>2</v>
      </c>
      <c r="C17268" s="168">
        <v>2</v>
      </c>
      <c r="D17268" s="141">
        <f t="shared" ref="D17268:D17269" si="2736">DATE(A17268,B17268,C17268)</f>
        <v>46055</v>
      </c>
      <c r="E17268" s="275">
        <f t="shared" ref="E17268:E17269" si="2737">DATE(A17268,B17268,C17268)</f>
        <v>46055</v>
      </c>
      <c r="F17268" s="479" t="s">
        <v>2163</v>
      </c>
      <c r="G17268" s="174" t="s">
        <v>74</v>
      </c>
      <c r="H17268" s="174"/>
      <c r="I17268" s="148" t="s">
        <v>348</v>
      </c>
      <c r="J17268" s="149" t="s">
        <v>147</v>
      </c>
      <c r="K17268" s="218">
        <v>318385.28000000003</v>
      </c>
      <c r="L17268" s="218"/>
      <c r="M17268" s="147"/>
      <c r="Q17268" s="133" t="s">
        <v>348</v>
      </c>
    </row>
    <row r="17269" spans="1:17" x14ac:dyDescent="0.2">
      <c r="A17269" s="163">
        <v>2026</v>
      </c>
      <c r="B17269" s="163">
        <v>2</v>
      </c>
      <c r="C17269" s="163">
        <v>2</v>
      </c>
      <c r="D17269" s="144">
        <f t="shared" si="2736"/>
        <v>46055</v>
      </c>
      <c r="E17269" s="313">
        <f t="shared" si="2737"/>
        <v>46055</v>
      </c>
      <c r="F17269" s="481"/>
      <c r="G17269" s="221" t="s">
        <v>74</v>
      </c>
      <c r="H17269" s="221"/>
      <c r="I17269" s="145" t="s">
        <v>348</v>
      </c>
      <c r="J17269" s="146" t="s">
        <v>52</v>
      </c>
      <c r="K17269" s="219"/>
      <c r="L17269" s="219">
        <f>K17268</f>
        <v>318385.28000000003</v>
      </c>
      <c r="M17269" s="147"/>
      <c r="Q17269" s="133" t="s">
        <v>348</v>
      </c>
    </row>
    <row r="17270" spans="1:17" x14ac:dyDescent="0.2">
      <c r="A17270" s="168">
        <v>2026</v>
      </c>
      <c r="B17270" s="168">
        <v>2</v>
      </c>
      <c r="C17270" s="168">
        <v>2</v>
      </c>
      <c r="D17270" s="141">
        <f>DATE(A17270,B17270,C17270)</f>
        <v>46055</v>
      </c>
      <c r="E17270" s="275">
        <f>DATE(A17270,B17270,C17270)</f>
        <v>46055</v>
      </c>
      <c r="F17270" s="479" t="s">
        <v>1943</v>
      </c>
      <c r="G17270" s="174" t="s">
        <v>74</v>
      </c>
      <c r="I17270" s="148" t="s">
        <v>348</v>
      </c>
      <c r="J17270" s="133" t="s">
        <v>61</v>
      </c>
      <c r="K17270" s="172">
        <v>58</v>
      </c>
    </row>
    <row r="17271" spans="1:17" x14ac:dyDescent="0.2">
      <c r="A17271" s="163">
        <v>2026</v>
      </c>
      <c r="B17271" s="163">
        <v>2</v>
      </c>
      <c r="C17271" s="163">
        <v>2</v>
      </c>
      <c r="D17271" s="144">
        <f>DATE(A17271,B17271,C17271)</f>
        <v>46055</v>
      </c>
      <c r="E17271" s="313">
        <f>DATE(A17271,B17271,C17271)</f>
        <v>46055</v>
      </c>
      <c r="F17271" s="480"/>
      <c r="G17271" s="221" t="s">
        <v>74</v>
      </c>
      <c r="H17271" s="145"/>
      <c r="I17271" s="145" t="s">
        <v>348</v>
      </c>
      <c r="J17271" s="163" t="s">
        <v>52</v>
      </c>
      <c r="K17271" s="219"/>
      <c r="L17271" s="219">
        <f>K17270</f>
        <v>58</v>
      </c>
    </row>
    <row r="17272" spans="1:17" ht="11.25" customHeight="1" x14ac:dyDescent="0.2">
      <c r="A17272" s="168">
        <v>2026</v>
      </c>
      <c r="B17272" s="168">
        <v>2</v>
      </c>
      <c r="C17272" s="133">
        <v>2</v>
      </c>
      <c r="D17272" s="141">
        <f>DATE(A17272,B17272,C17272)</f>
        <v>46055</v>
      </c>
      <c r="E17272" s="275">
        <f>DATE(A17272,B17272,C17272)</f>
        <v>46055</v>
      </c>
      <c r="F17272" s="479" t="s">
        <v>964</v>
      </c>
      <c r="G17272" s="220" t="s">
        <v>74</v>
      </c>
      <c r="H17272" s="142"/>
      <c r="I17272" s="142"/>
      <c r="J17272" s="168" t="s">
        <v>52</v>
      </c>
      <c r="K17272" s="226">
        <v>200000</v>
      </c>
      <c r="L17272" s="226"/>
    </row>
    <row r="17273" spans="1:17" ht="11.25" customHeight="1" x14ac:dyDescent="0.2">
      <c r="A17273" s="133">
        <v>2026</v>
      </c>
      <c r="B17273" s="133">
        <v>2</v>
      </c>
      <c r="C17273" s="133">
        <v>2</v>
      </c>
      <c r="D17273" s="147">
        <f>DATE(A17273,B17273,C17273)</f>
        <v>46055</v>
      </c>
      <c r="E17273" s="311">
        <f>DATE(A17273,B17273,C17273)</f>
        <v>46055</v>
      </c>
      <c r="F17273" s="481"/>
      <c r="G17273" s="174" t="s">
        <v>74</v>
      </c>
      <c r="J17273" s="133" t="s">
        <v>13</v>
      </c>
      <c r="K17273" s="218"/>
      <c r="L17273" s="218">
        <v>138520</v>
      </c>
    </row>
    <row r="17274" spans="1:17" ht="11.25" customHeight="1" x14ac:dyDescent="0.2">
      <c r="A17274" s="163">
        <v>2026</v>
      </c>
      <c r="B17274" s="163">
        <v>2</v>
      </c>
      <c r="C17274" s="163">
        <v>2</v>
      </c>
      <c r="D17274" s="144">
        <f>DATE(A17274,B17274,C17274)</f>
        <v>46055</v>
      </c>
      <c r="E17274" s="313">
        <f>DATE(A17274,B17274,C17274)</f>
        <v>46055</v>
      </c>
      <c r="F17274" s="480"/>
      <c r="G17274" s="221" t="s">
        <v>74</v>
      </c>
      <c r="H17274" s="145"/>
      <c r="I17274" s="145"/>
      <c r="J17274" s="163" t="s">
        <v>53</v>
      </c>
      <c r="K17274" s="219"/>
      <c r="L17274" s="219">
        <v>61480</v>
      </c>
    </row>
    <row r="17275" spans="1:17" x14ac:dyDescent="0.2">
      <c r="A17275" s="168">
        <v>2026</v>
      </c>
      <c r="B17275" s="168">
        <v>2</v>
      </c>
      <c r="C17275" s="168">
        <v>2</v>
      </c>
      <c r="D17275" s="141">
        <f t="shared" ref="D17275:D17299" si="2738">DATE(A17275,B17275,C17275)</f>
        <v>46055</v>
      </c>
      <c r="E17275" s="275">
        <f t="shared" ref="E17275:E17299" si="2739">DATE(A17275,B17275,C17275)</f>
        <v>46055</v>
      </c>
      <c r="F17275" s="479" t="s">
        <v>2115</v>
      </c>
      <c r="G17275" s="220" t="s">
        <v>94</v>
      </c>
      <c r="H17275" s="220"/>
      <c r="J17275" s="149" t="s">
        <v>79</v>
      </c>
      <c r="K17275" s="218">
        <v>4594672.4000000004</v>
      </c>
      <c r="L17275" s="218"/>
    </row>
    <row r="17276" spans="1:17" x14ac:dyDescent="0.2">
      <c r="A17276" s="133">
        <v>2026</v>
      </c>
      <c r="B17276" s="133">
        <v>2</v>
      </c>
      <c r="C17276" s="133">
        <v>2</v>
      </c>
      <c r="D17276" s="147">
        <f t="shared" si="2738"/>
        <v>46055</v>
      </c>
      <c r="E17276" s="311">
        <f t="shared" si="2739"/>
        <v>46055</v>
      </c>
      <c r="F17276" s="481"/>
      <c r="G17276" s="174" t="s">
        <v>94</v>
      </c>
      <c r="H17276" s="174"/>
      <c r="J17276" s="149" t="s">
        <v>80</v>
      </c>
      <c r="K17276" s="218">
        <f>15066.13+211.5</f>
        <v>15277.63</v>
      </c>
      <c r="L17276" s="264"/>
      <c r="N17276" s="264"/>
    </row>
    <row r="17277" spans="1:17" x14ac:dyDescent="0.2">
      <c r="A17277" s="133">
        <v>2026</v>
      </c>
      <c r="B17277" s="133">
        <v>2</v>
      </c>
      <c r="C17277" s="133">
        <v>2</v>
      </c>
      <c r="D17277" s="147">
        <f t="shared" si="2738"/>
        <v>46055</v>
      </c>
      <c r="E17277" s="311">
        <f t="shared" si="2739"/>
        <v>46055</v>
      </c>
      <c r="F17277" s="481"/>
      <c r="G17277" s="174" t="s">
        <v>94</v>
      </c>
      <c r="H17277" s="174"/>
      <c r="J17277" s="149" t="s">
        <v>147</v>
      </c>
      <c r="K17277" s="218"/>
      <c r="L17277" s="218">
        <v>717050.03</v>
      </c>
    </row>
    <row r="17278" spans="1:17" x14ac:dyDescent="0.2">
      <c r="A17278" s="133">
        <v>2026</v>
      </c>
      <c r="B17278" s="133">
        <v>2</v>
      </c>
      <c r="C17278" s="133">
        <v>2</v>
      </c>
      <c r="D17278" s="147">
        <f t="shared" si="2738"/>
        <v>46055</v>
      </c>
      <c r="E17278" s="311">
        <f t="shared" si="2739"/>
        <v>46055</v>
      </c>
      <c r="F17278" s="481"/>
      <c r="G17278" s="174" t="s">
        <v>94</v>
      </c>
      <c r="H17278" s="174"/>
      <c r="J17278" s="149" t="s">
        <v>191</v>
      </c>
      <c r="K17278" s="218"/>
      <c r="L17278" s="218">
        <v>733776.56</v>
      </c>
    </row>
    <row r="17279" spans="1:17" x14ac:dyDescent="0.2">
      <c r="A17279" s="163">
        <v>2026</v>
      </c>
      <c r="B17279" s="163">
        <v>2</v>
      </c>
      <c r="C17279" s="163">
        <v>2</v>
      </c>
      <c r="D17279" s="144">
        <f t="shared" si="2738"/>
        <v>46055</v>
      </c>
      <c r="E17279" s="313">
        <f t="shared" si="2739"/>
        <v>46055</v>
      </c>
      <c r="F17279" s="480"/>
      <c r="G17279" s="221" t="s">
        <v>94</v>
      </c>
      <c r="H17279" s="145"/>
      <c r="I17279" s="145"/>
      <c r="J17279" s="163" t="s">
        <v>79</v>
      </c>
      <c r="K17279" s="219"/>
      <c r="L17279" s="219">
        <v>3159123.44</v>
      </c>
    </row>
    <row r="17280" spans="1:17" x14ac:dyDescent="0.2">
      <c r="A17280" s="133">
        <v>2026</v>
      </c>
      <c r="B17280" s="133">
        <v>2</v>
      </c>
      <c r="C17280" s="133">
        <v>2</v>
      </c>
      <c r="D17280" s="147">
        <f t="shared" si="2738"/>
        <v>46055</v>
      </c>
      <c r="E17280" s="311">
        <f t="shared" si="2739"/>
        <v>46055</v>
      </c>
      <c r="F17280" s="481" t="s">
        <v>2165</v>
      </c>
      <c r="G17280" s="174" t="s">
        <v>94</v>
      </c>
      <c r="H17280" s="174"/>
      <c r="J17280" s="149" t="s">
        <v>190</v>
      </c>
      <c r="K17280" s="218">
        <v>773105.9</v>
      </c>
      <c r="L17280" s="264"/>
      <c r="N17280" s="264"/>
    </row>
    <row r="17281" spans="1:13" x14ac:dyDescent="0.2">
      <c r="A17281" s="133">
        <v>2026</v>
      </c>
      <c r="B17281" s="133">
        <v>2</v>
      </c>
      <c r="C17281" s="133">
        <v>2</v>
      </c>
      <c r="D17281" s="147">
        <f t="shared" si="2738"/>
        <v>46055</v>
      </c>
      <c r="E17281" s="311">
        <f t="shared" si="2739"/>
        <v>46055</v>
      </c>
      <c r="F17281" s="481"/>
      <c r="G17281" s="174" t="s">
        <v>94</v>
      </c>
      <c r="H17281" s="174"/>
      <c r="J17281" s="149" t="s">
        <v>80</v>
      </c>
      <c r="K17281" s="218">
        <v>1394.1</v>
      </c>
      <c r="L17281" s="218"/>
    </row>
    <row r="17282" spans="1:13" x14ac:dyDescent="0.2">
      <c r="A17282" s="133">
        <v>2026</v>
      </c>
      <c r="B17282" s="133">
        <v>2</v>
      </c>
      <c r="C17282" s="133">
        <v>2</v>
      </c>
      <c r="D17282" s="147">
        <f t="shared" si="2738"/>
        <v>46055</v>
      </c>
      <c r="E17282" s="311">
        <f t="shared" si="2739"/>
        <v>46055</v>
      </c>
      <c r="F17282" s="481"/>
      <c r="G17282" s="174" t="s">
        <v>94</v>
      </c>
      <c r="H17282" s="174"/>
      <c r="J17282" s="149" t="s">
        <v>191</v>
      </c>
      <c r="K17282" s="218"/>
      <c r="L17282" s="218">
        <v>156301.01</v>
      </c>
    </row>
    <row r="17283" spans="1:13" x14ac:dyDescent="0.2">
      <c r="A17283" s="163">
        <v>2026</v>
      </c>
      <c r="B17283" s="163">
        <v>2</v>
      </c>
      <c r="C17283" s="163">
        <v>2</v>
      </c>
      <c r="D17283" s="144">
        <f t="shared" si="2738"/>
        <v>46055</v>
      </c>
      <c r="E17283" s="313">
        <f t="shared" si="2739"/>
        <v>46055</v>
      </c>
      <c r="F17283" s="480"/>
      <c r="G17283" s="221" t="s">
        <v>94</v>
      </c>
      <c r="H17283" s="145"/>
      <c r="I17283" s="145"/>
      <c r="J17283" s="163" t="s">
        <v>79</v>
      </c>
      <c r="K17283" s="219"/>
      <c r="L17283" s="219">
        <v>618198.99</v>
      </c>
      <c r="M17283" s="264"/>
    </row>
    <row r="17284" spans="1:13" x14ac:dyDescent="0.2">
      <c r="A17284" s="325">
        <v>2026</v>
      </c>
      <c r="B17284" s="325">
        <v>2</v>
      </c>
      <c r="C17284" s="325">
        <v>2</v>
      </c>
      <c r="D17284" s="326">
        <f t="shared" si="2738"/>
        <v>46055</v>
      </c>
      <c r="E17284" s="327">
        <f t="shared" si="2739"/>
        <v>46055</v>
      </c>
      <c r="F17284" s="473" t="s">
        <v>1940</v>
      </c>
      <c r="G17284" s="340" t="s">
        <v>94</v>
      </c>
      <c r="H17284" s="340"/>
      <c r="I17284" s="341" t="s">
        <v>348</v>
      </c>
      <c r="J17284" s="374" t="s">
        <v>133</v>
      </c>
      <c r="K17284" s="375">
        <v>2104.17</v>
      </c>
      <c r="L17284" s="375"/>
      <c r="M17284" s="176"/>
    </row>
    <row r="17285" spans="1:13" x14ac:dyDescent="0.2">
      <c r="A17285" s="331">
        <v>2026</v>
      </c>
      <c r="B17285" s="331">
        <v>2</v>
      </c>
      <c r="C17285" s="331">
        <v>2</v>
      </c>
      <c r="D17285" s="326">
        <f t="shared" si="2738"/>
        <v>46055</v>
      </c>
      <c r="E17285" s="327">
        <f t="shared" si="2739"/>
        <v>46055</v>
      </c>
      <c r="F17285" s="474"/>
      <c r="G17285" s="332" t="s">
        <v>94</v>
      </c>
      <c r="H17285" s="332"/>
      <c r="I17285" s="333" t="s">
        <v>348</v>
      </c>
      <c r="J17285" s="376" t="s">
        <v>2153</v>
      </c>
      <c r="K17285" s="334"/>
      <c r="L17285" s="334">
        <f>K17284</f>
        <v>2104.17</v>
      </c>
    </row>
    <row r="17286" spans="1:13" x14ac:dyDescent="0.2">
      <c r="A17286" s="325">
        <v>2026</v>
      </c>
      <c r="B17286" s="325">
        <v>2</v>
      </c>
      <c r="C17286" s="325">
        <v>2</v>
      </c>
      <c r="D17286" s="326">
        <f t="shared" si="2738"/>
        <v>46055</v>
      </c>
      <c r="E17286" s="327">
        <f t="shared" si="2739"/>
        <v>46055</v>
      </c>
      <c r="F17286" s="473" t="s">
        <v>2131</v>
      </c>
      <c r="G17286" s="340" t="s">
        <v>94</v>
      </c>
      <c r="H17286" s="340"/>
      <c r="I17286" s="341" t="s">
        <v>348</v>
      </c>
      <c r="J17286" s="374" t="s">
        <v>2156</v>
      </c>
      <c r="K17286" s="375">
        <v>6185.4395604395604</v>
      </c>
      <c r="L17286" s="375"/>
      <c r="M17286" s="176"/>
    </row>
    <row r="17287" spans="1:13" x14ac:dyDescent="0.2">
      <c r="A17287" s="331">
        <v>2026</v>
      </c>
      <c r="B17287" s="331">
        <v>2</v>
      </c>
      <c r="C17287" s="331">
        <v>2</v>
      </c>
      <c r="D17287" s="326">
        <f t="shared" si="2738"/>
        <v>46055</v>
      </c>
      <c r="E17287" s="327">
        <f t="shared" si="2739"/>
        <v>46055</v>
      </c>
      <c r="F17287" s="474"/>
      <c r="G17287" s="332" t="s">
        <v>94</v>
      </c>
      <c r="H17287" s="332"/>
      <c r="I17287" s="333" t="s">
        <v>348</v>
      </c>
      <c r="J17287" s="376" t="s">
        <v>2154</v>
      </c>
      <c r="K17287" s="334"/>
      <c r="L17287" s="334">
        <f>K17286</f>
        <v>6185.4395604395604</v>
      </c>
    </row>
    <row r="17288" spans="1:13" x14ac:dyDescent="0.2">
      <c r="A17288" s="384">
        <v>2026</v>
      </c>
      <c r="B17288" s="384">
        <v>2</v>
      </c>
      <c r="C17288" s="384">
        <v>2</v>
      </c>
      <c r="D17288" s="385">
        <f t="shared" si="2738"/>
        <v>46055</v>
      </c>
      <c r="E17288" s="386">
        <f t="shared" si="2739"/>
        <v>46055</v>
      </c>
      <c r="F17288" s="475" t="s">
        <v>1966</v>
      </c>
      <c r="G17288" s="387" t="s">
        <v>94</v>
      </c>
      <c r="H17288" s="387"/>
      <c r="I17288" s="388" t="s">
        <v>348</v>
      </c>
      <c r="J17288" s="389" t="s">
        <v>67</v>
      </c>
      <c r="K17288" s="390">
        <v>2514.6014611111113</v>
      </c>
      <c r="L17288" s="390"/>
    </row>
    <row r="17289" spans="1:13" x14ac:dyDescent="0.2">
      <c r="A17289" s="391">
        <v>2026</v>
      </c>
      <c r="B17289" s="391">
        <v>2</v>
      </c>
      <c r="C17289" s="391">
        <v>2</v>
      </c>
      <c r="D17289" s="385">
        <f t="shared" si="2738"/>
        <v>46055</v>
      </c>
      <c r="E17289" s="386">
        <f t="shared" si="2739"/>
        <v>46055</v>
      </c>
      <c r="F17289" s="476"/>
      <c r="G17289" s="392" t="s">
        <v>94</v>
      </c>
      <c r="H17289" s="392"/>
      <c r="I17289" s="393" t="s">
        <v>348</v>
      </c>
      <c r="J17289" s="394" t="s">
        <v>2155</v>
      </c>
      <c r="K17289" s="395"/>
      <c r="L17289" s="395">
        <f>K17288</f>
        <v>2514.6014611111113</v>
      </c>
    </row>
    <row r="17290" spans="1:13" x14ac:dyDescent="0.2">
      <c r="A17290" s="238">
        <v>2026</v>
      </c>
      <c r="B17290" s="238">
        <v>2</v>
      </c>
      <c r="C17290" s="238">
        <v>2</v>
      </c>
      <c r="D17290" s="270">
        <f t="shared" si="2738"/>
        <v>46055</v>
      </c>
      <c r="E17290" s="279">
        <f t="shared" si="2739"/>
        <v>46055</v>
      </c>
      <c r="F17290" s="477" t="s">
        <v>347</v>
      </c>
      <c r="G17290" s="239" t="s">
        <v>94</v>
      </c>
      <c r="H17290" s="239"/>
      <c r="I17290" s="262" t="s">
        <v>348</v>
      </c>
      <c r="J17290" s="240" t="s">
        <v>108</v>
      </c>
      <c r="K17290" s="241">
        <v>6838551.8199999928</v>
      </c>
      <c r="L17290" s="241"/>
      <c r="M17290" s="160"/>
    </row>
    <row r="17291" spans="1:13" x14ac:dyDescent="0.2">
      <c r="A17291" s="242">
        <v>2026</v>
      </c>
      <c r="B17291" s="242">
        <v>2</v>
      </c>
      <c r="C17291" s="242">
        <v>2</v>
      </c>
      <c r="D17291" s="270">
        <f t="shared" si="2738"/>
        <v>46055</v>
      </c>
      <c r="E17291" s="279">
        <f t="shared" si="2739"/>
        <v>46055</v>
      </c>
      <c r="F17291" s="478"/>
      <c r="G17291" s="243" t="s">
        <v>94</v>
      </c>
      <c r="H17291" s="243"/>
      <c r="I17291" s="263" t="s">
        <v>348</v>
      </c>
      <c r="J17291" s="244" t="s">
        <v>82</v>
      </c>
      <c r="K17291" s="245"/>
      <c r="L17291" s="245">
        <f>K17290</f>
        <v>6838551.8199999928</v>
      </c>
    </row>
    <row r="17292" spans="1:13" ht="12" customHeight="1" x14ac:dyDescent="0.2">
      <c r="A17292" s="246">
        <v>2026</v>
      </c>
      <c r="B17292" s="238">
        <v>2</v>
      </c>
      <c r="C17292" s="238">
        <v>2</v>
      </c>
      <c r="D17292" s="270">
        <f t="shared" si="2738"/>
        <v>46055</v>
      </c>
      <c r="E17292" s="279">
        <f t="shared" si="2739"/>
        <v>46055</v>
      </c>
      <c r="F17292" s="482" t="s">
        <v>148</v>
      </c>
      <c r="G17292" s="247" t="s">
        <v>94</v>
      </c>
      <c r="H17292" s="247"/>
      <c r="I17292" s="248" t="s">
        <v>348</v>
      </c>
      <c r="J17292" s="249" t="s">
        <v>95</v>
      </c>
      <c r="K17292" s="250">
        <v>392.46467817896388</v>
      </c>
      <c r="L17292" s="241"/>
      <c r="M17292" s="176"/>
    </row>
    <row r="17293" spans="1:13" x14ac:dyDescent="0.2">
      <c r="A17293" s="242">
        <v>2026</v>
      </c>
      <c r="B17293" s="242">
        <v>2</v>
      </c>
      <c r="C17293" s="242">
        <v>2</v>
      </c>
      <c r="D17293" s="270">
        <f t="shared" si="2738"/>
        <v>46055</v>
      </c>
      <c r="E17293" s="279">
        <f t="shared" si="2739"/>
        <v>46055</v>
      </c>
      <c r="F17293" s="478"/>
      <c r="G17293" s="243" t="s">
        <v>94</v>
      </c>
      <c r="H17293" s="243"/>
      <c r="I17293" s="263" t="s">
        <v>348</v>
      </c>
      <c r="J17293" s="244" t="s">
        <v>63</v>
      </c>
      <c r="K17293" s="245"/>
      <c r="L17293" s="245">
        <f>K17292</f>
        <v>392.46467817896388</v>
      </c>
    </row>
    <row r="17294" spans="1:13" x14ac:dyDescent="0.2">
      <c r="A17294" s="246">
        <v>2026</v>
      </c>
      <c r="B17294" s="238">
        <v>2</v>
      </c>
      <c r="C17294" s="238">
        <v>2</v>
      </c>
      <c r="D17294" s="270">
        <f t="shared" si="2738"/>
        <v>46055</v>
      </c>
      <c r="E17294" s="279">
        <f t="shared" si="2739"/>
        <v>46055</v>
      </c>
      <c r="F17294" s="482" t="s">
        <v>137</v>
      </c>
      <c r="G17294" s="247" t="s">
        <v>94</v>
      </c>
      <c r="H17294" s="247"/>
      <c r="I17294" s="248" t="s">
        <v>348</v>
      </c>
      <c r="J17294" s="249" t="s">
        <v>97</v>
      </c>
      <c r="K17294" s="250">
        <v>14381.081743049859</v>
      </c>
      <c r="L17294" s="252"/>
      <c r="M17294" s="170">
        <v>14381.081743049859</v>
      </c>
    </row>
    <row r="17295" spans="1:13" x14ac:dyDescent="0.2">
      <c r="A17295" s="242">
        <v>2026</v>
      </c>
      <c r="B17295" s="242">
        <v>2</v>
      </c>
      <c r="C17295" s="242">
        <v>2</v>
      </c>
      <c r="D17295" s="270">
        <f t="shared" si="2738"/>
        <v>46055</v>
      </c>
      <c r="E17295" s="279">
        <f t="shared" si="2739"/>
        <v>46055</v>
      </c>
      <c r="F17295" s="478"/>
      <c r="G17295" s="243" t="s">
        <v>94</v>
      </c>
      <c r="H17295" s="243"/>
      <c r="I17295" s="263" t="s">
        <v>348</v>
      </c>
      <c r="J17295" s="244" t="s">
        <v>47</v>
      </c>
      <c r="K17295" s="245"/>
      <c r="L17295" s="245">
        <f>K17294</f>
        <v>14381.081743049859</v>
      </c>
      <c r="M17295" s="170">
        <v>684.71342781183364</v>
      </c>
    </row>
    <row r="17296" spans="1:13" x14ac:dyDescent="0.2">
      <c r="A17296" s="246">
        <v>2026</v>
      </c>
      <c r="B17296" s="238">
        <v>2</v>
      </c>
      <c r="C17296" s="238">
        <v>2</v>
      </c>
      <c r="D17296" s="270">
        <f t="shared" si="2738"/>
        <v>46055</v>
      </c>
      <c r="E17296" s="279">
        <f t="shared" si="2739"/>
        <v>46055</v>
      </c>
      <c r="F17296" s="482" t="s">
        <v>138</v>
      </c>
      <c r="G17296" s="247" t="s">
        <v>94</v>
      </c>
      <c r="H17296" s="247"/>
      <c r="I17296" s="248" t="s">
        <v>348</v>
      </c>
      <c r="J17296" s="249" t="s">
        <v>100</v>
      </c>
      <c r="K17296" s="250">
        <v>684.71342781183364</v>
      </c>
      <c r="L17296" s="252"/>
    </row>
    <row r="17297" spans="1:14" x14ac:dyDescent="0.2">
      <c r="A17297" s="242">
        <v>2026</v>
      </c>
      <c r="B17297" s="242">
        <v>2</v>
      </c>
      <c r="C17297" s="246">
        <v>2</v>
      </c>
      <c r="D17297" s="270">
        <f t="shared" si="2738"/>
        <v>46055</v>
      </c>
      <c r="E17297" s="279">
        <f t="shared" si="2739"/>
        <v>46055</v>
      </c>
      <c r="F17297" s="482"/>
      <c r="G17297" s="243" t="s">
        <v>94</v>
      </c>
      <c r="H17297" s="243"/>
      <c r="I17297" s="263" t="s">
        <v>348</v>
      </c>
      <c r="J17297" s="244" t="s">
        <v>48</v>
      </c>
      <c r="K17297" s="245"/>
      <c r="L17297" s="245">
        <f>K17296</f>
        <v>684.71342781183364</v>
      </c>
    </row>
    <row r="17298" spans="1:14" ht="11.25" customHeight="1" x14ac:dyDescent="0.2">
      <c r="A17298" s="168">
        <v>2026</v>
      </c>
      <c r="B17298" s="133">
        <v>2</v>
      </c>
      <c r="C17298" s="168">
        <v>3</v>
      </c>
      <c r="D17298" s="141">
        <f t="shared" si="2738"/>
        <v>46056</v>
      </c>
      <c r="E17298" s="275">
        <f t="shared" si="2739"/>
        <v>46056</v>
      </c>
      <c r="F17298" s="479" t="s">
        <v>2121</v>
      </c>
      <c r="G17298" s="220" t="s">
        <v>74</v>
      </c>
      <c r="H17298" s="220"/>
      <c r="I17298" s="142"/>
      <c r="J17298" s="143" t="s">
        <v>52</v>
      </c>
      <c r="K17298" s="226">
        <v>583607.28</v>
      </c>
      <c r="L17298" s="226"/>
    </row>
    <row r="17299" spans="1:14" x14ac:dyDescent="0.2">
      <c r="A17299" s="163">
        <v>2026</v>
      </c>
      <c r="B17299" s="163">
        <v>2</v>
      </c>
      <c r="C17299" s="163">
        <v>3</v>
      </c>
      <c r="D17299" s="144">
        <f t="shared" si="2738"/>
        <v>46056</v>
      </c>
      <c r="E17299" s="313">
        <f t="shared" si="2739"/>
        <v>46056</v>
      </c>
      <c r="F17299" s="480"/>
      <c r="G17299" s="221" t="s">
        <v>74</v>
      </c>
      <c r="H17299" s="221"/>
      <c r="I17299" s="145"/>
      <c r="J17299" s="146" t="s">
        <v>190</v>
      </c>
      <c r="K17299" s="219"/>
      <c r="L17299" s="219">
        <f>K17298</f>
        <v>583607.28</v>
      </c>
      <c r="N17299" s="264"/>
    </row>
    <row r="17300" spans="1:14" x14ac:dyDescent="0.2">
      <c r="A17300" s="168">
        <v>2026</v>
      </c>
      <c r="B17300" s="168">
        <v>2</v>
      </c>
      <c r="C17300" s="168">
        <v>3</v>
      </c>
      <c r="D17300" s="141">
        <f t="shared" ref="D17300:D17302" si="2740">DATE(A17300,B17300,C17300)</f>
        <v>46056</v>
      </c>
      <c r="E17300" s="275">
        <f t="shared" ref="E17300:E17302" si="2741">DATE(A17300,B17300,C17300)</f>
        <v>46056</v>
      </c>
      <c r="F17300" s="479" t="s">
        <v>1529</v>
      </c>
      <c r="G17300" s="220" t="s">
        <v>94</v>
      </c>
      <c r="H17300" s="220"/>
      <c r="I17300" s="142"/>
      <c r="J17300" s="143" t="s">
        <v>79</v>
      </c>
      <c r="K17300" s="226">
        <v>456500</v>
      </c>
      <c r="L17300" s="455"/>
      <c r="N17300" s="264"/>
    </row>
    <row r="17301" spans="1:14" x14ac:dyDescent="0.2">
      <c r="A17301" s="133">
        <v>2026</v>
      </c>
      <c r="B17301" s="133">
        <v>2</v>
      </c>
      <c r="C17301" s="133">
        <v>3</v>
      </c>
      <c r="D17301" s="147">
        <f t="shared" si="2740"/>
        <v>46056</v>
      </c>
      <c r="E17301" s="311">
        <f t="shared" si="2741"/>
        <v>46056</v>
      </c>
      <c r="F17301" s="481"/>
      <c r="G17301" s="174" t="s">
        <v>94</v>
      </c>
      <c r="H17301" s="174"/>
      <c r="J17301" s="149" t="s">
        <v>80</v>
      </c>
      <c r="K17301" s="218">
        <v>821.7</v>
      </c>
      <c r="L17301" s="218"/>
    </row>
    <row r="17302" spans="1:14" x14ac:dyDescent="0.2">
      <c r="A17302" s="163">
        <v>2026</v>
      </c>
      <c r="B17302" s="163">
        <v>2</v>
      </c>
      <c r="C17302" s="163">
        <v>3</v>
      </c>
      <c r="D17302" s="144">
        <f t="shared" si="2740"/>
        <v>46056</v>
      </c>
      <c r="E17302" s="313">
        <f t="shared" si="2741"/>
        <v>46056</v>
      </c>
      <c r="F17302" s="480"/>
      <c r="G17302" s="221" t="s">
        <v>94</v>
      </c>
      <c r="H17302" s="221"/>
      <c r="I17302" s="145"/>
      <c r="J17302" s="146" t="s">
        <v>147</v>
      </c>
      <c r="K17302" s="219"/>
      <c r="L17302" s="219">
        <v>457321.7</v>
      </c>
    </row>
    <row r="17303" spans="1:14" x14ac:dyDescent="0.2">
      <c r="A17303" s="133">
        <v>2026</v>
      </c>
      <c r="B17303" s="133">
        <v>2</v>
      </c>
      <c r="C17303" s="133">
        <v>3</v>
      </c>
      <c r="D17303" s="147">
        <f t="shared" ref="D17303:D17325" si="2742">DATE(A17303,B17303,C17303)</f>
        <v>46056</v>
      </c>
      <c r="E17303" s="311">
        <f t="shared" ref="E17303:E17325" si="2743">DATE(A17303,B17303,C17303)</f>
        <v>46056</v>
      </c>
      <c r="F17303" s="481" t="s">
        <v>2115</v>
      </c>
      <c r="G17303" s="174" t="s">
        <v>94</v>
      </c>
      <c r="H17303" s="174"/>
      <c r="J17303" s="149" t="s">
        <v>79</v>
      </c>
      <c r="K17303" s="218">
        <v>3605524.4</v>
      </c>
      <c r="L17303" s="218"/>
    </row>
    <row r="17304" spans="1:14" x14ac:dyDescent="0.2">
      <c r="A17304" s="133">
        <v>2026</v>
      </c>
      <c r="B17304" s="133">
        <v>2</v>
      </c>
      <c r="C17304" s="133">
        <v>3</v>
      </c>
      <c r="D17304" s="147">
        <f t="shared" si="2742"/>
        <v>46056</v>
      </c>
      <c r="E17304" s="311">
        <f t="shared" si="2743"/>
        <v>46056</v>
      </c>
      <c r="F17304" s="481"/>
      <c r="G17304" s="174" t="s">
        <v>94</v>
      </c>
      <c r="H17304" s="174"/>
      <c r="J17304" s="149" t="s">
        <v>80</v>
      </c>
      <c r="K17304" s="218">
        <v>8600.08</v>
      </c>
      <c r="L17304" s="264"/>
      <c r="M17304" s="264"/>
      <c r="N17304" s="264"/>
    </row>
    <row r="17305" spans="1:14" x14ac:dyDescent="0.2">
      <c r="A17305" s="133">
        <v>2026</v>
      </c>
      <c r="B17305" s="133">
        <v>2</v>
      </c>
      <c r="C17305" s="133">
        <v>3</v>
      </c>
      <c r="D17305" s="147">
        <f t="shared" si="2742"/>
        <v>46056</v>
      </c>
      <c r="E17305" s="311">
        <f t="shared" si="2743"/>
        <v>46056</v>
      </c>
      <c r="F17305" s="481"/>
      <c r="G17305" s="174" t="s">
        <v>94</v>
      </c>
      <c r="H17305" s="174"/>
      <c r="J17305" s="149" t="s">
        <v>147</v>
      </c>
      <c r="K17305" s="218"/>
      <c r="L17305" s="218">
        <v>2441824.48</v>
      </c>
      <c r="M17305" s="264"/>
    </row>
    <row r="17306" spans="1:14" x14ac:dyDescent="0.2">
      <c r="A17306" s="133">
        <v>2026</v>
      </c>
      <c r="B17306" s="133">
        <v>2</v>
      </c>
      <c r="C17306" s="133">
        <v>3</v>
      </c>
      <c r="D17306" s="147">
        <f t="shared" si="2742"/>
        <v>46056</v>
      </c>
      <c r="E17306" s="311">
        <f t="shared" si="2743"/>
        <v>46056</v>
      </c>
      <c r="F17306" s="481"/>
      <c r="G17306" s="174" t="s">
        <v>94</v>
      </c>
      <c r="H17306" s="174"/>
      <c r="J17306" s="149" t="s">
        <v>191</v>
      </c>
      <c r="K17306" s="218"/>
      <c r="L17306" s="218">
        <v>80865.399999999994</v>
      </c>
    </row>
    <row r="17307" spans="1:14" x14ac:dyDescent="0.2">
      <c r="A17307" s="163">
        <v>2026</v>
      </c>
      <c r="B17307" s="163">
        <v>2</v>
      </c>
      <c r="C17307" s="163">
        <v>3</v>
      </c>
      <c r="D17307" s="144">
        <f t="shared" si="2742"/>
        <v>46056</v>
      </c>
      <c r="E17307" s="313">
        <f t="shared" si="2743"/>
        <v>46056</v>
      </c>
      <c r="F17307" s="480"/>
      <c r="G17307" s="221" t="s">
        <v>94</v>
      </c>
      <c r="H17307" s="145"/>
      <c r="I17307" s="145"/>
      <c r="J17307" s="163" t="s">
        <v>79</v>
      </c>
      <c r="K17307" s="219"/>
      <c r="L17307" s="219">
        <v>1091434.6000000001</v>
      </c>
      <c r="M17307" s="264"/>
    </row>
    <row r="17308" spans="1:14" x14ac:dyDescent="0.2">
      <c r="A17308" s="325">
        <v>2026</v>
      </c>
      <c r="B17308" s="325">
        <v>2</v>
      </c>
      <c r="C17308" s="325">
        <v>3</v>
      </c>
      <c r="D17308" s="326">
        <f t="shared" si="2742"/>
        <v>46056</v>
      </c>
      <c r="E17308" s="327">
        <f t="shared" si="2743"/>
        <v>46056</v>
      </c>
      <c r="F17308" s="473" t="s">
        <v>1940</v>
      </c>
      <c r="G17308" s="340" t="s">
        <v>94</v>
      </c>
      <c r="H17308" s="340"/>
      <c r="I17308" s="341" t="s">
        <v>348</v>
      </c>
      <c r="J17308" s="374" t="s">
        <v>133</v>
      </c>
      <c r="K17308" s="375">
        <v>2104.17</v>
      </c>
      <c r="L17308" s="375"/>
      <c r="M17308" s="176"/>
    </row>
    <row r="17309" spans="1:14" x14ac:dyDescent="0.2">
      <c r="A17309" s="331">
        <v>2026</v>
      </c>
      <c r="B17309" s="331">
        <v>2</v>
      </c>
      <c r="C17309" s="331">
        <v>3</v>
      </c>
      <c r="D17309" s="326">
        <f t="shared" si="2742"/>
        <v>46056</v>
      </c>
      <c r="E17309" s="327">
        <f t="shared" si="2743"/>
        <v>46056</v>
      </c>
      <c r="F17309" s="474"/>
      <c r="G17309" s="332" t="s">
        <v>94</v>
      </c>
      <c r="H17309" s="332"/>
      <c r="I17309" s="333" t="s">
        <v>348</v>
      </c>
      <c r="J17309" s="376" t="s">
        <v>2153</v>
      </c>
      <c r="K17309" s="334"/>
      <c r="L17309" s="334">
        <f>K17308</f>
        <v>2104.17</v>
      </c>
    </row>
    <row r="17310" spans="1:14" x14ac:dyDescent="0.2">
      <c r="A17310" s="325">
        <v>2026</v>
      </c>
      <c r="B17310" s="325">
        <v>2</v>
      </c>
      <c r="C17310" s="325">
        <v>3</v>
      </c>
      <c r="D17310" s="326">
        <f t="shared" si="2742"/>
        <v>46056</v>
      </c>
      <c r="E17310" s="327">
        <f t="shared" si="2743"/>
        <v>46056</v>
      </c>
      <c r="F17310" s="473" t="s">
        <v>2131</v>
      </c>
      <c r="G17310" s="340" t="s">
        <v>94</v>
      </c>
      <c r="H17310" s="340"/>
      <c r="I17310" s="341" t="s">
        <v>348</v>
      </c>
      <c r="J17310" s="374" t="s">
        <v>2156</v>
      </c>
      <c r="K17310" s="375">
        <v>6185.4395604395604</v>
      </c>
      <c r="L17310" s="375"/>
      <c r="M17310" s="176"/>
    </row>
    <row r="17311" spans="1:14" x14ac:dyDescent="0.2">
      <c r="A17311" s="331">
        <v>2026</v>
      </c>
      <c r="B17311" s="331">
        <v>2</v>
      </c>
      <c r="C17311" s="331">
        <v>3</v>
      </c>
      <c r="D17311" s="326">
        <f t="shared" si="2742"/>
        <v>46056</v>
      </c>
      <c r="E17311" s="327">
        <f t="shared" si="2743"/>
        <v>46056</v>
      </c>
      <c r="F17311" s="474"/>
      <c r="G17311" s="332" t="s">
        <v>94</v>
      </c>
      <c r="H17311" s="332"/>
      <c r="I17311" s="333" t="s">
        <v>348</v>
      </c>
      <c r="J17311" s="376" t="s">
        <v>2154</v>
      </c>
      <c r="K17311" s="334"/>
      <c r="L17311" s="334">
        <f>K17310</f>
        <v>6185.4395604395604</v>
      </c>
    </row>
    <row r="17312" spans="1:14" x14ac:dyDescent="0.2">
      <c r="A17312" s="384">
        <v>2026</v>
      </c>
      <c r="B17312" s="384">
        <v>2</v>
      </c>
      <c r="C17312" s="384">
        <v>3</v>
      </c>
      <c r="D17312" s="385">
        <f t="shared" si="2742"/>
        <v>46056</v>
      </c>
      <c r="E17312" s="386">
        <f t="shared" si="2743"/>
        <v>46056</v>
      </c>
      <c r="F17312" s="475" t="s">
        <v>1966</v>
      </c>
      <c r="G17312" s="387" t="s">
        <v>94</v>
      </c>
      <c r="H17312" s="387"/>
      <c r="I17312" s="388" t="s">
        <v>348</v>
      </c>
      <c r="J17312" s="389" t="s">
        <v>67</v>
      </c>
      <c r="K17312" s="390">
        <v>2636.1852555555556</v>
      </c>
      <c r="L17312" s="390"/>
    </row>
    <row r="17313" spans="1:17" x14ac:dyDescent="0.2">
      <c r="A17313" s="391">
        <v>2026</v>
      </c>
      <c r="B17313" s="391">
        <v>2</v>
      </c>
      <c r="C17313" s="391">
        <v>3</v>
      </c>
      <c r="D17313" s="385">
        <f t="shared" si="2742"/>
        <v>46056</v>
      </c>
      <c r="E17313" s="386">
        <f t="shared" si="2743"/>
        <v>46056</v>
      </c>
      <c r="F17313" s="476"/>
      <c r="G17313" s="392" t="s">
        <v>94</v>
      </c>
      <c r="H17313" s="392"/>
      <c r="I17313" s="393" t="s">
        <v>348</v>
      </c>
      <c r="J17313" s="394" t="s">
        <v>2155</v>
      </c>
      <c r="K17313" s="395"/>
      <c r="L17313" s="395">
        <f>K17312</f>
        <v>2636.1852555555556</v>
      </c>
    </row>
    <row r="17314" spans="1:17" x14ac:dyDescent="0.2">
      <c r="A17314" s="238">
        <v>2026</v>
      </c>
      <c r="B17314" s="238">
        <v>2</v>
      </c>
      <c r="C17314" s="238">
        <v>3</v>
      </c>
      <c r="D17314" s="270">
        <f t="shared" si="2742"/>
        <v>46056</v>
      </c>
      <c r="E17314" s="279">
        <f t="shared" si="2743"/>
        <v>46056</v>
      </c>
      <c r="F17314" s="477" t="s">
        <v>347</v>
      </c>
      <c r="G17314" s="239" t="s">
        <v>94</v>
      </c>
      <c r="H17314" s="239"/>
      <c r="I17314" s="262" t="s">
        <v>348</v>
      </c>
      <c r="J17314" s="240" t="s">
        <v>82</v>
      </c>
      <c r="K17314" s="241">
        <v>1110163</v>
      </c>
      <c r="L17314" s="241"/>
      <c r="M17314" s="160"/>
    </row>
    <row r="17315" spans="1:17" x14ac:dyDescent="0.2">
      <c r="A17315" s="242">
        <v>2026</v>
      </c>
      <c r="B17315" s="242">
        <v>2</v>
      </c>
      <c r="C17315" s="242">
        <v>3</v>
      </c>
      <c r="D17315" s="270">
        <f t="shared" si="2742"/>
        <v>46056</v>
      </c>
      <c r="E17315" s="279">
        <f t="shared" si="2743"/>
        <v>46056</v>
      </c>
      <c r="F17315" s="478"/>
      <c r="G17315" s="243" t="s">
        <v>94</v>
      </c>
      <c r="H17315" s="243"/>
      <c r="I17315" s="263" t="s">
        <v>348</v>
      </c>
      <c r="J17315" s="244" t="s">
        <v>108</v>
      </c>
      <c r="K17315" s="245"/>
      <c r="L17315" s="245">
        <f>K17314</f>
        <v>1110163</v>
      </c>
    </row>
    <row r="17316" spans="1:17" ht="12" customHeight="1" x14ac:dyDescent="0.2">
      <c r="A17316" s="246">
        <v>2026</v>
      </c>
      <c r="B17316" s="238">
        <v>2</v>
      </c>
      <c r="C17316" s="238">
        <v>3</v>
      </c>
      <c r="D17316" s="270">
        <f t="shared" si="2742"/>
        <v>46056</v>
      </c>
      <c r="E17316" s="279">
        <f t="shared" si="2743"/>
        <v>46056</v>
      </c>
      <c r="F17316" s="482" t="s">
        <v>148</v>
      </c>
      <c r="G17316" s="247" t="s">
        <v>94</v>
      </c>
      <c r="H17316" s="247"/>
      <c r="I17316" s="248" t="s">
        <v>348</v>
      </c>
      <c r="J17316" s="249" t="s">
        <v>95</v>
      </c>
      <c r="K17316" s="250">
        <v>392.46467817896388</v>
      </c>
      <c r="L17316" s="241"/>
      <c r="M17316" s="176"/>
    </row>
    <row r="17317" spans="1:17" x14ac:dyDescent="0.2">
      <c r="A17317" s="242">
        <v>2026</v>
      </c>
      <c r="B17317" s="242">
        <v>2</v>
      </c>
      <c r="C17317" s="242">
        <v>3</v>
      </c>
      <c r="D17317" s="270">
        <f t="shared" si="2742"/>
        <v>46056</v>
      </c>
      <c r="E17317" s="279">
        <f t="shared" si="2743"/>
        <v>46056</v>
      </c>
      <c r="F17317" s="478"/>
      <c r="G17317" s="243" t="s">
        <v>94</v>
      </c>
      <c r="H17317" s="243"/>
      <c r="I17317" s="263" t="s">
        <v>348</v>
      </c>
      <c r="J17317" s="244" t="s">
        <v>63</v>
      </c>
      <c r="K17317" s="245"/>
      <c r="L17317" s="245">
        <f>K17316</f>
        <v>392.46467817896388</v>
      </c>
    </row>
    <row r="17318" spans="1:17" x14ac:dyDescent="0.2">
      <c r="A17318" s="246">
        <v>2026</v>
      </c>
      <c r="B17318" s="238">
        <v>2</v>
      </c>
      <c r="C17318" s="238">
        <v>3</v>
      </c>
      <c r="D17318" s="270">
        <f t="shared" si="2742"/>
        <v>46056</v>
      </c>
      <c r="E17318" s="279">
        <f t="shared" si="2743"/>
        <v>46056</v>
      </c>
      <c r="F17318" s="482" t="s">
        <v>137</v>
      </c>
      <c r="G17318" s="247" t="s">
        <v>94</v>
      </c>
      <c r="H17318" s="247"/>
      <c r="I17318" s="248" t="s">
        <v>348</v>
      </c>
      <c r="J17318" s="249" t="s">
        <v>97</v>
      </c>
      <c r="K17318" s="250">
        <v>14912.240159941253</v>
      </c>
      <c r="L17318" s="252"/>
      <c r="M17318" s="170">
        <v>14912.240159941253</v>
      </c>
    </row>
    <row r="17319" spans="1:17" x14ac:dyDescent="0.2">
      <c r="A17319" s="242">
        <v>2026</v>
      </c>
      <c r="B17319" s="242">
        <v>2</v>
      </c>
      <c r="C17319" s="242">
        <v>3</v>
      </c>
      <c r="D17319" s="270">
        <f t="shared" si="2742"/>
        <v>46056</v>
      </c>
      <c r="E17319" s="279">
        <f t="shared" si="2743"/>
        <v>46056</v>
      </c>
      <c r="F17319" s="478"/>
      <c r="G17319" s="243" t="s">
        <v>94</v>
      </c>
      <c r="H17319" s="243"/>
      <c r="I17319" s="263" t="s">
        <v>348</v>
      </c>
      <c r="J17319" s="244" t="s">
        <v>47</v>
      </c>
      <c r="K17319" s="245"/>
      <c r="L17319" s="245">
        <f>K17318</f>
        <v>14912.240159941253</v>
      </c>
      <c r="M17319" s="170">
        <v>719.42406927080879</v>
      </c>
    </row>
    <row r="17320" spans="1:17" x14ac:dyDescent="0.2">
      <c r="A17320" s="238">
        <v>2026</v>
      </c>
      <c r="B17320" s="238">
        <v>2</v>
      </c>
      <c r="C17320" s="238">
        <v>3</v>
      </c>
      <c r="D17320" s="270">
        <f t="shared" si="2742"/>
        <v>46056</v>
      </c>
      <c r="E17320" s="279">
        <f t="shared" si="2743"/>
        <v>46056</v>
      </c>
      <c r="F17320" s="477" t="s">
        <v>138</v>
      </c>
      <c r="G17320" s="239" t="s">
        <v>94</v>
      </c>
      <c r="H17320" s="239"/>
      <c r="I17320" s="248" t="s">
        <v>348</v>
      </c>
      <c r="J17320" s="249" t="s">
        <v>100</v>
      </c>
      <c r="K17320" s="250">
        <v>719.42406927080879</v>
      </c>
      <c r="L17320" s="252"/>
    </row>
    <row r="17321" spans="1:17" x14ac:dyDescent="0.2">
      <c r="A17321" s="242">
        <v>2026</v>
      </c>
      <c r="B17321" s="242">
        <v>2</v>
      </c>
      <c r="C17321" s="242">
        <v>3</v>
      </c>
      <c r="D17321" s="321">
        <f t="shared" si="2742"/>
        <v>46056</v>
      </c>
      <c r="E17321" s="322">
        <f t="shared" si="2743"/>
        <v>46056</v>
      </c>
      <c r="F17321" s="478"/>
      <c r="G17321" s="243" t="s">
        <v>94</v>
      </c>
      <c r="H17321" s="243"/>
      <c r="I17321" s="263" t="s">
        <v>348</v>
      </c>
      <c r="J17321" s="244" t="s">
        <v>48</v>
      </c>
      <c r="K17321" s="245"/>
      <c r="L17321" s="245">
        <f>K17320</f>
        <v>719.42406927080879</v>
      </c>
    </row>
    <row r="17322" spans="1:17" ht="11.25" customHeight="1" x14ac:dyDescent="0.2">
      <c r="A17322" s="168">
        <v>2026</v>
      </c>
      <c r="B17322" s="168">
        <v>2</v>
      </c>
      <c r="C17322" s="168">
        <v>5</v>
      </c>
      <c r="D17322" s="141">
        <f t="shared" si="2742"/>
        <v>46058</v>
      </c>
      <c r="E17322" s="275">
        <f t="shared" si="2743"/>
        <v>46058</v>
      </c>
      <c r="F17322" s="479" t="s">
        <v>2116</v>
      </c>
      <c r="G17322" s="174" t="s">
        <v>74</v>
      </c>
      <c r="H17322" s="174"/>
      <c r="I17322" s="148" t="s">
        <v>348</v>
      </c>
      <c r="J17322" s="456" t="s">
        <v>147</v>
      </c>
      <c r="K17322" s="457">
        <v>37256.99</v>
      </c>
      <c r="L17322" s="218"/>
      <c r="M17322" s="147"/>
      <c r="Q17322" s="133" t="s">
        <v>348</v>
      </c>
    </row>
    <row r="17323" spans="1:17" x14ac:dyDescent="0.2">
      <c r="A17323" s="163">
        <v>2026</v>
      </c>
      <c r="B17323" s="163">
        <v>2</v>
      </c>
      <c r="C17323" s="163">
        <v>5</v>
      </c>
      <c r="D17323" s="144">
        <f t="shared" si="2742"/>
        <v>46058</v>
      </c>
      <c r="E17323" s="313">
        <f t="shared" si="2743"/>
        <v>46058</v>
      </c>
      <c r="F17323" s="481"/>
      <c r="G17323" s="221" t="s">
        <v>74</v>
      </c>
      <c r="H17323" s="221"/>
      <c r="I17323" s="145" t="s">
        <v>348</v>
      </c>
      <c r="J17323" s="146" t="s">
        <v>52</v>
      </c>
      <c r="K17323" s="219"/>
      <c r="L17323" s="219">
        <f>K17322</f>
        <v>37256.99</v>
      </c>
      <c r="M17323" s="147"/>
      <c r="Q17323" s="133" t="s">
        <v>348</v>
      </c>
    </row>
    <row r="17324" spans="1:17" ht="11.25" customHeight="1" x14ac:dyDescent="0.2">
      <c r="A17324" s="168">
        <v>2026</v>
      </c>
      <c r="B17324" s="168">
        <v>2</v>
      </c>
      <c r="C17324" s="168">
        <v>5</v>
      </c>
      <c r="D17324" s="141">
        <f t="shared" si="2742"/>
        <v>46058</v>
      </c>
      <c r="E17324" s="275">
        <f t="shared" si="2743"/>
        <v>46058</v>
      </c>
      <c r="F17324" s="479" t="s">
        <v>2116</v>
      </c>
      <c r="G17324" s="174" t="s">
        <v>74</v>
      </c>
      <c r="H17324" s="174"/>
      <c r="I17324" s="148" t="s">
        <v>348</v>
      </c>
      <c r="J17324" s="149" t="s">
        <v>147</v>
      </c>
      <c r="K17324" s="218">
        <v>2441824.48</v>
      </c>
      <c r="L17324" s="218"/>
      <c r="M17324" s="147"/>
      <c r="Q17324" s="133" t="s">
        <v>348</v>
      </c>
    </row>
    <row r="17325" spans="1:17" x14ac:dyDescent="0.2">
      <c r="A17325" s="163">
        <v>2026</v>
      </c>
      <c r="B17325" s="163">
        <v>2</v>
      </c>
      <c r="C17325" s="163">
        <v>5</v>
      </c>
      <c r="D17325" s="144">
        <f t="shared" si="2742"/>
        <v>46058</v>
      </c>
      <c r="E17325" s="313">
        <f t="shared" si="2743"/>
        <v>46058</v>
      </c>
      <c r="F17325" s="481"/>
      <c r="G17325" s="221" t="s">
        <v>74</v>
      </c>
      <c r="H17325" s="221"/>
      <c r="I17325" s="145" t="s">
        <v>348</v>
      </c>
      <c r="J17325" s="146" t="s">
        <v>52</v>
      </c>
      <c r="K17325" s="219"/>
      <c r="L17325" s="219">
        <f>K17324</f>
        <v>2441824.48</v>
      </c>
      <c r="M17325" s="147"/>
      <c r="Q17325" s="133" t="s">
        <v>348</v>
      </c>
    </row>
    <row r="17326" spans="1:17" ht="11.25" customHeight="1" x14ac:dyDescent="0.2">
      <c r="A17326" s="168">
        <v>2026</v>
      </c>
      <c r="B17326" s="168">
        <v>2</v>
      </c>
      <c r="C17326" s="168">
        <v>5</v>
      </c>
      <c r="D17326" s="141">
        <f t="shared" ref="D17326:D17327" si="2744">DATE(A17326,B17326,C17326)</f>
        <v>46058</v>
      </c>
      <c r="E17326" s="275">
        <f t="shared" ref="E17326:E17327" si="2745">DATE(A17326,B17326,C17326)</f>
        <v>46058</v>
      </c>
      <c r="F17326" s="479" t="s">
        <v>2116</v>
      </c>
      <c r="G17326" s="174" t="s">
        <v>74</v>
      </c>
      <c r="H17326" s="174"/>
      <c r="I17326" s="148" t="s">
        <v>348</v>
      </c>
      <c r="J17326" s="456" t="s">
        <v>147</v>
      </c>
      <c r="K17326" s="457">
        <v>951838.53</v>
      </c>
      <c r="L17326" s="218"/>
      <c r="M17326" s="147"/>
      <c r="Q17326" s="133" t="s">
        <v>348</v>
      </c>
    </row>
    <row r="17327" spans="1:17" x14ac:dyDescent="0.2">
      <c r="A17327" s="163">
        <v>2026</v>
      </c>
      <c r="B17327" s="163">
        <v>2</v>
      </c>
      <c r="C17327" s="163">
        <v>5</v>
      </c>
      <c r="D17327" s="144">
        <f t="shared" si="2744"/>
        <v>46058</v>
      </c>
      <c r="E17327" s="313">
        <f t="shared" si="2745"/>
        <v>46058</v>
      </c>
      <c r="F17327" s="480"/>
      <c r="G17327" s="221" t="s">
        <v>74</v>
      </c>
      <c r="H17327" s="221"/>
      <c r="I17327" s="145" t="s">
        <v>348</v>
      </c>
      <c r="J17327" s="146" t="s">
        <v>52</v>
      </c>
      <c r="K17327" s="219"/>
      <c r="L17327" s="219">
        <f>K17326</f>
        <v>951838.53</v>
      </c>
      <c r="M17327" s="147"/>
      <c r="Q17327" s="133" t="s">
        <v>348</v>
      </c>
    </row>
    <row r="17328" spans="1:17" x14ac:dyDescent="0.2">
      <c r="A17328" s="168">
        <v>2026</v>
      </c>
      <c r="B17328" s="168">
        <v>2</v>
      </c>
      <c r="C17328" s="168">
        <v>5</v>
      </c>
      <c r="D17328" s="141">
        <f>DATE(A17328,B17328,C17328)</f>
        <v>46058</v>
      </c>
      <c r="E17328" s="275">
        <f>DATE(A17328,B17328,C17328)</f>
        <v>46058</v>
      </c>
      <c r="F17328" s="479" t="s">
        <v>1943</v>
      </c>
      <c r="G17328" s="174" t="s">
        <v>74</v>
      </c>
      <c r="I17328" s="148" t="s">
        <v>348</v>
      </c>
      <c r="J17328" s="133" t="s">
        <v>61</v>
      </c>
      <c r="K17328" s="172">
        <v>200</v>
      </c>
    </row>
    <row r="17329" spans="1:13" x14ac:dyDescent="0.2">
      <c r="A17329" s="163">
        <v>2026</v>
      </c>
      <c r="B17329" s="163">
        <v>2</v>
      </c>
      <c r="C17329" s="163">
        <v>5</v>
      </c>
      <c r="D17329" s="144">
        <f>DATE(A17329,B17329,C17329)</f>
        <v>46058</v>
      </c>
      <c r="E17329" s="313">
        <f>DATE(A17329,B17329,C17329)</f>
        <v>46058</v>
      </c>
      <c r="F17329" s="480"/>
      <c r="G17329" s="221" t="s">
        <v>74</v>
      </c>
      <c r="H17329" s="145"/>
      <c r="I17329" s="145" t="s">
        <v>348</v>
      </c>
      <c r="J17329" s="163" t="s">
        <v>52</v>
      </c>
      <c r="K17329" s="219"/>
      <c r="L17329" s="219">
        <f>K17328</f>
        <v>200</v>
      </c>
    </row>
    <row r="17330" spans="1:13" x14ac:dyDescent="0.2">
      <c r="A17330" s="168">
        <v>2026</v>
      </c>
      <c r="B17330" s="168">
        <v>2</v>
      </c>
      <c r="C17330" s="168">
        <v>5</v>
      </c>
      <c r="D17330" s="141">
        <f t="shared" ref="D17330:D17332" si="2746">DATE(A17330,B17330,C17330)</f>
        <v>46058</v>
      </c>
      <c r="E17330" s="275">
        <f t="shared" ref="E17330:E17332" si="2747">DATE(A17330,B17330,C17330)</f>
        <v>46058</v>
      </c>
      <c r="F17330" s="479" t="s">
        <v>2166</v>
      </c>
      <c r="G17330" s="220" t="s">
        <v>94</v>
      </c>
      <c r="H17330" s="220"/>
      <c r="I17330" s="142"/>
      <c r="J17330" s="143" t="s">
        <v>79</v>
      </c>
      <c r="K17330" s="226">
        <v>1928685.4</v>
      </c>
      <c r="L17330" s="226"/>
      <c r="M17330" s="160"/>
    </row>
    <row r="17331" spans="1:13" x14ac:dyDescent="0.2">
      <c r="A17331" s="133">
        <v>2026</v>
      </c>
      <c r="B17331" s="133">
        <v>2</v>
      </c>
      <c r="C17331" s="133">
        <v>5</v>
      </c>
      <c r="D17331" s="147">
        <f t="shared" si="2746"/>
        <v>46058</v>
      </c>
      <c r="E17331" s="311">
        <f t="shared" si="2747"/>
        <v>46058</v>
      </c>
      <c r="F17331" s="481"/>
      <c r="G17331" s="174" t="s">
        <v>94</v>
      </c>
      <c r="H17331" s="174"/>
      <c r="J17331" s="149" t="s">
        <v>80</v>
      </c>
      <c r="K17331" s="218">
        <v>3471.63</v>
      </c>
      <c r="L17331" s="218"/>
    </row>
    <row r="17332" spans="1:13" x14ac:dyDescent="0.2">
      <c r="A17332" s="163">
        <v>2026</v>
      </c>
      <c r="B17332" s="163">
        <v>2</v>
      </c>
      <c r="C17332" s="163">
        <v>5</v>
      </c>
      <c r="D17332" s="144">
        <f t="shared" si="2746"/>
        <v>46058</v>
      </c>
      <c r="E17332" s="313">
        <f t="shared" si="2747"/>
        <v>46058</v>
      </c>
      <c r="F17332" s="480"/>
      <c r="G17332" s="221" t="s">
        <v>94</v>
      </c>
      <c r="H17332" s="221"/>
      <c r="I17332" s="145"/>
      <c r="J17332" s="146" t="s">
        <v>147</v>
      </c>
      <c r="K17332" s="219"/>
      <c r="L17332" s="219">
        <v>1932157.03</v>
      </c>
    </row>
    <row r="17333" spans="1:13" x14ac:dyDescent="0.2">
      <c r="A17333" s="168">
        <v>2026</v>
      </c>
      <c r="B17333" s="168">
        <v>2</v>
      </c>
      <c r="C17333" s="168">
        <v>5</v>
      </c>
      <c r="D17333" s="141">
        <f t="shared" ref="D17333:D17335" si="2748">DATE(A17333,B17333,C17333)</f>
        <v>46058</v>
      </c>
      <c r="E17333" s="275">
        <f t="shared" ref="E17333:E17335" si="2749">DATE(A17333,B17333,C17333)</f>
        <v>46058</v>
      </c>
      <c r="F17333" s="479" t="s">
        <v>1529</v>
      </c>
      <c r="G17333" s="220" t="s">
        <v>94</v>
      </c>
      <c r="H17333" s="220"/>
      <c r="I17333" s="142"/>
      <c r="J17333" s="143" t="s">
        <v>79</v>
      </c>
      <c r="K17333" s="226">
        <v>656650</v>
      </c>
      <c r="L17333" s="226"/>
      <c r="M17333" s="160"/>
    </row>
    <row r="17334" spans="1:13" x14ac:dyDescent="0.2">
      <c r="A17334" s="133">
        <v>2026</v>
      </c>
      <c r="B17334" s="133">
        <v>2</v>
      </c>
      <c r="C17334" s="133">
        <v>5</v>
      </c>
      <c r="D17334" s="147">
        <f t="shared" si="2748"/>
        <v>46058</v>
      </c>
      <c r="E17334" s="311">
        <f t="shared" si="2749"/>
        <v>46058</v>
      </c>
      <c r="F17334" s="481"/>
      <c r="G17334" s="174" t="s">
        <v>94</v>
      </c>
      <c r="H17334" s="174"/>
      <c r="J17334" s="149" t="s">
        <v>80</v>
      </c>
      <c r="K17334" s="218">
        <v>1181.97</v>
      </c>
      <c r="L17334" s="218"/>
    </row>
    <row r="17335" spans="1:13" x14ac:dyDescent="0.2">
      <c r="A17335" s="163">
        <v>2026</v>
      </c>
      <c r="B17335" s="163">
        <v>2</v>
      </c>
      <c r="C17335" s="163">
        <v>5</v>
      </c>
      <c r="D17335" s="144">
        <f t="shared" si="2748"/>
        <v>46058</v>
      </c>
      <c r="E17335" s="313">
        <f t="shared" si="2749"/>
        <v>46058</v>
      </c>
      <c r="F17335" s="480"/>
      <c r="G17335" s="221" t="s">
        <v>94</v>
      </c>
      <c r="H17335" s="221"/>
      <c r="I17335" s="145"/>
      <c r="J17335" s="146" t="s">
        <v>147</v>
      </c>
      <c r="K17335" s="219"/>
      <c r="L17335" s="219">
        <v>657831.97</v>
      </c>
    </row>
    <row r="17336" spans="1:13" x14ac:dyDescent="0.2">
      <c r="A17336" s="325">
        <v>2026</v>
      </c>
      <c r="B17336" s="325">
        <v>2</v>
      </c>
      <c r="C17336" s="325">
        <v>5</v>
      </c>
      <c r="D17336" s="326">
        <f t="shared" ref="D17336:D17349" si="2750">DATE(A17336,B17336,C17336)</f>
        <v>46058</v>
      </c>
      <c r="E17336" s="327">
        <f t="shared" ref="E17336:E17349" si="2751">DATE(A17336,B17336,C17336)</f>
        <v>46058</v>
      </c>
      <c r="F17336" s="473" t="s">
        <v>1940</v>
      </c>
      <c r="G17336" s="340" t="s">
        <v>94</v>
      </c>
      <c r="H17336" s="340"/>
      <c r="I17336" s="341" t="s">
        <v>348</v>
      </c>
      <c r="J17336" s="374" t="s">
        <v>133</v>
      </c>
      <c r="K17336" s="375">
        <v>3208.017619059945</v>
      </c>
      <c r="L17336" s="375"/>
      <c r="M17336" s="176"/>
    </row>
    <row r="17337" spans="1:13" x14ac:dyDescent="0.2">
      <c r="A17337" s="331">
        <v>2026</v>
      </c>
      <c r="B17337" s="331">
        <v>2</v>
      </c>
      <c r="C17337" s="331">
        <v>5</v>
      </c>
      <c r="D17337" s="326">
        <f t="shared" si="2750"/>
        <v>46058</v>
      </c>
      <c r="E17337" s="327">
        <f t="shared" si="2751"/>
        <v>46058</v>
      </c>
      <c r="F17337" s="474"/>
      <c r="G17337" s="332" t="s">
        <v>94</v>
      </c>
      <c r="H17337" s="332"/>
      <c r="I17337" s="333" t="s">
        <v>348</v>
      </c>
      <c r="J17337" s="376" t="s">
        <v>2153</v>
      </c>
      <c r="K17337" s="334"/>
      <c r="L17337" s="334">
        <f>K17336</f>
        <v>3208.017619059945</v>
      </c>
    </row>
    <row r="17338" spans="1:13" x14ac:dyDescent="0.2">
      <c r="A17338" s="325">
        <v>2026</v>
      </c>
      <c r="B17338" s="325">
        <v>2</v>
      </c>
      <c r="C17338" s="325">
        <v>5</v>
      </c>
      <c r="D17338" s="326">
        <f t="shared" si="2750"/>
        <v>46058</v>
      </c>
      <c r="E17338" s="327">
        <f t="shared" si="2751"/>
        <v>46058</v>
      </c>
      <c r="F17338" s="473" t="s">
        <v>2131</v>
      </c>
      <c r="G17338" s="340" t="s">
        <v>94</v>
      </c>
      <c r="H17338" s="340"/>
      <c r="I17338" s="341" t="s">
        <v>348</v>
      </c>
      <c r="J17338" s="374" t="s">
        <v>2156</v>
      </c>
      <c r="K17338" s="375">
        <v>12370.879120879121</v>
      </c>
      <c r="L17338" s="375"/>
      <c r="M17338" s="176"/>
    </row>
    <row r="17339" spans="1:13" x14ac:dyDescent="0.2">
      <c r="A17339" s="331">
        <v>2026</v>
      </c>
      <c r="B17339" s="331">
        <v>2</v>
      </c>
      <c r="C17339" s="331">
        <v>5</v>
      </c>
      <c r="D17339" s="326">
        <f t="shared" si="2750"/>
        <v>46058</v>
      </c>
      <c r="E17339" s="327">
        <f t="shared" si="2751"/>
        <v>46058</v>
      </c>
      <c r="F17339" s="474"/>
      <c r="G17339" s="332" t="s">
        <v>94</v>
      </c>
      <c r="H17339" s="332"/>
      <c r="I17339" s="333" t="s">
        <v>348</v>
      </c>
      <c r="J17339" s="376" t="s">
        <v>2154</v>
      </c>
      <c r="K17339" s="334"/>
      <c r="L17339" s="334">
        <f>K17338</f>
        <v>12370.879120879121</v>
      </c>
    </row>
    <row r="17340" spans="1:13" x14ac:dyDescent="0.2">
      <c r="A17340" s="384">
        <v>2026</v>
      </c>
      <c r="B17340" s="384">
        <v>2</v>
      </c>
      <c r="C17340" s="384">
        <v>5</v>
      </c>
      <c r="D17340" s="385">
        <f t="shared" si="2750"/>
        <v>46058</v>
      </c>
      <c r="E17340" s="386">
        <f t="shared" si="2751"/>
        <v>46058</v>
      </c>
      <c r="F17340" s="475" t="s">
        <v>1966</v>
      </c>
      <c r="G17340" s="387" t="s">
        <v>94</v>
      </c>
      <c r="H17340" s="387"/>
      <c r="I17340" s="388" t="s">
        <v>348</v>
      </c>
      <c r="J17340" s="389" t="s">
        <v>67</v>
      </c>
      <c r="K17340" s="390">
        <v>4557.55</v>
      </c>
      <c r="L17340" s="390"/>
    </row>
    <row r="17341" spans="1:13" x14ac:dyDescent="0.2">
      <c r="A17341" s="391">
        <v>2026</v>
      </c>
      <c r="B17341" s="391">
        <v>2</v>
      </c>
      <c r="C17341" s="391">
        <v>5</v>
      </c>
      <c r="D17341" s="385">
        <f t="shared" si="2750"/>
        <v>46058</v>
      </c>
      <c r="E17341" s="386">
        <f t="shared" si="2751"/>
        <v>46058</v>
      </c>
      <c r="F17341" s="476"/>
      <c r="G17341" s="392" t="s">
        <v>94</v>
      </c>
      <c r="H17341" s="392"/>
      <c r="I17341" s="393" t="s">
        <v>348</v>
      </c>
      <c r="J17341" s="394" t="s">
        <v>2155</v>
      </c>
      <c r="K17341" s="395"/>
      <c r="L17341" s="395">
        <f>K17340</f>
        <v>4557.55</v>
      </c>
    </row>
    <row r="17342" spans="1:13" x14ac:dyDescent="0.2">
      <c r="A17342" s="238">
        <v>2026</v>
      </c>
      <c r="B17342" s="238">
        <v>2</v>
      </c>
      <c r="C17342" s="238">
        <v>5</v>
      </c>
      <c r="D17342" s="270">
        <f t="shared" si="2750"/>
        <v>46058</v>
      </c>
      <c r="E17342" s="279">
        <f t="shared" si="2751"/>
        <v>46058</v>
      </c>
      <c r="F17342" s="477" t="s">
        <v>347</v>
      </c>
      <c r="G17342" s="239" t="s">
        <v>94</v>
      </c>
      <c r="H17342" s="239"/>
      <c r="I17342" s="262" t="s">
        <v>348</v>
      </c>
      <c r="J17342" s="240" t="s">
        <v>82</v>
      </c>
      <c r="K17342" s="241">
        <v>1966001.599999994</v>
      </c>
      <c r="L17342" s="241"/>
      <c r="M17342" s="160"/>
    </row>
    <row r="17343" spans="1:13" x14ac:dyDescent="0.2">
      <c r="A17343" s="242">
        <v>2026</v>
      </c>
      <c r="B17343" s="242">
        <v>2</v>
      </c>
      <c r="C17343" s="242">
        <v>5</v>
      </c>
      <c r="D17343" s="270">
        <f t="shared" si="2750"/>
        <v>46058</v>
      </c>
      <c r="E17343" s="279">
        <f t="shared" si="2751"/>
        <v>46058</v>
      </c>
      <c r="F17343" s="478"/>
      <c r="G17343" s="243" t="s">
        <v>94</v>
      </c>
      <c r="H17343" s="243"/>
      <c r="I17343" s="263" t="s">
        <v>348</v>
      </c>
      <c r="J17343" s="244" t="s">
        <v>108</v>
      </c>
      <c r="K17343" s="245"/>
      <c r="L17343" s="245">
        <f>K17342</f>
        <v>1966001.599999994</v>
      </c>
    </row>
    <row r="17344" spans="1:13" ht="12" customHeight="1" x14ac:dyDescent="0.2">
      <c r="A17344" s="246">
        <v>2026</v>
      </c>
      <c r="B17344" s="238">
        <v>2</v>
      </c>
      <c r="C17344" s="238">
        <v>5</v>
      </c>
      <c r="D17344" s="270">
        <f t="shared" si="2750"/>
        <v>46058</v>
      </c>
      <c r="E17344" s="279">
        <f t="shared" si="2751"/>
        <v>46058</v>
      </c>
      <c r="F17344" s="482" t="s">
        <v>148</v>
      </c>
      <c r="G17344" s="247" t="s">
        <v>94</v>
      </c>
      <c r="H17344" s="247"/>
      <c r="I17344" s="248" t="s">
        <v>348</v>
      </c>
      <c r="J17344" s="249" t="s">
        <v>95</v>
      </c>
      <c r="K17344" s="250">
        <v>784.92935635792776</v>
      </c>
      <c r="L17344" s="241"/>
      <c r="M17344" s="176"/>
    </row>
    <row r="17345" spans="1:17" x14ac:dyDescent="0.2">
      <c r="A17345" s="242">
        <v>2026</v>
      </c>
      <c r="B17345" s="242">
        <v>2</v>
      </c>
      <c r="C17345" s="242">
        <v>5</v>
      </c>
      <c r="D17345" s="270">
        <f t="shared" si="2750"/>
        <v>46058</v>
      </c>
      <c r="E17345" s="279">
        <f t="shared" si="2751"/>
        <v>46058</v>
      </c>
      <c r="F17345" s="478"/>
      <c r="G17345" s="243" t="s">
        <v>94</v>
      </c>
      <c r="H17345" s="243"/>
      <c r="I17345" s="263" t="s">
        <v>348</v>
      </c>
      <c r="J17345" s="244" t="s">
        <v>63</v>
      </c>
      <c r="K17345" s="245"/>
      <c r="L17345" s="245">
        <f>K17344</f>
        <v>784.92935635792776</v>
      </c>
    </row>
    <row r="17346" spans="1:17" x14ac:dyDescent="0.2">
      <c r="A17346" s="246">
        <v>2026</v>
      </c>
      <c r="B17346" s="238">
        <v>2</v>
      </c>
      <c r="C17346" s="238">
        <v>5</v>
      </c>
      <c r="D17346" s="270">
        <f t="shared" si="2750"/>
        <v>46058</v>
      </c>
      <c r="E17346" s="279">
        <f t="shared" si="2751"/>
        <v>46058</v>
      </c>
      <c r="F17346" s="482" t="s">
        <v>137</v>
      </c>
      <c r="G17346" s="247" t="s">
        <v>94</v>
      </c>
      <c r="H17346" s="247"/>
      <c r="I17346" s="248" t="s">
        <v>348</v>
      </c>
      <c r="J17346" s="249" t="s">
        <v>97</v>
      </c>
      <c r="K17346" s="250">
        <v>29662.436224525525</v>
      </c>
      <c r="L17346" s="252"/>
      <c r="M17346" s="170"/>
    </row>
    <row r="17347" spans="1:17" x14ac:dyDescent="0.2">
      <c r="A17347" s="242">
        <v>2026</v>
      </c>
      <c r="B17347" s="242">
        <v>2</v>
      </c>
      <c r="C17347" s="242">
        <v>5</v>
      </c>
      <c r="D17347" s="270">
        <f t="shared" si="2750"/>
        <v>46058</v>
      </c>
      <c r="E17347" s="279">
        <f t="shared" si="2751"/>
        <v>46058</v>
      </c>
      <c r="F17347" s="478"/>
      <c r="G17347" s="243" t="s">
        <v>94</v>
      </c>
      <c r="H17347" s="243"/>
      <c r="I17347" s="263" t="s">
        <v>348</v>
      </c>
      <c r="J17347" s="244" t="s">
        <v>47</v>
      </c>
      <c r="K17347" s="245"/>
      <c r="L17347" s="245">
        <f>K17346</f>
        <v>29662.436224525525</v>
      </c>
      <c r="M17347" s="170"/>
    </row>
    <row r="17348" spans="1:17" x14ac:dyDescent="0.2">
      <c r="A17348" s="238">
        <v>2026</v>
      </c>
      <c r="B17348" s="238">
        <v>2</v>
      </c>
      <c r="C17348" s="238">
        <v>5</v>
      </c>
      <c r="D17348" s="270">
        <f t="shared" si="2750"/>
        <v>46058</v>
      </c>
      <c r="E17348" s="279">
        <f t="shared" si="2751"/>
        <v>46058</v>
      </c>
      <c r="F17348" s="477" t="s">
        <v>138</v>
      </c>
      <c r="G17348" s="239" t="s">
        <v>94</v>
      </c>
      <c r="H17348" s="239"/>
      <c r="I17348" s="248" t="s">
        <v>348</v>
      </c>
      <c r="J17348" s="249" t="s">
        <v>100</v>
      </c>
      <c r="K17348" s="250">
        <v>1428.0451988511522</v>
      </c>
      <c r="L17348" s="252"/>
    </row>
    <row r="17349" spans="1:17" x14ac:dyDescent="0.2">
      <c r="A17349" s="242">
        <v>2026</v>
      </c>
      <c r="B17349" s="242">
        <v>2</v>
      </c>
      <c r="C17349" s="242">
        <v>5</v>
      </c>
      <c r="D17349" s="321">
        <f t="shared" si="2750"/>
        <v>46058</v>
      </c>
      <c r="E17349" s="322">
        <f t="shared" si="2751"/>
        <v>46058</v>
      </c>
      <c r="F17349" s="478"/>
      <c r="G17349" s="243" t="s">
        <v>94</v>
      </c>
      <c r="H17349" s="243"/>
      <c r="I17349" s="263" t="s">
        <v>348</v>
      </c>
      <c r="J17349" s="244" t="s">
        <v>48</v>
      </c>
      <c r="K17349" s="245"/>
      <c r="L17349" s="245">
        <f>K17348</f>
        <v>1428.0451988511522</v>
      </c>
    </row>
    <row r="17350" spans="1:17" ht="11.25" customHeight="1" x14ac:dyDescent="0.2">
      <c r="A17350" s="168">
        <v>2026</v>
      </c>
      <c r="B17350" s="168">
        <v>2</v>
      </c>
      <c r="C17350" s="133">
        <v>8</v>
      </c>
      <c r="D17350" s="141">
        <f>DATE(A17350,B17350,C17350)</f>
        <v>46061</v>
      </c>
      <c r="E17350" s="275">
        <f>DATE(A17350,B17350,C17350)</f>
        <v>46061</v>
      </c>
      <c r="F17350" s="479" t="s">
        <v>1319</v>
      </c>
      <c r="G17350" s="220" t="s">
        <v>74</v>
      </c>
      <c r="H17350" s="142"/>
      <c r="I17350" s="142"/>
      <c r="J17350" s="168" t="s">
        <v>52</v>
      </c>
      <c r="K17350" s="226">
        <v>44000</v>
      </c>
      <c r="L17350" s="226"/>
    </row>
    <row r="17351" spans="1:17" ht="11.25" customHeight="1" x14ac:dyDescent="0.2">
      <c r="A17351" s="133">
        <v>2026</v>
      </c>
      <c r="B17351" s="133">
        <v>2</v>
      </c>
      <c r="C17351" s="133">
        <v>8</v>
      </c>
      <c r="D17351" s="147">
        <f>DATE(A17351,B17351,C17351)</f>
        <v>46061</v>
      </c>
      <c r="E17351" s="311">
        <f>DATE(A17351,B17351,C17351)</f>
        <v>46061</v>
      </c>
      <c r="F17351" s="481"/>
      <c r="G17351" s="174" t="s">
        <v>74</v>
      </c>
      <c r="J17351" s="133" t="s">
        <v>13</v>
      </c>
      <c r="K17351" s="218"/>
      <c r="L17351" s="218">
        <v>29910</v>
      </c>
    </row>
    <row r="17352" spans="1:17" ht="11.25" customHeight="1" x14ac:dyDescent="0.2">
      <c r="A17352" s="163">
        <v>2026</v>
      </c>
      <c r="B17352" s="163">
        <v>2</v>
      </c>
      <c r="C17352" s="163">
        <v>8</v>
      </c>
      <c r="D17352" s="144">
        <f>DATE(A17352,B17352,C17352)</f>
        <v>46061</v>
      </c>
      <c r="E17352" s="313">
        <f>DATE(A17352,B17352,C17352)</f>
        <v>46061</v>
      </c>
      <c r="F17352" s="480"/>
      <c r="G17352" s="221" t="s">
        <v>74</v>
      </c>
      <c r="H17352" s="145"/>
      <c r="I17352" s="145"/>
      <c r="J17352" s="163" t="s">
        <v>53</v>
      </c>
      <c r="K17352" s="219"/>
      <c r="L17352" s="219">
        <v>14090</v>
      </c>
    </row>
    <row r="17353" spans="1:17" ht="11.25" customHeight="1" x14ac:dyDescent="0.2">
      <c r="A17353" s="168">
        <v>2026</v>
      </c>
      <c r="B17353" s="168">
        <v>2</v>
      </c>
      <c r="C17353" s="168">
        <v>8</v>
      </c>
      <c r="D17353" s="141">
        <f t="shared" ref="D17353:D17356" si="2752">DATE(A17353,B17353,C17353)</f>
        <v>46061</v>
      </c>
      <c r="E17353" s="275">
        <f t="shared" ref="E17353:E17356" si="2753">DATE(A17353,B17353,C17353)</f>
        <v>46061</v>
      </c>
      <c r="F17353" s="479" t="s">
        <v>2116</v>
      </c>
      <c r="G17353" s="220" t="s">
        <v>74</v>
      </c>
      <c r="H17353" s="220"/>
      <c r="I17353" s="142"/>
      <c r="J17353" s="143" t="s">
        <v>147</v>
      </c>
      <c r="K17353" s="226">
        <v>1932157.03</v>
      </c>
      <c r="L17353" s="226"/>
    </row>
    <row r="17354" spans="1:17" x14ac:dyDescent="0.2">
      <c r="A17354" s="163">
        <v>2026</v>
      </c>
      <c r="B17354" s="163">
        <v>2</v>
      </c>
      <c r="C17354" s="163">
        <v>8</v>
      </c>
      <c r="D17354" s="144">
        <f t="shared" si="2752"/>
        <v>46061</v>
      </c>
      <c r="E17354" s="313">
        <f t="shared" si="2753"/>
        <v>46061</v>
      </c>
      <c r="F17354" s="480"/>
      <c r="G17354" s="221" t="s">
        <v>74</v>
      </c>
      <c r="H17354" s="221"/>
      <c r="I17354" s="145"/>
      <c r="J17354" s="146" t="s">
        <v>52</v>
      </c>
      <c r="K17354" s="219"/>
      <c r="L17354" s="219">
        <f>K17353</f>
        <v>1932157.03</v>
      </c>
      <c r="N17354" s="264"/>
    </row>
    <row r="17355" spans="1:17" ht="11.25" customHeight="1" x14ac:dyDescent="0.2">
      <c r="A17355" s="168">
        <v>2026</v>
      </c>
      <c r="B17355" s="168">
        <v>2</v>
      </c>
      <c r="C17355" s="168">
        <v>8</v>
      </c>
      <c r="D17355" s="141">
        <f t="shared" si="2752"/>
        <v>46061</v>
      </c>
      <c r="E17355" s="275">
        <f t="shared" si="2753"/>
        <v>46061</v>
      </c>
      <c r="F17355" s="479" t="s">
        <v>2163</v>
      </c>
      <c r="G17355" s="220" t="s">
        <v>74</v>
      </c>
      <c r="H17355" s="220"/>
      <c r="I17355" s="148" t="s">
        <v>348</v>
      </c>
      <c r="J17355" s="149" t="s">
        <v>147</v>
      </c>
      <c r="K17355" s="218">
        <v>657831.97</v>
      </c>
      <c r="L17355" s="218"/>
      <c r="M17355" s="147"/>
      <c r="Q17355" s="133" t="s">
        <v>348</v>
      </c>
    </row>
    <row r="17356" spans="1:17" x14ac:dyDescent="0.2">
      <c r="A17356" s="163">
        <v>2026</v>
      </c>
      <c r="B17356" s="163">
        <v>2</v>
      </c>
      <c r="C17356" s="163">
        <v>8</v>
      </c>
      <c r="D17356" s="144">
        <f t="shared" si="2752"/>
        <v>46061</v>
      </c>
      <c r="E17356" s="313">
        <f t="shared" si="2753"/>
        <v>46061</v>
      </c>
      <c r="F17356" s="480"/>
      <c r="G17356" s="221" t="s">
        <v>74</v>
      </c>
      <c r="H17356" s="221"/>
      <c r="I17356" s="145" t="s">
        <v>348</v>
      </c>
      <c r="J17356" s="146" t="s">
        <v>52</v>
      </c>
      <c r="K17356" s="219"/>
      <c r="L17356" s="219">
        <f>K17355</f>
        <v>657831.97</v>
      </c>
      <c r="M17356" s="147"/>
      <c r="Q17356" s="133" t="s">
        <v>348</v>
      </c>
    </row>
    <row r="17357" spans="1:17" x14ac:dyDescent="0.2">
      <c r="A17357" s="168">
        <v>2026</v>
      </c>
      <c r="B17357" s="168">
        <v>2</v>
      </c>
      <c r="C17357" s="168">
        <v>8</v>
      </c>
      <c r="D17357" s="141">
        <f>DATE(A17357,B17357,C17357)</f>
        <v>46061</v>
      </c>
      <c r="E17357" s="275">
        <f>DATE(A17357,B17357,C17357)</f>
        <v>46061</v>
      </c>
      <c r="F17357" s="479" t="s">
        <v>1943</v>
      </c>
      <c r="G17357" s="174" t="s">
        <v>74</v>
      </c>
      <c r="I17357" s="148" t="s">
        <v>348</v>
      </c>
      <c r="J17357" s="133" t="s">
        <v>61</v>
      </c>
      <c r="K17357" s="172">
        <v>200</v>
      </c>
    </row>
    <row r="17358" spans="1:17" x14ac:dyDescent="0.2">
      <c r="A17358" s="163">
        <v>2026</v>
      </c>
      <c r="B17358" s="163">
        <v>2</v>
      </c>
      <c r="C17358" s="163">
        <v>8</v>
      </c>
      <c r="D17358" s="144">
        <f>DATE(A17358,B17358,C17358)</f>
        <v>46061</v>
      </c>
      <c r="E17358" s="313">
        <f>DATE(A17358,B17358,C17358)</f>
        <v>46061</v>
      </c>
      <c r="F17358" s="480"/>
      <c r="G17358" s="221" t="s">
        <v>74</v>
      </c>
      <c r="H17358" s="145"/>
      <c r="I17358" s="145" t="s">
        <v>348</v>
      </c>
      <c r="J17358" s="163" t="s">
        <v>52</v>
      </c>
      <c r="K17358" s="219"/>
      <c r="L17358" s="219">
        <f>K17357</f>
        <v>200</v>
      </c>
    </row>
    <row r="17359" spans="1:17" x14ac:dyDescent="0.2">
      <c r="A17359" s="168">
        <v>2026</v>
      </c>
      <c r="B17359" s="168">
        <v>2</v>
      </c>
      <c r="C17359" s="168">
        <v>8</v>
      </c>
      <c r="D17359" s="141">
        <f t="shared" ref="D17359:D17380" si="2754">DATE(A17359,B17359,C17359)</f>
        <v>46061</v>
      </c>
      <c r="E17359" s="275">
        <f t="shared" ref="E17359:E17380" si="2755">DATE(A17359,B17359,C17359)</f>
        <v>46061</v>
      </c>
      <c r="F17359" s="479" t="s">
        <v>2166</v>
      </c>
      <c r="G17359" s="220" t="s">
        <v>94</v>
      </c>
      <c r="H17359" s="220"/>
      <c r="I17359" s="142"/>
      <c r="J17359" s="143" t="s">
        <v>79</v>
      </c>
      <c r="K17359" s="226">
        <v>1976482.6</v>
      </c>
      <c r="L17359" s="226"/>
      <c r="M17359" s="160"/>
    </row>
    <row r="17360" spans="1:17" x14ac:dyDescent="0.2">
      <c r="A17360" s="133">
        <v>2026</v>
      </c>
      <c r="B17360" s="133">
        <v>2</v>
      </c>
      <c r="C17360" s="133">
        <v>8</v>
      </c>
      <c r="D17360" s="147">
        <f t="shared" si="2754"/>
        <v>46061</v>
      </c>
      <c r="E17360" s="311">
        <f t="shared" si="2755"/>
        <v>46061</v>
      </c>
      <c r="F17360" s="481"/>
      <c r="G17360" s="174" t="s">
        <v>94</v>
      </c>
      <c r="H17360" s="174"/>
      <c r="J17360" s="149" t="s">
        <v>80</v>
      </c>
      <c r="K17360" s="218">
        <v>3557.67</v>
      </c>
      <c r="L17360" s="218"/>
    </row>
    <row r="17361" spans="1:13" x14ac:dyDescent="0.2">
      <c r="A17361" s="163">
        <v>2026</v>
      </c>
      <c r="B17361" s="163">
        <v>2</v>
      </c>
      <c r="C17361" s="163">
        <v>8</v>
      </c>
      <c r="D17361" s="144">
        <f t="shared" si="2754"/>
        <v>46061</v>
      </c>
      <c r="E17361" s="313">
        <f t="shared" si="2755"/>
        <v>46061</v>
      </c>
      <c r="F17361" s="480"/>
      <c r="G17361" s="221" t="s">
        <v>94</v>
      </c>
      <c r="H17361" s="221"/>
      <c r="I17361" s="145"/>
      <c r="J17361" s="146" t="s">
        <v>147</v>
      </c>
      <c r="K17361" s="219"/>
      <c r="L17361" s="219">
        <v>1980040.27</v>
      </c>
    </row>
    <row r="17362" spans="1:13" x14ac:dyDescent="0.2">
      <c r="A17362" s="168">
        <v>2026</v>
      </c>
      <c r="B17362" s="168">
        <v>2</v>
      </c>
      <c r="C17362" s="168">
        <v>8</v>
      </c>
      <c r="D17362" s="141">
        <f t="shared" si="2754"/>
        <v>46061</v>
      </c>
      <c r="E17362" s="275">
        <f t="shared" si="2755"/>
        <v>46061</v>
      </c>
      <c r="F17362" s="479" t="s">
        <v>1529</v>
      </c>
      <c r="G17362" s="220" t="s">
        <v>94</v>
      </c>
      <c r="H17362" s="220"/>
      <c r="I17362" s="142"/>
      <c r="J17362" s="143" t="s">
        <v>79</v>
      </c>
      <c r="K17362" s="226">
        <v>48800</v>
      </c>
      <c r="L17362" s="226"/>
      <c r="M17362" s="160"/>
    </row>
    <row r="17363" spans="1:13" x14ac:dyDescent="0.2">
      <c r="A17363" s="133">
        <v>2026</v>
      </c>
      <c r="B17363" s="133">
        <v>2</v>
      </c>
      <c r="C17363" s="133">
        <v>8</v>
      </c>
      <c r="D17363" s="147">
        <f t="shared" si="2754"/>
        <v>46061</v>
      </c>
      <c r="E17363" s="311">
        <f t="shared" si="2755"/>
        <v>46061</v>
      </c>
      <c r="F17363" s="481"/>
      <c r="G17363" s="174" t="s">
        <v>94</v>
      </c>
      <c r="H17363" s="174"/>
      <c r="J17363" s="149" t="s">
        <v>80</v>
      </c>
      <c r="K17363" s="218">
        <v>87.84</v>
      </c>
      <c r="L17363" s="218"/>
    </row>
    <row r="17364" spans="1:13" x14ac:dyDescent="0.2">
      <c r="A17364" s="163">
        <v>2026</v>
      </c>
      <c r="B17364" s="163">
        <v>2</v>
      </c>
      <c r="C17364" s="163">
        <v>8</v>
      </c>
      <c r="D17364" s="144">
        <f t="shared" si="2754"/>
        <v>46061</v>
      </c>
      <c r="E17364" s="313">
        <f t="shared" si="2755"/>
        <v>46061</v>
      </c>
      <c r="F17364" s="480"/>
      <c r="G17364" s="221" t="s">
        <v>94</v>
      </c>
      <c r="H17364" s="221"/>
      <c r="I17364" s="145"/>
      <c r="J17364" s="146" t="s">
        <v>147</v>
      </c>
      <c r="K17364" s="219"/>
      <c r="L17364" s="219">
        <v>48887.839999999997</v>
      </c>
    </row>
    <row r="17365" spans="1:13" s="432" customFormat="1" x14ac:dyDescent="0.2">
      <c r="A17365" s="168">
        <v>2026</v>
      </c>
      <c r="B17365" s="168">
        <v>2</v>
      </c>
      <c r="C17365" s="168">
        <v>8</v>
      </c>
      <c r="D17365" s="425">
        <f t="shared" si="2754"/>
        <v>46061</v>
      </c>
      <c r="E17365" s="426">
        <f t="shared" si="2755"/>
        <v>46061</v>
      </c>
      <c r="F17365" s="485" t="s">
        <v>2102</v>
      </c>
      <c r="G17365" s="427" t="s">
        <v>94</v>
      </c>
      <c r="H17365" s="427"/>
      <c r="I17365" s="428" t="s">
        <v>348</v>
      </c>
      <c r="J17365" s="429" t="s">
        <v>52</v>
      </c>
      <c r="K17365" s="430">
        <v>48395.83</v>
      </c>
      <c r="L17365" s="430"/>
      <c r="M17365" s="431"/>
    </row>
    <row r="17366" spans="1:13" s="432" customFormat="1" x14ac:dyDescent="0.2">
      <c r="A17366" s="163">
        <v>2026</v>
      </c>
      <c r="B17366" s="163">
        <v>2</v>
      </c>
      <c r="C17366" s="163">
        <v>8</v>
      </c>
      <c r="D17366" s="425">
        <f t="shared" si="2754"/>
        <v>46061</v>
      </c>
      <c r="E17366" s="426">
        <f t="shared" si="2755"/>
        <v>46061</v>
      </c>
      <c r="F17366" s="486"/>
      <c r="G17366" s="434" t="s">
        <v>94</v>
      </c>
      <c r="H17366" s="434"/>
      <c r="I17366" s="435" t="s">
        <v>348</v>
      </c>
      <c r="J17366" s="436" t="s">
        <v>133</v>
      </c>
      <c r="K17366" s="437"/>
      <c r="L17366" s="437">
        <f>K17365</f>
        <v>48395.83</v>
      </c>
    </row>
    <row r="17367" spans="1:13" s="432" customFormat="1" x14ac:dyDescent="0.2">
      <c r="A17367" s="168">
        <v>2026</v>
      </c>
      <c r="B17367" s="168">
        <v>2</v>
      </c>
      <c r="C17367" s="168">
        <v>8</v>
      </c>
      <c r="D17367" s="425">
        <f t="shared" si="2754"/>
        <v>46061</v>
      </c>
      <c r="E17367" s="426">
        <f t="shared" si="2755"/>
        <v>46061</v>
      </c>
      <c r="F17367" s="485" t="s">
        <v>2102</v>
      </c>
      <c r="G17367" s="427" t="s">
        <v>94</v>
      </c>
      <c r="H17367" s="427"/>
      <c r="I17367" s="428" t="s">
        <v>348</v>
      </c>
      <c r="J17367" s="429" t="s">
        <v>52</v>
      </c>
      <c r="K17367" s="430">
        <v>145187.5</v>
      </c>
      <c r="L17367" s="430"/>
      <c r="M17367" s="431"/>
    </row>
    <row r="17368" spans="1:13" s="432" customFormat="1" x14ac:dyDescent="0.2">
      <c r="A17368" s="163">
        <v>2026</v>
      </c>
      <c r="B17368" s="163">
        <v>2</v>
      </c>
      <c r="C17368" s="163">
        <v>8</v>
      </c>
      <c r="D17368" s="425">
        <f t="shared" si="2754"/>
        <v>46061</v>
      </c>
      <c r="E17368" s="426">
        <f t="shared" si="2755"/>
        <v>46061</v>
      </c>
      <c r="F17368" s="486"/>
      <c r="G17368" s="434" t="s">
        <v>94</v>
      </c>
      <c r="H17368" s="434"/>
      <c r="I17368" s="435" t="s">
        <v>348</v>
      </c>
      <c r="J17368" s="436" t="s">
        <v>133</v>
      </c>
      <c r="K17368" s="437"/>
      <c r="L17368" s="437">
        <f>K17367</f>
        <v>145187.5</v>
      </c>
    </row>
    <row r="17369" spans="1:13" x14ac:dyDescent="0.2">
      <c r="A17369" s="325">
        <v>2026</v>
      </c>
      <c r="B17369" s="325">
        <v>2</v>
      </c>
      <c r="C17369" s="325">
        <v>8</v>
      </c>
      <c r="D17369" s="326">
        <f t="shared" si="2754"/>
        <v>46061</v>
      </c>
      <c r="E17369" s="327">
        <f t="shared" si="2755"/>
        <v>46061</v>
      </c>
      <c r="F17369" s="473" t="s">
        <v>2131</v>
      </c>
      <c r="G17369" s="340" t="s">
        <v>94</v>
      </c>
      <c r="H17369" s="340"/>
      <c r="I17369" s="341" t="s">
        <v>348</v>
      </c>
      <c r="J17369" s="374" t="s">
        <v>2156</v>
      </c>
      <c r="K17369" s="375">
        <v>18556.31868131868</v>
      </c>
      <c r="L17369" s="375"/>
      <c r="M17369" s="176"/>
    </row>
    <row r="17370" spans="1:13" x14ac:dyDescent="0.2">
      <c r="A17370" s="331">
        <v>2026</v>
      </c>
      <c r="B17370" s="331">
        <v>2</v>
      </c>
      <c r="C17370" s="331">
        <v>8</v>
      </c>
      <c r="D17370" s="326">
        <f t="shared" si="2754"/>
        <v>46061</v>
      </c>
      <c r="E17370" s="327">
        <f t="shared" si="2755"/>
        <v>46061</v>
      </c>
      <c r="F17370" s="474"/>
      <c r="G17370" s="332" t="s">
        <v>94</v>
      </c>
      <c r="H17370" s="332"/>
      <c r="I17370" s="333" t="s">
        <v>348</v>
      </c>
      <c r="J17370" s="376" t="s">
        <v>2154</v>
      </c>
      <c r="K17370" s="334"/>
      <c r="L17370" s="334">
        <f>K17369</f>
        <v>18556.31868131868</v>
      </c>
    </row>
    <row r="17371" spans="1:13" x14ac:dyDescent="0.2">
      <c r="A17371" s="384">
        <v>2026</v>
      </c>
      <c r="B17371" s="384">
        <v>2</v>
      </c>
      <c r="C17371" s="384">
        <v>8</v>
      </c>
      <c r="D17371" s="385">
        <f t="shared" si="2754"/>
        <v>46061</v>
      </c>
      <c r="E17371" s="386">
        <f t="shared" si="2755"/>
        <v>46061</v>
      </c>
      <c r="F17371" s="475" t="s">
        <v>1966</v>
      </c>
      <c r="G17371" s="387" t="s">
        <v>94</v>
      </c>
      <c r="H17371" s="387"/>
      <c r="I17371" s="388" t="s">
        <v>348</v>
      </c>
      <c r="J17371" s="389" t="s">
        <v>67</v>
      </c>
      <c r="K17371" s="390">
        <v>5227.54</v>
      </c>
      <c r="L17371" s="390"/>
    </row>
    <row r="17372" spans="1:13" x14ac:dyDescent="0.2">
      <c r="A17372" s="391">
        <v>2026</v>
      </c>
      <c r="B17372" s="391">
        <v>2</v>
      </c>
      <c r="C17372" s="391">
        <v>8</v>
      </c>
      <c r="D17372" s="385">
        <f t="shared" si="2754"/>
        <v>46061</v>
      </c>
      <c r="E17372" s="386">
        <f t="shared" si="2755"/>
        <v>46061</v>
      </c>
      <c r="F17372" s="476"/>
      <c r="G17372" s="392" t="s">
        <v>94</v>
      </c>
      <c r="H17372" s="392"/>
      <c r="I17372" s="393" t="s">
        <v>348</v>
      </c>
      <c r="J17372" s="394" t="s">
        <v>2155</v>
      </c>
      <c r="K17372" s="395"/>
      <c r="L17372" s="395">
        <f>K17371</f>
        <v>5227.54</v>
      </c>
    </row>
    <row r="17373" spans="1:13" x14ac:dyDescent="0.2">
      <c r="A17373" s="238">
        <v>2026</v>
      </c>
      <c r="B17373" s="238">
        <v>2</v>
      </c>
      <c r="C17373" s="238">
        <v>8</v>
      </c>
      <c r="D17373" s="270">
        <f t="shared" si="2754"/>
        <v>46061</v>
      </c>
      <c r="E17373" s="279">
        <f t="shared" si="2755"/>
        <v>46061</v>
      </c>
      <c r="F17373" s="477" t="s">
        <v>347</v>
      </c>
      <c r="G17373" s="239" t="s">
        <v>94</v>
      </c>
      <c r="H17373" s="239"/>
      <c r="I17373" s="262" t="s">
        <v>348</v>
      </c>
      <c r="J17373" s="240" t="s">
        <v>82</v>
      </c>
      <c r="K17373" s="241">
        <v>646103.03000003099</v>
      </c>
      <c r="L17373" s="241"/>
      <c r="M17373" s="160"/>
    </row>
    <row r="17374" spans="1:13" x14ac:dyDescent="0.2">
      <c r="A17374" s="242">
        <v>2026</v>
      </c>
      <c r="B17374" s="242">
        <v>2</v>
      </c>
      <c r="C17374" s="242">
        <v>8</v>
      </c>
      <c r="D17374" s="270">
        <f t="shared" si="2754"/>
        <v>46061</v>
      </c>
      <c r="E17374" s="279">
        <f t="shared" si="2755"/>
        <v>46061</v>
      </c>
      <c r="F17374" s="478"/>
      <c r="G17374" s="243" t="s">
        <v>94</v>
      </c>
      <c r="H17374" s="243"/>
      <c r="I17374" s="263" t="s">
        <v>348</v>
      </c>
      <c r="J17374" s="244" t="s">
        <v>108</v>
      </c>
      <c r="K17374" s="245"/>
      <c r="L17374" s="245">
        <f>K17373</f>
        <v>646103.03000003099</v>
      </c>
    </row>
    <row r="17375" spans="1:13" ht="12" customHeight="1" x14ac:dyDescent="0.2">
      <c r="A17375" s="246">
        <v>2026</v>
      </c>
      <c r="B17375" s="238">
        <v>2</v>
      </c>
      <c r="C17375" s="238">
        <v>8</v>
      </c>
      <c r="D17375" s="270">
        <f t="shared" si="2754"/>
        <v>46061</v>
      </c>
      <c r="E17375" s="279">
        <f t="shared" si="2755"/>
        <v>46061</v>
      </c>
      <c r="F17375" s="482" t="s">
        <v>148</v>
      </c>
      <c r="G17375" s="247" t="s">
        <v>94</v>
      </c>
      <c r="H17375" s="247"/>
      <c r="I17375" s="248" t="s">
        <v>348</v>
      </c>
      <c r="J17375" s="249" t="s">
        <v>95</v>
      </c>
      <c r="K17375" s="250">
        <v>1177.3940345368917</v>
      </c>
      <c r="L17375" s="241"/>
      <c r="M17375" s="176"/>
    </row>
    <row r="17376" spans="1:13" x14ac:dyDescent="0.2">
      <c r="A17376" s="242">
        <v>2026</v>
      </c>
      <c r="B17376" s="242">
        <v>2</v>
      </c>
      <c r="C17376" s="242">
        <v>8</v>
      </c>
      <c r="D17376" s="270">
        <f t="shared" si="2754"/>
        <v>46061</v>
      </c>
      <c r="E17376" s="279">
        <f t="shared" si="2755"/>
        <v>46061</v>
      </c>
      <c r="F17376" s="478"/>
      <c r="G17376" s="243" t="s">
        <v>94</v>
      </c>
      <c r="H17376" s="243"/>
      <c r="I17376" s="263" t="s">
        <v>348</v>
      </c>
      <c r="J17376" s="244" t="s">
        <v>63</v>
      </c>
      <c r="K17376" s="245"/>
      <c r="L17376" s="245">
        <f>K17375</f>
        <v>1177.3940345368917</v>
      </c>
    </row>
    <row r="17377" spans="1:14" x14ac:dyDescent="0.2">
      <c r="A17377" s="246">
        <v>2026</v>
      </c>
      <c r="B17377" s="238">
        <v>2</v>
      </c>
      <c r="C17377" s="238">
        <v>8</v>
      </c>
      <c r="D17377" s="270">
        <f t="shared" si="2754"/>
        <v>46061</v>
      </c>
      <c r="E17377" s="279">
        <f t="shared" si="2755"/>
        <v>46061</v>
      </c>
      <c r="F17377" s="482" t="s">
        <v>137</v>
      </c>
      <c r="G17377" s="247" t="s">
        <v>94</v>
      </c>
      <c r="H17377" s="247"/>
      <c r="I17377" s="248" t="s">
        <v>348</v>
      </c>
      <c r="J17377" s="249" t="s">
        <v>97</v>
      </c>
      <c r="K17377" s="250">
        <v>44420.552972249963</v>
      </c>
      <c r="L17377" s="252"/>
      <c r="M17377" s="170">
        <v>14806.850990749987</v>
      </c>
    </row>
    <row r="17378" spans="1:14" x14ac:dyDescent="0.2">
      <c r="A17378" s="242">
        <v>2026</v>
      </c>
      <c r="B17378" s="242">
        <v>2</v>
      </c>
      <c r="C17378" s="242">
        <v>8</v>
      </c>
      <c r="D17378" s="270">
        <f t="shared" si="2754"/>
        <v>46061</v>
      </c>
      <c r="E17378" s="279">
        <f t="shared" si="2755"/>
        <v>46061</v>
      </c>
      <c r="F17378" s="478"/>
      <c r="G17378" s="243" t="s">
        <v>94</v>
      </c>
      <c r="H17378" s="243"/>
      <c r="I17378" s="263" t="s">
        <v>348</v>
      </c>
      <c r="J17378" s="244" t="s">
        <v>47</v>
      </c>
      <c r="K17378" s="245"/>
      <c r="L17378" s="245">
        <f>K17377</f>
        <v>44420.552972249963</v>
      </c>
      <c r="M17378" s="170">
        <v>712.3981246580579</v>
      </c>
    </row>
    <row r="17379" spans="1:14" x14ac:dyDescent="0.2">
      <c r="A17379" s="246">
        <v>2026</v>
      </c>
      <c r="B17379" s="238">
        <v>2</v>
      </c>
      <c r="C17379" s="238">
        <v>8</v>
      </c>
      <c r="D17379" s="270">
        <f t="shared" si="2754"/>
        <v>46061</v>
      </c>
      <c r="E17379" s="279">
        <f t="shared" si="2755"/>
        <v>46061</v>
      </c>
      <c r="F17379" s="482" t="s">
        <v>138</v>
      </c>
      <c r="G17379" s="247" t="s">
        <v>94</v>
      </c>
      <c r="H17379" s="247"/>
      <c r="I17379" s="248" t="s">
        <v>348</v>
      </c>
      <c r="J17379" s="249" t="s">
        <v>100</v>
      </c>
      <c r="K17379" s="250">
        <v>2137.1943739741737</v>
      </c>
      <c r="L17379" s="252"/>
    </row>
    <row r="17380" spans="1:14" x14ac:dyDescent="0.2">
      <c r="A17380" s="242">
        <v>2026</v>
      </c>
      <c r="B17380" s="242">
        <v>2</v>
      </c>
      <c r="C17380" s="242">
        <v>8</v>
      </c>
      <c r="D17380" s="321">
        <f t="shared" si="2754"/>
        <v>46061</v>
      </c>
      <c r="E17380" s="322">
        <f t="shared" si="2755"/>
        <v>46061</v>
      </c>
      <c r="F17380" s="478"/>
      <c r="G17380" s="243" t="s">
        <v>94</v>
      </c>
      <c r="H17380" s="243"/>
      <c r="I17380" s="263" t="s">
        <v>348</v>
      </c>
      <c r="J17380" s="244" t="s">
        <v>48</v>
      </c>
      <c r="K17380" s="245"/>
      <c r="L17380" s="245">
        <f>K17379</f>
        <v>2137.1943739741737</v>
      </c>
    </row>
    <row r="17381" spans="1:14" ht="11.25" customHeight="1" x14ac:dyDescent="0.2">
      <c r="A17381" s="168">
        <v>2026</v>
      </c>
      <c r="B17381" s="168">
        <v>2</v>
      </c>
      <c r="C17381" s="133">
        <v>9</v>
      </c>
      <c r="D17381" s="141">
        <f t="shared" ref="D17381:D17388" si="2756">DATE(A17381,B17381,C17381)</f>
        <v>46062</v>
      </c>
      <c r="E17381" s="275">
        <f t="shared" ref="E17381:E17388" si="2757">DATE(A17381,B17381,C17381)</f>
        <v>46062</v>
      </c>
      <c r="F17381" s="479" t="s">
        <v>1319</v>
      </c>
      <c r="G17381" s="220" t="s">
        <v>74</v>
      </c>
      <c r="H17381" s="142"/>
      <c r="I17381" s="142"/>
      <c r="J17381" s="168" t="s">
        <v>52</v>
      </c>
      <c r="K17381" s="226">
        <v>25000</v>
      </c>
      <c r="L17381" s="226"/>
    </row>
    <row r="17382" spans="1:14" ht="11.25" customHeight="1" x14ac:dyDescent="0.2">
      <c r="A17382" s="133">
        <v>2026</v>
      </c>
      <c r="B17382" s="133">
        <v>2</v>
      </c>
      <c r="C17382" s="133">
        <v>9</v>
      </c>
      <c r="D17382" s="147">
        <f t="shared" si="2756"/>
        <v>46062</v>
      </c>
      <c r="E17382" s="311">
        <f t="shared" si="2757"/>
        <v>46062</v>
      </c>
      <c r="F17382" s="481"/>
      <c r="G17382" s="174" t="s">
        <v>74</v>
      </c>
      <c r="J17382" s="133" t="s">
        <v>13</v>
      </c>
      <c r="K17382" s="218"/>
      <c r="L17382" s="218">
        <v>17030</v>
      </c>
    </row>
    <row r="17383" spans="1:14" ht="11.25" customHeight="1" x14ac:dyDescent="0.2">
      <c r="A17383" s="163">
        <v>2026</v>
      </c>
      <c r="B17383" s="163">
        <v>2</v>
      </c>
      <c r="C17383" s="163">
        <v>9</v>
      </c>
      <c r="D17383" s="144">
        <f t="shared" si="2756"/>
        <v>46062</v>
      </c>
      <c r="E17383" s="313">
        <f t="shared" si="2757"/>
        <v>46062</v>
      </c>
      <c r="F17383" s="480"/>
      <c r="G17383" s="221" t="s">
        <v>74</v>
      </c>
      <c r="H17383" s="145"/>
      <c r="I17383" s="145"/>
      <c r="J17383" s="163" t="s">
        <v>53</v>
      </c>
      <c r="K17383" s="219"/>
      <c r="L17383" s="219">
        <v>7970</v>
      </c>
    </row>
    <row r="17384" spans="1:14" ht="11.25" customHeight="1" x14ac:dyDescent="0.2">
      <c r="A17384" s="168">
        <v>2026</v>
      </c>
      <c r="B17384" s="168">
        <v>2</v>
      </c>
      <c r="C17384" s="133">
        <v>9</v>
      </c>
      <c r="D17384" s="141">
        <f t="shared" si="2756"/>
        <v>46062</v>
      </c>
      <c r="E17384" s="275">
        <f t="shared" si="2757"/>
        <v>46062</v>
      </c>
      <c r="F17384" s="479" t="s">
        <v>964</v>
      </c>
      <c r="G17384" s="220" t="s">
        <v>74</v>
      </c>
      <c r="H17384" s="142"/>
      <c r="I17384" s="142"/>
      <c r="J17384" s="168" t="s">
        <v>52</v>
      </c>
      <c r="K17384" s="226">
        <v>1700000</v>
      </c>
      <c r="L17384" s="226"/>
    </row>
    <row r="17385" spans="1:14" ht="11.25" customHeight="1" x14ac:dyDescent="0.2">
      <c r="A17385" s="133">
        <v>2026</v>
      </c>
      <c r="B17385" s="133">
        <v>2</v>
      </c>
      <c r="C17385" s="133">
        <v>9</v>
      </c>
      <c r="D17385" s="147">
        <f t="shared" si="2756"/>
        <v>46062</v>
      </c>
      <c r="E17385" s="311">
        <f t="shared" si="2757"/>
        <v>46062</v>
      </c>
      <c r="F17385" s="481"/>
      <c r="G17385" s="174" t="s">
        <v>74</v>
      </c>
      <c r="J17385" s="133" t="s">
        <v>13</v>
      </c>
      <c r="K17385" s="218"/>
      <c r="L17385" s="218">
        <v>1158280</v>
      </c>
    </row>
    <row r="17386" spans="1:14" ht="11.25" customHeight="1" x14ac:dyDescent="0.2">
      <c r="A17386" s="163">
        <v>2026</v>
      </c>
      <c r="B17386" s="163">
        <v>2</v>
      </c>
      <c r="C17386" s="163">
        <v>9</v>
      </c>
      <c r="D17386" s="144">
        <f t="shared" si="2756"/>
        <v>46062</v>
      </c>
      <c r="E17386" s="313">
        <f t="shared" si="2757"/>
        <v>46062</v>
      </c>
      <c r="F17386" s="480"/>
      <c r="G17386" s="221" t="s">
        <v>74</v>
      </c>
      <c r="H17386" s="145"/>
      <c r="I17386" s="145"/>
      <c r="J17386" s="163" t="s">
        <v>53</v>
      </c>
      <c r="K17386" s="219"/>
      <c r="L17386" s="219">
        <v>541720</v>
      </c>
    </row>
    <row r="17387" spans="1:14" x14ac:dyDescent="0.2">
      <c r="A17387" s="168">
        <v>2026</v>
      </c>
      <c r="B17387" s="168">
        <v>2</v>
      </c>
      <c r="C17387" s="168">
        <v>9</v>
      </c>
      <c r="D17387" s="141">
        <f t="shared" si="2756"/>
        <v>46062</v>
      </c>
      <c r="E17387" s="275">
        <f t="shared" si="2757"/>
        <v>46062</v>
      </c>
      <c r="F17387" s="479" t="s">
        <v>1943</v>
      </c>
      <c r="G17387" s="174" t="s">
        <v>74</v>
      </c>
      <c r="I17387" s="148" t="s">
        <v>348</v>
      </c>
      <c r="J17387" s="133" t="s">
        <v>61</v>
      </c>
      <c r="K17387" s="172">
        <v>120</v>
      </c>
    </row>
    <row r="17388" spans="1:14" x14ac:dyDescent="0.2">
      <c r="A17388" s="163">
        <v>2026</v>
      </c>
      <c r="B17388" s="163">
        <v>2</v>
      </c>
      <c r="C17388" s="163">
        <v>9</v>
      </c>
      <c r="D17388" s="144">
        <f t="shared" si="2756"/>
        <v>46062</v>
      </c>
      <c r="E17388" s="313">
        <f t="shared" si="2757"/>
        <v>46062</v>
      </c>
      <c r="F17388" s="480"/>
      <c r="G17388" s="221" t="s">
        <v>74</v>
      </c>
      <c r="H17388" s="145"/>
      <c r="I17388" s="145" t="s">
        <v>348</v>
      </c>
      <c r="J17388" s="163" t="s">
        <v>52</v>
      </c>
      <c r="K17388" s="219"/>
      <c r="L17388" s="219">
        <f>K17387</f>
        <v>120</v>
      </c>
    </row>
    <row r="17389" spans="1:14" x14ac:dyDescent="0.2">
      <c r="A17389" s="133">
        <v>2026</v>
      </c>
      <c r="B17389" s="133">
        <v>2</v>
      </c>
      <c r="C17389" s="133">
        <v>9</v>
      </c>
      <c r="D17389" s="147">
        <f t="shared" ref="D17389:D17419" si="2758">DATE(A17389,B17389,C17389)</f>
        <v>46062</v>
      </c>
      <c r="E17389" s="311">
        <f t="shared" ref="E17389:E17419" si="2759">DATE(A17389,B17389,C17389)</f>
        <v>46062</v>
      </c>
      <c r="F17389" s="481" t="s">
        <v>2115</v>
      </c>
      <c r="G17389" s="174" t="s">
        <v>94</v>
      </c>
      <c r="H17389" s="174"/>
      <c r="J17389" s="149" t="s">
        <v>79</v>
      </c>
      <c r="K17389" s="218">
        <v>3713757.4</v>
      </c>
      <c r="L17389" s="218"/>
    </row>
    <row r="17390" spans="1:14" x14ac:dyDescent="0.2">
      <c r="A17390" s="133">
        <v>2026</v>
      </c>
      <c r="B17390" s="133">
        <v>2</v>
      </c>
      <c r="C17390" s="133">
        <v>9</v>
      </c>
      <c r="D17390" s="147">
        <f t="shared" si="2758"/>
        <v>46062</v>
      </c>
      <c r="E17390" s="311">
        <f t="shared" si="2759"/>
        <v>46062</v>
      </c>
      <c r="F17390" s="481"/>
      <c r="G17390" s="174" t="s">
        <v>94</v>
      </c>
      <c r="H17390" s="174"/>
      <c r="J17390" s="149" t="s">
        <v>80</v>
      </c>
      <c r="K17390" s="218">
        <v>17856.87</v>
      </c>
      <c r="L17390" s="264"/>
      <c r="M17390" s="264"/>
      <c r="N17390" s="264"/>
    </row>
    <row r="17391" spans="1:14" x14ac:dyDescent="0.2">
      <c r="A17391" s="133">
        <v>2026</v>
      </c>
      <c r="B17391" s="133">
        <v>2</v>
      </c>
      <c r="C17391" s="133">
        <v>9</v>
      </c>
      <c r="D17391" s="147">
        <f t="shared" si="2758"/>
        <v>46062</v>
      </c>
      <c r="E17391" s="311">
        <f t="shared" si="2759"/>
        <v>46062</v>
      </c>
      <c r="F17391" s="481"/>
      <c r="G17391" s="174" t="s">
        <v>94</v>
      </c>
      <c r="H17391" s="174"/>
      <c r="J17391" s="149" t="s">
        <v>190</v>
      </c>
      <c r="K17391" s="218">
        <v>2475111.63</v>
      </c>
      <c r="L17391" s="218"/>
      <c r="M17391" s="264"/>
    </row>
    <row r="17392" spans="1:14" x14ac:dyDescent="0.2">
      <c r="A17392" s="133">
        <v>2026</v>
      </c>
      <c r="B17392" s="133">
        <v>2</v>
      </c>
      <c r="C17392" s="133">
        <v>9</v>
      </c>
      <c r="D17392" s="147">
        <f t="shared" si="2758"/>
        <v>46062</v>
      </c>
      <c r="E17392" s="311">
        <f t="shared" si="2759"/>
        <v>46062</v>
      </c>
      <c r="F17392" s="481"/>
      <c r="G17392" s="174" t="s">
        <v>94</v>
      </c>
      <c r="H17392" s="174"/>
      <c r="J17392" s="149" t="s">
        <v>191</v>
      </c>
      <c r="K17392" s="218"/>
      <c r="L17392" s="218">
        <v>85096.22</v>
      </c>
    </row>
    <row r="17393" spans="1:13" x14ac:dyDescent="0.2">
      <c r="A17393" s="163">
        <v>2026</v>
      </c>
      <c r="B17393" s="163">
        <v>2</v>
      </c>
      <c r="C17393" s="163">
        <v>9</v>
      </c>
      <c r="D17393" s="144">
        <f t="shared" si="2758"/>
        <v>46062</v>
      </c>
      <c r="E17393" s="313">
        <f t="shared" si="2759"/>
        <v>46062</v>
      </c>
      <c r="F17393" s="480"/>
      <c r="G17393" s="221" t="s">
        <v>94</v>
      </c>
      <c r="H17393" s="145"/>
      <c r="I17393" s="145"/>
      <c r="J17393" s="163" t="s">
        <v>79</v>
      </c>
      <c r="K17393" s="219"/>
      <c r="L17393" s="219">
        <v>6121629.6799999997</v>
      </c>
      <c r="M17393" s="264"/>
    </row>
    <row r="17394" spans="1:13" x14ac:dyDescent="0.2">
      <c r="A17394" s="168">
        <v>2026</v>
      </c>
      <c r="B17394" s="168">
        <v>2</v>
      </c>
      <c r="C17394" s="168">
        <v>9</v>
      </c>
      <c r="D17394" s="141">
        <f t="shared" si="2758"/>
        <v>46062</v>
      </c>
      <c r="E17394" s="275">
        <f t="shared" si="2759"/>
        <v>46062</v>
      </c>
      <c r="F17394" s="479" t="s">
        <v>1947</v>
      </c>
      <c r="G17394" s="220" t="s">
        <v>74</v>
      </c>
      <c r="H17394" s="220"/>
      <c r="I17394" s="142"/>
      <c r="J17394" s="143" t="s">
        <v>52</v>
      </c>
      <c r="K17394" s="226">
        <v>4500000</v>
      </c>
      <c r="L17394" s="226"/>
    </row>
    <row r="17395" spans="1:13" x14ac:dyDescent="0.2">
      <c r="A17395" s="163">
        <v>2026</v>
      </c>
      <c r="B17395" s="163">
        <v>2</v>
      </c>
      <c r="C17395" s="163">
        <v>9</v>
      </c>
      <c r="D17395" s="141">
        <f t="shared" si="2758"/>
        <v>46062</v>
      </c>
      <c r="E17395" s="275">
        <f t="shared" si="2759"/>
        <v>46062</v>
      </c>
      <c r="F17395" s="481"/>
      <c r="G17395" s="174" t="s">
        <v>74</v>
      </c>
      <c r="H17395" s="174" t="str" cm="1">
        <f t="array" ref="H17395">IFERROR(INDEX(INVESTOR_LIST[INVESTOR NAME],MATCH(I17395,INVESTOR_LIST[INVESTOR CODE],0),)," ")</f>
        <v xml:space="preserve"> </v>
      </c>
      <c r="I17395" s="148" t="s">
        <v>348</v>
      </c>
      <c r="J17395" s="149" t="s">
        <v>96</v>
      </c>
      <c r="K17395" s="218"/>
      <c r="L17395" s="218">
        <v>4500000</v>
      </c>
    </row>
    <row r="17396" spans="1:13" x14ac:dyDescent="0.2">
      <c r="A17396" s="168">
        <v>2026</v>
      </c>
      <c r="B17396" s="168">
        <v>2</v>
      </c>
      <c r="C17396" s="168">
        <v>9</v>
      </c>
      <c r="D17396" s="141">
        <f t="shared" si="2758"/>
        <v>46062</v>
      </c>
      <c r="E17396" s="275">
        <f t="shared" si="2759"/>
        <v>46062</v>
      </c>
      <c r="F17396" s="479" t="s">
        <v>1948</v>
      </c>
      <c r="G17396" s="220" t="s">
        <v>74</v>
      </c>
      <c r="H17396" s="220"/>
      <c r="I17396" s="142"/>
      <c r="J17396" s="143" t="s">
        <v>52</v>
      </c>
      <c r="K17396" s="226">
        <v>1500000</v>
      </c>
      <c r="L17396" s="226"/>
    </row>
    <row r="17397" spans="1:13" x14ac:dyDescent="0.2">
      <c r="A17397" s="163">
        <v>2026</v>
      </c>
      <c r="B17397" s="163">
        <v>2</v>
      </c>
      <c r="C17397" s="163">
        <v>9</v>
      </c>
      <c r="D17397" s="141">
        <f t="shared" si="2758"/>
        <v>46062</v>
      </c>
      <c r="E17397" s="275">
        <f t="shared" si="2759"/>
        <v>46062</v>
      </c>
      <c r="F17397" s="481"/>
      <c r="G17397" s="174" t="s">
        <v>74</v>
      </c>
      <c r="H17397" s="174" t="str" cm="1">
        <f t="array" ref="H17397">IFERROR(INDEX(INVESTOR_LIST[INVESTOR NAME],MATCH(I17397,INVESTOR_LIST[INVESTOR CODE],0),)," ")</f>
        <v xml:space="preserve"> </v>
      </c>
      <c r="I17397" s="148" t="s">
        <v>348</v>
      </c>
      <c r="J17397" s="149" t="s">
        <v>96</v>
      </c>
      <c r="K17397" s="218"/>
      <c r="L17397" s="218">
        <v>1500000</v>
      </c>
    </row>
    <row r="17398" spans="1:13" x14ac:dyDescent="0.2">
      <c r="A17398" s="168">
        <v>2026</v>
      </c>
      <c r="B17398" s="168">
        <v>2</v>
      </c>
      <c r="C17398" s="168">
        <v>9</v>
      </c>
      <c r="D17398" s="141">
        <f t="shared" si="2758"/>
        <v>46062</v>
      </c>
      <c r="E17398" s="275">
        <f t="shared" si="2759"/>
        <v>46062</v>
      </c>
      <c r="F17398" s="479" t="s">
        <v>1950</v>
      </c>
      <c r="G17398" s="220" t="s">
        <v>74</v>
      </c>
      <c r="H17398" s="142"/>
      <c r="I17398" s="142" t="s">
        <v>348</v>
      </c>
      <c r="J17398" s="168" t="s">
        <v>61</v>
      </c>
      <c r="K17398" s="226">
        <v>18000</v>
      </c>
      <c r="L17398" s="226"/>
    </row>
    <row r="17399" spans="1:13" x14ac:dyDescent="0.2">
      <c r="A17399" s="163">
        <v>2026</v>
      </c>
      <c r="B17399" s="163">
        <v>2</v>
      </c>
      <c r="C17399" s="163">
        <v>9</v>
      </c>
      <c r="D17399" s="144">
        <f t="shared" si="2758"/>
        <v>46062</v>
      </c>
      <c r="E17399" s="313">
        <f t="shared" si="2759"/>
        <v>46062</v>
      </c>
      <c r="F17399" s="480"/>
      <c r="G17399" s="221" t="s">
        <v>74</v>
      </c>
      <c r="H17399" s="145"/>
      <c r="I17399" s="145" t="s">
        <v>348</v>
      </c>
      <c r="J17399" s="163" t="s">
        <v>52</v>
      </c>
      <c r="K17399" s="219"/>
      <c r="L17399" s="219">
        <f>K17398</f>
        <v>18000</v>
      </c>
    </row>
    <row r="17400" spans="1:13" x14ac:dyDescent="0.2">
      <c r="A17400" s="325">
        <v>2026</v>
      </c>
      <c r="B17400" s="325">
        <v>2</v>
      </c>
      <c r="C17400" s="325">
        <v>9</v>
      </c>
      <c r="D17400" s="326">
        <f t="shared" si="2758"/>
        <v>46062</v>
      </c>
      <c r="E17400" s="327">
        <f t="shared" si="2759"/>
        <v>46062</v>
      </c>
      <c r="F17400" s="473" t="s">
        <v>2131</v>
      </c>
      <c r="G17400" s="340" t="s">
        <v>94</v>
      </c>
      <c r="H17400" s="340"/>
      <c r="I17400" s="341" t="s">
        <v>348</v>
      </c>
      <c r="J17400" s="374" t="s">
        <v>2156</v>
      </c>
      <c r="K17400" s="375">
        <v>6185.4395604395604</v>
      </c>
      <c r="L17400" s="375"/>
      <c r="M17400" s="176"/>
    </row>
    <row r="17401" spans="1:13" x14ac:dyDescent="0.2">
      <c r="A17401" s="331">
        <v>2026</v>
      </c>
      <c r="B17401" s="331">
        <v>2</v>
      </c>
      <c r="C17401" s="331">
        <v>9</v>
      </c>
      <c r="D17401" s="326">
        <f t="shared" si="2758"/>
        <v>46062</v>
      </c>
      <c r="E17401" s="327">
        <f t="shared" si="2759"/>
        <v>46062</v>
      </c>
      <c r="F17401" s="474"/>
      <c r="G17401" s="332" t="s">
        <v>94</v>
      </c>
      <c r="H17401" s="332"/>
      <c r="I17401" s="333" t="s">
        <v>348</v>
      </c>
      <c r="J17401" s="376" t="s">
        <v>2154</v>
      </c>
      <c r="K17401" s="334"/>
      <c r="L17401" s="334">
        <f>K17400</f>
        <v>6185.4395604395604</v>
      </c>
    </row>
    <row r="17402" spans="1:13" x14ac:dyDescent="0.2">
      <c r="A17402" s="384">
        <v>2026</v>
      </c>
      <c r="B17402" s="384">
        <v>2</v>
      </c>
      <c r="C17402" s="384">
        <v>9</v>
      </c>
      <c r="D17402" s="385">
        <f t="shared" si="2758"/>
        <v>46062</v>
      </c>
      <c r="E17402" s="386">
        <f t="shared" si="2759"/>
        <v>46062</v>
      </c>
      <c r="F17402" s="475" t="s">
        <v>1966</v>
      </c>
      <c r="G17402" s="387" t="s">
        <v>94</v>
      </c>
      <c r="H17402" s="387"/>
      <c r="I17402" s="388" t="s">
        <v>348</v>
      </c>
      <c r="J17402" s="389" t="s">
        <v>67</v>
      </c>
      <c r="K17402" s="390">
        <v>2310.1236583333339</v>
      </c>
      <c r="L17402" s="390"/>
    </row>
    <row r="17403" spans="1:13" x14ac:dyDescent="0.2">
      <c r="A17403" s="391">
        <v>2026</v>
      </c>
      <c r="B17403" s="391">
        <v>2</v>
      </c>
      <c r="C17403" s="391">
        <v>9</v>
      </c>
      <c r="D17403" s="385">
        <f t="shared" si="2758"/>
        <v>46062</v>
      </c>
      <c r="E17403" s="386">
        <f t="shared" si="2759"/>
        <v>46062</v>
      </c>
      <c r="F17403" s="476"/>
      <c r="G17403" s="392" t="s">
        <v>94</v>
      </c>
      <c r="H17403" s="392"/>
      <c r="I17403" s="393" t="s">
        <v>348</v>
      </c>
      <c r="J17403" s="394" t="s">
        <v>2155</v>
      </c>
      <c r="K17403" s="395"/>
      <c r="L17403" s="395">
        <f>K17402</f>
        <v>2310.1236583333339</v>
      </c>
    </row>
    <row r="17404" spans="1:13" x14ac:dyDescent="0.2">
      <c r="A17404" s="238">
        <v>2026</v>
      </c>
      <c r="B17404" s="238">
        <v>2</v>
      </c>
      <c r="C17404" s="238">
        <v>9</v>
      </c>
      <c r="D17404" s="270">
        <f t="shared" si="2758"/>
        <v>46062</v>
      </c>
      <c r="E17404" s="279">
        <f t="shared" si="2759"/>
        <v>46062</v>
      </c>
      <c r="F17404" s="477" t="s">
        <v>347</v>
      </c>
      <c r="G17404" s="239" t="s">
        <v>94</v>
      </c>
      <c r="H17404" s="239"/>
      <c r="I17404" s="262" t="s">
        <v>348</v>
      </c>
      <c r="J17404" s="240" t="s">
        <v>108</v>
      </c>
      <c r="K17404" s="241">
        <v>3609061.9800000489</v>
      </c>
      <c r="L17404" s="241"/>
      <c r="M17404" s="160"/>
    </row>
    <row r="17405" spans="1:13" x14ac:dyDescent="0.2">
      <c r="A17405" s="242">
        <v>2026</v>
      </c>
      <c r="B17405" s="242">
        <v>2</v>
      </c>
      <c r="C17405" s="242">
        <v>9</v>
      </c>
      <c r="D17405" s="270">
        <f t="shared" si="2758"/>
        <v>46062</v>
      </c>
      <c r="E17405" s="279">
        <f t="shared" si="2759"/>
        <v>46062</v>
      </c>
      <c r="F17405" s="478"/>
      <c r="G17405" s="243" t="s">
        <v>94</v>
      </c>
      <c r="H17405" s="243"/>
      <c r="I17405" s="263" t="s">
        <v>348</v>
      </c>
      <c r="J17405" s="244" t="s">
        <v>82</v>
      </c>
      <c r="K17405" s="245"/>
      <c r="L17405" s="245">
        <f>K17404</f>
        <v>3609061.9800000489</v>
      </c>
    </row>
    <row r="17406" spans="1:13" ht="12" customHeight="1" x14ac:dyDescent="0.2">
      <c r="A17406" s="246">
        <v>2026</v>
      </c>
      <c r="B17406" s="238">
        <v>2</v>
      </c>
      <c r="C17406" s="238">
        <v>9</v>
      </c>
      <c r="D17406" s="270">
        <f t="shared" si="2758"/>
        <v>46062</v>
      </c>
      <c r="E17406" s="279">
        <f t="shared" si="2759"/>
        <v>46062</v>
      </c>
      <c r="F17406" s="482" t="s">
        <v>2167</v>
      </c>
      <c r="G17406" s="247" t="s">
        <v>94</v>
      </c>
      <c r="H17406" s="247"/>
      <c r="I17406" s="248" t="s">
        <v>348</v>
      </c>
      <c r="J17406" s="249" t="s">
        <v>95</v>
      </c>
      <c r="K17406" s="250">
        <v>392.46467817896388</v>
      </c>
      <c r="L17406" s="241"/>
      <c r="M17406" s="176"/>
    </row>
    <row r="17407" spans="1:13" x14ac:dyDescent="0.2">
      <c r="A17407" s="242">
        <v>2026</v>
      </c>
      <c r="B17407" s="242">
        <v>2</v>
      </c>
      <c r="C17407" s="242">
        <v>9</v>
      </c>
      <c r="D17407" s="270">
        <f t="shared" si="2758"/>
        <v>46062</v>
      </c>
      <c r="E17407" s="279">
        <f t="shared" si="2759"/>
        <v>46062</v>
      </c>
      <c r="F17407" s="478"/>
      <c r="G17407" s="243" t="s">
        <v>94</v>
      </c>
      <c r="H17407" s="243"/>
      <c r="I17407" s="263" t="s">
        <v>348</v>
      </c>
      <c r="J17407" s="244" t="s">
        <v>63</v>
      </c>
      <c r="K17407" s="245"/>
      <c r="L17407" s="245">
        <f>K17406</f>
        <v>392.46467817896388</v>
      </c>
    </row>
    <row r="17408" spans="1:13" x14ac:dyDescent="0.2">
      <c r="A17408" s="246">
        <v>2026</v>
      </c>
      <c r="B17408" s="238">
        <v>2</v>
      </c>
      <c r="C17408" s="238">
        <v>9</v>
      </c>
      <c r="D17408" s="270">
        <f t="shared" si="2758"/>
        <v>46062</v>
      </c>
      <c r="E17408" s="279">
        <f t="shared" si="2759"/>
        <v>46062</v>
      </c>
      <c r="F17408" s="482" t="s">
        <v>2168</v>
      </c>
      <c r="G17408" s="247" t="s">
        <v>94</v>
      </c>
      <c r="H17408" s="247"/>
      <c r="I17408" s="248" t="s">
        <v>348</v>
      </c>
      <c r="J17408" s="249" t="s">
        <v>97</v>
      </c>
      <c r="K17408" s="250">
        <v>15020.166981849032</v>
      </c>
      <c r="L17408" s="252"/>
      <c r="M17408" s="170">
        <v>15020.166981849032</v>
      </c>
    </row>
    <row r="17409" spans="1:17" x14ac:dyDescent="0.2">
      <c r="A17409" s="242">
        <v>2026</v>
      </c>
      <c r="B17409" s="242">
        <v>2</v>
      </c>
      <c r="C17409" s="242">
        <v>9</v>
      </c>
      <c r="D17409" s="270">
        <f t="shared" si="2758"/>
        <v>46062</v>
      </c>
      <c r="E17409" s="279">
        <f t="shared" si="2759"/>
        <v>46062</v>
      </c>
      <c r="F17409" s="478"/>
      <c r="G17409" s="243" t="s">
        <v>94</v>
      </c>
      <c r="H17409" s="243"/>
      <c r="I17409" s="263" t="s">
        <v>348</v>
      </c>
      <c r="J17409" s="244" t="s">
        <v>47</v>
      </c>
      <c r="K17409" s="245"/>
      <c r="L17409" s="245">
        <f>K17408</f>
        <v>15020.166981849032</v>
      </c>
      <c r="M17409" s="170">
        <v>726.61919073132719</v>
      </c>
    </row>
    <row r="17410" spans="1:17" x14ac:dyDescent="0.2">
      <c r="A17410" s="246">
        <v>2026</v>
      </c>
      <c r="B17410" s="238">
        <v>2</v>
      </c>
      <c r="C17410" s="238">
        <v>9</v>
      </c>
      <c r="D17410" s="270">
        <f t="shared" si="2758"/>
        <v>46062</v>
      </c>
      <c r="E17410" s="279">
        <f t="shared" si="2759"/>
        <v>46062</v>
      </c>
      <c r="F17410" s="482" t="s">
        <v>2169</v>
      </c>
      <c r="G17410" s="247" t="s">
        <v>94</v>
      </c>
      <c r="H17410" s="247"/>
      <c r="I17410" s="248" t="s">
        <v>348</v>
      </c>
      <c r="J17410" s="249" t="s">
        <v>100</v>
      </c>
      <c r="K17410" s="250">
        <v>726.61919073132719</v>
      </c>
      <c r="L17410" s="252"/>
    </row>
    <row r="17411" spans="1:17" x14ac:dyDescent="0.2">
      <c r="A17411" s="242">
        <v>2026</v>
      </c>
      <c r="B17411" s="242">
        <v>2</v>
      </c>
      <c r="C17411" s="242">
        <v>9</v>
      </c>
      <c r="D17411" s="321">
        <f t="shared" si="2758"/>
        <v>46062</v>
      </c>
      <c r="E17411" s="322">
        <f t="shared" si="2759"/>
        <v>46062</v>
      </c>
      <c r="F17411" s="478"/>
      <c r="G17411" s="243" t="s">
        <v>94</v>
      </c>
      <c r="H17411" s="243"/>
      <c r="I17411" s="263" t="s">
        <v>348</v>
      </c>
      <c r="J17411" s="244" t="s">
        <v>48</v>
      </c>
      <c r="K17411" s="245"/>
      <c r="L17411" s="245">
        <f>K17410</f>
        <v>726.61919073132719</v>
      </c>
    </row>
    <row r="17412" spans="1:17" ht="11.25" customHeight="1" x14ac:dyDescent="0.2">
      <c r="A17412" s="168">
        <v>2026</v>
      </c>
      <c r="B17412" s="168">
        <v>2</v>
      </c>
      <c r="C17412" s="133">
        <v>10</v>
      </c>
      <c r="D17412" s="141">
        <f t="shared" si="2758"/>
        <v>46063</v>
      </c>
      <c r="E17412" s="275">
        <f t="shared" si="2759"/>
        <v>46063</v>
      </c>
      <c r="F17412" s="479" t="s">
        <v>1319</v>
      </c>
      <c r="G17412" s="220" t="s">
        <v>74</v>
      </c>
      <c r="H17412" s="142"/>
      <c r="I17412" s="142"/>
      <c r="J17412" s="168" t="s">
        <v>52</v>
      </c>
      <c r="K17412" s="226">
        <v>13500</v>
      </c>
      <c r="L17412" s="226"/>
    </row>
    <row r="17413" spans="1:17" ht="11.25" customHeight="1" x14ac:dyDescent="0.2">
      <c r="A17413" s="133">
        <v>2026</v>
      </c>
      <c r="B17413" s="133">
        <v>2</v>
      </c>
      <c r="C17413" s="133">
        <v>10</v>
      </c>
      <c r="D17413" s="147">
        <f t="shared" si="2758"/>
        <v>46063</v>
      </c>
      <c r="E17413" s="311">
        <f t="shared" si="2759"/>
        <v>46063</v>
      </c>
      <c r="F17413" s="481"/>
      <c r="G17413" s="174" t="s">
        <v>74</v>
      </c>
      <c r="J17413" s="133" t="s">
        <v>13</v>
      </c>
      <c r="K17413" s="218"/>
      <c r="L17413" s="218">
        <v>9070</v>
      </c>
    </row>
    <row r="17414" spans="1:17" ht="11.25" customHeight="1" x14ac:dyDescent="0.2">
      <c r="A17414" s="163">
        <v>2026</v>
      </c>
      <c r="B17414" s="163">
        <v>2</v>
      </c>
      <c r="C17414" s="163">
        <v>10</v>
      </c>
      <c r="D17414" s="144">
        <f t="shared" si="2758"/>
        <v>46063</v>
      </c>
      <c r="E17414" s="313">
        <f t="shared" si="2759"/>
        <v>46063</v>
      </c>
      <c r="F17414" s="480"/>
      <c r="G17414" s="221" t="s">
        <v>74</v>
      </c>
      <c r="H17414" s="145"/>
      <c r="I17414" s="145"/>
      <c r="J17414" s="163" t="s">
        <v>53</v>
      </c>
      <c r="K17414" s="219"/>
      <c r="L17414" s="219">
        <v>4430</v>
      </c>
    </row>
    <row r="17415" spans="1:17" ht="11.25" customHeight="1" x14ac:dyDescent="0.2">
      <c r="A17415" s="168">
        <v>2026</v>
      </c>
      <c r="B17415" s="168">
        <v>2</v>
      </c>
      <c r="C17415" s="133">
        <v>10</v>
      </c>
      <c r="D17415" s="141">
        <f t="shared" ref="D17415:D17417" si="2760">DATE(A17415,B17415,C17415)</f>
        <v>46063</v>
      </c>
      <c r="E17415" s="275">
        <f t="shared" ref="E17415:E17417" si="2761">DATE(A17415,B17415,C17415)</f>
        <v>46063</v>
      </c>
      <c r="F17415" s="479" t="s">
        <v>964</v>
      </c>
      <c r="G17415" s="220" t="s">
        <v>74</v>
      </c>
      <c r="H17415" s="142"/>
      <c r="I17415" s="142"/>
      <c r="J17415" s="168" t="s">
        <v>52</v>
      </c>
      <c r="K17415" s="226">
        <v>300000</v>
      </c>
      <c r="L17415" s="226"/>
    </row>
    <row r="17416" spans="1:17" ht="11.25" customHeight="1" x14ac:dyDescent="0.2">
      <c r="A17416" s="133">
        <v>2026</v>
      </c>
      <c r="B17416" s="133">
        <v>2</v>
      </c>
      <c r="C17416" s="133">
        <v>10</v>
      </c>
      <c r="D17416" s="147">
        <f t="shared" si="2760"/>
        <v>46063</v>
      </c>
      <c r="E17416" s="311">
        <f t="shared" si="2761"/>
        <v>46063</v>
      </c>
      <c r="F17416" s="481"/>
      <c r="G17416" s="174" t="s">
        <v>74</v>
      </c>
      <c r="J17416" s="133" t="s">
        <v>13</v>
      </c>
      <c r="K17416" s="218"/>
      <c r="L17416" s="218">
        <v>201480</v>
      </c>
    </row>
    <row r="17417" spans="1:17" ht="11.25" customHeight="1" x14ac:dyDescent="0.2">
      <c r="A17417" s="163">
        <v>2026</v>
      </c>
      <c r="B17417" s="163">
        <v>2</v>
      </c>
      <c r="C17417" s="163">
        <v>10</v>
      </c>
      <c r="D17417" s="144">
        <f t="shared" si="2760"/>
        <v>46063</v>
      </c>
      <c r="E17417" s="313">
        <f t="shared" si="2761"/>
        <v>46063</v>
      </c>
      <c r="F17417" s="480"/>
      <c r="G17417" s="221" t="s">
        <v>74</v>
      </c>
      <c r="H17417" s="145"/>
      <c r="I17417" s="145"/>
      <c r="J17417" s="163" t="s">
        <v>53</v>
      </c>
      <c r="K17417" s="219"/>
      <c r="L17417" s="219">
        <v>98520</v>
      </c>
    </row>
    <row r="17418" spans="1:17" ht="11.25" customHeight="1" x14ac:dyDescent="0.2">
      <c r="A17418" s="168">
        <v>2026</v>
      </c>
      <c r="B17418" s="168">
        <v>2</v>
      </c>
      <c r="C17418" s="168">
        <v>10</v>
      </c>
      <c r="D17418" s="141">
        <f t="shared" si="2758"/>
        <v>46063</v>
      </c>
      <c r="E17418" s="275">
        <f t="shared" si="2759"/>
        <v>46063</v>
      </c>
      <c r="F17418" s="479" t="s">
        <v>2163</v>
      </c>
      <c r="G17418" s="220" t="s">
        <v>74</v>
      </c>
      <c r="H17418" s="220"/>
      <c r="I17418" s="148" t="s">
        <v>348</v>
      </c>
      <c r="J17418" s="149" t="s">
        <v>147</v>
      </c>
      <c r="K17418" s="218">
        <v>457321.7</v>
      </c>
      <c r="L17418" s="218"/>
      <c r="M17418" s="147"/>
      <c r="Q17418" s="133" t="s">
        <v>348</v>
      </c>
    </row>
    <row r="17419" spans="1:17" x14ac:dyDescent="0.2">
      <c r="A17419" s="163">
        <v>2026</v>
      </c>
      <c r="B17419" s="163">
        <v>2</v>
      </c>
      <c r="C17419" s="163">
        <v>10</v>
      </c>
      <c r="D17419" s="144">
        <f t="shared" si="2758"/>
        <v>46063</v>
      </c>
      <c r="E17419" s="313">
        <f t="shared" si="2759"/>
        <v>46063</v>
      </c>
      <c r="F17419" s="480"/>
      <c r="G17419" s="221" t="s">
        <v>74</v>
      </c>
      <c r="H17419" s="221"/>
      <c r="I17419" s="145" t="s">
        <v>348</v>
      </c>
      <c r="J17419" s="146" t="s">
        <v>52</v>
      </c>
      <c r="K17419" s="219"/>
      <c r="L17419" s="219">
        <f>K17418</f>
        <v>457321.7</v>
      </c>
      <c r="M17419" s="147"/>
      <c r="Q17419" s="133" t="s">
        <v>348</v>
      </c>
    </row>
    <row r="17420" spans="1:17" ht="11.25" customHeight="1" x14ac:dyDescent="0.2">
      <c r="A17420" s="168">
        <v>2026</v>
      </c>
      <c r="B17420" s="168">
        <v>2</v>
      </c>
      <c r="C17420" s="168">
        <v>10</v>
      </c>
      <c r="D17420" s="141">
        <f t="shared" ref="D17420:D17444" si="2762">DATE(A17420,B17420,C17420)</f>
        <v>46063</v>
      </c>
      <c r="E17420" s="275">
        <f t="shared" ref="E17420:E17444" si="2763">DATE(A17420,B17420,C17420)</f>
        <v>46063</v>
      </c>
      <c r="F17420" s="479" t="s">
        <v>2163</v>
      </c>
      <c r="G17420" s="220" t="s">
        <v>74</v>
      </c>
      <c r="H17420" s="220"/>
      <c r="I17420" s="148" t="s">
        <v>348</v>
      </c>
      <c r="J17420" s="149" t="s">
        <v>147</v>
      </c>
      <c r="K17420" s="218">
        <v>48887.839999999997</v>
      </c>
      <c r="L17420" s="218"/>
      <c r="M17420" s="147"/>
      <c r="Q17420" s="133" t="s">
        <v>348</v>
      </c>
    </row>
    <row r="17421" spans="1:17" x14ac:dyDescent="0.2">
      <c r="A17421" s="163">
        <v>2026</v>
      </c>
      <c r="B17421" s="163">
        <v>2</v>
      </c>
      <c r="C17421" s="163">
        <v>10</v>
      </c>
      <c r="D17421" s="144">
        <f t="shared" si="2762"/>
        <v>46063</v>
      </c>
      <c r="E17421" s="313">
        <f t="shared" si="2763"/>
        <v>46063</v>
      </c>
      <c r="F17421" s="480"/>
      <c r="G17421" s="221" t="s">
        <v>74</v>
      </c>
      <c r="H17421" s="221"/>
      <c r="I17421" s="145" t="s">
        <v>348</v>
      </c>
      <c r="J17421" s="146" t="s">
        <v>52</v>
      </c>
      <c r="K17421" s="219"/>
      <c r="L17421" s="219">
        <f>K17420</f>
        <v>48887.839999999997</v>
      </c>
      <c r="M17421" s="147"/>
      <c r="Q17421" s="133" t="s">
        <v>348</v>
      </c>
    </row>
    <row r="17422" spans="1:17" x14ac:dyDescent="0.2">
      <c r="A17422" s="168">
        <v>2026</v>
      </c>
      <c r="B17422" s="168">
        <v>2</v>
      </c>
      <c r="C17422" s="168">
        <v>10</v>
      </c>
      <c r="D17422" s="141">
        <f t="shared" si="2762"/>
        <v>46063</v>
      </c>
      <c r="E17422" s="275">
        <f t="shared" si="2763"/>
        <v>46063</v>
      </c>
      <c r="F17422" s="479" t="s">
        <v>1943</v>
      </c>
      <c r="G17422" s="174" t="s">
        <v>74</v>
      </c>
      <c r="I17422" s="148" t="s">
        <v>348</v>
      </c>
      <c r="J17422" s="133" t="s">
        <v>61</v>
      </c>
      <c r="K17422" s="172">
        <v>68</v>
      </c>
    </row>
    <row r="17423" spans="1:17" x14ac:dyDescent="0.2">
      <c r="A17423" s="163">
        <v>2026</v>
      </c>
      <c r="B17423" s="163">
        <v>2</v>
      </c>
      <c r="C17423" s="163">
        <v>10</v>
      </c>
      <c r="D17423" s="144">
        <f t="shared" si="2762"/>
        <v>46063</v>
      </c>
      <c r="E17423" s="313">
        <f t="shared" si="2763"/>
        <v>46063</v>
      </c>
      <c r="F17423" s="480"/>
      <c r="G17423" s="221" t="s">
        <v>74</v>
      </c>
      <c r="H17423" s="145"/>
      <c r="I17423" s="145" t="s">
        <v>348</v>
      </c>
      <c r="J17423" s="163" t="s">
        <v>52</v>
      </c>
      <c r="K17423" s="219"/>
      <c r="L17423" s="219">
        <f>K17422</f>
        <v>68</v>
      </c>
    </row>
    <row r="17424" spans="1:17" x14ac:dyDescent="0.2">
      <c r="A17424" s="133">
        <v>2026</v>
      </c>
      <c r="B17424" s="133">
        <v>2</v>
      </c>
      <c r="C17424" s="133">
        <v>10</v>
      </c>
      <c r="D17424" s="147">
        <f t="shared" si="2762"/>
        <v>46063</v>
      </c>
      <c r="E17424" s="311">
        <f t="shared" si="2763"/>
        <v>46063</v>
      </c>
      <c r="F17424" s="481" t="s">
        <v>2115</v>
      </c>
      <c r="G17424" s="174" t="s">
        <v>94</v>
      </c>
      <c r="H17424" s="174"/>
      <c r="J17424" s="149" t="s">
        <v>79</v>
      </c>
      <c r="K17424" s="218">
        <v>4386849.0999999996</v>
      </c>
      <c r="L17424" s="218"/>
    </row>
    <row r="17425" spans="1:14" x14ac:dyDescent="0.2">
      <c r="A17425" s="133">
        <v>2026</v>
      </c>
      <c r="B17425" s="133">
        <v>2</v>
      </c>
      <c r="C17425" s="133">
        <v>10</v>
      </c>
      <c r="D17425" s="147">
        <f t="shared" si="2762"/>
        <v>46063</v>
      </c>
      <c r="E17425" s="311">
        <f t="shared" si="2763"/>
        <v>46063</v>
      </c>
      <c r="F17425" s="481"/>
      <c r="G17425" s="174" t="s">
        <v>94</v>
      </c>
      <c r="H17425" s="174"/>
      <c r="J17425" s="149" t="s">
        <v>80</v>
      </c>
      <c r="K17425" s="218">
        <v>20676.18</v>
      </c>
      <c r="L17425" s="264"/>
      <c r="M17425" s="264"/>
      <c r="N17425" s="264"/>
    </row>
    <row r="17426" spans="1:14" x14ac:dyDescent="0.2">
      <c r="A17426" s="133">
        <v>2026</v>
      </c>
      <c r="B17426" s="133">
        <v>2</v>
      </c>
      <c r="C17426" s="133">
        <v>10</v>
      </c>
      <c r="D17426" s="147">
        <f t="shared" si="2762"/>
        <v>46063</v>
      </c>
      <c r="E17426" s="311">
        <f t="shared" si="2763"/>
        <v>46063</v>
      </c>
      <c r="F17426" s="481"/>
      <c r="G17426" s="174" t="s">
        <v>94</v>
      </c>
      <c r="H17426" s="174"/>
      <c r="J17426" s="149" t="s">
        <v>190</v>
      </c>
      <c r="K17426" s="218">
        <v>2692394.72</v>
      </c>
      <c r="L17426" s="218"/>
      <c r="M17426" s="264"/>
    </row>
    <row r="17427" spans="1:14" x14ac:dyDescent="0.2">
      <c r="A17427" s="133">
        <v>2026</v>
      </c>
      <c r="B17427" s="133">
        <v>2</v>
      </c>
      <c r="C17427" s="133">
        <v>10</v>
      </c>
      <c r="D17427" s="147">
        <f t="shared" si="2762"/>
        <v>46063</v>
      </c>
      <c r="E17427" s="311">
        <f t="shared" si="2763"/>
        <v>46063</v>
      </c>
      <c r="F17427" s="481"/>
      <c r="G17427" s="174" t="s">
        <v>94</v>
      </c>
      <c r="H17427" s="174"/>
      <c r="J17427" s="149" t="s">
        <v>191</v>
      </c>
      <c r="K17427" s="218"/>
      <c r="L17427" s="218">
        <v>851375.76</v>
      </c>
    </row>
    <row r="17428" spans="1:14" x14ac:dyDescent="0.2">
      <c r="A17428" s="163">
        <v>2026</v>
      </c>
      <c r="B17428" s="163">
        <v>2</v>
      </c>
      <c r="C17428" s="163">
        <v>10</v>
      </c>
      <c r="D17428" s="144">
        <f t="shared" si="2762"/>
        <v>46063</v>
      </c>
      <c r="E17428" s="313">
        <f t="shared" si="2763"/>
        <v>46063</v>
      </c>
      <c r="F17428" s="480"/>
      <c r="G17428" s="221" t="s">
        <v>94</v>
      </c>
      <c r="H17428" s="145"/>
      <c r="I17428" s="145"/>
      <c r="J17428" s="163" t="s">
        <v>79</v>
      </c>
      <c r="K17428" s="219"/>
      <c r="L17428" s="219">
        <v>6248544.2400000002</v>
      </c>
      <c r="M17428" s="264"/>
    </row>
    <row r="17429" spans="1:14" x14ac:dyDescent="0.2">
      <c r="A17429" s="133">
        <v>2026</v>
      </c>
      <c r="B17429" s="133">
        <v>2</v>
      </c>
      <c r="C17429" s="133">
        <v>10</v>
      </c>
      <c r="D17429" s="147">
        <f t="shared" si="2762"/>
        <v>46063</v>
      </c>
      <c r="E17429" s="311">
        <f t="shared" si="2763"/>
        <v>46063</v>
      </c>
      <c r="F17429" s="481" t="s">
        <v>2165</v>
      </c>
      <c r="G17429" s="174" t="s">
        <v>94</v>
      </c>
      <c r="H17429" s="174"/>
      <c r="J17429" s="149" t="s">
        <v>190</v>
      </c>
      <c r="K17429" s="218">
        <v>171690.4</v>
      </c>
      <c r="L17429" s="264"/>
      <c r="N17429" s="264"/>
    </row>
    <row r="17430" spans="1:14" x14ac:dyDescent="0.2">
      <c r="A17430" s="133">
        <v>2026</v>
      </c>
      <c r="B17430" s="133">
        <v>2</v>
      </c>
      <c r="C17430" s="133">
        <v>10</v>
      </c>
      <c r="D17430" s="147">
        <f t="shared" si="2762"/>
        <v>46063</v>
      </c>
      <c r="E17430" s="311">
        <f t="shared" si="2763"/>
        <v>46063</v>
      </c>
      <c r="F17430" s="481"/>
      <c r="G17430" s="174" t="s">
        <v>94</v>
      </c>
      <c r="H17430" s="174"/>
      <c r="J17430" s="149" t="s">
        <v>80</v>
      </c>
      <c r="K17430" s="218">
        <v>309.60000000000002</v>
      </c>
      <c r="L17430" s="218"/>
    </row>
    <row r="17431" spans="1:14" x14ac:dyDescent="0.2">
      <c r="A17431" s="133">
        <v>2026</v>
      </c>
      <c r="B17431" s="133">
        <v>2</v>
      </c>
      <c r="C17431" s="133">
        <v>10</v>
      </c>
      <c r="D17431" s="147">
        <f t="shared" si="2762"/>
        <v>46063</v>
      </c>
      <c r="E17431" s="311">
        <f t="shared" si="2763"/>
        <v>46063</v>
      </c>
      <c r="F17431" s="481"/>
      <c r="G17431" s="174" t="s">
        <v>94</v>
      </c>
      <c r="H17431" s="174"/>
      <c r="J17431" s="149" t="s">
        <v>191</v>
      </c>
      <c r="K17431" s="218"/>
      <c r="L17431" s="218">
        <v>30354.560000000001</v>
      </c>
    </row>
    <row r="17432" spans="1:14" x14ac:dyDescent="0.2">
      <c r="A17432" s="163">
        <v>2026</v>
      </c>
      <c r="B17432" s="163">
        <v>2</v>
      </c>
      <c r="C17432" s="163">
        <v>10</v>
      </c>
      <c r="D17432" s="144">
        <f t="shared" si="2762"/>
        <v>46063</v>
      </c>
      <c r="E17432" s="313">
        <f t="shared" si="2763"/>
        <v>46063</v>
      </c>
      <c r="F17432" s="480"/>
      <c r="G17432" s="221" t="s">
        <v>94</v>
      </c>
      <c r="H17432" s="145"/>
      <c r="I17432" s="145"/>
      <c r="J17432" s="163" t="s">
        <v>79</v>
      </c>
      <c r="K17432" s="219"/>
      <c r="L17432" s="219">
        <v>141645.44</v>
      </c>
      <c r="M17432" s="264"/>
    </row>
    <row r="17433" spans="1:14" x14ac:dyDescent="0.2">
      <c r="A17433" s="325">
        <v>2026</v>
      </c>
      <c r="B17433" s="325">
        <v>2</v>
      </c>
      <c r="C17433" s="325">
        <v>10</v>
      </c>
      <c r="D17433" s="326">
        <f t="shared" si="2762"/>
        <v>46063</v>
      </c>
      <c r="E17433" s="327">
        <f t="shared" si="2763"/>
        <v>46063</v>
      </c>
      <c r="F17433" s="473" t="s">
        <v>2131</v>
      </c>
      <c r="G17433" s="340" t="s">
        <v>94</v>
      </c>
      <c r="H17433" s="340"/>
      <c r="I17433" s="341" t="s">
        <v>348</v>
      </c>
      <c r="J17433" s="374" t="s">
        <v>2156</v>
      </c>
      <c r="K17433" s="375">
        <v>6185.4395604395604</v>
      </c>
      <c r="L17433" s="375"/>
      <c r="M17433" s="176"/>
    </row>
    <row r="17434" spans="1:14" x14ac:dyDescent="0.2">
      <c r="A17434" s="331">
        <v>2026</v>
      </c>
      <c r="B17434" s="331">
        <v>2</v>
      </c>
      <c r="C17434" s="331">
        <v>10</v>
      </c>
      <c r="D17434" s="326">
        <f t="shared" si="2762"/>
        <v>46063</v>
      </c>
      <c r="E17434" s="327">
        <f t="shared" si="2763"/>
        <v>46063</v>
      </c>
      <c r="F17434" s="474"/>
      <c r="G17434" s="332" t="s">
        <v>94</v>
      </c>
      <c r="H17434" s="332"/>
      <c r="I17434" s="333" t="s">
        <v>348</v>
      </c>
      <c r="J17434" s="376" t="s">
        <v>2154</v>
      </c>
      <c r="K17434" s="334"/>
      <c r="L17434" s="334">
        <f>K17433</f>
        <v>6185.4395604395604</v>
      </c>
    </row>
    <row r="17435" spans="1:14" x14ac:dyDescent="0.2">
      <c r="A17435" s="384">
        <v>2026</v>
      </c>
      <c r="B17435" s="384">
        <v>2</v>
      </c>
      <c r="C17435" s="384">
        <v>10</v>
      </c>
      <c r="D17435" s="385">
        <f t="shared" si="2762"/>
        <v>46063</v>
      </c>
      <c r="E17435" s="386">
        <f t="shared" si="2763"/>
        <v>46063</v>
      </c>
      <c r="F17435" s="475" t="s">
        <v>1966</v>
      </c>
      <c r="G17435" s="387" t="s">
        <v>94</v>
      </c>
      <c r="H17435" s="387"/>
      <c r="I17435" s="388" t="s">
        <v>348</v>
      </c>
      <c r="J17435" s="389" t="s">
        <v>67</v>
      </c>
      <c r="K17435" s="390">
        <v>2226.4213930555557</v>
      </c>
      <c r="L17435" s="390"/>
    </row>
    <row r="17436" spans="1:14" x14ac:dyDescent="0.2">
      <c r="A17436" s="391">
        <v>2026</v>
      </c>
      <c r="B17436" s="391">
        <v>2</v>
      </c>
      <c r="C17436" s="391">
        <v>10</v>
      </c>
      <c r="D17436" s="385">
        <f t="shared" si="2762"/>
        <v>46063</v>
      </c>
      <c r="E17436" s="386">
        <f t="shared" si="2763"/>
        <v>46063</v>
      </c>
      <c r="F17436" s="476"/>
      <c r="G17436" s="392" t="s">
        <v>94</v>
      </c>
      <c r="H17436" s="392"/>
      <c r="I17436" s="393" t="s">
        <v>348</v>
      </c>
      <c r="J17436" s="394" t="s">
        <v>2155</v>
      </c>
      <c r="K17436" s="395"/>
      <c r="L17436" s="395">
        <f>K17435</f>
        <v>2226.4213930555557</v>
      </c>
    </row>
    <row r="17437" spans="1:14" x14ac:dyDescent="0.2">
      <c r="A17437" s="238">
        <v>2026</v>
      </c>
      <c r="B17437" s="238">
        <v>2</v>
      </c>
      <c r="C17437" s="238">
        <v>10</v>
      </c>
      <c r="D17437" s="270">
        <f t="shared" si="2762"/>
        <v>46063</v>
      </c>
      <c r="E17437" s="279">
        <f t="shared" si="2763"/>
        <v>46063</v>
      </c>
      <c r="F17437" s="477" t="s">
        <v>347</v>
      </c>
      <c r="G17437" s="239" t="s">
        <v>94</v>
      </c>
      <c r="H17437" s="239"/>
      <c r="I17437" s="262" t="s">
        <v>348</v>
      </c>
      <c r="J17437" s="240" t="s">
        <v>108</v>
      </c>
      <c r="K17437" s="241">
        <v>2931478.7799999714</v>
      </c>
      <c r="L17437" s="241"/>
      <c r="M17437" s="160"/>
    </row>
    <row r="17438" spans="1:14" x14ac:dyDescent="0.2">
      <c r="A17438" s="242">
        <v>2026</v>
      </c>
      <c r="B17438" s="242">
        <v>2</v>
      </c>
      <c r="C17438" s="242">
        <v>10</v>
      </c>
      <c r="D17438" s="270">
        <f t="shared" si="2762"/>
        <v>46063</v>
      </c>
      <c r="E17438" s="279">
        <f t="shared" si="2763"/>
        <v>46063</v>
      </c>
      <c r="F17438" s="478"/>
      <c r="G17438" s="243" t="s">
        <v>94</v>
      </c>
      <c r="H17438" s="243"/>
      <c r="I17438" s="263" t="s">
        <v>348</v>
      </c>
      <c r="J17438" s="244" t="s">
        <v>82</v>
      </c>
      <c r="K17438" s="245"/>
      <c r="L17438" s="245">
        <f>K17437</f>
        <v>2931478.7799999714</v>
      </c>
    </row>
    <row r="17439" spans="1:14" ht="12" customHeight="1" x14ac:dyDescent="0.2">
      <c r="A17439" s="246">
        <v>2026</v>
      </c>
      <c r="B17439" s="238">
        <v>2</v>
      </c>
      <c r="C17439" s="238">
        <v>10</v>
      </c>
      <c r="D17439" s="270">
        <f t="shared" si="2762"/>
        <v>46063</v>
      </c>
      <c r="E17439" s="279">
        <f t="shared" si="2763"/>
        <v>46063</v>
      </c>
      <c r="F17439" s="482" t="s">
        <v>2167</v>
      </c>
      <c r="G17439" s="247" t="s">
        <v>94</v>
      </c>
      <c r="H17439" s="247"/>
      <c r="I17439" s="248" t="s">
        <v>348</v>
      </c>
      <c r="J17439" s="249" t="s">
        <v>95</v>
      </c>
      <c r="K17439" s="250">
        <v>392.46467817896388</v>
      </c>
      <c r="L17439" s="241"/>
      <c r="M17439" s="176"/>
    </row>
    <row r="17440" spans="1:14" x14ac:dyDescent="0.2">
      <c r="A17440" s="242">
        <v>2026</v>
      </c>
      <c r="B17440" s="242">
        <v>2</v>
      </c>
      <c r="C17440" s="242">
        <v>10</v>
      </c>
      <c r="D17440" s="270">
        <f t="shared" si="2762"/>
        <v>46063</v>
      </c>
      <c r="E17440" s="279">
        <f t="shared" si="2763"/>
        <v>46063</v>
      </c>
      <c r="F17440" s="478"/>
      <c r="G17440" s="243" t="s">
        <v>94</v>
      </c>
      <c r="H17440" s="243"/>
      <c r="I17440" s="263" t="s">
        <v>348</v>
      </c>
      <c r="J17440" s="244" t="s">
        <v>63</v>
      </c>
      <c r="K17440" s="245"/>
      <c r="L17440" s="245">
        <f>K17439</f>
        <v>392.46467817896388</v>
      </c>
    </row>
    <row r="17441" spans="1:15" x14ac:dyDescent="0.2">
      <c r="A17441" s="246">
        <v>2026</v>
      </c>
      <c r="B17441" s="238">
        <v>2</v>
      </c>
      <c r="C17441" s="238">
        <v>10</v>
      </c>
      <c r="D17441" s="270">
        <f t="shared" si="2762"/>
        <v>46063</v>
      </c>
      <c r="E17441" s="279">
        <f t="shared" si="2763"/>
        <v>46063</v>
      </c>
      <c r="F17441" s="482" t="s">
        <v>2168</v>
      </c>
      <c r="G17441" s="247" t="s">
        <v>94</v>
      </c>
      <c r="H17441" s="247"/>
      <c r="I17441" s="248" t="s">
        <v>348</v>
      </c>
      <c r="J17441" s="249" t="s">
        <v>97</v>
      </c>
      <c r="K17441" s="250">
        <v>15183.87795825867</v>
      </c>
      <c r="L17441" s="252"/>
      <c r="M17441" s="170"/>
    </row>
    <row r="17442" spans="1:15" x14ac:dyDescent="0.2">
      <c r="A17442" s="242">
        <v>2026</v>
      </c>
      <c r="B17442" s="242">
        <v>2</v>
      </c>
      <c r="C17442" s="242">
        <v>10</v>
      </c>
      <c r="D17442" s="270">
        <f t="shared" si="2762"/>
        <v>46063</v>
      </c>
      <c r="E17442" s="279">
        <f t="shared" si="2763"/>
        <v>46063</v>
      </c>
      <c r="F17442" s="478"/>
      <c r="G17442" s="243" t="s">
        <v>94</v>
      </c>
      <c r="H17442" s="243"/>
      <c r="I17442" s="263" t="s">
        <v>348</v>
      </c>
      <c r="J17442" s="244" t="s">
        <v>47</v>
      </c>
      <c r="K17442" s="245"/>
      <c r="L17442" s="245">
        <f>K17441</f>
        <v>15183.87795825867</v>
      </c>
      <c r="M17442" s="170"/>
    </row>
    <row r="17443" spans="1:15" x14ac:dyDescent="0.2">
      <c r="A17443" s="246">
        <v>2026</v>
      </c>
      <c r="B17443" s="238">
        <v>2</v>
      </c>
      <c r="C17443" s="238">
        <v>10</v>
      </c>
      <c r="D17443" s="270">
        <f t="shared" si="2762"/>
        <v>46063</v>
      </c>
      <c r="E17443" s="279">
        <f t="shared" si="2763"/>
        <v>46063</v>
      </c>
      <c r="F17443" s="482" t="s">
        <v>2169</v>
      </c>
      <c r="G17443" s="247" t="s">
        <v>94</v>
      </c>
      <c r="H17443" s="247"/>
      <c r="I17443" s="248" t="s">
        <v>348</v>
      </c>
      <c r="J17443" s="249" t="s">
        <v>100</v>
      </c>
      <c r="K17443" s="250">
        <v>737.49154187486863</v>
      </c>
      <c r="L17443" s="252"/>
    </row>
    <row r="17444" spans="1:15" x14ac:dyDescent="0.2">
      <c r="A17444" s="242">
        <v>2026</v>
      </c>
      <c r="B17444" s="242">
        <v>2</v>
      </c>
      <c r="C17444" s="242">
        <v>10</v>
      </c>
      <c r="D17444" s="321">
        <f t="shared" si="2762"/>
        <v>46063</v>
      </c>
      <c r="E17444" s="322">
        <f t="shared" si="2763"/>
        <v>46063</v>
      </c>
      <c r="F17444" s="478"/>
      <c r="G17444" s="243" t="s">
        <v>94</v>
      </c>
      <c r="H17444" s="243"/>
      <c r="I17444" s="263" t="s">
        <v>348</v>
      </c>
      <c r="J17444" s="244" t="s">
        <v>48</v>
      </c>
      <c r="K17444" s="245"/>
      <c r="L17444" s="245">
        <f>K17443</f>
        <v>737.49154187486863</v>
      </c>
    </row>
    <row r="17445" spans="1:15" x14ac:dyDescent="0.2">
      <c r="A17445" s="133">
        <v>2026</v>
      </c>
      <c r="B17445" s="133">
        <v>2</v>
      </c>
      <c r="C17445" s="133">
        <v>15</v>
      </c>
      <c r="D17445" s="147">
        <f t="shared" ref="D17445:D17484" si="2764">DATE(A17445,B17445,C17445)</f>
        <v>46068</v>
      </c>
      <c r="E17445" s="311">
        <f t="shared" ref="E17445:E17484" si="2765">DATE(A17445,B17445,C17445)</f>
        <v>46068</v>
      </c>
      <c r="F17445" s="481" t="s">
        <v>2115</v>
      </c>
      <c r="G17445" s="174" t="s">
        <v>94</v>
      </c>
      <c r="H17445" s="174"/>
      <c r="J17445" s="149" t="s">
        <v>79</v>
      </c>
      <c r="K17445" s="218">
        <v>5988331.9000000004</v>
      </c>
      <c r="L17445" s="218"/>
    </row>
    <row r="17446" spans="1:15" x14ac:dyDescent="0.2">
      <c r="A17446" s="133">
        <v>2026</v>
      </c>
      <c r="B17446" s="133">
        <v>2</v>
      </c>
      <c r="C17446" s="133">
        <v>15</v>
      </c>
      <c r="D17446" s="147">
        <f t="shared" si="2764"/>
        <v>46068</v>
      </c>
      <c r="E17446" s="311">
        <f t="shared" si="2765"/>
        <v>46068</v>
      </c>
      <c r="F17446" s="481"/>
      <c r="G17446" s="174" t="s">
        <v>94</v>
      </c>
      <c r="H17446" s="174"/>
      <c r="J17446" s="149" t="s">
        <v>80</v>
      </c>
      <c r="K17446" s="218">
        <v>15554.31</v>
      </c>
      <c r="L17446" s="264"/>
      <c r="M17446" s="264"/>
      <c r="N17446" s="264"/>
    </row>
    <row r="17447" spans="1:15" x14ac:dyDescent="0.2">
      <c r="A17447" s="133">
        <v>2026</v>
      </c>
      <c r="B17447" s="133">
        <v>2</v>
      </c>
      <c r="C17447" s="133">
        <v>15</v>
      </c>
      <c r="D17447" s="147">
        <f t="shared" si="2764"/>
        <v>46068</v>
      </c>
      <c r="E17447" s="311">
        <f t="shared" si="2765"/>
        <v>46068</v>
      </c>
      <c r="F17447" s="481"/>
      <c r="G17447" s="174" t="s">
        <v>94</v>
      </c>
      <c r="H17447" s="174"/>
      <c r="J17447" s="149" t="s">
        <v>147</v>
      </c>
      <c r="K17447" s="218"/>
      <c r="L17447" s="218">
        <v>3350936.21</v>
      </c>
      <c r="M17447" s="264"/>
    </row>
    <row r="17448" spans="1:15" x14ac:dyDescent="0.2">
      <c r="A17448" s="133">
        <v>2026</v>
      </c>
      <c r="B17448" s="133">
        <v>2</v>
      </c>
      <c r="C17448" s="133">
        <v>15</v>
      </c>
      <c r="D17448" s="147">
        <f t="shared" si="2764"/>
        <v>46068</v>
      </c>
      <c r="E17448" s="311">
        <f t="shared" si="2765"/>
        <v>46068</v>
      </c>
      <c r="F17448" s="481"/>
      <c r="G17448" s="174" t="s">
        <v>94</v>
      </c>
      <c r="H17448" s="174"/>
      <c r="J17448" s="149" t="s">
        <v>191</v>
      </c>
      <c r="K17448" s="218"/>
      <c r="L17448" s="218">
        <v>512372.11</v>
      </c>
    </row>
    <row r="17449" spans="1:15" x14ac:dyDescent="0.2">
      <c r="A17449" s="163">
        <v>2026</v>
      </c>
      <c r="B17449" s="163">
        <v>2</v>
      </c>
      <c r="C17449" s="163">
        <v>15</v>
      </c>
      <c r="D17449" s="144">
        <f t="shared" si="2764"/>
        <v>46068</v>
      </c>
      <c r="E17449" s="313">
        <f t="shared" si="2765"/>
        <v>46068</v>
      </c>
      <c r="F17449" s="480"/>
      <c r="G17449" s="221" t="s">
        <v>94</v>
      </c>
      <c r="H17449" s="145"/>
      <c r="I17449" s="145"/>
      <c r="J17449" s="163" t="s">
        <v>79</v>
      </c>
      <c r="K17449" s="219"/>
      <c r="L17449" s="219">
        <v>2140577.89</v>
      </c>
      <c r="M17449" s="264"/>
    </row>
    <row r="17450" spans="1:15" ht="11.25" customHeight="1" x14ac:dyDescent="0.2">
      <c r="A17450" s="168">
        <v>2026</v>
      </c>
      <c r="B17450" s="133">
        <v>2</v>
      </c>
      <c r="C17450" s="168">
        <v>15</v>
      </c>
      <c r="D17450" s="141">
        <f t="shared" si="2764"/>
        <v>46068</v>
      </c>
      <c r="E17450" s="275">
        <f t="shared" si="2765"/>
        <v>46068</v>
      </c>
      <c r="F17450" s="479" t="s">
        <v>2121</v>
      </c>
      <c r="G17450" s="220" t="s">
        <v>74</v>
      </c>
      <c r="H17450" s="220"/>
      <c r="I17450" s="142"/>
      <c r="J17450" s="143" t="s">
        <v>52</v>
      </c>
      <c r="K17450" s="226">
        <v>1471387.02</v>
      </c>
      <c r="L17450" s="226"/>
    </row>
    <row r="17451" spans="1:15" x14ac:dyDescent="0.2">
      <c r="A17451" s="163">
        <v>2026</v>
      </c>
      <c r="B17451" s="163">
        <v>2</v>
      </c>
      <c r="C17451" s="163">
        <v>15</v>
      </c>
      <c r="D17451" s="144">
        <f t="shared" si="2764"/>
        <v>46068</v>
      </c>
      <c r="E17451" s="313">
        <f t="shared" si="2765"/>
        <v>46068</v>
      </c>
      <c r="F17451" s="480"/>
      <c r="G17451" s="221" t="s">
        <v>74</v>
      </c>
      <c r="H17451" s="221"/>
      <c r="I17451" s="145"/>
      <c r="J17451" s="146" t="s">
        <v>190</v>
      </c>
      <c r="K17451" s="219"/>
      <c r="L17451" s="219">
        <f>K17450</f>
        <v>1471387.02</v>
      </c>
      <c r="N17451" s="264"/>
    </row>
    <row r="17452" spans="1:15" x14ac:dyDescent="0.2">
      <c r="A17452" s="168">
        <v>2026</v>
      </c>
      <c r="B17452" s="133">
        <v>2</v>
      </c>
      <c r="C17452" s="133">
        <v>15</v>
      </c>
      <c r="D17452" s="141">
        <f t="shared" si="2764"/>
        <v>46068</v>
      </c>
      <c r="E17452" s="275">
        <f t="shared" si="2765"/>
        <v>46068</v>
      </c>
      <c r="F17452" s="479" t="s">
        <v>2179</v>
      </c>
      <c r="G17452" s="174" t="s">
        <v>74</v>
      </c>
      <c r="I17452" s="148" t="s">
        <v>348</v>
      </c>
      <c r="J17452" s="133" t="s">
        <v>47</v>
      </c>
      <c r="K17452" s="172">
        <f>L17454/0.85</f>
        <v>80000</v>
      </c>
      <c r="M17452" s="264"/>
      <c r="N17452" s="264"/>
    </row>
    <row r="17453" spans="1:15" x14ac:dyDescent="0.2">
      <c r="A17453" s="133">
        <v>2026</v>
      </c>
      <c r="B17453" s="133">
        <v>2</v>
      </c>
      <c r="C17453" s="133">
        <v>15</v>
      </c>
      <c r="D17453" s="147">
        <f t="shared" si="2764"/>
        <v>46068</v>
      </c>
      <c r="E17453" s="311">
        <f t="shared" si="2765"/>
        <v>46068</v>
      </c>
      <c r="F17453" s="481"/>
      <c r="G17453" s="174" t="s">
        <v>74</v>
      </c>
      <c r="J17453" s="133" t="s">
        <v>534</v>
      </c>
      <c r="K17453" s="218"/>
      <c r="L17453" s="218">
        <f>K17452-L17454</f>
        <v>12000</v>
      </c>
      <c r="N17453" s="264"/>
    </row>
    <row r="17454" spans="1:15" x14ac:dyDescent="0.2">
      <c r="A17454" s="163">
        <v>2026</v>
      </c>
      <c r="B17454" s="163">
        <v>2</v>
      </c>
      <c r="C17454" s="163">
        <v>15</v>
      </c>
      <c r="D17454" s="144">
        <f t="shared" si="2764"/>
        <v>46068</v>
      </c>
      <c r="E17454" s="313">
        <f t="shared" si="2765"/>
        <v>46068</v>
      </c>
      <c r="F17454" s="480"/>
      <c r="G17454" s="221" t="s">
        <v>74</v>
      </c>
      <c r="H17454" s="145"/>
      <c r="I17454" s="145" t="s">
        <v>348</v>
      </c>
      <c r="J17454" s="163" t="s">
        <v>52</v>
      </c>
      <c r="K17454" s="219"/>
      <c r="L17454" s="219">
        <v>68000</v>
      </c>
      <c r="M17454" s="160"/>
      <c r="N17454" s="160"/>
      <c r="O17454" s="373"/>
    </row>
    <row r="17455" spans="1:15" ht="11.25" customHeight="1" x14ac:dyDescent="0.2">
      <c r="A17455" s="168">
        <v>2026</v>
      </c>
      <c r="B17455" s="168">
        <v>2</v>
      </c>
      <c r="C17455" s="133">
        <v>15</v>
      </c>
      <c r="D17455" s="141">
        <f t="shared" si="2764"/>
        <v>46068</v>
      </c>
      <c r="E17455" s="275">
        <f t="shared" si="2765"/>
        <v>46068</v>
      </c>
      <c r="F17455" s="479" t="s">
        <v>964</v>
      </c>
      <c r="G17455" s="220" t="s">
        <v>74</v>
      </c>
      <c r="H17455" s="142"/>
      <c r="I17455" s="142"/>
      <c r="J17455" s="168" t="s">
        <v>52</v>
      </c>
      <c r="K17455" s="226">
        <v>5782214</v>
      </c>
      <c r="L17455" s="226"/>
    </row>
    <row r="17456" spans="1:15" ht="11.25" customHeight="1" x14ac:dyDescent="0.2">
      <c r="A17456" s="133">
        <v>2026</v>
      </c>
      <c r="B17456" s="133">
        <v>2</v>
      </c>
      <c r="C17456" s="133">
        <v>15</v>
      </c>
      <c r="D17456" s="147">
        <f t="shared" si="2764"/>
        <v>46068</v>
      </c>
      <c r="E17456" s="311">
        <f t="shared" si="2765"/>
        <v>46068</v>
      </c>
      <c r="F17456" s="481"/>
      <c r="G17456" s="174" t="s">
        <v>74</v>
      </c>
      <c r="J17456" s="133" t="s">
        <v>13</v>
      </c>
      <c r="K17456" s="218"/>
      <c r="L17456" s="218">
        <v>3825730</v>
      </c>
    </row>
    <row r="17457" spans="1:14" ht="11.25" customHeight="1" x14ac:dyDescent="0.2">
      <c r="A17457" s="163">
        <v>2026</v>
      </c>
      <c r="B17457" s="163">
        <v>2</v>
      </c>
      <c r="C17457" s="163">
        <v>15</v>
      </c>
      <c r="D17457" s="144">
        <f t="shared" si="2764"/>
        <v>46068</v>
      </c>
      <c r="E17457" s="313">
        <f t="shared" si="2765"/>
        <v>46068</v>
      </c>
      <c r="F17457" s="480"/>
      <c r="G17457" s="221" t="s">
        <v>74</v>
      </c>
      <c r="H17457" s="145"/>
      <c r="I17457" s="145"/>
      <c r="J17457" s="163" t="s">
        <v>53</v>
      </c>
      <c r="K17457" s="219"/>
      <c r="L17457" s="219">
        <v>1956484</v>
      </c>
    </row>
    <row r="17458" spans="1:14" ht="11.25" customHeight="1" x14ac:dyDescent="0.2">
      <c r="A17458" s="168">
        <v>2026</v>
      </c>
      <c r="B17458" s="168">
        <v>2</v>
      </c>
      <c r="C17458" s="133">
        <v>15</v>
      </c>
      <c r="D17458" s="141">
        <f t="shared" ref="D17458:D17460" si="2766">DATE(A17458,B17458,C17458)</f>
        <v>46068</v>
      </c>
      <c r="E17458" s="275">
        <f t="shared" ref="E17458:E17460" si="2767">DATE(A17458,B17458,C17458)</f>
        <v>46068</v>
      </c>
      <c r="F17458" s="479" t="s">
        <v>1319</v>
      </c>
      <c r="G17458" s="220" t="s">
        <v>74</v>
      </c>
      <c r="H17458" s="142"/>
      <c r="I17458" s="142"/>
      <c r="J17458" s="168" t="s">
        <v>52</v>
      </c>
      <c r="K17458" s="226">
        <v>11000</v>
      </c>
      <c r="L17458" s="226"/>
    </row>
    <row r="17459" spans="1:14" ht="11.25" customHeight="1" x14ac:dyDescent="0.2">
      <c r="A17459" s="133">
        <v>2026</v>
      </c>
      <c r="B17459" s="133">
        <v>2</v>
      </c>
      <c r="C17459" s="133">
        <v>15</v>
      </c>
      <c r="D17459" s="147">
        <f t="shared" si="2766"/>
        <v>46068</v>
      </c>
      <c r="E17459" s="311">
        <f t="shared" si="2767"/>
        <v>46068</v>
      </c>
      <c r="F17459" s="481"/>
      <c r="G17459" s="174" t="s">
        <v>74</v>
      </c>
      <c r="J17459" s="133" t="s">
        <v>13</v>
      </c>
      <c r="K17459" s="218"/>
      <c r="L17459" s="218">
        <v>7310</v>
      </c>
    </row>
    <row r="17460" spans="1:14" ht="11.25" customHeight="1" x14ac:dyDescent="0.2">
      <c r="A17460" s="163">
        <v>2026</v>
      </c>
      <c r="B17460" s="163">
        <v>2</v>
      </c>
      <c r="C17460" s="163">
        <v>15</v>
      </c>
      <c r="D17460" s="144">
        <f t="shared" si="2766"/>
        <v>46068</v>
      </c>
      <c r="E17460" s="313">
        <f t="shared" si="2767"/>
        <v>46068</v>
      </c>
      <c r="F17460" s="480"/>
      <c r="G17460" s="221" t="s">
        <v>74</v>
      </c>
      <c r="H17460" s="145"/>
      <c r="I17460" s="145"/>
      <c r="J17460" s="163" t="s">
        <v>53</v>
      </c>
      <c r="K17460" s="219"/>
      <c r="L17460" s="219">
        <v>3690</v>
      </c>
    </row>
    <row r="17461" spans="1:14" x14ac:dyDescent="0.2">
      <c r="A17461" s="133">
        <v>2026</v>
      </c>
      <c r="B17461" s="133">
        <v>2</v>
      </c>
      <c r="C17461" s="133">
        <v>15</v>
      </c>
      <c r="D17461" s="147">
        <f t="shared" si="2764"/>
        <v>46068</v>
      </c>
      <c r="E17461" s="311">
        <f t="shared" si="2765"/>
        <v>46068</v>
      </c>
      <c r="F17461" s="481" t="s">
        <v>2164</v>
      </c>
      <c r="G17461" s="174" t="s">
        <v>94</v>
      </c>
      <c r="H17461" s="174"/>
      <c r="J17461" s="149" t="s">
        <v>79</v>
      </c>
      <c r="K17461" s="218">
        <v>154500</v>
      </c>
      <c r="L17461" s="264"/>
      <c r="N17461" s="264"/>
    </row>
    <row r="17462" spans="1:14" x14ac:dyDescent="0.2">
      <c r="A17462" s="133">
        <v>2026</v>
      </c>
      <c r="B17462" s="133">
        <v>2</v>
      </c>
      <c r="C17462" s="133">
        <v>15</v>
      </c>
      <c r="D17462" s="147">
        <f t="shared" si="2764"/>
        <v>46068</v>
      </c>
      <c r="E17462" s="311">
        <f t="shared" si="2765"/>
        <v>46068</v>
      </c>
      <c r="F17462" s="481"/>
      <c r="G17462" s="174" t="s">
        <v>94</v>
      </c>
      <c r="H17462" s="174"/>
      <c r="J17462" s="149" t="s">
        <v>80</v>
      </c>
      <c r="K17462" s="218">
        <v>572.94000000000005</v>
      </c>
      <c r="L17462" s="218"/>
    </row>
    <row r="17463" spans="1:14" x14ac:dyDescent="0.2">
      <c r="A17463" s="133">
        <v>2026</v>
      </c>
      <c r="B17463" s="133">
        <v>2</v>
      </c>
      <c r="C17463" s="133">
        <v>15</v>
      </c>
      <c r="D17463" s="147">
        <f t="shared" si="2764"/>
        <v>46068</v>
      </c>
      <c r="E17463" s="311">
        <f t="shared" si="2765"/>
        <v>46068</v>
      </c>
      <c r="F17463" s="481"/>
      <c r="G17463" s="174" t="s">
        <v>94</v>
      </c>
      <c r="H17463" s="174"/>
      <c r="J17463" s="149" t="s">
        <v>190</v>
      </c>
      <c r="K17463" s="218">
        <v>8727.06</v>
      </c>
      <c r="L17463" s="218"/>
    </row>
    <row r="17464" spans="1:14" x14ac:dyDescent="0.2">
      <c r="A17464" s="133">
        <v>2026</v>
      </c>
      <c r="B17464" s="133">
        <v>2</v>
      </c>
      <c r="C17464" s="133">
        <v>15</v>
      </c>
      <c r="D17464" s="147">
        <f t="shared" ref="D17464" si="2768">DATE(A17464,B17464,C17464)</f>
        <v>46068</v>
      </c>
      <c r="E17464" s="311">
        <f t="shared" ref="E17464" si="2769">DATE(A17464,B17464,C17464)</f>
        <v>46068</v>
      </c>
      <c r="F17464" s="481"/>
      <c r="G17464" s="174" t="s">
        <v>94</v>
      </c>
      <c r="H17464" s="174"/>
      <c r="J17464" s="149" t="s">
        <v>191</v>
      </c>
      <c r="K17464" s="218"/>
      <c r="L17464" s="218">
        <v>39280.76</v>
      </c>
    </row>
    <row r="17465" spans="1:14" x14ac:dyDescent="0.2">
      <c r="A17465" s="163">
        <v>2026</v>
      </c>
      <c r="B17465" s="163">
        <v>2</v>
      </c>
      <c r="C17465" s="163">
        <v>15</v>
      </c>
      <c r="D17465" s="144">
        <f t="shared" si="2764"/>
        <v>46068</v>
      </c>
      <c r="E17465" s="313">
        <f t="shared" si="2765"/>
        <v>46068</v>
      </c>
      <c r="F17465" s="480"/>
      <c r="G17465" s="221" t="s">
        <v>94</v>
      </c>
      <c r="H17465" s="145"/>
      <c r="I17465" s="145"/>
      <c r="J17465" s="163" t="s">
        <v>79</v>
      </c>
      <c r="K17465" s="219"/>
      <c r="L17465" s="219">
        <v>124519.24</v>
      </c>
      <c r="M17465" s="264"/>
    </row>
    <row r="17466" spans="1:14" ht="11.25" customHeight="1" x14ac:dyDescent="0.2">
      <c r="A17466" s="168">
        <v>2026</v>
      </c>
      <c r="B17466" s="133">
        <v>2</v>
      </c>
      <c r="C17466" s="168">
        <v>15</v>
      </c>
      <c r="D17466" s="141">
        <f t="shared" ref="D17466:D17469" si="2770">DATE(A17466,B17466,C17466)</f>
        <v>46068</v>
      </c>
      <c r="E17466" s="275">
        <f t="shared" ref="E17466:E17469" si="2771">DATE(A17466,B17466,C17466)</f>
        <v>46068</v>
      </c>
      <c r="F17466" s="479" t="s">
        <v>2171</v>
      </c>
      <c r="G17466" s="220" t="s">
        <v>74</v>
      </c>
      <c r="H17466" s="220"/>
      <c r="I17466" s="142"/>
      <c r="J17466" s="143" t="s">
        <v>52</v>
      </c>
      <c r="K17466" s="226">
        <v>814000</v>
      </c>
      <c r="L17466" s="226"/>
    </row>
    <row r="17467" spans="1:14" x14ac:dyDescent="0.2">
      <c r="A17467" s="163">
        <v>2026</v>
      </c>
      <c r="B17467" s="163">
        <v>2</v>
      </c>
      <c r="C17467" s="163">
        <v>15</v>
      </c>
      <c r="D17467" s="144">
        <f t="shared" si="2770"/>
        <v>46068</v>
      </c>
      <c r="E17467" s="313">
        <f t="shared" si="2771"/>
        <v>46068</v>
      </c>
      <c r="F17467" s="480"/>
      <c r="G17467" s="221" t="s">
        <v>74</v>
      </c>
      <c r="H17467" s="221"/>
      <c r="I17467" s="145"/>
      <c r="J17467" s="146" t="s">
        <v>190</v>
      </c>
      <c r="K17467" s="219"/>
      <c r="L17467" s="219">
        <f>K17466</f>
        <v>814000</v>
      </c>
      <c r="N17467" s="264"/>
    </row>
    <row r="17468" spans="1:14" x14ac:dyDescent="0.2">
      <c r="A17468" s="168">
        <v>2026</v>
      </c>
      <c r="B17468" s="168">
        <v>2</v>
      </c>
      <c r="C17468" s="168">
        <v>15</v>
      </c>
      <c r="D17468" s="141">
        <f t="shared" si="2770"/>
        <v>46068</v>
      </c>
      <c r="E17468" s="275">
        <f t="shared" si="2771"/>
        <v>46068</v>
      </c>
      <c r="F17468" s="479" t="s">
        <v>1943</v>
      </c>
      <c r="G17468" s="174" t="s">
        <v>74</v>
      </c>
      <c r="I17468" s="148" t="s">
        <v>348</v>
      </c>
      <c r="J17468" s="133" t="s">
        <v>61</v>
      </c>
      <c r="K17468" s="172">
        <v>25</v>
      </c>
    </row>
    <row r="17469" spans="1:14" x14ac:dyDescent="0.2">
      <c r="A17469" s="163">
        <v>2026</v>
      </c>
      <c r="B17469" s="163">
        <v>2</v>
      </c>
      <c r="C17469" s="163">
        <v>15</v>
      </c>
      <c r="D17469" s="144">
        <f t="shared" si="2770"/>
        <v>46068</v>
      </c>
      <c r="E17469" s="313">
        <f t="shared" si="2771"/>
        <v>46068</v>
      </c>
      <c r="F17469" s="480"/>
      <c r="G17469" s="221" t="s">
        <v>74</v>
      </c>
      <c r="H17469" s="145"/>
      <c r="I17469" s="145" t="s">
        <v>348</v>
      </c>
      <c r="J17469" s="163" t="s">
        <v>52</v>
      </c>
      <c r="K17469" s="219"/>
      <c r="L17469" s="219">
        <f>K17468</f>
        <v>25</v>
      </c>
    </row>
    <row r="17470" spans="1:14" x14ac:dyDescent="0.2">
      <c r="A17470" s="168">
        <v>2026</v>
      </c>
      <c r="B17470" s="168">
        <v>2</v>
      </c>
      <c r="C17470" s="168">
        <v>15</v>
      </c>
      <c r="D17470" s="141">
        <f t="shared" ref="D17470:D17471" si="2772">DATE(A17470,B17470,C17470)</f>
        <v>46068</v>
      </c>
      <c r="E17470" s="275">
        <f t="shared" ref="E17470:E17471" si="2773">DATE(A17470,B17470,C17470)</f>
        <v>46068</v>
      </c>
      <c r="F17470" s="479" t="s">
        <v>1956</v>
      </c>
      <c r="G17470" s="174" t="s">
        <v>74</v>
      </c>
      <c r="I17470" s="148" t="s">
        <v>348</v>
      </c>
      <c r="J17470" s="133" t="s">
        <v>61</v>
      </c>
      <c r="K17470" s="172">
        <v>20</v>
      </c>
    </row>
    <row r="17471" spans="1:14" x14ac:dyDescent="0.2">
      <c r="A17471" s="163">
        <v>2026</v>
      </c>
      <c r="B17471" s="163">
        <v>2</v>
      </c>
      <c r="C17471" s="163">
        <v>15</v>
      </c>
      <c r="D17471" s="144">
        <f t="shared" si="2772"/>
        <v>46068</v>
      </c>
      <c r="E17471" s="313">
        <f t="shared" si="2773"/>
        <v>46068</v>
      </c>
      <c r="F17471" s="480"/>
      <c r="G17471" s="221" t="s">
        <v>74</v>
      </c>
      <c r="H17471" s="145"/>
      <c r="I17471" s="145" t="s">
        <v>348</v>
      </c>
      <c r="J17471" s="163" t="s">
        <v>52</v>
      </c>
      <c r="K17471" s="219"/>
      <c r="L17471" s="219">
        <f>K17470</f>
        <v>20</v>
      </c>
    </row>
    <row r="17472" spans="1:14" x14ac:dyDescent="0.2">
      <c r="A17472" s="325">
        <v>2026</v>
      </c>
      <c r="B17472" s="325">
        <v>2</v>
      </c>
      <c r="C17472" s="325">
        <v>15</v>
      </c>
      <c r="D17472" s="326">
        <f t="shared" si="2764"/>
        <v>46068</v>
      </c>
      <c r="E17472" s="327">
        <f t="shared" si="2765"/>
        <v>46068</v>
      </c>
      <c r="F17472" s="473" t="s">
        <v>2131</v>
      </c>
      <c r="G17472" s="340" t="s">
        <v>94</v>
      </c>
      <c r="H17472" s="340"/>
      <c r="I17472" s="341" t="s">
        <v>348</v>
      </c>
      <c r="J17472" s="374" t="s">
        <v>2156</v>
      </c>
      <c r="K17472" s="375">
        <f>5*6185.43956043956</f>
        <v>30927.197802197803</v>
      </c>
      <c r="L17472" s="375"/>
      <c r="M17472" s="176"/>
    </row>
    <row r="17473" spans="1:14" x14ac:dyDescent="0.2">
      <c r="A17473" s="331">
        <v>2026</v>
      </c>
      <c r="B17473" s="331">
        <v>2</v>
      </c>
      <c r="C17473" s="331">
        <v>15</v>
      </c>
      <c r="D17473" s="326">
        <f t="shared" si="2764"/>
        <v>46068</v>
      </c>
      <c r="E17473" s="327">
        <f t="shared" si="2765"/>
        <v>46068</v>
      </c>
      <c r="F17473" s="474"/>
      <c r="G17473" s="332" t="s">
        <v>94</v>
      </c>
      <c r="H17473" s="332"/>
      <c r="I17473" s="333" t="s">
        <v>348</v>
      </c>
      <c r="J17473" s="376" t="s">
        <v>2154</v>
      </c>
      <c r="K17473" s="334"/>
      <c r="L17473" s="334">
        <f>K17472</f>
        <v>30927.197802197803</v>
      </c>
    </row>
    <row r="17474" spans="1:14" x14ac:dyDescent="0.2">
      <c r="A17474" s="384">
        <v>2026</v>
      </c>
      <c r="B17474" s="384">
        <v>2</v>
      </c>
      <c r="C17474" s="384">
        <v>15</v>
      </c>
      <c r="D17474" s="385">
        <f t="shared" si="2764"/>
        <v>46068</v>
      </c>
      <c r="E17474" s="386">
        <f t="shared" si="2765"/>
        <v>46068</v>
      </c>
      <c r="F17474" s="475" t="s">
        <v>1966</v>
      </c>
      <c r="G17474" s="387" t="s">
        <v>94</v>
      </c>
      <c r="H17474" s="387"/>
      <c r="I17474" s="388" t="s">
        <v>348</v>
      </c>
      <c r="J17474" s="389" t="s">
        <v>67</v>
      </c>
      <c r="K17474" s="390">
        <v>11950.2</v>
      </c>
      <c r="L17474" s="390"/>
    </row>
    <row r="17475" spans="1:14" x14ac:dyDescent="0.2">
      <c r="A17475" s="391">
        <v>2026</v>
      </c>
      <c r="B17475" s="391">
        <v>2</v>
      </c>
      <c r="C17475" s="391">
        <v>15</v>
      </c>
      <c r="D17475" s="385">
        <f t="shared" si="2764"/>
        <v>46068</v>
      </c>
      <c r="E17475" s="386">
        <f t="shared" si="2765"/>
        <v>46068</v>
      </c>
      <c r="F17475" s="476"/>
      <c r="G17475" s="392" t="s">
        <v>94</v>
      </c>
      <c r="H17475" s="392"/>
      <c r="I17475" s="393" t="s">
        <v>348</v>
      </c>
      <c r="J17475" s="394" t="s">
        <v>2155</v>
      </c>
      <c r="K17475" s="395"/>
      <c r="L17475" s="395">
        <f>K17474</f>
        <v>11950.2</v>
      </c>
    </row>
    <row r="17476" spans="1:14" x14ac:dyDescent="0.2">
      <c r="A17476" s="238">
        <v>2026</v>
      </c>
      <c r="B17476" s="238">
        <v>2</v>
      </c>
      <c r="C17476" s="238">
        <v>15</v>
      </c>
      <c r="D17476" s="270">
        <f t="shared" si="2764"/>
        <v>46068</v>
      </c>
      <c r="E17476" s="279">
        <f t="shared" si="2765"/>
        <v>46068</v>
      </c>
      <c r="F17476" s="477" t="s">
        <v>347</v>
      </c>
      <c r="G17476" s="239" t="s">
        <v>94</v>
      </c>
      <c r="H17476" s="239"/>
      <c r="I17476" s="262" t="s">
        <v>348</v>
      </c>
      <c r="J17476" s="240" t="s">
        <v>108</v>
      </c>
      <c r="K17476" s="241">
        <v>6669009.8299999833</v>
      </c>
      <c r="L17476" s="241"/>
      <c r="M17476" s="160"/>
    </row>
    <row r="17477" spans="1:14" x14ac:dyDescent="0.2">
      <c r="A17477" s="242">
        <v>2026</v>
      </c>
      <c r="B17477" s="242">
        <v>2</v>
      </c>
      <c r="C17477" s="242">
        <v>15</v>
      </c>
      <c r="D17477" s="270">
        <f t="shared" si="2764"/>
        <v>46068</v>
      </c>
      <c r="E17477" s="279">
        <f t="shared" si="2765"/>
        <v>46068</v>
      </c>
      <c r="F17477" s="478"/>
      <c r="G17477" s="243" t="s">
        <v>94</v>
      </c>
      <c r="H17477" s="243"/>
      <c r="I17477" s="263" t="s">
        <v>348</v>
      </c>
      <c r="J17477" s="244" t="s">
        <v>82</v>
      </c>
      <c r="K17477" s="245"/>
      <c r="L17477" s="245">
        <f>K17476</f>
        <v>6669009.8299999833</v>
      </c>
    </row>
    <row r="17478" spans="1:14" ht="12" customHeight="1" x14ac:dyDescent="0.2">
      <c r="A17478" s="246">
        <v>2026</v>
      </c>
      <c r="B17478" s="238">
        <v>2</v>
      </c>
      <c r="C17478" s="238">
        <v>15</v>
      </c>
      <c r="D17478" s="270">
        <f t="shared" si="2764"/>
        <v>46068</v>
      </c>
      <c r="E17478" s="279">
        <f t="shared" si="2765"/>
        <v>46068</v>
      </c>
      <c r="F17478" s="482" t="s">
        <v>2167</v>
      </c>
      <c r="G17478" s="247" t="s">
        <v>94</v>
      </c>
      <c r="H17478" s="247"/>
      <c r="I17478" s="248" t="s">
        <v>348</v>
      </c>
      <c r="J17478" s="249" t="s">
        <v>95</v>
      </c>
      <c r="K17478" s="250">
        <f>5*392.464678178964</f>
        <v>1962.32339089482</v>
      </c>
      <c r="L17478" s="241"/>
      <c r="M17478" s="176"/>
    </row>
    <row r="17479" spans="1:14" x14ac:dyDescent="0.2">
      <c r="A17479" s="242">
        <v>2026</v>
      </c>
      <c r="B17479" s="242">
        <v>2</v>
      </c>
      <c r="C17479" s="242">
        <v>15</v>
      </c>
      <c r="D17479" s="270">
        <f t="shared" si="2764"/>
        <v>46068</v>
      </c>
      <c r="E17479" s="279">
        <f t="shared" si="2765"/>
        <v>46068</v>
      </c>
      <c r="F17479" s="478"/>
      <c r="G17479" s="243" t="s">
        <v>94</v>
      </c>
      <c r="H17479" s="243"/>
      <c r="I17479" s="263" t="s">
        <v>348</v>
      </c>
      <c r="J17479" s="244" t="s">
        <v>63</v>
      </c>
      <c r="K17479" s="245"/>
      <c r="L17479" s="245">
        <f>K17478</f>
        <v>1962.32339089482</v>
      </c>
    </row>
    <row r="17480" spans="1:14" x14ac:dyDescent="0.2">
      <c r="A17480" s="246">
        <v>2026</v>
      </c>
      <c r="B17480" s="238">
        <v>2</v>
      </c>
      <c r="C17480" s="238">
        <v>15</v>
      </c>
      <c r="D17480" s="270">
        <f t="shared" si="2764"/>
        <v>46068</v>
      </c>
      <c r="E17480" s="279">
        <f t="shared" si="2765"/>
        <v>46068</v>
      </c>
      <c r="F17480" s="482" t="s">
        <v>2168</v>
      </c>
      <c r="G17480" s="247" t="s">
        <v>94</v>
      </c>
      <c r="H17480" s="247"/>
      <c r="I17480" s="248" t="s">
        <v>348</v>
      </c>
      <c r="J17480" s="249" t="s">
        <v>97</v>
      </c>
      <c r="K17480" s="250">
        <v>77475.531238590745</v>
      </c>
      <c r="L17480" s="252"/>
    </row>
    <row r="17481" spans="1:14" x14ac:dyDescent="0.2">
      <c r="A17481" s="242">
        <v>2026</v>
      </c>
      <c r="B17481" s="242">
        <v>2</v>
      </c>
      <c r="C17481" s="242">
        <v>15</v>
      </c>
      <c r="D17481" s="270">
        <f t="shared" si="2764"/>
        <v>46068</v>
      </c>
      <c r="E17481" s="279">
        <f t="shared" si="2765"/>
        <v>46068</v>
      </c>
      <c r="F17481" s="478"/>
      <c r="G17481" s="243" t="s">
        <v>94</v>
      </c>
      <c r="H17481" s="243"/>
      <c r="I17481" s="263" t="s">
        <v>348</v>
      </c>
      <c r="J17481" s="244" t="s">
        <v>47</v>
      </c>
      <c r="K17481" s="245"/>
      <c r="L17481" s="245">
        <f>K17480</f>
        <v>77475.531238590745</v>
      </c>
      <c r="M17481" s="170">
        <v>15495.106247718149</v>
      </c>
    </row>
    <row r="17482" spans="1:14" x14ac:dyDescent="0.2">
      <c r="A17482" s="246">
        <v>2026</v>
      </c>
      <c r="B17482" s="238">
        <v>2</v>
      </c>
      <c r="C17482" s="238">
        <v>15</v>
      </c>
      <c r="D17482" s="270">
        <f t="shared" si="2764"/>
        <v>46068</v>
      </c>
      <c r="E17482" s="279">
        <f t="shared" si="2765"/>
        <v>46068</v>
      </c>
      <c r="F17482" s="482" t="s">
        <v>2169</v>
      </c>
      <c r="G17482" s="247" t="s">
        <v>94</v>
      </c>
      <c r="H17482" s="247"/>
      <c r="I17482" s="248" t="s">
        <v>348</v>
      </c>
      <c r="J17482" s="249" t="s">
        <v>100</v>
      </c>
      <c r="K17482" s="250">
        <v>3791.4090422796762</v>
      </c>
      <c r="L17482" s="252"/>
      <c r="M17482" s="170">
        <v>758.28180845593522</v>
      </c>
    </row>
    <row r="17483" spans="1:14" x14ac:dyDescent="0.2">
      <c r="A17483" s="242">
        <v>2026</v>
      </c>
      <c r="B17483" s="242">
        <v>2</v>
      </c>
      <c r="C17483" s="242">
        <v>15</v>
      </c>
      <c r="D17483" s="321">
        <f t="shared" si="2764"/>
        <v>46068</v>
      </c>
      <c r="E17483" s="322">
        <f t="shared" si="2765"/>
        <v>46068</v>
      </c>
      <c r="F17483" s="478"/>
      <c r="G17483" s="243" t="s">
        <v>94</v>
      </c>
      <c r="H17483" s="243"/>
      <c r="I17483" s="263" t="s">
        <v>348</v>
      </c>
      <c r="J17483" s="244" t="s">
        <v>48</v>
      </c>
      <c r="K17483" s="245"/>
      <c r="L17483" s="245">
        <f>K17482</f>
        <v>3791.4090422796762</v>
      </c>
    </row>
    <row r="17484" spans="1:14" x14ac:dyDescent="0.2">
      <c r="A17484" s="168">
        <v>2026</v>
      </c>
      <c r="B17484" s="168">
        <v>2</v>
      </c>
      <c r="C17484" s="168">
        <v>16</v>
      </c>
      <c r="D17484" s="141">
        <f t="shared" si="2764"/>
        <v>46069</v>
      </c>
      <c r="E17484" s="275">
        <f t="shared" si="2765"/>
        <v>46069</v>
      </c>
      <c r="F17484" s="479" t="s">
        <v>2172</v>
      </c>
      <c r="G17484" s="220" t="s">
        <v>94</v>
      </c>
      <c r="H17484" s="142" t="str" cm="1">
        <f t="array" ref="H17484">IFERROR(INDEX(INVESTOR_LIST[INVESTOR NAME],MATCH(I17484,INVESTOR_LIST[INVESTOR CODE],0),)," ")</f>
        <v xml:space="preserve"> </v>
      </c>
      <c r="I17484" s="142"/>
      <c r="J17484" s="168" t="s">
        <v>358</v>
      </c>
      <c r="K17484" s="226">
        <v>4727336.9800000004</v>
      </c>
      <c r="L17484" s="226"/>
    </row>
    <row r="17485" spans="1:14" x14ac:dyDescent="0.2">
      <c r="A17485" s="133">
        <v>2026</v>
      </c>
      <c r="B17485" s="133">
        <v>2</v>
      </c>
      <c r="C17485" s="133">
        <v>16</v>
      </c>
      <c r="D17485" s="141">
        <f>DATE(A17485,B17485,C17485)</f>
        <v>46069</v>
      </c>
      <c r="E17485" s="275">
        <f>DATE(A17485,B17485,C17485)</f>
        <v>46069</v>
      </c>
      <c r="F17485" s="481"/>
      <c r="G17485" s="174" t="s">
        <v>94</v>
      </c>
      <c r="H17485" s="148" t="str" cm="1">
        <f t="array" ref="H17485">IFERROR(INDEX(INVESTOR_LIST[INVESTOR NAME],MATCH(I17485,INVESTOR_LIST[INVESTOR CODE],0),)," ")</f>
        <v xml:space="preserve"> </v>
      </c>
      <c r="J17485" s="133" t="s">
        <v>13</v>
      </c>
      <c r="K17485" s="218"/>
      <c r="L17485" s="218">
        <v>3046570</v>
      </c>
    </row>
    <row r="17486" spans="1:14" x14ac:dyDescent="0.2">
      <c r="A17486" s="163">
        <v>2026</v>
      </c>
      <c r="B17486" s="163">
        <v>2</v>
      </c>
      <c r="C17486" s="163">
        <v>16</v>
      </c>
      <c r="D17486" s="280">
        <f>DATE(A17486,B17486,C17486)</f>
        <v>46069</v>
      </c>
      <c r="E17486" s="281">
        <f>DATE(A17486,B17486,C17486)</f>
        <v>46069</v>
      </c>
      <c r="F17486" s="480"/>
      <c r="G17486" s="221" t="s">
        <v>94</v>
      </c>
      <c r="H17486" s="145" t="str" cm="1">
        <f t="array" ref="H17486">IFERROR(INDEX(INVESTOR_LIST[INVESTOR NAME],MATCH(I17486,INVESTOR_LIST[INVESTOR CODE],0),)," ")</f>
        <v xml:space="preserve"> </v>
      </c>
      <c r="I17486" s="145"/>
      <c r="J17486" s="163" t="s">
        <v>53</v>
      </c>
      <c r="K17486" s="219"/>
      <c r="L17486" s="219">
        <v>1680766.98</v>
      </c>
    </row>
    <row r="17487" spans="1:14" x14ac:dyDescent="0.2">
      <c r="A17487" s="133">
        <v>2026</v>
      </c>
      <c r="B17487" s="133">
        <v>2</v>
      </c>
      <c r="C17487" s="133">
        <v>16</v>
      </c>
      <c r="D17487" s="147">
        <f t="shared" ref="D17487:D17520" si="2774">DATE(A17487,B17487,C17487)</f>
        <v>46069</v>
      </c>
      <c r="E17487" s="311">
        <f t="shared" ref="E17487:E17520" si="2775">DATE(A17487,B17487,C17487)</f>
        <v>46069</v>
      </c>
      <c r="F17487" s="481" t="s">
        <v>2115</v>
      </c>
      <c r="G17487" s="174" t="s">
        <v>94</v>
      </c>
      <c r="H17487" s="174"/>
      <c r="J17487" s="149" t="s">
        <v>79</v>
      </c>
      <c r="K17487" s="218">
        <v>3715109.4</v>
      </c>
      <c r="L17487" s="218"/>
    </row>
    <row r="17488" spans="1:14" x14ac:dyDescent="0.2">
      <c r="A17488" s="133">
        <v>2026</v>
      </c>
      <c r="B17488" s="133">
        <v>2</v>
      </c>
      <c r="C17488" s="133">
        <v>16</v>
      </c>
      <c r="D17488" s="147">
        <f t="shared" si="2774"/>
        <v>46069</v>
      </c>
      <c r="E17488" s="311">
        <f t="shared" si="2775"/>
        <v>46069</v>
      </c>
      <c r="F17488" s="481"/>
      <c r="G17488" s="174" t="s">
        <v>94</v>
      </c>
      <c r="H17488" s="174"/>
      <c r="J17488" s="149" t="s">
        <v>80</v>
      </c>
      <c r="K17488" s="218">
        <v>8274.27</v>
      </c>
      <c r="L17488" s="264"/>
      <c r="M17488" s="264"/>
      <c r="N17488" s="264"/>
    </row>
    <row r="17489" spans="1:15" x14ac:dyDescent="0.2">
      <c r="A17489" s="133">
        <v>2026</v>
      </c>
      <c r="B17489" s="133">
        <v>2</v>
      </c>
      <c r="C17489" s="133">
        <v>16</v>
      </c>
      <c r="D17489" s="147">
        <f t="shared" si="2774"/>
        <v>46069</v>
      </c>
      <c r="E17489" s="311">
        <f t="shared" si="2775"/>
        <v>46069</v>
      </c>
      <c r="F17489" s="481"/>
      <c r="G17489" s="174" t="s">
        <v>94</v>
      </c>
      <c r="H17489" s="174"/>
      <c r="J17489" s="149" t="s">
        <v>147</v>
      </c>
      <c r="K17489" s="218"/>
      <c r="L17489" s="218">
        <v>2841673.67</v>
      </c>
      <c r="M17489" s="264"/>
    </row>
    <row r="17490" spans="1:15" x14ac:dyDescent="0.2">
      <c r="A17490" s="133">
        <v>2026</v>
      </c>
      <c r="B17490" s="133">
        <v>2</v>
      </c>
      <c r="C17490" s="133">
        <v>16</v>
      </c>
      <c r="D17490" s="147">
        <f t="shared" si="2774"/>
        <v>46069</v>
      </c>
      <c r="E17490" s="311">
        <f t="shared" si="2775"/>
        <v>46069</v>
      </c>
      <c r="F17490" s="481"/>
      <c r="G17490" s="174" t="s">
        <v>94</v>
      </c>
      <c r="H17490" s="174"/>
      <c r="J17490" s="149" t="s">
        <v>191</v>
      </c>
      <c r="K17490" s="218"/>
      <c r="L17490" s="218">
        <v>118837.51</v>
      </c>
    </row>
    <row r="17491" spans="1:15" x14ac:dyDescent="0.2">
      <c r="A17491" s="133">
        <v>2026</v>
      </c>
      <c r="B17491" s="133">
        <v>2</v>
      </c>
      <c r="C17491" s="133">
        <v>16</v>
      </c>
      <c r="D17491" s="147">
        <f t="shared" si="2774"/>
        <v>46069</v>
      </c>
      <c r="E17491" s="311">
        <f t="shared" si="2775"/>
        <v>46069</v>
      </c>
      <c r="F17491" s="481"/>
      <c r="G17491" s="174" t="s">
        <v>94</v>
      </c>
      <c r="J17491" s="133" t="s">
        <v>79</v>
      </c>
      <c r="K17491" s="218"/>
      <c r="L17491" s="218">
        <v>762872.49</v>
      </c>
      <c r="M17491" s="264"/>
    </row>
    <row r="17492" spans="1:15" x14ac:dyDescent="0.2">
      <c r="A17492" s="168">
        <v>2026</v>
      </c>
      <c r="B17492" s="168">
        <v>2</v>
      </c>
      <c r="C17492" s="168">
        <v>16</v>
      </c>
      <c r="D17492" s="141">
        <f t="shared" si="2774"/>
        <v>46069</v>
      </c>
      <c r="E17492" s="275">
        <f t="shared" si="2775"/>
        <v>46069</v>
      </c>
      <c r="F17492" s="479" t="s">
        <v>1529</v>
      </c>
      <c r="G17492" s="220" t="s">
        <v>94</v>
      </c>
      <c r="H17492" s="220"/>
      <c r="I17492" s="142"/>
      <c r="J17492" s="168" t="s">
        <v>79</v>
      </c>
      <c r="K17492" s="226">
        <v>269250</v>
      </c>
      <c r="L17492" s="455"/>
      <c r="N17492" s="264"/>
    </row>
    <row r="17493" spans="1:15" x14ac:dyDescent="0.2">
      <c r="A17493" s="133">
        <v>2026</v>
      </c>
      <c r="B17493" s="133">
        <v>2</v>
      </c>
      <c r="C17493" s="133">
        <v>16</v>
      </c>
      <c r="D17493" s="147">
        <f t="shared" si="2774"/>
        <v>46069</v>
      </c>
      <c r="E17493" s="311">
        <f t="shared" si="2775"/>
        <v>46069</v>
      </c>
      <c r="F17493" s="481"/>
      <c r="G17493" s="174" t="s">
        <v>94</v>
      </c>
      <c r="H17493" s="174"/>
      <c r="J17493" s="149" t="s">
        <v>80</v>
      </c>
      <c r="K17493" s="218">
        <v>484.65</v>
      </c>
      <c r="L17493" s="218"/>
    </row>
    <row r="17494" spans="1:15" x14ac:dyDescent="0.2">
      <c r="A17494" s="163">
        <v>2026</v>
      </c>
      <c r="B17494" s="163">
        <v>2</v>
      </c>
      <c r="C17494" s="163">
        <v>16</v>
      </c>
      <c r="D17494" s="144">
        <f t="shared" si="2774"/>
        <v>46069</v>
      </c>
      <c r="E17494" s="313">
        <f t="shared" si="2775"/>
        <v>46069</v>
      </c>
      <c r="F17494" s="480"/>
      <c r="G17494" s="221" t="s">
        <v>94</v>
      </c>
      <c r="H17494" s="221"/>
      <c r="I17494" s="145"/>
      <c r="J17494" s="146" t="s">
        <v>147</v>
      </c>
      <c r="K17494" s="219"/>
      <c r="L17494" s="219">
        <v>269734.65000000002</v>
      </c>
    </row>
    <row r="17495" spans="1:15" x14ac:dyDescent="0.2">
      <c r="A17495" s="168">
        <v>2026</v>
      </c>
      <c r="B17495" s="133">
        <v>2</v>
      </c>
      <c r="C17495" s="133">
        <v>16</v>
      </c>
      <c r="D17495" s="141">
        <f t="shared" si="2774"/>
        <v>46069</v>
      </c>
      <c r="E17495" s="275">
        <f t="shared" si="2775"/>
        <v>46069</v>
      </c>
      <c r="F17495" s="479" t="s">
        <v>2180</v>
      </c>
      <c r="G17495" s="174" t="s">
        <v>74</v>
      </c>
      <c r="I17495" s="148" t="s">
        <v>348</v>
      </c>
      <c r="J17495" s="133" t="s">
        <v>47</v>
      </c>
      <c r="K17495" s="172">
        <f>L17497/0.85</f>
        <v>360000</v>
      </c>
      <c r="M17495" s="264"/>
      <c r="N17495" s="264"/>
    </row>
    <row r="17496" spans="1:15" x14ac:dyDescent="0.2">
      <c r="A17496" s="133">
        <v>2026</v>
      </c>
      <c r="B17496" s="133">
        <v>2</v>
      </c>
      <c r="C17496" s="133">
        <v>16</v>
      </c>
      <c r="D17496" s="147">
        <f t="shared" si="2774"/>
        <v>46069</v>
      </c>
      <c r="E17496" s="311">
        <f t="shared" si="2775"/>
        <v>46069</v>
      </c>
      <c r="F17496" s="481"/>
      <c r="G17496" s="174" t="s">
        <v>74</v>
      </c>
      <c r="J17496" s="133" t="s">
        <v>534</v>
      </c>
      <c r="K17496" s="218"/>
      <c r="L17496" s="218">
        <f>K17495-L17497</f>
        <v>54000</v>
      </c>
      <c r="N17496" s="264"/>
    </row>
    <row r="17497" spans="1:15" x14ac:dyDescent="0.2">
      <c r="A17497" s="163">
        <v>2026</v>
      </c>
      <c r="B17497" s="163">
        <v>2</v>
      </c>
      <c r="C17497" s="163">
        <v>16</v>
      </c>
      <c r="D17497" s="144">
        <f t="shared" si="2774"/>
        <v>46069</v>
      </c>
      <c r="E17497" s="313">
        <f t="shared" si="2775"/>
        <v>46069</v>
      </c>
      <c r="F17497" s="480"/>
      <c r="G17497" s="221" t="s">
        <v>74</v>
      </c>
      <c r="H17497" s="145"/>
      <c r="I17497" s="145" t="s">
        <v>348</v>
      </c>
      <c r="J17497" s="163" t="s">
        <v>52</v>
      </c>
      <c r="K17497" s="219"/>
      <c r="L17497" s="219">
        <v>306000</v>
      </c>
      <c r="M17497" s="160"/>
      <c r="N17497" s="160"/>
      <c r="O17497" s="373"/>
    </row>
    <row r="17498" spans="1:15" ht="11.25" customHeight="1" x14ac:dyDescent="0.2">
      <c r="A17498" s="168">
        <v>2026</v>
      </c>
      <c r="B17498" s="168">
        <v>2</v>
      </c>
      <c r="C17498" s="133">
        <v>16</v>
      </c>
      <c r="D17498" s="141">
        <f t="shared" si="2774"/>
        <v>46069</v>
      </c>
      <c r="E17498" s="275">
        <f t="shared" si="2775"/>
        <v>46069</v>
      </c>
      <c r="F17498" s="479" t="s">
        <v>964</v>
      </c>
      <c r="G17498" s="220" t="s">
        <v>74</v>
      </c>
      <c r="H17498" s="142"/>
      <c r="I17498" s="142"/>
      <c r="J17498" s="168" t="s">
        <v>52</v>
      </c>
      <c r="K17498" s="226">
        <v>75717</v>
      </c>
      <c r="L17498" s="226"/>
    </row>
    <row r="17499" spans="1:15" ht="11.25" customHeight="1" x14ac:dyDescent="0.2">
      <c r="A17499" s="133">
        <v>2026</v>
      </c>
      <c r="B17499" s="133">
        <v>2</v>
      </c>
      <c r="C17499" s="133">
        <v>16</v>
      </c>
      <c r="D17499" s="147">
        <f t="shared" si="2774"/>
        <v>46069</v>
      </c>
      <c r="E17499" s="311">
        <f t="shared" si="2775"/>
        <v>46069</v>
      </c>
      <c r="F17499" s="481"/>
      <c r="G17499" s="174" t="s">
        <v>74</v>
      </c>
      <c r="J17499" s="133" t="s">
        <v>13</v>
      </c>
      <c r="K17499" s="218"/>
      <c r="L17499" s="218">
        <v>48790</v>
      </c>
    </row>
    <row r="17500" spans="1:15" ht="11.25" customHeight="1" x14ac:dyDescent="0.2">
      <c r="A17500" s="163">
        <v>2026</v>
      </c>
      <c r="B17500" s="163">
        <v>2</v>
      </c>
      <c r="C17500" s="163">
        <v>16</v>
      </c>
      <c r="D17500" s="144">
        <f t="shared" si="2774"/>
        <v>46069</v>
      </c>
      <c r="E17500" s="313">
        <f t="shared" si="2775"/>
        <v>46069</v>
      </c>
      <c r="F17500" s="480"/>
      <c r="G17500" s="221" t="s">
        <v>74</v>
      </c>
      <c r="H17500" s="145"/>
      <c r="I17500" s="145"/>
      <c r="J17500" s="163" t="s">
        <v>53</v>
      </c>
      <c r="K17500" s="219"/>
      <c r="L17500" s="219">
        <v>26927</v>
      </c>
    </row>
    <row r="17501" spans="1:15" ht="11.25" customHeight="1" x14ac:dyDescent="0.2">
      <c r="A17501" s="168">
        <v>2026</v>
      </c>
      <c r="B17501" s="168">
        <v>2</v>
      </c>
      <c r="C17501" s="133">
        <v>16</v>
      </c>
      <c r="D17501" s="141">
        <f t="shared" si="2774"/>
        <v>46069</v>
      </c>
      <c r="E17501" s="275">
        <f t="shared" si="2775"/>
        <v>46069</v>
      </c>
      <c r="F17501" s="479" t="s">
        <v>965</v>
      </c>
      <c r="G17501" s="220" t="s">
        <v>74</v>
      </c>
      <c r="H17501" s="142"/>
      <c r="I17501" s="142"/>
      <c r="J17501" s="168" t="s">
        <v>13</v>
      </c>
      <c r="K17501" s="226">
        <v>1275510</v>
      </c>
      <c r="L17501" s="226"/>
    </row>
    <row r="17502" spans="1:15" ht="11.25" customHeight="1" x14ac:dyDescent="0.2">
      <c r="A17502" s="133">
        <v>2026</v>
      </c>
      <c r="B17502" s="133">
        <v>2</v>
      </c>
      <c r="C17502" s="133">
        <v>16</v>
      </c>
      <c r="D17502" s="141">
        <f t="shared" si="2774"/>
        <v>46069</v>
      </c>
      <c r="E17502" s="275">
        <f t="shared" si="2775"/>
        <v>46069</v>
      </c>
      <c r="F17502" s="481"/>
      <c r="G17502" s="174" t="s">
        <v>74</v>
      </c>
      <c r="J17502" s="133" t="s">
        <v>53</v>
      </c>
      <c r="K17502" s="218">
        <v>712244.78</v>
      </c>
      <c r="L17502" s="218"/>
    </row>
    <row r="17503" spans="1:15" ht="11.25" customHeight="1" x14ac:dyDescent="0.2">
      <c r="A17503" s="163">
        <v>2026</v>
      </c>
      <c r="B17503" s="163">
        <v>2</v>
      </c>
      <c r="C17503" s="163">
        <v>16</v>
      </c>
      <c r="D17503" s="280">
        <f t="shared" si="2774"/>
        <v>46069</v>
      </c>
      <c r="E17503" s="281">
        <f t="shared" si="2775"/>
        <v>46069</v>
      </c>
      <c r="F17503" s="480"/>
      <c r="G17503" s="221" t="s">
        <v>74</v>
      </c>
      <c r="H17503" s="145"/>
      <c r="I17503" s="145"/>
      <c r="J17503" s="163" t="s">
        <v>52</v>
      </c>
      <c r="K17503" s="219"/>
      <c r="L17503" s="219">
        <v>1987754.78</v>
      </c>
    </row>
    <row r="17504" spans="1:15" x14ac:dyDescent="0.2">
      <c r="A17504" s="168">
        <v>2026</v>
      </c>
      <c r="B17504" s="168">
        <v>2</v>
      </c>
      <c r="C17504" s="168">
        <v>16</v>
      </c>
      <c r="D17504" s="141">
        <f t="shared" si="2774"/>
        <v>46069</v>
      </c>
      <c r="E17504" s="275">
        <f t="shared" si="2775"/>
        <v>46069</v>
      </c>
      <c r="F17504" s="479" t="s">
        <v>1943</v>
      </c>
      <c r="G17504" s="174" t="s">
        <v>74</v>
      </c>
      <c r="I17504" s="148" t="s">
        <v>348</v>
      </c>
      <c r="J17504" s="133" t="s">
        <v>61</v>
      </c>
      <c r="K17504" s="172">
        <v>125</v>
      </c>
    </row>
    <row r="17505" spans="1:13" x14ac:dyDescent="0.2">
      <c r="A17505" s="163">
        <v>2026</v>
      </c>
      <c r="B17505" s="163">
        <v>2</v>
      </c>
      <c r="C17505" s="163">
        <v>16</v>
      </c>
      <c r="D17505" s="144">
        <f t="shared" si="2774"/>
        <v>46069</v>
      </c>
      <c r="E17505" s="313">
        <f t="shared" si="2775"/>
        <v>46069</v>
      </c>
      <c r="F17505" s="480"/>
      <c r="G17505" s="221" t="s">
        <v>74</v>
      </c>
      <c r="H17505" s="145"/>
      <c r="I17505" s="145" t="s">
        <v>348</v>
      </c>
      <c r="J17505" s="163" t="s">
        <v>52</v>
      </c>
      <c r="K17505" s="219"/>
      <c r="L17505" s="219">
        <f>K17504</f>
        <v>125</v>
      </c>
    </row>
    <row r="17506" spans="1:13" ht="11.25" customHeight="1" x14ac:dyDescent="0.2">
      <c r="A17506" s="168">
        <v>2026</v>
      </c>
      <c r="B17506" s="168">
        <v>2</v>
      </c>
      <c r="C17506" s="133">
        <v>16</v>
      </c>
      <c r="D17506" s="141">
        <f t="shared" ref="D17506:D17508" si="2776">DATE(A17506,B17506,C17506)</f>
        <v>46069</v>
      </c>
      <c r="E17506" s="275">
        <f t="shared" ref="E17506:E17508" si="2777">DATE(A17506,B17506,C17506)</f>
        <v>46069</v>
      </c>
      <c r="F17506" s="479" t="s">
        <v>964</v>
      </c>
      <c r="G17506" s="220" t="s">
        <v>74</v>
      </c>
      <c r="H17506" s="142"/>
      <c r="I17506" s="142"/>
      <c r="J17506" s="168" t="s">
        <v>52</v>
      </c>
      <c r="K17506" s="226">
        <v>84000</v>
      </c>
      <c r="L17506" s="226"/>
    </row>
    <row r="17507" spans="1:13" ht="11.25" customHeight="1" x14ac:dyDescent="0.2">
      <c r="A17507" s="133">
        <v>2026</v>
      </c>
      <c r="B17507" s="133">
        <v>2</v>
      </c>
      <c r="C17507" s="133">
        <v>16</v>
      </c>
      <c r="D17507" s="147">
        <f t="shared" si="2776"/>
        <v>46069</v>
      </c>
      <c r="E17507" s="311">
        <f t="shared" si="2777"/>
        <v>46069</v>
      </c>
      <c r="F17507" s="481"/>
      <c r="G17507" s="174" t="s">
        <v>74</v>
      </c>
      <c r="J17507" s="133" t="s">
        <v>13</v>
      </c>
      <c r="K17507" s="218"/>
      <c r="L17507" s="218">
        <v>55790</v>
      </c>
    </row>
    <row r="17508" spans="1:13" ht="11.25" customHeight="1" x14ac:dyDescent="0.2">
      <c r="A17508" s="163">
        <v>2026</v>
      </c>
      <c r="B17508" s="163">
        <v>2</v>
      </c>
      <c r="C17508" s="163">
        <v>16</v>
      </c>
      <c r="D17508" s="144">
        <f t="shared" si="2776"/>
        <v>46069</v>
      </c>
      <c r="E17508" s="313">
        <f t="shared" si="2777"/>
        <v>46069</v>
      </c>
      <c r="F17508" s="480"/>
      <c r="G17508" s="221" t="s">
        <v>74</v>
      </c>
      <c r="H17508" s="145"/>
      <c r="I17508" s="145"/>
      <c r="J17508" s="163" t="s">
        <v>53</v>
      </c>
      <c r="K17508" s="219"/>
      <c r="L17508" s="219">
        <v>28210</v>
      </c>
    </row>
    <row r="17509" spans="1:13" x14ac:dyDescent="0.2">
      <c r="A17509" s="325">
        <v>2026</v>
      </c>
      <c r="B17509" s="325">
        <v>2</v>
      </c>
      <c r="C17509" s="325">
        <v>16</v>
      </c>
      <c r="D17509" s="326">
        <f t="shared" si="2774"/>
        <v>46069</v>
      </c>
      <c r="E17509" s="327">
        <f t="shared" si="2775"/>
        <v>46069</v>
      </c>
      <c r="F17509" s="473" t="s">
        <v>2131</v>
      </c>
      <c r="G17509" s="340" t="s">
        <v>94</v>
      </c>
      <c r="H17509" s="340"/>
      <c r="I17509" s="341" t="s">
        <v>348</v>
      </c>
      <c r="J17509" s="374" t="s">
        <v>2156</v>
      </c>
      <c r="K17509" s="375">
        <v>6185.4395604395604</v>
      </c>
      <c r="L17509" s="375"/>
      <c r="M17509" s="176"/>
    </row>
    <row r="17510" spans="1:13" x14ac:dyDescent="0.2">
      <c r="A17510" s="331">
        <v>2026</v>
      </c>
      <c r="B17510" s="331">
        <v>2</v>
      </c>
      <c r="C17510" s="331">
        <v>16</v>
      </c>
      <c r="D17510" s="326">
        <f t="shared" si="2774"/>
        <v>46069</v>
      </c>
      <c r="E17510" s="327">
        <f t="shared" si="2775"/>
        <v>46069</v>
      </c>
      <c r="F17510" s="474"/>
      <c r="G17510" s="332" t="s">
        <v>94</v>
      </c>
      <c r="H17510" s="332"/>
      <c r="I17510" s="333" t="s">
        <v>348</v>
      </c>
      <c r="J17510" s="376" t="s">
        <v>2154</v>
      </c>
      <c r="K17510" s="334"/>
      <c r="L17510" s="334">
        <f>K17509</f>
        <v>6185.4395604395604</v>
      </c>
    </row>
    <row r="17511" spans="1:13" x14ac:dyDescent="0.2">
      <c r="A17511" s="384">
        <v>2026</v>
      </c>
      <c r="B17511" s="384">
        <v>2</v>
      </c>
      <c r="C17511" s="384">
        <v>16</v>
      </c>
      <c r="D17511" s="385">
        <f t="shared" si="2774"/>
        <v>46069</v>
      </c>
      <c r="E17511" s="386">
        <f t="shared" si="2775"/>
        <v>46069</v>
      </c>
      <c r="F17511" s="475" t="s">
        <v>1966</v>
      </c>
      <c r="G17511" s="387" t="s">
        <v>94</v>
      </c>
      <c r="H17511" s="387"/>
      <c r="I17511" s="388" t="s">
        <v>348</v>
      </c>
      <c r="J17511" s="389" t="s">
        <v>67</v>
      </c>
      <c r="K17511" s="390">
        <v>3348.311651388889</v>
      </c>
      <c r="L17511" s="390"/>
    </row>
    <row r="17512" spans="1:13" x14ac:dyDescent="0.2">
      <c r="A17512" s="391">
        <v>2026</v>
      </c>
      <c r="B17512" s="391">
        <v>2</v>
      </c>
      <c r="C17512" s="391">
        <v>16</v>
      </c>
      <c r="D17512" s="385">
        <f t="shared" si="2774"/>
        <v>46069</v>
      </c>
      <c r="E17512" s="386">
        <f t="shared" si="2775"/>
        <v>46069</v>
      </c>
      <c r="F17512" s="476"/>
      <c r="G17512" s="392" t="s">
        <v>94</v>
      </c>
      <c r="H17512" s="392"/>
      <c r="I17512" s="393" t="s">
        <v>348</v>
      </c>
      <c r="J17512" s="394" t="s">
        <v>2155</v>
      </c>
      <c r="K17512" s="395"/>
      <c r="L17512" s="395">
        <f>K17511</f>
        <v>3348.311651388889</v>
      </c>
    </row>
    <row r="17513" spans="1:13" x14ac:dyDescent="0.2">
      <c r="A17513" s="238">
        <v>2026</v>
      </c>
      <c r="B17513" s="238">
        <v>2</v>
      </c>
      <c r="C17513" s="238">
        <v>16</v>
      </c>
      <c r="D17513" s="270">
        <f t="shared" si="2774"/>
        <v>46069</v>
      </c>
      <c r="E17513" s="279">
        <f t="shared" si="2775"/>
        <v>46069</v>
      </c>
      <c r="F17513" s="477" t="s">
        <v>347</v>
      </c>
      <c r="G17513" s="239" t="s">
        <v>94</v>
      </c>
      <c r="H17513" s="239"/>
      <c r="I17513" s="262" t="s">
        <v>348</v>
      </c>
      <c r="J17513" s="240" t="s">
        <v>82</v>
      </c>
      <c r="K17513" s="241">
        <v>1694178.7100000083</v>
      </c>
      <c r="L17513" s="241"/>
      <c r="M17513" s="160"/>
    </row>
    <row r="17514" spans="1:13" x14ac:dyDescent="0.2">
      <c r="A17514" s="242">
        <v>2026</v>
      </c>
      <c r="B17514" s="242">
        <v>2</v>
      </c>
      <c r="C17514" s="242">
        <v>16</v>
      </c>
      <c r="D17514" s="270">
        <f t="shared" si="2774"/>
        <v>46069</v>
      </c>
      <c r="E17514" s="279">
        <f t="shared" si="2775"/>
        <v>46069</v>
      </c>
      <c r="F17514" s="478"/>
      <c r="G17514" s="243" t="s">
        <v>94</v>
      </c>
      <c r="H17514" s="243"/>
      <c r="I17514" s="263" t="s">
        <v>348</v>
      </c>
      <c r="J17514" s="244" t="s">
        <v>108</v>
      </c>
      <c r="K17514" s="245"/>
      <c r="L17514" s="245">
        <f>K17513</f>
        <v>1694178.7100000083</v>
      </c>
    </row>
    <row r="17515" spans="1:13" ht="12" customHeight="1" x14ac:dyDescent="0.2">
      <c r="A17515" s="246">
        <v>2026</v>
      </c>
      <c r="B17515" s="238">
        <v>2</v>
      </c>
      <c r="C17515" s="238">
        <v>16</v>
      </c>
      <c r="D17515" s="270">
        <f t="shared" si="2774"/>
        <v>46069</v>
      </c>
      <c r="E17515" s="279">
        <f t="shared" si="2775"/>
        <v>46069</v>
      </c>
      <c r="F17515" s="482" t="s">
        <v>2167</v>
      </c>
      <c r="G17515" s="247" t="s">
        <v>94</v>
      </c>
      <c r="H17515" s="247"/>
      <c r="I17515" s="248" t="s">
        <v>348</v>
      </c>
      <c r="J17515" s="249" t="s">
        <v>95</v>
      </c>
      <c r="K17515" s="250">
        <v>392.46467817896399</v>
      </c>
      <c r="L17515" s="241"/>
      <c r="M17515" s="176"/>
    </row>
    <row r="17516" spans="1:13" x14ac:dyDescent="0.2">
      <c r="A17516" s="242">
        <v>2026</v>
      </c>
      <c r="B17516" s="242">
        <v>2</v>
      </c>
      <c r="C17516" s="242">
        <v>16</v>
      </c>
      <c r="D17516" s="270">
        <f t="shared" si="2774"/>
        <v>46069</v>
      </c>
      <c r="E17516" s="279">
        <f t="shared" si="2775"/>
        <v>46069</v>
      </c>
      <c r="F17516" s="478"/>
      <c r="G17516" s="243" t="s">
        <v>94</v>
      </c>
      <c r="H17516" s="243"/>
      <c r="I17516" s="263" t="s">
        <v>348</v>
      </c>
      <c r="J17516" s="244" t="s">
        <v>63</v>
      </c>
      <c r="K17516" s="245"/>
      <c r="L17516" s="245">
        <f>K17515</f>
        <v>392.46467817896399</v>
      </c>
    </row>
    <row r="17517" spans="1:13" x14ac:dyDescent="0.2">
      <c r="A17517" s="246">
        <v>2026</v>
      </c>
      <c r="B17517" s="238">
        <v>2</v>
      </c>
      <c r="C17517" s="238">
        <v>16</v>
      </c>
      <c r="D17517" s="270">
        <f t="shared" si="2774"/>
        <v>46069</v>
      </c>
      <c r="E17517" s="279">
        <f t="shared" si="2775"/>
        <v>46069</v>
      </c>
      <c r="F17517" s="482" t="s">
        <v>2168</v>
      </c>
      <c r="G17517" s="247" t="s">
        <v>94</v>
      </c>
      <c r="H17517" s="247"/>
      <c r="I17517" s="248" t="s">
        <v>348</v>
      </c>
      <c r="J17517" s="249" t="s">
        <v>97</v>
      </c>
      <c r="K17517" s="250">
        <v>15477.342142756039</v>
      </c>
      <c r="L17517" s="252"/>
    </row>
    <row r="17518" spans="1:13" x14ac:dyDescent="0.2">
      <c r="A17518" s="242">
        <v>2026</v>
      </c>
      <c r="B17518" s="242">
        <v>2</v>
      </c>
      <c r="C17518" s="242">
        <v>16</v>
      </c>
      <c r="D17518" s="270">
        <f t="shared" si="2774"/>
        <v>46069</v>
      </c>
      <c r="E17518" s="279">
        <f t="shared" si="2775"/>
        <v>46069</v>
      </c>
      <c r="F17518" s="478"/>
      <c r="G17518" s="243" t="s">
        <v>94</v>
      </c>
      <c r="H17518" s="243"/>
      <c r="I17518" s="263" t="s">
        <v>348</v>
      </c>
      <c r="J17518" s="244" t="s">
        <v>47</v>
      </c>
      <c r="K17518" s="245"/>
      <c r="L17518" s="245">
        <f>K17517</f>
        <v>15477.342142756039</v>
      </c>
      <c r="M17518" s="170">
        <v>15477.342142756039</v>
      </c>
    </row>
    <row r="17519" spans="1:13" x14ac:dyDescent="0.2">
      <c r="A17519" s="246">
        <v>2026</v>
      </c>
      <c r="B17519" s="238">
        <v>2</v>
      </c>
      <c r="C17519" s="238">
        <v>16</v>
      </c>
      <c r="D17519" s="270">
        <f t="shared" si="2774"/>
        <v>46069</v>
      </c>
      <c r="E17519" s="279">
        <f t="shared" si="2775"/>
        <v>46069</v>
      </c>
      <c r="F17519" s="482" t="s">
        <v>2169</v>
      </c>
      <c r="G17519" s="247" t="s">
        <v>94</v>
      </c>
      <c r="H17519" s="247"/>
      <c r="I17519" s="248" t="s">
        <v>348</v>
      </c>
      <c r="J17519" s="249" t="s">
        <v>100</v>
      </c>
      <c r="K17519" s="250">
        <v>757.09753479179449</v>
      </c>
      <c r="L17519" s="252"/>
      <c r="M17519" s="170">
        <v>757.09753479179449</v>
      </c>
    </row>
    <row r="17520" spans="1:13" x14ac:dyDescent="0.2">
      <c r="A17520" s="242">
        <v>2026</v>
      </c>
      <c r="B17520" s="242">
        <v>2</v>
      </c>
      <c r="C17520" s="242">
        <v>16</v>
      </c>
      <c r="D17520" s="321">
        <f t="shared" si="2774"/>
        <v>46069</v>
      </c>
      <c r="E17520" s="322">
        <f t="shared" si="2775"/>
        <v>46069</v>
      </c>
      <c r="F17520" s="478"/>
      <c r="G17520" s="243" t="s">
        <v>94</v>
      </c>
      <c r="H17520" s="243"/>
      <c r="I17520" s="263" t="s">
        <v>348</v>
      </c>
      <c r="J17520" s="244" t="s">
        <v>48</v>
      </c>
      <c r="K17520" s="245"/>
      <c r="L17520" s="245">
        <f>K17519</f>
        <v>757.09753479179449</v>
      </c>
    </row>
    <row r="17521" spans="1:17" x14ac:dyDescent="0.2">
      <c r="A17521" s="168">
        <v>2026</v>
      </c>
      <c r="B17521" s="168">
        <v>2</v>
      </c>
      <c r="C17521" s="168">
        <v>17</v>
      </c>
      <c r="D17521" s="141">
        <f t="shared" ref="D17521:D17537" si="2778">DATE(A17521,B17521,C17521)</f>
        <v>46070</v>
      </c>
      <c r="E17521" s="275">
        <f t="shared" ref="E17521:E17537" si="2779">DATE(A17521,B17521,C17521)</f>
        <v>46070</v>
      </c>
      <c r="F17521" s="479" t="s">
        <v>2115</v>
      </c>
      <c r="G17521" s="220" t="s">
        <v>94</v>
      </c>
      <c r="H17521" s="220"/>
      <c r="I17521" s="142"/>
      <c r="J17521" s="143" t="s">
        <v>79</v>
      </c>
      <c r="K17521" s="226">
        <v>1962350</v>
      </c>
      <c r="L17521" s="226"/>
    </row>
    <row r="17522" spans="1:17" x14ac:dyDescent="0.2">
      <c r="A17522" s="133">
        <v>2026</v>
      </c>
      <c r="B17522" s="133">
        <v>2</v>
      </c>
      <c r="C17522" s="133">
        <v>17</v>
      </c>
      <c r="D17522" s="147">
        <f t="shared" si="2778"/>
        <v>46070</v>
      </c>
      <c r="E17522" s="311">
        <f t="shared" si="2779"/>
        <v>46070</v>
      </c>
      <c r="F17522" s="481"/>
      <c r="G17522" s="174" t="s">
        <v>94</v>
      </c>
      <c r="H17522" s="174"/>
      <c r="J17522" s="149" t="s">
        <v>80</v>
      </c>
      <c r="K17522" s="218">
        <v>4117.59</v>
      </c>
      <c r="L17522" s="264"/>
      <c r="M17522" s="264"/>
      <c r="N17522" s="264"/>
    </row>
    <row r="17523" spans="1:17" x14ac:dyDescent="0.2">
      <c r="A17523" s="133">
        <v>2026</v>
      </c>
      <c r="B17523" s="133">
        <v>2</v>
      </c>
      <c r="C17523" s="133">
        <v>17</v>
      </c>
      <c r="D17523" s="147">
        <f t="shared" si="2778"/>
        <v>46070</v>
      </c>
      <c r="E17523" s="311">
        <f t="shared" si="2779"/>
        <v>46070</v>
      </c>
      <c r="F17523" s="481"/>
      <c r="G17523" s="174" t="s">
        <v>94</v>
      </c>
      <c r="H17523" s="174"/>
      <c r="J17523" s="149" t="s">
        <v>147</v>
      </c>
      <c r="K17523" s="218"/>
      <c r="L17523" s="218">
        <v>1641267.59</v>
      </c>
      <c r="M17523" s="264"/>
    </row>
    <row r="17524" spans="1:17" x14ac:dyDescent="0.2">
      <c r="A17524" s="133">
        <v>2026</v>
      </c>
      <c r="B17524" s="133">
        <v>2</v>
      </c>
      <c r="C17524" s="133">
        <v>17</v>
      </c>
      <c r="D17524" s="147">
        <f t="shared" si="2778"/>
        <v>46070</v>
      </c>
      <c r="E17524" s="311">
        <f t="shared" si="2779"/>
        <v>46070</v>
      </c>
      <c r="F17524" s="481"/>
      <c r="G17524" s="174" t="s">
        <v>94</v>
      </c>
      <c r="H17524" s="174"/>
      <c r="J17524" s="149" t="s">
        <v>191</v>
      </c>
      <c r="K17524" s="218"/>
      <c r="L17524" s="218">
        <v>75943</v>
      </c>
    </row>
    <row r="17525" spans="1:17" x14ac:dyDescent="0.2">
      <c r="A17525" s="163">
        <v>2026</v>
      </c>
      <c r="B17525" s="163">
        <v>2</v>
      </c>
      <c r="C17525" s="163">
        <v>17</v>
      </c>
      <c r="D17525" s="144">
        <f t="shared" si="2778"/>
        <v>46070</v>
      </c>
      <c r="E17525" s="313">
        <f t="shared" si="2779"/>
        <v>46070</v>
      </c>
      <c r="F17525" s="480"/>
      <c r="G17525" s="221" t="s">
        <v>94</v>
      </c>
      <c r="H17525" s="145"/>
      <c r="I17525" s="145"/>
      <c r="J17525" s="163" t="s">
        <v>79</v>
      </c>
      <c r="K17525" s="219"/>
      <c r="L17525" s="219">
        <v>249257</v>
      </c>
      <c r="M17525" s="264"/>
    </row>
    <row r="17526" spans="1:17" ht="11.25" customHeight="1" x14ac:dyDescent="0.2">
      <c r="A17526" s="168">
        <v>2026</v>
      </c>
      <c r="B17526" s="168">
        <v>2</v>
      </c>
      <c r="C17526" s="168">
        <v>17</v>
      </c>
      <c r="D17526" s="141">
        <f t="shared" si="2778"/>
        <v>46070</v>
      </c>
      <c r="E17526" s="275">
        <f t="shared" si="2779"/>
        <v>46070</v>
      </c>
      <c r="F17526" s="479" t="s">
        <v>2163</v>
      </c>
      <c r="G17526" s="220" t="s">
        <v>74</v>
      </c>
      <c r="H17526" s="220"/>
      <c r="I17526" s="148" t="s">
        <v>348</v>
      </c>
      <c r="J17526" s="149" t="s">
        <v>147</v>
      </c>
      <c r="K17526" s="218">
        <v>269734.65000000002</v>
      </c>
      <c r="L17526" s="218"/>
      <c r="M17526" s="147"/>
      <c r="Q17526" s="133" t="s">
        <v>348</v>
      </c>
    </row>
    <row r="17527" spans="1:17" x14ac:dyDescent="0.2">
      <c r="A17527" s="163">
        <v>2026</v>
      </c>
      <c r="B17527" s="163">
        <v>2</v>
      </c>
      <c r="C17527" s="163">
        <v>17</v>
      </c>
      <c r="D17527" s="144">
        <f t="shared" si="2778"/>
        <v>46070</v>
      </c>
      <c r="E17527" s="313">
        <f t="shared" si="2779"/>
        <v>46070</v>
      </c>
      <c r="F17527" s="480"/>
      <c r="G17527" s="221" t="s">
        <v>74</v>
      </c>
      <c r="H17527" s="221"/>
      <c r="I17527" s="145" t="s">
        <v>348</v>
      </c>
      <c r="J17527" s="146" t="s">
        <v>52</v>
      </c>
      <c r="K17527" s="219"/>
      <c r="L17527" s="219">
        <f>K17526</f>
        <v>269734.65000000002</v>
      </c>
      <c r="M17527" s="147"/>
      <c r="Q17527" s="133" t="s">
        <v>348</v>
      </c>
    </row>
    <row r="17528" spans="1:17" x14ac:dyDescent="0.2">
      <c r="A17528" s="168">
        <v>2026</v>
      </c>
      <c r="B17528" s="168">
        <v>2</v>
      </c>
      <c r="C17528" s="168">
        <v>17</v>
      </c>
      <c r="D17528" s="141">
        <f t="shared" si="2778"/>
        <v>46070</v>
      </c>
      <c r="E17528" s="275">
        <f t="shared" si="2779"/>
        <v>46070</v>
      </c>
      <c r="F17528" s="479" t="s">
        <v>1943</v>
      </c>
      <c r="G17528" s="174" t="s">
        <v>74</v>
      </c>
      <c r="I17528" s="148" t="s">
        <v>348</v>
      </c>
      <c r="J17528" s="133" t="s">
        <v>61</v>
      </c>
      <c r="K17528" s="172">
        <f>58+158</f>
        <v>216</v>
      </c>
    </row>
    <row r="17529" spans="1:17" x14ac:dyDescent="0.2">
      <c r="A17529" s="163">
        <v>2026</v>
      </c>
      <c r="B17529" s="163">
        <v>2</v>
      </c>
      <c r="C17529" s="163">
        <v>17</v>
      </c>
      <c r="D17529" s="144">
        <f t="shared" si="2778"/>
        <v>46070</v>
      </c>
      <c r="E17529" s="313">
        <f t="shared" si="2779"/>
        <v>46070</v>
      </c>
      <c r="F17529" s="480"/>
      <c r="G17529" s="221" t="s">
        <v>74</v>
      </c>
      <c r="H17529" s="145"/>
      <c r="I17529" s="145" t="s">
        <v>348</v>
      </c>
      <c r="J17529" s="163" t="s">
        <v>52</v>
      </c>
      <c r="K17529" s="219"/>
      <c r="L17529" s="219">
        <f>K17528</f>
        <v>216</v>
      </c>
    </row>
    <row r="17530" spans="1:17" x14ac:dyDescent="0.2">
      <c r="A17530" s="168">
        <v>2026</v>
      </c>
      <c r="B17530" s="168">
        <v>2</v>
      </c>
      <c r="C17530" s="168">
        <v>17</v>
      </c>
      <c r="D17530" s="141">
        <f t="shared" ref="D17530:D17531" si="2780">DATE(A17530,B17530,C17530)</f>
        <v>46070</v>
      </c>
      <c r="E17530" s="275">
        <f t="shared" ref="E17530:E17531" si="2781">DATE(A17530,B17530,C17530)</f>
        <v>46070</v>
      </c>
      <c r="F17530" s="479" t="s">
        <v>1943</v>
      </c>
      <c r="G17530" s="174" t="s">
        <v>74</v>
      </c>
      <c r="I17530" s="148" t="s">
        <v>348</v>
      </c>
      <c r="J17530" s="133" t="s">
        <v>61</v>
      </c>
      <c r="K17530" s="172">
        <v>25</v>
      </c>
    </row>
    <row r="17531" spans="1:17" x14ac:dyDescent="0.2">
      <c r="A17531" s="163">
        <v>2026</v>
      </c>
      <c r="B17531" s="163">
        <v>2</v>
      </c>
      <c r="C17531" s="163">
        <v>17</v>
      </c>
      <c r="D17531" s="144">
        <f t="shared" si="2780"/>
        <v>46070</v>
      </c>
      <c r="E17531" s="313">
        <f t="shared" si="2781"/>
        <v>46070</v>
      </c>
      <c r="F17531" s="480"/>
      <c r="G17531" s="221" t="s">
        <v>74</v>
      </c>
      <c r="H17531" s="145"/>
      <c r="I17531" s="145" t="s">
        <v>348</v>
      </c>
      <c r="J17531" s="163" t="s">
        <v>52</v>
      </c>
      <c r="K17531" s="219"/>
      <c r="L17531" s="219">
        <f>K17530</f>
        <v>25</v>
      </c>
    </row>
    <row r="17532" spans="1:17" ht="11.25" customHeight="1" x14ac:dyDescent="0.2">
      <c r="A17532" s="168">
        <v>2026</v>
      </c>
      <c r="B17532" s="168">
        <v>2</v>
      </c>
      <c r="C17532" s="133">
        <v>17</v>
      </c>
      <c r="D17532" s="141">
        <f t="shared" si="2778"/>
        <v>46070</v>
      </c>
      <c r="E17532" s="275">
        <f t="shared" si="2779"/>
        <v>46070</v>
      </c>
      <c r="F17532" s="479" t="s">
        <v>964</v>
      </c>
      <c r="G17532" s="220" t="s">
        <v>74</v>
      </c>
      <c r="H17532" s="142"/>
      <c r="I17532" s="142"/>
      <c r="J17532" s="168" t="s">
        <v>52</v>
      </c>
      <c r="K17532" s="226">
        <v>20059</v>
      </c>
      <c r="L17532" s="226"/>
    </row>
    <row r="17533" spans="1:17" ht="11.25" customHeight="1" x14ac:dyDescent="0.2">
      <c r="A17533" s="133">
        <v>2026</v>
      </c>
      <c r="B17533" s="133">
        <v>2</v>
      </c>
      <c r="C17533" s="133">
        <v>17</v>
      </c>
      <c r="D17533" s="147">
        <f t="shared" si="2778"/>
        <v>46070</v>
      </c>
      <c r="E17533" s="311">
        <f t="shared" si="2779"/>
        <v>46070</v>
      </c>
      <c r="F17533" s="481"/>
      <c r="G17533" s="174" t="s">
        <v>74</v>
      </c>
      <c r="J17533" s="133" t="s">
        <v>13</v>
      </c>
      <c r="K17533" s="218"/>
      <c r="L17533" s="218">
        <v>13000</v>
      </c>
    </row>
    <row r="17534" spans="1:17" ht="11.25" customHeight="1" x14ac:dyDescent="0.2">
      <c r="A17534" s="133">
        <v>2026</v>
      </c>
      <c r="B17534" s="133">
        <v>2</v>
      </c>
      <c r="C17534" s="133">
        <v>17</v>
      </c>
      <c r="D17534" s="147">
        <f t="shared" si="2778"/>
        <v>46070</v>
      </c>
      <c r="E17534" s="311">
        <f t="shared" si="2779"/>
        <v>46070</v>
      </c>
      <c r="F17534" s="481"/>
      <c r="G17534" s="174" t="s">
        <v>74</v>
      </c>
      <c r="J17534" s="133" t="s">
        <v>53</v>
      </c>
      <c r="K17534" s="218"/>
      <c r="L17534" s="218">
        <v>7059</v>
      </c>
    </row>
    <row r="17535" spans="1:17" ht="11.25" customHeight="1" x14ac:dyDescent="0.2">
      <c r="A17535" s="168">
        <v>2026</v>
      </c>
      <c r="B17535" s="168">
        <v>2</v>
      </c>
      <c r="C17535" s="168">
        <v>17</v>
      </c>
      <c r="D17535" s="141">
        <f t="shared" si="2778"/>
        <v>46070</v>
      </c>
      <c r="E17535" s="275">
        <f t="shared" si="2779"/>
        <v>46070</v>
      </c>
      <c r="F17535" s="479" t="s">
        <v>965</v>
      </c>
      <c r="G17535" s="220" t="s">
        <v>74</v>
      </c>
      <c r="H17535" s="142"/>
      <c r="I17535" s="142"/>
      <c r="J17535" s="168" t="s">
        <v>13</v>
      </c>
      <c r="K17535" s="226">
        <v>5920000</v>
      </c>
      <c r="L17535" s="226"/>
    </row>
    <row r="17536" spans="1:17" ht="11.25" customHeight="1" x14ac:dyDescent="0.2">
      <c r="A17536" s="133">
        <v>2026</v>
      </c>
      <c r="B17536" s="133">
        <v>2</v>
      </c>
      <c r="C17536" s="133">
        <v>17</v>
      </c>
      <c r="D17536" s="147">
        <f t="shared" si="2778"/>
        <v>46070</v>
      </c>
      <c r="E17536" s="311">
        <f t="shared" si="2779"/>
        <v>46070</v>
      </c>
      <c r="F17536" s="481"/>
      <c r="G17536" s="174" t="s">
        <v>74</v>
      </c>
      <c r="J17536" s="133" t="s">
        <v>53</v>
      </c>
      <c r="K17536" s="218">
        <v>2717280</v>
      </c>
      <c r="L17536" s="218"/>
    </row>
    <row r="17537" spans="1:13" ht="11.25" customHeight="1" x14ac:dyDescent="0.2">
      <c r="A17537" s="133">
        <v>2026</v>
      </c>
      <c r="B17537" s="133">
        <v>2</v>
      </c>
      <c r="C17537" s="133">
        <v>17</v>
      </c>
      <c r="D17537" s="147">
        <f t="shared" si="2778"/>
        <v>46070</v>
      </c>
      <c r="E17537" s="311">
        <f t="shared" si="2779"/>
        <v>46070</v>
      </c>
      <c r="F17537" s="481"/>
      <c r="G17537" s="174" t="s">
        <v>74</v>
      </c>
      <c r="J17537" s="133" t="s">
        <v>52</v>
      </c>
      <c r="K17537" s="218"/>
      <c r="L17537" s="218">
        <v>8637280</v>
      </c>
    </row>
    <row r="17538" spans="1:13" ht="12" customHeight="1" x14ac:dyDescent="0.2">
      <c r="A17538" s="168">
        <v>2026</v>
      </c>
      <c r="B17538" s="168">
        <v>2</v>
      </c>
      <c r="C17538" s="168">
        <v>17</v>
      </c>
      <c r="D17538" s="141">
        <f>DATE(A17538,B17538,C17538)</f>
        <v>46070</v>
      </c>
      <c r="E17538" s="275">
        <f>DATE(A17538,B17538,C17538)</f>
        <v>46070</v>
      </c>
      <c r="F17538" s="479" t="s">
        <v>2173</v>
      </c>
      <c r="G17538" s="220" t="s">
        <v>74</v>
      </c>
      <c r="H17538" s="142" t="str" cm="1">
        <f t="array" ref="H17538">IFERROR(INDEX(INVESTOR_LIST[INVESTOR NAME],MATCH(I17538,INVESTOR_LIST[INVESTOR CODE],0),)," ")</f>
        <v xml:space="preserve"> </v>
      </c>
      <c r="I17538" s="142"/>
      <c r="J17538" s="168" t="s">
        <v>358</v>
      </c>
      <c r="K17538" s="226">
        <v>343360</v>
      </c>
      <c r="L17538" s="226"/>
    </row>
    <row r="17539" spans="1:13" ht="12" customHeight="1" x14ac:dyDescent="0.2">
      <c r="A17539" s="163">
        <v>2026</v>
      </c>
      <c r="B17539" s="163">
        <v>2</v>
      </c>
      <c r="C17539" s="163">
        <v>17</v>
      </c>
      <c r="D17539" s="144">
        <f>DATE(A17539,B17539,C17539)</f>
        <v>46070</v>
      </c>
      <c r="E17539" s="313">
        <f>DATE(A17539,B17539,C17539)</f>
        <v>46070</v>
      </c>
      <c r="F17539" s="480"/>
      <c r="G17539" s="221" t="s">
        <v>74</v>
      </c>
      <c r="H17539" s="145"/>
      <c r="I17539" s="145"/>
      <c r="J17539" s="163" t="s">
        <v>52</v>
      </c>
      <c r="K17539" s="219"/>
      <c r="L17539" s="219">
        <v>343360</v>
      </c>
    </row>
    <row r="17540" spans="1:13" x14ac:dyDescent="0.2">
      <c r="A17540" s="168">
        <v>2026</v>
      </c>
      <c r="B17540" s="168">
        <v>2</v>
      </c>
      <c r="C17540" s="168">
        <v>17</v>
      </c>
      <c r="D17540" s="141">
        <f t="shared" ref="D17540:D17541" si="2782">DATE(A17540,B17540,C17540)</f>
        <v>46070</v>
      </c>
      <c r="E17540" s="275">
        <f t="shared" ref="E17540:E17541" si="2783">DATE(A17540,B17540,C17540)</f>
        <v>46070</v>
      </c>
      <c r="F17540" s="481" t="s">
        <v>2176</v>
      </c>
      <c r="G17540" s="174" t="s">
        <v>94</v>
      </c>
      <c r="H17540" s="174"/>
      <c r="I17540" s="148" t="s">
        <v>348</v>
      </c>
      <c r="J17540" s="149" t="s">
        <v>168</v>
      </c>
      <c r="K17540" s="218">
        <v>268232.5</v>
      </c>
      <c r="L17540" s="218"/>
    </row>
    <row r="17541" spans="1:13" x14ac:dyDescent="0.2">
      <c r="A17541" s="163">
        <v>2026</v>
      </c>
      <c r="B17541" s="163">
        <v>2</v>
      </c>
      <c r="C17541" s="163">
        <v>17</v>
      </c>
      <c r="D17541" s="141">
        <f t="shared" si="2782"/>
        <v>46070</v>
      </c>
      <c r="E17541" s="275">
        <f t="shared" si="2783"/>
        <v>46070</v>
      </c>
      <c r="F17541" s="480"/>
      <c r="G17541" s="221" t="s">
        <v>94</v>
      </c>
      <c r="H17541" s="221"/>
      <c r="I17541" s="145" t="s">
        <v>348</v>
      </c>
      <c r="J17541" s="146" t="s">
        <v>166</v>
      </c>
      <c r="K17541" s="219"/>
      <c r="L17541" s="219">
        <f>K17540</f>
        <v>268232.5</v>
      </c>
    </row>
    <row r="17542" spans="1:13" x14ac:dyDescent="0.2">
      <c r="A17542" s="325">
        <v>2026</v>
      </c>
      <c r="B17542" s="325">
        <v>2</v>
      </c>
      <c r="C17542" s="325">
        <v>17</v>
      </c>
      <c r="D17542" s="326">
        <f t="shared" ref="D17542:D17553" si="2784">DATE(A17542,B17542,C17542)</f>
        <v>46070</v>
      </c>
      <c r="E17542" s="327">
        <f t="shared" ref="E17542:E17553" si="2785">DATE(A17542,B17542,C17542)</f>
        <v>46070</v>
      </c>
      <c r="F17542" s="473" t="s">
        <v>2131</v>
      </c>
      <c r="G17542" s="340" t="s">
        <v>94</v>
      </c>
      <c r="H17542" s="340"/>
      <c r="I17542" s="341" t="s">
        <v>348</v>
      </c>
      <c r="J17542" s="374" t="s">
        <v>2156</v>
      </c>
      <c r="K17542" s="375">
        <v>6185.4395604395604</v>
      </c>
      <c r="L17542" s="375"/>
      <c r="M17542" s="176"/>
    </row>
    <row r="17543" spans="1:13" x14ac:dyDescent="0.2">
      <c r="A17543" s="331">
        <v>2026</v>
      </c>
      <c r="B17543" s="331">
        <v>2</v>
      </c>
      <c r="C17543" s="331">
        <v>17</v>
      </c>
      <c r="D17543" s="326">
        <f t="shared" si="2784"/>
        <v>46070</v>
      </c>
      <c r="E17543" s="327">
        <f t="shared" si="2785"/>
        <v>46070</v>
      </c>
      <c r="F17543" s="474"/>
      <c r="G17543" s="332" t="s">
        <v>94</v>
      </c>
      <c r="H17543" s="332"/>
      <c r="I17543" s="333" t="s">
        <v>348</v>
      </c>
      <c r="J17543" s="376" t="s">
        <v>2154</v>
      </c>
      <c r="K17543" s="334"/>
      <c r="L17543" s="334">
        <f>K17542</f>
        <v>6185.4395604395604</v>
      </c>
    </row>
    <row r="17544" spans="1:13" x14ac:dyDescent="0.2">
      <c r="A17544" s="384">
        <v>2026</v>
      </c>
      <c r="B17544" s="384">
        <v>2</v>
      </c>
      <c r="C17544" s="384">
        <v>17</v>
      </c>
      <c r="D17544" s="385">
        <f t="shared" si="2784"/>
        <v>46070</v>
      </c>
      <c r="E17544" s="386">
        <f t="shared" si="2785"/>
        <v>46070</v>
      </c>
      <c r="F17544" s="475" t="s">
        <v>1966</v>
      </c>
      <c r="G17544" s="387" t="s">
        <v>94</v>
      </c>
      <c r="H17544" s="387"/>
      <c r="I17544" s="388" t="s">
        <v>348</v>
      </c>
      <c r="J17544" s="389" t="s">
        <v>67</v>
      </c>
      <c r="K17544" s="390">
        <v>1597.7842243055554</v>
      </c>
      <c r="L17544" s="390"/>
    </row>
    <row r="17545" spans="1:13" x14ac:dyDescent="0.2">
      <c r="A17545" s="391">
        <v>2026</v>
      </c>
      <c r="B17545" s="391">
        <v>2</v>
      </c>
      <c r="C17545" s="391">
        <v>17</v>
      </c>
      <c r="D17545" s="385">
        <f t="shared" si="2784"/>
        <v>46070</v>
      </c>
      <c r="E17545" s="386">
        <f t="shared" si="2785"/>
        <v>46070</v>
      </c>
      <c r="F17545" s="476"/>
      <c r="G17545" s="392" t="s">
        <v>94</v>
      </c>
      <c r="H17545" s="392"/>
      <c r="I17545" s="393" t="s">
        <v>348</v>
      </c>
      <c r="J17545" s="394" t="s">
        <v>2155</v>
      </c>
      <c r="K17545" s="395"/>
      <c r="L17545" s="395">
        <f>K17544</f>
        <v>1597.7842243055554</v>
      </c>
    </row>
    <row r="17546" spans="1:13" x14ac:dyDescent="0.2">
      <c r="A17546" s="238">
        <v>2026</v>
      </c>
      <c r="B17546" s="238">
        <v>2</v>
      </c>
      <c r="C17546" s="238">
        <v>17</v>
      </c>
      <c r="D17546" s="270">
        <f t="shared" si="2784"/>
        <v>46070</v>
      </c>
      <c r="E17546" s="279">
        <f t="shared" si="2785"/>
        <v>46070</v>
      </c>
      <c r="F17546" s="477" t="s">
        <v>347</v>
      </c>
      <c r="G17546" s="239" t="s">
        <v>94</v>
      </c>
      <c r="H17546" s="239"/>
      <c r="I17546" s="262" t="s">
        <v>348</v>
      </c>
      <c r="J17546" s="240" t="s">
        <v>82</v>
      </c>
      <c r="K17546" s="241">
        <v>1252503.900000006</v>
      </c>
      <c r="L17546" s="241"/>
      <c r="M17546" s="160"/>
    </row>
    <row r="17547" spans="1:13" x14ac:dyDescent="0.2">
      <c r="A17547" s="242">
        <v>2026</v>
      </c>
      <c r="B17547" s="242">
        <v>2</v>
      </c>
      <c r="C17547" s="242">
        <v>17</v>
      </c>
      <c r="D17547" s="270">
        <f t="shared" si="2784"/>
        <v>46070</v>
      </c>
      <c r="E17547" s="279">
        <f t="shared" si="2785"/>
        <v>46070</v>
      </c>
      <c r="F17547" s="478"/>
      <c r="G17547" s="243" t="s">
        <v>94</v>
      </c>
      <c r="H17547" s="243"/>
      <c r="I17547" s="263" t="s">
        <v>348</v>
      </c>
      <c r="J17547" s="244" t="s">
        <v>108</v>
      </c>
      <c r="K17547" s="245"/>
      <c r="L17547" s="245">
        <f>K17546</f>
        <v>1252503.900000006</v>
      </c>
    </row>
    <row r="17548" spans="1:13" ht="12" customHeight="1" x14ac:dyDescent="0.2">
      <c r="A17548" s="246">
        <v>2026</v>
      </c>
      <c r="B17548" s="238">
        <v>2</v>
      </c>
      <c r="C17548" s="238">
        <v>17</v>
      </c>
      <c r="D17548" s="270">
        <f t="shared" si="2784"/>
        <v>46070</v>
      </c>
      <c r="E17548" s="279">
        <f t="shared" si="2785"/>
        <v>46070</v>
      </c>
      <c r="F17548" s="482" t="s">
        <v>2167</v>
      </c>
      <c r="G17548" s="247" t="s">
        <v>94</v>
      </c>
      <c r="H17548" s="247"/>
      <c r="I17548" s="248" t="s">
        <v>348</v>
      </c>
      <c r="J17548" s="249" t="s">
        <v>95</v>
      </c>
      <c r="K17548" s="250">
        <v>392.46467817896399</v>
      </c>
      <c r="L17548" s="241"/>
      <c r="M17548" s="176"/>
    </row>
    <row r="17549" spans="1:13" x14ac:dyDescent="0.2">
      <c r="A17549" s="242">
        <v>2026</v>
      </c>
      <c r="B17549" s="242">
        <v>2</v>
      </c>
      <c r="C17549" s="242">
        <v>17</v>
      </c>
      <c r="D17549" s="270">
        <f t="shared" si="2784"/>
        <v>46070</v>
      </c>
      <c r="E17549" s="279">
        <f t="shared" si="2785"/>
        <v>46070</v>
      </c>
      <c r="F17549" s="478"/>
      <c r="G17549" s="243" t="s">
        <v>94</v>
      </c>
      <c r="H17549" s="243"/>
      <c r="I17549" s="263" t="s">
        <v>348</v>
      </c>
      <c r="J17549" s="244" t="s">
        <v>63</v>
      </c>
      <c r="K17549" s="245"/>
      <c r="L17549" s="245">
        <f>K17548</f>
        <v>392.46467817896399</v>
      </c>
    </row>
    <row r="17550" spans="1:13" x14ac:dyDescent="0.2">
      <c r="A17550" s="246">
        <v>2026</v>
      </c>
      <c r="B17550" s="238">
        <v>2</v>
      </c>
      <c r="C17550" s="238">
        <v>17</v>
      </c>
      <c r="D17550" s="270">
        <f t="shared" si="2784"/>
        <v>46070</v>
      </c>
      <c r="E17550" s="279">
        <f t="shared" si="2785"/>
        <v>46070</v>
      </c>
      <c r="F17550" s="482" t="s">
        <v>2168</v>
      </c>
      <c r="G17550" s="247" t="s">
        <v>94</v>
      </c>
      <c r="H17550" s="247"/>
      <c r="I17550" s="248" t="s">
        <v>348</v>
      </c>
      <c r="J17550" s="249" t="s">
        <v>97</v>
      </c>
      <c r="K17550" s="250">
        <v>15006.855691633607</v>
      </c>
      <c r="L17550" s="252"/>
    </row>
    <row r="17551" spans="1:13" x14ac:dyDescent="0.2">
      <c r="A17551" s="242">
        <v>2026</v>
      </c>
      <c r="B17551" s="242">
        <v>2</v>
      </c>
      <c r="C17551" s="242">
        <v>17</v>
      </c>
      <c r="D17551" s="270">
        <f t="shared" si="2784"/>
        <v>46070</v>
      </c>
      <c r="E17551" s="279">
        <f t="shared" si="2785"/>
        <v>46070</v>
      </c>
      <c r="F17551" s="478"/>
      <c r="G17551" s="243" t="s">
        <v>94</v>
      </c>
      <c r="H17551" s="243"/>
      <c r="I17551" s="263" t="s">
        <v>348</v>
      </c>
      <c r="J17551" s="244" t="s">
        <v>47</v>
      </c>
      <c r="K17551" s="245"/>
      <c r="L17551" s="245">
        <f>K17550</f>
        <v>15006.855691633607</v>
      </c>
      <c r="M17551" s="170">
        <v>15006.855691633607</v>
      </c>
    </row>
    <row r="17552" spans="1:13" x14ac:dyDescent="0.2">
      <c r="A17552" s="246">
        <v>2026</v>
      </c>
      <c r="B17552" s="238">
        <v>2</v>
      </c>
      <c r="C17552" s="238">
        <v>17</v>
      </c>
      <c r="D17552" s="270">
        <f t="shared" si="2784"/>
        <v>46070</v>
      </c>
      <c r="E17552" s="279">
        <f t="shared" si="2785"/>
        <v>46070</v>
      </c>
      <c r="F17552" s="482" t="s">
        <v>2169</v>
      </c>
      <c r="G17552" s="247" t="s">
        <v>94</v>
      </c>
      <c r="H17552" s="247"/>
      <c r="I17552" s="248" t="s">
        <v>348</v>
      </c>
      <c r="J17552" s="249" t="s">
        <v>100</v>
      </c>
      <c r="K17552" s="250">
        <v>725.73177138363224</v>
      </c>
      <c r="L17552" s="252"/>
      <c r="M17552" s="170">
        <v>725.73177138363224</v>
      </c>
    </row>
    <row r="17553" spans="1:14" x14ac:dyDescent="0.2">
      <c r="A17553" s="242">
        <v>2026</v>
      </c>
      <c r="B17553" s="242">
        <v>2</v>
      </c>
      <c r="C17553" s="242">
        <v>17</v>
      </c>
      <c r="D17553" s="321">
        <f t="shared" si="2784"/>
        <v>46070</v>
      </c>
      <c r="E17553" s="322">
        <f t="shared" si="2785"/>
        <v>46070</v>
      </c>
      <c r="F17553" s="478"/>
      <c r="G17553" s="243" t="s">
        <v>94</v>
      </c>
      <c r="H17553" s="243"/>
      <c r="I17553" s="263" t="s">
        <v>348</v>
      </c>
      <c r="J17553" s="244" t="s">
        <v>48</v>
      </c>
      <c r="K17553" s="245"/>
      <c r="L17553" s="245">
        <f>K17552</f>
        <v>725.73177138363224</v>
      </c>
    </row>
    <row r="17554" spans="1:14" x14ac:dyDescent="0.2">
      <c r="A17554" s="133">
        <v>2026</v>
      </c>
      <c r="B17554" s="168">
        <v>2</v>
      </c>
      <c r="C17554" s="168">
        <v>18</v>
      </c>
      <c r="D17554" s="141">
        <f>DATE(A17554,B17554,C17554)</f>
        <v>46071</v>
      </c>
      <c r="E17554" s="275">
        <f>DATE(A17554,B17554,C17554)</f>
        <v>46071</v>
      </c>
      <c r="F17554" s="481" t="s">
        <v>2174</v>
      </c>
      <c r="G17554" s="174" t="s">
        <v>94</v>
      </c>
      <c r="H17554" s="174" t="str" cm="1">
        <f t="array" ref="H17554">IFERROR(INDEX(INVESTOR_LIST[INVESTOR NAME],MATCH(I17554,INVESTOR_LIST[INVESTOR CODE],0),)," ")</f>
        <v xml:space="preserve"> </v>
      </c>
      <c r="I17554" s="148" t="s">
        <v>348</v>
      </c>
      <c r="J17554" s="149" t="s">
        <v>52</v>
      </c>
      <c r="K17554" s="218">
        <v>164334.96</v>
      </c>
      <c r="L17554" s="218"/>
    </row>
    <row r="17555" spans="1:14" x14ac:dyDescent="0.2">
      <c r="A17555" s="163">
        <v>2026</v>
      </c>
      <c r="B17555" s="163">
        <v>2</v>
      </c>
      <c r="C17555" s="163">
        <v>18</v>
      </c>
      <c r="D17555" s="280">
        <f>DATE(A17555,B17555,C17555)</f>
        <v>46071</v>
      </c>
      <c r="E17555" s="281">
        <f>DATE(A17555,B17555,C17555)</f>
        <v>46071</v>
      </c>
      <c r="F17555" s="480"/>
      <c r="G17555" s="221" t="s">
        <v>94</v>
      </c>
      <c r="H17555" s="221" t="str" cm="1">
        <f t="array" ref="H17555">IFERROR(INDEX(INVESTOR_LIST[INVESTOR NAME],MATCH(I17555,INVESTOR_LIST[INVESTOR CODE],0),)," ")</f>
        <v xml:space="preserve"> </v>
      </c>
      <c r="I17555" s="145" t="s">
        <v>348</v>
      </c>
      <c r="J17555" s="146" t="s">
        <v>166</v>
      </c>
      <c r="K17555" s="219"/>
      <c r="L17555" s="219">
        <f>K17554</f>
        <v>164334.96</v>
      </c>
    </row>
    <row r="17556" spans="1:14" x14ac:dyDescent="0.2">
      <c r="A17556" s="168">
        <v>2026</v>
      </c>
      <c r="B17556" s="168">
        <v>2</v>
      </c>
      <c r="C17556" s="168">
        <v>18</v>
      </c>
      <c r="D17556" s="141">
        <f t="shared" ref="D17556:D17560" si="2786">DATE(A17556,B17556,C17556)</f>
        <v>46071</v>
      </c>
      <c r="E17556" s="275">
        <f t="shared" ref="E17556:E17560" si="2787">DATE(A17556,B17556,C17556)</f>
        <v>46071</v>
      </c>
      <c r="F17556" s="479" t="s">
        <v>2115</v>
      </c>
      <c r="G17556" s="220" t="s">
        <v>94</v>
      </c>
      <c r="H17556" s="220"/>
      <c r="I17556" s="142"/>
      <c r="J17556" s="143" t="s">
        <v>79</v>
      </c>
      <c r="K17556" s="226">
        <v>2233854.5</v>
      </c>
      <c r="L17556" s="226"/>
    </row>
    <row r="17557" spans="1:14" x14ac:dyDescent="0.2">
      <c r="A17557" s="133">
        <v>2026</v>
      </c>
      <c r="B17557" s="133">
        <v>2</v>
      </c>
      <c r="C17557" s="133">
        <v>18</v>
      </c>
      <c r="D17557" s="147">
        <f t="shared" si="2786"/>
        <v>46071</v>
      </c>
      <c r="E17557" s="311">
        <f t="shared" si="2787"/>
        <v>46071</v>
      </c>
      <c r="F17557" s="481"/>
      <c r="G17557" s="174" t="s">
        <v>94</v>
      </c>
      <c r="H17557" s="174"/>
      <c r="J17557" s="149" t="s">
        <v>80</v>
      </c>
      <c r="K17557" s="218">
        <v>7492.78</v>
      </c>
      <c r="L17557" s="264"/>
      <c r="M17557" s="264"/>
      <c r="N17557" s="264"/>
    </row>
    <row r="17558" spans="1:14" x14ac:dyDescent="0.2">
      <c r="A17558" s="133">
        <v>2026</v>
      </c>
      <c r="B17558" s="133">
        <v>2</v>
      </c>
      <c r="C17558" s="133">
        <v>18</v>
      </c>
      <c r="D17558" s="147">
        <f t="shared" si="2786"/>
        <v>46071</v>
      </c>
      <c r="E17558" s="311">
        <f t="shared" si="2787"/>
        <v>46071</v>
      </c>
      <c r="F17558" s="481"/>
      <c r="G17558" s="174" t="s">
        <v>94</v>
      </c>
      <c r="H17558" s="174"/>
      <c r="J17558" s="149" t="s">
        <v>147</v>
      </c>
      <c r="K17558" s="218"/>
      <c r="L17558" s="218">
        <v>312547.28000000003</v>
      </c>
      <c r="M17558" s="264"/>
    </row>
    <row r="17559" spans="1:14" x14ac:dyDescent="0.2">
      <c r="A17559" s="133">
        <v>2026</v>
      </c>
      <c r="B17559" s="133">
        <v>2</v>
      </c>
      <c r="C17559" s="133">
        <v>18</v>
      </c>
      <c r="D17559" s="147">
        <f t="shared" si="2786"/>
        <v>46071</v>
      </c>
      <c r="E17559" s="311">
        <f t="shared" si="2787"/>
        <v>46071</v>
      </c>
      <c r="F17559" s="481"/>
      <c r="G17559" s="174" t="s">
        <v>94</v>
      </c>
      <c r="H17559" s="174"/>
      <c r="J17559" s="149" t="s">
        <v>191</v>
      </c>
      <c r="K17559" s="218"/>
      <c r="L17559" s="218">
        <v>435890.83</v>
      </c>
    </row>
    <row r="17560" spans="1:14" x14ac:dyDescent="0.2">
      <c r="A17560" s="163">
        <v>2026</v>
      </c>
      <c r="B17560" s="163">
        <v>2</v>
      </c>
      <c r="C17560" s="163">
        <v>18</v>
      </c>
      <c r="D17560" s="144">
        <f t="shared" si="2786"/>
        <v>46071</v>
      </c>
      <c r="E17560" s="313">
        <f t="shared" si="2787"/>
        <v>46071</v>
      </c>
      <c r="F17560" s="480"/>
      <c r="G17560" s="221" t="s">
        <v>94</v>
      </c>
      <c r="H17560" s="145"/>
      <c r="I17560" s="145"/>
      <c r="J17560" s="163" t="s">
        <v>79</v>
      </c>
      <c r="K17560" s="219"/>
      <c r="L17560" s="219">
        <v>1492909.17</v>
      </c>
      <c r="M17560" s="264"/>
    </row>
    <row r="17561" spans="1:14" x14ac:dyDescent="0.2">
      <c r="A17561" s="168">
        <v>2026</v>
      </c>
      <c r="B17561" s="168">
        <v>2</v>
      </c>
      <c r="C17561" s="168">
        <v>18</v>
      </c>
      <c r="D17561" s="141">
        <f t="shared" ref="D17561:D17597" si="2788">DATE(A17561,B17561,C17561)</f>
        <v>46071</v>
      </c>
      <c r="E17561" s="275">
        <f t="shared" ref="E17561:E17597" si="2789">DATE(A17561,B17561,C17561)</f>
        <v>46071</v>
      </c>
      <c r="F17561" s="479" t="s">
        <v>2175</v>
      </c>
      <c r="G17561" s="220" t="s">
        <v>94</v>
      </c>
      <c r="H17561" s="220"/>
      <c r="I17561" s="142"/>
      <c r="J17561" s="143" t="s">
        <v>79</v>
      </c>
      <c r="K17561" s="226">
        <v>617000</v>
      </c>
      <c r="L17561" s="226"/>
    </row>
    <row r="17562" spans="1:14" x14ac:dyDescent="0.2">
      <c r="A17562" s="133">
        <v>2026</v>
      </c>
      <c r="B17562" s="133">
        <v>2</v>
      </c>
      <c r="C17562" s="133">
        <v>18</v>
      </c>
      <c r="D17562" s="147">
        <f t="shared" si="2788"/>
        <v>46071</v>
      </c>
      <c r="E17562" s="311">
        <f t="shared" si="2789"/>
        <v>46071</v>
      </c>
      <c r="F17562" s="481"/>
      <c r="G17562" s="174" t="s">
        <v>94</v>
      </c>
      <c r="H17562" s="174"/>
      <c r="J17562" s="149" t="s">
        <v>80</v>
      </c>
      <c r="K17562" s="218">
        <v>1846.34</v>
      </c>
      <c r="L17562" s="264"/>
      <c r="M17562" s="264"/>
      <c r="N17562" s="264"/>
    </row>
    <row r="17563" spans="1:14" x14ac:dyDescent="0.2">
      <c r="A17563" s="133">
        <v>2026</v>
      </c>
      <c r="B17563" s="133">
        <v>2</v>
      </c>
      <c r="C17563" s="133">
        <v>18</v>
      </c>
      <c r="D17563" s="147">
        <f t="shared" si="2788"/>
        <v>46071</v>
      </c>
      <c r="E17563" s="311">
        <f t="shared" si="2789"/>
        <v>46071</v>
      </c>
      <c r="F17563" s="481"/>
      <c r="G17563" s="174" t="s">
        <v>94</v>
      </c>
      <c r="H17563" s="174"/>
      <c r="J17563" s="149" t="s">
        <v>147</v>
      </c>
      <c r="K17563" s="218"/>
      <c r="L17563" s="218">
        <v>210104.34</v>
      </c>
      <c r="M17563" s="264"/>
    </row>
    <row r="17564" spans="1:14" x14ac:dyDescent="0.2">
      <c r="A17564" s="133">
        <v>2026</v>
      </c>
      <c r="B17564" s="133">
        <v>2</v>
      </c>
      <c r="C17564" s="133">
        <v>18</v>
      </c>
      <c r="D17564" s="147">
        <f t="shared" si="2788"/>
        <v>46071</v>
      </c>
      <c r="E17564" s="311">
        <f t="shared" si="2789"/>
        <v>46071</v>
      </c>
      <c r="F17564" s="481"/>
      <c r="G17564" s="174" t="s">
        <v>94</v>
      </c>
      <c r="H17564" s="174"/>
      <c r="J17564" s="149" t="s">
        <v>191</v>
      </c>
      <c r="K17564" s="218"/>
      <c r="L17564" s="218">
        <v>97170.75</v>
      </c>
    </row>
    <row r="17565" spans="1:14" x14ac:dyDescent="0.2">
      <c r="A17565" s="163">
        <v>2026</v>
      </c>
      <c r="B17565" s="163">
        <v>2</v>
      </c>
      <c r="C17565" s="163">
        <v>18</v>
      </c>
      <c r="D17565" s="144">
        <f t="shared" si="2788"/>
        <v>46071</v>
      </c>
      <c r="E17565" s="313">
        <f t="shared" si="2789"/>
        <v>46071</v>
      </c>
      <c r="F17565" s="480"/>
      <c r="G17565" s="221" t="s">
        <v>94</v>
      </c>
      <c r="H17565" s="145"/>
      <c r="I17565" s="145"/>
      <c r="J17565" s="163" t="s">
        <v>79</v>
      </c>
      <c r="K17565" s="219"/>
      <c r="L17565" s="219">
        <v>311571.25</v>
      </c>
      <c r="M17565" s="264"/>
    </row>
    <row r="17566" spans="1:14" ht="11.25" customHeight="1" x14ac:dyDescent="0.2">
      <c r="A17566" s="168">
        <v>2026</v>
      </c>
      <c r="B17566" s="168">
        <v>2</v>
      </c>
      <c r="C17566" s="168">
        <v>18</v>
      </c>
      <c r="D17566" s="141">
        <f t="shared" si="2788"/>
        <v>46071</v>
      </c>
      <c r="E17566" s="275">
        <f t="shared" si="2789"/>
        <v>46071</v>
      </c>
      <c r="F17566" s="479" t="s">
        <v>965</v>
      </c>
      <c r="G17566" s="220" t="s">
        <v>74</v>
      </c>
      <c r="H17566" s="142"/>
      <c r="I17566" s="142"/>
      <c r="J17566" s="168" t="s">
        <v>13</v>
      </c>
      <c r="K17566" s="226">
        <v>1330840</v>
      </c>
      <c r="L17566" s="226"/>
    </row>
    <row r="17567" spans="1:14" ht="11.25" customHeight="1" x14ac:dyDescent="0.2">
      <c r="A17567" s="133">
        <v>2026</v>
      </c>
      <c r="B17567" s="133">
        <v>2</v>
      </c>
      <c r="C17567" s="133">
        <v>18</v>
      </c>
      <c r="D17567" s="147">
        <f t="shared" si="2788"/>
        <v>46071</v>
      </c>
      <c r="E17567" s="311">
        <f t="shared" si="2789"/>
        <v>46071</v>
      </c>
      <c r="F17567" s="481"/>
      <c r="G17567" s="174" t="s">
        <v>74</v>
      </c>
      <c r="J17567" s="133" t="s">
        <v>53</v>
      </c>
      <c r="K17567" s="218">
        <v>716790.42</v>
      </c>
      <c r="L17567" s="218"/>
    </row>
    <row r="17568" spans="1:14" ht="11.25" customHeight="1" x14ac:dyDescent="0.2">
      <c r="A17568" s="163">
        <v>2026</v>
      </c>
      <c r="B17568" s="163">
        <v>2</v>
      </c>
      <c r="C17568" s="163">
        <v>18</v>
      </c>
      <c r="D17568" s="144">
        <f t="shared" si="2788"/>
        <v>46071</v>
      </c>
      <c r="E17568" s="313">
        <f t="shared" si="2789"/>
        <v>46071</v>
      </c>
      <c r="F17568" s="480"/>
      <c r="G17568" s="221" t="s">
        <v>74</v>
      </c>
      <c r="H17568" s="145"/>
      <c r="I17568" s="145"/>
      <c r="J17568" s="163" t="s">
        <v>52</v>
      </c>
      <c r="K17568" s="219"/>
      <c r="L17568" s="219">
        <v>2047630.42</v>
      </c>
    </row>
    <row r="17569" spans="1:14" x14ac:dyDescent="0.2">
      <c r="A17569" s="168">
        <v>2026</v>
      </c>
      <c r="B17569" s="168">
        <v>2</v>
      </c>
      <c r="C17569" s="168">
        <v>18</v>
      </c>
      <c r="D17569" s="141">
        <f t="shared" si="2788"/>
        <v>46071</v>
      </c>
      <c r="E17569" s="275">
        <f t="shared" si="2789"/>
        <v>46071</v>
      </c>
      <c r="F17569" s="479" t="s">
        <v>1943</v>
      </c>
      <c r="G17569" s="174" t="s">
        <v>74</v>
      </c>
      <c r="I17569" s="148" t="s">
        <v>348</v>
      </c>
      <c r="J17569" s="133" t="s">
        <v>61</v>
      </c>
      <c r="K17569" s="172">
        <v>300</v>
      </c>
    </row>
    <row r="17570" spans="1:14" x14ac:dyDescent="0.2">
      <c r="A17570" s="163">
        <v>2026</v>
      </c>
      <c r="B17570" s="163">
        <v>2</v>
      </c>
      <c r="C17570" s="163">
        <v>18</v>
      </c>
      <c r="D17570" s="144">
        <f t="shared" si="2788"/>
        <v>46071</v>
      </c>
      <c r="E17570" s="313">
        <f t="shared" si="2789"/>
        <v>46071</v>
      </c>
      <c r="F17570" s="480"/>
      <c r="G17570" s="221" t="s">
        <v>74</v>
      </c>
      <c r="H17570" s="145"/>
      <c r="I17570" s="145" t="s">
        <v>348</v>
      </c>
      <c r="J17570" s="163" t="s">
        <v>52</v>
      </c>
      <c r="K17570" s="219"/>
      <c r="L17570" s="219">
        <f>K17569</f>
        <v>300</v>
      </c>
    </row>
    <row r="17571" spans="1:14" x14ac:dyDescent="0.2">
      <c r="A17571" s="325">
        <v>2026</v>
      </c>
      <c r="B17571" s="325">
        <v>2</v>
      </c>
      <c r="C17571" s="325">
        <v>18</v>
      </c>
      <c r="D17571" s="326">
        <f t="shared" si="2788"/>
        <v>46071</v>
      </c>
      <c r="E17571" s="327">
        <f t="shared" si="2789"/>
        <v>46071</v>
      </c>
      <c r="F17571" s="473" t="s">
        <v>2131</v>
      </c>
      <c r="G17571" s="340" t="s">
        <v>94</v>
      </c>
      <c r="H17571" s="340"/>
      <c r="I17571" s="341" t="s">
        <v>348</v>
      </c>
      <c r="J17571" s="374" t="s">
        <v>2156</v>
      </c>
      <c r="K17571" s="375">
        <v>6185.4395604395604</v>
      </c>
      <c r="L17571" s="375"/>
      <c r="M17571" s="176"/>
    </row>
    <row r="17572" spans="1:14" x14ac:dyDescent="0.2">
      <c r="A17572" s="331">
        <v>2026</v>
      </c>
      <c r="B17572" s="331">
        <v>2</v>
      </c>
      <c r="C17572" s="331">
        <v>18</v>
      </c>
      <c r="D17572" s="326">
        <f t="shared" si="2788"/>
        <v>46071</v>
      </c>
      <c r="E17572" s="327">
        <f t="shared" si="2789"/>
        <v>46071</v>
      </c>
      <c r="F17572" s="474"/>
      <c r="G17572" s="332" t="s">
        <v>94</v>
      </c>
      <c r="H17572" s="332"/>
      <c r="I17572" s="333" t="s">
        <v>348</v>
      </c>
      <c r="J17572" s="376" t="s">
        <v>2154</v>
      </c>
      <c r="K17572" s="334"/>
      <c r="L17572" s="334">
        <f>K17571</f>
        <v>6185.4395604395604</v>
      </c>
    </row>
    <row r="17573" spans="1:14" x14ac:dyDescent="0.2">
      <c r="A17573" s="384">
        <v>2026</v>
      </c>
      <c r="B17573" s="384">
        <v>2</v>
      </c>
      <c r="C17573" s="384">
        <v>18</v>
      </c>
      <c r="D17573" s="385">
        <f t="shared" si="2788"/>
        <v>46071</v>
      </c>
      <c r="E17573" s="386">
        <f t="shared" si="2789"/>
        <v>46071</v>
      </c>
      <c r="F17573" s="475" t="s">
        <v>1966</v>
      </c>
      <c r="G17573" s="387" t="s">
        <v>94</v>
      </c>
      <c r="H17573" s="387"/>
      <c r="I17573" s="388" t="s">
        <v>348</v>
      </c>
      <c r="J17573" s="389" t="s">
        <v>67</v>
      </c>
      <c r="K17573" s="390">
        <v>1205.3632951388888</v>
      </c>
      <c r="L17573" s="390"/>
    </row>
    <row r="17574" spans="1:14" x14ac:dyDescent="0.2">
      <c r="A17574" s="391">
        <v>2026</v>
      </c>
      <c r="B17574" s="391">
        <v>2</v>
      </c>
      <c r="C17574" s="391">
        <v>18</v>
      </c>
      <c r="D17574" s="385">
        <f t="shared" si="2788"/>
        <v>46071</v>
      </c>
      <c r="E17574" s="386">
        <f t="shared" si="2789"/>
        <v>46071</v>
      </c>
      <c r="F17574" s="476"/>
      <c r="G17574" s="392" t="s">
        <v>94</v>
      </c>
      <c r="H17574" s="392"/>
      <c r="I17574" s="393" t="s">
        <v>348</v>
      </c>
      <c r="J17574" s="394" t="s">
        <v>2155</v>
      </c>
      <c r="K17574" s="395"/>
      <c r="L17574" s="395">
        <f>K17573</f>
        <v>1205.3632951388888</v>
      </c>
    </row>
    <row r="17575" spans="1:14" x14ac:dyDescent="0.2">
      <c r="A17575" s="238">
        <v>2026</v>
      </c>
      <c r="B17575" s="238">
        <v>2</v>
      </c>
      <c r="C17575" s="238">
        <v>18</v>
      </c>
      <c r="D17575" s="270">
        <f t="shared" si="2788"/>
        <v>46071</v>
      </c>
      <c r="E17575" s="279">
        <f t="shared" si="2789"/>
        <v>46071</v>
      </c>
      <c r="F17575" s="477" t="s">
        <v>347</v>
      </c>
      <c r="G17575" s="239" t="s">
        <v>94</v>
      </c>
      <c r="H17575" s="239"/>
      <c r="I17575" s="262" t="s">
        <v>348</v>
      </c>
      <c r="J17575" s="240" t="s">
        <v>82</v>
      </c>
      <c r="K17575" s="241">
        <v>1953886.7799999714</v>
      </c>
      <c r="L17575" s="241"/>
      <c r="M17575" s="160"/>
    </row>
    <row r="17576" spans="1:14" x14ac:dyDescent="0.2">
      <c r="A17576" s="242">
        <v>2026</v>
      </c>
      <c r="B17576" s="242">
        <v>2</v>
      </c>
      <c r="C17576" s="242">
        <v>18</v>
      </c>
      <c r="D17576" s="270">
        <f t="shared" si="2788"/>
        <v>46071</v>
      </c>
      <c r="E17576" s="279">
        <f t="shared" si="2789"/>
        <v>46071</v>
      </c>
      <c r="F17576" s="478"/>
      <c r="G17576" s="243" t="s">
        <v>94</v>
      </c>
      <c r="H17576" s="243"/>
      <c r="I17576" s="263" t="s">
        <v>348</v>
      </c>
      <c r="J17576" s="244" t="s">
        <v>108</v>
      </c>
      <c r="K17576" s="245"/>
      <c r="L17576" s="245">
        <f>K17575</f>
        <v>1953886.7799999714</v>
      </c>
    </row>
    <row r="17577" spans="1:14" ht="12" customHeight="1" x14ac:dyDescent="0.2">
      <c r="A17577" s="246">
        <v>2026</v>
      </c>
      <c r="B17577" s="238">
        <v>2</v>
      </c>
      <c r="C17577" s="238">
        <v>18</v>
      </c>
      <c r="D17577" s="270">
        <f t="shared" si="2788"/>
        <v>46071</v>
      </c>
      <c r="E17577" s="279">
        <f t="shared" si="2789"/>
        <v>46071</v>
      </c>
      <c r="F17577" s="482" t="s">
        <v>2167</v>
      </c>
      <c r="G17577" s="247" t="s">
        <v>94</v>
      </c>
      <c r="H17577" s="247"/>
      <c r="I17577" s="248" t="s">
        <v>348</v>
      </c>
      <c r="J17577" s="249" t="s">
        <v>95</v>
      </c>
      <c r="K17577" s="250">
        <v>392.46467817896399</v>
      </c>
      <c r="L17577" s="241"/>
      <c r="M17577" s="176"/>
    </row>
    <row r="17578" spans="1:14" x14ac:dyDescent="0.2">
      <c r="A17578" s="242">
        <v>2026</v>
      </c>
      <c r="B17578" s="242">
        <v>2</v>
      </c>
      <c r="C17578" s="242">
        <v>18</v>
      </c>
      <c r="D17578" s="270">
        <f t="shared" si="2788"/>
        <v>46071</v>
      </c>
      <c r="E17578" s="279">
        <f t="shared" si="2789"/>
        <v>46071</v>
      </c>
      <c r="F17578" s="478"/>
      <c r="G17578" s="243" t="s">
        <v>94</v>
      </c>
      <c r="H17578" s="243"/>
      <c r="I17578" s="263" t="s">
        <v>348</v>
      </c>
      <c r="J17578" s="244" t="s">
        <v>63</v>
      </c>
      <c r="K17578" s="245"/>
      <c r="L17578" s="245">
        <f>K17577</f>
        <v>392.46467817896399</v>
      </c>
    </row>
    <row r="17579" spans="1:14" x14ac:dyDescent="0.2">
      <c r="A17579" s="246">
        <v>2026</v>
      </c>
      <c r="B17579" s="238">
        <v>2</v>
      </c>
      <c r="C17579" s="238">
        <v>18</v>
      </c>
      <c r="D17579" s="270">
        <f t="shared" si="2788"/>
        <v>46071</v>
      </c>
      <c r="E17579" s="279">
        <f t="shared" si="2789"/>
        <v>46071</v>
      </c>
      <c r="F17579" s="482" t="s">
        <v>2168</v>
      </c>
      <c r="G17579" s="247" t="s">
        <v>94</v>
      </c>
      <c r="H17579" s="247"/>
      <c r="I17579" s="248" t="s">
        <v>348</v>
      </c>
      <c r="J17579" s="249" t="s">
        <v>97</v>
      </c>
      <c r="K17579" s="250">
        <v>14880.992235756454</v>
      </c>
      <c r="L17579" s="252"/>
    </row>
    <row r="17580" spans="1:14" x14ac:dyDescent="0.2">
      <c r="A17580" s="242">
        <v>2026</v>
      </c>
      <c r="B17580" s="242">
        <v>2</v>
      </c>
      <c r="C17580" s="242">
        <v>18</v>
      </c>
      <c r="D17580" s="270">
        <f t="shared" si="2788"/>
        <v>46071</v>
      </c>
      <c r="E17580" s="279">
        <f t="shared" si="2789"/>
        <v>46071</v>
      </c>
      <c r="F17580" s="478"/>
      <c r="G17580" s="243" t="s">
        <v>94</v>
      </c>
      <c r="H17580" s="243"/>
      <c r="I17580" s="263" t="s">
        <v>348</v>
      </c>
      <c r="J17580" s="244" t="s">
        <v>47</v>
      </c>
      <c r="K17580" s="245"/>
      <c r="L17580" s="245">
        <f>K17579</f>
        <v>14880.992235756454</v>
      </c>
      <c r="M17580" s="170"/>
    </row>
    <row r="17581" spans="1:14" x14ac:dyDescent="0.2">
      <c r="A17581" s="246">
        <v>2026</v>
      </c>
      <c r="B17581" s="238">
        <v>2</v>
      </c>
      <c r="C17581" s="238">
        <v>18</v>
      </c>
      <c r="D17581" s="270">
        <f t="shared" si="2788"/>
        <v>46071</v>
      </c>
      <c r="E17581" s="279">
        <f t="shared" si="2789"/>
        <v>46071</v>
      </c>
      <c r="F17581" s="482" t="s">
        <v>2169</v>
      </c>
      <c r="G17581" s="247" t="s">
        <v>94</v>
      </c>
      <c r="H17581" s="247"/>
      <c r="I17581" s="248" t="s">
        <v>348</v>
      </c>
      <c r="J17581" s="249" t="s">
        <v>100</v>
      </c>
      <c r="K17581" s="250">
        <v>717.3408743251556</v>
      </c>
      <c r="L17581" s="252"/>
      <c r="M17581" s="170"/>
    </row>
    <row r="17582" spans="1:14" x14ac:dyDescent="0.2">
      <c r="A17582" s="242">
        <v>2026</v>
      </c>
      <c r="B17582" s="242">
        <v>2</v>
      </c>
      <c r="C17582" s="242">
        <v>18</v>
      </c>
      <c r="D17582" s="321">
        <f t="shared" si="2788"/>
        <v>46071</v>
      </c>
      <c r="E17582" s="322">
        <f t="shared" si="2789"/>
        <v>46071</v>
      </c>
      <c r="F17582" s="478"/>
      <c r="G17582" s="243" t="s">
        <v>94</v>
      </c>
      <c r="H17582" s="243"/>
      <c r="I17582" s="263" t="s">
        <v>348</v>
      </c>
      <c r="J17582" s="244" t="s">
        <v>48</v>
      </c>
      <c r="K17582" s="245"/>
      <c r="L17582" s="245">
        <f>K17581</f>
        <v>717.3408743251556</v>
      </c>
    </row>
    <row r="17583" spans="1:14" x14ac:dyDescent="0.2">
      <c r="A17583" s="168">
        <v>2026</v>
      </c>
      <c r="B17583" s="168">
        <v>2</v>
      </c>
      <c r="C17583" s="168">
        <v>19</v>
      </c>
      <c r="D17583" s="141">
        <f t="shared" si="2788"/>
        <v>46072</v>
      </c>
      <c r="E17583" s="275">
        <f t="shared" si="2789"/>
        <v>46072</v>
      </c>
      <c r="F17583" s="479" t="s">
        <v>1529</v>
      </c>
      <c r="G17583" s="220" t="s">
        <v>94</v>
      </c>
      <c r="H17583" s="220"/>
      <c r="I17583" s="142"/>
      <c r="J17583" s="168" t="s">
        <v>79</v>
      </c>
      <c r="K17583" s="226">
        <v>238550</v>
      </c>
      <c r="L17583" s="455"/>
      <c r="N17583" s="264"/>
    </row>
    <row r="17584" spans="1:14" x14ac:dyDescent="0.2">
      <c r="A17584" s="133">
        <v>2026</v>
      </c>
      <c r="B17584" s="133">
        <v>2</v>
      </c>
      <c r="C17584" s="133">
        <v>19</v>
      </c>
      <c r="D17584" s="147">
        <f t="shared" si="2788"/>
        <v>46072</v>
      </c>
      <c r="E17584" s="311">
        <f t="shared" si="2789"/>
        <v>46072</v>
      </c>
      <c r="F17584" s="481"/>
      <c r="G17584" s="174" t="s">
        <v>94</v>
      </c>
      <c r="H17584" s="174"/>
      <c r="J17584" s="149" t="s">
        <v>80</v>
      </c>
      <c r="K17584" s="218">
        <v>429.39</v>
      </c>
      <c r="L17584" s="218"/>
    </row>
    <row r="17585" spans="1:17" x14ac:dyDescent="0.2">
      <c r="A17585" s="163">
        <v>2026</v>
      </c>
      <c r="B17585" s="163">
        <v>2</v>
      </c>
      <c r="C17585" s="163">
        <v>19</v>
      </c>
      <c r="D17585" s="144">
        <f t="shared" si="2788"/>
        <v>46072</v>
      </c>
      <c r="E17585" s="313">
        <f t="shared" si="2789"/>
        <v>46072</v>
      </c>
      <c r="F17585" s="480"/>
      <c r="G17585" s="221" t="s">
        <v>94</v>
      </c>
      <c r="H17585" s="221"/>
      <c r="I17585" s="145"/>
      <c r="J17585" s="146" t="s">
        <v>147</v>
      </c>
      <c r="K17585" s="219"/>
      <c r="L17585" s="219">
        <v>238979.39</v>
      </c>
    </row>
    <row r="17586" spans="1:17" ht="11.25" customHeight="1" x14ac:dyDescent="0.2">
      <c r="A17586" s="168">
        <v>2026</v>
      </c>
      <c r="B17586" s="168">
        <v>2</v>
      </c>
      <c r="C17586" s="168">
        <v>19</v>
      </c>
      <c r="D17586" s="141">
        <f t="shared" si="2788"/>
        <v>46072</v>
      </c>
      <c r="E17586" s="275">
        <f t="shared" si="2789"/>
        <v>46072</v>
      </c>
      <c r="F17586" s="479" t="s">
        <v>964</v>
      </c>
      <c r="G17586" s="220" t="s">
        <v>74</v>
      </c>
      <c r="H17586" s="142"/>
      <c r="I17586" s="142"/>
      <c r="J17586" s="168" t="s">
        <v>52</v>
      </c>
      <c r="K17586" s="226">
        <v>3500000</v>
      </c>
      <c r="L17586" s="226"/>
    </row>
    <row r="17587" spans="1:17" ht="11.25" customHeight="1" x14ac:dyDescent="0.2">
      <c r="A17587" s="133">
        <v>2026</v>
      </c>
      <c r="B17587" s="133">
        <v>2</v>
      </c>
      <c r="C17587" s="133">
        <v>19</v>
      </c>
      <c r="D17587" s="147">
        <f t="shared" si="2788"/>
        <v>46072</v>
      </c>
      <c r="E17587" s="311">
        <f t="shared" si="2789"/>
        <v>46072</v>
      </c>
      <c r="F17587" s="481"/>
      <c r="G17587" s="174" t="s">
        <v>74</v>
      </c>
      <c r="J17587" s="133" t="s">
        <v>13</v>
      </c>
      <c r="K17587" s="218"/>
      <c r="L17587" s="218">
        <v>2274940</v>
      </c>
    </row>
    <row r="17588" spans="1:17" ht="11.25" customHeight="1" x14ac:dyDescent="0.2">
      <c r="A17588" s="163">
        <v>2026</v>
      </c>
      <c r="B17588" s="163">
        <v>2</v>
      </c>
      <c r="C17588" s="163">
        <v>19</v>
      </c>
      <c r="D17588" s="144">
        <f t="shared" si="2788"/>
        <v>46072</v>
      </c>
      <c r="E17588" s="313">
        <f t="shared" si="2789"/>
        <v>46072</v>
      </c>
      <c r="F17588" s="480"/>
      <c r="G17588" s="221" t="s">
        <v>74</v>
      </c>
      <c r="H17588" s="145"/>
      <c r="I17588" s="145"/>
      <c r="J17588" s="163" t="s">
        <v>53</v>
      </c>
      <c r="K17588" s="219"/>
      <c r="L17588" s="219">
        <v>1225060</v>
      </c>
    </row>
    <row r="17589" spans="1:17" ht="11.25" customHeight="1" x14ac:dyDescent="0.2">
      <c r="A17589" s="168">
        <v>2026</v>
      </c>
      <c r="B17589" s="168">
        <v>2</v>
      </c>
      <c r="C17589" s="168">
        <v>19</v>
      </c>
      <c r="D17589" s="141">
        <f t="shared" si="2788"/>
        <v>46072</v>
      </c>
      <c r="E17589" s="275">
        <f t="shared" si="2789"/>
        <v>46072</v>
      </c>
      <c r="F17589" s="479" t="s">
        <v>2163</v>
      </c>
      <c r="G17589" s="220" t="s">
        <v>74</v>
      </c>
      <c r="H17589" s="220"/>
      <c r="I17589" s="148" t="s">
        <v>348</v>
      </c>
      <c r="J17589" s="149" t="s">
        <v>147</v>
      </c>
      <c r="K17589" s="218">
        <v>210104.34</v>
      </c>
      <c r="L17589" s="218"/>
      <c r="M17589" s="147"/>
      <c r="Q17589" s="133" t="s">
        <v>348</v>
      </c>
    </row>
    <row r="17590" spans="1:17" x14ac:dyDescent="0.2">
      <c r="A17590" s="163">
        <v>2026</v>
      </c>
      <c r="B17590" s="163">
        <v>2</v>
      </c>
      <c r="C17590" s="163">
        <v>19</v>
      </c>
      <c r="D17590" s="144">
        <f t="shared" si="2788"/>
        <v>46072</v>
      </c>
      <c r="E17590" s="313">
        <f t="shared" si="2789"/>
        <v>46072</v>
      </c>
      <c r="F17590" s="480"/>
      <c r="G17590" s="221" t="s">
        <v>74</v>
      </c>
      <c r="H17590" s="221"/>
      <c r="I17590" s="145" t="s">
        <v>348</v>
      </c>
      <c r="J17590" s="146" t="s">
        <v>52</v>
      </c>
      <c r="K17590" s="219"/>
      <c r="L17590" s="219">
        <f>K17589</f>
        <v>210104.34</v>
      </c>
      <c r="M17590" s="147"/>
      <c r="Q17590" s="133" t="s">
        <v>348</v>
      </c>
    </row>
    <row r="17591" spans="1:17" x14ac:dyDescent="0.2">
      <c r="A17591" s="168">
        <v>2026</v>
      </c>
      <c r="B17591" s="168">
        <v>2</v>
      </c>
      <c r="C17591" s="168">
        <v>19</v>
      </c>
      <c r="D17591" s="141">
        <f t="shared" si="2788"/>
        <v>46072</v>
      </c>
      <c r="E17591" s="275">
        <f t="shared" si="2789"/>
        <v>46072</v>
      </c>
      <c r="F17591" s="479" t="s">
        <v>1943</v>
      </c>
      <c r="G17591" s="174" t="s">
        <v>74</v>
      </c>
      <c r="I17591" s="148" t="s">
        <v>348</v>
      </c>
      <c r="J17591" s="133" t="s">
        <v>61</v>
      </c>
      <c r="K17591" s="172">
        <v>58</v>
      </c>
    </row>
    <row r="17592" spans="1:17" x14ac:dyDescent="0.2">
      <c r="A17592" s="163">
        <v>2026</v>
      </c>
      <c r="B17592" s="163">
        <v>2</v>
      </c>
      <c r="C17592" s="163">
        <v>19</v>
      </c>
      <c r="D17592" s="144">
        <f t="shared" si="2788"/>
        <v>46072</v>
      </c>
      <c r="E17592" s="313">
        <f t="shared" si="2789"/>
        <v>46072</v>
      </c>
      <c r="F17592" s="480"/>
      <c r="G17592" s="221" t="s">
        <v>74</v>
      </c>
      <c r="H17592" s="145"/>
      <c r="I17592" s="145" t="s">
        <v>348</v>
      </c>
      <c r="J17592" s="163" t="s">
        <v>52</v>
      </c>
      <c r="K17592" s="219"/>
      <c r="L17592" s="219">
        <f>K17591</f>
        <v>58</v>
      </c>
    </row>
    <row r="17593" spans="1:17" x14ac:dyDescent="0.2">
      <c r="A17593" s="168">
        <v>2026</v>
      </c>
      <c r="B17593" s="168">
        <v>2</v>
      </c>
      <c r="C17593" s="168">
        <v>19</v>
      </c>
      <c r="D17593" s="141">
        <f t="shared" si="2788"/>
        <v>46072</v>
      </c>
      <c r="E17593" s="275">
        <f t="shared" si="2789"/>
        <v>46072</v>
      </c>
      <c r="F17593" s="479" t="s">
        <v>2115</v>
      </c>
      <c r="G17593" s="220" t="s">
        <v>94</v>
      </c>
      <c r="H17593" s="220"/>
      <c r="I17593" s="142"/>
      <c r="J17593" s="143" t="s">
        <v>79</v>
      </c>
      <c r="K17593" s="226">
        <v>3890648</v>
      </c>
      <c r="L17593" s="226"/>
    </row>
    <row r="17594" spans="1:17" x14ac:dyDescent="0.2">
      <c r="A17594" s="133">
        <v>2026</v>
      </c>
      <c r="B17594" s="133">
        <v>2</v>
      </c>
      <c r="C17594" s="133">
        <v>19</v>
      </c>
      <c r="D17594" s="147">
        <f t="shared" si="2788"/>
        <v>46072</v>
      </c>
      <c r="E17594" s="311">
        <f t="shared" si="2789"/>
        <v>46072</v>
      </c>
      <c r="F17594" s="481"/>
      <c r="G17594" s="174" t="s">
        <v>94</v>
      </c>
      <c r="H17594" s="174"/>
      <c r="J17594" s="149" t="s">
        <v>80</v>
      </c>
      <c r="K17594" s="218">
        <v>9609.39</v>
      </c>
      <c r="L17594" s="264"/>
      <c r="M17594" s="264"/>
      <c r="N17594" s="264"/>
    </row>
    <row r="17595" spans="1:17" x14ac:dyDescent="0.2">
      <c r="A17595" s="133">
        <v>2026</v>
      </c>
      <c r="B17595" s="133">
        <v>2</v>
      </c>
      <c r="C17595" s="133">
        <v>19</v>
      </c>
      <c r="D17595" s="147">
        <f t="shared" si="2788"/>
        <v>46072</v>
      </c>
      <c r="E17595" s="311">
        <f t="shared" si="2789"/>
        <v>46072</v>
      </c>
      <c r="F17595" s="481"/>
      <c r="G17595" s="174" t="s">
        <v>94</v>
      </c>
      <c r="H17595" s="174"/>
      <c r="J17595" s="149" t="s">
        <v>147</v>
      </c>
      <c r="K17595" s="218"/>
      <c r="L17595" s="218">
        <v>2452354.59</v>
      </c>
      <c r="M17595" s="264"/>
    </row>
    <row r="17596" spans="1:17" x14ac:dyDescent="0.2">
      <c r="A17596" s="133">
        <v>2026</v>
      </c>
      <c r="B17596" s="133">
        <v>2</v>
      </c>
      <c r="C17596" s="133">
        <v>19</v>
      </c>
      <c r="D17596" s="147">
        <f t="shared" si="2788"/>
        <v>46072</v>
      </c>
      <c r="E17596" s="311">
        <f t="shared" si="2789"/>
        <v>46072</v>
      </c>
      <c r="F17596" s="481"/>
      <c r="G17596" s="174" t="s">
        <v>94</v>
      </c>
      <c r="H17596" s="174"/>
      <c r="J17596" s="149" t="s">
        <v>191</v>
      </c>
      <c r="K17596" s="218"/>
      <c r="L17596" s="218">
        <v>357147.9</v>
      </c>
    </row>
    <row r="17597" spans="1:17" x14ac:dyDescent="0.2">
      <c r="A17597" s="163">
        <v>2026</v>
      </c>
      <c r="B17597" s="163">
        <v>2</v>
      </c>
      <c r="C17597" s="163">
        <v>19</v>
      </c>
      <c r="D17597" s="144">
        <f t="shared" si="2788"/>
        <v>46072</v>
      </c>
      <c r="E17597" s="313">
        <f t="shared" si="2789"/>
        <v>46072</v>
      </c>
      <c r="F17597" s="480"/>
      <c r="G17597" s="221" t="s">
        <v>94</v>
      </c>
      <c r="H17597" s="145"/>
      <c r="I17597" s="145"/>
      <c r="J17597" s="163" t="s">
        <v>79</v>
      </c>
      <c r="K17597" s="219"/>
      <c r="L17597" s="219">
        <v>1090754.8999999999</v>
      </c>
      <c r="M17597" s="264"/>
    </row>
    <row r="17598" spans="1:17" x14ac:dyDescent="0.2">
      <c r="A17598" s="325">
        <v>2026</v>
      </c>
      <c r="B17598" s="325">
        <v>2</v>
      </c>
      <c r="C17598" s="325">
        <v>19</v>
      </c>
      <c r="D17598" s="326">
        <f t="shared" ref="D17598:D17621" si="2790">DATE(A17598,B17598,C17598)</f>
        <v>46072</v>
      </c>
      <c r="E17598" s="327">
        <f t="shared" ref="E17598:E17621" si="2791">DATE(A17598,B17598,C17598)</f>
        <v>46072</v>
      </c>
      <c r="F17598" s="473" t="s">
        <v>2131</v>
      </c>
      <c r="G17598" s="340" t="s">
        <v>94</v>
      </c>
      <c r="H17598" s="340"/>
      <c r="I17598" s="341" t="s">
        <v>348</v>
      </c>
      <c r="J17598" s="374" t="s">
        <v>2156</v>
      </c>
      <c r="K17598" s="375">
        <v>6185.4395604395604</v>
      </c>
      <c r="L17598" s="375"/>
      <c r="M17598" s="176"/>
    </row>
    <row r="17599" spans="1:17" x14ac:dyDescent="0.2">
      <c r="A17599" s="331">
        <v>2026</v>
      </c>
      <c r="B17599" s="331">
        <v>2</v>
      </c>
      <c r="C17599" s="331">
        <v>19</v>
      </c>
      <c r="D17599" s="326">
        <f t="shared" si="2790"/>
        <v>46072</v>
      </c>
      <c r="E17599" s="327">
        <f t="shared" si="2791"/>
        <v>46072</v>
      </c>
      <c r="F17599" s="474"/>
      <c r="G17599" s="332" t="s">
        <v>94</v>
      </c>
      <c r="H17599" s="332"/>
      <c r="I17599" s="333" t="s">
        <v>348</v>
      </c>
      <c r="J17599" s="376" t="s">
        <v>2154</v>
      </c>
      <c r="K17599" s="334"/>
      <c r="L17599" s="334">
        <f>K17598</f>
        <v>6185.4395604395604</v>
      </c>
    </row>
    <row r="17600" spans="1:17" x14ac:dyDescent="0.2">
      <c r="A17600" s="384">
        <v>2026</v>
      </c>
      <c r="B17600" s="384">
        <v>2</v>
      </c>
      <c r="C17600" s="384">
        <v>19</v>
      </c>
      <c r="D17600" s="385">
        <f t="shared" si="2790"/>
        <v>46072</v>
      </c>
      <c r="E17600" s="386">
        <f t="shared" si="2791"/>
        <v>46072</v>
      </c>
      <c r="F17600" s="475" t="s">
        <v>1966</v>
      </c>
      <c r="G17600" s="387" t="s">
        <v>94</v>
      </c>
      <c r="H17600" s="387"/>
      <c r="I17600" s="388" t="s">
        <v>348</v>
      </c>
      <c r="J17600" s="389" t="s">
        <v>67</v>
      </c>
      <c r="K17600" s="390">
        <v>1404.6350298611112</v>
      </c>
      <c r="L17600" s="390"/>
    </row>
    <row r="17601" spans="1:17" x14ac:dyDescent="0.2">
      <c r="A17601" s="391">
        <v>2026</v>
      </c>
      <c r="B17601" s="391">
        <v>2</v>
      </c>
      <c r="C17601" s="391">
        <v>19</v>
      </c>
      <c r="D17601" s="385">
        <f t="shared" si="2790"/>
        <v>46072</v>
      </c>
      <c r="E17601" s="386">
        <f t="shared" si="2791"/>
        <v>46072</v>
      </c>
      <c r="F17601" s="476"/>
      <c r="G17601" s="392" t="s">
        <v>94</v>
      </c>
      <c r="H17601" s="392"/>
      <c r="I17601" s="393" t="s">
        <v>348</v>
      </c>
      <c r="J17601" s="394" t="s">
        <v>2155</v>
      </c>
      <c r="K17601" s="395"/>
      <c r="L17601" s="395">
        <f>K17600</f>
        <v>1404.6350298611112</v>
      </c>
    </row>
    <row r="17602" spans="1:17" x14ac:dyDescent="0.2">
      <c r="A17602" s="238">
        <v>2026</v>
      </c>
      <c r="B17602" s="238">
        <v>2</v>
      </c>
      <c r="C17602" s="238">
        <v>19</v>
      </c>
      <c r="D17602" s="270">
        <f t="shared" si="2790"/>
        <v>46072</v>
      </c>
      <c r="E17602" s="279">
        <f t="shared" si="2791"/>
        <v>46072</v>
      </c>
      <c r="F17602" s="477" t="s">
        <v>347</v>
      </c>
      <c r="G17602" s="239" t="s">
        <v>94</v>
      </c>
      <c r="H17602" s="239"/>
      <c r="I17602" s="262" t="s">
        <v>348</v>
      </c>
      <c r="J17602" s="240" t="s">
        <v>82</v>
      </c>
      <c r="K17602" s="241">
        <v>856097.89999997616</v>
      </c>
      <c r="L17602" s="241"/>
      <c r="M17602" s="160"/>
    </row>
    <row r="17603" spans="1:17" x14ac:dyDescent="0.2">
      <c r="A17603" s="242">
        <v>2026</v>
      </c>
      <c r="B17603" s="242">
        <v>2</v>
      </c>
      <c r="C17603" s="242">
        <v>19</v>
      </c>
      <c r="D17603" s="270">
        <f t="shared" si="2790"/>
        <v>46072</v>
      </c>
      <c r="E17603" s="279">
        <f t="shared" si="2791"/>
        <v>46072</v>
      </c>
      <c r="F17603" s="478"/>
      <c r="G17603" s="243" t="s">
        <v>94</v>
      </c>
      <c r="H17603" s="243"/>
      <c r="I17603" s="263" t="s">
        <v>348</v>
      </c>
      <c r="J17603" s="244" t="s">
        <v>108</v>
      </c>
      <c r="K17603" s="245"/>
      <c r="L17603" s="245">
        <f>K17602</f>
        <v>856097.89999997616</v>
      </c>
    </row>
    <row r="17604" spans="1:17" ht="12" customHeight="1" x14ac:dyDescent="0.2">
      <c r="A17604" s="246">
        <v>2026</v>
      </c>
      <c r="B17604" s="238">
        <v>2</v>
      </c>
      <c r="C17604" s="238">
        <v>19</v>
      </c>
      <c r="D17604" s="270">
        <f t="shared" si="2790"/>
        <v>46072</v>
      </c>
      <c r="E17604" s="279">
        <f t="shared" si="2791"/>
        <v>46072</v>
      </c>
      <c r="F17604" s="482" t="s">
        <v>2167</v>
      </c>
      <c r="G17604" s="247" t="s">
        <v>94</v>
      </c>
      <c r="H17604" s="247"/>
      <c r="I17604" s="248" t="s">
        <v>348</v>
      </c>
      <c r="J17604" s="249" t="s">
        <v>95</v>
      </c>
      <c r="K17604" s="250">
        <v>392.46467817896399</v>
      </c>
      <c r="L17604" s="241"/>
      <c r="M17604" s="176"/>
    </row>
    <row r="17605" spans="1:17" x14ac:dyDescent="0.2">
      <c r="A17605" s="242">
        <v>2026</v>
      </c>
      <c r="B17605" s="242">
        <v>2</v>
      </c>
      <c r="C17605" s="242">
        <v>19</v>
      </c>
      <c r="D17605" s="270">
        <f t="shared" si="2790"/>
        <v>46072</v>
      </c>
      <c r="E17605" s="279">
        <f t="shared" si="2791"/>
        <v>46072</v>
      </c>
      <c r="F17605" s="478"/>
      <c r="G17605" s="243" t="s">
        <v>94</v>
      </c>
      <c r="H17605" s="243"/>
      <c r="I17605" s="263" t="s">
        <v>348</v>
      </c>
      <c r="J17605" s="244" t="s">
        <v>63</v>
      </c>
      <c r="K17605" s="245"/>
      <c r="L17605" s="245">
        <f>K17604</f>
        <v>392.46467817896399</v>
      </c>
    </row>
    <row r="17606" spans="1:17" x14ac:dyDescent="0.2">
      <c r="A17606" s="246">
        <v>2026</v>
      </c>
      <c r="B17606" s="238">
        <v>2</v>
      </c>
      <c r="C17606" s="238">
        <v>19</v>
      </c>
      <c r="D17606" s="270">
        <f t="shared" si="2790"/>
        <v>46072</v>
      </c>
      <c r="E17606" s="279">
        <f t="shared" si="2791"/>
        <v>46072</v>
      </c>
      <c r="F17606" s="482" t="s">
        <v>2168</v>
      </c>
      <c r="G17606" s="247" t="s">
        <v>94</v>
      </c>
      <c r="H17606" s="247"/>
      <c r="I17606" s="248" t="s">
        <v>348</v>
      </c>
      <c r="J17606" s="249" t="s">
        <v>97</v>
      </c>
      <c r="K17606" s="250">
        <v>15003.89961886643</v>
      </c>
      <c r="L17606" s="252"/>
    </row>
    <row r="17607" spans="1:17" x14ac:dyDescent="0.2">
      <c r="A17607" s="242">
        <v>2026</v>
      </c>
      <c r="B17607" s="242">
        <v>2</v>
      </c>
      <c r="C17607" s="242">
        <v>19</v>
      </c>
      <c r="D17607" s="270">
        <f t="shared" si="2790"/>
        <v>46072</v>
      </c>
      <c r="E17607" s="279">
        <f t="shared" si="2791"/>
        <v>46072</v>
      </c>
      <c r="F17607" s="478"/>
      <c r="G17607" s="243" t="s">
        <v>94</v>
      </c>
      <c r="H17607" s="243"/>
      <c r="I17607" s="263" t="s">
        <v>348</v>
      </c>
      <c r="J17607" s="244" t="s">
        <v>47</v>
      </c>
      <c r="K17607" s="245"/>
      <c r="L17607" s="245">
        <f>K17606</f>
        <v>15003.89961886643</v>
      </c>
      <c r="M17607" s="170">
        <v>15003.89961886643</v>
      </c>
    </row>
    <row r="17608" spans="1:17" x14ac:dyDescent="0.2">
      <c r="A17608" s="246">
        <v>2026</v>
      </c>
      <c r="B17608" s="238">
        <v>2</v>
      </c>
      <c r="C17608" s="238">
        <v>19</v>
      </c>
      <c r="D17608" s="270">
        <f t="shared" si="2790"/>
        <v>46072</v>
      </c>
      <c r="E17608" s="279">
        <f t="shared" si="2791"/>
        <v>46072</v>
      </c>
      <c r="F17608" s="482" t="s">
        <v>2169</v>
      </c>
      <c r="G17608" s="247" t="s">
        <v>94</v>
      </c>
      <c r="H17608" s="247"/>
      <c r="I17608" s="248" t="s">
        <v>348</v>
      </c>
      <c r="J17608" s="249" t="s">
        <v>100</v>
      </c>
      <c r="K17608" s="250">
        <v>725.53469986582047</v>
      </c>
      <c r="L17608" s="252"/>
      <c r="M17608" s="170">
        <v>725.53469986582047</v>
      </c>
    </row>
    <row r="17609" spans="1:17" x14ac:dyDescent="0.2">
      <c r="A17609" s="242">
        <v>2026</v>
      </c>
      <c r="B17609" s="242">
        <v>2</v>
      </c>
      <c r="C17609" s="242">
        <v>19</v>
      </c>
      <c r="D17609" s="321">
        <f t="shared" si="2790"/>
        <v>46072</v>
      </c>
      <c r="E17609" s="322">
        <f t="shared" si="2791"/>
        <v>46072</v>
      </c>
      <c r="F17609" s="478"/>
      <c r="G17609" s="243" t="s">
        <v>94</v>
      </c>
      <c r="H17609" s="243"/>
      <c r="I17609" s="263" t="s">
        <v>348</v>
      </c>
      <c r="J17609" s="244" t="s">
        <v>48</v>
      </c>
      <c r="K17609" s="245"/>
      <c r="L17609" s="245">
        <f>K17608</f>
        <v>725.53469986582047</v>
      </c>
    </row>
    <row r="17610" spans="1:17" ht="11.25" customHeight="1" x14ac:dyDescent="0.2">
      <c r="A17610" s="168">
        <v>2026</v>
      </c>
      <c r="B17610" s="168">
        <v>2</v>
      </c>
      <c r="C17610" s="168">
        <v>19</v>
      </c>
      <c r="D17610" s="141">
        <f t="shared" si="2790"/>
        <v>46072</v>
      </c>
      <c r="E17610" s="275">
        <f t="shared" si="2791"/>
        <v>46072</v>
      </c>
      <c r="F17610" s="479" t="s">
        <v>2163</v>
      </c>
      <c r="G17610" s="220" t="s">
        <v>74</v>
      </c>
      <c r="H17610" s="220"/>
      <c r="I17610" s="148" t="s">
        <v>348</v>
      </c>
      <c r="J17610" s="149" t="s">
        <v>147</v>
      </c>
      <c r="K17610" s="218">
        <v>238979.39</v>
      </c>
      <c r="L17610" s="218"/>
      <c r="M17610" s="147"/>
      <c r="Q17610" s="133" t="s">
        <v>348</v>
      </c>
    </row>
    <row r="17611" spans="1:17" x14ac:dyDescent="0.2">
      <c r="A17611" s="163">
        <v>2026</v>
      </c>
      <c r="B17611" s="163">
        <v>2</v>
      </c>
      <c r="C17611" s="163">
        <v>19</v>
      </c>
      <c r="D17611" s="144">
        <f t="shared" si="2790"/>
        <v>46072</v>
      </c>
      <c r="E17611" s="313">
        <f t="shared" si="2791"/>
        <v>46072</v>
      </c>
      <c r="F17611" s="480"/>
      <c r="G17611" s="221" t="s">
        <v>74</v>
      </c>
      <c r="H17611" s="221"/>
      <c r="I17611" s="145" t="s">
        <v>348</v>
      </c>
      <c r="J17611" s="146" t="s">
        <v>52</v>
      </c>
      <c r="K17611" s="219"/>
      <c r="L17611" s="219">
        <f>K17610</f>
        <v>238979.39</v>
      </c>
      <c r="M17611" s="147"/>
      <c r="Q17611" s="133" t="s">
        <v>348</v>
      </c>
    </row>
    <row r="17612" spans="1:17" x14ac:dyDescent="0.2">
      <c r="A17612" s="168">
        <v>2026</v>
      </c>
      <c r="B17612" s="168">
        <v>2</v>
      </c>
      <c r="C17612" s="168">
        <v>22</v>
      </c>
      <c r="D17612" s="141">
        <f t="shared" si="2790"/>
        <v>46075</v>
      </c>
      <c r="E17612" s="275">
        <f t="shared" si="2791"/>
        <v>46075</v>
      </c>
      <c r="F17612" s="479" t="s">
        <v>2115</v>
      </c>
      <c r="G17612" s="220" t="s">
        <v>94</v>
      </c>
      <c r="H17612" s="220"/>
      <c r="I17612" s="142"/>
      <c r="J17612" s="143" t="s">
        <v>79</v>
      </c>
      <c r="K17612" s="226">
        <v>2917790.6</v>
      </c>
      <c r="L17612" s="226"/>
    </row>
    <row r="17613" spans="1:17" x14ac:dyDescent="0.2">
      <c r="A17613" s="133">
        <v>2026</v>
      </c>
      <c r="B17613" s="133">
        <v>2</v>
      </c>
      <c r="C17613" s="133">
        <v>22</v>
      </c>
      <c r="D17613" s="147">
        <f t="shared" si="2790"/>
        <v>46075</v>
      </c>
      <c r="E17613" s="311">
        <f t="shared" si="2791"/>
        <v>46075</v>
      </c>
      <c r="F17613" s="481"/>
      <c r="G17613" s="174" t="s">
        <v>94</v>
      </c>
      <c r="H17613" s="174"/>
      <c r="J17613" s="149" t="s">
        <v>80</v>
      </c>
      <c r="K17613" s="218">
        <v>6110.893</v>
      </c>
      <c r="L17613" s="264"/>
      <c r="M17613" s="264"/>
      <c r="N17613" s="264"/>
    </row>
    <row r="17614" spans="1:17" x14ac:dyDescent="0.2">
      <c r="A17614" s="133">
        <v>2026</v>
      </c>
      <c r="B17614" s="133">
        <v>2</v>
      </c>
      <c r="C17614" s="133">
        <v>22</v>
      </c>
      <c r="D17614" s="147">
        <f t="shared" si="2790"/>
        <v>46075</v>
      </c>
      <c r="E17614" s="311">
        <f t="shared" si="2791"/>
        <v>46075</v>
      </c>
      <c r="F17614" s="481"/>
      <c r="G17614" s="174" t="s">
        <v>94</v>
      </c>
      <c r="H17614" s="174"/>
      <c r="J17614" s="149" t="s">
        <v>147</v>
      </c>
      <c r="K17614" s="218"/>
      <c r="L17614" s="218">
        <v>2446751.4900000002</v>
      </c>
      <c r="M17614" s="264"/>
    </row>
    <row r="17615" spans="1:17" x14ac:dyDescent="0.2">
      <c r="A17615" s="133">
        <v>2026</v>
      </c>
      <c r="B17615" s="133">
        <v>2</v>
      </c>
      <c r="C17615" s="133">
        <v>22</v>
      </c>
      <c r="D17615" s="147">
        <f t="shared" si="2790"/>
        <v>46075</v>
      </c>
      <c r="E17615" s="311">
        <f t="shared" si="2791"/>
        <v>46075</v>
      </c>
      <c r="F17615" s="481"/>
      <c r="G17615" s="174" t="s">
        <v>94</v>
      </c>
      <c r="H17615" s="174"/>
      <c r="J17615" s="149" t="s">
        <v>191</v>
      </c>
      <c r="K17615" s="218"/>
      <c r="L17615" s="218">
        <v>133831.24</v>
      </c>
    </row>
    <row r="17616" spans="1:17" x14ac:dyDescent="0.2">
      <c r="A17616" s="163">
        <v>2026</v>
      </c>
      <c r="B17616" s="163">
        <v>2</v>
      </c>
      <c r="C17616" s="163">
        <v>22</v>
      </c>
      <c r="D17616" s="144">
        <f t="shared" si="2790"/>
        <v>46075</v>
      </c>
      <c r="E17616" s="313">
        <f t="shared" si="2791"/>
        <v>46075</v>
      </c>
      <c r="F17616" s="480"/>
      <c r="G17616" s="221" t="s">
        <v>94</v>
      </c>
      <c r="H17616" s="145"/>
      <c r="I17616" s="145"/>
      <c r="J17616" s="163" t="s">
        <v>79</v>
      </c>
      <c r="K17616" s="219"/>
      <c r="L17616" s="219">
        <v>343318.76</v>
      </c>
      <c r="M17616" s="264"/>
    </row>
    <row r="17617" spans="1:14" x14ac:dyDescent="0.2">
      <c r="A17617" s="168">
        <v>2026</v>
      </c>
      <c r="B17617" s="168">
        <v>2</v>
      </c>
      <c r="C17617" s="168">
        <v>22</v>
      </c>
      <c r="D17617" s="141">
        <f t="shared" si="2790"/>
        <v>46075</v>
      </c>
      <c r="E17617" s="275">
        <f t="shared" si="2791"/>
        <v>46075</v>
      </c>
      <c r="F17617" s="479" t="s">
        <v>2175</v>
      </c>
      <c r="G17617" s="220" t="s">
        <v>94</v>
      </c>
      <c r="H17617" s="220"/>
      <c r="I17617" s="142"/>
      <c r="J17617" s="143" t="s">
        <v>79</v>
      </c>
      <c r="K17617" s="226">
        <v>944403</v>
      </c>
      <c r="L17617" s="226"/>
    </row>
    <row r="17618" spans="1:14" x14ac:dyDescent="0.2">
      <c r="A17618" s="133">
        <v>2026</v>
      </c>
      <c r="B17618" s="133">
        <v>2</v>
      </c>
      <c r="C17618" s="133">
        <v>22</v>
      </c>
      <c r="D17618" s="147">
        <f t="shared" si="2790"/>
        <v>46075</v>
      </c>
      <c r="E17618" s="311">
        <f t="shared" si="2791"/>
        <v>46075</v>
      </c>
      <c r="F17618" s="481"/>
      <c r="G17618" s="174" t="s">
        <v>94</v>
      </c>
      <c r="H17618" s="174"/>
      <c r="J17618" s="149" t="s">
        <v>80</v>
      </c>
      <c r="K17618" s="218">
        <v>2928.6053999999999</v>
      </c>
      <c r="L17618" s="264"/>
      <c r="M17618" s="264"/>
      <c r="N17618" s="264"/>
    </row>
    <row r="17619" spans="1:14" x14ac:dyDescent="0.2">
      <c r="A17619" s="133">
        <v>2026</v>
      </c>
      <c r="B17619" s="133">
        <v>2</v>
      </c>
      <c r="C17619" s="133">
        <v>22</v>
      </c>
      <c r="D17619" s="147">
        <f t="shared" si="2790"/>
        <v>46075</v>
      </c>
      <c r="E17619" s="311">
        <f t="shared" si="2791"/>
        <v>46075</v>
      </c>
      <c r="F17619" s="481"/>
      <c r="G17619" s="174" t="s">
        <v>94</v>
      </c>
      <c r="H17619" s="174"/>
      <c r="J17619" s="149" t="s">
        <v>147</v>
      </c>
      <c r="K17619" s="218"/>
      <c r="L17619" s="218">
        <v>264731.61</v>
      </c>
      <c r="M17619" s="264"/>
    </row>
    <row r="17620" spans="1:14" x14ac:dyDescent="0.2">
      <c r="A17620" s="133">
        <v>2026</v>
      </c>
      <c r="B17620" s="133">
        <v>2</v>
      </c>
      <c r="C17620" s="133">
        <v>22</v>
      </c>
      <c r="D17620" s="147">
        <f t="shared" si="2790"/>
        <v>46075</v>
      </c>
      <c r="E17620" s="311">
        <f t="shared" si="2791"/>
        <v>46075</v>
      </c>
      <c r="F17620" s="481"/>
      <c r="G17620" s="174" t="s">
        <v>94</v>
      </c>
      <c r="H17620" s="174"/>
      <c r="J17620" s="149" t="s">
        <v>191</v>
      </c>
      <c r="K17620" s="218"/>
      <c r="L17620" s="218">
        <v>183227.26</v>
      </c>
    </row>
    <row r="17621" spans="1:14" x14ac:dyDescent="0.2">
      <c r="A17621" s="163">
        <v>2026</v>
      </c>
      <c r="B17621" s="163">
        <v>2</v>
      </c>
      <c r="C17621" s="163">
        <v>22</v>
      </c>
      <c r="D17621" s="144">
        <f t="shared" si="2790"/>
        <v>46075</v>
      </c>
      <c r="E17621" s="313">
        <f t="shared" si="2791"/>
        <v>46075</v>
      </c>
      <c r="F17621" s="480"/>
      <c r="G17621" s="221" t="s">
        <v>94</v>
      </c>
      <c r="H17621" s="145"/>
      <c r="I17621" s="145"/>
      <c r="J17621" s="163" t="s">
        <v>79</v>
      </c>
      <c r="K17621" s="219"/>
      <c r="L17621" s="219">
        <v>499372.74</v>
      </c>
      <c r="M17621" s="264"/>
    </row>
    <row r="17622" spans="1:14" x14ac:dyDescent="0.2">
      <c r="A17622" s="168">
        <v>2026</v>
      </c>
      <c r="B17622" s="168">
        <v>2</v>
      </c>
      <c r="C17622" s="168">
        <v>22</v>
      </c>
      <c r="D17622" s="141">
        <f t="shared" ref="D17622:D17661" si="2792">DATE(A17622,B17622,C17622)</f>
        <v>46075</v>
      </c>
      <c r="E17622" s="275">
        <f t="shared" ref="E17622:E17661" si="2793">DATE(A17622,B17622,C17622)</f>
        <v>46075</v>
      </c>
      <c r="F17622" s="479" t="s">
        <v>1943</v>
      </c>
      <c r="G17622" s="174" t="s">
        <v>74</v>
      </c>
      <c r="I17622" s="148" t="s">
        <v>348</v>
      </c>
      <c r="J17622" s="133" t="s">
        <v>61</v>
      </c>
      <c r="K17622" s="172">
        <f>58+58+25+25</f>
        <v>166</v>
      </c>
    </row>
    <row r="17623" spans="1:14" x14ac:dyDescent="0.2">
      <c r="A17623" s="163">
        <v>2026</v>
      </c>
      <c r="B17623" s="163">
        <v>2</v>
      </c>
      <c r="C17623" s="163">
        <v>22</v>
      </c>
      <c r="D17623" s="144">
        <f t="shared" si="2792"/>
        <v>46075</v>
      </c>
      <c r="E17623" s="313">
        <f t="shared" si="2793"/>
        <v>46075</v>
      </c>
      <c r="F17623" s="480"/>
      <c r="G17623" s="221" t="s">
        <v>74</v>
      </c>
      <c r="H17623" s="145"/>
      <c r="I17623" s="145" t="s">
        <v>348</v>
      </c>
      <c r="J17623" s="163" t="s">
        <v>52</v>
      </c>
      <c r="K17623" s="219"/>
      <c r="L17623" s="219">
        <f>K17622</f>
        <v>166</v>
      </c>
    </row>
    <row r="17624" spans="1:14" x14ac:dyDescent="0.2">
      <c r="A17624" s="168">
        <v>2026</v>
      </c>
      <c r="B17624" s="168">
        <v>2</v>
      </c>
      <c r="C17624" s="133">
        <v>22</v>
      </c>
      <c r="D17624" s="141">
        <f t="shared" si="2792"/>
        <v>46075</v>
      </c>
      <c r="E17624" s="275">
        <f t="shared" si="2793"/>
        <v>46075</v>
      </c>
      <c r="F17624" s="479" t="s">
        <v>275</v>
      </c>
      <c r="G17624" s="174" t="s">
        <v>74</v>
      </c>
      <c r="H17624" s="174"/>
      <c r="I17624" s="148" t="s">
        <v>348</v>
      </c>
      <c r="J17624" s="149" t="s">
        <v>163</v>
      </c>
      <c r="K17624" s="218">
        <v>1575</v>
      </c>
      <c r="L17624" s="218"/>
    </row>
    <row r="17625" spans="1:14" x14ac:dyDescent="0.2">
      <c r="A17625" s="133">
        <v>2026</v>
      </c>
      <c r="B17625" s="133">
        <v>2</v>
      </c>
      <c r="C17625" s="133">
        <v>22</v>
      </c>
      <c r="D17625" s="147">
        <f t="shared" si="2792"/>
        <v>46075</v>
      </c>
      <c r="E17625" s="311">
        <f t="shared" si="2793"/>
        <v>46075</v>
      </c>
      <c r="F17625" s="481"/>
      <c r="G17625" s="174" t="s">
        <v>74</v>
      </c>
      <c r="H17625" s="174"/>
      <c r="J17625" s="149" t="s">
        <v>1907</v>
      </c>
      <c r="K17625" s="218"/>
      <c r="L17625" s="218">
        <v>75</v>
      </c>
    </row>
    <row r="17626" spans="1:14" x14ac:dyDescent="0.2">
      <c r="A17626" s="163">
        <v>2026</v>
      </c>
      <c r="B17626" s="163">
        <v>2</v>
      </c>
      <c r="C17626" s="163">
        <v>22</v>
      </c>
      <c r="D17626" s="144">
        <f t="shared" si="2792"/>
        <v>46075</v>
      </c>
      <c r="E17626" s="313">
        <f t="shared" si="2793"/>
        <v>46075</v>
      </c>
      <c r="F17626" s="480"/>
      <c r="G17626" s="221" t="s">
        <v>74</v>
      </c>
      <c r="H17626" s="221"/>
      <c r="I17626" s="145"/>
      <c r="J17626" s="146" t="s">
        <v>52</v>
      </c>
      <c r="K17626" s="219"/>
      <c r="L17626" s="219">
        <v>1500</v>
      </c>
    </row>
    <row r="17627" spans="1:14" ht="11.25" customHeight="1" x14ac:dyDescent="0.2">
      <c r="A17627" s="168">
        <v>2026</v>
      </c>
      <c r="B17627" s="168">
        <v>2</v>
      </c>
      <c r="C17627" s="168">
        <v>22</v>
      </c>
      <c r="D17627" s="141">
        <f t="shared" si="2792"/>
        <v>46075</v>
      </c>
      <c r="E17627" s="275">
        <f t="shared" si="2793"/>
        <v>46075</v>
      </c>
      <c r="F17627" s="479" t="s">
        <v>964</v>
      </c>
      <c r="G17627" s="220" t="s">
        <v>74</v>
      </c>
      <c r="H17627" s="142"/>
      <c r="I17627" s="142"/>
      <c r="J17627" s="168" t="s">
        <v>52</v>
      </c>
      <c r="K17627" s="226">
        <v>3074240</v>
      </c>
      <c r="L17627" s="226"/>
    </row>
    <row r="17628" spans="1:14" ht="11.25" customHeight="1" x14ac:dyDescent="0.2">
      <c r="A17628" s="133">
        <v>2026</v>
      </c>
      <c r="B17628" s="133">
        <v>2</v>
      </c>
      <c r="C17628" s="133">
        <v>22</v>
      </c>
      <c r="D17628" s="147">
        <f t="shared" si="2792"/>
        <v>46075</v>
      </c>
      <c r="E17628" s="311">
        <f t="shared" si="2793"/>
        <v>46075</v>
      </c>
      <c r="F17628" s="481"/>
      <c r="G17628" s="174" t="s">
        <v>74</v>
      </c>
      <c r="J17628" s="133" t="s">
        <v>13</v>
      </c>
      <c r="K17628" s="218"/>
      <c r="L17628" s="218">
        <v>2009570</v>
      </c>
    </row>
    <row r="17629" spans="1:14" ht="11.25" customHeight="1" x14ac:dyDescent="0.2">
      <c r="A17629" s="163">
        <v>2026</v>
      </c>
      <c r="B17629" s="163">
        <v>2</v>
      </c>
      <c r="C17629" s="163">
        <v>22</v>
      </c>
      <c r="D17629" s="144">
        <f t="shared" si="2792"/>
        <v>46075</v>
      </c>
      <c r="E17629" s="313">
        <f t="shared" si="2793"/>
        <v>46075</v>
      </c>
      <c r="F17629" s="480"/>
      <c r="G17629" s="221" t="s">
        <v>74</v>
      </c>
      <c r="H17629" s="145"/>
      <c r="I17629" s="145"/>
      <c r="J17629" s="163" t="s">
        <v>53</v>
      </c>
      <c r="K17629" s="219"/>
      <c r="L17629" s="219">
        <v>1064670</v>
      </c>
    </row>
    <row r="17630" spans="1:14" x14ac:dyDescent="0.2">
      <c r="A17630" s="325">
        <v>2026</v>
      </c>
      <c r="B17630" s="325">
        <v>2</v>
      </c>
      <c r="C17630" s="325">
        <v>22</v>
      </c>
      <c r="D17630" s="326">
        <f t="shared" si="2792"/>
        <v>46075</v>
      </c>
      <c r="E17630" s="327">
        <f t="shared" si="2793"/>
        <v>46075</v>
      </c>
      <c r="F17630" s="473" t="s">
        <v>2131</v>
      </c>
      <c r="G17630" s="340" t="s">
        <v>94</v>
      </c>
      <c r="H17630" s="340"/>
      <c r="I17630" s="341" t="s">
        <v>348</v>
      </c>
      <c r="J17630" s="374" t="s">
        <v>2156</v>
      </c>
      <c r="K17630" s="375">
        <f>3*6185.43956043956</f>
        <v>18556.31868131868</v>
      </c>
      <c r="L17630" s="375"/>
      <c r="M17630" s="176"/>
    </row>
    <row r="17631" spans="1:14" x14ac:dyDescent="0.2">
      <c r="A17631" s="331">
        <v>2026</v>
      </c>
      <c r="B17631" s="331">
        <v>2</v>
      </c>
      <c r="C17631" s="331">
        <v>22</v>
      </c>
      <c r="D17631" s="326">
        <f t="shared" si="2792"/>
        <v>46075</v>
      </c>
      <c r="E17631" s="327">
        <f t="shared" si="2793"/>
        <v>46075</v>
      </c>
      <c r="F17631" s="474"/>
      <c r="G17631" s="332" t="s">
        <v>94</v>
      </c>
      <c r="H17631" s="332"/>
      <c r="I17631" s="333" t="s">
        <v>348</v>
      </c>
      <c r="J17631" s="376" t="s">
        <v>2154</v>
      </c>
      <c r="K17631" s="334"/>
      <c r="L17631" s="334">
        <f>K17630</f>
        <v>18556.31868131868</v>
      </c>
    </row>
    <row r="17632" spans="1:14" x14ac:dyDescent="0.2">
      <c r="A17632" s="384">
        <v>2026</v>
      </c>
      <c r="B17632" s="384">
        <v>2</v>
      </c>
      <c r="C17632" s="384">
        <v>22</v>
      </c>
      <c r="D17632" s="385">
        <f t="shared" si="2792"/>
        <v>46075</v>
      </c>
      <c r="E17632" s="386">
        <f t="shared" si="2793"/>
        <v>46075</v>
      </c>
      <c r="F17632" s="475" t="s">
        <v>1966</v>
      </c>
      <c r="G17632" s="387" t="s">
        <v>94</v>
      </c>
      <c r="H17632" s="387"/>
      <c r="I17632" s="388" t="s">
        <v>348</v>
      </c>
      <c r="J17632" s="389" t="s">
        <v>67</v>
      </c>
      <c r="K17632" s="390">
        <v>5325.07</v>
      </c>
      <c r="L17632" s="390"/>
    </row>
    <row r="17633" spans="1:14" x14ac:dyDescent="0.2">
      <c r="A17633" s="391">
        <v>2026</v>
      </c>
      <c r="B17633" s="391">
        <v>2</v>
      </c>
      <c r="C17633" s="391">
        <v>22</v>
      </c>
      <c r="D17633" s="385">
        <f t="shared" si="2792"/>
        <v>46075</v>
      </c>
      <c r="E17633" s="386">
        <f t="shared" si="2793"/>
        <v>46075</v>
      </c>
      <c r="F17633" s="476"/>
      <c r="G17633" s="392" t="s">
        <v>94</v>
      </c>
      <c r="H17633" s="392"/>
      <c r="I17633" s="393" t="s">
        <v>348</v>
      </c>
      <c r="J17633" s="394" t="s">
        <v>2155</v>
      </c>
      <c r="K17633" s="395"/>
      <c r="L17633" s="395">
        <f>K17632</f>
        <v>5325.07</v>
      </c>
    </row>
    <row r="17634" spans="1:14" x14ac:dyDescent="0.2">
      <c r="A17634" s="238">
        <v>2026</v>
      </c>
      <c r="B17634" s="238">
        <v>2</v>
      </c>
      <c r="C17634" s="238">
        <v>22</v>
      </c>
      <c r="D17634" s="270">
        <f t="shared" si="2792"/>
        <v>46075</v>
      </c>
      <c r="E17634" s="279">
        <f t="shared" si="2793"/>
        <v>46075</v>
      </c>
      <c r="F17634" s="477" t="s">
        <v>347</v>
      </c>
      <c r="G17634" s="239" t="s">
        <v>94</v>
      </c>
      <c r="H17634" s="239"/>
      <c r="I17634" s="262" t="s">
        <v>348</v>
      </c>
      <c r="J17634" s="240" t="s">
        <v>108</v>
      </c>
      <c r="K17634" s="241">
        <v>446424.69999998808</v>
      </c>
      <c r="L17634" s="241"/>
      <c r="M17634" s="160"/>
    </row>
    <row r="17635" spans="1:14" x14ac:dyDescent="0.2">
      <c r="A17635" s="242">
        <v>2026</v>
      </c>
      <c r="B17635" s="242">
        <v>2</v>
      </c>
      <c r="C17635" s="242">
        <v>22</v>
      </c>
      <c r="D17635" s="270">
        <f t="shared" si="2792"/>
        <v>46075</v>
      </c>
      <c r="E17635" s="279">
        <f t="shared" si="2793"/>
        <v>46075</v>
      </c>
      <c r="F17635" s="478"/>
      <c r="G17635" s="243" t="s">
        <v>94</v>
      </c>
      <c r="H17635" s="243"/>
      <c r="I17635" s="263" t="s">
        <v>348</v>
      </c>
      <c r="J17635" s="244" t="s">
        <v>82</v>
      </c>
      <c r="K17635" s="245"/>
      <c r="L17635" s="245">
        <f>K17634</f>
        <v>446424.69999998808</v>
      </c>
    </row>
    <row r="17636" spans="1:14" ht="12" customHeight="1" x14ac:dyDescent="0.2">
      <c r="A17636" s="246">
        <v>2026</v>
      </c>
      <c r="B17636" s="238">
        <v>2</v>
      </c>
      <c r="C17636" s="238">
        <v>22</v>
      </c>
      <c r="D17636" s="270">
        <f t="shared" si="2792"/>
        <v>46075</v>
      </c>
      <c r="E17636" s="279">
        <f t="shared" si="2793"/>
        <v>46075</v>
      </c>
      <c r="F17636" s="482" t="s">
        <v>2167</v>
      </c>
      <c r="G17636" s="247" t="s">
        <v>94</v>
      </c>
      <c r="H17636" s="247"/>
      <c r="I17636" s="248" t="s">
        <v>348</v>
      </c>
      <c r="J17636" s="249" t="s">
        <v>95</v>
      </c>
      <c r="K17636" s="250">
        <f>3*392.464678178964</f>
        <v>1177.3940345368919</v>
      </c>
      <c r="L17636" s="241"/>
      <c r="M17636" s="176"/>
    </row>
    <row r="17637" spans="1:14" x14ac:dyDescent="0.2">
      <c r="A17637" s="242">
        <v>2026</v>
      </c>
      <c r="B17637" s="242">
        <v>2</v>
      </c>
      <c r="C17637" s="242">
        <v>22</v>
      </c>
      <c r="D17637" s="270">
        <f t="shared" si="2792"/>
        <v>46075</v>
      </c>
      <c r="E17637" s="279">
        <f t="shared" si="2793"/>
        <v>46075</v>
      </c>
      <c r="F17637" s="478"/>
      <c r="G17637" s="243" t="s">
        <v>94</v>
      </c>
      <c r="H17637" s="243"/>
      <c r="I17637" s="263" t="s">
        <v>348</v>
      </c>
      <c r="J17637" s="244" t="s">
        <v>63</v>
      </c>
      <c r="K17637" s="245"/>
      <c r="L17637" s="245">
        <f>K17636</f>
        <v>1177.3940345368919</v>
      </c>
    </row>
    <row r="17638" spans="1:14" x14ac:dyDescent="0.2">
      <c r="A17638" s="246">
        <v>2026</v>
      </c>
      <c r="B17638" s="238">
        <v>2</v>
      </c>
      <c r="C17638" s="238">
        <v>22</v>
      </c>
      <c r="D17638" s="270">
        <f t="shared" si="2792"/>
        <v>46075</v>
      </c>
      <c r="E17638" s="279">
        <f t="shared" si="2793"/>
        <v>46075</v>
      </c>
      <c r="F17638" s="482" t="s">
        <v>2168</v>
      </c>
      <c r="G17638" s="247" t="s">
        <v>94</v>
      </c>
      <c r="H17638" s="247"/>
      <c r="I17638" s="248" t="s">
        <v>348</v>
      </c>
      <c r="J17638" s="249" t="s">
        <v>97</v>
      </c>
      <c r="K17638" s="250">
        <f>3*15264.912692847</f>
        <v>45794.738078540999</v>
      </c>
      <c r="L17638" s="252"/>
    </row>
    <row r="17639" spans="1:14" x14ac:dyDescent="0.2">
      <c r="A17639" s="242">
        <v>2026</v>
      </c>
      <c r="B17639" s="242">
        <v>2</v>
      </c>
      <c r="C17639" s="242">
        <v>22</v>
      </c>
      <c r="D17639" s="270">
        <f t="shared" si="2792"/>
        <v>46075</v>
      </c>
      <c r="E17639" s="279">
        <f t="shared" si="2793"/>
        <v>46075</v>
      </c>
      <c r="F17639" s="478"/>
      <c r="G17639" s="243" t="s">
        <v>94</v>
      </c>
      <c r="H17639" s="243"/>
      <c r="I17639" s="263" t="s">
        <v>348</v>
      </c>
      <c r="J17639" s="244" t="s">
        <v>47</v>
      </c>
      <c r="K17639" s="245"/>
      <c r="L17639" s="245">
        <f>K17638</f>
        <v>45794.738078540999</v>
      </c>
      <c r="M17639" s="170">
        <v>15264.912692846978</v>
      </c>
    </row>
    <row r="17640" spans="1:14" x14ac:dyDescent="0.2">
      <c r="A17640" s="246">
        <v>2026</v>
      </c>
      <c r="B17640" s="238">
        <v>2</v>
      </c>
      <c r="C17640" s="238">
        <v>22</v>
      </c>
      <c r="D17640" s="270">
        <f t="shared" si="2792"/>
        <v>46075</v>
      </c>
      <c r="E17640" s="279">
        <f t="shared" si="2793"/>
        <v>46075</v>
      </c>
      <c r="F17640" s="482" t="s">
        <v>2169</v>
      </c>
      <c r="G17640" s="247" t="s">
        <v>94</v>
      </c>
      <c r="H17640" s="247"/>
      <c r="I17640" s="248" t="s">
        <v>348</v>
      </c>
      <c r="J17640" s="249" t="s">
        <v>100</v>
      </c>
      <c r="K17640" s="250">
        <f>3*742.935571464524</f>
        <v>2228.8067143935718</v>
      </c>
      <c r="L17640" s="252"/>
      <c r="M17640" s="170">
        <v>742.93557146452372</v>
      </c>
    </row>
    <row r="17641" spans="1:14" x14ac:dyDescent="0.2">
      <c r="A17641" s="242">
        <v>2026</v>
      </c>
      <c r="B17641" s="242">
        <v>2</v>
      </c>
      <c r="C17641" s="242">
        <v>22</v>
      </c>
      <c r="D17641" s="321">
        <f t="shared" si="2792"/>
        <v>46075</v>
      </c>
      <c r="E17641" s="322">
        <f t="shared" si="2793"/>
        <v>46075</v>
      </c>
      <c r="F17641" s="478"/>
      <c r="G17641" s="243" t="s">
        <v>94</v>
      </c>
      <c r="H17641" s="243"/>
      <c r="I17641" s="263" t="s">
        <v>348</v>
      </c>
      <c r="J17641" s="244" t="s">
        <v>48</v>
      </c>
      <c r="K17641" s="245"/>
      <c r="L17641" s="245">
        <f>K17640</f>
        <v>2228.8067143935718</v>
      </c>
    </row>
    <row r="17642" spans="1:14" ht="11.25" customHeight="1" x14ac:dyDescent="0.2">
      <c r="A17642" s="168">
        <v>2026</v>
      </c>
      <c r="B17642" s="168">
        <v>2</v>
      </c>
      <c r="C17642" s="168">
        <v>23</v>
      </c>
      <c r="D17642" s="141">
        <f t="shared" si="2792"/>
        <v>46076</v>
      </c>
      <c r="E17642" s="275">
        <f t="shared" si="2793"/>
        <v>46076</v>
      </c>
      <c r="F17642" s="479" t="s">
        <v>964</v>
      </c>
      <c r="G17642" s="220" t="s">
        <v>74</v>
      </c>
      <c r="H17642" s="142"/>
      <c r="I17642" s="142"/>
      <c r="J17642" s="168" t="s">
        <v>52</v>
      </c>
      <c r="K17642" s="226">
        <v>100000</v>
      </c>
      <c r="L17642" s="226"/>
    </row>
    <row r="17643" spans="1:14" ht="11.25" customHeight="1" x14ac:dyDescent="0.2">
      <c r="A17643" s="133">
        <v>2026</v>
      </c>
      <c r="B17643" s="133">
        <v>2</v>
      </c>
      <c r="C17643" s="133">
        <v>23</v>
      </c>
      <c r="D17643" s="147">
        <f t="shared" si="2792"/>
        <v>46076</v>
      </c>
      <c r="E17643" s="311">
        <f t="shared" si="2793"/>
        <v>46076</v>
      </c>
      <c r="F17643" s="481"/>
      <c r="G17643" s="174" t="s">
        <v>74</v>
      </c>
      <c r="J17643" s="133" t="s">
        <v>13</v>
      </c>
      <c r="K17643" s="218"/>
      <c r="L17643" s="218">
        <v>65360</v>
      </c>
    </row>
    <row r="17644" spans="1:14" ht="11.25" customHeight="1" x14ac:dyDescent="0.2">
      <c r="A17644" s="163">
        <v>2026</v>
      </c>
      <c r="B17644" s="163">
        <v>2</v>
      </c>
      <c r="C17644" s="163">
        <v>23</v>
      </c>
      <c r="D17644" s="144">
        <f t="shared" si="2792"/>
        <v>46076</v>
      </c>
      <c r="E17644" s="313">
        <f t="shared" si="2793"/>
        <v>46076</v>
      </c>
      <c r="F17644" s="480"/>
      <c r="G17644" s="221" t="s">
        <v>74</v>
      </c>
      <c r="H17644" s="145"/>
      <c r="I17644" s="145"/>
      <c r="J17644" s="163" t="s">
        <v>53</v>
      </c>
      <c r="K17644" s="219"/>
      <c r="L17644" s="219">
        <v>34640</v>
      </c>
    </row>
    <row r="17645" spans="1:14" x14ac:dyDescent="0.2">
      <c r="A17645" s="168">
        <v>2026</v>
      </c>
      <c r="B17645" s="168">
        <v>2</v>
      </c>
      <c r="C17645" s="168">
        <v>23</v>
      </c>
      <c r="D17645" s="141">
        <f t="shared" si="2792"/>
        <v>46076</v>
      </c>
      <c r="E17645" s="275">
        <f t="shared" si="2793"/>
        <v>46076</v>
      </c>
      <c r="F17645" s="479" t="s">
        <v>2115</v>
      </c>
      <c r="G17645" s="220" t="s">
        <v>94</v>
      </c>
      <c r="H17645" s="220"/>
      <c r="I17645" s="142"/>
      <c r="J17645" s="143" t="s">
        <v>79</v>
      </c>
      <c r="K17645" s="226">
        <v>2235959</v>
      </c>
      <c r="L17645" s="226"/>
    </row>
    <row r="17646" spans="1:14" x14ac:dyDescent="0.2">
      <c r="A17646" s="133">
        <v>2026</v>
      </c>
      <c r="B17646" s="133">
        <v>2</v>
      </c>
      <c r="C17646" s="133">
        <v>23</v>
      </c>
      <c r="D17646" s="147">
        <f t="shared" si="2792"/>
        <v>46076</v>
      </c>
      <c r="E17646" s="311">
        <f t="shared" si="2793"/>
        <v>46076</v>
      </c>
      <c r="F17646" s="481"/>
      <c r="G17646" s="174" t="s">
        <v>94</v>
      </c>
      <c r="H17646" s="174"/>
      <c r="J17646" s="149" t="s">
        <v>80</v>
      </c>
      <c r="K17646" s="218">
        <v>5238.6499999999996</v>
      </c>
      <c r="L17646" s="264"/>
      <c r="M17646" s="264"/>
      <c r="N17646" s="264"/>
    </row>
    <row r="17647" spans="1:14" x14ac:dyDescent="0.2">
      <c r="A17647" s="133">
        <v>2026</v>
      </c>
      <c r="B17647" s="133">
        <v>2</v>
      </c>
      <c r="C17647" s="133">
        <v>23</v>
      </c>
      <c r="D17647" s="147">
        <f t="shared" si="2792"/>
        <v>46076</v>
      </c>
      <c r="E17647" s="311">
        <f t="shared" si="2793"/>
        <v>46076</v>
      </c>
      <c r="F17647" s="481"/>
      <c r="G17647" s="174" t="s">
        <v>94</v>
      </c>
      <c r="H17647" s="174"/>
      <c r="J17647" s="149" t="s">
        <v>147</v>
      </c>
      <c r="K17647" s="218"/>
      <c r="L17647" s="218">
        <v>1566797.65</v>
      </c>
      <c r="M17647" s="264"/>
    </row>
    <row r="17648" spans="1:14" x14ac:dyDescent="0.2">
      <c r="A17648" s="133">
        <v>2026</v>
      </c>
      <c r="B17648" s="133">
        <v>2</v>
      </c>
      <c r="C17648" s="133">
        <v>23</v>
      </c>
      <c r="D17648" s="147">
        <f t="shared" si="2792"/>
        <v>46076</v>
      </c>
      <c r="E17648" s="311">
        <f t="shared" si="2793"/>
        <v>46076</v>
      </c>
      <c r="F17648" s="481"/>
      <c r="G17648" s="174" t="s">
        <v>94</v>
      </c>
      <c r="H17648" s="174"/>
      <c r="J17648" s="149" t="s">
        <v>191</v>
      </c>
      <c r="K17648" s="218"/>
      <c r="L17648" s="218">
        <v>91717.759999999995</v>
      </c>
    </row>
    <row r="17649" spans="1:13" x14ac:dyDescent="0.2">
      <c r="A17649" s="163">
        <v>2026</v>
      </c>
      <c r="B17649" s="163">
        <v>2</v>
      </c>
      <c r="C17649" s="163">
        <v>23</v>
      </c>
      <c r="D17649" s="144">
        <f t="shared" si="2792"/>
        <v>46076</v>
      </c>
      <c r="E17649" s="313">
        <f t="shared" si="2793"/>
        <v>46076</v>
      </c>
      <c r="F17649" s="480"/>
      <c r="G17649" s="221" t="s">
        <v>94</v>
      </c>
      <c r="H17649" s="145"/>
      <c r="I17649" s="145"/>
      <c r="J17649" s="163" t="s">
        <v>79</v>
      </c>
      <c r="K17649" s="219"/>
      <c r="L17649" s="219">
        <v>582682.24</v>
      </c>
      <c r="M17649" s="264"/>
    </row>
    <row r="17650" spans="1:13" x14ac:dyDescent="0.2">
      <c r="A17650" s="325">
        <v>2026</v>
      </c>
      <c r="B17650" s="325">
        <v>2</v>
      </c>
      <c r="C17650" s="325">
        <v>23</v>
      </c>
      <c r="D17650" s="326">
        <f t="shared" si="2792"/>
        <v>46076</v>
      </c>
      <c r="E17650" s="327">
        <f t="shared" si="2793"/>
        <v>46076</v>
      </c>
      <c r="F17650" s="473" t="s">
        <v>2131</v>
      </c>
      <c r="G17650" s="340" t="s">
        <v>94</v>
      </c>
      <c r="H17650" s="340"/>
      <c r="I17650" s="341" t="s">
        <v>348</v>
      </c>
      <c r="J17650" s="374" t="s">
        <v>2156</v>
      </c>
      <c r="K17650" s="375">
        <v>6185.4395604395604</v>
      </c>
      <c r="L17650" s="375"/>
      <c r="M17650" s="176"/>
    </row>
    <row r="17651" spans="1:13" x14ac:dyDescent="0.2">
      <c r="A17651" s="331">
        <v>2026</v>
      </c>
      <c r="B17651" s="331">
        <v>2</v>
      </c>
      <c r="C17651" s="331">
        <v>23</v>
      </c>
      <c r="D17651" s="326">
        <f t="shared" si="2792"/>
        <v>46076</v>
      </c>
      <c r="E17651" s="327">
        <f t="shared" si="2793"/>
        <v>46076</v>
      </c>
      <c r="F17651" s="474"/>
      <c r="G17651" s="332" t="s">
        <v>94</v>
      </c>
      <c r="H17651" s="332"/>
      <c r="I17651" s="333" t="s">
        <v>348</v>
      </c>
      <c r="J17651" s="376" t="s">
        <v>2154</v>
      </c>
      <c r="K17651" s="334"/>
      <c r="L17651" s="334">
        <f>K17650</f>
        <v>6185.4395604395604</v>
      </c>
    </row>
    <row r="17652" spans="1:13" x14ac:dyDescent="0.2">
      <c r="A17652" s="384">
        <v>2026</v>
      </c>
      <c r="B17652" s="384">
        <v>2</v>
      </c>
      <c r="C17652" s="384">
        <v>23</v>
      </c>
      <c r="D17652" s="385">
        <f t="shared" si="2792"/>
        <v>46076</v>
      </c>
      <c r="E17652" s="386">
        <f t="shared" si="2793"/>
        <v>46076</v>
      </c>
      <c r="F17652" s="475" t="s">
        <v>1966</v>
      </c>
      <c r="G17652" s="387" t="s">
        <v>94</v>
      </c>
      <c r="H17652" s="387"/>
      <c r="I17652" s="388" t="s">
        <v>348</v>
      </c>
      <c r="J17652" s="389" t="s">
        <v>67</v>
      </c>
      <c r="K17652" s="390">
        <v>2522.740851388889</v>
      </c>
      <c r="L17652" s="390"/>
    </row>
    <row r="17653" spans="1:13" x14ac:dyDescent="0.2">
      <c r="A17653" s="391">
        <v>2026</v>
      </c>
      <c r="B17653" s="391">
        <v>2</v>
      </c>
      <c r="C17653" s="391">
        <v>23</v>
      </c>
      <c r="D17653" s="385">
        <f t="shared" si="2792"/>
        <v>46076</v>
      </c>
      <c r="E17653" s="386">
        <f t="shared" si="2793"/>
        <v>46076</v>
      </c>
      <c r="F17653" s="476"/>
      <c r="G17653" s="392" t="s">
        <v>94</v>
      </c>
      <c r="H17653" s="392"/>
      <c r="I17653" s="393" t="s">
        <v>348</v>
      </c>
      <c r="J17653" s="394" t="s">
        <v>2155</v>
      </c>
      <c r="K17653" s="395"/>
      <c r="L17653" s="395">
        <f>K17652</f>
        <v>2522.740851388889</v>
      </c>
    </row>
    <row r="17654" spans="1:13" x14ac:dyDescent="0.2">
      <c r="A17654" s="238">
        <v>2026</v>
      </c>
      <c r="B17654" s="238">
        <v>2</v>
      </c>
      <c r="C17654" s="238">
        <v>23</v>
      </c>
      <c r="D17654" s="270">
        <f t="shared" si="2792"/>
        <v>46076</v>
      </c>
      <c r="E17654" s="279">
        <f t="shared" si="2793"/>
        <v>46076</v>
      </c>
      <c r="F17654" s="477" t="s">
        <v>347</v>
      </c>
      <c r="G17654" s="239" t="s">
        <v>94</v>
      </c>
      <c r="H17654" s="239"/>
      <c r="I17654" s="262" t="s">
        <v>348</v>
      </c>
      <c r="J17654" s="240" t="s">
        <v>108</v>
      </c>
      <c r="K17654" s="241">
        <v>3299371.5400000215</v>
      </c>
      <c r="L17654" s="241"/>
      <c r="M17654" s="160"/>
    </row>
    <row r="17655" spans="1:13" x14ac:dyDescent="0.2">
      <c r="A17655" s="242">
        <v>2026</v>
      </c>
      <c r="B17655" s="242">
        <v>2</v>
      </c>
      <c r="C17655" s="242">
        <v>23</v>
      </c>
      <c r="D17655" s="270">
        <f t="shared" si="2792"/>
        <v>46076</v>
      </c>
      <c r="E17655" s="279">
        <f t="shared" si="2793"/>
        <v>46076</v>
      </c>
      <c r="F17655" s="478"/>
      <c r="G17655" s="243" t="s">
        <v>94</v>
      </c>
      <c r="H17655" s="243"/>
      <c r="I17655" s="263" t="s">
        <v>348</v>
      </c>
      <c r="J17655" s="244" t="s">
        <v>82</v>
      </c>
      <c r="K17655" s="245"/>
      <c r="L17655" s="245">
        <f>K17654</f>
        <v>3299371.5400000215</v>
      </c>
    </row>
    <row r="17656" spans="1:13" ht="12" customHeight="1" x14ac:dyDescent="0.2">
      <c r="A17656" s="246">
        <v>2026</v>
      </c>
      <c r="B17656" s="238">
        <v>2</v>
      </c>
      <c r="C17656" s="238">
        <v>23</v>
      </c>
      <c r="D17656" s="270">
        <f t="shared" si="2792"/>
        <v>46076</v>
      </c>
      <c r="E17656" s="279">
        <f t="shared" si="2793"/>
        <v>46076</v>
      </c>
      <c r="F17656" s="482" t="s">
        <v>2167</v>
      </c>
      <c r="G17656" s="247" t="s">
        <v>94</v>
      </c>
      <c r="H17656" s="247"/>
      <c r="I17656" s="248" t="s">
        <v>348</v>
      </c>
      <c r="J17656" s="249" t="s">
        <v>95</v>
      </c>
      <c r="K17656" s="250">
        <v>392.46467817896399</v>
      </c>
      <c r="L17656" s="241"/>
      <c r="M17656" s="176"/>
    </row>
    <row r="17657" spans="1:13" x14ac:dyDescent="0.2">
      <c r="A17657" s="242">
        <v>2026</v>
      </c>
      <c r="B17657" s="242">
        <v>2</v>
      </c>
      <c r="C17657" s="242">
        <v>23</v>
      </c>
      <c r="D17657" s="270">
        <f t="shared" si="2792"/>
        <v>46076</v>
      </c>
      <c r="E17657" s="279">
        <f t="shared" si="2793"/>
        <v>46076</v>
      </c>
      <c r="F17657" s="478"/>
      <c r="G17657" s="243" t="s">
        <v>94</v>
      </c>
      <c r="H17657" s="243"/>
      <c r="I17657" s="263" t="s">
        <v>348</v>
      </c>
      <c r="J17657" s="244" t="s">
        <v>63</v>
      </c>
      <c r="K17657" s="245"/>
      <c r="L17657" s="245">
        <f>K17656</f>
        <v>392.46467817896399</v>
      </c>
    </row>
    <row r="17658" spans="1:13" x14ac:dyDescent="0.2">
      <c r="A17658" s="246">
        <v>2026</v>
      </c>
      <c r="B17658" s="238">
        <v>2</v>
      </c>
      <c r="C17658" s="238">
        <v>23</v>
      </c>
      <c r="D17658" s="270">
        <f t="shared" si="2792"/>
        <v>46076</v>
      </c>
      <c r="E17658" s="279">
        <f t="shared" si="2793"/>
        <v>46076</v>
      </c>
      <c r="F17658" s="482" t="s">
        <v>2168</v>
      </c>
      <c r="G17658" s="247" t="s">
        <v>94</v>
      </c>
      <c r="H17658" s="247"/>
      <c r="I17658" s="248" t="s">
        <v>348</v>
      </c>
      <c r="J17658" s="249" t="s">
        <v>97</v>
      </c>
      <c r="K17658" s="250">
        <v>15406.924072830801</v>
      </c>
      <c r="L17658" s="252"/>
    </row>
    <row r="17659" spans="1:13" x14ac:dyDescent="0.2">
      <c r="A17659" s="242">
        <v>2026</v>
      </c>
      <c r="B17659" s="242">
        <v>2</v>
      </c>
      <c r="C17659" s="242">
        <v>23</v>
      </c>
      <c r="D17659" s="270">
        <f t="shared" si="2792"/>
        <v>46076</v>
      </c>
      <c r="E17659" s="279">
        <f t="shared" si="2793"/>
        <v>46076</v>
      </c>
      <c r="F17659" s="478"/>
      <c r="G17659" s="243" t="s">
        <v>94</v>
      </c>
      <c r="H17659" s="243"/>
      <c r="I17659" s="263" t="s">
        <v>348</v>
      </c>
      <c r="J17659" s="244" t="s">
        <v>47</v>
      </c>
      <c r="K17659" s="245"/>
      <c r="L17659" s="245">
        <f>K17658</f>
        <v>15406.924072830801</v>
      </c>
      <c r="M17659" s="170"/>
    </row>
    <row r="17660" spans="1:13" x14ac:dyDescent="0.2">
      <c r="A17660" s="246">
        <v>2026</v>
      </c>
      <c r="B17660" s="238">
        <v>2</v>
      </c>
      <c r="C17660" s="238">
        <v>23</v>
      </c>
      <c r="D17660" s="270">
        <f t="shared" si="2792"/>
        <v>46076</v>
      </c>
      <c r="E17660" s="279">
        <f t="shared" si="2793"/>
        <v>46076</v>
      </c>
      <c r="F17660" s="482" t="s">
        <v>2169</v>
      </c>
      <c r="G17660" s="247" t="s">
        <v>94</v>
      </c>
      <c r="H17660" s="247"/>
      <c r="I17660" s="248" t="s">
        <v>348</v>
      </c>
      <c r="J17660" s="249" t="s">
        <v>100</v>
      </c>
      <c r="K17660" s="250">
        <v>752.40299679677867</v>
      </c>
      <c r="L17660" s="252"/>
      <c r="M17660" s="170"/>
    </row>
    <row r="17661" spans="1:13" x14ac:dyDescent="0.2">
      <c r="A17661" s="242">
        <v>2026</v>
      </c>
      <c r="B17661" s="242">
        <v>2</v>
      </c>
      <c r="C17661" s="242">
        <v>23</v>
      </c>
      <c r="D17661" s="321">
        <f t="shared" si="2792"/>
        <v>46076</v>
      </c>
      <c r="E17661" s="322">
        <f t="shared" si="2793"/>
        <v>46076</v>
      </c>
      <c r="F17661" s="478"/>
      <c r="G17661" s="243" t="s">
        <v>94</v>
      </c>
      <c r="H17661" s="243"/>
      <c r="I17661" s="263" t="s">
        <v>348</v>
      </c>
      <c r="J17661" s="244" t="s">
        <v>48</v>
      </c>
      <c r="K17661" s="245"/>
      <c r="L17661" s="245">
        <f>K17660</f>
        <v>752.40299679677867</v>
      </c>
    </row>
    <row r="17662" spans="1:13" ht="11.25" customHeight="1" x14ac:dyDescent="0.2">
      <c r="A17662" s="168">
        <v>2026</v>
      </c>
      <c r="B17662" s="168">
        <v>2</v>
      </c>
      <c r="C17662" s="168">
        <v>24</v>
      </c>
      <c r="D17662" s="141">
        <f t="shared" ref="D17662:D17664" si="2794">DATE(A17662,B17662,C17662)</f>
        <v>46077</v>
      </c>
      <c r="E17662" s="275">
        <f t="shared" ref="E17662:E17664" si="2795">DATE(A17662,B17662,C17662)</f>
        <v>46077</v>
      </c>
      <c r="F17662" s="479" t="s">
        <v>964</v>
      </c>
      <c r="G17662" s="220" t="s">
        <v>74</v>
      </c>
      <c r="H17662" s="142"/>
      <c r="I17662" s="142"/>
      <c r="J17662" s="168" t="s">
        <v>52</v>
      </c>
      <c r="K17662" s="226">
        <v>5030410</v>
      </c>
      <c r="L17662" s="226"/>
    </row>
    <row r="17663" spans="1:13" ht="11.25" customHeight="1" x14ac:dyDescent="0.2">
      <c r="A17663" s="133">
        <v>2026</v>
      </c>
      <c r="B17663" s="133">
        <v>2</v>
      </c>
      <c r="C17663" s="133">
        <v>24</v>
      </c>
      <c r="D17663" s="147">
        <f t="shared" si="2794"/>
        <v>46077</v>
      </c>
      <c r="E17663" s="311">
        <f t="shared" si="2795"/>
        <v>46077</v>
      </c>
      <c r="F17663" s="481"/>
      <c r="G17663" s="174" t="s">
        <v>74</v>
      </c>
      <c r="J17663" s="133" t="s">
        <v>13</v>
      </c>
      <c r="K17663" s="218"/>
      <c r="L17663" s="218">
        <v>3265290</v>
      </c>
    </row>
    <row r="17664" spans="1:13" ht="11.25" customHeight="1" x14ac:dyDescent="0.2">
      <c r="A17664" s="163">
        <v>2026</v>
      </c>
      <c r="B17664" s="163">
        <v>2</v>
      </c>
      <c r="C17664" s="163">
        <v>24</v>
      </c>
      <c r="D17664" s="144">
        <f t="shared" si="2794"/>
        <v>46077</v>
      </c>
      <c r="E17664" s="313">
        <f t="shared" si="2795"/>
        <v>46077</v>
      </c>
      <c r="F17664" s="480"/>
      <c r="G17664" s="221" t="s">
        <v>74</v>
      </c>
      <c r="H17664" s="145"/>
      <c r="I17664" s="145"/>
      <c r="J17664" s="163" t="s">
        <v>53</v>
      </c>
      <c r="K17664" s="219"/>
      <c r="L17664" s="219">
        <v>1765120</v>
      </c>
    </row>
    <row r="17665" spans="1:17" ht="11.25" customHeight="1" x14ac:dyDescent="0.2">
      <c r="A17665" s="168">
        <v>2026</v>
      </c>
      <c r="B17665" s="168">
        <v>2</v>
      </c>
      <c r="C17665" s="168">
        <v>24</v>
      </c>
      <c r="D17665" s="141">
        <f>DATE(A17665,B17665,C17665)</f>
        <v>46077</v>
      </c>
      <c r="E17665" s="275">
        <f>DATE(A17665,B17665,C17665)</f>
        <v>46077</v>
      </c>
      <c r="F17665" s="479" t="s">
        <v>2163</v>
      </c>
      <c r="G17665" s="220" t="s">
        <v>74</v>
      </c>
      <c r="H17665" s="220"/>
      <c r="I17665" s="148" t="s">
        <v>348</v>
      </c>
      <c r="J17665" s="149" t="s">
        <v>147</v>
      </c>
      <c r="K17665" s="218">
        <v>264731.61</v>
      </c>
      <c r="L17665" s="218"/>
      <c r="M17665" s="147"/>
      <c r="Q17665" s="133" t="s">
        <v>348</v>
      </c>
    </row>
    <row r="17666" spans="1:17" x14ac:dyDescent="0.2">
      <c r="A17666" s="163">
        <v>2026</v>
      </c>
      <c r="B17666" s="163">
        <v>2</v>
      </c>
      <c r="C17666" s="163">
        <v>24</v>
      </c>
      <c r="D17666" s="144">
        <f>DATE(A17666,B17666,C17666)</f>
        <v>46077</v>
      </c>
      <c r="E17666" s="313">
        <f>DATE(A17666,B17666,C17666)</f>
        <v>46077</v>
      </c>
      <c r="F17666" s="480"/>
      <c r="G17666" s="221" t="s">
        <v>74</v>
      </c>
      <c r="H17666" s="221"/>
      <c r="I17666" s="145" t="s">
        <v>348</v>
      </c>
      <c r="J17666" s="146" t="s">
        <v>52</v>
      </c>
      <c r="K17666" s="219"/>
      <c r="L17666" s="219">
        <f>K17665</f>
        <v>264731.61</v>
      </c>
      <c r="M17666" s="147"/>
      <c r="Q17666" s="133" t="s">
        <v>348</v>
      </c>
    </row>
    <row r="17667" spans="1:17" ht="11.25" customHeight="1" x14ac:dyDescent="0.2">
      <c r="A17667" s="168">
        <v>2026</v>
      </c>
      <c r="B17667" s="168">
        <v>2</v>
      </c>
      <c r="C17667" s="168">
        <v>24</v>
      </c>
      <c r="D17667" s="141">
        <f>DATE(A17667,B17667,C17667)</f>
        <v>46077</v>
      </c>
      <c r="E17667" s="275">
        <f>DATE(A17667,B17667,C17667)</f>
        <v>46077</v>
      </c>
      <c r="F17667" s="479" t="s">
        <v>2116</v>
      </c>
      <c r="G17667" s="220" t="s">
        <v>74</v>
      </c>
      <c r="H17667" s="220"/>
      <c r="I17667" s="148" t="s">
        <v>348</v>
      </c>
      <c r="J17667" s="149" t="s">
        <v>147</v>
      </c>
      <c r="K17667" s="218">
        <v>16357579.310000001</v>
      </c>
      <c r="L17667" s="218"/>
      <c r="M17667" s="147"/>
      <c r="Q17667" s="133" t="s">
        <v>348</v>
      </c>
    </row>
    <row r="17668" spans="1:17" ht="11.25" customHeight="1" x14ac:dyDescent="0.2">
      <c r="A17668" s="133">
        <v>2026</v>
      </c>
      <c r="B17668" s="133">
        <v>2</v>
      </c>
      <c r="C17668" s="133">
        <v>24</v>
      </c>
      <c r="D17668" s="147">
        <f>DATE(A17668,B17668,C17668)</f>
        <v>46077</v>
      </c>
      <c r="E17668" s="311">
        <f>DATE(A17668,B17668,C17668)</f>
        <v>46077</v>
      </c>
      <c r="F17668" s="481"/>
      <c r="G17668" s="174" t="s">
        <v>74</v>
      </c>
      <c r="H17668" s="174"/>
      <c r="J17668" s="149" t="s">
        <v>190</v>
      </c>
      <c r="K17668" s="218"/>
      <c r="L17668" s="218">
        <v>4450425.4000000004</v>
      </c>
      <c r="M17668" s="147"/>
      <c r="N17668" s="264"/>
    </row>
    <row r="17669" spans="1:17" x14ac:dyDescent="0.2">
      <c r="A17669" s="163">
        <v>2026</v>
      </c>
      <c r="B17669" s="163">
        <v>2</v>
      </c>
      <c r="C17669" s="163">
        <v>24</v>
      </c>
      <c r="D17669" s="144">
        <f>DATE(A17669,B17669,C17669)</f>
        <v>46077</v>
      </c>
      <c r="E17669" s="313">
        <f>DATE(A17669,B17669,C17669)</f>
        <v>46077</v>
      </c>
      <c r="F17669" s="480"/>
      <c r="G17669" s="221" t="s">
        <v>74</v>
      </c>
      <c r="H17669" s="221"/>
      <c r="I17669" s="145" t="s">
        <v>348</v>
      </c>
      <c r="J17669" s="146" t="s">
        <v>52</v>
      </c>
      <c r="K17669" s="219"/>
      <c r="L17669" s="219">
        <v>11907153.91</v>
      </c>
      <c r="M17669" s="147"/>
      <c r="Q17669" s="133" t="s">
        <v>348</v>
      </c>
    </row>
    <row r="17670" spans="1:17" x14ac:dyDescent="0.2">
      <c r="A17670" s="168">
        <v>2026</v>
      </c>
      <c r="B17670" s="168">
        <v>2</v>
      </c>
      <c r="C17670" s="168">
        <v>24</v>
      </c>
      <c r="D17670" s="141">
        <f t="shared" ref="D17670:D17691" si="2796">DATE(A17670,B17670,C17670)</f>
        <v>46077</v>
      </c>
      <c r="E17670" s="275">
        <f t="shared" ref="E17670:E17691" si="2797">DATE(A17670,B17670,C17670)</f>
        <v>46077</v>
      </c>
      <c r="F17670" s="479" t="s">
        <v>1943</v>
      </c>
      <c r="G17670" s="174" t="s">
        <v>74</v>
      </c>
      <c r="I17670" s="148" t="s">
        <v>348</v>
      </c>
      <c r="J17670" s="133" t="s">
        <v>61</v>
      </c>
      <c r="K17670" s="172">
        <v>160</v>
      </c>
    </row>
    <row r="17671" spans="1:17" x14ac:dyDescent="0.2">
      <c r="A17671" s="163">
        <v>2026</v>
      </c>
      <c r="B17671" s="163">
        <v>2</v>
      </c>
      <c r="C17671" s="163">
        <v>24</v>
      </c>
      <c r="D17671" s="144">
        <f t="shared" si="2796"/>
        <v>46077</v>
      </c>
      <c r="E17671" s="313">
        <f t="shared" si="2797"/>
        <v>46077</v>
      </c>
      <c r="F17671" s="480"/>
      <c r="G17671" s="221" t="s">
        <v>74</v>
      </c>
      <c r="H17671" s="145"/>
      <c r="I17671" s="145" t="s">
        <v>348</v>
      </c>
      <c r="J17671" s="163" t="s">
        <v>52</v>
      </c>
      <c r="K17671" s="219"/>
      <c r="L17671" s="219">
        <f>K17670</f>
        <v>160</v>
      </c>
    </row>
    <row r="17672" spans="1:17" x14ac:dyDescent="0.2">
      <c r="A17672" s="168">
        <v>2026</v>
      </c>
      <c r="B17672" s="168">
        <v>2</v>
      </c>
      <c r="C17672" s="168">
        <v>24</v>
      </c>
      <c r="D17672" s="141">
        <f t="shared" si="2796"/>
        <v>46077</v>
      </c>
      <c r="E17672" s="275">
        <f t="shared" si="2797"/>
        <v>46077</v>
      </c>
      <c r="F17672" s="479" t="s">
        <v>1529</v>
      </c>
      <c r="G17672" s="220" t="s">
        <v>94</v>
      </c>
      <c r="H17672" s="220"/>
      <c r="I17672" s="142"/>
      <c r="J17672" s="168" t="s">
        <v>79</v>
      </c>
      <c r="K17672" s="226">
        <v>317000</v>
      </c>
      <c r="L17672" s="455"/>
      <c r="N17672" s="264"/>
    </row>
    <row r="17673" spans="1:17" x14ac:dyDescent="0.2">
      <c r="A17673" s="133">
        <v>2026</v>
      </c>
      <c r="B17673" s="133">
        <v>2</v>
      </c>
      <c r="C17673" s="133">
        <v>24</v>
      </c>
      <c r="D17673" s="147">
        <f t="shared" si="2796"/>
        <v>46077</v>
      </c>
      <c r="E17673" s="311">
        <f t="shared" si="2797"/>
        <v>46077</v>
      </c>
      <c r="F17673" s="481"/>
      <c r="G17673" s="174" t="s">
        <v>94</v>
      </c>
      <c r="H17673" s="174"/>
      <c r="J17673" s="149" t="s">
        <v>80</v>
      </c>
      <c r="K17673" s="218">
        <v>570.6</v>
      </c>
      <c r="L17673" s="218"/>
    </row>
    <row r="17674" spans="1:17" x14ac:dyDescent="0.2">
      <c r="A17674" s="163">
        <v>2026</v>
      </c>
      <c r="B17674" s="163">
        <v>2</v>
      </c>
      <c r="C17674" s="163">
        <v>24</v>
      </c>
      <c r="D17674" s="144">
        <f t="shared" si="2796"/>
        <v>46077</v>
      </c>
      <c r="E17674" s="313">
        <f t="shared" si="2797"/>
        <v>46077</v>
      </c>
      <c r="F17674" s="480"/>
      <c r="G17674" s="221" t="s">
        <v>94</v>
      </c>
      <c r="H17674" s="221"/>
      <c r="I17674" s="145"/>
      <c r="J17674" s="146" t="s">
        <v>147</v>
      </c>
      <c r="K17674" s="219"/>
      <c r="L17674" s="219">
        <v>317570.59999999998</v>
      </c>
    </row>
    <row r="17675" spans="1:17" x14ac:dyDescent="0.2">
      <c r="A17675" s="168">
        <v>2026</v>
      </c>
      <c r="B17675" s="168">
        <v>2</v>
      </c>
      <c r="C17675" s="168">
        <v>24</v>
      </c>
      <c r="D17675" s="141">
        <f t="shared" si="2796"/>
        <v>46077</v>
      </c>
      <c r="E17675" s="275">
        <f t="shared" si="2797"/>
        <v>46077</v>
      </c>
      <c r="F17675" s="479" t="s">
        <v>2115</v>
      </c>
      <c r="G17675" s="220" t="s">
        <v>94</v>
      </c>
      <c r="H17675" s="220"/>
      <c r="I17675" s="142"/>
      <c r="J17675" s="143" t="s">
        <v>79</v>
      </c>
      <c r="K17675" s="226">
        <v>1681507</v>
      </c>
      <c r="L17675" s="226"/>
    </row>
    <row r="17676" spans="1:17" x14ac:dyDescent="0.2">
      <c r="A17676" s="133">
        <v>2026</v>
      </c>
      <c r="B17676" s="133">
        <v>2</v>
      </c>
      <c r="C17676" s="133">
        <v>24</v>
      </c>
      <c r="D17676" s="147">
        <f t="shared" si="2796"/>
        <v>46077</v>
      </c>
      <c r="E17676" s="311">
        <f t="shared" si="2797"/>
        <v>46077</v>
      </c>
      <c r="F17676" s="481"/>
      <c r="G17676" s="174" t="s">
        <v>94</v>
      </c>
      <c r="H17676" s="174"/>
      <c r="J17676" s="149" t="s">
        <v>80</v>
      </c>
      <c r="K17676" s="218">
        <v>5142.47</v>
      </c>
      <c r="L17676" s="264"/>
      <c r="M17676" s="264"/>
      <c r="N17676" s="264"/>
    </row>
    <row r="17677" spans="1:17" x14ac:dyDescent="0.2">
      <c r="A17677" s="133">
        <v>2026</v>
      </c>
      <c r="B17677" s="133">
        <v>2</v>
      </c>
      <c r="C17677" s="133">
        <v>24</v>
      </c>
      <c r="D17677" s="147">
        <f t="shared" si="2796"/>
        <v>46077</v>
      </c>
      <c r="E17677" s="311">
        <f t="shared" si="2797"/>
        <v>46077</v>
      </c>
      <c r="F17677" s="481"/>
      <c r="G17677" s="174" t="s">
        <v>94</v>
      </c>
      <c r="H17677" s="174"/>
      <c r="J17677" s="149" t="s">
        <v>147</v>
      </c>
      <c r="K17677" s="218"/>
      <c r="L17677" s="218">
        <v>511229.47</v>
      </c>
      <c r="M17677" s="264"/>
    </row>
    <row r="17678" spans="1:17" x14ac:dyDescent="0.2">
      <c r="A17678" s="133">
        <v>2026</v>
      </c>
      <c r="B17678" s="133">
        <v>2</v>
      </c>
      <c r="C17678" s="133">
        <v>24</v>
      </c>
      <c r="D17678" s="147">
        <f t="shared" si="2796"/>
        <v>46077</v>
      </c>
      <c r="E17678" s="311">
        <f t="shared" si="2797"/>
        <v>46077</v>
      </c>
      <c r="F17678" s="481"/>
      <c r="G17678" s="174" t="s">
        <v>94</v>
      </c>
      <c r="H17678" s="174"/>
      <c r="J17678" s="149" t="s">
        <v>191</v>
      </c>
      <c r="K17678" s="218"/>
      <c r="L17678" s="218">
        <v>192706.14</v>
      </c>
    </row>
    <row r="17679" spans="1:17" x14ac:dyDescent="0.2">
      <c r="A17679" s="163">
        <v>2026</v>
      </c>
      <c r="B17679" s="163">
        <v>2</v>
      </c>
      <c r="C17679" s="163">
        <v>24</v>
      </c>
      <c r="D17679" s="144">
        <f t="shared" si="2796"/>
        <v>46077</v>
      </c>
      <c r="E17679" s="313">
        <f t="shared" si="2797"/>
        <v>46077</v>
      </c>
      <c r="F17679" s="480"/>
      <c r="G17679" s="221" t="s">
        <v>94</v>
      </c>
      <c r="H17679" s="145"/>
      <c r="I17679" s="145"/>
      <c r="J17679" s="163" t="s">
        <v>79</v>
      </c>
      <c r="K17679" s="219"/>
      <c r="L17679" s="219">
        <v>982713.86</v>
      </c>
      <c r="M17679" s="264"/>
    </row>
    <row r="17680" spans="1:17" x14ac:dyDescent="0.2">
      <c r="A17680" s="325">
        <v>2026</v>
      </c>
      <c r="B17680" s="325">
        <v>2</v>
      </c>
      <c r="C17680" s="325">
        <v>24</v>
      </c>
      <c r="D17680" s="326">
        <f t="shared" si="2796"/>
        <v>46077</v>
      </c>
      <c r="E17680" s="327">
        <f t="shared" si="2797"/>
        <v>46077</v>
      </c>
      <c r="F17680" s="473" t="s">
        <v>2131</v>
      </c>
      <c r="G17680" s="340" t="s">
        <v>94</v>
      </c>
      <c r="H17680" s="340"/>
      <c r="I17680" s="341" t="s">
        <v>348</v>
      </c>
      <c r="J17680" s="374" t="s">
        <v>2156</v>
      </c>
      <c r="K17680" s="375">
        <v>6185.4395604395604</v>
      </c>
      <c r="L17680" s="375"/>
      <c r="M17680" s="176"/>
    </row>
    <row r="17681" spans="1:17" x14ac:dyDescent="0.2">
      <c r="A17681" s="331">
        <v>2026</v>
      </c>
      <c r="B17681" s="331">
        <v>2</v>
      </c>
      <c r="C17681" s="331">
        <v>24</v>
      </c>
      <c r="D17681" s="326">
        <f t="shared" si="2796"/>
        <v>46077</v>
      </c>
      <c r="E17681" s="327">
        <f t="shared" si="2797"/>
        <v>46077</v>
      </c>
      <c r="F17681" s="474"/>
      <c r="G17681" s="332" t="s">
        <v>94</v>
      </c>
      <c r="H17681" s="332"/>
      <c r="I17681" s="333" t="s">
        <v>348</v>
      </c>
      <c r="J17681" s="376" t="s">
        <v>2154</v>
      </c>
      <c r="K17681" s="334"/>
      <c r="L17681" s="334">
        <f>K17680</f>
        <v>6185.4395604395604</v>
      </c>
    </row>
    <row r="17682" spans="1:17" x14ac:dyDescent="0.2">
      <c r="A17682" s="384">
        <v>2026</v>
      </c>
      <c r="B17682" s="384">
        <v>2</v>
      </c>
      <c r="C17682" s="384">
        <v>24</v>
      </c>
      <c r="D17682" s="385">
        <f t="shared" si="2796"/>
        <v>46077</v>
      </c>
      <c r="E17682" s="386">
        <f t="shared" si="2797"/>
        <v>46077</v>
      </c>
      <c r="F17682" s="475" t="s">
        <v>1966</v>
      </c>
      <c r="G17682" s="387" t="s">
        <v>94</v>
      </c>
      <c r="H17682" s="387"/>
      <c r="I17682" s="388" t="s">
        <v>348</v>
      </c>
      <c r="J17682" s="389" t="s">
        <v>67</v>
      </c>
      <c r="K17682" s="390">
        <v>991.22707638888869</v>
      </c>
      <c r="L17682" s="390"/>
    </row>
    <row r="17683" spans="1:17" x14ac:dyDescent="0.2">
      <c r="A17683" s="391">
        <v>2026</v>
      </c>
      <c r="B17683" s="391">
        <v>2</v>
      </c>
      <c r="C17683" s="391">
        <v>24</v>
      </c>
      <c r="D17683" s="385">
        <f t="shared" si="2796"/>
        <v>46077</v>
      </c>
      <c r="E17683" s="386">
        <f t="shared" si="2797"/>
        <v>46077</v>
      </c>
      <c r="F17683" s="476"/>
      <c r="G17683" s="392" t="s">
        <v>94</v>
      </c>
      <c r="H17683" s="392"/>
      <c r="I17683" s="393" t="s">
        <v>348</v>
      </c>
      <c r="J17683" s="394" t="s">
        <v>2155</v>
      </c>
      <c r="K17683" s="395"/>
      <c r="L17683" s="395">
        <f>K17682</f>
        <v>991.22707638888869</v>
      </c>
    </row>
    <row r="17684" spans="1:17" x14ac:dyDescent="0.2">
      <c r="A17684" s="238">
        <v>2026</v>
      </c>
      <c r="B17684" s="238">
        <v>2</v>
      </c>
      <c r="C17684" s="238">
        <v>24</v>
      </c>
      <c r="D17684" s="270">
        <f t="shared" si="2796"/>
        <v>46077</v>
      </c>
      <c r="E17684" s="279">
        <f t="shared" si="2797"/>
        <v>46077</v>
      </c>
      <c r="F17684" s="477" t="s">
        <v>347</v>
      </c>
      <c r="G17684" s="239" t="s">
        <v>94</v>
      </c>
      <c r="H17684" s="239"/>
      <c r="I17684" s="262" t="s">
        <v>348</v>
      </c>
      <c r="J17684" s="240" t="s">
        <v>108</v>
      </c>
      <c r="K17684" s="241">
        <v>22665.059999972582</v>
      </c>
      <c r="L17684" s="241"/>
      <c r="M17684" s="160"/>
    </row>
    <row r="17685" spans="1:17" x14ac:dyDescent="0.2">
      <c r="A17685" s="242">
        <v>2026</v>
      </c>
      <c r="B17685" s="242">
        <v>2</v>
      </c>
      <c r="C17685" s="242">
        <v>24</v>
      </c>
      <c r="D17685" s="270">
        <f t="shared" si="2796"/>
        <v>46077</v>
      </c>
      <c r="E17685" s="279">
        <f t="shared" si="2797"/>
        <v>46077</v>
      </c>
      <c r="F17685" s="478"/>
      <c r="G17685" s="243" t="s">
        <v>94</v>
      </c>
      <c r="H17685" s="243"/>
      <c r="I17685" s="263" t="s">
        <v>348</v>
      </c>
      <c r="J17685" s="244" t="s">
        <v>82</v>
      </c>
      <c r="K17685" s="245"/>
      <c r="L17685" s="245">
        <f>K17684</f>
        <v>22665.059999972582</v>
      </c>
    </row>
    <row r="17686" spans="1:17" ht="12" customHeight="1" x14ac:dyDescent="0.2">
      <c r="A17686" s="246">
        <v>2026</v>
      </c>
      <c r="B17686" s="238">
        <v>2</v>
      </c>
      <c r="C17686" s="238">
        <v>24</v>
      </c>
      <c r="D17686" s="270">
        <f t="shared" si="2796"/>
        <v>46077</v>
      </c>
      <c r="E17686" s="279">
        <f t="shared" si="2797"/>
        <v>46077</v>
      </c>
      <c r="F17686" s="482" t="s">
        <v>2167</v>
      </c>
      <c r="G17686" s="247" t="s">
        <v>94</v>
      </c>
      <c r="H17686" s="247"/>
      <c r="I17686" s="248" t="s">
        <v>348</v>
      </c>
      <c r="J17686" s="249" t="s">
        <v>95</v>
      </c>
      <c r="K17686" s="250">
        <v>392.46467817896399</v>
      </c>
      <c r="L17686" s="241"/>
      <c r="M17686" s="176"/>
    </row>
    <row r="17687" spans="1:17" x14ac:dyDescent="0.2">
      <c r="A17687" s="242">
        <v>2026</v>
      </c>
      <c r="B17687" s="242">
        <v>2</v>
      </c>
      <c r="C17687" s="242">
        <v>24</v>
      </c>
      <c r="D17687" s="270">
        <f t="shared" si="2796"/>
        <v>46077</v>
      </c>
      <c r="E17687" s="279">
        <f t="shared" si="2797"/>
        <v>46077</v>
      </c>
      <c r="F17687" s="478"/>
      <c r="G17687" s="243" t="s">
        <v>94</v>
      </c>
      <c r="H17687" s="243"/>
      <c r="I17687" s="263" t="s">
        <v>348</v>
      </c>
      <c r="J17687" s="244" t="s">
        <v>63</v>
      </c>
      <c r="K17687" s="245"/>
      <c r="L17687" s="245">
        <f>K17686</f>
        <v>392.46467817896399</v>
      </c>
    </row>
    <row r="17688" spans="1:17" x14ac:dyDescent="0.2">
      <c r="A17688" s="246">
        <v>2026</v>
      </c>
      <c r="B17688" s="238">
        <v>2</v>
      </c>
      <c r="C17688" s="238">
        <v>24</v>
      </c>
      <c r="D17688" s="270">
        <f t="shared" si="2796"/>
        <v>46077</v>
      </c>
      <c r="E17688" s="279">
        <f t="shared" si="2797"/>
        <v>46077</v>
      </c>
      <c r="F17688" s="482" t="s">
        <v>2168</v>
      </c>
      <c r="G17688" s="247" t="s">
        <v>94</v>
      </c>
      <c r="H17688" s="247"/>
      <c r="I17688" s="248" t="s">
        <v>348</v>
      </c>
      <c r="J17688" s="249" t="s">
        <v>97</v>
      </c>
      <c r="K17688" s="250">
        <f>M17688</f>
        <v>15621.726257098204</v>
      </c>
      <c r="L17688" s="252"/>
      <c r="M17688" s="133">
        <v>15621.726257098204</v>
      </c>
    </row>
    <row r="17689" spans="1:17" x14ac:dyDescent="0.2">
      <c r="A17689" s="242">
        <v>2026</v>
      </c>
      <c r="B17689" s="242">
        <v>2</v>
      </c>
      <c r="C17689" s="242">
        <v>24</v>
      </c>
      <c r="D17689" s="270">
        <f t="shared" si="2796"/>
        <v>46077</v>
      </c>
      <c r="E17689" s="279">
        <f t="shared" si="2797"/>
        <v>46077</v>
      </c>
      <c r="F17689" s="478"/>
      <c r="G17689" s="243" t="s">
        <v>94</v>
      </c>
      <c r="H17689" s="243"/>
      <c r="I17689" s="263" t="s">
        <v>348</v>
      </c>
      <c r="J17689" s="244" t="s">
        <v>47</v>
      </c>
      <c r="K17689" s="245"/>
      <c r="L17689" s="245">
        <f>K17688</f>
        <v>15621.726257098204</v>
      </c>
      <c r="M17689" s="170">
        <v>766.72314241460549</v>
      </c>
    </row>
    <row r="17690" spans="1:17" x14ac:dyDescent="0.2">
      <c r="A17690" s="246">
        <v>2026</v>
      </c>
      <c r="B17690" s="238">
        <v>2</v>
      </c>
      <c r="C17690" s="238">
        <v>24</v>
      </c>
      <c r="D17690" s="270">
        <f t="shared" si="2796"/>
        <v>46077</v>
      </c>
      <c r="E17690" s="279">
        <f t="shared" si="2797"/>
        <v>46077</v>
      </c>
      <c r="F17690" s="482" t="s">
        <v>2169</v>
      </c>
      <c r="G17690" s="247" t="s">
        <v>94</v>
      </c>
      <c r="H17690" s="247"/>
      <c r="I17690" s="248" t="s">
        <v>348</v>
      </c>
      <c r="J17690" s="249" t="s">
        <v>100</v>
      </c>
      <c r="K17690" s="250">
        <f>M17689</f>
        <v>766.72314241460549</v>
      </c>
      <c r="L17690" s="252"/>
      <c r="M17690" s="170"/>
    </row>
    <row r="17691" spans="1:17" x14ac:dyDescent="0.2">
      <c r="A17691" s="242">
        <v>2026</v>
      </c>
      <c r="B17691" s="242">
        <v>2</v>
      </c>
      <c r="C17691" s="242">
        <v>24</v>
      </c>
      <c r="D17691" s="321">
        <f t="shared" si="2796"/>
        <v>46077</v>
      </c>
      <c r="E17691" s="322">
        <f t="shared" si="2797"/>
        <v>46077</v>
      </c>
      <c r="F17691" s="478"/>
      <c r="G17691" s="243" t="s">
        <v>94</v>
      </c>
      <c r="H17691" s="243"/>
      <c r="I17691" s="263" t="s">
        <v>348</v>
      </c>
      <c r="J17691" s="244" t="s">
        <v>48</v>
      </c>
      <c r="K17691" s="245"/>
      <c r="L17691" s="245">
        <f>K17690</f>
        <v>766.72314241460549</v>
      </c>
    </row>
    <row r="17692" spans="1:17" ht="11.25" customHeight="1" x14ac:dyDescent="0.2">
      <c r="A17692" s="168">
        <v>2026</v>
      </c>
      <c r="B17692" s="168">
        <v>2</v>
      </c>
      <c r="C17692" s="168">
        <v>25</v>
      </c>
      <c r="D17692" s="141">
        <f>DATE(A17692,B17692,C17692)</f>
        <v>46078</v>
      </c>
      <c r="E17692" s="275">
        <f>DATE(A17692,B17692,C17692)</f>
        <v>46078</v>
      </c>
      <c r="F17692" s="479" t="s">
        <v>2163</v>
      </c>
      <c r="G17692" s="220" t="s">
        <v>74</v>
      </c>
      <c r="H17692" s="220"/>
      <c r="I17692" s="148" t="s">
        <v>348</v>
      </c>
      <c r="J17692" s="149" t="s">
        <v>147</v>
      </c>
      <c r="K17692" s="218">
        <v>317570.59999999998</v>
      </c>
      <c r="L17692" s="218"/>
      <c r="M17692" s="147"/>
      <c r="Q17692" s="133" t="s">
        <v>348</v>
      </c>
    </row>
    <row r="17693" spans="1:17" x14ac:dyDescent="0.2">
      <c r="A17693" s="163">
        <v>2026</v>
      </c>
      <c r="B17693" s="163">
        <v>2</v>
      </c>
      <c r="C17693" s="163">
        <v>25</v>
      </c>
      <c r="D17693" s="144">
        <f>DATE(A17693,B17693,C17693)</f>
        <v>46078</v>
      </c>
      <c r="E17693" s="313">
        <f>DATE(A17693,B17693,C17693)</f>
        <v>46078</v>
      </c>
      <c r="F17693" s="480"/>
      <c r="G17693" s="221" t="s">
        <v>74</v>
      </c>
      <c r="H17693" s="221"/>
      <c r="I17693" s="145" t="s">
        <v>348</v>
      </c>
      <c r="J17693" s="146" t="s">
        <v>52</v>
      </c>
      <c r="K17693" s="219"/>
      <c r="L17693" s="219">
        <f>K17692</f>
        <v>317570.59999999998</v>
      </c>
      <c r="M17693" s="147"/>
      <c r="Q17693" s="133" t="s">
        <v>348</v>
      </c>
    </row>
    <row r="17694" spans="1:17" ht="11.25" customHeight="1" x14ac:dyDescent="0.2">
      <c r="A17694" s="168">
        <v>2026</v>
      </c>
      <c r="B17694" s="133">
        <v>2</v>
      </c>
      <c r="C17694" s="168">
        <v>25</v>
      </c>
      <c r="D17694" s="141">
        <f t="shared" ref="D17694:D17713" si="2798">DATE(A17694,B17694,C17694)</f>
        <v>46078</v>
      </c>
      <c r="E17694" s="275">
        <f t="shared" ref="E17694:E17713" si="2799">DATE(A17694,B17694,C17694)</f>
        <v>46078</v>
      </c>
      <c r="F17694" s="479" t="s">
        <v>2181</v>
      </c>
      <c r="G17694" s="220" t="s">
        <v>74</v>
      </c>
      <c r="H17694" s="220"/>
      <c r="I17694" s="142"/>
      <c r="J17694" s="149" t="s">
        <v>147</v>
      </c>
      <c r="K17694" s="226">
        <v>511229.47</v>
      </c>
      <c r="L17694" s="226"/>
    </row>
    <row r="17695" spans="1:17" x14ac:dyDescent="0.2">
      <c r="A17695" s="163">
        <v>2026</v>
      </c>
      <c r="B17695" s="163">
        <v>2</v>
      </c>
      <c r="C17695" s="163">
        <v>25</v>
      </c>
      <c r="D17695" s="144">
        <f t="shared" si="2798"/>
        <v>46078</v>
      </c>
      <c r="E17695" s="313">
        <f t="shared" si="2799"/>
        <v>46078</v>
      </c>
      <c r="F17695" s="480"/>
      <c r="G17695" s="221" t="s">
        <v>74</v>
      </c>
      <c r="H17695" s="221"/>
      <c r="I17695" s="145"/>
      <c r="J17695" s="146" t="s">
        <v>52</v>
      </c>
      <c r="K17695" s="219"/>
      <c r="L17695" s="219">
        <f>K17694</f>
        <v>511229.47</v>
      </c>
      <c r="N17695" s="264"/>
    </row>
    <row r="17696" spans="1:17" x14ac:dyDescent="0.2">
      <c r="A17696" s="168">
        <v>2026</v>
      </c>
      <c r="B17696" s="168">
        <v>2</v>
      </c>
      <c r="C17696" s="168">
        <v>25</v>
      </c>
      <c r="D17696" s="141">
        <f t="shared" si="2798"/>
        <v>46078</v>
      </c>
      <c r="E17696" s="275">
        <f t="shared" si="2799"/>
        <v>46078</v>
      </c>
      <c r="F17696" s="479" t="s">
        <v>2113</v>
      </c>
      <c r="G17696" s="220" t="s">
        <v>94</v>
      </c>
      <c r="H17696" s="220"/>
      <c r="I17696" s="142"/>
      <c r="J17696" s="143" t="s">
        <v>79</v>
      </c>
      <c r="K17696" s="226">
        <v>2140952.7999999998</v>
      </c>
      <c r="L17696" s="226"/>
    </row>
    <row r="17697" spans="1:14" x14ac:dyDescent="0.2">
      <c r="A17697" s="133">
        <v>2026</v>
      </c>
      <c r="B17697" s="133">
        <v>2</v>
      </c>
      <c r="C17697" s="133">
        <v>25</v>
      </c>
      <c r="D17697" s="147">
        <f t="shared" si="2798"/>
        <v>46078</v>
      </c>
      <c r="E17697" s="311">
        <f t="shared" si="2799"/>
        <v>46078</v>
      </c>
      <c r="F17697" s="481"/>
      <c r="G17697" s="174" t="s">
        <v>94</v>
      </c>
      <c r="H17697" s="174"/>
      <c r="J17697" s="149" t="s">
        <v>80</v>
      </c>
      <c r="K17697" s="218">
        <v>3853.72</v>
      </c>
      <c r="L17697" s="264"/>
      <c r="M17697" s="264"/>
      <c r="N17697" s="264"/>
    </row>
    <row r="17698" spans="1:14" x14ac:dyDescent="0.2">
      <c r="A17698" s="163">
        <v>2026</v>
      </c>
      <c r="B17698" s="163">
        <v>2</v>
      </c>
      <c r="C17698" s="163">
        <v>25</v>
      </c>
      <c r="D17698" s="144">
        <f t="shared" si="2798"/>
        <v>46078</v>
      </c>
      <c r="E17698" s="313">
        <f t="shared" si="2799"/>
        <v>46078</v>
      </c>
      <c r="F17698" s="480"/>
      <c r="G17698" s="221" t="s">
        <v>94</v>
      </c>
      <c r="H17698" s="221"/>
      <c r="I17698" s="145"/>
      <c r="J17698" s="146" t="s">
        <v>147</v>
      </c>
      <c r="K17698" s="219"/>
      <c r="L17698" s="219">
        <v>2144806.52</v>
      </c>
      <c r="M17698" s="264"/>
    </row>
    <row r="17699" spans="1:14" x14ac:dyDescent="0.2">
      <c r="A17699" s="325">
        <v>2026</v>
      </c>
      <c r="B17699" s="325">
        <v>2</v>
      </c>
      <c r="C17699" s="325">
        <v>25</v>
      </c>
      <c r="D17699" s="326">
        <f t="shared" si="2798"/>
        <v>46078</v>
      </c>
      <c r="E17699" s="327">
        <f t="shared" si="2799"/>
        <v>46078</v>
      </c>
      <c r="F17699" s="473" t="s">
        <v>2131</v>
      </c>
      <c r="G17699" s="340" t="s">
        <v>94</v>
      </c>
      <c r="H17699" s="340"/>
      <c r="I17699" s="341" t="s">
        <v>348</v>
      </c>
      <c r="J17699" s="374" t="s">
        <v>2156</v>
      </c>
      <c r="K17699" s="375">
        <v>6185.4395604395604</v>
      </c>
      <c r="L17699" s="375"/>
      <c r="M17699" s="176"/>
    </row>
    <row r="17700" spans="1:14" x14ac:dyDescent="0.2">
      <c r="A17700" s="331">
        <v>2026</v>
      </c>
      <c r="B17700" s="331">
        <v>2</v>
      </c>
      <c r="C17700" s="331">
        <v>25</v>
      </c>
      <c r="D17700" s="326">
        <f t="shared" si="2798"/>
        <v>46078</v>
      </c>
      <c r="E17700" s="327">
        <f t="shared" si="2799"/>
        <v>46078</v>
      </c>
      <c r="F17700" s="474"/>
      <c r="G17700" s="332" t="s">
        <v>94</v>
      </c>
      <c r="H17700" s="332"/>
      <c r="I17700" s="333" t="s">
        <v>348</v>
      </c>
      <c r="J17700" s="376" t="s">
        <v>2154</v>
      </c>
      <c r="K17700" s="334"/>
      <c r="L17700" s="334">
        <f>K17699</f>
        <v>6185.4395604395604</v>
      </c>
    </row>
    <row r="17701" spans="1:14" x14ac:dyDescent="0.2">
      <c r="A17701" s="384">
        <v>2026</v>
      </c>
      <c r="B17701" s="384">
        <v>2</v>
      </c>
      <c r="C17701" s="384">
        <v>25</v>
      </c>
      <c r="D17701" s="385">
        <f t="shared" si="2798"/>
        <v>46078</v>
      </c>
      <c r="E17701" s="386">
        <f t="shared" si="2799"/>
        <v>46078</v>
      </c>
      <c r="F17701" s="475" t="s">
        <v>1966</v>
      </c>
      <c r="G17701" s="387" t="s">
        <v>94</v>
      </c>
      <c r="H17701" s="387"/>
      <c r="I17701" s="388" t="s">
        <v>348</v>
      </c>
      <c r="J17701" s="389" t="s">
        <v>67</v>
      </c>
      <c r="K17701" s="390">
        <v>782.44928402777782</v>
      </c>
      <c r="L17701" s="390"/>
    </row>
    <row r="17702" spans="1:14" x14ac:dyDescent="0.2">
      <c r="A17702" s="391">
        <v>2026</v>
      </c>
      <c r="B17702" s="391">
        <v>2</v>
      </c>
      <c r="C17702" s="391">
        <v>25</v>
      </c>
      <c r="D17702" s="385">
        <f t="shared" si="2798"/>
        <v>46078</v>
      </c>
      <c r="E17702" s="386">
        <f t="shared" si="2799"/>
        <v>46078</v>
      </c>
      <c r="F17702" s="476"/>
      <c r="G17702" s="392" t="s">
        <v>94</v>
      </c>
      <c r="H17702" s="392"/>
      <c r="I17702" s="393" t="s">
        <v>348</v>
      </c>
      <c r="J17702" s="394" t="s">
        <v>2155</v>
      </c>
      <c r="K17702" s="395"/>
      <c r="L17702" s="395">
        <f>K17701</f>
        <v>782.44928402777782</v>
      </c>
    </row>
    <row r="17703" spans="1:14" x14ac:dyDescent="0.2">
      <c r="A17703" s="238">
        <v>2026</v>
      </c>
      <c r="B17703" s="238">
        <v>2</v>
      </c>
      <c r="C17703" s="238">
        <v>25</v>
      </c>
      <c r="D17703" s="270">
        <f t="shared" si="2798"/>
        <v>46078</v>
      </c>
      <c r="E17703" s="279">
        <f t="shared" si="2799"/>
        <v>46078</v>
      </c>
      <c r="F17703" s="477" t="s">
        <v>347</v>
      </c>
      <c r="G17703" s="239" t="s">
        <v>94</v>
      </c>
      <c r="H17703" s="239"/>
      <c r="I17703" s="262" t="s">
        <v>348</v>
      </c>
      <c r="J17703" s="240" t="s">
        <v>108</v>
      </c>
      <c r="K17703" s="241">
        <v>1583652.6999999583</v>
      </c>
      <c r="L17703" s="241"/>
      <c r="M17703" s="160"/>
    </row>
    <row r="17704" spans="1:14" x14ac:dyDescent="0.2">
      <c r="A17704" s="242">
        <v>2026</v>
      </c>
      <c r="B17704" s="242">
        <v>2</v>
      </c>
      <c r="C17704" s="242">
        <v>25</v>
      </c>
      <c r="D17704" s="270">
        <f t="shared" si="2798"/>
        <v>46078</v>
      </c>
      <c r="E17704" s="279">
        <f t="shared" si="2799"/>
        <v>46078</v>
      </c>
      <c r="F17704" s="478"/>
      <c r="G17704" s="243" t="s">
        <v>94</v>
      </c>
      <c r="H17704" s="243"/>
      <c r="I17704" s="263" t="s">
        <v>348</v>
      </c>
      <c r="J17704" s="244" t="s">
        <v>82</v>
      </c>
      <c r="K17704" s="245"/>
      <c r="L17704" s="245">
        <f>K17703</f>
        <v>1583652.6999999583</v>
      </c>
    </row>
    <row r="17705" spans="1:14" ht="12" customHeight="1" x14ac:dyDescent="0.2">
      <c r="A17705" s="246">
        <v>2026</v>
      </c>
      <c r="B17705" s="238">
        <v>2</v>
      </c>
      <c r="C17705" s="238">
        <v>25</v>
      </c>
      <c r="D17705" s="270">
        <f t="shared" si="2798"/>
        <v>46078</v>
      </c>
      <c r="E17705" s="279">
        <f t="shared" si="2799"/>
        <v>46078</v>
      </c>
      <c r="F17705" s="482" t="s">
        <v>2167</v>
      </c>
      <c r="G17705" s="247" t="s">
        <v>94</v>
      </c>
      <c r="H17705" s="247"/>
      <c r="I17705" s="248" t="s">
        <v>348</v>
      </c>
      <c r="J17705" s="249" t="s">
        <v>95</v>
      </c>
      <c r="K17705" s="250">
        <v>392.46467817896399</v>
      </c>
      <c r="L17705" s="241"/>
      <c r="M17705" s="176"/>
    </row>
    <row r="17706" spans="1:14" x14ac:dyDescent="0.2">
      <c r="A17706" s="242">
        <v>2026</v>
      </c>
      <c r="B17706" s="242">
        <v>2</v>
      </c>
      <c r="C17706" s="242">
        <v>25</v>
      </c>
      <c r="D17706" s="270">
        <f t="shared" si="2798"/>
        <v>46078</v>
      </c>
      <c r="E17706" s="279">
        <f t="shared" si="2799"/>
        <v>46078</v>
      </c>
      <c r="F17706" s="478"/>
      <c r="G17706" s="243" t="s">
        <v>94</v>
      </c>
      <c r="H17706" s="243"/>
      <c r="I17706" s="263" t="s">
        <v>348</v>
      </c>
      <c r="J17706" s="244" t="s">
        <v>63</v>
      </c>
      <c r="K17706" s="245"/>
      <c r="L17706" s="245">
        <f>K17705</f>
        <v>392.46467817896399</v>
      </c>
    </row>
    <row r="17707" spans="1:14" x14ac:dyDescent="0.2">
      <c r="A17707" s="246">
        <v>2026</v>
      </c>
      <c r="B17707" s="238">
        <v>2</v>
      </c>
      <c r="C17707" s="238">
        <v>25</v>
      </c>
      <c r="D17707" s="270">
        <f t="shared" si="2798"/>
        <v>46078</v>
      </c>
      <c r="E17707" s="279">
        <f t="shared" si="2799"/>
        <v>46078</v>
      </c>
      <c r="F17707" s="482" t="s">
        <v>2168</v>
      </c>
      <c r="G17707" s="247" t="s">
        <v>94</v>
      </c>
      <c r="H17707" s="247"/>
      <c r="I17707" s="248" t="s">
        <v>348</v>
      </c>
      <c r="J17707" s="249" t="s">
        <v>97</v>
      </c>
      <c r="K17707" s="250">
        <v>15686.42348050892</v>
      </c>
      <c r="L17707" s="252"/>
      <c r="M17707" s="133">
        <v>15686.42348050892</v>
      </c>
    </row>
    <row r="17708" spans="1:14" x14ac:dyDescent="0.2">
      <c r="A17708" s="242">
        <v>2026</v>
      </c>
      <c r="B17708" s="242">
        <v>2</v>
      </c>
      <c r="C17708" s="242">
        <v>25</v>
      </c>
      <c r="D17708" s="270">
        <f t="shared" si="2798"/>
        <v>46078</v>
      </c>
      <c r="E17708" s="279">
        <f t="shared" si="2799"/>
        <v>46078</v>
      </c>
      <c r="F17708" s="478"/>
      <c r="G17708" s="243" t="s">
        <v>94</v>
      </c>
      <c r="H17708" s="243"/>
      <c r="I17708" s="263" t="s">
        <v>348</v>
      </c>
      <c r="J17708" s="244" t="s">
        <v>47</v>
      </c>
      <c r="K17708" s="245"/>
      <c r="L17708" s="245">
        <f>K17707</f>
        <v>15686.42348050892</v>
      </c>
      <c r="M17708" s="170">
        <v>771.03629064198685</v>
      </c>
    </row>
    <row r="17709" spans="1:14" x14ac:dyDescent="0.2">
      <c r="A17709" s="246">
        <v>2026</v>
      </c>
      <c r="B17709" s="238">
        <v>2</v>
      </c>
      <c r="C17709" s="238">
        <v>25</v>
      </c>
      <c r="D17709" s="270">
        <f t="shared" si="2798"/>
        <v>46078</v>
      </c>
      <c r="E17709" s="279">
        <f t="shared" si="2799"/>
        <v>46078</v>
      </c>
      <c r="F17709" s="482" t="s">
        <v>2169</v>
      </c>
      <c r="G17709" s="247" t="s">
        <v>94</v>
      </c>
      <c r="H17709" s="247"/>
      <c r="I17709" s="248" t="s">
        <v>348</v>
      </c>
      <c r="J17709" s="249" t="s">
        <v>100</v>
      </c>
      <c r="K17709" s="250">
        <v>771.03629064198685</v>
      </c>
      <c r="L17709" s="252"/>
      <c r="M17709" s="170"/>
    </row>
    <row r="17710" spans="1:14" x14ac:dyDescent="0.2">
      <c r="A17710" s="242">
        <v>2026</v>
      </c>
      <c r="B17710" s="242">
        <v>2</v>
      </c>
      <c r="C17710" s="242">
        <v>25</v>
      </c>
      <c r="D17710" s="321">
        <f t="shared" si="2798"/>
        <v>46078</v>
      </c>
      <c r="E17710" s="322">
        <f t="shared" si="2799"/>
        <v>46078</v>
      </c>
      <c r="F17710" s="478"/>
      <c r="G17710" s="243" t="s">
        <v>94</v>
      </c>
      <c r="H17710" s="243"/>
      <c r="I17710" s="263" t="s">
        <v>348</v>
      </c>
      <c r="J17710" s="244" t="s">
        <v>48</v>
      </c>
      <c r="K17710" s="245"/>
      <c r="L17710" s="245">
        <f>K17709</f>
        <v>771.03629064198685</v>
      </c>
    </row>
    <row r="17711" spans="1:14" ht="11.25" customHeight="1" x14ac:dyDescent="0.2">
      <c r="A17711" s="168">
        <v>2026</v>
      </c>
      <c r="B17711" s="168">
        <v>2</v>
      </c>
      <c r="C17711" s="168">
        <v>26</v>
      </c>
      <c r="D17711" s="141">
        <f t="shared" si="2798"/>
        <v>46079</v>
      </c>
      <c r="E17711" s="275">
        <f t="shared" si="2799"/>
        <v>46079</v>
      </c>
      <c r="F17711" s="479" t="s">
        <v>964</v>
      </c>
      <c r="G17711" s="220" t="s">
        <v>74</v>
      </c>
      <c r="H17711" s="142"/>
      <c r="I17711" s="142"/>
      <c r="J17711" s="168" t="s">
        <v>52</v>
      </c>
      <c r="K17711" s="226">
        <v>305960</v>
      </c>
      <c r="L17711" s="226"/>
    </row>
    <row r="17712" spans="1:14" ht="11.25" customHeight="1" x14ac:dyDescent="0.2">
      <c r="A17712" s="133">
        <v>2026</v>
      </c>
      <c r="B17712" s="133">
        <v>2</v>
      </c>
      <c r="C17712" s="133">
        <v>26</v>
      </c>
      <c r="D17712" s="147">
        <f t="shared" si="2798"/>
        <v>46079</v>
      </c>
      <c r="E17712" s="311">
        <f t="shared" si="2799"/>
        <v>46079</v>
      </c>
      <c r="F17712" s="481"/>
      <c r="G17712" s="174" t="s">
        <v>74</v>
      </c>
      <c r="J17712" s="133" t="s">
        <v>13</v>
      </c>
      <c r="K17712" s="218"/>
      <c r="L17712" s="218">
        <v>197470</v>
      </c>
    </row>
    <row r="17713" spans="1:14" ht="11.25" customHeight="1" x14ac:dyDescent="0.2">
      <c r="A17713" s="163">
        <v>2026</v>
      </c>
      <c r="B17713" s="163">
        <v>2</v>
      </c>
      <c r="C17713" s="163">
        <v>26</v>
      </c>
      <c r="D17713" s="144">
        <f t="shared" si="2798"/>
        <v>46079</v>
      </c>
      <c r="E17713" s="313">
        <f t="shared" si="2799"/>
        <v>46079</v>
      </c>
      <c r="F17713" s="480"/>
      <c r="G17713" s="221" t="s">
        <v>74</v>
      </c>
      <c r="H17713" s="145"/>
      <c r="I17713" s="145"/>
      <c r="J17713" s="163" t="s">
        <v>53</v>
      </c>
      <c r="K17713" s="219"/>
      <c r="L17713" s="219">
        <v>108490</v>
      </c>
    </row>
    <row r="17714" spans="1:14" ht="11.25" customHeight="1" x14ac:dyDescent="0.2">
      <c r="A17714" s="168">
        <v>2026</v>
      </c>
      <c r="B17714" s="168">
        <v>2</v>
      </c>
      <c r="C17714" s="168">
        <v>26</v>
      </c>
      <c r="D17714" s="141">
        <f t="shared" ref="D17714:D17716" si="2800">DATE(A17714,B17714,C17714)</f>
        <v>46079</v>
      </c>
      <c r="E17714" s="275">
        <f t="shared" ref="E17714:E17716" si="2801">DATE(A17714,B17714,C17714)</f>
        <v>46079</v>
      </c>
      <c r="F17714" s="479" t="s">
        <v>1319</v>
      </c>
      <c r="G17714" s="220" t="s">
        <v>74</v>
      </c>
      <c r="H17714" s="142"/>
      <c r="I17714" s="142"/>
      <c r="J17714" s="168" t="s">
        <v>52</v>
      </c>
      <c r="K17714" s="226">
        <v>17500</v>
      </c>
      <c r="L17714" s="226"/>
    </row>
    <row r="17715" spans="1:14" ht="11.25" customHeight="1" x14ac:dyDescent="0.2">
      <c r="A17715" s="133">
        <v>2026</v>
      </c>
      <c r="B17715" s="133">
        <v>2</v>
      </c>
      <c r="C17715" s="133">
        <v>26</v>
      </c>
      <c r="D17715" s="147">
        <f t="shared" si="2800"/>
        <v>46079</v>
      </c>
      <c r="E17715" s="311">
        <f t="shared" si="2801"/>
        <v>46079</v>
      </c>
      <c r="F17715" s="481"/>
      <c r="G17715" s="174" t="s">
        <v>74</v>
      </c>
      <c r="J17715" s="133" t="s">
        <v>13</v>
      </c>
      <c r="K17715" s="218"/>
      <c r="L17715" s="218">
        <v>11290</v>
      </c>
    </row>
    <row r="17716" spans="1:14" ht="11.25" customHeight="1" x14ac:dyDescent="0.2">
      <c r="A17716" s="163">
        <v>2026</v>
      </c>
      <c r="B17716" s="163">
        <v>2</v>
      </c>
      <c r="C17716" s="163">
        <v>26</v>
      </c>
      <c r="D17716" s="144">
        <f t="shared" si="2800"/>
        <v>46079</v>
      </c>
      <c r="E17716" s="313">
        <f t="shared" si="2801"/>
        <v>46079</v>
      </c>
      <c r="F17716" s="480"/>
      <c r="G17716" s="221" t="s">
        <v>74</v>
      </c>
      <c r="H17716" s="145"/>
      <c r="I17716" s="145"/>
      <c r="J17716" s="163" t="s">
        <v>53</v>
      </c>
      <c r="K17716" s="219"/>
      <c r="L17716" s="219">
        <v>6210</v>
      </c>
    </row>
    <row r="17717" spans="1:14" ht="11.25" customHeight="1" x14ac:dyDescent="0.2">
      <c r="A17717" s="168">
        <v>2026</v>
      </c>
      <c r="B17717" s="133">
        <v>2</v>
      </c>
      <c r="C17717" s="168">
        <v>26</v>
      </c>
      <c r="D17717" s="141">
        <f t="shared" ref="D17717:D17751" si="2802">DATE(A17717,B17717,C17717)</f>
        <v>46079</v>
      </c>
      <c r="E17717" s="275">
        <f t="shared" ref="E17717:E17751" si="2803">DATE(A17717,B17717,C17717)</f>
        <v>46079</v>
      </c>
      <c r="F17717" s="479" t="s">
        <v>2181</v>
      </c>
      <c r="G17717" s="220" t="s">
        <v>74</v>
      </c>
      <c r="H17717" s="220"/>
      <c r="I17717" s="142"/>
      <c r="J17717" s="149" t="s">
        <v>147</v>
      </c>
      <c r="K17717" s="226">
        <v>2144806.52</v>
      </c>
      <c r="L17717" s="226"/>
    </row>
    <row r="17718" spans="1:14" x14ac:dyDescent="0.2">
      <c r="A17718" s="163">
        <v>2026</v>
      </c>
      <c r="B17718" s="163">
        <v>2</v>
      </c>
      <c r="C17718" s="163">
        <v>26</v>
      </c>
      <c r="D17718" s="144">
        <f t="shared" si="2802"/>
        <v>46079</v>
      </c>
      <c r="E17718" s="313">
        <f t="shared" si="2803"/>
        <v>46079</v>
      </c>
      <c r="F17718" s="480"/>
      <c r="G17718" s="221" t="s">
        <v>74</v>
      </c>
      <c r="H17718" s="221"/>
      <c r="I17718" s="145"/>
      <c r="J17718" s="146" t="s">
        <v>52</v>
      </c>
      <c r="K17718" s="219"/>
      <c r="L17718" s="219">
        <f>K17717</f>
        <v>2144806.52</v>
      </c>
      <c r="N17718" s="264"/>
    </row>
    <row r="17719" spans="1:14" x14ac:dyDescent="0.2">
      <c r="A17719" s="168">
        <v>2026</v>
      </c>
      <c r="B17719" s="168">
        <v>2</v>
      </c>
      <c r="C17719" s="168">
        <v>26</v>
      </c>
      <c r="D17719" s="141">
        <f t="shared" si="2802"/>
        <v>46079</v>
      </c>
      <c r="E17719" s="275">
        <f t="shared" si="2803"/>
        <v>46079</v>
      </c>
      <c r="F17719" s="479" t="s">
        <v>1943</v>
      </c>
      <c r="G17719" s="174" t="s">
        <v>74</v>
      </c>
      <c r="I17719" s="148" t="s">
        <v>348</v>
      </c>
      <c r="J17719" s="133" t="s">
        <v>61</v>
      </c>
      <c r="K17719" s="172">
        <v>100</v>
      </c>
    </row>
    <row r="17720" spans="1:14" x14ac:dyDescent="0.2">
      <c r="A17720" s="163">
        <v>2026</v>
      </c>
      <c r="B17720" s="163">
        <v>2</v>
      </c>
      <c r="C17720" s="163">
        <v>26</v>
      </c>
      <c r="D17720" s="144">
        <f t="shared" si="2802"/>
        <v>46079</v>
      </c>
      <c r="E17720" s="313">
        <f t="shared" si="2803"/>
        <v>46079</v>
      </c>
      <c r="F17720" s="480"/>
      <c r="G17720" s="221" t="s">
        <v>74</v>
      </c>
      <c r="H17720" s="145"/>
      <c r="I17720" s="145" t="s">
        <v>348</v>
      </c>
      <c r="J17720" s="163" t="s">
        <v>52</v>
      </c>
      <c r="K17720" s="219"/>
      <c r="L17720" s="219">
        <f>K17719</f>
        <v>100</v>
      </c>
    </row>
    <row r="17721" spans="1:14" x14ac:dyDescent="0.2">
      <c r="A17721" s="168">
        <v>2026</v>
      </c>
      <c r="B17721" s="133">
        <v>2</v>
      </c>
      <c r="C17721" s="168">
        <v>26</v>
      </c>
      <c r="D17721" s="141">
        <f t="shared" si="2802"/>
        <v>46079</v>
      </c>
      <c r="E17721" s="275">
        <f t="shared" si="2803"/>
        <v>46079</v>
      </c>
      <c r="F17721" s="481" t="s">
        <v>2006</v>
      </c>
      <c r="G17721" s="174" t="s">
        <v>74</v>
      </c>
      <c r="H17721" s="174"/>
      <c r="J17721" s="149" t="s">
        <v>534</v>
      </c>
      <c r="K17721" s="218">
        <v>750</v>
      </c>
      <c r="L17721" s="218"/>
    </row>
    <row r="17722" spans="1:14" x14ac:dyDescent="0.2">
      <c r="A17722" s="133">
        <v>2026</v>
      </c>
      <c r="B17722" s="133">
        <v>2</v>
      </c>
      <c r="C17722" s="133">
        <v>26</v>
      </c>
      <c r="D17722" s="147">
        <f t="shared" si="2802"/>
        <v>46079</v>
      </c>
      <c r="E17722" s="311">
        <f t="shared" si="2803"/>
        <v>46079</v>
      </c>
      <c r="F17722" s="481"/>
      <c r="G17722" s="174" t="s">
        <v>74</v>
      </c>
      <c r="H17722" s="174"/>
      <c r="J17722" s="149" t="s">
        <v>534</v>
      </c>
      <c r="K17722" s="218">
        <v>18000</v>
      </c>
      <c r="L17722" s="218"/>
    </row>
    <row r="17723" spans="1:14" x14ac:dyDescent="0.2">
      <c r="A17723" s="133">
        <v>2026</v>
      </c>
      <c r="B17723" s="133">
        <v>2</v>
      </c>
      <c r="C17723" s="133">
        <v>26</v>
      </c>
      <c r="D17723" s="147">
        <f t="shared" si="2802"/>
        <v>46079</v>
      </c>
      <c r="E17723" s="311">
        <f t="shared" si="2803"/>
        <v>46079</v>
      </c>
      <c r="F17723" s="481"/>
      <c r="G17723" s="174" t="s">
        <v>74</v>
      </c>
      <c r="H17723" s="174"/>
      <c r="J17723" s="149" t="s">
        <v>534</v>
      </c>
      <c r="K17723" s="218">
        <v>124050</v>
      </c>
      <c r="L17723" s="218"/>
    </row>
    <row r="17724" spans="1:14" x14ac:dyDescent="0.2">
      <c r="A17724" s="133">
        <v>2026</v>
      </c>
      <c r="B17724" s="133">
        <v>2</v>
      </c>
      <c r="C17724" s="133">
        <v>26</v>
      </c>
      <c r="D17724" s="147">
        <f t="shared" si="2802"/>
        <v>46079</v>
      </c>
      <c r="E17724" s="311">
        <f t="shared" si="2803"/>
        <v>46079</v>
      </c>
      <c r="F17724" s="481"/>
      <c r="G17724" s="174" t="s">
        <v>74</v>
      </c>
      <c r="H17724" s="174"/>
      <c r="J17724" s="149" t="s">
        <v>1907</v>
      </c>
      <c r="K17724" s="218">
        <v>75</v>
      </c>
      <c r="L17724" s="218"/>
    </row>
    <row r="17725" spans="1:14" x14ac:dyDescent="0.2">
      <c r="A17725" s="133">
        <v>2026</v>
      </c>
      <c r="B17725" s="133">
        <v>2</v>
      </c>
      <c r="C17725" s="133">
        <v>26</v>
      </c>
      <c r="D17725" s="147">
        <f t="shared" si="2802"/>
        <v>46079</v>
      </c>
      <c r="E17725" s="311">
        <f t="shared" si="2803"/>
        <v>46079</v>
      </c>
      <c r="F17725" s="481"/>
      <c r="G17725" s="174" t="s">
        <v>74</v>
      </c>
      <c r="H17725" s="174"/>
      <c r="J17725" s="149" t="s">
        <v>534</v>
      </c>
      <c r="K17725" s="218">
        <v>12000</v>
      </c>
      <c r="L17725" s="218"/>
    </row>
    <row r="17726" spans="1:14" x14ac:dyDescent="0.2">
      <c r="A17726" s="133">
        <v>2026</v>
      </c>
      <c r="B17726" s="133">
        <v>2</v>
      </c>
      <c r="C17726" s="133">
        <v>26</v>
      </c>
      <c r="D17726" s="147">
        <f t="shared" si="2802"/>
        <v>46079</v>
      </c>
      <c r="E17726" s="311">
        <f t="shared" si="2803"/>
        <v>46079</v>
      </c>
      <c r="F17726" s="481"/>
      <c r="G17726" s="174" t="s">
        <v>74</v>
      </c>
      <c r="H17726" s="174"/>
      <c r="J17726" s="149" t="s">
        <v>534</v>
      </c>
      <c r="K17726" s="218">
        <v>54000</v>
      </c>
      <c r="L17726" s="218"/>
    </row>
    <row r="17727" spans="1:14" x14ac:dyDescent="0.2">
      <c r="A17727" s="133">
        <v>2026</v>
      </c>
      <c r="B17727" s="133">
        <v>2</v>
      </c>
      <c r="C17727" s="133">
        <v>26</v>
      </c>
      <c r="D17727" s="147">
        <f t="shared" si="2802"/>
        <v>46079</v>
      </c>
      <c r="E17727" s="311">
        <f t="shared" si="2803"/>
        <v>46079</v>
      </c>
      <c r="F17727" s="481"/>
      <c r="G17727" s="174" t="s">
        <v>74</v>
      </c>
      <c r="H17727" s="174"/>
      <c r="J17727" s="149" t="s">
        <v>534</v>
      </c>
      <c r="K17727" s="218">
        <v>815.60200000000009</v>
      </c>
      <c r="L17727" s="218"/>
    </row>
    <row r="17728" spans="1:14" x14ac:dyDescent="0.2">
      <c r="A17728" s="163">
        <v>2026</v>
      </c>
      <c r="B17728" s="163">
        <v>2</v>
      </c>
      <c r="C17728" s="163">
        <v>26</v>
      </c>
      <c r="D17728" s="144">
        <f t="shared" si="2802"/>
        <v>46079</v>
      </c>
      <c r="E17728" s="313">
        <f t="shared" si="2803"/>
        <v>46079</v>
      </c>
      <c r="F17728" s="480"/>
      <c r="G17728" s="221" t="s">
        <v>74</v>
      </c>
      <c r="H17728" s="221"/>
      <c r="I17728" s="145"/>
      <c r="J17728" s="146" t="s">
        <v>52</v>
      </c>
      <c r="K17728" s="219"/>
      <c r="L17728" s="219">
        <v>209690.6</v>
      </c>
    </row>
    <row r="17729" spans="1:14" x14ac:dyDescent="0.2">
      <c r="A17729" s="168">
        <v>2026</v>
      </c>
      <c r="B17729" s="168">
        <v>2</v>
      </c>
      <c r="C17729" s="168">
        <v>26</v>
      </c>
      <c r="D17729" s="141">
        <f t="shared" si="2802"/>
        <v>46079</v>
      </c>
      <c r="E17729" s="275">
        <f t="shared" si="2803"/>
        <v>46079</v>
      </c>
      <c r="F17729" s="479" t="s">
        <v>2182</v>
      </c>
      <c r="G17729" s="220" t="s">
        <v>94</v>
      </c>
      <c r="H17729" s="220"/>
      <c r="I17729" s="142"/>
      <c r="J17729" s="143" t="s">
        <v>79</v>
      </c>
      <c r="K17729" s="226">
        <v>388390</v>
      </c>
      <c r="L17729" s="226"/>
    </row>
    <row r="17730" spans="1:14" x14ac:dyDescent="0.2">
      <c r="A17730" s="133">
        <v>2026</v>
      </c>
      <c r="B17730" s="133">
        <v>2</v>
      </c>
      <c r="C17730" s="133">
        <v>26</v>
      </c>
      <c r="D17730" s="147">
        <f t="shared" si="2802"/>
        <v>46079</v>
      </c>
      <c r="E17730" s="311">
        <f t="shared" si="2803"/>
        <v>46079</v>
      </c>
      <c r="F17730" s="481"/>
      <c r="G17730" s="174" t="s">
        <v>94</v>
      </c>
      <c r="H17730" s="174"/>
      <c r="J17730" s="149" t="s">
        <v>80</v>
      </c>
      <c r="K17730" s="218">
        <v>699.1</v>
      </c>
      <c r="L17730" s="264"/>
      <c r="M17730" s="264"/>
      <c r="N17730" s="264"/>
    </row>
    <row r="17731" spans="1:14" x14ac:dyDescent="0.2">
      <c r="A17731" s="163">
        <v>2026</v>
      </c>
      <c r="B17731" s="163">
        <v>2</v>
      </c>
      <c r="C17731" s="163">
        <v>26</v>
      </c>
      <c r="D17731" s="144">
        <f t="shared" si="2802"/>
        <v>46079</v>
      </c>
      <c r="E17731" s="313">
        <f t="shared" si="2803"/>
        <v>46079</v>
      </c>
      <c r="F17731" s="480"/>
      <c r="G17731" s="221" t="s">
        <v>94</v>
      </c>
      <c r="H17731" s="221"/>
      <c r="I17731" s="145"/>
      <c r="J17731" s="146" t="s">
        <v>147</v>
      </c>
      <c r="K17731" s="219"/>
      <c r="L17731" s="219">
        <v>389089.1</v>
      </c>
      <c r="M17731" s="264"/>
    </row>
    <row r="17732" spans="1:14" x14ac:dyDescent="0.2">
      <c r="A17732" s="168">
        <v>2026</v>
      </c>
      <c r="B17732" s="168">
        <v>2</v>
      </c>
      <c r="C17732" s="168">
        <v>26</v>
      </c>
      <c r="D17732" s="141">
        <f t="shared" si="2802"/>
        <v>46079</v>
      </c>
      <c r="E17732" s="275">
        <f t="shared" si="2803"/>
        <v>46079</v>
      </c>
      <c r="F17732" s="479" t="s">
        <v>2115</v>
      </c>
      <c r="G17732" s="220" t="s">
        <v>94</v>
      </c>
      <c r="H17732" s="220"/>
      <c r="I17732" s="142"/>
      <c r="J17732" s="143" t="s">
        <v>79</v>
      </c>
      <c r="K17732" s="226">
        <v>3243505.5</v>
      </c>
      <c r="L17732" s="226"/>
    </row>
    <row r="17733" spans="1:14" x14ac:dyDescent="0.2">
      <c r="A17733" s="133">
        <v>2026</v>
      </c>
      <c r="B17733" s="133">
        <v>2</v>
      </c>
      <c r="C17733" s="133">
        <v>26</v>
      </c>
      <c r="D17733" s="147">
        <f t="shared" si="2802"/>
        <v>46079</v>
      </c>
      <c r="E17733" s="311">
        <f t="shared" si="2803"/>
        <v>46079</v>
      </c>
      <c r="F17733" s="481"/>
      <c r="G17733" s="174" t="s">
        <v>94</v>
      </c>
      <c r="H17733" s="174"/>
      <c r="J17733" s="149" t="s">
        <v>80</v>
      </c>
      <c r="K17733" s="218">
        <v>11965.96</v>
      </c>
      <c r="L17733" s="264"/>
      <c r="M17733" s="264"/>
      <c r="N17733" s="264"/>
    </row>
    <row r="17734" spans="1:14" x14ac:dyDescent="0.2">
      <c r="A17734" s="133">
        <v>2026</v>
      </c>
      <c r="B17734" s="133">
        <v>2</v>
      </c>
      <c r="C17734" s="133">
        <v>26</v>
      </c>
      <c r="D17734" s="147">
        <f t="shared" si="2802"/>
        <v>46079</v>
      </c>
      <c r="E17734" s="311">
        <f t="shared" si="2803"/>
        <v>46079</v>
      </c>
      <c r="F17734" s="481"/>
      <c r="G17734" s="174" t="s">
        <v>94</v>
      </c>
      <c r="H17734" s="174"/>
      <c r="J17734" s="149" t="s">
        <v>190</v>
      </c>
      <c r="K17734" s="218">
        <v>148778.54</v>
      </c>
      <c r="L17734" s="218"/>
      <c r="M17734" s="264"/>
    </row>
    <row r="17735" spans="1:14" x14ac:dyDescent="0.2">
      <c r="A17735" s="133">
        <v>2026</v>
      </c>
      <c r="B17735" s="133">
        <v>2</v>
      </c>
      <c r="C17735" s="133">
        <v>26</v>
      </c>
      <c r="D17735" s="147">
        <f t="shared" si="2802"/>
        <v>46079</v>
      </c>
      <c r="E17735" s="311">
        <f t="shared" si="2803"/>
        <v>46079</v>
      </c>
      <c r="F17735" s="481"/>
      <c r="G17735" s="174" t="s">
        <v>94</v>
      </c>
      <c r="H17735" s="174"/>
      <c r="J17735" s="149" t="s">
        <v>191</v>
      </c>
      <c r="K17735" s="218"/>
      <c r="L17735" s="218">
        <v>436429.54</v>
      </c>
    </row>
    <row r="17736" spans="1:14" x14ac:dyDescent="0.2">
      <c r="A17736" s="163">
        <v>2026</v>
      </c>
      <c r="B17736" s="163">
        <v>2</v>
      </c>
      <c r="C17736" s="163">
        <v>26</v>
      </c>
      <c r="D17736" s="144">
        <f t="shared" si="2802"/>
        <v>46079</v>
      </c>
      <c r="E17736" s="313">
        <f t="shared" si="2803"/>
        <v>46079</v>
      </c>
      <c r="F17736" s="480"/>
      <c r="G17736" s="221" t="s">
        <v>94</v>
      </c>
      <c r="H17736" s="145"/>
      <c r="I17736" s="145"/>
      <c r="J17736" s="163" t="s">
        <v>79</v>
      </c>
      <c r="K17736" s="219"/>
      <c r="L17736" s="219">
        <v>2967820.46</v>
      </c>
      <c r="M17736" s="264"/>
    </row>
    <row r="17737" spans="1:14" ht="11.25" customHeight="1" x14ac:dyDescent="0.2">
      <c r="A17737" s="168">
        <v>2026</v>
      </c>
      <c r="B17737" s="168">
        <v>2</v>
      </c>
      <c r="C17737" s="168">
        <v>26</v>
      </c>
      <c r="D17737" s="141">
        <f t="shared" si="2802"/>
        <v>46079</v>
      </c>
      <c r="E17737" s="275">
        <f t="shared" si="2803"/>
        <v>46079</v>
      </c>
      <c r="F17737" s="479" t="s">
        <v>1319</v>
      </c>
      <c r="G17737" s="220" t="s">
        <v>74</v>
      </c>
      <c r="H17737" s="142"/>
      <c r="I17737" s="142"/>
      <c r="J17737" s="168" t="s">
        <v>52</v>
      </c>
      <c r="K17737" s="226">
        <v>245000</v>
      </c>
      <c r="L17737" s="226"/>
    </row>
    <row r="17738" spans="1:14" ht="11.25" customHeight="1" x14ac:dyDescent="0.2">
      <c r="A17738" s="133">
        <v>2026</v>
      </c>
      <c r="B17738" s="133">
        <v>2</v>
      </c>
      <c r="C17738" s="133">
        <v>26</v>
      </c>
      <c r="D17738" s="147">
        <f t="shared" si="2802"/>
        <v>46079</v>
      </c>
      <c r="E17738" s="311">
        <f t="shared" si="2803"/>
        <v>46079</v>
      </c>
      <c r="F17738" s="481"/>
      <c r="G17738" s="174" t="s">
        <v>74</v>
      </c>
      <c r="J17738" s="133" t="s">
        <v>13</v>
      </c>
      <c r="K17738" s="218"/>
      <c r="L17738" s="218">
        <v>158140</v>
      </c>
    </row>
    <row r="17739" spans="1:14" ht="11.25" customHeight="1" x14ac:dyDescent="0.2">
      <c r="A17739" s="163">
        <v>2026</v>
      </c>
      <c r="B17739" s="163">
        <v>2</v>
      </c>
      <c r="C17739" s="163">
        <v>26</v>
      </c>
      <c r="D17739" s="144">
        <f t="shared" si="2802"/>
        <v>46079</v>
      </c>
      <c r="E17739" s="313">
        <f t="shared" si="2803"/>
        <v>46079</v>
      </c>
      <c r="F17739" s="480"/>
      <c r="G17739" s="221" t="s">
        <v>74</v>
      </c>
      <c r="H17739" s="145"/>
      <c r="I17739" s="145"/>
      <c r="J17739" s="163" t="s">
        <v>53</v>
      </c>
      <c r="K17739" s="219"/>
      <c r="L17739" s="219">
        <v>86860</v>
      </c>
    </row>
    <row r="17740" spans="1:14" x14ac:dyDescent="0.2">
      <c r="A17740" s="325">
        <v>2026</v>
      </c>
      <c r="B17740" s="325">
        <v>2</v>
      </c>
      <c r="C17740" s="325">
        <v>26</v>
      </c>
      <c r="D17740" s="326">
        <f t="shared" si="2802"/>
        <v>46079</v>
      </c>
      <c r="E17740" s="327">
        <f t="shared" si="2803"/>
        <v>46079</v>
      </c>
      <c r="F17740" s="473" t="s">
        <v>2131</v>
      </c>
      <c r="G17740" s="340" t="s">
        <v>94</v>
      </c>
      <c r="H17740" s="340"/>
      <c r="I17740" s="341" t="s">
        <v>348</v>
      </c>
      <c r="J17740" s="374" t="s">
        <v>2156</v>
      </c>
      <c r="K17740" s="375">
        <v>6185.4395604395604</v>
      </c>
      <c r="L17740" s="375"/>
      <c r="M17740" s="176"/>
    </row>
    <row r="17741" spans="1:14" x14ac:dyDescent="0.2">
      <c r="A17741" s="331">
        <v>2026</v>
      </c>
      <c r="B17741" s="331">
        <v>2</v>
      </c>
      <c r="C17741" s="331">
        <v>26</v>
      </c>
      <c r="D17741" s="326">
        <f t="shared" si="2802"/>
        <v>46079</v>
      </c>
      <c r="E17741" s="327">
        <f t="shared" si="2803"/>
        <v>46079</v>
      </c>
      <c r="F17741" s="474"/>
      <c r="G17741" s="332" t="s">
        <v>94</v>
      </c>
      <c r="H17741" s="332"/>
      <c r="I17741" s="333" t="s">
        <v>348</v>
      </c>
      <c r="J17741" s="376" t="s">
        <v>2154</v>
      </c>
      <c r="K17741" s="334"/>
      <c r="L17741" s="334">
        <f>K17740</f>
        <v>6185.4395604395604</v>
      </c>
    </row>
    <row r="17742" spans="1:14" x14ac:dyDescent="0.2">
      <c r="A17742" s="384">
        <v>2026</v>
      </c>
      <c r="B17742" s="384">
        <v>2</v>
      </c>
      <c r="C17742" s="384">
        <v>26</v>
      </c>
      <c r="D17742" s="385">
        <f t="shared" si="2802"/>
        <v>46079</v>
      </c>
      <c r="E17742" s="386">
        <f t="shared" si="2803"/>
        <v>46079</v>
      </c>
      <c r="F17742" s="475" t="s">
        <v>1966</v>
      </c>
      <c r="G17742" s="387" t="s">
        <v>94</v>
      </c>
      <c r="H17742" s="387"/>
      <c r="I17742" s="388" t="s">
        <v>348</v>
      </c>
      <c r="J17742" s="389" t="s">
        <v>67</v>
      </c>
      <c r="K17742" s="390">
        <v>1774.290332361111</v>
      </c>
      <c r="L17742" s="390"/>
    </row>
    <row r="17743" spans="1:14" x14ac:dyDescent="0.2">
      <c r="A17743" s="391">
        <v>2026</v>
      </c>
      <c r="B17743" s="391">
        <v>2</v>
      </c>
      <c r="C17743" s="391">
        <v>26</v>
      </c>
      <c r="D17743" s="385">
        <f t="shared" si="2802"/>
        <v>46079</v>
      </c>
      <c r="E17743" s="386">
        <f t="shared" si="2803"/>
        <v>46079</v>
      </c>
      <c r="F17743" s="476"/>
      <c r="G17743" s="392" t="s">
        <v>94</v>
      </c>
      <c r="H17743" s="392"/>
      <c r="I17743" s="393" t="s">
        <v>348</v>
      </c>
      <c r="J17743" s="394" t="s">
        <v>2155</v>
      </c>
      <c r="K17743" s="395"/>
      <c r="L17743" s="395">
        <f>K17742</f>
        <v>1774.290332361111</v>
      </c>
    </row>
    <row r="17744" spans="1:14" x14ac:dyDescent="0.2">
      <c r="A17744" s="238">
        <v>2026</v>
      </c>
      <c r="B17744" s="238">
        <v>2</v>
      </c>
      <c r="C17744" s="238">
        <v>26</v>
      </c>
      <c r="D17744" s="270">
        <f t="shared" si="2802"/>
        <v>46079</v>
      </c>
      <c r="E17744" s="279">
        <f t="shared" si="2803"/>
        <v>46079</v>
      </c>
      <c r="F17744" s="477" t="s">
        <v>347</v>
      </c>
      <c r="G17744" s="239" t="s">
        <v>94</v>
      </c>
      <c r="H17744" s="239"/>
      <c r="I17744" s="262" t="s">
        <v>348</v>
      </c>
      <c r="J17744" s="240" t="s">
        <v>108</v>
      </c>
      <c r="K17744" s="241">
        <v>4509801.5600000024</v>
      </c>
      <c r="L17744" s="241"/>
      <c r="M17744" s="160"/>
    </row>
    <row r="17745" spans="1:14" x14ac:dyDescent="0.2">
      <c r="A17745" s="242">
        <v>2026</v>
      </c>
      <c r="B17745" s="242">
        <v>2</v>
      </c>
      <c r="C17745" s="242">
        <v>26</v>
      </c>
      <c r="D17745" s="270">
        <f t="shared" si="2802"/>
        <v>46079</v>
      </c>
      <c r="E17745" s="279">
        <f t="shared" si="2803"/>
        <v>46079</v>
      </c>
      <c r="F17745" s="478"/>
      <c r="G17745" s="243" t="s">
        <v>94</v>
      </c>
      <c r="H17745" s="243"/>
      <c r="I17745" s="263" t="s">
        <v>348</v>
      </c>
      <c r="J17745" s="244" t="s">
        <v>82</v>
      </c>
      <c r="K17745" s="245"/>
      <c r="L17745" s="245">
        <f>K17744</f>
        <v>4509801.5600000024</v>
      </c>
    </row>
    <row r="17746" spans="1:14" ht="12" customHeight="1" x14ac:dyDescent="0.2">
      <c r="A17746" s="246">
        <v>2026</v>
      </c>
      <c r="B17746" s="238">
        <v>2</v>
      </c>
      <c r="C17746" s="238">
        <v>26</v>
      </c>
      <c r="D17746" s="270">
        <f t="shared" si="2802"/>
        <v>46079</v>
      </c>
      <c r="E17746" s="279">
        <f t="shared" si="2803"/>
        <v>46079</v>
      </c>
      <c r="F17746" s="482" t="s">
        <v>2167</v>
      </c>
      <c r="G17746" s="247" t="s">
        <v>94</v>
      </c>
      <c r="H17746" s="247"/>
      <c r="I17746" s="248" t="s">
        <v>348</v>
      </c>
      <c r="J17746" s="249" t="s">
        <v>95</v>
      </c>
      <c r="K17746" s="250">
        <v>392.46467817896399</v>
      </c>
      <c r="L17746" s="241"/>
      <c r="M17746" s="176"/>
    </row>
    <row r="17747" spans="1:14" x14ac:dyDescent="0.2">
      <c r="A17747" s="242">
        <v>2026</v>
      </c>
      <c r="B17747" s="242">
        <v>2</v>
      </c>
      <c r="C17747" s="242">
        <v>26</v>
      </c>
      <c r="D17747" s="270">
        <f t="shared" si="2802"/>
        <v>46079</v>
      </c>
      <c r="E17747" s="279">
        <f t="shared" si="2803"/>
        <v>46079</v>
      </c>
      <c r="F17747" s="478"/>
      <c r="G17747" s="243" t="s">
        <v>94</v>
      </c>
      <c r="H17747" s="243"/>
      <c r="I17747" s="263" t="s">
        <v>348</v>
      </c>
      <c r="J17747" s="244" t="s">
        <v>63</v>
      </c>
      <c r="K17747" s="245"/>
      <c r="L17747" s="245">
        <f>K17746</f>
        <v>392.46467817896399</v>
      </c>
    </row>
    <row r="17748" spans="1:14" x14ac:dyDescent="0.2">
      <c r="A17748" s="246">
        <v>2026</v>
      </c>
      <c r="B17748" s="238">
        <v>2</v>
      </c>
      <c r="C17748" s="238">
        <v>26</v>
      </c>
      <c r="D17748" s="270">
        <f t="shared" si="2802"/>
        <v>46079</v>
      </c>
      <c r="E17748" s="279">
        <f t="shared" si="2803"/>
        <v>46079</v>
      </c>
      <c r="F17748" s="482" t="s">
        <v>2168</v>
      </c>
      <c r="G17748" s="247" t="s">
        <v>94</v>
      </c>
      <c r="H17748" s="247"/>
      <c r="I17748" s="248" t="s">
        <v>348</v>
      </c>
      <c r="J17748" s="249" t="s">
        <v>97</v>
      </c>
      <c r="K17748" s="250">
        <v>15799.666715898076</v>
      </c>
      <c r="L17748" s="252"/>
    </row>
    <row r="17749" spans="1:14" x14ac:dyDescent="0.2">
      <c r="A17749" s="242">
        <v>2026</v>
      </c>
      <c r="B17749" s="242">
        <v>2</v>
      </c>
      <c r="C17749" s="242">
        <v>26</v>
      </c>
      <c r="D17749" s="270">
        <f t="shared" si="2802"/>
        <v>46079</v>
      </c>
      <c r="E17749" s="279">
        <f t="shared" si="2803"/>
        <v>46079</v>
      </c>
      <c r="F17749" s="478"/>
      <c r="G17749" s="243" t="s">
        <v>94</v>
      </c>
      <c r="H17749" s="243"/>
      <c r="I17749" s="263" t="s">
        <v>348</v>
      </c>
      <c r="J17749" s="244" t="s">
        <v>47</v>
      </c>
      <c r="K17749" s="245"/>
      <c r="L17749" s="245">
        <f>K17748</f>
        <v>15799.666715898076</v>
      </c>
      <c r="M17749" s="170"/>
    </row>
    <row r="17750" spans="1:14" x14ac:dyDescent="0.2">
      <c r="A17750" s="246">
        <v>2026</v>
      </c>
      <c r="B17750" s="238">
        <v>2</v>
      </c>
      <c r="C17750" s="238">
        <v>26</v>
      </c>
      <c r="D17750" s="270">
        <f t="shared" si="2802"/>
        <v>46079</v>
      </c>
      <c r="E17750" s="279">
        <f t="shared" si="2803"/>
        <v>46079</v>
      </c>
      <c r="F17750" s="482" t="s">
        <v>2169</v>
      </c>
      <c r="G17750" s="247" t="s">
        <v>94</v>
      </c>
      <c r="H17750" s="247"/>
      <c r="I17750" s="248" t="s">
        <v>348</v>
      </c>
      <c r="J17750" s="249" t="s">
        <v>100</v>
      </c>
      <c r="K17750" s="250">
        <v>778.58583966793049</v>
      </c>
      <c r="L17750" s="252"/>
      <c r="M17750" s="170"/>
    </row>
    <row r="17751" spans="1:14" x14ac:dyDescent="0.2">
      <c r="A17751" s="242">
        <v>2026</v>
      </c>
      <c r="B17751" s="242">
        <v>2</v>
      </c>
      <c r="C17751" s="242">
        <v>26</v>
      </c>
      <c r="D17751" s="321">
        <f t="shared" si="2802"/>
        <v>46079</v>
      </c>
      <c r="E17751" s="322">
        <f t="shared" si="2803"/>
        <v>46079</v>
      </c>
      <c r="F17751" s="478"/>
      <c r="G17751" s="243" t="s">
        <v>94</v>
      </c>
      <c r="H17751" s="243"/>
      <c r="I17751" s="263" t="s">
        <v>348</v>
      </c>
      <c r="J17751" s="244" t="s">
        <v>48</v>
      </c>
      <c r="K17751" s="245"/>
      <c r="L17751" s="245">
        <f>K17750</f>
        <v>778.58583966793049</v>
      </c>
    </row>
    <row r="17752" spans="1:14" ht="11.25" customHeight="1" x14ac:dyDescent="0.2">
      <c r="A17752" s="168">
        <v>2026</v>
      </c>
      <c r="B17752" s="133">
        <v>3</v>
      </c>
      <c r="C17752" s="168">
        <v>1</v>
      </c>
      <c r="D17752" s="141">
        <f t="shared" ref="D17752:D17781" si="2804">DATE(A17752,B17752,C17752)</f>
        <v>46082</v>
      </c>
      <c r="E17752" s="275">
        <f t="shared" ref="E17752:E17781" si="2805">DATE(A17752,B17752,C17752)</f>
        <v>46082</v>
      </c>
      <c r="F17752" s="479" t="s">
        <v>2183</v>
      </c>
      <c r="G17752" s="220" t="s">
        <v>74</v>
      </c>
      <c r="H17752" s="220"/>
      <c r="I17752" s="142"/>
      <c r="J17752" s="149" t="s">
        <v>147</v>
      </c>
      <c r="K17752" s="226">
        <v>389089.1</v>
      </c>
      <c r="L17752" s="226"/>
    </row>
    <row r="17753" spans="1:14" x14ac:dyDescent="0.2">
      <c r="A17753" s="163">
        <v>2026</v>
      </c>
      <c r="B17753" s="163">
        <v>3</v>
      </c>
      <c r="C17753" s="163">
        <v>1</v>
      </c>
      <c r="D17753" s="144">
        <f t="shared" si="2804"/>
        <v>46082</v>
      </c>
      <c r="E17753" s="313">
        <f t="shared" si="2805"/>
        <v>46082</v>
      </c>
      <c r="F17753" s="480"/>
      <c r="G17753" s="221" t="s">
        <v>74</v>
      </c>
      <c r="H17753" s="221"/>
      <c r="I17753" s="145"/>
      <c r="J17753" s="146" t="s">
        <v>52</v>
      </c>
      <c r="K17753" s="219"/>
      <c r="L17753" s="219">
        <f>K17752</f>
        <v>389089.1</v>
      </c>
      <c r="N17753" s="264"/>
    </row>
    <row r="17754" spans="1:14" x14ac:dyDescent="0.2">
      <c r="A17754" s="168">
        <v>2026</v>
      </c>
      <c r="B17754" s="133">
        <v>3</v>
      </c>
      <c r="C17754" s="168">
        <v>1</v>
      </c>
      <c r="D17754" s="141">
        <f t="shared" si="2804"/>
        <v>46082</v>
      </c>
      <c r="E17754" s="275">
        <f t="shared" si="2805"/>
        <v>46082</v>
      </c>
      <c r="F17754" s="479" t="s">
        <v>1943</v>
      </c>
      <c r="G17754" s="174" t="s">
        <v>74</v>
      </c>
      <c r="I17754" s="148" t="s">
        <v>348</v>
      </c>
      <c r="J17754" s="133" t="s">
        <v>61</v>
      </c>
      <c r="K17754" s="172">
        <v>58</v>
      </c>
    </row>
    <row r="17755" spans="1:14" x14ac:dyDescent="0.2">
      <c r="A17755" s="163">
        <v>2026</v>
      </c>
      <c r="B17755" s="163">
        <v>3</v>
      </c>
      <c r="C17755" s="163">
        <v>1</v>
      </c>
      <c r="D17755" s="144">
        <f t="shared" si="2804"/>
        <v>46082</v>
      </c>
      <c r="E17755" s="313">
        <f t="shared" si="2805"/>
        <v>46082</v>
      </c>
      <c r="F17755" s="480"/>
      <c r="G17755" s="221" t="s">
        <v>74</v>
      </c>
      <c r="H17755" s="145"/>
      <c r="I17755" s="145" t="s">
        <v>348</v>
      </c>
      <c r="J17755" s="163" t="s">
        <v>52</v>
      </c>
      <c r="K17755" s="219"/>
      <c r="L17755" s="219">
        <f>K17754</f>
        <v>58</v>
      </c>
    </row>
    <row r="17756" spans="1:14" ht="11.25" customHeight="1" x14ac:dyDescent="0.2">
      <c r="A17756" s="168">
        <v>2026</v>
      </c>
      <c r="B17756" s="168">
        <v>3</v>
      </c>
      <c r="C17756" s="168">
        <v>1</v>
      </c>
      <c r="D17756" s="141">
        <f t="shared" si="2804"/>
        <v>46082</v>
      </c>
      <c r="E17756" s="275">
        <f t="shared" si="2805"/>
        <v>46082</v>
      </c>
      <c r="F17756" s="479" t="s">
        <v>1319</v>
      </c>
      <c r="G17756" s="220" t="s">
        <v>74</v>
      </c>
      <c r="H17756" s="142"/>
      <c r="I17756" s="142"/>
      <c r="J17756" s="168" t="s">
        <v>52</v>
      </c>
      <c r="K17756" s="226">
        <v>80000</v>
      </c>
      <c r="L17756" s="226"/>
    </row>
    <row r="17757" spans="1:14" ht="11.25" customHeight="1" x14ac:dyDescent="0.2">
      <c r="A17757" s="133">
        <v>2026</v>
      </c>
      <c r="B17757" s="133">
        <v>3</v>
      </c>
      <c r="C17757" s="133">
        <v>1</v>
      </c>
      <c r="D17757" s="147">
        <f t="shared" si="2804"/>
        <v>46082</v>
      </c>
      <c r="E17757" s="311">
        <f t="shared" si="2805"/>
        <v>46082</v>
      </c>
      <c r="F17757" s="481"/>
      <c r="G17757" s="174" t="s">
        <v>74</v>
      </c>
      <c r="J17757" s="133" t="s">
        <v>13</v>
      </c>
      <c r="K17757" s="218"/>
      <c r="L17757" s="218">
        <v>50450</v>
      </c>
    </row>
    <row r="17758" spans="1:14" ht="11.25" customHeight="1" x14ac:dyDescent="0.2">
      <c r="A17758" s="163">
        <v>2026</v>
      </c>
      <c r="B17758" s="163">
        <v>3</v>
      </c>
      <c r="C17758" s="163">
        <v>1</v>
      </c>
      <c r="D17758" s="144">
        <f t="shared" si="2804"/>
        <v>46082</v>
      </c>
      <c r="E17758" s="313">
        <f t="shared" si="2805"/>
        <v>46082</v>
      </c>
      <c r="F17758" s="480"/>
      <c r="G17758" s="221" t="s">
        <v>74</v>
      </c>
      <c r="H17758" s="145"/>
      <c r="I17758" s="145"/>
      <c r="J17758" s="163" t="s">
        <v>53</v>
      </c>
      <c r="K17758" s="219"/>
      <c r="L17758" s="219">
        <v>29550</v>
      </c>
    </row>
    <row r="17759" spans="1:14" ht="11.25" customHeight="1" x14ac:dyDescent="0.2">
      <c r="A17759" s="168">
        <v>2026</v>
      </c>
      <c r="B17759" s="168">
        <v>3</v>
      </c>
      <c r="C17759" s="168">
        <v>1</v>
      </c>
      <c r="D17759" s="141">
        <f t="shared" si="2804"/>
        <v>46082</v>
      </c>
      <c r="E17759" s="275">
        <f t="shared" si="2805"/>
        <v>46082</v>
      </c>
      <c r="F17759" s="479" t="s">
        <v>1310</v>
      </c>
      <c r="G17759" s="220" t="s">
        <v>74</v>
      </c>
      <c r="H17759" s="142"/>
      <c r="I17759" s="142"/>
      <c r="J17759" s="168" t="s">
        <v>13</v>
      </c>
      <c r="K17759" s="226">
        <v>32280</v>
      </c>
      <c r="L17759" s="226"/>
    </row>
    <row r="17760" spans="1:14" ht="11.25" customHeight="1" x14ac:dyDescent="0.2">
      <c r="A17760" s="133">
        <v>2026</v>
      </c>
      <c r="B17760" s="133">
        <v>3</v>
      </c>
      <c r="C17760" s="133">
        <v>1</v>
      </c>
      <c r="D17760" s="147">
        <f t="shared" si="2804"/>
        <v>46082</v>
      </c>
      <c r="E17760" s="311">
        <f t="shared" si="2805"/>
        <v>46082</v>
      </c>
      <c r="F17760" s="481"/>
      <c r="G17760" s="174" t="s">
        <v>74</v>
      </c>
      <c r="J17760" s="133" t="s">
        <v>53</v>
      </c>
      <c r="K17760" s="218">
        <v>17720</v>
      </c>
      <c r="L17760" s="218"/>
    </row>
    <row r="17761" spans="1:14" ht="11.25" customHeight="1" x14ac:dyDescent="0.2">
      <c r="A17761" s="163">
        <v>2026</v>
      </c>
      <c r="B17761" s="163">
        <v>3</v>
      </c>
      <c r="C17761" s="163">
        <v>1</v>
      </c>
      <c r="D17761" s="144">
        <f t="shared" si="2804"/>
        <v>46082</v>
      </c>
      <c r="E17761" s="313">
        <f t="shared" si="2805"/>
        <v>46082</v>
      </c>
      <c r="F17761" s="480"/>
      <c r="G17761" s="221" t="s">
        <v>74</v>
      </c>
      <c r="H17761" s="145"/>
      <c r="I17761" s="145"/>
      <c r="J17761" s="163" t="s">
        <v>52</v>
      </c>
      <c r="K17761" s="219"/>
      <c r="L17761" s="219">
        <v>50000</v>
      </c>
    </row>
    <row r="17762" spans="1:14" x14ac:dyDescent="0.2">
      <c r="A17762" s="168">
        <v>2026</v>
      </c>
      <c r="B17762" s="168">
        <v>3</v>
      </c>
      <c r="C17762" s="168">
        <v>1</v>
      </c>
      <c r="D17762" s="141">
        <f t="shared" si="2804"/>
        <v>46082</v>
      </c>
      <c r="E17762" s="275">
        <f t="shared" si="2805"/>
        <v>46082</v>
      </c>
      <c r="F17762" s="479" t="s">
        <v>2115</v>
      </c>
      <c r="G17762" s="220" t="s">
        <v>94</v>
      </c>
      <c r="H17762" s="220"/>
      <c r="I17762" s="142"/>
      <c r="J17762" s="143" t="s">
        <v>79</v>
      </c>
      <c r="K17762" s="226">
        <v>11981234.199999999</v>
      </c>
      <c r="L17762" s="226"/>
    </row>
    <row r="17763" spans="1:14" x14ac:dyDescent="0.2">
      <c r="A17763" s="133">
        <v>2026</v>
      </c>
      <c r="B17763" s="133">
        <v>3</v>
      </c>
      <c r="C17763" s="133">
        <v>1</v>
      </c>
      <c r="D17763" s="147">
        <f t="shared" si="2804"/>
        <v>46082</v>
      </c>
      <c r="E17763" s="311">
        <f t="shared" si="2805"/>
        <v>46082</v>
      </c>
      <c r="F17763" s="481"/>
      <c r="G17763" s="174" t="s">
        <v>94</v>
      </c>
      <c r="H17763" s="174"/>
      <c r="J17763" s="149" t="s">
        <v>80</v>
      </c>
      <c r="K17763" s="218">
        <v>37959.410000000003</v>
      </c>
      <c r="L17763" s="264"/>
      <c r="M17763" s="264"/>
      <c r="N17763" s="264"/>
    </row>
    <row r="17764" spans="1:14" x14ac:dyDescent="0.2">
      <c r="A17764" s="133">
        <v>2026</v>
      </c>
      <c r="B17764" s="133">
        <v>3</v>
      </c>
      <c r="C17764" s="133">
        <v>1</v>
      </c>
      <c r="D17764" s="147">
        <f t="shared" si="2804"/>
        <v>46082</v>
      </c>
      <c r="E17764" s="311">
        <f t="shared" si="2805"/>
        <v>46082</v>
      </c>
      <c r="F17764" s="481"/>
      <c r="G17764" s="174" t="s">
        <v>94</v>
      </c>
      <c r="H17764" s="174"/>
      <c r="J17764" s="149" t="s">
        <v>147</v>
      </c>
      <c r="K17764" s="218"/>
      <c r="L17764" s="218">
        <v>2911864.31</v>
      </c>
      <c r="M17764" s="264"/>
    </row>
    <row r="17765" spans="1:14" x14ac:dyDescent="0.2">
      <c r="A17765" s="133">
        <v>2026</v>
      </c>
      <c r="B17765" s="133">
        <v>3</v>
      </c>
      <c r="C17765" s="133">
        <v>1</v>
      </c>
      <c r="D17765" s="147">
        <f t="shared" si="2804"/>
        <v>46082</v>
      </c>
      <c r="E17765" s="311">
        <f t="shared" si="2805"/>
        <v>46082</v>
      </c>
      <c r="F17765" s="481"/>
      <c r="G17765" s="174" t="s">
        <v>94</v>
      </c>
      <c r="H17765" s="174"/>
      <c r="J17765" s="149" t="s">
        <v>191</v>
      </c>
      <c r="K17765" s="218"/>
      <c r="L17765" s="218">
        <v>759974.44</v>
      </c>
    </row>
    <row r="17766" spans="1:14" x14ac:dyDescent="0.2">
      <c r="A17766" s="163">
        <v>2026</v>
      </c>
      <c r="B17766" s="163">
        <v>3</v>
      </c>
      <c r="C17766" s="163">
        <v>1</v>
      </c>
      <c r="D17766" s="144">
        <f t="shared" si="2804"/>
        <v>46082</v>
      </c>
      <c r="E17766" s="313">
        <f t="shared" si="2805"/>
        <v>46082</v>
      </c>
      <c r="F17766" s="480"/>
      <c r="G17766" s="221" t="s">
        <v>94</v>
      </c>
      <c r="H17766" s="145"/>
      <c r="I17766" s="145"/>
      <c r="J17766" s="163" t="s">
        <v>79</v>
      </c>
      <c r="K17766" s="219"/>
      <c r="L17766" s="219">
        <v>8347354.8600000003</v>
      </c>
      <c r="M17766" s="264"/>
    </row>
    <row r="17767" spans="1:14" ht="11.25" customHeight="1" x14ac:dyDescent="0.2">
      <c r="A17767" s="168">
        <v>2026</v>
      </c>
      <c r="B17767" s="168">
        <v>3</v>
      </c>
      <c r="C17767" s="168">
        <v>1</v>
      </c>
      <c r="D17767" s="141">
        <f t="shared" si="2804"/>
        <v>46082</v>
      </c>
      <c r="E17767" s="275">
        <f t="shared" si="2805"/>
        <v>46082</v>
      </c>
      <c r="F17767" s="479" t="s">
        <v>964</v>
      </c>
      <c r="G17767" s="220" t="s">
        <v>74</v>
      </c>
      <c r="H17767" s="142"/>
      <c r="I17767" s="142"/>
      <c r="J17767" s="168" t="s">
        <v>52</v>
      </c>
      <c r="K17767" s="226">
        <v>103480</v>
      </c>
      <c r="L17767" s="226"/>
    </row>
    <row r="17768" spans="1:14" ht="11.25" customHeight="1" x14ac:dyDescent="0.2">
      <c r="A17768" s="133">
        <v>2026</v>
      </c>
      <c r="B17768" s="133">
        <v>3</v>
      </c>
      <c r="C17768" s="133">
        <v>1</v>
      </c>
      <c r="D17768" s="147">
        <f t="shared" si="2804"/>
        <v>46082</v>
      </c>
      <c r="E17768" s="311">
        <f t="shared" si="2805"/>
        <v>46082</v>
      </c>
      <c r="F17768" s="481"/>
      <c r="G17768" s="174" t="s">
        <v>74</v>
      </c>
      <c r="J17768" s="133" t="s">
        <v>13</v>
      </c>
      <c r="K17768" s="218"/>
      <c r="L17768" s="218">
        <v>65010</v>
      </c>
    </row>
    <row r="17769" spans="1:14" ht="11.25" customHeight="1" x14ac:dyDescent="0.2">
      <c r="A17769" s="163">
        <v>2026</v>
      </c>
      <c r="B17769" s="163">
        <v>3</v>
      </c>
      <c r="C17769" s="163">
        <v>1</v>
      </c>
      <c r="D17769" s="144">
        <f t="shared" si="2804"/>
        <v>46082</v>
      </c>
      <c r="E17769" s="313">
        <f t="shared" si="2805"/>
        <v>46082</v>
      </c>
      <c r="F17769" s="480"/>
      <c r="G17769" s="221" t="s">
        <v>74</v>
      </c>
      <c r="H17769" s="145"/>
      <c r="I17769" s="145"/>
      <c r="J17769" s="163" t="s">
        <v>53</v>
      </c>
      <c r="K17769" s="219"/>
      <c r="L17769" s="219">
        <v>38470</v>
      </c>
    </row>
    <row r="17770" spans="1:14" x14ac:dyDescent="0.2">
      <c r="A17770" s="325">
        <v>2026</v>
      </c>
      <c r="B17770" s="325">
        <v>3</v>
      </c>
      <c r="C17770" s="325">
        <v>1</v>
      </c>
      <c r="D17770" s="326">
        <f t="shared" si="2804"/>
        <v>46082</v>
      </c>
      <c r="E17770" s="327">
        <f t="shared" si="2805"/>
        <v>46082</v>
      </c>
      <c r="F17770" s="473" t="s">
        <v>2131</v>
      </c>
      <c r="G17770" s="340" t="s">
        <v>94</v>
      </c>
      <c r="H17770" s="340"/>
      <c r="I17770" s="341" t="s">
        <v>348</v>
      </c>
      <c r="J17770" s="374" t="s">
        <v>2156</v>
      </c>
      <c r="K17770" s="375">
        <f>3*6185.43956043956</f>
        <v>18556.31868131868</v>
      </c>
      <c r="L17770" s="375"/>
      <c r="M17770" s="176"/>
    </row>
    <row r="17771" spans="1:14" x14ac:dyDescent="0.2">
      <c r="A17771" s="331">
        <v>2026</v>
      </c>
      <c r="B17771" s="331">
        <v>3</v>
      </c>
      <c r="C17771" s="331">
        <v>1</v>
      </c>
      <c r="D17771" s="326">
        <f t="shared" si="2804"/>
        <v>46082</v>
      </c>
      <c r="E17771" s="327">
        <f t="shared" si="2805"/>
        <v>46082</v>
      </c>
      <c r="F17771" s="474"/>
      <c r="G17771" s="332" t="s">
        <v>94</v>
      </c>
      <c r="H17771" s="332"/>
      <c r="I17771" s="333" t="s">
        <v>348</v>
      </c>
      <c r="J17771" s="376" t="s">
        <v>2154</v>
      </c>
      <c r="K17771" s="334"/>
      <c r="L17771" s="334">
        <f>K17770</f>
        <v>18556.31868131868</v>
      </c>
    </row>
    <row r="17772" spans="1:14" x14ac:dyDescent="0.2">
      <c r="A17772" s="384">
        <v>2026</v>
      </c>
      <c r="B17772" s="384">
        <v>3</v>
      </c>
      <c r="C17772" s="384">
        <v>1</v>
      </c>
      <c r="D17772" s="385">
        <f t="shared" si="2804"/>
        <v>46082</v>
      </c>
      <c r="E17772" s="386">
        <f t="shared" si="2805"/>
        <v>46082</v>
      </c>
      <c r="F17772" s="475" t="s">
        <v>1966</v>
      </c>
      <c r="G17772" s="387" t="s">
        <v>94</v>
      </c>
      <c r="H17772" s="387"/>
      <c r="I17772" s="388" t="s">
        <v>348</v>
      </c>
      <c r="J17772" s="389" t="s">
        <v>67</v>
      </c>
      <c r="K17772" s="390">
        <v>5153.05</v>
      </c>
      <c r="L17772" s="390"/>
    </row>
    <row r="17773" spans="1:14" x14ac:dyDescent="0.2">
      <c r="A17773" s="391">
        <v>2026</v>
      </c>
      <c r="B17773" s="391">
        <v>3</v>
      </c>
      <c r="C17773" s="391">
        <v>1</v>
      </c>
      <c r="D17773" s="385">
        <f t="shared" si="2804"/>
        <v>46082</v>
      </c>
      <c r="E17773" s="386">
        <f t="shared" si="2805"/>
        <v>46082</v>
      </c>
      <c r="F17773" s="476"/>
      <c r="G17773" s="392" t="s">
        <v>94</v>
      </c>
      <c r="H17773" s="392"/>
      <c r="I17773" s="393" t="s">
        <v>348</v>
      </c>
      <c r="J17773" s="394" t="s">
        <v>2155</v>
      </c>
      <c r="K17773" s="395"/>
      <c r="L17773" s="395">
        <f>K17772</f>
        <v>5153.05</v>
      </c>
    </row>
    <row r="17774" spans="1:14" x14ac:dyDescent="0.2">
      <c r="A17774" s="238">
        <v>2026</v>
      </c>
      <c r="B17774" s="238">
        <v>3</v>
      </c>
      <c r="C17774" s="238">
        <v>1</v>
      </c>
      <c r="D17774" s="270">
        <f t="shared" si="2804"/>
        <v>46082</v>
      </c>
      <c r="E17774" s="279">
        <f t="shared" si="2805"/>
        <v>46082</v>
      </c>
      <c r="F17774" s="477" t="s">
        <v>347</v>
      </c>
      <c r="G17774" s="239" t="s">
        <v>94</v>
      </c>
      <c r="H17774" s="239"/>
      <c r="I17774" s="262" t="s">
        <v>348</v>
      </c>
      <c r="J17774" s="240" t="s">
        <v>82</v>
      </c>
      <c r="K17774" s="241">
        <v>4558153.8399999142</v>
      </c>
      <c r="L17774" s="241"/>
      <c r="M17774" s="160"/>
    </row>
    <row r="17775" spans="1:14" x14ac:dyDescent="0.2">
      <c r="A17775" s="242">
        <v>2026</v>
      </c>
      <c r="B17775" s="242">
        <v>3</v>
      </c>
      <c r="C17775" s="242">
        <v>1</v>
      </c>
      <c r="D17775" s="270">
        <f t="shared" si="2804"/>
        <v>46082</v>
      </c>
      <c r="E17775" s="279">
        <f t="shared" si="2805"/>
        <v>46082</v>
      </c>
      <c r="F17775" s="478"/>
      <c r="G17775" s="243" t="s">
        <v>94</v>
      </c>
      <c r="H17775" s="243"/>
      <c r="I17775" s="263" t="s">
        <v>348</v>
      </c>
      <c r="J17775" s="244" t="s">
        <v>108</v>
      </c>
      <c r="K17775" s="245"/>
      <c r="L17775" s="245">
        <f>K17774</f>
        <v>4558153.8399999142</v>
      </c>
    </row>
    <row r="17776" spans="1:14" ht="12" customHeight="1" x14ac:dyDescent="0.2">
      <c r="A17776" s="246">
        <v>2026</v>
      </c>
      <c r="B17776" s="238">
        <v>3</v>
      </c>
      <c r="C17776" s="238">
        <v>1</v>
      </c>
      <c r="D17776" s="270">
        <f t="shared" si="2804"/>
        <v>46082</v>
      </c>
      <c r="E17776" s="279">
        <f t="shared" si="2805"/>
        <v>46082</v>
      </c>
      <c r="F17776" s="482" t="s">
        <v>2167</v>
      </c>
      <c r="G17776" s="247" t="s">
        <v>94</v>
      </c>
      <c r="H17776" s="247"/>
      <c r="I17776" s="248" t="s">
        <v>348</v>
      </c>
      <c r="J17776" s="249" t="s">
        <v>95</v>
      </c>
      <c r="K17776" s="250">
        <f>3*392.464678178964</f>
        <v>1177.3940345368919</v>
      </c>
      <c r="L17776" s="241"/>
      <c r="M17776" s="176"/>
    </row>
    <row r="17777" spans="1:14" x14ac:dyDescent="0.2">
      <c r="A17777" s="242">
        <v>2026</v>
      </c>
      <c r="B17777" s="242">
        <v>3</v>
      </c>
      <c r="C17777" s="242">
        <v>1</v>
      </c>
      <c r="D17777" s="270">
        <f t="shared" si="2804"/>
        <v>46082</v>
      </c>
      <c r="E17777" s="279">
        <f t="shared" si="2805"/>
        <v>46082</v>
      </c>
      <c r="F17777" s="478"/>
      <c r="G17777" s="243" t="s">
        <v>94</v>
      </c>
      <c r="H17777" s="243"/>
      <c r="I17777" s="263" t="s">
        <v>348</v>
      </c>
      <c r="J17777" s="244" t="s">
        <v>63</v>
      </c>
      <c r="K17777" s="245"/>
      <c r="L17777" s="245">
        <f>K17776</f>
        <v>1177.3940345368919</v>
      </c>
    </row>
    <row r="17778" spans="1:14" x14ac:dyDescent="0.2">
      <c r="A17778" s="246">
        <v>2026</v>
      </c>
      <c r="B17778" s="238">
        <v>3</v>
      </c>
      <c r="C17778" s="238">
        <v>1</v>
      </c>
      <c r="D17778" s="270">
        <f t="shared" si="2804"/>
        <v>46082</v>
      </c>
      <c r="E17778" s="279">
        <f t="shared" si="2805"/>
        <v>46082</v>
      </c>
      <c r="F17778" s="482" t="s">
        <v>2168</v>
      </c>
      <c r="G17778" s="247" t="s">
        <v>94</v>
      </c>
      <c r="H17778" s="247"/>
      <c r="I17778" s="248" t="s">
        <v>348</v>
      </c>
      <c r="J17778" s="249" t="s">
        <v>97</v>
      </c>
      <c r="K17778" s="250">
        <v>46955.769546167052</v>
      </c>
      <c r="L17778" s="252"/>
    </row>
    <row r="17779" spans="1:14" x14ac:dyDescent="0.2">
      <c r="A17779" s="242">
        <v>2026</v>
      </c>
      <c r="B17779" s="242">
        <v>3</v>
      </c>
      <c r="C17779" s="242">
        <v>1</v>
      </c>
      <c r="D17779" s="270">
        <f t="shared" si="2804"/>
        <v>46082</v>
      </c>
      <c r="E17779" s="279">
        <f t="shared" si="2805"/>
        <v>46082</v>
      </c>
      <c r="F17779" s="478"/>
      <c r="G17779" s="243" t="s">
        <v>94</v>
      </c>
      <c r="H17779" s="243"/>
      <c r="I17779" s="263" t="s">
        <v>348</v>
      </c>
      <c r="J17779" s="244" t="s">
        <v>47</v>
      </c>
      <c r="K17779" s="245"/>
      <c r="L17779" s="245">
        <f>K17778</f>
        <v>46955.769546167052</v>
      </c>
      <c r="M17779" s="170"/>
    </row>
    <row r="17780" spans="1:14" x14ac:dyDescent="0.2">
      <c r="A17780" s="246">
        <v>2026</v>
      </c>
      <c r="B17780" s="238">
        <v>3</v>
      </c>
      <c r="C17780" s="238">
        <v>1</v>
      </c>
      <c r="D17780" s="270">
        <f t="shared" si="2804"/>
        <v>46082</v>
      </c>
      <c r="E17780" s="279">
        <f t="shared" si="2805"/>
        <v>46082</v>
      </c>
      <c r="F17780" s="482" t="s">
        <v>2169</v>
      </c>
      <c r="G17780" s="247" t="s">
        <v>94</v>
      </c>
      <c r="H17780" s="247"/>
      <c r="I17780" s="248" t="s">
        <v>348</v>
      </c>
      <c r="J17780" s="249" t="s">
        <v>100</v>
      </c>
      <c r="K17780" s="250">
        <v>2306.2088122353125</v>
      </c>
      <c r="L17780" s="252"/>
      <c r="M17780" s="170"/>
    </row>
    <row r="17781" spans="1:14" x14ac:dyDescent="0.2">
      <c r="A17781" s="242">
        <v>2026</v>
      </c>
      <c r="B17781" s="242">
        <v>3</v>
      </c>
      <c r="C17781" s="242">
        <v>1</v>
      </c>
      <c r="D17781" s="321">
        <f t="shared" si="2804"/>
        <v>46082</v>
      </c>
      <c r="E17781" s="322">
        <f t="shared" si="2805"/>
        <v>46082</v>
      </c>
      <c r="F17781" s="478"/>
      <c r="G17781" s="243" t="s">
        <v>94</v>
      </c>
      <c r="H17781" s="243"/>
      <c r="I17781" s="263" t="s">
        <v>348</v>
      </c>
      <c r="J17781" s="244" t="s">
        <v>48</v>
      </c>
      <c r="K17781" s="245"/>
      <c r="L17781" s="245">
        <f>K17780</f>
        <v>2306.2088122353125</v>
      </c>
    </row>
    <row r="17782" spans="1:14" ht="11.25" customHeight="1" x14ac:dyDescent="0.2">
      <c r="A17782" s="168">
        <v>2026</v>
      </c>
      <c r="B17782" s="168">
        <v>3</v>
      </c>
      <c r="C17782" s="168">
        <v>2</v>
      </c>
      <c r="D17782" s="141">
        <f t="shared" ref="D17782:D17810" si="2806">DATE(A17782,B17782,C17782)</f>
        <v>46083</v>
      </c>
      <c r="E17782" s="275">
        <f t="shared" ref="E17782:E17810" si="2807">DATE(A17782,B17782,C17782)</f>
        <v>46083</v>
      </c>
      <c r="F17782" s="479" t="s">
        <v>964</v>
      </c>
      <c r="G17782" s="220" t="s">
        <v>74</v>
      </c>
      <c r="H17782" s="142"/>
      <c r="I17782" s="142"/>
      <c r="J17782" s="168" t="s">
        <v>52</v>
      </c>
      <c r="K17782" s="226">
        <v>251010</v>
      </c>
      <c r="L17782" s="226"/>
    </row>
    <row r="17783" spans="1:14" ht="11.25" customHeight="1" x14ac:dyDescent="0.2">
      <c r="A17783" s="133">
        <v>2026</v>
      </c>
      <c r="B17783" s="133">
        <v>3</v>
      </c>
      <c r="C17783" s="133">
        <v>2</v>
      </c>
      <c r="D17783" s="147">
        <f t="shared" si="2806"/>
        <v>46083</v>
      </c>
      <c r="E17783" s="311">
        <f t="shared" si="2807"/>
        <v>46083</v>
      </c>
      <c r="F17783" s="481"/>
      <c r="G17783" s="174" t="s">
        <v>74</v>
      </c>
      <c r="J17783" s="133" t="s">
        <v>13</v>
      </c>
      <c r="K17783" s="218"/>
      <c r="L17783" s="218">
        <v>160000</v>
      </c>
    </row>
    <row r="17784" spans="1:14" ht="11.25" customHeight="1" x14ac:dyDescent="0.2">
      <c r="A17784" s="163">
        <v>2026</v>
      </c>
      <c r="B17784" s="163">
        <v>3</v>
      </c>
      <c r="C17784" s="163">
        <v>2</v>
      </c>
      <c r="D17784" s="144">
        <f t="shared" si="2806"/>
        <v>46083</v>
      </c>
      <c r="E17784" s="313">
        <f t="shared" si="2807"/>
        <v>46083</v>
      </c>
      <c r="F17784" s="480"/>
      <c r="G17784" s="221" t="s">
        <v>74</v>
      </c>
      <c r="H17784" s="145"/>
      <c r="I17784" s="145"/>
      <c r="J17784" s="163" t="s">
        <v>53</v>
      </c>
      <c r="K17784" s="219"/>
      <c r="L17784" s="219">
        <v>91010</v>
      </c>
    </row>
    <row r="17785" spans="1:14" x14ac:dyDescent="0.2">
      <c r="A17785" s="168">
        <v>2026</v>
      </c>
      <c r="B17785" s="168">
        <v>3</v>
      </c>
      <c r="C17785" s="168">
        <v>2</v>
      </c>
      <c r="D17785" s="141">
        <f t="shared" ref="D17785:D17787" si="2808">DATE(A17785,B17785,C17785)</f>
        <v>46083</v>
      </c>
      <c r="E17785" s="275">
        <f t="shared" ref="E17785:E17787" si="2809">DATE(A17785,B17785,C17785)</f>
        <v>46083</v>
      </c>
      <c r="F17785" s="479" t="s">
        <v>2128</v>
      </c>
      <c r="G17785" s="220" t="s">
        <v>94</v>
      </c>
      <c r="H17785" s="220"/>
      <c r="I17785" s="142"/>
      <c r="J17785" s="143" t="s">
        <v>52</v>
      </c>
      <c r="K17785" s="226">
        <v>1500026</v>
      </c>
      <c r="L17785" s="226"/>
      <c r="M17785" s="160"/>
    </row>
    <row r="17786" spans="1:14" x14ac:dyDescent="0.2">
      <c r="A17786" s="133">
        <v>2026</v>
      </c>
      <c r="B17786" s="133">
        <v>3</v>
      </c>
      <c r="C17786" s="133">
        <v>2</v>
      </c>
      <c r="D17786" s="147">
        <f t="shared" si="2808"/>
        <v>46083</v>
      </c>
      <c r="E17786" s="311">
        <f t="shared" si="2809"/>
        <v>46083</v>
      </c>
      <c r="F17786" s="481"/>
      <c r="G17786" s="174" t="s">
        <v>94</v>
      </c>
      <c r="H17786" s="174"/>
      <c r="J17786" s="149" t="s">
        <v>191</v>
      </c>
      <c r="L17786" s="172">
        <v>475427.04</v>
      </c>
    </row>
    <row r="17787" spans="1:14" ht="10.9" customHeight="1" x14ac:dyDescent="0.2">
      <c r="A17787" s="163">
        <v>2026</v>
      </c>
      <c r="B17787" s="163">
        <v>3</v>
      </c>
      <c r="C17787" s="163">
        <v>2</v>
      </c>
      <c r="D17787" s="144">
        <f t="shared" si="2808"/>
        <v>46083</v>
      </c>
      <c r="E17787" s="313">
        <f t="shared" si="2809"/>
        <v>46083</v>
      </c>
      <c r="F17787" s="480"/>
      <c r="G17787" s="221" t="s">
        <v>94</v>
      </c>
      <c r="H17787" s="221"/>
      <c r="I17787" s="145"/>
      <c r="J17787" s="146" t="s">
        <v>79</v>
      </c>
      <c r="K17787" s="219"/>
      <c r="L17787" s="219">
        <v>1024598.96</v>
      </c>
    </row>
    <row r="17788" spans="1:14" ht="11.25" customHeight="1" x14ac:dyDescent="0.2">
      <c r="A17788" s="168">
        <v>2026</v>
      </c>
      <c r="B17788" s="133">
        <v>3</v>
      </c>
      <c r="C17788" s="168">
        <v>2</v>
      </c>
      <c r="D17788" s="141">
        <f t="shared" si="2806"/>
        <v>46083</v>
      </c>
      <c r="E17788" s="275">
        <f t="shared" si="2807"/>
        <v>46083</v>
      </c>
      <c r="F17788" s="479" t="s">
        <v>2181</v>
      </c>
      <c r="G17788" s="220" t="s">
        <v>74</v>
      </c>
      <c r="H17788" s="220"/>
      <c r="I17788" s="142"/>
      <c r="J17788" s="149" t="s">
        <v>147</v>
      </c>
      <c r="K17788" s="226">
        <v>2911864.31</v>
      </c>
      <c r="L17788" s="226"/>
    </row>
    <row r="17789" spans="1:14" x14ac:dyDescent="0.2">
      <c r="A17789" s="163">
        <v>2026</v>
      </c>
      <c r="B17789" s="163">
        <v>3</v>
      </c>
      <c r="C17789" s="163">
        <v>2</v>
      </c>
      <c r="D17789" s="144">
        <f t="shared" si="2806"/>
        <v>46083</v>
      </c>
      <c r="E17789" s="313">
        <f t="shared" si="2807"/>
        <v>46083</v>
      </c>
      <c r="F17789" s="480"/>
      <c r="G17789" s="221" t="s">
        <v>74</v>
      </c>
      <c r="H17789" s="221"/>
      <c r="I17789" s="145"/>
      <c r="J17789" s="146" t="s">
        <v>52</v>
      </c>
      <c r="K17789" s="219"/>
      <c r="L17789" s="219">
        <f>K17788</f>
        <v>2911864.31</v>
      </c>
      <c r="N17789" s="264"/>
    </row>
    <row r="17790" spans="1:14" x14ac:dyDescent="0.2">
      <c r="A17790" s="168">
        <v>2026</v>
      </c>
      <c r="B17790" s="133">
        <v>3</v>
      </c>
      <c r="C17790" s="168">
        <v>2</v>
      </c>
      <c r="D17790" s="141">
        <f t="shared" si="2806"/>
        <v>46083</v>
      </c>
      <c r="E17790" s="275">
        <f t="shared" si="2807"/>
        <v>46083</v>
      </c>
      <c r="F17790" s="479" t="s">
        <v>1943</v>
      </c>
      <c r="G17790" s="174" t="s">
        <v>74</v>
      </c>
      <c r="I17790" s="148" t="s">
        <v>348</v>
      </c>
      <c r="J17790" s="133" t="s">
        <v>61</v>
      </c>
      <c r="K17790" s="172">
        <v>100</v>
      </c>
    </row>
    <row r="17791" spans="1:14" x14ac:dyDescent="0.2">
      <c r="A17791" s="163">
        <v>2026</v>
      </c>
      <c r="B17791" s="163">
        <v>3</v>
      </c>
      <c r="C17791" s="163">
        <v>2</v>
      </c>
      <c r="D17791" s="144">
        <f t="shared" si="2806"/>
        <v>46083</v>
      </c>
      <c r="E17791" s="313">
        <f t="shared" si="2807"/>
        <v>46083</v>
      </c>
      <c r="F17791" s="480"/>
      <c r="G17791" s="221" t="s">
        <v>74</v>
      </c>
      <c r="H17791" s="145"/>
      <c r="I17791" s="145" t="s">
        <v>348</v>
      </c>
      <c r="J17791" s="163" t="s">
        <v>52</v>
      </c>
      <c r="K17791" s="219"/>
      <c r="L17791" s="219">
        <f>K17790</f>
        <v>100</v>
      </c>
    </row>
    <row r="17792" spans="1:14" ht="11.25" customHeight="1" x14ac:dyDescent="0.2">
      <c r="A17792" s="168">
        <v>2026</v>
      </c>
      <c r="B17792" s="133">
        <v>3</v>
      </c>
      <c r="C17792" s="168">
        <v>2</v>
      </c>
      <c r="D17792" s="141">
        <f t="shared" si="2806"/>
        <v>46083</v>
      </c>
      <c r="E17792" s="275">
        <f t="shared" si="2807"/>
        <v>46083</v>
      </c>
      <c r="F17792" s="479" t="s">
        <v>2121</v>
      </c>
      <c r="G17792" s="220" t="s">
        <v>74</v>
      </c>
      <c r="H17792" s="220"/>
      <c r="I17792" s="142"/>
      <c r="J17792" s="143" t="s">
        <v>52</v>
      </c>
      <c r="K17792" s="226">
        <v>148778.54</v>
      </c>
      <c r="L17792" s="226"/>
    </row>
    <row r="17793" spans="1:14" x14ac:dyDescent="0.2">
      <c r="A17793" s="163">
        <v>2026</v>
      </c>
      <c r="B17793" s="163">
        <v>3</v>
      </c>
      <c r="C17793" s="163">
        <v>2</v>
      </c>
      <c r="D17793" s="144">
        <f t="shared" si="2806"/>
        <v>46083</v>
      </c>
      <c r="E17793" s="313">
        <f t="shared" si="2807"/>
        <v>46083</v>
      </c>
      <c r="F17793" s="480"/>
      <c r="G17793" s="221" t="s">
        <v>74</v>
      </c>
      <c r="H17793" s="221"/>
      <c r="I17793" s="145"/>
      <c r="J17793" s="146" t="s">
        <v>190</v>
      </c>
      <c r="K17793" s="219"/>
      <c r="L17793" s="219">
        <f>K17792</f>
        <v>148778.54</v>
      </c>
      <c r="N17793" s="264"/>
    </row>
    <row r="17794" spans="1:14" x14ac:dyDescent="0.2">
      <c r="A17794" s="168">
        <v>2026</v>
      </c>
      <c r="B17794" s="168">
        <v>3</v>
      </c>
      <c r="C17794" s="168">
        <v>2</v>
      </c>
      <c r="D17794" s="141">
        <f t="shared" si="2806"/>
        <v>46083</v>
      </c>
      <c r="E17794" s="275">
        <f t="shared" si="2807"/>
        <v>46083</v>
      </c>
      <c r="F17794" s="479" t="s">
        <v>2115</v>
      </c>
      <c r="G17794" s="220" t="s">
        <v>94</v>
      </c>
      <c r="H17794" s="220"/>
      <c r="I17794" s="142"/>
      <c r="J17794" s="143" t="s">
        <v>79</v>
      </c>
      <c r="K17794" s="226">
        <v>3974115.6</v>
      </c>
      <c r="L17794" s="226"/>
    </row>
    <row r="17795" spans="1:14" x14ac:dyDescent="0.2">
      <c r="A17795" s="133">
        <v>2026</v>
      </c>
      <c r="B17795" s="133">
        <v>3</v>
      </c>
      <c r="C17795" s="133">
        <v>2</v>
      </c>
      <c r="D17795" s="147">
        <f t="shared" si="2806"/>
        <v>46083</v>
      </c>
      <c r="E17795" s="311">
        <f t="shared" si="2807"/>
        <v>46083</v>
      </c>
      <c r="F17795" s="481"/>
      <c r="G17795" s="174" t="s">
        <v>94</v>
      </c>
      <c r="H17795" s="174"/>
      <c r="J17795" s="149" t="s">
        <v>80</v>
      </c>
      <c r="K17795" s="218">
        <v>10464.15</v>
      </c>
      <c r="L17795" s="264"/>
      <c r="M17795" s="264"/>
      <c r="N17795" s="264"/>
    </row>
    <row r="17796" spans="1:14" x14ac:dyDescent="0.2">
      <c r="A17796" s="133">
        <v>2026</v>
      </c>
      <c r="B17796" s="133">
        <v>3</v>
      </c>
      <c r="C17796" s="133">
        <v>2</v>
      </c>
      <c r="D17796" s="147">
        <f t="shared" si="2806"/>
        <v>46083</v>
      </c>
      <c r="E17796" s="311">
        <f t="shared" si="2807"/>
        <v>46083</v>
      </c>
      <c r="F17796" s="481"/>
      <c r="G17796" s="174" t="s">
        <v>94</v>
      </c>
      <c r="H17796" s="174"/>
      <c r="J17796" s="149" t="s">
        <v>147</v>
      </c>
      <c r="K17796" s="218"/>
      <c r="L17796" s="218">
        <v>2145279.75</v>
      </c>
      <c r="M17796" s="264"/>
    </row>
    <row r="17797" spans="1:14" x14ac:dyDescent="0.2">
      <c r="A17797" s="133">
        <v>2026</v>
      </c>
      <c r="B17797" s="133">
        <v>3</v>
      </c>
      <c r="C17797" s="133">
        <v>2</v>
      </c>
      <c r="D17797" s="147">
        <f t="shared" si="2806"/>
        <v>46083</v>
      </c>
      <c r="E17797" s="311">
        <f t="shared" si="2807"/>
        <v>46083</v>
      </c>
      <c r="F17797" s="481"/>
      <c r="G17797" s="174" t="s">
        <v>94</v>
      </c>
      <c r="H17797" s="174"/>
      <c r="J17797" s="149" t="s">
        <v>191</v>
      </c>
      <c r="K17797" s="218"/>
      <c r="L17797" s="218">
        <v>122426.46</v>
      </c>
    </row>
    <row r="17798" spans="1:14" x14ac:dyDescent="0.2">
      <c r="A17798" s="163">
        <v>2026</v>
      </c>
      <c r="B17798" s="163">
        <v>3</v>
      </c>
      <c r="C17798" s="163">
        <v>2</v>
      </c>
      <c r="D17798" s="144">
        <f t="shared" si="2806"/>
        <v>46083</v>
      </c>
      <c r="E17798" s="313">
        <f t="shared" si="2807"/>
        <v>46083</v>
      </c>
      <c r="F17798" s="480"/>
      <c r="G17798" s="221" t="s">
        <v>94</v>
      </c>
      <c r="H17798" s="145"/>
      <c r="I17798" s="145"/>
      <c r="J17798" s="163" t="s">
        <v>79</v>
      </c>
      <c r="K17798" s="219"/>
      <c r="L17798" s="219">
        <v>1716873.54</v>
      </c>
      <c r="M17798" s="264"/>
    </row>
    <row r="17799" spans="1:14" x14ac:dyDescent="0.2">
      <c r="A17799" s="325">
        <v>2026</v>
      </c>
      <c r="B17799" s="325">
        <v>3</v>
      </c>
      <c r="C17799" s="325">
        <v>2</v>
      </c>
      <c r="D17799" s="326">
        <f t="shared" si="2806"/>
        <v>46083</v>
      </c>
      <c r="E17799" s="327">
        <f t="shared" si="2807"/>
        <v>46083</v>
      </c>
      <c r="F17799" s="473" t="s">
        <v>2131</v>
      </c>
      <c r="G17799" s="340" t="s">
        <v>94</v>
      </c>
      <c r="H17799" s="340"/>
      <c r="I17799" s="341" t="s">
        <v>348</v>
      </c>
      <c r="J17799" s="374" t="s">
        <v>2156</v>
      </c>
      <c r="K17799" s="375">
        <v>6185.4395604395604</v>
      </c>
      <c r="L17799" s="375"/>
      <c r="M17799" s="176"/>
    </row>
    <row r="17800" spans="1:14" x14ac:dyDescent="0.2">
      <c r="A17800" s="331">
        <v>2026</v>
      </c>
      <c r="B17800" s="331">
        <v>3</v>
      </c>
      <c r="C17800" s="331">
        <v>2</v>
      </c>
      <c r="D17800" s="326">
        <f t="shared" si="2806"/>
        <v>46083</v>
      </c>
      <c r="E17800" s="327">
        <f t="shared" si="2807"/>
        <v>46083</v>
      </c>
      <c r="F17800" s="474"/>
      <c r="G17800" s="332" t="s">
        <v>94</v>
      </c>
      <c r="H17800" s="332"/>
      <c r="I17800" s="333" t="s">
        <v>348</v>
      </c>
      <c r="J17800" s="376" t="s">
        <v>2154</v>
      </c>
      <c r="K17800" s="334"/>
      <c r="L17800" s="334">
        <f>K17799</f>
        <v>6185.4395604395604</v>
      </c>
    </row>
    <row r="17801" spans="1:14" x14ac:dyDescent="0.2">
      <c r="A17801" s="384">
        <v>2026</v>
      </c>
      <c r="B17801" s="384">
        <v>3</v>
      </c>
      <c r="C17801" s="384">
        <v>2</v>
      </c>
      <c r="D17801" s="385">
        <f t="shared" si="2806"/>
        <v>46083</v>
      </c>
      <c r="E17801" s="386">
        <f t="shared" si="2807"/>
        <v>46083</v>
      </c>
      <c r="F17801" s="475" t="s">
        <v>1966</v>
      </c>
      <c r="G17801" s="387" t="s">
        <v>94</v>
      </c>
      <c r="H17801" s="387"/>
      <c r="I17801" s="388" t="s">
        <v>348</v>
      </c>
      <c r="J17801" s="389" t="s">
        <v>67</v>
      </c>
      <c r="K17801" s="390">
        <v>1477.7348906944444</v>
      </c>
      <c r="L17801" s="390"/>
    </row>
    <row r="17802" spans="1:14" x14ac:dyDescent="0.2">
      <c r="A17802" s="391">
        <v>2026</v>
      </c>
      <c r="B17802" s="391">
        <v>3</v>
      </c>
      <c r="C17802" s="391">
        <v>2</v>
      </c>
      <c r="D17802" s="385">
        <f t="shared" si="2806"/>
        <v>46083</v>
      </c>
      <c r="E17802" s="386">
        <f t="shared" si="2807"/>
        <v>46083</v>
      </c>
      <c r="F17802" s="476"/>
      <c r="G17802" s="392" t="s">
        <v>94</v>
      </c>
      <c r="H17802" s="392"/>
      <c r="I17802" s="393" t="s">
        <v>348</v>
      </c>
      <c r="J17802" s="394" t="s">
        <v>2155</v>
      </c>
      <c r="K17802" s="395"/>
      <c r="L17802" s="395">
        <f>K17801</f>
        <v>1477.7348906944444</v>
      </c>
    </row>
    <row r="17803" spans="1:14" x14ac:dyDescent="0.2">
      <c r="A17803" s="238">
        <v>2026</v>
      </c>
      <c r="B17803" s="238">
        <v>3</v>
      </c>
      <c r="C17803" s="238">
        <v>2</v>
      </c>
      <c r="D17803" s="270">
        <f t="shared" si="2806"/>
        <v>46083</v>
      </c>
      <c r="E17803" s="279">
        <f t="shared" si="2807"/>
        <v>46083</v>
      </c>
      <c r="F17803" s="477" t="s">
        <v>347</v>
      </c>
      <c r="G17803" s="239" t="s">
        <v>94</v>
      </c>
      <c r="H17803" s="239"/>
      <c r="I17803" s="262" t="s">
        <v>348</v>
      </c>
      <c r="J17803" s="240" t="s">
        <v>108</v>
      </c>
      <c r="K17803" s="241">
        <v>396785.69999998808</v>
      </c>
      <c r="L17803" s="241"/>
      <c r="M17803" s="160"/>
    </row>
    <row r="17804" spans="1:14" x14ac:dyDescent="0.2">
      <c r="A17804" s="242">
        <v>2026</v>
      </c>
      <c r="B17804" s="242">
        <v>3</v>
      </c>
      <c r="C17804" s="242">
        <v>2</v>
      </c>
      <c r="D17804" s="270">
        <f t="shared" si="2806"/>
        <v>46083</v>
      </c>
      <c r="E17804" s="279">
        <f t="shared" si="2807"/>
        <v>46083</v>
      </c>
      <c r="F17804" s="478"/>
      <c r="G17804" s="243" t="s">
        <v>94</v>
      </c>
      <c r="H17804" s="243"/>
      <c r="I17804" s="263" t="s">
        <v>348</v>
      </c>
      <c r="J17804" s="244" t="s">
        <v>82</v>
      </c>
      <c r="K17804" s="245"/>
      <c r="L17804" s="245">
        <f>K17803</f>
        <v>396785.69999998808</v>
      </c>
    </row>
    <row r="17805" spans="1:14" ht="12" customHeight="1" x14ac:dyDescent="0.2">
      <c r="A17805" s="246">
        <v>2026</v>
      </c>
      <c r="B17805" s="238">
        <v>3</v>
      </c>
      <c r="C17805" s="238">
        <v>2</v>
      </c>
      <c r="D17805" s="270">
        <f t="shared" si="2806"/>
        <v>46083</v>
      </c>
      <c r="E17805" s="279">
        <f t="shared" si="2807"/>
        <v>46083</v>
      </c>
      <c r="F17805" s="482" t="s">
        <v>2167</v>
      </c>
      <c r="G17805" s="247" t="s">
        <v>94</v>
      </c>
      <c r="H17805" s="247"/>
      <c r="I17805" s="248" t="s">
        <v>348</v>
      </c>
      <c r="J17805" s="249" t="s">
        <v>95</v>
      </c>
      <c r="K17805" s="250">
        <v>392.46467817896399</v>
      </c>
      <c r="L17805" s="241"/>
      <c r="M17805" s="176"/>
    </row>
    <row r="17806" spans="1:14" x14ac:dyDescent="0.2">
      <c r="A17806" s="242">
        <v>2026</v>
      </c>
      <c r="B17806" s="242">
        <v>3</v>
      </c>
      <c r="C17806" s="242">
        <v>2</v>
      </c>
      <c r="D17806" s="270">
        <f t="shared" si="2806"/>
        <v>46083</v>
      </c>
      <c r="E17806" s="279">
        <f t="shared" si="2807"/>
        <v>46083</v>
      </c>
      <c r="F17806" s="478"/>
      <c r="G17806" s="243" t="s">
        <v>94</v>
      </c>
      <c r="H17806" s="243"/>
      <c r="I17806" s="263" t="s">
        <v>348</v>
      </c>
      <c r="J17806" s="244" t="s">
        <v>63</v>
      </c>
      <c r="K17806" s="245"/>
      <c r="L17806" s="245">
        <f>K17805</f>
        <v>392.46467817896399</v>
      </c>
    </row>
    <row r="17807" spans="1:14" x14ac:dyDescent="0.2">
      <c r="A17807" s="246">
        <v>2026</v>
      </c>
      <c r="B17807" s="238">
        <v>3</v>
      </c>
      <c r="C17807" s="238">
        <v>2</v>
      </c>
      <c r="D17807" s="270">
        <f t="shared" si="2806"/>
        <v>46083</v>
      </c>
      <c r="E17807" s="279">
        <f t="shared" si="2807"/>
        <v>46083</v>
      </c>
      <c r="F17807" s="482" t="s">
        <v>2168</v>
      </c>
      <c r="G17807" s="247" t="s">
        <v>94</v>
      </c>
      <c r="H17807" s="247"/>
      <c r="I17807" s="248" t="s">
        <v>348</v>
      </c>
      <c r="J17807" s="249" t="s">
        <v>97</v>
      </c>
      <c r="K17807" s="250">
        <v>15705.353420300788</v>
      </c>
      <c r="L17807" s="252"/>
    </row>
    <row r="17808" spans="1:14" x14ac:dyDescent="0.2">
      <c r="A17808" s="242">
        <v>2026</v>
      </c>
      <c r="B17808" s="242">
        <v>3</v>
      </c>
      <c r="C17808" s="242">
        <v>2</v>
      </c>
      <c r="D17808" s="270">
        <f t="shared" si="2806"/>
        <v>46083</v>
      </c>
      <c r="E17808" s="279">
        <f t="shared" si="2807"/>
        <v>46083</v>
      </c>
      <c r="F17808" s="478"/>
      <c r="G17808" s="243" t="s">
        <v>94</v>
      </c>
      <c r="H17808" s="243"/>
      <c r="I17808" s="263" t="s">
        <v>348</v>
      </c>
      <c r="J17808" s="244" t="s">
        <v>47</v>
      </c>
      <c r="K17808" s="245"/>
      <c r="L17808" s="245">
        <f>K17807</f>
        <v>15705.353420300788</v>
      </c>
      <c r="M17808" s="170"/>
    </row>
    <row r="17809" spans="1:14" x14ac:dyDescent="0.2">
      <c r="A17809" s="246">
        <v>2026</v>
      </c>
      <c r="B17809" s="238">
        <v>3</v>
      </c>
      <c r="C17809" s="238">
        <v>2</v>
      </c>
      <c r="D17809" s="270">
        <f t="shared" si="2806"/>
        <v>46083</v>
      </c>
      <c r="E17809" s="279">
        <f t="shared" si="2807"/>
        <v>46083</v>
      </c>
      <c r="F17809" s="482" t="s">
        <v>2169</v>
      </c>
      <c r="G17809" s="247" t="s">
        <v>94</v>
      </c>
      <c r="H17809" s="247"/>
      <c r="I17809" s="248" t="s">
        <v>348</v>
      </c>
      <c r="J17809" s="249" t="s">
        <v>100</v>
      </c>
      <c r="K17809" s="250">
        <v>772.29828662811121</v>
      </c>
      <c r="L17809" s="252"/>
      <c r="M17809" s="170"/>
    </row>
    <row r="17810" spans="1:14" x14ac:dyDescent="0.2">
      <c r="A17810" s="242">
        <v>2026</v>
      </c>
      <c r="B17810" s="242">
        <v>3</v>
      </c>
      <c r="C17810" s="242">
        <v>2</v>
      </c>
      <c r="D17810" s="321">
        <f t="shared" si="2806"/>
        <v>46083</v>
      </c>
      <c r="E17810" s="322">
        <f t="shared" si="2807"/>
        <v>46083</v>
      </c>
      <c r="F17810" s="478"/>
      <c r="G17810" s="243" t="s">
        <v>94</v>
      </c>
      <c r="H17810" s="243"/>
      <c r="I17810" s="263" t="s">
        <v>348</v>
      </c>
      <c r="J17810" s="244" t="s">
        <v>48</v>
      </c>
      <c r="K17810" s="245"/>
      <c r="L17810" s="245">
        <f>K17809</f>
        <v>772.29828662811121</v>
      </c>
    </row>
    <row r="17811" spans="1:14" ht="11.25" customHeight="1" x14ac:dyDescent="0.2">
      <c r="A17811" s="168">
        <v>2026</v>
      </c>
      <c r="B17811" s="133">
        <v>3</v>
      </c>
      <c r="C17811" s="168">
        <v>3</v>
      </c>
      <c r="D17811" s="141">
        <f t="shared" ref="D17811:D17833" si="2810">DATE(A17811,B17811,C17811)</f>
        <v>46084</v>
      </c>
      <c r="E17811" s="275">
        <f t="shared" ref="E17811:E17833" si="2811">DATE(A17811,B17811,C17811)</f>
        <v>46084</v>
      </c>
      <c r="F17811" s="479" t="s">
        <v>2181</v>
      </c>
      <c r="G17811" s="220" t="s">
        <v>74</v>
      </c>
      <c r="H17811" s="220"/>
      <c r="I17811" s="142"/>
      <c r="J17811" s="149" t="s">
        <v>147</v>
      </c>
      <c r="K17811" s="226">
        <v>2145279.75</v>
      </c>
      <c r="L17811" s="226"/>
    </row>
    <row r="17812" spans="1:14" x14ac:dyDescent="0.2">
      <c r="A17812" s="163">
        <v>2026</v>
      </c>
      <c r="B17812" s="163">
        <v>3</v>
      </c>
      <c r="C17812" s="163">
        <v>3</v>
      </c>
      <c r="D17812" s="144">
        <f t="shared" si="2810"/>
        <v>46084</v>
      </c>
      <c r="E17812" s="313">
        <f t="shared" si="2811"/>
        <v>46084</v>
      </c>
      <c r="F17812" s="480"/>
      <c r="G17812" s="221" t="s">
        <v>74</v>
      </c>
      <c r="H17812" s="221"/>
      <c r="I17812" s="145"/>
      <c r="J17812" s="146" t="s">
        <v>52</v>
      </c>
      <c r="K17812" s="219"/>
      <c r="L17812" s="219">
        <f>K17811</f>
        <v>2145279.75</v>
      </c>
      <c r="N17812" s="264"/>
    </row>
    <row r="17813" spans="1:14" x14ac:dyDescent="0.2">
      <c r="A17813" s="168">
        <v>2026</v>
      </c>
      <c r="B17813" s="133">
        <v>3</v>
      </c>
      <c r="C17813" s="168">
        <v>3</v>
      </c>
      <c r="D17813" s="141">
        <f t="shared" si="2810"/>
        <v>46084</v>
      </c>
      <c r="E17813" s="275">
        <f t="shared" si="2811"/>
        <v>46084</v>
      </c>
      <c r="F17813" s="479" t="s">
        <v>1943</v>
      </c>
      <c r="G17813" s="174" t="s">
        <v>74</v>
      </c>
      <c r="I17813" s="148" t="s">
        <v>348</v>
      </c>
      <c r="J17813" s="133" t="s">
        <v>61</v>
      </c>
      <c r="K17813" s="172">
        <v>100</v>
      </c>
    </row>
    <row r="17814" spans="1:14" x14ac:dyDescent="0.2">
      <c r="A17814" s="163">
        <v>2026</v>
      </c>
      <c r="B17814" s="163">
        <v>3</v>
      </c>
      <c r="C17814" s="163">
        <v>3</v>
      </c>
      <c r="D17814" s="144">
        <f t="shared" si="2810"/>
        <v>46084</v>
      </c>
      <c r="E17814" s="313">
        <f t="shared" si="2811"/>
        <v>46084</v>
      </c>
      <c r="F17814" s="480"/>
      <c r="G17814" s="221" t="s">
        <v>74</v>
      </c>
      <c r="H17814" s="145"/>
      <c r="I17814" s="145" t="s">
        <v>348</v>
      </c>
      <c r="J17814" s="163" t="s">
        <v>52</v>
      </c>
      <c r="K17814" s="219"/>
      <c r="L17814" s="219">
        <f>K17813</f>
        <v>100</v>
      </c>
    </row>
    <row r="17815" spans="1:14" x14ac:dyDescent="0.2">
      <c r="A17815" s="168">
        <v>2026</v>
      </c>
      <c r="B17815" s="168">
        <v>3</v>
      </c>
      <c r="C17815" s="168">
        <v>3</v>
      </c>
      <c r="D17815" s="141">
        <f>DATE(A17815,B17815,C17815)</f>
        <v>46084</v>
      </c>
      <c r="E17815" s="275">
        <f>DATE(A17815,B17815,C17815)</f>
        <v>46084</v>
      </c>
      <c r="F17815" s="479" t="s">
        <v>2115</v>
      </c>
      <c r="G17815" s="220" t="s">
        <v>94</v>
      </c>
      <c r="H17815" s="220"/>
      <c r="I17815" s="142"/>
      <c r="J17815" s="143" t="s">
        <v>79</v>
      </c>
      <c r="K17815" s="226">
        <v>9087557.8000000007</v>
      </c>
      <c r="L17815" s="226"/>
    </row>
    <row r="17816" spans="1:14" x14ac:dyDescent="0.2">
      <c r="A17816" s="133">
        <v>2026</v>
      </c>
      <c r="B17816" s="133">
        <v>3</v>
      </c>
      <c r="C17816" s="133">
        <v>3</v>
      </c>
      <c r="D17816" s="147">
        <f>DATE(A17816,B17816,C17816)</f>
        <v>46084</v>
      </c>
      <c r="E17816" s="311">
        <f>DATE(A17816,B17816,C17816)</f>
        <v>46084</v>
      </c>
      <c r="F17816" s="481"/>
      <c r="G17816" s="174" t="s">
        <v>94</v>
      </c>
      <c r="H17816" s="174"/>
      <c r="J17816" s="149" t="s">
        <v>80</v>
      </c>
      <c r="K17816" s="218">
        <v>32082.81</v>
      </c>
      <c r="L17816" s="264"/>
      <c r="M17816" s="264"/>
      <c r="N17816" s="264"/>
    </row>
    <row r="17817" spans="1:14" x14ac:dyDescent="0.2">
      <c r="A17817" s="133">
        <v>2026</v>
      </c>
      <c r="B17817" s="133">
        <v>3</v>
      </c>
      <c r="C17817" s="133">
        <v>3</v>
      </c>
      <c r="D17817" s="147">
        <f>DATE(A17817,B17817,C17817)</f>
        <v>46084</v>
      </c>
      <c r="E17817" s="311">
        <f>DATE(A17817,B17817,C17817)</f>
        <v>46084</v>
      </c>
      <c r="F17817" s="481"/>
      <c r="G17817" s="174" t="s">
        <v>94</v>
      </c>
      <c r="H17817" s="174"/>
      <c r="J17817" s="149" t="s">
        <v>147</v>
      </c>
      <c r="K17817" s="218"/>
      <c r="L17817" s="218">
        <v>383413.11</v>
      </c>
      <c r="M17817" s="264"/>
    </row>
    <row r="17818" spans="1:14" x14ac:dyDescent="0.2">
      <c r="A17818" s="133">
        <v>2026</v>
      </c>
      <c r="B17818" s="133">
        <v>3</v>
      </c>
      <c r="C17818" s="133">
        <v>3</v>
      </c>
      <c r="D17818" s="147">
        <f>DATE(A17818,B17818,C17818)</f>
        <v>46084</v>
      </c>
      <c r="E17818" s="311">
        <f>DATE(A17818,B17818,C17818)</f>
        <v>46084</v>
      </c>
      <c r="F17818" s="481"/>
      <c r="G17818" s="174" t="s">
        <v>94</v>
      </c>
      <c r="H17818" s="174"/>
      <c r="J17818" s="149" t="s">
        <v>191</v>
      </c>
      <c r="K17818" s="218"/>
      <c r="L17818" s="218">
        <v>311306.12</v>
      </c>
    </row>
    <row r="17819" spans="1:14" x14ac:dyDescent="0.2">
      <c r="A17819" s="163">
        <v>2026</v>
      </c>
      <c r="B17819" s="163">
        <v>3</v>
      </c>
      <c r="C17819" s="163">
        <v>3</v>
      </c>
      <c r="D17819" s="144">
        <f>DATE(A17819,B17819,C17819)</f>
        <v>46084</v>
      </c>
      <c r="E17819" s="313">
        <f>DATE(A17819,B17819,C17819)</f>
        <v>46084</v>
      </c>
      <c r="F17819" s="480"/>
      <c r="G17819" s="221" t="s">
        <v>94</v>
      </c>
      <c r="H17819" s="145"/>
      <c r="I17819" s="145"/>
      <c r="J17819" s="163" t="s">
        <v>79</v>
      </c>
      <c r="K17819" s="219"/>
      <c r="L17819" s="219">
        <v>8424921.3800000008</v>
      </c>
      <c r="M17819" s="264"/>
    </row>
    <row r="17820" spans="1:14" ht="11.25" customHeight="1" x14ac:dyDescent="0.2">
      <c r="A17820" s="168">
        <v>2026</v>
      </c>
      <c r="B17820" s="133">
        <v>3</v>
      </c>
      <c r="C17820" s="168">
        <v>3</v>
      </c>
      <c r="D17820" s="141">
        <f t="shared" ref="D17820:D17821" si="2812">DATE(A17820,B17820,C17820)</f>
        <v>46084</v>
      </c>
      <c r="E17820" s="275">
        <f t="shared" ref="E17820:E17821" si="2813">DATE(A17820,B17820,C17820)</f>
        <v>46084</v>
      </c>
      <c r="F17820" s="479" t="s">
        <v>2171</v>
      </c>
      <c r="G17820" s="220" t="s">
        <v>74</v>
      </c>
      <c r="H17820" s="220"/>
      <c r="I17820" s="142"/>
      <c r="J17820" s="143" t="s">
        <v>52</v>
      </c>
      <c r="K17820" s="226">
        <v>181052.61</v>
      </c>
      <c r="L17820" s="226"/>
    </row>
    <row r="17821" spans="1:14" x14ac:dyDescent="0.2">
      <c r="A17821" s="163">
        <v>2026</v>
      </c>
      <c r="B17821" s="163">
        <v>3</v>
      </c>
      <c r="C17821" s="163">
        <v>3</v>
      </c>
      <c r="D17821" s="144">
        <f t="shared" si="2812"/>
        <v>46084</v>
      </c>
      <c r="E17821" s="313">
        <f t="shared" si="2813"/>
        <v>46084</v>
      </c>
      <c r="F17821" s="480"/>
      <c r="G17821" s="221" t="s">
        <v>74</v>
      </c>
      <c r="H17821" s="221"/>
      <c r="I17821" s="145"/>
      <c r="J17821" s="146" t="s">
        <v>190</v>
      </c>
      <c r="K17821" s="219"/>
      <c r="L17821" s="219">
        <f>K17820</f>
        <v>181052.61</v>
      </c>
      <c r="N17821" s="264"/>
    </row>
    <row r="17822" spans="1:14" x14ac:dyDescent="0.2">
      <c r="A17822" s="325">
        <v>2026</v>
      </c>
      <c r="B17822" s="325">
        <v>3</v>
      </c>
      <c r="C17822" s="325">
        <v>3</v>
      </c>
      <c r="D17822" s="326">
        <f t="shared" si="2810"/>
        <v>46084</v>
      </c>
      <c r="E17822" s="327">
        <f t="shared" si="2811"/>
        <v>46084</v>
      </c>
      <c r="F17822" s="473" t="s">
        <v>2131</v>
      </c>
      <c r="G17822" s="340" t="s">
        <v>94</v>
      </c>
      <c r="H17822" s="340"/>
      <c r="I17822" s="341" t="s">
        <v>348</v>
      </c>
      <c r="J17822" s="374" t="s">
        <v>2156</v>
      </c>
      <c r="K17822" s="375">
        <v>6185.4395604395604</v>
      </c>
      <c r="L17822" s="375"/>
      <c r="M17822" s="176"/>
    </row>
    <row r="17823" spans="1:14" x14ac:dyDescent="0.2">
      <c r="A17823" s="331">
        <v>2026</v>
      </c>
      <c r="B17823" s="331">
        <v>3</v>
      </c>
      <c r="C17823" s="331">
        <v>3</v>
      </c>
      <c r="D17823" s="326">
        <f t="shared" si="2810"/>
        <v>46084</v>
      </c>
      <c r="E17823" s="327">
        <f t="shared" si="2811"/>
        <v>46084</v>
      </c>
      <c r="F17823" s="474"/>
      <c r="G17823" s="332" t="s">
        <v>94</v>
      </c>
      <c r="H17823" s="332"/>
      <c r="I17823" s="333" t="s">
        <v>348</v>
      </c>
      <c r="J17823" s="376" t="s">
        <v>2154</v>
      </c>
      <c r="K17823" s="334"/>
      <c r="L17823" s="334">
        <f>K17822</f>
        <v>6185.4395604395604</v>
      </c>
    </row>
    <row r="17824" spans="1:14" x14ac:dyDescent="0.2">
      <c r="A17824" s="384">
        <v>2026</v>
      </c>
      <c r="B17824" s="384">
        <v>3</v>
      </c>
      <c r="C17824" s="384">
        <v>3</v>
      </c>
      <c r="D17824" s="385">
        <f t="shared" si="2810"/>
        <v>46084</v>
      </c>
      <c r="E17824" s="386">
        <f t="shared" si="2811"/>
        <v>46084</v>
      </c>
      <c r="F17824" s="475" t="s">
        <v>1966</v>
      </c>
      <c r="G17824" s="387" t="s">
        <v>94</v>
      </c>
      <c r="H17824" s="387"/>
      <c r="I17824" s="388" t="s">
        <v>348</v>
      </c>
      <c r="J17824" s="389" t="s">
        <v>67</v>
      </c>
      <c r="K17824" s="390">
        <v>1030.7807761111112</v>
      </c>
      <c r="L17824" s="390"/>
    </row>
    <row r="17825" spans="1:14" x14ac:dyDescent="0.2">
      <c r="A17825" s="391">
        <v>2026</v>
      </c>
      <c r="B17825" s="391">
        <v>3</v>
      </c>
      <c r="C17825" s="391">
        <v>3</v>
      </c>
      <c r="D17825" s="385">
        <f t="shared" si="2810"/>
        <v>46084</v>
      </c>
      <c r="E17825" s="386">
        <f t="shared" si="2811"/>
        <v>46084</v>
      </c>
      <c r="F17825" s="476"/>
      <c r="G17825" s="392" t="s">
        <v>94</v>
      </c>
      <c r="H17825" s="392"/>
      <c r="I17825" s="393" t="s">
        <v>348</v>
      </c>
      <c r="J17825" s="394" t="s">
        <v>2155</v>
      </c>
      <c r="K17825" s="395"/>
      <c r="L17825" s="395">
        <f>K17824</f>
        <v>1030.7807761111112</v>
      </c>
    </row>
    <row r="17826" spans="1:14" x14ac:dyDescent="0.2">
      <c r="A17826" s="238">
        <v>2026</v>
      </c>
      <c r="B17826" s="238">
        <v>3</v>
      </c>
      <c r="C17826" s="238">
        <v>3</v>
      </c>
      <c r="D17826" s="270">
        <f t="shared" si="2810"/>
        <v>46084</v>
      </c>
      <c r="E17826" s="279">
        <f t="shared" si="2811"/>
        <v>46084</v>
      </c>
      <c r="F17826" s="477" t="s">
        <v>347</v>
      </c>
      <c r="G17826" s="239" t="s">
        <v>94</v>
      </c>
      <c r="H17826" s="239"/>
      <c r="I17826" s="262" t="s">
        <v>348</v>
      </c>
      <c r="J17826" s="240" t="s">
        <v>82</v>
      </c>
      <c r="K17826" s="241">
        <v>11370759.120000035</v>
      </c>
      <c r="L17826" s="241"/>
      <c r="M17826" s="160"/>
    </row>
    <row r="17827" spans="1:14" x14ac:dyDescent="0.2">
      <c r="A17827" s="242">
        <v>2026</v>
      </c>
      <c r="B17827" s="242">
        <v>3</v>
      </c>
      <c r="C17827" s="242">
        <v>3</v>
      </c>
      <c r="D17827" s="270">
        <f t="shared" si="2810"/>
        <v>46084</v>
      </c>
      <c r="E17827" s="279">
        <f t="shared" si="2811"/>
        <v>46084</v>
      </c>
      <c r="F17827" s="478"/>
      <c r="G17827" s="243" t="s">
        <v>94</v>
      </c>
      <c r="H17827" s="243"/>
      <c r="I17827" s="263" t="s">
        <v>348</v>
      </c>
      <c r="J17827" s="244" t="s">
        <v>108</v>
      </c>
      <c r="K17827" s="245"/>
      <c r="L17827" s="245">
        <f>K17826</f>
        <v>11370759.120000035</v>
      </c>
    </row>
    <row r="17828" spans="1:14" ht="12" customHeight="1" x14ac:dyDescent="0.2">
      <c r="A17828" s="246">
        <v>2026</v>
      </c>
      <c r="B17828" s="238">
        <v>3</v>
      </c>
      <c r="C17828" s="238">
        <v>3</v>
      </c>
      <c r="D17828" s="270">
        <f t="shared" si="2810"/>
        <v>46084</v>
      </c>
      <c r="E17828" s="279">
        <f t="shared" si="2811"/>
        <v>46084</v>
      </c>
      <c r="F17828" s="482" t="s">
        <v>2167</v>
      </c>
      <c r="G17828" s="247" t="s">
        <v>94</v>
      </c>
      <c r="H17828" s="247"/>
      <c r="I17828" s="248" t="s">
        <v>348</v>
      </c>
      <c r="J17828" s="249" t="s">
        <v>95</v>
      </c>
      <c r="K17828" s="250">
        <v>392.46467817896399</v>
      </c>
      <c r="L17828" s="241"/>
      <c r="M17828" s="176"/>
    </row>
    <row r="17829" spans="1:14" x14ac:dyDescent="0.2">
      <c r="A17829" s="242">
        <v>2026</v>
      </c>
      <c r="B17829" s="242">
        <v>3</v>
      </c>
      <c r="C17829" s="242">
        <v>3</v>
      </c>
      <c r="D17829" s="270">
        <f t="shared" si="2810"/>
        <v>46084</v>
      </c>
      <c r="E17829" s="279">
        <f t="shared" si="2811"/>
        <v>46084</v>
      </c>
      <c r="F17829" s="478"/>
      <c r="G17829" s="243" t="s">
        <v>94</v>
      </c>
      <c r="H17829" s="243"/>
      <c r="I17829" s="263" t="s">
        <v>348</v>
      </c>
      <c r="J17829" s="244" t="s">
        <v>63</v>
      </c>
      <c r="K17829" s="245"/>
      <c r="L17829" s="245">
        <f>K17828</f>
        <v>392.46467817896399</v>
      </c>
    </row>
    <row r="17830" spans="1:14" x14ac:dyDescent="0.2">
      <c r="A17830" s="246">
        <v>2026</v>
      </c>
      <c r="B17830" s="238">
        <v>3</v>
      </c>
      <c r="C17830" s="238">
        <v>3</v>
      </c>
      <c r="D17830" s="270">
        <f t="shared" si="2810"/>
        <v>46084</v>
      </c>
      <c r="E17830" s="279">
        <f t="shared" si="2811"/>
        <v>46084</v>
      </c>
      <c r="F17830" s="482" t="s">
        <v>2168</v>
      </c>
      <c r="G17830" s="247" t="s">
        <v>94</v>
      </c>
      <c r="H17830" s="247"/>
      <c r="I17830" s="248" t="s">
        <v>348</v>
      </c>
      <c r="J17830" s="249" t="s">
        <v>97</v>
      </c>
      <c r="K17830" s="250">
        <v>15247.882690655932</v>
      </c>
      <c r="L17830" s="252"/>
    </row>
    <row r="17831" spans="1:14" x14ac:dyDescent="0.2">
      <c r="A17831" s="242">
        <v>2026</v>
      </c>
      <c r="B17831" s="242">
        <v>3</v>
      </c>
      <c r="C17831" s="242">
        <v>3</v>
      </c>
      <c r="D17831" s="270">
        <f t="shared" si="2810"/>
        <v>46084</v>
      </c>
      <c r="E17831" s="279">
        <f t="shared" si="2811"/>
        <v>46084</v>
      </c>
      <c r="F17831" s="478"/>
      <c r="G17831" s="243" t="s">
        <v>94</v>
      </c>
      <c r="H17831" s="243"/>
      <c r="I17831" s="263" t="s">
        <v>348</v>
      </c>
      <c r="J17831" s="244" t="s">
        <v>47</v>
      </c>
      <c r="K17831" s="245"/>
      <c r="L17831" s="245">
        <f>K17830</f>
        <v>15247.882690655932</v>
      </c>
      <c r="M17831" s="170"/>
    </row>
    <row r="17832" spans="1:14" x14ac:dyDescent="0.2">
      <c r="A17832" s="238">
        <v>2026</v>
      </c>
      <c r="B17832" s="238">
        <v>3</v>
      </c>
      <c r="C17832" s="238">
        <v>3</v>
      </c>
      <c r="D17832" s="270">
        <f t="shared" si="2810"/>
        <v>46084</v>
      </c>
      <c r="E17832" s="279">
        <f t="shared" si="2811"/>
        <v>46084</v>
      </c>
      <c r="F17832" s="477" t="s">
        <v>2169</v>
      </c>
      <c r="G17832" s="239" t="s">
        <v>94</v>
      </c>
      <c r="H17832" s="239"/>
      <c r="I17832" s="262" t="s">
        <v>348</v>
      </c>
      <c r="J17832" s="240" t="s">
        <v>100</v>
      </c>
      <c r="K17832" s="241">
        <v>741.8002379851207</v>
      </c>
      <c r="L17832" s="241"/>
      <c r="M17832" s="170"/>
    </row>
    <row r="17833" spans="1:14" x14ac:dyDescent="0.2">
      <c r="A17833" s="242">
        <v>2026</v>
      </c>
      <c r="B17833" s="242">
        <v>3</v>
      </c>
      <c r="C17833" s="242">
        <v>3</v>
      </c>
      <c r="D17833" s="321">
        <f t="shared" si="2810"/>
        <v>46084</v>
      </c>
      <c r="E17833" s="322">
        <f t="shared" si="2811"/>
        <v>46084</v>
      </c>
      <c r="F17833" s="478"/>
      <c r="G17833" s="243" t="s">
        <v>94</v>
      </c>
      <c r="H17833" s="243"/>
      <c r="I17833" s="263" t="s">
        <v>348</v>
      </c>
      <c r="J17833" s="244" t="s">
        <v>48</v>
      </c>
      <c r="K17833" s="245"/>
      <c r="L17833" s="245">
        <f>K17832</f>
        <v>741.8002379851207</v>
      </c>
    </row>
    <row r="17834" spans="1:14" ht="11.25" customHeight="1" x14ac:dyDescent="0.2">
      <c r="A17834" s="133">
        <v>2026</v>
      </c>
      <c r="B17834" s="133">
        <v>3</v>
      </c>
      <c r="C17834" s="133">
        <v>4</v>
      </c>
      <c r="D17834" s="147">
        <f t="shared" ref="D17834:D17857" si="2814">DATE(A17834,B17834,C17834)</f>
        <v>46085</v>
      </c>
      <c r="E17834" s="311">
        <f t="shared" ref="E17834:E17857" si="2815">DATE(A17834,B17834,C17834)</f>
        <v>46085</v>
      </c>
      <c r="F17834" s="481" t="s">
        <v>2181</v>
      </c>
      <c r="G17834" s="174" t="s">
        <v>74</v>
      </c>
      <c r="H17834" s="174"/>
      <c r="J17834" s="149" t="s">
        <v>147</v>
      </c>
      <c r="K17834" s="218">
        <v>383413.11</v>
      </c>
      <c r="L17834" s="218"/>
    </row>
    <row r="17835" spans="1:14" x14ac:dyDescent="0.2">
      <c r="A17835" s="163">
        <v>2026</v>
      </c>
      <c r="B17835" s="163">
        <v>3</v>
      </c>
      <c r="C17835" s="163">
        <v>4</v>
      </c>
      <c r="D17835" s="144">
        <f t="shared" si="2814"/>
        <v>46085</v>
      </c>
      <c r="E17835" s="313">
        <f t="shared" si="2815"/>
        <v>46085</v>
      </c>
      <c r="F17835" s="480"/>
      <c r="G17835" s="221" t="s">
        <v>74</v>
      </c>
      <c r="H17835" s="221"/>
      <c r="I17835" s="145"/>
      <c r="J17835" s="146" t="s">
        <v>52</v>
      </c>
      <c r="K17835" s="219"/>
      <c r="L17835" s="219">
        <f>K17834</f>
        <v>383413.11</v>
      </c>
      <c r="N17835" s="264"/>
    </row>
    <row r="17836" spans="1:14" x14ac:dyDescent="0.2">
      <c r="A17836" s="168">
        <v>2026</v>
      </c>
      <c r="B17836" s="133">
        <v>3</v>
      </c>
      <c r="C17836" s="168">
        <v>4</v>
      </c>
      <c r="D17836" s="141">
        <f t="shared" si="2814"/>
        <v>46085</v>
      </c>
      <c r="E17836" s="275">
        <f t="shared" si="2815"/>
        <v>46085</v>
      </c>
      <c r="F17836" s="479" t="s">
        <v>1943</v>
      </c>
      <c r="G17836" s="174" t="s">
        <v>74</v>
      </c>
      <c r="I17836" s="148" t="s">
        <v>348</v>
      </c>
      <c r="J17836" s="133" t="s">
        <v>61</v>
      </c>
      <c r="K17836" s="172">
        <v>58</v>
      </c>
    </row>
    <row r="17837" spans="1:14" x14ac:dyDescent="0.2">
      <c r="A17837" s="163">
        <v>2026</v>
      </c>
      <c r="B17837" s="163">
        <v>3</v>
      </c>
      <c r="C17837" s="163">
        <v>4</v>
      </c>
      <c r="D17837" s="144">
        <f t="shared" si="2814"/>
        <v>46085</v>
      </c>
      <c r="E17837" s="313">
        <f t="shared" si="2815"/>
        <v>46085</v>
      </c>
      <c r="F17837" s="480"/>
      <c r="G17837" s="221" t="s">
        <v>74</v>
      </c>
      <c r="H17837" s="145"/>
      <c r="I17837" s="145" t="s">
        <v>348</v>
      </c>
      <c r="J17837" s="163" t="s">
        <v>52</v>
      </c>
      <c r="K17837" s="219"/>
      <c r="L17837" s="219">
        <f>K17836</f>
        <v>58</v>
      </c>
    </row>
    <row r="17838" spans="1:14" x14ac:dyDescent="0.2">
      <c r="A17838" s="168">
        <v>2026</v>
      </c>
      <c r="B17838" s="168">
        <v>3</v>
      </c>
      <c r="C17838" s="168">
        <v>4</v>
      </c>
      <c r="D17838" s="141">
        <f>DATE(A17838,B17838,C17838)</f>
        <v>46085</v>
      </c>
      <c r="E17838" s="275">
        <f>DATE(A17838,B17838,C17838)</f>
        <v>46085</v>
      </c>
      <c r="F17838" s="479" t="s">
        <v>2115</v>
      </c>
      <c r="G17838" s="220" t="s">
        <v>94</v>
      </c>
      <c r="H17838" s="220"/>
      <c r="I17838" s="142"/>
      <c r="J17838" s="143" t="s">
        <v>79</v>
      </c>
      <c r="K17838" s="226">
        <v>4734626.4000000004</v>
      </c>
      <c r="L17838" s="226"/>
    </row>
    <row r="17839" spans="1:14" x14ac:dyDescent="0.2">
      <c r="A17839" s="133">
        <v>2026</v>
      </c>
      <c r="B17839" s="133">
        <v>3</v>
      </c>
      <c r="C17839" s="133">
        <v>4</v>
      </c>
      <c r="D17839" s="147">
        <f>DATE(A17839,B17839,C17839)</f>
        <v>46085</v>
      </c>
      <c r="E17839" s="311">
        <f>DATE(A17839,B17839,C17839)</f>
        <v>46085</v>
      </c>
      <c r="F17839" s="481"/>
      <c r="G17839" s="174" t="s">
        <v>94</v>
      </c>
      <c r="H17839" s="174"/>
      <c r="J17839" s="149" t="s">
        <v>80</v>
      </c>
      <c r="K17839" s="218">
        <v>14598.88</v>
      </c>
      <c r="L17839" s="264"/>
      <c r="M17839" s="264"/>
      <c r="N17839" s="264"/>
    </row>
    <row r="17840" spans="1:14" x14ac:dyDescent="0.2">
      <c r="A17840" s="133">
        <v>2026</v>
      </c>
      <c r="B17840" s="133">
        <v>3</v>
      </c>
      <c r="C17840" s="133">
        <v>4</v>
      </c>
      <c r="D17840" s="147">
        <f>DATE(A17840,B17840,C17840)</f>
        <v>46085</v>
      </c>
      <c r="E17840" s="311">
        <f>DATE(A17840,B17840,C17840)</f>
        <v>46085</v>
      </c>
      <c r="F17840" s="481"/>
      <c r="G17840" s="174" t="s">
        <v>94</v>
      </c>
      <c r="H17840" s="174"/>
      <c r="J17840" s="149" t="s">
        <v>147</v>
      </c>
      <c r="K17840" s="218"/>
      <c r="L17840" s="218">
        <v>1373364.28</v>
      </c>
      <c r="M17840" s="264"/>
    </row>
    <row r="17841" spans="1:13" x14ac:dyDescent="0.2">
      <c r="A17841" s="133">
        <v>2026</v>
      </c>
      <c r="B17841" s="133">
        <v>3</v>
      </c>
      <c r="C17841" s="133">
        <v>4</v>
      </c>
      <c r="D17841" s="147">
        <f>DATE(A17841,B17841,C17841)</f>
        <v>46085</v>
      </c>
      <c r="E17841" s="311">
        <f>DATE(A17841,B17841,C17841)</f>
        <v>46085</v>
      </c>
      <c r="F17841" s="481"/>
      <c r="G17841" s="174" t="s">
        <v>94</v>
      </c>
      <c r="H17841" s="174"/>
      <c r="J17841" s="149" t="s">
        <v>191</v>
      </c>
      <c r="K17841" s="218"/>
      <c r="L17841" s="218">
        <v>135477.99</v>
      </c>
    </row>
    <row r="17842" spans="1:13" x14ac:dyDescent="0.2">
      <c r="A17842" s="163">
        <v>2026</v>
      </c>
      <c r="B17842" s="163">
        <v>3</v>
      </c>
      <c r="C17842" s="163">
        <v>4</v>
      </c>
      <c r="D17842" s="144">
        <f>DATE(A17842,B17842,C17842)</f>
        <v>46085</v>
      </c>
      <c r="E17842" s="313">
        <f>DATE(A17842,B17842,C17842)</f>
        <v>46085</v>
      </c>
      <c r="F17842" s="480"/>
      <c r="G17842" s="221" t="s">
        <v>94</v>
      </c>
      <c r="H17842" s="145"/>
      <c r="I17842" s="145"/>
      <c r="J17842" s="163" t="s">
        <v>79</v>
      </c>
      <c r="K17842" s="219"/>
      <c r="L17842" s="219">
        <v>3240383.01</v>
      </c>
      <c r="M17842" s="264"/>
    </row>
    <row r="17843" spans="1:13" x14ac:dyDescent="0.2">
      <c r="A17843" s="325">
        <v>2026</v>
      </c>
      <c r="B17843" s="325">
        <v>3</v>
      </c>
      <c r="C17843" s="325">
        <v>4</v>
      </c>
      <c r="D17843" s="326">
        <f t="shared" si="2814"/>
        <v>46085</v>
      </c>
      <c r="E17843" s="327">
        <f t="shared" si="2815"/>
        <v>46085</v>
      </c>
      <c r="F17843" s="473" t="s">
        <v>2131</v>
      </c>
      <c r="G17843" s="340" t="s">
        <v>94</v>
      </c>
      <c r="H17843" s="340"/>
      <c r="I17843" s="341" t="s">
        <v>348</v>
      </c>
      <c r="J17843" s="374" t="s">
        <v>2156</v>
      </c>
      <c r="K17843" s="375">
        <v>6185.4395604395604</v>
      </c>
      <c r="L17843" s="375"/>
      <c r="M17843" s="176"/>
    </row>
    <row r="17844" spans="1:13" x14ac:dyDescent="0.2">
      <c r="A17844" s="331">
        <v>2026</v>
      </c>
      <c r="B17844" s="331">
        <v>3</v>
      </c>
      <c r="C17844" s="331">
        <v>4</v>
      </c>
      <c r="D17844" s="326">
        <f t="shared" si="2814"/>
        <v>46085</v>
      </c>
      <c r="E17844" s="327">
        <f t="shared" si="2815"/>
        <v>46085</v>
      </c>
      <c r="F17844" s="474"/>
      <c r="G17844" s="332" t="s">
        <v>94</v>
      </c>
      <c r="H17844" s="332"/>
      <c r="I17844" s="333" t="s">
        <v>348</v>
      </c>
      <c r="J17844" s="376" t="s">
        <v>2154</v>
      </c>
      <c r="K17844" s="334"/>
      <c r="L17844" s="334">
        <f>K17843</f>
        <v>6185.4395604395604</v>
      </c>
    </row>
    <row r="17845" spans="1:13" x14ac:dyDescent="0.2">
      <c r="A17845" s="384">
        <v>2026</v>
      </c>
      <c r="B17845" s="384">
        <v>3</v>
      </c>
      <c r="C17845" s="384">
        <v>4</v>
      </c>
      <c r="D17845" s="385">
        <f t="shared" si="2814"/>
        <v>46085</v>
      </c>
      <c r="E17845" s="386">
        <f t="shared" si="2815"/>
        <v>46085</v>
      </c>
      <c r="F17845" s="475" t="s">
        <v>1966</v>
      </c>
      <c r="G17845" s="387" t="s">
        <v>94</v>
      </c>
      <c r="H17845" s="387"/>
      <c r="I17845" s="388" t="s">
        <v>348</v>
      </c>
      <c r="J17845" s="389" t="s">
        <v>67</v>
      </c>
      <c r="K17845" s="390">
        <v>950.89096152777768</v>
      </c>
      <c r="L17845" s="390"/>
    </row>
    <row r="17846" spans="1:13" x14ac:dyDescent="0.2">
      <c r="A17846" s="391">
        <v>2026</v>
      </c>
      <c r="B17846" s="391">
        <v>3</v>
      </c>
      <c r="C17846" s="391">
        <v>4</v>
      </c>
      <c r="D17846" s="385">
        <f t="shared" si="2814"/>
        <v>46085</v>
      </c>
      <c r="E17846" s="386">
        <f t="shared" si="2815"/>
        <v>46085</v>
      </c>
      <c r="F17846" s="476"/>
      <c r="G17846" s="392" t="s">
        <v>94</v>
      </c>
      <c r="H17846" s="392"/>
      <c r="I17846" s="393" t="s">
        <v>348</v>
      </c>
      <c r="J17846" s="394" t="s">
        <v>2155</v>
      </c>
      <c r="K17846" s="395"/>
      <c r="L17846" s="395">
        <f>K17845</f>
        <v>950.89096152777768</v>
      </c>
    </row>
    <row r="17847" spans="1:13" x14ac:dyDescent="0.2">
      <c r="A17847" s="238">
        <v>2026</v>
      </c>
      <c r="B17847" s="238">
        <v>3</v>
      </c>
      <c r="C17847" s="238">
        <v>4</v>
      </c>
      <c r="D17847" s="270">
        <f t="shared" si="2814"/>
        <v>46085</v>
      </c>
      <c r="E17847" s="279">
        <f t="shared" si="2815"/>
        <v>46085</v>
      </c>
      <c r="F17847" s="477" t="s">
        <v>347</v>
      </c>
      <c r="G17847" s="239" t="s">
        <v>94</v>
      </c>
      <c r="H17847" s="239"/>
      <c r="I17847" s="262" t="s">
        <v>348</v>
      </c>
      <c r="J17847" s="240" t="s">
        <v>108</v>
      </c>
      <c r="K17847" s="241">
        <v>643561.51000002027</v>
      </c>
      <c r="L17847" s="241"/>
      <c r="M17847" s="160"/>
    </row>
    <row r="17848" spans="1:13" x14ac:dyDescent="0.2">
      <c r="A17848" s="242">
        <v>2026</v>
      </c>
      <c r="B17848" s="242">
        <v>3</v>
      </c>
      <c r="C17848" s="242">
        <v>4</v>
      </c>
      <c r="D17848" s="270">
        <f t="shared" si="2814"/>
        <v>46085</v>
      </c>
      <c r="E17848" s="279">
        <f t="shared" si="2815"/>
        <v>46085</v>
      </c>
      <c r="F17848" s="478"/>
      <c r="G17848" s="243" t="s">
        <v>94</v>
      </c>
      <c r="H17848" s="243"/>
      <c r="I17848" s="263" t="s">
        <v>348</v>
      </c>
      <c r="J17848" s="244" t="s">
        <v>82</v>
      </c>
      <c r="K17848" s="245"/>
      <c r="L17848" s="245">
        <f>K17847</f>
        <v>643561.51000002027</v>
      </c>
    </row>
    <row r="17849" spans="1:13" ht="12" customHeight="1" x14ac:dyDescent="0.2">
      <c r="A17849" s="246">
        <v>2026</v>
      </c>
      <c r="B17849" s="238">
        <v>3</v>
      </c>
      <c r="C17849" s="238">
        <v>4</v>
      </c>
      <c r="D17849" s="270">
        <f t="shared" si="2814"/>
        <v>46085</v>
      </c>
      <c r="E17849" s="279">
        <f t="shared" si="2815"/>
        <v>46085</v>
      </c>
      <c r="F17849" s="482" t="s">
        <v>2167</v>
      </c>
      <c r="G17849" s="247" t="s">
        <v>94</v>
      </c>
      <c r="H17849" s="247"/>
      <c r="I17849" s="248" t="s">
        <v>348</v>
      </c>
      <c r="J17849" s="249" t="s">
        <v>95</v>
      </c>
      <c r="K17849" s="250">
        <v>392.46467817896399</v>
      </c>
      <c r="L17849" s="241"/>
      <c r="M17849" s="176"/>
    </row>
    <row r="17850" spans="1:13" x14ac:dyDescent="0.2">
      <c r="A17850" s="242">
        <v>2026</v>
      </c>
      <c r="B17850" s="242">
        <v>3</v>
      </c>
      <c r="C17850" s="242">
        <v>4</v>
      </c>
      <c r="D17850" s="270">
        <f t="shared" si="2814"/>
        <v>46085</v>
      </c>
      <c r="E17850" s="279">
        <f t="shared" si="2815"/>
        <v>46085</v>
      </c>
      <c r="F17850" s="478"/>
      <c r="G17850" s="243" t="s">
        <v>94</v>
      </c>
      <c r="H17850" s="243"/>
      <c r="I17850" s="263" t="s">
        <v>348</v>
      </c>
      <c r="J17850" s="244" t="s">
        <v>63</v>
      </c>
      <c r="K17850" s="245"/>
      <c r="L17850" s="245">
        <f>K17849</f>
        <v>392.46467817896399</v>
      </c>
    </row>
    <row r="17851" spans="1:13" x14ac:dyDescent="0.2">
      <c r="A17851" s="246">
        <v>2026</v>
      </c>
      <c r="B17851" s="238">
        <v>3</v>
      </c>
      <c r="C17851" s="238">
        <v>4</v>
      </c>
      <c r="D17851" s="270">
        <f t="shared" si="2814"/>
        <v>46085</v>
      </c>
      <c r="E17851" s="279">
        <f t="shared" si="2815"/>
        <v>46085</v>
      </c>
      <c r="F17851" s="482" t="s">
        <v>2168</v>
      </c>
      <c r="G17851" s="247" t="s">
        <v>94</v>
      </c>
      <c r="H17851" s="247"/>
      <c r="I17851" s="248" t="s">
        <v>348</v>
      </c>
      <c r="J17851" s="249" t="s">
        <v>97</v>
      </c>
      <c r="K17851" s="250">
        <v>15279.000965501333</v>
      </c>
      <c r="L17851" s="252"/>
    </row>
    <row r="17852" spans="1:13" x14ac:dyDescent="0.2">
      <c r="A17852" s="242">
        <v>2026</v>
      </c>
      <c r="B17852" s="242">
        <v>3</v>
      </c>
      <c r="C17852" s="242">
        <v>4</v>
      </c>
      <c r="D17852" s="270">
        <f t="shared" si="2814"/>
        <v>46085</v>
      </c>
      <c r="E17852" s="279">
        <f t="shared" si="2815"/>
        <v>46085</v>
      </c>
      <c r="F17852" s="478"/>
      <c r="G17852" s="243" t="s">
        <v>94</v>
      </c>
      <c r="H17852" s="243"/>
      <c r="I17852" s="263" t="s">
        <v>348</v>
      </c>
      <c r="J17852" s="244" t="s">
        <v>47</v>
      </c>
      <c r="K17852" s="245"/>
      <c r="L17852" s="245">
        <f>K17851</f>
        <v>15279.000965501333</v>
      </c>
      <c r="M17852" s="170"/>
    </row>
    <row r="17853" spans="1:13" x14ac:dyDescent="0.2">
      <c r="A17853" s="238">
        <v>2026</v>
      </c>
      <c r="B17853" s="238">
        <v>3</v>
      </c>
      <c r="C17853" s="238">
        <v>4</v>
      </c>
      <c r="D17853" s="270">
        <f t="shared" si="2814"/>
        <v>46085</v>
      </c>
      <c r="E17853" s="279">
        <f t="shared" si="2815"/>
        <v>46085</v>
      </c>
      <c r="F17853" s="477" t="s">
        <v>2169</v>
      </c>
      <c r="G17853" s="239" t="s">
        <v>94</v>
      </c>
      <c r="H17853" s="239"/>
      <c r="I17853" s="262" t="s">
        <v>348</v>
      </c>
      <c r="J17853" s="240" t="s">
        <v>100</v>
      </c>
      <c r="K17853" s="241">
        <v>743.87478964148079</v>
      </c>
      <c r="L17853" s="241"/>
      <c r="M17853" s="170"/>
    </row>
    <row r="17854" spans="1:13" x14ac:dyDescent="0.2">
      <c r="A17854" s="242">
        <v>2026</v>
      </c>
      <c r="B17854" s="242">
        <v>3</v>
      </c>
      <c r="C17854" s="242">
        <v>4</v>
      </c>
      <c r="D17854" s="321">
        <f t="shared" si="2814"/>
        <v>46085</v>
      </c>
      <c r="E17854" s="322">
        <f t="shared" si="2815"/>
        <v>46085</v>
      </c>
      <c r="F17854" s="478"/>
      <c r="G17854" s="243" t="s">
        <v>94</v>
      </c>
      <c r="H17854" s="243"/>
      <c r="I17854" s="263" t="s">
        <v>348</v>
      </c>
      <c r="J17854" s="244" t="s">
        <v>48</v>
      </c>
      <c r="K17854" s="245"/>
      <c r="L17854" s="245">
        <f>K17853</f>
        <v>743.87478964148079</v>
      </c>
    </row>
    <row r="17855" spans="1:13" ht="11.25" customHeight="1" x14ac:dyDescent="0.2">
      <c r="A17855" s="168">
        <v>2026</v>
      </c>
      <c r="B17855" s="168">
        <v>3</v>
      </c>
      <c r="C17855" s="168">
        <v>5</v>
      </c>
      <c r="D17855" s="141">
        <f t="shared" si="2814"/>
        <v>46086</v>
      </c>
      <c r="E17855" s="275">
        <f t="shared" si="2815"/>
        <v>46086</v>
      </c>
      <c r="F17855" s="479" t="s">
        <v>1310</v>
      </c>
      <c r="G17855" s="220" t="s">
        <v>74</v>
      </c>
      <c r="H17855" s="142"/>
      <c r="I17855" s="142"/>
      <c r="J17855" s="168" t="s">
        <v>13</v>
      </c>
      <c r="K17855" s="226">
        <v>71330</v>
      </c>
      <c r="L17855" s="226"/>
    </row>
    <row r="17856" spans="1:13" ht="11.25" customHeight="1" x14ac:dyDescent="0.2">
      <c r="A17856" s="133">
        <v>2026</v>
      </c>
      <c r="B17856" s="133">
        <v>3</v>
      </c>
      <c r="C17856" s="133">
        <v>5</v>
      </c>
      <c r="D17856" s="147">
        <f t="shared" si="2814"/>
        <v>46086</v>
      </c>
      <c r="E17856" s="311">
        <f t="shared" si="2815"/>
        <v>46086</v>
      </c>
      <c r="F17856" s="481"/>
      <c r="G17856" s="174" t="s">
        <v>74</v>
      </c>
      <c r="J17856" s="133" t="s">
        <v>53</v>
      </c>
      <c r="K17856" s="218">
        <v>36834.81</v>
      </c>
      <c r="L17856" s="218"/>
    </row>
    <row r="17857" spans="1:14" ht="11.25" customHeight="1" x14ac:dyDescent="0.2">
      <c r="A17857" s="163">
        <v>2026</v>
      </c>
      <c r="B17857" s="163">
        <v>3</v>
      </c>
      <c r="C17857" s="163">
        <v>5</v>
      </c>
      <c r="D17857" s="144">
        <f t="shared" si="2814"/>
        <v>46086</v>
      </c>
      <c r="E17857" s="313">
        <f t="shared" si="2815"/>
        <v>46086</v>
      </c>
      <c r="F17857" s="480"/>
      <c r="G17857" s="221" t="s">
        <v>74</v>
      </c>
      <c r="H17857" s="145"/>
      <c r="I17857" s="145"/>
      <c r="J17857" s="163" t="s">
        <v>52</v>
      </c>
      <c r="K17857" s="219"/>
      <c r="L17857" s="219">
        <v>108164.81</v>
      </c>
    </row>
    <row r="17858" spans="1:14" x14ac:dyDescent="0.2">
      <c r="A17858" s="168">
        <v>2026</v>
      </c>
      <c r="B17858" s="168">
        <v>3</v>
      </c>
      <c r="C17858" s="168">
        <v>5</v>
      </c>
      <c r="D17858" s="141">
        <f>DATE(A17858,B17858,C17858)</f>
        <v>46086</v>
      </c>
      <c r="E17858" s="275">
        <f>DATE(A17858,B17858,C17858)</f>
        <v>46086</v>
      </c>
      <c r="F17858" s="479" t="s">
        <v>2115</v>
      </c>
      <c r="G17858" s="220" t="s">
        <v>94</v>
      </c>
      <c r="H17858" s="220"/>
      <c r="I17858" s="142"/>
      <c r="J17858" s="143" t="s">
        <v>79</v>
      </c>
      <c r="K17858" s="226">
        <v>2638685.4</v>
      </c>
      <c r="L17858" s="226"/>
    </row>
    <row r="17859" spans="1:14" x14ac:dyDescent="0.2">
      <c r="A17859" s="133">
        <v>2026</v>
      </c>
      <c r="B17859" s="133">
        <v>3</v>
      </c>
      <c r="C17859" s="133">
        <v>5</v>
      </c>
      <c r="D17859" s="147">
        <f>DATE(A17859,B17859,C17859)</f>
        <v>46086</v>
      </c>
      <c r="E17859" s="311">
        <f>DATE(A17859,B17859,C17859)</f>
        <v>46086</v>
      </c>
      <c r="F17859" s="481"/>
      <c r="G17859" s="174" t="s">
        <v>94</v>
      </c>
      <c r="H17859" s="174"/>
      <c r="J17859" s="149" t="s">
        <v>80</v>
      </c>
      <c r="K17859" s="218">
        <v>12341.35</v>
      </c>
      <c r="L17859" s="264"/>
      <c r="M17859" s="264"/>
      <c r="N17859" s="264"/>
    </row>
    <row r="17860" spans="1:14" x14ac:dyDescent="0.2">
      <c r="A17860" s="133">
        <v>2026</v>
      </c>
      <c r="B17860" s="133">
        <v>3</v>
      </c>
      <c r="C17860" s="133">
        <v>5</v>
      </c>
      <c r="D17860" s="147">
        <f>DATE(A17860,B17860,C17860)</f>
        <v>46086</v>
      </c>
      <c r="E17860" s="311">
        <f>DATE(A17860,B17860,C17860)</f>
        <v>46086</v>
      </c>
      <c r="F17860" s="481"/>
      <c r="G17860" s="174" t="s">
        <v>94</v>
      </c>
      <c r="H17860" s="174"/>
      <c r="J17860" s="149" t="s">
        <v>190</v>
      </c>
      <c r="K17860" s="218">
        <v>1566593.35</v>
      </c>
      <c r="L17860" s="218"/>
      <c r="M17860" s="264"/>
    </row>
    <row r="17861" spans="1:14" x14ac:dyDescent="0.2">
      <c r="A17861" s="133">
        <v>2026</v>
      </c>
      <c r="B17861" s="133">
        <v>3</v>
      </c>
      <c r="C17861" s="133">
        <v>5</v>
      </c>
      <c r="D17861" s="147">
        <f>DATE(A17861,B17861,C17861)</f>
        <v>46086</v>
      </c>
      <c r="E17861" s="311">
        <f>DATE(A17861,B17861,C17861)</f>
        <v>46086</v>
      </c>
      <c r="F17861" s="481"/>
      <c r="G17861" s="174" t="s">
        <v>94</v>
      </c>
      <c r="H17861" s="174"/>
      <c r="J17861" s="149" t="s">
        <v>191</v>
      </c>
      <c r="K17861" s="218"/>
      <c r="L17861" s="218">
        <v>136780.04999999999</v>
      </c>
    </row>
    <row r="17862" spans="1:14" x14ac:dyDescent="0.2">
      <c r="A17862" s="163">
        <v>2026</v>
      </c>
      <c r="B17862" s="163">
        <v>3</v>
      </c>
      <c r="C17862" s="163">
        <v>5</v>
      </c>
      <c r="D17862" s="144">
        <f>DATE(A17862,B17862,C17862)</f>
        <v>46086</v>
      </c>
      <c r="E17862" s="313">
        <f>DATE(A17862,B17862,C17862)</f>
        <v>46086</v>
      </c>
      <c r="F17862" s="480"/>
      <c r="G17862" s="221" t="s">
        <v>94</v>
      </c>
      <c r="H17862" s="145"/>
      <c r="I17862" s="145"/>
      <c r="J17862" s="163" t="s">
        <v>79</v>
      </c>
      <c r="K17862" s="219"/>
      <c r="L17862" s="219">
        <v>4080840.05</v>
      </c>
      <c r="M17862" s="264"/>
    </row>
    <row r="17863" spans="1:14" x14ac:dyDescent="0.2">
      <c r="A17863" s="325">
        <v>2026</v>
      </c>
      <c r="B17863" s="325">
        <v>3</v>
      </c>
      <c r="C17863" s="325">
        <v>5</v>
      </c>
      <c r="D17863" s="326">
        <f t="shared" ref="D17863:D17874" si="2816">DATE(A17863,B17863,C17863)</f>
        <v>46086</v>
      </c>
      <c r="E17863" s="327">
        <f t="shared" ref="E17863:E17874" si="2817">DATE(A17863,B17863,C17863)</f>
        <v>46086</v>
      </c>
      <c r="F17863" s="473" t="s">
        <v>2131</v>
      </c>
      <c r="G17863" s="340" t="s">
        <v>94</v>
      </c>
      <c r="H17863" s="340"/>
      <c r="I17863" s="341" t="s">
        <v>348</v>
      </c>
      <c r="J17863" s="374" t="s">
        <v>2156</v>
      </c>
      <c r="K17863" s="375">
        <v>6185.4395604395604</v>
      </c>
      <c r="L17863" s="375"/>
      <c r="M17863" s="176"/>
    </row>
    <row r="17864" spans="1:14" x14ac:dyDescent="0.2">
      <c r="A17864" s="331">
        <v>2026</v>
      </c>
      <c r="B17864" s="331">
        <v>3</v>
      </c>
      <c r="C17864" s="331">
        <v>5</v>
      </c>
      <c r="D17864" s="326">
        <f t="shared" si="2816"/>
        <v>46086</v>
      </c>
      <c r="E17864" s="327">
        <f t="shared" si="2817"/>
        <v>46086</v>
      </c>
      <c r="F17864" s="474"/>
      <c r="G17864" s="332" t="s">
        <v>94</v>
      </c>
      <c r="H17864" s="332"/>
      <c r="I17864" s="333" t="s">
        <v>348</v>
      </c>
      <c r="J17864" s="376" t="s">
        <v>2154</v>
      </c>
      <c r="K17864" s="334"/>
      <c r="L17864" s="334">
        <f>K17863</f>
        <v>6185.4395604395604</v>
      </c>
    </row>
    <row r="17865" spans="1:14" x14ac:dyDescent="0.2">
      <c r="A17865" s="384">
        <v>2026</v>
      </c>
      <c r="B17865" s="384">
        <v>3</v>
      </c>
      <c r="C17865" s="384">
        <v>5</v>
      </c>
      <c r="D17865" s="385">
        <f t="shared" si="2816"/>
        <v>46086</v>
      </c>
      <c r="E17865" s="386">
        <f t="shared" si="2817"/>
        <v>46086</v>
      </c>
      <c r="F17865" s="475" t="s">
        <v>1966</v>
      </c>
      <c r="G17865" s="387" t="s">
        <v>94</v>
      </c>
      <c r="H17865" s="387"/>
      <c r="I17865" s="388" t="s">
        <v>348</v>
      </c>
      <c r="J17865" s="389" t="s">
        <v>67</v>
      </c>
      <c r="K17865" s="390">
        <v>993.85369763888889</v>
      </c>
      <c r="L17865" s="390"/>
    </row>
    <row r="17866" spans="1:14" x14ac:dyDescent="0.2">
      <c r="A17866" s="391">
        <v>2026</v>
      </c>
      <c r="B17866" s="391">
        <v>3</v>
      </c>
      <c r="C17866" s="391">
        <v>5</v>
      </c>
      <c r="D17866" s="385">
        <f t="shared" si="2816"/>
        <v>46086</v>
      </c>
      <c r="E17866" s="386">
        <f t="shared" si="2817"/>
        <v>46086</v>
      </c>
      <c r="F17866" s="476"/>
      <c r="G17866" s="392" t="s">
        <v>94</v>
      </c>
      <c r="H17866" s="392"/>
      <c r="I17866" s="393" t="s">
        <v>348</v>
      </c>
      <c r="J17866" s="394" t="s">
        <v>2155</v>
      </c>
      <c r="K17866" s="395"/>
      <c r="L17866" s="395">
        <f>K17865</f>
        <v>993.85369763888889</v>
      </c>
    </row>
    <row r="17867" spans="1:14" x14ac:dyDescent="0.2">
      <c r="A17867" s="238">
        <v>2026</v>
      </c>
      <c r="B17867" s="238">
        <v>3</v>
      </c>
      <c r="C17867" s="238">
        <v>5</v>
      </c>
      <c r="D17867" s="270">
        <f t="shared" si="2816"/>
        <v>46086</v>
      </c>
      <c r="E17867" s="279">
        <f t="shared" si="2817"/>
        <v>46086</v>
      </c>
      <c r="F17867" s="477" t="s">
        <v>347</v>
      </c>
      <c r="G17867" s="239" t="s">
        <v>94</v>
      </c>
      <c r="H17867" s="239"/>
      <c r="I17867" s="262" t="s">
        <v>348</v>
      </c>
      <c r="J17867" s="240" t="s">
        <v>82</v>
      </c>
      <c r="K17867" s="241">
        <v>4807481.5500000119</v>
      </c>
      <c r="L17867" s="241"/>
      <c r="M17867" s="160"/>
    </row>
    <row r="17868" spans="1:14" x14ac:dyDescent="0.2">
      <c r="A17868" s="242">
        <v>2026</v>
      </c>
      <c r="B17868" s="242">
        <v>3</v>
      </c>
      <c r="C17868" s="242">
        <v>5</v>
      </c>
      <c r="D17868" s="270">
        <f t="shared" si="2816"/>
        <v>46086</v>
      </c>
      <c r="E17868" s="279">
        <f t="shared" si="2817"/>
        <v>46086</v>
      </c>
      <c r="F17868" s="478"/>
      <c r="G17868" s="243" t="s">
        <v>94</v>
      </c>
      <c r="H17868" s="243"/>
      <c r="I17868" s="263" t="s">
        <v>348</v>
      </c>
      <c r="J17868" s="244" t="s">
        <v>108</v>
      </c>
      <c r="K17868" s="245"/>
      <c r="L17868" s="245">
        <f>K17867</f>
        <v>4807481.5500000119</v>
      </c>
    </row>
    <row r="17869" spans="1:14" ht="12" customHeight="1" x14ac:dyDescent="0.2">
      <c r="A17869" s="246">
        <v>2026</v>
      </c>
      <c r="B17869" s="238">
        <v>3</v>
      </c>
      <c r="C17869" s="238">
        <v>5</v>
      </c>
      <c r="D17869" s="270">
        <f t="shared" si="2816"/>
        <v>46086</v>
      </c>
      <c r="E17869" s="279">
        <f t="shared" si="2817"/>
        <v>46086</v>
      </c>
      <c r="F17869" s="482" t="s">
        <v>2167</v>
      </c>
      <c r="G17869" s="247" t="s">
        <v>94</v>
      </c>
      <c r="H17869" s="247"/>
      <c r="I17869" s="248" t="s">
        <v>348</v>
      </c>
      <c r="J17869" s="249" t="s">
        <v>95</v>
      </c>
      <c r="K17869" s="250">
        <v>392.46467817896399</v>
      </c>
      <c r="L17869" s="241"/>
      <c r="M17869" s="176"/>
    </row>
    <row r="17870" spans="1:14" x14ac:dyDescent="0.2">
      <c r="A17870" s="242">
        <v>2026</v>
      </c>
      <c r="B17870" s="242">
        <v>3</v>
      </c>
      <c r="C17870" s="242">
        <v>5</v>
      </c>
      <c r="D17870" s="270">
        <f t="shared" si="2816"/>
        <v>46086</v>
      </c>
      <c r="E17870" s="279">
        <f t="shared" si="2817"/>
        <v>46086</v>
      </c>
      <c r="F17870" s="478"/>
      <c r="G17870" s="243" t="s">
        <v>94</v>
      </c>
      <c r="H17870" s="243"/>
      <c r="I17870" s="263" t="s">
        <v>348</v>
      </c>
      <c r="J17870" s="244" t="s">
        <v>63</v>
      </c>
      <c r="K17870" s="245"/>
      <c r="L17870" s="245">
        <f>K17869</f>
        <v>392.46467817896399</v>
      </c>
    </row>
    <row r="17871" spans="1:14" x14ac:dyDescent="0.2">
      <c r="A17871" s="246">
        <v>2026</v>
      </c>
      <c r="B17871" s="238">
        <v>3</v>
      </c>
      <c r="C17871" s="238">
        <v>5</v>
      </c>
      <c r="D17871" s="270">
        <f t="shared" si="2816"/>
        <v>46086</v>
      </c>
      <c r="E17871" s="279">
        <f t="shared" si="2817"/>
        <v>46086</v>
      </c>
      <c r="F17871" s="482" t="s">
        <v>2168</v>
      </c>
      <c r="G17871" s="247" t="s">
        <v>94</v>
      </c>
      <c r="H17871" s="247"/>
      <c r="I17871" s="248" t="s">
        <v>348</v>
      </c>
      <c r="J17871" s="249" t="s">
        <v>97</v>
      </c>
      <c r="K17871" s="250">
        <v>15082.416746799059</v>
      </c>
      <c r="L17871" s="252"/>
    </row>
    <row r="17872" spans="1:14" x14ac:dyDescent="0.2">
      <c r="A17872" s="242">
        <v>2026</v>
      </c>
      <c r="B17872" s="242">
        <v>3</v>
      </c>
      <c r="C17872" s="242">
        <v>5</v>
      </c>
      <c r="D17872" s="270">
        <f t="shared" si="2816"/>
        <v>46086</v>
      </c>
      <c r="E17872" s="279">
        <f t="shared" si="2817"/>
        <v>46086</v>
      </c>
      <c r="F17872" s="478"/>
      <c r="G17872" s="243" t="s">
        <v>94</v>
      </c>
      <c r="H17872" s="243"/>
      <c r="I17872" s="263" t="s">
        <v>348</v>
      </c>
      <c r="J17872" s="244" t="s">
        <v>47</v>
      </c>
      <c r="K17872" s="245"/>
      <c r="L17872" s="245">
        <f>K17871</f>
        <v>15082.416746799059</v>
      </c>
      <c r="M17872" s="170"/>
    </row>
    <row r="17873" spans="1:14" x14ac:dyDescent="0.2">
      <c r="A17873" s="238">
        <v>2026</v>
      </c>
      <c r="B17873" s="238">
        <v>3</v>
      </c>
      <c r="C17873" s="238">
        <v>5</v>
      </c>
      <c r="D17873" s="270">
        <f t="shared" si="2816"/>
        <v>46086</v>
      </c>
      <c r="E17873" s="279">
        <f t="shared" si="2817"/>
        <v>46086</v>
      </c>
      <c r="F17873" s="477" t="s">
        <v>2169</v>
      </c>
      <c r="G17873" s="239" t="s">
        <v>94</v>
      </c>
      <c r="H17873" s="239"/>
      <c r="I17873" s="262" t="s">
        <v>348</v>
      </c>
      <c r="J17873" s="240" t="s">
        <v>100</v>
      </c>
      <c r="K17873" s="241">
        <v>730.76917506132918</v>
      </c>
      <c r="L17873" s="241"/>
      <c r="M17873" s="170"/>
    </row>
    <row r="17874" spans="1:14" x14ac:dyDescent="0.2">
      <c r="A17874" s="242">
        <v>2026</v>
      </c>
      <c r="B17874" s="242">
        <v>3</v>
      </c>
      <c r="C17874" s="242">
        <v>5</v>
      </c>
      <c r="D17874" s="321">
        <f t="shared" si="2816"/>
        <v>46086</v>
      </c>
      <c r="E17874" s="322">
        <f t="shared" si="2817"/>
        <v>46086</v>
      </c>
      <c r="F17874" s="478"/>
      <c r="G17874" s="243" t="s">
        <v>94</v>
      </c>
      <c r="H17874" s="243"/>
      <c r="I17874" s="263" t="s">
        <v>348</v>
      </c>
      <c r="J17874" s="244" t="s">
        <v>48</v>
      </c>
      <c r="K17874" s="245"/>
      <c r="L17874" s="245">
        <f>K17873</f>
        <v>730.76917506132918</v>
      </c>
    </row>
    <row r="17875" spans="1:14" x14ac:dyDescent="0.2">
      <c r="A17875" s="168">
        <v>2026</v>
      </c>
      <c r="B17875" s="168">
        <v>3</v>
      </c>
      <c r="C17875" s="168">
        <v>8</v>
      </c>
      <c r="D17875" s="141">
        <f>DATE(A17875,B17875,C17875)</f>
        <v>46089</v>
      </c>
      <c r="E17875" s="275">
        <f>DATE(A17875,B17875,C17875)</f>
        <v>46089</v>
      </c>
      <c r="F17875" s="479" t="s">
        <v>2113</v>
      </c>
      <c r="G17875" s="220" t="s">
        <v>94</v>
      </c>
      <c r="H17875" s="220"/>
      <c r="I17875" s="142"/>
      <c r="J17875" s="143" t="s">
        <v>79</v>
      </c>
      <c r="K17875" s="226">
        <v>4174857.5</v>
      </c>
      <c r="L17875" s="226"/>
    </row>
    <row r="17876" spans="1:14" x14ac:dyDescent="0.2">
      <c r="A17876" s="133">
        <v>2026</v>
      </c>
      <c r="B17876" s="133">
        <v>3</v>
      </c>
      <c r="C17876" s="133">
        <v>8</v>
      </c>
      <c r="D17876" s="147">
        <f>DATE(A17876,B17876,C17876)</f>
        <v>46089</v>
      </c>
      <c r="E17876" s="311">
        <f>DATE(A17876,B17876,C17876)</f>
        <v>46089</v>
      </c>
      <c r="F17876" s="481"/>
      <c r="G17876" s="174" t="s">
        <v>94</v>
      </c>
      <c r="H17876" s="174"/>
      <c r="J17876" s="149" t="s">
        <v>80</v>
      </c>
      <c r="K17876" s="218">
        <v>7514.7434000000003</v>
      </c>
      <c r="L17876" s="264"/>
      <c r="M17876" s="264"/>
      <c r="N17876" s="264"/>
    </row>
    <row r="17877" spans="1:14" x14ac:dyDescent="0.2">
      <c r="A17877" s="163">
        <v>2026</v>
      </c>
      <c r="B17877" s="163">
        <v>3</v>
      </c>
      <c r="C17877" s="163">
        <v>8</v>
      </c>
      <c r="D17877" s="144">
        <f>DATE(A17877,B17877,C17877)</f>
        <v>46089</v>
      </c>
      <c r="E17877" s="313">
        <f>DATE(A17877,B17877,C17877)</f>
        <v>46089</v>
      </c>
      <c r="F17877" s="480"/>
      <c r="G17877" s="221" t="s">
        <v>94</v>
      </c>
      <c r="H17877" s="221"/>
      <c r="I17877" s="145"/>
      <c r="J17877" s="146" t="s">
        <v>147</v>
      </c>
      <c r="K17877" s="219"/>
      <c r="L17877" s="219">
        <v>4182372.2434</v>
      </c>
      <c r="M17877" s="264"/>
    </row>
    <row r="17878" spans="1:14" x14ac:dyDescent="0.2">
      <c r="A17878" s="168">
        <v>2026</v>
      </c>
      <c r="B17878" s="168">
        <v>3</v>
      </c>
      <c r="C17878" s="168">
        <v>8</v>
      </c>
      <c r="D17878" s="141">
        <f t="shared" ref="D17878:D17883" si="2818">DATE(A17878,B17878,C17878)</f>
        <v>46089</v>
      </c>
      <c r="E17878" s="275">
        <f t="shared" ref="E17878:E17883" si="2819">DATE(A17878,B17878,C17878)</f>
        <v>46089</v>
      </c>
      <c r="F17878" s="479" t="s">
        <v>2182</v>
      </c>
      <c r="G17878" s="220" t="s">
        <v>94</v>
      </c>
      <c r="H17878" s="220"/>
      <c r="I17878" s="142"/>
      <c r="J17878" s="143" t="s">
        <v>79</v>
      </c>
      <c r="K17878" s="226">
        <v>153000</v>
      </c>
      <c r="L17878" s="226"/>
    </row>
    <row r="17879" spans="1:14" x14ac:dyDescent="0.2">
      <c r="A17879" s="133">
        <v>2026</v>
      </c>
      <c r="B17879" s="133">
        <v>3</v>
      </c>
      <c r="C17879" s="133">
        <v>8</v>
      </c>
      <c r="D17879" s="147">
        <f t="shared" si="2818"/>
        <v>46089</v>
      </c>
      <c r="E17879" s="311">
        <f t="shared" si="2819"/>
        <v>46089</v>
      </c>
      <c r="F17879" s="481"/>
      <c r="G17879" s="174" t="s">
        <v>94</v>
      </c>
      <c r="H17879" s="174"/>
      <c r="J17879" s="149" t="s">
        <v>80</v>
      </c>
      <c r="K17879" s="218">
        <v>275.39999999999998</v>
      </c>
      <c r="L17879" s="264"/>
      <c r="M17879" s="264"/>
      <c r="N17879" s="264"/>
    </row>
    <row r="17880" spans="1:14" x14ac:dyDescent="0.2">
      <c r="A17880" s="163">
        <v>2026</v>
      </c>
      <c r="B17880" s="163">
        <v>3</v>
      </c>
      <c r="C17880" s="163">
        <v>8</v>
      </c>
      <c r="D17880" s="144">
        <f t="shared" si="2818"/>
        <v>46089</v>
      </c>
      <c r="E17880" s="313">
        <f t="shared" si="2819"/>
        <v>46089</v>
      </c>
      <c r="F17880" s="480"/>
      <c r="G17880" s="221" t="s">
        <v>94</v>
      </c>
      <c r="H17880" s="221"/>
      <c r="I17880" s="145"/>
      <c r="J17880" s="146" t="s">
        <v>147</v>
      </c>
      <c r="K17880" s="219"/>
      <c r="L17880" s="219">
        <v>153275.4</v>
      </c>
      <c r="M17880" s="264"/>
    </row>
    <row r="17881" spans="1:14" ht="11.25" customHeight="1" x14ac:dyDescent="0.2">
      <c r="A17881" s="168">
        <v>2026</v>
      </c>
      <c r="B17881" s="168">
        <v>3</v>
      </c>
      <c r="C17881" s="168">
        <v>8</v>
      </c>
      <c r="D17881" s="141">
        <f t="shared" si="2818"/>
        <v>46089</v>
      </c>
      <c r="E17881" s="275">
        <f t="shared" si="2819"/>
        <v>46089</v>
      </c>
      <c r="F17881" s="479" t="s">
        <v>1319</v>
      </c>
      <c r="G17881" s="220" t="s">
        <v>74</v>
      </c>
      <c r="H17881" s="142"/>
      <c r="I17881" s="142"/>
      <c r="J17881" s="168" t="s">
        <v>52</v>
      </c>
      <c r="K17881" s="226">
        <v>115000</v>
      </c>
      <c r="L17881" s="226"/>
    </row>
    <row r="17882" spans="1:14" ht="11.25" customHeight="1" x14ac:dyDescent="0.2">
      <c r="A17882" s="133">
        <v>2026</v>
      </c>
      <c r="B17882" s="133">
        <v>3</v>
      </c>
      <c r="C17882" s="133">
        <v>8</v>
      </c>
      <c r="D17882" s="147">
        <f t="shared" si="2818"/>
        <v>46089</v>
      </c>
      <c r="E17882" s="311">
        <f t="shared" si="2819"/>
        <v>46089</v>
      </c>
      <c r="F17882" s="481"/>
      <c r="G17882" s="174" t="s">
        <v>74</v>
      </c>
      <c r="J17882" s="133" t="s">
        <v>13</v>
      </c>
      <c r="K17882" s="218"/>
      <c r="L17882" s="218">
        <v>75850</v>
      </c>
    </row>
    <row r="17883" spans="1:14" ht="11.25" customHeight="1" x14ac:dyDescent="0.2">
      <c r="A17883" s="163">
        <v>2026</v>
      </c>
      <c r="B17883" s="163">
        <v>3</v>
      </c>
      <c r="C17883" s="163">
        <v>8</v>
      </c>
      <c r="D17883" s="144">
        <f t="shared" si="2818"/>
        <v>46089</v>
      </c>
      <c r="E17883" s="313">
        <f t="shared" si="2819"/>
        <v>46089</v>
      </c>
      <c r="F17883" s="480"/>
      <c r="G17883" s="221" t="s">
        <v>74</v>
      </c>
      <c r="H17883" s="145"/>
      <c r="I17883" s="145"/>
      <c r="J17883" s="163" t="s">
        <v>53</v>
      </c>
      <c r="K17883" s="219"/>
      <c r="L17883" s="219">
        <v>39150</v>
      </c>
    </row>
    <row r="17884" spans="1:14" ht="11.25" customHeight="1" x14ac:dyDescent="0.2">
      <c r="A17884" s="168">
        <v>2026</v>
      </c>
      <c r="B17884" s="168">
        <v>3</v>
      </c>
      <c r="C17884" s="168">
        <v>8</v>
      </c>
      <c r="D17884" s="141">
        <f t="shared" ref="D17884:D17896" si="2820">DATE(A17884,B17884,C17884)</f>
        <v>46089</v>
      </c>
      <c r="E17884" s="275">
        <f t="shared" ref="E17884:E17896" si="2821">DATE(A17884,B17884,C17884)</f>
        <v>46089</v>
      </c>
      <c r="F17884" s="479" t="s">
        <v>1319</v>
      </c>
      <c r="G17884" s="220" t="s">
        <v>74</v>
      </c>
      <c r="H17884" s="142"/>
      <c r="I17884" s="142"/>
      <c r="J17884" s="168" t="s">
        <v>52</v>
      </c>
      <c r="K17884" s="226">
        <v>7500</v>
      </c>
      <c r="L17884" s="226"/>
    </row>
    <row r="17885" spans="1:14" ht="11.25" customHeight="1" x14ac:dyDescent="0.2">
      <c r="A17885" s="133">
        <v>2026</v>
      </c>
      <c r="B17885" s="133">
        <v>3</v>
      </c>
      <c r="C17885" s="133">
        <v>8</v>
      </c>
      <c r="D17885" s="147">
        <f t="shared" si="2820"/>
        <v>46089</v>
      </c>
      <c r="E17885" s="311">
        <f t="shared" si="2821"/>
        <v>46089</v>
      </c>
      <c r="F17885" s="481"/>
      <c r="G17885" s="174" t="s">
        <v>74</v>
      </c>
      <c r="J17885" s="133" t="s">
        <v>13</v>
      </c>
      <c r="K17885" s="218"/>
      <c r="L17885" s="218">
        <v>5030</v>
      </c>
    </row>
    <row r="17886" spans="1:14" ht="11.25" customHeight="1" x14ac:dyDescent="0.2">
      <c r="A17886" s="163">
        <v>2026</v>
      </c>
      <c r="B17886" s="163">
        <v>3</v>
      </c>
      <c r="C17886" s="163">
        <v>8</v>
      </c>
      <c r="D17886" s="144">
        <f t="shared" si="2820"/>
        <v>46089</v>
      </c>
      <c r="E17886" s="313">
        <f t="shared" si="2821"/>
        <v>46089</v>
      </c>
      <c r="F17886" s="480"/>
      <c r="G17886" s="221" t="s">
        <v>74</v>
      </c>
      <c r="H17886" s="145"/>
      <c r="I17886" s="145"/>
      <c r="J17886" s="163" t="s">
        <v>53</v>
      </c>
      <c r="K17886" s="219"/>
      <c r="L17886" s="219">
        <v>2470</v>
      </c>
    </row>
    <row r="17887" spans="1:14" ht="11.25" customHeight="1" x14ac:dyDescent="0.2">
      <c r="A17887" s="133">
        <v>2026</v>
      </c>
      <c r="B17887" s="133">
        <v>3</v>
      </c>
      <c r="C17887" s="133">
        <v>8</v>
      </c>
      <c r="D17887" s="147">
        <f t="shared" si="2820"/>
        <v>46089</v>
      </c>
      <c r="E17887" s="311">
        <f t="shared" si="2821"/>
        <v>46089</v>
      </c>
      <c r="F17887" s="481" t="s">
        <v>2181</v>
      </c>
      <c r="G17887" s="174" t="s">
        <v>74</v>
      </c>
      <c r="H17887" s="174"/>
      <c r="J17887" s="149" t="s">
        <v>147</v>
      </c>
      <c r="K17887" s="218">
        <v>1373364.28</v>
      </c>
      <c r="L17887" s="218"/>
    </row>
    <row r="17888" spans="1:14" x14ac:dyDescent="0.2">
      <c r="A17888" s="163">
        <v>2026</v>
      </c>
      <c r="B17888" s="163">
        <v>3</v>
      </c>
      <c r="C17888" s="163">
        <v>8</v>
      </c>
      <c r="D17888" s="144">
        <f t="shared" si="2820"/>
        <v>46089</v>
      </c>
      <c r="E17888" s="313">
        <f t="shared" si="2821"/>
        <v>46089</v>
      </c>
      <c r="F17888" s="480"/>
      <c r="G17888" s="221" t="s">
        <v>74</v>
      </c>
      <c r="H17888" s="221"/>
      <c r="I17888" s="145"/>
      <c r="J17888" s="146" t="s">
        <v>52</v>
      </c>
      <c r="K17888" s="219"/>
      <c r="L17888" s="219">
        <f>K17887</f>
        <v>1373364.28</v>
      </c>
      <c r="N17888" s="264"/>
    </row>
    <row r="17889" spans="1:13" ht="11.25" customHeight="1" x14ac:dyDescent="0.2">
      <c r="A17889" s="168">
        <v>2026</v>
      </c>
      <c r="B17889" s="168">
        <v>3</v>
      </c>
      <c r="C17889" s="168">
        <v>8</v>
      </c>
      <c r="D17889" s="141">
        <f t="shared" si="2820"/>
        <v>46089</v>
      </c>
      <c r="E17889" s="275">
        <f t="shared" si="2821"/>
        <v>46089</v>
      </c>
      <c r="F17889" s="479" t="s">
        <v>2184</v>
      </c>
      <c r="G17889" s="220" t="s">
        <v>74</v>
      </c>
      <c r="H17889" s="142"/>
      <c r="I17889" s="142"/>
      <c r="J17889" s="168" t="s">
        <v>13</v>
      </c>
      <c r="K17889" s="226">
        <v>634620</v>
      </c>
      <c r="L17889" s="226"/>
    </row>
    <row r="17890" spans="1:13" ht="11.25" customHeight="1" x14ac:dyDescent="0.2">
      <c r="A17890" s="133">
        <v>2026</v>
      </c>
      <c r="B17890" s="133">
        <v>3</v>
      </c>
      <c r="C17890" s="133">
        <v>8</v>
      </c>
      <c r="D17890" s="147">
        <f t="shared" si="2820"/>
        <v>46089</v>
      </c>
      <c r="E17890" s="311">
        <f t="shared" si="2821"/>
        <v>46089</v>
      </c>
      <c r="F17890" s="481"/>
      <c r="G17890" s="174" t="s">
        <v>74</v>
      </c>
      <c r="J17890" s="133" t="s">
        <v>53</v>
      </c>
      <c r="K17890" s="218">
        <v>364462.27</v>
      </c>
      <c r="L17890" s="218"/>
    </row>
    <row r="17891" spans="1:13" ht="11.25" customHeight="1" x14ac:dyDescent="0.2">
      <c r="A17891" s="163">
        <v>2026</v>
      </c>
      <c r="B17891" s="163">
        <v>3</v>
      </c>
      <c r="C17891" s="163">
        <v>8</v>
      </c>
      <c r="D17891" s="144">
        <f t="shared" si="2820"/>
        <v>46089</v>
      </c>
      <c r="E17891" s="313">
        <f t="shared" si="2821"/>
        <v>46089</v>
      </c>
      <c r="F17891" s="480"/>
      <c r="G17891" s="221" t="s">
        <v>74</v>
      </c>
      <c r="H17891" s="145"/>
      <c r="I17891" s="145"/>
      <c r="J17891" s="163" t="s">
        <v>52</v>
      </c>
      <c r="K17891" s="219"/>
      <c r="L17891" s="219">
        <v>999082.27</v>
      </c>
    </row>
    <row r="17892" spans="1:13" ht="11.25" customHeight="1" x14ac:dyDescent="0.2">
      <c r="A17892" s="168">
        <v>2026</v>
      </c>
      <c r="B17892" s="168">
        <v>3</v>
      </c>
      <c r="C17892" s="168">
        <v>8</v>
      </c>
      <c r="D17892" s="141">
        <f t="shared" si="2820"/>
        <v>46089</v>
      </c>
      <c r="E17892" s="275">
        <f t="shared" si="2821"/>
        <v>46089</v>
      </c>
      <c r="F17892" s="479" t="s">
        <v>964</v>
      </c>
      <c r="G17892" s="220" t="s">
        <v>74</v>
      </c>
      <c r="H17892" s="142"/>
      <c r="I17892" s="142"/>
      <c r="J17892" s="168" t="s">
        <v>52</v>
      </c>
      <c r="K17892" s="226">
        <v>450000</v>
      </c>
      <c r="L17892" s="226"/>
    </row>
    <row r="17893" spans="1:13" ht="11.25" customHeight="1" x14ac:dyDescent="0.2">
      <c r="A17893" s="133">
        <v>2026</v>
      </c>
      <c r="B17893" s="133">
        <v>3</v>
      </c>
      <c r="C17893" s="133">
        <v>8</v>
      </c>
      <c r="D17893" s="147">
        <f t="shared" si="2820"/>
        <v>46089</v>
      </c>
      <c r="E17893" s="311">
        <f t="shared" si="2821"/>
        <v>46089</v>
      </c>
      <c r="F17893" s="481"/>
      <c r="G17893" s="174" t="s">
        <v>74</v>
      </c>
      <c r="J17893" s="133" t="s">
        <v>13</v>
      </c>
      <c r="K17893" s="218"/>
      <c r="L17893" s="218">
        <v>301990</v>
      </c>
    </row>
    <row r="17894" spans="1:13" ht="11.25" customHeight="1" x14ac:dyDescent="0.2">
      <c r="A17894" s="163">
        <v>2026</v>
      </c>
      <c r="B17894" s="163">
        <v>3</v>
      </c>
      <c r="C17894" s="163">
        <v>8</v>
      </c>
      <c r="D17894" s="144">
        <f t="shared" si="2820"/>
        <v>46089</v>
      </c>
      <c r="E17894" s="313">
        <f t="shared" si="2821"/>
        <v>46089</v>
      </c>
      <c r="F17894" s="480"/>
      <c r="G17894" s="221" t="s">
        <v>74</v>
      </c>
      <c r="H17894" s="145"/>
      <c r="I17894" s="145"/>
      <c r="J17894" s="163" t="s">
        <v>53</v>
      </c>
      <c r="K17894" s="219"/>
      <c r="L17894" s="219">
        <v>148010</v>
      </c>
    </row>
    <row r="17895" spans="1:13" x14ac:dyDescent="0.2">
      <c r="A17895" s="168">
        <v>2026</v>
      </c>
      <c r="B17895" s="133">
        <v>3</v>
      </c>
      <c r="C17895" s="168">
        <v>8</v>
      </c>
      <c r="D17895" s="141">
        <f t="shared" si="2820"/>
        <v>46089</v>
      </c>
      <c r="E17895" s="275">
        <f t="shared" si="2821"/>
        <v>46089</v>
      </c>
      <c r="F17895" s="479" t="s">
        <v>1943</v>
      </c>
      <c r="G17895" s="174" t="s">
        <v>74</v>
      </c>
      <c r="I17895" s="148" t="s">
        <v>348</v>
      </c>
      <c r="J17895" s="133" t="s">
        <v>61</v>
      </c>
      <c r="K17895" s="172">
        <v>100</v>
      </c>
    </row>
    <row r="17896" spans="1:13" x14ac:dyDescent="0.2">
      <c r="A17896" s="163">
        <v>2026</v>
      </c>
      <c r="B17896" s="163">
        <v>3</v>
      </c>
      <c r="C17896" s="163">
        <v>8</v>
      </c>
      <c r="D17896" s="144">
        <f t="shared" si="2820"/>
        <v>46089</v>
      </c>
      <c r="E17896" s="313">
        <f t="shared" si="2821"/>
        <v>46089</v>
      </c>
      <c r="F17896" s="480"/>
      <c r="G17896" s="221" t="s">
        <v>74</v>
      </c>
      <c r="H17896" s="145"/>
      <c r="I17896" s="145" t="s">
        <v>348</v>
      </c>
      <c r="J17896" s="163" t="s">
        <v>52</v>
      </c>
      <c r="K17896" s="219"/>
      <c r="L17896" s="219">
        <f>K17895</f>
        <v>100</v>
      </c>
    </row>
    <row r="17897" spans="1:13" x14ac:dyDescent="0.2">
      <c r="A17897" s="325">
        <v>2026</v>
      </c>
      <c r="B17897" s="325">
        <v>3</v>
      </c>
      <c r="C17897" s="325">
        <v>8</v>
      </c>
      <c r="D17897" s="326">
        <f t="shared" ref="D17897:D17916" si="2822">DATE(A17897,B17897,C17897)</f>
        <v>46089</v>
      </c>
      <c r="E17897" s="327">
        <f t="shared" ref="E17897:E17916" si="2823">DATE(A17897,B17897,C17897)</f>
        <v>46089</v>
      </c>
      <c r="F17897" s="473" t="s">
        <v>2131</v>
      </c>
      <c r="G17897" s="340" t="s">
        <v>94</v>
      </c>
      <c r="H17897" s="340"/>
      <c r="I17897" s="341" t="s">
        <v>348</v>
      </c>
      <c r="J17897" s="374" t="s">
        <v>2156</v>
      </c>
      <c r="K17897" s="375">
        <f>3*6185.43956043956</f>
        <v>18556.31868131868</v>
      </c>
      <c r="L17897" s="375"/>
      <c r="M17897" s="176"/>
    </row>
    <row r="17898" spans="1:13" x14ac:dyDescent="0.2">
      <c r="A17898" s="331">
        <v>2026</v>
      </c>
      <c r="B17898" s="331">
        <v>3</v>
      </c>
      <c r="C17898" s="331">
        <v>8</v>
      </c>
      <c r="D17898" s="326">
        <f t="shared" si="2822"/>
        <v>46089</v>
      </c>
      <c r="E17898" s="327">
        <f t="shared" si="2823"/>
        <v>46089</v>
      </c>
      <c r="F17898" s="474"/>
      <c r="G17898" s="332" t="s">
        <v>94</v>
      </c>
      <c r="H17898" s="332"/>
      <c r="I17898" s="333" t="s">
        <v>348</v>
      </c>
      <c r="J17898" s="376" t="s">
        <v>2154</v>
      </c>
      <c r="K17898" s="334"/>
      <c r="L17898" s="334">
        <f>K17897</f>
        <v>18556.31868131868</v>
      </c>
    </row>
    <row r="17899" spans="1:13" x14ac:dyDescent="0.2">
      <c r="A17899" s="384">
        <v>2026</v>
      </c>
      <c r="B17899" s="384">
        <v>3</v>
      </c>
      <c r="C17899" s="384">
        <v>8</v>
      </c>
      <c r="D17899" s="385">
        <f t="shared" si="2822"/>
        <v>46089</v>
      </c>
      <c r="E17899" s="386">
        <f t="shared" si="2823"/>
        <v>46089</v>
      </c>
      <c r="F17899" s="475" t="s">
        <v>1966</v>
      </c>
      <c r="G17899" s="387" t="s">
        <v>94</v>
      </c>
      <c r="H17899" s="387"/>
      <c r="I17899" s="388" t="s">
        <v>348</v>
      </c>
      <c r="J17899" s="389" t="s">
        <v>67</v>
      </c>
      <c r="K17899" s="390">
        <v>2589.54</v>
      </c>
      <c r="L17899" s="390"/>
    </row>
    <row r="17900" spans="1:13" x14ac:dyDescent="0.2">
      <c r="A17900" s="391">
        <v>2026</v>
      </c>
      <c r="B17900" s="391">
        <v>3</v>
      </c>
      <c r="C17900" s="391">
        <v>8</v>
      </c>
      <c r="D17900" s="385">
        <f t="shared" si="2822"/>
        <v>46089</v>
      </c>
      <c r="E17900" s="386">
        <f t="shared" si="2823"/>
        <v>46089</v>
      </c>
      <c r="F17900" s="476"/>
      <c r="G17900" s="392" t="s">
        <v>94</v>
      </c>
      <c r="H17900" s="392"/>
      <c r="I17900" s="393" t="s">
        <v>348</v>
      </c>
      <c r="J17900" s="394" t="s">
        <v>2155</v>
      </c>
      <c r="K17900" s="395"/>
      <c r="L17900" s="395">
        <f>K17899</f>
        <v>2589.54</v>
      </c>
    </row>
    <row r="17901" spans="1:13" x14ac:dyDescent="0.2">
      <c r="A17901" s="238">
        <v>2026</v>
      </c>
      <c r="B17901" s="238">
        <v>3</v>
      </c>
      <c r="C17901" s="238">
        <v>8</v>
      </c>
      <c r="D17901" s="270">
        <f t="shared" si="2822"/>
        <v>46089</v>
      </c>
      <c r="E17901" s="279">
        <f t="shared" si="2823"/>
        <v>46089</v>
      </c>
      <c r="F17901" s="477" t="s">
        <v>347</v>
      </c>
      <c r="G17901" s="239" t="s">
        <v>94</v>
      </c>
      <c r="H17901" s="239"/>
      <c r="I17901" s="262" t="s">
        <v>348</v>
      </c>
      <c r="J17901" s="240" t="s">
        <v>82</v>
      </c>
      <c r="K17901" s="241">
        <v>11080284.100000054</v>
      </c>
      <c r="L17901" s="241"/>
      <c r="M17901" s="160"/>
    </row>
    <row r="17902" spans="1:13" x14ac:dyDescent="0.2">
      <c r="A17902" s="242">
        <v>2026</v>
      </c>
      <c r="B17902" s="242">
        <v>3</v>
      </c>
      <c r="C17902" s="242">
        <v>8</v>
      </c>
      <c r="D17902" s="270">
        <f t="shared" si="2822"/>
        <v>46089</v>
      </c>
      <c r="E17902" s="279">
        <f t="shared" si="2823"/>
        <v>46089</v>
      </c>
      <c r="F17902" s="478"/>
      <c r="G17902" s="243" t="s">
        <v>94</v>
      </c>
      <c r="H17902" s="243"/>
      <c r="I17902" s="263" t="s">
        <v>348</v>
      </c>
      <c r="J17902" s="244" t="s">
        <v>108</v>
      </c>
      <c r="K17902" s="245"/>
      <c r="L17902" s="245">
        <f>K17901</f>
        <v>11080284.100000054</v>
      </c>
    </row>
    <row r="17903" spans="1:13" ht="12" customHeight="1" x14ac:dyDescent="0.2">
      <c r="A17903" s="246">
        <v>2026</v>
      </c>
      <c r="B17903" s="238">
        <v>3</v>
      </c>
      <c r="C17903" s="238">
        <v>8</v>
      </c>
      <c r="D17903" s="270">
        <f t="shared" si="2822"/>
        <v>46089</v>
      </c>
      <c r="E17903" s="279">
        <f t="shared" si="2823"/>
        <v>46089</v>
      </c>
      <c r="F17903" s="482" t="s">
        <v>2167</v>
      </c>
      <c r="G17903" s="247" t="s">
        <v>94</v>
      </c>
      <c r="H17903" s="247"/>
      <c r="I17903" s="248" t="s">
        <v>348</v>
      </c>
      <c r="J17903" s="249" t="s">
        <v>95</v>
      </c>
      <c r="K17903" s="250">
        <f>3*392.464678178964</f>
        <v>1177.3940345368919</v>
      </c>
      <c r="L17903" s="241"/>
      <c r="M17903" s="176"/>
    </row>
    <row r="17904" spans="1:13" x14ac:dyDescent="0.2">
      <c r="A17904" s="242">
        <v>2026</v>
      </c>
      <c r="B17904" s="242">
        <v>3</v>
      </c>
      <c r="C17904" s="242">
        <v>8</v>
      </c>
      <c r="D17904" s="270">
        <f t="shared" si="2822"/>
        <v>46089</v>
      </c>
      <c r="E17904" s="279">
        <f t="shared" si="2823"/>
        <v>46089</v>
      </c>
      <c r="F17904" s="478"/>
      <c r="G17904" s="243" t="s">
        <v>94</v>
      </c>
      <c r="H17904" s="243"/>
      <c r="I17904" s="263" t="s">
        <v>348</v>
      </c>
      <c r="J17904" s="244" t="s">
        <v>63</v>
      </c>
      <c r="K17904" s="245"/>
      <c r="L17904" s="245">
        <f>K17903</f>
        <v>1177.3940345368919</v>
      </c>
    </row>
    <row r="17905" spans="1:14" x14ac:dyDescent="0.2">
      <c r="A17905" s="246">
        <v>2026</v>
      </c>
      <c r="B17905" s="238">
        <v>3</v>
      </c>
      <c r="C17905" s="238">
        <v>8</v>
      </c>
      <c r="D17905" s="270">
        <f t="shared" si="2822"/>
        <v>46089</v>
      </c>
      <c r="E17905" s="279">
        <f t="shared" si="2823"/>
        <v>46089</v>
      </c>
      <c r="F17905" s="482" t="s">
        <v>2168</v>
      </c>
      <c r="G17905" s="247" t="s">
        <v>94</v>
      </c>
      <c r="H17905" s="247"/>
      <c r="I17905" s="248" t="s">
        <v>348</v>
      </c>
      <c r="J17905" s="249" t="s">
        <v>97</v>
      </c>
      <c r="K17905" s="250">
        <f>3*14312.6939772444</f>
        <v>42938.081931733199</v>
      </c>
      <c r="L17905" s="252"/>
      <c r="M17905" s="133">
        <v>14312.693977244413</v>
      </c>
    </row>
    <row r="17906" spans="1:14" x14ac:dyDescent="0.2">
      <c r="A17906" s="242">
        <v>2026</v>
      </c>
      <c r="B17906" s="242">
        <v>3</v>
      </c>
      <c r="C17906" s="242">
        <v>8</v>
      </c>
      <c r="D17906" s="270">
        <f t="shared" si="2822"/>
        <v>46089</v>
      </c>
      <c r="E17906" s="279">
        <f t="shared" si="2823"/>
        <v>46089</v>
      </c>
      <c r="F17906" s="478"/>
      <c r="G17906" s="243" t="s">
        <v>94</v>
      </c>
      <c r="H17906" s="243"/>
      <c r="I17906" s="263" t="s">
        <v>348</v>
      </c>
      <c r="J17906" s="244" t="s">
        <v>47</v>
      </c>
      <c r="K17906" s="245"/>
      <c r="L17906" s="245">
        <f>K17905</f>
        <v>42938.081931733199</v>
      </c>
      <c r="M17906" s="170">
        <v>681.29403952156133</v>
      </c>
    </row>
    <row r="17907" spans="1:14" x14ac:dyDescent="0.2">
      <c r="A17907" s="238">
        <v>2026</v>
      </c>
      <c r="B17907" s="238">
        <v>3</v>
      </c>
      <c r="C17907" s="238">
        <v>8</v>
      </c>
      <c r="D17907" s="270">
        <f t="shared" si="2822"/>
        <v>46089</v>
      </c>
      <c r="E17907" s="279">
        <f t="shared" si="2823"/>
        <v>46089</v>
      </c>
      <c r="F17907" s="477" t="s">
        <v>2169</v>
      </c>
      <c r="G17907" s="239" t="s">
        <v>94</v>
      </c>
      <c r="H17907" s="239"/>
      <c r="I17907" s="262" t="s">
        <v>348</v>
      </c>
      <c r="J17907" s="240" t="s">
        <v>100</v>
      </c>
      <c r="K17907" s="241">
        <f>3*681.294039521561</f>
        <v>2043.882118564683</v>
      </c>
      <c r="L17907" s="241"/>
      <c r="M17907" s="170"/>
    </row>
    <row r="17908" spans="1:14" x14ac:dyDescent="0.2">
      <c r="A17908" s="242">
        <v>2026</v>
      </c>
      <c r="B17908" s="242">
        <v>3</v>
      </c>
      <c r="C17908" s="242">
        <v>8</v>
      </c>
      <c r="D17908" s="321">
        <f t="shared" si="2822"/>
        <v>46089</v>
      </c>
      <c r="E17908" s="322">
        <f t="shared" si="2823"/>
        <v>46089</v>
      </c>
      <c r="F17908" s="478"/>
      <c r="G17908" s="243" t="s">
        <v>94</v>
      </c>
      <c r="H17908" s="243"/>
      <c r="I17908" s="263" t="s">
        <v>348</v>
      </c>
      <c r="J17908" s="244" t="s">
        <v>48</v>
      </c>
      <c r="K17908" s="245"/>
      <c r="L17908" s="245">
        <f>K17907</f>
        <v>2043.882118564683</v>
      </c>
    </row>
    <row r="17909" spans="1:14" ht="11.25" customHeight="1" x14ac:dyDescent="0.2">
      <c r="A17909" s="168">
        <v>2026</v>
      </c>
      <c r="B17909" s="168">
        <v>3</v>
      </c>
      <c r="C17909" s="168">
        <v>9</v>
      </c>
      <c r="D17909" s="141">
        <f t="shared" si="2822"/>
        <v>46090</v>
      </c>
      <c r="E17909" s="275">
        <f t="shared" si="2823"/>
        <v>46090</v>
      </c>
      <c r="F17909" s="479" t="s">
        <v>964</v>
      </c>
      <c r="G17909" s="220" t="s">
        <v>74</v>
      </c>
      <c r="H17909" s="142"/>
      <c r="I17909" s="142"/>
      <c r="J17909" s="168" t="s">
        <v>52</v>
      </c>
      <c r="K17909" s="226">
        <v>4052396</v>
      </c>
      <c r="L17909" s="226"/>
    </row>
    <row r="17910" spans="1:14" ht="11.25" customHeight="1" x14ac:dyDescent="0.2">
      <c r="A17910" s="133">
        <v>2026</v>
      </c>
      <c r="B17910" s="133">
        <v>3</v>
      </c>
      <c r="C17910" s="133">
        <v>9</v>
      </c>
      <c r="D17910" s="147">
        <f t="shared" si="2822"/>
        <v>46090</v>
      </c>
      <c r="E17910" s="311">
        <f t="shared" si="2823"/>
        <v>46090</v>
      </c>
      <c r="F17910" s="481"/>
      <c r="G17910" s="174" t="s">
        <v>74</v>
      </c>
      <c r="J17910" s="133" t="s">
        <v>13</v>
      </c>
      <c r="K17910" s="218"/>
      <c r="L17910" s="218">
        <v>2838800</v>
      </c>
    </row>
    <row r="17911" spans="1:14" ht="11.25" customHeight="1" x14ac:dyDescent="0.2">
      <c r="A17911" s="163">
        <v>2026</v>
      </c>
      <c r="B17911" s="163">
        <v>3</v>
      </c>
      <c r="C17911" s="163">
        <v>9</v>
      </c>
      <c r="D17911" s="144">
        <f t="shared" si="2822"/>
        <v>46090</v>
      </c>
      <c r="E17911" s="313">
        <f t="shared" si="2823"/>
        <v>46090</v>
      </c>
      <c r="F17911" s="480"/>
      <c r="G17911" s="221" t="s">
        <v>74</v>
      </c>
      <c r="H17911" s="145"/>
      <c r="I17911" s="145"/>
      <c r="J17911" s="163" t="s">
        <v>53</v>
      </c>
      <c r="K17911" s="219"/>
      <c r="L17911" s="219">
        <v>1213596</v>
      </c>
    </row>
    <row r="17912" spans="1:14" ht="11.25" customHeight="1" x14ac:dyDescent="0.2">
      <c r="A17912" s="168">
        <v>2026</v>
      </c>
      <c r="B17912" s="168">
        <v>3</v>
      </c>
      <c r="C17912" s="168">
        <v>9</v>
      </c>
      <c r="D17912" s="141">
        <f t="shared" si="2822"/>
        <v>46090</v>
      </c>
      <c r="E17912" s="275">
        <f t="shared" si="2823"/>
        <v>46090</v>
      </c>
      <c r="F17912" s="479" t="s">
        <v>2184</v>
      </c>
      <c r="G17912" s="220" t="s">
        <v>74</v>
      </c>
      <c r="H17912" s="142"/>
      <c r="I17912" s="142"/>
      <c r="J17912" s="168" t="s">
        <v>13</v>
      </c>
      <c r="K17912" s="226">
        <v>1861160</v>
      </c>
      <c r="L17912" s="226"/>
    </row>
    <row r="17913" spans="1:14" ht="11.25" customHeight="1" x14ac:dyDescent="0.2">
      <c r="A17913" s="133">
        <v>2026</v>
      </c>
      <c r="B17913" s="133">
        <v>3</v>
      </c>
      <c r="C17913" s="133">
        <v>9</v>
      </c>
      <c r="D17913" s="147">
        <f t="shared" si="2822"/>
        <v>46090</v>
      </c>
      <c r="E17913" s="311">
        <f t="shared" si="2823"/>
        <v>46090</v>
      </c>
      <c r="F17913" s="481"/>
      <c r="G17913" s="174" t="s">
        <v>74</v>
      </c>
      <c r="J17913" s="133" t="s">
        <v>53</v>
      </c>
      <c r="K17913" s="218">
        <v>953100.04</v>
      </c>
      <c r="L17913" s="218"/>
    </row>
    <row r="17914" spans="1:14" ht="11.25" customHeight="1" x14ac:dyDescent="0.2">
      <c r="A17914" s="163">
        <v>2026</v>
      </c>
      <c r="B17914" s="163">
        <v>3</v>
      </c>
      <c r="C17914" s="163">
        <v>9</v>
      </c>
      <c r="D17914" s="144">
        <f t="shared" si="2822"/>
        <v>46090</v>
      </c>
      <c r="E17914" s="313">
        <f t="shared" si="2823"/>
        <v>46090</v>
      </c>
      <c r="F17914" s="480"/>
      <c r="G17914" s="221" t="s">
        <v>74</v>
      </c>
      <c r="H17914" s="145"/>
      <c r="I17914" s="145"/>
      <c r="J17914" s="163" t="s">
        <v>52</v>
      </c>
      <c r="K17914" s="219"/>
      <c r="L17914" s="219">
        <v>2814260.04</v>
      </c>
    </row>
    <row r="17915" spans="1:14" x14ac:dyDescent="0.2">
      <c r="A17915" s="168">
        <v>2026</v>
      </c>
      <c r="B17915" s="133">
        <v>3</v>
      </c>
      <c r="C17915" s="168">
        <v>9</v>
      </c>
      <c r="D17915" s="141">
        <f t="shared" si="2822"/>
        <v>46090</v>
      </c>
      <c r="E17915" s="275">
        <f t="shared" si="2823"/>
        <v>46090</v>
      </c>
      <c r="F17915" s="479" t="s">
        <v>1943</v>
      </c>
      <c r="G17915" s="174" t="s">
        <v>74</v>
      </c>
      <c r="I17915" s="148" t="s">
        <v>348</v>
      </c>
      <c r="J17915" s="133" t="s">
        <v>61</v>
      </c>
      <c r="K17915" s="172">
        <v>100</v>
      </c>
    </row>
    <row r="17916" spans="1:14" x14ac:dyDescent="0.2">
      <c r="A17916" s="163">
        <v>2026</v>
      </c>
      <c r="B17916" s="163">
        <v>3</v>
      </c>
      <c r="C17916" s="163">
        <v>9</v>
      </c>
      <c r="D17916" s="144">
        <f t="shared" si="2822"/>
        <v>46090</v>
      </c>
      <c r="E17916" s="313">
        <f t="shared" si="2823"/>
        <v>46090</v>
      </c>
      <c r="F17916" s="480"/>
      <c r="G17916" s="221" t="s">
        <v>74</v>
      </c>
      <c r="H17916" s="145"/>
      <c r="I17916" s="145" t="s">
        <v>348</v>
      </c>
      <c r="J17916" s="163" t="s">
        <v>52</v>
      </c>
      <c r="K17916" s="219"/>
      <c r="L17916" s="219">
        <f>K17915</f>
        <v>100</v>
      </c>
    </row>
    <row r="17917" spans="1:14" x14ac:dyDescent="0.2">
      <c r="A17917" s="168">
        <v>2026</v>
      </c>
      <c r="B17917" s="168">
        <v>3</v>
      </c>
      <c r="C17917" s="168">
        <v>9</v>
      </c>
      <c r="D17917" s="141">
        <f t="shared" ref="D17917:D17924" si="2824">DATE(A17917,B17917,C17917)</f>
        <v>46090</v>
      </c>
      <c r="E17917" s="275">
        <f t="shared" ref="E17917:E17924" si="2825">DATE(A17917,B17917,C17917)</f>
        <v>46090</v>
      </c>
      <c r="F17917" s="479" t="s">
        <v>2115</v>
      </c>
      <c r="G17917" s="220" t="s">
        <v>94</v>
      </c>
      <c r="H17917" s="220"/>
      <c r="I17917" s="142"/>
      <c r="J17917" s="143" t="s">
        <v>79</v>
      </c>
      <c r="K17917" s="226">
        <v>159600</v>
      </c>
      <c r="L17917" s="226"/>
    </row>
    <row r="17918" spans="1:14" x14ac:dyDescent="0.2">
      <c r="A17918" s="133">
        <v>2026</v>
      </c>
      <c r="B17918" s="133">
        <v>3</v>
      </c>
      <c r="C17918" s="133">
        <v>9</v>
      </c>
      <c r="D17918" s="147">
        <f t="shared" si="2824"/>
        <v>46090</v>
      </c>
      <c r="E17918" s="311">
        <f t="shared" si="2825"/>
        <v>46090</v>
      </c>
      <c r="F17918" s="481"/>
      <c r="G17918" s="174" t="s">
        <v>94</v>
      </c>
      <c r="H17918" s="174"/>
      <c r="J17918" s="149" t="s">
        <v>80</v>
      </c>
      <c r="K17918" s="218">
        <v>8762.77</v>
      </c>
      <c r="L17918" s="264"/>
      <c r="M17918" s="264"/>
      <c r="N17918" s="264"/>
    </row>
    <row r="17919" spans="1:14" x14ac:dyDescent="0.2">
      <c r="A17919" s="133">
        <v>2026</v>
      </c>
      <c r="B17919" s="133">
        <v>3</v>
      </c>
      <c r="C17919" s="133">
        <v>9</v>
      </c>
      <c r="D17919" s="147">
        <f t="shared" si="2824"/>
        <v>46090</v>
      </c>
      <c r="E17919" s="311">
        <f t="shared" si="2825"/>
        <v>46090</v>
      </c>
      <c r="F17919" s="481"/>
      <c r="G17919" s="174" t="s">
        <v>94</v>
      </c>
      <c r="H17919" s="174"/>
      <c r="J17919" s="149" t="s">
        <v>190</v>
      </c>
      <c r="K17919" s="218">
        <v>4540240.04</v>
      </c>
      <c r="L17919" s="218"/>
      <c r="M17919" s="264"/>
    </row>
    <row r="17920" spans="1:14" x14ac:dyDescent="0.2">
      <c r="A17920" s="133">
        <v>2026</v>
      </c>
      <c r="B17920" s="133">
        <v>3</v>
      </c>
      <c r="C17920" s="133">
        <v>9</v>
      </c>
      <c r="D17920" s="147">
        <f t="shared" si="2824"/>
        <v>46090</v>
      </c>
      <c r="E17920" s="311">
        <f t="shared" si="2825"/>
        <v>46090</v>
      </c>
      <c r="F17920" s="481"/>
      <c r="G17920" s="174" t="s">
        <v>94</v>
      </c>
      <c r="H17920" s="174"/>
      <c r="J17920" s="149" t="s">
        <v>191</v>
      </c>
      <c r="K17920" s="218"/>
      <c r="L17920" s="218">
        <v>169586.3</v>
      </c>
    </row>
    <row r="17921" spans="1:13" x14ac:dyDescent="0.2">
      <c r="A17921" s="163">
        <v>2026</v>
      </c>
      <c r="B17921" s="163">
        <v>3</v>
      </c>
      <c r="C17921" s="163">
        <v>9</v>
      </c>
      <c r="D17921" s="144">
        <f t="shared" si="2824"/>
        <v>46090</v>
      </c>
      <c r="E17921" s="313">
        <f t="shared" si="2825"/>
        <v>46090</v>
      </c>
      <c r="F17921" s="480"/>
      <c r="G17921" s="221" t="s">
        <v>94</v>
      </c>
      <c r="H17921" s="145"/>
      <c r="I17921" s="145"/>
      <c r="J17921" s="163" t="s">
        <v>79</v>
      </c>
      <c r="K17921" s="219"/>
      <c r="L17921" s="219">
        <v>4539016.5</v>
      </c>
      <c r="M17921" s="264"/>
    </row>
    <row r="17922" spans="1:13" x14ac:dyDescent="0.2">
      <c r="A17922" s="168">
        <v>2026</v>
      </c>
      <c r="B17922" s="168">
        <v>3</v>
      </c>
      <c r="C17922" s="168">
        <v>9</v>
      </c>
      <c r="D17922" s="141">
        <f t="shared" si="2824"/>
        <v>46090</v>
      </c>
      <c r="E17922" s="275">
        <f t="shared" si="2825"/>
        <v>46090</v>
      </c>
      <c r="F17922" s="479" t="s">
        <v>362</v>
      </c>
      <c r="G17922" s="220" t="s">
        <v>74</v>
      </c>
      <c r="H17922" s="220"/>
      <c r="I17922" s="142" t="s">
        <v>348</v>
      </c>
      <c r="J17922" s="149" t="s">
        <v>104</v>
      </c>
      <c r="K17922" s="218">
        <f>L17924/0.9</f>
        <v>8156.0222222222219</v>
      </c>
      <c r="L17922" s="218"/>
    </row>
    <row r="17923" spans="1:13" x14ac:dyDescent="0.2">
      <c r="A17923" s="133">
        <v>2026</v>
      </c>
      <c r="B17923" s="133">
        <v>3</v>
      </c>
      <c r="C17923" s="133">
        <v>9</v>
      </c>
      <c r="D17923" s="147">
        <f t="shared" si="2824"/>
        <v>46090</v>
      </c>
      <c r="E17923" s="311">
        <f t="shared" si="2825"/>
        <v>46090</v>
      </c>
      <c r="F17923" s="481"/>
      <c r="G17923" s="174" t="s">
        <v>74</v>
      </c>
      <c r="H17923" s="174"/>
      <c r="J17923" s="149" t="s">
        <v>534</v>
      </c>
      <c r="K17923" s="218"/>
      <c r="L17923" s="218">
        <f>K17922-L17924</f>
        <v>815.60222222222183</v>
      </c>
    </row>
    <row r="17924" spans="1:13" x14ac:dyDescent="0.2">
      <c r="A17924" s="133">
        <v>2026</v>
      </c>
      <c r="B17924" s="133">
        <v>3</v>
      </c>
      <c r="C17924" s="133">
        <v>9</v>
      </c>
      <c r="D17924" s="147">
        <f t="shared" si="2824"/>
        <v>46090</v>
      </c>
      <c r="E17924" s="311">
        <f t="shared" si="2825"/>
        <v>46090</v>
      </c>
      <c r="F17924" s="481"/>
      <c r="G17924" s="174" t="s">
        <v>74</v>
      </c>
      <c r="H17924" s="174"/>
      <c r="I17924" s="145" t="s">
        <v>348</v>
      </c>
      <c r="J17924" s="146" t="s">
        <v>52</v>
      </c>
      <c r="K17924" s="219"/>
      <c r="L17924" s="219">
        <v>7340.42</v>
      </c>
    </row>
    <row r="17925" spans="1:13" x14ac:dyDescent="0.2">
      <c r="A17925" s="325">
        <v>2026</v>
      </c>
      <c r="B17925" s="325">
        <v>3</v>
      </c>
      <c r="C17925" s="325">
        <v>9</v>
      </c>
      <c r="D17925" s="326">
        <f t="shared" ref="D17925:D17938" si="2826">DATE(A17925,B17925,C17925)</f>
        <v>46090</v>
      </c>
      <c r="E17925" s="327">
        <f t="shared" ref="E17925:E17938" si="2827">DATE(A17925,B17925,C17925)</f>
        <v>46090</v>
      </c>
      <c r="F17925" s="473" t="s">
        <v>2131</v>
      </c>
      <c r="G17925" s="340" t="s">
        <v>94</v>
      </c>
      <c r="H17925" s="340"/>
      <c r="I17925" s="341" t="s">
        <v>348</v>
      </c>
      <c r="J17925" s="374" t="s">
        <v>2156</v>
      </c>
      <c r="K17925" s="375">
        <v>6185.4395604395604</v>
      </c>
      <c r="L17925" s="375"/>
      <c r="M17925" s="176"/>
    </row>
    <row r="17926" spans="1:13" x14ac:dyDescent="0.2">
      <c r="A17926" s="331">
        <v>2026</v>
      </c>
      <c r="B17926" s="331">
        <v>3</v>
      </c>
      <c r="C17926" s="331">
        <v>9</v>
      </c>
      <c r="D17926" s="326">
        <f t="shared" si="2826"/>
        <v>46090</v>
      </c>
      <c r="E17926" s="327">
        <f t="shared" si="2827"/>
        <v>46090</v>
      </c>
      <c r="F17926" s="474"/>
      <c r="G17926" s="332" t="s">
        <v>94</v>
      </c>
      <c r="H17926" s="332"/>
      <c r="I17926" s="333" t="s">
        <v>348</v>
      </c>
      <c r="J17926" s="376" t="s">
        <v>2154</v>
      </c>
      <c r="K17926" s="334"/>
      <c r="L17926" s="334">
        <f>K17925</f>
        <v>6185.4395604395604</v>
      </c>
    </row>
    <row r="17927" spans="1:13" x14ac:dyDescent="0.2">
      <c r="A17927" s="384">
        <v>2026</v>
      </c>
      <c r="B17927" s="384">
        <v>3</v>
      </c>
      <c r="C17927" s="384">
        <v>9</v>
      </c>
      <c r="D17927" s="385">
        <f t="shared" si="2826"/>
        <v>46090</v>
      </c>
      <c r="E17927" s="386">
        <f t="shared" si="2827"/>
        <v>46090</v>
      </c>
      <c r="F17927" s="475" t="s">
        <v>1966</v>
      </c>
      <c r="G17927" s="387" t="s">
        <v>94</v>
      </c>
      <c r="H17927" s="387"/>
      <c r="I17927" s="388" t="s">
        <v>348</v>
      </c>
      <c r="J17927" s="389" t="s">
        <v>67</v>
      </c>
      <c r="K17927" s="390">
        <v>577.99451777777767</v>
      </c>
      <c r="L17927" s="390"/>
    </row>
    <row r="17928" spans="1:13" x14ac:dyDescent="0.2">
      <c r="A17928" s="391">
        <v>2026</v>
      </c>
      <c r="B17928" s="391">
        <v>3</v>
      </c>
      <c r="C17928" s="391">
        <v>9</v>
      </c>
      <c r="D17928" s="385">
        <f t="shared" si="2826"/>
        <v>46090</v>
      </c>
      <c r="E17928" s="386">
        <f t="shared" si="2827"/>
        <v>46090</v>
      </c>
      <c r="F17928" s="476"/>
      <c r="G17928" s="392" t="s">
        <v>94</v>
      </c>
      <c r="H17928" s="392"/>
      <c r="I17928" s="393" t="s">
        <v>348</v>
      </c>
      <c r="J17928" s="394" t="s">
        <v>2155</v>
      </c>
      <c r="K17928" s="395"/>
      <c r="L17928" s="395">
        <f>K17927</f>
        <v>577.99451777777767</v>
      </c>
    </row>
    <row r="17929" spans="1:13" x14ac:dyDescent="0.2">
      <c r="A17929" s="238">
        <v>2026</v>
      </c>
      <c r="B17929" s="238">
        <v>3</v>
      </c>
      <c r="C17929" s="238">
        <v>9</v>
      </c>
      <c r="D17929" s="270">
        <f t="shared" si="2826"/>
        <v>46090</v>
      </c>
      <c r="E17929" s="279">
        <f t="shared" si="2827"/>
        <v>46090</v>
      </c>
      <c r="F17929" s="477" t="s">
        <v>347</v>
      </c>
      <c r="G17929" s="239" t="s">
        <v>94</v>
      </c>
      <c r="H17929" s="239"/>
      <c r="I17929" s="262" t="s">
        <v>348</v>
      </c>
      <c r="J17929" s="240" t="s">
        <v>108</v>
      </c>
      <c r="K17929" s="241">
        <v>5262953.0000000596</v>
      </c>
      <c r="L17929" s="241"/>
      <c r="M17929" s="160"/>
    </row>
    <row r="17930" spans="1:13" x14ac:dyDescent="0.2">
      <c r="A17930" s="242">
        <v>2026</v>
      </c>
      <c r="B17930" s="242">
        <v>3</v>
      </c>
      <c r="C17930" s="242">
        <v>9</v>
      </c>
      <c r="D17930" s="270">
        <f t="shared" si="2826"/>
        <v>46090</v>
      </c>
      <c r="E17930" s="279">
        <f t="shared" si="2827"/>
        <v>46090</v>
      </c>
      <c r="F17930" s="478"/>
      <c r="G17930" s="243" t="s">
        <v>94</v>
      </c>
      <c r="H17930" s="243"/>
      <c r="I17930" s="263" t="s">
        <v>348</v>
      </c>
      <c r="J17930" s="244" t="s">
        <v>82</v>
      </c>
      <c r="K17930" s="245"/>
      <c r="L17930" s="245">
        <f>K17929</f>
        <v>5262953.0000000596</v>
      </c>
    </row>
    <row r="17931" spans="1:13" ht="12" customHeight="1" x14ac:dyDescent="0.2">
      <c r="A17931" s="246">
        <v>2026</v>
      </c>
      <c r="B17931" s="238">
        <v>3</v>
      </c>
      <c r="C17931" s="238">
        <v>9</v>
      </c>
      <c r="D17931" s="270">
        <f t="shared" si="2826"/>
        <v>46090</v>
      </c>
      <c r="E17931" s="279">
        <f t="shared" si="2827"/>
        <v>46090</v>
      </c>
      <c r="F17931" s="482" t="s">
        <v>2167</v>
      </c>
      <c r="G17931" s="247" t="s">
        <v>94</v>
      </c>
      <c r="H17931" s="247"/>
      <c r="I17931" s="248" t="s">
        <v>348</v>
      </c>
      <c r="J17931" s="249" t="s">
        <v>95</v>
      </c>
      <c r="K17931" s="250">
        <v>392.46467817896399</v>
      </c>
      <c r="L17931" s="241"/>
      <c r="M17931" s="176"/>
    </row>
    <row r="17932" spans="1:13" x14ac:dyDescent="0.2">
      <c r="A17932" s="242">
        <v>2026</v>
      </c>
      <c r="B17932" s="242">
        <v>3</v>
      </c>
      <c r="C17932" s="242">
        <v>9</v>
      </c>
      <c r="D17932" s="270">
        <f t="shared" si="2826"/>
        <v>46090</v>
      </c>
      <c r="E17932" s="279">
        <f t="shared" si="2827"/>
        <v>46090</v>
      </c>
      <c r="F17932" s="478"/>
      <c r="G17932" s="243" t="s">
        <v>94</v>
      </c>
      <c r="H17932" s="243"/>
      <c r="I17932" s="263" t="s">
        <v>348</v>
      </c>
      <c r="J17932" s="244" t="s">
        <v>63</v>
      </c>
      <c r="K17932" s="245"/>
      <c r="L17932" s="245">
        <f>K17931</f>
        <v>392.46467817896399</v>
      </c>
    </row>
    <row r="17933" spans="1:13" x14ac:dyDescent="0.2">
      <c r="A17933" s="246">
        <v>2026</v>
      </c>
      <c r="B17933" s="238">
        <v>3</v>
      </c>
      <c r="C17933" s="238">
        <v>9</v>
      </c>
      <c r="D17933" s="270">
        <f t="shared" si="2826"/>
        <v>46090</v>
      </c>
      <c r="E17933" s="279">
        <f t="shared" si="2827"/>
        <v>46090</v>
      </c>
      <c r="F17933" s="482" t="s">
        <v>2168</v>
      </c>
      <c r="G17933" s="247" t="s">
        <v>94</v>
      </c>
      <c r="H17933" s="247"/>
      <c r="I17933" s="248" t="s">
        <v>348</v>
      </c>
      <c r="J17933" s="249" t="s">
        <v>97</v>
      </c>
      <c r="K17933" s="250">
        <v>14881.012911387299</v>
      </c>
      <c r="L17933" s="252"/>
    </row>
    <row r="17934" spans="1:13" x14ac:dyDescent="0.2">
      <c r="A17934" s="242">
        <v>2026</v>
      </c>
      <c r="B17934" s="242">
        <v>3</v>
      </c>
      <c r="C17934" s="242">
        <v>9</v>
      </c>
      <c r="D17934" s="270">
        <f t="shared" si="2826"/>
        <v>46090</v>
      </c>
      <c r="E17934" s="279">
        <f t="shared" si="2827"/>
        <v>46090</v>
      </c>
      <c r="F17934" s="478"/>
      <c r="G17934" s="243" t="s">
        <v>94</v>
      </c>
      <c r="H17934" s="243"/>
      <c r="I17934" s="263" t="s">
        <v>348</v>
      </c>
      <c r="J17934" s="244" t="s">
        <v>47</v>
      </c>
      <c r="K17934" s="245"/>
      <c r="L17934" s="245">
        <f>K17933</f>
        <v>14881.012911387299</v>
      </c>
      <c r="M17934" s="170"/>
    </row>
    <row r="17935" spans="1:13" x14ac:dyDescent="0.2">
      <c r="A17935" s="238">
        <v>2026</v>
      </c>
      <c r="B17935" s="238">
        <v>3</v>
      </c>
      <c r="C17935" s="238">
        <v>9</v>
      </c>
      <c r="D17935" s="270">
        <f t="shared" si="2826"/>
        <v>46090</v>
      </c>
      <c r="E17935" s="279">
        <f t="shared" si="2827"/>
        <v>46090</v>
      </c>
      <c r="F17935" s="477" t="s">
        <v>2169</v>
      </c>
      <c r="G17935" s="239" t="s">
        <v>94</v>
      </c>
      <c r="H17935" s="239"/>
      <c r="I17935" s="262" t="s">
        <v>348</v>
      </c>
      <c r="J17935" s="240" t="s">
        <v>100</v>
      </c>
      <c r="K17935" s="241">
        <v>717.34225270054526</v>
      </c>
      <c r="L17935" s="241"/>
      <c r="M17935" s="170"/>
    </row>
    <row r="17936" spans="1:13" x14ac:dyDescent="0.2">
      <c r="A17936" s="242">
        <v>2026</v>
      </c>
      <c r="B17936" s="242">
        <v>3</v>
      </c>
      <c r="C17936" s="242">
        <v>9</v>
      </c>
      <c r="D17936" s="321">
        <f t="shared" si="2826"/>
        <v>46090</v>
      </c>
      <c r="E17936" s="322">
        <f t="shared" si="2827"/>
        <v>46090</v>
      </c>
      <c r="F17936" s="478"/>
      <c r="G17936" s="243" t="s">
        <v>94</v>
      </c>
      <c r="H17936" s="243"/>
      <c r="I17936" s="263" t="s">
        <v>348</v>
      </c>
      <c r="J17936" s="244" t="s">
        <v>48</v>
      </c>
      <c r="K17936" s="245"/>
      <c r="L17936" s="245">
        <f>K17935</f>
        <v>717.34225270054526</v>
      </c>
    </row>
    <row r="17937" spans="1:14" ht="11.25" customHeight="1" x14ac:dyDescent="0.2">
      <c r="A17937" s="168">
        <v>2026</v>
      </c>
      <c r="B17937" s="133">
        <v>3</v>
      </c>
      <c r="C17937" s="168">
        <v>10</v>
      </c>
      <c r="D17937" s="141">
        <f t="shared" si="2826"/>
        <v>46091</v>
      </c>
      <c r="E17937" s="275">
        <f t="shared" si="2827"/>
        <v>46091</v>
      </c>
      <c r="F17937" s="479" t="s">
        <v>2183</v>
      </c>
      <c r="G17937" s="220" t="s">
        <v>74</v>
      </c>
      <c r="H17937" s="220"/>
      <c r="I17937" s="142"/>
      <c r="J17937" s="149" t="s">
        <v>147</v>
      </c>
      <c r="K17937" s="226">
        <v>153275.4</v>
      </c>
      <c r="L17937" s="226"/>
    </row>
    <row r="17938" spans="1:14" x14ac:dyDescent="0.2">
      <c r="A17938" s="163">
        <v>2026</v>
      </c>
      <c r="B17938" s="163">
        <v>3</v>
      </c>
      <c r="C17938" s="163">
        <v>10</v>
      </c>
      <c r="D17938" s="144">
        <f t="shared" si="2826"/>
        <v>46091</v>
      </c>
      <c r="E17938" s="313">
        <f t="shared" si="2827"/>
        <v>46091</v>
      </c>
      <c r="F17938" s="480"/>
      <c r="G17938" s="221" t="s">
        <v>74</v>
      </c>
      <c r="H17938" s="221"/>
      <c r="I17938" s="145"/>
      <c r="J17938" s="146" t="s">
        <v>52</v>
      </c>
      <c r="K17938" s="219"/>
      <c r="L17938" s="219">
        <f>K17937</f>
        <v>153275.4</v>
      </c>
      <c r="N17938" s="264"/>
    </row>
    <row r="17939" spans="1:14" x14ac:dyDescent="0.2">
      <c r="A17939" s="168">
        <v>2026</v>
      </c>
      <c r="B17939" s="168">
        <v>3</v>
      </c>
      <c r="C17939" s="168">
        <v>10</v>
      </c>
      <c r="D17939" s="141">
        <f>DATE(A17939,B17939,C17939)</f>
        <v>46091</v>
      </c>
      <c r="E17939" s="275">
        <f>DATE(A17939,B17939,C17939)</f>
        <v>46091</v>
      </c>
      <c r="F17939" s="479" t="s">
        <v>2115</v>
      </c>
      <c r="G17939" s="220" t="s">
        <v>94</v>
      </c>
      <c r="H17939" s="220"/>
      <c r="I17939" s="142"/>
      <c r="J17939" s="143" t="s">
        <v>79</v>
      </c>
      <c r="K17939" s="226">
        <v>1744408.8</v>
      </c>
      <c r="L17939" s="226"/>
    </row>
    <row r="17940" spans="1:14" x14ac:dyDescent="0.2">
      <c r="A17940" s="133">
        <v>2026</v>
      </c>
      <c r="B17940" s="133">
        <v>3</v>
      </c>
      <c r="C17940" s="133">
        <v>10</v>
      </c>
      <c r="D17940" s="147">
        <f>DATE(A17940,B17940,C17940)</f>
        <v>46091</v>
      </c>
      <c r="E17940" s="311">
        <f>DATE(A17940,B17940,C17940)</f>
        <v>46091</v>
      </c>
      <c r="F17940" s="481"/>
      <c r="G17940" s="174" t="s">
        <v>94</v>
      </c>
      <c r="H17940" s="174"/>
      <c r="J17940" s="149" t="s">
        <v>80</v>
      </c>
      <c r="K17940" s="218">
        <v>10418.2359</v>
      </c>
      <c r="L17940" s="264"/>
      <c r="M17940" s="264"/>
      <c r="N17940" s="264"/>
    </row>
    <row r="17941" spans="1:14" x14ac:dyDescent="0.2">
      <c r="A17941" s="133">
        <v>2026</v>
      </c>
      <c r="B17941" s="133">
        <v>3</v>
      </c>
      <c r="C17941" s="133">
        <v>10</v>
      </c>
      <c r="D17941" s="147">
        <f>DATE(A17941,B17941,C17941)</f>
        <v>46091</v>
      </c>
      <c r="E17941" s="311">
        <f>DATE(A17941,B17941,C17941)</f>
        <v>46091</v>
      </c>
      <c r="F17941" s="481"/>
      <c r="G17941" s="174" t="s">
        <v>94</v>
      </c>
      <c r="H17941" s="174"/>
      <c r="J17941" s="149" t="s">
        <v>190</v>
      </c>
      <c r="K17941" s="218">
        <v>2288672.96</v>
      </c>
      <c r="L17941" s="218"/>
      <c r="M17941" s="264"/>
    </row>
    <row r="17942" spans="1:14" x14ac:dyDescent="0.2">
      <c r="A17942" s="133">
        <v>2026</v>
      </c>
      <c r="B17942" s="133">
        <v>3</v>
      </c>
      <c r="C17942" s="133">
        <v>10</v>
      </c>
      <c r="D17942" s="147">
        <f>DATE(A17942,B17942,C17942)</f>
        <v>46091</v>
      </c>
      <c r="E17942" s="311">
        <f>DATE(A17942,B17942,C17942)</f>
        <v>46091</v>
      </c>
      <c r="F17942" s="481"/>
      <c r="G17942" s="174" t="s">
        <v>94</v>
      </c>
      <c r="H17942" s="174"/>
      <c r="J17942" s="149" t="s">
        <v>191</v>
      </c>
      <c r="K17942" s="218"/>
      <c r="L17942" s="218">
        <v>249964.78</v>
      </c>
    </row>
    <row r="17943" spans="1:14" x14ac:dyDescent="0.2">
      <c r="A17943" s="163">
        <v>2026</v>
      </c>
      <c r="B17943" s="163">
        <v>3</v>
      </c>
      <c r="C17943" s="163">
        <v>10</v>
      </c>
      <c r="D17943" s="144">
        <f>DATE(A17943,B17943,C17943)</f>
        <v>46091</v>
      </c>
      <c r="E17943" s="313">
        <f>DATE(A17943,B17943,C17943)</f>
        <v>46091</v>
      </c>
      <c r="F17943" s="480"/>
      <c r="G17943" s="221" t="s">
        <v>94</v>
      </c>
      <c r="H17943" s="145"/>
      <c r="I17943" s="145"/>
      <c r="J17943" s="163" t="s">
        <v>79</v>
      </c>
      <c r="K17943" s="219"/>
      <c r="L17943" s="219">
        <v>3793535.22</v>
      </c>
      <c r="M17943" s="264"/>
    </row>
    <row r="17944" spans="1:14" ht="11.25" customHeight="1" x14ac:dyDescent="0.2">
      <c r="A17944" s="168">
        <v>2026</v>
      </c>
      <c r="B17944" s="168">
        <v>3</v>
      </c>
      <c r="C17944" s="168">
        <v>10</v>
      </c>
      <c r="D17944" s="141">
        <f t="shared" ref="D17944:D17946" si="2828">DATE(A17944,B17944,C17944)</f>
        <v>46091</v>
      </c>
      <c r="E17944" s="275">
        <f t="shared" ref="E17944:E17946" si="2829">DATE(A17944,B17944,C17944)</f>
        <v>46091</v>
      </c>
      <c r="F17944" s="479" t="s">
        <v>964</v>
      </c>
      <c r="G17944" s="220" t="s">
        <v>74</v>
      </c>
      <c r="H17944" s="142"/>
      <c r="I17944" s="142"/>
      <c r="J17944" s="168" t="s">
        <v>52</v>
      </c>
      <c r="K17944" s="226">
        <v>758748</v>
      </c>
      <c r="L17944" s="226"/>
    </row>
    <row r="17945" spans="1:14" ht="11.25" customHeight="1" x14ac:dyDescent="0.2">
      <c r="A17945" s="133">
        <v>2026</v>
      </c>
      <c r="B17945" s="133">
        <v>3</v>
      </c>
      <c r="C17945" s="133">
        <v>10</v>
      </c>
      <c r="D17945" s="147">
        <f t="shared" si="2828"/>
        <v>46091</v>
      </c>
      <c r="E17945" s="311">
        <f t="shared" si="2829"/>
        <v>46091</v>
      </c>
      <c r="F17945" s="481"/>
      <c r="G17945" s="174" t="s">
        <v>74</v>
      </c>
      <c r="J17945" s="133" t="s">
        <v>13</v>
      </c>
      <c r="K17945" s="218"/>
      <c r="L17945" s="218">
        <v>522690</v>
      </c>
    </row>
    <row r="17946" spans="1:14" ht="11.25" customHeight="1" x14ac:dyDescent="0.2">
      <c r="A17946" s="163">
        <v>2026</v>
      </c>
      <c r="B17946" s="163">
        <v>3</v>
      </c>
      <c r="C17946" s="163">
        <v>10</v>
      </c>
      <c r="D17946" s="144">
        <f t="shared" si="2828"/>
        <v>46091</v>
      </c>
      <c r="E17946" s="313">
        <f t="shared" si="2829"/>
        <v>46091</v>
      </c>
      <c r="F17946" s="480"/>
      <c r="G17946" s="221" t="s">
        <v>74</v>
      </c>
      <c r="H17946" s="145"/>
      <c r="I17946" s="145"/>
      <c r="J17946" s="163" t="s">
        <v>53</v>
      </c>
      <c r="K17946" s="219"/>
      <c r="L17946" s="219">
        <v>236058</v>
      </c>
    </row>
    <row r="17947" spans="1:14" x14ac:dyDescent="0.2">
      <c r="A17947" s="325">
        <v>2026</v>
      </c>
      <c r="B17947" s="325">
        <v>3</v>
      </c>
      <c r="C17947" s="325">
        <v>10</v>
      </c>
      <c r="D17947" s="326">
        <f t="shared" ref="D17947:D17970" si="2830">DATE(A17947,B17947,C17947)</f>
        <v>46091</v>
      </c>
      <c r="E17947" s="327">
        <f t="shared" ref="E17947:E17970" si="2831">DATE(A17947,B17947,C17947)</f>
        <v>46091</v>
      </c>
      <c r="F17947" s="473" t="s">
        <v>2131</v>
      </c>
      <c r="G17947" s="340" t="s">
        <v>94</v>
      </c>
      <c r="H17947" s="340"/>
      <c r="I17947" s="341" t="s">
        <v>348</v>
      </c>
      <c r="J17947" s="374" t="s">
        <v>2156</v>
      </c>
      <c r="K17947" s="375">
        <v>6185.4395604395604</v>
      </c>
      <c r="L17947" s="375"/>
      <c r="M17947" s="176"/>
    </row>
    <row r="17948" spans="1:14" x14ac:dyDescent="0.2">
      <c r="A17948" s="331">
        <v>2026</v>
      </c>
      <c r="B17948" s="331">
        <v>3</v>
      </c>
      <c r="C17948" s="331">
        <v>10</v>
      </c>
      <c r="D17948" s="326">
        <f t="shared" si="2830"/>
        <v>46091</v>
      </c>
      <c r="E17948" s="327">
        <f t="shared" si="2831"/>
        <v>46091</v>
      </c>
      <c r="F17948" s="474"/>
      <c r="G17948" s="332" t="s">
        <v>94</v>
      </c>
      <c r="H17948" s="332"/>
      <c r="I17948" s="333" t="s">
        <v>348</v>
      </c>
      <c r="J17948" s="376" t="s">
        <v>2154</v>
      </c>
      <c r="K17948" s="334"/>
      <c r="L17948" s="334">
        <f>K17947</f>
        <v>6185.4395604395604</v>
      </c>
    </row>
    <row r="17949" spans="1:14" x14ac:dyDescent="0.2">
      <c r="A17949" s="384">
        <v>2026</v>
      </c>
      <c r="B17949" s="384">
        <v>3</v>
      </c>
      <c r="C17949" s="384">
        <v>10</v>
      </c>
      <c r="D17949" s="385">
        <f t="shared" si="2830"/>
        <v>46091</v>
      </c>
      <c r="E17949" s="386">
        <f t="shared" si="2831"/>
        <v>46091</v>
      </c>
      <c r="F17949" s="475" t="s">
        <v>1966</v>
      </c>
      <c r="G17949" s="387" t="s">
        <v>94</v>
      </c>
      <c r="H17949" s="387"/>
      <c r="I17949" s="388" t="s">
        <v>348</v>
      </c>
      <c r="J17949" s="389" t="s">
        <v>67</v>
      </c>
      <c r="K17949" s="390">
        <v>823.83992055555541</v>
      </c>
      <c r="L17949" s="390"/>
    </row>
    <row r="17950" spans="1:14" x14ac:dyDescent="0.2">
      <c r="A17950" s="391">
        <v>2026</v>
      </c>
      <c r="B17950" s="391">
        <v>3</v>
      </c>
      <c r="C17950" s="391">
        <v>10</v>
      </c>
      <c r="D17950" s="385">
        <f t="shared" si="2830"/>
        <v>46091</v>
      </c>
      <c r="E17950" s="386">
        <f t="shared" si="2831"/>
        <v>46091</v>
      </c>
      <c r="F17950" s="476"/>
      <c r="G17950" s="392" t="s">
        <v>94</v>
      </c>
      <c r="H17950" s="392"/>
      <c r="I17950" s="393" t="s">
        <v>348</v>
      </c>
      <c r="J17950" s="394" t="s">
        <v>2155</v>
      </c>
      <c r="K17950" s="395"/>
      <c r="L17950" s="395">
        <f>K17949</f>
        <v>823.83992055555541</v>
      </c>
    </row>
    <row r="17951" spans="1:14" x14ac:dyDescent="0.2">
      <c r="A17951" s="238">
        <v>2026</v>
      </c>
      <c r="B17951" s="238">
        <v>3</v>
      </c>
      <c r="C17951" s="238">
        <v>10</v>
      </c>
      <c r="D17951" s="270">
        <f t="shared" si="2830"/>
        <v>46091</v>
      </c>
      <c r="E17951" s="279">
        <f t="shared" si="2831"/>
        <v>46091</v>
      </c>
      <c r="F17951" s="477" t="s">
        <v>347</v>
      </c>
      <c r="G17951" s="239" t="s">
        <v>94</v>
      </c>
      <c r="H17951" s="239"/>
      <c r="I17951" s="262" t="s">
        <v>348</v>
      </c>
      <c r="J17951" s="240" t="s">
        <v>108</v>
      </c>
      <c r="K17951" s="241">
        <v>7118052.8199999928</v>
      </c>
      <c r="L17951" s="241"/>
      <c r="M17951" s="160"/>
    </row>
    <row r="17952" spans="1:14" x14ac:dyDescent="0.2">
      <c r="A17952" s="242">
        <v>2026</v>
      </c>
      <c r="B17952" s="242">
        <v>3</v>
      </c>
      <c r="C17952" s="242">
        <v>10</v>
      </c>
      <c r="D17952" s="270">
        <f t="shared" si="2830"/>
        <v>46091</v>
      </c>
      <c r="E17952" s="279">
        <f t="shared" si="2831"/>
        <v>46091</v>
      </c>
      <c r="F17952" s="478"/>
      <c r="G17952" s="243" t="s">
        <v>94</v>
      </c>
      <c r="H17952" s="243"/>
      <c r="I17952" s="263" t="s">
        <v>348</v>
      </c>
      <c r="J17952" s="244" t="s">
        <v>82</v>
      </c>
      <c r="K17952" s="245"/>
      <c r="L17952" s="245">
        <f>K17951</f>
        <v>7118052.8199999928</v>
      </c>
    </row>
    <row r="17953" spans="1:14" ht="12" customHeight="1" x14ac:dyDescent="0.2">
      <c r="A17953" s="246">
        <v>2026</v>
      </c>
      <c r="B17953" s="238">
        <v>3</v>
      </c>
      <c r="C17953" s="238">
        <v>10</v>
      </c>
      <c r="D17953" s="270">
        <f t="shared" si="2830"/>
        <v>46091</v>
      </c>
      <c r="E17953" s="279">
        <f t="shared" si="2831"/>
        <v>46091</v>
      </c>
      <c r="F17953" s="482" t="s">
        <v>2167</v>
      </c>
      <c r="G17953" s="247" t="s">
        <v>94</v>
      </c>
      <c r="H17953" s="247"/>
      <c r="I17953" s="248" t="s">
        <v>348</v>
      </c>
      <c r="J17953" s="249" t="s">
        <v>95</v>
      </c>
      <c r="K17953" s="250">
        <v>392.46467817896399</v>
      </c>
      <c r="L17953" s="241"/>
      <c r="M17953" s="176"/>
    </row>
    <row r="17954" spans="1:14" x14ac:dyDescent="0.2">
      <c r="A17954" s="242">
        <v>2026</v>
      </c>
      <c r="B17954" s="242">
        <v>3</v>
      </c>
      <c r="C17954" s="242">
        <v>10</v>
      </c>
      <c r="D17954" s="270">
        <f t="shared" si="2830"/>
        <v>46091</v>
      </c>
      <c r="E17954" s="279">
        <f t="shared" si="2831"/>
        <v>46091</v>
      </c>
      <c r="F17954" s="478"/>
      <c r="G17954" s="243" t="s">
        <v>94</v>
      </c>
      <c r="H17954" s="243"/>
      <c r="I17954" s="263" t="s">
        <v>348</v>
      </c>
      <c r="J17954" s="244" t="s">
        <v>63</v>
      </c>
      <c r="K17954" s="245"/>
      <c r="L17954" s="245">
        <f>K17953</f>
        <v>392.46467817896399</v>
      </c>
    </row>
    <row r="17955" spans="1:14" x14ac:dyDescent="0.2">
      <c r="A17955" s="246">
        <v>2026</v>
      </c>
      <c r="B17955" s="238">
        <v>3</v>
      </c>
      <c r="C17955" s="238">
        <v>10</v>
      </c>
      <c r="D17955" s="270">
        <f t="shared" si="2830"/>
        <v>46091</v>
      </c>
      <c r="E17955" s="279">
        <f t="shared" si="2831"/>
        <v>46091</v>
      </c>
      <c r="F17955" s="482" t="s">
        <v>2168</v>
      </c>
      <c r="G17955" s="247" t="s">
        <v>94</v>
      </c>
      <c r="H17955" s="247"/>
      <c r="I17955" s="248" t="s">
        <v>348</v>
      </c>
      <c r="J17955" s="249" t="s">
        <v>97</v>
      </c>
      <c r="K17955" s="250">
        <v>15183.504469142101</v>
      </c>
      <c r="L17955" s="252"/>
      <c r="M17955" s="133">
        <v>15183.504469142101</v>
      </c>
    </row>
    <row r="17956" spans="1:14" x14ac:dyDescent="0.2">
      <c r="A17956" s="242">
        <v>2026</v>
      </c>
      <c r="B17956" s="242">
        <v>3</v>
      </c>
      <c r="C17956" s="242">
        <v>10</v>
      </c>
      <c r="D17956" s="270">
        <f t="shared" si="2830"/>
        <v>46091</v>
      </c>
      <c r="E17956" s="279">
        <f t="shared" si="2831"/>
        <v>46091</v>
      </c>
      <c r="F17956" s="478"/>
      <c r="G17956" s="243" t="s">
        <v>94</v>
      </c>
      <c r="H17956" s="243"/>
      <c r="I17956" s="263" t="s">
        <v>348</v>
      </c>
      <c r="J17956" s="244" t="s">
        <v>47</v>
      </c>
      <c r="K17956" s="245"/>
      <c r="L17956" s="245">
        <f>K17955</f>
        <v>15183.504469142101</v>
      </c>
      <c r="M17956" s="170">
        <v>737.50835655086519</v>
      </c>
    </row>
    <row r="17957" spans="1:14" x14ac:dyDescent="0.2">
      <c r="A17957" s="238">
        <v>2026</v>
      </c>
      <c r="B17957" s="238">
        <v>3</v>
      </c>
      <c r="C17957" s="238">
        <v>10</v>
      </c>
      <c r="D17957" s="270">
        <f t="shared" si="2830"/>
        <v>46091</v>
      </c>
      <c r="E17957" s="279">
        <f t="shared" si="2831"/>
        <v>46091</v>
      </c>
      <c r="F17957" s="477" t="s">
        <v>2169</v>
      </c>
      <c r="G17957" s="239" t="s">
        <v>94</v>
      </c>
      <c r="H17957" s="239"/>
      <c r="I17957" s="262" t="s">
        <v>348</v>
      </c>
      <c r="J17957" s="240" t="s">
        <v>100</v>
      </c>
      <c r="K17957" s="241">
        <v>737.50835655086519</v>
      </c>
      <c r="L17957" s="241"/>
      <c r="M17957" s="170"/>
    </row>
    <row r="17958" spans="1:14" x14ac:dyDescent="0.2">
      <c r="A17958" s="242">
        <v>2026</v>
      </c>
      <c r="B17958" s="242">
        <v>3</v>
      </c>
      <c r="C17958" s="242">
        <v>10</v>
      </c>
      <c r="D17958" s="321">
        <f t="shared" si="2830"/>
        <v>46091</v>
      </c>
      <c r="E17958" s="322">
        <f t="shared" si="2831"/>
        <v>46091</v>
      </c>
      <c r="F17958" s="478"/>
      <c r="G17958" s="243" t="s">
        <v>94</v>
      </c>
      <c r="H17958" s="243"/>
      <c r="I17958" s="263" t="s">
        <v>348</v>
      </c>
      <c r="J17958" s="244" t="s">
        <v>48</v>
      </c>
      <c r="K17958" s="245"/>
      <c r="L17958" s="245">
        <f>K17957</f>
        <v>737.50835655086519</v>
      </c>
    </row>
    <row r="17959" spans="1:14" ht="11.25" customHeight="1" x14ac:dyDescent="0.2">
      <c r="A17959" s="168">
        <v>2026</v>
      </c>
      <c r="B17959" s="168">
        <v>3</v>
      </c>
      <c r="C17959" s="168">
        <v>11</v>
      </c>
      <c r="D17959" s="141">
        <f t="shared" si="2830"/>
        <v>46092</v>
      </c>
      <c r="E17959" s="275">
        <f t="shared" si="2831"/>
        <v>46092</v>
      </c>
      <c r="F17959" s="479" t="s">
        <v>2184</v>
      </c>
      <c r="G17959" s="220" t="s">
        <v>74</v>
      </c>
      <c r="H17959" s="142"/>
      <c r="I17959" s="142"/>
      <c r="J17959" s="168" t="s">
        <v>13</v>
      </c>
      <c r="K17959" s="226">
        <v>3063870</v>
      </c>
      <c r="L17959" s="226"/>
    </row>
    <row r="17960" spans="1:14" ht="11.25" customHeight="1" x14ac:dyDescent="0.2">
      <c r="A17960" s="133">
        <v>2026</v>
      </c>
      <c r="B17960" s="133">
        <v>3</v>
      </c>
      <c r="C17960" s="133">
        <v>11</v>
      </c>
      <c r="D17960" s="147">
        <f t="shared" si="2830"/>
        <v>46092</v>
      </c>
      <c r="E17960" s="311">
        <f t="shared" si="2831"/>
        <v>46092</v>
      </c>
      <c r="F17960" s="481"/>
      <c r="G17960" s="174" t="s">
        <v>74</v>
      </c>
      <c r="J17960" s="133" t="s">
        <v>53</v>
      </c>
      <c r="K17960" s="218">
        <v>1501602.6900000004</v>
      </c>
      <c r="L17960" s="218"/>
    </row>
    <row r="17961" spans="1:14" ht="11.25" customHeight="1" x14ac:dyDescent="0.2">
      <c r="A17961" s="163">
        <v>2026</v>
      </c>
      <c r="B17961" s="163">
        <v>3</v>
      </c>
      <c r="C17961" s="163">
        <v>11</v>
      </c>
      <c r="D17961" s="144">
        <f t="shared" si="2830"/>
        <v>46092</v>
      </c>
      <c r="E17961" s="313">
        <f t="shared" si="2831"/>
        <v>46092</v>
      </c>
      <c r="F17961" s="480"/>
      <c r="G17961" s="221" t="s">
        <v>74</v>
      </c>
      <c r="H17961" s="145"/>
      <c r="I17961" s="145"/>
      <c r="J17961" s="163" t="s">
        <v>52</v>
      </c>
      <c r="K17961" s="219"/>
      <c r="L17961" s="219">
        <v>4565472.6900000004</v>
      </c>
    </row>
    <row r="17962" spans="1:14" ht="11.25" customHeight="1" x14ac:dyDescent="0.2">
      <c r="A17962" s="168">
        <v>2026</v>
      </c>
      <c r="B17962" s="168">
        <v>3</v>
      </c>
      <c r="C17962" s="168">
        <v>11</v>
      </c>
      <c r="D17962" s="141">
        <f t="shared" si="2830"/>
        <v>46092</v>
      </c>
      <c r="E17962" s="275">
        <f t="shared" si="2831"/>
        <v>46092</v>
      </c>
      <c r="F17962" s="479" t="s">
        <v>964</v>
      </c>
      <c r="G17962" s="220" t="s">
        <v>74</v>
      </c>
      <c r="H17962" s="142"/>
      <c r="I17962" s="142"/>
      <c r="J17962" s="168" t="s">
        <v>52</v>
      </c>
      <c r="K17962" s="226">
        <v>9200000</v>
      </c>
      <c r="L17962" s="226"/>
    </row>
    <row r="17963" spans="1:14" ht="11.25" customHeight="1" x14ac:dyDescent="0.2">
      <c r="A17963" s="133">
        <v>2026</v>
      </c>
      <c r="B17963" s="133">
        <v>3</v>
      </c>
      <c r="C17963" s="133">
        <v>11</v>
      </c>
      <c r="D17963" s="147">
        <f t="shared" si="2830"/>
        <v>46092</v>
      </c>
      <c r="E17963" s="311">
        <f t="shared" si="2831"/>
        <v>46092</v>
      </c>
      <c r="F17963" s="481"/>
      <c r="G17963" s="174" t="s">
        <v>74</v>
      </c>
      <c r="J17963" s="133" t="s">
        <v>13</v>
      </c>
      <c r="K17963" s="218"/>
      <c r="L17963" s="218">
        <v>6141120</v>
      </c>
    </row>
    <row r="17964" spans="1:14" ht="11.25" customHeight="1" x14ac:dyDescent="0.2">
      <c r="A17964" s="163">
        <v>2026</v>
      </c>
      <c r="B17964" s="163">
        <v>3</v>
      </c>
      <c r="C17964" s="163">
        <v>11</v>
      </c>
      <c r="D17964" s="144">
        <f t="shared" si="2830"/>
        <v>46092</v>
      </c>
      <c r="E17964" s="313">
        <f t="shared" si="2831"/>
        <v>46092</v>
      </c>
      <c r="F17964" s="480"/>
      <c r="G17964" s="221" t="s">
        <v>74</v>
      </c>
      <c r="H17964" s="145"/>
      <c r="I17964" s="145"/>
      <c r="J17964" s="163" t="s">
        <v>53</v>
      </c>
      <c r="K17964" s="219"/>
      <c r="L17964" s="219">
        <v>3058880</v>
      </c>
    </row>
    <row r="17965" spans="1:14" ht="11.25" customHeight="1" x14ac:dyDescent="0.2">
      <c r="A17965" s="168">
        <v>2026</v>
      </c>
      <c r="B17965" s="133">
        <v>3</v>
      </c>
      <c r="C17965" s="168">
        <v>11</v>
      </c>
      <c r="D17965" s="141">
        <f t="shared" si="2830"/>
        <v>46092</v>
      </c>
      <c r="E17965" s="275">
        <f t="shared" si="2831"/>
        <v>46092</v>
      </c>
      <c r="F17965" s="479" t="s">
        <v>2181</v>
      </c>
      <c r="G17965" s="220" t="s">
        <v>74</v>
      </c>
      <c r="H17965" s="220"/>
      <c r="I17965" s="142"/>
      <c r="J17965" s="149" t="s">
        <v>147</v>
      </c>
      <c r="K17965" s="226">
        <v>4182372.24</v>
      </c>
      <c r="L17965" s="226"/>
    </row>
    <row r="17966" spans="1:14" x14ac:dyDescent="0.2">
      <c r="A17966" s="163">
        <v>2026</v>
      </c>
      <c r="B17966" s="163">
        <v>3</v>
      </c>
      <c r="C17966" s="163">
        <v>11</v>
      </c>
      <c r="D17966" s="144">
        <f t="shared" si="2830"/>
        <v>46092</v>
      </c>
      <c r="E17966" s="313">
        <f t="shared" si="2831"/>
        <v>46092</v>
      </c>
      <c r="F17966" s="480"/>
      <c r="G17966" s="221" t="s">
        <v>74</v>
      </c>
      <c r="H17966" s="221"/>
      <c r="I17966" s="145"/>
      <c r="J17966" s="146" t="s">
        <v>52</v>
      </c>
      <c r="K17966" s="219"/>
      <c r="L17966" s="219">
        <f>K17965</f>
        <v>4182372.24</v>
      </c>
      <c r="N17966" s="264"/>
    </row>
    <row r="17967" spans="1:14" x14ac:dyDescent="0.2">
      <c r="A17967" s="168">
        <v>2026</v>
      </c>
      <c r="B17967" s="133">
        <v>3</v>
      </c>
      <c r="C17967" s="168">
        <v>11</v>
      </c>
      <c r="D17967" s="141">
        <f t="shared" si="2830"/>
        <v>46092</v>
      </c>
      <c r="E17967" s="275">
        <f t="shared" si="2831"/>
        <v>46092</v>
      </c>
      <c r="F17967" s="479" t="s">
        <v>1943</v>
      </c>
      <c r="G17967" s="174" t="s">
        <v>74</v>
      </c>
      <c r="I17967" s="148" t="s">
        <v>348</v>
      </c>
      <c r="J17967" s="133" t="s">
        <v>61</v>
      </c>
      <c r="K17967" s="172">
        <v>110</v>
      </c>
    </row>
    <row r="17968" spans="1:14" x14ac:dyDescent="0.2">
      <c r="A17968" s="163">
        <v>2026</v>
      </c>
      <c r="B17968" s="163">
        <v>3</v>
      </c>
      <c r="C17968" s="163">
        <v>11</v>
      </c>
      <c r="D17968" s="144">
        <f t="shared" si="2830"/>
        <v>46092</v>
      </c>
      <c r="E17968" s="313">
        <f t="shared" si="2831"/>
        <v>46092</v>
      </c>
      <c r="F17968" s="480"/>
      <c r="G17968" s="221" t="s">
        <v>74</v>
      </c>
      <c r="H17968" s="145"/>
      <c r="I17968" s="145" t="s">
        <v>348</v>
      </c>
      <c r="J17968" s="163" t="s">
        <v>52</v>
      </c>
      <c r="K17968" s="219"/>
      <c r="L17968" s="219">
        <f>K17967</f>
        <v>110</v>
      </c>
    </row>
    <row r="17969" spans="1:14" ht="11.25" customHeight="1" x14ac:dyDescent="0.2">
      <c r="A17969" s="168">
        <v>2026</v>
      </c>
      <c r="B17969" s="133">
        <v>3</v>
      </c>
      <c r="C17969" s="168">
        <v>11</v>
      </c>
      <c r="D17969" s="141">
        <f t="shared" si="2830"/>
        <v>46092</v>
      </c>
      <c r="E17969" s="275">
        <f t="shared" si="2831"/>
        <v>46092</v>
      </c>
      <c r="F17969" s="479" t="s">
        <v>2121</v>
      </c>
      <c r="G17969" s="220" t="s">
        <v>74</v>
      </c>
      <c r="H17969" s="220"/>
      <c r="I17969" s="142"/>
      <c r="J17969" s="143" t="s">
        <v>52</v>
      </c>
      <c r="K17969" s="226">
        <v>4540240.04</v>
      </c>
      <c r="L17969" s="226"/>
    </row>
    <row r="17970" spans="1:14" x14ac:dyDescent="0.2">
      <c r="A17970" s="163">
        <v>2026</v>
      </c>
      <c r="B17970" s="163">
        <v>3</v>
      </c>
      <c r="C17970" s="163">
        <v>11</v>
      </c>
      <c r="D17970" s="144">
        <f t="shared" si="2830"/>
        <v>46092</v>
      </c>
      <c r="E17970" s="313">
        <f t="shared" si="2831"/>
        <v>46092</v>
      </c>
      <c r="F17970" s="480"/>
      <c r="G17970" s="221" t="s">
        <v>74</v>
      </c>
      <c r="H17970" s="221"/>
      <c r="I17970" s="145"/>
      <c r="J17970" s="146" t="s">
        <v>190</v>
      </c>
      <c r="K17970" s="219"/>
      <c r="L17970" s="219">
        <f>K17969</f>
        <v>4540240.04</v>
      </c>
      <c r="N17970" s="264"/>
    </row>
    <row r="17971" spans="1:14" ht="11.25" customHeight="1" x14ac:dyDescent="0.2">
      <c r="A17971" s="168">
        <v>2026</v>
      </c>
      <c r="B17971" s="133">
        <v>3</v>
      </c>
      <c r="C17971" s="168">
        <v>11</v>
      </c>
      <c r="D17971" s="141">
        <f t="shared" ref="D17971:D17972" si="2832">DATE(A17971,B17971,C17971)</f>
        <v>46092</v>
      </c>
      <c r="E17971" s="275">
        <f t="shared" ref="E17971:E17972" si="2833">DATE(A17971,B17971,C17971)</f>
        <v>46092</v>
      </c>
      <c r="F17971" s="479" t="s">
        <v>2121</v>
      </c>
      <c r="G17971" s="220" t="s">
        <v>74</v>
      </c>
      <c r="H17971" s="220"/>
      <c r="I17971" s="142"/>
      <c r="J17971" s="143" t="s">
        <v>52</v>
      </c>
      <c r="K17971" s="226">
        <v>1566593.35</v>
      </c>
      <c r="L17971" s="226"/>
    </row>
    <row r="17972" spans="1:14" x14ac:dyDescent="0.2">
      <c r="A17972" s="163">
        <v>2026</v>
      </c>
      <c r="B17972" s="163">
        <v>3</v>
      </c>
      <c r="C17972" s="163">
        <v>11</v>
      </c>
      <c r="D17972" s="144">
        <f t="shared" si="2832"/>
        <v>46092</v>
      </c>
      <c r="E17972" s="313">
        <f t="shared" si="2833"/>
        <v>46092</v>
      </c>
      <c r="F17972" s="480"/>
      <c r="G17972" s="221" t="s">
        <v>74</v>
      </c>
      <c r="H17972" s="221"/>
      <c r="I17972" s="145"/>
      <c r="J17972" s="146" t="s">
        <v>190</v>
      </c>
      <c r="K17972" s="219"/>
      <c r="L17972" s="219">
        <f>K17971</f>
        <v>1566593.35</v>
      </c>
      <c r="N17972" s="264"/>
    </row>
    <row r="17973" spans="1:14" x14ac:dyDescent="0.2">
      <c r="A17973" s="168">
        <v>2026</v>
      </c>
      <c r="B17973" s="168">
        <v>3</v>
      </c>
      <c r="C17973" s="168">
        <v>11</v>
      </c>
      <c r="D17973" s="141">
        <f>DATE(A17973,B17973,C17973)</f>
        <v>46092</v>
      </c>
      <c r="E17973" s="275">
        <f>DATE(A17973,B17973,C17973)</f>
        <v>46092</v>
      </c>
      <c r="F17973" s="479" t="s">
        <v>2115</v>
      </c>
      <c r="G17973" s="220" t="s">
        <v>94</v>
      </c>
      <c r="H17973" s="220"/>
      <c r="I17973" s="142"/>
      <c r="J17973" s="143" t="s">
        <v>79</v>
      </c>
      <c r="K17973" s="226">
        <v>4711354.5999999996</v>
      </c>
      <c r="L17973" s="226"/>
    </row>
    <row r="17974" spans="1:14" x14ac:dyDescent="0.2">
      <c r="A17974" s="133">
        <v>2026</v>
      </c>
      <c r="B17974" s="133">
        <v>3</v>
      </c>
      <c r="C17974" s="133">
        <v>11</v>
      </c>
      <c r="D17974" s="147">
        <f>DATE(A17974,B17974,C17974)</f>
        <v>46092</v>
      </c>
      <c r="E17974" s="311">
        <f>DATE(A17974,B17974,C17974)</f>
        <v>46092</v>
      </c>
      <c r="F17974" s="481"/>
      <c r="G17974" s="174" t="s">
        <v>94</v>
      </c>
      <c r="H17974" s="174"/>
      <c r="J17974" s="149" t="s">
        <v>80</v>
      </c>
      <c r="K17974" s="218">
        <v>11511.76</v>
      </c>
      <c r="L17974" s="264"/>
      <c r="M17974" s="264"/>
      <c r="N17974" s="264"/>
    </row>
    <row r="17975" spans="1:14" x14ac:dyDescent="0.2">
      <c r="A17975" s="133">
        <v>2026</v>
      </c>
      <c r="B17975" s="133">
        <v>3</v>
      </c>
      <c r="C17975" s="133">
        <v>11</v>
      </c>
      <c r="D17975" s="147">
        <f>DATE(A17975,B17975,C17975)</f>
        <v>46092</v>
      </c>
      <c r="E17975" s="311">
        <f>DATE(A17975,B17975,C17975)</f>
        <v>46092</v>
      </c>
      <c r="F17975" s="481"/>
      <c r="G17975" s="174" t="s">
        <v>94</v>
      </c>
      <c r="H17975" s="174"/>
      <c r="J17975" s="149" t="s">
        <v>147</v>
      </c>
      <c r="K17975" s="218"/>
      <c r="L17975" s="218">
        <v>3038800.36</v>
      </c>
      <c r="M17975" s="264"/>
    </row>
    <row r="17976" spans="1:14" x14ac:dyDescent="0.2">
      <c r="A17976" s="133">
        <v>2026</v>
      </c>
      <c r="B17976" s="133">
        <v>3</v>
      </c>
      <c r="C17976" s="133">
        <v>11</v>
      </c>
      <c r="D17976" s="147">
        <f>DATE(A17976,B17976,C17976)</f>
        <v>46092</v>
      </c>
      <c r="E17976" s="311">
        <f>DATE(A17976,B17976,C17976)</f>
        <v>46092</v>
      </c>
      <c r="F17976" s="481"/>
      <c r="G17976" s="174" t="s">
        <v>94</v>
      </c>
      <c r="H17976" s="174"/>
      <c r="J17976" s="149" t="s">
        <v>191</v>
      </c>
      <c r="K17976" s="218"/>
      <c r="L17976" s="218">
        <v>124308.12</v>
      </c>
    </row>
    <row r="17977" spans="1:14" x14ac:dyDescent="0.2">
      <c r="A17977" s="163">
        <v>2026</v>
      </c>
      <c r="B17977" s="163">
        <v>3</v>
      </c>
      <c r="C17977" s="163">
        <v>11</v>
      </c>
      <c r="D17977" s="144">
        <f>DATE(A17977,B17977,C17977)</f>
        <v>46092</v>
      </c>
      <c r="E17977" s="313">
        <f>DATE(A17977,B17977,C17977)</f>
        <v>46092</v>
      </c>
      <c r="F17977" s="480"/>
      <c r="G17977" s="221" t="s">
        <v>94</v>
      </c>
      <c r="H17977" s="145"/>
      <c r="I17977" s="145"/>
      <c r="J17977" s="163" t="s">
        <v>79</v>
      </c>
      <c r="K17977" s="219"/>
      <c r="L17977" s="219">
        <v>1559757.88</v>
      </c>
      <c r="M17977" s="264"/>
    </row>
    <row r="17978" spans="1:14" x14ac:dyDescent="0.2">
      <c r="A17978" s="168">
        <v>2026</v>
      </c>
      <c r="B17978" s="133">
        <v>3</v>
      </c>
      <c r="C17978" s="168">
        <v>11</v>
      </c>
      <c r="D17978" s="141">
        <f t="shared" ref="D17978:D17979" si="2834">DATE(A17978,B17978,C17978)</f>
        <v>46092</v>
      </c>
      <c r="E17978" s="275">
        <f t="shared" ref="E17978:E17979" si="2835">DATE(A17978,B17978,C17978)</f>
        <v>46092</v>
      </c>
      <c r="F17978" s="481" t="s">
        <v>2185</v>
      </c>
      <c r="G17978" s="174" t="s">
        <v>94</v>
      </c>
      <c r="H17978" s="174"/>
      <c r="I17978" s="148" t="s">
        <v>348</v>
      </c>
      <c r="J17978" s="149" t="s">
        <v>52</v>
      </c>
      <c r="K17978" s="218">
        <v>268232.5</v>
      </c>
      <c r="L17978" s="218"/>
    </row>
    <row r="17979" spans="1:14" x14ac:dyDescent="0.2">
      <c r="A17979" s="163">
        <v>2026</v>
      </c>
      <c r="B17979" s="163">
        <v>3</v>
      </c>
      <c r="C17979" s="163">
        <v>11</v>
      </c>
      <c r="D17979" s="141">
        <f t="shared" si="2834"/>
        <v>46092</v>
      </c>
      <c r="E17979" s="275">
        <f t="shared" si="2835"/>
        <v>46092</v>
      </c>
      <c r="F17979" s="480"/>
      <c r="G17979" s="221" t="s">
        <v>94</v>
      </c>
      <c r="H17979" s="221"/>
      <c r="I17979" s="145" t="s">
        <v>348</v>
      </c>
      <c r="J17979" s="146" t="s">
        <v>168</v>
      </c>
      <c r="K17979" s="219"/>
      <c r="L17979" s="219">
        <f>K17978</f>
        <v>268232.5</v>
      </c>
    </row>
    <row r="17980" spans="1:14" x14ac:dyDescent="0.2">
      <c r="A17980" s="325">
        <v>2026</v>
      </c>
      <c r="B17980" s="325">
        <v>3</v>
      </c>
      <c r="C17980" s="325">
        <v>11</v>
      </c>
      <c r="D17980" s="326">
        <f t="shared" ref="D17980:D17998" si="2836">DATE(A17980,B17980,C17980)</f>
        <v>46092</v>
      </c>
      <c r="E17980" s="327">
        <f t="shared" ref="E17980:E17998" si="2837">DATE(A17980,B17980,C17980)</f>
        <v>46092</v>
      </c>
      <c r="F17980" s="473" t="s">
        <v>2131</v>
      </c>
      <c r="G17980" s="340" t="s">
        <v>94</v>
      </c>
      <c r="H17980" s="340"/>
      <c r="I17980" s="341" t="s">
        <v>348</v>
      </c>
      <c r="J17980" s="374" t="s">
        <v>2156</v>
      </c>
      <c r="K17980" s="375">
        <v>6185.4395604395604</v>
      </c>
      <c r="L17980" s="375"/>
      <c r="M17980" s="176"/>
    </row>
    <row r="17981" spans="1:14" x14ac:dyDescent="0.2">
      <c r="A17981" s="331">
        <v>2026</v>
      </c>
      <c r="B17981" s="331">
        <v>3</v>
      </c>
      <c r="C17981" s="331">
        <v>11</v>
      </c>
      <c r="D17981" s="326">
        <f t="shared" si="2836"/>
        <v>46092</v>
      </c>
      <c r="E17981" s="327">
        <f t="shared" si="2837"/>
        <v>46092</v>
      </c>
      <c r="F17981" s="474"/>
      <c r="G17981" s="332" t="s">
        <v>94</v>
      </c>
      <c r="H17981" s="332"/>
      <c r="I17981" s="333" t="s">
        <v>348</v>
      </c>
      <c r="J17981" s="376" t="s">
        <v>2154</v>
      </c>
      <c r="K17981" s="334"/>
      <c r="L17981" s="334">
        <f>K17980</f>
        <v>6185.4395604395604</v>
      </c>
    </row>
    <row r="17982" spans="1:14" x14ac:dyDescent="0.2">
      <c r="A17982" s="384">
        <v>2026</v>
      </c>
      <c r="B17982" s="384">
        <v>3</v>
      </c>
      <c r="C17982" s="384">
        <v>11</v>
      </c>
      <c r="D17982" s="385">
        <f t="shared" si="2836"/>
        <v>46092</v>
      </c>
      <c r="E17982" s="386">
        <f t="shared" si="2837"/>
        <v>46092</v>
      </c>
      <c r="F17982" s="475" t="s">
        <v>1966</v>
      </c>
      <c r="G17982" s="387" t="s">
        <v>94</v>
      </c>
      <c r="H17982" s="387"/>
      <c r="I17982" s="388" t="s">
        <v>348</v>
      </c>
      <c r="J17982" s="389" t="s">
        <v>67</v>
      </c>
      <c r="K17982" s="390">
        <v>1035.8475163888888</v>
      </c>
      <c r="L17982" s="390"/>
    </row>
    <row r="17983" spans="1:14" x14ac:dyDescent="0.2">
      <c r="A17983" s="391">
        <v>2026</v>
      </c>
      <c r="B17983" s="391">
        <v>3</v>
      </c>
      <c r="C17983" s="391">
        <v>11</v>
      </c>
      <c r="D17983" s="385">
        <f t="shared" si="2836"/>
        <v>46092</v>
      </c>
      <c r="E17983" s="386">
        <f t="shared" si="2837"/>
        <v>46092</v>
      </c>
      <c r="F17983" s="476"/>
      <c r="G17983" s="392" t="s">
        <v>94</v>
      </c>
      <c r="H17983" s="392"/>
      <c r="I17983" s="393" t="s">
        <v>348</v>
      </c>
      <c r="J17983" s="394" t="s">
        <v>2155</v>
      </c>
      <c r="K17983" s="395"/>
      <c r="L17983" s="395">
        <f>K17982</f>
        <v>1035.8475163888888</v>
      </c>
    </row>
    <row r="17984" spans="1:14" x14ac:dyDescent="0.2">
      <c r="A17984" s="238">
        <v>2026</v>
      </c>
      <c r="B17984" s="238">
        <v>3</v>
      </c>
      <c r="C17984" s="238">
        <v>11</v>
      </c>
      <c r="D17984" s="270">
        <f t="shared" si="2836"/>
        <v>46092</v>
      </c>
      <c r="E17984" s="279">
        <f t="shared" si="2837"/>
        <v>46092</v>
      </c>
      <c r="F17984" s="477" t="s">
        <v>347</v>
      </c>
      <c r="G17984" s="239" t="s">
        <v>94</v>
      </c>
      <c r="H17984" s="239"/>
      <c r="I17984" s="262" t="s">
        <v>348</v>
      </c>
      <c r="J17984" s="240" t="s">
        <v>82</v>
      </c>
      <c r="K17984" s="241">
        <v>213722.81999999285</v>
      </c>
      <c r="L17984" s="241"/>
      <c r="M17984" s="160"/>
    </row>
    <row r="17985" spans="1:14" x14ac:dyDescent="0.2">
      <c r="A17985" s="242">
        <v>2026</v>
      </c>
      <c r="B17985" s="242">
        <v>3</v>
      </c>
      <c r="C17985" s="242">
        <v>11</v>
      </c>
      <c r="D17985" s="270">
        <f t="shared" si="2836"/>
        <v>46092</v>
      </c>
      <c r="E17985" s="279">
        <f t="shared" si="2837"/>
        <v>46092</v>
      </c>
      <c r="F17985" s="478"/>
      <c r="G17985" s="243" t="s">
        <v>94</v>
      </c>
      <c r="H17985" s="243"/>
      <c r="I17985" s="263" t="s">
        <v>348</v>
      </c>
      <c r="J17985" s="244" t="s">
        <v>108</v>
      </c>
      <c r="K17985" s="245"/>
      <c r="L17985" s="245">
        <f>K17984</f>
        <v>213722.81999999285</v>
      </c>
    </row>
    <row r="17986" spans="1:14" ht="12" customHeight="1" x14ac:dyDescent="0.2">
      <c r="A17986" s="246">
        <v>2026</v>
      </c>
      <c r="B17986" s="238">
        <v>3</v>
      </c>
      <c r="C17986" s="238">
        <v>11</v>
      </c>
      <c r="D17986" s="270">
        <f t="shared" si="2836"/>
        <v>46092</v>
      </c>
      <c r="E17986" s="279">
        <f t="shared" si="2837"/>
        <v>46092</v>
      </c>
      <c r="F17986" s="482" t="s">
        <v>2167</v>
      </c>
      <c r="G17986" s="247" t="s">
        <v>94</v>
      </c>
      <c r="H17986" s="247"/>
      <c r="I17986" s="248" t="s">
        <v>348</v>
      </c>
      <c r="J17986" s="249" t="s">
        <v>95</v>
      </c>
      <c r="K17986" s="250">
        <v>392.46467817896399</v>
      </c>
      <c r="L17986" s="241"/>
      <c r="M17986" s="176"/>
    </row>
    <row r="17987" spans="1:14" x14ac:dyDescent="0.2">
      <c r="A17987" s="242">
        <v>2026</v>
      </c>
      <c r="B17987" s="242">
        <v>3</v>
      </c>
      <c r="C17987" s="242">
        <v>11</v>
      </c>
      <c r="D17987" s="270">
        <f t="shared" si="2836"/>
        <v>46092</v>
      </c>
      <c r="E17987" s="279">
        <f t="shared" si="2837"/>
        <v>46092</v>
      </c>
      <c r="F17987" s="478"/>
      <c r="G17987" s="243" t="s">
        <v>94</v>
      </c>
      <c r="H17987" s="243"/>
      <c r="I17987" s="263" t="s">
        <v>348</v>
      </c>
      <c r="J17987" s="244" t="s">
        <v>63</v>
      </c>
      <c r="K17987" s="245"/>
      <c r="L17987" s="245">
        <f>K17986</f>
        <v>392.46467817896399</v>
      </c>
    </row>
    <row r="17988" spans="1:14" x14ac:dyDescent="0.2">
      <c r="A17988" s="246">
        <v>2026</v>
      </c>
      <c r="B17988" s="238">
        <v>3</v>
      </c>
      <c r="C17988" s="238">
        <v>11</v>
      </c>
      <c r="D17988" s="270">
        <f t="shared" si="2836"/>
        <v>46092</v>
      </c>
      <c r="E17988" s="279">
        <f t="shared" si="2837"/>
        <v>46092</v>
      </c>
      <c r="F17988" s="482" t="s">
        <v>2168</v>
      </c>
      <c r="G17988" s="247" t="s">
        <v>94</v>
      </c>
      <c r="H17988" s="247"/>
      <c r="I17988" s="248" t="s">
        <v>348</v>
      </c>
      <c r="J17988" s="249" t="s">
        <v>97</v>
      </c>
      <c r="K17988" s="250">
        <v>15392.975210608018</v>
      </c>
      <c r="L17988" s="252"/>
    </row>
    <row r="17989" spans="1:14" x14ac:dyDescent="0.2">
      <c r="A17989" s="242">
        <v>2026</v>
      </c>
      <c r="B17989" s="242">
        <v>3</v>
      </c>
      <c r="C17989" s="242">
        <v>11</v>
      </c>
      <c r="D17989" s="270">
        <f t="shared" si="2836"/>
        <v>46092</v>
      </c>
      <c r="E17989" s="279">
        <f t="shared" si="2837"/>
        <v>46092</v>
      </c>
      <c r="F17989" s="478"/>
      <c r="G17989" s="243" t="s">
        <v>94</v>
      </c>
      <c r="H17989" s="243"/>
      <c r="I17989" s="263" t="s">
        <v>348</v>
      </c>
      <c r="J17989" s="244" t="s">
        <v>47</v>
      </c>
      <c r="K17989" s="245"/>
      <c r="L17989" s="245">
        <f>K17988</f>
        <v>15392.975210608018</v>
      </c>
      <c r="M17989" s="170"/>
    </row>
    <row r="17990" spans="1:14" x14ac:dyDescent="0.2">
      <c r="A17990" s="238">
        <v>2026</v>
      </c>
      <c r="B17990" s="238">
        <v>3</v>
      </c>
      <c r="C17990" s="238">
        <v>11</v>
      </c>
      <c r="D17990" s="270">
        <f t="shared" si="2836"/>
        <v>46092</v>
      </c>
      <c r="E17990" s="279">
        <f t="shared" si="2837"/>
        <v>46092</v>
      </c>
      <c r="F17990" s="477" t="s">
        <v>2169</v>
      </c>
      <c r="G17990" s="239" t="s">
        <v>94</v>
      </c>
      <c r="H17990" s="239"/>
      <c r="I17990" s="262" t="s">
        <v>348</v>
      </c>
      <c r="J17990" s="240" t="s">
        <v>100</v>
      </c>
      <c r="K17990" s="241">
        <v>751.47307264859319</v>
      </c>
      <c r="L17990" s="241"/>
      <c r="M17990" s="170"/>
    </row>
    <row r="17991" spans="1:14" x14ac:dyDescent="0.2">
      <c r="A17991" s="242">
        <v>2026</v>
      </c>
      <c r="B17991" s="242">
        <v>3</v>
      </c>
      <c r="C17991" s="242">
        <v>11</v>
      </c>
      <c r="D17991" s="321">
        <f t="shared" si="2836"/>
        <v>46092</v>
      </c>
      <c r="E17991" s="322">
        <f t="shared" si="2837"/>
        <v>46092</v>
      </c>
      <c r="F17991" s="478"/>
      <c r="G17991" s="243" t="s">
        <v>94</v>
      </c>
      <c r="H17991" s="243"/>
      <c r="I17991" s="263" t="s">
        <v>348</v>
      </c>
      <c r="J17991" s="244" t="s">
        <v>48</v>
      </c>
      <c r="K17991" s="245"/>
      <c r="L17991" s="245">
        <f>K17990</f>
        <v>751.47307264859319</v>
      </c>
    </row>
    <row r="17992" spans="1:14" ht="11.25" customHeight="1" x14ac:dyDescent="0.2">
      <c r="A17992" s="168">
        <v>2026</v>
      </c>
      <c r="B17992" s="168">
        <v>3</v>
      </c>
      <c r="C17992" s="168">
        <v>12</v>
      </c>
      <c r="D17992" s="141">
        <f t="shared" si="2836"/>
        <v>46093</v>
      </c>
      <c r="E17992" s="275">
        <f t="shared" si="2837"/>
        <v>46093</v>
      </c>
      <c r="F17992" s="479" t="s">
        <v>2184</v>
      </c>
      <c r="G17992" s="220" t="s">
        <v>74</v>
      </c>
      <c r="H17992" s="142"/>
      <c r="I17992" s="142"/>
      <c r="J17992" s="168" t="s">
        <v>13</v>
      </c>
      <c r="K17992" s="226">
        <v>698270</v>
      </c>
      <c r="L17992" s="226"/>
    </row>
    <row r="17993" spans="1:14" ht="11.25" customHeight="1" x14ac:dyDescent="0.2">
      <c r="A17993" s="133">
        <v>2026</v>
      </c>
      <c r="B17993" s="133">
        <v>3</v>
      </c>
      <c r="C17993" s="133">
        <v>12</v>
      </c>
      <c r="D17993" s="147">
        <f t="shared" si="2836"/>
        <v>46093</v>
      </c>
      <c r="E17993" s="311">
        <f t="shared" si="2837"/>
        <v>46093</v>
      </c>
      <c r="F17993" s="481"/>
      <c r="G17993" s="174" t="s">
        <v>74</v>
      </c>
      <c r="J17993" s="133" t="s">
        <v>53</v>
      </c>
      <c r="K17993" s="218">
        <v>347730</v>
      </c>
      <c r="L17993" s="218"/>
    </row>
    <row r="17994" spans="1:14" ht="11.25" customHeight="1" x14ac:dyDescent="0.2">
      <c r="A17994" s="163">
        <v>2026</v>
      </c>
      <c r="B17994" s="163">
        <v>3</v>
      </c>
      <c r="C17994" s="163">
        <v>12</v>
      </c>
      <c r="D17994" s="144">
        <f t="shared" si="2836"/>
        <v>46093</v>
      </c>
      <c r="E17994" s="313">
        <f t="shared" si="2837"/>
        <v>46093</v>
      </c>
      <c r="F17994" s="480"/>
      <c r="G17994" s="221" t="s">
        <v>74</v>
      </c>
      <c r="H17994" s="145"/>
      <c r="I17994" s="145"/>
      <c r="J17994" s="163" t="s">
        <v>52</v>
      </c>
      <c r="K17994" s="219"/>
      <c r="L17994" s="219">
        <v>1046000</v>
      </c>
    </row>
    <row r="17995" spans="1:14" x14ac:dyDescent="0.2">
      <c r="A17995" s="168">
        <v>2026</v>
      </c>
      <c r="B17995" s="133">
        <v>3</v>
      </c>
      <c r="C17995" s="168">
        <v>12</v>
      </c>
      <c r="D17995" s="141">
        <f t="shared" si="2836"/>
        <v>46093</v>
      </c>
      <c r="E17995" s="275">
        <f t="shared" si="2837"/>
        <v>46093</v>
      </c>
      <c r="F17995" s="479" t="s">
        <v>1943</v>
      </c>
      <c r="G17995" s="174" t="s">
        <v>74</v>
      </c>
      <c r="I17995" s="148" t="s">
        <v>348</v>
      </c>
      <c r="J17995" s="133" t="s">
        <v>61</v>
      </c>
      <c r="K17995" s="172">
        <v>258</v>
      </c>
    </row>
    <row r="17996" spans="1:14" x14ac:dyDescent="0.2">
      <c r="A17996" s="163">
        <v>2026</v>
      </c>
      <c r="B17996" s="163">
        <v>3</v>
      </c>
      <c r="C17996" s="163">
        <v>12</v>
      </c>
      <c r="D17996" s="144">
        <f t="shared" si="2836"/>
        <v>46093</v>
      </c>
      <c r="E17996" s="313">
        <f t="shared" si="2837"/>
        <v>46093</v>
      </c>
      <c r="F17996" s="480"/>
      <c r="G17996" s="221" t="s">
        <v>74</v>
      </c>
      <c r="H17996" s="145"/>
      <c r="I17996" s="145" t="s">
        <v>348</v>
      </c>
      <c r="J17996" s="163" t="s">
        <v>52</v>
      </c>
      <c r="K17996" s="219"/>
      <c r="L17996" s="219">
        <f>K17995</f>
        <v>258</v>
      </c>
    </row>
    <row r="17997" spans="1:14" ht="11.25" customHeight="1" x14ac:dyDescent="0.2">
      <c r="A17997" s="168">
        <v>2026</v>
      </c>
      <c r="B17997" s="133">
        <v>3</v>
      </c>
      <c r="C17997" s="168">
        <v>12</v>
      </c>
      <c r="D17997" s="141">
        <f t="shared" si="2836"/>
        <v>46093</v>
      </c>
      <c r="E17997" s="275">
        <f t="shared" si="2837"/>
        <v>46093</v>
      </c>
      <c r="F17997" s="479" t="s">
        <v>2181</v>
      </c>
      <c r="G17997" s="220" t="s">
        <v>74</v>
      </c>
      <c r="H17997" s="220"/>
      <c r="I17997" s="142"/>
      <c r="J17997" s="149" t="s">
        <v>147</v>
      </c>
      <c r="K17997" s="226">
        <v>3038800.36</v>
      </c>
      <c r="L17997" s="226"/>
    </row>
    <row r="17998" spans="1:14" x14ac:dyDescent="0.2">
      <c r="A17998" s="163">
        <v>2026</v>
      </c>
      <c r="B17998" s="163">
        <v>3</v>
      </c>
      <c r="C17998" s="163">
        <v>12</v>
      </c>
      <c r="D17998" s="144">
        <f t="shared" si="2836"/>
        <v>46093</v>
      </c>
      <c r="E17998" s="313">
        <f t="shared" si="2837"/>
        <v>46093</v>
      </c>
      <c r="F17998" s="480"/>
      <c r="G17998" s="221" t="s">
        <v>74</v>
      </c>
      <c r="H17998" s="221"/>
      <c r="I17998" s="145"/>
      <c r="J17998" s="146" t="s">
        <v>52</v>
      </c>
      <c r="K17998" s="219"/>
      <c r="L17998" s="219">
        <f>K17997</f>
        <v>3038800.36</v>
      </c>
      <c r="N17998" s="264"/>
    </row>
    <row r="17999" spans="1:14" ht="11.25" customHeight="1" x14ac:dyDescent="0.2">
      <c r="A17999" s="168">
        <v>2026</v>
      </c>
      <c r="B17999" s="133">
        <v>3</v>
      </c>
      <c r="C17999" s="168">
        <v>12</v>
      </c>
      <c r="D17999" s="141">
        <f t="shared" ref="D17999:D18002" si="2838">DATE(A17999,B17999,C17999)</f>
        <v>46093</v>
      </c>
      <c r="E17999" s="275">
        <f t="shared" ref="E17999:E18002" si="2839">DATE(A17999,B17999,C17999)</f>
        <v>46093</v>
      </c>
      <c r="F17999" s="479" t="s">
        <v>2181</v>
      </c>
      <c r="G17999" s="220" t="s">
        <v>74</v>
      </c>
      <c r="H17999" s="220"/>
      <c r="I17999" s="142"/>
      <c r="J17999" s="149" t="s">
        <v>147</v>
      </c>
      <c r="K17999" s="226">
        <v>7181.99</v>
      </c>
      <c r="L17999" s="226"/>
    </row>
    <row r="18000" spans="1:14" x14ac:dyDescent="0.2">
      <c r="A18000" s="163">
        <v>2026</v>
      </c>
      <c r="B18000" s="163">
        <v>3</v>
      </c>
      <c r="C18000" s="163">
        <v>12</v>
      </c>
      <c r="D18000" s="144">
        <f t="shared" si="2838"/>
        <v>46093</v>
      </c>
      <c r="E18000" s="313">
        <f t="shared" si="2839"/>
        <v>46093</v>
      </c>
      <c r="F18000" s="480"/>
      <c r="G18000" s="221" t="s">
        <v>74</v>
      </c>
      <c r="H18000" s="221"/>
      <c r="I18000" s="145"/>
      <c r="J18000" s="146" t="s">
        <v>52</v>
      </c>
      <c r="K18000" s="219"/>
      <c r="L18000" s="219">
        <f>K17999</f>
        <v>7181.99</v>
      </c>
      <c r="N18000" s="264"/>
    </row>
    <row r="18001" spans="1:14" ht="11.25" customHeight="1" x14ac:dyDescent="0.2">
      <c r="A18001" s="168">
        <v>2026</v>
      </c>
      <c r="B18001" s="133">
        <v>3</v>
      </c>
      <c r="C18001" s="168">
        <v>12</v>
      </c>
      <c r="D18001" s="141">
        <f t="shared" si="2838"/>
        <v>46093</v>
      </c>
      <c r="E18001" s="275">
        <f t="shared" si="2839"/>
        <v>46093</v>
      </c>
      <c r="F18001" s="479" t="s">
        <v>2121</v>
      </c>
      <c r="G18001" s="220" t="s">
        <v>74</v>
      </c>
      <c r="H18001" s="220"/>
      <c r="I18001" s="142"/>
      <c r="J18001" s="143" t="s">
        <v>52</v>
      </c>
      <c r="K18001" s="226">
        <v>2288672.96</v>
      </c>
      <c r="L18001" s="226"/>
    </row>
    <row r="18002" spans="1:14" x14ac:dyDescent="0.2">
      <c r="A18002" s="163">
        <v>2026</v>
      </c>
      <c r="B18002" s="163">
        <v>3</v>
      </c>
      <c r="C18002" s="163">
        <v>12</v>
      </c>
      <c r="D18002" s="144">
        <f t="shared" si="2838"/>
        <v>46093</v>
      </c>
      <c r="E18002" s="313">
        <f t="shared" si="2839"/>
        <v>46093</v>
      </c>
      <c r="F18002" s="480"/>
      <c r="G18002" s="221" t="s">
        <v>74</v>
      </c>
      <c r="H18002" s="221"/>
      <c r="I18002" s="145"/>
      <c r="J18002" s="146" t="s">
        <v>190</v>
      </c>
      <c r="K18002" s="219"/>
      <c r="L18002" s="219">
        <f>K18001</f>
        <v>2288672.96</v>
      </c>
      <c r="N18002" s="264"/>
    </row>
    <row r="18003" spans="1:14" ht="12" customHeight="1" x14ac:dyDescent="0.2">
      <c r="A18003" s="168">
        <v>2026</v>
      </c>
      <c r="B18003" s="168">
        <v>3</v>
      </c>
      <c r="C18003" s="168">
        <v>12</v>
      </c>
      <c r="D18003" s="141">
        <f>DATE(A18003,B18003,C18003)</f>
        <v>46093</v>
      </c>
      <c r="E18003" s="275">
        <f>DATE(A18003,B18003,C18003)</f>
        <v>46093</v>
      </c>
      <c r="F18003" s="479" t="s">
        <v>1905</v>
      </c>
      <c r="G18003" s="220" t="s">
        <v>74</v>
      </c>
      <c r="H18003" s="142" t="str" cm="1">
        <f t="array" ref="H18003">IFERROR(INDEX(INVESTOR_LIST[INVESTOR NAME],MATCH(I18003,INVESTOR_LIST[INVESTOR CODE],0),)," ")</f>
        <v xml:space="preserve"> </v>
      </c>
      <c r="I18003" s="142"/>
      <c r="J18003" s="168" t="s">
        <v>358</v>
      </c>
      <c r="K18003" s="226">
        <v>3983741.6</v>
      </c>
      <c r="L18003" s="226"/>
    </row>
    <row r="18004" spans="1:14" ht="11.25" customHeight="1" x14ac:dyDescent="0.2">
      <c r="A18004" s="133">
        <v>2026</v>
      </c>
      <c r="B18004" s="133">
        <v>3</v>
      </c>
      <c r="C18004" s="133">
        <v>12</v>
      </c>
      <c r="D18004" s="147">
        <f t="shared" ref="D18004" si="2840">DATE(A18004,B18004,C18004)</f>
        <v>46093</v>
      </c>
      <c r="E18004" s="311">
        <f t="shared" ref="E18004" si="2841">DATE(A18004,B18004,C18004)</f>
        <v>46093</v>
      </c>
      <c r="F18004" s="481"/>
      <c r="G18004" s="174" t="s">
        <v>74</v>
      </c>
      <c r="J18004" s="133" t="s">
        <v>534</v>
      </c>
      <c r="K18004" s="218"/>
      <c r="L18004" s="218">
        <v>584993.06999999995</v>
      </c>
    </row>
    <row r="18005" spans="1:14" ht="12" customHeight="1" x14ac:dyDescent="0.2">
      <c r="A18005" s="163">
        <v>2026</v>
      </c>
      <c r="B18005" s="163">
        <v>3</v>
      </c>
      <c r="C18005" s="163">
        <v>12</v>
      </c>
      <c r="D18005" s="144">
        <f t="shared" ref="D18005:D18010" si="2842">DATE(A18005,B18005,C18005)</f>
        <v>46093</v>
      </c>
      <c r="E18005" s="313">
        <f t="shared" ref="E18005:E18010" si="2843">DATE(A18005,B18005,C18005)</f>
        <v>46093</v>
      </c>
      <c r="F18005" s="480"/>
      <c r="G18005" s="221" t="s">
        <v>74</v>
      </c>
      <c r="H18005" s="145"/>
      <c r="I18005" s="145"/>
      <c r="J18005" s="163" t="s">
        <v>52</v>
      </c>
      <c r="K18005" s="219"/>
      <c r="L18005" s="219">
        <v>3398748.53</v>
      </c>
    </row>
    <row r="18006" spans="1:14" x14ac:dyDescent="0.2">
      <c r="A18006" s="168">
        <v>2026</v>
      </c>
      <c r="B18006" s="168">
        <v>3</v>
      </c>
      <c r="C18006" s="168">
        <v>12</v>
      </c>
      <c r="D18006" s="141">
        <f t="shared" si="2842"/>
        <v>46093</v>
      </c>
      <c r="E18006" s="275">
        <f t="shared" si="2843"/>
        <v>46093</v>
      </c>
      <c r="F18006" s="479" t="s">
        <v>2115</v>
      </c>
      <c r="G18006" s="220" t="s">
        <v>94</v>
      </c>
      <c r="H18006" s="220"/>
      <c r="I18006" s="142"/>
      <c r="J18006" s="143" t="s">
        <v>79</v>
      </c>
      <c r="K18006" s="226">
        <v>3740287.1</v>
      </c>
      <c r="L18006" s="226"/>
    </row>
    <row r="18007" spans="1:14" x14ac:dyDescent="0.2">
      <c r="A18007" s="133">
        <v>2026</v>
      </c>
      <c r="B18007" s="133">
        <v>3</v>
      </c>
      <c r="C18007" s="133">
        <v>12</v>
      </c>
      <c r="D18007" s="147">
        <f t="shared" si="2842"/>
        <v>46093</v>
      </c>
      <c r="E18007" s="311">
        <f t="shared" si="2843"/>
        <v>46093</v>
      </c>
      <c r="F18007" s="481"/>
      <c r="G18007" s="174" t="s">
        <v>94</v>
      </c>
      <c r="H18007" s="174"/>
      <c r="J18007" s="149" t="s">
        <v>80</v>
      </c>
      <c r="K18007" s="218">
        <v>11663.25</v>
      </c>
      <c r="L18007" s="264"/>
      <c r="M18007" s="264"/>
      <c r="N18007" s="264"/>
    </row>
    <row r="18008" spans="1:14" x14ac:dyDescent="0.2">
      <c r="A18008" s="133">
        <v>2026</v>
      </c>
      <c r="B18008" s="133">
        <v>3</v>
      </c>
      <c r="C18008" s="133">
        <v>12</v>
      </c>
      <c r="D18008" s="147">
        <f t="shared" si="2842"/>
        <v>46093</v>
      </c>
      <c r="E18008" s="311">
        <f t="shared" si="2843"/>
        <v>46093</v>
      </c>
      <c r="F18008" s="481"/>
      <c r="G18008" s="174" t="s">
        <v>94</v>
      </c>
      <c r="H18008" s="174"/>
      <c r="J18008" s="149" t="s">
        <v>147</v>
      </c>
      <c r="K18008" s="218"/>
      <c r="L18008" s="218">
        <v>1012656.35</v>
      </c>
      <c r="M18008" s="264"/>
    </row>
    <row r="18009" spans="1:14" x14ac:dyDescent="0.2">
      <c r="A18009" s="133">
        <v>2026</v>
      </c>
      <c r="B18009" s="133">
        <v>3</v>
      </c>
      <c r="C18009" s="133">
        <v>12</v>
      </c>
      <c r="D18009" s="147">
        <f t="shared" si="2842"/>
        <v>46093</v>
      </c>
      <c r="E18009" s="311">
        <f t="shared" si="2843"/>
        <v>46093</v>
      </c>
      <c r="F18009" s="481"/>
      <c r="G18009" s="174" t="s">
        <v>94</v>
      </c>
      <c r="H18009" s="174"/>
      <c r="J18009" s="149" t="s">
        <v>191</v>
      </c>
      <c r="K18009" s="218"/>
      <c r="L18009" s="218">
        <v>204032.35</v>
      </c>
    </row>
    <row r="18010" spans="1:14" x14ac:dyDescent="0.2">
      <c r="A18010" s="163">
        <v>2026</v>
      </c>
      <c r="B18010" s="163">
        <v>3</v>
      </c>
      <c r="C18010" s="163">
        <v>12</v>
      </c>
      <c r="D18010" s="144">
        <f t="shared" si="2842"/>
        <v>46093</v>
      </c>
      <c r="E18010" s="313">
        <f t="shared" si="2843"/>
        <v>46093</v>
      </c>
      <c r="F18010" s="480"/>
      <c r="G18010" s="221" t="s">
        <v>94</v>
      </c>
      <c r="H18010" s="145"/>
      <c r="I18010" s="145"/>
      <c r="J18010" s="163" t="s">
        <v>79</v>
      </c>
      <c r="K18010" s="219"/>
      <c r="L18010" s="219">
        <v>2535261.65</v>
      </c>
      <c r="M18010" s="264"/>
    </row>
    <row r="18011" spans="1:14" x14ac:dyDescent="0.2">
      <c r="A18011" s="325">
        <v>2026</v>
      </c>
      <c r="B18011" s="325">
        <v>3</v>
      </c>
      <c r="C18011" s="325">
        <v>12</v>
      </c>
      <c r="D18011" s="326">
        <f t="shared" ref="D18011:D18030" si="2844">DATE(A18011,B18011,C18011)</f>
        <v>46093</v>
      </c>
      <c r="E18011" s="327">
        <f t="shared" ref="E18011:E18030" si="2845">DATE(A18011,B18011,C18011)</f>
        <v>46093</v>
      </c>
      <c r="F18011" s="473" t="s">
        <v>2131</v>
      </c>
      <c r="G18011" s="340" t="s">
        <v>94</v>
      </c>
      <c r="H18011" s="340"/>
      <c r="I18011" s="341" t="s">
        <v>348</v>
      </c>
      <c r="J18011" s="374" t="s">
        <v>2156</v>
      </c>
      <c r="K18011" s="375">
        <v>6185.4395604395604</v>
      </c>
      <c r="L18011" s="375"/>
      <c r="M18011" s="176"/>
    </row>
    <row r="18012" spans="1:14" x14ac:dyDescent="0.2">
      <c r="A18012" s="331">
        <v>2026</v>
      </c>
      <c r="B18012" s="331">
        <v>3</v>
      </c>
      <c r="C18012" s="331">
        <v>12</v>
      </c>
      <c r="D18012" s="326">
        <f t="shared" si="2844"/>
        <v>46093</v>
      </c>
      <c r="E18012" s="327">
        <f t="shared" si="2845"/>
        <v>46093</v>
      </c>
      <c r="F18012" s="474"/>
      <c r="G18012" s="332" t="s">
        <v>94</v>
      </c>
      <c r="H18012" s="332"/>
      <c r="I18012" s="333" t="s">
        <v>348</v>
      </c>
      <c r="J18012" s="376" t="s">
        <v>2154</v>
      </c>
      <c r="K18012" s="334"/>
      <c r="L18012" s="334">
        <f>K18011</f>
        <v>6185.4395604395604</v>
      </c>
    </row>
    <row r="18013" spans="1:14" x14ac:dyDescent="0.2">
      <c r="A18013" s="384">
        <v>2026</v>
      </c>
      <c r="B18013" s="384">
        <v>3</v>
      </c>
      <c r="C18013" s="384">
        <v>12</v>
      </c>
      <c r="D18013" s="385">
        <f t="shared" si="2844"/>
        <v>46093</v>
      </c>
      <c r="E18013" s="386">
        <f t="shared" si="2845"/>
        <v>46093</v>
      </c>
      <c r="F18013" s="475" t="s">
        <v>1966</v>
      </c>
      <c r="G18013" s="387" t="s">
        <v>94</v>
      </c>
      <c r="H18013" s="387"/>
      <c r="I18013" s="388" t="s">
        <v>348</v>
      </c>
      <c r="J18013" s="389" t="s">
        <v>67</v>
      </c>
      <c r="K18013" s="390">
        <v>1313.4669427777776</v>
      </c>
      <c r="L18013" s="390"/>
    </row>
    <row r="18014" spans="1:14" x14ac:dyDescent="0.2">
      <c r="A18014" s="391">
        <v>2026</v>
      </c>
      <c r="B18014" s="391">
        <v>3</v>
      </c>
      <c r="C18014" s="391">
        <v>12</v>
      </c>
      <c r="D18014" s="385">
        <f t="shared" si="2844"/>
        <v>46093</v>
      </c>
      <c r="E18014" s="386">
        <f t="shared" si="2845"/>
        <v>46093</v>
      </c>
      <c r="F18014" s="476"/>
      <c r="G18014" s="392" t="s">
        <v>94</v>
      </c>
      <c r="H18014" s="392"/>
      <c r="I18014" s="393" t="s">
        <v>348</v>
      </c>
      <c r="J18014" s="394" t="s">
        <v>2155</v>
      </c>
      <c r="K18014" s="395"/>
      <c r="L18014" s="395">
        <f>K18013</f>
        <v>1313.4669427777776</v>
      </c>
    </row>
    <row r="18015" spans="1:14" x14ac:dyDescent="0.2">
      <c r="A18015" s="238">
        <v>2026</v>
      </c>
      <c r="B18015" s="238">
        <v>3</v>
      </c>
      <c r="C18015" s="238">
        <v>12</v>
      </c>
      <c r="D18015" s="270">
        <f t="shared" si="2844"/>
        <v>46093</v>
      </c>
      <c r="E18015" s="279">
        <f t="shared" si="2845"/>
        <v>46093</v>
      </c>
      <c r="F18015" s="477" t="s">
        <v>347</v>
      </c>
      <c r="G18015" s="239" t="s">
        <v>94</v>
      </c>
      <c r="H18015" s="239"/>
      <c r="I18015" s="262" t="s">
        <v>348</v>
      </c>
      <c r="J18015" s="240" t="s">
        <v>108</v>
      </c>
      <c r="K18015" s="241">
        <v>3001999.8499999344</v>
      </c>
      <c r="L18015" s="241"/>
      <c r="M18015" s="160"/>
    </row>
    <row r="18016" spans="1:14" x14ac:dyDescent="0.2">
      <c r="A18016" s="242">
        <v>2026</v>
      </c>
      <c r="B18016" s="242">
        <v>3</v>
      </c>
      <c r="C18016" s="242">
        <v>12</v>
      </c>
      <c r="D18016" s="270">
        <f t="shared" si="2844"/>
        <v>46093</v>
      </c>
      <c r="E18016" s="279">
        <f t="shared" si="2845"/>
        <v>46093</v>
      </c>
      <c r="F18016" s="478"/>
      <c r="G18016" s="243" t="s">
        <v>94</v>
      </c>
      <c r="H18016" s="243"/>
      <c r="I18016" s="263" t="s">
        <v>348</v>
      </c>
      <c r="J18016" s="244" t="s">
        <v>82</v>
      </c>
      <c r="K18016" s="245"/>
      <c r="L18016" s="245">
        <f>K18015</f>
        <v>3001999.8499999344</v>
      </c>
    </row>
    <row r="18017" spans="1:14" ht="12" customHeight="1" x14ac:dyDescent="0.2">
      <c r="A18017" s="246">
        <v>2026</v>
      </c>
      <c r="B18017" s="238">
        <v>3</v>
      </c>
      <c r="C18017" s="238">
        <v>12</v>
      </c>
      <c r="D18017" s="270">
        <f t="shared" si="2844"/>
        <v>46093</v>
      </c>
      <c r="E18017" s="279">
        <f t="shared" si="2845"/>
        <v>46093</v>
      </c>
      <c r="F18017" s="482" t="s">
        <v>2167</v>
      </c>
      <c r="G18017" s="247" t="s">
        <v>94</v>
      </c>
      <c r="H18017" s="247"/>
      <c r="I18017" s="248" t="s">
        <v>348</v>
      </c>
      <c r="J18017" s="249" t="s">
        <v>95</v>
      </c>
      <c r="K18017" s="250">
        <v>392.46467817896399</v>
      </c>
      <c r="L18017" s="241"/>
      <c r="M18017" s="176"/>
    </row>
    <row r="18018" spans="1:14" x14ac:dyDescent="0.2">
      <c r="A18018" s="242">
        <v>2026</v>
      </c>
      <c r="B18018" s="242">
        <v>3</v>
      </c>
      <c r="C18018" s="242">
        <v>12</v>
      </c>
      <c r="D18018" s="270">
        <f t="shared" si="2844"/>
        <v>46093</v>
      </c>
      <c r="E18018" s="279">
        <f t="shared" si="2845"/>
        <v>46093</v>
      </c>
      <c r="F18018" s="478"/>
      <c r="G18018" s="243" t="s">
        <v>94</v>
      </c>
      <c r="H18018" s="243"/>
      <c r="I18018" s="263" t="s">
        <v>348</v>
      </c>
      <c r="J18018" s="244" t="s">
        <v>63</v>
      </c>
      <c r="K18018" s="245"/>
      <c r="L18018" s="245">
        <f>K18017</f>
        <v>392.46467817896399</v>
      </c>
    </row>
    <row r="18019" spans="1:14" x14ac:dyDescent="0.2">
      <c r="A18019" s="246">
        <v>2026</v>
      </c>
      <c r="B18019" s="238">
        <v>3</v>
      </c>
      <c r="C18019" s="238">
        <v>12</v>
      </c>
      <c r="D18019" s="270">
        <f t="shared" si="2844"/>
        <v>46093</v>
      </c>
      <c r="E18019" s="279">
        <f t="shared" si="2845"/>
        <v>46093</v>
      </c>
      <c r="F18019" s="482" t="s">
        <v>2168</v>
      </c>
      <c r="G18019" s="247" t="s">
        <v>94</v>
      </c>
      <c r="H18019" s="247"/>
      <c r="I18019" s="248" t="s">
        <v>348</v>
      </c>
      <c r="J18019" s="249" t="s">
        <v>97</v>
      </c>
      <c r="K18019" s="250">
        <f>M18019</f>
        <v>15489.36516707265</v>
      </c>
      <c r="L18019" s="252"/>
      <c r="M18019" s="133">
        <v>15489.36516707265</v>
      </c>
    </row>
    <row r="18020" spans="1:14" x14ac:dyDescent="0.2">
      <c r="A18020" s="242">
        <v>2026</v>
      </c>
      <c r="B18020" s="242">
        <v>3</v>
      </c>
      <c r="C18020" s="242">
        <v>12</v>
      </c>
      <c r="D18020" s="270">
        <f t="shared" si="2844"/>
        <v>46093</v>
      </c>
      <c r="E18020" s="279">
        <f t="shared" si="2845"/>
        <v>46093</v>
      </c>
      <c r="F18020" s="478"/>
      <c r="G18020" s="243" t="s">
        <v>94</v>
      </c>
      <c r="H18020" s="243"/>
      <c r="I18020" s="263" t="s">
        <v>348</v>
      </c>
      <c r="J18020" s="244" t="s">
        <v>47</v>
      </c>
      <c r="K18020" s="245"/>
      <c r="L18020" s="245">
        <f>K18019</f>
        <v>15489.36516707265</v>
      </c>
      <c r="M18020" s="170">
        <v>757.89906974623511</v>
      </c>
    </row>
    <row r="18021" spans="1:14" x14ac:dyDescent="0.2">
      <c r="A18021" s="238">
        <v>2026</v>
      </c>
      <c r="B18021" s="238">
        <v>3</v>
      </c>
      <c r="C18021" s="238">
        <v>12</v>
      </c>
      <c r="D18021" s="270">
        <f t="shared" si="2844"/>
        <v>46093</v>
      </c>
      <c r="E18021" s="279">
        <f t="shared" si="2845"/>
        <v>46093</v>
      </c>
      <c r="F18021" s="477" t="s">
        <v>2169</v>
      </c>
      <c r="G18021" s="239" t="s">
        <v>94</v>
      </c>
      <c r="H18021" s="239"/>
      <c r="I18021" s="262" t="s">
        <v>348</v>
      </c>
      <c r="J18021" s="240" t="s">
        <v>100</v>
      </c>
      <c r="K18021" s="241">
        <f>M18020</f>
        <v>757.89906974623511</v>
      </c>
      <c r="L18021" s="241"/>
      <c r="M18021" s="170"/>
    </row>
    <row r="18022" spans="1:14" x14ac:dyDescent="0.2">
      <c r="A18022" s="242">
        <v>2026</v>
      </c>
      <c r="B18022" s="242">
        <v>3</v>
      </c>
      <c r="C18022" s="242">
        <v>12</v>
      </c>
      <c r="D18022" s="321">
        <f t="shared" si="2844"/>
        <v>46093</v>
      </c>
      <c r="E18022" s="322">
        <f t="shared" si="2845"/>
        <v>46093</v>
      </c>
      <c r="F18022" s="478"/>
      <c r="G18022" s="243" t="s">
        <v>94</v>
      </c>
      <c r="H18022" s="243"/>
      <c r="I18022" s="263" t="s">
        <v>348</v>
      </c>
      <c r="J18022" s="244" t="s">
        <v>48</v>
      </c>
      <c r="K18022" s="245"/>
      <c r="L18022" s="245">
        <f>K18021</f>
        <v>757.89906974623511</v>
      </c>
    </row>
    <row r="18023" spans="1:14" x14ac:dyDescent="0.2">
      <c r="A18023" s="168">
        <v>2026</v>
      </c>
      <c r="B18023" s="168">
        <v>3</v>
      </c>
      <c r="C18023" s="168">
        <v>15</v>
      </c>
      <c r="D18023" s="141">
        <f t="shared" si="2844"/>
        <v>46096</v>
      </c>
      <c r="E18023" s="275">
        <f t="shared" si="2845"/>
        <v>46096</v>
      </c>
      <c r="F18023" s="479" t="s">
        <v>2115</v>
      </c>
      <c r="G18023" s="220" t="s">
        <v>94</v>
      </c>
      <c r="H18023" s="220"/>
      <c r="I18023" s="142"/>
      <c r="J18023" s="143" t="s">
        <v>79</v>
      </c>
      <c r="K18023" s="226">
        <v>2203220</v>
      </c>
      <c r="L18023" s="226"/>
    </row>
    <row r="18024" spans="1:14" x14ac:dyDescent="0.2">
      <c r="A18024" s="133">
        <v>2026</v>
      </c>
      <c r="B18024" s="133">
        <v>3</v>
      </c>
      <c r="C18024" s="133">
        <v>15</v>
      </c>
      <c r="D18024" s="147">
        <f t="shared" si="2844"/>
        <v>46096</v>
      </c>
      <c r="E18024" s="311">
        <f t="shared" si="2845"/>
        <v>46096</v>
      </c>
      <c r="F18024" s="481"/>
      <c r="G18024" s="174" t="s">
        <v>94</v>
      </c>
      <c r="H18024" s="174"/>
      <c r="J18024" s="149" t="s">
        <v>80</v>
      </c>
      <c r="K18024" s="218">
        <v>7124.1660000000002</v>
      </c>
      <c r="L18024" s="264"/>
      <c r="M18024" s="264"/>
      <c r="N18024" s="264"/>
    </row>
    <row r="18025" spans="1:14" x14ac:dyDescent="0.2">
      <c r="A18025" s="133">
        <v>2026</v>
      </c>
      <c r="B18025" s="133">
        <v>3</v>
      </c>
      <c r="C18025" s="133">
        <v>15</v>
      </c>
      <c r="D18025" s="147">
        <f t="shared" si="2844"/>
        <v>46096</v>
      </c>
      <c r="E18025" s="311">
        <f t="shared" si="2845"/>
        <v>46096</v>
      </c>
      <c r="F18025" s="481"/>
      <c r="G18025" s="174" t="s">
        <v>94</v>
      </c>
      <c r="H18025" s="174"/>
      <c r="J18025" s="149" t="s">
        <v>147</v>
      </c>
      <c r="K18025" s="218"/>
      <c r="L18025" s="218">
        <v>455694.17</v>
      </c>
      <c r="M18025" s="264"/>
    </row>
    <row r="18026" spans="1:14" x14ac:dyDescent="0.2">
      <c r="A18026" s="133">
        <v>2026</v>
      </c>
      <c r="B18026" s="133">
        <v>3</v>
      </c>
      <c r="C18026" s="133">
        <v>15</v>
      </c>
      <c r="D18026" s="147">
        <f t="shared" si="2844"/>
        <v>46096</v>
      </c>
      <c r="E18026" s="311">
        <f t="shared" si="2845"/>
        <v>46096</v>
      </c>
      <c r="F18026" s="481"/>
      <c r="G18026" s="174" t="s">
        <v>94</v>
      </c>
      <c r="H18026" s="174"/>
      <c r="J18026" s="149" t="s">
        <v>191</v>
      </c>
      <c r="K18026" s="218"/>
      <c r="L18026" s="218">
        <v>167285.81</v>
      </c>
    </row>
    <row r="18027" spans="1:14" x14ac:dyDescent="0.2">
      <c r="A18027" s="163">
        <v>2026</v>
      </c>
      <c r="B18027" s="163">
        <v>3</v>
      </c>
      <c r="C18027" s="163">
        <v>15</v>
      </c>
      <c r="D18027" s="144">
        <f t="shared" si="2844"/>
        <v>46096</v>
      </c>
      <c r="E18027" s="313">
        <f t="shared" si="2845"/>
        <v>46096</v>
      </c>
      <c r="F18027" s="480"/>
      <c r="G18027" s="221" t="s">
        <v>94</v>
      </c>
      <c r="H18027" s="145"/>
      <c r="I18027" s="145"/>
      <c r="J18027" s="163" t="s">
        <v>79</v>
      </c>
      <c r="K18027" s="219"/>
      <c r="L18027" s="219">
        <v>1587364.19</v>
      </c>
      <c r="M18027" s="264"/>
    </row>
    <row r="18028" spans="1:14" ht="11.25" customHeight="1" x14ac:dyDescent="0.2">
      <c r="A18028" s="168">
        <v>2026</v>
      </c>
      <c r="B18028" s="168">
        <v>3</v>
      </c>
      <c r="C18028" s="168">
        <v>15</v>
      </c>
      <c r="D18028" s="141">
        <f t="shared" si="2844"/>
        <v>46096</v>
      </c>
      <c r="E18028" s="275">
        <f t="shared" si="2845"/>
        <v>46096</v>
      </c>
      <c r="F18028" s="479" t="s">
        <v>964</v>
      </c>
      <c r="G18028" s="220" t="s">
        <v>74</v>
      </c>
      <c r="H18028" s="142"/>
      <c r="I18028" s="142"/>
      <c r="J18028" s="168" t="s">
        <v>52</v>
      </c>
      <c r="K18028" s="226">
        <v>15000</v>
      </c>
      <c r="L18028" s="226"/>
    </row>
    <row r="18029" spans="1:14" ht="11.25" customHeight="1" x14ac:dyDescent="0.2">
      <c r="A18029" s="133">
        <v>2026</v>
      </c>
      <c r="B18029" s="133">
        <v>3</v>
      </c>
      <c r="C18029" s="133">
        <v>15</v>
      </c>
      <c r="D18029" s="147">
        <f t="shared" si="2844"/>
        <v>46096</v>
      </c>
      <c r="E18029" s="311">
        <f t="shared" si="2845"/>
        <v>46096</v>
      </c>
      <c r="F18029" s="481"/>
      <c r="G18029" s="174" t="s">
        <v>74</v>
      </c>
      <c r="J18029" s="133" t="s">
        <v>13</v>
      </c>
      <c r="K18029" s="218"/>
      <c r="L18029" s="218">
        <v>9900</v>
      </c>
    </row>
    <row r="18030" spans="1:14" ht="11.25" customHeight="1" x14ac:dyDescent="0.2">
      <c r="A18030" s="163">
        <v>2026</v>
      </c>
      <c r="B18030" s="163">
        <v>3</v>
      </c>
      <c r="C18030" s="163">
        <v>15</v>
      </c>
      <c r="D18030" s="144">
        <f t="shared" si="2844"/>
        <v>46096</v>
      </c>
      <c r="E18030" s="313">
        <f t="shared" si="2845"/>
        <v>46096</v>
      </c>
      <c r="F18030" s="480"/>
      <c r="G18030" s="221" t="s">
        <v>74</v>
      </c>
      <c r="H18030" s="145"/>
      <c r="I18030" s="145"/>
      <c r="J18030" s="163" t="s">
        <v>53</v>
      </c>
      <c r="K18030" s="219"/>
      <c r="L18030" s="219">
        <v>5100</v>
      </c>
    </row>
    <row r="18031" spans="1:14" ht="11.25" customHeight="1" x14ac:dyDescent="0.2">
      <c r="A18031" s="168">
        <v>2026</v>
      </c>
      <c r="B18031" s="168">
        <v>3</v>
      </c>
      <c r="C18031" s="168">
        <v>15</v>
      </c>
      <c r="D18031" s="141">
        <f t="shared" ref="D18031:D18049" si="2846">DATE(A18031,B18031,C18031)</f>
        <v>46096</v>
      </c>
      <c r="E18031" s="275">
        <f t="shared" ref="E18031:E18049" si="2847">DATE(A18031,B18031,C18031)</f>
        <v>46096</v>
      </c>
      <c r="F18031" s="479" t="s">
        <v>1319</v>
      </c>
      <c r="G18031" s="220" t="s">
        <v>74</v>
      </c>
      <c r="H18031" s="142"/>
      <c r="I18031" s="142"/>
      <c r="J18031" s="168" t="s">
        <v>52</v>
      </c>
      <c r="K18031" s="226">
        <v>18000</v>
      </c>
      <c r="L18031" s="226"/>
    </row>
    <row r="18032" spans="1:14" ht="11.25" customHeight="1" x14ac:dyDescent="0.2">
      <c r="A18032" s="133">
        <v>2026</v>
      </c>
      <c r="B18032" s="133">
        <v>3</v>
      </c>
      <c r="C18032" s="133">
        <v>15</v>
      </c>
      <c r="D18032" s="147">
        <f t="shared" si="2846"/>
        <v>46096</v>
      </c>
      <c r="E18032" s="311">
        <f t="shared" si="2847"/>
        <v>46096</v>
      </c>
      <c r="F18032" s="481"/>
      <c r="G18032" s="174" t="s">
        <v>74</v>
      </c>
      <c r="J18032" s="133" t="s">
        <v>13</v>
      </c>
      <c r="K18032" s="218"/>
      <c r="L18032" s="218">
        <v>11900</v>
      </c>
    </row>
    <row r="18033" spans="1:14" ht="11.25" customHeight="1" x14ac:dyDescent="0.2">
      <c r="A18033" s="163">
        <v>2026</v>
      </c>
      <c r="B18033" s="163">
        <v>3</v>
      </c>
      <c r="C18033" s="163">
        <v>15</v>
      </c>
      <c r="D18033" s="144">
        <f t="shared" si="2846"/>
        <v>46096</v>
      </c>
      <c r="E18033" s="313">
        <f t="shared" si="2847"/>
        <v>46096</v>
      </c>
      <c r="F18033" s="480"/>
      <c r="G18033" s="221" t="s">
        <v>74</v>
      </c>
      <c r="H18033" s="145"/>
      <c r="I18033" s="145"/>
      <c r="J18033" s="163" t="s">
        <v>53</v>
      </c>
      <c r="K18033" s="219"/>
      <c r="L18033" s="219">
        <v>6100</v>
      </c>
    </row>
    <row r="18034" spans="1:14" ht="11.25" customHeight="1" x14ac:dyDescent="0.2">
      <c r="A18034" s="168">
        <v>2026</v>
      </c>
      <c r="B18034" s="133">
        <v>3</v>
      </c>
      <c r="C18034" s="168">
        <v>15</v>
      </c>
      <c r="D18034" s="141">
        <f t="shared" si="2846"/>
        <v>46096</v>
      </c>
      <c r="E18034" s="275">
        <f t="shared" si="2847"/>
        <v>46096</v>
      </c>
      <c r="F18034" s="479" t="s">
        <v>2181</v>
      </c>
      <c r="G18034" s="220" t="s">
        <v>74</v>
      </c>
      <c r="H18034" s="220"/>
      <c r="I18034" s="142"/>
      <c r="J18034" s="149" t="s">
        <v>147</v>
      </c>
      <c r="K18034" s="226">
        <v>1012656.35</v>
      </c>
      <c r="L18034" s="226"/>
    </row>
    <row r="18035" spans="1:14" x14ac:dyDescent="0.2">
      <c r="A18035" s="163">
        <v>2026</v>
      </c>
      <c r="B18035" s="163">
        <v>3</v>
      </c>
      <c r="C18035" s="163">
        <v>15</v>
      </c>
      <c r="D18035" s="144">
        <f t="shared" si="2846"/>
        <v>46096</v>
      </c>
      <c r="E18035" s="313">
        <f t="shared" si="2847"/>
        <v>46096</v>
      </c>
      <c r="F18035" s="480"/>
      <c r="G18035" s="221" t="s">
        <v>74</v>
      </c>
      <c r="H18035" s="221"/>
      <c r="I18035" s="145"/>
      <c r="J18035" s="146" t="s">
        <v>52</v>
      </c>
      <c r="K18035" s="219"/>
      <c r="L18035" s="219">
        <f>K18034</f>
        <v>1012656.35</v>
      </c>
      <c r="N18035" s="264"/>
    </row>
    <row r="18036" spans="1:14" x14ac:dyDescent="0.2">
      <c r="A18036" s="168">
        <v>2026</v>
      </c>
      <c r="B18036" s="133">
        <v>3</v>
      </c>
      <c r="C18036" s="168">
        <v>15</v>
      </c>
      <c r="D18036" s="141">
        <f t="shared" si="2846"/>
        <v>46096</v>
      </c>
      <c r="E18036" s="275">
        <f t="shared" si="2847"/>
        <v>46096</v>
      </c>
      <c r="F18036" s="479" t="s">
        <v>1943</v>
      </c>
      <c r="G18036" s="174" t="s">
        <v>74</v>
      </c>
      <c r="I18036" s="148" t="s">
        <v>348</v>
      </c>
      <c r="J18036" s="133" t="s">
        <v>61</v>
      </c>
      <c r="K18036" s="172">
        <v>100</v>
      </c>
    </row>
    <row r="18037" spans="1:14" x14ac:dyDescent="0.2">
      <c r="A18037" s="163">
        <v>2026</v>
      </c>
      <c r="B18037" s="163">
        <v>3</v>
      </c>
      <c r="C18037" s="163">
        <v>15</v>
      </c>
      <c r="D18037" s="144">
        <f t="shared" si="2846"/>
        <v>46096</v>
      </c>
      <c r="E18037" s="313">
        <f t="shared" si="2847"/>
        <v>46096</v>
      </c>
      <c r="F18037" s="480"/>
      <c r="G18037" s="221" t="s">
        <v>74</v>
      </c>
      <c r="H18037" s="145"/>
      <c r="I18037" s="145" t="s">
        <v>348</v>
      </c>
      <c r="J18037" s="163" t="s">
        <v>52</v>
      </c>
      <c r="K18037" s="219"/>
      <c r="L18037" s="219">
        <f>K18036</f>
        <v>100</v>
      </c>
    </row>
    <row r="18038" spans="1:14" x14ac:dyDescent="0.2">
      <c r="A18038" s="325">
        <v>2026</v>
      </c>
      <c r="B18038" s="325">
        <v>3</v>
      </c>
      <c r="C18038" s="325">
        <v>15</v>
      </c>
      <c r="D18038" s="326">
        <f t="shared" si="2846"/>
        <v>46096</v>
      </c>
      <c r="E18038" s="327">
        <f t="shared" si="2847"/>
        <v>46096</v>
      </c>
      <c r="F18038" s="473" t="s">
        <v>2131</v>
      </c>
      <c r="G18038" s="340" t="s">
        <v>94</v>
      </c>
      <c r="H18038" s="340"/>
      <c r="I18038" s="341" t="s">
        <v>348</v>
      </c>
      <c r="J18038" s="374" t="s">
        <v>2156</v>
      </c>
      <c r="K18038" s="375">
        <f>3*6185.43956043956</f>
        <v>18556.31868131868</v>
      </c>
      <c r="L18038" s="375"/>
      <c r="M18038" s="176"/>
    </row>
    <row r="18039" spans="1:14" x14ac:dyDescent="0.2">
      <c r="A18039" s="331">
        <v>2026</v>
      </c>
      <c r="B18039" s="331">
        <v>3</v>
      </c>
      <c r="C18039" s="331">
        <v>15</v>
      </c>
      <c r="D18039" s="326">
        <f t="shared" si="2846"/>
        <v>46096</v>
      </c>
      <c r="E18039" s="327">
        <f t="shared" si="2847"/>
        <v>46096</v>
      </c>
      <c r="F18039" s="474"/>
      <c r="G18039" s="332" t="s">
        <v>94</v>
      </c>
      <c r="H18039" s="332"/>
      <c r="I18039" s="333" t="s">
        <v>348</v>
      </c>
      <c r="J18039" s="376" t="s">
        <v>2154</v>
      </c>
      <c r="K18039" s="334"/>
      <c r="L18039" s="334">
        <f>K18038</f>
        <v>18556.31868131868</v>
      </c>
    </row>
    <row r="18040" spans="1:14" x14ac:dyDescent="0.2">
      <c r="A18040" s="384">
        <v>2026</v>
      </c>
      <c r="B18040" s="384">
        <v>3</v>
      </c>
      <c r="C18040" s="384">
        <v>15</v>
      </c>
      <c r="D18040" s="385">
        <f t="shared" si="2846"/>
        <v>46096</v>
      </c>
      <c r="E18040" s="386">
        <f t="shared" si="2847"/>
        <v>46096</v>
      </c>
      <c r="F18040" s="475" t="s">
        <v>1966</v>
      </c>
      <c r="G18040" s="387" t="s">
        <v>94</v>
      </c>
      <c r="H18040" s="387"/>
      <c r="I18040" s="388" t="s">
        <v>348</v>
      </c>
      <c r="J18040" s="389" t="s">
        <v>67</v>
      </c>
      <c r="K18040" s="390">
        <v>3730.59</v>
      </c>
      <c r="L18040" s="390"/>
    </row>
    <row r="18041" spans="1:14" x14ac:dyDescent="0.2">
      <c r="A18041" s="391">
        <v>2026</v>
      </c>
      <c r="B18041" s="391">
        <v>3</v>
      </c>
      <c r="C18041" s="391">
        <v>15</v>
      </c>
      <c r="D18041" s="385">
        <f t="shared" si="2846"/>
        <v>46096</v>
      </c>
      <c r="E18041" s="386">
        <f t="shared" si="2847"/>
        <v>46096</v>
      </c>
      <c r="F18041" s="476"/>
      <c r="G18041" s="392" t="s">
        <v>94</v>
      </c>
      <c r="H18041" s="392"/>
      <c r="I18041" s="393" t="s">
        <v>348</v>
      </c>
      <c r="J18041" s="394" t="s">
        <v>2155</v>
      </c>
      <c r="K18041" s="395"/>
      <c r="L18041" s="395">
        <f>K18040</f>
        <v>3730.59</v>
      </c>
    </row>
    <row r="18042" spans="1:14" x14ac:dyDescent="0.2">
      <c r="A18042" s="238">
        <v>2026</v>
      </c>
      <c r="B18042" s="238">
        <v>3</v>
      </c>
      <c r="C18042" s="238">
        <v>15</v>
      </c>
      <c r="D18042" s="270">
        <f t="shared" si="2846"/>
        <v>46096</v>
      </c>
      <c r="E18042" s="279">
        <f t="shared" si="2847"/>
        <v>46096</v>
      </c>
      <c r="F18042" s="477" t="s">
        <v>347</v>
      </c>
      <c r="G18042" s="239" t="s">
        <v>94</v>
      </c>
      <c r="H18042" s="239"/>
      <c r="I18042" s="262" t="s">
        <v>348</v>
      </c>
      <c r="J18042" s="240" t="s">
        <v>82</v>
      </c>
      <c r="K18042" s="241">
        <v>3754343.4099999666</v>
      </c>
      <c r="L18042" s="241"/>
      <c r="M18042" s="160"/>
    </row>
    <row r="18043" spans="1:14" x14ac:dyDescent="0.2">
      <c r="A18043" s="242">
        <v>2026</v>
      </c>
      <c r="B18043" s="242">
        <v>3</v>
      </c>
      <c r="C18043" s="242">
        <v>15</v>
      </c>
      <c r="D18043" s="270">
        <f t="shared" si="2846"/>
        <v>46096</v>
      </c>
      <c r="E18043" s="279">
        <f t="shared" si="2847"/>
        <v>46096</v>
      </c>
      <c r="F18043" s="478"/>
      <c r="G18043" s="243" t="s">
        <v>94</v>
      </c>
      <c r="H18043" s="243"/>
      <c r="I18043" s="263" t="s">
        <v>348</v>
      </c>
      <c r="J18043" s="244" t="s">
        <v>108</v>
      </c>
      <c r="K18043" s="245"/>
      <c r="L18043" s="245">
        <f>K18042</f>
        <v>3754343.4099999666</v>
      </c>
    </row>
    <row r="18044" spans="1:14" ht="12" customHeight="1" x14ac:dyDescent="0.2">
      <c r="A18044" s="246">
        <v>2026</v>
      </c>
      <c r="B18044" s="238">
        <v>3</v>
      </c>
      <c r="C18044" s="238">
        <v>15</v>
      </c>
      <c r="D18044" s="270">
        <f t="shared" si="2846"/>
        <v>46096</v>
      </c>
      <c r="E18044" s="279">
        <f t="shared" si="2847"/>
        <v>46096</v>
      </c>
      <c r="F18044" s="482" t="s">
        <v>2167</v>
      </c>
      <c r="G18044" s="247" t="s">
        <v>94</v>
      </c>
      <c r="H18044" s="247"/>
      <c r="I18044" s="248" t="s">
        <v>348</v>
      </c>
      <c r="J18044" s="249" t="s">
        <v>95</v>
      </c>
      <c r="K18044" s="250">
        <f>3*392.464678178964</f>
        <v>1177.3940345368919</v>
      </c>
      <c r="L18044" s="241"/>
      <c r="M18044" s="176"/>
    </row>
    <row r="18045" spans="1:14" x14ac:dyDescent="0.2">
      <c r="A18045" s="242">
        <v>2026</v>
      </c>
      <c r="B18045" s="242">
        <v>3</v>
      </c>
      <c r="C18045" s="242">
        <v>15</v>
      </c>
      <c r="D18045" s="270">
        <f t="shared" si="2846"/>
        <v>46096</v>
      </c>
      <c r="E18045" s="279">
        <f t="shared" si="2847"/>
        <v>46096</v>
      </c>
      <c r="F18045" s="478"/>
      <c r="G18045" s="243" t="s">
        <v>94</v>
      </c>
      <c r="H18045" s="243"/>
      <c r="I18045" s="263" t="s">
        <v>348</v>
      </c>
      <c r="J18045" s="244" t="s">
        <v>63</v>
      </c>
      <c r="K18045" s="245"/>
      <c r="L18045" s="245">
        <f>K18044</f>
        <v>1177.3940345368919</v>
      </c>
    </row>
    <row r="18046" spans="1:14" x14ac:dyDescent="0.2">
      <c r="A18046" s="246">
        <v>2026</v>
      </c>
      <c r="B18046" s="238">
        <v>3</v>
      </c>
      <c r="C18046" s="238">
        <v>15</v>
      </c>
      <c r="D18046" s="270">
        <f t="shared" si="2846"/>
        <v>46096</v>
      </c>
      <c r="E18046" s="279">
        <f t="shared" si="2847"/>
        <v>46096</v>
      </c>
      <c r="F18046" s="482" t="s">
        <v>2168</v>
      </c>
      <c r="G18046" s="247" t="s">
        <v>94</v>
      </c>
      <c r="H18046" s="247"/>
      <c r="I18046" s="248" t="s">
        <v>348</v>
      </c>
      <c r="J18046" s="249" t="s">
        <v>97</v>
      </c>
      <c r="K18046" s="250">
        <v>15342.150077144493</v>
      </c>
      <c r="L18046" s="252"/>
    </row>
    <row r="18047" spans="1:14" x14ac:dyDescent="0.2">
      <c r="A18047" s="242">
        <v>2026</v>
      </c>
      <c r="B18047" s="242">
        <v>3</v>
      </c>
      <c r="C18047" s="242">
        <v>15</v>
      </c>
      <c r="D18047" s="270">
        <f t="shared" si="2846"/>
        <v>46096</v>
      </c>
      <c r="E18047" s="279">
        <f t="shared" si="2847"/>
        <v>46096</v>
      </c>
      <c r="F18047" s="478"/>
      <c r="G18047" s="243" t="s">
        <v>94</v>
      </c>
      <c r="H18047" s="243"/>
      <c r="I18047" s="263" t="s">
        <v>348</v>
      </c>
      <c r="J18047" s="244" t="s">
        <v>47</v>
      </c>
      <c r="K18047" s="245"/>
      <c r="L18047" s="245">
        <f>K18046</f>
        <v>15342.150077144493</v>
      </c>
      <c r="M18047" s="170"/>
    </row>
    <row r="18048" spans="1:14" x14ac:dyDescent="0.2">
      <c r="A18048" s="238">
        <v>2026</v>
      </c>
      <c r="B18048" s="238">
        <v>3</v>
      </c>
      <c r="C18048" s="238">
        <v>15</v>
      </c>
      <c r="D18048" s="270">
        <f t="shared" si="2846"/>
        <v>46096</v>
      </c>
      <c r="E18048" s="279">
        <f t="shared" si="2847"/>
        <v>46096</v>
      </c>
      <c r="F18048" s="477" t="s">
        <v>2169</v>
      </c>
      <c r="G18048" s="239" t="s">
        <v>94</v>
      </c>
      <c r="H18048" s="239"/>
      <c r="I18048" s="262" t="s">
        <v>348</v>
      </c>
      <c r="J18048" s="240" t="s">
        <v>100</v>
      </c>
      <c r="K18048" s="241">
        <v>748.08473041769139</v>
      </c>
      <c r="L18048" s="241"/>
      <c r="M18048" s="170"/>
    </row>
    <row r="18049" spans="1:14" x14ac:dyDescent="0.2">
      <c r="A18049" s="242">
        <v>2026</v>
      </c>
      <c r="B18049" s="242">
        <v>3</v>
      </c>
      <c r="C18049" s="242">
        <v>15</v>
      </c>
      <c r="D18049" s="321">
        <f t="shared" si="2846"/>
        <v>46096</v>
      </c>
      <c r="E18049" s="322">
        <f t="shared" si="2847"/>
        <v>46096</v>
      </c>
      <c r="F18049" s="478"/>
      <c r="G18049" s="243" t="s">
        <v>94</v>
      </c>
      <c r="H18049" s="243"/>
      <c r="I18049" s="263" t="s">
        <v>348</v>
      </c>
      <c r="J18049" s="244" t="s">
        <v>48</v>
      </c>
      <c r="K18049" s="245"/>
      <c r="L18049" s="245">
        <f>K18048</f>
        <v>748.08473041769139</v>
      </c>
    </row>
    <row r="18050" spans="1:14" ht="11.25" customHeight="1" x14ac:dyDescent="0.2">
      <c r="A18050" s="168">
        <v>2026</v>
      </c>
      <c r="B18050" s="133">
        <v>3</v>
      </c>
      <c r="C18050" s="168">
        <v>16</v>
      </c>
      <c r="D18050" s="141">
        <f t="shared" ref="D18050:D18064" si="2848">DATE(A18050,B18050,C18050)</f>
        <v>46097</v>
      </c>
      <c r="E18050" s="275">
        <f t="shared" ref="E18050:E18064" si="2849">DATE(A18050,B18050,C18050)</f>
        <v>46097</v>
      </c>
      <c r="F18050" s="479" t="s">
        <v>2181</v>
      </c>
      <c r="G18050" s="220" t="s">
        <v>74</v>
      </c>
      <c r="H18050" s="220"/>
      <c r="I18050" s="142"/>
      <c r="J18050" s="149" t="s">
        <v>147</v>
      </c>
      <c r="K18050" s="226">
        <v>455694.17</v>
      </c>
      <c r="L18050" s="226"/>
    </row>
    <row r="18051" spans="1:14" x14ac:dyDescent="0.2">
      <c r="A18051" s="163">
        <v>2026</v>
      </c>
      <c r="B18051" s="163">
        <v>3</v>
      </c>
      <c r="C18051" s="163">
        <v>16</v>
      </c>
      <c r="D18051" s="144">
        <f t="shared" si="2848"/>
        <v>46097</v>
      </c>
      <c r="E18051" s="313">
        <f t="shared" si="2849"/>
        <v>46097</v>
      </c>
      <c r="F18051" s="480"/>
      <c r="G18051" s="221" t="s">
        <v>74</v>
      </c>
      <c r="H18051" s="221"/>
      <c r="I18051" s="145"/>
      <c r="J18051" s="146" t="s">
        <v>52</v>
      </c>
      <c r="K18051" s="219"/>
      <c r="L18051" s="219">
        <f>K18050</f>
        <v>455694.17</v>
      </c>
      <c r="N18051" s="264"/>
    </row>
    <row r="18052" spans="1:14" x14ac:dyDescent="0.2">
      <c r="A18052" s="168">
        <v>2026</v>
      </c>
      <c r="B18052" s="133">
        <v>3</v>
      </c>
      <c r="C18052" s="168">
        <v>16</v>
      </c>
      <c r="D18052" s="141">
        <f t="shared" si="2848"/>
        <v>46097</v>
      </c>
      <c r="E18052" s="275">
        <f t="shared" si="2849"/>
        <v>46097</v>
      </c>
      <c r="F18052" s="479" t="s">
        <v>1943</v>
      </c>
      <c r="G18052" s="174" t="s">
        <v>74</v>
      </c>
      <c r="I18052" s="148" t="s">
        <v>348</v>
      </c>
      <c r="J18052" s="133" t="s">
        <v>61</v>
      </c>
      <c r="K18052" s="172">
        <v>58</v>
      </c>
    </row>
    <row r="18053" spans="1:14" x14ac:dyDescent="0.2">
      <c r="A18053" s="163">
        <v>2026</v>
      </c>
      <c r="B18053" s="163">
        <v>3</v>
      </c>
      <c r="C18053" s="163">
        <v>16</v>
      </c>
      <c r="D18053" s="144">
        <f t="shared" si="2848"/>
        <v>46097</v>
      </c>
      <c r="E18053" s="313">
        <f t="shared" si="2849"/>
        <v>46097</v>
      </c>
      <c r="F18053" s="480"/>
      <c r="G18053" s="221" t="s">
        <v>74</v>
      </c>
      <c r="H18053" s="145"/>
      <c r="I18053" s="145" t="s">
        <v>348</v>
      </c>
      <c r="J18053" s="163" t="s">
        <v>52</v>
      </c>
      <c r="K18053" s="219"/>
      <c r="L18053" s="219">
        <f>K18052</f>
        <v>58</v>
      </c>
    </row>
    <row r="18054" spans="1:14" x14ac:dyDescent="0.2">
      <c r="A18054" s="168">
        <v>2026</v>
      </c>
      <c r="B18054" s="168">
        <v>3</v>
      </c>
      <c r="C18054" s="133">
        <v>16</v>
      </c>
      <c r="D18054" s="141">
        <f t="shared" si="2848"/>
        <v>46097</v>
      </c>
      <c r="E18054" s="275">
        <f t="shared" si="2849"/>
        <v>46097</v>
      </c>
      <c r="F18054" s="479" t="s">
        <v>275</v>
      </c>
      <c r="G18054" s="174" t="s">
        <v>74</v>
      </c>
      <c r="H18054" s="174"/>
      <c r="I18054" s="148" t="s">
        <v>348</v>
      </c>
      <c r="J18054" s="149" t="s">
        <v>163</v>
      </c>
      <c r="K18054" s="218">
        <v>1575</v>
      </c>
      <c r="L18054" s="218"/>
    </row>
    <row r="18055" spans="1:14" x14ac:dyDescent="0.2">
      <c r="A18055" s="133">
        <v>2026</v>
      </c>
      <c r="B18055" s="133">
        <v>3</v>
      </c>
      <c r="C18055" s="133">
        <v>16</v>
      </c>
      <c r="D18055" s="147">
        <f t="shared" si="2848"/>
        <v>46097</v>
      </c>
      <c r="E18055" s="311">
        <f t="shared" si="2849"/>
        <v>46097</v>
      </c>
      <c r="F18055" s="481"/>
      <c r="G18055" s="174" t="s">
        <v>74</v>
      </c>
      <c r="H18055" s="174"/>
      <c r="J18055" s="149" t="s">
        <v>1907</v>
      </c>
      <c r="K18055" s="218"/>
      <c r="L18055" s="218">
        <v>75</v>
      </c>
    </row>
    <row r="18056" spans="1:14" x14ac:dyDescent="0.2">
      <c r="A18056" s="163">
        <v>2026</v>
      </c>
      <c r="B18056" s="163">
        <v>3</v>
      </c>
      <c r="C18056" s="163">
        <v>16</v>
      </c>
      <c r="D18056" s="144">
        <f t="shared" si="2848"/>
        <v>46097</v>
      </c>
      <c r="E18056" s="313">
        <f t="shared" si="2849"/>
        <v>46097</v>
      </c>
      <c r="F18056" s="480"/>
      <c r="G18056" s="221" t="s">
        <v>74</v>
      </c>
      <c r="H18056" s="221"/>
      <c r="I18056" s="145"/>
      <c r="J18056" s="146" t="s">
        <v>52</v>
      </c>
      <c r="K18056" s="219"/>
      <c r="L18056" s="219">
        <v>1500</v>
      </c>
    </row>
    <row r="18057" spans="1:14" ht="11.25" customHeight="1" x14ac:dyDescent="0.2">
      <c r="A18057" s="168">
        <v>2026</v>
      </c>
      <c r="B18057" s="168">
        <v>3</v>
      </c>
      <c r="C18057" s="168">
        <v>16</v>
      </c>
      <c r="D18057" s="141">
        <f t="shared" si="2848"/>
        <v>46097</v>
      </c>
      <c r="E18057" s="275">
        <f t="shared" si="2849"/>
        <v>46097</v>
      </c>
      <c r="F18057" s="479" t="s">
        <v>2184</v>
      </c>
      <c r="G18057" s="220" t="s">
        <v>74</v>
      </c>
      <c r="H18057" s="142"/>
      <c r="I18057" s="142"/>
      <c r="J18057" s="168" t="s">
        <v>13</v>
      </c>
      <c r="K18057" s="226">
        <v>240000</v>
      </c>
      <c r="L18057" s="226"/>
    </row>
    <row r="18058" spans="1:14" ht="11.25" customHeight="1" x14ac:dyDescent="0.2">
      <c r="A18058" s="133">
        <v>2026</v>
      </c>
      <c r="B18058" s="133">
        <v>3</v>
      </c>
      <c r="C18058" s="133">
        <v>16</v>
      </c>
      <c r="D18058" s="147">
        <f t="shared" si="2848"/>
        <v>46097</v>
      </c>
      <c r="E18058" s="311">
        <f t="shared" si="2849"/>
        <v>46097</v>
      </c>
      <c r="F18058" s="481"/>
      <c r="G18058" s="174" t="s">
        <v>74</v>
      </c>
      <c r="J18058" s="133" t="s">
        <v>53</v>
      </c>
      <c r="K18058" s="218">
        <v>118776</v>
      </c>
      <c r="L18058" s="218"/>
    </row>
    <row r="18059" spans="1:14" ht="11.25" customHeight="1" x14ac:dyDescent="0.2">
      <c r="A18059" s="163">
        <v>2026</v>
      </c>
      <c r="B18059" s="163">
        <v>3</v>
      </c>
      <c r="C18059" s="163">
        <v>16</v>
      </c>
      <c r="D18059" s="144">
        <f t="shared" si="2848"/>
        <v>46097</v>
      </c>
      <c r="E18059" s="313">
        <f t="shared" si="2849"/>
        <v>46097</v>
      </c>
      <c r="F18059" s="480"/>
      <c r="G18059" s="221" t="s">
        <v>74</v>
      </c>
      <c r="H18059" s="145"/>
      <c r="I18059" s="145"/>
      <c r="J18059" s="163" t="s">
        <v>52</v>
      </c>
      <c r="K18059" s="219"/>
      <c r="L18059" s="219">
        <v>358776</v>
      </c>
    </row>
    <row r="18060" spans="1:14" x14ac:dyDescent="0.2">
      <c r="A18060" s="168">
        <v>2026</v>
      </c>
      <c r="B18060" s="168">
        <v>3</v>
      </c>
      <c r="C18060" s="168">
        <v>16</v>
      </c>
      <c r="D18060" s="141">
        <f t="shared" si="2848"/>
        <v>46097</v>
      </c>
      <c r="E18060" s="275">
        <f t="shared" si="2849"/>
        <v>46097</v>
      </c>
      <c r="F18060" s="479" t="s">
        <v>2115</v>
      </c>
      <c r="G18060" s="220" t="s">
        <v>94</v>
      </c>
      <c r="H18060" s="220"/>
      <c r="I18060" s="142"/>
      <c r="J18060" s="143" t="s">
        <v>79</v>
      </c>
      <c r="K18060" s="226">
        <v>5190886.9000000004</v>
      </c>
      <c r="L18060" s="226"/>
    </row>
    <row r="18061" spans="1:14" x14ac:dyDescent="0.2">
      <c r="A18061" s="133">
        <v>2026</v>
      </c>
      <c r="B18061" s="133">
        <v>3</v>
      </c>
      <c r="C18061" s="133">
        <v>16</v>
      </c>
      <c r="D18061" s="147">
        <f t="shared" si="2848"/>
        <v>46097</v>
      </c>
      <c r="E18061" s="311">
        <f t="shared" si="2849"/>
        <v>46097</v>
      </c>
      <c r="F18061" s="481"/>
      <c r="G18061" s="174" t="s">
        <v>94</v>
      </c>
      <c r="H18061" s="174"/>
      <c r="J18061" s="149" t="s">
        <v>80</v>
      </c>
      <c r="K18061" s="218">
        <v>11531.74</v>
      </c>
      <c r="L18061" s="264"/>
      <c r="M18061" s="264"/>
      <c r="N18061" s="264"/>
    </row>
    <row r="18062" spans="1:14" x14ac:dyDescent="0.2">
      <c r="A18062" s="133">
        <v>2026</v>
      </c>
      <c r="B18062" s="133">
        <v>3</v>
      </c>
      <c r="C18062" s="133">
        <v>16</v>
      </c>
      <c r="D18062" s="147">
        <f t="shared" si="2848"/>
        <v>46097</v>
      </c>
      <c r="E18062" s="311">
        <f t="shared" si="2849"/>
        <v>46097</v>
      </c>
      <c r="F18062" s="481"/>
      <c r="G18062" s="174" t="s">
        <v>94</v>
      </c>
      <c r="H18062" s="174"/>
      <c r="J18062" s="149" t="s">
        <v>147</v>
      </c>
      <c r="K18062" s="218"/>
      <c r="L18062" s="218">
        <v>3986783.94</v>
      </c>
      <c r="M18062" s="264"/>
    </row>
    <row r="18063" spans="1:14" x14ac:dyDescent="0.2">
      <c r="A18063" s="133">
        <v>2026</v>
      </c>
      <c r="B18063" s="133">
        <v>3</v>
      </c>
      <c r="C18063" s="133">
        <v>16</v>
      </c>
      <c r="D18063" s="147">
        <f t="shared" si="2848"/>
        <v>46097</v>
      </c>
      <c r="E18063" s="311">
        <f t="shared" si="2849"/>
        <v>46097</v>
      </c>
      <c r="F18063" s="481"/>
      <c r="G18063" s="174" t="s">
        <v>94</v>
      </c>
      <c r="H18063" s="174"/>
      <c r="J18063" s="149" t="s">
        <v>191</v>
      </c>
      <c r="K18063" s="218"/>
      <c r="L18063" s="218">
        <v>116368.82</v>
      </c>
    </row>
    <row r="18064" spans="1:14" x14ac:dyDescent="0.2">
      <c r="A18064" s="163">
        <v>2026</v>
      </c>
      <c r="B18064" s="163">
        <v>3</v>
      </c>
      <c r="C18064" s="163">
        <v>16</v>
      </c>
      <c r="D18064" s="144">
        <f t="shared" si="2848"/>
        <v>46097</v>
      </c>
      <c r="E18064" s="313">
        <f t="shared" si="2849"/>
        <v>46097</v>
      </c>
      <c r="F18064" s="480"/>
      <c r="G18064" s="221" t="s">
        <v>94</v>
      </c>
      <c r="H18064" s="145"/>
      <c r="I18064" s="145"/>
      <c r="J18064" s="163" t="s">
        <v>79</v>
      </c>
      <c r="K18064" s="219"/>
      <c r="L18064" s="219">
        <v>1099265.8799999999</v>
      </c>
      <c r="M18064" s="264"/>
    </row>
    <row r="18065" spans="1:14" x14ac:dyDescent="0.2">
      <c r="A18065" s="325">
        <v>2026</v>
      </c>
      <c r="B18065" s="325">
        <v>3</v>
      </c>
      <c r="C18065" s="325">
        <v>16</v>
      </c>
      <c r="D18065" s="326">
        <f t="shared" ref="D18065:D18083" si="2850">DATE(A18065,B18065,C18065)</f>
        <v>46097</v>
      </c>
      <c r="E18065" s="327">
        <f t="shared" ref="E18065:E18083" si="2851">DATE(A18065,B18065,C18065)</f>
        <v>46097</v>
      </c>
      <c r="F18065" s="473" t="s">
        <v>2131</v>
      </c>
      <c r="G18065" s="340" t="s">
        <v>94</v>
      </c>
      <c r="H18065" s="340"/>
      <c r="I18065" s="341" t="s">
        <v>348</v>
      </c>
      <c r="J18065" s="374" t="s">
        <v>2156</v>
      </c>
      <c r="K18065" s="375">
        <v>6185.4395604395604</v>
      </c>
      <c r="L18065" s="375"/>
      <c r="M18065" s="176"/>
    </row>
    <row r="18066" spans="1:14" x14ac:dyDescent="0.2">
      <c r="A18066" s="331">
        <v>2026</v>
      </c>
      <c r="B18066" s="331">
        <v>3</v>
      </c>
      <c r="C18066" s="331">
        <v>16</v>
      </c>
      <c r="D18066" s="326">
        <f t="shared" si="2850"/>
        <v>46097</v>
      </c>
      <c r="E18066" s="327">
        <f t="shared" si="2851"/>
        <v>46097</v>
      </c>
      <c r="F18066" s="474"/>
      <c r="G18066" s="332" t="s">
        <v>94</v>
      </c>
      <c r="H18066" s="332"/>
      <c r="I18066" s="333" t="s">
        <v>348</v>
      </c>
      <c r="J18066" s="376" t="s">
        <v>2154</v>
      </c>
      <c r="K18066" s="334"/>
      <c r="L18066" s="334">
        <f>K18065</f>
        <v>6185.4395604395604</v>
      </c>
    </row>
    <row r="18067" spans="1:14" x14ac:dyDescent="0.2">
      <c r="A18067" s="384">
        <v>2026</v>
      </c>
      <c r="B18067" s="384">
        <v>3</v>
      </c>
      <c r="C18067" s="384">
        <v>16</v>
      </c>
      <c r="D18067" s="385">
        <f t="shared" si="2850"/>
        <v>46097</v>
      </c>
      <c r="E18067" s="386">
        <f t="shared" si="2851"/>
        <v>46097</v>
      </c>
      <c r="F18067" s="475" t="s">
        <v>1966</v>
      </c>
      <c r="G18067" s="387" t="s">
        <v>94</v>
      </c>
      <c r="H18067" s="387"/>
      <c r="I18067" s="388" t="s">
        <v>348</v>
      </c>
      <c r="J18067" s="389" t="s">
        <v>67</v>
      </c>
      <c r="K18067" s="390">
        <v>943.06683444444445</v>
      </c>
      <c r="L18067" s="390"/>
    </row>
    <row r="18068" spans="1:14" x14ac:dyDescent="0.2">
      <c r="A18068" s="391">
        <v>2026</v>
      </c>
      <c r="B18068" s="391">
        <v>3</v>
      </c>
      <c r="C18068" s="391">
        <v>16</v>
      </c>
      <c r="D18068" s="385">
        <f t="shared" si="2850"/>
        <v>46097</v>
      </c>
      <c r="E18068" s="386">
        <f t="shared" si="2851"/>
        <v>46097</v>
      </c>
      <c r="F18068" s="476"/>
      <c r="G18068" s="392" t="s">
        <v>94</v>
      </c>
      <c r="H18068" s="392"/>
      <c r="I18068" s="393" t="s">
        <v>348</v>
      </c>
      <c r="J18068" s="394" t="s">
        <v>2155</v>
      </c>
      <c r="K18068" s="395"/>
      <c r="L18068" s="395">
        <f>K18067</f>
        <v>943.06683444444445</v>
      </c>
    </row>
    <row r="18069" spans="1:14" x14ac:dyDescent="0.2">
      <c r="A18069" s="238">
        <v>2026</v>
      </c>
      <c r="B18069" s="238">
        <v>3</v>
      </c>
      <c r="C18069" s="238">
        <v>16</v>
      </c>
      <c r="D18069" s="270">
        <f t="shared" si="2850"/>
        <v>46097</v>
      </c>
      <c r="E18069" s="279">
        <f t="shared" si="2851"/>
        <v>46097</v>
      </c>
      <c r="F18069" s="477" t="s">
        <v>347</v>
      </c>
      <c r="G18069" s="239" t="s">
        <v>94</v>
      </c>
      <c r="H18069" s="239"/>
      <c r="I18069" s="262" t="s">
        <v>348</v>
      </c>
      <c r="J18069" s="240" t="s">
        <v>108</v>
      </c>
      <c r="K18069" s="241">
        <v>600915.57999998331</v>
      </c>
      <c r="L18069" s="241"/>
      <c r="M18069" s="160"/>
    </row>
    <row r="18070" spans="1:14" x14ac:dyDescent="0.2">
      <c r="A18070" s="242">
        <v>2026</v>
      </c>
      <c r="B18070" s="242">
        <v>3</v>
      </c>
      <c r="C18070" s="242">
        <v>16</v>
      </c>
      <c r="D18070" s="270">
        <f t="shared" si="2850"/>
        <v>46097</v>
      </c>
      <c r="E18070" s="279">
        <f t="shared" si="2851"/>
        <v>46097</v>
      </c>
      <c r="F18070" s="478"/>
      <c r="G18070" s="243" t="s">
        <v>94</v>
      </c>
      <c r="H18070" s="243"/>
      <c r="I18070" s="263" t="s">
        <v>348</v>
      </c>
      <c r="J18070" s="244" t="s">
        <v>82</v>
      </c>
      <c r="K18070" s="245"/>
      <c r="L18070" s="245">
        <f>K18069</f>
        <v>600915.57999998331</v>
      </c>
    </row>
    <row r="18071" spans="1:14" ht="12" customHeight="1" x14ac:dyDescent="0.2">
      <c r="A18071" s="246">
        <v>2026</v>
      </c>
      <c r="B18071" s="238">
        <v>3</v>
      </c>
      <c r="C18071" s="238">
        <v>16</v>
      </c>
      <c r="D18071" s="270">
        <f t="shared" si="2850"/>
        <v>46097</v>
      </c>
      <c r="E18071" s="279">
        <f t="shared" si="2851"/>
        <v>46097</v>
      </c>
      <c r="F18071" s="482" t="s">
        <v>2167</v>
      </c>
      <c r="G18071" s="247" t="s">
        <v>94</v>
      </c>
      <c r="H18071" s="247"/>
      <c r="I18071" s="248" t="s">
        <v>348</v>
      </c>
      <c r="J18071" s="249" t="s">
        <v>95</v>
      </c>
      <c r="K18071" s="250">
        <v>392.46467817896399</v>
      </c>
      <c r="L18071" s="241"/>
      <c r="M18071" s="176"/>
    </row>
    <row r="18072" spans="1:14" x14ac:dyDescent="0.2">
      <c r="A18072" s="242">
        <v>2026</v>
      </c>
      <c r="B18072" s="242">
        <v>3</v>
      </c>
      <c r="C18072" s="242">
        <v>16</v>
      </c>
      <c r="D18072" s="270">
        <f t="shared" si="2850"/>
        <v>46097</v>
      </c>
      <c r="E18072" s="279">
        <f t="shared" si="2851"/>
        <v>46097</v>
      </c>
      <c r="F18072" s="478"/>
      <c r="G18072" s="243" t="s">
        <v>94</v>
      </c>
      <c r="H18072" s="243"/>
      <c r="I18072" s="263" t="s">
        <v>348</v>
      </c>
      <c r="J18072" s="244" t="s">
        <v>63</v>
      </c>
      <c r="K18072" s="245"/>
      <c r="L18072" s="245">
        <f>K18071</f>
        <v>392.46467817896399</v>
      </c>
    </row>
    <row r="18073" spans="1:14" x14ac:dyDescent="0.2">
      <c r="A18073" s="246">
        <v>2026</v>
      </c>
      <c r="B18073" s="238">
        <v>3</v>
      </c>
      <c r="C18073" s="238">
        <v>16</v>
      </c>
      <c r="D18073" s="270">
        <f t="shared" si="2850"/>
        <v>46097</v>
      </c>
      <c r="E18073" s="279">
        <f t="shared" si="2851"/>
        <v>46097</v>
      </c>
      <c r="F18073" s="482" t="s">
        <v>2168</v>
      </c>
      <c r="G18073" s="247" t="s">
        <v>94</v>
      </c>
      <c r="H18073" s="247"/>
      <c r="I18073" s="248" t="s">
        <v>348</v>
      </c>
      <c r="J18073" s="249" t="s">
        <v>97</v>
      </c>
      <c r="K18073" s="250">
        <v>15356.655137594043</v>
      </c>
      <c r="L18073" s="252"/>
    </row>
    <row r="18074" spans="1:14" x14ac:dyDescent="0.2">
      <c r="A18074" s="242">
        <v>2026</v>
      </c>
      <c r="B18074" s="242">
        <v>3</v>
      </c>
      <c r="C18074" s="242">
        <v>16</v>
      </c>
      <c r="D18074" s="270">
        <f t="shared" si="2850"/>
        <v>46097</v>
      </c>
      <c r="E18074" s="279">
        <f t="shared" si="2851"/>
        <v>46097</v>
      </c>
      <c r="F18074" s="478"/>
      <c r="G18074" s="243" t="s">
        <v>94</v>
      </c>
      <c r="H18074" s="243"/>
      <c r="I18074" s="263" t="s">
        <v>348</v>
      </c>
      <c r="J18074" s="244" t="s">
        <v>47</v>
      </c>
      <c r="K18074" s="245"/>
      <c r="L18074" s="245">
        <f>K18073</f>
        <v>15356.655137594043</v>
      </c>
      <c r="M18074" s="170"/>
    </row>
    <row r="18075" spans="1:14" x14ac:dyDescent="0.2">
      <c r="A18075" s="238">
        <v>2026</v>
      </c>
      <c r="B18075" s="238">
        <v>3</v>
      </c>
      <c r="C18075" s="238">
        <v>16</v>
      </c>
      <c r="D18075" s="270">
        <f t="shared" si="2850"/>
        <v>46097</v>
      </c>
      <c r="E18075" s="279">
        <f t="shared" si="2851"/>
        <v>46097</v>
      </c>
      <c r="F18075" s="477" t="s">
        <v>2169</v>
      </c>
      <c r="G18075" s="239" t="s">
        <v>94</v>
      </c>
      <c r="H18075" s="239"/>
      <c r="I18075" s="262" t="s">
        <v>348</v>
      </c>
      <c r="J18075" s="240" t="s">
        <v>100</v>
      </c>
      <c r="K18075" s="241">
        <v>749.05173444766149</v>
      </c>
      <c r="L18075" s="241"/>
      <c r="M18075" s="170"/>
    </row>
    <row r="18076" spans="1:14" x14ac:dyDescent="0.2">
      <c r="A18076" s="242">
        <v>2026</v>
      </c>
      <c r="B18076" s="242">
        <v>3</v>
      </c>
      <c r="C18076" s="242">
        <v>16</v>
      </c>
      <c r="D18076" s="321">
        <f t="shared" si="2850"/>
        <v>46097</v>
      </c>
      <c r="E18076" s="322">
        <f t="shared" si="2851"/>
        <v>46097</v>
      </c>
      <c r="F18076" s="478"/>
      <c r="G18076" s="243" t="s">
        <v>94</v>
      </c>
      <c r="H18076" s="243"/>
      <c r="I18076" s="263" t="s">
        <v>348</v>
      </c>
      <c r="J18076" s="244" t="s">
        <v>48</v>
      </c>
      <c r="K18076" s="245"/>
      <c r="L18076" s="245">
        <f>K18075</f>
        <v>749.05173444766149</v>
      </c>
    </row>
    <row r="18077" spans="1:14" ht="11.25" customHeight="1" x14ac:dyDescent="0.2">
      <c r="A18077" s="168">
        <v>2026</v>
      </c>
      <c r="B18077" s="133">
        <v>3</v>
      </c>
      <c r="C18077" s="168">
        <v>24</v>
      </c>
      <c r="D18077" s="141">
        <f t="shared" si="2850"/>
        <v>46105</v>
      </c>
      <c r="E18077" s="275">
        <f t="shared" si="2851"/>
        <v>46105</v>
      </c>
      <c r="F18077" s="479" t="s">
        <v>2181</v>
      </c>
      <c r="G18077" s="220" t="s">
        <v>74</v>
      </c>
      <c r="H18077" s="220"/>
      <c r="I18077" s="142"/>
      <c r="J18077" s="149" t="s">
        <v>147</v>
      </c>
      <c r="K18077" s="226">
        <v>3986783.94</v>
      </c>
      <c r="L18077" s="226"/>
    </row>
    <row r="18078" spans="1:14" x14ac:dyDescent="0.2">
      <c r="A18078" s="163">
        <v>2026</v>
      </c>
      <c r="B18078" s="163">
        <v>3</v>
      </c>
      <c r="C18078" s="163">
        <v>24</v>
      </c>
      <c r="D18078" s="144">
        <f t="shared" si="2850"/>
        <v>46105</v>
      </c>
      <c r="E18078" s="313">
        <f t="shared" si="2851"/>
        <v>46105</v>
      </c>
      <c r="F18078" s="480"/>
      <c r="G18078" s="221" t="s">
        <v>74</v>
      </c>
      <c r="H18078" s="221"/>
      <c r="I18078" s="145"/>
      <c r="J18078" s="146" t="s">
        <v>52</v>
      </c>
      <c r="K18078" s="219"/>
      <c r="L18078" s="219">
        <f>K18077</f>
        <v>3986783.94</v>
      </c>
      <c r="N18078" s="264"/>
    </row>
    <row r="18079" spans="1:14" x14ac:dyDescent="0.2">
      <c r="A18079" s="168">
        <v>2026</v>
      </c>
      <c r="B18079" s="168">
        <v>3</v>
      </c>
      <c r="C18079" s="168">
        <v>24</v>
      </c>
      <c r="D18079" s="141">
        <f t="shared" si="2850"/>
        <v>46105</v>
      </c>
      <c r="E18079" s="275">
        <f t="shared" si="2851"/>
        <v>46105</v>
      </c>
      <c r="F18079" s="479" t="s">
        <v>2115</v>
      </c>
      <c r="G18079" s="220" t="s">
        <v>94</v>
      </c>
      <c r="H18079" s="220"/>
      <c r="I18079" s="142"/>
      <c r="J18079" s="143" t="s">
        <v>79</v>
      </c>
      <c r="K18079" s="226">
        <v>679935</v>
      </c>
      <c r="L18079" s="226"/>
    </row>
    <row r="18080" spans="1:14" x14ac:dyDescent="0.2">
      <c r="A18080" s="133">
        <v>2026</v>
      </c>
      <c r="B18080" s="133">
        <v>3</v>
      </c>
      <c r="C18080" s="133">
        <v>24</v>
      </c>
      <c r="D18080" s="147">
        <f t="shared" si="2850"/>
        <v>46105</v>
      </c>
      <c r="E18080" s="311">
        <f t="shared" si="2851"/>
        <v>46105</v>
      </c>
      <c r="F18080" s="481"/>
      <c r="G18080" s="174" t="s">
        <v>94</v>
      </c>
      <c r="H18080" s="174"/>
      <c r="J18080" s="149" t="s">
        <v>80</v>
      </c>
      <c r="K18080" s="218">
        <v>5657.33</v>
      </c>
      <c r="L18080" s="264"/>
      <c r="M18080" s="264"/>
      <c r="N18080" s="264"/>
    </row>
    <row r="18081" spans="1:14" x14ac:dyDescent="0.2">
      <c r="A18081" s="133">
        <v>2026</v>
      </c>
      <c r="B18081" s="133">
        <v>3</v>
      </c>
      <c r="C18081" s="133">
        <v>24</v>
      </c>
      <c r="D18081" s="147">
        <f t="shared" si="2850"/>
        <v>46105</v>
      </c>
      <c r="E18081" s="311">
        <f t="shared" si="2851"/>
        <v>46105</v>
      </c>
      <c r="F18081" s="481"/>
      <c r="G18081" s="174" t="s">
        <v>94</v>
      </c>
      <c r="H18081" s="174"/>
      <c r="J18081" s="149" t="s">
        <v>190</v>
      </c>
      <c r="K18081" s="218">
        <v>1777431.77</v>
      </c>
      <c r="L18081" s="218"/>
      <c r="M18081" s="264"/>
    </row>
    <row r="18082" spans="1:14" x14ac:dyDescent="0.2">
      <c r="A18082" s="133">
        <v>2026</v>
      </c>
      <c r="B18082" s="133">
        <v>3</v>
      </c>
      <c r="C18082" s="133">
        <v>24</v>
      </c>
      <c r="D18082" s="147">
        <f t="shared" si="2850"/>
        <v>46105</v>
      </c>
      <c r="E18082" s="311">
        <f t="shared" si="2851"/>
        <v>46105</v>
      </c>
      <c r="F18082" s="481"/>
      <c r="G18082" s="174" t="s">
        <v>94</v>
      </c>
      <c r="H18082" s="174"/>
      <c r="J18082" s="149" t="s">
        <v>191</v>
      </c>
      <c r="K18082" s="218"/>
      <c r="L18082" s="218">
        <v>160905.84</v>
      </c>
    </row>
    <row r="18083" spans="1:14" x14ac:dyDescent="0.2">
      <c r="A18083" s="163">
        <v>2026</v>
      </c>
      <c r="B18083" s="163">
        <v>3</v>
      </c>
      <c r="C18083" s="163">
        <v>24</v>
      </c>
      <c r="D18083" s="144">
        <f t="shared" si="2850"/>
        <v>46105</v>
      </c>
      <c r="E18083" s="313">
        <f t="shared" si="2851"/>
        <v>46105</v>
      </c>
      <c r="F18083" s="480"/>
      <c r="G18083" s="221" t="s">
        <v>94</v>
      </c>
      <c r="H18083" s="145"/>
      <c r="I18083" s="145"/>
      <c r="J18083" s="163" t="s">
        <v>79</v>
      </c>
      <c r="K18083" s="219"/>
      <c r="L18083" s="219">
        <v>2302118.2599999998</v>
      </c>
      <c r="M18083" s="264"/>
    </row>
    <row r="18084" spans="1:14" x14ac:dyDescent="0.2">
      <c r="A18084" s="325">
        <v>2026</v>
      </c>
      <c r="B18084" s="325">
        <v>3</v>
      </c>
      <c r="C18084" s="325">
        <v>24</v>
      </c>
      <c r="D18084" s="326">
        <f t="shared" ref="D18084:D18120" si="2852">DATE(A18084,B18084,C18084)</f>
        <v>46105</v>
      </c>
      <c r="E18084" s="327">
        <f t="shared" ref="E18084:E18120" si="2853">DATE(A18084,B18084,C18084)</f>
        <v>46105</v>
      </c>
      <c r="F18084" s="473" t="s">
        <v>2131</v>
      </c>
      <c r="G18084" s="340" t="s">
        <v>94</v>
      </c>
      <c r="H18084" s="340"/>
      <c r="I18084" s="341" t="s">
        <v>348</v>
      </c>
      <c r="J18084" s="374" t="s">
        <v>2156</v>
      </c>
      <c r="K18084" s="375">
        <v>49483.516483516483</v>
      </c>
      <c r="L18084" s="375"/>
      <c r="M18084" s="176"/>
    </row>
    <row r="18085" spans="1:14" x14ac:dyDescent="0.2">
      <c r="A18085" s="331">
        <v>2026</v>
      </c>
      <c r="B18085" s="331">
        <v>3</v>
      </c>
      <c r="C18085" s="331">
        <v>24</v>
      </c>
      <c r="D18085" s="326">
        <f t="shared" si="2852"/>
        <v>46105</v>
      </c>
      <c r="E18085" s="327">
        <f t="shared" si="2853"/>
        <v>46105</v>
      </c>
      <c r="F18085" s="474"/>
      <c r="G18085" s="332" t="s">
        <v>94</v>
      </c>
      <c r="H18085" s="332"/>
      <c r="I18085" s="333" t="s">
        <v>348</v>
      </c>
      <c r="J18085" s="376" t="s">
        <v>2154</v>
      </c>
      <c r="K18085" s="334"/>
      <c r="L18085" s="334">
        <f>K18084</f>
        <v>49483.516483516483</v>
      </c>
    </row>
    <row r="18086" spans="1:14" x14ac:dyDescent="0.2">
      <c r="A18086" s="384">
        <v>2026</v>
      </c>
      <c r="B18086" s="384">
        <v>3</v>
      </c>
      <c r="C18086" s="384">
        <v>24</v>
      </c>
      <c r="D18086" s="385">
        <f t="shared" si="2852"/>
        <v>46105</v>
      </c>
      <c r="E18086" s="386">
        <f t="shared" si="2853"/>
        <v>46105</v>
      </c>
      <c r="F18086" s="475" t="s">
        <v>1966</v>
      </c>
      <c r="G18086" s="387" t="s">
        <v>94</v>
      </c>
      <c r="H18086" s="387"/>
      <c r="I18086" s="388" t="s">
        <v>348</v>
      </c>
      <c r="J18086" s="389" t="s">
        <v>67</v>
      </c>
      <c r="K18086" s="390">
        <v>6713.95</v>
      </c>
      <c r="L18086" s="390"/>
    </row>
    <row r="18087" spans="1:14" x14ac:dyDescent="0.2">
      <c r="A18087" s="391">
        <v>2026</v>
      </c>
      <c r="B18087" s="391">
        <v>3</v>
      </c>
      <c r="C18087" s="391">
        <v>24</v>
      </c>
      <c r="D18087" s="385">
        <f t="shared" si="2852"/>
        <v>46105</v>
      </c>
      <c r="E18087" s="386">
        <f t="shared" si="2853"/>
        <v>46105</v>
      </c>
      <c r="F18087" s="476"/>
      <c r="G18087" s="392" t="s">
        <v>94</v>
      </c>
      <c r="H18087" s="392"/>
      <c r="I18087" s="393" t="s">
        <v>348</v>
      </c>
      <c r="J18087" s="394" t="s">
        <v>2155</v>
      </c>
      <c r="K18087" s="395"/>
      <c r="L18087" s="395">
        <f>K18086</f>
        <v>6713.95</v>
      </c>
    </row>
    <row r="18088" spans="1:14" x14ac:dyDescent="0.2">
      <c r="A18088" s="238">
        <v>2026</v>
      </c>
      <c r="B18088" s="238">
        <v>3</v>
      </c>
      <c r="C18088" s="238">
        <v>24</v>
      </c>
      <c r="D18088" s="270">
        <f t="shared" si="2852"/>
        <v>46105</v>
      </c>
      <c r="E18088" s="279">
        <f t="shared" si="2853"/>
        <v>46105</v>
      </c>
      <c r="F18088" s="477" t="s">
        <v>347</v>
      </c>
      <c r="G18088" s="239" t="s">
        <v>94</v>
      </c>
      <c r="H18088" s="239"/>
      <c r="I18088" s="262" t="s">
        <v>348</v>
      </c>
      <c r="J18088" s="240" t="s">
        <v>82</v>
      </c>
      <c r="K18088" s="241">
        <v>4901244.2399999797</v>
      </c>
      <c r="L18088" s="241"/>
      <c r="M18088" s="160"/>
    </row>
    <row r="18089" spans="1:14" x14ac:dyDescent="0.2">
      <c r="A18089" s="242">
        <v>2026</v>
      </c>
      <c r="B18089" s="242">
        <v>3</v>
      </c>
      <c r="C18089" s="242">
        <v>24</v>
      </c>
      <c r="D18089" s="270">
        <f t="shared" si="2852"/>
        <v>46105</v>
      </c>
      <c r="E18089" s="279">
        <f t="shared" si="2853"/>
        <v>46105</v>
      </c>
      <c r="F18089" s="478"/>
      <c r="G18089" s="243" t="s">
        <v>94</v>
      </c>
      <c r="H18089" s="243"/>
      <c r="I18089" s="263" t="s">
        <v>348</v>
      </c>
      <c r="J18089" s="244" t="s">
        <v>108</v>
      </c>
      <c r="K18089" s="245"/>
      <c r="L18089" s="245">
        <f>K18088</f>
        <v>4901244.2399999797</v>
      </c>
    </row>
    <row r="18090" spans="1:14" ht="12" customHeight="1" x14ac:dyDescent="0.2">
      <c r="A18090" s="246">
        <v>2026</v>
      </c>
      <c r="B18090" s="238">
        <v>3</v>
      </c>
      <c r="C18090" s="238">
        <v>24</v>
      </c>
      <c r="D18090" s="270">
        <f t="shared" si="2852"/>
        <v>46105</v>
      </c>
      <c r="E18090" s="279">
        <f t="shared" si="2853"/>
        <v>46105</v>
      </c>
      <c r="F18090" s="482" t="s">
        <v>2167</v>
      </c>
      <c r="G18090" s="247" t="s">
        <v>94</v>
      </c>
      <c r="H18090" s="247"/>
      <c r="I18090" s="248" t="s">
        <v>348</v>
      </c>
      <c r="J18090" s="249" t="s">
        <v>95</v>
      </c>
      <c r="K18090" s="250">
        <v>3139.7174254317119</v>
      </c>
      <c r="L18090" s="241"/>
      <c r="M18090" s="176"/>
    </row>
    <row r="18091" spans="1:14" x14ac:dyDescent="0.2">
      <c r="A18091" s="242">
        <v>2026</v>
      </c>
      <c r="B18091" s="242">
        <v>3</v>
      </c>
      <c r="C18091" s="242">
        <v>24</v>
      </c>
      <c r="D18091" s="270">
        <f t="shared" si="2852"/>
        <v>46105</v>
      </c>
      <c r="E18091" s="279">
        <f t="shared" si="2853"/>
        <v>46105</v>
      </c>
      <c r="F18091" s="478"/>
      <c r="G18091" s="243" t="s">
        <v>94</v>
      </c>
      <c r="H18091" s="243"/>
      <c r="I18091" s="263" t="s">
        <v>348</v>
      </c>
      <c r="J18091" s="244" t="s">
        <v>63</v>
      </c>
      <c r="K18091" s="245"/>
      <c r="L18091" s="245">
        <f>K18090</f>
        <v>3139.7174254317119</v>
      </c>
    </row>
    <row r="18092" spans="1:14" x14ac:dyDescent="0.2">
      <c r="A18092" s="246">
        <v>2026</v>
      </c>
      <c r="B18092" s="238">
        <v>3</v>
      </c>
      <c r="C18092" s="238">
        <v>24</v>
      </c>
      <c r="D18092" s="270">
        <f t="shared" si="2852"/>
        <v>46105</v>
      </c>
      <c r="E18092" s="279">
        <f t="shared" si="2853"/>
        <v>46105</v>
      </c>
      <c r="F18092" s="482" t="s">
        <v>2168</v>
      </c>
      <c r="G18092" s="247" t="s">
        <v>94</v>
      </c>
      <c r="H18092" s="247"/>
      <c r="I18092" s="248" t="s">
        <v>348</v>
      </c>
      <c r="J18092" s="249" t="s">
        <v>97</v>
      </c>
      <c r="K18092" s="250">
        <v>121243.33372624626</v>
      </c>
      <c r="L18092" s="252"/>
      <c r="M18092" s="176"/>
    </row>
    <row r="18093" spans="1:14" x14ac:dyDescent="0.2">
      <c r="A18093" s="242">
        <v>2026</v>
      </c>
      <c r="B18093" s="242">
        <v>3</v>
      </c>
      <c r="C18093" s="242">
        <v>24</v>
      </c>
      <c r="D18093" s="270">
        <f t="shared" si="2852"/>
        <v>46105</v>
      </c>
      <c r="E18093" s="279">
        <f t="shared" si="2853"/>
        <v>46105</v>
      </c>
      <c r="F18093" s="478"/>
      <c r="G18093" s="243" t="s">
        <v>94</v>
      </c>
      <c r="H18093" s="243"/>
      <c r="I18093" s="263" t="s">
        <v>348</v>
      </c>
      <c r="J18093" s="244" t="s">
        <v>47</v>
      </c>
      <c r="K18093" s="245"/>
      <c r="L18093" s="245">
        <f>K18092</f>
        <v>121243.33372624626</v>
      </c>
      <c r="M18093" s="170"/>
    </row>
    <row r="18094" spans="1:14" x14ac:dyDescent="0.2">
      <c r="A18094" s="238">
        <v>2026</v>
      </c>
      <c r="B18094" s="238">
        <v>3</v>
      </c>
      <c r="C18094" s="238">
        <v>24</v>
      </c>
      <c r="D18094" s="270">
        <f t="shared" si="2852"/>
        <v>46105</v>
      </c>
      <c r="E18094" s="279">
        <f t="shared" si="2853"/>
        <v>46105</v>
      </c>
      <c r="F18094" s="477" t="s">
        <v>2169</v>
      </c>
      <c r="G18094" s="239" t="s">
        <v>94</v>
      </c>
      <c r="H18094" s="239"/>
      <c r="I18094" s="262" t="s">
        <v>348</v>
      </c>
      <c r="J18094" s="240" t="s">
        <v>100</v>
      </c>
      <c r="K18094" s="241">
        <v>5885.0867172808858</v>
      </c>
      <c r="L18094" s="241"/>
      <c r="M18094" s="176"/>
    </row>
    <row r="18095" spans="1:14" x14ac:dyDescent="0.2">
      <c r="A18095" s="246">
        <v>2026</v>
      </c>
      <c r="B18095" s="246">
        <v>3</v>
      </c>
      <c r="C18095" s="246">
        <v>24</v>
      </c>
      <c r="D18095" s="270">
        <f t="shared" si="2852"/>
        <v>46105</v>
      </c>
      <c r="E18095" s="279">
        <f t="shared" si="2853"/>
        <v>46105</v>
      </c>
      <c r="F18095" s="482"/>
      <c r="G18095" s="247" t="s">
        <v>94</v>
      </c>
      <c r="H18095" s="247"/>
      <c r="I18095" s="248" t="s">
        <v>348</v>
      </c>
      <c r="J18095" s="249" t="s">
        <v>48</v>
      </c>
      <c r="K18095" s="252"/>
      <c r="L18095" s="252">
        <f>K18094</f>
        <v>5885.0867172808858</v>
      </c>
    </row>
    <row r="18096" spans="1:14" x14ac:dyDescent="0.2">
      <c r="A18096" s="168">
        <v>2026</v>
      </c>
      <c r="B18096" s="168">
        <v>3</v>
      </c>
      <c r="C18096" s="168">
        <v>25</v>
      </c>
      <c r="D18096" s="141">
        <f>DATE(A18096,B18096,C18096)</f>
        <v>46106</v>
      </c>
      <c r="E18096" s="275">
        <f>DATE(A18096,B18096,C18096)</f>
        <v>46106</v>
      </c>
      <c r="F18096" s="479" t="s">
        <v>1911</v>
      </c>
      <c r="G18096" s="220" t="s">
        <v>94</v>
      </c>
      <c r="H18096" s="142" t="str" cm="1">
        <f t="array" ref="H18096">IFERROR(INDEX(INVESTOR_LIST[INVESTOR NAME],MATCH(I18096,INVESTOR_LIST[INVESTOR CODE],0),)," ")</f>
        <v xml:space="preserve"> </v>
      </c>
      <c r="I18096" s="142" t="s">
        <v>348</v>
      </c>
      <c r="J18096" s="168" t="s">
        <v>50</v>
      </c>
      <c r="K18096" s="226">
        <v>46000</v>
      </c>
      <c r="L18096" s="226"/>
      <c r="N18096" s="176"/>
    </row>
    <row r="18097" spans="1:14" x14ac:dyDescent="0.2">
      <c r="A18097" s="551">
        <v>2026</v>
      </c>
      <c r="B18097" s="551">
        <v>3</v>
      </c>
      <c r="C18097" s="551">
        <v>25</v>
      </c>
      <c r="D18097" s="280">
        <f>DATE(A18097,B18097,C18097)</f>
        <v>46106</v>
      </c>
      <c r="E18097" s="281">
        <f>DATE(A18097,B18097,C18097)</f>
        <v>46106</v>
      </c>
      <c r="F18097" s="552"/>
      <c r="G18097" s="553" t="s">
        <v>94</v>
      </c>
      <c r="H18097" s="554" t="str" cm="1">
        <f t="array" ref="H18097">IFERROR(INDEX(INVESTOR_LIST[INVESTOR NAME],MATCH(I18097,INVESTOR_LIST[INVESTOR CODE],0),)," ")</f>
        <v xml:space="preserve"> </v>
      </c>
      <c r="I18097" s="554" t="s">
        <v>348</v>
      </c>
      <c r="J18097" s="551" t="s">
        <v>534</v>
      </c>
      <c r="K18097" s="218"/>
      <c r="L18097" s="218">
        <v>3000</v>
      </c>
    </row>
    <row r="18098" spans="1:14" x14ac:dyDescent="0.2">
      <c r="A18098" s="163">
        <v>2026</v>
      </c>
      <c r="B18098" s="163">
        <v>3</v>
      </c>
      <c r="C18098" s="163">
        <v>25</v>
      </c>
      <c r="D18098" s="280">
        <f>DATE(A18098,B18098,C18098)</f>
        <v>46106</v>
      </c>
      <c r="E18098" s="281">
        <f>DATE(A18098,B18098,C18098)</f>
        <v>46106</v>
      </c>
      <c r="F18098" s="480"/>
      <c r="G18098" s="221" t="s">
        <v>94</v>
      </c>
      <c r="H18098" s="145" t="str" cm="1">
        <f t="array" ref="H18098">IFERROR(INDEX(INVESTOR_LIST[INVESTOR NAME],MATCH(I18098,INVESTOR_LIST[INVESTOR CODE],0),)," ")</f>
        <v xml:space="preserve"> </v>
      </c>
      <c r="I18098" s="145" t="s">
        <v>348</v>
      </c>
      <c r="J18098" s="163" t="s">
        <v>52</v>
      </c>
      <c r="K18098" s="219"/>
      <c r="L18098" s="219">
        <v>43000</v>
      </c>
    </row>
    <row r="18099" spans="1:14" ht="11.25" customHeight="1" x14ac:dyDescent="0.2">
      <c r="A18099" s="168">
        <v>2026</v>
      </c>
      <c r="B18099" s="168">
        <v>3</v>
      </c>
      <c r="C18099" s="168">
        <v>25</v>
      </c>
      <c r="D18099" s="141">
        <f t="shared" ref="D18099:D18108" si="2854">DATE(A18099,B18099,C18099)</f>
        <v>46106</v>
      </c>
      <c r="E18099" s="275">
        <f t="shared" ref="E18099:E18108" si="2855">DATE(A18099,B18099,C18099)</f>
        <v>46106</v>
      </c>
      <c r="F18099" s="479" t="s">
        <v>2184</v>
      </c>
      <c r="G18099" s="220" t="s">
        <v>74</v>
      </c>
      <c r="H18099" s="142"/>
      <c r="I18099" s="142"/>
      <c r="J18099" s="168" t="s">
        <v>13</v>
      </c>
      <c r="K18099" s="226">
        <v>82140</v>
      </c>
      <c r="L18099" s="226"/>
    </row>
    <row r="18100" spans="1:14" ht="11.25" customHeight="1" x14ac:dyDescent="0.2">
      <c r="A18100" s="133">
        <v>2026</v>
      </c>
      <c r="B18100" s="133">
        <v>3</v>
      </c>
      <c r="C18100" s="551">
        <v>25</v>
      </c>
      <c r="D18100" s="147">
        <f t="shared" si="2854"/>
        <v>46106</v>
      </c>
      <c r="E18100" s="311">
        <f t="shared" si="2855"/>
        <v>46106</v>
      </c>
      <c r="F18100" s="481"/>
      <c r="G18100" s="174" t="s">
        <v>74</v>
      </c>
      <c r="J18100" s="133" t="s">
        <v>53</v>
      </c>
      <c r="K18100" s="218">
        <v>38791.990000000005</v>
      </c>
      <c r="L18100" s="218"/>
    </row>
    <row r="18101" spans="1:14" ht="11.25" customHeight="1" x14ac:dyDescent="0.2">
      <c r="A18101" s="163">
        <v>2026</v>
      </c>
      <c r="B18101" s="163">
        <v>3</v>
      </c>
      <c r="C18101" s="163">
        <v>25</v>
      </c>
      <c r="D18101" s="144">
        <f t="shared" si="2854"/>
        <v>46106</v>
      </c>
      <c r="E18101" s="313">
        <f t="shared" si="2855"/>
        <v>46106</v>
      </c>
      <c r="F18101" s="480"/>
      <c r="G18101" s="221" t="s">
        <v>74</v>
      </c>
      <c r="H18101" s="145"/>
      <c r="I18101" s="145"/>
      <c r="J18101" s="163" t="s">
        <v>52</v>
      </c>
      <c r="K18101" s="219"/>
      <c r="L18101" s="219">
        <v>120931.99</v>
      </c>
    </row>
    <row r="18102" spans="1:14" x14ac:dyDescent="0.2">
      <c r="A18102" s="168">
        <v>2026</v>
      </c>
      <c r="B18102" s="133">
        <v>3</v>
      </c>
      <c r="C18102" s="168">
        <v>25</v>
      </c>
      <c r="D18102" s="141">
        <f t="shared" si="2854"/>
        <v>46106</v>
      </c>
      <c r="E18102" s="275">
        <f t="shared" si="2855"/>
        <v>46106</v>
      </c>
      <c r="F18102" s="479" t="s">
        <v>1943</v>
      </c>
      <c r="G18102" s="174" t="s">
        <v>74</v>
      </c>
      <c r="I18102" s="148" t="s">
        <v>348</v>
      </c>
      <c r="J18102" s="133" t="s">
        <v>61</v>
      </c>
      <c r="K18102" s="172">
        <v>58</v>
      </c>
    </row>
    <row r="18103" spans="1:14" x14ac:dyDescent="0.2">
      <c r="A18103" s="163">
        <v>2026</v>
      </c>
      <c r="B18103" s="163">
        <v>3</v>
      </c>
      <c r="C18103" s="163">
        <v>25</v>
      </c>
      <c r="D18103" s="144">
        <f t="shared" si="2854"/>
        <v>46106</v>
      </c>
      <c r="E18103" s="313">
        <f t="shared" si="2855"/>
        <v>46106</v>
      </c>
      <c r="F18103" s="480"/>
      <c r="G18103" s="221" t="s">
        <v>74</v>
      </c>
      <c r="H18103" s="145"/>
      <c r="I18103" s="145" t="s">
        <v>348</v>
      </c>
      <c r="J18103" s="163" t="s">
        <v>52</v>
      </c>
      <c r="K18103" s="219"/>
      <c r="L18103" s="219">
        <f>K18102</f>
        <v>58</v>
      </c>
    </row>
    <row r="18104" spans="1:14" x14ac:dyDescent="0.2">
      <c r="A18104" s="168">
        <v>2026</v>
      </c>
      <c r="B18104" s="168">
        <v>3</v>
      </c>
      <c r="C18104" s="168">
        <v>25</v>
      </c>
      <c r="D18104" s="141">
        <f t="shared" si="2854"/>
        <v>46106</v>
      </c>
      <c r="E18104" s="275">
        <f t="shared" si="2855"/>
        <v>46106</v>
      </c>
      <c r="F18104" s="479" t="s">
        <v>2115</v>
      </c>
      <c r="G18104" s="220" t="s">
        <v>94</v>
      </c>
      <c r="H18104" s="220"/>
      <c r="I18104" s="142"/>
      <c r="J18104" s="143" t="s">
        <v>79</v>
      </c>
      <c r="K18104" s="226">
        <v>1271017</v>
      </c>
      <c r="L18104" s="226"/>
    </row>
    <row r="18105" spans="1:14" x14ac:dyDescent="0.2">
      <c r="A18105" s="133">
        <v>2026</v>
      </c>
      <c r="B18105" s="133">
        <v>3</v>
      </c>
      <c r="C18105" s="133">
        <v>25</v>
      </c>
      <c r="D18105" s="147">
        <f t="shared" si="2854"/>
        <v>46106</v>
      </c>
      <c r="E18105" s="311">
        <f t="shared" si="2855"/>
        <v>46106</v>
      </c>
      <c r="F18105" s="481"/>
      <c r="G18105" s="174" t="s">
        <v>94</v>
      </c>
      <c r="H18105" s="174"/>
      <c r="J18105" s="149" t="s">
        <v>80</v>
      </c>
      <c r="K18105" s="218">
        <v>9721.73</v>
      </c>
      <c r="L18105" s="264"/>
      <c r="M18105" s="264"/>
      <c r="N18105" s="264"/>
    </row>
    <row r="18106" spans="1:14" x14ac:dyDescent="0.2">
      <c r="A18106" s="133">
        <v>2026</v>
      </c>
      <c r="B18106" s="133">
        <v>3</v>
      </c>
      <c r="C18106" s="133">
        <v>25</v>
      </c>
      <c r="D18106" s="147">
        <f t="shared" si="2854"/>
        <v>46106</v>
      </c>
      <c r="E18106" s="311">
        <f t="shared" si="2855"/>
        <v>46106</v>
      </c>
      <c r="F18106" s="481"/>
      <c r="G18106" s="174" t="s">
        <v>94</v>
      </c>
      <c r="H18106" s="174"/>
      <c r="J18106" s="149" t="s">
        <v>190</v>
      </c>
      <c r="K18106" s="218">
        <v>2849203.67</v>
      </c>
      <c r="L18106" s="218"/>
      <c r="M18106" s="264"/>
    </row>
    <row r="18107" spans="1:14" x14ac:dyDescent="0.2">
      <c r="A18107" s="133">
        <v>2026</v>
      </c>
      <c r="B18107" s="133">
        <v>3</v>
      </c>
      <c r="C18107" s="133">
        <v>25</v>
      </c>
      <c r="D18107" s="147">
        <f t="shared" si="2854"/>
        <v>46106</v>
      </c>
      <c r="E18107" s="311">
        <f t="shared" si="2855"/>
        <v>46106</v>
      </c>
      <c r="F18107" s="481"/>
      <c r="G18107" s="174" t="s">
        <v>94</v>
      </c>
      <c r="H18107" s="174"/>
      <c r="J18107" s="149" t="s">
        <v>191</v>
      </c>
      <c r="K18107" s="218"/>
      <c r="L18107" s="218">
        <v>225711.45</v>
      </c>
    </row>
    <row r="18108" spans="1:14" x14ac:dyDescent="0.2">
      <c r="A18108" s="163">
        <v>2026</v>
      </c>
      <c r="B18108" s="163">
        <v>3</v>
      </c>
      <c r="C18108" s="163">
        <v>25</v>
      </c>
      <c r="D18108" s="144">
        <f t="shared" si="2854"/>
        <v>46106</v>
      </c>
      <c r="E18108" s="313">
        <f t="shared" si="2855"/>
        <v>46106</v>
      </c>
      <c r="F18108" s="480"/>
      <c r="G18108" s="221" t="s">
        <v>94</v>
      </c>
      <c r="H18108" s="145"/>
      <c r="I18108" s="145"/>
      <c r="J18108" s="163" t="s">
        <v>79</v>
      </c>
      <c r="K18108" s="219"/>
      <c r="L18108" s="219">
        <v>3904230.95</v>
      </c>
      <c r="M18108" s="264"/>
    </row>
    <row r="18109" spans="1:14" x14ac:dyDescent="0.2">
      <c r="A18109" s="325">
        <v>2026</v>
      </c>
      <c r="B18109" s="325">
        <v>3</v>
      </c>
      <c r="C18109" s="325">
        <v>25</v>
      </c>
      <c r="D18109" s="326">
        <f t="shared" si="2852"/>
        <v>46106</v>
      </c>
      <c r="E18109" s="327">
        <f t="shared" si="2853"/>
        <v>46106</v>
      </c>
      <c r="F18109" s="473" t="s">
        <v>2131</v>
      </c>
      <c r="G18109" s="340" t="s">
        <v>94</v>
      </c>
      <c r="H18109" s="340"/>
      <c r="I18109" s="341" t="s">
        <v>348</v>
      </c>
      <c r="J18109" s="374" t="s">
        <v>2156</v>
      </c>
      <c r="K18109" s="375">
        <v>6185.4395604395604</v>
      </c>
      <c r="L18109" s="375"/>
      <c r="M18109" s="176"/>
    </row>
    <row r="18110" spans="1:14" x14ac:dyDescent="0.2">
      <c r="A18110" s="331">
        <v>2026</v>
      </c>
      <c r="B18110" s="331">
        <v>3</v>
      </c>
      <c r="C18110" s="331">
        <v>25</v>
      </c>
      <c r="D18110" s="468">
        <f t="shared" si="2852"/>
        <v>46106</v>
      </c>
      <c r="E18110" s="469">
        <f t="shared" si="2853"/>
        <v>46106</v>
      </c>
      <c r="F18110" s="474"/>
      <c r="G18110" s="332" t="s">
        <v>94</v>
      </c>
      <c r="H18110" s="332"/>
      <c r="I18110" s="333" t="s">
        <v>348</v>
      </c>
      <c r="J18110" s="376" t="s">
        <v>2154</v>
      </c>
      <c r="K18110" s="334"/>
      <c r="L18110" s="334">
        <f>K18109</f>
        <v>6185.4395604395604</v>
      </c>
    </row>
    <row r="18111" spans="1:14" x14ac:dyDescent="0.2">
      <c r="A18111" s="384">
        <v>2026</v>
      </c>
      <c r="B18111" s="384">
        <v>3</v>
      </c>
      <c r="C18111" s="384">
        <v>25</v>
      </c>
      <c r="D18111" s="385">
        <f t="shared" si="2852"/>
        <v>46106</v>
      </c>
      <c r="E18111" s="386">
        <f t="shared" si="2853"/>
        <v>46106</v>
      </c>
      <c r="F18111" s="475" t="s">
        <v>1966</v>
      </c>
      <c r="G18111" s="387" t="s">
        <v>94</v>
      </c>
      <c r="H18111" s="387"/>
      <c r="I18111" s="388" t="s">
        <v>348</v>
      </c>
      <c r="J18111" s="389" t="s">
        <v>67</v>
      </c>
      <c r="K18111" s="390">
        <v>78.322265694444454</v>
      </c>
      <c r="L18111" s="390"/>
    </row>
    <row r="18112" spans="1:14" x14ac:dyDescent="0.2">
      <c r="A18112" s="391">
        <v>2026</v>
      </c>
      <c r="B18112" s="391">
        <v>3</v>
      </c>
      <c r="C18112" s="391">
        <v>25</v>
      </c>
      <c r="D18112" s="470">
        <f t="shared" si="2852"/>
        <v>46106</v>
      </c>
      <c r="E18112" s="471">
        <f t="shared" si="2853"/>
        <v>46106</v>
      </c>
      <c r="F18112" s="476"/>
      <c r="G18112" s="392" t="s">
        <v>94</v>
      </c>
      <c r="H18112" s="392"/>
      <c r="I18112" s="393" t="s">
        <v>348</v>
      </c>
      <c r="J18112" s="394" t="s">
        <v>2155</v>
      </c>
      <c r="K18112" s="395"/>
      <c r="L18112" s="395">
        <f>K18111</f>
        <v>78.322265694444454</v>
      </c>
    </row>
    <row r="18113" spans="1:13" x14ac:dyDescent="0.2">
      <c r="A18113" s="238">
        <v>2026</v>
      </c>
      <c r="B18113" s="238">
        <v>3</v>
      </c>
      <c r="C18113" s="238">
        <v>25</v>
      </c>
      <c r="D18113" s="270">
        <f t="shared" si="2852"/>
        <v>46106</v>
      </c>
      <c r="E18113" s="279">
        <f t="shared" si="2853"/>
        <v>46106</v>
      </c>
      <c r="F18113" s="477" t="s">
        <v>347</v>
      </c>
      <c r="G18113" s="239" t="s">
        <v>94</v>
      </c>
      <c r="H18113" s="239"/>
      <c r="I18113" s="262" t="s">
        <v>348</v>
      </c>
      <c r="J18113" s="240" t="s">
        <v>108</v>
      </c>
      <c r="K18113" s="241">
        <v>375406.2499999702</v>
      </c>
      <c r="L18113" s="241"/>
      <c r="M18113" s="160"/>
    </row>
    <row r="18114" spans="1:13" x14ac:dyDescent="0.2">
      <c r="A18114" s="242">
        <v>2026</v>
      </c>
      <c r="B18114" s="242">
        <v>3</v>
      </c>
      <c r="C18114" s="242">
        <v>25</v>
      </c>
      <c r="D18114" s="251">
        <f t="shared" si="2852"/>
        <v>46106</v>
      </c>
      <c r="E18114" s="472">
        <f t="shared" si="2853"/>
        <v>46106</v>
      </c>
      <c r="F18114" s="478"/>
      <c r="G18114" s="243" t="s">
        <v>94</v>
      </c>
      <c r="H18114" s="243"/>
      <c r="I18114" s="263" t="s">
        <v>348</v>
      </c>
      <c r="J18114" s="244" t="s">
        <v>82</v>
      </c>
      <c r="K18114" s="245"/>
      <c r="L18114" s="245">
        <f>K18113</f>
        <v>375406.2499999702</v>
      </c>
    </row>
    <row r="18115" spans="1:13" ht="12" customHeight="1" x14ac:dyDescent="0.2">
      <c r="A18115" s="238">
        <v>2026</v>
      </c>
      <c r="B18115" s="238">
        <v>3</v>
      </c>
      <c r="C18115" s="238">
        <v>25</v>
      </c>
      <c r="D18115" s="270">
        <f t="shared" si="2852"/>
        <v>46106</v>
      </c>
      <c r="E18115" s="279">
        <f t="shared" si="2853"/>
        <v>46106</v>
      </c>
      <c r="F18115" s="477" t="s">
        <v>2167</v>
      </c>
      <c r="G18115" s="239" t="s">
        <v>94</v>
      </c>
      <c r="H18115" s="239"/>
      <c r="I18115" s="262" t="s">
        <v>348</v>
      </c>
      <c r="J18115" s="240" t="s">
        <v>95</v>
      </c>
      <c r="K18115" s="241">
        <v>392.46467817896399</v>
      </c>
      <c r="L18115" s="241"/>
      <c r="M18115" s="176"/>
    </row>
    <row r="18116" spans="1:13" x14ac:dyDescent="0.2">
      <c r="A18116" s="242">
        <v>2026</v>
      </c>
      <c r="B18116" s="242">
        <v>3</v>
      </c>
      <c r="C18116" s="242">
        <v>25</v>
      </c>
      <c r="D18116" s="251">
        <f t="shared" si="2852"/>
        <v>46106</v>
      </c>
      <c r="E18116" s="472">
        <f t="shared" si="2853"/>
        <v>46106</v>
      </c>
      <c r="F18116" s="478"/>
      <c r="G18116" s="243" t="s">
        <v>94</v>
      </c>
      <c r="H18116" s="243"/>
      <c r="I18116" s="263" t="s">
        <v>348</v>
      </c>
      <c r="J18116" s="244" t="s">
        <v>63</v>
      </c>
      <c r="K18116" s="245"/>
      <c r="L18116" s="245">
        <f>K18115</f>
        <v>392.46467817896399</v>
      </c>
    </row>
    <row r="18117" spans="1:13" x14ac:dyDescent="0.2">
      <c r="A18117" s="238">
        <v>2026</v>
      </c>
      <c r="B18117" s="238">
        <v>3</v>
      </c>
      <c r="C18117" s="238">
        <v>25</v>
      </c>
      <c r="D18117" s="270">
        <f t="shared" si="2852"/>
        <v>46106</v>
      </c>
      <c r="E18117" s="279">
        <f t="shared" si="2853"/>
        <v>46106</v>
      </c>
      <c r="F18117" s="477" t="s">
        <v>2168</v>
      </c>
      <c r="G18117" s="239" t="s">
        <v>94</v>
      </c>
      <c r="H18117" s="239"/>
      <c r="I18117" s="262" t="s">
        <v>348</v>
      </c>
      <c r="J18117" s="240" t="s">
        <v>97</v>
      </c>
      <c r="K18117" s="241">
        <v>15176.989141806562</v>
      </c>
      <c r="L18117" s="241"/>
    </row>
    <row r="18118" spans="1:13" x14ac:dyDescent="0.2">
      <c r="A18118" s="242">
        <v>2026</v>
      </c>
      <c r="B18118" s="242">
        <v>3</v>
      </c>
      <c r="C18118" s="242">
        <v>25</v>
      </c>
      <c r="D18118" s="251">
        <f t="shared" si="2852"/>
        <v>46106</v>
      </c>
      <c r="E18118" s="472">
        <f t="shared" si="2853"/>
        <v>46106</v>
      </c>
      <c r="F18118" s="478"/>
      <c r="G18118" s="243" t="s">
        <v>94</v>
      </c>
      <c r="H18118" s="243"/>
      <c r="I18118" s="263" t="s">
        <v>348</v>
      </c>
      <c r="J18118" s="244" t="s">
        <v>47</v>
      </c>
      <c r="K18118" s="245"/>
      <c r="L18118" s="245">
        <f>K18117</f>
        <v>15176.989141806562</v>
      </c>
      <c r="M18118" s="170"/>
    </row>
    <row r="18119" spans="1:13" x14ac:dyDescent="0.2">
      <c r="A18119" s="238">
        <v>2026</v>
      </c>
      <c r="B18119" s="238">
        <v>3</v>
      </c>
      <c r="C18119" s="238">
        <v>25</v>
      </c>
      <c r="D18119" s="270">
        <f t="shared" si="2852"/>
        <v>46106</v>
      </c>
      <c r="E18119" s="279">
        <f t="shared" si="2853"/>
        <v>46106</v>
      </c>
      <c r="F18119" s="477" t="s">
        <v>2169</v>
      </c>
      <c r="G18119" s="239" t="s">
        <v>94</v>
      </c>
      <c r="H18119" s="239"/>
      <c r="I18119" s="262" t="s">
        <v>348</v>
      </c>
      <c r="J18119" s="240" t="s">
        <v>100</v>
      </c>
      <c r="K18119" s="241">
        <v>737.07400139516278</v>
      </c>
      <c r="L18119" s="241"/>
      <c r="M18119" s="170"/>
    </row>
    <row r="18120" spans="1:13" x14ac:dyDescent="0.2">
      <c r="A18120" s="242">
        <v>2026</v>
      </c>
      <c r="B18120" s="242">
        <v>3</v>
      </c>
      <c r="C18120" s="242">
        <v>25</v>
      </c>
      <c r="D18120" s="251">
        <f t="shared" si="2852"/>
        <v>46106</v>
      </c>
      <c r="E18120" s="472">
        <f t="shared" si="2853"/>
        <v>46106</v>
      </c>
      <c r="F18120" s="478"/>
      <c r="G18120" s="243" t="s">
        <v>94</v>
      </c>
      <c r="H18120" s="243"/>
      <c r="I18120" s="263" t="s">
        <v>348</v>
      </c>
      <c r="J18120" s="244" t="s">
        <v>48</v>
      </c>
      <c r="K18120" s="245"/>
      <c r="L18120" s="245">
        <f>K18119</f>
        <v>737.07400139516278</v>
      </c>
    </row>
    <row r="18192" spans="13:14" x14ac:dyDescent="0.2">
      <c r="M18192" s="160"/>
      <c r="N18192" s="160"/>
    </row>
    <row r="18193" spans="13:14" x14ac:dyDescent="0.2">
      <c r="N18193" s="160"/>
    </row>
    <row r="18195" spans="13:14" x14ac:dyDescent="0.2">
      <c r="M18195" s="264"/>
      <c r="N18195" s="160"/>
    </row>
    <row r="18196" spans="13:14" x14ac:dyDescent="0.2">
      <c r="M18196" s="264"/>
      <c r="N18196" s="264"/>
    </row>
    <row r="18197" spans="13:14" x14ac:dyDescent="0.2">
      <c r="M18197" s="264"/>
    </row>
  </sheetData>
  <autoFilter ref="A7:L18191" xr:uid="{00000000-0009-0000-0000-000002000000}"/>
  <mergeCells count="7164">
    <mergeCell ref="F18096:F18098"/>
    <mergeCell ref="F18099:F18101"/>
    <mergeCell ref="F18102:F18103"/>
    <mergeCell ref="F18104:F18108"/>
    <mergeCell ref="F18084:F18085"/>
    <mergeCell ref="F18086:F18087"/>
    <mergeCell ref="F18088:F18089"/>
    <mergeCell ref="F18090:F18091"/>
    <mergeCell ref="F18092:F18093"/>
    <mergeCell ref="F18094:F18095"/>
    <mergeCell ref="F18065:F18066"/>
    <mergeCell ref="F18067:F18068"/>
    <mergeCell ref="F18069:F18070"/>
    <mergeCell ref="F18071:F18072"/>
    <mergeCell ref="F18073:F18074"/>
    <mergeCell ref="F18075:F18076"/>
    <mergeCell ref="F18023:F18027"/>
    <mergeCell ref="F18028:F18030"/>
    <mergeCell ref="F18031:F18033"/>
    <mergeCell ref="F18034:F18035"/>
    <mergeCell ref="F18036:F18037"/>
    <mergeCell ref="F18038:F18039"/>
    <mergeCell ref="F18040:F18041"/>
    <mergeCell ref="F18042:F18043"/>
    <mergeCell ref="F18044:F18045"/>
    <mergeCell ref="F18046:F18047"/>
    <mergeCell ref="F18048:F18049"/>
    <mergeCell ref="F18050:F18051"/>
    <mergeCell ref="F18052:F18053"/>
    <mergeCell ref="F18054:F18056"/>
    <mergeCell ref="F18057:F18059"/>
    <mergeCell ref="F18060:F18064"/>
    <mergeCell ref="F18077:F18078"/>
    <mergeCell ref="F18079:F18083"/>
    <mergeCell ref="F18021:F18022"/>
    <mergeCell ref="F18006:F18010"/>
    <mergeCell ref="F17834:F17835"/>
    <mergeCell ref="F17836:F17837"/>
    <mergeCell ref="F17843:F17844"/>
    <mergeCell ref="F17845:F17846"/>
    <mergeCell ref="F17847:F17848"/>
    <mergeCell ref="F17849:F17850"/>
    <mergeCell ref="F17851:F17852"/>
    <mergeCell ref="F17853:F17854"/>
    <mergeCell ref="F17875:F17877"/>
    <mergeCell ref="F17878:F17880"/>
    <mergeCell ref="F17881:F17883"/>
    <mergeCell ref="F17884:F17886"/>
    <mergeCell ref="F17887:F17888"/>
    <mergeCell ref="F17889:F17891"/>
    <mergeCell ref="F17892:F17894"/>
    <mergeCell ref="F17895:F17896"/>
    <mergeCell ref="F17962:F17964"/>
    <mergeCell ref="F17959:F17961"/>
    <mergeCell ref="F17922:F17924"/>
    <mergeCell ref="F17824:F17825"/>
    <mergeCell ref="F17826:F17827"/>
    <mergeCell ref="F17828:F17829"/>
    <mergeCell ref="F17869:F17870"/>
    <mergeCell ref="F17871:F17872"/>
    <mergeCell ref="F17873:F17874"/>
    <mergeCell ref="F17909:F17911"/>
    <mergeCell ref="F17912:F17914"/>
    <mergeCell ref="F17915:F17916"/>
    <mergeCell ref="F17917:F17921"/>
    <mergeCell ref="F17696:F17698"/>
    <mergeCell ref="F17699:F17700"/>
    <mergeCell ref="F17701:F17702"/>
    <mergeCell ref="F17703:F17704"/>
    <mergeCell ref="F17705:F17706"/>
    <mergeCell ref="F17707:F17708"/>
    <mergeCell ref="F17709:F17710"/>
    <mergeCell ref="F17815:F17819"/>
    <mergeCell ref="F17782:F17784"/>
    <mergeCell ref="F17785:F17787"/>
    <mergeCell ref="F17788:F17789"/>
    <mergeCell ref="F17792:F17793"/>
    <mergeCell ref="F17790:F17791"/>
    <mergeCell ref="F17794:F17798"/>
    <mergeCell ref="F17799:F17800"/>
    <mergeCell ref="F17801:F17802"/>
    <mergeCell ref="F17803:F17804"/>
    <mergeCell ref="F17805:F17806"/>
    <mergeCell ref="F17807:F17808"/>
    <mergeCell ref="F17737:F17739"/>
    <mergeCell ref="F17714:F17716"/>
    <mergeCell ref="F17717:F17718"/>
    <mergeCell ref="F17719:F17720"/>
    <mergeCell ref="F17729:F17731"/>
    <mergeCell ref="F17732:F17736"/>
    <mergeCell ref="F17740:F17741"/>
    <mergeCell ref="F17742:F17743"/>
    <mergeCell ref="F17744:F17745"/>
    <mergeCell ref="F17746:F17747"/>
    <mergeCell ref="F17721:F17728"/>
    <mergeCell ref="F17310:F17311"/>
    <mergeCell ref="F17312:F17313"/>
    <mergeCell ref="F17314:F17315"/>
    <mergeCell ref="F17316:F17317"/>
    <mergeCell ref="F17583:F17585"/>
    <mergeCell ref="F17586:F17588"/>
    <mergeCell ref="F17589:F17590"/>
    <mergeCell ref="F17591:F17592"/>
    <mergeCell ref="F17593:F17597"/>
    <mergeCell ref="F17598:F17599"/>
    <mergeCell ref="F17600:F17601"/>
    <mergeCell ref="F17602:F17603"/>
    <mergeCell ref="F17604:F17605"/>
    <mergeCell ref="F17381:F17383"/>
    <mergeCell ref="F17384:F17386"/>
    <mergeCell ref="F17387:F17388"/>
    <mergeCell ref="F17389:F17393"/>
    <mergeCell ref="F17400:F17401"/>
    <mergeCell ref="F17556:F17560"/>
    <mergeCell ref="F17561:F17565"/>
    <mergeCell ref="F17540:F17541"/>
    <mergeCell ref="F17330:F17332"/>
    <mergeCell ref="F17333:F17335"/>
    <mergeCell ref="F17554:F17555"/>
    <mergeCell ref="F17550:F17551"/>
    <mergeCell ref="F17532:F17534"/>
    <mergeCell ref="F17466:F17467"/>
    <mergeCell ref="F17484:F17486"/>
    <mergeCell ref="F17692:F17693"/>
    <mergeCell ref="F17694:F17695"/>
    <mergeCell ref="F17566:F17568"/>
    <mergeCell ref="F17569:F17570"/>
    <mergeCell ref="F17581:F17582"/>
    <mergeCell ref="F17538:F17539"/>
    <mergeCell ref="F17396:F17397"/>
    <mergeCell ref="F17404:F17405"/>
    <mergeCell ref="F17406:F17407"/>
    <mergeCell ref="F17495:F17497"/>
    <mergeCell ref="F17498:F17500"/>
    <mergeCell ref="F17501:F17503"/>
    <mergeCell ref="F17573:F17574"/>
    <mergeCell ref="F17575:F17576"/>
    <mergeCell ref="F17515:F17516"/>
    <mergeCell ref="F17511:F17512"/>
    <mergeCell ref="F17513:F17514"/>
    <mergeCell ref="F17412:F17414"/>
    <mergeCell ref="F17552:F17553"/>
    <mergeCell ref="F17542:F17543"/>
    <mergeCell ref="F17544:F17545"/>
    <mergeCell ref="F17546:F17547"/>
    <mergeCell ref="F17476:F17477"/>
    <mergeCell ref="F17480:F17481"/>
    <mergeCell ref="F17504:F17505"/>
    <mergeCell ref="F17530:F17531"/>
    <mergeCell ref="F17470:F17471"/>
    <mergeCell ref="F17286:F17287"/>
    <mergeCell ref="F17284:F17285"/>
    <mergeCell ref="F17298:F17299"/>
    <mergeCell ref="F17253:F17254"/>
    <mergeCell ref="F17357:F17358"/>
    <mergeCell ref="F17233:F17234"/>
    <mergeCell ref="F17246:F17250"/>
    <mergeCell ref="F17251:F17252"/>
    <mergeCell ref="F17308:F17309"/>
    <mergeCell ref="F17353:F17354"/>
    <mergeCell ref="F17355:F17356"/>
    <mergeCell ref="F17359:F17361"/>
    <mergeCell ref="F17362:F17364"/>
    <mergeCell ref="F17303:F17307"/>
    <mergeCell ref="F17336:F17337"/>
    <mergeCell ref="F17338:F17339"/>
    <mergeCell ref="F17318:F17319"/>
    <mergeCell ref="F17320:F17321"/>
    <mergeCell ref="F17235:F17236"/>
    <mergeCell ref="F17548:F17549"/>
    <mergeCell ref="F17322:F17323"/>
    <mergeCell ref="F17237:F17238"/>
    <mergeCell ref="F16937:F16938"/>
    <mergeCell ref="F16939:F16940"/>
    <mergeCell ref="F16952:F16956"/>
    <mergeCell ref="F16960:F16961"/>
    <mergeCell ref="F17105:F17106"/>
    <mergeCell ref="F17107:F17108"/>
    <mergeCell ref="F16946:F16947"/>
    <mergeCell ref="F17109:F17110"/>
    <mergeCell ref="F17117:F17118"/>
    <mergeCell ref="F17174:F17176"/>
    <mergeCell ref="F17177:F17178"/>
    <mergeCell ref="F17183:F17187"/>
    <mergeCell ref="F17169:F17170"/>
    <mergeCell ref="F17171:F17173"/>
    <mergeCell ref="F17179:F17180"/>
    <mergeCell ref="F17181:F17182"/>
    <mergeCell ref="F17201:F17202"/>
    <mergeCell ref="F17203:F17204"/>
    <mergeCell ref="F17216:F17220"/>
    <mergeCell ref="F17207:F17208"/>
    <mergeCell ref="F17209:F17210"/>
    <mergeCell ref="F16972:F16973"/>
    <mergeCell ref="F17028:F17029"/>
    <mergeCell ref="F17030:F17031"/>
    <mergeCell ref="F17036:F17037"/>
    <mergeCell ref="F17012:F17016"/>
    <mergeCell ref="F17005:F17006"/>
    <mergeCell ref="F17022:F17023"/>
    <mergeCell ref="F17007:F17008"/>
    <mergeCell ref="F17137:F17138"/>
    <mergeCell ref="F17139:F17140"/>
    <mergeCell ref="F17103:F17104"/>
    <mergeCell ref="F16968:F16969"/>
    <mergeCell ref="F16970:F16971"/>
    <mergeCell ref="F16919:F16921"/>
    <mergeCell ref="F16931:F16932"/>
    <mergeCell ref="F16933:F16934"/>
    <mergeCell ref="F17129:F17130"/>
    <mergeCell ref="F17131:F17132"/>
    <mergeCell ref="F17086:F17087"/>
    <mergeCell ref="F17126:F17128"/>
    <mergeCell ref="F17121:F17125"/>
    <mergeCell ref="F17088:F17092"/>
    <mergeCell ref="F17076:F17077"/>
    <mergeCell ref="F17078:F17079"/>
    <mergeCell ref="F17082:F17083"/>
    <mergeCell ref="F17050:F17051"/>
    <mergeCell ref="F17052:F17053"/>
    <mergeCell ref="F17084:F17085"/>
    <mergeCell ref="F17115:F17116"/>
    <mergeCell ref="F17009:F17011"/>
    <mergeCell ref="F17043:F17044"/>
    <mergeCell ref="F17045:F17047"/>
    <mergeCell ref="F17093:F17094"/>
    <mergeCell ref="F17095:F17097"/>
    <mergeCell ref="F17098:F17099"/>
    <mergeCell ref="F17064:F17066"/>
    <mergeCell ref="F17020:F17021"/>
    <mergeCell ref="F17119:F17120"/>
    <mergeCell ref="F16999:F17000"/>
    <mergeCell ref="F17017:F17019"/>
    <mergeCell ref="F16884:F16885"/>
    <mergeCell ref="F16997:F16998"/>
    <mergeCell ref="F16991:F16992"/>
    <mergeCell ref="F17001:F17002"/>
    <mergeCell ref="F17003:F17004"/>
    <mergeCell ref="F16974:F16982"/>
    <mergeCell ref="F16993:F16994"/>
    <mergeCell ref="F16995:F16996"/>
    <mergeCell ref="F17080:F17081"/>
    <mergeCell ref="F17048:F17049"/>
    <mergeCell ref="F17026:F17027"/>
    <mergeCell ref="F16983:F16987"/>
    <mergeCell ref="F16988:F16990"/>
    <mergeCell ref="F17135:F17136"/>
    <mergeCell ref="F17032:F17033"/>
    <mergeCell ref="F17038:F17042"/>
    <mergeCell ref="F17111:F17112"/>
    <mergeCell ref="F17113:F17114"/>
    <mergeCell ref="F17034:F17035"/>
    <mergeCell ref="F17024:F17025"/>
    <mergeCell ref="F17100:F17102"/>
    <mergeCell ref="F16964:F16965"/>
    <mergeCell ref="F16966:F16967"/>
    <mergeCell ref="F16957:F16959"/>
    <mergeCell ref="F16962:F16963"/>
    <mergeCell ref="F16844:F16848"/>
    <mergeCell ref="F16941:F16943"/>
    <mergeCell ref="F16922:F16926"/>
    <mergeCell ref="F16927:F16928"/>
    <mergeCell ref="F16929:F16930"/>
    <mergeCell ref="F16950:F16951"/>
    <mergeCell ref="F16900:F16904"/>
    <mergeCell ref="F16905:F16906"/>
    <mergeCell ref="F16907:F16908"/>
    <mergeCell ref="F16909:F16910"/>
    <mergeCell ref="F16911:F16912"/>
    <mergeCell ref="F16913:F16914"/>
    <mergeCell ref="F16915:F16916"/>
    <mergeCell ref="F16917:F16918"/>
    <mergeCell ref="F16863:F16865"/>
    <mergeCell ref="F16897:F16899"/>
    <mergeCell ref="F16935:F16936"/>
    <mergeCell ref="F16859:F16860"/>
    <mergeCell ref="F16861:F16862"/>
    <mergeCell ref="F16886:F16887"/>
    <mergeCell ref="F16888:F16889"/>
    <mergeCell ref="F16948:F16949"/>
    <mergeCell ref="F16890:F16891"/>
    <mergeCell ref="F16892:F16893"/>
    <mergeCell ref="F16894:F16896"/>
    <mergeCell ref="F16944:F16945"/>
    <mergeCell ref="F16866:F16868"/>
    <mergeCell ref="F16869:F16870"/>
    <mergeCell ref="F16871:F16875"/>
    <mergeCell ref="F16876:F16877"/>
    <mergeCell ref="F16880:F16881"/>
    <mergeCell ref="F16882:F16883"/>
    <mergeCell ref="F16486:F16487"/>
    <mergeCell ref="F16488:F16489"/>
    <mergeCell ref="F16508:F16509"/>
    <mergeCell ref="F16571:F16572"/>
    <mergeCell ref="F16573:F16575"/>
    <mergeCell ref="F16576:F16580"/>
    <mergeCell ref="F16624:F16625"/>
    <mergeCell ref="F16626:F16627"/>
    <mergeCell ref="F16634:F16635"/>
    <mergeCell ref="F16586:F16587"/>
    <mergeCell ref="F16622:F16623"/>
    <mergeCell ref="F16613:F16614"/>
    <mergeCell ref="F16615:F16616"/>
    <mergeCell ref="F16461:F16462"/>
    <mergeCell ref="F16433:F16434"/>
    <mergeCell ref="F16435:F16436"/>
    <mergeCell ref="F16557:F16558"/>
    <mergeCell ref="F16559:F16560"/>
    <mergeCell ref="F16561:F16562"/>
    <mergeCell ref="F16563:F16564"/>
    <mergeCell ref="F16565:F16566"/>
    <mergeCell ref="F16567:F16568"/>
    <mergeCell ref="F16569:F16570"/>
    <mergeCell ref="F16583:F16585"/>
    <mergeCell ref="F16610:F16612"/>
    <mergeCell ref="F16480:F16481"/>
    <mergeCell ref="F16555:F16556"/>
    <mergeCell ref="F16605:F16606"/>
    <mergeCell ref="F16607:F16609"/>
    <mergeCell ref="F16842:F16843"/>
    <mergeCell ref="F16638:F16639"/>
    <mergeCell ref="F16648:F16649"/>
    <mergeCell ref="F16650:F16651"/>
    <mergeCell ref="F16588:F16590"/>
    <mergeCell ref="F16591:F16592"/>
    <mergeCell ref="F16467:F16468"/>
    <mergeCell ref="F16510:F16511"/>
    <mergeCell ref="F16512:F16513"/>
    <mergeCell ref="F16581:F16582"/>
    <mergeCell ref="F16531:F16532"/>
    <mergeCell ref="F16646:F16647"/>
    <mergeCell ref="F16642:F16643"/>
    <mergeCell ref="F16644:F16645"/>
    <mergeCell ref="F16477:F16479"/>
    <mergeCell ref="F16496:F16498"/>
    <mergeCell ref="F16504:F16505"/>
    <mergeCell ref="F16506:F16507"/>
    <mergeCell ref="F16469:F16471"/>
    <mergeCell ref="F16482:F16483"/>
    <mergeCell ref="F16484:F16485"/>
    <mergeCell ref="F16598:F16599"/>
    <mergeCell ref="F16526:F16530"/>
    <mergeCell ref="F16628:F16629"/>
    <mergeCell ref="F16630:F16631"/>
    <mergeCell ref="F16632:F16633"/>
    <mergeCell ref="F16553:F16554"/>
    <mergeCell ref="F16617:F16619"/>
    <mergeCell ref="F16620:F16621"/>
    <mergeCell ref="F16831:F16832"/>
    <mergeCell ref="F16833:F16834"/>
    <mergeCell ref="F16835:F16836"/>
    <mergeCell ref="F16386:F16387"/>
    <mergeCell ref="F16324:F16325"/>
    <mergeCell ref="F16326:F16327"/>
    <mergeCell ref="F16328:F16329"/>
    <mergeCell ref="F16376:F16377"/>
    <mergeCell ref="F16378:F16379"/>
    <mergeCell ref="F16345:F16346"/>
    <mergeCell ref="F16266:F16267"/>
    <mergeCell ref="F16390:F16391"/>
    <mergeCell ref="F16400:F16401"/>
    <mergeCell ref="F16367:F16370"/>
    <mergeCell ref="F16453:F16454"/>
    <mergeCell ref="F16455:F16456"/>
    <mergeCell ref="F16330:F16331"/>
    <mergeCell ref="F16355:F16357"/>
    <mergeCell ref="F16421:F16422"/>
    <mergeCell ref="F16423:F16424"/>
    <mergeCell ref="F16347:F16348"/>
    <mergeCell ref="F16349:F16350"/>
    <mergeCell ref="F16268:F16269"/>
    <mergeCell ref="F16270:F16271"/>
    <mergeCell ref="F16272:F16273"/>
    <mergeCell ref="F16285:F16286"/>
    <mergeCell ref="F16287:F16288"/>
    <mergeCell ref="F16289:F16290"/>
    <mergeCell ref="F16388:F16389"/>
    <mergeCell ref="F16415:F16416"/>
    <mergeCell ref="F16392:F16393"/>
    <mergeCell ref="F16417:F16418"/>
    <mergeCell ref="F16419:F16420"/>
    <mergeCell ref="F16451:F16452"/>
    <mergeCell ref="F16402:F16403"/>
    <mergeCell ref="F16157:F16158"/>
    <mergeCell ref="F16159:F16160"/>
    <mergeCell ref="F16154:F16156"/>
    <mergeCell ref="F16161:F16162"/>
    <mergeCell ref="F16131:F16133"/>
    <mergeCell ref="F16163:F16167"/>
    <mergeCell ref="F16142:F16143"/>
    <mergeCell ref="F16144:F16145"/>
    <mergeCell ref="F16146:F16147"/>
    <mergeCell ref="F16148:F16149"/>
    <mergeCell ref="F16150:F16151"/>
    <mergeCell ref="F16152:F16153"/>
    <mergeCell ref="F16316:F16317"/>
    <mergeCell ref="F16514:F16515"/>
    <mergeCell ref="F16548:F16552"/>
    <mergeCell ref="F16516:F16517"/>
    <mergeCell ref="F16210:F16211"/>
    <mergeCell ref="F16212:F16213"/>
    <mergeCell ref="F16371:F16372"/>
    <mergeCell ref="F16353:F16354"/>
    <mergeCell ref="F16293:F16294"/>
    <mergeCell ref="F16295:F16296"/>
    <mergeCell ref="F16252:F16253"/>
    <mergeCell ref="F16291:F16292"/>
    <mergeCell ref="F16258:F16259"/>
    <mergeCell ref="F16260:F16261"/>
    <mergeCell ref="F16297:F16298"/>
    <mergeCell ref="F16299:F16300"/>
    <mergeCell ref="F16229:F16230"/>
    <mergeCell ref="F16237:F16238"/>
    <mergeCell ref="F16239:F16240"/>
    <mergeCell ref="F16351:F16352"/>
    <mergeCell ref="F16373:F16375"/>
    <mergeCell ref="F16445:F16447"/>
    <mergeCell ref="F16397:F16399"/>
    <mergeCell ref="F16394:F16396"/>
    <mergeCell ref="F16365:F16366"/>
    <mergeCell ref="F16463:F16464"/>
    <mergeCell ref="F16358:F16359"/>
    <mergeCell ref="F16360:F16364"/>
    <mergeCell ref="F16431:F16432"/>
    <mergeCell ref="F16425:F16426"/>
    <mergeCell ref="F16404:F16408"/>
    <mergeCell ref="F16411:F16412"/>
    <mergeCell ref="F16413:F16414"/>
    <mergeCell ref="F16320:F16321"/>
    <mergeCell ref="F16322:F16323"/>
    <mergeCell ref="F15748:F15749"/>
    <mergeCell ref="F15752:F15753"/>
    <mergeCell ref="F16124:F16125"/>
    <mergeCell ref="F16120:F16121"/>
    <mergeCell ref="F16126:F16127"/>
    <mergeCell ref="F16117:F16119"/>
    <mergeCell ref="F16082:F16084"/>
    <mergeCell ref="F16085:F16086"/>
    <mergeCell ref="F16122:F16123"/>
    <mergeCell ref="F16087:F16088"/>
    <mergeCell ref="F15939:F15943"/>
    <mergeCell ref="F15869:F15871"/>
    <mergeCell ref="F15872:F15874"/>
    <mergeCell ref="F15879:F15880"/>
    <mergeCell ref="F15881:F15882"/>
    <mergeCell ref="F15877:F15878"/>
    <mergeCell ref="F15834:F15836"/>
    <mergeCell ref="F15837:F15839"/>
    <mergeCell ref="F15754:F15755"/>
    <mergeCell ref="F15756:F15757"/>
    <mergeCell ref="F15805:F15806"/>
    <mergeCell ref="F15809:F15810"/>
    <mergeCell ref="F15807:F15808"/>
    <mergeCell ref="F15811:F15812"/>
    <mergeCell ref="F15813:F15815"/>
    <mergeCell ref="F15816:F15817"/>
    <mergeCell ref="F15798:F15800"/>
    <mergeCell ref="F15801:F15802"/>
    <mergeCell ref="F15803:F15804"/>
    <mergeCell ref="F15854:F15855"/>
    <mergeCell ref="F15860:F15861"/>
    <mergeCell ref="F15858:F15859"/>
    <mergeCell ref="F15779:F15780"/>
    <mergeCell ref="F15781:F15782"/>
    <mergeCell ref="F15783:F15784"/>
    <mergeCell ref="F15768:F15769"/>
    <mergeCell ref="F15785:F15789"/>
    <mergeCell ref="F15790:F15794"/>
    <mergeCell ref="F15795:F15797"/>
    <mergeCell ref="F15770:F15774"/>
    <mergeCell ref="F15821:F15823"/>
    <mergeCell ref="F15852:F15853"/>
    <mergeCell ref="F15840:F15841"/>
    <mergeCell ref="F15818:F15820"/>
    <mergeCell ref="F15830:F15831"/>
    <mergeCell ref="F15832:F15833"/>
    <mergeCell ref="F15824:F15826"/>
    <mergeCell ref="F15827:F15829"/>
    <mergeCell ref="F15775:F15776"/>
    <mergeCell ref="F15777:F15778"/>
    <mergeCell ref="F15232:F15233"/>
    <mergeCell ref="F15234:F15235"/>
    <mergeCell ref="F15482:F15483"/>
    <mergeCell ref="F15292:F15293"/>
    <mergeCell ref="F15294:F15295"/>
    <mergeCell ref="F15744:F15745"/>
    <mergeCell ref="F15424:F15425"/>
    <mergeCell ref="F15393:F15394"/>
    <mergeCell ref="F15716:F15717"/>
    <mergeCell ref="F15718:F15722"/>
    <mergeCell ref="F15740:F15741"/>
    <mergeCell ref="F15448:F15449"/>
    <mergeCell ref="F15432:F15436"/>
    <mergeCell ref="F15443:F15447"/>
    <mergeCell ref="F15450:F15454"/>
    <mergeCell ref="F15495:F15499"/>
    <mergeCell ref="F15416:F15417"/>
    <mergeCell ref="F15458:F15459"/>
    <mergeCell ref="F15300:F15301"/>
    <mergeCell ref="F15336:F15337"/>
    <mergeCell ref="F15244:F15248"/>
    <mergeCell ref="F15327:F15329"/>
    <mergeCell ref="F15330:F15331"/>
    <mergeCell ref="F15332:F15335"/>
    <mergeCell ref="F15252:F15256"/>
    <mergeCell ref="F15257:F15258"/>
    <mergeCell ref="F15545:F15546"/>
    <mergeCell ref="F15547:F15548"/>
    <mergeCell ref="F15350:F15351"/>
    <mergeCell ref="F15352:F15353"/>
    <mergeCell ref="F15318:F15319"/>
    <mergeCell ref="F15742:F15743"/>
    <mergeCell ref="F15488:F15489"/>
    <mergeCell ref="F15490:F15491"/>
    <mergeCell ref="F15492:F15494"/>
    <mergeCell ref="F15072:F15073"/>
    <mergeCell ref="F15074:F15075"/>
    <mergeCell ref="F15076:F15077"/>
    <mergeCell ref="F15078:F15079"/>
    <mergeCell ref="F15367:F15369"/>
    <mergeCell ref="F15370:F15372"/>
    <mergeCell ref="F15380:F15382"/>
    <mergeCell ref="F15373:F15374"/>
    <mergeCell ref="F15383:F15384"/>
    <mergeCell ref="F15375:F15379"/>
    <mergeCell ref="F15385:F15389"/>
    <mergeCell ref="F15357:F15358"/>
    <mergeCell ref="F15359:F15360"/>
    <mergeCell ref="F15084:F15085"/>
    <mergeCell ref="F15320:F15322"/>
    <mergeCell ref="F15338:F15339"/>
    <mergeCell ref="F15340:F15341"/>
    <mergeCell ref="F15342:F15343"/>
    <mergeCell ref="F15308:F15309"/>
    <mergeCell ref="F15310:F15314"/>
    <mergeCell ref="F15222:F15223"/>
    <mergeCell ref="F15344:F15345"/>
    <mergeCell ref="F15364:F15366"/>
    <mergeCell ref="F15154:F15155"/>
    <mergeCell ref="F15361:F15363"/>
    <mergeCell ref="F15302:F15303"/>
    <mergeCell ref="F15348:F15349"/>
    <mergeCell ref="F15249:F15251"/>
    <mergeCell ref="F15105:F15107"/>
    <mergeCell ref="F15108:F15112"/>
    <mergeCell ref="F15285:F15289"/>
    <mergeCell ref="F15144:F15146"/>
    <mergeCell ref="F15186:F15190"/>
    <mergeCell ref="F15130:F15131"/>
    <mergeCell ref="F15418:F15419"/>
    <mergeCell ref="F15306:F15307"/>
    <mergeCell ref="F15390:F15392"/>
    <mergeCell ref="F15346:F15347"/>
    <mergeCell ref="F15156:F15157"/>
    <mergeCell ref="F15158:F15159"/>
    <mergeCell ref="F15160:F15161"/>
    <mergeCell ref="F15162:F15163"/>
    <mergeCell ref="F15224:F15225"/>
    <mergeCell ref="F15226:F15227"/>
    <mergeCell ref="F15270:F15272"/>
    <mergeCell ref="F15259:F15263"/>
    <mergeCell ref="F15395:F15396"/>
    <mergeCell ref="F15304:F15305"/>
    <mergeCell ref="F15296:F15297"/>
    <mergeCell ref="F15298:F15299"/>
    <mergeCell ref="F15230:F15231"/>
    <mergeCell ref="F15414:F15415"/>
    <mergeCell ref="F15172:F15173"/>
    <mergeCell ref="F15220:F15221"/>
    <mergeCell ref="F15273:F15274"/>
    <mergeCell ref="F15275:F15276"/>
    <mergeCell ref="F15277:F15279"/>
    <mergeCell ref="F15280:F15282"/>
    <mergeCell ref="F15283:F15284"/>
    <mergeCell ref="F15315:F15317"/>
    <mergeCell ref="F15323:F15324"/>
    <mergeCell ref="F15325:F15326"/>
    <mergeCell ref="F14639:F14641"/>
    <mergeCell ref="F14652:F14653"/>
    <mergeCell ref="F14675:F14676"/>
    <mergeCell ref="F14818:F14820"/>
    <mergeCell ref="F14846:F14847"/>
    <mergeCell ref="F14881:F14885"/>
    <mergeCell ref="F14886:F14888"/>
    <mergeCell ref="F14835:F14837"/>
    <mergeCell ref="F14916:F14918"/>
    <mergeCell ref="F14879:F14880"/>
    <mergeCell ref="F14894:F14895"/>
    <mergeCell ref="F14702:F14704"/>
    <mergeCell ref="F15149:F15151"/>
    <mergeCell ref="F15214:F15215"/>
    <mergeCell ref="F15216:F15217"/>
    <mergeCell ref="F15236:F15238"/>
    <mergeCell ref="F15239:F15243"/>
    <mergeCell ref="F15036:F15038"/>
    <mergeCell ref="F14843:F14845"/>
    <mergeCell ref="F14753:F14755"/>
    <mergeCell ref="F14792:F14794"/>
    <mergeCell ref="F14795:F14797"/>
    <mergeCell ref="F15127:F15129"/>
    <mergeCell ref="F15211:F15213"/>
    <mergeCell ref="F15218:F15219"/>
    <mergeCell ref="F15199:F15200"/>
    <mergeCell ref="F15201:F15205"/>
    <mergeCell ref="F15147:F15148"/>
    <mergeCell ref="F15061:F15062"/>
    <mergeCell ref="F15063:F15064"/>
    <mergeCell ref="F15152:F15153"/>
    <mergeCell ref="F14989:F14990"/>
    <mergeCell ref="F14952:F14954"/>
    <mergeCell ref="F14932:F14933"/>
    <mergeCell ref="F14914:F14915"/>
    <mergeCell ref="F14975:F14979"/>
    <mergeCell ref="F14980:F14982"/>
    <mergeCell ref="F14963:F14964"/>
    <mergeCell ref="F14965:F14966"/>
    <mergeCell ref="F14986:F14988"/>
    <mergeCell ref="F14939:F14941"/>
    <mergeCell ref="F14947:F14951"/>
    <mergeCell ref="F14983:F14985"/>
    <mergeCell ref="F14858:F14859"/>
    <mergeCell ref="F14860:F14861"/>
    <mergeCell ref="F14838:F14839"/>
    <mergeCell ref="F14896:F14900"/>
    <mergeCell ref="F15013:F15014"/>
    <mergeCell ref="F14925:F14927"/>
    <mergeCell ref="F14877:F14878"/>
    <mergeCell ref="F15015:F15016"/>
    <mergeCell ref="F15097:F15101"/>
    <mergeCell ref="F15102:F15104"/>
    <mergeCell ref="F15007:F15008"/>
    <mergeCell ref="F14991:F14992"/>
    <mergeCell ref="F15093:F15094"/>
    <mergeCell ref="F15095:F15096"/>
    <mergeCell ref="F15050:F15052"/>
    <mergeCell ref="F15056:F15058"/>
    <mergeCell ref="F15080:F15081"/>
    <mergeCell ref="F15069:F15071"/>
    <mergeCell ref="F15090:F15092"/>
    <mergeCell ref="F14833:F14834"/>
    <mergeCell ref="F14892:F14893"/>
    <mergeCell ref="F14856:F14857"/>
    <mergeCell ref="F14854:F14855"/>
    <mergeCell ref="F14840:F14842"/>
    <mergeCell ref="F14928:F14929"/>
    <mergeCell ref="F14967:F14968"/>
    <mergeCell ref="F14969:F14970"/>
    <mergeCell ref="F14848:F14849"/>
    <mergeCell ref="F14850:F14851"/>
    <mergeCell ref="F14852:F14853"/>
    <mergeCell ref="F14957:F14958"/>
    <mergeCell ref="F14959:F14960"/>
    <mergeCell ref="F14961:F14962"/>
    <mergeCell ref="F14971:F14972"/>
    <mergeCell ref="F14973:F14974"/>
    <mergeCell ref="F14716:F14717"/>
    <mergeCell ref="F14729:F14731"/>
    <mergeCell ref="F14732:F14733"/>
    <mergeCell ref="F14741:F14742"/>
    <mergeCell ref="F14779:F14781"/>
    <mergeCell ref="F14782:F14784"/>
    <mergeCell ref="F14804:F14806"/>
    <mergeCell ref="F14743:F14744"/>
    <mergeCell ref="F14776:F14778"/>
    <mergeCell ref="F14734:F14735"/>
    <mergeCell ref="F14785:F14786"/>
    <mergeCell ref="F14807:F14808"/>
    <mergeCell ref="F14770:F14771"/>
    <mergeCell ref="F14750:F14752"/>
    <mergeCell ref="F14764:F14765"/>
    <mergeCell ref="F14766:F14767"/>
    <mergeCell ref="F14768:F14769"/>
    <mergeCell ref="F14758:F14759"/>
    <mergeCell ref="F14760:F14761"/>
    <mergeCell ref="F14955:F14956"/>
    <mergeCell ref="F14910:F14911"/>
    <mergeCell ref="F14912:F14913"/>
    <mergeCell ref="F14828:F14830"/>
    <mergeCell ref="F14453:F14455"/>
    <mergeCell ref="F14811:F14812"/>
    <mergeCell ref="F14789:F14791"/>
    <mergeCell ref="F14798:F14800"/>
    <mergeCell ref="F14801:F14803"/>
    <mergeCell ref="F14813:F14817"/>
    <mergeCell ref="F14821:F14823"/>
    <mergeCell ref="F14831:F14832"/>
    <mergeCell ref="F14774:F14775"/>
    <mergeCell ref="F14488:F14489"/>
    <mergeCell ref="F14473:F14474"/>
    <mergeCell ref="F14824:F14825"/>
    <mergeCell ref="F14772:F14773"/>
    <mergeCell ref="F14705:F14709"/>
    <mergeCell ref="F14592:F14594"/>
    <mergeCell ref="F14595:F14597"/>
    <mergeCell ref="F14555:F14556"/>
    <mergeCell ref="F14748:F14749"/>
    <mergeCell ref="F14565:F14567"/>
    <mergeCell ref="F14598:F14600"/>
    <mergeCell ref="F14573:F14574"/>
    <mergeCell ref="F14575:F14576"/>
    <mergeCell ref="F14577:F14578"/>
    <mergeCell ref="F14579:F14580"/>
    <mergeCell ref="F14581:F14582"/>
    <mergeCell ref="F14681:F14682"/>
    <mergeCell ref="F14683:F14684"/>
    <mergeCell ref="F14685:F14686"/>
    <mergeCell ref="F14713:F14715"/>
    <mergeCell ref="F14192:F14193"/>
    <mergeCell ref="F14227:F14228"/>
    <mergeCell ref="F14247:F14251"/>
    <mergeCell ref="F14385:F14386"/>
    <mergeCell ref="F14481:F14485"/>
    <mergeCell ref="F14486:F14487"/>
    <mergeCell ref="F14461:F14462"/>
    <mergeCell ref="F14463:F14464"/>
    <mergeCell ref="F14475:F14476"/>
    <mergeCell ref="F14477:F14478"/>
    <mergeCell ref="F14430:F14434"/>
    <mergeCell ref="F14399:F14401"/>
    <mergeCell ref="F14402:F14406"/>
    <mergeCell ref="F14426:F14429"/>
    <mergeCell ref="F14456:F14460"/>
    <mergeCell ref="F14467:F14468"/>
    <mergeCell ref="F14469:F14470"/>
    <mergeCell ref="F14471:F14472"/>
    <mergeCell ref="F14450:F14452"/>
    <mergeCell ref="F14407:F14408"/>
    <mergeCell ref="F14413:F14414"/>
    <mergeCell ref="F14415:F14416"/>
    <mergeCell ref="F14417:F14421"/>
    <mergeCell ref="F14438:F14439"/>
    <mergeCell ref="F14387:F14391"/>
    <mergeCell ref="F14440:F14441"/>
    <mergeCell ref="F14442:F14444"/>
    <mergeCell ref="F14422:F14423"/>
    <mergeCell ref="F14445:F14446"/>
    <mergeCell ref="F14424:F14425"/>
    <mergeCell ref="F14392:F14394"/>
    <mergeCell ref="F14435:F14437"/>
    <mergeCell ref="F14167:F14168"/>
    <mergeCell ref="F14169:F14170"/>
    <mergeCell ref="F14171:F14172"/>
    <mergeCell ref="F14204:F14205"/>
    <mergeCell ref="F14173:F14174"/>
    <mergeCell ref="F14194:F14195"/>
    <mergeCell ref="F14367:F14368"/>
    <mergeCell ref="F14310:F14314"/>
    <mergeCell ref="F14322:F14326"/>
    <mergeCell ref="F14327:F14331"/>
    <mergeCell ref="F14332:F14334"/>
    <mergeCell ref="F14315:F14316"/>
    <mergeCell ref="F14335:F14336"/>
    <mergeCell ref="F14260:F14261"/>
    <mergeCell ref="F14281:F14282"/>
    <mergeCell ref="F14283:F14284"/>
    <mergeCell ref="F14285:F14286"/>
    <mergeCell ref="F14337:F14338"/>
    <mergeCell ref="F14175:F14179"/>
    <mergeCell ref="F14206:F14207"/>
    <mergeCell ref="F14208:F14210"/>
    <mergeCell ref="F14211:F14212"/>
    <mergeCell ref="F14222:F14224"/>
    <mergeCell ref="F14225:F14226"/>
    <mergeCell ref="F14319:F14321"/>
    <mergeCell ref="F14243:F14244"/>
    <mergeCell ref="F14245:F14246"/>
    <mergeCell ref="F14305:F14309"/>
    <mergeCell ref="F14199:F14203"/>
    <mergeCell ref="F14190:F14191"/>
    <mergeCell ref="F14186:F14187"/>
    <mergeCell ref="F14188:F14189"/>
    <mergeCell ref="F14252:F14256"/>
    <mergeCell ref="F14257:F14259"/>
    <mergeCell ref="F14266:F14270"/>
    <mergeCell ref="F14271:F14275"/>
    <mergeCell ref="F14276:F14280"/>
    <mergeCell ref="F14229:F14230"/>
    <mergeCell ref="F14231:F14232"/>
    <mergeCell ref="F14233:F14234"/>
    <mergeCell ref="F14235:F14236"/>
    <mergeCell ref="F14237:F14238"/>
    <mergeCell ref="F14239:F14240"/>
    <mergeCell ref="F14264:F14265"/>
    <mergeCell ref="F14241:F14242"/>
    <mergeCell ref="F14122:F14126"/>
    <mergeCell ref="F14127:F14130"/>
    <mergeCell ref="F14196:F14198"/>
    <mergeCell ref="F14156:F14160"/>
    <mergeCell ref="F14131:F14132"/>
    <mergeCell ref="F14133:F14134"/>
    <mergeCell ref="F14137:F14138"/>
    <mergeCell ref="F14139:F14140"/>
    <mergeCell ref="F14141:F14142"/>
    <mergeCell ref="F14143:F14144"/>
    <mergeCell ref="F14145:F14146"/>
    <mergeCell ref="F14147:F14148"/>
    <mergeCell ref="F14149:F14150"/>
    <mergeCell ref="F14135:F14136"/>
    <mergeCell ref="F14151:F14155"/>
    <mergeCell ref="F14161:F14163"/>
    <mergeCell ref="F14164:F14166"/>
    <mergeCell ref="F14180:F14182"/>
    <mergeCell ref="F14183:F14185"/>
    <mergeCell ref="F14339:F14340"/>
    <mergeCell ref="F14341:F14342"/>
    <mergeCell ref="F14317:F14318"/>
    <mergeCell ref="F14352:F14356"/>
    <mergeCell ref="F14362:F14364"/>
    <mergeCell ref="F14357:F14361"/>
    <mergeCell ref="F14346:F14347"/>
    <mergeCell ref="F14348:F14349"/>
    <mergeCell ref="F14350:F14351"/>
    <mergeCell ref="F14365:F14366"/>
    <mergeCell ref="F14213:F14217"/>
    <mergeCell ref="F14218:F14221"/>
    <mergeCell ref="F14064:F14065"/>
    <mergeCell ref="F14102:F14103"/>
    <mergeCell ref="F14071:F14073"/>
    <mergeCell ref="F14069:F14070"/>
    <mergeCell ref="F14098:F14099"/>
    <mergeCell ref="F14074:F14076"/>
    <mergeCell ref="F14100:F14101"/>
    <mergeCell ref="F14066:F14068"/>
    <mergeCell ref="F14104:F14106"/>
    <mergeCell ref="F14107:F14108"/>
    <mergeCell ref="F14115:F14116"/>
    <mergeCell ref="F14117:F14118"/>
    <mergeCell ref="F14077:F14078"/>
    <mergeCell ref="F14112:F14114"/>
    <mergeCell ref="F14109:F14111"/>
    <mergeCell ref="F14119:F14121"/>
    <mergeCell ref="F14094:F14095"/>
    <mergeCell ref="F14079:F14081"/>
    <mergeCell ref="F14082:F14083"/>
    <mergeCell ref="F14084:F14085"/>
    <mergeCell ref="F14089:F14090"/>
    <mergeCell ref="F14091:F14093"/>
    <mergeCell ref="F14096:F14097"/>
    <mergeCell ref="F14061:F14063"/>
    <mergeCell ref="F14048:F14052"/>
    <mergeCell ref="F14053:F14056"/>
    <mergeCell ref="F13219:F13220"/>
    <mergeCell ref="F13285:F13287"/>
    <mergeCell ref="F13288:F13289"/>
    <mergeCell ref="F13442:F13445"/>
    <mergeCell ref="F13879:F13880"/>
    <mergeCell ref="F13876:F13878"/>
    <mergeCell ref="F13897:F13899"/>
    <mergeCell ref="F13900:F13902"/>
    <mergeCell ref="F13908:F13910"/>
    <mergeCell ref="F13937:F13939"/>
    <mergeCell ref="F13962:F13964"/>
    <mergeCell ref="F13971:F13973"/>
    <mergeCell ref="F13968:F13970"/>
    <mergeCell ref="F13974:F13976"/>
    <mergeCell ref="F13965:F13967"/>
    <mergeCell ref="F13276:F13277"/>
    <mergeCell ref="F13622:F13623"/>
    <mergeCell ref="F13624:F13625"/>
    <mergeCell ref="F13663:F13664"/>
    <mergeCell ref="F13667:F13669"/>
    <mergeCell ref="F13446:F13447"/>
    <mergeCell ref="F13305:F13306"/>
    <mergeCell ref="F13538:F13539"/>
    <mergeCell ref="F13540:F13541"/>
    <mergeCell ref="F13588:F13589"/>
    <mergeCell ref="F13366:F13367"/>
    <mergeCell ref="F13649:F13650"/>
    <mergeCell ref="F13651:F13652"/>
    <mergeCell ref="F13653:F13654"/>
    <mergeCell ref="F13655:F13656"/>
    <mergeCell ref="F13688:F13693"/>
    <mergeCell ref="F13675:F13677"/>
    <mergeCell ref="F14086:F14088"/>
    <mergeCell ref="F13617:F13619"/>
    <mergeCell ref="F13506:F13508"/>
    <mergeCell ref="F13496:F13498"/>
    <mergeCell ref="F13499:F13503"/>
    <mergeCell ref="F13632:F13634"/>
    <mergeCell ref="F13596:F13599"/>
    <mergeCell ref="F13410:F13413"/>
    <mergeCell ref="F13414:F13417"/>
    <mergeCell ref="F13418:F13421"/>
    <mergeCell ref="F13759:F13760"/>
    <mergeCell ref="F13761:F13762"/>
    <mergeCell ref="F13737:F13738"/>
    <mergeCell ref="F13739:F13740"/>
    <mergeCell ref="F13741:F13742"/>
    <mergeCell ref="F13743:F13744"/>
    <mergeCell ref="F13745:F13746"/>
    <mergeCell ref="F13471:F13472"/>
    <mergeCell ref="F13473:F13474"/>
    <mergeCell ref="F13700:F13701"/>
    <mergeCell ref="F13697:F13699"/>
    <mergeCell ref="F13756:F13758"/>
    <mergeCell ref="F13768:F13772"/>
    <mergeCell ref="F13749:F13750"/>
    <mergeCell ref="F13751:F13752"/>
    <mergeCell ref="F13723:F13725"/>
    <mergeCell ref="F13368:F13369"/>
    <mergeCell ref="F13376:F13377"/>
    <mergeCell ref="F13378:F13379"/>
    <mergeCell ref="F13395:F13397"/>
    <mergeCell ref="F13400:F13401"/>
    <mergeCell ref="F13428:F13429"/>
    <mergeCell ref="F13729:F13731"/>
    <mergeCell ref="F13430:F13431"/>
    <mergeCell ref="F13626:F13627"/>
    <mergeCell ref="F13628:F13629"/>
    <mergeCell ref="F13563:F13564"/>
    <mergeCell ref="F13572:F13576"/>
    <mergeCell ref="F13620:F13621"/>
    <mergeCell ref="F13670:F13672"/>
    <mergeCell ref="F13647:F13648"/>
    <mergeCell ref="F13590:F13591"/>
    <mergeCell ref="F13554:F13558"/>
    <mergeCell ref="F13582:F13583"/>
    <mergeCell ref="F13374:F13375"/>
    <mergeCell ref="F13713:F13717"/>
    <mergeCell ref="F13726:F13728"/>
    <mergeCell ref="F13402:F13403"/>
    <mergeCell ref="F13404:F13405"/>
    <mergeCell ref="F13406:F13409"/>
    <mergeCell ref="F13605:F13606"/>
    <mergeCell ref="F13607:F13608"/>
    <mergeCell ref="F13609:F13610"/>
    <mergeCell ref="F13611:F13612"/>
    <mergeCell ref="F13613:F13614"/>
    <mergeCell ref="F13706:F13707"/>
    <mergeCell ref="F13383:F13385"/>
    <mergeCell ref="F13702:F13705"/>
    <mergeCell ref="F13326:F13328"/>
    <mergeCell ref="F13347:F13350"/>
    <mergeCell ref="F13268:F13269"/>
    <mergeCell ref="F13270:F13271"/>
    <mergeCell ref="F13272:F13273"/>
    <mergeCell ref="F13309:F13310"/>
    <mergeCell ref="F13256:F13257"/>
    <mergeCell ref="F13732:F13734"/>
    <mergeCell ref="F13694:F13696"/>
    <mergeCell ref="F13780:F13781"/>
    <mergeCell ref="F13468:F13470"/>
    <mergeCell ref="F13451:F13453"/>
    <mergeCell ref="F13454:F13456"/>
    <mergeCell ref="F14059:F14060"/>
    <mergeCell ref="F13457:F13461"/>
    <mergeCell ref="F13462:F13464"/>
    <mergeCell ref="F13477:F13478"/>
    <mergeCell ref="F13584:F13585"/>
    <mergeCell ref="F13481:F13483"/>
    <mergeCell ref="F13479:F13480"/>
    <mergeCell ref="F13504:F13505"/>
    <mergeCell ref="F13542:F13543"/>
    <mergeCell ref="F13530:F13532"/>
    <mergeCell ref="F13533:F13537"/>
    <mergeCell ref="F13544:F13548"/>
    <mergeCell ref="F13549:F13553"/>
    <mergeCell ref="F13559:F13560"/>
    <mergeCell ref="F13561:F13562"/>
    <mergeCell ref="F13511:F13512"/>
    <mergeCell ref="F13521:F13522"/>
    <mergeCell ref="F13523:F13524"/>
    <mergeCell ref="F13525:F13526"/>
    <mergeCell ref="F13062:F13063"/>
    <mergeCell ref="F13070:F13071"/>
    <mergeCell ref="F13072:F13073"/>
    <mergeCell ref="F13054:F13055"/>
    <mergeCell ref="F13217:F13218"/>
    <mergeCell ref="F13029:F13030"/>
    <mergeCell ref="F13102:F13105"/>
    <mergeCell ref="F13106:F13109"/>
    <mergeCell ref="F13184:F13187"/>
    <mergeCell ref="F13199:F13200"/>
    <mergeCell ref="F13201:F13202"/>
    <mergeCell ref="F13196:F13198"/>
    <mergeCell ref="F13188:F13189"/>
    <mergeCell ref="F13167:F13168"/>
    <mergeCell ref="F13175:F13177"/>
    <mergeCell ref="F13178:F13179"/>
    <mergeCell ref="F13169:F13171"/>
    <mergeCell ref="F13180:F13183"/>
    <mergeCell ref="F13123:F13124"/>
    <mergeCell ref="F13125:F13126"/>
    <mergeCell ref="F13086:F13088"/>
    <mergeCell ref="F13089:F13091"/>
    <mergeCell ref="F13095:F13096"/>
    <mergeCell ref="F13056:F13057"/>
    <mergeCell ref="F13117:F13118"/>
    <mergeCell ref="F13119:F13120"/>
    <mergeCell ref="F13121:F13122"/>
    <mergeCell ref="F13151:F13153"/>
    <mergeCell ref="F13141:F13145"/>
    <mergeCell ref="F13146:F13147"/>
    <mergeCell ref="F13215:F13216"/>
    <mergeCell ref="F13364:F13365"/>
    <mergeCell ref="F12956:F12957"/>
    <mergeCell ref="F13252:F13253"/>
    <mergeCell ref="F13211:F13212"/>
    <mergeCell ref="F12999:F13000"/>
    <mergeCell ref="F13100:F13101"/>
    <mergeCell ref="F13092:F13094"/>
    <mergeCell ref="F13078:F13079"/>
    <mergeCell ref="F13110:F13112"/>
    <mergeCell ref="F13060:F13061"/>
    <mergeCell ref="F13313:F13314"/>
    <mergeCell ref="F13023:F13024"/>
    <mergeCell ref="F13154:F13157"/>
    <mergeCell ref="F13158:F13162"/>
    <mergeCell ref="F13163:F13164"/>
    <mergeCell ref="F13080:F13082"/>
    <mergeCell ref="F13083:F13085"/>
    <mergeCell ref="F13209:F13210"/>
    <mergeCell ref="F13258:F13259"/>
    <mergeCell ref="F13021:F13022"/>
    <mergeCell ref="F13045:F13047"/>
    <mergeCell ref="F13048:F13050"/>
    <mergeCell ref="F13051:F13053"/>
    <mergeCell ref="F13064:F13065"/>
    <mergeCell ref="F13260:F13261"/>
    <mergeCell ref="F13262:F13263"/>
    <mergeCell ref="F13293:F13294"/>
    <mergeCell ref="F13295:F13296"/>
    <mergeCell ref="F13299:F13300"/>
    <mergeCell ref="F13194:F13195"/>
    <mergeCell ref="F13203:F13204"/>
    <mergeCell ref="F13213:F13214"/>
    <mergeCell ref="F12836:F12837"/>
    <mergeCell ref="F12838:F12839"/>
    <mergeCell ref="F12832:F12833"/>
    <mergeCell ref="F12987:F12988"/>
    <mergeCell ref="F13027:F13028"/>
    <mergeCell ref="F12844:F12846"/>
    <mergeCell ref="F12847:F12848"/>
    <mergeCell ref="F13230:F13232"/>
    <mergeCell ref="F13244:F13246"/>
    <mergeCell ref="F13264:F13265"/>
    <mergeCell ref="F13266:F13267"/>
    <mergeCell ref="F13131:F13132"/>
    <mergeCell ref="F13133:F13134"/>
    <mergeCell ref="F13135:F13137"/>
    <mergeCell ref="F12820:F12821"/>
    <mergeCell ref="F12830:F12831"/>
    <mergeCell ref="F12871:F12872"/>
    <mergeCell ref="F12852:F12854"/>
    <mergeCell ref="F12849:F12851"/>
    <mergeCell ref="F12876:F12877"/>
    <mergeCell ref="F12892:F12893"/>
    <mergeCell ref="F12894:F12895"/>
    <mergeCell ref="F12896:F12898"/>
    <mergeCell ref="F12899:F12900"/>
    <mergeCell ref="F12981:F12982"/>
    <mergeCell ref="F12949:F12951"/>
    <mergeCell ref="F12985:F12986"/>
    <mergeCell ref="F13005:F13006"/>
    <mergeCell ref="F12932:F12933"/>
    <mergeCell ref="F13242:F13243"/>
    <mergeCell ref="F13233:F13237"/>
    <mergeCell ref="F13221:F13222"/>
    <mergeCell ref="F13001:F13002"/>
    <mergeCell ref="F13148:F13150"/>
    <mergeCell ref="F13127:F13128"/>
    <mergeCell ref="F13129:F13130"/>
    <mergeCell ref="F12908:F12909"/>
    <mergeCell ref="F12910:F12911"/>
    <mergeCell ref="F12912:F12913"/>
    <mergeCell ref="F12914:F12915"/>
    <mergeCell ref="F13058:F13059"/>
    <mergeCell ref="F13066:F13067"/>
    <mergeCell ref="F13068:F13069"/>
    <mergeCell ref="F13042:F13044"/>
    <mergeCell ref="F12976:F12978"/>
    <mergeCell ref="F12930:F12931"/>
    <mergeCell ref="F12939:F12941"/>
    <mergeCell ref="F12942:F12943"/>
    <mergeCell ref="F12989:F12990"/>
    <mergeCell ref="F12974:F12975"/>
    <mergeCell ref="F12983:F12984"/>
    <mergeCell ref="F12969:F12971"/>
    <mergeCell ref="F12967:F12968"/>
    <mergeCell ref="F12934:F12935"/>
    <mergeCell ref="F13003:F13004"/>
    <mergeCell ref="F13010:F13012"/>
    <mergeCell ref="F12964:F12966"/>
    <mergeCell ref="F13013:F13014"/>
    <mergeCell ref="F13015:F13016"/>
    <mergeCell ref="F13031:F13033"/>
    <mergeCell ref="F13034:F13036"/>
    <mergeCell ref="F13037:F13039"/>
    <mergeCell ref="F13017:F13018"/>
    <mergeCell ref="F13019:F13020"/>
    <mergeCell ref="F12667:F12669"/>
    <mergeCell ref="F12665:F12666"/>
    <mergeCell ref="F13007:F13009"/>
    <mergeCell ref="F12767:F12770"/>
    <mergeCell ref="F12776:F12777"/>
    <mergeCell ref="F12778:F12779"/>
    <mergeCell ref="F12780:F12781"/>
    <mergeCell ref="F12782:F12783"/>
    <mergeCell ref="F12803:F12805"/>
    <mergeCell ref="F12812:F12814"/>
    <mergeCell ref="F12818:F12819"/>
    <mergeCell ref="F12810:F12811"/>
    <mergeCell ref="F12794:F12796"/>
    <mergeCell ref="F12729:F12731"/>
    <mergeCell ref="F12735:F12736"/>
    <mergeCell ref="F12739:F12740"/>
    <mergeCell ref="F12741:F12742"/>
    <mergeCell ref="F12743:F12744"/>
    <mergeCell ref="F12745:F12746"/>
    <mergeCell ref="F12747:F12748"/>
    <mergeCell ref="F12822:F12823"/>
    <mergeCell ref="F12824:F12825"/>
    <mergeCell ref="F12826:F12827"/>
    <mergeCell ref="F12828:F12829"/>
    <mergeCell ref="F12751:F12752"/>
    <mergeCell ref="F12904:F12905"/>
    <mergeCell ref="F12698:F12701"/>
    <mergeCell ref="F12749:F12750"/>
    <mergeCell ref="F12737:F12738"/>
    <mergeCell ref="F12693:F12694"/>
    <mergeCell ref="F12695:F12697"/>
    <mergeCell ref="F12753:F12755"/>
    <mergeCell ref="F12670:F12671"/>
    <mergeCell ref="F12672:F12673"/>
    <mergeCell ref="F12684:F12685"/>
    <mergeCell ref="F12888:F12891"/>
    <mergeCell ref="F12801:F12802"/>
    <mergeCell ref="F12674:F12675"/>
    <mergeCell ref="F12676:F12677"/>
    <mergeCell ref="F12678:F12679"/>
    <mergeCell ref="F12680:F12681"/>
    <mergeCell ref="F12707:F12708"/>
    <mergeCell ref="F12709:F12710"/>
    <mergeCell ref="F12705:F12706"/>
    <mergeCell ref="F12711:F12712"/>
    <mergeCell ref="F12840:F12843"/>
    <mergeCell ref="F12723:F12724"/>
    <mergeCell ref="F12725:F12726"/>
    <mergeCell ref="F12727:F12728"/>
    <mergeCell ref="F12732:F12734"/>
    <mergeCell ref="F12771:F12773"/>
    <mergeCell ref="F12834:F12835"/>
    <mergeCell ref="F12797:F12798"/>
    <mergeCell ref="F12774:F12775"/>
    <mergeCell ref="F12799:F12800"/>
    <mergeCell ref="F12715:F12716"/>
    <mergeCell ref="F12717:F12718"/>
    <mergeCell ref="F12719:F12720"/>
    <mergeCell ref="F12721:F12722"/>
    <mergeCell ref="F12682:F12683"/>
    <mergeCell ref="F12690:F12692"/>
    <mergeCell ref="F12702:F12704"/>
    <mergeCell ref="F12688:F12689"/>
    <mergeCell ref="F12815:F12817"/>
    <mergeCell ref="F12490:F12491"/>
    <mergeCell ref="F12509:F12511"/>
    <mergeCell ref="F12512:F12513"/>
    <mergeCell ref="F12432:F12434"/>
    <mergeCell ref="F12458:F12460"/>
    <mergeCell ref="F12784:F12785"/>
    <mergeCell ref="F12786:F12787"/>
    <mergeCell ref="F12788:F12789"/>
    <mergeCell ref="F12759:F12760"/>
    <mergeCell ref="F12765:F12766"/>
    <mergeCell ref="F12761:F12764"/>
    <mergeCell ref="F12790:F12791"/>
    <mergeCell ref="F12792:F12793"/>
    <mergeCell ref="F12536:F12537"/>
    <mergeCell ref="F12611:F12612"/>
    <mergeCell ref="F12538:F12539"/>
    <mergeCell ref="F12518:F12519"/>
    <mergeCell ref="F12648:F12649"/>
    <mergeCell ref="F12650:F12651"/>
    <mergeCell ref="F12632:F12633"/>
    <mergeCell ref="F12637:F12639"/>
    <mergeCell ref="F12642:F12643"/>
    <mergeCell ref="F12582:F12584"/>
    <mergeCell ref="F12623:F12624"/>
    <mergeCell ref="F12445:F12446"/>
    <mergeCell ref="F12494:F12496"/>
    <mergeCell ref="F12613:F12614"/>
    <mergeCell ref="F12615:F12616"/>
    <mergeCell ref="F12625:F12627"/>
    <mergeCell ref="F12628:F12629"/>
    <mergeCell ref="F12686:F12687"/>
    <mergeCell ref="F12439:F12440"/>
    <mergeCell ref="F12560:F12561"/>
    <mergeCell ref="F12590:F12591"/>
    <mergeCell ref="F12514:F12515"/>
    <mergeCell ref="F12654:F12655"/>
    <mergeCell ref="F12656:F12657"/>
    <mergeCell ref="F12652:F12653"/>
    <mergeCell ref="F12658:F12660"/>
    <mergeCell ref="F12661:F12662"/>
    <mergeCell ref="F12663:F12664"/>
    <mergeCell ref="F12640:F12641"/>
    <mergeCell ref="F12580:F12581"/>
    <mergeCell ref="F12585:F12586"/>
    <mergeCell ref="F12598:F12599"/>
    <mergeCell ref="F12503:F12505"/>
    <mergeCell ref="F12578:F12579"/>
    <mergeCell ref="F12600:F12602"/>
    <mergeCell ref="F12506:F12508"/>
    <mergeCell ref="F12595:F12597"/>
    <mergeCell ref="F12607:F12608"/>
    <mergeCell ref="F12605:F12606"/>
    <mergeCell ref="F12630:F12631"/>
    <mergeCell ref="F12568:F12570"/>
    <mergeCell ref="F12516:F12517"/>
    <mergeCell ref="F12245:F12246"/>
    <mergeCell ref="F12332:F12333"/>
    <mergeCell ref="F12334:F12335"/>
    <mergeCell ref="F12326:F12327"/>
    <mergeCell ref="F12330:F12331"/>
    <mergeCell ref="F12279:F12280"/>
    <mergeCell ref="F12275:F12276"/>
    <mergeCell ref="F12451:F12453"/>
    <mergeCell ref="F12251:F12252"/>
    <mergeCell ref="F12265:F12268"/>
    <mergeCell ref="F12619:F12620"/>
    <mergeCell ref="F12644:F12645"/>
    <mergeCell ref="F12646:F12647"/>
    <mergeCell ref="F12617:F12618"/>
    <mergeCell ref="F12390:F12391"/>
    <mergeCell ref="F12571:F12573"/>
    <mergeCell ref="F12576:F12577"/>
    <mergeCell ref="F12548:F12549"/>
    <mergeCell ref="F12550:F12551"/>
    <mergeCell ref="F12552:F12553"/>
    <mergeCell ref="F12528:F12529"/>
    <mergeCell ref="F12558:F12559"/>
    <mergeCell ref="F12574:F12575"/>
    <mergeCell ref="F12562:F12564"/>
    <mergeCell ref="F12565:F12567"/>
    <mergeCell ref="F12435:F12436"/>
    <mergeCell ref="F12422:F12424"/>
    <mergeCell ref="F12425:F12426"/>
    <mergeCell ref="F12454:F12457"/>
    <mergeCell ref="F12471:F12472"/>
    <mergeCell ref="F12554:F12555"/>
    <mergeCell ref="F12520:F12521"/>
    <mergeCell ref="F12447:F12448"/>
    <mergeCell ref="F12449:F12450"/>
    <mergeCell ref="F12414:F12415"/>
    <mergeCell ref="F12416:F12417"/>
    <mergeCell ref="F12418:F12419"/>
    <mergeCell ref="F12336:F12337"/>
    <mergeCell ref="F12271:F12272"/>
    <mergeCell ref="F12344:F12345"/>
    <mergeCell ref="F12349:F12350"/>
    <mergeCell ref="F12351:F12352"/>
    <mergeCell ref="F12353:F12355"/>
    <mergeCell ref="F12346:F12348"/>
    <mergeCell ref="F12475:F12476"/>
    <mergeCell ref="F12497:F12499"/>
    <mergeCell ref="F12500:F12502"/>
    <mergeCell ref="F12232:F12233"/>
    <mergeCell ref="F12234:F12235"/>
    <mergeCell ref="F12236:F12238"/>
    <mergeCell ref="F12239:F12241"/>
    <mergeCell ref="F12382:F12383"/>
    <mergeCell ref="F12338:F12339"/>
    <mergeCell ref="F12340:F12341"/>
    <mergeCell ref="F12342:F12343"/>
    <mergeCell ref="F12386:F12387"/>
    <mergeCell ref="F12388:F12389"/>
    <mergeCell ref="F12361:F12362"/>
    <mergeCell ref="F12378:F12379"/>
    <mergeCell ref="F12380:F12381"/>
    <mergeCell ref="F12384:F12385"/>
    <mergeCell ref="F12392:F12394"/>
    <mergeCell ref="F12281:F12282"/>
    <mergeCell ref="F12283:F12284"/>
    <mergeCell ref="F12427:F12428"/>
    <mergeCell ref="F12429:F12431"/>
    <mergeCell ref="F12324:F12325"/>
    <mergeCell ref="F12374:F12375"/>
    <mergeCell ref="F12358:F12360"/>
    <mergeCell ref="F12365:F12367"/>
    <mergeCell ref="F12395:F12397"/>
    <mergeCell ref="F12253:F12257"/>
    <mergeCell ref="F12258:F12259"/>
    <mergeCell ref="F12260:F12261"/>
    <mergeCell ref="F12262:F12264"/>
    <mergeCell ref="F12328:F12329"/>
    <mergeCell ref="F12441:F12442"/>
    <mergeCell ref="F12443:F12444"/>
    <mergeCell ref="F12437:F12438"/>
    <mergeCell ref="F12403:F12405"/>
    <mergeCell ref="F12398:F12400"/>
    <mergeCell ref="F12406:F12407"/>
    <mergeCell ref="F12368:F12370"/>
    <mergeCell ref="F12371:F12373"/>
    <mergeCell ref="F12376:F12377"/>
    <mergeCell ref="F12242:F12244"/>
    <mergeCell ref="F12156:F12158"/>
    <mergeCell ref="F12159:F12160"/>
    <mergeCell ref="F12161:F12162"/>
    <mergeCell ref="F12225:F12227"/>
    <mergeCell ref="F12228:F12229"/>
    <mergeCell ref="F12230:F12231"/>
    <mergeCell ref="F12185:F12187"/>
    <mergeCell ref="F12307:F12308"/>
    <mergeCell ref="F12089:F12090"/>
    <mergeCell ref="F12273:F12274"/>
    <mergeCell ref="F12285:F12287"/>
    <mergeCell ref="F12288:F12289"/>
    <mergeCell ref="F12290:F12291"/>
    <mergeCell ref="F12247:F12248"/>
    <mergeCell ref="F12249:F12250"/>
    <mergeCell ref="F12277:F12278"/>
    <mergeCell ref="F12109:F12112"/>
    <mergeCell ref="F12117:F12118"/>
    <mergeCell ref="F12151:F12152"/>
    <mergeCell ref="F12163:F12165"/>
    <mergeCell ref="F12135:F12136"/>
    <mergeCell ref="F12137:F12138"/>
    <mergeCell ref="F12139:F12140"/>
    <mergeCell ref="F12143:F12144"/>
    <mergeCell ref="F12145:F12146"/>
    <mergeCell ref="F12147:F12148"/>
    <mergeCell ref="F12153:F12155"/>
    <mergeCell ref="F12119:F12121"/>
    <mergeCell ref="F12204:F12206"/>
    <mergeCell ref="F12209:F12210"/>
    <mergeCell ref="F12269:F12270"/>
    <mergeCell ref="F11726:F11727"/>
    <mergeCell ref="F11699:F11703"/>
    <mergeCell ref="F11704:F11705"/>
    <mergeCell ref="F11706:F11707"/>
    <mergeCell ref="F11714:F11715"/>
    <mergeCell ref="F11718:F11720"/>
    <mergeCell ref="F11716:F11717"/>
    <mergeCell ref="F11787:F11788"/>
    <mergeCell ref="F11789:F11790"/>
    <mergeCell ref="F11791:F11792"/>
    <mergeCell ref="F12408:F12409"/>
    <mergeCell ref="F12410:F12411"/>
    <mergeCell ref="F12412:F12413"/>
    <mergeCell ref="F12356:F12357"/>
    <mergeCell ref="F12363:F12364"/>
    <mergeCell ref="F12033:F12034"/>
    <mergeCell ref="F12040:F12041"/>
    <mergeCell ref="F12042:F12043"/>
    <mergeCell ref="F12047:F12048"/>
    <mergeCell ref="F12057:F12058"/>
    <mergeCell ref="F12038:F12039"/>
    <mergeCell ref="F12052:F12053"/>
    <mergeCell ref="F12292:F12293"/>
    <mergeCell ref="F12294:F12298"/>
    <mergeCell ref="F12299:F12301"/>
    <mergeCell ref="F12302:F12304"/>
    <mergeCell ref="F12305:F12306"/>
    <mergeCell ref="F12309:F12313"/>
    <mergeCell ref="F12314:F12316"/>
    <mergeCell ref="F12317:F12319"/>
    <mergeCell ref="F12320:F12321"/>
    <mergeCell ref="F12322:F12323"/>
    <mergeCell ref="F12035:F12037"/>
    <mergeCell ref="F12044:F12046"/>
    <mergeCell ref="F12049:F12051"/>
    <mergeCell ref="F12054:F12056"/>
    <mergeCell ref="F12199:F12200"/>
    <mergeCell ref="F12201:F12203"/>
    <mergeCell ref="F12207:F12208"/>
    <mergeCell ref="F12219:F12220"/>
    <mergeCell ref="F12221:F12222"/>
    <mergeCell ref="F12223:F12224"/>
    <mergeCell ref="F12175:F12179"/>
    <mergeCell ref="F12180:F12184"/>
    <mergeCell ref="F12101:F12102"/>
    <mergeCell ref="F12103:F12104"/>
    <mergeCell ref="F12105:F12108"/>
    <mergeCell ref="F12122:F12125"/>
    <mergeCell ref="F12126:F12129"/>
    <mergeCell ref="F12141:F12142"/>
    <mergeCell ref="F12170:F12174"/>
    <mergeCell ref="F12149:F12150"/>
    <mergeCell ref="F12130:F12132"/>
    <mergeCell ref="F12133:F12134"/>
    <mergeCell ref="F12217:F12218"/>
    <mergeCell ref="F12113:F12114"/>
    <mergeCell ref="F12091:F12092"/>
    <mergeCell ref="F12093:F12094"/>
    <mergeCell ref="F12095:F12096"/>
    <mergeCell ref="F12097:F12098"/>
    <mergeCell ref="F12099:F12100"/>
    <mergeCell ref="F12211:F12212"/>
    <mergeCell ref="F12213:F12214"/>
    <mergeCell ref="F12115:F12116"/>
    <mergeCell ref="F11524:F11525"/>
    <mergeCell ref="F11507:F11508"/>
    <mergeCell ref="F12065:F12066"/>
    <mergeCell ref="F12073:F12074"/>
    <mergeCell ref="F12069:F12070"/>
    <mergeCell ref="F12006:F12008"/>
    <mergeCell ref="F12009:F12011"/>
    <mergeCell ref="F12012:F12013"/>
    <mergeCell ref="F12063:F12064"/>
    <mergeCell ref="F12059:F12060"/>
    <mergeCell ref="F11695:F11696"/>
    <mergeCell ref="F11697:F11698"/>
    <mergeCell ref="F11753:F11756"/>
    <mergeCell ref="F11737:F11738"/>
    <mergeCell ref="F11739:F11740"/>
    <mergeCell ref="F11741:F11742"/>
    <mergeCell ref="F11743:F11744"/>
    <mergeCell ref="F11734:F11736"/>
    <mergeCell ref="F11801:F11802"/>
    <mergeCell ref="F11803:F11804"/>
    <mergeCell ref="F11811:F11813"/>
    <mergeCell ref="F11689:F11690"/>
    <mergeCell ref="F11691:F11692"/>
    <mergeCell ref="F11745:F11746"/>
    <mergeCell ref="F11759:F11761"/>
    <mergeCell ref="F11776:F11780"/>
    <mergeCell ref="F11977:F11978"/>
    <mergeCell ref="F11728:F11730"/>
    <mergeCell ref="F11731:F11733"/>
    <mergeCell ref="F11708:F11710"/>
    <mergeCell ref="F11711:F11713"/>
    <mergeCell ref="F11724:F11725"/>
    <mergeCell ref="F11979:F11980"/>
    <mergeCell ref="F11981:F11982"/>
    <mergeCell ref="F12071:F12072"/>
    <mergeCell ref="F11747:F11748"/>
    <mergeCell ref="F11819:F11822"/>
    <mergeCell ref="F11757:F11758"/>
    <mergeCell ref="F11781:F11783"/>
    <mergeCell ref="F11489:F11491"/>
    <mergeCell ref="F11492:F11494"/>
    <mergeCell ref="F11495:F11496"/>
    <mergeCell ref="F11603:F11607"/>
    <mergeCell ref="F11584:F11585"/>
    <mergeCell ref="F11586:F11587"/>
    <mergeCell ref="F11588:F11589"/>
    <mergeCell ref="F11601:F11602"/>
    <mergeCell ref="F11608:F11610"/>
    <mergeCell ref="F11548:F11549"/>
    <mergeCell ref="F11572:F11573"/>
    <mergeCell ref="F11574:F11575"/>
    <mergeCell ref="F11576:F11578"/>
    <mergeCell ref="F11579:F11581"/>
    <mergeCell ref="F11564:F11566"/>
    <mergeCell ref="F11567:F11571"/>
    <mergeCell ref="F11693:F11694"/>
    <mergeCell ref="F11614:F11615"/>
    <mergeCell ref="F11531:F11534"/>
    <mergeCell ref="F11670:F11672"/>
    <mergeCell ref="F11637:F11641"/>
    <mergeCell ref="F11642:F11646"/>
    <mergeCell ref="F11651:F11655"/>
    <mergeCell ref="F11522:F11523"/>
    <mergeCell ref="F11528:F11530"/>
    <mergeCell ref="F11749:F11750"/>
    <mergeCell ref="F11751:F11752"/>
    <mergeCell ref="F11721:F11723"/>
    <mergeCell ref="F11667:F11669"/>
    <mergeCell ref="F11635:F11636"/>
    <mergeCell ref="F11611:F11613"/>
    <mergeCell ref="F11683:F11684"/>
    <mergeCell ref="F11560:F11561"/>
    <mergeCell ref="F11562:F11563"/>
    <mergeCell ref="F11550:F11551"/>
    <mergeCell ref="F11483:F11484"/>
    <mergeCell ref="F11485:F11486"/>
    <mergeCell ref="F11432:F11433"/>
    <mergeCell ref="F11434:F11435"/>
    <mergeCell ref="F11436:F11437"/>
    <mergeCell ref="F11438:F11439"/>
    <mergeCell ref="F11440:F11441"/>
    <mergeCell ref="F11442:F11443"/>
    <mergeCell ref="F11444:F11445"/>
    <mergeCell ref="F11446:F11447"/>
    <mergeCell ref="F11505:F11506"/>
    <mergeCell ref="F11633:F11634"/>
    <mergeCell ref="F11649:F11650"/>
    <mergeCell ref="F11630:F11632"/>
    <mergeCell ref="F11673:F11674"/>
    <mergeCell ref="F11675:F11679"/>
    <mergeCell ref="F11680:F11682"/>
    <mergeCell ref="F11656:F11657"/>
    <mergeCell ref="F11647:F11648"/>
    <mergeCell ref="F11535:F11537"/>
    <mergeCell ref="F11515:F11517"/>
    <mergeCell ref="F11545:F11547"/>
    <mergeCell ref="F11520:F11521"/>
    <mergeCell ref="F11526:F11527"/>
    <mergeCell ref="F11685:F11686"/>
    <mergeCell ref="F11388:F11389"/>
    <mergeCell ref="F11455:F11457"/>
    <mergeCell ref="F11452:F11454"/>
    <mergeCell ref="F11448:F11449"/>
    <mergeCell ref="F11428:F11431"/>
    <mergeCell ref="F11687:F11688"/>
    <mergeCell ref="F11616:F11617"/>
    <mergeCell ref="F11618:F11619"/>
    <mergeCell ref="F11590:F11591"/>
    <mergeCell ref="F11620:F11621"/>
    <mergeCell ref="F11622:F11623"/>
    <mergeCell ref="F11624:F11625"/>
    <mergeCell ref="F11626:F11627"/>
    <mergeCell ref="F11552:F11553"/>
    <mergeCell ref="F11554:F11555"/>
    <mergeCell ref="F11556:F11557"/>
    <mergeCell ref="F11558:F11559"/>
    <mergeCell ref="F11543:F11544"/>
    <mergeCell ref="F11582:F11583"/>
    <mergeCell ref="F11592:F11594"/>
    <mergeCell ref="F11595:F11597"/>
    <mergeCell ref="F11628:F11629"/>
    <mergeCell ref="F11538:F11539"/>
    <mergeCell ref="F11540:F11542"/>
    <mergeCell ref="F11598:F11600"/>
    <mergeCell ref="F11658:F11662"/>
    <mergeCell ref="F11499:F11500"/>
    <mergeCell ref="F11501:F11502"/>
    <mergeCell ref="F11412:F11415"/>
    <mergeCell ref="F11376:F11377"/>
    <mergeCell ref="F11378:F11380"/>
    <mergeCell ref="F11381:F11382"/>
    <mergeCell ref="F11509:F11511"/>
    <mergeCell ref="F11512:F11514"/>
    <mergeCell ref="F11402:F11404"/>
    <mergeCell ref="F11416:F11418"/>
    <mergeCell ref="F11422:F11424"/>
    <mergeCell ref="F11366:F11367"/>
    <mergeCell ref="F11368:F11369"/>
    <mergeCell ref="F11390:F11391"/>
    <mergeCell ref="F11394:F11395"/>
    <mergeCell ref="F11396:F11397"/>
    <mergeCell ref="F11497:F11498"/>
    <mergeCell ref="F11469:F11470"/>
    <mergeCell ref="F11370:F11371"/>
    <mergeCell ref="F11419:F11421"/>
    <mergeCell ref="F11477:F11479"/>
    <mergeCell ref="F11480:F11482"/>
    <mergeCell ref="F11503:F11504"/>
    <mergeCell ref="F11269:F11271"/>
    <mergeCell ref="F11272:F11274"/>
    <mergeCell ref="F11275:F11276"/>
    <mergeCell ref="F11266:F11268"/>
    <mergeCell ref="F11299:F11302"/>
    <mergeCell ref="F11344:F11345"/>
    <mergeCell ref="F11346:F11348"/>
    <mergeCell ref="F11349:F11351"/>
    <mergeCell ref="F11354:F11357"/>
    <mergeCell ref="F11326:F11327"/>
    <mergeCell ref="F11334:F11335"/>
    <mergeCell ref="F11308:F11309"/>
    <mergeCell ref="F11310:F11311"/>
    <mergeCell ref="F11314:F11315"/>
    <mergeCell ref="F11362:F11363"/>
    <mergeCell ref="F11364:F11365"/>
    <mergeCell ref="F11360:F11361"/>
    <mergeCell ref="F11320:F11321"/>
    <mergeCell ref="F11322:F11323"/>
    <mergeCell ref="F11324:F11325"/>
    <mergeCell ref="F11196:F11198"/>
    <mergeCell ref="F11199:F11201"/>
    <mergeCell ref="F11188:F11190"/>
    <mergeCell ref="F11191:F11193"/>
    <mergeCell ref="F11194:F11195"/>
    <mergeCell ref="F11091:F11093"/>
    <mergeCell ref="F11094:F11096"/>
    <mergeCell ref="F11097:F11098"/>
    <mergeCell ref="F11099:F11103"/>
    <mergeCell ref="F11106:F11107"/>
    <mergeCell ref="F11077:F11078"/>
    <mergeCell ref="F11068:F11070"/>
    <mergeCell ref="F11251:F11253"/>
    <mergeCell ref="F11128:F11129"/>
    <mergeCell ref="F11159:F11161"/>
    <mergeCell ref="F11174:F11175"/>
    <mergeCell ref="F11176:F11177"/>
    <mergeCell ref="F11229:F11230"/>
    <mergeCell ref="F11231:F11233"/>
    <mergeCell ref="F11234:F11236"/>
    <mergeCell ref="F11237:F11239"/>
    <mergeCell ref="F11242:F11244"/>
    <mergeCell ref="F11240:F11241"/>
    <mergeCell ref="F11205:F11207"/>
    <mergeCell ref="F11202:F11204"/>
    <mergeCell ref="F11208:F11209"/>
    <mergeCell ref="F11210:F11211"/>
    <mergeCell ref="F11212:F11213"/>
    <mergeCell ref="F11214:F11215"/>
    <mergeCell ref="F11216:F11217"/>
    <mergeCell ref="F11218:F11219"/>
    <mergeCell ref="F11245:F11246"/>
    <mergeCell ref="F10979:F10981"/>
    <mergeCell ref="F10982:F10984"/>
    <mergeCell ref="F10985:F10987"/>
    <mergeCell ref="F11186:F11187"/>
    <mergeCell ref="F11166:F11168"/>
    <mergeCell ref="F11169:F11171"/>
    <mergeCell ref="F11172:F11173"/>
    <mergeCell ref="F11148:F11149"/>
    <mergeCell ref="F11150:F11151"/>
    <mergeCell ref="F11152:F11153"/>
    <mergeCell ref="F11154:F11155"/>
    <mergeCell ref="F11162:F11165"/>
    <mergeCell ref="F11156:F11158"/>
    <mergeCell ref="F11130:F11131"/>
    <mergeCell ref="F11079:F11080"/>
    <mergeCell ref="F11081:F11082"/>
    <mergeCell ref="F11083:F11084"/>
    <mergeCell ref="F11178:F11179"/>
    <mergeCell ref="F11180:F11181"/>
    <mergeCell ref="F11182:F11183"/>
    <mergeCell ref="F11184:F11185"/>
    <mergeCell ref="F11138:F11140"/>
    <mergeCell ref="F11114:F11116"/>
    <mergeCell ref="F11132:F11134"/>
    <mergeCell ref="F11135:F11137"/>
    <mergeCell ref="F11141:F11143"/>
    <mergeCell ref="F11117:F11119"/>
    <mergeCell ref="F11144:F11145"/>
    <mergeCell ref="F11146:F11147"/>
    <mergeCell ref="F11074:F11076"/>
    <mergeCell ref="F11071:F11073"/>
    <mergeCell ref="F11065:F11067"/>
    <mergeCell ref="F10752:F10754"/>
    <mergeCell ref="F10755:F10757"/>
    <mergeCell ref="F10758:F10760"/>
    <mergeCell ref="F10761:F10764"/>
    <mergeCell ref="F10770:F10772"/>
    <mergeCell ref="F10749:F10751"/>
    <mergeCell ref="F10809:F10810"/>
    <mergeCell ref="F10811:F10812"/>
    <mergeCell ref="F10813:F10814"/>
    <mergeCell ref="F10815:F10816"/>
    <mergeCell ref="F10817:F10818"/>
    <mergeCell ref="F10819:F10820"/>
    <mergeCell ref="F10821:F10822"/>
    <mergeCell ref="F10794:F10795"/>
    <mergeCell ref="F10853:F10855"/>
    <mergeCell ref="F10767:F10769"/>
    <mergeCell ref="F10765:F10766"/>
    <mergeCell ref="F10777:F10780"/>
    <mergeCell ref="F10796:F10797"/>
    <mergeCell ref="F10806:F10808"/>
    <mergeCell ref="F10791:F10793"/>
    <mergeCell ref="F10798:F10800"/>
    <mergeCell ref="F10826:F10828"/>
    <mergeCell ref="F10801:F10802"/>
    <mergeCell ref="F10862:F10863"/>
    <mergeCell ref="F10864:F10865"/>
    <mergeCell ref="F10866:F10867"/>
    <mergeCell ref="F10894:F10895"/>
    <mergeCell ref="F10896:F10899"/>
    <mergeCell ref="F10900:F10901"/>
    <mergeCell ref="F10988:F10989"/>
    <mergeCell ref="F10904:F10905"/>
    <mergeCell ref="F10910:F10911"/>
    <mergeCell ref="F11016:F11018"/>
    <mergeCell ref="F11056:F11058"/>
    <mergeCell ref="F11059:F11061"/>
    <mergeCell ref="F11042:F11044"/>
    <mergeCell ref="F11045:F11046"/>
    <mergeCell ref="F11028:F11029"/>
    <mergeCell ref="F11040:F11041"/>
    <mergeCell ref="F11024:F11025"/>
    <mergeCell ref="F11030:F11031"/>
    <mergeCell ref="F11034:F11035"/>
    <mergeCell ref="F10996:F10997"/>
    <mergeCell ref="F10998:F10999"/>
    <mergeCell ref="F11000:F11001"/>
    <mergeCell ref="F11050:F11052"/>
    <mergeCell ref="F11053:F11055"/>
    <mergeCell ref="F10933:F10934"/>
    <mergeCell ref="F10935:F10936"/>
    <mergeCell ref="F10967:F10968"/>
    <mergeCell ref="F10947:F10948"/>
    <mergeCell ref="F10971:F10972"/>
    <mergeCell ref="F10969:F10970"/>
    <mergeCell ref="F10973:F10975"/>
    <mergeCell ref="F10976:F10978"/>
    <mergeCell ref="F10741:F10744"/>
    <mergeCell ref="F10745:F10748"/>
    <mergeCell ref="F10906:F10907"/>
    <mergeCell ref="F10955:F10956"/>
    <mergeCell ref="F10957:F10958"/>
    <mergeCell ref="F10959:F10960"/>
    <mergeCell ref="F10961:F10962"/>
    <mergeCell ref="F10963:F10964"/>
    <mergeCell ref="F10965:F10966"/>
    <mergeCell ref="F10912:F10913"/>
    <mergeCell ref="F10860:F10861"/>
    <mergeCell ref="F10902:F10903"/>
    <mergeCell ref="F10877:F10880"/>
    <mergeCell ref="F10875:F10876"/>
    <mergeCell ref="F10881:F10882"/>
    <mergeCell ref="F10889:F10893"/>
    <mergeCell ref="F10927:F10928"/>
    <mergeCell ref="F10931:F10932"/>
    <mergeCell ref="F10886:F10888"/>
    <mergeCell ref="F10908:F10909"/>
    <mergeCell ref="F10929:F10930"/>
    <mergeCell ref="F10953:F10954"/>
    <mergeCell ref="F10803:F10805"/>
    <mergeCell ref="F10842:F10843"/>
    <mergeCell ref="F10844:F10845"/>
    <mergeCell ref="F10868:F10869"/>
    <mergeCell ref="F10870:F10871"/>
    <mergeCell ref="F10872:F10874"/>
    <mergeCell ref="F10883:F10885"/>
    <mergeCell ref="F10949:F10952"/>
    <mergeCell ref="F10940:F10943"/>
    <mergeCell ref="F10944:F10946"/>
    <mergeCell ref="F10736:F10737"/>
    <mergeCell ref="F10738:F10740"/>
    <mergeCell ref="F10670:F10671"/>
    <mergeCell ref="F10732:F10733"/>
    <mergeCell ref="F10734:F10735"/>
    <mergeCell ref="F10676:F10677"/>
    <mergeCell ref="F10661:F10666"/>
    <mergeCell ref="F10667:F10669"/>
    <mergeCell ref="F10726:F10727"/>
    <mergeCell ref="F10728:F10729"/>
    <mergeCell ref="F10730:F10731"/>
    <mergeCell ref="F10856:F10859"/>
    <mergeCell ref="F10937:F10939"/>
    <mergeCell ref="F10917:F10918"/>
    <mergeCell ref="F10919:F10921"/>
    <mergeCell ref="F10922:F10924"/>
    <mergeCell ref="F10914:F10916"/>
    <mergeCell ref="F10829:F10831"/>
    <mergeCell ref="F10832:F10834"/>
    <mergeCell ref="F10835:F10837"/>
    <mergeCell ref="F10849:F10852"/>
    <mergeCell ref="F10823:F10825"/>
    <mergeCell ref="F10846:F10848"/>
    <mergeCell ref="F10838:F10841"/>
    <mergeCell ref="F10773:F10776"/>
    <mergeCell ref="F10781:F10782"/>
    <mergeCell ref="F10783:F10784"/>
    <mergeCell ref="F10785:F10786"/>
    <mergeCell ref="F10787:F10788"/>
    <mergeCell ref="F10789:F10790"/>
    <mergeCell ref="F10678:F10679"/>
    <mergeCell ref="F10680:F10681"/>
    <mergeCell ref="F10682:F10683"/>
    <mergeCell ref="F10633:F10635"/>
    <mergeCell ref="F10594:F10595"/>
    <mergeCell ref="F10611:F10616"/>
    <mergeCell ref="F10617:F10622"/>
    <mergeCell ref="F10596:F10598"/>
    <mergeCell ref="F10603:F10605"/>
    <mergeCell ref="F10717:F10719"/>
    <mergeCell ref="F10720:F10722"/>
    <mergeCell ref="F10723:F10725"/>
    <mergeCell ref="F10707:F10709"/>
    <mergeCell ref="F10710:F10713"/>
    <mergeCell ref="F10703:F10704"/>
    <mergeCell ref="F10705:F10706"/>
    <mergeCell ref="F10714:F10716"/>
    <mergeCell ref="F10690:F10693"/>
    <mergeCell ref="F10698:F10699"/>
    <mergeCell ref="F10694:F10695"/>
    <mergeCell ref="F10696:F10697"/>
    <mergeCell ref="F10700:F10702"/>
    <mergeCell ref="F10601:F10602"/>
    <mergeCell ref="F10606:F10607"/>
    <mergeCell ref="F10599:F10600"/>
    <mergeCell ref="F10608:F10610"/>
    <mergeCell ref="F10688:F10689"/>
    <mergeCell ref="F10684:F10685"/>
    <mergeCell ref="F10686:F10687"/>
    <mergeCell ref="F10672:F10675"/>
    <mergeCell ref="F10638:F10642"/>
    <mergeCell ref="F10636:F10637"/>
    <mergeCell ref="F10643:F10646"/>
    <mergeCell ref="F10647:F10648"/>
    <mergeCell ref="F10575:F10576"/>
    <mergeCell ref="F10580:F10582"/>
    <mergeCell ref="F10586:F10587"/>
    <mergeCell ref="F10588:F10589"/>
    <mergeCell ref="F10547:F10549"/>
    <mergeCell ref="F10590:F10591"/>
    <mergeCell ref="F10592:F10593"/>
    <mergeCell ref="F10631:F10632"/>
    <mergeCell ref="F10655:F10657"/>
    <mergeCell ref="F10559:F10561"/>
    <mergeCell ref="F10577:F10579"/>
    <mergeCell ref="F10565:F10570"/>
    <mergeCell ref="F10562:F10564"/>
    <mergeCell ref="F10573:F10574"/>
    <mergeCell ref="F10571:F10572"/>
    <mergeCell ref="F10550:F10553"/>
    <mergeCell ref="F10556:F10558"/>
    <mergeCell ref="F10629:F10630"/>
    <mergeCell ref="F9689:F9690"/>
    <mergeCell ref="F9746:F9747"/>
    <mergeCell ref="F9700:F9701"/>
    <mergeCell ref="F10145:F10147"/>
    <mergeCell ref="F10154:F10156"/>
    <mergeCell ref="F10132:F10135"/>
    <mergeCell ref="F9742:F9743"/>
    <mergeCell ref="F9744:F9745"/>
    <mergeCell ref="F9712:F9713"/>
    <mergeCell ref="F9805:F9806"/>
    <mergeCell ref="F9807:F9808"/>
    <mergeCell ref="F9792:F9794"/>
    <mergeCell ref="F9802:F9804"/>
    <mergeCell ref="F9765:F9767"/>
    <mergeCell ref="F9789:F9791"/>
    <mergeCell ref="F9740:F9741"/>
    <mergeCell ref="F9726:F9729"/>
    <mergeCell ref="F9730:F9733"/>
    <mergeCell ref="F9738:F9739"/>
    <mergeCell ref="F9734:F9735"/>
    <mergeCell ref="F9787:F9788"/>
    <mergeCell ref="F9775:F9776"/>
    <mergeCell ref="F10092:F10093"/>
    <mergeCell ref="F10138:F10139"/>
    <mergeCell ref="F9771:F9772"/>
    <mergeCell ref="F9773:F9774"/>
    <mergeCell ref="F9736:F9737"/>
    <mergeCell ref="F9748:F9749"/>
    <mergeCell ref="F9714:F9717"/>
    <mergeCell ref="F9723:F9725"/>
    <mergeCell ref="F9857:F9858"/>
    <mergeCell ref="F9865:F9868"/>
    <mergeCell ref="F9662:F9663"/>
    <mergeCell ref="F9669:F9671"/>
    <mergeCell ref="F9753:F9754"/>
    <mergeCell ref="F9755:F9756"/>
    <mergeCell ref="F9757:F9758"/>
    <mergeCell ref="F9759:F9761"/>
    <mergeCell ref="F9762:F9764"/>
    <mergeCell ref="F9573:F9574"/>
    <mergeCell ref="F9823:F9824"/>
    <mergeCell ref="F9819:F9820"/>
    <mergeCell ref="F9632:F9633"/>
    <mergeCell ref="F9634:F9635"/>
    <mergeCell ref="F9575:F9577"/>
    <mergeCell ref="F9578:F9580"/>
    <mergeCell ref="F9581:F9583"/>
    <mergeCell ref="F9616:F9618"/>
    <mergeCell ref="F9600:F9601"/>
    <mergeCell ref="F9602:F9603"/>
    <mergeCell ref="F9604:F9605"/>
    <mergeCell ref="F9606:F9607"/>
    <mergeCell ref="F9608:F9609"/>
    <mergeCell ref="F9610:F9611"/>
    <mergeCell ref="F9636:F9637"/>
    <mergeCell ref="F9614:F9615"/>
    <mergeCell ref="F9768:F9770"/>
    <mergeCell ref="F9783:F9784"/>
    <mergeCell ref="F9777:F9778"/>
    <mergeCell ref="F9779:F9780"/>
    <mergeCell ref="F9781:F9782"/>
    <mergeCell ref="F9785:F9786"/>
    <mergeCell ref="F9798:F9801"/>
    <mergeCell ref="F9815:F9818"/>
    <mergeCell ref="F9718:F9719"/>
    <mergeCell ref="F9750:F9752"/>
    <mergeCell ref="F9795:F9797"/>
    <mergeCell ref="F9702:F9703"/>
    <mergeCell ref="F9704:F9705"/>
    <mergeCell ref="F9706:F9707"/>
    <mergeCell ref="F9708:F9709"/>
    <mergeCell ref="F9710:F9711"/>
    <mergeCell ref="F9588:F9590"/>
    <mergeCell ref="F9591:F9592"/>
    <mergeCell ref="F9644:F9646"/>
    <mergeCell ref="F9638:F9640"/>
    <mergeCell ref="F9672:F9673"/>
    <mergeCell ref="F9674:F9675"/>
    <mergeCell ref="F9676:F9677"/>
    <mergeCell ref="F9678:F9679"/>
    <mergeCell ref="F9680:F9681"/>
    <mergeCell ref="F9682:F9683"/>
    <mergeCell ref="F9684:F9685"/>
    <mergeCell ref="F9664:F9666"/>
    <mergeCell ref="F9655:F9656"/>
    <mergeCell ref="F9667:F9668"/>
    <mergeCell ref="F9659:F9661"/>
    <mergeCell ref="F9649:F9651"/>
    <mergeCell ref="F9593:F9595"/>
    <mergeCell ref="F9612:F9613"/>
    <mergeCell ref="F9619:F9620"/>
    <mergeCell ref="F9621:F9623"/>
    <mergeCell ref="F9624:F9625"/>
    <mergeCell ref="F9626:F9627"/>
    <mergeCell ref="F9628:F9629"/>
    <mergeCell ref="F9657:F9658"/>
    <mergeCell ref="F9446:F9447"/>
    <mergeCell ref="F9420:F9422"/>
    <mergeCell ref="F9426:F9428"/>
    <mergeCell ref="F9423:F9425"/>
    <mergeCell ref="F9565:F9566"/>
    <mergeCell ref="F9448:F9449"/>
    <mergeCell ref="F9450:F9451"/>
    <mergeCell ref="F9452:F9453"/>
    <mergeCell ref="F9454:F9455"/>
    <mergeCell ref="F9396:F9397"/>
    <mergeCell ref="F9398:F9399"/>
    <mergeCell ref="F9400:F9401"/>
    <mergeCell ref="F9402:F9403"/>
    <mergeCell ref="F9368:F9369"/>
    <mergeCell ref="F9370:F9371"/>
    <mergeCell ref="F9372:F9373"/>
    <mergeCell ref="F9374:F9375"/>
    <mergeCell ref="F9376:F9377"/>
    <mergeCell ref="F9406:F9407"/>
    <mergeCell ref="F9474:F9475"/>
    <mergeCell ref="F9476:F9477"/>
    <mergeCell ref="F9478:F9479"/>
    <mergeCell ref="F9480:F9481"/>
    <mergeCell ref="F9482:F9483"/>
    <mergeCell ref="F9484:F9485"/>
    <mergeCell ref="F9429:F9430"/>
    <mergeCell ref="F9488:F9492"/>
    <mergeCell ref="F9493:F9496"/>
    <mergeCell ref="F9497:F9499"/>
    <mergeCell ref="F9500:F9502"/>
    <mergeCell ref="F9511:F9513"/>
    <mergeCell ref="F9436:F9438"/>
    <mergeCell ref="F9404:F9405"/>
    <mergeCell ref="F9387:F9389"/>
    <mergeCell ref="F9408:F9411"/>
    <mergeCell ref="F9412:F9417"/>
    <mergeCell ref="F9418:F9419"/>
    <mergeCell ref="F9228:F9229"/>
    <mergeCell ref="F9234:F9235"/>
    <mergeCell ref="F9216:F9218"/>
    <mergeCell ref="F9221:F9223"/>
    <mergeCell ref="F9224:F9225"/>
    <mergeCell ref="F9226:F9227"/>
    <mergeCell ref="F9232:F9233"/>
    <mergeCell ref="F9219:F9220"/>
    <mergeCell ref="F9244:F9248"/>
    <mergeCell ref="F9290:F9291"/>
    <mergeCell ref="F9292:F9294"/>
    <mergeCell ref="F9295:F9297"/>
    <mergeCell ref="F9298:F9300"/>
    <mergeCell ref="F9284:F9286"/>
    <mergeCell ref="F9287:F9289"/>
    <mergeCell ref="F9301:F9303"/>
    <mergeCell ref="F9260:F9263"/>
    <mergeCell ref="F9253:F9254"/>
    <mergeCell ref="F9255:F9256"/>
    <mergeCell ref="F9257:F9259"/>
    <mergeCell ref="F9276:F9277"/>
    <mergeCell ref="F9274:F9275"/>
    <mergeCell ref="F9343:F9345"/>
    <mergeCell ref="F9346:F9348"/>
    <mergeCell ref="F9349:F9351"/>
    <mergeCell ref="F9331:F9333"/>
    <mergeCell ref="F9340:F9342"/>
    <mergeCell ref="F8485:F8486"/>
    <mergeCell ref="F8487:F8488"/>
    <mergeCell ref="F9264:F9267"/>
    <mergeCell ref="F9240:F9243"/>
    <mergeCell ref="F9357:F9359"/>
    <mergeCell ref="F8432:F8433"/>
    <mergeCell ref="F8714:F8715"/>
    <mergeCell ref="F8716:F8717"/>
    <mergeCell ref="F8712:F8713"/>
    <mergeCell ref="F8676:F8678"/>
    <mergeCell ref="F8708:F8709"/>
    <mergeCell ref="F8693:F8694"/>
    <mergeCell ref="F8673:F8675"/>
    <mergeCell ref="F8495:F8496"/>
    <mergeCell ref="F8499:F8501"/>
    <mergeCell ref="F8309:F8310"/>
    <mergeCell ref="F8311:F8312"/>
    <mergeCell ref="F8502:F8504"/>
    <mergeCell ref="F8320:F8321"/>
    <mergeCell ref="F8460:F8461"/>
    <mergeCell ref="F8462:F8463"/>
    <mergeCell ref="F8434:F8435"/>
    <mergeCell ref="F8533:F8534"/>
    <mergeCell ref="F8535:F8536"/>
    <mergeCell ref="F8430:F8431"/>
    <mergeCell ref="F8436:F8437"/>
    <mergeCell ref="F8507:F8509"/>
    <mergeCell ref="F8443:F8444"/>
    <mergeCell ref="F8445:F8446"/>
    <mergeCell ref="F8582:F8583"/>
    <mergeCell ref="F8531:F8532"/>
    <mergeCell ref="F8702:F8703"/>
    <mergeCell ref="F8493:F8494"/>
    <mergeCell ref="F8497:F8498"/>
    <mergeCell ref="F8686:F8687"/>
    <mergeCell ref="F8688:F8689"/>
    <mergeCell ref="F8397:F8398"/>
    <mergeCell ref="F8426:F8427"/>
    <mergeCell ref="F8386:F8388"/>
    <mergeCell ref="F8290:F8291"/>
    <mergeCell ref="F8402:F8405"/>
    <mergeCell ref="F8414:F8418"/>
    <mergeCell ref="F8378:F8379"/>
    <mergeCell ref="F8222:F8226"/>
    <mergeCell ref="F8227:F8228"/>
    <mergeCell ref="F8229:F8230"/>
    <mergeCell ref="F8282:F8284"/>
    <mergeCell ref="F8287:F8289"/>
    <mergeCell ref="F8285:F8286"/>
    <mergeCell ref="F8359:F8361"/>
    <mergeCell ref="F8315:F8316"/>
    <mergeCell ref="F8243:F8244"/>
    <mergeCell ref="F8255:F8258"/>
    <mergeCell ref="F8393:F8394"/>
    <mergeCell ref="F8346:F8347"/>
    <mergeCell ref="F8340:F8341"/>
    <mergeCell ref="F8334:F8336"/>
    <mergeCell ref="F8389:F8390"/>
    <mergeCell ref="F8391:F8392"/>
    <mergeCell ref="F8348:F8349"/>
    <mergeCell ref="F8424:F8425"/>
    <mergeCell ref="F8237:F8238"/>
    <mergeCell ref="F8505:F8506"/>
    <mergeCell ref="F8510:F8511"/>
    <mergeCell ref="F8478:F8480"/>
    <mergeCell ref="F8481:F8482"/>
    <mergeCell ref="F8661:F8662"/>
    <mergeCell ref="F8663:F8664"/>
    <mergeCell ref="F8665:F8666"/>
    <mergeCell ref="F8667:F8668"/>
    <mergeCell ref="F8669:F8670"/>
    <mergeCell ref="F8362:F8364"/>
    <mergeCell ref="F8452:F8453"/>
    <mergeCell ref="F8454:F8455"/>
    <mergeCell ref="F8456:F8457"/>
    <mergeCell ref="F8328:F8329"/>
    <mergeCell ref="F8368:F8371"/>
    <mergeCell ref="F8344:F8345"/>
    <mergeCell ref="F8276:F8277"/>
    <mergeCell ref="F8278:F8279"/>
    <mergeCell ref="F8280:F8281"/>
    <mergeCell ref="F8325:F8327"/>
    <mergeCell ref="F8301:F8302"/>
    <mergeCell ref="F8298:F8300"/>
    <mergeCell ref="F8313:F8314"/>
    <mergeCell ref="F8330:F8333"/>
    <mergeCell ref="F8322:F8324"/>
    <mergeCell ref="F8303:F8304"/>
    <mergeCell ref="F8305:F8306"/>
    <mergeCell ref="F8307:F8308"/>
    <mergeCell ref="F8447:F8449"/>
    <mergeCell ref="F8450:F8451"/>
    <mergeCell ref="F8554:F8555"/>
    <mergeCell ref="F8512:F8514"/>
    <mergeCell ref="F8483:F8484"/>
    <mergeCell ref="F8543:F8544"/>
    <mergeCell ref="F8261:F8262"/>
    <mergeCell ref="F8182:F8183"/>
    <mergeCell ref="F8657:F8658"/>
    <mergeCell ref="F8659:F8660"/>
    <mergeCell ref="F8438:F8439"/>
    <mergeCell ref="F8468:F8469"/>
    <mergeCell ref="F8399:F8401"/>
    <mergeCell ref="F8203:F8205"/>
    <mergeCell ref="F8372:F8373"/>
    <mergeCell ref="F8374:F8375"/>
    <mergeCell ref="F8376:F8377"/>
    <mergeCell ref="F8178:F8179"/>
    <mergeCell ref="F8172:F8175"/>
    <mergeCell ref="F8180:F8181"/>
    <mergeCell ref="F8337:F8339"/>
    <mergeCell ref="F8342:F8343"/>
    <mergeCell ref="F8428:F8429"/>
    <mergeCell ref="F8419:F8421"/>
    <mergeCell ref="F8458:F8459"/>
    <mergeCell ref="F8422:F8423"/>
    <mergeCell ref="F8380:F8381"/>
    <mergeCell ref="F8382:F8383"/>
    <mergeCell ref="F8384:F8385"/>
    <mergeCell ref="F8409:F8413"/>
    <mergeCell ref="F8406:F8408"/>
    <mergeCell ref="F8464:F8465"/>
    <mergeCell ref="F8466:F8467"/>
    <mergeCell ref="F8489:F8490"/>
    <mergeCell ref="F8491:F8492"/>
    <mergeCell ref="F8395:F8396"/>
    <mergeCell ref="F8475:F8477"/>
    <mergeCell ref="F8440:F8442"/>
    <mergeCell ref="F8163:F8165"/>
    <mergeCell ref="F8103:F8104"/>
    <mergeCell ref="F8545:F8546"/>
    <mergeCell ref="F8365:F8367"/>
    <mergeCell ref="F8186:F8187"/>
    <mergeCell ref="F8199:F8202"/>
    <mergeCell ref="F8113:F8114"/>
    <mergeCell ref="F8356:F8358"/>
    <mergeCell ref="F8139:F8141"/>
    <mergeCell ref="F8142:F8144"/>
    <mergeCell ref="F8241:F8242"/>
    <mergeCell ref="F8292:F8295"/>
    <mergeCell ref="F8274:F8275"/>
    <mergeCell ref="F8245:F8247"/>
    <mergeCell ref="F8268:F8269"/>
    <mergeCell ref="F8270:F8271"/>
    <mergeCell ref="F8272:F8273"/>
    <mergeCell ref="F8250:F8252"/>
    <mergeCell ref="F8233:F8234"/>
    <mergeCell ref="F8350:F8351"/>
    <mergeCell ref="F8352:F8353"/>
    <mergeCell ref="F8354:F8355"/>
    <mergeCell ref="F8147:F8148"/>
    <mergeCell ref="F8149:F8150"/>
    <mergeCell ref="F8166:F8168"/>
    <mergeCell ref="F8239:F8240"/>
    <mergeCell ref="F8231:F8232"/>
    <mergeCell ref="F8213:F8215"/>
    <mergeCell ref="F8216:F8218"/>
    <mergeCell ref="F8209:F8210"/>
    <mergeCell ref="F8211:F8212"/>
    <mergeCell ref="F8259:F8260"/>
    <mergeCell ref="F8019:F8021"/>
    <mergeCell ref="F7956:F7957"/>
    <mergeCell ref="F8253:F8254"/>
    <mergeCell ref="F8248:F8249"/>
    <mergeCell ref="F8296:F8297"/>
    <mergeCell ref="F8263:F8265"/>
    <mergeCell ref="F8266:F8267"/>
    <mergeCell ref="F8317:F8319"/>
    <mergeCell ref="F8188:F8189"/>
    <mergeCell ref="F8192:F8193"/>
    <mergeCell ref="F8194:F8196"/>
    <mergeCell ref="F8176:F8177"/>
    <mergeCell ref="F8155:F8156"/>
    <mergeCell ref="F8157:F8158"/>
    <mergeCell ref="F8093:F8094"/>
    <mergeCell ref="F8095:F8096"/>
    <mergeCell ref="F8097:F8098"/>
    <mergeCell ref="F8101:F8102"/>
    <mergeCell ref="F8169:F8171"/>
    <mergeCell ref="F8190:F8191"/>
    <mergeCell ref="F8219:F8221"/>
    <mergeCell ref="F8119:F8121"/>
    <mergeCell ref="F8159:F8160"/>
    <mergeCell ref="F8122:F8124"/>
    <mergeCell ref="F8151:F8154"/>
    <mergeCell ref="F8125:F8127"/>
    <mergeCell ref="F8115:F8118"/>
    <mergeCell ref="F8235:F8236"/>
    <mergeCell ref="F8197:F8198"/>
    <mergeCell ref="F8184:F8185"/>
    <mergeCell ref="F8206:F8208"/>
    <mergeCell ref="F8161:F8162"/>
    <mergeCell ref="F7873:F7875"/>
    <mergeCell ref="F7876:F7878"/>
    <mergeCell ref="F7879:F7881"/>
    <mergeCell ref="F7882:F7885"/>
    <mergeCell ref="F7850:F7853"/>
    <mergeCell ref="F7854:F7855"/>
    <mergeCell ref="F7974:F7975"/>
    <mergeCell ref="F7947:F7949"/>
    <mergeCell ref="F7926:F7927"/>
    <mergeCell ref="F7928:F7929"/>
    <mergeCell ref="F7930:F7931"/>
    <mergeCell ref="F7932:F7933"/>
    <mergeCell ref="F7938:F7939"/>
    <mergeCell ref="F7940:F7941"/>
    <mergeCell ref="F8028:F8029"/>
    <mergeCell ref="F7934:F7935"/>
    <mergeCell ref="F7921:F7925"/>
    <mergeCell ref="F7942:F7943"/>
    <mergeCell ref="F8004:F8005"/>
    <mergeCell ref="F7958:F7959"/>
    <mergeCell ref="F7960:F7961"/>
    <mergeCell ref="F7962:F7963"/>
    <mergeCell ref="F7952:F7955"/>
    <mergeCell ref="F7936:F7937"/>
    <mergeCell ref="F8008:F8010"/>
    <mergeCell ref="F8006:F8007"/>
    <mergeCell ref="F7998:F7999"/>
    <mergeCell ref="F7970:F7971"/>
    <mergeCell ref="F7992:F7993"/>
    <mergeCell ref="F8011:F8012"/>
    <mergeCell ref="F8016:F8018"/>
    <mergeCell ref="F7978:F7979"/>
    <mergeCell ref="F7764:F7765"/>
    <mergeCell ref="F7784:F7786"/>
    <mergeCell ref="F8145:F8146"/>
    <mergeCell ref="F8056:F8058"/>
    <mergeCell ref="F8070:F8072"/>
    <mergeCell ref="F8063:F8065"/>
    <mergeCell ref="F8025:F8027"/>
    <mergeCell ref="F8049:F8050"/>
    <mergeCell ref="F8099:F8100"/>
    <mergeCell ref="F8132:F8133"/>
    <mergeCell ref="F8105:F8106"/>
    <mergeCell ref="F8079:F8081"/>
    <mergeCell ref="F8046:F8048"/>
    <mergeCell ref="F8044:F8045"/>
    <mergeCell ref="F8053:F8055"/>
    <mergeCell ref="F8091:F8092"/>
    <mergeCell ref="F8032:F8033"/>
    <mergeCell ref="F8037:F8040"/>
    <mergeCell ref="F8034:F8036"/>
    <mergeCell ref="F8051:F8052"/>
    <mergeCell ref="F8059:F8062"/>
    <mergeCell ref="F8066:F8067"/>
    <mergeCell ref="F8068:F8069"/>
    <mergeCell ref="F8075:F8076"/>
    <mergeCell ref="F7832:F7834"/>
    <mergeCell ref="F7843:F7844"/>
    <mergeCell ref="F8022:F8024"/>
    <mergeCell ref="F8013:F8015"/>
    <mergeCell ref="F7968:F7969"/>
    <mergeCell ref="F7964:F7965"/>
    <mergeCell ref="F7966:F7967"/>
    <mergeCell ref="F7994:F7995"/>
    <mergeCell ref="F8085:F8088"/>
    <mergeCell ref="F8082:F8084"/>
    <mergeCell ref="F8073:F8074"/>
    <mergeCell ref="F8128:F8131"/>
    <mergeCell ref="F8089:F8090"/>
    <mergeCell ref="F8107:F8109"/>
    <mergeCell ref="F8110:F8112"/>
    <mergeCell ref="F7944:F7946"/>
    <mergeCell ref="F7822:F7823"/>
    <mergeCell ref="F7826:F7827"/>
    <mergeCell ref="F7828:F7829"/>
    <mergeCell ref="F7830:F7831"/>
    <mergeCell ref="F7868:F7870"/>
    <mergeCell ref="F7871:F7872"/>
    <mergeCell ref="F7856:F7857"/>
    <mergeCell ref="F7847:F7849"/>
    <mergeCell ref="F7893:F7894"/>
    <mergeCell ref="F7905:F7906"/>
    <mergeCell ref="F7909:F7910"/>
    <mergeCell ref="F7911:F7912"/>
    <mergeCell ref="F8030:F8031"/>
    <mergeCell ref="F8077:F8078"/>
    <mergeCell ref="F7976:F7977"/>
    <mergeCell ref="F7972:F7973"/>
    <mergeCell ref="F7950:F7951"/>
    <mergeCell ref="F7913:F7915"/>
    <mergeCell ref="F7919:F7920"/>
    <mergeCell ref="F7916:F7918"/>
    <mergeCell ref="F7996:F7997"/>
    <mergeCell ref="F7990:F7991"/>
    <mergeCell ref="F7845:F7846"/>
    <mergeCell ref="F7886:F7887"/>
    <mergeCell ref="F7807:F7808"/>
    <mergeCell ref="F7907:F7908"/>
    <mergeCell ref="F7897:F7898"/>
    <mergeCell ref="F7841:F7842"/>
    <mergeCell ref="F7860:F7861"/>
    <mergeCell ref="F7866:F7867"/>
    <mergeCell ref="F7571:F7573"/>
    <mergeCell ref="F7574:F7575"/>
    <mergeCell ref="F7576:F7577"/>
    <mergeCell ref="F7766:F7769"/>
    <mergeCell ref="F7770:F7771"/>
    <mergeCell ref="F7772:F7773"/>
    <mergeCell ref="F7774:F7775"/>
    <mergeCell ref="F7649:F7651"/>
    <mergeCell ref="F7642:F7643"/>
    <mergeCell ref="F7586:F7587"/>
    <mergeCell ref="F7663:F7664"/>
    <mergeCell ref="F7665:F7666"/>
    <mergeCell ref="F7652:F7653"/>
    <mergeCell ref="F7621:F7623"/>
    <mergeCell ref="F7624:F7626"/>
    <mergeCell ref="F7634:F7636"/>
    <mergeCell ref="F7659:F7660"/>
    <mergeCell ref="F7597:F7598"/>
    <mergeCell ref="F7607:F7608"/>
    <mergeCell ref="F7609:F7610"/>
    <mergeCell ref="F7611:F7612"/>
    <mergeCell ref="F7615:F7616"/>
    <mergeCell ref="F7627:F7630"/>
    <mergeCell ref="F7716:F7717"/>
    <mergeCell ref="F7699:F7700"/>
    <mergeCell ref="F7757:F7760"/>
    <mergeCell ref="F7722:F7723"/>
    <mergeCell ref="F7720:F7721"/>
    <mergeCell ref="F7701:F7703"/>
    <mergeCell ref="F7711:F7713"/>
    <mergeCell ref="F7714:F7715"/>
    <mergeCell ref="F7746:F7749"/>
    <mergeCell ref="F7568:F7570"/>
    <mergeCell ref="F7465:F7467"/>
    <mergeCell ref="F7444:F7446"/>
    <mergeCell ref="F7496:F7497"/>
    <mergeCell ref="F7503:F7506"/>
    <mergeCell ref="F7899:F7900"/>
    <mergeCell ref="F7901:F7902"/>
    <mergeCell ref="F7903:F7904"/>
    <mergeCell ref="F7696:F7698"/>
    <mergeCell ref="F7684:F7687"/>
    <mergeCell ref="F7675:F7677"/>
    <mergeCell ref="F7673:F7674"/>
    <mergeCell ref="F7667:F7668"/>
    <mergeCell ref="F7669:F7670"/>
    <mergeCell ref="F7671:F7672"/>
    <mergeCell ref="F7688:F7690"/>
    <mergeCell ref="F7782:F7783"/>
    <mergeCell ref="F7776:F7777"/>
    <mergeCell ref="F7691:F7693"/>
    <mergeCell ref="F7838:F7840"/>
    <mergeCell ref="F7790:F7792"/>
    <mergeCell ref="F7761:F7763"/>
    <mergeCell ref="F7724:F7725"/>
    <mergeCell ref="F7542:F7544"/>
    <mergeCell ref="F7545:F7546"/>
    <mergeCell ref="F7619:F7620"/>
    <mergeCell ref="F7599:F7602"/>
    <mergeCell ref="F7580:F7581"/>
    <mergeCell ref="F7582:F7583"/>
    <mergeCell ref="F7584:F7585"/>
    <mergeCell ref="F7547:F7550"/>
    <mergeCell ref="F7551:F7553"/>
    <mergeCell ref="F7527:F7528"/>
    <mergeCell ref="F7451:F7452"/>
    <mergeCell ref="F7453:F7454"/>
    <mergeCell ref="F7455:F7456"/>
    <mergeCell ref="F7457:F7458"/>
    <mergeCell ref="F7459:F7460"/>
    <mergeCell ref="F7461:F7462"/>
    <mergeCell ref="F7463:F7464"/>
    <mergeCell ref="F7529:F7530"/>
    <mergeCell ref="F7531:F7532"/>
    <mergeCell ref="F7533:F7534"/>
    <mergeCell ref="F7523:F7524"/>
    <mergeCell ref="F7554:F7556"/>
    <mergeCell ref="F7559:F7561"/>
    <mergeCell ref="F7565:F7567"/>
    <mergeCell ref="F7562:F7564"/>
    <mergeCell ref="F7557:F7558"/>
    <mergeCell ref="F7594:F7596"/>
    <mergeCell ref="F7535:F7537"/>
    <mergeCell ref="F7538:F7541"/>
    <mergeCell ref="F7166:F7167"/>
    <mergeCell ref="F7337:F7339"/>
    <mergeCell ref="F7340:F7342"/>
    <mergeCell ref="F7328:F7330"/>
    <mergeCell ref="F7331:F7333"/>
    <mergeCell ref="F7491:F7492"/>
    <mergeCell ref="F7477:F7478"/>
    <mergeCell ref="F7479:F7480"/>
    <mergeCell ref="F7481:F7482"/>
    <mergeCell ref="F7483:F7484"/>
    <mergeCell ref="F7434:F7435"/>
    <mergeCell ref="F7308:F7310"/>
    <mergeCell ref="F7507:F7509"/>
    <mergeCell ref="F7510:F7512"/>
    <mergeCell ref="F7513:F7515"/>
    <mergeCell ref="F7516:F7518"/>
    <mergeCell ref="F7519:F7520"/>
    <mergeCell ref="F7182:F7184"/>
    <mergeCell ref="F7194:F7196"/>
    <mergeCell ref="F7197:F7198"/>
    <mergeCell ref="F7211:F7213"/>
    <mergeCell ref="F7224:F7225"/>
    <mergeCell ref="F7234:F7236"/>
    <mergeCell ref="F7202:F7204"/>
    <mergeCell ref="F7447:F7450"/>
    <mergeCell ref="F7493:F7495"/>
    <mergeCell ref="F7436:F7437"/>
    <mergeCell ref="F7438:F7439"/>
    <mergeCell ref="F7430:F7431"/>
    <mergeCell ref="F7268:F7270"/>
    <mergeCell ref="F7271:F7273"/>
    <mergeCell ref="F7274:F7276"/>
    <mergeCell ref="F7241:F7242"/>
    <mergeCell ref="F7188:F7190"/>
    <mergeCell ref="F7191:F7193"/>
    <mergeCell ref="F7363:F7364"/>
    <mergeCell ref="F7299:F7300"/>
    <mergeCell ref="F7161:F7163"/>
    <mergeCell ref="F7228:F7229"/>
    <mergeCell ref="F7440:F7441"/>
    <mergeCell ref="F7432:F7433"/>
    <mergeCell ref="F7164:F7165"/>
    <mergeCell ref="F7257:F7258"/>
    <mergeCell ref="F7177:F7178"/>
    <mergeCell ref="F7489:F7490"/>
    <mergeCell ref="F7324:F7325"/>
    <mergeCell ref="F7239:F7240"/>
    <mergeCell ref="F7080:F7082"/>
    <mergeCell ref="F7098:F7099"/>
    <mergeCell ref="F7168:F7169"/>
    <mergeCell ref="F7474:F7476"/>
    <mergeCell ref="F7311:F7313"/>
    <mergeCell ref="F7301:F7303"/>
    <mergeCell ref="F7314:F7315"/>
    <mergeCell ref="F7442:F7443"/>
    <mergeCell ref="F7365:F7367"/>
    <mergeCell ref="F7397:F7398"/>
    <mergeCell ref="F7104:F7105"/>
    <mergeCell ref="F7170:F7171"/>
    <mergeCell ref="F7185:F7187"/>
    <mergeCell ref="F7142:F7146"/>
    <mergeCell ref="F7208:F7210"/>
    <mergeCell ref="F7205:F7207"/>
    <mergeCell ref="F7428:F7429"/>
    <mergeCell ref="F7156:F7158"/>
    <mergeCell ref="F7153:F7155"/>
    <mergeCell ref="F7357:F7358"/>
    <mergeCell ref="F7129:F7130"/>
    <mergeCell ref="F7316:F7317"/>
    <mergeCell ref="F7393:F7394"/>
    <mergeCell ref="F7326:F7327"/>
    <mergeCell ref="F7289:F7290"/>
    <mergeCell ref="F7291:F7292"/>
    <mergeCell ref="F7245:F7248"/>
    <mergeCell ref="F7249:F7250"/>
    <mergeCell ref="F7117:F7119"/>
    <mergeCell ref="F7297:F7298"/>
    <mergeCell ref="F7383:F7384"/>
    <mergeCell ref="F7095:F7097"/>
    <mergeCell ref="F7083:F7085"/>
    <mergeCell ref="F7086:F7088"/>
    <mergeCell ref="F7150:F7152"/>
    <mergeCell ref="F7147:F7149"/>
    <mergeCell ref="F7106:F7107"/>
    <mergeCell ref="F7108:F7109"/>
    <mergeCell ref="F7110:F7111"/>
    <mergeCell ref="F7112:F7113"/>
    <mergeCell ref="F7114:F7116"/>
    <mergeCell ref="F7120:F7122"/>
    <mergeCell ref="F7100:F7101"/>
    <mergeCell ref="F7102:F7103"/>
    <mergeCell ref="F7140:F7141"/>
    <mergeCell ref="F7216:F7218"/>
    <mergeCell ref="F7284:F7285"/>
    <mergeCell ref="F7265:F7267"/>
    <mergeCell ref="F7359:F7360"/>
    <mergeCell ref="F7351:F7352"/>
    <mergeCell ref="F7334:F7336"/>
    <mergeCell ref="F7347:F7348"/>
    <mergeCell ref="F7306:F7307"/>
    <mergeCell ref="F7022:F7023"/>
    <mergeCell ref="F6972:F6973"/>
    <mergeCell ref="F7005:F7007"/>
    <mergeCell ref="F7055:F7057"/>
    <mergeCell ref="F7058:F7060"/>
    <mergeCell ref="F7008:F7010"/>
    <mergeCell ref="F7019:F7021"/>
    <mergeCell ref="F7014:F7018"/>
    <mergeCell ref="F7024:F7025"/>
    <mergeCell ref="F7026:F7027"/>
    <mergeCell ref="F7067:F7068"/>
    <mergeCell ref="F7030:F7031"/>
    <mergeCell ref="F7138:F7139"/>
    <mergeCell ref="F7046:F7048"/>
    <mergeCell ref="F7131:F7132"/>
    <mergeCell ref="F7052:F7054"/>
    <mergeCell ref="F7037:F7038"/>
    <mergeCell ref="F7049:F7051"/>
    <mergeCell ref="F7069:F7071"/>
    <mergeCell ref="F7072:F7074"/>
    <mergeCell ref="F7075:F7076"/>
    <mergeCell ref="F7077:F7079"/>
    <mergeCell ref="F7123:F7125"/>
    <mergeCell ref="F7011:F7013"/>
    <mergeCell ref="F7001:F7004"/>
    <mergeCell ref="F7028:F7029"/>
    <mergeCell ref="F7039:F7042"/>
    <mergeCell ref="F7032:F7034"/>
    <mergeCell ref="F7035:F7036"/>
    <mergeCell ref="F7043:F7045"/>
    <mergeCell ref="F7061:F7063"/>
    <mergeCell ref="F7064:F7066"/>
    <mergeCell ref="F6930:F6933"/>
    <mergeCell ref="F6938:F6942"/>
    <mergeCell ref="F6934:F6937"/>
    <mergeCell ref="F6962:F6963"/>
    <mergeCell ref="F6964:F6965"/>
    <mergeCell ref="F6966:F6967"/>
    <mergeCell ref="F6918:F6920"/>
    <mergeCell ref="F6869:F6870"/>
    <mergeCell ref="F6878:F6880"/>
    <mergeCell ref="F6924:F6925"/>
    <mergeCell ref="F6951:F6953"/>
    <mergeCell ref="F6948:F6950"/>
    <mergeCell ref="F6999:F7000"/>
    <mergeCell ref="F6987:F6988"/>
    <mergeCell ref="F6989:F6991"/>
    <mergeCell ref="F6960:F6961"/>
    <mergeCell ref="F6970:F6971"/>
    <mergeCell ref="F6943:F6945"/>
    <mergeCell ref="F6946:F6947"/>
    <mergeCell ref="F6974:F6977"/>
    <mergeCell ref="F6968:F6969"/>
    <mergeCell ref="F6980:F6982"/>
    <mergeCell ref="F6992:F6993"/>
    <mergeCell ref="F6994:F6995"/>
    <mergeCell ref="F6996:F6998"/>
    <mergeCell ref="F6983:F6986"/>
    <mergeCell ref="F6978:F6979"/>
    <mergeCell ref="F6784:F6785"/>
    <mergeCell ref="F6786:F6787"/>
    <mergeCell ref="F6804:F6808"/>
    <mergeCell ref="F6817:F6819"/>
    <mergeCell ref="F6820:F6821"/>
    <mergeCell ref="F6814:F6816"/>
    <mergeCell ref="F6788:F6790"/>
    <mergeCell ref="F6825:F6826"/>
    <mergeCell ref="F6921:F6923"/>
    <mergeCell ref="F6801:F6803"/>
    <mergeCell ref="F6822:F6824"/>
    <mergeCell ref="F6811:F6813"/>
    <mergeCell ref="F6795:F6797"/>
    <mergeCell ref="F6827:F6828"/>
    <mergeCell ref="F6829:F6830"/>
    <mergeCell ref="F6837:F6838"/>
    <mergeCell ref="F6835:F6836"/>
    <mergeCell ref="F6809:F6810"/>
    <mergeCell ref="F6798:F6800"/>
    <mergeCell ref="F6907:F6908"/>
    <mergeCell ref="F6909:F6910"/>
    <mergeCell ref="F6911:F6912"/>
    <mergeCell ref="F6859:F6861"/>
    <mergeCell ref="F6865:F6868"/>
    <mergeCell ref="F6894:F6895"/>
    <mergeCell ref="F6896:F6897"/>
    <mergeCell ref="F6904:F6906"/>
    <mergeCell ref="F6902:F6903"/>
    <mergeCell ref="F6898:F6899"/>
    <mergeCell ref="F6900:F6901"/>
    <mergeCell ref="F6871:F6874"/>
    <mergeCell ref="F6434:F6435"/>
    <mergeCell ref="F6289:F6291"/>
    <mergeCell ref="F6375:F6376"/>
    <mergeCell ref="F6347:F6351"/>
    <mergeCell ref="F6382:F6383"/>
    <mergeCell ref="F6402:F6404"/>
    <mergeCell ref="F6413:F6415"/>
    <mergeCell ref="F6397:F6398"/>
    <mergeCell ref="F6418:F6419"/>
    <mergeCell ref="F6377:F6381"/>
    <mergeCell ref="F6440:F6442"/>
    <mergeCell ref="F6954:F6956"/>
    <mergeCell ref="F6957:F6959"/>
    <mergeCell ref="F6926:F6927"/>
    <mergeCell ref="F6851:F6852"/>
    <mergeCell ref="F6853:F6855"/>
    <mergeCell ref="F6841:F6842"/>
    <mergeCell ref="F6845:F6847"/>
    <mergeCell ref="F6848:F6850"/>
    <mergeCell ref="F6889:F6891"/>
    <mergeCell ref="F6751:F6753"/>
    <mergeCell ref="F6758:F6760"/>
    <mergeCell ref="F6650:F6652"/>
    <mergeCell ref="F6653:F6655"/>
    <mergeCell ref="F6698:F6699"/>
    <mergeCell ref="F6740:F6742"/>
    <mergeCell ref="F6743:F6744"/>
    <mergeCell ref="F6747:F6748"/>
    <mergeCell ref="F6766:F6767"/>
    <mergeCell ref="F6737:F6739"/>
    <mergeCell ref="F6928:F6929"/>
    <mergeCell ref="F6856:F6858"/>
    <mergeCell ref="F6438:F6439"/>
    <mergeCell ref="F6327:F6328"/>
    <mergeCell ref="F6329:F6330"/>
    <mergeCell ref="F6331:F6332"/>
    <mergeCell ref="F6333:F6334"/>
    <mergeCell ref="F6335:F6337"/>
    <mergeCell ref="F6292:F6293"/>
    <mergeCell ref="F6294:F6295"/>
    <mergeCell ref="F6296:F6297"/>
    <mergeCell ref="F6298:F6299"/>
    <mergeCell ref="F6411:F6412"/>
    <mergeCell ref="F6307:F6308"/>
    <mergeCell ref="F6309:F6310"/>
    <mergeCell ref="F6320:F6321"/>
    <mergeCell ref="F6322:F6323"/>
    <mergeCell ref="F6408:F6410"/>
    <mergeCell ref="F6416:F6417"/>
    <mergeCell ref="F6352:F6356"/>
    <mergeCell ref="F6344:F6346"/>
    <mergeCell ref="F6302:F6306"/>
    <mergeCell ref="F6300:F6301"/>
    <mergeCell ref="F6317:F6319"/>
    <mergeCell ref="F6426:F6428"/>
    <mergeCell ref="F6429:F6431"/>
    <mergeCell ref="F6436:F6437"/>
    <mergeCell ref="F6357:F6359"/>
    <mergeCell ref="F6405:F6407"/>
    <mergeCell ref="F6311:F6313"/>
    <mergeCell ref="F6314:F6316"/>
    <mergeCell ref="F6338:F6340"/>
    <mergeCell ref="F6341:F6343"/>
    <mergeCell ref="F6432:F6433"/>
    <mergeCell ref="F6423:F6425"/>
    <mergeCell ref="F6268:F6270"/>
    <mergeCell ref="F6276:F6278"/>
    <mergeCell ref="F6271:F6272"/>
    <mergeCell ref="F6273:F6275"/>
    <mergeCell ref="F6220:F6221"/>
    <mergeCell ref="F6224:F6226"/>
    <mergeCell ref="F6222:F6223"/>
    <mergeCell ref="F6227:F6229"/>
    <mergeCell ref="F6249:F6251"/>
    <mergeCell ref="F6254:F6258"/>
    <mergeCell ref="F6244:F6246"/>
    <mergeCell ref="F6395:F6396"/>
    <mergeCell ref="F6399:F6401"/>
    <mergeCell ref="F6420:F6422"/>
    <mergeCell ref="F6384:F6386"/>
    <mergeCell ref="F6387:F6388"/>
    <mergeCell ref="F6389:F6391"/>
    <mergeCell ref="F6392:F6394"/>
    <mergeCell ref="F6282:F6284"/>
    <mergeCell ref="F6369:F6370"/>
    <mergeCell ref="F6371:F6372"/>
    <mergeCell ref="F6373:F6374"/>
    <mergeCell ref="F6285:F6286"/>
    <mergeCell ref="F6287:F6288"/>
    <mergeCell ref="F6324:F6326"/>
    <mergeCell ref="F6364:F6366"/>
    <mergeCell ref="F6360:F6361"/>
    <mergeCell ref="F6362:F6363"/>
    <mergeCell ref="F6367:F6368"/>
    <mergeCell ref="F6202:F6203"/>
    <mergeCell ref="F6233:F6235"/>
    <mergeCell ref="F6215:F6217"/>
    <mergeCell ref="F6218:F6219"/>
    <mergeCell ref="F6212:F6214"/>
    <mergeCell ref="F6230:F6232"/>
    <mergeCell ref="F6247:F6248"/>
    <mergeCell ref="F6252:F6253"/>
    <mergeCell ref="F6259:F6261"/>
    <mergeCell ref="F6236:F6237"/>
    <mergeCell ref="F6238:F6239"/>
    <mergeCell ref="F6240:F6241"/>
    <mergeCell ref="F6242:F6243"/>
    <mergeCell ref="F6265:F6267"/>
    <mergeCell ref="F6262:F6264"/>
    <mergeCell ref="F6002:F6003"/>
    <mergeCell ref="F6070:F6071"/>
    <mergeCell ref="F6072:F6073"/>
    <mergeCell ref="F6051:F6052"/>
    <mergeCell ref="F6008:F6009"/>
    <mergeCell ref="F6034:F6035"/>
    <mergeCell ref="F6016:F6018"/>
    <mergeCell ref="F6121:F6123"/>
    <mergeCell ref="F6195:F6196"/>
    <mergeCell ref="F6192:F6194"/>
    <mergeCell ref="F5999:F6001"/>
    <mergeCell ref="F6029:F6031"/>
    <mergeCell ref="F6032:F6033"/>
    <mergeCell ref="F6004:F6005"/>
    <mergeCell ref="F6169:F6171"/>
    <mergeCell ref="F6172:F6174"/>
    <mergeCell ref="F6181:F6183"/>
    <mergeCell ref="F6184:F6185"/>
    <mergeCell ref="F6186:F6187"/>
    <mergeCell ref="F6188:F6189"/>
    <mergeCell ref="F6190:F6191"/>
    <mergeCell ref="F6165:F6166"/>
    <mergeCell ref="F6167:F6168"/>
    <mergeCell ref="F6140:F6142"/>
    <mergeCell ref="F6143:F6145"/>
    <mergeCell ref="F6146:F6147"/>
    <mergeCell ref="F6148:F6149"/>
    <mergeCell ref="F6150:F6152"/>
    <mergeCell ref="F6103:F6105"/>
    <mergeCell ref="F6110:F6111"/>
    <mergeCell ref="F6106:F6107"/>
    <mergeCell ref="F5927:F5928"/>
    <mergeCell ref="F5817:F5818"/>
    <mergeCell ref="F5904:F5906"/>
    <mergeCell ref="F5867:F5869"/>
    <mergeCell ref="F5937:F5939"/>
    <mergeCell ref="F5940:F5942"/>
    <mergeCell ref="F5793:F5795"/>
    <mergeCell ref="F6175:F6177"/>
    <mergeCell ref="F6178:F6180"/>
    <mergeCell ref="F6153:F6155"/>
    <mergeCell ref="F6134:F6136"/>
    <mergeCell ref="F6137:F6139"/>
    <mergeCell ref="F6039:F6041"/>
    <mergeCell ref="F6042:F6043"/>
    <mergeCell ref="F6044:F6046"/>
    <mergeCell ref="F6047:F6048"/>
    <mergeCell ref="F5782:F5784"/>
    <mergeCell ref="F5943:F5944"/>
    <mergeCell ref="F5889:F5891"/>
    <mergeCell ref="F5892:F5893"/>
    <mergeCell ref="F5898:F5900"/>
    <mergeCell ref="F5913:F5914"/>
    <mergeCell ref="F5883:F5886"/>
    <mergeCell ref="F5915:F5917"/>
    <mergeCell ref="F5918:F5920"/>
    <mergeCell ref="F5837:F5839"/>
    <mergeCell ref="F5840:F5841"/>
    <mergeCell ref="F5842:F5844"/>
    <mergeCell ref="F5848:F5850"/>
    <mergeCell ref="F5881:F5882"/>
    <mergeCell ref="F5896:F5897"/>
    <mergeCell ref="F5921:F5922"/>
    <mergeCell ref="F5699:F5701"/>
    <mergeCell ref="F5708:F5710"/>
    <mergeCell ref="F5650:F5651"/>
    <mergeCell ref="F5652:F5653"/>
    <mergeCell ref="F5678:F5680"/>
    <mergeCell ref="F5734:F5735"/>
    <mergeCell ref="F5736:F5737"/>
    <mergeCell ref="F5738:F5739"/>
    <mergeCell ref="F5687:F5689"/>
    <mergeCell ref="F5690:F5692"/>
    <mergeCell ref="F5860:F5861"/>
    <mergeCell ref="F5862:F5863"/>
    <mergeCell ref="F5740:F5743"/>
    <mergeCell ref="F5856:F5857"/>
    <mergeCell ref="F5879:F5880"/>
    <mergeCell ref="F5845:F5847"/>
    <mergeCell ref="F5864:F5866"/>
    <mergeCell ref="F5823:F5825"/>
    <mergeCell ref="F5813:F5814"/>
    <mergeCell ref="F5811:F5812"/>
    <mergeCell ref="F5802:F5804"/>
    <mergeCell ref="F5805:F5806"/>
    <mergeCell ref="F5787:F5789"/>
    <mergeCell ref="F5815:F5816"/>
    <mergeCell ref="F5876:F5878"/>
    <mergeCell ref="F5870:F5872"/>
    <mergeCell ref="F5831:F5833"/>
    <mergeCell ref="F5853:F5855"/>
    <mergeCell ref="F5851:F5852"/>
    <mergeCell ref="F5482:F5485"/>
    <mergeCell ref="F5493:F5495"/>
    <mergeCell ref="F5654:F5655"/>
    <mergeCell ref="F5711:F5713"/>
    <mergeCell ref="F5714:F5716"/>
    <mergeCell ref="F5717:F5719"/>
    <mergeCell ref="F5873:F5875"/>
    <mergeCell ref="F5821:F5822"/>
    <mergeCell ref="F5785:F5786"/>
    <mergeCell ref="F5829:F5830"/>
    <mergeCell ref="F5777:F5778"/>
    <mergeCell ref="F5779:F5781"/>
    <mergeCell ref="F5744:F5746"/>
    <mergeCell ref="F5702:F5704"/>
    <mergeCell ref="F5648:F5649"/>
    <mergeCell ref="F5747:F5749"/>
    <mergeCell ref="F5809:F5810"/>
    <mergeCell ref="F5770:F5772"/>
    <mergeCell ref="F5759:F5761"/>
    <mergeCell ref="F5608:F5609"/>
    <mergeCell ref="F5610:F5611"/>
    <mergeCell ref="F5656:F5658"/>
    <mergeCell ref="F5606:F5607"/>
    <mergeCell ref="F5732:F5733"/>
    <mergeCell ref="F5826:F5828"/>
    <mergeCell ref="F5807:F5808"/>
    <mergeCell ref="F5720:F5722"/>
    <mergeCell ref="F5696:F5698"/>
    <mergeCell ref="F5641:F5643"/>
    <mergeCell ref="F5621:F5622"/>
    <mergeCell ref="F5667:F5669"/>
    <mergeCell ref="F5672:F5674"/>
    <mergeCell ref="F4972:F4974"/>
    <mergeCell ref="F4975:F4977"/>
    <mergeCell ref="F4978:F4980"/>
    <mergeCell ref="F4960:F4962"/>
    <mergeCell ref="F4857:F4859"/>
    <mergeCell ref="F4860:F4861"/>
    <mergeCell ref="F4947:F4949"/>
    <mergeCell ref="F4931:F4932"/>
    <mergeCell ref="F4888:F4889"/>
    <mergeCell ref="F5227:F5228"/>
    <mergeCell ref="F5244:F5247"/>
    <mergeCell ref="F5273:F5276"/>
    <mergeCell ref="F5160:F5161"/>
    <mergeCell ref="F5229:F5232"/>
    <mergeCell ref="F5233:F5236"/>
    <mergeCell ref="F5237:F5240"/>
    <mergeCell ref="F5256:F5258"/>
    <mergeCell ref="F5270:F5272"/>
    <mergeCell ref="F5205:F5206"/>
    <mergeCell ref="F4963:F4965"/>
    <mergeCell ref="F4966:F4968"/>
    <mergeCell ref="F4941:F4943"/>
    <mergeCell ref="F4894:F4896"/>
    <mergeCell ref="F5091:F5093"/>
    <mergeCell ref="F5134:F5135"/>
    <mergeCell ref="F5136:F5137"/>
    <mergeCell ref="F5138:F5139"/>
    <mergeCell ref="F5140:F5141"/>
    <mergeCell ref="F5114:F5115"/>
    <mergeCell ref="F5102:F5104"/>
    <mergeCell ref="F5077:F5079"/>
    <mergeCell ref="F5088:F5090"/>
    <mergeCell ref="F4821:F4823"/>
    <mergeCell ref="F5382:F5385"/>
    <mergeCell ref="F5386:F5389"/>
    <mergeCell ref="F5390:F5392"/>
    <mergeCell ref="F5411:F5414"/>
    <mergeCell ref="F5433:F5435"/>
    <mergeCell ref="F5436:F5438"/>
    <mergeCell ref="F5636:F5637"/>
    <mergeCell ref="F5544:F5546"/>
    <mergeCell ref="F5556:F5558"/>
    <mergeCell ref="F5559:F5561"/>
    <mergeCell ref="F5540:F5541"/>
    <mergeCell ref="F5542:F5543"/>
    <mergeCell ref="F5550:F5553"/>
    <mergeCell ref="F5525:F5527"/>
    <mergeCell ref="F5472:F5474"/>
    <mergeCell ref="F5511:F5514"/>
    <mergeCell ref="F5508:F5510"/>
    <mergeCell ref="F5475:F5477"/>
    <mergeCell ref="F5478:F5481"/>
    <mergeCell ref="F5486:F5488"/>
    <mergeCell ref="F5633:F5635"/>
    <mergeCell ref="F5378:F5381"/>
    <mergeCell ref="F5042:F5043"/>
    <mergeCell ref="F5176:F5177"/>
    <mergeCell ref="F5164:F5165"/>
    <mergeCell ref="F5142:F5145"/>
    <mergeCell ref="F5158:F5159"/>
    <mergeCell ref="F5071:F5073"/>
    <mergeCell ref="F5241:F5243"/>
    <mergeCell ref="F5277:F5280"/>
    <mergeCell ref="F5225:F5226"/>
    <mergeCell ref="F4812:F4813"/>
    <mergeCell ref="F4829:F4831"/>
    <mergeCell ref="F4800:F4801"/>
    <mergeCell ref="F4981:F4983"/>
    <mergeCell ref="F4892:F4893"/>
    <mergeCell ref="F4939:F4940"/>
    <mergeCell ref="F4996:F4997"/>
    <mergeCell ref="F5034:F5036"/>
    <mergeCell ref="F4862:F4863"/>
    <mergeCell ref="F4864:F4865"/>
    <mergeCell ref="F4866:F4867"/>
    <mergeCell ref="F4850:F4854"/>
    <mergeCell ref="F4837:F4839"/>
    <mergeCell ref="F4842:F4843"/>
    <mergeCell ref="F4844:F4845"/>
    <mergeCell ref="F4868:F4870"/>
    <mergeCell ref="F4840:F4841"/>
    <mergeCell ref="F4834:F4836"/>
    <mergeCell ref="F5017:F5021"/>
    <mergeCell ref="F5031:F5033"/>
    <mergeCell ref="F5006:F5008"/>
    <mergeCell ref="F5012:F5014"/>
    <mergeCell ref="F4832:F4833"/>
    <mergeCell ref="F4814:F4818"/>
    <mergeCell ref="F4819:F4820"/>
    <mergeCell ref="F4827:F4828"/>
    <mergeCell ref="F4950:F4952"/>
    <mergeCell ref="F4906:F4908"/>
    <mergeCell ref="F4909:F4911"/>
    <mergeCell ref="F4912:F4913"/>
    <mergeCell ref="F4914:F4915"/>
    <mergeCell ref="F4808:F4809"/>
    <mergeCell ref="F4810:F4811"/>
    <mergeCell ref="F4715:F4717"/>
    <mergeCell ref="F4718:F4720"/>
    <mergeCell ref="F4663:F4665"/>
    <mergeCell ref="F4657:F4660"/>
    <mergeCell ref="F4637:F4639"/>
    <mergeCell ref="F4649:F4650"/>
    <mergeCell ref="F4696:F4697"/>
    <mergeCell ref="F4704:F4705"/>
    <mergeCell ref="F4706:F4707"/>
    <mergeCell ref="F4708:F4709"/>
    <mergeCell ref="F4779:F4781"/>
    <mergeCell ref="F4782:F4784"/>
    <mergeCell ref="F4758:F4760"/>
    <mergeCell ref="F4984:F4986"/>
    <mergeCell ref="F4953:F4955"/>
    <mergeCell ref="F4900:F4902"/>
    <mergeCell ref="F4883:F4887"/>
    <mergeCell ref="F4874:F4876"/>
    <mergeCell ref="F4721:F4723"/>
    <mergeCell ref="F4785:F4787"/>
    <mergeCell ref="F4741:F4744"/>
    <mergeCell ref="F4788:F4790"/>
    <mergeCell ref="F4755:F4757"/>
    <mergeCell ref="F4764:F4766"/>
    <mergeCell ref="F4767:F4769"/>
    <mergeCell ref="F4770:F4772"/>
    <mergeCell ref="F4773:F4775"/>
    <mergeCell ref="F4776:F4778"/>
    <mergeCell ref="F4806:F4807"/>
    <mergeCell ref="F4824:F4826"/>
    <mergeCell ref="F4651:F4652"/>
    <mergeCell ref="F4802:F4805"/>
    <mergeCell ref="F4594:F4595"/>
    <mergeCell ref="F4671:F4673"/>
    <mergeCell ref="F4724:F4728"/>
    <mergeCell ref="F4698:F4700"/>
    <mergeCell ref="F4701:F4703"/>
    <mergeCell ref="F4791:F4793"/>
    <mergeCell ref="F4794:F4796"/>
    <mergeCell ref="F4653:F4654"/>
    <mergeCell ref="F4655:F4656"/>
    <mergeCell ref="F4634:F4636"/>
    <mergeCell ref="F4661:F4662"/>
    <mergeCell ref="F4626:F4628"/>
    <mergeCell ref="F4640:F4642"/>
    <mergeCell ref="F4601:F4602"/>
    <mergeCell ref="F4623:F4625"/>
    <mergeCell ref="F4603:F4606"/>
    <mergeCell ref="F4607:F4609"/>
    <mergeCell ref="F4610:F4611"/>
    <mergeCell ref="F4616:F4618"/>
    <mergeCell ref="F4144:F4145"/>
    <mergeCell ref="F4150:F4152"/>
    <mergeCell ref="F4347:F4350"/>
    <mergeCell ref="F4305:F4307"/>
    <mergeCell ref="F4327:F4329"/>
    <mergeCell ref="F4451:F4452"/>
    <mergeCell ref="F4453:F4457"/>
    <mergeCell ref="F4397:F4399"/>
    <mergeCell ref="F4407:F4409"/>
    <mergeCell ref="F4433:F4435"/>
    <mergeCell ref="F4418:F4420"/>
    <mergeCell ref="F4447:F4448"/>
    <mergeCell ref="F4400:F4401"/>
    <mergeCell ref="F4362:F4363"/>
    <mergeCell ref="F4356:F4358"/>
    <mergeCell ref="F4395:F4396"/>
    <mergeCell ref="F4249:F4251"/>
    <mergeCell ref="F4255:F4257"/>
    <mergeCell ref="F4252:F4254"/>
    <mergeCell ref="F4366:F4367"/>
    <mergeCell ref="F4204:F4205"/>
    <mergeCell ref="F4243:F4245"/>
    <mergeCell ref="F4227:F4229"/>
    <mergeCell ref="F4278:F4279"/>
    <mergeCell ref="F4213:F4214"/>
    <mergeCell ref="F4308:F4311"/>
    <mergeCell ref="F4312:F4315"/>
    <mergeCell ref="F4297:F4298"/>
    <mergeCell ref="F4325:F4326"/>
    <mergeCell ref="F4351:F4355"/>
    <mergeCell ref="F4294:F4296"/>
    <mergeCell ref="F4272:F4273"/>
    <mergeCell ref="F4274:F4275"/>
    <mergeCell ref="F4280:F4281"/>
    <mergeCell ref="F4370:F4372"/>
    <mergeCell ref="F4373:F4375"/>
    <mergeCell ref="F4376:F4378"/>
    <mergeCell ref="F4368:F4369"/>
    <mergeCell ref="F4364:F4365"/>
    <mergeCell ref="F4359:F4361"/>
    <mergeCell ref="F4344:F4346"/>
    <mergeCell ref="F4337:F4341"/>
    <mergeCell ref="F4342:F4343"/>
    <mergeCell ref="F4215:F4217"/>
    <mergeCell ref="F4218:F4220"/>
    <mergeCell ref="F4230:F4232"/>
    <mergeCell ref="F3829:F3833"/>
    <mergeCell ref="F3834:F3835"/>
    <mergeCell ref="F3836:F3838"/>
    <mergeCell ref="F3949:F3950"/>
    <mergeCell ref="F3839:F3841"/>
    <mergeCell ref="F3842:F3843"/>
    <mergeCell ref="F3906:F3908"/>
    <mergeCell ref="F3909:F3911"/>
    <mergeCell ref="F3912:F3914"/>
    <mergeCell ref="F3915:F3917"/>
    <mergeCell ref="F3902:F3903"/>
    <mergeCell ref="F3886:F3888"/>
    <mergeCell ref="F3889:F3891"/>
    <mergeCell ref="F3904:F3905"/>
    <mergeCell ref="F3894:F3895"/>
    <mergeCell ref="F3896:F3897"/>
    <mergeCell ref="F3883:F3885"/>
    <mergeCell ref="F3892:F3893"/>
    <mergeCell ref="F3918:F3919"/>
    <mergeCell ref="F3920:F3922"/>
    <mergeCell ref="F3923:F3925"/>
    <mergeCell ref="F3926:F3928"/>
    <mergeCell ref="F3932:F3933"/>
    <mergeCell ref="F3942:F3945"/>
    <mergeCell ref="F3799:F3800"/>
    <mergeCell ref="F3801:F3802"/>
    <mergeCell ref="F3803:F3804"/>
    <mergeCell ref="F3805:F3806"/>
    <mergeCell ref="F3827:F3828"/>
    <mergeCell ref="F3807:F3809"/>
    <mergeCell ref="F3810:F3812"/>
    <mergeCell ref="F3813:F3815"/>
    <mergeCell ref="F3816:F3818"/>
    <mergeCell ref="F3819:F3820"/>
    <mergeCell ref="F3821:F3822"/>
    <mergeCell ref="F3823:F3824"/>
    <mergeCell ref="F3825:F3826"/>
    <mergeCell ref="F3796:F3798"/>
    <mergeCell ref="F3746:F3747"/>
    <mergeCell ref="F3900:F3901"/>
    <mergeCell ref="F3859:F3861"/>
    <mergeCell ref="F3866:F3867"/>
    <mergeCell ref="F3868:F3869"/>
    <mergeCell ref="F3873:F3875"/>
    <mergeCell ref="F3876:F3877"/>
    <mergeCell ref="F3880:F3882"/>
    <mergeCell ref="F3862:F3865"/>
    <mergeCell ref="F3775:F3776"/>
    <mergeCell ref="F3777:F3778"/>
    <mergeCell ref="F3779:F3780"/>
    <mergeCell ref="F3783:F3784"/>
    <mergeCell ref="F3788:F3790"/>
    <mergeCell ref="F3791:F3793"/>
    <mergeCell ref="F3794:F3795"/>
    <mergeCell ref="F3757:F3759"/>
    <mergeCell ref="F3763:F3765"/>
    <mergeCell ref="F3766:F3768"/>
    <mergeCell ref="F3769:F3771"/>
    <mergeCell ref="F3772:F3774"/>
    <mergeCell ref="F3785:F3787"/>
    <mergeCell ref="F3760:F3762"/>
    <mergeCell ref="F3898:F3899"/>
    <mergeCell ref="F3844:F3845"/>
    <mergeCell ref="F3846:F3849"/>
    <mergeCell ref="F3850:F3852"/>
    <mergeCell ref="F3853:F3855"/>
    <mergeCell ref="F3878:F3879"/>
    <mergeCell ref="F3870:F3872"/>
    <mergeCell ref="F3856:F3858"/>
    <mergeCell ref="F3691:F3692"/>
    <mergeCell ref="F3731:F3732"/>
    <mergeCell ref="F3733:F3734"/>
    <mergeCell ref="F3735:F3737"/>
    <mergeCell ref="F3693:F3695"/>
    <mergeCell ref="F3696:F3698"/>
    <mergeCell ref="F3699:F3701"/>
    <mergeCell ref="F3702:F3704"/>
    <mergeCell ref="F3705:F3707"/>
    <mergeCell ref="F3708:F3710"/>
    <mergeCell ref="F3711:F3713"/>
    <mergeCell ref="F3717:F3719"/>
    <mergeCell ref="F3720:F3722"/>
    <mergeCell ref="F3738:F3739"/>
    <mergeCell ref="F3744:F3745"/>
    <mergeCell ref="F3740:F3741"/>
    <mergeCell ref="F3781:F3782"/>
    <mergeCell ref="F3750:F3751"/>
    <mergeCell ref="F3752:F3753"/>
    <mergeCell ref="F3754:F3756"/>
    <mergeCell ref="F3748:F3749"/>
    <mergeCell ref="F3742:F3743"/>
    <mergeCell ref="F3549:F3550"/>
    <mergeCell ref="F3507:F3509"/>
    <mergeCell ref="F3510:F3512"/>
    <mergeCell ref="F3513:F3515"/>
    <mergeCell ref="F3516:F3518"/>
    <mergeCell ref="F3504:F3506"/>
    <mergeCell ref="F3613:F3615"/>
    <mergeCell ref="F3616:F3618"/>
    <mergeCell ref="F3650:F3651"/>
    <mergeCell ref="F3652:F3654"/>
    <mergeCell ref="F3572:F3573"/>
    <mergeCell ref="F3574:F3575"/>
    <mergeCell ref="F3576:F3577"/>
    <mergeCell ref="F3578:F3579"/>
    <mergeCell ref="F3637:F3639"/>
    <mergeCell ref="F3555:F3557"/>
    <mergeCell ref="F3622:F3624"/>
    <mergeCell ref="F3629:F3630"/>
    <mergeCell ref="F3631:F3632"/>
    <mergeCell ref="F3633:F3634"/>
    <mergeCell ref="F3635:F3636"/>
    <mergeCell ref="F3604:F3606"/>
    <mergeCell ref="F3558:F3560"/>
    <mergeCell ref="F3601:F3603"/>
    <mergeCell ref="F3567:F3569"/>
    <mergeCell ref="F3570:F3571"/>
    <mergeCell ref="F3640:F3642"/>
    <mergeCell ref="F3561:F3563"/>
    <mergeCell ref="F3585:F3587"/>
    <mergeCell ref="F3525:F3526"/>
    <mergeCell ref="F3551:F3552"/>
    <mergeCell ref="F3531:F3532"/>
    <mergeCell ref="F3149:F3150"/>
    <mergeCell ref="F3155:F3156"/>
    <mergeCell ref="F3120:F3124"/>
    <mergeCell ref="F3125:F3127"/>
    <mergeCell ref="F3128:F3129"/>
    <mergeCell ref="F3130:F3132"/>
    <mergeCell ref="F3133:F3135"/>
    <mergeCell ref="F3249:F3250"/>
    <mergeCell ref="F3201:F3203"/>
    <mergeCell ref="F3211:F3215"/>
    <mergeCell ref="F3226:F3229"/>
    <mergeCell ref="F3193:F3194"/>
    <mergeCell ref="F3195:F3196"/>
    <mergeCell ref="F3197:F3198"/>
    <mergeCell ref="F3199:F3200"/>
    <mergeCell ref="F3175:F3176"/>
    <mergeCell ref="F3139:F3141"/>
    <mergeCell ref="F3163:F3165"/>
    <mergeCell ref="F3172:F3174"/>
    <mergeCell ref="F2802:F2803"/>
    <mergeCell ref="F3543:F3544"/>
    <mergeCell ref="F3177:F3179"/>
    <mergeCell ref="F3166:F3167"/>
    <mergeCell ref="F3168:F3171"/>
    <mergeCell ref="F3545:F3546"/>
    <mergeCell ref="F3547:F3548"/>
    <mergeCell ref="F3094:F3095"/>
    <mergeCell ref="F3096:F3098"/>
    <mergeCell ref="F3099:F3101"/>
    <mergeCell ref="F3105:F3106"/>
    <mergeCell ref="F2950:F2952"/>
    <mergeCell ref="F3102:F3104"/>
    <mergeCell ref="F3107:F3108"/>
    <mergeCell ref="F3109:F3110"/>
    <mergeCell ref="F3111:F3112"/>
    <mergeCell ref="F3113:F3114"/>
    <mergeCell ref="F2972:F2973"/>
    <mergeCell ref="F2989:F2990"/>
    <mergeCell ref="F2991:F2992"/>
    <mergeCell ref="F3004:F3005"/>
    <mergeCell ref="F3006:F3007"/>
    <mergeCell ref="F3023:F3025"/>
    <mergeCell ref="F2965:F2966"/>
    <mergeCell ref="F2953:F2954"/>
    <mergeCell ref="F2955:F2956"/>
    <mergeCell ref="F2957:F2958"/>
    <mergeCell ref="F2967:F2971"/>
    <mergeCell ref="F2984:F2988"/>
    <mergeCell ref="F3117:F3119"/>
    <mergeCell ref="F3142:F3143"/>
    <mergeCell ref="F3144:F3145"/>
    <mergeCell ref="F2506:F2507"/>
    <mergeCell ref="F2999:F3003"/>
    <mergeCell ref="F2959:F2960"/>
    <mergeCell ref="F2961:F2962"/>
    <mergeCell ref="F3064:F3066"/>
    <mergeCell ref="F3067:F3069"/>
    <mergeCell ref="F3034:F3036"/>
    <mergeCell ref="F3031:F3033"/>
    <mergeCell ref="F3037:F3039"/>
    <mergeCell ref="F2748:F2749"/>
    <mergeCell ref="F2750:F2751"/>
    <mergeCell ref="F2716:F2718"/>
    <mergeCell ref="F2941:F2943"/>
    <mergeCell ref="F2944:F2946"/>
    <mergeCell ref="F2905:F2907"/>
    <mergeCell ref="F2908:F2910"/>
    <mergeCell ref="F2911:F2913"/>
    <mergeCell ref="F2914:F2916"/>
    <mergeCell ref="F2917:F2919"/>
    <mergeCell ref="F2928:F2932"/>
    <mergeCell ref="F2896:F2897"/>
    <mergeCell ref="F2898:F2899"/>
    <mergeCell ref="F2887:F2889"/>
    <mergeCell ref="F2881:F2883"/>
    <mergeCell ref="F2884:F2886"/>
    <mergeCell ref="F2902:F2904"/>
    <mergeCell ref="F2894:F2895"/>
    <mergeCell ref="F2792:F2793"/>
    <mergeCell ref="F2794:F2795"/>
    <mergeCell ref="F2796:F2797"/>
    <mergeCell ref="F2798:F2799"/>
    <mergeCell ref="F2800:F2801"/>
    <mergeCell ref="F2352:F2353"/>
    <mergeCell ref="F2354:F2355"/>
    <mergeCell ref="F2767:F2768"/>
    <mergeCell ref="F2769:F2771"/>
    <mergeCell ref="F2772:F2774"/>
    <mergeCell ref="F2804:F2806"/>
    <mergeCell ref="F2820:F2822"/>
    <mergeCell ref="F2807:F2809"/>
    <mergeCell ref="F2810:F2812"/>
    <mergeCell ref="F2817:F2819"/>
    <mergeCell ref="F2230:F2231"/>
    <mergeCell ref="F2236:F2240"/>
    <mergeCell ref="F2456:F2458"/>
    <mergeCell ref="F2424:F2426"/>
    <mergeCell ref="F2427:F2429"/>
    <mergeCell ref="F2430:F2432"/>
    <mergeCell ref="F2407:F2408"/>
    <mergeCell ref="F2379:F2381"/>
    <mergeCell ref="F2382:F2384"/>
    <mergeCell ref="F2385:F2387"/>
    <mergeCell ref="F2388:F2390"/>
    <mergeCell ref="F2348:F2349"/>
    <mergeCell ref="F2575:F2576"/>
    <mergeCell ref="F2577:F2578"/>
    <mergeCell ref="F2579:F2580"/>
    <mergeCell ref="F2581:F2582"/>
    <mergeCell ref="F2599:F2601"/>
    <mergeCell ref="F2597:F2598"/>
    <mergeCell ref="F2573:F2574"/>
    <mergeCell ref="F2559:F2561"/>
    <mergeCell ref="F2498:F2499"/>
    <mergeCell ref="F2540:F2541"/>
    <mergeCell ref="F2192:F2193"/>
    <mergeCell ref="F2194:F2195"/>
    <mergeCell ref="F2205:F2207"/>
    <mergeCell ref="F2356:F2357"/>
    <mergeCell ref="F2358:F2359"/>
    <mergeCell ref="F2232:F2233"/>
    <mergeCell ref="F2234:F2235"/>
    <mergeCell ref="F2312:F2314"/>
    <mergeCell ref="F2306:F2308"/>
    <mergeCell ref="F2315:F2317"/>
    <mergeCell ref="F2367:F2370"/>
    <mergeCell ref="F2241:F2243"/>
    <mergeCell ref="F2475:F2477"/>
    <mergeCell ref="F2350:F2351"/>
    <mergeCell ref="F2444:F2446"/>
    <mergeCell ref="F2360:F2363"/>
    <mergeCell ref="F2364:F2366"/>
    <mergeCell ref="F2344:F2345"/>
    <mergeCell ref="F2401:F2402"/>
    <mergeCell ref="F2346:F2347"/>
    <mergeCell ref="F2335:F2336"/>
    <mergeCell ref="F2333:F2334"/>
    <mergeCell ref="F2421:F2423"/>
    <mergeCell ref="F2282:F2283"/>
    <mergeCell ref="F2321:F2324"/>
    <mergeCell ref="F2395:F2396"/>
    <mergeCell ref="F2405:F2406"/>
    <mergeCell ref="F2371:F2372"/>
    <mergeCell ref="F2373:F2374"/>
    <mergeCell ref="F2409:F2410"/>
    <mergeCell ref="F2375:F2378"/>
    <mergeCell ref="F2318:F2320"/>
    <mergeCell ref="F2286:F2287"/>
    <mergeCell ref="F2263:F2265"/>
    <mergeCell ref="F2278:F2279"/>
    <mergeCell ref="F2266:F2268"/>
    <mergeCell ref="F2269:F2271"/>
    <mergeCell ref="F2280:F2281"/>
    <mergeCell ref="F2275:F2277"/>
    <mergeCell ref="F2272:F2274"/>
    <mergeCell ref="F2299:F2300"/>
    <mergeCell ref="F2341:F2343"/>
    <mergeCell ref="F2288:F2290"/>
    <mergeCell ref="F2291:F2293"/>
    <mergeCell ref="F2294:F2296"/>
    <mergeCell ref="F2309:F2311"/>
    <mergeCell ref="F2303:F2305"/>
    <mergeCell ref="F2301:F2302"/>
    <mergeCell ref="F2297:F2298"/>
    <mergeCell ref="F2202:F2204"/>
    <mergeCell ref="F2179:F2181"/>
    <mergeCell ref="F2258:F2262"/>
    <mergeCell ref="F2284:F2285"/>
    <mergeCell ref="F2222:F2223"/>
    <mergeCell ref="F2153:F2154"/>
    <mergeCell ref="F2224:F2226"/>
    <mergeCell ref="F2167:F2169"/>
    <mergeCell ref="F2198:F2199"/>
    <mergeCell ref="F2211:F2212"/>
    <mergeCell ref="F2213:F2214"/>
    <mergeCell ref="F2196:F2197"/>
    <mergeCell ref="F2188:F2189"/>
    <mergeCell ref="F2170:F2171"/>
    <mergeCell ref="F2131:F2132"/>
    <mergeCell ref="F2150:F2152"/>
    <mergeCell ref="F2142:F2144"/>
    <mergeCell ref="F2145:F2146"/>
    <mergeCell ref="F2147:F2149"/>
    <mergeCell ref="F2155:F2158"/>
    <mergeCell ref="F2215:F2216"/>
    <mergeCell ref="F2217:F2218"/>
    <mergeCell ref="F2190:F2191"/>
    <mergeCell ref="F2208:F2210"/>
    <mergeCell ref="F2253:F2255"/>
    <mergeCell ref="F2256:F2257"/>
    <mergeCell ref="F2247:F2249"/>
    <mergeCell ref="F2250:F2252"/>
    <mergeCell ref="F2227:F2229"/>
    <mergeCell ref="F2244:F2246"/>
    <mergeCell ref="F2200:F2201"/>
    <mergeCell ref="F2219:F2221"/>
    <mergeCell ref="F2109:F2110"/>
    <mergeCell ref="F2119:F2121"/>
    <mergeCell ref="F2122:F2123"/>
    <mergeCell ref="F2129:F2130"/>
    <mergeCell ref="F2124:F2126"/>
    <mergeCell ref="F2111:F2113"/>
    <mergeCell ref="F2162:F2164"/>
    <mergeCell ref="F2172:F2173"/>
    <mergeCell ref="F2107:F2108"/>
    <mergeCell ref="F2159:F2161"/>
    <mergeCell ref="F2165:F2166"/>
    <mergeCell ref="F2174:F2175"/>
    <mergeCell ref="F2185:F2187"/>
    <mergeCell ref="F2182:F2184"/>
    <mergeCell ref="F2140:F2141"/>
    <mergeCell ref="F2176:F2178"/>
    <mergeCell ref="F2052:F2054"/>
    <mergeCell ref="F2055:F2056"/>
    <mergeCell ref="F2065:F2068"/>
    <mergeCell ref="F2072:F2075"/>
    <mergeCell ref="F2082:F2086"/>
    <mergeCell ref="F2087:F2088"/>
    <mergeCell ref="F2089:F2090"/>
    <mergeCell ref="F2093:F2094"/>
    <mergeCell ref="F2095:F2096"/>
    <mergeCell ref="F2069:F2071"/>
    <mergeCell ref="F2076:F2078"/>
    <mergeCell ref="F2079:F2081"/>
    <mergeCell ref="F2057:F2058"/>
    <mergeCell ref="F2059:F2060"/>
    <mergeCell ref="F2061:F2062"/>
    <mergeCell ref="F2063:F2064"/>
    <mergeCell ref="F2114:F2118"/>
    <mergeCell ref="F2135:F2137"/>
    <mergeCell ref="F2138:F2139"/>
    <mergeCell ref="F2133:F2134"/>
    <mergeCell ref="F2127:F2128"/>
    <mergeCell ref="F2091:F2092"/>
    <mergeCell ref="F2097:F2099"/>
    <mergeCell ref="F2100:F2101"/>
    <mergeCell ref="F2102:F2103"/>
    <mergeCell ref="F2104:F2106"/>
    <mergeCell ref="F2049:F2051"/>
    <mergeCell ref="F1979:F1980"/>
    <mergeCell ref="F1981:F1982"/>
    <mergeCell ref="F2015:F2018"/>
    <mergeCell ref="F2019:F2021"/>
    <mergeCell ref="F2032:F2033"/>
    <mergeCell ref="F2040:F2042"/>
    <mergeCell ref="F2043:F2045"/>
    <mergeCell ref="F2046:F2048"/>
    <mergeCell ref="F2028:F2029"/>
    <mergeCell ref="F2030:F2031"/>
    <mergeCell ref="F2034:F2036"/>
    <mergeCell ref="F2037:F2039"/>
    <mergeCell ref="F1997:F2001"/>
    <mergeCell ref="F2005:F2007"/>
    <mergeCell ref="F2008:F2010"/>
    <mergeCell ref="F1995:F1996"/>
    <mergeCell ref="F1989:F1990"/>
    <mergeCell ref="F1985:F1986"/>
    <mergeCell ref="F2011:F2012"/>
    <mergeCell ref="F2013:F2014"/>
    <mergeCell ref="F2022:F2024"/>
    <mergeCell ref="F2025:F2027"/>
    <mergeCell ref="F2002:F2004"/>
    <mergeCell ref="F1968:F1970"/>
    <mergeCell ref="F1971:F1973"/>
    <mergeCell ref="F1977:F1978"/>
    <mergeCell ref="F1983:F1984"/>
    <mergeCell ref="F1993:F1994"/>
    <mergeCell ref="F1987:F1988"/>
    <mergeCell ref="F1944:F1946"/>
    <mergeCell ref="F1947:F1949"/>
    <mergeCell ref="F1950:F1952"/>
    <mergeCell ref="F1965:F1967"/>
    <mergeCell ref="F1974:F1976"/>
    <mergeCell ref="F1900:F1901"/>
    <mergeCell ref="F1902:F1903"/>
    <mergeCell ref="F1904:F1905"/>
    <mergeCell ref="F1941:F1943"/>
    <mergeCell ref="F1898:F1899"/>
    <mergeCell ref="F1909:F1910"/>
    <mergeCell ref="F1911:F1912"/>
    <mergeCell ref="F1913:F1914"/>
    <mergeCell ref="F1991:F1992"/>
    <mergeCell ref="F1906:F1908"/>
    <mergeCell ref="F1922:F1923"/>
    <mergeCell ref="F1759:F1761"/>
    <mergeCell ref="F1650:F1652"/>
    <mergeCell ref="F1704:F1705"/>
    <mergeCell ref="F1706:F1707"/>
    <mergeCell ref="F1762:F1764"/>
    <mergeCell ref="F1765:F1767"/>
    <mergeCell ref="F1885:F1887"/>
    <mergeCell ref="F1840:F1842"/>
    <mergeCell ref="F1829:F1833"/>
    <mergeCell ref="F1843:F1845"/>
    <mergeCell ref="F1846:F1848"/>
    <mergeCell ref="F1852:F1854"/>
    <mergeCell ref="F1855:F1857"/>
    <mergeCell ref="F1858:F1860"/>
    <mergeCell ref="F1861:F1863"/>
    <mergeCell ref="F1879:F1881"/>
    <mergeCell ref="F1882:F1884"/>
    <mergeCell ref="F1783:F1785"/>
    <mergeCell ref="F1786:F1788"/>
    <mergeCell ref="F1771:F1773"/>
    <mergeCell ref="F1774:F1776"/>
    <mergeCell ref="F1792:F1794"/>
    <mergeCell ref="F1867:F1869"/>
    <mergeCell ref="F1789:F1791"/>
    <mergeCell ref="F1807:F1808"/>
    <mergeCell ref="F1777:F1779"/>
    <mergeCell ref="F1780:F1782"/>
    <mergeCell ref="F1795:F1796"/>
    <mergeCell ref="F1768:F1770"/>
    <mergeCell ref="F1679:F1680"/>
    <mergeCell ref="F1681:F1682"/>
    <mergeCell ref="F1683:F1684"/>
    <mergeCell ref="F1710:F1711"/>
    <mergeCell ref="F1548:F1549"/>
    <mergeCell ref="F1604:F1606"/>
    <mergeCell ref="F1598:F1600"/>
    <mergeCell ref="F1596:F1597"/>
    <mergeCell ref="F1589:F1591"/>
    <mergeCell ref="F1601:F1603"/>
    <mergeCell ref="F1653:F1655"/>
    <mergeCell ref="F1656:F1658"/>
    <mergeCell ref="F1659:F1661"/>
    <mergeCell ref="F1627:F1628"/>
    <mergeCell ref="F1629:F1630"/>
    <mergeCell ref="F1631:F1632"/>
    <mergeCell ref="F1633:F1634"/>
    <mergeCell ref="F1641:F1643"/>
    <mergeCell ref="F1674:F1676"/>
    <mergeCell ref="F1677:F1678"/>
    <mergeCell ref="F1583:F1584"/>
    <mergeCell ref="F1567:F1569"/>
    <mergeCell ref="F1570:F1571"/>
    <mergeCell ref="F1550:F1551"/>
    <mergeCell ref="F1558:F1560"/>
    <mergeCell ref="F1552:F1554"/>
    <mergeCell ref="F1555:F1557"/>
    <mergeCell ref="F1561:F1563"/>
    <mergeCell ref="F1564:F1566"/>
    <mergeCell ref="F1585:F1586"/>
    <mergeCell ref="F1587:F1588"/>
    <mergeCell ref="F1718:F1721"/>
    <mergeCell ref="F1722:F1725"/>
    <mergeCell ref="F1726:F1729"/>
    <mergeCell ref="F1730:F1733"/>
    <mergeCell ref="F1734:F1737"/>
    <mergeCell ref="F1738:F1741"/>
    <mergeCell ref="F1742:F1745"/>
    <mergeCell ref="F1746:F1749"/>
    <mergeCell ref="F1750:F1752"/>
    <mergeCell ref="F1753:F1755"/>
    <mergeCell ref="F1756:F1758"/>
    <mergeCell ref="F388:F390"/>
    <mergeCell ref="F391:F392"/>
    <mergeCell ref="F393:F394"/>
    <mergeCell ref="F458:F459"/>
    <mergeCell ref="F610:F611"/>
    <mergeCell ref="F433:F434"/>
    <mergeCell ref="F437:F438"/>
    <mergeCell ref="F1607:F1609"/>
    <mergeCell ref="F1610:F1612"/>
    <mergeCell ref="F1613:F1615"/>
    <mergeCell ref="F1616:F1618"/>
    <mergeCell ref="F1619:F1621"/>
    <mergeCell ref="F1622:F1623"/>
    <mergeCell ref="F1624:F1626"/>
    <mergeCell ref="F1572:F1574"/>
    <mergeCell ref="F1592:F1595"/>
    <mergeCell ref="F1546:F1547"/>
    <mergeCell ref="F1575:F1576"/>
    <mergeCell ref="F1577:F1578"/>
    <mergeCell ref="F1579:F1580"/>
    <mergeCell ref="F1581:F1582"/>
    <mergeCell ref="F1139:F1141"/>
    <mergeCell ref="F1128:F1129"/>
    <mergeCell ref="F1090:F1091"/>
    <mergeCell ref="F911:F912"/>
    <mergeCell ref="F913:F914"/>
    <mergeCell ref="F915:F916"/>
    <mergeCell ref="F954:F955"/>
    <mergeCell ref="F956:F958"/>
    <mergeCell ref="F938:F940"/>
    <mergeCell ref="F462:F463"/>
    <mergeCell ref="F624:F625"/>
    <mergeCell ref="F1084:F1085"/>
    <mergeCell ref="F695:F696"/>
    <mergeCell ref="F672:F673"/>
    <mergeCell ref="F677:F678"/>
    <mergeCell ref="F1100:F1103"/>
    <mergeCell ref="F983:F985"/>
    <mergeCell ref="F1028:F1032"/>
    <mergeCell ref="F1126:F1127"/>
    <mergeCell ref="F1086:F1087"/>
    <mergeCell ref="F817:F819"/>
    <mergeCell ref="F822:F823"/>
    <mergeCell ref="F839:F840"/>
    <mergeCell ref="F737:F739"/>
    <mergeCell ref="F745:F746"/>
    <mergeCell ref="F747:F748"/>
    <mergeCell ref="F547:F548"/>
    <mergeCell ref="F667:F668"/>
    <mergeCell ref="F665:F666"/>
    <mergeCell ref="F1079:F1081"/>
    <mergeCell ref="F981:F982"/>
    <mergeCell ref="F775:F777"/>
    <mergeCell ref="F901:F903"/>
    <mergeCell ref="F928:F929"/>
    <mergeCell ref="F930:F931"/>
    <mergeCell ref="F386:F387"/>
    <mergeCell ref="F443:F444"/>
    <mergeCell ref="F445:F446"/>
    <mergeCell ref="F447:F448"/>
    <mergeCell ref="F449:F451"/>
    <mergeCell ref="F454:F455"/>
    <mergeCell ref="F403:F404"/>
    <mergeCell ref="F452:F453"/>
    <mergeCell ref="F419:F420"/>
    <mergeCell ref="F405:F406"/>
    <mergeCell ref="F407:F408"/>
    <mergeCell ref="F409:F410"/>
    <mergeCell ref="F543:F544"/>
    <mergeCell ref="F545:F546"/>
    <mergeCell ref="F499:F500"/>
    <mergeCell ref="F629:F631"/>
    <mergeCell ref="F632:F634"/>
    <mergeCell ref="F635:F637"/>
    <mergeCell ref="F614:F615"/>
    <mergeCell ref="F616:F617"/>
    <mergeCell ref="F679:F680"/>
    <mergeCell ref="F689:F691"/>
    <mergeCell ref="F648:F649"/>
    <mergeCell ref="F401:F402"/>
    <mergeCell ref="F395:F397"/>
    <mergeCell ref="F398:F400"/>
    <mergeCell ref="F411:F413"/>
    <mergeCell ref="F421:F423"/>
    <mergeCell ref="F417:F418"/>
    <mergeCell ref="F414:F416"/>
    <mergeCell ref="F549:F550"/>
    <mergeCell ref="F551:F552"/>
    <mergeCell ref="F553:F554"/>
    <mergeCell ref="F571:F573"/>
    <mergeCell ref="F456:F457"/>
    <mergeCell ref="F640:F641"/>
    <mergeCell ref="F599:F601"/>
    <mergeCell ref="F537:F539"/>
    <mergeCell ref="F638:F639"/>
    <mergeCell ref="F441:F442"/>
    <mergeCell ref="F427:F429"/>
    <mergeCell ref="F430:F432"/>
    <mergeCell ref="F490:F491"/>
    <mergeCell ref="F492:F493"/>
    <mergeCell ref="F494:F495"/>
    <mergeCell ref="F496:F498"/>
    <mergeCell ref="F487:F489"/>
    <mergeCell ref="F424:F426"/>
    <mergeCell ref="F1520:F1522"/>
    <mergeCell ref="F1523:F1524"/>
    <mergeCell ref="F1528:F1530"/>
    <mergeCell ref="F1538:F1540"/>
    <mergeCell ref="F1535:F1537"/>
    <mergeCell ref="F1380:F1382"/>
    <mergeCell ref="F1383:F1385"/>
    <mergeCell ref="F1401:F1402"/>
    <mergeCell ref="F1403:F1404"/>
    <mergeCell ref="F1457:F1459"/>
    <mergeCell ref="F1405:F1407"/>
    <mergeCell ref="F1426:F1428"/>
    <mergeCell ref="F1389:F1390"/>
    <mergeCell ref="F1445:F1447"/>
    <mergeCell ref="F1448:F1450"/>
    <mergeCell ref="F1451:F1453"/>
    <mergeCell ref="F1454:F1456"/>
    <mergeCell ref="F1460:F1461"/>
    <mergeCell ref="F1462:F1463"/>
    <mergeCell ref="F1441:F1442"/>
    <mergeCell ref="F1393:F1394"/>
    <mergeCell ref="F1395:F1396"/>
    <mergeCell ref="F1525:F1527"/>
    <mergeCell ref="F1531:F1532"/>
    <mergeCell ref="F1533:F1534"/>
    <mergeCell ref="F1464:F1466"/>
    <mergeCell ref="F1467:F1471"/>
    <mergeCell ref="F1475:F1476"/>
    <mergeCell ref="F1477:F1478"/>
    <mergeCell ref="F1479:F1480"/>
    <mergeCell ref="F1472:F1474"/>
    <mergeCell ref="F1492:F1493"/>
    <mergeCell ref="F1142:F1143"/>
    <mergeCell ref="F1144:F1145"/>
    <mergeCell ref="F1000:F1001"/>
    <mergeCell ref="F1076:F1078"/>
    <mergeCell ref="F967:F968"/>
    <mergeCell ref="F1069:F1072"/>
    <mergeCell ref="F919:F920"/>
    <mergeCell ref="F1397:F1398"/>
    <mergeCell ref="F1399:F1400"/>
    <mergeCell ref="F1362:F1364"/>
    <mergeCell ref="F1365:F1367"/>
    <mergeCell ref="F1368:F1370"/>
    <mergeCell ref="F1391:F1392"/>
    <mergeCell ref="F1371:F1373"/>
    <mergeCell ref="F1374:F1376"/>
    <mergeCell ref="F1435:F1437"/>
    <mergeCell ref="F1386:F1388"/>
    <mergeCell ref="F1092:F1094"/>
    <mergeCell ref="F1095:F1097"/>
    <mergeCell ref="F1098:F1099"/>
    <mergeCell ref="F1088:F1089"/>
    <mergeCell ref="F1082:F1083"/>
    <mergeCell ref="F1124:F1125"/>
    <mergeCell ref="F1130:F1132"/>
    <mergeCell ref="F1133:F1135"/>
    <mergeCell ref="F1136:F1138"/>
    <mergeCell ref="F1113:F1114"/>
    <mergeCell ref="F1115:F1117"/>
    <mergeCell ref="F1118:F1120"/>
    <mergeCell ref="F1121:F1123"/>
    <mergeCell ref="F962:F966"/>
    <mergeCell ref="F1066:F1068"/>
    <mergeCell ref="F1055:F1056"/>
    <mergeCell ref="F727:F728"/>
    <mergeCell ref="F791:F794"/>
    <mergeCell ref="F709:F711"/>
    <mergeCell ref="F714:F715"/>
    <mergeCell ref="F716:F717"/>
    <mergeCell ref="F718:F719"/>
    <mergeCell ref="F749:F750"/>
    <mergeCell ref="F751:F752"/>
    <mergeCell ref="F753:F754"/>
    <mergeCell ref="F773:F774"/>
    <mergeCell ref="F755:F757"/>
    <mergeCell ref="F758:F760"/>
    <mergeCell ref="F761:F763"/>
    <mergeCell ref="F764:F766"/>
    <mergeCell ref="F788:F790"/>
    <mergeCell ref="F869:F870"/>
    <mergeCell ref="F853:F855"/>
    <mergeCell ref="F988:F991"/>
    <mergeCell ref="F880:F882"/>
    <mergeCell ref="F875:F877"/>
    <mergeCell ref="F871:F872"/>
    <mergeCell ref="F873:F874"/>
    <mergeCell ref="F969:F970"/>
    <mergeCell ref="F971:F972"/>
    <mergeCell ref="F975:F976"/>
    <mergeCell ref="F932:F933"/>
    <mergeCell ref="F934:F935"/>
    <mergeCell ref="F936:F937"/>
    <mergeCell ref="F917:F918"/>
    <mergeCell ref="F924:F925"/>
    <mergeCell ref="F921:F923"/>
    <mergeCell ref="F820:F821"/>
    <mergeCell ref="F851:F852"/>
    <mergeCell ref="F809:F811"/>
    <mergeCell ref="F812:F814"/>
    <mergeCell ref="F815:F816"/>
    <mergeCell ref="F847:F850"/>
    <mergeCell ref="F837:F838"/>
    <mergeCell ref="F646:F647"/>
    <mergeCell ref="F685:F686"/>
    <mergeCell ref="F732:F733"/>
    <mergeCell ref="F786:F787"/>
    <mergeCell ref="F795:F796"/>
    <mergeCell ref="F941:F942"/>
    <mergeCell ref="F943:F946"/>
    <mergeCell ref="F947:F950"/>
    <mergeCell ref="F734:F736"/>
    <mergeCell ref="F1019:F1020"/>
    <mergeCell ref="F907:F908"/>
    <mergeCell ref="F909:F910"/>
    <mergeCell ref="F894:F895"/>
    <mergeCell ref="F896:F897"/>
    <mergeCell ref="F888:F890"/>
    <mergeCell ref="F898:F900"/>
    <mergeCell ref="F904:F906"/>
    <mergeCell ref="F959:F961"/>
    <mergeCell ref="F826:F827"/>
    <mergeCell ref="F828:F829"/>
    <mergeCell ref="F830:F831"/>
    <mergeCell ref="F740:F742"/>
    <mergeCell ref="F743:F744"/>
    <mergeCell ref="F712:F713"/>
    <mergeCell ref="F1057:F1058"/>
    <mergeCell ref="F1059:F1063"/>
    <mergeCell ref="F1008:F1009"/>
    <mergeCell ref="F720:F721"/>
    <mergeCell ref="F782:F783"/>
    <mergeCell ref="F784:F785"/>
    <mergeCell ref="F606:F607"/>
    <mergeCell ref="F608:F609"/>
    <mergeCell ref="F687:F688"/>
    <mergeCell ref="F657:F659"/>
    <mergeCell ref="F654:F656"/>
    <mergeCell ref="F663:F664"/>
    <mergeCell ref="F669:F671"/>
    <mergeCell ref="F674:F676"/>
    <mergeCell ref="F841:F843"/>
    <mergeCell ref="F699:F701"/>
    <mergeCell ref="F681:F682"/>
    <mergeCell ref="F722:F723"/>
    <mergeCell ref="F724:F726"/>
    <mergeCell ref="F1002:F1005"/>
    <mergeCell ref="F1006:F1007"/>
    <mergeCell ref="F856:F859"/>
    <mergeCell ref="F860:F864"/>
    <mergeCell ref="F865:F866"/>
    <mergeCell ref="F834:F836"/>
    <mergeCell ref="F979:F980"/>
    <mergeCell ref="F986:F987"/>
    <mergeCell ref="F973:F974"/>
    <mergeCell ref="F951:F953"/>
    <mergeCell ref="F883:F885"/>
    <mergeCell ref="F878:F879"/>
    <mergeCell ref="F621:F623"/>
    <mergeCell ref="A2:F2"/>
    <mergeCell ref="A3:F3"/>
    <mergeCell ref="A5:F5"/>
    <mergeCell ref="F85:F86"/>
    <mergeCell ref="F87:F88"/>
    <mergeCell ref="F95:F96"/>
    <mergeCell ref="F59:F60"/>
    <mergeCell ref="F63:F64"/>
    <mergeCell ref="F15:F16"/>
    <mergeCell ref="F479:F480"/>
    <mergeCell ref="F528:F530"/>
    <mergeCell ref="F534:F536"/>
    <mergeCell ref="F604:F605"/>
    <mergeCell ref="F301:F302"/>
    <mergeCell ref="F540:F542"/>
    <mergeCell ref="F516:F517"/>
    <mergeCell ref="F501:F502"/>
    <mergeCell ref="F503:F504"/>
    <mergeCell ref="F505:F506"/>
    <mergeCell ref="F518:F519"/>
    <mergeCell ref="F520:F521"/>
    <mergeCell ref="F522:F523"/>
    <mergeCell ref="F524:F525"/>
    <mergeCell ref="F526:F527"/>
    <mergeCell ref="F513:F515"/>
    <mergeCell ref="F511:F512"/>
    <mergeCell ref="F464:F465"/>
    <mergeCell ref="F320:F321"/>
    <mergeCell ref="F322:F323"/>
    <mergeCell ref="F324:F325"/>
    <mergeCell ref="F310:F311"/>
    <mergeCell ref="F312:F313"/>
    <mergeCell ref="F57:F58"/>
    <mergeCell ref="F103:F104"/>
    <mergeCell ref="F123:F124"/>
    <mergeCell ref="F375:F377"/>
    <mergeCell ref="F383:F385"/>
    <mergeCell ref="F378:F380"/>
    <mergeCell ref="F358:F360"/>
    <mergeCell ref="F361:F363"/>
    <mergeCell ref="F369:F371"/>
    <mergeCell ref="G5:L5"/>
    <mergeCell ref="F262:F263"/>
    <mergeCell ref="F19:F20"/>
    <mergeCell ref="F131:F132"/>
    <mergeCell ref="F31:F32"/>
    <mergeCell ref="F211:F212"/>
    <mergeCell ref="F221:F222"/>
    <mergeCell ref="F246:F248"/>
    <mergeCell ref="F251:F253"/>
    <mergeCell ref="F230:F231"/>
    <mergeCell ref="F232:F233"/>
    <mergeCell ref="F234:F235"/>
    <mergeCell ref="F314:F315"/>
    <mergeCell ref="F316:F317"/>
    <mergeCell ref="F364:F366"/>
    <mergeCell ref="F367:F368"/>
    <mergeCell ref="F318:F319"/>
    <mergeCell ref="F372:F374"/>
    <mergeCell ref="F345:F346"/>
    <mergeCell ref="F347:F348"/>
    <mergeCell ref="F349:F351"/>
    <mergeCell ref="F145:F146"/>
    <mergeCell ref="F155:F156"/>
    <mergeCell ref="F157:F158"/>
    <mergeCell ref="F159:F160"/>
    <mergeCell ref="F161:F162"/>
    <mergeCell ref="F163:F164"/>
    <mergeCell ref="F69:F70"/>
    <mergeCell ref="F71:F72"/>
    <mergeCell ref="F81:F82"/>
    <mergeCell ref="F83:F84"/>
    <mergeCell ref="F89:F90"/>
    <mergeCell ref="F91:F92"/>
    <mergeCell ref="F93:F94"/>
    <mergeCell ref="F139:F140"/>
    <mergeCell ref="F189:F190"/>
    <mergeCell ref="F77:F78"/>
    <mergeCell ref="F79:F80"/>
    <mergeCell ref="F99:F100"/>
    <mergeCell ref="F105:F106"/>
    <mergeCell ref="F113:F114"/>
    <mergeCell ref="F111:F112"/>
    <mergeCell ref="F173:F174"/>
    <mergeCell ref="A4:F4"/>
    <mergeCell ref="F9:F10"/>
    <mergeCell ref="F11:F12"/>
    <mergeCell ref="F249:F250"/>
    <mergeCell ref="F254:F255"/>
    <mergeCell ref="F275:F276"/>
    <mergeCell ref="F225:F227"/>
    <mergeCell ref="F270:F271"/>
    <mergeCell ref="F305:F307"/>
    <mergeCell ref="F191:F192"/>
    <mergeCell ref="F35:F36"/>
    <mergeCell ref="F185:F186"/>
    <mergeCell ref="F187:F188"/>
    <mergeCell ref="F37:F38"/>
    <mergeCell ref="F41:F42"/>
    <mergeCell ref="F13:F14"/>
    <mergeCell ref="F17:F18"/>
    <mergeCell ref="F23:F24"/>
    <mergeCell ref="F25:F26"/>
    <mergeCell ref="F27:F28"/>
    <mergeCell ref="F33:F34"/>
    <mergeCell ref="F39:F40"/>
    <mergeCell ref="F55:F56"/>
    <mergeCell ref="F153:F154"/>
    <mergeCell ref="F21:F22"/>
    <mergeCell ref="F256:F257"/>
    <mergeCell ref="F264:F265"/>
    <mergeCell ref="F260:F261"/>
    <mergeCell ref="F266:F267"/>
    <mergeCell ref="F268:F269"/>
    <mergeCell ref="F65:F66"/>
    <mergeCell ref="F141:F142"/>
    <mergeCell ref="F195:F196"/>
    <mergeCell ref="F43:F44"/>
    <mergeCell ref="F45:F46"/>
    <mergeCell ref="F47:F48"/>
    <mergeCell ref="F49:F50"/>
    <mergeCell ref="F51:F52"/>
    <mergeCell ref="F53:F54"/>
    <mergeCell ref="F101:F102"/>
    <mergeCell ref="F107:F108"/>
    <mergeCell ref="F109:F110"/>
    <mergeCell ref="F115:F116"/>
    <mergeCell ref="F127:F128"/>
    <mergeCell ref="F129:F130"/>
    <mergeCell ref="F133:F134"/>
    <mergeCell ref="F67:F68"/>
    <mergeCell ref="F73:F74"/>
    <mergeCell ref="F75:F76"/>
    <mergeCell ref="F151:F152"/>
    <mergeCell ref="F179:F180"/>
    <mergeCell ref="F181:F182"/>
    <mergeCell ref="F175:F176"/>
    <mergeCell ref="F177:F178"/>
    <mergeCell ref="F193:F194"/>
    <mergeCell ref="F97:F98"/>
    <mergeCell ref="F117:F118"/>
    <mergeCell ref="F119:F120"/>
    <mergeCell ref="F149:F150"/>
    <mergeCell ref="F125:F126"/>
    <mergeCell ref="F135:F136"/>
    <mergeCell ref="F121:F122"/>
    <mergeCell ref="F147:F148"/>
    <mergeCell ref="F143:F144"/>
    <mergeCell ref="F1104:F1106"/>
    <mergeCell ref="F207:F208"/>
    <mergeCell ref="F832:F833"/>
    <mergeCell ref="F926:F927"/>
    <mergeCell ref="F891:F893"/>
    <mergeCell ref="F137:F138"/>
    <mergeCell ref="F644:F645"/>
    <mergeCell ref="F167:F168"/>
    <mergeCell ref="F171:F172"/>
    <mergeCell ref="F228:F229"/>
    <mergeCell ref="F223:F224"/>
    <mergeCell ref="F183:F184"/>
    <mergeCell ref="F466:F468"/>
    <mergeCell ref="F469:F471"/>
    <mergeCell ref="F472:F474"/>
    <mergeCell ref="F475:F476"/>
    <mergeCell ref="F477:F478"/>
    <mergeCell ref="F481:F482"/>
    <mergeCell ref="F483:F484"/>
    <mergeCell ref="F485:F486"/>
    <mergeCell ref="F236:F237"/>
    <mergeCell ref="F258:F259"/>
    <mergeCell ref="F303:F304"/>
    <mergeCell ref="F296:F300"/>
    <mergeCell ref="F343:F344"/>
    <mergeCell ref="F352:F354"/>
    <mergeCell ref="F355:F357"/>
    <mergeCell ref="F308:F309"/>
    <mergeCell ref="F272:F274"/>
    <mergeCell ref="F289:F290"/>
    <mergeCell ref="F435:F436"/>
    <mergeCell ref="F439:F440"/>
    <mergeCell ref="F1324:F1325"/>
    <mergeCell ref="F1189:F1191"/>
    <mergeCell ref="F1110:F1112"/>
    <mergeCell ref="F1179:F1181"/>
    <mergeCell ref="F1182:F1183"/>
    <mergeCell ref="F1198:F1199"/>
    <mergeCell ref="F557:F559"/>
    <mergeCell ref="F560:F562"/>
    <mergeCell ref="F563:F565"/>
    <mergeCell ref="F642:F643"/>
    <mergeCell ref="F805:F806"/>
    <mergeCell ref="F1041:F1042"/>
    <mergeCell ref="F683:F684"/>
    <mergeCell ref="F594:F595"/>
    <mergeCell ref="F574:F575"/>
    <mergeCell ref="F1016:F1018"/>
    <mergeCell ref="F1073:F1075"/>
    <mergeCell ref="F1053:F1054"/>
    <mergeCell ref="F1064:F1065"/>
    <mergeCell ref="F977:F978"/>
    <mergeCell ref="F1275:F1277"/>
    <mergeCell ref="F1146:F1149"/>
    <mergeCell ref="F992:F996"/>
    <mergeCell ref="F1050:F1052"/>
    <mergeCell ref="F1047:F1049"/>
    <mergeCell ref="F1021:F1022"/>
    <mergeCell ref="F997:F999"/>
    <mergeCell ref="F1186:F1188"/>
    <mergeCell ref="F566:F568"/>
    <mergeCell ref="F582:F583"/>
    <mergeCell ref="F584:F586"/>
    <mergeCell ref="F587:F589"/>
    <mergeCell ref="F332:F334"/>
    <mergeCell ref="F335:F336"/>
    <mergeCell ref="F337:F338"/>
    <mergeCell ref="F339:F340"/>
    <mergeCell ref="F277:F278"/>
    <mergeCell ref="F531:F533"/>
    <mergeCell ref="F197:F198"/>
    <mergeCell ref="F199:F200"/>
    <mergeCell ref="F201:F202"/>
    <mergeCell ref="F341:F342"/>
    <mergeCell ref="F240:F241"/>
    <mergeCell ref="F242:F243"/>
    <mergeCell ref="F244:F245"/>
    <mergeCell ref="F203:F204"/>
    <mergeCell ref="F205:F206"/>
    <mergeCell ref="F209:F210"/>
    <mergeCell ref="F213:F214"/>
    <mergeCell ref="F217:F218"/>
    <mergeCell ref="F326:F328"/>
    <mergeCell ref="F285:F286"/>
    <mergeCell ref="F287:F288"/>
    <mergeCell ref="F291:F293"/>
    <mergeCell ref="F294:F295"/>
    <mergeCell ref="F238:F239"/>
    <mergeCell ref="F460:F461"/>
    <mergeCell ref="F507:F508"/>
    <mergeCell ref="F381:F382"/>
    <mergeCell ref="F329:F331"/>
    <mergeCell ref="F215:F216"/>
    <mergeCell ref="F279:F280"/>
    <mergeCell ref="F281:F282"/>
    <mergeCell ref="F283:F284"/>
    <mergeCell ref="F1541:F1545"/>
    <mergeCell ref="F1504:F1506"/>
    <mergeCell ref="F1507:F1508"/>
    <mergeCell ref="F1509:F1510"/>
    <mergeCell ref="F1518:F1519"/>
    <mergeCell ref="F1494:F1495"/>
    <mergeCell ref="F1513:F1515"/>
    <mergeCell ref="N266:N268"/>
    <mergeCell ref="F1481:F1482"/>
    <mergeCell ref="F1483:F1484"/>
    <mergeCell ref="F1485:F1486"/>
    <mergeCell ref="F1490:F1491"/>
    <mergeCell ref="F1316:F1317"/>
    <mergeCell ref="F1283:F1284"/>
    <mergeCell ref="F1285:F1286"/>
    <mergeCell ref="F1287:F1289"/>
    <mergeCell ref="F1290:F1292"/>
    <mergeCell ref="F1295:F1296"/>
    <mergeCell ref="F1278:F1280"/>
    <mergeCell ref="F1244:F1246"/>
    <mergeCell ref="F1227:F1229"/>
    <mergeCell ref="F1233:F1235"/>
    <mergeCell ref="F626:F628"/>
    <mergeCell ref="F618:F620"/>
    <mergeCell ref="F1272:F1274"/>
    <mergeCell ref="F1297:F1299"/>
    <mergeCell ref="F1224:F1226"/>
    <mergeCell ref="F886:F887"/>
    <mergeCell ref="F729:F731"/>
    <mergeCell ref="F1411:F1413"/>
    <mergeCell ref="F1502:F1503"/>
    <mergeCell ref="F1487:F1489"/>
    <mergeCell ref="F1438:F1440"/>
    <mergeCell ref="F1443:F1444"/>
    <mergeCell ref="F1429:F1430"/>
    <mergeCell ref="F1431:F1432"/>
    <mergeCell ref="F1423:F1425"/>
    <mergeCell ref="F1417:F1419"/>
    <mergeCell ref="F1420:F1422"/>
    <mergeCell ref="F1496:F1497"/>
    <mergeCell ref="F1498:F1499"/>
    <mergeCell ref="F1500:F1501"/>
    <mergeCell ref="F1433:F1434"/>
    <mergeCell ref="F1414:F1416"/>
    <mergeCell ref="F1213:F1214"/>
    <mergeCell ref="F1215:F1216"/>
    <mergeCell ref="F1217:F1218"/>
    <mergeCell ref="F1377:F1379"/>
    <mergeCell ref="F1356:F1358"/>
    <mergeCell ref="F1359:F1361"/>
    <mergeCell ref="F1329:F1331"/>
    <mergeCell ref="F1332:F1334"/>
    <mergeCell ref="F1335:F1336"/>
    <mergeCell ref="F1408:F1410"/>
    <mergeCell ref="F1354:F1355"/>
    <mergeCell ref="F1269:F1271"/>
    <mergeCell ref="F1257:F1258"/>
    <mergeCell ref="F1259:F1260"/>
    <mergeCell ref="F1261:F1262"/>
    <mergeCell ref="F1263:F1264"/>
    <mergeCell ref="F1265:F1266"/>
    <mergeCell ref="F1267:F1268"/>
    <mergeCell ref="F1239:F1240"/>
    <mergeCell ref="F1255:F1256"/>
    <mergeCell ref="F1321:F1323"/>
    <mergeCell ref="F1337:F1338"/>
    <mergeCell ref="F1339:F1341"/>
    <mergeCell ref="F1342:F1344"/>
    <mergeCell ref="F1345:F1347"/>
    <mergeCell ref="F1348:F1350"/>
    <mergeCell ref="F1281:F1282"/>
    <mergeCell ref="F219:F220"/>
    <mergeCell ref="F165:F166"/>
    <mergeCell ref="F169:F170"/>
    <mergeCell ref="F602:F603"/>
    <mergeCell ref="F576:F578"/>
    <mergeCell ref="F579:F581"/>
    <mergeCell ref="F702:F704"/>
    <mergeCell ref="F692:F694"/>
    <mergeCell ref="F705:F706"/>
    <mergeCell ref="F707:F708"/>
    <mergeCell ref="F697:F698"/>
    <mergeCell ref="F1247:F1249"/>
    <mergeCell ref="F1250:F1251"/>
    <mergeCell ref="F1252:F1254"/>
    <mergeCell ref="F1230:F1232"/>
    <mergeCell ref="F1219:F1221"/>
    <mergeCell ref="F1222:F1223"/>
    <mergeCell ref="F1236:F1238"/>
    <mergeCell ref="F1241:F1243"/>
    <mergeCell ref="F1192:F1194"/>
    <mergeCell ref="F1167:F1168"/>
    <mergeCell ref="F1210:F1212"/>
    <mergeCell ref="F867:F868"/>
    <mergeCell ref="F1326:F1328"/>
    <mergeCell ref="F1150:F1152"/>
    <mergeCell ref="F1153:F1156"/>
    <mergeCell ref="F1171:F1173"/>
    <mergeCell ref="F1174:F1175"/>
    <mergeCell ref="F1176:F1178"/>
    <mergeCell ref="F1159:F1160"/>
    <mergeCell ref="F1033:F1034"/>
    <mergeCell ref="F1035:F1036"/>
    <mergeCell ref="F1037:F1038"/>
    <mergeCell ref="F1039:F1040"/>
    <mergeCell ref="F1043:F1046"/>
    <mergeCell ref="F509:F510"/>
    <mergeCell ref="F660:F662"/>
    <mergeCell ref="F650:F651"/>
    <mergeCell ref="F652:F653"/>
    <mergeCell ref="F569:F570"/>
    <mergeCell ref="F555:F556"/>
    <mergeCell ref="F590:F591"/>
    <mergeCell ref="F592:F593"/>
    <mergeCell ref="F596:F598"/>
    <mergeCell ref="F824:F825"/>
    <mergeCell ref="F767:F769"/>
    <mergeCell ref="F770:F772"/>
    <mergeCell ref="F844:F846"/>
    <mergeCell ref="F1107:F1109"/>
    <mergeCell ref="F1010:F1012"/>
    <mergeCell ref="F1023:F1027"/>
    <mergeCell ref="F1013:F1015"/>
    <mergeCell ref="F797:F798"/>
    <mergeCell ref="F799:F801"/>
    <mergeCell ref="F807:F808"/>
    <mergeCell ref="F802:F804"/>
    <mergeCell ref="F612:F613"/>
    <mergeCell ref="F1161:F1162"/>
    <mergeCell ref="F1163:F1164"/>
    <mergeCell ref="F1165:F1166"/>
    <mergeCell ref="F1169:F1170"/>
    <mergeCell ref="F1157:F1158"/>
    <mergeCell ref="F1293:F1294"/>
    <mergeCell ref="F1304:F1305"/>
    <mergeCell ref="F1306:F1307"/>
    <mergeCell ref="F1308:F1310"/>
    <mergeCell ref="F1314:F1315"/>
    <mergeCell ref="F1200:F1201"/>
    <mergeCell ref="F1202:F1203"/>
    <mergeCell ref="F1204:F1205"/>
    <mergeCell ref="F1206:F1207"/>
    <mergeCell ref="F1208:F1209"/>
    <mergeCell ref="F1184:F1185"/>
    <mergeCell ref="F1195:F1197"/>
    <mergeCell ref="F1300:F1301"/>
    <mergeCell ref="F1302:F1303"/>
    <mergeCell ref="F61:F62"/>
    <mergeCell ref="AV1930:AV1932"/>
    <mergeCell ref="F1953:F1955"/>
    <mergeCell ref="F1956:F1958"/>
    <mergeCell ref="F1959:F1961"/>
    <mergeCell ref="F1962:F1964"/>
    <mergeCell ref="AU1930:AU1932"/>
    <mergeCell ref="F1797:F1801"/>
    <mergeCell ref="F1813:F1817"/>
    <mergeCell ref="F1818:F1821"/>
    <mergeCell ref="F1824:F1826"/>
    <mergeCell ref="F1827:F1828"/>
    <mergeCell ref="F1834:F1835"/>
    <mergeCell ref="F1938:F1940"/>
    <mergeCell ref="F1924:F1926"/>
    <mergeCell ref="F1915:F1916"/>
    <mergeCell ref="F1927:F1928"/>
    <mergeCell ref="F1809:F1812"/>
    <mergeCell ref="F1917:F1918"/>
    <mergeCell ref="F1822:F1823"/>
    <mergeCell ref="F1836:F1837"/>
    <mergeCell ref="F1888:F1889"/>
    <mergeCell ref="F1864:F1866"/>
    <mergeCell ref="F1873:F1875"/>
    <mergeCell ref="F1876:F1878"/>
    <mergeCell ref="F1935:F1937"/>
    <mergeCell ref="F1919:F1921"/>
    <mergeCell ref="F1929:F1931"/>
    <mergeCell ref="F1932:F1934"/>
    <mergeCell ref="F1892:F1893"/>
    <mergeCell ref="F1894:F1895"/>
    <mergeCell ref="F1896:F1897"/>
    <mergeCell ref="F1351:F1353"/>
    <mergeCell ref="F1511:F1512"/>
    <mergeCell ref="F1712:F1713"/>
    <mergeCell ref="F1714:F1717"/>
    <mergeCell ref="F1635:F1637"/>
    <mergeCell ref="F778:F779"/>
    <mergeCell ref="F780:F781"/>
    <mergeCell ref="F1849:F1851"/>
    <mergeCell ref="F1802:F1806"/>
    <mergeCell ref="F1890:F1891"/>
    <mergeCell ref="F1638:F1640"/>
    <mergeCell ref="F1644:F1646"/>
    <mergeCell ref="F1702:F1703"/>
    <mergeCell ref="F1690:F1691"/>
    <mergeCell ref="F1694:F1695"/>
    <mergeCell ref="F1685:F1686"/>
    <mergeCell ref="F1692:F1693"/>
    <mergeCell ref="F1696:F1697"/>
    <mergeCell ref="F1687:F1689"/>
    <mergeCell ref="F1662:F1664"/>
    <mergeCell ref="F1698:F1699"/>
    <mergeCell ref="F1700:F1701"/>
    <mergeCell ref="F1647:F1649"/>
    <mergeCell ref="F1708:F1709"/>
    <mergeCell ref="F1665:F1667"/>
    <mergeCell ref="F1668:F1670"/>
    <mergeCell ref="F1671:F1673"/>
    <mergeCell ref="F1870:F1872"/>
    <mergeCell ref="F1838:F1839"/>
    <mergeCell ref="F1516:F1517"/>
    <mergeCell ref="F1318:F1320"/>
    <mergeCell ref="F1311:F1313"/>
    <mergeCell ref="F29:F30"/>
    <mergeCell ref="F2521:F2522"/>
    <mergeCell ref="F2523:F2524"/>
    <mergeCell ref="F2529:F2531"/>
    <mergeCell ref="F2413:F2414"/>
    <mergeCell ref="F2415:F2416"/>
    <mergeCell ref="F2417:F2418"/>
    <mergeCell ref="F2419:F2420"/>
    <mergeCell ref="F2447:F2449"/>
    <mergeCell ref="F2450:F2453"/>
    <mergeCell ref="F2454:F2455"/>
    <mergeCell ref="F2436:F2438"/>
    <mergeCell ref="F2439:F2441"/>
    <mergeCell ref="F2472:F2474"/>
    <mergeCell ref="F2459:F2460"/>
    <mergeCell ref="F2325:F2328"/>
    <mergeCell ref="F2403:F2404"/>
    <mergeCell ref="F2391:F2394"/>
    <mergeCell ref="F2481:F2483"/>
    <mergeCell ref="F2461:F2463"/>
    <mergeCell ref="F2464:F2466"/>
    <mergeCell ref="F2467:F2468"/>
    <mergeCell ref="F2469:F2471"/>
    <mergeCell ref="F2433:F2435"/>
    <mergeCell ref="F2442:F2443"/>
    <mergeCell ref="F2331:F2332"/>
    <mergeCell ref="F2329:F2330"/>
    <mergeCell ref="F2478:F2480"/>
    <mergeCell ref="F2397:F2398"/>
    <mergeCell ref="F2399:F2400"/>
    <mergeCell ref="F2411:F2412"/>
    <mergeCell ref="F2337:F2340"/>
    <mergeCell ref="F2484:F2485"/>
    <mergeCell ref="F2556:F2558"/>
    <mergeCell ref="F2562:F2564"/>
    <mergeCell ref="F2565:F2566"/>
    <mergeCell ref="F2547:F2548"/>
    <mergeCell ref="F2567:F2569"/>
    <mergeCell ref="F2570:F2572"/>
    <mergeCell ref="F2707:F2709"/>
    <mergeCell ref="F2680:F2681"/>
    <mergeCell ref="F2682:F2683"/>
    <mergeCell ref="F2684:F2685"/>
    <mergeCell ref="F2619:F2621"/>
    <mergeCell ref="F2622:F2623"/>
    <mergeCell ref="F2629:F2630"/>
    <mergeCell ref="F2635:F2637"/>
    <mergeCell ref="F2667:F2668"/>
    <mergeCell ref="F2641:F2643"/>
    <mergeCell ref="F2644:F2646"/>
    <mergeCell ref="F2647:F2649"/>
    <mergeCell ref="F2650:F2652"/>
    <mergeCell ref="F2656:F2658"/>
    <mergeCell ref="F2653:F2655"/>
    <mergeCell ref="F2672:F2674"/>
    <mergeCell ref="F2504:F2505"/>
    <mergeCell ref="F2486:F2487"/>
    <mergeCell ref="F2488:F2489"/>
    <mergeCell ref="F2490:F2492"/>
    <mergeCell ref="F2493:F2495"/>
    <mergeCell ref="F2613:F2615"/>
    <mergeCell ref="F2616:F2618"/>
    <mergeCell ref="F2605:F2606"/>
    <mergeCell ref="F2496:F2497"/>
    <mergeCell ref="F2595:F2596"/>
    <mergeCell ref="F2624:F2626"/>
    <mergeCell ref="F2678:F2679"/>
    <mergeCell ref="F2551:F2553"/>
    <mergeCell ref="F2554:F2555"/>
    <mergeCell ref="F2542:F2544"/>
    <mergeCell ref="F2518:F2520"/>
    <mergeCell ref="F2704:F2706"/>
    <mergeCell ref="F2686:F2688"/>
    <mergeCell ref="F2538:F2539"/>
    <mergeCell ref="F2545:F2546"/>
    <mergeCell ref="F2592:F2594"/>
    <mergeCell ref="F2585:F2586"/>
    <mergeCell ref="F2589:F2591"/>
    <mergeCell ref="F2583:F2584"/>
    <mergeCell ref="F2587:F2588"/>
    <mergeCell ref="F2500:F2501"/>
    <mergeCell ref="F2661:F2662"/>
    <mergeCell ref="F2663:F2664"/>
    <mergeCell ref="F2665:F2666"/>
    <mergeCell ref="F2675:F2677"/>
    <mergeCell ref="F2695:F2696"/>
    <mergeCell ref="F2697:F2698"/>
    <mergeCell ref="F2508:F2509"/>
    <mergeCell ref="F2510:F2511"/>
    <mergeCell ref="F2502:F2503"/>
    <mergeCell ref="F2512:F2514"/>
    <mergeCell ref="F2525:F2528"/>
    <mergeCell ref="F2549:F2550"/>
    <mergeCell ref="F2532:F2534"/>
    <mergeCell ref="F2535:F2537"/>
    <mergeCell ref="F2515:F2517"/>
    <mergeCell ref="F2710:F2712"/>
    <mergeCell ref="F2756:F2758"/>
    <mergeCell ref="F2759:F2761"/>
    <mergeCell ref="F2762:F2763"/>
    <mergeCell ref="F2764:F2766"/>
    <mergeCell ref="F2692:F2694"/>
    <mergeCell ref="F2607:F2608"/>
    <mergeCell ref="F2609:F2610"/>
    <mergeCell ref="F2659:F2660"/>
    <mergeCell ref="F2611:F2612"/>
    <mergeCell ref="F2631:F2632"/>
    <mergeCell ref="F2633:F2634"/>
    <mergeCell ref="F2669:F2671"/>
    <mergeCell ref="F2627:F2628"/>
    <mergeCell ref="F2602:F2604"/>
    <mergeCell ref="F2638:F2640"/>
    <mergeCell ref="F2724:F2726"/>
    <mergeCell ref="F2732:F2734"/>
    <mergeCell ref="F2740:F2742"/>
    <mergeCell ref="F2743:F2745"/>
    <mergeCell ref="F2746:F2747"/>
    <mergeCell ref="F2738:F2739"/>
    <mergeCell ref="F2735:F2737"/>
    <mergeCell ref="F2721:F2723"/>
    <mergeCell ref="F2719:F2720"/>
    <mergeCell ref="F2727:F2728"/>
    <mergeCell ref="F2689:F2691"/>
    <mergeCell ref="F2729:F2731"/>
    <mergeCell ref="F2699:F2703"/>
    <mergeCell ref="F2713:F2715"/>
    <mergeCell ref="F2752:F2753"/>
    <mergeCell ref="F2754:F2755"/>
    <mergeCell ref="F2813:F2814"/>
    <mergeCell ref="F2815:F2816"/>
    <mergeCell ref="F2836:F2838"/>
    <mergeCell ref="F2786:F2787"/>
    <mergeCell ref="F2788:F2789"/>
    <mergeCell ref="F2790:F2791"/>
    <mergeCell ref="F2778:F2779"/>
    <mergeCell ref="F2780:F2781"/>
    <mergeCell ref="F2782:F2783"/>
    <mergeCell ref="F2784:F2785"/>
    <mergeCell ref="F2775:F2777"/>
    <mergeCell ref="F2839:F2840"/>
    <mergeCell ref="F2823:F2824"/>
    <mergeCell ref="F2825:F2827"/>
    <mergeCell ref="F2947:F2949"/>
    <mergeCell ref="F2828:F2829"/>
    <mergeCell ref="F2830:F2831"/>
    <mergeCell ref="F2832:F2833"/>
    <mergeCell ref="F2834:F2835"/>
    <mergeCell ref="F2920:F2921"/>
    <mergeCell ref="F2922:F2923"/>
    <mergeCell ref="F2924:F2925"/>
    <mergeCell ref="F2926:F2927"/>
    <mergeCell ref="F2870:F2872"/>
    <mergeCell ref="F2860:F2861"/>
    <mergeCell ref="F2849:F2851"/>
    <mergeCell ref="F2852:F2854"/>
    <mergeCell ref="F2855:F2857"/>
    <mergeCell ref="F2841:F2842"/>
    <mergeCell ref="F2843:F2844"/>
    <mergeCell ref="F2873:F2877"/>
    <mergeCell ref="F2847:F2848"/>
    <mergeCell ref="F2862:F2863"/>
    <mergeCell ref="F2890:F2891"/>
    <mergeCell ref="F2892:F2893"/>
    <mergeCell ref="F2878:F2880"/>
    <mergeCell ref="F2864:F2866"/>
    <mergeCell ref="F2858:F2859"/>
    <mergeCell ref="F2867:F2869"/>
    <mergeCell ref="F2845:F2846"/>
    <mergeCell ref="F2900:F2901"/>
    <mergeCell ref="F2933:F2937"/>
    <mergeCell ref="F2938:F2940"/>
    <mergeCell ref="F3146:F3148"/>
    <mergeCell ref="F3185:F3187"/>
    <mergeCell ref="F2963:F2964"/>
    <mergeCell ref="F2974:F2976"/>
    <mergeCell ref="F2980:F2981"/>
    <mergeCell ref="F2982:F2983"/>
    <mergeCell ref="F2993:F2995"/>
    <mergeCell ref="F2996:F2998"/>
    <mergeCell ref="F3008:F3009"/>
    <mergeCell ref="F3010:F3012"/>
    <mergeCell ref="F3013:F3014"/>
    <mergeCell ref="F3015:F3017"/>
    <mergeCell ref="F2977:F2979"/>
    <mergeCell ref="F3048:F3049"/>
    <mergeCell ref="F3050:F3051"/>
    <mergeCell ref="F3052:F3053"/>
    <mergeCell ref="F3054:F3055"/>
    <mergeCell ref="F3026:F3027"/>
    <mergeCell ref="F3040:F3041"/>
    <mergeCell ref="F3042:F3043"/>
    <mergeCell ref="F3028:F3030"/>
    <mergeCell ref="F3018:F3022"/>
    <mergeCell ref="F3044:F3045"/>
    <mergeCell ref="F3046:F3047"/>
    <mergeCell ref="F3115:F3116"/>
    <mergeCell ref="F3070:F3071"/>
    <mergeCell ref="F3072:F3073"/>
    <mergeCell ref="F3088:F3090"/>
    <mergeCell ref="F3091:F3093"/>
    <mergeCell ref="F3204:F3205"/>
    <mergeCell ref="F3206:F3207"/>
    <mergeCell ref="F3208:F3210"/>
    <mergeCell ref="F3232:F3234"/>
    <mergeCell ref="F3237:F3239"/>
    <mergeCell ref="F3243:F3245"/>
    <mergeCell ref="F3246:F3248"/>
    <mergeCell ref="F3230:F3231"/>
    <mergeCell ref="F3257:F3259"/>
    <mergeCell ref="F3180:F3181"/>
    <mergeCell ref="F3182:F3184"/>
    <mergeCell ref="F3188:F3190"/>
    <mergeCell ref="F3191:F3192"/>
    <mergeCell ref="F3080:F3083"/>
    <mergeCell ref="F3056:F3057"/>
    <mergeCell ref="F3078:F3079"/>
    <mergeCell ref="F3084:F3085"/>
    <mergeCell ref="F3086:F3087"/>
    <mergeCell ref="F3058:F3060"/>
    <mergeCell ref="F3222:F3223"/>
    <mergeCell ref="F3136:F3138"/>
    <mergeCell ref="F3157:F3158"/>
    <mergeCell ref="F3159:F3160"/>
    <mergeCell ref="F3161:F3162"/>
    <mergeCell ref="F3061:F3063"/>
    <mergeCell ref="F3216:F3218"/>
    <mergeCell ref="F3219:F3221"/>
    <mergeCell ref="F3287:F3288"/>
    <mergeCell ref="F3289:F3290"/>
    <mergeCell ref="F3291:F3292"/>
    <mergeCell ref="F3351:F3352"/>
    <mergeCell ref="F3353:F3354"/>
    <mergeCell ref="F3312:F3313"/>
    <mergeCell ref="F3314:F3315"/>
    <mergeCell ref="F3323:F3325"/>
    <mergeCell ref="F3224:F3225"/>
    <mergeCell ref="F3260:F3261"/>
    <mergeCell ref="F3262:F3263"/>
    <mergeCell ref="F3240:F3242"/>
    <mergeCell ref="F3251:F3253"/>
    <mergeCell ref="F3277:F3279"/>
    <mergeCell ref="F3280:F3282"/>
    <mergeCell ref="F3283:F3284"/>
    <mergeCell ref="F3285:F3286"/>
    <mergeCell ref="F3235:F3236"/>
    <mergeCell ref="F3254:F3256"/>
    <mergeCell ref="F3264:F3265"/>
    <mergeCell ref="F3266:F3267"/>
    <mergeCell ref="F3268:F3269"/>
    <mergeCell ref="F3270:F3271"/>
    <mergeCell ref="F3074:F3075"/>
    <mergeCell ref="F3076:F3077"/>
    <mergeCell ref="F3309:F3311"/>
    <mergeCell ref="F3272:F3276"/>
    <mergeCell ref="F3151:F3152"/>
    <mergeCell ref="F3153:F3154"/>
    <mergeCell ref="F3382:F3384"/>
    <mergeCell ref="F3355:F3356"/>
    <mergeCell ref="F3357:F3358"/>
    <mergeCell ref="F3293:F3295"/>
    <mergeCell ref="F3296:F3298"/>
    <mergeCell ref="F3304:F3306"/>
    <mergeCell ref="F3307:F3308"/>
    <mergeCell ref="F3335:F3336"/>
    <mergeCell ref="F3339:F3340"/>
    <mergeCell ref="F3337:F3338"/>
    <mergeCell ref="F3341:F3342"/>
    <mergeCell ref="F3343:F3344"/>
    <mergeCell ref="F3345:F3346"/>
    <mergeCell ref="F3347:F3348"/>
    <mergeCell ref="F3349:F3350"/>
    <mergeCell ref="F3405:F3406"/>
    <mergeCell ref="F3331:F3332"/>
    <mergeCell ref="F3333:F3334"/>
    <mergeCell ref="F3299:F3303"/>
    <mergeCell ref="F3326:F3330"/>
    <mergeCell ref="F3316:F3319"/>
    <mergeCell ref="F3320:F3322"/>
    <mergeCell ref="F3407:F3408"/>
    <mergeCell ref="F3373:F3375"/>
    <mergeCell ref="F3376:F3378"/>
    <mergeCell ref="F3400:F3402"/>
    <mergeCell ref="F3394:F3396"/>
    <mergeCell ref="F3397:F3399"/>
    <mergeCell ref="F3359:F3360"/>
    <mergeCell ref="F3361:F3364"/>
    <mergeCell ref="F3365:F3366"/>
    <mergeCell ref="F3367:F3368"/>
    <mergeCell ref="F3369:F3370"/>
    <mergeCell ref="F3371:F3372"/>
    <mergeCell ref="F3385:F3386"/>
    <mergeCell ref="F3387:F3388"/>
    <mergeCell ref="F3389:F3390"/>
    <mergeCell ref="F3446:F3448"/>
    <mergeCell ref="F3480:F3481"/>
    <mergeCell ref="F3391:F3393"/>
    <mergeCell ref="F3411:F3414"/>
    <mergeCell ref="F3433:F3437"/>
    <mergeCell ref="F3438:F3439"/>
    <mergeCell ref="F3440:F3441"/>
    <mergeCell ref="F3442:F3443"/>
    <mergeCell ref="F3444:F3445"/>
    <mergeCell ref="F3418:F3420"/>
    <mergeCell ref="F3421:F3422"/>
    <mergeCell ref="F3425:F3427"/>
    <mergeCell ref="F3428:F3430"/>
    <mergeCell ref="F3423:F3424"/>
    <mergeCell ref="F3431:F3432"/>
    <mergeCell ref="F3403:F3404"/>
    <mergeCell ref="F3379:F3381"/>
    <mergeCell ref="F3409:F3410"/>
    <mergeCell ref="F3415:F3417"/>
    <mergeCell ref="F3452:F3453"/>
    <mergeCell ref="F3519:F3521"/>
    <mergeCell ref="F3522:F3524"/>
    <mergeCell ref="F3487:F3489"/>
    <mergeCell ref="F3459:F3460"/>
    <mergeCell ref="F3461:F3462"/>
    <mergeCell ref="F3533:F3534"/>
    <mergeCell ref="F3541:F3542"/>
    <mergeCell ref="F3449:F3451"/>
    <mergeCell ref="F3469:F3471"/>
    <mergeCell ref="F3472:F3474"/>
    <mergeCell ref="F3475:F3477"/>
    <mergeCell ref="F3478:F3479"/>
    <mergeCell ref="F3482:F3484"/>
    <mergeCell ref="F3485:F3486"/>
    <mergeCell ref="F3463:F3465"/>
    <mergeCell ref="F3454:F3456"/>
    <mergeCell ref="F3457:F3458"/>
    <mergeCell ref="F3466:F3468"/>
    <mergeCell ref="F3498:F3500"/>
    <mergeCell ref="F3537:F3538"/>
    <mergeCell ref="F3539:F3540"/>
    <mergeCell ref="F3490:F3492"/>
    <mergeCell ref="F3495:F3497"/>
    <mergeCell ref="F3493:F3494"/>
    <mergeCell ref="F3527:F3528"/>
    <mergeCell ref="F3529:F3530"/>
    <mergeCell ref="F3501:F3503"/>
    <mergeCell ref="F3535:F3536"/>
    <mergeCell ref="F3643:F3647"/>
    <mergeCell ref="F3648:F3649"/>
    <mergeCell ref="F3580:F3581"/>
    <mergeCell ref="F3607:F3609"/>
    <mergeCell ref="F3610:F3612"/>
    <mergeCell ref="F3564:F3566"/>
    <mergeCell ref="F3582:F3584"/>
    <mergeCell ref="F3591:F3592"/>
    <mergeCell ref="F3723:F3725"/>
    <mergeCell ref="F3726:F3728"/>
    <mergeCell ref="F3729:F3730"/>
    <mergeCell ref="F3714:F3716"/>
    <mergeCell ref="F3625:F3626"/>
    <mergeCell ref="F3627:F3628"/>
    <mergeCell ref="F3593:F3595"/>
    <mergeCell ref="F3588:F3590"/>
    <mergeCell ref="F3596:F3598"/>
    <mergeCell ref="F3599:F3600"/>
    <mergeCell ref="F3619:F3621"/>
    <mergeCell ref="F3664:F3666"/>
    <mergeCell ref="F3667:F3669"/>
    <mergeCell ref="F3673:F3675"/>
    <mergeCell ref="F3676:F3677"/>
    <mergeCell ref="F3678:F3680"/>
    <mergeCell ref="F3681:F3683"/>
    <mergeCell ref="F3684:F3686"/>
    <mergeCell ref="F3687:F3688"/>
    <mergeCell ref="F3689:F3690"/>
    <mergeCell ref="F3670:F3672"/>
    <mergeCell ref="F3655:F3657"/>
    <mergeCell ref="F3661:F3663"/>
    <mergeCell ref="F3658:F3660"/>
    <mergeCell ref="F4078:F4079"/>
    <mergeCell ref="F3934:F3935"/>
    <mergeCell ref="F3936:F3937"/>
    <mergeCell ref="F3938:F3939"/>
    <mergeCell ref="F3940:F3941"/>
    <mergeCell ref="F3929:F3931"/>
    <mergeCell ref="F3946:F3948"/>
    <mergeCell ref="F3951:F3953"/>
    <mergeCell ref="F3954:F3955"/>
    <mergeCell ref="F3956:F3958"/>
    <mergeCell ref="F4023:F4026"/>
    <mergeCell ref="F3983:F3984"/>
    <mergeCell ref="F3959:F3963"/>
    <mergeCell ref="F3968:F3970"/>
    <mergeCell ref="F3964:F3965"/>
    <mergeCell ref="F3966:F3967"/>
    <mergeCell ref="F3971:F3973"/>
    <mergeCell ref="F3977:F3978"/>
    <mergeCell ref="F3979:F3980"/>
    <mergeCell ref="F3981:F3982"/>
    <mergeCell ref="F3974:F3976"/>
    <mergeCell ref="F3985:F3986"/>
    <mergeCell ref="F4027:F4028"/>
    <mergeCell ref="F4037:F4039"/>
    <mergeCell ref="F4067:F4069"/>
    <mergeCell ref="F4050:F4052"/>
    <mergeCell ref="F4058:F4060"/>
    <mergeCell ref="F4061:F4062"/>
    <mergeCell ref="F4070:F4072"/>
    <mergeCell ref="F4075:F4077"/>
    <mergeCell ref="F4029:F4030"/>
    <mergeCell ref="F4031:F4032"/>
    <mergeCell ref="F4080:F4082"/>
    <mergeCell ref="F4083:F4085"/>
    <mergeCell ref="F4104:F4107"/>
    <mergeCell ref="F4117:F4119"/>
    <mergeCell ref="F4127:F4128"/>
    <mergeCell ref="F4135:F4137"/>
    <mergeCell ref="F4111:F4112"/>
    <mergeCell ref="F4113:F4114"/>
    <mergeCell ref="F4163:F4164"/>
    <mergeCell ref="F4108:F4110"/>
    <mergeCell ref="F4146:F4147"/>
    <mergeCell ref="F4148:F4149"/>
    <mergeCell ref="F4184:F4186"/>
    <mergeCell ref="F4178:F4180"/>
    <mergeCell ref="F4176:F4177"/>
    <mergeCell ref="F4096:F4097"/>
    <mergeCell ref="F4098:F4099"/>
    <mergeCell ref="F4100:F4101"/>
    <mergeCell ref="F4102:F4103"/>
    <mergeCell ref="F4094:F4095"/>
    <mergeCell ref="F4120:F4122"/>
    <mergeCell ref="F4115:F4116"/>
    <mergeCell ref="F4123:F4124"/>
    <mergeCell ref="F4091:F4093"/>
    <mergeCell ref="F4181:F4183"/>
    <mergeCell ref="F4125:F4126"/>
    <mergeCell ref="F4161:F4162"/>
    <mergeCell ref="F4141:F4143"/>
    <mergeCell ref="F4165:F4166"/>
    <mergeCell ref="F4155:F4156"/>
    <mergeCell ref="F4157:F4158"/>
    <mergeCell ref="F4159:F4160"/>
    <mergeCell ref="F4033:F4034"/>
    <mergeCell ref="F4035:F4036"/>
    <mergeCell ref="F4153:F4154"/>
    <mergeCell ref="F4170:F4172"/>
    <mergeCell ref="F4167:F4169"/>
    <mergeCell ref="F4138:F4140"/>
    <mergeCell ref="F4246:F4248"/>
    <mergeCell ref="F4233:F4235"/>
    <mergeCell ref="F4187:F4189"/>
    <mergeCell ref="F4266:F4267"/>
    <mergeCell ref="F3987:F3988"/>
    <mergeCell ref="F3998:F3999"/>
    <mergeCell ref="F4015:F4016"/>
    <mergeCell ref="F4000:F4002"/>
    <mergeCell ref="F4003:F4005"/>
    <mergeCell ref="F4006:F4008"/>
    <mergeCell ref="F4017:F4019"/>
    <mergeCell ref="F4020:F4022"/>
    <mergeCell ref="F3989:F3992"/>
    <mergeCell ref="F3993:F3997"/>
    <mergeCell ref="F4009:F4012"/>
    <mergeCell ref="F4013:F4014"/>
    <mergeCell ref="F4040:F4044"/>
    <mergeCell ref="F4047:F4049"/>
    <mergeCell ref="F4055:F4057"/>
    <mergeCell ref="F4045:F4046"/>
    <mergeCell ref="F4053:F4054"/>
    <mergeCell ref="F4065:F4066"/>
    <mergeCell ref="F4129:F4131"/>
    <mergeCell ref="F4132:F4134"/>
    <mergeCell ref="F4173:F4175"/>
    <mergeCell ref="F4202:F4203"/>
    <mergeCell ref="F4063:F4064"/>
    <mergeCell ref="F4073:F4074"/>
    <mergeCell ref="F4086:F4090"/>
    <mergeCell ref="F4270:F4271"/>
    <mergeCell ref="F4282:F4284"/>
    <mergeCell ref="F4261:F4263"/>
    <mergeCell ref="F4268:F4269"/>
    <mergeCell ref="F4333:F4336"/>
    <mergeCell ref="F4322:F4324"/>
    <mergeCell ref="F4301:F4302"/>
    <mergeCell ref="F4299:F4300"/>
    <mergeCell ref="F4316:F4318"/>
    <mergeCell ref="F4303:F4304"/>
    <mergeCell ref="F4319:F4321"/>
    <mergeCell ref="F4285:F4287"/>
    <mergeCell ref="F4330:F4332"/>
    <mergeCell ref="F4221:F4223"/>
    <mergeCell ref="F4224:F4226"/>
    <mergeCell ref="F4190:F4192"/>
    <mergeCell ref="F4288:F4290"/>
    <mergeCell ref="F4291:F4293"/>
    <mergeCell ref="F4199:F4201"/>
    <mergeCell ref="F4264:F4265"/>
    <mergeCell ref="F4276:F4277"/>
    <mergeCell ref="F4258:F4260"/>
    <mergeCell ref="F4240:F4242"/>
    <mergeCell ref="F4196:F4198"/>
    <mergeCell ref="F4206:F4208"/>
    <mergeCell ref="F4193:F4195"/>
    <mergeCell ref="F4209:F4210"/>
    <mergeCell ref="F4211:F4212"/>
    <mergeCell ref="F4236:F4239"/>
    <mergeCell ref="F4379:F4380"/>
    <mergeCell ref="F4524:F4527"/>
    <mergeCell ref="F4463:F4465"/>
    <mergeCell ref="F4436:F4438"/>
    <mergeCell ref="F4439:F4441"/>
    <mergeCell ref="F4385:F4386"/>
    <mergeCell ref="F4471:F4472"/>
    <mergeCell ref="F4469:F4470"/>
    <mergeCell ref="F4458:F4459"/>
    <mergeCell ref="F4473:F4476"/>
    <mergeCell ref="F4383:F4384"/>
    <mergeCell ref="F4513:F4515"/>
    <mergeCell ref="F4516:F4518"/>
    <mergeCell ref="F4427:F4429"/>
    <mergeCell ref="F4390:F4392"/>
    <mergeCell ref="F4491:F4492"/>
    <mergeCell ref="F4480:F4482"/>
    <mergeCell ref="F4505:F4506"/>
    <mergeCell ref="F4487:F4488"/>
    <mergeCell ref="F4460:F4462"/>
    <mergeCell ref="F4503:F4504"/>
    <mergeCell ref="F4477:F4479"/>
    <mergeCell ref="F4449:F4450"/>
    <mergeCell ref="F4387:F4389"/>
    <mergeCell ref="F4421:F4423"/>
    <mergeCell ref="F4519:F4523"/>
    <mergeCell ref="F4404:F4406"/>
    <mergeCell ref="F4442:F4444"/>
    <mergeCell ref="F4430:F4432"/>
    <mergeCell ref="F4495:F4497"/>
    <mergeCell ref="F4424:F4426"/>
    <mergeCell ref="F4381:F4382"/>
    <mergeCell ref="F4410:F4412"/>
    <mergeCell ref="F4413:F4417"/>
    <mergeCell ref="F4466:F4468"/>
    <mergeCell ref="F4393:F4394"/>
    <mergeCell ref="F4402:F4403"/>
    <mergeCell ref="F4483:F4484"/>
    <mergeCell ref="F4489:F4490"/>
    <mergeCell ref="F4507:F4509"/>
    <mergeCell ref="F4510:F4512"/>
    <mergeCell ref="F4493:F4494"/>
    <mergeCell ref="F4485:F4486"/>
    <mergeCell ref="F3553:F3554"/>
    <mergeCell ref="F5037:F5041"/>
    <mergeCell ref="F4933:F4934"/>
    <mergeCell ref="F4935:F4936"/>
    <mergeCell ref="F4937:F4938"/>
    <mergeCell ref="F4929:F4930"/>
    <mergeCell ref="F4877:F4879"/>
    <mergeCell ref="F4880:F4882"/>
    <mergeCell ref="F4890:F4891"/>
    <mergeCell ref="F4926:F4928"/>
    <mergeCell ref="F4992:F4993"/>
    <mergeCell ref="F4994:F4995"/>
    <mergeCell ref="F4969:F4971"/>
    <mergeCell ref="F4990:F4991"/>
    <mergeCell ref="F4681:F4683"/>
    <mergeCell ref="F4684:F4686"/>
    <mergeCell ref="F4687:F4689"/>
    <mergeCell ref="F4690:F4692"/>
    <mergeCell ref="F4693:F4695"/>
    <mergeCell ref="F4712:F4714"/>
    <mergeCell ref="F4531:F4533"/>
    <mergeCell ref="F4445:F4446"/>
    <mergeCell ref="F5248:F5251"/>
    <mergeCell ref="F5195:F5196"/>
    <mergeCell ref="F5197:F5199"/>
    <mergeCell ref="F5217:F5218"/>
    <mergeCell ref="F5219:F5220"/>
    <mergeCell ref="F5221:F5222"/>
    <mergeCell ref="F5223:F5224"/>
    <mergeCell ref="F5050:F5051"/>
    <mergeCell ref="F5029:F5030"/>
    <mergeCell ref="F5003:F5005"/>
    <mergeCell ref="F4547:F4548"/>
    <mergeCell ref="F4540:F4542"/>
    <mergeCell ref="F4668:F4670"/>
    <mergeCell ref="F4871:F4873"/>
    <mergeCell ref="F4897:F4899"/>
    <mergeCell ref="F4987:F4989"/>
    <mergeCell ref="F4855:F4856"/>
    <mergeCell ref="F4543:F4544"/>
    <mergeCell ref="F4545:F4546"/>
    <mergeCell ref="F4571:F4573"/>
    <mergeCell ref="F4584:F4586"/>
    <mergeCell ref="F4643:F4645"/>
    <mergeCell ref="F4498:F4502"/>
    <mergeCell ref="F4528:F4530"/>
    <mergeCell ref="F4553:F4555"/>
    <mergeCell ref="F4556:F4558"/>
    <mergeCell ref="F4559:F4561"/>
    <mergeCell ref="F4562:F4564"/>
    <mergeCell ref="F4565:F4567"/>
    <mergeCell ref="F4549:F4550"/>
    <mergeCell ref="F4579:F4581"/>
    <mergeCell ref="F4551:F4552"/>
    <mergeCell ref="F4797:F4799"/>
    <mergeCell ref="F4534:F4536"/>
    <mergeCell ref="F4568:F4570"/>
    <mergeCell ref="F4596:F4597"/>
    <mergeCell ref="F4646:F4648"/>
    <mergeCell ref="F4674:F4675"/>
    <mergeCell ref="F4676:F4678"/>
    <mergeCell ref="F4679:F4680"/>
    <mergeCell ref="F4582:F4583"/>
    <mergeCell ref="F4956:F4959"/>
    <mergeCell ref="F4903:F4905"/>
    <mergeCell ref="F4916:F4918"/>
    <mergeCell ref="F4919:F4921"/>
    <mergeCell ref="F4922:F4923"/>
    <mergeCell ref="F4924:F4925"/>
    <mergeCell ref="F4846:F4847"/>
    <mergeCell ref="F4848:F4849"/>
    <mergeCell ref="F4745:F4749"/>
    <mergeCell ref="F4761:F4763"/>
    <mergeCell ref="F4729:F4730"/>
    <mergeCell ref="F4750:F4751"/>
    <mergeCell ref="F4710:F4711"/>
    <mergeCell ref="F4734:F4737"/>
    <mergeCell ref="F4731:F4733"/>
    <mergeCell ref="F4738:F4740"/>
    <mergeCell ref="F4752:F4754"/>
    <mergeCell ref="F4537:F4539"/>
    <mergeCell ref="F4629:F4633"/>
    <mergeCell ref="F4612:F4615"/>
    <mergeCell ref="F4619:F4622"/>
    <mergeCell ref="F4666:F4667"/>
    <mergeCell ref="F4576:F4578"/>
    <mergeCell ref="F4587:F4589"/>
    <mergeCell ref="F4574:F4575"/>
    <mergeCell ref="F4598:F4600"/>
    <mergeCell ref="F4590:F4591"/>
    <mergeCell ref="F4592:F4593"/>
    <mergeCell ref="F5173:F5175"/>
    <mergeCell ref="F5153:F5155"/>
    <mergeCell ref="F5146:F5148"/>
    <mergeCell ref="F5098:F5099"/>
    <mergeCell ref="F5044:F5045"/>
    <mergeCell ref="F5128:F5130"/>
    <mergeCell ref="F5168:F5172"/>
    <mergeCell ref="F5121:F5122"/>
    <mergeCell ref="F5083:F5085"/>
    <mergeCell ref="F5058:F5059"/>
    <mergeCell ref="F5069:F5070"/>
    <mergeCell ref="F5015:F5016"/>
    <mergeCell ref="F5046:F5047"/>
    <mergeCell ref="F5048:F5049"/>
    <mergeCell ref="F5060:F5062"/>
    <mergeCell ref="F5111:F5113"/>
    <mergeCell ref="F5149:F5152"/>
    <mergeCell ref="F5119:F5120"/>
    <mergeCell ref="F5080:F5082"/>
    <mergeCell ref="F5100:F5101"/>
    <mergeCell ref="F5009:F5011"/>
    <mergeCell ref="F4944:F4946"/>
    <mergeCell ref="F5001:F5002"/>
    <mergeCell ref="F5063:F5065"/>
    <mergeCell ref="F5066:F5068"/>
    <mergeCell ref="F5074:F5076"/>
    <mergeCell ref="F5086:F5087"/>
    <mergeCell ref="F5125:F5127"/>
    <mergeCell ref="F5116:F5118"/>
    <mergeCell ref="F5215:F5216"/>
    <mergeCell ref="F5123:F5124"/>
    <mergeCell ref="F5131:F5133"/>
    <mergeCell ref="F5156:F5157"/>
    <mergeCell ref="F5162:F5163"/>
    <mergeCell ref="F5166:F5167"/>
    <mergeCell ref="F5024:F5028"/>
    <mergeCell ref="F4998:F5000"/>
    <mergeCell ref="F5022:F5023"/>
    <mergeCell ref="F5207:F5208"/>
    <mergeCell ref="F5052:F5054"/>
    <mergeCell ref="F5055:F5057"/>
    <mergeCell ref="F5108:F5110"/>
    <mergeCell ref="F5094:F5095"/>
    <mergeCell ref="F5096:F5097"/>
    <mergeCell ref="F5105:F5107"/>
    <mergeCell ref="F5185:F5187"/>
    <mergeCell ref="F5192:F5194"/>
    <mergeCell ref="F5178:F5181"/>
    <mergeCell ref="F5188:F5191"/>
    <mergeCell ref="F5211:F5212"/>
    <mergeCell ref="F5259:F5262"/>
    <mergeCell ref="F5263:F5265"/>
    <mergeCell ref="F5266:F5269"/>
    <mergeCell ref="F5281:F5284"/>
    <mergeCell ref="F5213:F5214"/>
    <mergeCell ref="F5252:F5255"/>
    <mergeCell ref="F5209:F5210"/>
    <mergeCell ref="F5203:F5204"/>
    <mergeCell ref="F5182:F5184"/>
    <mergeCell ref="F5200:F5202"/>
    <mergeCell ref="F5288:F5291"/>
    <mergeCell ref="F5292:F5294"/>
    <mergeCell ref="F5408:F5410"/>
    <mergeCell ref="F5663:F5664"/>
    <mergeCell ref="F5405:F5407"/>
    <mergeCell ref="F5462:F5464"/>
    <mergeCell ref="F5443:F5446"/>
    <mergeCell ref="F5504:F5507"/>
    <mergeCell ref="F5614:F5615"/>
    <mergeCell ref="F5589:F5590"/>
    <mergeCell ref="F5598:F5600"/>
    <mergeCell ref="F5612:F5613"/>
    <mergeCell ref="F5547:F5549"/>
    <mergeCell ref="F5528:F5531"/>
    <mergeCell ref="F5521:F5524"/>
    <mergeCell ref="F5489:F5492"/>
    <mergeCell ref="F5496:F5499"/>
    <mergeCell ref="F5310:F5313"/>
    <mergeCell ref="F5285:F5287"/>
    <mergeCell ref="F5419:F5421"/>
    <mergeCell ref="F5422:F5425"/>
    <mergeCell ref="F5426:F5429"/>
    <mergeCell ref="F5430:F5432"/>
    <mergeCell ref="F5344:F5347"/>
    <mergeCell ref="F5354:F5356"/>
    <mergeCell ref="F5357:F5360"/>
    <mergeCell ref="F5306:F5309"/>
    <mergeCell ref="F5314:F5316"/>
    <mergeCell ref="F5317:F5320"/>
    <mergeCell ref="F5321:F5324"/>
    <mergeCell ref="F5361:F5363"/>
    <mergeCell ref="F5468:F5471"/>
    <mergeCell ref="F5646:F5647"/>
    <mergeCell ref="F5562:F5564"/>
    <mergeCell ref="F5295:F5297"/>
    <mergeCell ref="F5325:F5328"/>
    <mergeCell ref="F5752:F5754"/>
    <mergeCell ref="F5675:F5677"/>
    <mergeCell ref="F5465:F5467"/>
    <mergeCell ref="F5565:F5566"/>
    <mergeCell ref="F5532:F5534"/>
    <mergeCell ref="F5538:F5539"/>
    <mergeCell ref="F5329:F5332"/>
    <mergeCell ref="F5333:F5336"/>
    <mergeCell ref="F5298:F5301"/>
    <mergeCell ref="F5302:F5305"/>
    <mergeCell ref="F5577:F5579"/>
    <mergeCell ref="F5750:F5751"/>
    <mergeCell ref="F5583:F5585"/>
    <mergeCell ref="F5595:F5597"/>
    <mergeCell ref="F5554:F5555"/>
    <mergeCell ref="F5573:F5574"/>
    <mergeCell ref="F5575:F5576"/>
    <mergeCell ref="F5348:F5350"/>
    <mergeCell ref="F5351:F5353"/>
    <mergeCell ref="F5337:F5339"/>
    <mergeCell ref="F5340:F5343"/>
    <mergeCell ref="F5393:F5396"/>
    <mergeCell ref="F5397:F5400"/>
    <mergeCell ref="F5401:F5404"/>
    <mergeCell ref="F5364:F5367"/>
    <mergeCell ref="F5415:F5418"/>
    <mergeCell ref="F5368:F5371"/>
    <mergeCell ref="F5372:F5374"/>
    <mergeCell ref="F5727:F5729"/>
    <mergeCell ref="F5375:F5377"/>
    <mergeCell ref="F5796:F5798"/>
    <mergeCell ref="F5799:F5801"/>
    <mergeCell ref="F5790:F5792"/>
    <mergeCell ref="F5535:F5537"/>
    <mergeCell ref="F5567:F5568"/>
    <mergeCell ref="F5569:F5570"/>
    <mergeCell ref="F5571:F5572"/>
    <mergeCell ref="F5593:F5594"/>
    <mergeCell ref="F5670:F5671"/>
    <mergeCell ref="F5439:F5442"/>
    <mergeCell ref="F5515:F5517"/>
    <mergeCell ref="F5518:F5520"/>
    <mergeCell ref="F5500:F5503"/>
    <mergeCell ref="F5447:F5450"/>
    <mergeCell ref="F5451:F5454"/>
    <mergeCell ref="F5455:F5458"/>
    <mergeCell ref="F5459:F5461"/>
    <mergeCell ref="F5591:F5592"/>
    <mergeCell ref="F5661:F5662"/>
    <mergeCell ref="F5684:F5686"/>
    <mergeCell ref="F5950:F5952"/>
    <mergeCell ref="F5953:F5954"/>
    <mergeCell ref="F5986:F5987"/>
    <mergeCell ref="F6092:F6094"/>
    <mergeCell ref="F5945:F5947"/>
    <mergeCell ref="F5948:F5949"/>
    <mergeCell ref="F6012:F6013"/>
    <mergeCell ref="F6089:F6091"/>
    <mergeCell ref="F5971:F5972"/>
    <mergeCell ref="F6010:F6011"/>
    <mergeCell ref="F5973:F5975"/>
    <mergeCell ref="F5988:F5990"/>
    <mergeCell ref="F6161:F6162"/>
    <mergeCell ref="F6163:F6164"/>
    <mergeCell ref="F6156:F6158"/>
    <mergeCell ref="F6159:F6160"/>
    <mergeCell ref="F6129:F6130"/>
    <mergeCell ref="F6124:F6125"/>
    <mergeCell ref="F5981:F5982"/>
    <mergeCell ref="F5979:F5980"/>
    <mergeCell ref="F5969:F5970"/>
    <mergeCell ref="F5966:F5968"/>
    <mergeCell ref="F6126:F6128"/>
    <mergeCell ref="F6131:F6133"/>
    <mergeCell ref="F6022:F6023"/>
    <mergeCell ref="F6014:F6015"/>
    <mergeCell ref="F6061:F6063"/>
    <mergeCell ref="F6064:F6065"/>
    <mergeCell ref="F6066:F6067"/>
    <mergeCell ref="F6068:F6069"/>
    <mergeCell ref="F5993:F5995"/>
    <mergeCell ref="F5996:F5998"/>
    <mergeCell ref="F5644:F5645"/>
    <mergeCell ref="F5616:F5620"/>
    <mergeCell ref="F5659:F5660"/>
    <mergeCell ref="F5723:F5724"/>
    <mergeCell ref="F5725:F5726"/>
    <mergeCell ref="F6077:F6079"/>
    <mergeCell ref="F6056:F6058"/>
    <mergeCell ref="F6059:F6060"/>
    <mergeCell ref="F6019:F6021"/>
    <mergeCell ref="F5586:F5588"/>
    <mergeCell ref="F5625:F5629"/>
    <mergeCell ref="F5630:F5632"/>
    <mergeCell ref="F5580:F5582"/>
    <mergeCell ref="F5638:F5640"/>
    <mergeCell ref="F5681:F5683"/>
    <mergeCell ref="F5705:F5707"/>
    <mergeCell ref="F5775:F5776"/>
    <mergeCell ref="F5767:F5769"/>
    <mergeCell ref="F5730:F5731"/>
    <mergeCell ref="F5755:F5758"/>
    <mergeCell ref="F5762:F5766"/>
    <mergeCell ref="F5693:F5695"/>
    <mergeCell ref="F5773:F5774"/>
    <mergeCell ref="F5819:F5820"/>
    <mergeCell ref="F5858:F5859"/>
    <mergeCell ref="F5907:F5909"/>
    <mergeCell ref="F5834:F5836"/>
    <mergeCell ref="F5923:F5924"/>
    <mergeCell ref="F5901:F5903"/>
    <mergeCell ref="F5957:F5958"/>
    <mergeCell ref="F5959:F5960"/>
    <mergeCell ref="F5961:F5962"/>
    <mergeCell ref="F6553:F6555"/>
    <mergeCell ref="F6513:F6515"/>
    <mergeCell ref="F6516:F6518"/>
    <mergeCell ref="F6489:F6490"/>
    <mergeCell ref="F6519:F6521"/>
    <mergeCell ref="F6556:F6558"/>
    <mergeCell ref="F6451:F6452"/>
    <mergeCell ref="F6500:F6501"/>
    <mergeCell ref="F6491:F6492"/>
    <mergeCell ref="F6457:F6459"/>
    <mergeCell ref="F6545:F6549"/>
    <mergeCell ref="F5601:F5603"/>
    <mergeCell ref="F6086:F6088"/>
    <mergeCell ref="F6108:F6109"/>
    <mergeCell ref="F5894:F5895"/>
    <mergeCell ref="F5925:F5926"/>
    <mergeCell ref="F5931:F5932"/>
    <mergeCell ref="F5933:F5934"/>
    <mergeCell ref="F5887:F5888"/>
    <mergeCell ref="F5910:F5912"/>
    <mergeCell ref="F5929:F5930"/>
    <mergeCell ref="F5963:F5965"/>
    <mergeCell ref="F5955:F5956"/>
    <mergeCell ref="F5991:F5992"/>
    <mergeCell ref="F5983:F5985"/>
    <mergeCell ref="F5976:F5978"/>
    <mergeCell ref="F6006:F6007"/>
    <mergeCell ref="F6080:F6082"/>
    <mergeCell ref="F5935:F5936"/>
    <mergeCell ref="F5623:F5624"/>
    <mergeCell ref="F5665:F5666"/>
    <mergeCell ref="F5604:F5605"/>
    <mergeCell ref="F6470:F6472"/>
    <mergeCell ref="F6473:F6475"/>
    <mergeCell ref="F6476:F6478"/>
    <mergeCell ref="F6543:F6544"/>
    <mergeCell ref="F6526:F6528"/>
    <mergeCell ref="F6644:F6646"/>
    <mergeCell ref="F6638:F6640"/>
    <mergeCell ref="F6529:F6531"/>
    <mergeCell ref="F6566:F6570"/>
    <mergeCell ref="F6563:F6565"/>
    <mergeCell ref="F6532:F6535"/>
    <mergeCell ref="F6559:F6560"/>
    <mergeCell ref="F6561:F6562"/>
    <mergeCell ref="F6487:F6488"/>
    <mergeCell ref="F6493:F6494"/>
    <mergeCell ref="F6510:F6512"/>
    <mergeCell ref="F6600:F6601"/>
    <mergeCell ref="F6536:F6537"/>
    <mergeCell ref="F6538:F6542"/>
    <mergeCell ref="F6522:F6523"/>
    <mergeCell ref="F6502:F6503"/>
    <mergeCell ref="F6609:F6611"/>
    <mergeCell ref="F6612:F6614"/>
    <mergeCell ref="F6602:F6606"/>
    <mergeCell ref="F6591:F6593"/>
    <mergeCell ref="F6571:F6572"/>
    <mergeCell ref="F6573:F6574"/>
    <mergeCell ref="F6575:F6576"/>
    <mergeCell ref="F6577:F6578"/>
    <mergeCell ref="F6479:F6481"/>
    <mergeCell ref="F6524:F6525"/>
    <mergeCell ref="F6550:F6552"/>
    <mergeCell ref="F6504:F6505"/>
    <mergeCell ref="F6506:F6507"/>
    <mergeCell ref="F6508:F6509"/>
    <mergeCell ref="F6482:F6486"/>
    <mergeCell ref="F6495:F6499"/>
    <mergeCell ref="F6453:F6456"/>
    <mergeCell ref="F6460:F6464"/>
    <mergeCell ref="F6465:F6466"/>
    <mergeCell ref="F6467:F6469"/>
    <mergeCell ref="F6098:F6100"/>
    <mergeCell ref="F6101:F6102"/>
    <mergeCell ref="F6074:F6076"/>
    <mergeCell ref="F6095:F6097"/>
    <mergeCell ref="F6083:F6085"/>
    <mergeCell ref="F6027:F6028"/>
    <mergeCell ref="F6024:F6026"/>
    <mergeCell ref="F6036:F6038"/>
    <mergeCell ref="F6049:F6050"/>
    <mergeCell ref="F6197:F6199"/>
    <mergeCell ref="F6200:F6201"/>
    <mergeCell ref="F6204:F6205"/>
    <mergeCell ref="F6206:F6207"/>
    <mergeCell ref="F6208:F6209"/>
    <mergeCell ref="F6210:F6211"/>
    <mergeCell ref="F6279:F6281"/>
    <mergeCell ref="F6053:F6055"/>
    <mergeCell ref="F6112:F6114"/>
    <mergeCell ref="F6115:F6117"/>
    <mergeCell ref="F6118:F6120"/>
    <mergeCell ref="F6449:F6450"/>
    <mergeCell ref="F6443:F6445"/>
    <mergeCell ref="F6446:F6448"/>
    <mergeCell ref="F6579:F6581"/>
    <mergeCell ref="F6588:F6590"/>
    <mergeCell ref="F6668:F6669"/>
    <mergeCell ref="F6672:F6673"/>
    <mergeCell ref="F6674:F6675"/>
    <mergeCell ref="F6676:F6677"/>
    <mergeCell ref="F6628:F6629"/>
    <mergeCell ref="F6632:F6633"/>
    <mergeCell ref="F6634:F6635"/>
    <mergeCell ref="F6607:F6608"/>
    <mergeCell ref="F6618:F6620"/>
    <mergeCell ref="F6656:F6658"/>
    <mergeCell ref="F6659:F6661"/>
    <mergeCell ref="F6615:F6617"/>
    <mergeCell ref="F6621:F6622"/>
    <mergeCell ref="F6662:F6664"/>
    <mergeCell ref="F6665:F6667"/>
    <mergeCell ref="F6594:F6596"/>
    <mergeCell ref="F6597:F6599"/>
    <mergeCell ref="F6582:F6583"/>
    <mergeCell ref="F6584:F6585"/>
    <mergeCell ref="F6630:F6631"/>
    <mergeCell ref="F6586:F6587"/>
    <mergeCell ref="F6623:F6624"/>
    <mergeCell ref="F6625:F6627"/>
    <mergeCell ref="F6636:F6637"/>
    <mergeCell ref="F6647:F6649"/>
    <mergeCell ref="F6641:F6643"/>
    <mergeCell ref="F6670:F6671"/>
    <mergeCell ref="F6756:F6757"/>
    <mergeCell ref="F6761:F6762"/>
    <mergeCell ref="F6725:F6726"/>
    <mergeCell ref="F6727:F6729"/>
    <mergeCell ref="F6684:F6686"/>
    <mergeCell ref="F6763:F6765"/>
    <mergeCell ref="F6730:F6733"/>
    <mergeCell ref="F6708:F6710"/>
    <mergeCell ref="F6687:F6689"/>
    <mergeCell ref="F6690:F6691"/>
    <mergeCell ref="F6692:F6694"/>
    <mergeCell ref="F6695:F6697"/>
    <mergeCell ref="F6711:F6713"/>
    <mergeCell ref="F7295:F7296"/>
    <mergeCell ref="F7282:F7283"/>
    <mergeCell ref="F7280:F7281"/>
    <mergeCell ref="F7261:F7262"/>
    <mergeCell ref="F7259:F7260"/>
    <mergeCell ref="F7253:F7254"/>
    <mergeCell ref="F7243:F7244"/>
    <mergeCell ref="F7277:F7279"/>
    <mergeCell ref="F6722:F6724"/>
    <mergeCell ref="F7286:F7288"/>
    <mergeCell ref="F6717:F6721"/>
    <mergeCell ref="F6862:F6864"/>
    <mergeCell ref="F6843:F6844"/>
    <mergeCell ref="F6881:F6885"/>
    <mergeCell ref="F6875:F6877"/>
    <mergeCell ref="F6892:F6893"/>
    <mergeCell ref="F6778:F6779"/>
    <mergeCell ref="F6780:F6781"/>
    <mergeCell ref="F6782:F6783"/>
    <mergeCell ref="F6678:F6680"/>
    <mergeCell ref="F6681:F6683"/>
    <mergeCell ref="F6700:F6701"/>
    <mergeCell ref="F6702:F6703"/>
    <mergeCell ref="F7237:F7238"/>
    <mergeCell ref="F6704:F6705"/>
    <mergeCell ref="F6706:F6707"/>
    <mergeCell ref="F6745:F6746"/>
    <mergeCell ref="F6749:F6750"/>
    <mergeCell ref="F6773:F6774"/>
    <mergeCell ref="F6775:F6777"/>
    <mergeCell ref="F6791:F6794"/>
    <mergeCell ref="F6833:F6834"/>
    <mergeCell ref="F6831:F6832"/>
    <mergeCell ref="F6915:F6917"/>
    <mergeCell ref="F6913:F6914"/>
    <mergeCell ref="F6886:F6888"/>
    <mergeCell ref="F7230:F7231"/>
    <mergeCell ref="F7159:F7160"/>
    <mergeCell ref="F7172:F7173"/>
    <mergeCell ref="F7232:F7233"/>
    <mergeCell ref="F7135:F7137"/>
    <mergeCell ref="F7126:F7128"/>
    <mergeCell ref="F6839:F6840"/>
    <mergeCell ref="F7174:F7176"/>
    <mergeCell ref="F7133:F7134"/>
    <mergeCell ref="F7089:F7091"/>
    <mergeCell ref="F7092:F7094"/>
    <mergeCell ref="F6714:F6716"/>
    <mergeCell ref="F6768:F6772"/>
    <mergeCell ref="F6734:F6736"/>
    <mergeCell ref="F6754:F6755"/>
    <mergeCell ref="F7199:F7201"/>
    <mergeCell ref="F7179:F7181"/>
    <mergeCell ref="F7407:F7409"/>
    <mergeCell ref="F7399:F7400"/>
    <mergeCell ref="F7401:F7402"/>
    <mergeCell ref="F7410:F7412"/>
    <mergeCell ref="F7263:F7264"/>
    <mergeCell ref="F7255:F7256"/>
    <mergeCell ref="F7293:F7294"/>
    <mergeCell ref="F7304:F7305"/>
    <mergeCell ref="F7214:F7215"/>
    <mergeCell ref="F7219:F7223"/>
    <mergeCell ref="F7226:F7227"/>
    <mergeCell ref="F7423:F7425"/>
    <mergeCell ref="F7368:F7369"/>
    <mergeCell ref="F7375:F7376"/>
    <mergeCell ref="F7361:F7362"/>
    <mergeCell ref="F7419:F7422"/>
    <mergeCell ref="F7373:F7374"/>
    <mergeCell ref="F7251:F7252"/>
    <mergeCell ref="F7381:F7382"/>
    <mergeCell ref="F7318:F7319"/>
    <mergeCell ref="F7320:F7321"/>
    <mergeCell ref="F7322:F7323"/>
    <mergeCell ref="F7370:F7372"/>
    <mergeCell ref="F7405:F7406"/>
    <mergeCell ref="F7390:F7392"/>
    <mergeCell ref="F7343:F7346"/>
    <mergeCell ref="F7353:F7354"/>
    <mergeCell ref="F7355:F7356"/>
    <mergeCell ref="F7349:F7350"/>
    <mergeCell ref="F7403:F7404"/>
    <mergeCell ref="F7731:F7732"/>
    <mergeCell ref="F7733:F7734"/>
    <mergeCell ref="F7820:F7821"/>
    <mergeCell ref="F7426:F7427"/>
    <mergeCell ref="F7377:F7378"/>
    <mergeCell ref="F7750:F7752"/>
    <mergeCell ref="F7753:F7754"/>
    <mergeCell ref="F7755:F7756"/>
    <mergeCell ref="F7416:F7418"/>
    <mergeCell ref="F7395:F7396"/>
    <mergeCell ref="F7485:F7486"/>
    <mergeCell ref="F7487:F7488"/>
    <mergeCell ref="F7468:F7470"/>
    <mergeCell ref="F7471:F7473"/>
    <mergeCell ref="F7501:F7502"/>
    <mergeCell ref="F7637:F7639"/>
    <mergeCell ref="F7613:F7614"/>
    <mergeCell ref="F7385:F7387"/>
    <mergeCell ref="F7388:F7389"/>
    <mergeCell ref="F7525:F7526"/>
    <mergeCell ref="F7678:F7681"/>
    <mergeCell ref="F7682:F7683"/>
    <mergeCell ref="F7657:F7658"/>
    <mergeCell ref="F7646:F7648"/>
    <mergeCell ref="F7640:F7641"/>
    <mergeCell ref="F7498:F7500"/>
    <mergeCell ref="F7521:F7522"/>
    <mergeCell ref="F7578:F7579"/>
    <mergeCell ref="F7661:F7662"/>
    <mergeCell ref="F7654:F7656"/>
    <mergeCell ref="F7413:F7415"/>
    <mergeCell ref="F7379:F7380"/>
    <mergeCell ref="F8556:F8557"/>
    <mergeCell ref="F8041:F8043"/>
    <mergeCell ref="F8134:F8138"/>
    <mergeCell ref="F7588:F7589"/>
    <mergeCell ref="F7704:F7705"/>
    <mergeCell ref="F7709:F7710"/>
    <mergeCell ref="F7800:F7801"/>
    <mergeCell ref="F7795:F7796"/>
    <mergeCell ref="F7815:F7817"/>
    <mergeCell ref="F7718:F7719"/>
    <mergeCell ref="F7706:F7708"/>
    <mergeCell ref="F7694:F7695"/>
    <mergeCell ref="F7824:F7825"/>
    <mergeCell ref="F7617:F7618"/>
    <mergeCell ref="F7603:F7606"/>
    <mergeCell ref="F7590:F7593"/>
    <mergeCell ref="F7644:F7645"/>
    <mergeCell ref="F7793:F7794"/>
    <mergeCell ref="F7744:F7745"/>
    <mergeCell ref="F7631:F7633"/>
    <mergeCell ref="F7778:F7779"/>
    <mergeCell ref="F7726:F7727"/>
    <mergeCell ref="F7818:F7819"/>
    <mergeCell ref="F7728:F7730"/>
    <mergeCell ref="F7780:F7781"/>
    <mergeCell ref="F7809:F7810"/>
    <mergeCell ref="F7787:F7789"/>
    <mergeCell ref="F7738:F7741"/>
    <mergeCell ref="F7742:F7743"/>
    <mergeCell ref="F7735:F7737"/>
    <mergeCell ref="F7797:F7799"/>
    <mergeCell ref="F7813:F7814"/>
    <mergeCell ref="F8587:F8588"/>
    <mergeCell ref="F8593:F8594"/>
    <mergeCell ref="F8611:F8612"/>
    <mergeCell ref="F8547:F8550"/>
    <mergeCell ref="F8515:F8517"/>
    <mergeCell ref="F8518:F8520"/>
    <mergeCell ref="F8521:F8524"/>
    <mergeCell ref="F8525:F8527"/>
    <mergeCell ref="F8528:F8530"/>
    <mergeCell ref="F8470:F8472"/>
    <mergeCell ref="F8473:F8474"/>
    <mergeCell ref="F8551:F8553"/>
    <mergeCell ref="F8558:F8560"/>
    <mergeCell ref="F7802:F7803"/>
    <mergeCell ref="F7804:F7806"/>
    <mergeCell ref="F7811:F7812"/>
    <mergeCell ref="F7862:F7863"/>
    <mergeCell ref="F7864:F7865"/>
    <mergeCell ref="F7858:F7859"/>
    <mergeCell ref="F7835:F7837"/>
    <mergeCell ref="F7895:F7896"/>
    <mergeCell ref="F7888:F7892"/>
    <mergeCell ref="F7980:F7981"/>
    <mergeCell ref="F7982:F7983"/>
    <mergeCell ref="F7984:F7985"/>
    <mergeCell ref="F8000:F8001"/>
    <mergeCell ref="F8002:F8003"/>
    <mergeCell ref="F7986:F7987"/>
    <mergeCell ref="F7988:F7989"/>
    <mergeCell ref="F8537:F8538"/>
    <mergeCell ref="F8539:F8540"/>
    <mergeCell ref="F8541:F8542"/>
    <mergeCell ref="F8734:F8738"/>
    <mergeCell ref="F8779:F8780"/>
    <mergeCell ref="F8757:F8758"/>
    <mergeCell ref="F8746:F8748"/>
    <mergeCell ref="F8742:F8745"/>
    <mergeCell ref="F8773:F8774"/>
    <mergeCell ref="F8775:F8776"/>
    <mergeCell ref="F8777:F8778"/>
    <mergeCell ref="F8792:F8793"/>
    <mergeCell ref="F8739:F8741"/>
    <mergeCell ref="F8781:F8782"/>
    <mergeCell ref="F8783:F8784"/>
    <mergeCell ref="F8789:F8791"/>
    <mergeCell ref="F8630:F8631"/>
    <mergeCell ref="F8753:F8754"/>
    <mergeCell ref="F8767:F8770"/>
    <mergeCell ref="F8729:F8733"/>
    <mergeCell ref="F8749:F8752"/>
    <mergeCell ref="F8679:F8680"/>
    <mergeCell ref="F8718:F8720"/>
    <mergeCell ref="F8721:F8723"/>
    <mergeCell ref="F8724:F8726"/>
    <mergeCell ref="F8636:F8639"/>
    <mergeCell ref="F8759:F8762"/>
    <mergeCell ref="F8755:F8756"/>
    <mergeCell ref="F8704:F8705"/>
    <mergeCell ref="F8684:F8685"/>
    <mergeCell ref="F8584:F8586"/>
    <mergeCell ref="F8579:F8581"/>
    <mergeCell ref="F8807:F8809"/>
    <mergeCell ref="F8569:F8570"/>
    <mergeCell ref="F8573:F8574"/>
    <mergeCell ref="F8571:F8572"/>
    <mergeCell ref="F8575:F8576"/>
    <mergeCell ref="F8561:F8562"/>
    <mergeCell ref="F8563:F8564"/>
    <mergeCell ref="F8565:F8566"/>
    <mergeCell ref="F8567:F8568"/>
    <mergeCell ref="F8794:F8797"/>
    <mergeCell ref="F8804:F8806"/>
    <mergeCell ref="F8771:F8772"/>
    <mergeCell ref="F8798:F8801"/>
    <mergeCell ref="F8802:F8803"/>
    <mergeCell ref="F8605:F8607"/>
    <mergeCell ref="F8608:F8610"/>
    <mergeCell ref="F8589:F8590"/>
    <mergeCell ref="F8591:F8592"/>
    <mergeCell ref="F8624:F8625"/>
    <mergeCell ref="F8622:F8623"/>
    <mergeCell ref="F8595:F8596"/>
    <mergeCell ref="F8597:F8598"/>
    <mergeCell ref="F8599:F8600"/>
    <mergeCell ref="F8601:F8602"/>
    <mergeCell ref="F8603:F8604"/>
    <mergeCell ref="F8628:F8629"/>
    <mergeCell ref="F8613:F8615"/>
    <mergeCell ref="F8626:F8627"/>
    <mergeCell ref="F8785:F8786"/>
    <mergeCell ref="F8787:F8788"/>
    <mergeCell ref="F8865:F8866"/>
    <mergeCell ref="F8867:F8868"/>
    <mergeCell ref="F8869:F8870"/>
    <mergeCell ref="F8857:F8859"/>
    <mergeCell ref="F8846:F8848"/>
    <mergeCell ref="F8852:F8853"/>
    <mergeCell ref="F8854:F8856"/>
    <mergeCell ref="F8814:F8815"/>
    <mergeCell ref="F8849:F8851"/>
    <mergeCell ref="F8889:F8890"/>
    <mergeCell ref="F8887:F8888"/>
    <mergeCell ref="F8810:F8811"/>
    <mergeCell ref="F8577:F8578"/>
    <mergeCell ref="F8681:F8683"/>
    <mergeCell ref="F8653:F8656"/>
    <mergeCell ref="F8695:F8698"/>
    <mergeCell ref="F8632:F8635"/>
    <mergeCell ref="F8648:F8650"/>
    <mergeCell ref="F8640:F8643"/>
    <mergeCell ref="F8644:F8647"/>
    <mergeCell ref="F8765:F8766"/>
    <mergeCell ref="F8671:F8672"/>
    <mergeCell ref="F8699:F8701"/>
    <mergeCell ref="F8690:F8692"/>
    <mergeCell ref="F8727:F8728"/>
    <mergeCell ref="F8710:F8711"/>
    <mergeCell ref="F8706:F8707"/>
    <mergeCell ref="F8651:F8652"/>
    <mergeCell ref="F8616:F8617"/>
    <mergeCell ref="F8618:F8619"/>
    <mergeCell ref="F8620:F8621"/>
    <mergeCell ref="F8763:F8764"/>
    <mergeCell ref="F9024:F9027"/>
    <mergeCell ref="F9060:F9061"/>
    <mergeCell ref="F9081:F9083"/>
    <mergeCell ref="F8970:F8972"/>
    <mergeCell ref="F9032:F9034"/>
    <mergeCell ref="F9035:F9037"/>
    <mergeCell ref="F9020:F9023"/>
    <mergeCell ref="F8949:F8950"/>
    <mergeCell ref="F8947:F8948"/>
    <mergeCell ref="F9038:F9041"/>
    <mergeCell ref="F9042:F9045"/>
    <mergeCell ref="F8812:F8813"/>
    <mergeCell ref="F8838:F8839"/>
    <mergeCell ref="F8840:F8841"/>
    <mergeCell ref="F8828:F8829"/>
    <mergeCell ref="F8816:F8819"/>
    <mergeCell ref="F8878:F8881"/>
    <mergeCell ref="F8885:F8886"/>
    <mergeCell ref="F8895:F8896"/>
    <mergeCell ref="F8871:F8874"/>
    <mergeCell ref="F8875:F8877"/>
    <mergeCell ref="F8842:F8843"/>
    <mergeCell ref="F8844:F8845"/>
    <mergeCell ref="F8820:F8823"/>
    <mergeCell ref="F8824:F8827"/>
    <mergeCell ref="F8834:F8835"/>
    <mergeCell ref="F8836:F8837"/>
    <mergeCell ref="F8830:F8831"/>
    <mergeCell ref="F8832:F8833"/>
    <mergeCell ref="F8882:F8884"/>
    <mergeCell ref="F8860:F8861"/>
    <mergeCell ref="F8862:F8864"/>
    <mergeCell ref="F8891:F8892"/>
    <mergeCell ref="F8893:F8894"/>
    <mergeCell ref="F8957:F8959"/>
    <mergeCell ref="F8964:F8966"/>
    <mergeCell ref="F8960:F8961"/>
    <mergeCell ref="F8962:F8963"/>
    <mergeCell ref="F8967:F8969"/>
    <mergeCell ref="F9102:F9103"/>
    <mergeCell ref="F9104:F9105"/>
    <mergeCell ref="F8921:F8924"/>
    <mergeCell ref="F8928:F8929"/>
    <mergeCell ref="F8912:F8914"/>
    <mergeCell ref="F8915:F8917"/>
    <mergeCell ref="F9070:F9072"/>
    <mergeCell ref="F9073:F9074"/>
    <mergeCell ref="F9090:F9091"/>
    <mergeCell ref="F9092:F9093"/>
    <mergeCell ref="F8897:F8898"/>
    <mergeCell ref="F9028:F9031"/>
    <mergeCell ref="F8930:F8932"/>
    <mergeCell ref="F8925:F8927"/>
    <mergeCell ref="F8907:F8908"/>
    <mergeCell ref="F8909:F8911"/>
    <mergeCell ref="F8918:F8920"/>
    <mergeCell ref="F9003:F9004"/>
    <mergeCell ref="F8979:F8980"/>
    <mergeCell ref="F8981:F8985"/>
    <mergeCell ref="F8986:F8990"/>
    <mergeCell ref="F8991:F8992"/>
    <mergeCell ref="F8993:F8996"/>
    <mergeCell ref="F8997:F8998"/>
    <mergeCell ref="F9094:F9095"/>
    <mergeCell ref="F9116:F9119"/>
    <mergeCell ref="F9106:F9107"/>
    <mergeCell ref="F9108:F9109"/>
    <mergeCell ref="F9163:F9164"/>
    <mergeCell ref="F9165:F9166"/>
    <mergeCell ref="F9062:F9064"/>
    <mergeCell ref="F9065:F9067"/>
    <mergeCell ref="F9068:F9069"/>
    <mergeCell ref="F9046:F9047"/>
    <mergeCell ref="F9048:F9049"/>
    <mergeCell ref="F9050:F9051"/>
    <mergeCell ref="F9139:F9140"/>
    <mergeCell ref="F9120:F9122"/>
    <mergeCell ref="F9133:F9134"/>
    <mergeCell ref="F9086:F9087"/>
    <mergeCell ref="F9100:F9101"/>
    <mergeCell ref="F9110:F9112"/>
    <mergeCell ref="F9113:F9115"/>
    <mergeCell ref="F9123:F9125"/>
    <mergeCell ref="F9129:F9130"/>
    <mergeCell ref="F9131:F9132"/>
    <mergeCell ref="F9148:F9150"/>
    <mergeCell ref="F9126:F9128"/>
    <mergeCell ref="F9135:F9136"/>
    <mergeCell ref="F9137:F9138"/>
    <mergeCell ref="F9096:F9097"/>
    <mergeCell ref="F9088:F9089"/>
    <mergeCell ref="F9098:F9099"/>
    <mergeCell ref="F9075:F9076"/>
    <mergeCell ref="F9145:F9147"/>
    <mergeCell ref="F9141:F9142"/>
    <mergeCell ref="F9143:F9144"/>
    <mergeCell ref="F9018:F9019"/>
    <mergeCell ref="F9016:F9017"/>
    <mergeCell ref="F9013:F9015"/>
    <mergeCell ref="F8901:F8902"/>
    <mergeCell ref="F8903:F8904"/>
    <mergeCell ref="F8905:F8906"/>
    <mergeCell ref="F8937:F8938"/>
    <mergeCell ref="F8939:F8940"/>
    <mergeCell ref="F8951:F8952"/>
    <mergeCell ref="F8953:F8956"/>
    <mergeCell ref="F8899:F8900"/>
    <mergeCell ref="F8941:F8942"/>
    <mergeCell ref="F9249:F9250"/>
    <mergeCell ref="F9251:F9252"/>
    <mergeCell ref="F8933:F8936"/>
    <mergeCell ref="F8973:F8975"/>
    <mergeCell ref="F8976:F8978"/>
    <mergeCell ref="F9005:F9006"/>
    <mergeCell ref="F9007:F9008"/>
    <mergeCell ref="F9009:F9010"/>
    <mergeCell ref="F9011:F9012"/>
    <mergeCell ref="F8943:F8944"/>
    <mergeCell ref="F8945:F8946"/>
    <mergeCell ref="F9056:F9057"/>
    <mergeCell ref="F9058:F9059"/>
    <mergeCell ref="F9052:F9053"/>
    <mergeCell ref="F9054:F9055"/>
    <mergeCell ref="F9077:F9078"/>
    <mergeCell ref="F9079:F9080"/>
    <mergeCell ref="F9084:F9085"/>
    <mergeCell ref="F8999:F9000"/>
    <mergeCell ref="F9001:F9002"/>
    <mergeCell ref="F9178:F9180"/>
    <mergeCell ref="F9185:F9186"/>
    <mergeCell ref="F9187:F9188"/>
    <mergeCell ref="F9189:F9190"/>
    <mergeCell ref="F9191:F9192"/>
    <mergeCell ref="F9230:F9231"/>
    <mergeCell ref="F9203:F9206"/>
    <mergeCell ref="F9207:F9210"/>
    <mergeCell ref="F9211:F9212"/>
    <mergeCell ref="F9213:F9215"/>
    <mergeCell ref="F9193:F9194"/>
    <mergeCell ref="F9195:F9196"/>
    <mergeCell ref="F9183:F9184"/>
    <mergeCell ref="F9161:F9162"/>
    <mergeCell ref="F9272:F9273"/>
    <mergeCell ref="F9236:F9237"/>
    <mergeCell ref="F9238:F9239"/>
    <mergeCell ref="F9175:F9177"/>
    <mergeCell ref="F9170:F9171"/>
    <mergeCell ref="F9181:F9182"/>
    <mergeCell ref="F9197:F9198"/>
    <mergeCell ref="F9199:F9202"/>
    <mergeCell ref="F9268:F9269"/>
    <mergeCell ref="F9270:F9271"/>
    <mergeCell ref="F9278:F9279"/>
    <mergeCell ref="F9442:F9443"/>
    <mergeCell ref="F9444:F9445"/>
    <mergeCell ref="F9151:F9152"/>
    <mergeCell ref="F9153:F9154"/>
    <mergeCell ref="F9155:F9156"/>
    <mergeCell ref="F9157:F9158"/>
    <mergeCell ref="F9159:F9160"/>
    <mergeCell ref="F9167:F9169"/>
    <mergeCell ref="F9172:F9174"/>
    <mergeCell ref="F9556:F9557"/>
    <mergeCell ref="F9561:F9562"/>
    <mergeCell ref="F9563:F9564"/>
    <mergeCell ref="F9541:F9545"/>
    <mergeCell ref="F9546:F9550"/>
    <mergeCell ref="F9551:F9555"/>
    <mergeCell ref="F9558:F9560"/>
    <mergeCell ref="F9319:F9320"/>
    <mergeCell ref="F9321:F9322"/>
    <mergeCell ref="F9323:F9324"/>
    <mergeCell ref="F9325:F9326"/>
    <mergeCell ref="F9327:F9328"/>
    <mergeCell ref="F9394:F9395"/>
    <mergeCell ref="F9433:F9435"/>
    <mergeCell ref="F9503:F9505"/>
    <mergeCell ref="F9506:F9508"/>
    <mergeCell ref="F9536:F9538"/>
    <mergeCell ref="F9534:F9535"/>
    <mergeCell ref="F9439:F9441"/>
    <mergeCell ref="F9456:F9458"/>
    <mergeCell ref="F9459:F9461"/>
    <mergeCell ref="F9462:F9464"/>
    <mergeCell ref="F9280:F9281"/>
    <mergeCell ref="F9652:F9654"/>
    <mergeCell ref="F9596:F9599"/>
    <mergeCell ref="F9355:F9356"/>
    <mergeCell ref="F9392:F9393"/>
    <mergeCell ref="F9334:F9337"/>
    <mergeCell ref="F9338:F9339"/>
    <mergeCell ref="F9390:F9391"/>
    <mergeCell ref="F9378:F9380"/>
    <mergeCell ref="F9381:F9383"/>
    <mergeCell ref="F9384:F9386"/>
    <mergeCell ref="F9282:F9283"/>
    <mergeCell ref="F9518:F9519"/>
    <mergeCell ref="F9520:F9521"/>
    <mergeCell ref="F9329:F9330"/>
    <mergeCell ref="F9304:F9306"/>
    <mergeCell ref="F9307:F9309"/>
    <mergeCell ref="F9310:F9312"/>
    <mergeCell ref="F9313:F9314"/>
    <mergeCell ref="F9315:F9316"/>
    <mergeCell ref="F9317:F9318"/>
    <mergeCell ref="F9509:F9510"/>
    <mergeCell ref="F9514:F9515"/>
    <mergeCell ref="F9465:F9467"/>
    <mergeCell ref="F9468:F9470"/>
    <mergeCell ref="F9471:F9473"/>
    <mergeCell ref="F9360:F9361"/>
    <mergeCell ref="F9362:F9363"/>
    <mergeCell ref="F9364:F9365"/>
    <mergeCell ref="F9366:F9367"/>
    <mergeCell ref="F9352:F9354"/>
    <mergeCell ref="F9486:F9487"/>
    <mergeCell ref="F9431:F9432"/>
    <mergeCell ref="F9905:F9906"/>
    <mergeCell ref="F9907:F9908"/>
    <mergeCell ref="F9813:F9814"/>
    <mergeCell ref="F9809:F9812"/>
    <mergeCell ref="F9825:F9826"/>
    <mergeCell ref="F9827:F9828"/>
    <mergeCell ref="F9829:F9830"/>
    <mergeCell ref="F9831:F9832"/>
    <mergeCell ref="F9833:F9834"/>
    <mergeCell ref="F9821:F9822"/>
    <mergeCell ref="F9835:F9836"/>
    <mergeCell ref="F9837:F9838"/>
    <mergeCell ref="F9584:F9587"/>
    <mergeCell ref="F9516:F9517"/>
    <mergeCell ref="F9522:F9523"/>
    <mergeCell ref="F9524:F9525"/>
    <mergeCell ref="F9526:F9527"/>
    <mergeCell ref="F9539:F9540"/>
    <mergeCell ref="F9528:F9530"/>
    <mergeCell ref="F9531:F9533"/>
    <mergeCell ref="F9641:F9643"/>
    <mergeCell ref="F9567:F9568"/>
    <mergeCell ref="F9569:F9570"/>
    <mergeCell ref="F9571:F9572"/>
    <mergeCell ref="F9647:F9648"/>
    <mergeCell ref="F9720:F9722"/>
    <mergeCell ref="F9630:F9631"/>
    <mergeCell ref="F9691:F9692"/>
    <mergeCell ref="F9686:F9688"/>
    <mergeCell ref="F9693:F9695"/>
    <mergeCell ref="F9696:F9697"/>
    <mergeCell ref="F9698:F9699"/>
    <mergeCell ref="F9943:F9945"/>
    <mergeCell ref="F9933:F9934"/>
    <mergeCell ref="F9839:F9840"/>
    <mergeCell ref="F9901:F9904"/>
    <mergeCell ref="F9895:F9898"/>
    <mergeCell ref="F9899:F9900"/>
    <mergeCell ref="F9875:F9876"/>
    <mergeCell ref="F9877:F9878"/>
    <mergeCell ref="F9879:F9880"/>
    <mergeCell ref="F9859:F9861"/>
    <mergeCell ref="F9862:F9864"/>
    <mergeCell ref="F9841:F9843"/>
    <mergeCell ref="F9844:F9846"/>
    <mergeCell ref="F9847:F9849"/>
    <mergeCell ref="F9850:F9852"/>
    <mergeCell ref="F9853:F9854"/>
    <mergeCell ref="F9935:F9936"/>
    <mergeCell ref="F9937:F9938"/>
    <mergeCell ref="F9939:F9940"/>
    <mergeCell ref="F9873:F9874"/>
    <mergeCell ref="F9869:F9872"/>
    <mergeCell ref="F9855:F9856"/>
    <mergeCell ref="F9916:F9918"/>
    <mergeCell ref="F9909:F9911"/>
    <mergeCell ref="F9919:F9921"/>
    <mergeCell ref="F9891:F9894"/>
    <mergeCell ref="F9881:F9882"/>
    <mergeCell ref="F9883:F9884"/>
    <mergeCell ref="F9885:F9886"/>
    <mergeCell ref="F9887:F9888"/>
    <mergeCell ref="F9889:F9890"/>
    <mergeCell ref="F9925:F9928"/>
    <mergeCell ref="F10130:F10131"/>
    <mergeCell ref="F10066:F10067"/>
    <mergeCell ref="F9912:F9915"/>
    <mergeCell ref="F9995:F9996"/>
    <mergeCell ref="F10007:F10010"/>
    <mergeCell ref="F10005:F10006"/>
    <mergeCell ref="F9999:F10002"/>
    <mergeCell ref="F9941:F9942"/>
    <mergeCell ref="F10003:F10004"/>
    <mergeCell ref="F9997:F9998"/>
    <mergeCell ref="F9976:F9979"/>
    <mergeCell ref="F9973:F9975"/>
    <mergeCell ref="F9980:F9982"/>
    <mergeCell ref="F9962:F9964"/>
    <mergeCell ref="F9965:F9967"/>
    <mergeCell ref="F9968:F9969"/>
    <mergeCell ref="F9987:F9988"/>
    <mergeCell ref="F9989:F9990"/>
    <mergeCell ref="F9991:F9992"/>
    <mergeCell ref="F9993:F9994"/>
    <mergeCell ref="F9946:F9947"/>
    <mergeCell ref="F9948:F9949"/>
    <mergeCell ref="F9983:F9986"/>
    <mergeCell ref="F9970:F9972"/>
    <mergeCell ref="F9922:F9924"/>
    <mergeCell ref="F9929:F9930"/>
    <mergeCell ref="F9931:F9932"/>
    <mergeCell ref="F9950:F9953"/>
    <mergeCell ref="F9954:F9957"/>
    <mergeCell ref="F9958:F9959"/>
    <mergeCell ref="F9960:F9961"/>
    <mergeCell ref="F10011:F10012"/>
    <mergeCell ref="F10163:F10164"/>
    <mergeCell ref="F10165:F10166"/>
    <mergeCell ref="F10167:F10168"/>
    <mergeCell ref="F10169:F10170"/>
    <mergeCell ref="F10173:F10175"/>
    <mergeCell ref="F10176:F10178"/>
    <mergeCell ref="F10171:F10172"/>
    <mergeCell ref="F10107:F10108"/>
    <mergeCell ref="F10013:F10015"/>
    <mergeCell ref="F10026:F10028"/>
    <mergeCell ref="F10016:F10017"/>
    <mergeCell ref="F10018:F10020"/>
    <mergeCell ref="F10021:F10023"/>
    <mergeCell ref="F10046:F10047"/>
    <mergeCell ref="F10048:F10049"/>
    <mergeCell ref="F10050:F10051"/>
    <mergeCell ref="F10052:F10053"/>
    <mergeCell ref="F10032:F10035"/>
    <mergeCell ref="F10042:F10043"/>
    <mergeCell ref="F10036:F10038"/>
    <mergeCell ref="F10039:F10041"/>
    <mergeCell ref="F10070:F10071"/>
    <mergeCell ref="F10072:F10073"/>
    <mergeCell ref="F10074:F10077"/>
    <mergeCell ref="F10078:F10081"/>
    <mergeCell ref="F10024:F10025"/>
    <mergeCell ref="F10029:F10031"/>
    <mergeCell ref="F10044:F10045"/>
    <mergeCell ref="F10082:F10085"/>
    <mergeCell ref="F10088:F10091"/>
    <mergeCell ref="F10102:F10104"/>
    <mergeCell ref="F10060:F10062"/>
    <mergeCell ref="F10063:F10065"/>
    <mergeCell ref="F10054:F10056"/>
    <mergeCell ref="F10057:F10059"/>
    <mergeCell ref="F10179:F10181"/>
    <mergeCell ref="F10157:F10160"/>
    <mergeCell ref="F10148:F10150"/>
    <mergeCell ref="F10151:F10153"/>
    <mergeCell ref="F10222:F10223"/>
    <mergeCell ref="F10260:F10261"/>
    <mergeCell ref="F10190:F10192"/>
    <mergeCell ref="F10218:F10219"/>
    <mergeCell ref="F10186:F10187"/>
    <mergeCell ref="F10188:F10189"/>
    <mergeCell ref="F10193:F10196"/>
    <mergeCell ref="F10068:F10069"/>
    <mergeCell ref="F10161:F10162"/>
    <mergeCell ref="F10140:F10141"/>
    <mergeCell ref="F10086:F10087"/>
    <mergeCell ref="F10094:F10095"/>
    <mergeCell ref="F10109:F10110"/>
    <mergeCell ref="F10111:F10113"/>
    <mergeCell ref="F10096:F10097"/>
    <mergeCell ref="F10098:F10099"/>
    <mergeCell ref="F10100:F10101"/>
    <mergeCell ref="F10117:F10118"/>
    <mergeCell ref="F10119:F10121"/>
    <mergeCell ref="F10122:F10123"/>
    <mergeCell ref="F10124:F10126"/>
    <mergeCell ref="F10127:F10129"/>
    <mergeCell ref="F10240:F10241"/>
    <mergeCell ref="F10232:F10233"/>
    <mergeCell ref="F10234:F10235"/>
    <mergeCell ref="F10236:F10237"/>
    <mergeCell ref="F10238:F10239"/>
    <mergeCell ref="F10136:F10137"/>
    <mergeCell ref="F10197:F10199"/>
    <mergeCell ref="F10200:F10203"/>
    <mergeCell ref="F10114:F10116"/>
    <mergeCell ref="F10204:F10205"/>
    <mergeCell ref="F10105:F10106"/>
    <mergeCell ref="F10206:F10209"/>
    <mergeCell ref="F10210:F10211"/>
    <mergeCell ref="F10212:F10213"/>
    <mergeCell ref="F10214:F10215"/>
    <mergeCell ref="F10216:F10217"/>
    <mergeCell ref="F10220:F10221"/>
    <mergeCell ref="F10224:F10225"/>
    <mergeCell ref="F10226:F10227"/>
    <mergeCell ref="F10142:F10144"/>
    <mergeCell ref="F10182:F10185"/>
    <mergeCell ref="F10294:F10295"/>
    <mergeCell ref="F10330:F10331"/>
    <mergeCell ref="F10308:F10311"/>
    <mergeCell ref="F10328:F10329"/>
    <mergeCell ref="F10228:F10229"/>
    <mergeCell ref="F10230:F10231"/>
    <mergeCell ref="F10250:F10251"/>
    <mergeCell ref="F10252:F10253"/>
    <mergeCell ref="F10301:F10303"/>
    <mergeCell ref="F10288:F10289"/>
    <mergeCell ref="F10286:F10287"/>
    <mergeCell ref="F10274:F10275"/>
    <mergeCell ref="F10276:F10277"/>
    <mergeCell ref="F10284:F10285"/>
    <mergeCell ref="F10296:F10297"/>
    <mergeCell ref="F10242:F10243"/>
    <mergeCell ref="F10244:F10245"/>
    <mergeCell ref="F10246:F10247"/>
    <mergeCell ref="F10248:F10249"/>
    <mergeCell ref="F10278:F10279"/>
    <mergeCell ref="F10272:F10273"/>
    <mergeCell ref="F10254:F10255"/>
    <mergeCell ref="F10256:F10257"/>
    <mergeCell ref="F10258:F10259"/>
    <mergeCell ref="F10282:F10283"/>
    <mergeCell ref="F10270:F10271"/>
    <mergeCell ref="F10320:F10321"/>
    <mergeCell ref="F10262:F10263"/>
    <mergeCell ref="F10264:F10265"/>
    <mergeCell ref="F10266:F10267"/>
    <mergeCell ref="F10268:F10269"/>
    <mergeCell ref="F10280:F10281"/>
    <mergeCell ref="F10403:F10404"/>
    <mergeCell ref="F10419:F10420"/>
    <mergeCell ref="F10304:F10307"/>
    <mergeCell ref="F10340:F10343"/>
    <mergeCell ref="F10393:F10395"/>
    <mergeCell ref="F10312:F10313"/>
    <mergeCell ref="F10335:F10337"/>
    <mergeCell ref="F10332:F10334"/>
    <mergeCell ref="F10353:F10355"/>
    <mergeCell ref="F10314:F10315"/>
    <mergeCell ref="F10316:F10317"/>
    <mergeCell ref="F10318:F10319"/>
    <mergeCell ref="F10356:F10357"/>
    <mergeCell ref="F10358:F10361"/>
    <mergeCell ref="F10362:F10364"/>
    <mergeCell ref="F10322:F10323"/>
    <mergeCell ref="F10324:F10325"/>
    <mergeCell ref="F10373:F10374"/>
    <mergeCell ref="F10401:F10402"/>
    <mergeCell ref="F10411:F10413"/>
    <mergeCell ref="F10399:F10400"/>
    <mergeCell ref="F10290:F10291"/>
    <mergeCell ref="F10292:F10293"/>
    <mergeCell ref="F10508:F10510"/>
    <mergeCell ref="F10505:F10507"/>
    <mergeCell ref="F10511:F10512"/>
    <mergeCell ref="F10513:F10514"/>
    <mergeCell ref="F10518:F10520"/>
    <mergeCell ref="F10521:F10522"/>
    <mergeCell ref="F10417:F10418"/>
    <mergeCell ref="F10450:F10451"/>
    <mergeCell ref="F10439:F10440"/>
    <mergeCell ref="F10375:F10377"/>
    <mergeCell ref="F10378:F10379"/>
    <mergeCell ref="F10298:F10300"/>
    <mergeCell ref="F10384:F10386"/>
    <mergeCell ref="F10350:F10352"/>
    <mergeCell ref="F10390:F10392"/>
    <mergeCell ref="F10344:F10345"/>
    <mergeCell ref="F10405:F10408"/>
    <mergeCell ref="F10409:F10410"/>
    <mergeCell ref="F10369:F10370"/>
    <mergeCell ref="F10371:F10372"/>
    <mergeCell ref="F10380:F10383"/>
    <mergeCell ref="F10367:F10368"/>
    <mergeCell ref="F10414:F10416"/>
    <mergeCell ref="F10346:F10347"/>
    <mergeCell ref="F10338:F10339"/>
    <mergeCell ref="F10348:F10349"/>
    <mergeCell ref="F10365:F10366"/>
    <mergeCell ref="F10326:F10327"/>
    <mergeCell ref="F10387:F10389"/>
    <mergeCell ref="F10396:F10398"/>
    <mergeCell ref="F10533:F10534"/>
    <mergeCell ref="F10535:F10536"/>
    <mergeCell ref="F10502:F10504"/>
    <mergeCell ref="F10454:F10457"/>
    <mergeCell ref="F10429:F10432"/>
    <mergeCell ref="F10435:F10438"/>
    <mergeCell ref="F10441:F10444"/>
    <mergeCell ref="F10433:F10434"/>
    <mergeCell ref="F10445:F10447"/>
    <mergeCell ref="F10448:F10449"/>
    <mergeCell ref="F10483:F10485"/>
    <mergeCell ref="F10475:F10476"/>
    <mergeCell ref="F10488:F10489"/>
    <mergeCell ref="F10541:F10543"/>
    <mergeCell ref="F10525:F10526"/>
    <mergeCell ref="F10539:F10540"/>
    <mergeCell ref="F10490:F10491"/>
    <mergeCell ref="F10492:F10493"/>
    <mergeCell ref="F10494:F10495"/>
    <mergeCell ref="F10496:F10497"/>
    <mergeCell ref="F10527:F10530"/>
    <mergeCell ref="F10469:F10470"/>
    <mergeCell ref="F10477:F10478"/>
    <mergeCell ref="F10537:F10538"/>
    <mergeCell ref="F10421:F10422"/>
    <mergeCell ref="F11036:F11037"/>
    <mergeCell ref="F11038:F11039"/>
    <mergeCell ref="F10990:F10991"/>
    <mergeCell ref="F10992:F10993"/>
    <mergeCell ref="F10994:F10995"/>
    <mergeCell ref="F10423:F10424"/>
    <mergeCell ref="F10425:F10426"/>
    <mergeCell ref="F10427:F10428"/>
    <mergeCell ref="F10452:F10453"/>
    <mergeCell ref="F10554:F10555"/>
    <mergeCell ref="F10481:F10482"/>
    <mergeCell ref="F10486:F10487"/>
    <mergeCell ref="F10471:F10472"/>
    <mergeCell ref="F10544:F10546"/>
    <mergeCell ref="F10523:F10524"/>
    <mergeCell ref="F10479:F10480"/>
    <mergeCell ref="F10458:F10462"/>
    <mergeCell ref="F10463:F10464"/>
    <mergeCell ref="F10465:F10466"/>
    <mergeCell ref="F10467:F10468"/>
    <mergeCell ref="F10473:F10474"/>
    <mergeCell ref="F10498:F10501"/>
    <mergeCell ref="F10515:F10517"/>
    <mergeCell ref="F10531:F10532"/>
    <mergeCell ref="F10658:F10660"/>
    <mergeCell ref="F10649:F10654"/>
    <mergeCell ref="F10583:F10585"/>
    <mergeCell ref="F10623:F10624"/>
    <mergeCell ref="F10925:F10926"/>
    <mergeCell ref="F10625:F10626"/>
    <mergeCell ref="F10627:F10628"/>
    <mergeCell ref="F11047:F11049"/>
    <mergeCell ref="F11002:F11004"/>
    <mergeCell ref="F11013:F11015"/>
    <mergeCell ref="F11005:F11007"/>
    <mergeCell ref="F11008:F11010"/>
    <mergeCell ref="F11011:F11012"/>
    <mergeCell ref="F11019:F11021"/>
    <mergeCell ref="F11022:F11023"/>
    <mergeCell ref="F11026:F11027"/>
    <mergeCell ref="F11032:F11033"/>
    <mergeCell ref="F11111:F11113"/>
    <mergeCell ref="F11108:F11110"/>
    <mergeCell ref="F11120:F11121"/>
    <mergeCell ref="F11122:F11123"/>
    <mergeCell ref="F11124:F11125"/>
    <mergeCell ref="F11126:F11127"/>
    <mergeCell ref="F11085:F11086"/>
    <mergeCell ref="F11087:F11088"/>
    <mergeCell ref="F11089:F11090"/>
    <mergeCell ref="F11062:F11064"/>
    <mergeCell ref="F11104:F11105"/>
    <mergeCell ref="F11247:F11248"/>
    <mergeCell ref="F11249:F11250"/>
    <mergeCell ref="F11254:F11255"/>
    <mergeCell ref="F11220:F11223"/>
    <mergeCell ref="F11226:F11228"/>
    <mergeCell ref="F11224:F11225"/>
    <mergeCell ref="F11294:F11296"/>
    <mergeCell ref="F11372:F11373"/>
    <mergeCell ref="F11330:F11331"/>
    <mergeCell ref="F11332:F11333"/>
    <mergeCell ref="F11336:F11337"/>
    <mergeCell ref="F11284:F11285"/>
    <mergeCell ref="F11286:F11287"/>
    <mergeCell ref="F11288:F11289"/>
    <mergeCell ref="F11290:F11291"/>
    <mergeCell ref="F11312:F11313"/>
    <mergeCell ref="F11316:F11317"/>
    <mergeCell ref="F11318:F11319"/>
    <mergeCell ref="F11256:F11257"/>
    <mergeCell ref="F11258:F11259"/>
    <mergeCell ref="F11260:F11261"/>
    <mergeCell ref="F11280:F11281"/>
    <mergeCell ref="F11282:F11283"/>
    <mergeCell ref="F11303:F11305"/>
    <mergeCell ref="F11277:F11279"/>
    <mergeCell ref="F11292:F11293"/>
    <mergeCell ref="F11297:F11298"/>
    <mergeCell ref="F11306:F11307"/>
    <mergeCell ref="F11262:F11263"/>
    <mergeCell ref="F11264:F11265"/>
    <mergeCell ref="F11352:F11353"/>
    <mergeCell ref="F11358:F11359"/>
    <mergeCell ref="F11663:F11664"/>
    <mergeCell ref="F11665:F11666"/>
    <mergeCell ref="F11405:F11407"/>
    <mergeCell ref="F11408:F11411"/>
    <mergeCell ref="F11392:F11393"/>
    <mergeCell ref="F11328:F11329"/>
    <mergeCell ref="F11338:F11339"/>
    <mergeCell ref="F11340:F11341"/>
    <mergeCell ref="F11342:F11343"/>
    <mergeCell ref="F11784:F11786"/>
    <mergeCell ref="F11762:F11763"/>
    <mergeCell ref="F11764:F11765"/>
    <mergeCell ref="F11766:F11767"/>
    <mergeCell ref="F11768:F11770"/>
    <mergeCell ref="F11774:F11775"/>
    <mergeCell ref="F11487:F11488"/>
    <mergeCell ref="F11450:F11451"/>
    <mergeCell ref="F11458:F11459"/>
    <mergeCell ref="F11463:F11464"/>
    <mergeCell ref="F11465:F11466"/>
    <mergeCell ref="F11467:F11468"/>
    <mergeCell ref="F11471:F11472"/>
    <mergeCell ref="F11473:F11474"/>
    <mergeCell ref="F11475:F11476"/>
    <mergeCell ref="F11383:F11385"/>
    <mergeCell ref="F11386:F11387"/>
    <mergeCell ref="F11460:F11462"/>
    <mergeCell ref="F11425:F11427"/>
    <mergeCell ref="F11518:F11519"/>
    <mergeCell ref="F11398:F11399"/>
    <mergeCell ref="F11400:F11401"/>
    <mergeCell ref="F11374:F11375"/>
    <mergeCell ref="F11793:F11794"/>
    <mergeCell ref="F11795:F11796"/>
    <mergeCell ref="F11797:F11798"/>
    <mergeCell ref="F11799:F11800"/>
    <mergeCell ref="F11805:F11806"/>
    <mergeCell ref="F11827:F11829"/>
    <mergeCell ref="F11830:F11832"/>
    <mergeCell ref="F11836:F11838"/>
    <mergeCell ref="F11771:F11773"/>
    <mergeCell ref="F11839:F11841"/>
    <mergeCell ref="F11833:F11835"/>
    <mergeCell ref="F11807:F11808"/>
    <mergeCell ref="F11814:F11816"/>
    <mergeCell ref="F11817:F11818"/>
    <mergeCell ref="F11809:F11810"/>
    <mergeCell ref="F11825:F11826"/>
    <mergeCell ref="F11842:F11843"/>
    <mergeCell ref="F11844:F11845"/>
    <mergeCell ref="F11823:F11824"/>
    <mergeCell ref="F11846:F11847"/>
    <mergeCell ref="F11881:F11882"/>
    <mergeCell ref="F11883:F11884"/>
    <mergeCell ref="F11877:F11878"/>
    <mergeCell ref="F11875:F11876"/>
    <mergeCell ref="F11848:F11850"/>
    <mergeCell ref="F11851:F11853"/>
    <mergeCell ref="F11870:F11872"/>
    <mergeCell ref="F11854:F11855"/>
    <mergeCell ref="F11856:F11857"/>
    <mergeCell ref="F11858:F11859"/>
    <mergeCell ref="F11860:F11861"/>
    <mergeCell ref="F11862:F11863"/>
    <mergeCell ref="F11864:F11865"/>
    <mergeCell ref="F11866:F11867"/>
    <mergeCell ref="F11868:F11869"/>
    <mergeCell ref="F11879:F11880"/>
    <mergeCell ref="F11873:F11874"/>
    <mergeCell ref="F11885:F11886"/>
    <mergeCell ref="F11887:F11888"/>
    <mergeCell ref="F11889:F11890"/>
    <mergeCell ref="F11891:F11892"/>
    <mergeCell ref="F11893:F11894"/>
    <mergeCell ref="F11953:F11955"/>
    <mergeCell ref="F11956:F11958"/>
    <mergeCell ref="F11970:F11973"/>
    <mergeCell ref="F11920:F11924"/>
    <mergeCell ref="F11928:F11929"/>
    <mergeCell ref="F11930:F11931"/>
    <mergeCell ref="F11932:F11933"/>
    <mergeCell ref="F11934:F11935"/>
    <mergeCell ref="F11936:F11937"/>
    <mergeCell ref="F11938:F11939"/>
    <mergeCell ref="F11940:F11941"/>
    <mergeCell ref="F11964:F11966"/>
    <mergeCell ref="F11944:F11946"/>
    <mergeCell ref="F11942:F11943"/>
    <mergeCell ref="F11961:F11963"/>
    <mergeCell ref="F11895:F11897"/>
    <mergeCell ref="F11898:F11900"/>
    <mergeCell ref="F11906:F11908"/>
    <mergeCell ref="F11911:F11913"/>
    <mergeCell ref="F11909:F11910"/>
    <mergeCell ref="F11901:F11903"/>
    <mergeCell ref="F11967:F11969"/>
    <mergeCell ref="F11916:F11917"/>
    <mergeCell ref="F11914:F11915"/>
    <mergeCell ref="F11918:F11919"/>
    <mergeCell ref="F11904:F11905"/>
    <mergeCell ref="F11949:F11950"/>
    <mergeCell ref="F11951:F11952"/>
    <mergeCell ref="F12061:F12062"/>
    <mergeCell ref="F11947:F11948"/>
    <mergeCell ref="F11959:F11960"/>
    <mergeCell ref="F11925:F11927"/>
    <mergeCell ref="F12067:F12068"/>
    <mergeCell ref="F12081:F12083"/>
    <mergeCell ref="F12084:F12085"/>
    <mergeCell ref="F12086:F12088"/>
    <mergeCell ref="F12075:F12076"/>
    <mergeCell ref="F12014:F12015"/>
    <mergeCell ref="F12016:F12017"/>
    <mergeCell ref="F12018:F12019"/>
    <mergeCell ref="F12020:F12021"/>
    <mergeCell ref="F12022:F12023"/>
    <mergeCell ref="F12024:F12025"/>
    <mergeCell ref="F12026:F12027"/>
    <mergeCell ref="F12028:F12029"/>
    <mergeCell ref="F11983:F11984"/>
    <mergeCell ref="F11985:F11986"/>
    <mergeCell ref="F11987:F11988"/>
    <mergeCell ref="F11989:F11990"/>
    <mergeCell ref="F11991:F11992"/>
    <mergeCell ref="F11993:F11994"/>
    <mergeCell ref="F12077:F12078"/>
    <mergeCell ref="F12079:F12080"/>
    <mergeCell ref="F12003:F12005"/>
    <mergeCell ref="F11974:F11976"/>
    <mergeCell ref="F11995:F11997"/>
    <mergeCell ref="F12001:F12002"/>
    <mergeCell ref="F12030:F12032"/>
    <mergeCell ref="F11998:F12000"/>
    <mergeCell ref="F12166:F12167"/>
    <mergeCell ref="F12168:F12169"/>
    <mergeCell ref="F12215:F12216"/>
    <mergeCell ref="F12188:F12190"/>
    <mergeCell ref="F12191:F12193"/>
    <mergeCell ref="F12194:F12195"/>
    <mergeCell ref="F12196:F12198"/>
    <mergeCell ref="F12420:F12421"/>
    <mergeCell ref="F12401:F12402"/>
    <mergeCell ref="F12477:F12478"/>
    <mergeCell ref="F12901:F12903"/>
    <mergeCell ref="F12873:F12875"/>
    <mergeCell ref="F12855:F12856"/>
    <mergeCell ref="F12857:F12858"/>
    <mergeCell ref="F12859:F12860"/>
    <mergeCell ref="F12861:F12862"/>
    <mergeCell ref="F12863:F12864"/>
    <mergeCell ref="F12865:F12866"/>
    <mergeCell ref="F12867:F12868"/>
    <mergeCell ref="F12869:F12870"/>
    <mergeCell ref="F12542:F12543"/>
    <mergeCell ref="F12544:F12545"/>
    <mergeCell ref="F12546:F12547"/>
    <mergeCell ref="F12603:F12604"/>
    <mergeCell ref="F12878:F12882"/>
    <mergeCell ref="F12883:F12887"/>
    <mergeCell ref="F12587:F12589"/>
    <mergeCell ref="F12530:F12532"/>
    <mergeCell ref="F12540:F12541"/>
    <mergeCell ref="F12556:F12557"/>
    <mergeCell ref="F12469:F12470"/>
    <mergeCell ref="F12473:F12474"/>
    <mergeCell ref="F12461:F12463"/>
    <mergeCell ref="F12464:F12465"/>
    <mergeCell ref="F12466:F12468"/>
    <mergeCell ref="F12906:F12907"/>
    <mergeCell ref="F12927:F12929"/>
    <mergeCell ref="F12916:F12917"/>
    <mergeCell ref="F12918:F12919"/>
    <mergeCell ref="F12920:F12921"/>
    <mergeCell ref="F12922:F12923"/>
    <mergeCell ref="F12944:F12945"/>
    <mergeCell ref="F12946:F12948"/>
    <mergeCell ref="F12952:F12955"/>
    <mergeCell ref="F12924:F12926"/>
    <mergeCell ref="F13040:F13041"/>
    <mergeCell ref="F12492:F12493"/>
    <mergeCell ref="F12522:F12523"/>
    <mergeCell ref="F12524:F12525"/>
    <mergeCell ref="F12526:F12527"/>
    <mergeCell ref="F12479:F12480"/>
    <mergeCell ref="F12481:F12482"/>
    <mergeCell ref="F12483:F12484"/>
    <mergeCell ref="F12485:F12486"/>
    <mergeCell ref="F12487:F12489"/>
    <mergeCell ref="F12634:F12636"/>
    <mergeCell ref="F12609:F12610"/>
    <mergeCell ref="F12806:F12807"/>
    <mergeCell ref="F12808:F12809"/>
    <mergeCell ref="F12756:F12758"/>
    <mergeCell ref="F12713:F12714"/>
    <mergeCell ref="F12592:F12594"/>
    <mergeCell ref="F12533:F12535"/>
    <mergeCell ref="F12621:F12622"/>
    <mergeCell ref="F12972:F12973"/>
    <mergeCell ref="F12995:F12996"/>
    <mergeCell ref="F12997:F12998"/>
    <mergeCell ref="F12958:F12960"/>
    <mergeCell ref="F12961:F12963"/>
    <mergeCell ref="F12993:F12994"/>
    <mergeCell ref="F13025:F13026"/>
    <mergeCell ref="F12979:F12980"/>
    <mergeCell ref="F12991:F12992"/>
    <mergeCell ref="F12936:F12938"/>
    <mergeCell ref="F13247:F13251"/>
    <mergeCell ref="F13278:F13279"/>
    <mergeCell ref="F13351:F13354"/>
    <mergeCell ref="F13355:F13356"/>
    <mergeCell ref="F13357:F13358"/>
    <mergeCell ref="F13386:F13388"/>
    <mergeCell ref="F13422:F13423"/>
    <mergeCell ref="F13074:F13075"/>
    <mergeCell ref="F13076:F13077"/>
    <mergeCell ref="F13138:F13140"/>
    <mergeCell ref="F13113:F13114"/>
    <mergeCell ref="F13115:F13116"/>
    <mergeCell ref="F13315:F13319"/>
    <mergeCell ref="F13331:F13335"/>
    <mergeCell ref="F13290:F13292"/>
    <mergeCell ref="F13320:F13321"/>
    <mergeCell ref="F13324:F13325"/>
    <mergeCell ref="F13336:F13338"/>
    <mergeCell ref="F13339:F13342"/>
    <mergeCell ref="F13343:F13344"/>
    <mergeCell ref="F13345:F13346"/>
    <mergeCell ref="F13311:F13312"/>
    <mergeCell ref="F13322:F13323"/>
    <mergeCell ref="F13392:F13394"/>
    <mergeCell ref="F13192:F13193"/>
    <mergeCell ref="F13254:F13255"/>
    <mergeCell ref="F13280:F13281"/>
    <mergeCell ref="F13205:F13206"/>
    <mergeCell ref="F13165:F13166"/>
    <mergeCell ref="F13097:F13099"/>
    <mergeCell ref="F13747:F13748"/>
    <mergeCell ref="F13708:F13709"/>
    <mergeCell ref="F13710:F13712"/>
    <mergeCell ref="F13721:F13722"/>
    <mergeCell ref="F13718:F13720"/>
    <mergeCell ref="F13329:F13330"/>
    <mergeCell ref="F13398:F13399"/>
    <mergeCell ref="F13509:F13510"/>
    <mergeCell ref="F13370:F13371"/>
    <mergeCell ref="F13372:F13373"/>
    <mergeCell ref="F13432:F13433"/>
    <mergeCell ref="F13484:F13487"/>
    <mergeCell ref="F13488:F13492"/>
    <mergeCell ref="F13493:F13495"/>
    <mergeCell ref="F13434:F13435"/>
    <mergeCell ref="F13436:F13437"/>
    <mergeCell ref="F13527:F13529"/>
    <mergeCell ref="F13513:F13514"/>
    <mergeCell ref="F13515:F13516"/>
    <mergeCell ref="F13517:F13518"/>
    <mergeCell ref="F13519:F13520"/>
    <mergeCell ref="F13448:F13450"/>
    <mergeCell ref="F13424:F13425"/>
    <mergeCell ref="F13362:F13363"/>
    <mergeCell ref="F13380:F13382"/>
    <mergeCell ref="F13389:F13391"/>
    <mergeCell ref="F13475:F13476"/>
    <mergeCell ref="F13465:F13467"/>
    <mergeCell ref="F13580:F13581"/>
    <mergeCell ref="F13686:F13687"/>
    <mergeCell ref="F13567:F13569"/>
    <mergeCell ref="F13172:F13174"/>
    <mergeCell ref="F13190:F13191"/>
    <mergeCell ref="F13301:F13302"/>
    <mergeCell ref="F13303:F13304"/>
    <mergeCell ref="F13207:F13208"/>
    <mergeCell ref="F13577:F13579"/>
    <mergeCell ref="F13565:F13566"/>
    <mergeCell ref="F13600:F13604"/>
    <mergeCell ref="F13592:F13593"/>
    <mergeCell ref="F13594:F13595"/>
    <mergeCell ref="F13640:F13641"/>
    <mergeCell ref="F13637:F13639"/>
    <mergeCell ref="F13635:F13636"/>
    <mergeCell ref="F13673:F13674"/>
    <mergeCell ref="F13678:F13682"/>
    <mergeCell ref="F13683:F13685"/>
    <mergeCell ref="F13297:F13298"/>
    <mergeCell ref="F13570:F13571"/>
    <mergeCell ref="F13586:F13587"/>
    <mergeCell ref="F13438:F13441"/>
    <mergeCell ref="F13426:F13427"/>
    <mergeCell ref="F13223:F13227"/>
    <mergeCell ref="F13228:F13229"/>
    <mergeCell ref="F13238:F13239"/>
    <mergeCell ref="F13240:F13241"/>
    <mergeCell ref="F13282:F13284"/>
    <mergeCell ref="F13359:F13361"/>
    <mergeCell ref="F13274:F13275"/>
    <mergeCell ref="F13307:F13308"/>
    <mergeCell ref="F13806:F13807"/>
    <mergeCell ref="F13808:F13809"/>
    <mergeCell ref="F13810:F13811"/>
    <mergeCell ref="F13812:F13813"/>
    <mergeCell ref="F13814:F13815"/>
    <mergeCell ref="F13816:F13817"/>
    <mergeCell ref="F13818:F13819"/>
    <mergeCell ref="F13820:F13821"/>
    <mergeCell ref="F13790:F13791"/>
    <mergeCell ref="F13792:F13793"/>
    <mergeCell ref="F13794:F13796"/>
    <mergeCell ref="F13797:F13798"/>
    <mergeCell ref="F13799:F13800"/>
    <mergeCell ref="F13782:F13785"/>
    <mergeCell ref="F13786:F13789"/>
    <mergeCell ref="F13615:F13616"/>
    <mergeCell ref="F13665:F13666"/>
    <mergeCell ref="F13645:F13646"/>
    <mergeCell ref="F13657:F13658"/>
    <mergeCell ref="F13659:F13660"/>
    <mergeCell ref="F13661:F13662"/>
    <mergeCell ref="F13630:F13631"/>
    <mergeCell ref="F13642:F13644"/>
    <mergeCell ref="F13773:F13775"/>
    <mergeCell ref="F13776:F13777"/>
    <mergeCell ref="F13735:F13736"/>
    <mergeCell ref="F13753:F13755"/>
    <mergeCell ref="F13763:F13764"/>
    <mergeCell ref="F13765:F13767"/>
    <mergeCell ref="F13778:F13779"/>
    <mergeCell ref="F13822:F13824"/>
    <mergeCell ref="F13839:F13841"/>
    <mergeCell ref="F13863:F13864"/>
    <mergeCell ref="F13871:F13872"/>
    <mergeCell ref="F13873:F13875"/>
    <mergeCell ref="F13881:F13882"/>
    <mergeCell ref="F13883:F13884"/>
    <mergeCell ref="F13885:F13886"/>
    <mergeCell ref="F13887:F13888"/>
    <mergeCell ref="F13889:F13890"/>
    <mergeCell ref="F13891:F13892"/>
    <mergeCell ref="F13893:F13894"/>
    <mergeCell ref="F13895:F13896"/>
    <mergeCell ref="F13825:F13827"/>
    <mergeCell ref="F13828:F13830"/>
    <mergeCell ref="F13842:F13844"/>
    <mergeCell ref="F13852:F13854"/>
    <mergeCell ref="F13831:F13832"/>
    <mergeCell ref="F13833:F13834"/>
    <mergeCell ref="F13835:F13836"/>
    <mergeCell ref="F13845:F13846"/>
    <mergeCell ref="F13847:F13851"/>
    <mergeCell ref="F13855:F13856"/>
    <mergeCell ref="F13857:F13858"/>
    <mergeCell ref="F13861:F13862"/>
    <mergeCell ref="F13837:F13838"/>
    <mergeCell ref="F13859:F13860"/>
    <mergeCell ref="F13804:F13805"/>
    <mergeCell ref="F13801:F13803"/>
    <mergeCell ref="F14002:F14003"/>
    <mergeCell ref="F13903:F13907"/>
    <mergeCell ref="F13921:F13924"/>
    <mergeCell ref="F13915:F13917"/>
    <mergeCell ref="F13911:F13914"/>
    <mergeCell ref="F13925:F13929"/>
    <mergeCell ref="F13934:F13936"/>
    <mergeCell ref="F13865:F13867"/>
    <mergeCell ref="F13868:F13870"/>
    <mergeCell ref="F13918:F13920"/>
    <mergeCell ref="F13930:F13931"/>
    <mergeCell ref="F13940:F13942"/>
    <mergeCell ref="F13943:F13944"/>
    <mergeCell ref="F13945:F13946"/>
    <mergeCell ref="F13947:F13948"/>
    <mergeCell ref="F13989:F13991"/>
    <mergeCell ref="F13992:F13993"/>
    <mergeCell ref="F13949:F13951"/>
    <mergeCell ref="F13955:F13956"/>
    <mergeCell ref="F13957:F13958"/>
    <mergeCell ref="F13932:F13933"/>
    <mergeCell ref="F13952:F13954"/>
    <mergeCell ref="F13959:F13961"/>
    <mergeCell ref="F13977:F13980"/>
    <mergeCell ref="F13981:F13984"/>
    <mergeCell ref="F13985:F13988"/>
    <mergeCell ref="F13994:F13995"/>
    <mergeCell ref="F14040:F14041"/>
    <mergeCell ref="F13996:F13997"/>
    <mergeCell ref="F13998:F13999"/>
    <mergeCell ref="F14021:F14023"/>
    <mergeCell ref="F14024:F14026"/>
    <mergeCell ref="F14027:F14028"/>
    <mergeCell ref="F14057:F14058"/>
    <mergeCell ref="F14289:F14290"/>
    <mergeCell ref="F14296:F14297"/>
    <mergeCell ref="F14298:F14299"/>
    <mergeCell ref="F14262:F14263"/>
    <mergeCell ref="F14291:F14292"/>
    <mergeCell ref="F14300:F14301"/>
    <mergeCell ref="F14293:F14295"/>
    <mergeCell ref="F14302:F14304"/>
    <mergeCell ref="F14343:F14345"/>
    <mergeCell ref="F14029:F14031"/>
    <mergeCell ref="F14032:F14033"/>
    <mergeCell ref="F14034:F14035"/>
    <mergeCell ref="F14036:F14037"/>
    <mergeCell ref="F14042:F14043"/>
    <mergeCell ref="F14044:F14045"/>
    <mergeCell ref="F14038:F14039"/>
    <mergeCell ref="F14046:F14047"/>
    <mergeCell ref="F14012:F14016"/>
    <mergeCell ref="F14017:F14020"/>
    <mergeCell ref="F14004:F14005"/>
    <mergeCell ref="F14006:F14007"/>
    <mergeCell ref="F14008:F14009"/>
    <mergeCell ref="F14287:F14288"/>
    <mergeCell ref="F14010:F14011"/>
    <mergeCell ref="F14000:F14001"/>
    <mergeCell ref="F14557:F14559"/>
    <mergeCell ref="F14530:F14534"/>
    <mergeCell ref="F14465:F14466"/>
    <mergeCell ref="F14544:F14545"/>
    <mergeCell ref="F14542:F14543"/>
    <mergeCell ref="F14548:F14549"/>
    <mergeCell ref="F14525:F14529"/>
    <mergeCell ref="F14479:F14480"/>
    <mergeCell ref="F14395:F14396"/>
    <mergeCell ref="F14397:F14398"/>
    <mergeCell ref="F14369:F14370"/>
    <mergeCell ref="F14371:F14372"/>
    <mergeCell ref="F14373:F14374"/>
    <mergeCell ref="F14375:F14376"/>
    <mergeCell ref="F14377:F14378"/>
    <mergeCell ref="F14379:F14380"/>
    <mergeCell ref="F14381:F14382"/>
    <mergeCell ref="F14383:F14384"/>
    <mergeCell ref="F14409:F14410"/>
    <mergeCell ref="F14411:F14412"/>
    <mergeCell ref="F14490:F14491"/>
    <mergeCell ref="F14492:F14493"/>
    <mergeCell ref="F14494:F14495"/>
    <mergeCell ref="F14496:F14497"/>
    <mergeCell ref="F14508:F14512"/>
    <mergeCell ref="F14513:F14514"/>
    <mergeCell ref="F14540:F14541"/>
    <mergeCell ref="F14546:F14547"/>
    <mergeCell ref="F14498:F14499"/>
    <mergeCell ref="F14500:F14501"/>
    <mergeCell ref="F14502:F14504"/>
    <mergeCell ref="F14447:F14449"/>
    <mergeCell ref="F14568:F14570"/>
    <mergeCell ref="F14560:F14564"/>
    <mergeCell ref="F14864:F14868"/>
    <mergeCell ref="F14869:F14873"/>
    <mergeCell ref="F14710:F14712"/>
    <mergeCell ref="F14649:F14651"/>
    <mergeCell ref="F14677:F14678"/>
    <mergeCell ref="F14571:F14572"/>
    <mergeCell ref="F14583:F14584"/>
    <mergeCell ref="F14585:F14586"/>
    <mergeCell ref="F14587:F14588"/>
    <mergeCell ref="F14535:F14537"/>
    <mergeCell ref="F14505:F14507"/>
    <mergeCell ref="F14756:F14757"/>
    <mergeCell ref="F14723:F14725"/>
    <mergeCell ref="F14726:F14728"/>
    <mergeCell ref="F14718:F14722"/>
    <mergeCell ref="F14736:F14740"/>
    <mergeCell ref="F14745:F14747"/>
    <mergeCell ref="F14826:F14827"/>
    <mergeCell ref="F14670:F14672"/>
    <mergeCell ref="F14664:F14666"/>
    <mergeCell ref="F14673:F14674"/>
    <mergeCell ref="F14679:F14680"/>
    <mergeCell ref="F14657:F14658"/>
    <mergeCell ref="F14647:F14648"/>
    <mergeCell ref="F14550:F14554"/>
    <mergeCell ref="F14517:F14518"/>
    <mergeCell ref="F14538:F14539"/>
    <mergeCell ref="F14515:F14516"/>
    <mergeCell ref="F14519:F14521"/>
    <mergeCell ref="F14522:F14524"/>
    <mergeCell ref="F14589:F14591"/>
    <mergeCell ref="F14636:F14638"/>
    <mergeCell ref="F14601:F14602"/>
    <mergeCell ref="F14615:F14616"/>
    <mergeCell ref="F14617:F14618"/>
    <mergeCell ref="F14603:F14605"/>
    <mergeCell ref="F14634:F14635"/>
    <mergeCell ref="F14606:F14608"/>
    <mergeCell ref="F14612:F14614"/>
    <mergeCell ref="F14632:F14633"/>
    <mergeCell ref="F14619:F14620"/>
    <mergeCell ref="F14621:F14622"/>
    <mergeCell ref="F14623:F14628"/>
    <mergeCell ref="F14629:F14631"/>
    <mergeCell ref="F14609:F14611"/>
    <mergeCell ref="F14642:F14646"/>
    <mergeCell ref="F14908:F14909"/>
    <mergeCell ref="F14901:F14905"/>
    <mergeCell ref="F14862:F14863"/>
    <mergeCell ref="F14654:F14656"/>
    <mergeCell ref="F14762:F14763"/>
    <mergeCell ref="F14693:F14694"/>
    <mergeCell ref="F14695:F14696"/>
    <mergeCell ref="F14659:F14660"/>
    <mergeCell ref="F14661:F14663"/>
    <mergeCell ref="F14697:F14701"/>
    <mergeCell ref="F14667:F14669"/>
    <mergeCell ref="F14809:F14810"/>
    <mergeCell ref="F14787:F14788"/>
    <mergeCell ref="F14687:F14688"/>
    <mergeCell ref="F14689:F14690"/>
    <mergeCell ref="F14691:F14692"/>
    <mergeCell ref="F15184:F15185"/>
    <mergeCell ref="F15179:F15181"/>
    <mergeCell ref="F15206:F15210"/>
    <mergeCell ref="F15191:F15193"/>
    <mergeCell ref="F15194:F15195"/>
    <mergeCell ref="F15196:F15198"/>
    <mergeCell ref="F15113:F15117"/>
    <mergeCell ref="F15024:F15025"/>
    <mergeCell ref="F14874:F14876"/>
    <mergeCell ref="F15067:F15068"/>
    <mergeCell ref="F14930:F14931"/>
    <mergeCell ref="F14934:F14935"/>
    <mergeCell ref="F14936:F14938"/>
    <mergeCell ref="F14945:F14946"/>
    <mergeCell ref="F15134:F15138"/>
    <mergeCell ref="F15139:F15141"/>
    <mergeCell ref="F15142:F15143"/>
    <mergeCell ref="F15118:F15119"/>
    <mergeCell ref="F15120:F15121"/>
    <mergeCell ref="F15122:F15124"/>
    <mergeCell ref="F15177:F15178"/>
    <mergeCell ref="F15182:F15183"/>
    <mergeCell ref="F15170:F15171"/>
    <mergeCell ref="F14919:F14921"/>
    <mergeCell ref="F14922:F14924"/>
    <mergeCell ref="F14942:F14944"/>
    <mergeCell ref="F14993:F14994"/>
    <mergeCell ref="F14906:F14907"/>
    <mergeCell ref="F14889:F14891"/>
    <mergeCell ref="F15030:F15032"/>
    <mergeCell ref="F15033:F15035"/>
    <mergeCell ref="F15021:F15023"/>
    <mergeCell ref="F15082:F15083"/>
    <mergeCell ref="F15019:F15020"/>
    <mergeCell ref="F15026:F15027"/>
    <mergeCell ref="F15028:F15029"/>
    <mergeCell ref="F14995:F14997"/>
    <mergeCell ref="F15042:F15044"/>
    <mergeCell ref="F15001:F15003"/>
    <mergeCell ref="F15004:F15006"/>
    <mergeCell ref="F14998:F15000"/>
    <mergeCell ref="F15086:F15087"/>
    <mergeCell ref="F15053:F15055"/>
    <mergeCell ref="F15011:F15012"/>
    <mergeCell ref="F15009:F15010"/>
    <mergeCell ref="F15045:F15049"/>
    <mergeCell ref="F15017:F15018"/>
    <mergeCell ref="F15065:F15066"/>
    <mergeCell ref="F15059:F15060"/>
    <mergeCell ref="F15746:F15747"/>
    <mergeCell ref="F15228:F15229"/>
    <mergeCell ref="F15174:F15176"/>
    <mergeCell ref="F15164:F15165"/>
    <mergeCell ref="F15166:F15167"/>
    <mergeCell ref="F15168:F15169"/>
    <mergeCell ref="F15088:F15089"/>
    <mergeCell ref="F15039:F15041"/>
    <mergeCell ref="F15290:F15291"/>
    <mergeCell ref="F15125:F15126"/>
    <mergeCell ref="F15132:F15133"/>
    <mergeCell ref="F15264:F15266"/>
    <mergeCell ref="F15267:F15269"/>
    <mergeCell ref="F15473:F15475"/>
    <mergeCell ref="F15521:F15523"/>
    <mergeCell ref="F15585:F15586"/>
    <mergeCell ref="F15578:F15579"/>
    <mergeCell ref="F15476:F15477"/>
    <mergeCell ref="F15478:F15479"/>
    <mergeCell ref="F15480:F15481"/>
    <mergeCell ref="F15505:F15506"/>
    <mergeCell ref="F15403:F15405"/>
    <mergeCell ref="F15406:F15407"/>
    <mergeCell ref="F15408:F15409"/>
    <mergeCell ref="F15354:F15356"/>
    <mergeCell ref="F15410:F15411"/>
    <mergeCell ref="F15412:F15413"/>
    <mergeCell ref="F15460:F15464"/>
    <mergeCell ref="F15426:F15429"/>
    <mergeCell ref="F15430:F15431"/>
    <mergeCell ref="F15437:F15439"/>
    <mergeCell ref="F15440:F15442"/>
    <mergeCell ref="F15758:F15760"/>
    <mergeCell ref="F15766:F15767"/>
    <mergeCell ref="F15397:F15399"/>
    <mergeCell ref="F15400:F15402"/>
    <mergeCell ref="F15420:F15421"/>
    <mergeCell ref="F15422:F15423"/>
    <mergeCell ref="F15455:F15457"/>
    <mergeCell ref="F15468:F15472"/>
    <mergeCell ref="F15465:F15467"/>
    <mergeCell ref="F15537:F15538"/>
    <mergeCell ref="F15539:F15540"/>
    <mergeCell ref="F15541:F15542"/>
    <mergeCell ref="F15587:F15589"/>
    <mergeCell ref="F15567:F15571"/>
    <mergeCell ref="F15572:F15574"/>
    <mergeCell ref="F15590:F15592"/>
    <mergeCell ref="F15593:F15594"/>
    <mergeCell ref="F15608:F15609"/>
    <mergeCell ref="F15612:F15613"/>
    <mergeCell ref="F15484:F15485"/>
    <mergeCell ref="F15486:F15487"/>
    <mergeCell ref="F15604:F15605"/>
    <mergeCell ref="F15606:F15607"/>
    <mergeCell ref="F15530:F15531"/>
    <mergeCell ref="F15528:F15529"/>
    <mergeCell ref="F15532:F15536"/>
    <mergeCell ref="F15553:F15555"/>
    <mergeCell ref="F15556:F15558"/>
    <mergeCell ref="F15610:F15611"/>
    <mergeCell ref="F15500:F15504"/>
    <mergeCell ref="F15513:F15517"/>
    <mergeCell ref="F15524:F15525"/>
    <mergeCell ref="F15507:F15509"/>
    <mergeCell ref="F15543:F15544"/>
    <mergeCell ref="F15580:F15584"/>
    <mergeCell ref="F15642:F15646"/>
    <mergeCell ref="F15651:F15655"/>
    <mergeCell ref="F15649:F15650"/>
    <mergeCell ref="F15549:F15550"/>
    <mergeCell ref="F15647:F15648"/>
    <mergeCell ref="F15565:F15566"/>
    <mergeCell ref="F15634:F15635"/>
    <mergeCell ref="F15636:F15637"/>
    <mergeCell ref="F15638:F15639"/>
    <mergeCell ref="F15640:F15641"/>
    <mergeCell ref="F15562:F15564"/>
    <mergeCell ref="F15622:F15623"/>
    <mergeCell ref="F15595:F15596"/>
    <mergeCell ref="F15559:F15561"/>
    <mergeCell ref="F15620:F15621"/>
    <mergeCell ref="F15624:F15625"/>
    <mergeCell ref="F15575:F15577"/>
    <mergeCell ref="F15597:F15598"/>
    <mergeCell ref="F15599:F15603"/>
    <mergeCell ref="F15626:F15630"/>
    <mergeCell ref="F15631:F15633"/>
    <mergeCell ref="F15614:F15615"/>
    <mergeCell ref="F15616:F15617"/>
    <mergeCell ref="F15618:F15619"/>
    <mergeCell ref="F15551:F15552"/>
    <mergeCell ref="F15526:F15527"/>
    <mergeCell ref="F15518:F15520"/>
    <mergeCell ref="F15510:F15512"/>
    <mergeCell ref="F15656:F15658"/>
    <mergeCell ref="F15667:F15669"/>
    <mergeCell ref="F15673:F15674"/>
    <mergeCell ref="F15677:F15678"/>
    <mergeCell ref="F15679:F15680"/>
    <mergeCell ref="F15681:F15682"/>
    <mergeCell ref="F15683:F15684"/>
    <mergeCell ref="F15685:F15686"/>
    <mergeCell ref="F15687:F15688"/>
    <mergeCell ref="F15988:F15989"/>
    <mergeCell ref="F15990:F15991"/>
    <mergeCell ref="F15992:F15993"/>
    <mergeCell ref="F15689:F15690"/>
    <mergeCell ref="F15691:F15695"/>
    <mergeCell ref="F15704:F15705"/>
    <mergeCell ref="F15699:F15700"/>
    <mergeCell ref="F15701:F15703"/>
    <mergeCell ref="F15706:F15707"/>
    <mergeCell ref="F15708:F15710"/>
    <mergeCell ref="F15950:F15951"/>
    <mergeCell ref="F15977:F15981"/>
    <mergeCell ref="F15982:F15983"/>
    <mergeCell ref="F15984:F15985"/>
    <mergeCell ref="F15862:F15863"/>
    <mergeCell ref="F15867:F15868"/>
    <mergeCell ref="F15864:F15866"/>
    <mergeCell ref="F15891:F15895"/>
    <mergeCell ref="F15896:F15900"/>
    <mergeCell ref="F15944:F15946"/>
    <mergeCell ref="F15947:F15949"/>
    <mergeCell ref="F15966:F15967"/>
    <mergeCell ref="F15901:F15903"/>
    <mergeCell ref="F15670:F15672"/>
    <mergeCell ref="F15675:F15676"/>
    <mergeCell ref="F15919:F15920"/>
    <mergeCell ref="F15930:F15931"/>
    <mergeCell ref="F15932:F15933"/>
    <mergeCell ref="F15934:F15936"/>
    <mergeCell ref="F15927:F15929"/>
    <mergeCell ref="F15937:F15938"/>
    <mergeCell ref="F15912:F15916"/>
    <mergeCell ref="F15917:F15918"/>
    <mergeCell ref="F15904:F15908"/>
    <mergeCell ref="F15909:F15911"/>
    <mergeCell ref="F15921:F15923"/>
    <mergeCell ref="F15924:F15926"/>
    <mergeCell ref="F15875:F15876"/>
    <mergeCell ref="F15883:F15884"/>
    <mergeCell ref="F15885:F15887"/>
    <mergeCell ref="F15888:F15890"/>
    <mergeCell ref="F15730:F15734"/>
    <mergeCell ref="F15735:F15739"/>
    <mergeCell ref="F15856:F15857"/>
    <mergeCell ref="F15842:F15843"/>
    <mergeCell ref="F15844:F15845"/>
    <mergeCell ref="F15846:F15847"/>
    <mergeCell ref="F15848:F15849"/>
    <mergeCell ref="F15850:F15851"/>
    <mergeCell ref="F15711:F15715"/>
    <mergeCell ref="F15696:F15698"/>
    <mergeCell ref="F15723:F15724"/>
    <mergeCell ref="F15725:F15729"/>
    <mergeCell ref="F15761:F15765"/>
    <mergeCell ref="F15750:F15751"/>
    <mergeCell ref="F16046:F16047"/>
    <mergeCell ref="F15968:F15969"/>
    <mergeCell ref="F16074:F16075"/>
    <mergeCell ref="F15659:F15661"/>
    <mergeCell ref="F15662:F15664"/>
    <mergeCell ref="F15665:F15666"/>
    <mergeCell ref="F16429:F16430"/>
    <mergeCell ref="F16409:F16410"/>
    <mergeCell ref="F16427:F16428"/>
    <mergeCell ref="F16380:F16381"/>
    <mergeCell ref="F16382:F16383"/>
    <mergeCell ref="F16384:F16385"/>
    <mergeCell ref="F16281:F16282"/>
    <mergeCell ref="F16337:F16338"/>
    <mergeCell ref="F16339:F16340"/>
    <mergeCell ref="F16341:F16342"/>
    <mergeCell ref="F16343:F16344"/>
    <mergeCell ref="F16332:F16336"/>
    <mergeCell ref="F16301:F16302"/>
    <mergeCell ref="F16303:F16305"/>
    <mergeCell ref="F16306:F16310"/>
    <mergeCell ref="F16314:F16315"/>
    <mergeCell ref="F16035:F16037"/>
    <mergeCell ref="F16038:F16039"/>
    <mergeCell ref="F16040:F16041"/>
    <mergeCell ref="F16042:F16043"/>
    <mergeCell ref="F16044:F16045"/>
    <mergeCell ref="F16056:F16058"/>
    <mergeCell ref="F16059:F16061"/>
    <mergeCell ref="F16064:F16065"/>
    <mergeCell ref="F16066:F16067"/>
    <mergeCell ref="F16068:F16069"/>
    <mergeCell ref="F15952:F15953"/>
    <mergeCell ref="F15954:F15955"/>
    <mergeCell ref="F16033:F16034"/>
    <mergeCell ref="F16000:F16001"/>
    <mergeCell ref="F16005:F16009"/>
    <mergeCell ref="F16010:F16014"/>
    <mergeCell ref="F16015:F16016"/>
    <mergeCell ref="F16017:F16018"/>
    <mergeCell ref="F16019:F16020"/>
    <mergeCell ref="F16021:F16022"/>
    <mergeCell ref="F16023:F16024"/>
    <mergeCell ref="F16025:F16026"/>
    <mergeCell ref="F16027:F16028"/>
    <mergeCell ref="F15970:F15971"/>
    <mergeCell ref="F15972:F15973"/>
    <mergeCell ref="F15974:F15976"/>
    <mergeCell ref="F15986:F15987"/>
    <mergeCell ref="F15994:F15995"/>
    <mergeCell ref="F16029:F16030"/>
    <mergeCell ref="F16031:F16032"/>
    <mergeCell ref="F16002:F16004"/>
    <mergeCell ref="F15996:F15997"/>
    <mergeCell ref="F15998:F15999"/>
    <mergeCell ref="F15956:F15957"/>
    <mergeCell ref="F15958:F15959"/>
    <mergeCell ref="F15960:F15961"/>
    <mergeCell ref="F15962:F15963"/>
    <mergeCell ref="F15964:F15965"/>
    <mergeCell ref="F16062:F16063"/>
    <mergeCell ref="F16099:F16100"/>
    <mergeCell ref="F16101:F16102"/>
    <mergeCell ref="F16103:F16104"/>
    <mergeCell ref="F16105:F16106"/>
    <mergeCell ref="F16107:F16108"/>
    <mergeCell ref="F16109:F16110"/>
    <mergeCell ref="F16111:F16112"/>
    <mergeCell ref="F16113:F16114"/>
    <mergeCell ref="F16115:F16116"/>
    <mergeCell ref="F16089:F16093"/>
    <mergeCell ref="F16094:F16098"/>
    <mergeCell ref="F16076:F16077"/>
    <mergeCell ref="F16078:F16079"/>
    <mergeCell ref="F16080:F16081"/>
    <mergeCell ref="F16138:F16139"/>
    <mergeCell ref="F16140:F16141"/>
    <mergeCell ref="F16070:F16071"/>
    <mergeCell ref="F16136:F16137"/>
    <mergeCell ref="F16072:F16073"/>
    <mergeCell ref="F16128:F16130"/>
    <mergeCell ref="F16180:F16181"/>
    <mergeCell ref="F16182:F16183"/>
    <mergeCell ref="F16221:F16222"/>
    <mergeCell ref="F16184:F16185"/>
    <mergeCell ref="F16186:F16188"/>
    <mergeCell ref="F16176:F16177"/>
    <mergeCell ref="F16231:F16232"/>
    <mergeCell ref="F16233:F16234"/>
    <mergeCell ref="F16318:F16319"/>
    <mergeCell ref="F16311:F16313"/>
    <mergeCell ref="F16189:F16192"/>
    <mergeCell ref="F16193:F16197"/>
    <mergeCell ref="F16198:F16199"/>
    <mergeCell ref="F16200:F16201"/>
    <mergeCell ref="F16202:F16203"/>
    <mergeCell ref="F16204:F16205"/>
    <mergeCell ref="F16206:F16207"/>
    <mergeCell ref="F16208:F16209"/>
    <mergeCell ref="F16235:F16236"/>
    <mergeCell ref="F16264:F16265"/>
    <mergeCell ref="F16247:F16251"/>
    <mergeCell ref="F16262:F16263"/>
    <mergeCell ref="F16216:F16220"/>
    <mergeCell ref="F16223:F16224"/>
    <mergeCell ref="F16241:F16242"/>
    <mergeCell ref="F16243:F16244"/>
    <mergeCell ref="F16245:F16246"/>
    <mergeCell ref="F16256:F16257"/>
    <mergeCell ref="F16048:F16049"/>
    <mergeCell ref="F16050:F16051"/>
    <mergeCell ref="F16052:F16053"/>
    <mergeCell ref="F16054:F16055"/>
    <mergeCell ref="F16134:F16135"/>
    <mergeCell ref="F16499:F16503"/>
    <mergeCell ref="F16490:F16491"/>
    <mergeCell ref="F16492:F16493"/>
    <mergeCell ref="F16494:F16495"/>
    <mergeCell ref="F16472:F16476"/>
    <mergeCell ref="F16518:F16519"/>
    <mergeCell ref="F16520:F16522"/>
    <mergeCell ref="F16523:F16525"/>
    <mergeCell ref="F16533:F16534"/>
    <mergeCell ref="F16457:F16458"/>
    <mergeCell ref="F16459:F16460"/>
    <mergeCell ref="F16214:F16215"/>
    <mergeCell ref="F16274:F16275"/>
    <mergeCell ref="F16276:F16280"/>
    <mergeCell ref="F16283:F16284"/>
    <mergeCell ref="F16254:F16255"/>
    <mergeCell ref="F16227:F16228"/>
    <mergeCell ref="F16465:F16466"/>
    <mergeCell ref="F16448:F16450"/>
    <mergeCell ref="F16437:F16441"/>
    <mergeCell ref="F16442:F16444"/>
    <mergeCell ref="F16168:F16169"/>
    <mergeCell ref="F16170:F16171"/>
    <mergeCell ref="F16172:F16173"/>
    <mergeCell ref="F16174:F16175"/>
    <mergeCell ref="F16225:F16226"/>
    <mergeCell ref="F16178:F16179"/>
    <mergeCell ref="F16837:F16839"/>
    <mergeCell ref="F16840:F16841"/>
    <mergeCell ref="F16739:F16743"/>
    <mergeCell ref="F16535:F16536"/>
    <mergeCell ref="F16537:F16538"/>
    <mergeCell ref="F16539:F16540"/>
    <mergeCell ref="F16541:F16542"/>
    <mergeCell ref="F16543:F16544"/>
    <mergeCell ref="F16545:F16547"/>
    <mergeCell ref="F16640:F16641"/>
    <mergeCell ref="F16593:F16594"/>
    <mergeCell ref="F16595:F16597"/>
    <mergeCell ref="F16600:F16602"/>
    <mergeCell ref="F16603:F16604"/>
    <mergeCell ref="F16636:F16637"/>
    <mergeCell ref="F16705:F16706"/>
    <mergeCell ref="F16707:F16708"/>
    <mergeCell ref="F16709:F16711"/>
    <mergeCell ref="F16712:F16716"/>
    <mergeCell ref="F16657:F16661"/>
    <mergeCell ref="F16662:F16663"/>
    <mergeCell ref="F16664:F16665"/>
    <mergeCell ref="F16668:F16669"/>
    <mergeCell ref="F16670:F16671"/>
    <mergeCell ref="F16746:F16747"/>
    <mergeCell ref="F16672:F16673"/>
    <mergeCell ref="F16674:F16675"/>
    <mergeCell ref="F16676:F16677"/>
    <mergeCell ref="F16678:F16679"/>
    <mergeCell ref="F16802:F16803"/>
    <mergeCell ref="F16756:F16757"/>
    <mergeCell ref="F16758:F16759"/>
    <mergeCell ref="F16733:F16734"/>
    <mergeCell ref="F16735:F16736"/>
    <mergeCell ref="F16737:F16738"/>
    <mergeCell ref="F16744:F16745"/>
    <mergeCell ref="F16701:F16702"/>
    <mergeCell ref="F16760:F16764"/>
    <mergeCell ref="F16765:F16766"/>
    <mergeCell ref="F16813:F16817"/>
    <mergeCell ref="F16818:F16820"/>
    <mergeCell ref="F16821:F16822"/>
    <mergeCell ref="F16823:F16824"/>
    <mergeCell ref="F16825:F16826"/>
    <mergeCell ref="F16827:F16828"/>
    <mergeCell ref="F16731:F16732"/>
    <mergeCell ref="F16777:F16778"/>
    <mergeCell ref="F16779:F16780"/>
    <mergeCell ref="F16781:F16782"/>
    <mergeCell ref="F16783:F16784"/>
    <mergeCell ref="F16785:F16786"/>
    <mergeCell ref="F16787:F16791"/>
    <mergeCell ref="F16775:F16776"/>
    <mergeCell ref="F16752:F16753"/>
    <mergeCell ref="F16806:F16807"/>
    <mergeCell ref="F16808:F16810"/>
    <mergeCell ref="F16748:F16749"/>
    <mergeCell ref="F16750:F16751"/>
    <mergeCell ref="F16754:F16755"/>
    <mergeCell ref="F16811:F16812"/>
    <mergeCell ref="F16792:F16793"/>
    <mergeCell ref="F16794:F16795"/>
    <mergeCell ref="F16796:F16797"/>
    <mergeCell ref="F17188:F17192"/>
    <mergeCell ref="F17193:F17194"/>
    <mergeCell ref="F17197:F17198"/>
    <mergeCell ref="F17143:F17147"/>
    <mergeCell ref="F17148:F17150"/>
    <mergeCell ref="F16829:F16830"/>
    <mergeCell ref="F16851:F16852"/>
    <mergeCell ref="F16853:F16854"/>
    <mergeCell ref="F16855:F16856"/>
    <mergeCell ref="F16857:F16858"/>
    <mergeCell ref="F16652:F16654"/>
    <mergeCell ref="F16655:F16656"/>
    <mergeCell ref="F16717:F16719"/>
    <mergeCell ref="F16720:F16721"/>
    <mergeCell ref="F16722:F16724"/>
    <mergeCell ref="F16725:F16726"/>
    <mergeCell ref="F16727:F16728"/>
    <mergeCell ref="F16680:F16681"/>
    <mergeCell ref="F16682:F16686"/>
    <mergeCell ref="F16687:F16689"/>
    <mergeCell ref="F16690:F16692"/>
    <mergeCell ref="F16693:F16694"/>
    <mergeCell ref="F16695:F16696"/>
    <mergeCell ref="F16697:F16698"/>
    <mergeCell ref="F16699:F16700"/>
    <mergeCell ref="F16804:F16805"/>
    <mergeCell ref="F16666:F16667"/>
    <mergeCell ref="F16767:F16768"/>
    <mergeCell ref="F16769:F16770"/>
    <mergeCell ref="F16771:F16772"/>
    <mergeCell ref="F16773:F16774"/>
    <mergeCell ref="F16729:F16730"/>
    <mergeCell ref="F17167:F17168"/>
    <mergeCell ref="F17239:F17240"/>
    <mergeCell ref="F17241:F17245"/>
    <mergeCell ref="F17294:F17295"/>
    <mergeCell ref="F17296:F17297"/>
    <mergeCell ref="F16703:F16704"/>
    <mergeCell ref="F16800:F16801"/>
    <mergeCell ref="F16798:F16799"/>
    <mergeCell ref="F16849:F16850"/>
    <mergeCell ref="F16878:F16879"/>
    <mergeCell ref="F17211:F17215"/>
    <mergeCell ref="F17195:F17196"/>
    <mergeCell ref="F17199:F17200"/>
    <mergeCell ref="F17054:F17055"/>
    <mergeCell ref="F17056:F17057"/>
    <mergeCell ref="F17058:F17059"/>
    <mergeCell ref="F17060:F17061"/>
    <mergeCell ref="F17062:F17063"/>
    <mergeCell ref="F17151:F17152"/>
    <mergeCell ref="F17153:F17154"/>
    <mergeCell ref="F17155:F17156"/>
    <mergeCell ref="F17157:F17158"/>
    <mergeCell ref="F17159:F17160"/>
    <mergeCell ref="F17161:F17162"/>
    <mergeCell ref="F17163:F17164"/>
    <mergeCell ref="F17165:F17166"/>
    <mergeCell ref="F17141:F17142"/>
    <mergeCell ref="F17067:F17068"/>
    <mergeCell ref="F17133:F17134"/>
    <mergeCell ref="F17069:F17070"/>
    <mergeCell ref="F17071:F17073"/>
    <mergeCell ref="F17074:F17075"/>
    <mergeCell ref="F17509:F17510"/>
    <mergeCell ref="F17478:F17479"/>
    <mergeCell ref="F17455:F17457"/>
    <mergeCell ref="F17461:F17465"/>
    <mergeCell ref="F17472:F17473"/>
    <mergeCell ref="F17474:F17475"/>
    <mergeCell ref="F17221:F17222"/>
    <mergeCell ref="F17255:F17256"/>
    <mergeCell ref="F17257:F17258"/>
    <mergeCell ref="F17259:F17260"/>
    <mergeCell ref="F17261:F17262"/>
    <mergeCell ref="F17263:F17264"/>
    <mergeCell ref="F17265:F17267"/>
    <mergeCell ref="F17268:F17269"/>
    <mergeCell ref="F17270:F17271"/>
    <mergeCell ref="F17272:F17274"/>
    <mergeCell ref="F17275:F17279"/>
    <mergeCell ref="F17280:F17283"/>
    <mergeCell ref="F17326:F17327"/>
    <mergeCell ref="F17324:F17325"/>
    <mergeCell ref="F17223:F17224"/>
    <mergeCell ref="F17225:F17226"/>
    <mergeCell ref="F17227:F17228"/>
    <mergeCell ref="F17229:F17230"/>
    <mergeCell ref="F17231:F17232"/>
    <mergeCell ref="F17365:F17366"/>
    <mergeCell ref="F17367:F17368"/>
    <mergeCell ref="F17328:F17329"/>
    <mergeCell ref="F17300:F17302"/>
    <mergeCell ref="F17288:F17289"/>
    <mergeCell ref="F17290:F17291"/>
    <mergeCell ref="F17292:F17293"/>
    <mergeCell ref="F17517:F17518"/>
    <mergeCell ref="F17519:F17520"/>
    <mergeCell ref="F17612:F17616"/>
    <mergeCell ref="F17638:F17639"/>
    <mergeCell ref="F17571:F17572"/>
    <mergeCell ref="F17579:F17580"/>
    <mergeCell ref="F17577:F17578"/>
    <mergeCell ref="F17402:F17403"/>
    <mergeCell ref="F17482:F17483"/>
    <mergeCell ref="F17487:F17491"/>
    <mergeCell ref="F17492:F17494"/>
    <mergeCell ref="F17535:F17537"/>
    <mergeCell ref="F17379:F17380"/>
    <mergeCell ref="F17340:F17341"/>
    <mergeCell ref="F17342:F17343"/>
    <mergeCell ref="F17344:F17345"/>
    <mergeCell ref="F17346:F17347"/>
    <mergeCell ref="F17348:F17349"/>
    <mergeCell ref="F17350:F17352"/>
    <mergeCell ref="F17394:F17395"/>
    <mergeCell ref="F17424:F17428"/>
    <mergeCell ref="F17429:F17432"/>
    <mergeCell ref="F17369:F17370"/>
    <mergeCell ref="F17371:F17372"/>
    <mergeCell ref="F17373:F17374"/>
    <mergeCell ref="F17408:F17409"/>
    <mergeCell ref="F17410:F17411"/>
    <mergeCell ref="F17506:F17508"/>
    <mergeCell ref="F17468:F17469"/>
    <mergeCell ref="F17458:F17460"/>
    <mergeCell ref="F17445:F17449"/>
    <mergeCell ref="F17415:F17417"/>
    <mergeCell ref="F17711:F17713"/>
    <mergeCell ref="F17680:F17681"/>
    <mergeCell ref="F17682:F17683"/>
    <mergeCell ref="F17684:F17685"/>
    <mergeCell ref="F17650:F17651"/>
    <mergeCell ref="F17652:F17653"/>
    <mergeCell ref="F17654:F17655"/>
    <mergeCell ref="F17656:F17657"/>
    <mergeCell ref="F17658:F17659"/>
    <mergeCell ref="F17660:F17661"/>
    <mergeCell ref="F17645:F17649"/>
    <mergeCell ref="F17640:F17641"/>
    <mergeCell ref="F17205:F17206"/>
    <mergeCell ref="F17375:F17376"/>
    <mergeCell ref="F17377:F17378"/>
    <mergeCell ref="F17450:F17451"/>
    <mergeCell ref="F17452:F17454"/>
    <mergeCell ref="F17398:F17399"/>
    <mergeCell ref="F17667:F17669"/>
    <mergeCell ref="F17670:F17671"/>
    <mergeCell ref="F17418:F17419"/>
    <mergeCell ref="F17420:F17421"/>
    <mergeCell ref="F17422:F17423"/>
    <mergeCell ref="F17433:F17434"/>
    <mergeCell ref="F17435:F17436"/>
    <mergeCell ref="F17437:F17438"/>
    <mergeCell ref="F17439:F17440"/>
    <mergeCell ref="F17441:F17442"/>
    <mergeCell ref="F17443:F17444"/>
    <mergeCell ref="F17521:F17525"/>
    <mergeCell ref="F17526:F17527"/>
    <mergeCell ref="F17528:F17529"/>
    <mergeCell ref="F17767:F17769"/>
    <mergeCell ref="F17752:F17753"/>
    <mergeCell ref="F17754:F17755"/>
    <mergeCell ref="F17809:F17810"/>
    <mergeCell ref="F17830:F17831"/>
    <mergeCell ref="F17832:F17833"/>
    <mergeCell ref="F17897:F17898"/>
    <mergeCell ref="F17899:F17900"/>
    <mergeCell ref="F17901:F17902"/>
    <mergeCell ref="F17903:F17904"/>
    <mergeCell ref="F17905:F17906"/>
    <mergeCell ref="F17907:F17908"/>
    <mergeCell ref="F17606:F17607"/>
    <mergeCell ref="F17608:F17609"/>
    <mergeCell ref="F17642:F17644"/>
    <mergeCell ref="F17630:F17631"/>
    <mergeCell ref="F17662:F17664"/>
    <mergeCell ref="F17665:F17666"/>
    <mergeCell ref="F17617:F17621"/>
    <mergeCell ref="F17622:F17623"/>
    <mergeCell ref="F17624:F17626"/>
    <mergeCell ref="F17627:F17629"/>
    <mergeCell ref="F17610:F17611"/>
    <mergeCell ref="F17632:F17633"/>
    <mergeCell ref="F17634:F17635"/>
    <mergeCell ref="F17636:F17637"/>
    <mergeCell ref="F17672:F17674"/>
    <mergeCell ref="F17675:F17679"/>
    <mergeCell ref="F17822:F17823"/>
    <mergeCell ref="F17686:F17687"/>
    <mergeCell ref="F17688:F17689"/>
    <mergeCell ref="F17690:F17691"/>
    <mergeCell ref="F17925:F17926"/>
    <mergeCell ref="F17927:F17928"/>
    <mergeCell ref="F17929:F17930"/>
    <mergeCell ref="F17931:F17932"/>
    <mergeCell ref="F17933:F17934"/>
    <mergeCell ref="F17935:F17936"/>
    <mergeCell ref="F17947:F17948"/>
    <mergeCell ref="F17944:F17946"/>
    <mergeCell ref="F17965:F17966"/>
    <mergeCell ref="F17949:F17950"/>
    <mergeCell ref="F17937:F17938"/>
    <mergeCell ref="F17939:F17943"/>
    <mergeCell ref="F17748:F17749"/>
    <mergeCell ref="F17855:F17857"/>
    <mergeCell ref="F17820:F17821"/>
    <mergeCell ref="F17858:F17862"/>
    <mergeCell ref="F17863:F17864"/>
    <mergeCell ref="F17865:F17866"/>
    <mergeCell ref="F17867:F17868"/>
    <mergeCell ref="F17750:F17751"/>
    <mergeCell ref="F17756:F17758"/>
    <mergeCell ref="F17759:F17761"/>
    <mergeCell ref="F17762:F17766"/>
    <mergeCell ref="F17770:F17771"/>
    <mergeCell ref="F17772:F17773"/>
    <mergeCell ref="F17774:F17775"/>
    <mergeCell ref="F17776:F17777"/>
    <mergeCell ref="F17778:F17779"/>
    <mergeCell ref="F17780:F17781"/>
    <mergeCell ref="F17811:F17812"/>
    <mergeCell ref="F17813:F17814"/>
    <mergeCell ref="F17838:F17842"/>
    <mergeCell ref="F18109:F18110"/>
    <mergeCell ref="F18111:F18112"/>
    <mergeCell ref="F18113:F18114"/>
    <mergeCell ref="F18115:F18116"/>
    <mergeCell ref="F18117:F18118"/>
    <mergeCell ref="F18119:F18120"/>
    <mergeCell ref="F17967:F17968"/>
    <mergeCell ref="F17969:F17970"/>
    <mergeCell ref="F17971:F17972"/>
    <mergeCell ref="F17973:F17977"/>
    <mergeCell ref="F17980:F17981"/>
    <mergeCell ref="F17982:F17983"/>
    <mergeCell ref="F17984:F17985"/>
    <mergeCell ref="F17986:F17987"/>
    <mergeCell ref="F17988:F17989"/>
    <mergeCell ref="F17990:F17991"/>
    <mergeCell ref="F17951:F17952"/>
    <mergeCell ref="F17953:F17954"/>
    <mergeCell ref="F17955:F17956"/>
    <mergeCell ref="F17957:F17958"/>
    <mergeCell ref="F17992:F17994"/>
    <mergeCell ref="F17995:F17996"/>
    <mergeCell ref="F17997:F17998"/>
    <mergeCell ref="F17999:F18000"/>
    <mergeCell ref="F18001:F18002"/>
    <mergeCell ref="F17978:F17979"/>
    <mergeCell ref="F18003:F18005"/>
    <mergeCell ref="F18011:F18012"/>
    <mergeCell ref="F18013:F18014"/>
    <mergeCell ref="F18015:F18016"/>
    <mergeCell ref="F18017:F18018"/>
    <mergeCell ref="F18019:F18020"/>
  </mergeCells>
  <phoneticPr fontId="14" type="noConversion"/>
  <conditionalFormatting sqref="G2:L4">
    <cfRule type="cellIs" dxfId="261" priority="77" operator="notBetween">
      <formula>0.05</formula>
      <formula>-0.05</formula>
    </cfRule>
  </conditionalFormatting>
  <conditionalFormatting sqref="G2:L5">
    <cfRule type="cellIs" dxfId="260" priority="330" operator="between">
      <formula>0.05</formula>
      <formula>-0.05</formula>
    </cfRule>
  </conditionalFormatting>
  <conditionalFormatting sqref="J6">
    <cfRule type="cellIs" dxfId="259" priority="322" operator="lessThan">
      <formula>0</formula>
    </cfRule>
    <cfRule type="cellIs" dxfId="258" priority="323" operator="greaterThan">
      <formula>0</formula>
    </cfRule>
  </conditionalFormatting>
  <conditionalFormatting sqref="M10:M1598 M10608:M10622 M10806:M10808 M10889:M10895 M11272:M11274 M11538:M11539 M11667:M11669 M11714:M11715 M12351:M12352 M14283:M14284 M15144:M15151 M17535:M17539">
    <cfRule type="cellIs" dxfId="257" priority="334" operator="lessThan">
      <formula>0</formula>
    </cfRule>
  </conditionalFormatting>
  <conditionalFormatting sqref="M6210:M6215">
    <cfRule type="cellIs" dxfId="256" priority="324" operator="lessThan">
      <formula>0</formula>
    </cfRule>
  </conditionalFormatting>
  <conditionalFormatting sqref="M6720:M6721">
    <cfRule type="cellIs" dxfId="255" priority="321" operator="lessThan">
      <formula>0</formula>
    </cfRule>
  </conditionalFormatting>
  <conditionalFormatting sqref="M6924:M6925">
    <cfRule type="cellIs" dxfId="254" priority="320" operator="lessThan">
      <formula>0</formula>
    </cfRule>
  </conditionalFormatting>
  <conditionalFormatting sqref="M7032:M7034">
    <cfRule type="cellIs" dxfId="253" priority="319" operator="lessThan">
      <formula>0</formula>
    </cfRule>
  </conditionalFormatting>
  <conditionalFormatting sqref="M7216:M7218">
    <cfRule type="cellIs" dxfId="252" priority="316" operator="lessThan">
      <formula>0</formula>
    </cfRule>
  </conditionalFormatting>
  <conditionalFormatting sqref="M7368:M7369">
    <cfRule type="cellIs" dxfId="251" priority="314" operator="lessThan">
      <formula>0</formula>
    </cfRule>
  </conditionalFormatting>
  <conditionalFormatting sqref="M7496:M7497">
    <cfRule type="cellIs" dxfId="250" priority="313" operator="lessThan">
      <formula>0</formula>
    </cfRule>
  </conditionalFormatting>
  <conditionalFormatting sqref="M7682:M7683">
    <cfRule type="cellIs" dxfId="249" priority="312" operator="lessThan">
      <formula>0</formula>
    </cfRule>
  </conditionalFormatting>
  <conditionalFormatting sqref="M7919:M7920">
    <cfRule type="cellIs" dxfId="248" priority="311" operator="lessThan">
      <formula>0</formula>
    </cfRule>
  </conditionalFormatting>
  <conditionalFormatting sqref="M8066:M8067">
    <cfRule type="cellIs" dxfId="247" priority="310" operator="lessThan">
      <formula>0</formula>
    </cfRule>
  </conditionalFormatting>
  <conditionalFormatting sqref="M8259:M8260">
    <cfRule type="cellIs" dxfId="246" priority="309" operator="lessThan">
      <formula>0</formula>
    </cfRule>
  </conditionalFormatting>
  <conditionalFormatting sqref="M8395:M8396">
    <cfRule type="cellIs" dxfId="245" priority="308" operator="lessThan">
      <formula>0</formula>
    </cfRule>
  </conditionalFormatting>
  <conditionalFormatting sqref="M8587:M8588">
    <cfRule type="cellIs" dxfId="244" priority="307" operator="lessThan">
      <formula>0</formula>
    </cfRule>
  </conditionalFormatting>
  <conditionalFormatting sqref="M8753:M8754">
    <cfRule type="cellIs" dxfId="243" priority="306" operator="lessThan">
      <formula>0</formula>
    </cfRule>
  </conditionalFormatting>
  <conditionalFormatting sqref="M8875:M8877">
    <cfRule type="cellIs" dxfId="242" priority="305" operator="lessThan">
      <formula>0</formula>
    </cfRule>
  </conditionalFormatting>
  <conditionalFormatting sqref="M8979:M8980">
    <cfRule type="cellIs" dxfId="241" priority="304" operator="lessThan">
      <formula>0</formula>
    </cfRule>
  </conditionalFormatting>
  <conditionalFormatting sqref="M9211:M9212">
    <cfRule type="cellIs" dxfId="240" priority="303" operator="lessThan">
      <formula>0</formula>
    </cfRule>
  </conditionalFormatting>
  <conditionalFormatting sqref="M9374:M9377">
    <cfRule type="cellIs" dxfId="239" priority="302" operator="lessThan">
      <formula>0</formula>
    </cfRule>
  </conditionalFormatting>
  <conditionalFormatting sqref="M9539:M9540">
    <cfRule type="cellIs" dxfId="238" priority="301" operator="lessThan">
      <formula>0</formula>
    </cfRule>
  </conditionalFormatting>
  <conditionalFormatting sqref="M9662:M9663">
    <cfRule type="cellIs" dxfId="237" priority="300" operator="lessThan">
      <formula>0</formula>
    </cfRule>
  </conditionalFormatting>
  <conditionalFormatting sqref="M9689:M9690">
    <cfRule type="cellIs" dxfId="236" priority="299" operator="lessThan">
      <formula>0</formula>
    </cfRule>
  </conditionalFormatting>
  <conditionalFormatting sqref="M9905:M9908">
    <cfRule type="cellIs" dxfId="235" priority="297" operator="lessThan">
      <formula>0</formula>
    </cfRule>
  </conditionalFormatting>
  <conditionalFormatting sqref="M9948:M9949">
    <cfRule type="cellIs" dxfId="234" priority="296" operator="lessThan">
      <formula>0</formula>
    </cfRule>
  </conditionalFormatting>
  <conditionalFormatting sqref="M10011:M10012">
    <cfRule type="cellIs" dxfId="233" priority="295" operator="lessThan">
      <formula>0</formula>
    </cfRule>
  </conditionalFormatting>
  <conditionalFormatting sqref="M10060:M10062">
    <cfRule type="cellIs" dxfId="232" priority="294" operator="lessThan">
      <formula>0</formula>
    </cfRule>
  </conditionalFormatting>
  <conditionalFormatting sqref="M10066:M10071">
    <cfRule type="cellIs" dxfId="231" priority="293" operator="lessThan">
      <formula>0</formula>
    </cfRule>
  </conditionalFormatting>
  <conditionalFormatting sqref="M10107:M10110">
    <cfRule type="cellIs" dxfId="230" priority="291" operator="lessThan">
      <formula>0</formula>
    </cfRule>
  </conditionalFormatting>
  <conditionalFormatting sqref="M10124:M10129">
    <cfRule type="cellIs" dxfId="229" priority="288" operator="lessThan">
      <formula>0</formula>
    </cfRule>
  </conditionalFormatting>
  <conditionalFormatting sqref="M10136:M10137">
    <cfRule type="cellIs" dxfId="228" priority="287" operator="lessThan">
      <formula>0</formula>
    </cfRule>
  </conditionalFormatting>
  <conditionalFormatting sqref="M10186:M10187">
    <cfRule type="cellIs" dxfId="227" priority="286" operator="lessThan">
      <formula>0</formula>
    </cfRule>
  </conditionalFormatting>
  <conditionalFormatting sqref="M10197:M10199">
    <cfRule type="cellIs" dxfId="226" priority="285" operator="lessThan">
      <formula>0</formula>
    </cfRule>
  </conditionalFormatting>
  <conditionalFormatting sqref="M10417:M10418">
    <cfRule type="cellIs" dxfId="225" priority="284" operator="lessThan">
      <formula>0</formula>
    </cfRule>
  </conditionalFormatting>
  <conditionalFormatting sqref="M10511:M10514">
    <cfRule type="cellIs" dxfId="224" priority="283" operator="lessThan">
      <formula>0</formula>
    </cfRule>
  </conditionalFormatting>
  <conditionalFormatting sqref="M10603:M10605">
    <cfRule type="cellIs" dxfId="223" priority="282" operator="lessThan">
      <formula>0</formula>
    </cfRule>
  </conditionalFormatting>
  <conditionalFormatting sqref="M10647:M10654">
    <cfRule type="cellIs" dxfId="222" priority="279" operator="lessThan">
      <formula>0</formula>
    </cfRule>
  </conditionalFormatting>
  <conditionalFormatting sqref="M10661:M10669">
    <cfRule type="cellIs" dxfId="221" priority="278" operator="lessThan">
      <formula>0</formula>
    </cfRule>
  </conditionalFormatting>
  <conditionalFormatting sqref="M10700:M10702">
    <cfRule type="cellIs" dxfId="220" priority="277" operator="lessThan">
      <formula>0</formula>
    </cfRule>
  </conditionalFormatting>
  <conditionalFormatting sqref="M10738:M10740">
    <cfRule type="cellIs" dxfId="219" priority="276" operator="lessThan">
      <formula>0</formula>
    </cfRule>
  </conditionalFormatting>
  <conditionalFormatting sqref="M10770:M10772">
    <cfRule type="cellIs" dxfId="218" priority="275" operator="lessThan">
      <formula>0</formula>
    </cfRule>
  </conditionalFormatting>
  <conditionalFormatting sqref="M10819:M10822 M10826:M10828">
    <cfRule type="cellIs" dxfId="217" priority="268" operator="lessThan">
      <formula>0</formula>
    </cfRule>
  </conditionalFormatting>
  <conditionalFormatting sqref="M10842:M10845">
    <cfRule type="cellIs" dxfId="216" priority="267" operator="lessThan">
      <formula>0</formula>
    </cfRule>
  </conditionalFormatting>
  <conditionalFormatting sqref="M10900:M10901">
    <cfRule type="cellIs" dxfId="215" priority="265" operator="lessThan">
      <formula>0</formula>
    </cfRule>
  </conditionalFormatting>
  <conditionalFormatting sqref="M10919:M10921">
    <cfRule type="cellIs" dxfId="214" priority="264" operator="lessThan">
      <formula>0</formula>
    </cfRule>
  </conditionalFormatting>
  <conditionalFormatting sqref="M10967:M10968">
    <cfRule type="cellIs" dxfId="213" priority="263" operator="lessThan">
      <formula>0</formula>
    </cfRule>
  </conditionalFormatting>
  <conditionalFormatting sqref="M11019:M11021">
    <cfRule type="cellIs" dxfId="212" priority="262" operator="lessThan">
      <formula>0</formula>
    </cfRule>
  </conditionalFormatting>
  <conditionalFormatting sqref="M11065:M11067">
    <cfRule type="cellIs" dxfId="211" priority="261" operator="lessThan">
      <formula>0</formula>
    </cfRule>
  </conditionalFormatting>
  <conditionalFormatting sqref="M11077:M11078">
    <cfRule type="cellIs" dxfId="210" priority="260" operator="lessThan">
      <formula>0</formula>
    </cfRule>
  </conditionalFormatting>
  <conditionalFormatting sqref="M11099:M11103">
    <cfRule type="cellIs" dxfId="209" priority="259" operator="lessThan">
      <formula>0</formula>
    </cfRule>
  </conditionalFormatting>
  <conditionalFormatting sqref="M11117:M11119">
    <cfRule type="cellIs" dxfId="208" priority="258" operator="lessThan">
      <formula>0</formula>
    </cfRule>
  </conditionalFormatting>
  <conditionalFormatting sqref="M11162:M11168">
    <cfRule type="cellIs" dxfId="207" priority="256" operator="lessThan">
      <formula>0</formula>
    </cfRule>
  </conditionalFormatting>
  <conditionalFormatting sqref="M11186:M11187">
    <cfRule type="cellIs" dxfId="206" priority="255" operator="lessThan">
      <formula>0</formula>
    </cfRule>
  </conditionalFormatting>
  <conditionalFormatting sqref="M11251:M11253">
    <cfRule type="cellIs" dxfId="205" priority="253" operator="lessThan">
      <formula>0</formula>
    </cfRule>
  </conditionalFormatting>
  <conditionalFormatting sqref="M11306:M11313">
    <cfRule type="cellIs" dxfId="204" priority="252" operator="lessThan">
      <formula>0</formula>
    </cfRule>
  </conditionalFormatting>
  <conditionalFormatting sqref="M11477:M11479">
    <cfRule type="cellIs" dxfId="203" priority="249" operator="lessThan">
      <formula>0</formula>
    </cfRule>
  </conditionalFormatting>
  <conditionalFormatting sqref="M11528:M11530">
    <cfRule type="cellIs" dxfId="202" priority="248" operator="lessThan">
      <formula>0</formula>
    </cfRule>
  </conditionalFormatting>
  <conditionalFormatting sqref="M11608:M11610">
    <cfRule type="cellIs" dxfId="201" priority="246" operator="lessThan">
      <formula>0</formula>
    </cfRule>
  </conditionalFormatting>
  <conditionalFormatting sqref="M11663:M11664">
    <cfRule type="cellIs" dxfId="200" priority="245" operator="lessThan">
      <formula>0</formula>
    </cfRule>
  </conditionalFormatting>
  <conditionalFormatting sqref="M11718:M11720">
    <cfRule type="cellIs" dxfId="199" priority="242" operator="lessThan">
      <formula>0</formula>
    </cfRule>
  </conditionalFormatting>
  <conditionalFormatting sqref="M11768:M11770">
    <cfRule type="cellIs" dxfId="198" priority="241" operator="lessThan">
      <formula>0</formula>
    </cfRule>
  </conditionalFormatting>
  <conditionalFormatting sqref="M11774:M11775">
    <cfRule type="cellIs" dxfId="197" priority="239" operator="lessThan">
      <formula>0</formula>
    </cfRule>
  </conditionalFormatting>
  <conditionalFormatting sqref="M11787:M11788">
    <cfRule type="cellIs" dxfId="196" priority="240" operator="lessThan">
      <formula>0</formula>
    </cfRule>
  </conditionalFormatting>
  <conditionalFormatting sqref="M11809:M11810">
    <cfRule type="cellIs" dxfId="195" priority="237" operator="lessThan">
      <formula>0</formula>
    </cfRule>
  </conditionalFormatting>
  <conditionalFormatting sqref="M11814:M11816">
    <cfRule type="cellIs" dxfId="194" priority="238" operator="lessThan">
      <formula>0</formula>
    </cfRule>
  </conditionalFormatting>
  <conditionalFormatting sqref="M11914:M11915">
    <cfRule type="cellIs" dxfId="193" priority="236" operator="lessThan">
      <formula>0</formula>
    </cfRule>
  </conditionalFormatting>
  <conditionalFormatting sqref="M11920:M11924">
    <cfRule type="cellIs" dxfId="192" priority="235" operator="lessThan">
      <formula>0</formula>
    </cfRule>
  </conditionalFormatting>
  <conditionalFormatting sqref="M11961:M11963">
    <cfRule type="cellIs" dxfId="191" priority="234" operator="lessThan">
      <formula>0</formula>
    </cfRule>
  </conditionalFormatting>
  <conditionalFormatting sqref="M11998:M12000">
    <cfRule type="cellIs" dxfId="190" priority="233" operator="lessThan">
      <formula>0</formula>
    </cfRule>
  </conditionalFormatting>
  <conditionalFormatting sqref="M12009:M12011">
    <cfRule type="cellIs" dxfId="189" priority="232" operator="lessThan">
      <formula>0</formula>
    </cfRule>
  </conditionalFormatting>
  <conditionalFormatting sqref="M12057:M12058">
    <cfRule type="cellIs" dxfId="188" priority="231" operator="lessThan">
      <formula>0</formula>
    </cfRule>
  </conditionalFormatting>
  <conditionalFormatting sqref="M12115:M12116">
    <cfRule type="cellIs" dxfId="187" priority="230" operator="lessThan">
      <formula>0</formula>
    </cfRule>
  </conditionalFormatting>
  <conditionalFormatting sqref="M12119:M12121">
    <cfRule type="cellIs" dxfId="186" priority="229" operator="lessThan">
      <formula>0</formula>
    </cfRule>
  </conditionalFormatting>
  <conditionalFormatting sqref="M12309:M12313">
    <cfRule type="cellIs" dxfId="185" priority="228" operator="lessThan">
      <formula>0</formula>
    </cfRule>
  </conditionalFormatting>
  <conditionalFormatting sqref="M12358:M12360 M12365:M12367">
    <cfRule type="cellIs" dxfId="184" priority="225" operator="lessThan">
      <formula>0</formula>
    </cfRule>
  </conditionalFormatting>
  <conditionalFormatting sqref="M12392:M12394">
    <cfRule type="cellIs" dxfId="183" priority="224" operator="lessThan">
      <formula>0</formula>
    </cfRule>
  </conditionalFormatting>
  <conditionalFormatting sqref="M12398:M12400">
    <cfRule type="cellIs" dxfId="182" priority="223" operator="lessThan">
      <formula>0</formula>
    </cfRule>
  </conditionalFormatting>
  <conditionalFormatting sqref="M12429:M12434">
    <cfRule type="cellIs" dxfId="181" priority="222" operator="lessThan">
      <formula>0</formula>
    </cfRule>
  </conditionalFormatting>
  <conditionalFormatting sqref="M12454:M12457">
    <cfRule type="cellIs" dxfId="180" priority="221" operator="lessThan">
      <formula>0</formula>
    </cfRule>
  </conditionalFormatting>
  <conditionalFormatting sqref="M12487:M12489">
    <cfRule type="cellIs" dxfId="179" priority="220" operator="lessThan">
      <formula>0</formula>
    </cfRule>
  </conditionalFormatting>
  <conditionalFormatting sqref="M12533:M12535">
    <cfRule type="cellIs" dxfId="178" priority="219" operator="lessThan">
      <formula>0</formula>
    </cfRule>
  </conditionalFormatting>
  <conditionalFormatting sqref="M12765:M12766">
    <cfRule type="cellIs" dxfId="177" priority="218" operator="lessThan">
      <formula>0</formula>
    </cfRule>
  </conditionalFormatting>
  <conditionalFormatting sqref="M13288:M13292">
    <cfRule type="cellIs" dxfId="176" priority="217" operator="lessThan">
      <formula>0</formula>
    </cfRule>
  </conditionalFormatting>
  <conditionalFormatting sqref="M13383:M13385">
    <cfRule type="cellIs" dxfId="175" priority="216" operator="lessThan">
      <formula>0</formula>
    </cfRule>
  </conditionalFormatting>
  <conditionalFormatting sqref="M13392:M13394">
    <cfRule type="cellIs" dxfId="174" priority="215" operator="lessThan">
      <formula>0</formula>
    </cfRule>
  </conditionalFormatting>
  <conditionalFormatting sqref="M13454:M13456">
    <cfRule type="cellIs" dxfId="173" priority="214" operator="lessThan">
      <formula>0</formula>
    </cfRule>
  </conditionalFormatting>
  <conditionalFormatting sqref="M13462:M13464">
    <cfRule type="cellIs" dxfId="172" priority="213" operator="lessThan">
      <formula>0</formula>
    </cfRule>
  </conditionalFormatting>
  <conditionalFormatting sqref="M13493:M13498">
    <cfRule type="cellIs" dxfId="171" priority="211" operator="lessThan">
      <formula>0</formula>
    </cfRule>
  </conditionalFormatting>
  <conditionalFormatting sqref="M13530:M13532">
    <cfRule type="cellIs" dxfId="170" priority="210" operator="lessThan">
      <formula>0</formula>
    </cfRule>
  </conditionalFormatting>
  <conditionalFormatting sqref="M13559:M13560">
    <cfRule type="cellIs" dxfId="169" priority="209" operator="lessThan">
      <formula>0</formula>
    </cfRule>
  </conditionalFormatting>
  <conditionalFormatting sqref="M13567:M13569">
    <cfRule type="cellIs" dxfId="168" priority="208" operator="lessThan">
      <formula>0</formula>
    </cfRule>
  </conditionalFormatting>
  <conditionalFormatting sqref="M13617:M13619">
    <cfRule type="cellIs" dxfId="167" priority="207" operator="lessThan">
      <formula>0</formula>
    </cfRule>
  </conditionalFormatting>
  <conditionalFormatting sqref="M13632:M13634">
    <cfRule type="cellIs" dxfId="166" priority="206" operator="lessThan">
      <formula>0</formula>
    </cfRule>
  </conditionalFormatting>
  <conditionalFormatting sqref="M13642:M13644">
    <cfRule type="cellIs" dxfId="165" priority="205" operator="lessThan">
      <formula>0</formula>
    </cfRule>
  </conditionalFormatting>
  <conditionalFormatting sqref="M13670:M13672">
    <cfRule type="cellIs" dxfId="164" priority="204" operator="lessThan">
      <formula>0</formula>
    </cfRule>
  </conditionalFormatting>
  <conditionalFormatting sqref="M13683:M13685">
    <cfRule type="cellIs" dxfId="163" priority="203" operator="lessThan">
      <formula>0</formula>
    </cfRule>
  </conditionalFormatting>
  <conditionalFormatting sqref="M13729:M13734">
    <cfRule type="cellIs" dxfId="162" priority="202" operator="lessThan">
      <formula>0</formula>
    </cfRule>
  </conditionalFormatting>
  <conditionalFormatting sqref="M13753:M13758">
    <cfRule type="cellIs" dxfId="161" priority="201" operator="lessThan">
      <formula>0</formula>
    </cfRule>
  </conditionalFormatting>
  <conditionalFormatting sqref="M13790:M13793">
    <cfRule type="cellIs" dxfId="160" priority="200" operator="lessThan">
      <formula>0</formula>
    </cfRule>
  </conditionalFormatting>
  <conditionalFormatting sqref="M13801:M13803">
    <cfRule type="cellIs" dxfId="159" priority="199" operator="lessThan">
      <formula>0</formula>
    </cfRule>
  </conditionalFormatting>
  <conditionalFormatting sqref="M13825:M13830 M13842:M13844 M13852:M13854">
    <cfRule type="cellIs" dxfId="158" priority="198" operator="lessThan">
      <formula>0</formula>
    </cfRule>
  </conditionalFormatting>
  <conditionalFormatting sqref="M13863:M13864">
    <cfRule type="cellIs" dxfId="157" priority="197" operator="lessThan">
      <formula>0</formula>
    </cfRule>
  </conditionalFormatting>
  <conditionalFormatting sqref="M13915:M13920">
    <cfRule type="cellIs" dxfId="156" priority="194" operator="lessThan">
      <formula>0</formula>
    </cfRule>
  </conditionalFormatting>
  <conditionalFormatting sqref="M13934:M13936">
    <cfRule type="cellIs" dxfId="155" priority="195" operator="lessThan">
      <formula>0</formula>
    </cfRule>
  </conditionalFormatting>
  <conditionalFormatting sqref="M13945:M13946">
    <cfRule type="cellIs" dxfId="154" priority="193" operator="lessThan">
      <formula>0</formula>
    </cfRule>
  </conditionalFormatting>
  <conditionalFormatting sqref="M14109:M14114">
    <cfRule type="cellIs" dxfId="153" priority="192" operator="lessThan">
      <formula>0</formula>
    </cfRule>
  </conditionalFormatting>
  <conditionalFormatting sqref="M14211:M14212">
    <cfRule type="cellIs" dxfId="152" priority="191" operator="lessThan">
      <formula>0</formula>
    </cfRule>
  </conditionalFormatting>
  <conditionalFormatting sqref="M14257:M14259">
    <cfRule type="cellIs" dxfId="151" priority="190" operator="lessThan">
      <formula>0</formula>
    </cfRule>
  </conditionalFormatting>
  <conditionalFormatting sqref="M14298:M14299">
    <cfRule type="cellIs" dxfId="150" priority="188" operator="lessThan">
      <formula>0</formula>
    </cfRule>
  </conditionalFormatting>
  <conditionalFormatting sqref="M14339:M14340">
    <cfRule type="cellIs" dxfId="149" priority="187" operator="lessThan">
      <formula>0</formula>
    </cfRule>
  </conditionalFormatting>
  <conditionalFormatting sqref="M14392:M14394">
    <cfRule type="cellIs" dxfId="148" priority="186" operator="lessThan">
      <formula>0</formula>
    </cfRule>
  </conditionalFormatting>
  <conditionalFormatting sqref="M14399:M14401">
    <cfRule type="cellIs" dxfId="147" priority="185" operator="lessThan">
      <formula>0</formula>
    </cfRule>
  </conditionalFormatting>
  <conditionalFormatting sqref="M14453:M14455">
    <cfRule type="cellIs" dxfId="146" priority="184" operator="lessThan">
      <formula>0</formula>
    </cfRule>
  </conditionalFormatting>
  <conditionalFormatting sqref="M14519:M14524">
    <cfRule type="cellIs" dxfId="145" priority="183" operator="lessThan">
      <formula>0</formula>
    </cfRule>
  </conditionalFormatting>
  <conditionalFormatting sqref="M14557:M14559">
    <cfRule type="cellIs" dxfId="144" priority="181" operator="lessThan">
      <formula>0</formula>
    </cfRule>
  </conditionalFormatting>
  <conditionalFormatting sqref="M14592:M14597 M14603:M14614">
    <cfRule type="cellIs" dxfId="143" priority="180" operator="lessThan">
      <formula>0</formula>
    </cfRule>
  </conditionalFormatting>
  <conditionalFormatting sqref="M14629:M14631">
    <cfRule type="cellIs" dxfId="142" priority="179" operator="lessThan">
      <formula>0</formula>
    </cfRule>
  </conditionalFormatting>
  <conditionalFormatting sqref="M14661:M14666">
    <cfRule type="cellIs" dxfId="141" priority="177" operator="lessThan">
      <formula>0</formula>
    </cfRule>
  </conditionalFormatting>
  <conditionalFormatting sqref="M14702:M14704 M14710:M14712">
    <cfRule type="cellIs" dxfId="140" priority="176" operator="lessThan">
      <formula>0</formula>
    </cfRule>
  </conditionalFormatting>
  <conditionalFormatting sqref="M14723:M14731">
    <cfRule type="cellIs" dxfId="139" priority="175" operator="lessThan">
      <formula>0</formula>
    </cfRule>
  </conditionalFormatting>
  <conditionalFormatting sqref="M14745:M14747">
    <cfRule type="cellIs" dxfId="138" priority="174" operator="lessThan">
      <formula>0</formula>
    </cfRule>
  </conditionalFormatting>
  <conditionalFormatting sqref="M14750:M14755">
    <cfRule type="cellIs" dxfId="137" priority="172" operator="lessThan">
      <formula>0</formula>
    </cfRule>
  </conditionalFormatting>
  <conditionalFormatting sqref="M14789:M14791">
    <cfRule type="cellIs" dxfId="136" priority="170" operator="lessThan">
      <formula>0</formula>
    </cfRule>
  </conditionalFormatting>
  <conditionalFormatting sqref="M14798:M14803">
    <cfRule type="cellIs" dxfId="135" priority="169" operator="lessThan">
      <formula>0</formula>
    </cfRule>
  </conditionalFormatting>
  <conditionalFormatting sqref="M14818:M14823">
    <cfRule type="cellIs" dxfId="134" priority="167" operator="lessThan">
      <formula>0</formula>
    </cfRule>
  </conditionalFormatting>
  <conditionalFormatting sqref="M14828:M14830">
    <cfRule type="cellIs" dxfId="133" priority="166" operator="lessThan">
      <formula>0</formula>
    </cfRule>
  </conditionalFormatting>
  <conditionalFormatting sqref="M14835:M14837">
    <cfRule type="cellIs" dxfId="132" priority="165" operator="lessThan">
      <formula>0</formula>
    </cfRule>
  </conditionalFormatting>
  <conditionalFormatting sqref="M14874:M14876">
    <cfRule type="cellIs" dxfId="131" priority="163" operator="lessThan">
      <formula>0</formula>
    </cfRule>
  </conditionalFormatting>
  <conditionalFormatting sqref="M14886:M14891">
    <cfRule type="cellIs" dxfId="130" priority="161" operator="lessThan">
      <formula>0</formula>
    </cfRule>
  </conditionalFormatting>
  <conditionalFormatting sqref="M14919:M14924">
    <cfRule type="cellIs" dxfId="129" priority="159" operator="lessThan">
      <formula>0</formula>
    </cfRule>
  </conditionalFormatting>
  <conditionalFormatting sqref="M14952:M14954">
    <cfRule type="cellIs" dxfId="128" priority="158" operator="lessThan">
      <formula>0</formula>
    </cfRule>
  </conditionalFormatting>
  <conditionalFormatting sqref="M14980:M14985 M15001:M15006">
    <cfRule type="cellIs" dxfId="127" priority="157" operator="lessThan">
      <formula>0</formula>
    </cfRule>
  </conditionalFormatting>
  <conditionalFormatting sqref="M14995:M14997">
    <cfRule type="cellIs" dxfId="126" priority="156" operator="lessThan">
      <formula>0</formula>
    </cfRule>
  </conditionalFormatting>
  <conditionalFormatting sqref="M15013:M15014">
    <cfRule type="cellIs" dxfId="125" priority="155" operator="lessThan">
      <formula>0</formula>
    </cfRule>
  </conditionalFormatting>
  <conditionalFormatting sqref="M15021:M15023">
    <cfRule type="cellIs" dxfId="124" priority="154" operator="lessThan">
      <formula>0</formula>
    </cfRule>
  </conditionalFormatting>
  <conditionalFormatting sqref="M15030:M15035">
    <cfRule type="cellIs" dxfId="123" priority="152" operator="lessThan">
      <formula>0</formula>
    </cfRule>
  </conditionalFormatting>
  <conditionalFormatting sqref="M15050:M15052 M15056:M15058">
    <cfRule type="cellIs" dxfId="122" priority="151" operator="lessThan">
      <formula>0</formula>
    </cfRule>
  </conditionalFormatting>
  <conditionalFormatting sqref="M15102:M15104">
    <cfRule type="cellIs" dxfId="121" priority="150" operator="lessThan">
      <formula>0</formula>
    </cfRule>
  </conditionalFormatting>
  <conditionalFormatting sqref="M15127:M15129">
    <cfRule type="cellIs" dxfId="120" priority="149" operator="lessThan">
      <formula>0</formula>
    </cfRule>
  </conditionalFormatting>
  <conditionalFormatting sqref="M15139:M15141">
    <cfRule type="cellIs" dxfId="119" priority="148" operator="lessThan">
      <formula>0</formula>
    </cfRule>
  </conditionalFormatting>
  <conditionalFormatting sqref="M15179:M15181">
    <cfRule type="cellIs" dxfId="118" priority="145" operator="lessThan">
      <formula>0</formula>
    </cfRule>
  </conditionalFormatting>
  <conditionalFormatting sqref="M15211:M15213">
    <cfRule type="cellIs" dxfId="117" priority="144" operator="lessThan">
      <formula>0</formula>
    </cfRule>
  </conditionalFormatting>
  <conditionalFormatting sqref="M15249:M15251">
    <cfRule type="cellIs" dxfId="116" priority="141" operator="lessThan">
      <formula>0</formula>
    </cfRule>
  </conditionalFormatting>
  <conditionalFormatting sqref="M15257:M15258">
    <cfRule type="cellIs" dxfId="115" priority="142" operator="lessThan">
      <formula>0</formula>
    </cfRule>
  </conditionalFormatting>
  <conditionalFormatting sqref="M15264:M15269">
    <cfRule type="cellIs" dxfId="114" priority="140" operator="lessThan">
      <formula>0</formula>
    </cfRule>
  </conditionalFormatting>
  <conditionalFormatting sqref="M15280:M15282">
    <cfRule type="cellIs" dxfId="113" priority="139" operator="lessThan">
      <formula>0</formula>
    </cfRule>
  </conditionalFormatting>
  <conditionalFormatting sqref="M15327:M15329">
    <cfRule type="cellIs" dxfId="112" priority="138" operator="lessThan">
      <formula>0</formula>
    </cfRule>
  </conditionalFormatting>
  <conditionalFormatting sqref="M15361:M15372 M15380:M15382">
    <cfRule type="cellIs" dxfId="111" priority="136" operator="lessThan">
      <formula>0</formula>
    </cfRule>
  </conditionalFormatting>
  <conditionalFormatting sqref="M15390:M15392">
    <cfRule type="cellIs" dxfId="110" priority="135" operator="lessThan">
      <formula>0</formula>
    </cfRule>
  </conditionalFormatting>
  <conditionalFormatting sqref="M15397:M15405">
    <cfRule type="cellIs" dxfId="109" priority="133" operator="lessThan">
      <formula>0</formula>
    </cfRule>
  </conditionalFormatting>
  <conditionalFormatting sqref="M15458:M15459">
    <cfRule type="cellIs" dxfId="108" priority="132" operator="lessThan">
      <formula>0</formula>
    </cfRule>
  </conditionalFormatting>
  <conditionalFormatting sqref="M15492:M15494 M15507:M15509">
    <cfRule type="cellIs" dxfId="107" priority="131" operator="lessThan">
      <formula>0</formula>
    </cfRule>
  </conditionalFormatting>
  <conditionalFormatting sqref="M15518:M15523">
    <cfRule type="cellIs" dxfId="106" priority="130" operator="lessThan">
      <formula>0</formula>
    </cfRule>
  </conditionalFormatting>
  <conditionalFormatting sqref="M15556:M15564">
    <cfRule type="cellIs" dxfId="105" priority="129" operator="lessThan">
      <formula>0</formula>
    </cfRule>
  </conditionalFormatting>
  <conditionalFormatting sqref="M15572:M15574">
    <cfRule type="cellIs" dxfId="104" priority="127" operator="lessThan">
      <formula>0</formula>
    </cfRule>
  </conditionalFormatting>
  <conditionalFormatting sqref="M15587">
    <cfRule type="cellIs" dxfId="103" priority="128" operator="lessThan">
      <formula>0</formula>
    </cfRule>
  </conditionalFormatting>
  <conditionalFormatting sqref="M15589:M15592">
    <cfRule type="cellIs" dxfId="102" priority="126" operator="lessThan">
      <formula>0</formula>
    </cfRule>
  </conditionalFormatting>
  <conditionalFormatting sqref="M15595:M15598">
    <cfRule type="cellIs" dxfId="101" priority="124" operator="lessThan">
      <formula>0</formula>
    </cfRule>
  </conditionalFormatting>
  <conditionalFormatting sqref="M15631:M15635">
    <cfRule type="cellIs" dxfId="100" priority="121" operator="lessThan">
      <formula>0</formula>
    </cfRule>
  </conditionalFormatting>
  <conditionalFormatting sqref="M15649:M15650">
    <cfRule type="cellIs" dxfId="99" priority="122" operator="lessThan">
      <formula>0</formula>
    </cfRule>
  </conditionalFormatting>
  <conditionalFormatting sqref="M15662:M15664">
    <cfRule type="cellIs" dxfId="98" priority="120" operator="lessThan">
      <formula>0</formula>
    </cfRule>
  </conditionalFormatting>
  <conditionalFormatting sqref="M15667:M15669">
    <cfRule type="cellIs" dxfId="97" priority="119" operator="lessThan">
      <formula>0</formula>
    </cfRule>
  </conditionalFormatting>
  <conditionalFormatting sqref="M15696:M15703">
    <cfRule type="cellIs" dxfId="96" priority="116" operator="lessThan">
      <formula>0</formula>
    </cfRule>
  </conditionalFormatting>
  <conditionalFormatting sqref="M15709">
    <cfRule type="cellIs" dxfId="95" priority="115" operator="lessThan">
      <formula>0</formula>
    </cfRule>
  </conditionalFormatting>
  <conditionalFormatting sqref="M15723:M15724">
    <cfRule type="cellIs" dxfId="94" priority="114" operator="lessThan">
      <formula>0</formula>
    </cfRule>
  </conditionalFormatting>
  <conditionalFormatting sqref="M15775:M15776">
    <cfRule type="cellIs" dxfId="93" priority="113" operator="lessThan">
      <formula>0</formula>
    </cfRule>
  </conditionalFormatting>
  <conditionalFormatting sqref="M15798:M15800">
    <cfRule type="cellIs" dxfId="92" priority="112" operator="lessThan">
      <formula>0</formula>
    </cfRule>
  </conditionalFormatting>
  <conditionalFormatting sqref="M15885:M15890">
    <cfRule type="cellIs" dxfId="91" priority="111" operator="lessThan">
      <formula>0</formula>
    </cfRule>
  </conditionalFormatting>
  <conditionalFormatting sqref="M15917:M15920">
    <cfRule type="cellIs" dxfId="90" priority="110" operator="lessThan">
      <formula>0</formula>
    </cfRule>
  </conditionalFormatting>
  <conditionalFormatting sqref="M15930:M15931">
    <cfRule type="cellIs" dxfId="89" priority="109" operator="lessThan">
      <formula>0</formula>
    </cfRule>
  </conditionalFormatting>
  <conditionalFormatting sqref="M15934:M15936">
    <cfRule type="cellIs" dxfId="88" priority="108" operator="lessThan">
      <formula>0</formula>
    </cfRule>
  </conditionalFormatting>
  <conditionalFormatting sqref="M15970:M15971">
    <cfRule type="cellIs" dxfId="87" priority="107" operator="lessThan">
      <formula>0</formula>
    </cfRule>
  </conditionalFormatting>
  <conditionalFormatting sqref="M15974:M15976">
    <cfRule type="cellIs" dxfId="86" priority="106" operator="lessThan">
      <formula>0</formula>
    </cfRule>
  </conditionalFormatting>
  <conditionalFormatting sqref="M16000:M16001">
    <cfRule type="cellIs" dxfId="85" priority="105" operator="lessThan">
      <formula>0</formula>
    </cfRule>
  </conditionalFormatting>
  <conditionalFormatting sqref="M16033:M16034">
    <cfRule type="cellIs" dxfId="84" priority="104" operator="lessThan">
      <formula>0</formula>
    </cfRule>
  </conditionalFormatting>
  <conditionalFormatting sqref="M16056:M16058">
    <cfRule type="cellIs" dxfId="83" priority="103" operator="lessThan">
      <formula>0</formula>
    </cfRule>
  </conditionalFormatting>
  <conditionalFormatting sqref="M16062:M16063">
    <cfRule type="cellIs" dxfId="82" priority="101" operator="lessThan">
      <formula>0</formula>
    </cfRule>
  </conditionalFormatting>
  <conditionalFormatting sqref="M16082:M16084">
    <cfRule type="cellIs" dxfId="81" priority="102" operator="lessThan">
      <formula>0</formula>
    </cfRule>
  </conditionalFormatting>
  <conditionalFormatting sqref="M16157:M16158">
    <cfRule type="cellIs" dxfId="80" priority="100" operator="lessThan">
      <formula>0</formula>
    </cfRule>
  </conditionalFormatting>
  <conditionalFormatting sqref="M16221:M16222">
    <cfRule type="cellIs" dxfId="79" priority="98" operator="lessThan">
      <formula>0</formula>
    </cfRule>
  </conditionalFormatting>
  <conditionalFormatting sqref="M16241:M16242">
    <cfRule type="cellIs" dxfId="78" priority="99" operator="lessThan">
      <formula>0</formula>
    </cfRule>
  </conditionalFormatting>
  <conditionalFormatting sqref="M16252:M16253">
    <cfRule type="cellIs" dxfId="77" priority="97" operator="lessThan">
      <formula>0</formula>
    </cfRule>
  </conditionalFormatting>
  <conditionalFormatting sqref="M16355:M16357">
    <cfRule type="cellIs" dxfId="76" priority="96" operator="lessThan">
      <formula>0</formula>
    </cfRule>
  </conditionalFormatting>
  <conditionalFormatting sqref="M16371:M16372">
    <cfRule type="cellIs" dxfId="75" priority="94" operator="lessThan">
      <formula>0</formula>
    </cfRule>
  </conditionalFormatting>
  <conditionalFormatting sqref="M16397:M16399">
    <cfRule type="cellIs" dxfId="74" priority="95" operator="lessThan">
      <formula>0</formula>
    </cfRule>
  </conditionalFormatting>
  <conditionalFormatting sqref="M16496:M16498">
    <cfRule type="cellIs" dxfId="73" priority="93" operator="lessThan">
      <formula>0</formula>
    </cfRule>
  </conditionalFormatting>
  <conditionalFormatting sqref="M16520:M16522">
    <cfRule type="cellIs" dxfId="72" priority="92" operator="lessThan">
      <formula>0</formula>
    </cfRule>
  </conditionalFormatting>
  <conditionalFormatting sqref="M16571:M16575">
    <cfRule type="cellIs" dxfId="71" priority="90" operator="lessThan">
      <formula>0</formula>
    </cfRule>
  </conditionalFormatting>
  <conditionalFormatting sqref="M16655:M16656">
    <cfRule type="cellIs" dxfId="70" priority="88" operator="lessThan">
      <formula>0</formula>
    </cfRule>
  </conditionalFormatting>
  <conditionalFormatting sqref="M16806:M16807">
    <cfRule type="cellIs" dxfId="69" priority="87" operator="lessThan">
      <formula>0</formula>
    </cfRule>
  </conditionalFormatting>
  <conditionalFormatting sqref="M16863:M16865">
    <cfRule type="cellIs" dxfId="68" priority="86" operator="lessThan">
      <formula>0</formula>
    </cfRule>
  </conditionalFormatting>
  <conditionalFormatting sqref="M17007:M17008">
    <cfRule type="cellIs" dxfId="67" priority="85" operator="lessThan">
      <formula>0</formula>
    </cfRule>
  </conditionalFormatting>
  <conditionalFormatting sqref="M17043:M17044">
    <cfRule type="cellIs" dxfId="66" priority="84" operator="lessThan">
      <formula>0</formula>
    </cfRule>
  </conditionalFormatting>
  <conditionalFormatting sqref="M17174:M17176">
    <cfRule type="cellIs" dxfId="65" priority="82" operator="lessThan">
      <formula>0</formula>
    </cfRule>
  </conditionalFormatting>
  <conditionalFormatting sqref="M17179:M17180">
    <cfRule type="cellIs" dxfId="64" priority="81" operator="lessThan">
      <formula>0</formula>
    </cfRule>
  </conditionalFormatting>
  <conditionalFormatting sqref="M17237:M17238">
    <cfRule type="cellIs" dxfId="63" priority="80" operator="lessThan">
      <formula>0</formula>
    </cfRule>
  </conditionalFormatting>
  <conditionalFormatting sqref="M17268:M17269">
    <cfRule type="cellIs" dxfId="62" priority="79" operator="lessThan">
      <formula>0</formula>
    </cfRule>
  </conditionalFormatting>
  <conditionalFormatting sqref="M17298:M17303">
    <cfRule type="cellIs" dxfId="61" priority="78" operator="lessThan">
      <formula>0</formula>
    </cfRule>
  </conditionalFormatting>
  <conditionalFormatting sqref="M17322:M17327">
    <cfRule type="cellIs" dxfId="60" priority="75" operator="lessThan">
      <formula>0</formula>
    </cfRule>
  </conditionalFormatting>
  <conditionalFormatting sqref="M17355:M17356">
    <cfRule type="cellIs" dxfId="59" priority="74" operator="lessThan">
      <formula>0</formula>
    </cfRule>
  </conditionalFormatting>
  <conditionalFormatting sqref="M17389">
    <cfRule type="cellIs" dxfId="58" priority="73" operator="lessThan">
      <formula>0</formula>
    </cfRule>
  </conditionalFormatting>
  <conditionalFormatting sqref="M17418:M17421">
    <cfRule type="cellIs" dxfId="57" priority="72" operator="lessThan">
      <formula>0</formula>
    </cfRule>
  </conditionalFormatting>
  <conditionalFormatting sqref="M17424">
    <cfRule type="cellIs" dxfId="56" priority="71" operator="lessThan">
      <formula>0</formula>
    </cfRule>
  </conditionalFormatting>
  <conditionalFormatting sqref="M17445">
    <cfRule type="cellIs" dxfId="55" priority="70" operator="lessThan">
      <formula>0</formula>
    </cfRule>
  </conditionalFormatting>
  <conditionalFormatting sqref="M17450:M17451">
    <cfRule type="cellIs" dxfId="54" priority="69" operator="lessThan">
      <formula>0</formula>
    </cfRule>
  </conditionalFormatting>
  <conditionalFormatting sqref="M17466:M17467">
    <cfRule type="cellIs" dxfId="53" priority="67" operator="lessThan">
      <formula>0</formula>
    </cfRule>
  </conditionalFormatting>
  <conditionalFormatting sqref="M17487">
    <cfRule type="cellIs" dxfId="52" priority="66" operator="lessThan">
      <formula>0</formula>
    </cfRule>
  </conditionalFormatting>
  <conditionalFormatting sqref="M17501:M17503">
    <cfRule type="cellIs" dxfId="51" priority="65" operator="lessThan">
      <formula>0</formula>
    </cfRule>
  </conditionalFormatting>
  <conditionalFormatting sqref="M17521">
    <cfRule type="cellIs" dxfId="50" priority="64" operator="lessThan">
      <formula>0</formula>
    </cfRule>
  </conditionalFormatting>
  <conditionalFormatting sqref="M17526:M17527">
    <cfRule type="cellIs" dxfId="49" priority="63" operator="lessThan">
      <formula>0</formula>
    </cfRule>
  </conditionalFormatting>
  <conditionalFormatting sqref="M17556">
    <cfRule type="cellIs" dxfId="48" priority="60" operator="lessThan">
      <formula>0</formula>
    </cfRule>
  </conditionalFormatting>
  <conditionalFormatting sqref="M17561">
    <cfRule type="cellIs" dxfId="47" priority="59" operator="lessThan">
      <formula>0</formula>
    </cfRule>
  </conditionalFormatting>
  <conditionalFormatting sqref="M17566:M17568">
    <cfRule type="cellIs" dxfId="46" priority="58" operator="lessThan">
      <formula>0</formula>
    </cfRule>
  </conditionalFormatting>
  <conditionalFormatting sqref="M17589:M17590">
    <cfRule type="cellIs" dxfId="45" priority="57" operator="lessThan">
      <formula>0</formula>
    </cfRule>
  </conditionalFormatting>
  <conditionalFormatting sqref="M17593">
    <cfRule type="cellIs" dxfId="44" priority="56" operator="lessThan">
      <formula>0</formula>
    </cfRule>
  </conditionalFormatting>
  <conditionalFormatting sqref="M17610:M17612">
    <cfRule type="cellIs" dxfId="43" priority="54" operator="lessThan">
      <formula>0</formula>
    </cfRule>
  </conditionalFormatting>
  <conditionalFormatting sqref="M17617">
    <cfRule type="cellIs" dxfId="42" priority="53" operator="lessThan">
      <formula>0</formula>
    </cfRule>
  </conditionalFormatting>
  <conditionalFormatting sqref="M17645">
    <cfRule type="cellIs" dxfId="41" priority="51" operator="lessThan">
      <formula>0</formula>
    </cfRule>
  </conditionalFormatting>
  <conditionalFormatting sqref="M17665:M17669">
    <cfRule type="cellIs" dxfId="40" priority="50" operator="lessThan">
      <formula>0</formula>
    </cfRule>
  </conditionalFormatting>
  <conditionalFormatting sqref="M17675">
    <cfRule type="cellIs" dxfId="39" priority="49" operator="lessThan">
      <formula>0</formula>
    </cfRule>
  </conditionalFormatting>
  <conditionalFormatting sqref="M17692:M17696">
    <cfRule type="cellIs" dxfId="38" priority="46" operator="lessThan">
      <formula>0</formula>
    </cfRule>
  </conditionalFormatting>
  <conditionalFormatting sqref="M17717:M17718">
    <cfRule type="cellIs" dxfId="37" priority="45" operator="lessThan">
      <formula>0</formula>
    </cfRule>
  </conditionalFormatting>
  <conditionalFormatting sqref="M17729">
    <cfRule type="cellIs" dxfId="36" priority="44" operator="lessThan">
      <formula>0</formula>
    </cfRule>
  </conditionalFormatting>
  <conditionalFormatting sqref="M17732">
    <cfRule type="cellIs" dxfId="35" priority="43" operator="lessThan">
      <formula>0</formula>
    </cfRule>
  </conditionalFormatting>
  <conditionalFormatting sqref="M17752:M17753">
    <cfRule type="cellIs" dxfId="34" priority="42" operator="lessThan">
      <formula>0</formula>
    </cfRule>
  </conditionalFormatting>
  <conditionalFormatting sqref="M17759:M17762">
    <cfRule type="cellIs" dxfId="33" priority="40" operator="lessThan">
      <formula>0</formula>
    </cfRule>
  </conditionalFormatting>
  <conditionalFormatting sqref="M17788:M17789">
    <cfRule type="cellIs" dxfId="32" priority="39" operator="lessThan">
      <formula>0</formula>
    </cfRule>
  </conditionalFormatting>
  <conditionalFormatting sqref="M17792:M17794">
    <cfRule type="cellIs" dxfId="31" priority="37" operator="lessThan">
      <formula>0</formula>
    </cfRule>
  </conditionalFormatting>
  <conditionalFormatting sqref="M17811:M17812">
    <cfRule type="cellIs" dxfId="30" priority="36" operator="lessThan">
      <formula>0</formula>
    </cfRule>
  </conditionalFormatting>
  <conditionalFormatting sqref="M17815">
    <cfRule type="cellIs" dxfId="29" priority="35" operator="lessThan">
      <formula>0</formula>
    </cfRule>
  </conditionalFormatting>
  <conditionalFormatting sqref="M17820:M17821">
    <cfRule type="cellIs" dxfId="28" priority="31" operator="lessThan">
      <formula>0</formula>
    </cfRule>
  </conditionalFormatting>
  <conditionalFormatting sqref="M17834:M17835">
    <cfRule type="cellIs" dxfId="27" priority="34" operator="lessThan">
      <formula>0</formula>
    </cfRule>
  </conditionalFormatting>
  <conditionalFormatting sqref="M17838">
    <cfRule type="cellIs" dxfId="26" priority="33" operator="lessThan">
      <formula>0</formula>
    </cfRule>
  </conditionalFormatting>
  <conditionalFormatting sqref="M17855:M17858">
    <cfRule type="cellIs" dxfId="25" priority="30" operator="lessThan">
      <formula>0</formula>
    </cfRule>
  </conditionalFormatting>
  <conditionalFormatting sqref="M17875">
    <cfRule type="cellIs" dxfId="24" priority="29" operator="lessThan">
      <formula>0</formula>
    </cfRule>
  </conditionalFormatting>
  <conditionalFormatting sqref="M17878">
    <cfRule type="cellIs" dxfId="23" priority="27" operator="lessThan">
      <formula>0</formula>
    </cfRule>
  </conditionalFormatting>
  <conditionalFormatting sqref="M17887:M17891">
    <cfRule type="cellIs" dxfId="22" priority="25" operator="lessThan">
      <formula>0</formula>
    </cfRule>
  </conditionalFormatting>
  <conditionalFormatting sqref="M17912:M17914">
    <cfRule type="cellIs" dxfId="21" priority="24" operator="lessThan">
      <formula>0</formula>
    </cfRule>
  </conditionalFormatting>
  <conditionalFormatting sqref="M17917">
    <cfRule type="cellIs" dxfId="20" priority="23" operator="lessThan">
      <formula>0</formula>
    </cfRule>
  </conditionalFormatting>
  <conditionalFormatting sqref="M17922:M17924">
    <cfRule type="cellIs" dxfId="19" priority="22" operator="lessThan">
      <formula>0</formula>
    </cfRule>
  </conditionalFormatting>
  <conditionalFormatting sqref="M17937:M17939">
    <cfRule type="cellIs" dxfId="18" priority="20" operator="lessThan">
      <formula>0</formula>
    </cfRule>
  </conditionalFormatting>
  <conditionalFormatting sqref="M17959:M17961">
    <cfRule type="cellIs" dxfId="17" priority="19" operator="lessThan">
      <formula>0</formula>
    </cfRule>
  </conditionalFormatting>
  <conditionalFormatting sqref="M17965:M17966">
    <cfRule type="cellIs" dxfId="16" priority="18" operator="lessThan">
      <formula>0</formula>
    </cfRule>
  </conditionalFormatting>
  <conditionalFormatting sqref="M17969:M17973">
    <cfRule type="cellIs" dxfId="15" priority="16" operator="lessThan">
      <formula>0</formula>
    </cfRule>
  </conditionalFormatting>
  <conditionalFormatting sqref="M17992:M17994">
    <cfRule type="cellIs" dxfId="14" priority="15" operator="lessThan">
      <formula>0</formula>
    </cfRule>
  </conditionalFormatting>
  <conditionalFormatting sqref="M17997:M18006">
    <cfRule type="cellIs" dxfId="13" priority="10" operator="lessThan">
      <formula>0</formula>
    </cfRule>
  </conditionalFormatting>
  <conditionalFormatting sqref="M18023">
    <cfRule type="cellIs" dxfId="12" priority="9" operator="lessThan">
      <formula>0</formula>
    </cfRule>
  </conditionalFormatting>
  <conditionalFormatting sqref="M18034:M18035">
    <cfRule type="cellIs" dxfId="11" priority="8" operator="lessThan">
      <formula>0</formula>
    </cfRule>
  </conditionalFormatting>
  <conditionalFormatting sqref="M18050:M18051">
    <cfRule type="cellIs" dxfId="10" priority="7" operator="lessThan">
      <formula>0</formula>
    </cfRule>
  </conditionalFormatting>
  <conditionalFormatting sqref="M18057:M18060">
    <cfRule type="cellIs" dxfId="9" priority="5" operator="lessThan">
      <formula>0</formula>
    </cfRule>
  </conditionalFormatting>
  <conditionalFormatting sqref="M18077:M18079">
    <cfRule type="cellIs" dxfId="8" priority="3" operator="lessThan">
      <formula>0</formula>
    </cfRule>
  </conditionalFormatting>
  <conditionalFormatting sqref="M18099:M18101">
    <cfRule type="cellIs" dxfId="7" priority="2" operator="lessThan">
      <formula>0</formula>
    </cfRule>
  </conditionalFormatting>
  <conditionalFormatting sqref="M18104">
    <cfRule type="cellIs" dxfId="0" priority="1" operator="lessThan">
      <formula>0</formula>
    </cfRule>
  </conditionalFormatting>
  <dataValidations count="1">
    <dataValidation type="list" allowBlank="1" showInputMessage="1" showErrorMessage="1" sqref="S772:S780 AX1930:AY1932 I1 I3:I7" xr:uid="{00000000-0002-0000-0200-000000000000}">
      <formula1>#REF!</formula1>
    </dataValidation>
  </dataValidations>
  <pageMargins left="0.7" right="0.7" top="0.75" bottom="0.75" header="0.3" footer="0.3"/>
  <pageSetup paperSize="9" scale="10" orientation="portrait" horizontalDpi="300" verticalDpi="30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'Chart of Accounts'!$B$3:$B$213</xm:f>
          </x14:formula1>
          <xm:sqref>T772:T780</xm:sqref>
        </x14:dataValidation>
        <x14:dataValidation type="list" allowBlank="1" showInputMessage="1" showErrorMessage="1" xr:uid="{00000000-0002-0000-0200-000008000000}">
          <x14:formula1>
            <xm:f>INVESTOR_LIST!$B:$B</xm:f>
          </x14:formula1>
          <xm:sqref>I3541:I3552 I7195:I7201 I8251:I8262 I8217:I8244 I8338:I8355 I8214:I8215 I8207:I8212 I8204:I8205 I8195:I8202 I8170:I8193 I8167:I8168 I8164:I8165 I8143:I8162 I8126:I8138 I8120:I8124 I8140:I8141 I8111:I8118 I8108:I8109 I8083:I8106 I8080:I8081 I8071:I8078 I8042:I8052 I8035:I8040 I7948:I8018 I8054:I8055 I8026:I8033 I8020:I8021 I8023:I8024 I8057:I8069 I7945:I7946 I7917:I7943 I7914:I7915 I7880:I7912 I7877:I7878 I7874:I7875 I7869:I7872 I7848:I7867 I7836:I7846 I7707:I7734 I7833:I7834 I7816:I7831 I7798:I7814 I7791:I7796 I7788:I7789 I7785:I7786 I7762:I7783 I7751:I7760 I7736:I7745 I7697:I7700 I7692:I7695 I7676:I7687 I7702:I7705 I7689:I7690 I7655:I7674 I7647:I7653 I7625:I7630 I7632:I7633 I7635:I7636 I7638:I7645 I7622:I7623 I7595:I7620 I7572:I7593 I7566:I7567 I7569:I7570 I7560:I7561 I7555:I7558 I7563:I7564 I7552:I7553 I7543:I7550 I7536:I7541 I7517:I7534 I7494:I7497 I7514:I7515 I7511:I7512 I7508:I7509 I7499:I7502 I7472:I7492 I7451:I7464 I7469:I7470 I7466:I7467 I7445:I7446 I7424:I7443 I7391:I7406 I7417:I7418 I7414:I7415 I7411:I7412 I7408:I7409 I7371:I7389 I7338:I7364 I7366:I7369 I7157:I7178 I7335:I7336 I7332:I7333 I7329:I7330 I7312:I7327 I7309:I7310 I7302:I7307 I7287:I7300 I7278:I7285 I7275:I7276 I7272:I7273 I7269:I7270 I7266:I7267 I7249:I7264 I7209:I7244 I8:I3536 I3555:I6376 I6413:I6864 I6869:I7018 I7020:I7125 I7127:I7134 I7154:I7155 I7151:I7152 I7148:I7149 I7136:I7146 I7180:I7181 I7183:I7184 I7186:I7187 I7189:I7190 I7192:I7193 I6382:I6410 I7203:I7204 I7206:I7207 I8264:I8281 I8283:I8286 I8288:I8291 I8296:I8316 I8323:I8324 I8318:I8321 I8326:I8333 I8335:I8336 I8360:I8361 I8357:I8358 I8363:I8364 I8366:I8385 I8407:I8418 I8246:I8249 I8387:I8398 I8400:I8405 I8441:I8446 I8420:I8439 I8448:I8469 I8471:I8474 I8476:I8477 I8479:I8498 I8500:I8501 I8508:I8511 I8513:I8514 I8516:I8517 I8519:I8520 I8526:I8527 I8503:I8506 I8529:I8550 I8552:I8557 I8559:I8583 I8585:I8604 I8606:I8647 I8649:I8672 I8883:I8908 I8725:I8738 I8674:I8698 I8977:I9031 I8858:I8881 I8847:I8856 I8700:I8723 I8910:I8917 I8919:I8929 I8931:I8956 I8958:I8972 I8974:I8975 I9033:I9034 I8740:I8845 I9036:I9061 I9063:I9069 I9071:I9109 I9111:I9125 I9146:I9147 I9127:I9144 I9149:I9166 I9168:I9171 I9173:I9177 I9179:I9212 I9214:I9215 I9217:I9256 I9258:I9300 I9302:I9303 I9305:I9306 I9308:I9309 I9311:I9330 I9332:I9339 I9341:I9342 I9344:I9345 I9347:I9348 I9350:I9351 I9353:I9377 I9379:I9380 I9382:I9383 I9385:I9386 I9388:I9419 I9421:I9425 I9427:I9432 I9434:I9435 I9437:I9438 I9440:I9455 I9457:I9458 I9460:I9461 I9463:I9464 I9498:I9499 I9501:I9502 I9504:I9505 I9507:I9510 I9512:I9527 I9529:I9530 I9532:I9574 I9576:I9577 I9579:I9580 I9582:I9587 I9617:I9620 I9660:I9668 I9589:I9615 I9622:I9658 I9670:I9692 I9694:I9719 I9721:I9758 I9760:I9761 I9763:I9764 I9766:I9767 I9769:I9794 I9796:I9801 I9803:I9840 I9842:I9843 I9845:I9846 I9848:I9849 I9851:I9858 I9910:I9918 I9860:I9908 I9920:I9921 I9923:I9972 I9974:I9979 I9466:I9496 I10014:I10025 I10027:I10035 I10037:I10038 I9981:I10012 I10040:I10056 I10115:I10141 I10112:I10113 I10058:I10110 I10146:I10147 I10149:I10150 I10143:I10144 I10152:I10153 I10363:I10386 I10354:I10361 I10302:I10352 I10412:I10413 I12587:I12589 I10415:I10444 I10388:I10392 I10506:I10540 I10542:I10543 I10545:I10546 I10578:I10579 I10548:I10576 I10718:I10719 I10721:I10722 I10446:I10504 I10155:I10300 I10724:I10748 I10753:I10754 I10756:I10757 I10750:I10751 I10759:I10766 I10768:I10790 I10792:I10802 I10394:I10410 I10804:I10828 I10830:I10831 I10833:I10834 I10836:I10871 I10873:I10882 I10884:I10885 I10887:I10972 I10974:I10975 I10977:I11004 I11006:I11049 I11051:I11052 I11054:I11055 I11057:I11058 I11060:I11061 I11063:I11073 I11075:I11090 I11092:I11093 I11136:I11140 I11133:I11134 I11112:I11131 I11142:I11168 I11170:I11195 I11197:I11198 I11200:I11204 I11206:I11230 I11232:I11233 I11235:I11241 I11243:I11345 I11347:I11348 I11350:I11373 I11405:I11415 I11428:I11431 I11458:I11462 I11477:I11486 I11489:I11494 I11509:I11514 I11528:I11534 I11518:I11525 I11538:I11539 I11545:I11547 I11567:I11573 I11603:I11613 I11576:I11578 I11588:I11589 I11584:I11585 I11651:I11664 I12207:I12208 I11764:I11770 I11667:I11669 I11675:I11679 I11724:I11727 I11699:I11707 I11714:I11720 I11734:I11736 I11774:I11780 I11784:I11788 I11753:I11761 I11833:I11835 I11819:I11826 I11805:I11816 I11842:I11847 I11633:I11648 I11909:I11910 I11870:I11878 I11914:I11924 I11970:I11973 I11901:I11905 I12006:I12011 I11998:I12002 I12033:I12058 I12084:I12085 I12075:I12080 I12105:I12112 I12115:I12116 I12119:I12134 I12156:I12158 I11947:I11963 I12151:I12152 I12163:I12184 I12199:I12203 I12605:I12606 I12392:I12394 I12398:I12400 I12429:I12434 I12492:I12493 I12487:I12489 I12506:I12513 I12568:I12573 I12353:I12373 I12582:I12584 I12533:I12535 I11095:I11110 I12592:I12602 I10581:I10716 I12723:I12724 I12705:I12706 I12729:I12731 I12765:I12766 I16890:I16891 I12623:I12624 I12698:I12699 I12840:I12841 I12924:I12929 I12934:I12935 I12979:I12982 I13005:I13006 I13040:I13042 I13095 I13113:I13116 I13148:I13150 I13288:I13292 I13320:I13321 I13345:I13346 I13383:I13385 I13389:I13394 I13462:I13467 I13493:I13498 I13481:I13483 I13448:I13450 I13454:I13456 I13530:I13532 I13559:I13560 I13567:I13569 I13563:I13564 I13355:I13358 I13617:I13623 I13632:I13634 I13642:I13644 I14042:I14045 I13683:I13685 I13697:I13701 I13763:I13767 I13753:I13758 I13729:I13734 I13790:I13793 I13852:I13854 I13825:I13830 I13842:I13844 I13801:I13803 I13863:I13864 I13934:I13936 I13915:I13920 I13940:I13942 I13945:I13946 I13949:I13951 I14029:I14031 I13663:I13674 I14061:I14063 I14066:I14068 I14071:I14076 I14109:I14114 I14204:I14205 I14208:I14212 I14257:I14259 I14281:I14284 I14298:I14299 I14339:I14340 I14392:I14394 I14399:I14401 I14442:I14444 I14453:I14455 I14461:I14462 I14492:I14497 I14519:I14524 I14557:I14559 I14592:I14597 I14603:I14614 I14629:I14631 I14661:I14672 I14723:I14731 I14702:I14704 I14710:I14715 I14745:I14747 I14750:I14755 I14798:I14803 I14789:I14791 I14818:I14823 I14828:I14830 I14886:I14891 I14919:I14924 I14874:I14876 I14835:I14839 I15001:I15006 I14980:I14985 I14952:I14954 I14995:I14997 I15013:I15014 I15021:I15023 I15050:I15058 I15030:I15038 I15139:I15141 I15127:I15129 I15102:I15104 I15144:I15151 I15179:I15181 I15211:I15213 I15216:I15217 I15249:I15251 I15257:I15258 I15280:I15282 I15264:I15272 I15323:I15324 I15327:I15329 I15361:I15372 I15380:I15382 I15390:I15392 I15395:I15405 I15458:I15459 I15473:I15475 I15507:I15510 I15492:I15494 I15512 I15518:I15523 I15572:I15574 I15587 I15716:I15717 I15589:I15592 I15595:I15598 I15631:I15635 I15649:I15650 I15662:I15664 I15709 I15696:I15703 I15667:I15669 I15723:I15724 I15556:I15566 I15775:I15776 I15798:I15802 I15779:I15784 I15768:I15769 I15885:I15890 I15917:I15920 I15930:I15931 I15934:I15936 I15877:I15878 I15970:I15976 I16056:I16058 I16033:I16034 I16000:I16001 I16082:I16084 I16062:I16063 I16157:I16158 I16134:I16135 I16241:I16242 I16221:I16222 I16448:I16450 I16303:I16305 I16355:I16357 I16397:I16399 I16371:I16372 I16429:I16430 I16252:I16253 I16496:I16498 I16520:I16522 I16571:I16575 I16588:I16590 I16600:I16602 I16595:I16597 I16607:I16612 I16617:I16619 I16622:I16623 I16863:I16865 I16944:I16945 I16991:I16992 I17148:I17150 I17169:I17176 I17179:I17180 I17188:I17192 I17237:I17238 I17268:I17269 I17322:I17327 I17330:I17335 I17355:I17356 I17418:I17421 I16646:I16647 I17484 I17501:I17503 I17526:I17527 I17535:I17541 I17554:I17555 I17566:I17568 I17589:I17590 I17610:I17611 I17359:I17364 I17394:I17397 I17665:I17669 I17692:I17693 I17759:I17761 I17785 I17787 I17855:I17857 I17889:I17891 I17912:I17914 I17922:I17924 I17959:I17961 I17992:I17994 I17978:I17979 I18003:I18005 I18057:I18059 I18121:I1048576 I18096:I18101</xm:sqref>
        </x14:dataValidation>
        <x14:dataValidation type="list" allowBlank="1" showInputMessage="1" showErrorMessage="1" xr:uid="{DF1B3D32-33AE-4D8C-912D-4EAF506A643D}">
          <x14:formula1>
            <xm:f>'Chart of Accounts'!$B$3:$B$87</xm:f>
          </x14:formula1>
          <xm:sqref>J8:J16635 J16638:J1048576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AE69"/>
  <sheetViews>
    <sheetView topLeftCell="B1" zoomScale="115" zoomScaleNormal="115" workbookViewId="0">
      <pane ySplit="3" topLeftCell="A4" activePane="bottomLeft" state="frozen"/>
      <selection activeCell="L2689" sqref="L2689"/>
      <selection pane="bottomLeft" activeCell="D53" sqref="D53"/>
    </sheetView>
  </sheetViews>
  <sheetFormatPr defaultColWidth="8.85546875" defaultRowHeight="12" x14ac:dyDescent="0.2"/>
  <cols>
    <col min="1" max="1" width="10.28515625" style="115" customWidth="1"/>
    <col min="2" max="2" width="10.42578125" style="115" customWidth="1"/>
    <col min="3" max="3" width="11.140625" style="115" bestFit="1" customWidth="1"/>
    <col min="4" max="4" width="13.140625" style="115" bestFit="1" customWidth="1"/>
    <col min="5" max="6" width="10.5703125" style="115" hidden="1" customWidth="1"/>
    <col min="7" max="7" width="39.140625" style="115" bestFit="1" customWidth="1"/>
    <col min="8" max="8" width="14.5703125" style="261" bestFit="1" customWidth="1"/>
    <col min="9" max="9" width="15.7109375" style="261" bestFit="1" customWidth="1"/>
    <col min="10" max="11" width="23.28515625" style="115" bestFit="1" customWidth="1"/>
    <col min="12" max="13" width="13.28515625" style="115" bestFit="1" customWidth="1"/>
    <col min="14" max="14" width="13.85546875" style="115" bestFit="1" customWidth="1"/>
    <col min="15" max="15" width="12" style="115" bestFit="1" customWidth="1"/>
    <col min="16" max="16" width="12.5703125" style="115" customWidth="1"/>
    <col min="17" max="17" width="13.140625" style="115" bestFit="1" customWidth="1"/>
    <col min="18" max="18" width="13.5703125" style="115" bestFit="1" customWidth="1"/>
    <col min="19" max="19" width="13.7109375" style="115" bestFit="1" customWidth="1"/>
    <col min="20" max="22" width="8.85546875" style="115"/>
    <col min="23" max="23" width="9.42578125" style="115" customWidth="1"/>
    <col min="24" max="27" width="14.5703125" style="115" bestFit="1" customWidth="1"/>
    <col min="28" max="29" width="13.5703125" style="115" bestFit="1" customWidth="1"/>
    <col min="30" max="16384" width="8.85546875" style="115"/>
  </cols>
  <sheetData>
    <row r="1" spans="1:31" x14ac:dyDescent="0.2">
      <c r="A1" s="516" t="s">
        <v>118</v>
      </c>
      <c r="B1" s="516"/>
      <c r="C1" s="516"/>
      <c r="D1" s="516"/>
      <c r="G1" s="447">
        <f>SUM(H7:H91)-SUM(I7:I91)</f>
        <v>2.8882473707199097E-3</v>
      </c>
      <c r="H1" s="447"/>
      <c r="I1" s="447"/>
      <c r="J1" s="447"/>
      <c r="K1" s="447"/>
      <c r="L1" s="447"/>
      <c r="M1" s="447"/>
      <c r="N1" s="447"/>
      <c r="O1" s="447"/>
    </row>
    <row r="2" spans="1:31" x14ac:dyDescent="0.2">
      <c r="A2" s="516" t="s">
        <v>119</v>
      </c>
      <c r="B2" s="516"/>
      <c r="C2" s="516"/>
      <c r="D2" s="516"/>
      <c r="G2" s="448">
        <f>BS!C25-BS!C40</f>
        <v>0</v>
      </c>
      <c r="H2" s="448"/>
      <c r="I2" s="448"/>
      <c r="J2" s="448"/>
      <c r="K2" s="448"/>
      <c r="L2" s="448"/>
      <c r="M2" s="448"/>
      <c r="N2" s="448"/>
      <c r="O2" s="448"/>
    </row>
    <row r="3" spans="1:31" x14ac:dyDescent="0.2">
      <c r="A3" s="516" t="s">
        <v>120</v>
      </c>
      <c r="B3" s="516"/>
      <c r="C3" s="516"/>
      <c r="D3" s="516"/>
      <c r="G3" s="448">
        <f>BS!C23-CF!B44</f>
        <v>-2739690.0668895207</v>
      </c>
      <c r="H3" s="448"/>
      <c r="I3" s="448"/>
      <c r="J3" s="448"/>
      <c r="K3" s="448"/>
      <c r="L3" s="448"/>
      <c r="M3" s="448"/>
      <c r="N3" s="448"/>
      <c r="O3" s="448"/>
      <c r="W3" s="258"/>
      <c r="X3" s="257"/>
      <c r="Y3" s="257"/>
      <c r="Z3" s="257"/>
      <c r="AA3" s="257"/>
      <c r="AB3" s="257"/>
      <c r="AC3" s="257"/>
      <c r="AD3" s="257"/>
      <c r="AE3" s="257"/>
    </row>
    <row r="4" spans="1:31" x14ac:dyDescent="0.2">
      <c r="A4" s="116"/>
      <c r="H4" s="117"/>
      <c r="I4" s="118"/>
      <c r="K4" s="117"/>
      <c r="L4" s="119"/>
      <c r="M4" s="119"/>
    </row>
    <row r="5" spans="1:31" x14ac:dyDescent="0.2">
      <c r="A5" s="120"/>
      <c r="B5" s="514" t="s">
        <v>116</v>
      </c>
      <c r="C5" s="514"/>
      <c r="D5" s="514"/>
      <c r="H5" s="515" t="s">
        <v>117</v>
      </c>
      <c r="I5" s="515"/>
      <c r="J5" s="515" t="s">
        <v>114</v>
      </c>
      <c r="K5" s="515"/>
      <c r="L5" s="515"/>
      <c r="M5" s="515"/>
      <c r="N5" s="515" t="s">
        <v>115</v>
      </c>
      <c r="O5" s="515"/>
    </row>
    <row r="6" spans="1:31" s="123" customFormat="1" x14ac:dyDescent="0.2">
      <c r="A6" s="121"/>
      <c r="B6" s="122" t="s">
        <v>68</v>
      </c>
      <c r="C6" s="122" t="s">
        <v>69</v>
      </c>
      <c r="D6" s="122" t="s">
        <v>70</v>
      </c>
      <c r="E6" s="123" t="s">
        <v>71</v>
      </c>
      <c r="F6" s="123" t="s">
        <v>71</v>
      </c>
      <c r="G6" s="124" t="s">
        <v>58</v>
      </c>
      <c r="H6" s="276" t="s">
        <v>55</v>
      </c>
      <c r="I6" s="277" t="s">
        <v>56</v>
      </c>
      <c r="J6" s="124" t="s">
        <v>109</v>
      </c>
      <c r="K6" s="124" t="s">
        <v>109</v>
      </c>
      <c r="L6" s="124" t="s">
        <v>143</v>
      </c>
      <c r="M6" s="124" t="s">
        <v>143</v>
      </c>
      <c r="N6" s="276" t="s">
        <v>55</v>
      </c>
      <c r="O6" s="276" t="s">
        <v>56</v>
      </c>
    </row>
    <row r="7" spans="1:31" x14ac:dyDescent="0.2">
      <c r="A7" s="125" t="s">
        <v>112</v>
      </c>
      <c r="B7" s="126">
        <v>2026</v>
      </c>
      <c r="C7" s="126">
        <v>1</v>
      </c>
      <c r="D7" s="126">
        <v>1</v>
      </c>
      <c r="E7" s="115">
        <f>DATE(B7,C7,D7)-1</f>
        <v>46022</v>
      </c>
      <c r="F7" s="115">
        <f>DATE(B7,C7,D7)</f>
        <v>46023</v>
      </c>
      <c r="G7" s="115" t="str">
        <f>'Chart of Accounts'!B3</f>
        <v>Investments in stock</v>
      </c>
      <c r="H7" s="261">
        <f>MAX(0,SUMIFS(Journals!$K$9:$K$1011204,Journals!$D$9:$D$1011204,"&gt;"&amp;$E$7,Journals!$D$9:$D$1011204,"&lt;"&amp;$E$8,Journals!$J$9:$J$1011204,"investments in stock")-SUMIFS(Journals!$L$9:$L$1011204,Journals!$D$9:$D$1011204,"&gt;"&amp;$E$7,Journals!$D$9:$D$1011204,"&lt;"&amp;$E$8,Journals!$J$9:$J$1011204,"investments in stock"))</f>
        <v>42662511.780000016</v>
      </c>
      <c r="I7" s="261">
        <f>MAX(0,SUMIFS(Journals!$L$9:$L$1011204,Journals!$D$9:$D$1011204,"&gt;"&amp;$E$7,Journals!$D$9:$D$1011204,"&lt;"&amp;$E$8,Journals!$J$9:$J$1011204,"Investments in stock")-SUMIFS(Journals!$K$9:$K$1011204,Journals!$D$9:$D$1011204,"&gt;"&amp;$E$7,Journals!$D$9:$D$1011204,"&lt;"&amp;$E$8,Journals!$J$9:$J$1011204,"Investments in stock"))</f>
        <v>0</v>
      </c>
      <c r="J7" s="278">
        <f>SUMIFS(Journals!$K$9:$K$1011204,Journals!$D$9:$D$1011204,"&lt;"&amp;$F$7,Journals!$J$9:$J$1011204,"investments in stock")-SUMIFS(Journals!$L$9:$L$1011204,Journals!$D$9:$D$1011204,"&lt;"&amp;$F$7,Journals!$J$9:$J$1011204,"investments in stock")</f>
        <v>208521186.51074505</v>
      </c>
      <c r="K7" s="278"/>
      <c r="L7" s="278">
        <f>J7+H7-I7</f>
        <v>251183698.29074508</v>
      </c>
      <c r="M7" s="278"/>
      <c r="N7" s="278"/>
      <c r="O7" s="278"/>
      <c r="R7" s="117"/>
      <c r="S7" s="127"/>
      <c r="X7" s="261"/>
      <c r="Y7" s="261"/>
      <c r="Z7" s="261"/>
      <c r="AA7" s="261"/>
      <c r="AB7" s="261"/>
      <c r="AC7" s="261"/>
    </row>
    <row r="8" spans="1:31" x14ac:dyDescent="0.2">
      <c r="A8" s="125" t="s">
        <v>113</v>
      </c>
      <c r="B8" s="126">
        <v>2026</v>
      </c>
      <c r="C8" s="126">
        <v>12</v>
      </c>
      <c r="D8" s="126">
        <v>31</v>
      </c>
      <c r="E8" s="115">
        <f>DATE(B8,C8,D8)+1</f>
        <v>46388</v>
      </c>
      <c r="F8" s="115">
        <f>DATE(B8,C8,D8)</f>
        <v>46387</v>
      </c>
      <c r="G8" s="128" t="str">
        <f>'Chart of Accounts'!B4</f>
        <v>Interest Receivables from Bank A/C</v>
      </c>
      <c r="H8" s="130">
        <f>MAX(0,SUMIFS(Journals!$K$9:$K$1011204,Journals!$D$9:$D$1011204,"&gt;"&amp;$E$7,Journals!$D$9:$D$1011204,"&lt;"&amp;$E$8,Journals!$J$9:$J$1011204,"Interest Receivables from Bank A/C")-SUMIFS(Journals!$L$9:$L$1011204,Journals!$D$9:$D$1011204,"&gt;"&amp;$E$7,Journals!$D$9:$D$1011204,"&lt;"&amp;$E$8,Journals!$J$9:$J$1011204,"Interest Receivables from Bank A/C"))</f>
        <v>113337.68539555557</v>
      </c>
      <c r="I8" s="130">
        <f>MAX(0,SUMIFS(Journals!$L$9:$L$1011204,Journals!$D$9:$D$1011204,"&gt;"&amp;$E$7,Journals!$D$9:$D$1011204,"&lt;"&amp;$E$8,Journals!$J$9:$J$1011204,"Interest Receivables from Bank A/C")-SUMIFS(Journals!$K$9:$K$1011204,Journals!$D$9:$D$1011204,"&gt;"&amp;$E$7,Journals!$D$9:$D$1011204,"&lt;"&amp;$E$8,Journals!$J$9:$J$1011204,"Interest Receivables from Bank A/C"))</f>
        <v>0</v>
      </c>
      <c r="J8" s="129">
        <f>SUMIFS(Journals!$K$9:$K$1011204,Journals!$D$9:$D$1011204,"&lt;"&amp;$F$7,Journals!$J$9:$J$1011204,"Interest Receivables from Bank A/C")-SUMIFS(Journals!$L$9:$L$1011204,Journals!$D$9:$D$1011204,"&lt;"&amp;$F$7,Journals!$J$9:$J$1011204,"Interest Receivables from Bank A/C")</f>
        <v>7601.5700163478032</v>
      </c>
      <c r="K8" s="129"/>
      <c r="L8" s="129">
        <f>J8+H8-I8</f>
        <v>120939.25541190337</v>
      </c>
      <c r="M8" s="129"/>
      <c r="N8" s="129"/>
      <c r="O8" s="129"/>
      <c r="P8" s="127">
        <v>463070.35</v>
      </c>
      <c r="Q8" s="127">
        <f>L8-P8</f>
        <v>-342131.0945880966</v>
      </c>
      <c r="R8" s="117"/>
      <c r="S8" s="127"/>
      <c r="X8" s="261"/>
      <c r="Y8" s="261"/>
      <c r="Z8" s="261"/>
      <c r="AA8" s="261"/>
      <c r="AB8" s="261"/>
      <c r="AC8" s="261"/>
    </row>
    <row r="9" spans="1:31" x14ac:dyDescent="0.2">
      <c r="G9" s="128" t="str">
        <f>'Chart of Accounts'!B5</f>
        <v>Preliminary &amp; issue expenses</v>
      </c>
      <c r="H9" s="130">
        <f>MAX(0,SUMIFS(Journals!$K$9:$K$1011204,Journals!$D$9:$D$1011204,"&gt;"&amp;$E$7,Journals!$D$9:$D$1011204,"&lt;"&amp;$E$8,Journals!$J$9:$J$1011204,"Preliminary &amp; issue expenses")-SUMIFS(Journals!$L$9:$L$1011204,Journals!$D$9:$D$1011204,"&gt;"&amp;$E$7,Journals!$D$9:$D$1011204,"&lt;"&amp;$E$8,Journals!$J$9:$J$1011204,"Preliminary &amp; issue expenses"))</f>
        <v>0</v>
      </c>
      <c r="I9" s="130">
        <f>MAX(0,SUMIFS(Journals!$L$9:$L$1011204,Journals!$D$9:$D$1011204,"&gt;"&amp;$E$7,Journals!$D$9:$D$1011204,"&lt;"&amp;$E$8,Journals!$J$9:$J$1011204,"Preliminary &amp; issue expenses")-SUMIFS(Journals!$K$9:$K$1011204,Journals!$D$9:$D$1011204,"&gt;"&amp;$E$7,Journals!$D$9:$D$1011204,"&lt;"&amp;$E$8,Journals!$J$9:$J$1011204,"Preliminary &amp; issue expenses"))</f>
        <v>32967.032967032952</v>
      </c>
      <c r="J9" s="129">
        <f>SUMIFS(Journals!$K$9:$K$1011204,Journals!$D$9:$D$1011204,"&lt;"&amp;$F$7,Journals!$J$9:$J$1011204,"Preliminary &amp; issue expenses")-SUMIFS(Journals!$L$9:$L$1011204,Journals!$D$9:$D$1011204,"&lt;"&amp;$F$7,Journals!$J$9:$J$1011204,"Preliminary &amp; issue expenses")</f>
        <v>173862.83425431966</v>
      </c>
      <c r="K9" s="129"/>
      <c r="L9" s="129">
        <f>J9+H9-I9</f>
        <v>140895.80128728671</v>
      </c>
      <c r="M9" s="129"/>
      <c r="N9" s="129"/>
      <c r="O9" s="129"/>
      <c r="P9" s="411"/>
      <c r="R9" s="117"/>
      <c r="S9" s="127"/>
      <c r="X9" s="261"/>
      <c r="Y9" s="261"/>
      <c r="Z9" s="261"/>
      <c r="AA9" s="261"/>
      <c r="AB9" s="261"/>
      <c r="AC9" s="261"/>
    </row>
    <row r="10" spans="1:31" x14ac:dyDescent="0.2">
      <c r="C10" s="127"/>
      <c r="G10" s="128" t="str">
        <f>'Chart of Accounts'!B6</f>
        <v>Accrued Management Fee</v>
      </c>
      <c r="H10" s="130">
        <f>SUMIFS(Journals!$K$9:$K$1011204,Journals!$D$9:$D$1011204,"&gt;"&amp;$E$7,Journals!$D$9:$D$1011204,"&lt;"&amp;$E$8,Journals!$J$9:$J$1011204,"Accrued Management Fee")</f>
        <v>1766038.8505882353</v>
      </c>
      <c r="I10" s="130">
        <f>MAX(0,SUMIFS(Journals!$L$9:$L$1011204,Journals!$D$9:$D$1011204,"&gt;"&amp;$E$7,Journals!$D$9:$D$1011204,"&lt;"&amp;$E$8,Journals!$J$9:$J$1011204,"Accrued Management Fee"))</f>
        <v>1199767.6140544303</v>
      </c>
      <c r="J10" s="129"/>
      <c r="K10" s="129">
        <f>SUMIFS(Journals!$L$9:$L$1011204,Journals!$D$9:$D$1011204,"&lt;"&amp;$F$7,Journals!$J$9:$J$1011204,"Accrued Management Fee")-SUMIFS(Journals!$K$9:$K$1011204,Journals!$D$9:$D$1011204,"&lt;"&amp;$F$7,Journals!$J$9:$J$1011204,"Accrued Management Fee")</f>
        <v>2956354.5313571282</v>
      </c>
      <c r="L10" s="129"/>
      <c r="M10" s="129">
        <f t="shared" ref="M10:M19" si="0">K10+I10-H10</f>
        <v>2390083.2948233234</v>
      </c>
      <c r="N10" s="129"/>
      <c r="O10" s="129"/>
      <c r="Q10" s="127"/>
      <c r="R10" s="117"/>
      <c r="S10" s="127"/>
      <c r="X10" s="261"/>
      <c r="Y10" s="261"/>
      <c r="Z10" s="261"/>
      <c r="AA10" s="261"/>
      <c r="AB10" s="261"/>
      <c r="AC10" s="261"/>
    </row>
    <row r="11" spans="1:31" x14ac:dyDescent="0.2">
      <c r="C11" s="458"/>
      <c r="G11" s="128" t="str">
        <f>'Chart of Accounts'!B7</f>
        <v>Accrued Trustee Fee</v>
      </c>
      <c r="H11" s="130">
        <f>MAX(0,SUMIFS(Journals!$K$9:$K$1011204,Journals!$D$9:$D$1011204,"&gt;"&amp;$E$7,Journals!$D$9:$D$1011204,"&lt;"&amp;$E$8,Journals!$J$9:$J$1011204,"accrued trustee fee")-SUMIFS(Journals!$L$9:$L$1011204,Journals!$D$9:$D$1011204,"&gt;"&amp;$E$7,Journals!$D$9:$D$1011204,"&lt;"&amp;$E$8,Journals!$J$9:$J$1011204,"accrued trustee fee"))</f>
        <v>0</v>
      </c>
      <c r="I11" s="130">
        <f>MAX(0,SUMIFS(Journals!$L$9:$L$1011204,Journals!$D$9:$D$1011204,"&gt;"&amp;$E$7,Journals!$D$9:$D$1011204,"&lt;"&amp;$E$8,Journals!$J$9:$J$1011204,"accrued trustee fee")-SUMIFS(Journals!$K$9:$K$1011204,Journals!$D$9:$D$1011204,"&gt;"&amp;$E$7,Journals!$D$9:$D$1011204,"&lt;"&amp;$E$8,Journals!$J$9:$J$1011204,"accrued trustee fee"))</f>
        <v>98794.007904729297</v>
      </c>
      <c r="J11" s="129"/>
      <c r="K11" s="129">
        <f>SUMIFS(Journals!$L$9:$L$1011204,Journals!$D$9:$D$1011204,"&lt;"&amp;$F$7,Journals!$J$9:$J$1011204,"Accrued Trustee Fee")-SUMIFS(Journals!$K$9:$K$1011204,Journals!$D$9:$D$1011204,"&lt;"&amp;$F$7,Journals!$J$9:$J$1011204,"Accrued Trustee Fee")</f>
        <v>106016.66092086013</v>
      </c>
      <c r="L11" s="129"/>
      <c r="M11" s="129">
        <f t="shared" si="0"/>
        <v>204810.66882558941</v>
      </c>
      <c r="N11" s="129"/>
      <c r="O11" s="129"/>
      <c r="R11" s="117"/>
      <c r="S11" s="127"/>
      <c r="X11" s="261"/>
      <c r="Y11" s="261"/>
      <c r="Z11" s="261"/>
      <c r="AA11" s="261"/>
      <c r="AB11" s="261"/>
      <c r="AC11" s="261"/>
    </row>
    <row r="12" spans="1:31" x14ac:dyDescent="0.2">
      <c r="C12" s="127"/>
      <c r="G12" s="128" t="str">
        <f>'Chart of Accounts'!B8</f>
        <v>Accrued Custodian Fee</v>
      </c>
      <c r="H12" s="130">
        <f>MAX(0,SUMIFS(Journals!$K$9:$K$1011204,Journals!$D$9:$D$1011204,"&gt;"&amp;$E$7,Journals!$D$9:$D$1011204,"&lt;"&amp;$E$8,Journals!$J$9:$J$1011204,"accrued custodian fee")-SUMIFS(Journals!$L$9:$L$1011204,Journals!$D$9:$D$1011204,"&gt;"&amp;$E$7,Journals!$D$9:$D$1011204,"&lt;"&amp;$E$8,Journals!$J$9:$J$1011204,"accrued custodian fee"))</f>
        <v>0</v>
      </c>
      <c r="I12" s="130">
        <f>MAX(0,SUMIFS(Journals!$L$9:$L$1011204,Journals!$D$9:$D$1011204,"&gt;"&amp;$E$7,Journals!$D$9:$D$1011204,"&lt;"&amp;$E$8,Journals!$J$9:$J$1011204,"accrued custodian fee")-SUMIFS(Journals!$K$9:$K$1011204,Journals!$D$9:$D$1011204,"&gt;"&amp;$E$7,Journals!$D$9:$D$1011204,"&lt;"&amp;$E$8,Journals!$J$9:$J$1011204,"accrued custodian fee"))</f>
        <v>0</v>
      </c>
      <c r="J12" s="129"/>
      <c r="K12" s="129">
        <f>SUMIFS(Journals!$L$9:$L$1011204,Journals!$D$9:$D$1011204,"&lt;"&amp;$F$7,Journals!$J$9:$J$1011204,"Accrued Custodian Fee")-SUMIFS(Journals!$K$9:$K$1011204,Journals!$D$9:$D$1011204,"&lt;"&amp;$F$7,Journals!$J$9:$J$1011204,"Accrued Custodian Fee")</f>
        <v>0</v>
      </c>
      <c r="L12" s="129"/>
      <c r="M12" s="129">
        <f t="shared" si="0"/>
        <v>0</v>
      </c>
      <c r="N12" s="129"/>
      <c r="O12" s="129"/>
      <c r="R12" s="117"/>
      <c r="S12" s="127"/>
      <c r="X12" s="261"/>
      <c r="Y12" s="261"/>
      <c r="Z12" s="261"/>
      <c r="AA12" s="261"/>
      <c r="AB12" s="261"/>
      <c r="AC12" s="261"/>
    </row>
    <row r="13" spans="1:31" x14ac:dyDescent="0.2">
      <c r="B13" s="361"/>
      <c r="C13" s="458"/>
      <c r="G13" s="128" t="str">
        <f>'Chart of Accounts'!B9</f>
        <v>Accrued BSEC fee</v>
      </c>
      <c r="H13" s="130">
        <f>MAX(0,SUMIFS(Journals!$K$9:$K$1011204,Journals!$D$9:$D$1011204,"&gt;"&amp;$E$7,Journals!$D$9:$D$1011204,"&lt;"&amp;$E$8,Journals!$J$9:$J$1011204,"accrued bsec fee")-SUMIFS(Journals!$L$9:$L$1011204,Journals!$D$9:$D$1011204,"&gt;"&amp;$E$7,Journals!$D$9:$D$1011204,"&lt;"&amp;$E$8,Journals!$J$9:$J$1011204,"accrued bsec fee"))</f>
        <v>0</v>
      </c>
      <c r="I13" s="130">
        <f>MAX(0,SUMIFS(Journals!$L$9:$L$1011204,Journals!$D$9:$D$1011204,"&gt;"&amp;$E$7,Journals!$D$9:$D$1011204,"&lt;"&amp;$E$8,Journals!$J$9:$J$1011204,"accrued bsec fee")-SUMIFS(Journals!$K$9:$K$1011204,Journals!$D$9:$D$1011204,"&gt;"&amp;$E$7,Journals!$D$9:$D$1011204,"&lt;"&amp;$E$8,Journals!$J$9:$J$1011204,"accrued bsec fee"))</f>
        <v>0</v>
      </c>
      <c r="J13" s="129"/>
      <c r="K13" s="129">
        <f>SUMIFS(Journals!$L$9:$L$1011204,Journals!$D$9:$D$1011204,"&lt;"&amp;$F$7,Journals!$J$9:$J$1011204,"accrued bsec fee")-SUMIFS(Journals!$K$9:$K$1011204,Journals!$D$9:$D$1011204,"&lt;"&amp;$F$7,Journals!$J$9:$J$1011204,"accrued bsec fee")</f>
        <v>0</v>
      </c>
      <c r="L13" s="129"/>
      <c r="M13" s="129">
        <f t="shared" si="0"/>
        <v>0</v>
      </c>
      <c r="N13" s="129"/>
      <c r="O13" s="129"/>
      <c r="R13" s="117"/>
      <c r="S13" s="127"/>
      <c r="X13" s="261"/>
      <c r="Y13" s="261"/>
      <c r="Z13" s="261"/>
      <c r="AA13" s="261"/>
      <c r="AB13" s="261"/>
      <c r="AC13" s="261"/>
    </row>
    <row r="14" spans="1:31" x14ac:dyDescent="0.2">
      <c r="B14" s="458"/>
      <c r="C14" s="458"/>
      <c r="G14" s="128" t="str">
        <f>'Chart of Accounts'!B10</f>
        <v>Accrued Audit Fee</v>
      </c>
      <c r="H14" s="130">
        <f>MAX(0,SUMIFS(Journals!$K$9:$K$1011204,Journals!$D$9:$D$1011204,"&gt;"&amp;$E$7,Journals!$D$9:$D$1011204,"&lt;"&amp;$E$8,Journals!$J$9:$J$1011204,"accrued audit fee"))</f>
        <v>46000</v>
      </c>
      <c r="I14" s="130">
        <f>MAX(0,SUMIFS(Journals!$L$9:$L$1011204,Journals!$D$9:$D$1011204,"&gt;"&amp;$E$7,Journals!$D$9:$D$1011204,"&lt;"&amp;$E$8,Journals!$J$9:$J$1011204,"accrued audit fee"))</f>
        <v>0</v>
      </c>
      <c r="J14" s="129"/>
      <c r="K14" s="129">
        <f>SUMIFS(Journals!$L$9:$L$1011204,Journals!$D$9:$D$1011204,"&lt;"&amp;$F$7,Journals!$J$9:$J$1011204,"accrued audit fee")-SUMIFS(Journals!$K$9:$K$1011204,Journals!$D$9:$D$1011204,"&lt;"&amp;$F$7,Journals!$J$9:$J$1011204,"accrued audit fee")</f>
        <v>45999.996666666644</v>
      </c>
      <c r="L14" s="129"/>
      <c r="M14" s="129">
        <f t="shared" si="0"/>
        <v>-3.3333333558402956E-3</v>
      </c>
      <c r="N14" s="129"/>
      <c r="O14" s="129"/>
      <c r="R14" s="117"/>
      <c r="S14" s="127"/>
      <c r="X14" s="261"/>
      <c r="Y14" s="261"/>
      <c r="Z14" s="261"/>
      <c r="AA14" s="261"/>
      <c r="AB14" s="261"/>
      <c r="AC14" s="261"/>
    </row>
    <row r="15" spans="1:31" x14ac:dyDescent="0.2">
      <c r="G15" s="128" t="str">
        <f>'Chart of Accounts'!B11</f>
        <v>Accrued CDBL Fee</v>
      </c>
      <c r="H15" s="130">
        <f>MAX(0,SUMIFS(Journals!$K$9:$K$1011204,Journals!$D$9:$D$1011204,"&gt;"&amp;$E$7,Journals!$D$9:$D$1011204,"&lt;"&amp;$E$8,Journals!$J$9:$J$1011204,"accrued CDBL fee")-SUMIFS(Journals!$L$9:$L$1011204,Journals!$D$9:$D$1011204,"&gt;"&amp;$E$7,Journals!$D$9:$D$1011204,"&lt;"&amp;$E$8,Journals!$J$9:$J$1011204,"accrued CDBL fee"))</f>
        <v>0</v>
      </c>
      <c r="I15" s="130">
        <f>MAX(0,SUMIFS(Journals!$L$9:$L$1011204,Journals!$D$9:$D$1011204,"&gt;"&amp;$E$7,Journals!$D$9:$D$1011204,"&lt;"&amp;$E$8,Journals!$J$9:$J$1011204,"accrued CDBL fee")-SUMIFS(Journals!$K$9:$K$1011204,Journals!$D$9:$D$1011204,"&gt;"&amp;$E$7,Journals!$D$9:$D$1011204,"&lt;"&amp;$E$8,Journals!$J$9:$J$1011204,"accrued CDBL fee"))</f>
        <v>0</v>
      </c>
      <c r="J15" s="129"/>
      <c r="K15" s="129">
        <f>SUMIFS(Journals!$L$9:$L$1011204,Journals!$D$9:$D$1011204,"&lt;"&amp;$F$7,Journals!$J$9:$J$1011204,"accrued cdbl fee")-SUMIFS(Journals!$K$9:$K$1011204,Journals!$D$9:$D$1011204,"&lt;"&amp;$F$7,Journals!$J$9:$J$1011204,"accrued cdbl fee")</f>
        <v>0</v>
      </c>
      <c r="L15" s="129"/>
      <c r="M15" s="129">
        <f t="shared" si="0"/>
        <v>0</v>
      </c>
      <c r="N15" s="129"/>
      <c r="O15" s="129"/>
      <c r="R15" s="117"/>
      <c r="S15" s="127"/>
      <c r="X15" s="261"/>
      <c r="Y15" s="261"/>
      <c r="Z15" s="261"/>
      <c r="AA15" s="261"/>
      <c r="AB15" s="261"/>
      <c r="AC15" s="261"/>
    </row>
    <row r="16" spans="1:31" x14ac:dyDescent="0.2">
      <c r="B16" s="458"/>
      <c r="G16" s="128" t="str">
        <f>'Chart of Accounts'!B12</f>
        <v>Fixed Deposit Receipts (FDR)</v>
      </c>
      <c r="H16" s="130">
        <f>MAX(0,SUMIFS(Journals!$K$9:$K$1011204,Journals!$D$9:$D$1011204,"&gt;"&amp;$E$7,Journals!$D$9:$D$1011204,"&lt;"&amp;$E$8,Journals!$J$9:$J$1011204,"Fixed Deposit Receipts (FDR)")-SUMIFS(Journals!$L$9:$L$1011204,Journals!$D$9:$D$1011204,"&gt;"&amp;$E$7,Journals!$D$9:$D$1011204,"&lt;"&amp;$E$8,Journals!$J$9:$J$1011204,"Fixed Deposit Receipts (FDR)"))</f>
        <v>0</v>
      </c>
      <c r="I16" s="130">
        <f>MAX(0,SUMIFS(Journals!$L$9:$L$1011204,Journals!$D$9:$D$1011204,"&gt;"&amp;$E$7,Journals!$D$9:$D$1011204,"&lt;"&amp;$E$8,Journals!$J$9:$J$1011204,"Fixed Deposit Receipts (FDR)")-SUMIFS(Journals!$K$9:$K$1011204,Journals!$D$9:$D$1011204,"&gt;"&amp;$E$7,Journals!$D$9:$D$1011204,"&lt;"&amp;$E$8,Journals!$J$9:$J$1011204,"Fixed Deposit Receipts (FDR)"))</f>
        <v>6000000</v>
      </c>
      <c r="J16" s="129">
        <f>SUMIFS(Journals!$K$9:$K$1011204,Journals!$D$9:$D$1011204,"&lt;"&amp;$F$7,Journals!$J$9:$J$1011204,"Fixed Deposit Receipts (FDR)")-SUMIFS(Journals!$L$9:$L$1011204,Journals!$D$9:$D$1011204,"&lt;"&amp;$F$7,Journals!$J$9:$J$1011204,"Fixed Deposit Receipts (FDR)")</f>
        <v>6000000</v>
      </c>
      <c r="K16" s="129"/>
      <c r="L16" s="129">
        <f>J16+H16-I16</f>
        <v>0</v>
      </c>
      <c r="M16" s="129"/>
      <c r="N16" s="129"/>
      <c r="O16" s="129"/>
      <c r="R16" s="117"/>
      <c r="S16" s="127"/>
      <c r="X16" s="261"/>
      <c r="Y16" s="261"/>
      <c r="Z16" s="261"/>
      <c r="AA16" s="261"/>
      <c r="AB16" s="261"/>
      <c r="AC16" s="261"/>
    </row>
    <row r="17" spans="1:29" x14ac:dyDescent="0.2">
      <c r="D17" s="117"/>
      <c r="G17" s="128" t="str">
        <f>'Chart of Accounts'!B13</f>
        <v>Cash and cash equivalents</v>
      </c>
      <c r="H17" s="130">
        <f>MAX(0,SUMIFS(Journals!$K$9:$K$1011204,Journals!$D$9:$D$1011204,"&gt;"&amp;$E$7,Journals!$D$9:$D$1011204,"&lt;"&amp;$E$8,Journals!$J$9:$J$1011204,"Cash and cash equivalents")-SUMIFS(Journals!$L$9:$L$1011204,Journals!$D$9:$D$1011204,"&gt;"&amp;$E$7,Journals!$D$9:$D$1011204,"&lt;"&amp;$E$8,Journals!$J$9:$J$1011204,"Cash and cash equivalents"))</f>
        <v>0</v>
      </c>
      <c r="I17" s="130">
        <f>MAX(0,SUMIFS(Journals!$L$9:$L$1011204,Journals!$D$9:$D$1011204,"&gt;"&amp;$E$7,Journals!$D$9:$D$1011204,"&lt;"&amp;$E$8,Journals!$J$9:$J$1011204,"Cash and cash equivalents")-SUMIFS(Journals!$K$9:$K$1011204,Journals!$D$9:$D$1011204,"&gt;"&amp;$E$7,Journals!$D$9:$D$1011204,"&lt;"&amp;$E$8,Journals!$J$9:$J$1011204,"Cash and cash equivalents"))</f>
        <v>1311849.799999997</v>
      </c>
      <c r="J17" s="129">
        <f>SUMIFS(Journals!$K$9:$K$1011204,Journals!$D$9:$D$1011204,"&lt;"&amp;$F$7,Journals!$J$9:$J$1011204,"Cash and cash equivalents")-SUMIFS(Journals!$L$9:$L$1011204,Journals!$D$9:$D$1011204,"&lt;"&amp;$F$7,Journals!$J$9:$J$1011204,"Cash and cash equivalents")</f>
        <v>1784563.8277168274</v>
      </c>
      <c r="K17" s="129"/>
      <c r="L17" s="129">
        <f>J17+H17-I17</f>
        <v>472714.02771683037</v>
      </c>
      <c r="M17" s="129"/>
      <c r="N17" s="129"/>
      <c r="O17" s="129"/>
      <c r="R17" s="117"/>
      <c r="S17" s="127"/>
      <c r="X17" s="261"/>
      <c r="Y17" s="261"/>
      <c r="Z17" s="261"/>
      <c r="AA17" s="261"/>
      <c r="AB17" s="261"/>
      <c r="AC17" s="261"/>
    </row>
    <row r="18" spans="1:29" x14ac:dyDescent="0.2">
      <c r="G18" s="128" t="str">
        <f>'Chart of Accounts'!B14</f>
        <v>Unit Capital</v>
      </c>
      <c r="H18" s="130">
        <f>SUMIFS(Journals!$K$9:$K$1011204,Journals!$D$9:$D$1011204,"&gt;"&amp;$E$7,Journals!$D$9:$D$1011204,"&lt;"&amp;$E$8,Journals!$J$9:$J$1011204,"unit capital")</f>
        <v>15641800</v>
      </c>
      <c r="I18" s="130">
        <f>MAX(0,SUMIFS(Journals!$L$9:$L$1011204,Journals!$D$9:$D$1011204,"&gt;"&amp;$E$7,Journals!$D$9:$D$1011204,"&lt;"&amp;$E$8,Journals!$J$9:$J$1011204,"unit capital"))</f>
        <v>41360240</v>
      </c>
      <c r="J18" s="129"/>
      <c r="K18" s="129">
        <f>SUMIFS(Journals!$L$9:$L$1011204,Journals!$D$9:$D$1011204,"&lt;"&amp;$F$7,Journals!$J$9:$J$1011204,"unit capital")-SUMIFS(Journals!$K$9:$K$1011204,Journals!$D$9:$D$1011204,"&lt;"&amp;$F$7,Journals!$J$9:$J$1011204,"unit capital")</f>
        <v>156111010</v>
      </c>
      <c r="L18" s="129"/>
      <c r="M18" s="129">
        <f t="shared" si="0"/>
        <v>181829450</v>
      </c>
      <c r="N18" s="129"/>
      <c r="O18" s="129"/>
      <c r="R18" s="117"/>
      <c r="S18" s="127"/>
      <c r="X18" s="261"/>
      <c r="Y18" s="261"/>
      <c r="Z18" s="261"/>
      <c r="AA18" s="261"/>
      <c r="AB18" s="261"/>
      <c r="AC18" s="261"/>
    </row>
    <row r="19" spans="1:29" x14ac:dyDescent="0.2">
      <c r="B19" s="131"/>
      <c r="G19" s="128" t="str">
        <f>'Chart of Accounts'!B15</f>
        <v>Unit premium reserve</v>
      </c>
      <c r="H19" s="130">
        <f>SUMIFS(Journals!$K$9:$K$1011204,Journals!$D$9:$D$1011204,"&gt;"&amp;$E$7,Journals!$D$9:$D$1011204,"&lt;"&amp;$E$8,Journals!$J$9:$J$1011204,"unit premium reserve")</f>
        <v>7711214.290000001</v>
      </c>
      <c r="I19" s="130">
        <f>SUMIFS(Journals!$L$9:$L$1011204,Journals!$D$9:$D$1011204,"&gt;"&amp;$E$7,Journals!$D$9:$D$1011204,"&lt;"&amp;$E$8,Journals!$J$9:$J$1011204,"unit premium reserve")</f>
        <v>19849775.98</v>
      </c>
      <c r="J19" s="129"/>
      <c r="K19" s="129">
        <f>SUMIFS(Journals!$L$9:$L$1011204,Journals!$D$9:$D$1011204,"&lt;"&amp;$F$7,Journals!$J$9:$J$1011204,"unit premium reserve")-SUMIFS(Journals!$K$9:$K$1011204,Journals!$D$9:$D$1011204,"&lt;"&amp;$F$7,Journals!$J$9:$J$1011204,"unit premium reserve")</f>
        <v>10427123.142000049</v>
      </c>
      <c r="L19" s="129"/>
      <c r="M19" s="129">
        <f t="shared" si="0"/>
        <v>22565684.832000047</v>
      </c>
      <c r="N19" s="129"/>
      <c r="O19" s="129"/>
      <c r="R19" s="117"/>
      <c r="S19" s="127"/>
      <c r="X19" s="261"/>
      <c r="Y19" s="261"/>
      <c r="Z19" s="261"/>
      <c r="AA19" s="261"/>
      <c r="AB19" s="261"/>
      <c r="AC19" s="261"/>
    </row>
    <row r="20" spans="1:29" x14ac:dyDescent="0.2">
      <c r="B20" s="131"/>
      <c r="G20" s="128" t="str">
        <f>'Chart of Accounts'!B16</f>
        <v>Interest income</v>
      </c>
      <c r="H20" s="130">
        <f>MAX(0,SUMIFS(Journals!$K$9:$K$1011204,Journals!$D$9:$D$1011204,"&gt;"&amp;$E$7,Journals!$D$9:$D$1011204,"&lt;"&amp;$E$8,Journals!$J$9:$J$1011204,"interest income")-SUMIFS(Journals!$L$9:$L$1011204,Journals!$D$9:$D$1011204,"&gt;"&amp;$E$7,Journals!$D$9:$D$1011204,"&lt;"&amp;$E$8,Journals!$J$9:$J$1011204,"interest income"))</f>
        <v>0</v>
      </c>
      <c r="I20" s="130">
        <f>MAX(0,SUMIFS(Journals!$L$9:$L$1011204,Journals!$D$9:$D$1011204,"&gt;"&amp;$E$7,Journals!$D$9:$D$1011204,"&lt;"&amp;$E$8,Journals!$J$9:$J$1011204,"interest income")-SUMIFS(Journals!$K$9:$K$1011204,Journals!$D$9:$D$1011204,"&gt;"&amp;$E$7,Journals!$D$9:$D$1011204,"&lt;"&amp;$E$8,Journals!$J$9:$J$1011204,"interest income"))</f>
        <v>0</v>
      </c>
      <c r="J20" s="129"/>
      <c r="K20" s="129"/>
      <c r="L20" s="129"/>
      <c r="M20" s="129"/>
      <c r="N20" s="129"/>
      <c r="O20" s="129">
        <f>SUMIFS(Journals!$L$9:$L$1011204,Journals!$D$9:$D$1011204,"&lt;"&amp;$F$7,Journals!$J$9:$J$1011204,"interest income")-SUMIFS(Journals!$K$9:$K$1011204,Journals!$D$9:$D$1011204,"&lt;"&amp;$F$7,Journals!$J$9:$J$1011204,"interest income")</f>
        <v>16114040.181825275</v>
      </c>
      <c r="R20" s="278"/>
      <c r="S20" s="278"/>
      <c r="X20" s="261"/>
      <c r="Y20" s="261"/>
      <c r="Z20" s="261"/>
      <c r="AA20" s="261"/>
      <c r="AB20" s="261"/>
      <c r="AC20" s="261"/>
    </row>
    <row r="21" spans="1:29" x14ac:dyDescent="0.2">
      <c r="B21" s="131"/>
      <c r="G21" s="128" t="s">
        <v>2153</v>
      </c>
      <c r="H21" s="130">
        <f>MAX(0,SUMIFS(Journals!$K$9:$K$1011204,Journals!$D$9:$D$1011204,"&gt;"&amp;$E$7,Journals!$D$9:$D$1011204,"&lt;"&amp;$E$8,Journals!$J$9:$J$1011204,"Interest income from FDR")-SUMIFS(Journals!$L$9:$L$1011204,Journals!$D$9:$D$1011204,"&gt;"&amp;$E$7,Journals!$D$9:$D$1011204,"&lt;"&amp;$E$8,Journals!$J$9:$J$1011204,"Interest income from FDR"))</f>
        <v>0</v>
      </c>
      <c r="I21" s="130">
        <f>MAX(0,SUMIFS(Journals!$L$9:$L$1011204,Journals!$D$9:$D$1011204,"&gt;"&amp;$E$7,Journals!$D$9:$D$1011204,"&lt;"&amp;$E$8,Journals!$J$9:$J$1011204,"Interest income from FDR")-SUMIFS(Journals!$K$9:$K$1011204,Journals!$D$9:$D$1011204,"&gt;"&amp;$E$7,Journals!$D$9:$D$1011204,"&lt;"&amp;$E$8,Journals!$J$9:$J$1011204,"Interest income from FDR"))</f>
        <v>74749.797619059929</v>
      </c>
      <c r="J21" s="129"/>
      <c r="K21" s="129"/>
      <c r="L21" s="129"/>
      <c r="M21" s="129"/>
      <c r="N21" s="129"/>
      <c r="O21" s="129">
        <f>SUMIFS(Journals!$L$9:$L$1011204,Journals!$D$9:$D$1011204,"&lt;"&amp;$F$7,Journals!$J$9:$J$1011204,"Interest income from FDR")-SUMIFS(Journals!$K$9:$K$1011204,Journals!$D$9:$D$1011204,"&lt;"&amp;$F$7,Journals!$J$9:$J$1011204,"Interest income from FDR")</f>
        <v>0</v>
      </c>
      <c r="R21" s="278"/>
      <c r="S21" s="278"/>
      <c r="X21" s="261"/>
      <c r="Y21" s="261"/>
      <c r="Z21" s="261"/>
      <c r="AA21" s="261"/>
      <c r="AB21" s="261"/>
      <c r="AC21" s="261"/>
    </row>
    <row r="22" spans="1:29" x14ac:dyDescent="0.2">
      <c r="B22" s="131"/>
      <c r="G22" s="128" t="s">
        <v>2154</v>
      </c>
      <c r="H22" s="130">
        <f>MAX(0,SUMIFS(Journals!$K$9:$K$1011204,Journals!$D$9:$D$1011204,"&gt;"&amp;$E$7,Journals!$D$9:$D$1011204,"&lt;"&amp;$E$8,Journals!$J$9:$J$1011204,"Interest income from Renata Pref. Share")-SUMIFS(Journals!$L$9:$L$1011204,Journals!$D$9:$D$1011204,"&gt;"&amp;$E$7,Journals!$D$9:$D$1011204,"&lt;"&amp;$E$8,Journals!$J$9:$J$1011204,"Interest income from Renata Pref. Share"))</f>
        <v>0</v>
      </c>
      <c r="I22" s="130">
        <f>MAX(0,SUMIFS(Journals!$L$9:$L$1011204,Journals!$D$9:$D$1011204,"&gt;"&amp;$E$7,Journals!$D$9:$D$1011204,"&lt;"&amp;$E$8,Journals!$J$9:$J$1011204,"Interest income from Renata Pref. Share")-SUMIFS(Journals!$K$9:$K$1011204,Journals!$D$9:$D$1011204,"&gt;"&amp;$E$7,Journals!$D$9:$D$1011204,"&lt;"&amp;$E$8,Journals!$J$9:$J$1011204,"Interest income from Renata Pref. Share"))</f>
        <v>519576.92307692283</v>
      </c>
      <c r="J22" s="129"/>
      <c r="K22" s="129"/>
      <c r="L22" s="129"/>
      <c r="M22" s="129"/>
      <c r="N22" s="129"/>
      <c r="O22" s="129">
        <f>SUMIFS(Journals!$L$9:$L$1011204,Journals!$D$9:$D$1011204,"&lt;"&amp;$F$7,Journals!$J$9:$J$1011204,"Interest income from Renata Pref. Share")-SUMIFS(Journals!$K$9:$K$1011204,Journals!$D$9:$D$1011204,"&lt;"&amp;$F$7,Journals!$J$9:$J$1011204,"Interest income from Renata Pref. Share")</f>
        <v>402053.57142857125</v>
      </c>
      <c r="R22" s="278"/>
      <c r="S22" s="278"/>
      <c r="X22" s="261"/>
      <c r="Y22" s="261"/>
      <c r="Z22" s="261"/>
      <c r="AA22" s="261"/>
      <c r="AB22" s="261"/>
      <c r="AC22" s="261"/>
    </row>
    <row r="23" spans="1:29" x14ac:dyDescent="0.2">
      <c r="B23" s="131"/>
      <c r="G23" s="128" t="s">
        <v>2155</v>
      </c>
      <c r="H23" s="130">
        <f>MAX(0,SUMIFS(Journals!$K$9:$K$1011204,Journals!$D$9:$D$1011204,"&gt;"&amp;$E$7,Journals!$D$9:$D$1011204,"&lt;"&amp;$E$8,Journals!$J$9:$J$1011204,"Interest income from Bank Acc.")-SUMIFS(Journals!$L$9:$L$1011204,Journals!$D$9:$D$1011204,"&gt;"&amp;$E$7,Journals!$D$9:$D$1011204,"&lt;"&amp;$E$8,Journals!$J$9:$J$1011204,"Interest income from Bank Acc."))</f>
        <v>0</v>
      </c>
      <c r="I23" s="130">
        <f>MAX(0,SUMIFS(Journals!$L$9:$L$1011204,Journals!$D$9:$D$1011204,"&gt;"&amp;$E$7,Journals!$D$9:$D$1011204,"&lt;"&amp;$E$8,Journals!$J$9:$J$1011204,"Interest income from Bank Acc.")-SUMIFS(Journals!$K$9:$K$1011204,Journals!$D$9:$D$1011204,"&gt;"&amp;$E$7,Journals!$D$9:$D$1011204,"&lt;"&amp;$E$8,Journals!$J$9:$J$1011204,"Interest income from Bank Acc."))</f>
        <v>113337.68539555557</v>
      </c>
      <c r="J23" s="129"/>
      <c r="K23" s="129"/>
      <c r="L23" s="129"/>
      <c r="M23" s="129"/>
      <c r="N23" s="129"/>
      <c r="O23" s="129">
        <f>SUMIFS(Journals!$L$9:$L$1011204,Journals!$D$9:$D$1011204,"&lt;"&amp;$F$7,Journals!$J$9:$J$1011204,"Interest income from Bank Acc.")-SUMIFS(Journals!$K$9:$K$1011204,Journals!$D$9:$D$1011204,"&lt;"&amp;$F$7,Journals!$J$9:$J$1011204,"Interest income from Bank Acc.")</f>
        <v>0</v>
      </c>
      <c r="R23" s="278"/>
      <c r="S23" s="278"/>
      <c r="X23" s="261"/>
      <c r="Y23" s="261"/>
      <c r="Z23" s="261"/>
      <c r="AA23" s="261"/>
      <c r="AB23" s="261"/>
      <c r="AC23" s="261"/>
    </row>
    <row r="24" spans="1:29" x14ac:dyDescent="0.2">
      <c r="B24" s="131"/>
      <c r="G24" s="128" t="s">
        <v>2158</v>
      </c>
      <c r="H24" s="130">
        <f>MAX(0,SUMIFS(Journals!$K$9:$K$1011204,Journals!$D$9:$D$1011204,"&gt;"&amp;$E$7,Journals!$D$9:$D$1011204,"&lt;"&amp;$E$8,Journals!$J$9:$J$1011204,"Interest income from T-Bill")-SUMIFS(Journals!$L$9:$L$1011204,Journals!$D$9:$D$1011204,"&gt;"&amp;$E$7,Journals!$D$9:$D$1011204,"&lt;"&amp;$E$8,Journals!$J$9:$J$1011204,"Interest income from T-Bill"))</f>
        <v>0</v>
      </c>
      <c r="I24" s="130">
        <f>MAX(0,SUMIFS(Journals!$L$9:$L$1011204,Journals!$D$9:$D$1011204,"&gt;"&amp;$E$7,Journals!$D$9:$D$1011204,"&lt;"&amp;$E$8,Journals!$J$9:$J$1011204,"Interest income from T-Bill")-SUMIFS(Journals!$K$9:$K$1011204,Journals!$D$9:$D$1011204,"&gt;"&amp;$E$7,Journals!$D$9:$D$1011204,"&lt;"&amp;$E$8,Journals!$J$9:$J$1011204,"Interest income from T-Bill"))</f>
        <v>0</v>
      </c>
      <c r="J24" s="129"/>
      <c r="K24" s="129"/>
      <c r="L24" s="129"/>
      <c r="M24" s="129"/>
      <c r="N24" s="129"/>
      <c r="O24" s="129">
        <f>SUMIFS(Journals!$L$9:$L$1011204,Journals!$D$9:$D$1011204,"&lt;"&amp;$F$7,Journals!$J$9:$J$1011204,"Interest income from T-Bill")-SUMIFS(Journals!$K$9:$K$1011204,Journals!$D$9:$D$1011204,"&lt;"&amp;$F$7,Journals!$J$9:$J$1011204,"Interest income from T-Bill")</f>
        <v>0</v>
      </c>
      <c r="R24" s="278"/>
      <c r="S24" s="278"/>
      <c r="X24" s="261"/>
      <c r="Y24" s="261"/>
      <c r="Z24" s="261"/>
      <c r="AA24" s="261"/>
      <c r="AB24" s="261"/>
      <c r="AC24" s="261"/>
    </row>
    <row r="25" spans="1:29" x14ac:dyDescent="0.2">
      <c r="B25" s="131"/>
      <c r="G25" s="128" t="s">
        <v>2159</v>
      </c>
      <c r="H25" s="130">
        <f>MAX(0,SUMIFS(Journals!$K$9:$K$1011204,Journals!$D$9:$D$1011204,"&gt;"&amp;$E$7,Journals!$D$9:$D$1011204,"&lt;"&amp;$E$8,Journals!$J$9:$J$1011204,"Interest income from T-Bond")-SUMIFS(Journals!$L$9:$L$1011204,Journals!$D$9:$D$1011204,"&gt;"&amp;$E$7,Journals!$D$9:$D$1011204,"&lt;"&amp;$E$8,Journals!$J$9:$J$1011204,"Interest income from T-Bond"))</f>
        <v>0</v>
      </c>
      <c r="I25" s="130">
        <f>MAX(0,SUMIFS(Journals!$L$9:$L$1011204,Journals!$D$9:$D$1011204,"&gt;"&amp;$E$7,Journals!$D$9:$D$1011204,"&lt;"&amp;$E$8,Journals!$J$9:$J$1011204,"Interest income from T-Bond")-SUMIFS(Journals!$K$9:$K$1011204,Journals!$D$9:$D$1011204,"&gt;"&amp;$E$7,Journals!$D$9:$D$1011204,"&lt;"&amp;$E$8,Journals!$J$9:$J$1011204,"Interest income from T-Bond"))</f>
        <v>0</v>
      </c>
      <c r="J25" s="129"/>
      <c r="K25" s="129"/>
      <c r="L25" s="129"/>
      <c r="M25" s="129"/>
      <c r="N25" s="129"/>
      <c r="O25" s="129">
        <f>SUMIFS(Journals!$L$9:$L$1011204,Journals!$D$9:$D$1011204,"&lt;"&amp;$F$7,Journals!$J$9:$J$1011204,"Interest income from T-Bond")-SUMIFS(Journals!$K$9:$K$1011204,Journals!$D$9:$D$1011204,"&lt;"&amp;$F$7,Journals!$J$9:$J$1011204,"Interest income from T-Bond")</f>
        <v>0</v>
      </c>
      <c r="R25" s="278"/>
      <c r="S25" s="278"/>
      <c r="X25" s="261"/>
      <c r="Y25" s="261"/>
      <c r="Z25" s="261"/>
      <c r="AA25" s="261"/>
      <c r="AB25" s="261"/>
      <c r="AC25" s="261"/>
    </row>
    <row r="26" spans="1:29" x14ac:dyDescent="0.2">
      <c r="G26" s="128" t="str">
        <f>'Chart of Accounts'!B22</f>
        <v>Bank charges and excise duties</v>
      </c>
      <c r="H26" s="130">
        <f>MAX(0,SUMIFS(Journals!$K$9:$K$1011204,Journals!$D$9:$D$1011204,"&gt;"&amp;$E$7,Journals!$D$9:$D$1011204,"&lt;"&amp;$E$8,Journals!$J$9:$J$1011204,"Bank charges and excise duties")-SUMIFS(Journals!$L$9:$L$1011204,Journals!$D$9:$D$1011204,"&gt;"&amp;$E$7,Journals!$D$9:$D$1011204,"&lt;"&amp;$E$8,Journals!$J$9:$J$1011204,"Bank charges and excise duties"))</f>
        <v>26469</v>
      </c>
      <c r="I26" s="130">
        <f>MAX(0,SUMIFS(Journals!$L$9:$L$1011204,Journals!$D$9:$D$1011204,"&gt;"&amp;$E$7,Journals!$D$9:$D$1011204,"&lt;"&amp;$E$8,Journals!$J$9:$J$1011204,"Bank charges and excise duties")-SUMIFS(Journals!$K$9:$K$1011204,Journals!$D$9:$D$1011204,"&gt;"&amp;$E$7,Journals!$D$9:$D$1011204,"&lt;"&amp;$E$8,Journals!$J$9:$J$1011204,"Bank charges and excise duties"))</f>
        <v>0</v>
      </c>
      <c r="J26" s="129"/>
      <c r="K26" s="129"/>
      <c r="L26" s="129"/>
      <c r="M26" s="129"/>
      <c r="N26" s="129">
        <f>SUMIFS(Journals!$K$9:$K$1011204,Journals!$D$9:$D$1011204,"&lt;"&amp;$F$7,Journals!$J$9:$J$1011204,"Bank charges and excise duties")-SUMIFS(Journals!$L$9:$L$1011204,Journals!$D$9:$D$1011204,"&lt;"&amp;$F$7,Journals!$J$9:$J$1011204,"Bank charges and excise duties")</f>
        <v>548004.57499863394</v>
      </c>
      <c r="O26" s="129"/>
      <c r="R26" s="278"/>
      <c r="S26" s="278"/>
      <c r="X26" s="261"/>
      <c r="Y26" s="261"/>
      <c r="Z26" s="261"/>
      <c r="AA26" s="261"/>
      <c r="AB26" s="261"/>
      <c r="AC26" s="261"/>
    </row>
    <row r="27" spans="1:29" x14ac:dyDescent="0.2">
      <c r="G27" s="128" t="str">
        <f>'Chart of Accounts'!B23</f>
        <v>Brokerage commission</v>
      </c>
      <c r="H27" s="130">
        <f>MAX(0,SUMIFS(Journals!$K$9:$K$1011204,Journals!$D$9:$D$1011204,"&gt;"&amp;$E$7,Journals!$D$9:$D$1011204,"&lt;"&amp;$E$8,Journals!$J$9:$J$1011204,"brokerage commission")-SUMIFS(Journals!$L$9:$L$1011204,Journals!$D$9:$D$1011204,"&gt;"&amp;$E$7,Journals!$D$9:$D$1011204,"&lt;"&amp;$E$8,Journals!$J$9:$J$1011204,"brokerage commission"))</f>
        <v>485345.52370000002</v>
      </c>
      <c r="I27" s="130">
        <f>MAX(0,SUMIFS(Journals!$L$9:$L$1011204,Journals!$D$9:$D$1011204,"&gt;"&amp;$E$7,Journals!$D$9:$D$1011204,"&lt;"&amp;$E$8,Journals!$J$9:$J$1011204,"brokerage commission")-SUMIFS(Journals!$K$9:$K$1011204,Journals!$D$9:$D$1011204,"&gt;"&amp;$E$7,Journals!$D$9:$D$1011204,"&lt;"&amp;$E$8,Journals!$J$9:$J$1011204,"brokerage commission"))</f>
        <v>0</v>
      </c>
      <c r="J27" s="129"/>
      <c r="K27" s="129"/>
      <c r="L27" s="129"/>
      <c r="M27" s="129"/>
      <c r="N27" s="129">
        <f>SUMIFS(Journals!$K$9:$K$1011204,Journals!$D$9:$D$1011204,"&lt;"&amp;$F$7,Journals!$J$9:$J$1011204,"brokerage commission")-SUMIFS(Journals!$L$9:$L$1011204,Journals!$D$9:$D$1011204,"&lt;"&amp;$F$7,Journals!$J$9:$J$1011204,"brokerage commission")</f>
        <v>3755798.662600006</v>
      </c>
      <c r="O27" s="129"/>
      <c r="R27" s="278"/>
      <c r="S27" s="278"/>
      <c r="X27" s="261"/>
      <c r="Y27" s="261"/>
      <c r="Z27" s="261"/>
      <c r="AA27" s="261"/>
      <c r="AB27" s="261"/>
      <c r="AC27" s="261"/>
    </row>
    <row r="28" spans="1:29" x14ac:dyDescent="0.2">
      <c r="A28" s="132"/>
      <c r="D28" s="127"/>
      <c r="G28" s="128" t="str">
        <f>'Chart of Accounts'!B24</f>
        <v>Unrealized gain on securities</v>
      </c>
      <c r="H28" s="130">
        <f>MAX(0,SUMIFS(Journals!$K$9:$K$1011204,Journals!$D$9:$D$1011204,"&gt;"&amp;$E$7,Journals!$D$9:$D$1011204,"&lt;"&amp;$E$8,Journals!$J$9:$J$1011204,"Unrealized gain on securities")-SUMIFS(Journals!$L$9:$L$1011204,Journals!$D$9:$D$1011204,"&gt;"&amp;$E$7,Journals!$D$9:$D$1011204,"&lt;"&amp;$E$8,Journals!$J$9:$J$1011204,"Unrealized gain on securities"))</f>
        <v>0</v>
      </c>
      <c r="I28" s="130">
        <f>MAX(0,SUMIFS(Journals!$L$9:$L$1011204,Journals!$D$9:$D$1011204,"&gt;"&amp;$E$7,Journals!$D$9:$D$1011204,"&lt;"&amp;$E$8,Journals!$J$9:$J$1011204,"Unrealized gain on securities")-SUMIFS(Journals!$K$9:$K$1011204,Journals!$D$9:$D$1011204,"&gt;"&amp;$E$7,Journals!$D$9:$D$1011204,"&lt;"&amp;$E$8,Journals!$J$9:$J$1011204,"Unrealized gain on securities"))</f>
        <v>10155077.41999945</v>
      </c>
      <c r="J28" s="129"/>
      <c r="K28" s="129"/>
      <c r="L28" s="129"/>
      <c r="M28" s="129"/>
      <c r="N28" s="129"/>
      <c r="O28" s="129">
        <f>SUMIFS(Journals!$L$9:$L$1011204,Journals!$D$9:$D$1011204,"&lt;"&amp;$F$7,Journals!$J$9:$J$1011204,"unrealized gain on securities")-SUMIFS(Journals!$K$9:$K$1011204,Journals!$D$9:$D$1011204,"&lt;"&amp;$F$7,Journals!$J$9:$J$1011204,"unrealized gain on securities")</f>
        <v>91188890.78939946</v>
      </c>
      <c r="R28" s="278"/>
      <c r="S28" s="278"/>
      <c r="X28" s="261"/>
      <c r="Y28" s="261"/>
      <c r="Z28" s="261"/>
      <c r="AA28" s="261"/>
      <c r="AB28" s="261"/>
      <c r="AC28" s="261"/>
    </row>
    <row r="29" spans="1:29" x14ac:dyDescent="0.2">
      <c r="A29" s="132"/>
      <c r="D29" s="127"/>
      <c r="G29" s="128" t="s">
        <v>1807</v>
      </c>
      <c r="H29" s="130">
        <f>MAX(0,SUMIFS(Journals!$K$9:$K$1011204,Journals!$D$9:$D$1011204,"&gt;"&amp;$E$7,Journals!$D$9:$D$1011204,"&lt;"&amp;$E$8,Journals!$J$9:$J$1011204,"Unrealized gain on T-Bill")-SUMIFS(Journals!$L$9:$L$1011204,Journals!$D$9:$D$1011204,"&gt;"&amp;$E$7,Journals!$D$9:$D$1011204,"&lt;"&amp;$E$8,Journals!$J$9:$J$1011204,"Unrealized gain on T-Bill"))</f>
        <v>0</v>
      </c>
      <c r="I29" s="130">
        <f>MAX(0,SUMIFS(Journals!$L$9:$L$1011204,Journals!$D$9:$D$1011204,"&gt;"&amp;$E$7,Journals!$D$9:$D$1011204,"&lt;"&amp;$E$8,Journals!$J$9:$J$1011204,"Unrealized gain on T-Bill")-SUMIFS(Journals!$K$9:$K$1011204,Journals!$D$9:$D$1011204,"&gt;"&amp;$E$7,Journals!$D$9:$D$1011204,"&lt;"&amp;$E$8,Journals!$J$9:$J$1011204,"Unrealized gain on T-Bill"))</f>
        <v>0</v>
      </c>
      <c r="J29" s="129"/>
      <c r="K29" s="129"/>
      <c r="L29" s="129"/>
      <c r="M29" s="129"/>
      <c r="N29" s="129"/>
      <c r="O29" s="129">
        <f>SUMIFS(Journals!$L$9:$L$1011204,Journals!$D$9:$D$1011204,"&lt;"&amp;$F$7,Journals!$J$9:$J$1011204,"Unrealized gain on T-Bill")-SUMIFS(Journals!$K$9:$K$1011204,Journals!$D$9:$D$1011204,"&lt;"&amp;$F$7,Journals!$J$9:$J$1011204,"Unrealized gain on T-Bill")</f>
        <v>0</v>
      </c>
      <c r="R29" s="278"/>
      <c r="S29" s="278"/>
      <c r="X29" s="261"/>
      <c r="Y29" s="261"/>
      <c r="Z29" s="261"/>
      <c r="AA29" s="261"/>
      <c r="AB29" s="261"/>
      <c r="AC29" s="261"/>
    </row>
    <row r="30" spans="1:29" x14ac:dyDescent="0.2">
      <c r="A30" s="132"/>
      <c r="D30" s="127"/>
      <c r="G30" s="128" t="s">
        <v>1808</v>
      </c>
      <c r="H30" s="130">
        <f>MAX(0,SUMIFS(Journals!$K$9:$K$1011204,Journals!$D$9:$D$1011204,"&gt;"&amp;$E$7,Journals!$D$9:$D$1011204,"&lt;"&amp;$E$8,Journals!$J$9:$J$1011204,"Unrealized gain on T-Bond")-SUMIFS(Journals!$L$9:$L$1011204,Journals!$D$9:$D$1011204,"&gt;"&amp;$E$7,Journals!$D$9:$D$1011204,"&lt;"&amp;$E$8,Journals!$J$9:$J$1011204,"Unrealized gain on T-Bond"))</f>
        <v>0</v>
      </c>
      <c r="I30" s="130">
        <f>MAX(0,SUMIFS(Journals!$L$9:$L$1011204,Journals!$D$9:$D$1011204,"&gt;"&amp;$E$7,Journals!$D$9:$D$1011204,"&lt;"&amp;$E$8,Journals!$J$9:$J$1011204,"Unrealized gain on T-Bond")-SUMIFS(Journals!$K$9:$K$1011204,Journals!$D$9:$D$1011204,"&gt;"&amp;$E$7,Journals!$D$9:$D$1011204,"&lt;"&amp;$E$8,Journals!$J$9:$J$1011204,"Unrealized gain on T-Bond"))</f>
        <v>0</v>
      </c>
      <c r="J30" s="129"/>
      <c r="K30" s="129"/>
      <c r="L30" s="129"/>
      <c r="M30" s="129"/>
      <c r="N30" s="129"/>
      <c r="O30" s="129">
        <f>SUMIFS(Journals!$L$9:$L$1011204,Journals!$D$9:$D$1011204,"&lt;"&amp;$F$7,Journals!$J$9:$J$1011204,"Unrealized gain on T-Bond")-SUMIFS(Journals!$K$9:$K$1011204,Journals!$D$9:$D$1011204,"&lt;"&amp;$F$7,Journals!$J$9:$J$1011204,"Unrealized gain on T-Bond")</f>
        <v>0</v>
      </c>
      <c r="R30" s="278"/>
      <c r="S30" s="278"/>
      <c r="X30" s="261"/>
      <c r="Y30" s="261"/>
      <c r="Z30" s="261"/>
      <c r="AA30" s="261"/>
      <c r="AB30" s="261"/>
      <c r="AC30" s="261"/>
    </row>
    <row r="31" spans="1:29" x14ac:dyDescent="0.2">
      <c r="B31" s="117"/>
      <c r="G31" s="128" t="str">
        <f>'Chart of Accounts'!B27</f>
        <v>Unrealized loss on securities</v>
      </c>
      <c r="H31" s="130">
        <f>MAX(0,SUMIFS(Journals!$K$9:$K$1011204,Journals!$D$9:$D$1011204,"&gt;"&amp;$E$7,Journals!$D$9:$D$1011204,"&lt;"&amp;$E$8,Journals!$J$9:$J$1011204,"Unrealized loss on securities")-SUMIFS(Journals!$L$9:$L$1011204,Journals!$D$9:$D$1011204,"&gt;"&amp;$E$7,Journals!$D$9:$D$1011204,"&lt;"&amp;$E$8,Journals!$J$9:$J$1011204,"Unrealized loss on securities"))</f>
        <v>0</v>
      </c>
      <c r="I31" s="130">
        <f>MAX(0,SUMIFS(Journals!$L$9:$L$1011204,Journals!$D$9:$D$1011204,"&gt;"&amp;$E$7,Journals!$D$9:$D$1011204,"&lt;"&amp;$E$8,Journals!$J$9:$J$1011204,"Unrealized loss on securities")-SUMIFS(Journals!$K$9:$K$1011204,Journals!$D$9:$D$1011204,"&gt;"&amp;$E$7,Journals!$D$9:$D$1011204,"&lt;"&amp;$E$8,Journals!$J$9:$J$1011204,"Unrealized loss on securities"))</f>
        <v>0</v>
      </c>
      <c r="J31" s="129"/>
      <c r="K31" s="129"/>
      <c r="L31" s="129"/>
      <c r="M31" s="129"/>
      <c r="N31" s="129">
        <f>SUMIFS(Journals!K9:K1011204,Journals!D9:D1011204,"&lt;"&amp;F7,Journals!J9:J1011204,"unrealized loss on securities")-SUMIFS(Journals!L9:L1011204,Journals!D9:D1011204,"&lt;"&amp;F7,Journals!J9:J1011204,"unrealized loss on securities")</f>
        <v>87355603.100143999</v>
      </c>
      <c r="O31" s="129"/>
      <c r="R31" s="278"/>
      <c r="S31" s="278"/>
      <c r="X31" s="261"/>
      <c r="Y31" s="261"/>
      <c r="Z31" s="261"/>
      <c r="AA31" s="261"/>
      <c r="AB31" s="261"/>
      <c r="AC31" s="261"/>
    </row>
    <row r="32" spans="1:29" x14ac:dyDescent="0.2">
      <c r="G32" s="128" t="str">
        <f>'Chart of Accounts'!B28</f>
        <v>Amortization of preliminary and issue expense</v>
      </c>
      <c r="H32" s="130">
        <f>MAX(0,SUMIFS(Journals!$K$9:$K$1011204,Journals!$D$9:$D$1011204,"&gt;"&amp;$E$7,Journals!$D$9:$D$1011204,"&lt;"&amp;$E$8,Journals!$J$9:$J$1011204,"Amortization of preliminary and issue expense")-SUMIFS(Journals!$L$9:$L$1011204,Journals!$D$9:$D$1011204,"&gt;"&amp;$E$7,Journals!$D$9:$D$1011204,"&lt;"&amp;$E$8,Journals!$J$9:$J$1011204,"Amortization of preliminary and issue expense"))</f>
        <v>32967.032967032952</v>
      </c>
      <c r="I32" s="130">
        <f>MAX(0,SUMIFS(Journals!$L$9:$L$1011204,Journals!$D$9:$D$1011204,"&gt;"&amp;$E$7,Journals!$D$9:$D$1011204,"&lt;"&amp;$E$8,Journals!$J$9:$J$1011204,"Amortization of preliminary and issue expense")-SUMIFS(Journals!$K$9:$K$1011204,Journals!$D$9:$D$1011204,"&gt;"&amp;$E$7,Journals!$D$9:$D$1011204,"&lt;"&amp;$E$8,Journals!$J$9:$J$1011204,"Amortization of preliminary and issue expense"))</f>
        <v>0</v>
      </c>
      <c r="J32" s="129"/>
      <c r="K32" s="129"/>
      <c r="L32" s="129"/>
      <c r="M32" s="129"/>
      <c r="N32" s="129">
        <f>SUMIFS(Journals!$K$9:$K$1011204,Journals!$D$9:$D$1011204,"&lt;"&amp;$F$7,Journals!$J$9:$J$1011204,"Amortization of preliminary and issue expense")-SUMIFS(Journals!$L$9:$L$1011204,Journals!$D$9:$D$1011204,"&lt;"&amp;$F$7,Journals!$J$9:$J$1011204,"Amortization of preliminary and issue expense")</f>
        <v>826137.16574568034</v>
      </c>
      <c r="O32" s="129"/>
      <c r="R32" s="278"/>
      <c r="S32" s="278"/>
      <c r="X32" s="261"/>
      <c r="Y32" s="261"/>
      <c r="Z32" s="261"/>
      <c r="AA32" s="261"/>
      <c r="AB32" s="261"/>
      <c r="AC32" s="261"/>
    </row>
    <row r="33" spans="2:29" x14ac:dyDescent="0.2">
      <c r="B33" s="127"/>
      <c r="G33" s="128" t="str">
        <f>'Chart of Accounts'!B29</f>
        <v>Management Fee</v>
      </c>
      <c r="H33" s="130">
        <f>MAX(0,SUMIFS(Journals!$K$9:$K$1011204,Journals!$D$9:$D$1011204,"&gt;"&amp;$E$7,Journals!$D$9:$D$1011204,"&lt;"&amp;$E$8,Journals!$J$9:$J$1011204,"management fee")-SUMIFS(Journals!$L$9:$L$1011204,Journals!$D$9:$D$1011204,"&gt;"&amp;$E$7,Journals!$D$9:$D$1011204,"&lt;"&amp;$E$8,Journals!$J$9:$J$1011204,"management fee"))</f>
        <v>1199767.6140544303</v>
      </c>
      <c r="I33" s="130">
        <f>MAX(0,SUMIFS(Journals!$L$9:$L$1011204,Journals!$D$9:$D$1011204,"&gt;"&amp;$E$7,Journals!$D$9:$D$1011204,"&lt;"&amp;$E$8,Journals!$J$9:$J$1011204,"management fee")-SUMIFS(Journals!$K$9:$K$1011204,Journals!$D$9:$D$1011204,"&gt;"&amp;$E$7,Journals!$D$9:$D$1011204,"&lt;"&amp;$E$8,Journals!$J$9:$J$1011204,"management fee"))</f>
        <v>0</v>
      </c>
      <c r="J33" s="129"/>
      <c r="K33" s="129"/>
      <c r="L33" s="129"/>
      <c r="M33" s="129"/>
      <c r="N33" s="129">
        <f>SUMIFS(Journals!$K$9:$K$1011204,Journals!$D$9:$D$1011204,"&lt;"&amp;$F$7,Journals!$J$9:$J$1011204,"management fee")-SUMIFS(Journals!$L$9:$L$1011204,Journals!$D$9:$D$1011204,"&lt;"&amp;$F$7,Journals!$J$9:$J$1011204,"management fee")</f>
        <v>19811568.22488654</v>
      </c>
      <c r="O33" s="129"/>
      <c r="R33" s="278"/>
      <c r="S33" s="278"/>
      <c r="X33" s="261"/>
      <c r="Y33" s="261"/>
      <c r="Z33" s="261"/>
      <c r="AA33" s="261"/>
      <c r="AB33" s="261"/>
      <c r="AC33" s="261"/>
    </row>
    <row r="34" spans="2:29" x14ac:dyDescent="0.2">
      <c r="B34" s="127"/>
      <c r="G34" s="128" t="str">
        <f>'Chart of Accounts'!B30</f>
        <v>Trustee fee</v>
      </c>
      <c r="H34" s="130">
        <f>MAX(0,SUMIFS(Journals!$K$9:$K$1011204,Journals!$D$9:$D$1011204,"&gt;"&amp;$E$7,Journals!$D$9:$D$1011204,"&lt;"&amp;$E$8,Journals!$J$9:$J$1011204,"trustee fee")-SUMIFS(Journals!$L$9:$L$1011204,Journals!$D$9:$D$1011204,"&gt;"&amp;$E$7,Journals!$D$9:$D$1011204,"&lt;"&amp;$E$8,Journals!$J$9:$J$1011204,"trustee fee"))</f>
        <v>98794.007904729297</v>
      </c>
      <c r="I34" s="130">
        <f>MAX(0,SUMIFS(Journals!$L$9:$L$1011204,Journals!$D$9:$D$1011204,"&gt;"&amp;$E$7,Journals!$D$9:$D$1011204,"&lt;"&amp;$E$8,Journals!$J$9:$J$1011204,"trustee fee")-SUMIFS(Journals!$K$9:$K$1011204,Journals!$D$9:$D$1011204,"&gt;"&amp;$E$7,Journals!$D$9:$D$1011204,"&lt;"&amp;$E$8,Journals!$J$9:$J$1011204,"trustee fee"))</f>
        <v>0</v>
      </c>
      <c r="J34" s="129"/>
      <c r="K34" s="129"/>
      <c r="L34" s="129"/>
      <c r="M34" s="129"/>
      <c r="N34" s="129">
        <f>SUMIFS(Journals!$K$9:$K$1011204,Journals!$D$9:$D$1011204,"&lt;"&amp;$F$7,Journals!$J$9:$J$1011204,"trustee fee")-SUMIFS(Journals!$L$9:$L$1011204,Journals!$D$9:$D$1011204,"&lt;"&amp;$F$7,Journals!$J$9:$J$1011204,"trustee fee")</f>
        <v>970223.90756966674</v>
      </c>
      <c r="O34" s="129"/>
      <c r="R34" s="278"/>
      <c r="S34" s="278"/>
      <c r="X34" s="261"/>
      <c r="Y34" s="261"/>
      <c r="Z34" s="261"/>
      <c r="AA34" s="261"/>
      <c r="AB34" s="261"/>
      <c r="AC34" s="261"/>
    </row>
    <row r="35" spans="2:29" x14ac:dyDescent="0.2">
      <c r="G35" s="128" t="str">
        <f>'Chart of Accounts'!B31</f>
        <v>BSEC Annual Fee</v>
      </c>
      <c r="H35" s="130">
        <f>MAX(0,SUMIFS(Journals!$K$9:$K$1011204,Journals!$D$9:$D$1011204,"&gt;"&amp;$E$7,Journals!$D$9:$D$1011204,"&lt;"&amp;$E$8,Journals!$J$9:$J$1011204,"bsec annual fee")-SUMIFS(Journals!$L$9:$L$1011204,Journals!$D$9:$D$1011204,"&gt;"&amp;$E$7,Journals!$D$9:$D$1011204,"&lt;"&amp;$E$8,Journals!$J$9:$J$1011204,"bsec annual fee"))</f>
        <v>0</v>
      </c>
      <c r="I35" s="130">
        <f>MAX(0,SUMIFS(Journals!$L$9:$L$1011204,Journals!$D$9:$D$1011204,"&gt;"&amp;$E$7,Journals!$D$9:$D$1011204,"&lt;"&amp;$E$8,Journals!$J$9:$J$1011204,"bsec annual fee")-SUMIFS(Journals!$K$9:$K$1011204,Journals!$D$9:$D$1011204,"&gt;"&amp;$E$7,Journals!$D$9:$D$1011204,"&lt;"&amp;$E$8,Journals!$J$9:$J$1011204,"bsec annual fee"))</f>
        <v>0</v>
      </c>
      <c r="J35" s="129"/>
      <c r="K35" s="129"/>
      <c r="L35" s="129"/>
      <c r="M35" s="129"/>
      <c r="N35" s="129">
        <f>SUMIFS(Journals!$K$9:$K$1011204,Journals!$D$9:$D$1011204,"&lt;"&amp;$F$7,Journals!$J$9:$J$1011204,"bsec annual fee")-SUMIFS(Journals!$L$9:$L$1011204,Journals!$D$9:$D$1011204,"&lt;"&amp;$F$7,Journals!$J$9:$J$1011204,"bsec annual fee")</f>
        <v>952709.73</v>
      </c>
      <c r="O35" s="129"/>
      <c r="R35" s="278"/>
      <c r="S35" s="278"/>
      <c r="X35" s="261"/>
      <c r="Y35" s="261"/>
      <c r="Z35" s="261"/>
      <c r="AA35" s="261"/>
      <c r="AB35" s="261"/>
      <c r="AC35" s="261"/>
    </row>
    <row r="36" spans="2:29" x14ac:dyDescent="0.2">
      <c r="G36" s="128" t="str">
        <f>'Chart of Accounts'!B32</f>
        <v>Audit fee</v>
      </c>
      <c r="H36" s="130">
        <f>MAX(0,SUMIFS(Journals!$K$9:$K$1011204,Journals!$D$9:$D$1011204,"&gt;"&amp;$E$7,Journals!$D$9:$D$1011204,"&lt;"&amp;$E$8,Journals!$J$9:$J$1011204,"audit fee")-SUMIFS(Journals!$L$9:$L$1011204,Journals!$D$9:$D$1011204,"&gt;"&amp;$E$7,Journals!$D$9:$D$1011204,"&lt;"&amp;$E$8,Journals!$J$9:$J$1011204,"audit fee"))</f>
        <v>0</v>
      </c>
      <c r="I36" s="130">
        <f>MAX(0,SUMIFS(Journals!$L$9:$L$1011204,Journals!$D$9:$D$1011204,"&gt;"&amp;$E$7,Journals!$D$9:$D$1011204,"&lt;"&amp;$E$8,Journals!$J$9:$J$1011204,"audit fee")-SUMIFS(Journals!$K$9:$K$1011204,Journals!$D$9:$D$1011204,"&gt;"&amp;$E$7,Journals!$D$9:$D$1011204,"&lt;"&amp;$E$8,Journals!$J$9:$J$1011204,"audit fee"))</f>
        <v>0</v>
      </c>
      <c r="J36" s="129"/>
      <c r="K36" s="129"/>
      <c r="L36" s="129"/>
      <c r="M36" s="129"/>
      <c r="N36" s="129">
        <f>SUMIFS(Journals!$K$9:$K$1011204,Journals!$D$9:$D$1011204,"&lt;"&amp;$F$7,Journals!$J$9:$J$1011204,"audit fee")-SUMIFS(Journals!$L$9:$L$1011204,Journals!$D$9:$D$1011204,"&lt;"&amp;$F$7,Journals!$J$9:$J$1011204,"audit fee")</f>
        <v>246999.99666666664</v>
      </c>
      <c r="O36" s="129"/>
      <c r="R36" s="278"/>
      <c r="S36" s="278"/>
      <c r="X36" s="261"/>
      <c r="Y36" s="261"/>
      <c r="Z36" s="261"/>
      <c r="AA36" s="261"/>
      <c r="AB36" s="261"/>
      <c r="AC36" s="261"/>
    </row>
    <row r="37" spans="2:29" x14ac:dyDescent="0.2">
      <c r="G37" s="128" t="str">
        <f>'Chart of Accounts'!B33</f>
        <v>CDBL charges</v>
      </c>
      <c r="H37" s="130">
        <f>MAX(0,SUMIFS(Journals!$K$9:$K$1011204,Journals!$D$9:$D$1011204,"&gt;"&amp;$E$7,Journals!$D$9:$D$1011204,"&lt;"&amp;$E$8,Journals!$J$9:$J$1011204,"cdbl charges")-SUMIFS(Journals!$L$9:$L$1011204,Journals!$D$9:$D$1011204,"&gt;"&amp;$E$7,Journals!$D$9:$D$1011204,"&lt;"&amp;$E$8,Journals!$J$9:$J$1011204,"cdbl charges"))</f>
        <v>13687.862222222222</v>
      </c>
      <c r="I37" s="130">
        <f>MAX(0,SUMIFS(Journals!$L$9:$L$1011204,Journals!$D$9:$D$1011204,"&gt;"&amp;$E$7,Journals!$D$9:$D$1011204,"&lt;"&amp;$E$8,Journals!$J$9:$J$1011204,"cdbl charges")-SUMIFS(Journals!$K$9:$K$1011204,Journals!$D$9:$D$1011204,"&gt;"&amp;$E$7,Journals!$D$9:$D$1011204,"&lt;"&amp;$E$8,Journals!$J$9:$J$1011204,"cdbl charges"))</f>
        <v>0</v>
      </c>
      <c r="J37" s="129"/>
      <c r="K37" s="129"/>
      <c r="L37" s="129"/>
      <c r="M37" s="129"/>
      <c r="N37" s="129">
        <f>SUMIFS(Journals!$K$9:$K$1011204,Journals!$D$9:$D$1011204,"&lt;"&amp;$F$7,Journals!$J$9:$J$1011204,"cdbl charges")-SUMIFS(Journals!$L$9:$L$1011204,Journals!$D$9:$D$1011204,"&lt;"&amp;$F$7,Journals!$J$9:$J$1011204,"cdbl charges")</f>
        <v>336428.66999999987</v>
      </c>
      <c r="O37" s="129"/>
      <c r="R37" s="278"/>
      <c r="S37" s="278"/>
      <c r="X37" s="261"/>
      <c r="Y37" s="261"/>
      <c r="Z37" s="261"/>
      <c r="AA37" s="261"/>
      <c r="AB37" s="261"/>
      <c r="AC37" s="261"/>
    </row>
    <row r="38" spans="2:29" x14ac:dyDescent="0.2">
      <c r="G38" s="128" t="str">
        <f>'Chart of Accounts'!B34</f>
        <v>Fair value adjustment</v>
      </c>
      <c r="H38" s="130">
        <f>MAX(0,SUMIFS(Journals!$K$9:$K$1011204,Journals!$D$9:$D$1011204,"&gt;"&amp;$E$7,Journals!$D$9:$D$1011204,"&lt;"&amp;$E$8,Journals!$J$9:$J$1011204,"Fair value adjustment")-SUMIFS(Journals!$L$9:$L$1011204,Journals!$D$9:$D$1011204,"&gt;"&amp;$E$7,Journals!$D$9:$D$1011204,"&lt;"&amp;$E$8,Journals!$J$9:$J$1011204,"Fair value adjustment"))</f>
        <v>10155077.41999945</v>
      </c>
      <c r="I38" s="130">
        <f>MAX(0,SUMIFS(Journals!$L$9:$L$1011204,Journals!$D$9:$D$1011204,"&gt;"&amp;$E$7,Journals!$D$9:$D$1011204,"&lt;"&amp;$E$8,Journals!$J$9:$J$1011204,"fair value adjustment")-SUMIFS(Journals!$K$9:$K$1011204,Journals!$D$9:$D$1011204,"&gt;"&amp;$E$7,Journals!$D$9:$D$1011204,"&lt;"&amp;$E$8,Journals!$J$9:$J$1011204,"fair value adjustment"))</f>
        <v>0</v>
      </c>
      <c r="J38" s="129">
        <f>MAX(0,SUMIFS(Journals!K9:K1011204,Journals!D9:D1011204,"&lt;"&amp;F7,Journals!J9:J1011204,"fair value adjustment")-SUMIFS(Journals!L9:L1011204,Journals!D9:D1011204,"&lt;"&amp;F7,Journals!J9:J1011204,"fair value adjustment"))</f>
        <v>3833287.6892554462</v>
      </c>
      <c r="K38" s="129">
        <f>MAX(0,SUMIFS(Journals!L9:L1011204,Journals!D9:D1011204,"&lt;"&amp;F7,Journals!J9:J1011204,"Fair value adjustment")-SUMIFS(Journals!K9:K1011204,Journals!D9:D1011204,"&lt;"&amp;F7,Journals!J9:J1011204,"fair value adjustment"))</f>
        <v>0</v>
      </c>
      <c r="L38" s="129">
        <f>MAX(0,H38-I38+J38-K38)</f>
        <v>13988365.109254897</v>
      </c>
      <c r="M38" s="129">
        <f>MAX(0,I38-H38-J38+K38)</f>
        <v>0</v>
      </c>
      <c r="N38" s="129"/>
      <c r="O38" s="129"/>
      <c r="Q38" s="117"/>
      <c r="R38" s="278"/>
      <c r="S38" s="278"/>
      <c r="X38" s="261"/>
      <c r="Y38" s="261"/>
      <c r="Z38" s="261"/>
      <c r="AA38" s="261"/>
      <c r="AB38" s="261"/>
      <c r="AC38" s="261"/>
    </row>
    <row r="39" spans="2:29" x14ac:dyDescent="0.2">
      <c r="G39" s="128" t="s">
        <v>1798</v>
      </c>
      <c r="H39" s="130">
        <f>MAX(0,SUMIFS(Journals!$K$9:$K$1011204,Journals!$D$9:$D$1011204,"&gt;"&amp;$E$7,Journals!$D$9:$D$1011204,"&lt;"&amp;$E$8,Journals!$J$9:$J$1011204,"Fair value adjustment T-Bill")-SUMIFS(Journals!$L$9:$L$1011204,Journals!$D$9:$D$1011204,"&gt;"&amp;$E$7,Journals!$D$9:$D$1011204,"&lt;"&amp;$E$8,Journals!$J$9:$J$1011204,"Fair value adjustment T-Bill"))</f>
        <v>0</v>
      </c>
      <c r="I39" s="130">
        <f>MAX(0,SUMIFS(Journals!$L$9:$L$1011204,Journals!$D$9:$D$1011204,"&gt;"&amp;$E$7,Journals!$D$9:$D$1011204,"&lt;"&amp;$E$8,Journals!$J$9:$J$1011204,"Fair value adjustment T-Bill")-SUMIFS(Journals!$K$9:$K$1011204,Journals!$D$9:$D$1011204,"&gt;"&amp;$E$7,Journals!$D$9:$D$1011204,"&lt;"&amp;$E$8,Journals!$J$9:$J$1011204,"Fair value adjustment T-Bill"))</f>
        <v>0</v>
      </c>
      <c r="J39" s="129">
        <f>MAX(0,SUMIFS(Journals!K9:K1011204,Journals!D9:D1011204,"&lt;"&amp;F7,Journals!J9:J1011204,"Fair value adjustment T-Bill")-SUMIFS(Journals!L9:L1011204,Journals!D9:D1011204,"&lt;"&amp;F7,Journals!J9:J1011204,"Fair value adjustment T-Bill"))</f>
        <v>0</v>
      </c>
      <c r="K39" s="129">
        <f>MAX(0,SUMIFS(Journals!L9:L1011204,Journals!D9:D1011204,"&lt;"&amp;F7,Journals!J9:J1011204,"Fair value adjustment T-Bill")-SUMIFS(Journals!K9:K1011204,Journals!D9:D1011204,"&lt;"&amp;F7,Journals!J9:J1011204,"Fair value adjustment T-Bill"))</f>
        <v>0</v>
      </c>
      <c r="L39" s="129">
        <f t="shared" ref="L39:L40" si="1">MAX(0,H39-I39+J39-K39)</f>
        <v>0</v>
      </c>
      <c r="M39" s="129">
        <f t="shared" ref="M39:M40" si="2">MAX(0,I39-H39-J39+K39)</f>
        <v>0</v>
      </c>
      <c r="N39" s="129"/>
      <c r="O39" s="129"/>
      <c r="Q39" s="117"/>
      <c r="R39" s="278"/>
      <c r="S39" s="278"/>
      <c r="X39" s="261"/>
      <c r="Y39" s="261"/>
      <c r="Z39" s="261"/>
      <c r="AA39" s="261"/>
      <c r="AB39" s="261"/>
      <c r="AC39" s="261"/>
    </row>
    <row r="40" spans="2:29" x14ac:dyDescent="0.2">
      <c r="G40" s="128" t="s">
        <v>1799</v>
      </c>
      <c r="H40" s="130">
        <f>MAX(0,SUMIFS(Journals!$K$9:$K$1011204,Journals!$D$9:$D$1011204,"&gt;"&amp;$E$7,Journals!$D$9:$D$1011204,"&lt;"&amp;$E$8,Journals!$J$9:$J$1011204,"Fair value adjustment T-Bond")-SUMIFS(Journals!$L$9:$L$1011204,Journals!$D$9:$D$1011204,"&gt;"&amp;$E$7,Journals!$D$9:$D$1011204,"&lt;"&amp;$E$8,Journals!$J$9:$J$1011204,"Fair value adjustment T-Bond"))</f>
        <v>0</v>
      </c>
      <c r="I40" s="130">
        <f>MAX(0,SUMIFS(Journals!$L$9:$L$1011204,Journals!$D$9:$D$1011204,"&gt;"&amp;$E$7,Journals!$D$9:$D$1011204,"&lt;"&amp;$E$8,Journals!$J$9:$J$1011204,"Fair value adjustment T-Bond")-SUMIFS(Journals!$K$9:$K$1011204,Journals!$D$9:$D$1011204,"&gt;"&amp;$E$7,Journals!$D$9:$D$1011204,"&lt;"&amp;$E$8,Journals!$J$9:$J$1011204,"Fair value adjustment T-Bond"))</f>
        <v>0</v>
      </c>
      <c r="J40" s="129">
        <f>MAX(0,SUMIFS(Journals!K9:K1011204,Journals!D9:D1011204,"&lt;"&amp;F7,Journals!J9:J1011204,"Fair value adjustment T-Bond")-SUMIFS(Journals!L9:L1011204,Journals!D9:D1011204,"&lt;"&amp;F7,Journals!J9:J1011204,"Fair value adjustment T-Bond"))</f>
        <v>0</v>
      </c>
      <c r="K40" s="129">
        <f>MAX(0,SUMIFS(Journals!L9:L1011204,Journals!D9:D1011204,"&lt;"&amp;F7,Journals!J9:J1011204,"Fair value adjustment T-Bond")-SUMIFS(Journals!K9:K1011204,Journals!D9:D1011204,"&lt;"&amp;F7,Journals!J9:J1011204,"Fair value adjustment T-Bond"))</f>
        <v>0</v>
      </c>
      <c r="L40" s="129">
        <f t="shared" si="1"/>
        <v>0</v>
      </c>
      <c r="M40" s="129">
        <f t="shared" si="2"/>
        <v>0</v>
      </c>
      <c r="N40" s="129"/>
      <c r="O40" s="129"/>
      <c r="Q40" s="117"/>
      <c r="R40" s="278"/>
      <c r="S40" s="278"/>
      <c r="X40" s="261"/>
      <c r="Y40" s="261"/>
      <c r="Z40" s="261"/>
      <c r="AA40" s="261"/>
      <c r="AB40" s="261"/>
      <c r="AC40" s="261"/>
    </row>
    <row r="41" spans="2:29" x14ac:dyDescent="0.2">
      <c r="G41" s="128" t="s">
        <v>133</v>
      </c>
      <c r="H41" s="130">
        <f>MAX(0,SUMIFS(Journals!$K$9:$K$1011204,Journals!$D$9:$D$1011204,"&gt;"&amp;$E$7,Journals!$D$9:$D$1011204,"&lt;"&amp;$E$8,Journals!$J$9:$J$1011204,"Interest receivables from FDR")-SUMIFS(Journals!$L$9:$L$1011204,Journals!$D$9:$D$1011204,"&gt;"&amp;$E$7,Journals!$D$9:$D$1011204,"&lt;"&amp;$E$8,Journals!$J$9:$J$1011204,"Interest receivables from FDR"))</f>
        <v>0</v>
      </c>
      <c r="I41" s="130">
        <f>MAX(0,SUMIFS(Journals!$L$9:$L$1011204,Journals!$D$9:$D$1011204,"&gt;"&amp;$E$7,Journals!$D$9:$D$1011204,"&lt;"&amp;$E$8,Journals!$J$9:$J$1011204,"Interest receivables from FDR")-SUMIFS(Journals!$K$9:$K$1011204,Journals!$D$9:$D$1011204,"&gt;"&amp;$E$7,Journals!$D$9:$D$1011204,"&lt;"&amp;$E$8,Journals!$J$9:$J$1011204,"Interest receivables from FDR"))</f>
        <v>118833.53238094009</v>
      </c>
      <c r="J41" s="130">
        <f>SUMIFS(Journals!$K$9:$K$1011204,Journals!$D$9:$D$1011204,"&lt;"&amp;$F$7,Journals!$J$9:$J$1011204,"Interest receivables from FDR")-SUMIFS(Journals!$L$9:$L$1011204,Journals!$D$9:$D$1011204,"&lt;"&amp;$F$7,Journals!$J$9:$J$1011204,"Interest receivables from FDR")</f>
        <v>118833.53571427334</v>
      </c>
      <c r="K41" s="129"/>
      <c r="L41" s="130">
        <f>J41+H41-I41</f>
        <v>3.333333253976889E-3</v>
      </c>
      <c r="M41" s="129"/>
      <c r="N41" s="129"/>
      <c r="O41" s="129"/>
      <c r="Q41" s="361"/>
      <c r="R41" s="278"/>
      <c r="S41" s="278"/>
      <c r="X41" s="261"/>
      <c r="Y41" s="261"/>
      <c r="Z41" s="261"/>
      <c r="AA41" s="261"/>
      <c r="AB41" s="261"/>
      <c r="AC41" s="261"/>
    </row>
    <row r="42" spans="2:29" x14ac:dyDescent="0.2">
      <c r="G42" s="128" t="s">
        <v>2156</v>
      </c>
      <c r="H42" s="130">
        <f>MAX(0,SUMIFS(Journals!$K$9:$K$1011204,Journals!$D$9:$D$1011204,"&gt;"&amp;$E$7,Journals!$D$9:$D$1011204,"&lt;"&amp;$E$8,Journals!$J$9:$J$1011204,"Interest receivables from Renata Pref. Share")-SUMIFS(Journals!$L$9:$L$1011204,Journals!$D$9:$D$1011204,"&gt;"&amp;$E$7,Journals!$D$9:$D$1011204,"&lt;"&amp;$E$8,Journals!$J$9:$J$1011204,"Interest receivables from Renata Pref. Share"))</f>
        <v>519576.92307692283</v>
      </c>
      <c r="I42" s="130">
        <f>MAX(0,SUMIFS(Journals!$L$9:$L$1011204,Journals!$D$9:$D$1011204,"&gt;"&amp;$E$7,Journals!$D$9:$D$1011204,"&lt;"&amp;$E$8,Journals!$J$9:$J$1011204,"Interest receivables from Renata Pref. Share")-SUMIFS(Journals!$K$9:$K$1011204,Journals!$D$9:$D$1011204,"&gt;"&amp;$E$7,Journals!$D$9:$D$1011204,"&lt;"&amp;$E$8,Journals!$J$9:$J$1011204,"Interest receivables from Renata Pref. Share"))</f>
        <v>0</v>
      </c>
      <c r="J42" s="129">
        <f>SUMIFS(Journals!$K$9:$K$1011204,Journals!$D$9:$D$1011204,"&lt;"&amp;$F$7,Journals!$J$9:$J$1011204,"Interest receivables from Renata Pref. Share")-SUMIFS(Journals!$L$9:$L$1011204,Journals!$D$9:$D$1011204,"&lt;"&amp;$F$7,Journals!$J$9:$J$1011204,"Interest receivables from Renata Pref. Share")</f>
        <v>402053.57142857125</v>
      </c>
      <c r="K42" s="129"/>
      <c r="L42" s="130">
        <f t="shared" ref="L42" si="3">J42+H42-I42</f>
        <v>921630.49450549413</v>
      </c>
      <c r="M42" s="129"/>
      <c r="N42" s="129"/>
      <c r="O42" s="129"/>
      <c r="Q42" s="361"/>
      <c r="R42" s="278"/>
      <c r="S42" s="278"/>
      <c r="X42" s="261"/>
      <c r="Y42" s="261"/>
      <c r="Z42" s="261"/>
      <c r="AA42" s="261"/>
      <c r="AB42" s="261"/>
      <c r="AC42" s="261"/>
    </row>
    <row r="43" spans="2:29" x14ac:dyDescent="0.2">
      <c r="B43" s="117"/>
      <c r="G43" s="128" t="str">
        <f>'Chart of Accounts'!B40</f>
        <v>Payable to broker</v>
      </c>
      <c r="H43" s="130">
        <f>MAX(0,SUMIFS(Journals!$K$9:$K$1011204,Journals!$D$9:$D$1011204,"&gt;"&amp;$E$7,Journals!$D$9:$D$1011204,"&lt;"&amp;$E$8,Journals!$J$9:$J$1011204,"payable to broker")-SUMIFS(Journals!$L$9:$L$1011204,Journals!$D$9:$D$1011204,"&gt;"&amp;$E$7,Journals!$D$9:$D$1011204,"&lt;"&amp;$E$8,Journals!$J$9:$J$1011204,"payable to broker"))</f>
        <v>71699.89660000056</v>
      </c>
      <c r="I43" s="130">
        <f>MAX(0,SUMIFS(Journals!$L$9:$L$1011204,Journals!$D$9:$D$1011204,"&gt;"&amp;$E$7,Journals!$D$9:$D$1011204,"&lt;"&amp;$E$8,Journals!$J$9:$J$1011204,"payable to broker")-SUMIFS(Journals!$K$9:$K$1011204,Journals!$D$9:$D$1011204,"&gt;"&amp;$E$7,Journals!$D$9:$D$1011204,"&lt;"&amp;$E$8,Journals!$J$9:$J$1011204,"payable to broker"))</f>
        <v>0</v>
      </c>
      <c r="J43" s="129"/>
      <c r="K43" s="129">
        <f>SUMIFS(Journals!$L$9:$L$1011204,Journals!$D$9:$D$1011204,"&lt;"&amp;$F$7,Journals!$J$9:$J$1011204,"payable to broker")-SUMIFS(Journals!$K$9:$K$1011204,Journals!$D$9:$D$1011204,"&lt;"&amp;$F$7,Journals!$J$9:$J$1011204,"payable to broker")</f>
        <v>64518.854400038719</v>
      </c>
      <c r="L43" s="129"/>
      <c r="M43" s="130">
        <f>K43+I43-H43</f>
        <v>-7181.0421999618411</v>
      </c>
      <c r="N43" s="129"/>
      <c r="O43" s="129"/>
      <c r="P43" s="117"/>
      <c r="R43" s="278"/>
      <c r="S43" s="278"/>
      <c r="X43" s="261"/>
      <c r="Y43" s="261"/>
      <c r="Z43" s="261"/>
      <c r="AA43" s="261"/>
      <c r="AB43" s="261"/>
      <c r="AC43" s="261"/>
    </row>
    <row r="44" spans="2:29" x14ac:dyDescent="0.2">
      <c r="G44" s="128" t="str">
        <f>'Chart of Accounts'!B41</f>
        <v>Other operating expenses</v>
      </c>
      <c r="H44" s="130">
        <f>MAX(0,SUMIFS(Journals!$K$9:$K$1011204,Journals!$D$9:$D$1011204,"&gt;"&amp;$E$7,Journals!$D$9:$D$1011204,"&lt;"&amp;$E$8,Journals!$J$9:$J$1011204,"OTHER OPERATING EXPENSES")-SUMIFS(Journals!$L$9:$L$1011204,Journals!$D$9:$D$1011204,"&gt;"&amp;$E$7,Journals!$D$9:$D$1011204,"&lt;"&amp;$E$8,Journals!$J$9:$J$1011204,"OTHER OPERATING EXPENSES"))</f>
        <v>4725</v>
      </c>
      <c r="I44" s="130">
        <f>MAX(0,SUMIFS(Journals!$L$9:$L$1011204,Journals!$D$9:$D$1011204,"&gt;"&amp;$E$7,Journals!$D$9:$D$1011204,"&lt;"&amp;$E$8,Journals!$J$9:$J$1011204,"OTHER OPERATING EXPENSES")-SUMIFS(Journals!$K$9:$K$1011204,Journals!$D$9:$D$1011204,"&gt;"&amp;$E$7,Journals!$D$9:$D$1011204,"&lt;"&amp;$E$8,Journals!$J$9:$J$1011204,"OTHER OPERATING EXPENSES"))</f>
        <v>0</v>
      </c>
      <c r="J44" s="129"/>
      <c r="K44" s="129"/>
      <c r="L44" s="129"/>
      <c r="M44" s="129"/>
      <c r="N44" s="129">
        <f>SUMIFS(Journals!$K$9:$K$1011204,Journals!$D$9:$D$1011204,"&lt;"&amp;$F$7,Journals!$J$9:$J$1011204,"OTHER OPERATING EXPENSES")-SUMIFS(Journals!$L$9:$L$1011204,Journals!$D$9:$D$1011204,"&lt;"&amp;$F$7,Journals!$J$9:$J$1011204,"OTHER OPERATING EXPENSES")</f>
        <v>734305.86</v>
      </c>
      <c r="O44" s="129"/>
      <c r="R44" s="278"/>
      <c r="S44" s="278"/>
      <c r="X44" s="261"/>
      <c r="Y44" s="261"/>
      <c r="Z44" s="261"/>
      <c r="AA44" s="261"/>
      <c r="AB44" s="261"/>
      <c r="AC44" s="261"/>
    </row>
    <row r="45" spans="2:29" x14ac:dyDescent="0.2">
      <c r="G45" s="128" t="str">
        <f>'Chart of Accounts'!B42</f>
        <v>Dividend income</v>
      </c>
      <c r="H45" s="130">
        <f>MAX(0,SUMIFS(Journals!$K$9:$K$1011204,Journals!$D$9:$D$1011204,"&gt;"&amp;$E$7,Journals!$D$9:$D$1011204,"&lt;"&amp;$E$8,Journals!$J$9:$J$1011204,"dividend income"))</f>
        <v>0</v>
      </c>
      <c r="I45" s="130">
        <f>MAX(0,SUMIFS(Journals!$L$9:$L$1011204,Journals!$D$9:$D$1011204,"&gt;"&amp;$E$7,Journals!$D$9:$D$1011204,"&lt;"&amp;$E$8,Journals!$J$9:$J$1011204,"dividend income"))</f>
        <v>432567.45999999996</v>
      </c>
      <c r="J45" s="129"/>
      <c r="K45" s="129"/>
      <c r="L45" s="129"/>
      <c r="M45" s="129"/>
      <c r="N45" s="129"/>
      <c r="O45" s="129">
        <f>SUMIFS(Journals!$L$9:$L$1011204,Journals!$D$9:$D$1011204,"&lt;"&amp;$F$7,Journals!$J$9:$J$1011204,"dividend income")-SUMIFS(Journals!$K$9:$K$1011204,Journals!$D$9:$D$1011204,"&lt;"&amp;$F$7,Journals!$J$9:$J$1011204,"dividend income")</f>
        <v>24781269.369999997</v>
      </c>
      <c r="P45" s="117"/>
      <c r="R45" s="278"/>
      <c r="S45" s="278"/>
      <c r="X45" s="261"/>
      <c r="Y45" s="261"/>
      <c r="Z45" s="261"/>
      <c r="AA45" s="261"/>
      <c r="AB45" s="261"/>
      <c r="AC45" s="261"/>
    </row>
    <row r="46" spans="2:29" x14ac:dyDescent="0.2">
      <c r="G46" s="128" t="str">
        <f>'Chart of Accounts'!B43</f>
        <v>Dividend receivable</v>
      </c>
      <c r="H46" s="130">
        <f>MAX(0,SUMIFS(Journals!$K$9:$K$1011204,Journals!$D$9:$D$1011204,"&gt;"&amp;$E$7,Journals!$D$9:$D$1011204,"&lt;"&amp;$E$8,Journals!$J$9:$J$1011204,"dividend receivable"))</f>
        <v>268232.5</v>
      </c>
      <c r="I46" s="130">
        <f>MAX(0,SUMIFS(Journals!$L$9:$L$1011204,Journals!$D$9:$D$1011204,"&gt;"&amp;$E$7,Journals!$D$9:$D$1011204,"&lt;"&amp;$E$8,Journals!$J$9:$J$1011204,"dividend receivable"))</f>
        <v>1501967</v>
      </c>
      <c r="J46" s="129">
        <f>SUMIFS(Journals!$K$9:$K$1011204,Journals!$D$9:$D$1011204,"&lt;"&amp;$F$7,Journals!$J$9:$J$1011204,"dividend receivable")-SUMIFS(Journals!$L$9:$L$1011204,Journals!$D$9:$D$1011204,"&lt;"&amp;$F$7,Journals!$J$9:$J$1011204,"dividend receivable")</f>
        <v>1233734.5</v>
      </c>
      <c r="K46" s="129"/>
      <c r="L46" s="129">
        <f>J46+H46-I46</f>
        <v>0</v>
      </c>
      <c r="M46" s="129"/>
      <c r="N46" s="129"/>
      <c r="O46" s="129"/>
      <c r="R46" s="278"/>
      <c r="S46" s="278"/>
      <c r="X46" s="261"/>
      <c r="Y46" s="261"/>
      <c r="Z46" s="261"/>
      <c r="AA46" s="261"/>
      <c r="AB46" s="261"/>
      <c r="AC46" s="261"/>
    </row>
    <row r="47" spans="2:29" x14ac:dyDescent="0.2">
      <c r="G47" s="128" t="str">
        <f>'Chart of Accounts'!B44</f>
        <v>Custodian fee</v>
      </c>
      <c r="H47" s="130">
        <f>MAX(0,SUMIFS(Journals!$K$9:$K$1011204,Journals!$D$9:$D$1011204,"&gt;"&amp;$E$7,Journals!$D$9:$D$1011204,"&lt;"&amp;$E$8,Journals!$J$9:$J$1011204,"custodian fee")-SUMIFS(Journals!$L$9:$L$1011204,Journals!$D$9:$D$1011204,"&gt;"&amp;$E$7,Journals!$D$9:$D$1011204,"&lt;"&amp;$E$8,Journals!$J$9:$J$1011204,"custodian fee"))</f>
        <v>0</v>
      </c>
      <c r="I47" s="130"/>
      <c r="J47" s="129"/>
      <c r="K47" s="129"/>
      <c r="L47" s="129"/>
      <c r="M47" s="129"/>
      <c r="N47" s="129">
        <f>SUMIFS(Journals!$K$9:$K$1011204,Journals!$D$9:$D$1011204,"&lt;"&amp;$F$7,Journals!$J$9:$J$1011204,"custodian fee")-SUMIFS(Journals!$L$9:$L$1011204,Journals!$D$9:$D$1011204,"&lt;"&amp;$F$7,Journals!$J$9:$J$1011204,"custodian fee")</f>
        <v>632196.97</v>
      </c>
      <c r="O47" s="129"/>
      <c r="P47" s="117"/>
      <c r="Q47" s="117"/>
      <c r="R47" s="278"/>
      <c r="S47" s="278"/>
      <c r="T47" s="117"/>
      <c r="X47" s="261"/>
      <c r="Y47" s="261"/>
      <c r="Z47" s="261"/>
      <c r="AA47" s="261"/>
      <c r="AB47" s="261"/>
      <c r="AC47" s="261"/>
    </row>
    <row r="48" spans="2:29" x14ac:dyDescent="0.2">
      <c r="G48" s="128" t="str">
        <f>'Chart of Accounts'!B45</f>
        <v>IPO Application</v>
      </c>
      <c r="H48" s="130">
        <f>MAX(0,SUMIFS(Journals!$K$9:$K$1011204,Journals!$D$9:$D$1011204,"&gt;"&amp;$E$7,Journals!$D$9:$D$1011204,"&lt;"&amp;$E$8,Journals!$J$9:$J$1011204,"IPO APPLICATION")-SUMIFS(Journals!$L$9:$L$1011204,Journals!$D$9:$D$1011204,"&gt;"&amp;$E$7,Journals!$D$9:$D$1011204,"&lt;"&amp;$E$8,Journals!$J$9:$J$1011204,"IPO APPLICATION"))</f>
        <v>0</v>
      </c>
      <c r="I48" s="130">
        <f>MAX(0,SUMIFS(Journals!$L$9:$L$1011204,Journals!$D$9:$D$1011204,"&gt;"&amp;$E$7,Journals!$D$9:$D$1011204,"&lt;"&amp;$E$8,Journals!$J$9:$J$1011204,"IPO APPLICATION")-SUMIFS(Journals!$K$9:$K$1011204,Journals!$D$9:$D$1011204,"&gt;"&amp;$E$7,Journals!$D$9:$D$1011204,"&lt;"&amp;$E$8,Journals!$J$9:$J$1011204,"IPO APPLICATION"))</f>
        <v>0</v>
      </c>
      <c r="J48" s="129">
        <f>SUMIFS(Journals!$K$9:$K$1011204,Journals!$D$9:$D$1011204,"&lt;"&amp;$F$7,Journals!$J$9:$J$1011204,"IPO APPLICATION")-SUMIFS(Journals!$L$9:$L$1011204,Journals!$D$9:$D$1011204,"&lt;"&amp;$F$7,Journals!$J$9:$J$1011204,"IPO APPLICATION")</f>
        <v>0</v>
      </c>
      <c r="K48" s="129"/>
      <c r="L48" s="129">
        <f>J48+H48-I48</f>
        <v>0</v>
      </c>
      <c r="M48" s="129"/>
      <c r="N48" s="129"/>
      <c r="O48" s="129"/>
      <c r="R48" s="278"/>
      <c r="S48" s="278"/>
      <c r="X48" s="261"/>
      <c r="Y48" s="261"/>
      <c r="Z48" s="261"/>
      <c r="AA48" s="261"/>
      <c r="AB48" s="261"/>
      <c r="AC48" s="261"/>
    </row>
    <row r="49" spans="1:29" x14ac:dyDescent="0.2">
      <c r="C49" s="127"/>
      <c r="G49" s="128" t="str">
        <f>'Chart of Accounts'!B46</f>
        <v>IPO Application Fee</v>
      </c>
      <c r="H49" s="130">
        <f>MAX(0,SUMIFS(Journals!$K$9:$K$1011204,Journals!$D$9:$D$1011204,"&gt;"&amp;$E$7,Journals!$D$9:$D$1011204,"&lt;"&amp;$E$8,Journals!$J$9:$J$1011204,"IPO APPLICATION FEE")-SUMIFS(Journals!$L$9:$L$1011204,Journals!$D$9:$D$1011204,"&gt;"&amp;$E$7,Journals!$D$9:$D$1011204,"&lt;"&amp;$E$8,Journals!$J$9:$J$1011204,"IPO APPLICATION FEE"))</f>
        <v>0</v>
      </c>
      <c r="I49" s="130"/>
      <c r="J49" s="129"/>
      <c r="K49" s="129"/>
      <c r="L49" s="129"/>
      <c r="M49" s="129"/>
      <c r="N49" s="129">
        <f>SUMIFS(Journals!$K$9:$K$1011204,Journals!$D$9:$D$1011204,"&lt;"&amp;$F$7,Journals!$J$9:$J$1011204,"IPO APPLICATION FEE")-SUMIFS(Journals!$L$9:$L$1011204,Journals!$D$9:$D$1011204,"&lt;"&amp;$F$7,Journals!$J$9:$J$1011204,"IPO APPLICATION FEE")</f>
        <v>106000</v>
      </c>
      <c r="O49" s="129"/>
      <c r="R49" s="278"/>
      <c r="S49" s="278"/>
      <c r="X49" s="261"/>
      <c r="Y49" s="261"/>
      <c r="Z49" s="261"/>
      <c r="AA49" s="261"/>
      <c r="AB49" s="261"/>
      <c r="AC49" s="261"/>
    </row>
    <row r="50" spans="1:29" x14ac:dyDescent="0.2">
      <c r="B50" s="127"/>
      <c r="G50" s="128" t="s">
        <v>191</v>
      </c>
      <c r="H50" s="130">
        <f>MAX(0,SUMIFS(Journals!$K$9:$K$1011204,Journals!$D$9:$D$1011204,"&gt;"&amp;$E$7,Journals!$D$9:$D$1011204,"&lt;"&amp;$E$8,Journals!$J$9:$J$1011204,"realized gain")-SUMIFS(Journals!$L$9:$L$1011204,Journals!$D$9:$D$1011204,"&gt;"&amp;$E$7,Journals!$D$9:$D$1011204,"&lt;"&amp;$E$8,Journals!$J$9:$J$1011204,"realized gain"))</f>
        <v>0</v>
      </c>
      <c r="I50" s="130">
        <f>MAX(0,SUMIFS(Journals!$L$9:$L$1011204,Journals!$D$9:$D$1011204,"&gt;"&amp;$E$7,Journals!$D$9:$D$1011204,"&lt;"&amp;$E$8,Journals!$J$9:$J$1011204,"realized gain")-SUMIFS(Journals!$K$9:$K$1011204,Journals!$D$9:$D$1011204,"&gt;"&amp;$E$7,Journals!$D$9:$D$1011204,"&lt;"&amp;$E$8,Journals!$J$9:$J$1011204,"realized gain"))</f>
        <v>10078118.399999999</v>
      </c>
      <c r="J50" s="129"/>
      <c r="K50" s="129"/>
      <c r="L50" s="129"/>
      <c r="M50" s="129"/>
      <c r="N50" s="129"/>
      <c r="O50" s="129">
        <f>SUMIFS(Journals!$L$9:$L$1011204,Journals!$D$9:$D$1011204,"&lt;"&amp;$F$7,Journals!$J$9:$J$1011204,"realized gain")-SUMIFS(Journals!$K$9:$K$1011204,Journals!$D$9:$D$1011204,"&lt;"&amp;$F$7,Journals!$J$9:$J$1011204,"realized gain")</f>
        <v>86210941.070744619</v>
      </c>
      <c r="R50" s="278"/>
      <c r="S50" s="278"/>
      <c r="X50" s="261"/>
      <c r="Y50" s="261"/>
      <c r="Z50" s="261"/>
      <c r="AA50" s="261"/>
      <c r="AB50" s="261"/>
      <c r="AC50" s="261"/>
    </row>
    <row r="51" spans="1:29" x14ac:dyDescent="0.2">
      <c r="B51" s="127"/>
      <c r="G51" s="128" t="s">
        <v>1809</v>
      </c>
      <c r="H51" s="130">
        <f>MAX(0,SUMIFS(Journals!$K$9:$K$1011204,Journals!$D$9:$D$1011204,"&gt;"&amp;$E$7,Journals!$D$9:$D$1011204,"&lt;"&amp;$E$8,Journals!$J$9:$J$1011204,"realized gain on T-Bill")-SUMIFS(Journals!$L$9:$L$1011204,Journals!$D$9:$D$1011204,"&gt;"&amp;$E$7,Journals!$D$9:$D$1011204,"&lt;"&amp;$E$8,Journals!$J$9:$J$1011204,"realized gain on T-Bill"))</f>
        <v>0</v>
      </c>
      <c r="I51" s="130">
        <f>MAX(0,SUMIFS(Journals!$L$9:$L$1011204,Journals!$D$9:$D$1011204,"&gt;"&amp;$E$7,Journals!$D$9:$D$1011204,"&lt;"&amp;$E$8,Journals!$J$9:$J$1011204,"realized gain on T-Bill")-SUMIFS(Journals!$K$9:$K$1011204,Journals!$D$9:$D$1011204,"&gt;"&amp;$E$7,Journals!$D$9:$D$1011204,"&lt;"&amp;$E$8,Journals!$J$9:$J$1011204,"realized gain on T-Bill"))</f>
        <v>0</v>
      </c>
      <c r="J51" s="129"/>
      <c r="K51" s="129"/>
      <c r="L51" s="129"/>
      <c r="M51" s="129"/>
      <c r="N51" s="129"/>
      <c r="O51" s="129">
        <f>SUMIFS(Journals!$L$9:$L$1011204,Journals!$D$9:$D$1011204,"&lt;"&amp;$F$7,Journals!$J$9:$J$1011204,"realized gain on T-Bill")-SUMIFS(Journals!$K$9:$K$1011204,Journals!$D$9:$D$1011204,"&lt;"&amp;$F$7,Journals!$J$9:$J$1011204,"realized gain on T-Bill")</f>
        <v>2509121.2999999998</v>
      </c>
      <c r="R51" s="278"/>
      <c r="S51" s="278"/>
      <c r="X51" s="261"/>
      <c r="Y51" s="261"/>
      <c r="Z51" s="261"/>
      <c r="AA51" s="261"/>
      <c r="AB51" s="261"/>
      <c r="AC51" s="261"/>
    </row>
    <row r="52" spans="1:29" x14ac:dyDescent="0.2">
      <c r="B52" s="127"/>
      <c r="G52" s="128" t="s">
        <v>1810</v>
      </c>
      <c r="H52" s="130">
        <f>MAX(0,SUMIFS(Journals!$K$9:$K$1011204,Journals!$D$9:$D$1011204,"&gt;"&amp;$E$7,Journals!$D$9:$D$1011204,"&lt;"&amp;$E$8,Journals!$J$9:$J$1011204,"realized gain on T-Bond")-SUMIFS(Journals!$L$9:$L$1011204,Journals!$D$9:$D$1011204,"&gt;"&amp;$E$7,Journals!$D$9:$D$1011204,"&lt;"&amp;$E$8,Journals!$J$9:$J$1011204,"realized gain on T-Bond"))</f>
        <v>0</v>
      </c>
      <c r="I52" s="130">
        <f>MAX(0,SUMIFS(Journals!$L$9:$L$1011204,Journals!$D$9:$D$1011204,"&gt;"&amp;$E$7,Journals!$D$9:$D$1011204,"&lt;"&amp;$E$8,Journals!$J$9:$J$1011204,"realized gain on T-Bond")-SUMIFS(Journals!$K$9:$K$1011204,Journals!$D$9:$D$1011204,"&gt;"&amp;$E$7,Journals!$D$9:$D$1011204,"&lt;"&amp;$E$8,Journals!$J$9:$J$1011204,"realized gain on T-Bond"))</f>
        <v>0</v>
      </c>
      <c r="J52" s="129"/>
      <c r="K52" s="129"/>
      <c r="L52" s="129"/>
      <c r="M52" s="129"/>
      <c r="N52" s="129"/>
      <c r="O52" s="129">
        <f>SUMIFS(Journals!$L$9:$L$1011204,Journals!$D$9:$D$1011204,"&lt;"&amp;$F$7,Journals!$J$9:$J$1011204,"realized gain on T-Bond")-SUMIFS(Journals!$K$9:$K$1011204,Journals!$D$9:$D$1011204,"&lt;"&amp;$F$7,Journals!$J$9:$J$1011204,"realized gain on T-Bond")</f>
        <v>5389530.8066666685</v>
      </c>
      <c r="R52" s="278"/>
      <c r="S52" s="278"/>
      <c r="X52" s="261"/>
      <c r="Y52" s="261"/>
      <c r="Z52" s="261"/>
      <c r="AA52" s="261"/>
      <c r="AB52" s="261"/>
      <c r="AC52" s="261"/>
    </row>
    <row r="53" spans="1:29" x14ac:dyDescent="0.2">
      <c r="A53" s="361"/>
      <c r="B53" s="127"/>
      <c r="C53" s="117"/>
      <c r="D53" s="127">
        <f>L53-M43</f>
        <v>4633816.5964002982</v>
      </c>
      <c r="G53" s="128" t="s">
        <v>190</v>
      </c>
      <c r="H53" s="130">
        <f>MAX(0,SUMIFS(Journals!$K$9:$K$1011204,Journals!$D$9:$D$1011204,"&gt;"&amp;$E$7,Journals!$D$9:$D$1011204,"&lt;"&amp;$E$8,Journals!$J$9:$J$1011204,"receivable from broker")-SUMIFS(Journals!$L$9:$L$1011204,Journals!$D$9:$D$1011204,"&gt;"&amp;$E$7,Journals!$D$9:$D$1011204,"&lt;"&amp;$E$8,Journals!$J$9:$J$1011204,"receivable from broker"))</f>
        <v>3542330.2900000066</v>
      </c>
      <c r="I53" s="130">
        <f>MAX(0,SUMIFS(Journals!$L$9:$L$1011204,Journals!$D$9:$D$1011204,"&gt;"&amp;$E$7,Journals!$D$9:$D$1011204,"&lt;"&amp;$E$8,Journals!$J$9:$J$1011204,"Receivable from broker")-SUMIFS(Journals!$K$9:$K$1011204,Journals!$D$9:$D$1011204,"&gt;"&amp;$E$7,Journals!$D$9:$D$1011204,"&lt;"&amp;$E$8,Journals!$J$9:$J$1011204,"Receivable from broker"))</f>
        <v>0</v>
      </c>
      <c r="J53" s="130">
        <f>SUMIFS(Journals!$K$9:$K$1011204,Journals!$D$9:$D$1011204,"&lt;"&amp;$F$7,Journals!$J$9:$J$1011204,"receivable from broker")-SUMIFS(Journals!$L$9:$L$1011204,Journals!$D$9:$D$1011204,"&lt;"&amp;$F$7,Journals!$J$9:$J$1011204,"receivable from broker")</f>
        <v>1084305.2642003298</v>
      </c>
      <c r="K53" s="130"/>
      <c r="L53" s="130">
        <f>J53+H53-I53</f>
        <v>4626635.5542003363</v>
      </c>
      <c r="M53" s="129"/>
      <c r="N53" s="129"/>
      <c r="O53" s="129"/>
      <c r="P53" s="127"/>
      <c r="X53" s="261"/>
      <c r="Y53" s="261"/>
      <c r="Z53" s="261"/>
      <c r="AA53" s="261"/>
      <c r="AB53" s="261"/>
      <c r="AC53" s="261"/>
    </row>
    <row r="54" spans="1:29" x14ac:dyDescent="0.2">
      <c r="G54" s="128" t="s">
        <v>353</v>
      </c>
      <c r="H54" s="130">
        <f>MAX(0,SUMIFS(Journals!$K$9:$K$1011204,Journals!$D$9:$D$1011204,"&gt;"&amp;$E$7,Journals!$D$9:$D$1011204,"&lt;"&amp;$E$8,Journals!$J$9:$J$1011204,"Dividend Equalization Reserve")-SUMIFS(Journals!$L$9:$L$1011204,Journals!$D$9:$D$1011204,"&gt;"&amp;$E$7,Journals!$D$9:$D$1011204,"&lt;"&amp;$E$8,Journals!$J$9:$J$1011204,"Dividend Equalization Reserve"))</f>
        <v>0</v>
      </c>
      <c r="I54" s="130">
        <f>MAX(0,SUMIFS(Journals!$L$9:$L$1011204,Journals!$D$9:$D$1011204,"&gt;"&amp;$E$7,Journals!$D$9:$D$1011204,"&lt;"&amp;$E$8,Journals!$J$9:$J$1011204,"Dividend Equalization Reserve")-SUMIFS(Journals!$K$9:$K$1011204,Journals!$D$9:$D$1011204,"&gt;"&amp;$E$7,Journals!$D$9:$D$1011204,"&lt;"&amp;$E$8,Journals!$J$9:$J$1011204,"Dividend Equalization Reserve"))</f>
        <v>0</v>
      </c>
      <c r="J54" s="129"/>
      <c r="K54" s="129">
        <f>SUMIFS(Journals!$L$9:$L$1011204,Journals!$D$9:$D$1011204,"&lt;"&amp;$F$7,Journals!$J$9:$J$1011204,"Dividend Equalization Reserve")-SUMIFS(Journals!$K$9:$K$1011204,Journals!$D$9:$D$1011204,"&lt;"&amp;$F$7,Journals!$J$9:$J$1011204,"Dividend Equalization Reserve")</f>
        <v>150000</v>
      </c>
      <c r="L54" s="129"/>
      <c r="M54" s="129">
        <f>K54+I54-H54</f>
        <v>150000</v>
      </c>
      <c r="N54" s="129">
        <f>K54</f>
        <v>150000</v>
      </c>
      <c r="O54" s="129"/>
      <c r="P54" s="127"/>
      <c r="X54" s="261"/>
      <c r="Y54" s="261"/>
      <c r="Z54" s="261"/>
      <c r="AA54" s="261"/>
      <c r="AB54" s="261"/>
      <c r="AC54" s="261"/>
    </row>
    <row r="55" spans="1:29" x14ac:dyDescent="0.2">
      <c r="G55" s="128" t="s">
        <v>359</v>
      </c>
      <c r="H55" s="130">
        <f>MAX(0,SUMIFS(Journals!$K$9:$K$1011204,Journals!$D$9:$D$1011204,"&gt;"&amp;$E$7,Journals!$D$9:$D$1011204,"&lt;"&amp;$E$8,Journals!$J$9:$J$1011204,"Retained Earnings")-SUMIFS(Journals!$L$9:$L$1011204,Journals!$D$9:$D$1011204,"&gt;"&amp;$E$7,Journals!$D$9:$D$1011204,"&lt;"&amp;$E$8,Journals!$J$9:$J$1011204,"Retained Earnings"))</f>
        <v>9054438.5800000001</v>
      </c>
      <c r="I55" s="130">
        <f>MAX(0,SUMIFS(Journals!$L$9:$L$1011204,Journals!$D$9:$D$1011204,"&gt;"&amp;$E$7,Journals!$D$9:$D$1011204,"&lt;"&amp;$E$8,Journals!$J$9:$J$1011204,"Retained Earnigs")-SUMIFS(Journals!$K$9:$K$1011204,Journals!$D$9:$D$1011204,"&gt;"&amp;$E$7,Journals!$D$9:$D$1011204,"&lt;"&amp;$E$8,Journals!$J$9:$J$1011204,"Retained Earnigs"))</f>
        <v>0</v>
      </c>
      <c r="J55" s="129"/>
      <c r="K55" s="129"/>
      <c r="L55" s="129"/>
      <c r="M55" s="129"/>
      <c r="N55" s="129"/>
      <c r="O55" s="129"/>
      <c r="X55" s="261"/>
      <c r="Y55" s="261"/>
      <c r="Z55" s="261"/>
      <c r="AA55" s="261"/>
      <c r="AB55" s="261"/>
      <c r="AC55" s="261"/>
    </row>
    <row r="56" spans="1:29" x14ac:dyDescent="0.2">
      <c r="B56" s="117"/>
      <c r="G56" s="128" t="s">
        <v>358</v>
      </c>
      <c r="H56" s="130">
        <f>SUMIFS(Journals!$K$9:$K$1011204,Journals!$D$9:$D$1011204,"&gt;"&amp;$E$7,Journals!$D$9:$D$1011204,"&lt;"&amp;$E$8,Journals!$J$9:$J$1011204,"Dividend Payable")</f>
        <v>9054438.5800000001</v>
      </c>
      <c r="I56" s="130">
        <f>MAX(0,SUMIFS(Journals!$L$9:$L$1011204,Journals!$D$9:$D$1011204,"&gt;"&amp;$E$7,Journals!$D$9:$D$1011204,"&lt;"&amp;$E$8,Journals!$J$9:$J$1011204,"Dividend Payable"))</f>
        <v>9054438.5800000001</v>
      </c>
      <c r="J56" s="129">
        <f>SUMIFS(Journals!$K$9:$K$1011204,Journals!$D$9:$D$1011204,"&lt;"&amp;$F$7,Journals!$J$9:$J$1011204,"Dividend Payable")</f>
        <v>56893215.680000007</v>
      </c>
      <c r="K56" s="129">
        <f>SUMIFS(Journals!$L$9:$L$1011204,Journals!$D$9:$D$1011204,"&lt;"&amp;$F$7,Journals!$J$9:$J$1011204,"Dividend Payable")</f>
        <v>56893215.68</v>
      </c>
      <c r="L56" s="129"/>
      <c r="M56" s="129">
        <f>I56-H56</f>
        <v>0</v>
      </c>
      <c r="N56" s="129">
        <f>J56</f>
        <v>56893215.680000007</v>
      </c>
      <c r="O56" s="129"/>
      <c r="X56" s="261"/>
      <c r="Y56" s="261"/>
      <c r="Z56" s="261"/>
      <c r="AA56" s="261"/>
      <c r="AB56" s="261"/>
      <c r="AC56" s="261"/>
    </row>
    <row r="57" spans="1:29" x14ac:dyDescent="0.2">
      <c r="C57" s="127"/>
      <c r="G57" s="128" t="s">
        <v>534</v>
      </c>
      <c r="H57" s="130">
        <f>SUMIFS(Journals!$K$9:$K$1011204,Journals!$D$9:$D$1011204,"&gt;"&amp;$E$7,Journals!$D$9:$D$1011204,"&lt;"&amp;$E$8,Journals!$J$9:$J$1011204,"Withholding Tax Payable")</f>
        <v>287451.08199999999</v>
      </c>
      <c r="I57" s="130">
        <f>MAX(0,SUMIFS(Journals!$L$9:$L$1011204,Journals!$D$9:$D$1011204,"&gt;"&amp;$E$7,Journals!$D$9:$D$1011204,"&lt;"&amp;$E$8,Journals!$J$9:$J$1011204,"Withholding Tax Payable"))</f>
        <v>854267.68222222221</v>
      </c>
      <c r="J57" s="129"/>
      <c r="K57" s="129">
        <f>SUMIFS(Journals!$L$9:$L$1011204,Journals!$D$9:$D$1011204,"&lt;"&amp;$F$7,Journals!$J$9:$J$1011204,"Withholding Tax Payable")-SUMIFS(Journals!$K$9:$K$1011204,Journals!$D$9:$D$1011204,"&lt;"&amp;$F$7,Journals!$J$9:$J$1011204,"Withholding Tax Payable")</f>
        <v>21176.574999997392</v>
      </c>
      <c r="L57" s="129"/>
      <c r="M57" s="129">
        <f>K57+I57-H57</f>
        <v>587993.17522221967</v>
      </c>
      <c r="N57" s="129"/>
      <c r="O57" s="129"/>
      <c r="X57" s="261"/>
      <c r="Y57" s="261"/>
      <c r="Z57" s="261"/>
      <c r="AA57" s="261"/>
      <c r="AB57" s="261"/>
      <c r="AC57" s="261"/>
    </row>
    <row r="58" spans="1:29" x14ac:dyDescent="0.2">
      <c r="C58" s="127"/>
      <c r="G58" s="128" t="s">
        <v>1906</v>
      </c>
      <c r="H58" s="130">
        <f>SUMIFS(Journals!$K$9:$K$1011204,Journals!$D$9:$D$1011204,"&gt;"&amp;$E$7,Journals!$D$9:$D$1011204,"&lt;"&amp;$E$8,Journals!$J$9:$J$1011204,"Withholding Tax Payable of News Paper")</f>
        <v>500</v>
      </c>
      <c r="I58" s="130">
        <f>MAX(0,SUMIFS(Journals!$L$9:$L$1011204,Journals!$D$9:$D$1011204,"&gt;"&amp;$E$7,Journals!$D$9:$D$1011204,"&lt;"&amp;$E$8,Journals!$J$9:$J$1011204,"Withholding Tax Payable of News Paper"))</f>
        <v>0</v>
      </c>
      <c r="J58" s="129"/>
      <c r="K58" s="129">
        <f>SUMIFS(Journals!$L$9:$L$1011204,Journals!$D$9:$D$1011204,"&lt;"&amp;$F$7,Journals!$J$9:$J$1011204,"Withholding Tax Payable of News Paper")-SUMIFS(Journals!$K$9:$K$1011204,Journals!$D$9:$D$1011204,"&lt;"&amp;$F$7,Journals!$J$9:$J$1011204,"Withholding Tax Payable of News Paper")</f>
        <v>500</v>
      </c>
      <c r="L58" s="129"/>
      <c r="M58" s="129">
        <f t="shared" ref="M58:M59" si="4">K58+I58-H58</f>
        <v>0</v>
      </c>
      <c r="N58" s="129"/>
      <c r="O58" s="129"/>
      <c r="P58" s="127"/>
      <c r="X58" s="261"/>
      <c r="Y58" s="261"/>
      <c r="Z58" s="261"/>
      <c r="AA58" s="261"/>
      <c r="AB58" s="261"/>
      <c r="AC58" s="261"/>
    </row>
    <row r="59" spans="1:29" x14ac:dyDescent="0.2">
      <c r="C59" s="127"/>
      <c r="G59" s="128" t="s">
        <v>1907</v>
      </c>
      <c r="H59" s="130">
        <f>SUMIFS(Journals!$K$9:$K$1011204,Journals!$D$9:$D$1011204,"&gt;"&amp;$E$7,Journals!$D$9:$D$1011204,"&lt;"&amp;$E$8,Journals!$J$9:$J$1011204,"Withholding Tax Payable of Telnet")</f>
        <v>150</v>
      </c>
      <c r="I59" s="130">
        <f>MAX(0,SUMIFS(Journals!$L$9:$L$1011204,Journals!$D$9:$D$1011204,"&gt;"&amp;$E$7,Journals!$D$9:$D$1011204,"&lt;"&amp;$E$8,Journals!$J$9:$J$1011204,"Withholding Tax Payable of Telnet"))</f>
        <v>225</v>
      </c>
      <c r="J59" s="129"/>
      <c r="K59" s="129">
        <f>SUMIFS(Journals!$L$9:$L$1011204,Journals!$D$9:$D$1011204,"&lt;"&amp;$F$7,Journals!$J$9:$J$1011204,"Withholding Tax Payable of Telnet")-SUMIFS(Journals!$K$9:$K$1011204,Journals!$D$9:$D$1011204,"&lt;"&amp;$F$7,Journals!$J$9:$J$1011204,"Withholding Tax Payable of Telnet")</f>
        <v>75</v>
      </c>
      <c r="L59" s="129"/>
      <c r="M59" s="129">
        <f t="shared" si="4"/>
        <v>150</v>
      </c>
      <c r="N59" s="129"/>
      <c r="O59" s="129"/>
      <c r="X59" s="261"/>
      <c r="Y59" s="261"/>
      <c r="Z59" s="261"/>
      <c r="AA59" s="261"/>
      <c r="AB59" s="261"/>
      <c r="AC59" s="261"/>
    </row>
    <row r="60" spans="1:29" x14ac:dyDescent="0.2">
      <c r="G60" s="128" t="s">
        <v>1764</v>
      </c>
      <c r="H60" s="261">
        <f>MAX(0,SUMIFS(Journals!$K$9:$K$1011204,Journals!$D$9:$D$1011204,"&gt;"&amp;$E$7,Journals!$D$9:$D$1011204,"&lt;"&amp;$E$8,Journals!$J$9:$J$1011204,"Investments in T-Bill")-SUMIFS(Journals!$L$9:$L$1011204,Journals!$D$9:$D$1011204,"&gt;"&amp;$E$7,Journals!$D$9:$D$1011204,"&lt;"&amp;$E$8,Journals!$J$9:$J$1011204,"Investments in T-Bill"))</f>
        <v>0</v>
      </c>
      <c r="I60" s="261">
        <f>MAX(0,SUMIFS(Journals!$L$9:$L$1011204,Journals!$D$9:$D$1011204,"&gt;"&amp;$E$7,Journals!$D$9:$D$1011204,"&lt;"&amp;$E$8,Journals!$J$9:$J$1011204,"Investments in T-Bill")-SUMIFS(Journals!$K$9:$K$1011204,Journals!$D$9:$D$1011204,"&gt;"&amp;$E$7,Journals!$D$9:$D$1011204,"&lt;"&amp;$E$8,Journals!$J$9:$J$1011204,"Investments in T-Bill"))</f>
        <v>0</v>
      </c>
      <c r="J60" s="278">
        <f>SUMIFS(Journals!$K$9:$K$1011204,Journals!$D$9:$D$1011204,"&lt;"&amp;$F$7,Journals!$J$9:$J$1011204,"Investments in T-Bill")-SUMIFS(Journals!$L$9:$L$1011204,Journals!$D$9:$D$1011204,"&lt;"&amp;$F$7,Journals!$J$9:$J$1011204,"Investments in T-Bill")</f>
        <v>0</v>
      </c>
      <c r="K60" s="278"/>
      <c r="L60" s="278">
        <f>J60+H60-I60</f>
        <v>0</v>
      </c>
      <c r="M60" s="129"/>
      <c r="N60" s="129"/>
      <c r="O60" s="129"/>
      <c r="X60" s="261"/>
      <c r="Y60" s="261"/>
      <c r="Z60" s="261"/>
      <c r="AA60" s="261"/>
    </row>
    <row r="61" spans="1:29" x14ac:dyDescent="0.2">
      <c r="G61" s="128" t="s">
        <v>1795</v>
      </c>
      <c r="H61" s="130">
        <f>MAX(0,SUMIFS(Journals!$K$9:$K$1011204,Journals!$D$9:$D$1011204,"&gt;"&amp;$E$7,Journals!$D$9:$D$1011204,"&lt;"&amp;$E$8,Journals!$J$9:$J$1011204,"Interest receivables from T-Bill")-SUMIFS(Journals!$L$9:$L$1011204,Journals!$D$9:$D$1011204,"&gt;"&amp;$E$7,Journals!$D$9:$D$1011204,"&lt;"&amp;$E$8,Journals!$J$9:$J$1011204,"Interest receivables from T-Bill"))</f>
        <v>0</v>
      </c>
      <c r="I61" s="130">
        <f>MAX(0,SUMIFS(Journals!$L$9:$L$1011204,Journals!$D$9:$D$1011204,"&gt;"&amp;$E$7,Journals!$D$9:$D$1011204,"&lt;"&amp;$E$8,Journals!$J$9:$J$1011204,"Interest receivables from T-Bill")-SUMIFS(Journals!$K$9:$K$1011204,Journals!$D$9:$D$1011204,"&gt;"&amp;$E$7,Journals!$D$9:$D$1011204,"&lt;"&amp;$E$8,Journals!$J$9:$J$1011204,"Interest receivables from T-Bill"))</f>
        <v>0</v>
      </c>
      <c r="J61" s="129">
        <f>SUMIFS(Journals!$K$9:$K$1011204,Journals!$D$9:$D$1011204,"&lt;"&amp;$F$7,Journals!$J$9:$J$1011204,"Interest receivables from T-Bill")-SUMIFS(Journals!$L$9:$L$1011204,Journals!$D$9:$D$1011204,"&lt;"&amp;$F$7,Journals!$J$9:$J$1011204,"Interest receivables from T-Bill")</f>
        <v>0</v>
      </c>
      <c r="K61" s="129"/>
      <c r="L61" s="129">
        <f>J61+H61-I61</f>
        <v>0</v>
      </c>
      <c r="M61" s="129"/>
      <c r="N61" s="129"/>
      <c r="O61" s="129"/>
      <c r="X61" s="261"/>
      <c r="Y61" s="261"/>
      <c r="Z61" s="261"/>
      <c r="AA61" s="261"/>
    </row>
    <row r="62" spans="1:29" x14ac:dyDescent="0.2">
      <c r="G62" s="128" t="s">
        <v>1805</v>
      </c>
      <c r="H62" s="261">
        <f>MAX(0,SUMIFS(Journals!$K$9:$K$1011204,Journals!$D$9:$D$1011204,"&gt;"&amp;$E$7,Journals!$D$9:$D$1011204,"&lt;"&amp;$E$8,Journals!$J$9:$J$1011204,"Investments in T-Bond")-SUMIFS(Journals!$L$9:$L$1011204,Journals!$D$9:$D$1011204,"&gt;"&amp;$E$7,Journals!$D$9:$D$1011204,"&lt;"&amp;$E$8,Journals!$J$9:$J$1011204,"Investments in T-Bond"))</f>
        <v>0</v>
      </c>
      <c r="I62" s="261">
        <f>MAX(0,SUMIFS(Journals!$L$9:$L$1011204,Journals!$D$9:$D$1011204,"&gt;"&amp;$E$7,Journals!$D$9:$D$1011204,"&lt;"&amp;$E$8,Journals!$J$9:$J$1011204,"Investments in T-Bond")-SUMIFS(Journals!$K$9:$K$1011204,Journals!$D$9:$D$1011204,"&gt;"&amp;$E$7,Journals!$D$9:$D$1011204,"&lt;"&amp;$E$8,Journals!$J$9:$J$1011204,"Investments in T-Bond"))</f>
        <v>0</v>
      </c>
      <c r="J62" s="278">
        <f>SUMIFS(Journals!$K$9:$K$1011204,Journals!$D$9:$D$1011204,"&lt;"&amp;$F$7,Journals!$J$9:$J$1011204,"Investments in T-Bond")-SUMIFS(Journals!$L$9:$L$1011204,Journals!$D$9:$D$1011204,"&lt;"&amp;$F$7,Journals!$J$9:$J$1011204,"Investments in T-Bond")</f>
        <v>0</v>
      </c>
      <c r="K62" s="278"/>
      <c r="L62" s="278">
        <f>J62+H62-I62</f>
        <v>0</v>
      </c>
      <c r="M62" s="129"/>
      <c r="N62" s="129"/>
      <c r="O62" s="129"/>
      <c r="X62" s="261"/>
      <c r="Y62" s="261"/>
      <c r="Z62" s="261"/>
      <c r="AA62" s="261"/>
    </row>
    <row r="63" spans="1:29" x14ac:dyDescent="0.2">
      <c r="G63" s="128" t="s">
        <v>1806</v>
      </c>
      <c r="H63" s="130">
        <f>MAX(0,SUMIFS(Journals!$K$9:$K$1011204,Journals!$D$9:$D$1011204,"&gt;"&amp;$E$7,Journals!$D$9:$D$1011204,"&lt;"&amp;$E$8,Journals!$J$9:$J$1011204,"Interest receivables from T-Bond")-SUMIFS(Journals!$L$9:$L$1011204,Journals!$D$9:$D$1011204,"&gt;"&amp;$E$7,Journals!$D$9:$D$1011204,"&lt;"&amp;$E$8,Journals!$J$9:$J$1011204,"Interest receivables from T-Bond"))</f>
        <v>0</v>
      </c>
      <c r="I63" s="130">
        <f>MAX(0,SUMIFS(Journals!$L$9:$L$1011204,Journals!$D$9:$D$1011204,"&gt;"&amp;$E$7,Journals!$D$9:$D$1011204,"&lt;"&amp;$E$8,Journals!$J$9:$J$1011204,"Interest receivables from T-Bond")-SUMIFS(Journals!$K$9:$K$1011204,Journals!$D$9:$D$1011204,"&gt;"&amp;$E$7,Journals!$D$9:$D$1011204,"&lt;"&amp;$E$8,Journals!$J$9:$J$1011204,"Interest receivables from T-Bond"))</f>
        <v>0</v>
      </c>
      <c r="J63" s="129">
        <f>SUMIFS(Journals!$K$9:$K$1011204,Journals!$D$9:$D$1011204,"&lt;"&amp;$F$7,Journals!$J$9:$J$1011204,"Interest receivables from T-Bond")-SUMIFS(Journals!$L$9:$L$1011204,Journals!$D$9:$D$1011204,"&lt;"&amp;$F$7,Journals!$J$9:$J$1011204,"Interest receivables from T-Bond")</f>
        <v>0</v>
      </c>
      <c r="K63" s="129"/>
      <c r="L63" s="129">
        <f>J63+H63-I63</f>
        <v>0</v>
      </c>
      <c r="M63" s="129"/>
      <c r="N63" s="129"/>
      <c r="O63" s="129"/>
      <c r="X63" s="261"/>
      <c r="Y63" s="261"/>
      <c r="Z63" s="261"/>
      <c r="AA63" s="261"/>
    </row>
    <row r="64" spans="1:29" x14ac:dyDescent="0.2">
      <c r="G64" s="128"/>
      <c r="H64" s="130"/>
      <c r="I64" s="130"/>
      <c r="J64" s="129"/>
      <c r="K64" s="129"/>
      <c r="L64" s="129"/>
      <c r="M64" s="129"/>
      <c r="N64" s="129"/>
      <c r="O64" s="129"/>
      <c r="X64" s="261"/>
      <c r="Y64" s="261"/>
      <c r="Z64" s="261"/>
      <c r="AA64" s="261"/>
    </row>
    <row r="65" spans="7:27" x14ac:dyDescent="0.2">
      <c r="G65" s="128"/>
      <c r="H65" s="130"/>
      <c r="I65" s="130"/>
      <c r="J65" s="129"/>
      <c r="K65" s="129"/>
      <c r="L65" s="129"/>
      <c r="M65" s="129"/>
      <c r="N65" s="129"/>
      <c r="O65" s="129"/>
      <c r="X65" s="261"/>
      <c r="Y65" s="261"/>
      <c r="Z65" s="261"/>
      <c r="AA65" s="261"/>
    </row>
    <row r="66" spans="7:27" x14ac:dyDescent="0.2">
      <c r="G66" s="128"/>
      <c r="H66" s="130"/>
      <c r="I66" s="130"/>
      <c r="J66" s="129"/>
      <c r="K66" s="129"/>
      <c r="L66" s="129"/>
      <c r="M66" s="129"/>
      <c r="N66" s="129"/>
      <c r="O66" s="129"/>
      <c r="X66" s="261"/>
      <c r="Y66" s="261"/>
      <c r="Z66" s="261"/>
      <c r="AA66" s="261"/>
    </row>
    <row r="67" spans="7:27" x14ac:dyDescent="0.2">
      <c r="G67" s="128"/>
      <c r="H67" s="130"/>
      <c r="I67" s="130"/>
      <c r="J67" s="129"/>
      <c r="K67" s="129"/>
      <c r="L67" s="129"/>
      <c r="M67" s="129"/>
      <c r="N67" s="129"/>
      <c r="O67" s="129"/>
      <c r="X67" s="261"/>
      <c r="Y67" s="261"/>
      <c r="Z67" s="261"/>
      <c r="AA67" s="261"/>
    </row>
    <row r="68" spans="7:27" x14ac:dyDescent="0.2">
      <c r="G68" s="128"/>
      <c r="H68" s="130"/>
      <c r="I68" s="130"/>
      <c r="J68" s="129"/>
      <c r="K68" s="129"/>
      <c r="L68" s="129"/>
      <c r="M68" s="129"/>
      <c r="N68" s="129"/>
      <c r="O68" s="129"/>
      <c r="X68" s="261"/>
      <c r="Y68" s="261"/>
      <c r="Z68" s="261"/>
      <c r="AA68" s="261"/>
    </row>
    <row r="69" spans="7:27" x14ac:dyDescent="0.2">
      <c r="G69" s="128"/>
      <c r="H69" s="130"/>
      <c r="I69" s="130"/>
      <c r="J69" s="129"/>
      <c r="K69" s="129"/>
      <c r="L69" s="129"/>
      <c r="M69" s="129"/>
      <c r="N69" s="129"/>
      <c r="O69" s="129"/>
      <c r="X69" s="261"/>
      <c r="Y69" s="261"/>
      <c r="Z69" s="261"/>
      <c r="AA69" s="261"/>
    </row>
  </sheetData>
  <mergeCells count="7">
    <mergeCell ref="B5:D5"/>
    <mergeCell ref="H5:I5"/>
    <mergeCell ref="N5:O5"/>
    <mergeCell ref="A1:D1"/>
    <mergeCell ref="A2:D2"/>
    <mergeCell ref="A3:D3"/>
    <mergeCell ref="J5:M5"/>
  </mergeCells>
  <conditionalFormatting sqref="G1:O3">
    <cfRule type="cellIs" dxfId="6" priority="1" operator="notBetween">
      <formula>-1</formula>
      <formula>1</formula>
    </cfRule>
    <cfRule type="cellIs" dxfId="5" priority="2" operator="between">
      <formula>-1</formula>
      <formula>1</formula>
    </cfRule>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U76"/>
  <sheetViews>
    <sheetView zoomScale="115" zoomScaleNormal="115" workbookViewId="0">
      <pane ySplit="3" topLeftCell="A4" activePane="bottomLeft" state="frozen"/>
      <selection activeCell="D26" sqref="D26"/>
      <selection pane="bottomLeft" activeCell="D22" sqref="D22"/>
    </sheetView>
  </sheetViews>
  <sheetFormatPr defaultColWidth="8.85546875" defaultRowHeight="12.75" x14ac:dyDescent="0.2"/>
  <cols>
    <col min="1" max="1" width="13.7109375" style="2" bestFit="1" customWidth="1"/>
    <col min="2" max="2" width="9.42578125" style="2" bestFit="1" customWidth="1"/>
    <col min="3" max="3" width="8.85546875" style="2"/>
    <col min="4" max="4" width="11.28515625" style="2" bestFit="1" customWidth="1"/>
    <col min="5" max="6" width="10.5703125" style="2" hidden="1" customWidth="1"/>
    <col min="7" max="7" width="39.140625" style="2" bestFit="1" customWidth="1"/>
    <col min="8" max="8" width="14.85546875" style="2" bestFit="1" customWidth="1"/>
    <col min="9" max="9" width="16.5703125" style="64" bestFit="1" customWidth="1"/>
    <col min="10" max="11" width="23.28515625" style="2" bestFit="1" customWidth="1"/>
    <col min="12" max="12" width="12.7109375" style="53" bestFit="1" customWidth="1"/>
    <col min="13" max="13" width="13.42578125" style="53" bestFit="1" customWidth="1"/>
    <col min="14" max="14" width="13.85546875" style="2" bestFit="1" customWidth="1"/>
    <col min="15" max="15" width="12.28515625" style="2" bestFit="1" customWidth="1"/>
    <col min="16" max="16" width="11.7109375" style="2" bestFit="1" customWidth="1"/>
    <col min="17" max="17" width="14" style="2" bestFit="1" customWidth="1"/>
    <col min="18" max="18" width="15.42578125" style="2" bestFit="1" customWidth="1"/>
    <col min="19" max="19" width="11.7109375" style="2" bestFit="1" customWidth="1"/>
    <col min="20" max="16384" width="8.85546875" style="2"/>
  </cols>
  <sheetData>
    <row r="1" spans="1:19" x14ac:dyDescent="0.2">
      <c r="A1" s="521" t="s">
        <v>118</v>
      </c>
      <c r="B1" s="521"/>
      <c r="C1" s="521"/>
      <c r="D1" s="521"/>
      <c r="G1" s="449">
        <f>SUM(H7:H95)-SUM(I7:I95)</f>
        <v>3.2961368560791016E-5</v>
      </c>
      <c r="H1" s="449"/>
      <c r="I1" s="449"/>
      <c r="J1" s="449"/>
      <c r="K1" s="449"/>
      <c r="L1" s="449"/>
      <c r="M1" s="449"/>
      <c r="N1" s="449"/>
      <c r="O1" s="449"/>
    </row>
    <row r="2" spans="1:19" x14ac:dyDescent="0.2">
      <c r="A2" s="521" t="s">
        <v>119</v>
      </c>
      <c r="B2" s="521"/>
      <c r="C2" s="521"/>
      <c r="D2" s="521"/>
      <c r="G2" s="449">
        <f>BS!C25-BS!C40</f>
        <v>0</v>
      </c>
      <c r="H2" s="449"/>
      <c r="I2" s="449"/>
      <c r="J2" s="449"/>
      <c r="K2" s="449"/>
      <c r="L2" s="449"/>
      <c r="M2" s="449"/>
      <c r="N2" s="449"/>
      <c r="O2" s="449"/>
    </row>
    <row r="3" spans="1:19" x14ac:dyDescent="0.2">
      <c r="A3" s="521" t="s">
        <v>120</v>
      </c>
      <c r="B3" s="521"/>
      <c r="C3" s="521"/>
      <c r="D3" s="521"/>
      <c r="G3" s="449">
        <f>BS!C23-CF!B44</f>
        <v>-2739690.0668895207</v>
      </c>
      <c r="H3" s="449"/>
      <c r="I3" s="449"/>
      <c r="J3" s="449"/>
      <c r="K3" s="449"/>
      <c r="L3" s="449"/>
      <c r="M3" s="449"/>
      <c r="N3" s="449"/>
      <c r="O3" s="449"/>
    </row>
    <row r="4" spans="1:19" x14ac:dyDescent="0.2">
      <c r="A4" s="3"/>
      <c r="H4" s="5"/>
      <c r="K4" s="5"/>
      <c r="L4" s="49"/>
      <c r="M4" s="49"/>
    </row>
    <row r="5" spans="1:19" x14ac:dyDescent="0.2">
      <c r="A5" s="39"/>
      <c r="B5" s="517" t="s">
        <v>116</v>
      </c>
      <c r="C5" s="517"/>
      <c r="D5" s="517"/>
      <c r="H5" s="518" t="s">
        <v>117</v>
      </c>
      <c r="I5" s="518"/>
      <c r="J5" s="519" t="s">
        <v>114</v>
      </c>
      <c r="K5" s="519"/>
      <c r="L5" s="519"/>
      <c r="M5" s="519"/>
      <c r="N5" s="520" t="s">
        <v>115</v>
      </c>
      <c r="O5" s="520"/>
    </row>
    <row r="6" spans="1:19" s="1" customFormat="1" x14ac:dyDescent="0.2">
      <c r="A6" s="40"/>
      <c r="B6" s="41" t="s">
        <v>68</v>
      </c>
      <c r="C6" s="41" t="s">
        <v>69</v>
      </c>
      <c r="D6" s="41" t="s">
        <v>70</v>
      </c>
      <c r="E6" s="1" t="s">
        <v>71</v>
      </c>
      <c r="F6" s="1" t="s">
        <v>71</v>
      </c>
      <c r="G6" s="29" t="s">
        <v>58</v>
      </c>
      <c r="H6" s="31" t="s">
        <v>55</v>
      </c>
      <c r="I6" s="93" t="s">
        <v>56</v>
      </c>
      <c r="J6" s="34" t="s">
        <v>109</v>
      </c>
      <c r="K6" s="34" t="s">
        <v>109</v>
      </c>
      <c r="L6" s="50" t="s">
        <v>143</v>
      </c>
      <c r="M6" s="50" t="s">
        <v>143</v>
      </c>
      <c r="N6" s="44" t="s">
        <v>55</v>
      </c>
      <c r="O6" s="44" t="s">
        <v>56</v>
      </c>
    </row>
    <row r="7" spans="1:19" x14ac:dyDescent="0.2">
      <c r="A7" s="42" t="s">
        <v>112</v>
      </c>
      <c r="B7" s="43">
        <v>2025</v>
      </c>
      <c r="C7" s="43">
        <v>1</v>
      </c>
      <c r="D7" s="43">
        <v>1</v>
      </c>
      <c r="E7" s="2">
        <f>DATE(B7,C7,D7)-1</f>
        <v>45657</v>
      </c>
      <c r="F7" s="2">
        <f>DATE(B7,C7,D7)</f>
        <v>45658</v>
      </c>
      <c r="G7" s="2" t="str">
        <f>'Chart of Accounts'!B3</f>
        <v>Investments in stock</v>
      </c>
      <c r="H7" s="32">
        <f>MAX(0,SUMIFS(Journals!$K$9:$K$1011204,Journals!$D$9:$D$1011204,"&gt;"&amp;$E$7,Journals!$D$9:$D$1011204,"&lt;"&amp;$E$8,Journals!$J$9:$J$1011204,"investments in stock")-SUMIFS(Journals!$L$9:$L$1011204,Journals!$D$9:$D$1011204,"&gt;"&amp;$E$7,Journals!$D$9:$D$1011204,"&lt;"&amp;$E$8,Journals!$J$9:$J$1011204,"investments in stock"))</f>
        <v>121639105.84999996</v>
      </c>
      <c r="I7" s="94">
        <f>MAX(0,SUMIFS(Journals!$L$9:$L$1011204,Journals!$D$9:$D$1011204,"&gt;"&amp;$E$7,Journals!$D$9:$D$1011204,"&lt;"&amp;$E$8,Journals!$J$9:$J$1011204,"Investments in stock")-SUMIFS(Journals!$K$9:$K$1011204,Journals!$D$9:$D$1011204,"&gt;"&amp;$E$7,Journals!$D$9:$D$1011204,"&lt;"&amp;$E$8,Journals!$J$9:$J$1011204,"Investments in stock"))</f>
        <v>0</v>
      </c>
      <c r="J7" s="35">
        <f>SUMIFS(Journals!$K$9:$K$1011204,Journals!$D$9:$D$1011204,"&lt;"&amp;$F$7,Journals!$J$9:$J$1011204,"investments in stock")-SUMIFS(Journals!$L$9:$L$1011204,Journals!$D$9:$D$1011204,"&lt;"&amp;$F$7,Journals!$J$9:$J$1011204,"investments in stock")</f>
        <v>86882080.660744548</v>
      </c>
      <c r="K7" s="35"/>
      <c r="L7" s="51">
        <f>J7+H7-I7</f>
        <v>208521186.51074451</v>
      </c>
      <c r="M7" s="51"/>
      <c r="N7" s="37"/>
      <c r="O7" s="37"/>
      <c r="R7" s="5"/>
      <c r="S7" s="25"/>
    </row>
    <row r="8" spans="1:19" x14ac:dyDescent="0.2">
      <c r="A8" s="42" t="s">
        <v>113</v>
      </c>
      <c r="B8" s="43">
        <v>2025</v>
      </c>
      <c r="C8" s="43">
        <v>12</v>
      </c>
      <c r="D8" s="43">
        <v>31</v>
      </c>
      <c r="E8" s="2">
        <f>DATE(B8,C8,D8)+1</f>
        <v>46023</v>
      </c>
      <c r="F8" s="2">
        <f>DATE(B8,C8,D8)</f>
        <v>46022</v>
      </c>
      <c r="G8" s="30" t="str">
        <f>'Chart of Accounts'!B4</f>
        <v>Interest Receivables from Bank A/C</v>
      </c>
      <c r="H8" s="33">
        <f>MAX(0,SUMIFS(Journals!$K$9:$K$1011204,Journals!$D$9:$D$1011204,"&gt;"&amp;$E$7,Journals!$D$9:$D$1011204,"&lt;"&amp;$E$8,Journals!$J$9:$J$1011204,"Interest Receivables from Bank A/C")-SUMIFS(Journals!$L$9:$L$1011204,Journals!$D$9:$D$1011204,"&gt;"&amp;$E$7,Journals!$D$9:$D$1011204,"&lt;"&amp;$E$8,Journals!$J$9:$J$1011204,"Interest Receivables from Bank A/C"))</f>
        <v>6917.47001634771</v>
      </c>
      <c r="I8" s="95">
        <f>MAX(0,SUMIFS(Journals!$L$9:$L$1011204,Journals!$D$9:$D$1011204,"&gt;"&amp;$E$7,Journals!$D$9:$D$1011204,"&lt;"&amp;$E$8,Journals!$J$9:$J$1011204,"Interest Receivables from Bank A/C")-SUMIFS(Journals!$K$9:$K$1011204,Journals!$D$9:$D$1011204,"&gt;"&amp;$E$7,Journals!$D$9:$D$1011204,"&lt;"&amp;$E$8,Journals!$J$9:$J$1011204,"Interest Receivables from Bank A/C"))</f>
        <v>0</v>
      </c>
      <c r="J8" s="36">
        <f>SUMIFS(Journals!$K$9:$K$1011204,Journals!$D$9:$D$1011204,"&lt;"&amp;$F$7,Journals!$J$9:$J$1011204,"Interest Receivables from Bank A/C")-SUMIFS(Journals!$L$9:$L$1011204,Journals!$D$9:$D$1011204,"&lt;"&amp;$F$7,Journals!$J$9:$J$1011204,"Interest Receivables from Bank A/C")</f>
        <v>684.0999999998603</v>
      </c>
      <c r="K8" s="36"/>
      <c r="L8" s="52">
        <f>J8+H8-I8</f>
        <v>7601.5700163475703</v>
      </c>
      <c r="M8" s="52"/>
      <c r="N8" s="38"/>
      <c r="O8" s="38"/>
      <c r="P8" s="25"/>
      <c r="R8" s="5"/>
      <c r="S8" s="25"/>
    </row>
    <row r="9" spans="1:19" x14ac:dyDescent="0.2">
      <c r="G9" s="30" t="str">
        <f>'Chart of Accounts'!B5</f>
        <v>Preliminary &amp; issue expenses</v>
      </c>
      <c r="H9" s="33">
        <f>MAX(0,SUMIFS(Journals!$K$9:$K$1011204,Journals!$D$9:$D$1011204,"&gt;"&amp;$E$7,Journals!$D$9:$D$1011204,"&lt;"&amp;$E$8,Journals!$J$9:$J$1011204,"Preliminary &amp; issue expenses")-SUMIFS(Journals!$L$9:$L$1011204,Journals!$D$9:$D$1011204,"&gt;"&amp;$E$7,Journals!$D$9:$D$1011204,"&lt;"&amp;$E$8,Journals!$J$9:$J$1011204,"Preliminary &amp; issue expenses"))</f>
        <v>0</v>
      </c>
      <c r="I9" s="95">
        <f>MAX(0,SUMIFS(Journals!$L$9:$L$1011204,Journals!$D$9:$D$1011204,"&gt;"&amp;$E$7,Journals!$D$9:$D$1011204,"&lt;"&amp;$E$8,Journals!$J$9:$J$1011204,"Preliminary &amp; issue expenses")-SUMIFS(Journals!$K$9:$K$1011204,Journals!$D$9:$D$1011204,"&gt;"&amp;$E$7,Journals!$D$9:$D$1011204,"&lt;"&amp;$E$8,Journals!$J$9:$J$1011204,"Preliminary &amp; issue expenses"))</f>
        <v>142464.67817896401</v>
      </c>
      <c r="J9" s="36">
        <f>SUMIFS(Journals!$K$9:$K$1011204,Journals!$D$9:$D$1011204,"&lt;"&amp;$F$7,Journals!$J$9:$J$1011204,"Preliminary &amp; issue expenses")-SUMIFS(Journals!$L$9:$L$1011204,Journals!$D$9:$D$1011204,"&lt;"&amp;$F$7,Journals!$J$9:$J$1011204,"Preliminary &amp; issue expenses")</f>
        <v>316327.51243328233</v>
      </c>
      <c r="K9" s="36"/>
      <c r="L9" s="52">
        <f>J9+H9-I9</f>
        <v>173862.83425431832</v>
      </c>
      <c r="M9" s="52"/>
      <c r="N9" s="38"/>
      <c r="O9" s="38"/>
      <c r="R9" s="5"/>
      <c r="S9" s="25"/>
    </row>
    <row r="10" spans="1:19" x14ac:dyDescent="0.2">
      <c r="G10" s="30" t="s">
        <v>47</v>
      </c>
      <c r="H10" s="33">
        <f>SUMIFS(Journals!$K$9:$K$1010900,Journals!$D$9:$D$1010900,"&gt;"&amp;$E$7,Journals!$D$9:$D$1010900,"&lt;"&amp;$E$8,Journals!$J$9:$J$1010900,"Accrued Management Fee")</f>
        <v>1705923.2735294118</v>
      </c>
      <c r="I10" s="95">
        <f>MAX(0,SUMIFS(Journals!$L$9:$L$1011204,Journals!$D$9:$D$1011204,"&gt;"&amp;$E$7,Journals!$D$9:$D$1011204,"&lt;"&amp;$E$8,Journals!$J$9:$J$1011204,"Accrued Management Fee"))</f>
        <v>3748377.1357197445</v>
      </c>
      <c r="J10" s="36"/>
      <c r="K10" s="36">
        <f>SUMIFS(Journals!$L$9:$L$1011204,Journals!$D$9:$D$1011204,"&lt;"&amp;$F$7,Journals!$J$9:$J$1011204,"Accrued Management Fee")-SUMIFS(Journals!$K$9:$K$1011204,Journals!$D$9:$D$1011204,"&lt;"&amp;$F$7,Journals!$J$9:$J$1011204,"Accrued Management Fee")</f>
        <v>913900.66916680336</v>
      </c>
      <c r="L10" s="52"/>
      <c r="M10" s="52">
        <f t="shared" ref="M10:M19" si="0">K10+I10-H10</f>
        <v>2956354.5313571361</v>
      </c>
      <c r="N10" s="38"/>
      <c r="O10" s="38"/>
      <c r="R10" s="5"/>
      <c r="S10" s="25"/>
    </row>
    <row r="11" spans="1:19" x14ac:dyDescent="0.2">
      <c r="G11" s="30" t="str">
        <f>'Chart of Accounts'!B7</f>
        <v>Accrued Trustee Fee</v>
      </c>
      <c r="H11" s="33">
        <f>MAX(0,SUMIFS(Journals!$K$9:$K$1011204,Journals!$D$9:$D$1011204,"&gt;"&amp;$E$7,Journals!$D$9:$D$1011204,"&lt;"&amp;$E$8,Journals!$J$9:$J$1011204,"accrued trustee fee")-SUMIFS(Journals!$L$9:$L$1011204,Journals!$D$9:$D$1011204,"&gt;"&amp;$E$7,Journals!$D$9:$D$1011204,"&lt;"&amp;$E$8,Journals!$J$9:$J$1011204,"accrued trustee fee"))</f>
        <v>0</v>
      </c>
      <c r="I11" s="95">
        <f>MAX(0,SUMIFS(Journals!$L$9:$L$1011204,Journals!$D$9:$D$1011204,"&gt;"&amp;$E$7,Journals!$D$9:$D$1011204,"&lt;"&amp;$E$8,Journals!$J$9:$J$1011204,"accrued trustee fee")-SUMIFS(Journals!$K$9:$K$1011204,Journals!$D$9:$D$1011204,"&gt;"&amp;$E$7,Journals!$D$9:$D$1011204,"&lt;"&amp;$E$8,Journals!$J$9:$J$1011204,"accrued trustee fee"))</f>
        <v>37067.555857201747</v>
      </c>
      <c r="J11" s="36"/>
      <c r="K11" s="36">
        <f>SUMIFS(Journals!$L$9:$L$1011204,Journals!$D$9:$D$1011204,"&lt;"&amp;$F$7,Journals!$J$9:$J$1011204,"Accrued Trustee Fee")-SUMIFS(Journals!$K$9:$K$1011204,Journals!$D$9:$D$1011204,"&lt;"&amp;$F$7,Journals!$J$9:$J$1011204,"Accrued Trustee Fee")</f>
        <v>68949.105063658208</v>
      </c>
      <c r="L11" s="52"/>
      <c r="M11" s="52">
        <f t="shared" si="0"/>
        <v>106016.66092085995</v>
      </c>
      <c r="N11" s="38"/>
      <c r="O11" s="38"/>
      <c r="R11" s="5"/>
      <c r="S11" s="25"/>
    </row>
    <row r="12" spans="1:19" x14ac:dyDescent="0.2">
      <c r="G12" s="30" t="str">
        <f>'Chart of Accounts'!B8</f>
        <v>Accrued Custodian Fee</v>
      </c>
      <c r="H12" s="33">
        <f>MAX(0,SUMIFS(Journals!$K$9:$K$1011204,Journals!$D$9:$D$1011204,"&gt;"&amp;$E$7,Journals!$D$9:$D$1011204,"&lt;"&amp;$E$8,Journals!$J$9:$J$1011204,"accrued custodian fee")-SUMIFS(Journals!$L$9:$L$1011204,Journals!$D$9:$D$1011204,"&gt;"&amp;$E$7,Journals!$D$9:$D$1011204,"&lt;"&amp;$E$8,Journals!$J$9:$J$1011204,"accrued custodian fee"))</f>
        <v>0</v>
      </c>
      <c r="I12" s="95">
        <f>MAX(0,SUMIFS(Journals!$L$9:$L$1011204,Journals!$D$9:$D$1011204,"&gt;"&amp;$E$7,Journals!$D$9:$D$1011204,"&lt;"&amp;$E$8,Journals!$J$9:$J$1011204,"accrued custodian fee")-SUMIFS(Journals!$K$9:$K$1011204,Journals!$D$9:$D$1011204,"&gt;"&amp;$E$7,Journals!$D$9:$D$1011204,"&lt;"&amp;$E$8,Journals!$J$9:$J$1011204,"accrued custodian fee"))</f>
        <v>0</v>
      </c>
      <c r="J12" s="36"/>
      <c r="K12" s="36">
        <f>SUMIFS(Journals!$L$9:$L$1011204,Journals!$D$9:$D$1011204,"&lt;"&amp;$F$7,Journals!$J$9:$J$1011204,"Accrued Custodian Fee")-SUMIFS(Journals!$K$9:$K$1011204,Journals!$D$9:$D$1011204,"&lt;"&amp;$F$7,Journals!$J$9:$J$1011204,"Accrued Custodian Fee")</f>
        <v>0</v>
      </c>
      <c r="L12" s="52"/>
      <c r="M12" s="52">
        <f t="shared" si="0"/>
        <v>0</v>
      </c>
      <c r="N12" s="38"/>
      <c r="O12" s="38"/>
      <c r="R12" s="105"/>
      <c r="S12" s="25"/>
    </row>
    <row r="13" spans="1:19" x14ac:dyDescent="0.2">
      <c r="G13" s="30" t="str">
        <f>'Chart of Accounts'!B9</f>
        <v>Accrued BSEC fee</v>
      </c>
      <c r="H13" s="33">
        <f>MAX(0,SUMIFS(Journals!$K$9:$K$1011204,Journals!$D$9:$D$1011204,"&gt;"&amp;$E$7,Journals!$D$9:$D$1011204,"&lt;"&amp;$E$8,Journals!$J$9:$J$1011204,"accrued bsec fee")-SUMIFS(Journals!$L$9:$L$1011204,Journals!$D$9:$D$1011204,"&gt;"&amp;$E$7,Journals!$D$9:$D$1011204,"&lt;"&amp;$E$8,Journals!$J$9:$J$1011204,"accrued bsec fee"))</f>
        <v>0</v>
      </c>
      <c r="I13" s="95">
        <f>MAX(0,SUMIFS(Journals!$L$9:$L$1011204,Journals!$D$9:$D$1011204,"&gt;"&amp;$E$7,Journals!$D$9:$D$1011204,"&lt;"&amp;$E$8,Journals!$J$9:$J$1011204,"accrued bsec fee")-SUMIFS(Journals!$K$9:$K$1011204,Journals!$D$9:$D$1011204,"&gt;"&amp;$E$7,Journals!$D$9:$D$1011204,"&lt;"&amp;$E$8,Journals!$J$9:$J$1011204,"accrued bsec fee"))</f>
        <v>0</v>
      </c>
      <c r="J13" s="36"/>
      <c r="K13" s="36">
        <f>SUMIFS(Journals!$L$9:$L$1011204,Journals!$D$9:$D$1011204,"&lt;"&amp;$F$7,Journals!$J$9:$J$1011204,"accrued bsec fee")-SUMIFS(Journals!$K$9:$K$1011204,Journals!$D$9:$D$1011204,"&lt;"&amp;$F$7,Journals!$J$9:$J$1011204,"accrued bsec fee")</f>
        <v>0</v>
      </c>
      <c r="L13" s="52"/>
      <c r="M13" s="52">
        <f t="shared" si="0"/>
        <v>0</v>
      </c>
      <c r="N13" s="38"/>
      <c r="O13" s="38"/>
      <c r="Q13" s="3"/>
      <c r="R13" s="3"/>
      <c r="S13" s="25"/>
    </row>
    <row r="14" spans="1:19" x14ac:dyDescent="0.2">
      <c r="G14" s="30" t="str">
        <f>'Chart of Accounts'!B10</f>
        <v>Accrued Audit Fee</v>
      </c>
      <c r="H14" s="33">
        <f>MAX(0,SUMIFS(Journals!$K$9:$K$1011204,Journals!$D$9:$D$1011204,"&gt;"&amp;$E$7,Journals!$D$9:$D$1011204,"&lt;"&amp;$E$8,Journals!$J$9:$J$1011204,"accrued audit fee")-SUMIFS(Journals!$L$9:$L$1011204,Journals!$D$9:$D$1011204,"&gt;"&amp;$E$7,Journals!$D$9:$D$1011204,"&lt;"&amp;$E$8,Journals!$J$9:$J$1011204,"accrued audit fee"))</f>
        <v>0</v>
      </c>
      <c r="I14" s="95">
        <f>MAX(0,SUMIFS(Journals!$L$9:$L$1011204,Journals!$D$9:$D$1011204,"&gt;"&amp;$E$7,Journals!$D$9:$D$1011204,"&lt;"&amp;$E$8,Journals!$J$9:$J$1011204,"accrued audit fee")-SUMIFS(Journals!$K$9:$K$1011204,Journals!$D$9:$D$1011204,"&gt;"&amp;$E$7,Journals!$D$9:$D$1011204,"&lt;"&amp;$E$8,Journals!$J$9:$J$1011204,"accrued audit fee"))</f>
        <v>0</v>
      </c>
      <c r="J14" s="36"/>
      <c r="K14" s="36">
        <f>SUMIFS(Journals!$L$9:$L$1011204,Journals!$D$9:$D$1011204,"&lt;"&amp;$F$7,Journals!$J$9:$J$1011204,"accrued audit fee")-SUMIFS(Journals!$K$9:$K$1011204,Journals!$D$9:$D$1011204,"&lt;"&amp;$F$7,Journals!$J$9:$J$1011204,"accrued audit fee")</f>
        <v>45999.996666666644</v>
      </c>
      <c r="L14" s="52"/>
      <c r="M14" s="52">
        <f t="shared" si="0"/>
        <v>45999.996666666644</v>
      </c>
      <c r="N14" s="38"/>
      <c r="O14" s="38"/>
      <c r="Q14" s="3"/>
      <c r="R14" s="3"/>
      <c r="S14" s="25"/>
    </row>
    <row r="15" spans="1:19" x14ac:dyDescent="0.2">
      <c r="G15" s="30" t="str">
        <f>'Chart of Accounts'!B11</f>
        <v>Accrued CDBL Fee</v>
      </c>
      <c r="H15" s="33">
        <f>MAX(0,SUMIFS(Journals!$K$9:$K$1011204,Journals!$D$9:$D$1011204,"&gt;"&amp;$E$7,Journals!$D$9:$D$1011204,"&lt;"&amp;$E$8,Journals!$J$9:$J$1011204,"accrued CDBL fee")-SUMIFS(Journals!$L$9:$L$1011204,Journals!$D$9:$D$1011204,"&gt;"&amp;$E$7,Journals!$D$9:$D$1011204,"&lt;"&amp;$E$8,Journals!$J$9:$J$1011204,"accrued CDBL fee"))</f>
        <v>0</v>
      </c>
      <c r="I15" s="95">
        <f>MAX(0,SUMIFS(Journals!$L$9:$L$1011204,Journals!$D$9:$D$1011204,"&gt;"&amp;$E$7,Journals!$D$9:$D$1011204,"&lt;"&amp;$E$8,Journals!$J$9:$J$1011204,"accrued CDBL fee")-SUMIFS(Journals!$K$9:$K$1011204,Journals!$D$9:$D$1011204,"&gt;"&amp;$E$7,Journals!$D$9:$D$1011204,"&lt;"&amp;$E$8,Journals!$J$9:$J$1011204,"accrued CDBL fee"))</f>
        <v>0</v>
      </c>
      <c r="J15" s="36"/>
      <c r="K15" s="36">
        <f>SUMIFS(Journals!$L$9:$L$1011204,Journals!$D$9:$D$1011204,"&lt;"&amp;$F$7,Journals!$J$9:$J$1011204,"accrued cdbl fee")-SUMIFS(Journals!$K$9:$K$1011204,Journals!$D$9:$D$1011204,"&lt;"&amp;$F$7,Journals!$J$9:$J$1011204,"accrued cdbl fee")</f>
        <v>0</v>
      </c>
      <c r="L15" s="52"/>
      <c r="M15" s="52">
        <f t="shared" si="0"/>
        <v>0</v>
      </c>
      <c r="N15" s="38"/>
      <c r="O15" s="38"/>
      <c r="R15" s="5"/>
      <c r="S15" s="25"/>
    </row>
    <row r="16" spans="1:19" x14ac:dyDescent="0.2">
      <c r="G16" s="30" t="str">
        <f>'Chart of Accounts'!B12</f>
        <v>Fixed Deposit Receipts (FDR)</v>
      </c>
      <c r="H16" s="33">
        <f>MAX(0,SUMIFS(Journals!$K$9:$K$1011204,Journals!$D$9:$D$1011204,"&gt;"&amp;$E$7,Journals!$D$9:$D$1011204,"&lt;"&amp;$E$8,Journals!$J$9:$J$1011204,"Fixed Deposit Receipts (FDR)")-SUMIFS(Journals!$L$9:$L$1011204,Journals!$D$9:$D$1011204,"&gt;"&amp;$E$7,Journals!$D$9:$D$1011204,"&lt;"&amp;$E$8,Journals!$J$9:$J$1011204,"Fixed Deposit Receipts (FDR)"))</f>
        <v>0</v>
      </c>
      <c r="I16" s="95">
        <f>MAX(0,SUMIFS(Journals!$L$9:$L$1011204,Journals!$D$9:$D$1011204,"&gt;"&amp;$E$7,Journals!$D$9:$D$1011204,"&lt;"&amp;$E$8,Journals!$J$9:$J$1011204,"Fixed Deposit Receipts (FDR)")-SUMIFS(Journals!$K$9:$K$1011204,Journals!$D$9:$D$1011204,"&gt;"&amp;$E$7,Journals!$D$9:$D$1011204,"&lt;"&amp;$E$8,Journals!$J$9:$J$1011204,"Fixed Deposit Receipts (FDR)"))</f>
        <v>0</v>
      </c>
      <c r="J16" s="36">
        <f>SUMIFS(Journals!$K$9:$K$1011204,Journals!$D$9:$D$1011204,"&lt;"&amp;$F$7,Journals!$J$9:$J$1011204,"Fixed Deposit Receipts (FDR)")-SUMIFS(Journals!$L$9:$L$1011204,Journals!$D$9:$D$1011204,"&lt;"&amp;$F$7,Journals!$J$9:$J$1011204,"Fixed Deposit Receipts (FDR)")</f>
        <v>6000000</v>
      </c>
      <c r="K16" s="36"/>
      <c r="L16" s="52">
        <f>J16+H16-I16</f>
        <v>6000000</v>
      </c>
      <c r="M16" s="52"/>
      <c r="N16" s="38"/>
      <c r="O16" s="38"/>
      <c r="R16" s="5"/>
      <c r="S16" s="25"/>
    </row>
    <row r="17" spans="2:21" x14ac:dyDescent="0.2">
      <c r="D17" s="5"/>
      <c r="G17" s="30" t="str">
        <f>'Chart of Accounts'!B13</f>
        <v>Cash and cash equivalents</v>
      </c>
      <c r="H17" s="33">
        <f>MAX(0,SUMIFS(Journals!$K$9:$K$1011204,Journals!$D$9:$D$1011204,"&gt;"&amp;$E$7,Journals!$D$9:$D$1011204,"&lt;"&amp;$E$8,Journals!$J$9:$J$1011204,"Cash and cash equivalents")-SUMIFS(Journals!$L$9:$L$1011204,Journals!$D$9:$D$1011204,"&gt;"&amp;$E$7,Journals!$D$9:$D$1011204,"&lt;"&amp;$E$8,Journals!$J$9:$J$1011204,"Cash and cash equivalents"))</f>
        <v>0</v>
      </c>
      <c r="I17" s="95">
        <f>MAX(0,SUMIFS(Journals!$L$9:$L$1011204,Journals!$D$9:$D$1011204,"&gt;"&amp;$E$7,Journals!$D$9:$D$1011204,"&lt;"&amp;$E$8,Journals!$J$9:$J$1011204,"Cash and cash equivalents")-SUMIFS(Journals!$K$9:$K$1011204,Journals!$D$9:$D$1011204,"&gt;"&amp;$E$7,Journals!$D$9:$D$1011204,"&lt;"&amp;$E$8,Journals!$J$9:$J$1011204,"Cash and cash equivalents"))</f>
        <v>21065069.205983937</v>
      </c>
      <c r="J17" s="36">
        <f>SUMIFS(Journals!$K$9:$K$1011204,Journals!$D$9:$D$1011204,"&lt;"&amp;$F$7,Journals!$J$9:$J$1011204,"Cash and cash equivalents")-SUMIFS(Journals!$L$9:$L$1011204,Journals!$D$9:$D$1011204,"&lt;"&amp;$F$7,Journals!$J$9:$J$1011204,"Cash and cash equivalents")</f>
        <v>22849633.033699512</v>
      </c>
      <c r="K17" s="36"/>
      <c r="L17" s="52">
        <f>J17+H17-I17</f>
        <v>1784563.8277155757</v>
      </c>
      <c r="M17" s="52"/>
      <c r="N17" s="38"/>
      <c r="O17" s="38"/>
      <c r="R17" s="5"/>
      <c r="S17" s="25"/>
    </row>
    <row r="18" spans="2:21" x14ac:dyDescent="0.2">
      <c r="G18" s="30" t="str">
        <f>'Chart of Accounts'!B14</f>
        <v>Unit Capital</v>
      </c>
      <c r="H18" s="33">
        <f>MAX(0,SUMIFS(Journals!$K$9:$K$1011204,Journals!$D$9:$D$1011204,"&gt;"&amp;$E$7,Journals!$D$9:$D$1011204,"&lt;"&amp;$E$8,Journals!$J$9:$J$1011204,"unit capital"))</f>
        <v>34224720</v>
      </c>
      <c r="I18" s="95">
        <f>MAX(0,SUMIFS(Journals!$L$9:$L$1011204,Journals!$D$9:$D$1011204,"&gt;"&amp;$E$7,Journals!$D$9:$D$1011204,"&lt;"&amp;$E$8,Journals!$J$9:$J$1011204,"unit capital"))</f>
        <v>82095460</v>
      </c>
      <c r="J18" s="36"/>
      <c r="K18" s="36">
        <f>SUMIFS(Journals!$L$9:$L$1011204,Journals!$D$9:$D$1011204,"&lt;"&amp;$F$7,Journals!$J$9:$J$1011204,"unit capital")-SUMIFS(Journals!$K$9:$K$1011204,Journals!$D$9:$D$1011204,"&lt;"&amp;$F$7,Journals!$J$9:$J$1011204,"unit capital")</f>
        <v>108240270</v>
      </c>
      <c r="L18" s="52"/>
      <c r="M18" s="52">
        <f t="shared" si="0"/>
        <v>156111010</v>
      </c>
      <c r="N18" s="38"/>
      <c r="O18" s="38"/>
      <c r="R18" s="5"/>
      <c r="S18" s="25"/>
    </row>
    <row r="19" spans="2:21" ht="15" x14ac:dyDescent="0.25">
      <c r="B19"/>
      <c r="G19" s="30" t="str">
        <f>'Chart of Accounts'!B15</f>
        <v>Unit premium reserve</v>
      </c>
      <c r="H19" s="33">
        <f>MAX(0,SUMIFS(Journals!$K$9:$K$1011204,Journals!$D$9:$D$1011204,"&gt;"&amp;$E$7,Journals!$D$9:$D$1011204,"&lt;"&amp;$E$8,Journals!$J$9:$J$1011204,"Unit premium reserve"))</f>
        <v>12007798.330000002</v>
      </c>
      <c r="I19" s="95">
        <f>MAX(0,SUMIFS(Journals!$L$9:$L$1011204,Journals!$D$9:$D$1011204,"&gt;"&amp;$E$7,Journals!$D$9:$D$1011204,"&lt;"&amp;$E$8,Journals!$J$9:$J$1011204,"unit premium reserve"))</f>
        <v>30623393.620000001</v>
      </c>
      <c r="J19" s="36"/>
      <c r="K19" s="36">
        <f>SUMIFS(Journals!$L$9:$L$1011204,Journals!$D$9:$D$1011204,"&lt;"&amp;$F$7,Journals!$J$9:$J$1011204,"unit premium reserve")-SUMIFS(Journals!$K$9:$K$1011204,Journals!$D$9:$D$1011204,"&lt;"&amp;$F$7,Journals!$J$9:$J$1011204,"unit premium reserve")</f>
        <v>-8188472.147999987</v>
      </c>
      <c r="L19" s="52"/>
      <c r="M19" s="52">
        <f t="shared" si="0"/>
        <v>10427123.142000012</v>
      </c>
      <c r="N19" s="38"/>
      <c r="O19" s="38"/>
      <c r="R19" s="5"/>
      <c r="S19" s="25"/>
    </row>
    <row r="20" spans="2:21" ht="15" x14ac:dyDescent="0.25">
      <c r="B20"/>
      <c r="G20" s="30" t="s">
        <v>60</v>
      </c>
      <c r="H20" s="33">
        <f>MAX(0,SUMIFS(Journals!$K$9:$K$1011204,Journals!$D$9:$D$1011204,"&gt;"&amp;$E$7,Journals!$D$9:$D$1011204,"&lt;"&amp;$E$8,Journals!$J$9:$J$1011204,"Interest income")-SUMIFS(Journals!$L$9:$L$1011204,Journals!$D$9:$D$1011204,"&gt;"&amp;$E$7,Journals!$D$9:$D$1011204,"&lt;"&amp;$E$8,Journals!$J$9:$J$1011204,"Interest income"))</f>
        <v>0</v>
      </c>
      <c r="I20" s="95">
        <f>MAX(0,SUMIFS(Journals!$L$9:$L$1011204,Journals!$D$9:$D$1011204,"&gt;"&amp;$E$7,Journals!$D$9:$D$1011204,"&lt;"&amp;$E$8,Journals!$J$9:$J$1011204,"Interest income")-SUMIFS(Journals!$K$9:$K$1011204,Journals!$D$9:$D$1011204,"&gt;"&amp;$E$7,Journals!$D$9:$D$1011204,"&lt;"&amp;$E$8,Journals!$J$9:$J$1011204,"Interest income"))</f>
        <v>3480053.3907141495</v>
      </c>
      <c r="J20" s="36"/>
      <c r="K20" s="36"/>
      <c r="L20" s="52"/>
      <c r="M20" s="52"/>
      <c r="N20" s="38"/>
      <c r="O20" s="38">
        <f>SUMIFS(Journals!$L$9:$L$1011204,Journals!$D$9:$D$1011204,"&lt;"&amp;$F$7,Journals!$J$9:$J$1011204,"interest income")-SUMIFS(Journals!$K$9:$K$1011204,Journals!$D$9:$D$1011204,"&lt;"&amp;$F$7,Journals!$J$9:$J$1011204,"interest income")</f>
        <v>12633986.79111111</v>
      </c>
      <c r="Q20" s="3"/>
      <c r="R20" s="3"/>
      <c r="S20" s="25"/>
      <c r="T20" s="5"/>
      <c r="U20" s="5"/>
    </row>
    <row r="21" spans="2:21" ht="15" x14ac:dyDescent="0.25">
      <c r="B21"/>
      <c r="G21" s="30" t="s">
        <v>2153</v>
      </c>
      <c r="H21" s="33">
        <f>MAX(0,SUMIFS(Journals!$K$9:$K$1011204,Journals!$D$9:$D$1011204,"&gt;"&amp;$E$7,Journals!$D$9:$D$1011204,"&lt;"&amp;$E$8,Journals!$J$9:$J$1011204,"Interest income from FDR")-SUMIFS(Journals!$L$9:$L$1011204,Journals!$D$9:$D$1011204,"&gt;"&amp;$E$7,Journals!$D$9:$D$1011204,"&lt;"&amp;$E$8,Journals!$J$9:$J$1011204,"Interest income from FDR"))</f>
        <v>0</v>
      </c>
      <c r="I21" s="95">
        <f>MAX(0,SUMIFS(Journals!$L$9:$L$1011204,Journals!$D$9:$D$1011204,"&gt;"&amp;$E$7,Journals!$D$9:$D$1011204,"&lt;"&amp;$E$8,Journals!$J$9:$J$1011204,"Interest income from FDR")-SUMIFS(Journals!$K$9:$K$1011204,Journals!$D$9:$D$1011204,"&gt;"&amp;$E$7,Journals!$D$9:$D$1011204,"&lt;"&amp;$E$8,Journals!$J$9:$J$1011204,"Interest income from FDR"))</f>
        <v>0</v>
      </c>
      <c r="J21" s="36"/>
      <c r="K21" s="36"/>
      <c r="L21" s="52"/>
      <c r="M21" s="52"/>
      <c r="N21" s="38"/>
      <c r="O21" s="38">
        <f>SUMIFS(Journals!$L$9:$L$1011204,Journals!$D$9:$D$1011204,"&lt;"&amp;$F$7,Journals!$J$9:$J$1011204,"Interest income from FDR")-SUMIFS(Journals!$K$9:$K$1011204,Journals!$D$9:$D$1011204,"&lt;"&amp;$F$7,Journals!$J$9:$J$1011204,"Interest income from FDR")</f>
        <v>0</v>
      </c>
      <c r="Q21" s="3"/>
      <c r="R21" s="3"/>
      <c r="S21" s="25"/>
      <c r="T21" s="5"/>
      <c r="U21" s="5"/>
    </row>
    <row r="22" spans="2:21" ht="15" x14ac:dyDescent="0.25">
      <c r="B22"/>
      <c r="G22" s="30" t="s">
        <v>2154</v>
      </c>
      <c r="H22" s="33">
        <f>MAX(0,SUMIFS(Journals!$K$9:$K$1011204,Journals!$D$9:$D$1011204,"&gt;"&amp;$E$7,Journals!$D$9:$D$1011204,"&lt;"&amp;$E$8,Journals!$J$9:$J$1011204,"Interest income from Renata Pref. Share")-SUMIFS(Journals!$L$9:$L$1011204,Journals!$D$9:$D$1011204,"&gt;"&amp;$E$7,Journals!$D$9:$D$1011204,"&lt;"&amp;$E$8,Journals!$J$9:$J$1011204,"Interest income from Renata Pref. Share"))</f>
        <v>0</v>
      </c>
      <c r="I22" s="95">
        <f>MAX(0,SUMIFS(Journals!$L$9:$L$1011204,Journals!$D$9:$D$1011204,"&gt;"&amp;$E$7,Journals!$D$9:$D$1011204,"&lt;"&amp;$E$8,Journals!$J$9:$J$1011204,"Interest income from Renata Pref. Share")-SUMIFS(Journals!$K$9:$K$1011204,Journals!$D$9:$D$1011204,"&gt;"&amp;$E$7,Journals!$D$9:$D$1011204,"&lt;"&amp;$E$8,Journals!$J$9:$J$1011204,"Interest income from Renata Pref. Share"))</f>
        <v>402053.57142857125</v>
      </c>
      <c r="J22" s="36"/>
      <c r="K22" s="36"/>
      <c r="L22" s="52"/>
      <c r="M22" s="52"/>
      <c r="N22" s="38"/>
      <c r="O22" s="38">
        <f>SUMIFS(Journals!$L$9:$L$1011204,Journals!$D$9:$D$1011204,"&lt;"&amp;$F$7,Journals!$J$9:$J$1011204,"Interest income from Renata Pref. Share")-SUMIFS(Journals!$K$9:$K$1011204,Journals!$D$9:$D$1011204,"&lt;"&amp;$F$7,Journals!$J$9:$J$1011204,"Interest income from Renata Pref. Share")</f>
        <v>0</v>
      </c>
      <c r="Q22" s="3"/>
      <c r="R22" s="3"/>
      <c r="S22" s="25"/>
      <c r="T22" s="5"/>
      <c r="U22" s="5"/>
    </row>
    <row r="23" spans="2:21" ht="15" x14ac:dyDescent="0.25">
      <c r="B23"/>
      <c r="G23" s="30" t="s">
        <v>2155</v>
      </c>
      <c r="H23" s="33">
        <f>MAX(0,SUMIFS(Journals!$K$9:$K$1011204,Journals!$D$9:$D$1011204,"&gt;"&amp;$E$7,Journals!$D$9:$D$1011204,"&lt;"&amp;$E$8,Journals!$J$9:$J$1011204,"Interest income from Bank Acc.")-SUMIFS(Journals!$L$9:$L$1011204,Journals!$D$9:$D$1011204,"&gt;"&amp;$E$7,Journals!$D$9:$D$1011204,"&lt;"&amp;$E$8,Journals!$J$9:$J$1011204,"Interest income from Bank Acc."))</f>
        <v>0</v>
      </c>
      <c r="I23" s="95">
        <f>MAX(0,SUMIFS(Journals!$L$9:$L$1011204,Journals!$D$9:$D$1011204,"&gt;"&amp;$E$7,Journals!$D$9:$D$1011204,"&lt;"&amp;$E$8,Journals!$J$9:$J$1011204,"Interest income from Bank Acc.")-SUMIFS(Journals!$K$9:$K$1011204,Journals!$D$9:$D$1011204,"&gt;"&amp;$E$7,Journals!$D$9:$D$1011204,"&lt;"&amp;$E$8,Journals!$J$9:$J$1011204,"Interest income from Bank Acc."))</f>
        <v>0</v>
      </c>
      <c r="J23" s="36"/>
      <c r="K23" s="36"/>
      <c r="L23" s="52"/>
      <c r="M23" s="52"/>
      <c r="N23" s="38"/>
      <c r="O23" s="38">
        <f>SUMIFS(Journals!$L$9:$L$1011204,Journals!$D$9:$D$1011204,"&lt;"&amp;$F$7,Journals!$J$9:$J$1011204,"Interest income from Bank Acc.")-SUMIFS(Journals!$K$9:$K$1011204,Journals!$D$9:$D$1011204,"&lt;"&amp;$F$7,Journals!$J$9:$J$1011204,"Interest income from Bank Acc.")</f>
        <v>0</v>
      </c>
      <c r="Q23" s="3"/>
      <c r="R23" s="3"/>
      <c r="S23" s="25"/>
      <c r="T23" s="5"/>
      <c r="U23" s="5"/>
    </row>
    <row r="24" spans="2:21" x14ac:dyDescent="0.2">
      <c r="G24" s="30" t="str">
        <f>'Chart of Accounts'!B22</f>
        <v>Bank charges and excise duties</v>
      </c>
      <c r="H24" s="33">
        <f>MAX(0,SUMIFS(Journals!$K$9:$K$1011204,Journals!$D$9:$D$1011204,"&gt;"&amp;$E$7,Journals!$D$9:$D$1011204,"&lt;"&amp;$E$8,Journals!$J$9:$J$1011204,"Bank charges and excise duties")-SUMIFS(Journals!$L$9:$L$1011204,Journals!$D$9:$D$1011204,"&gt;"&amp;$E$7,Journals!$D$9:$D$1011204,"&lt;"&amp;$E$8,Journals!$J$9:$J$1011204,"Bank charges and excise duties"))</f>
        <v>85743.16</v>
      </c>
      <c r="I24" s="95">
        <f>MAX(0,SUMIFS(Journals!$L$9:$L$1011204,Journals!$D$9:$D$1011204,"&gt;"&amp;$E$7,Journals!$D$9:$D$1011204,"&lt;"&amp;$E$8,Journals!$J$9:$J$1011204,"Bank charges and excise duties")-SUMIFS(Journals!$K$9:$K$1011204,Journals!$D$9:$D$1011204,"&gt;"&amp;$E$7,Journals!$D$9:$D$1011204,"&lt;"&amp;$E$8,Journals!$J$9:$J$1011204,"Bank charges and excise duties"))</f>
        <v>0</v>
      </c>
      <c r="J24" s="36"/>
      <c r="K24" s="36"/>
      <c r="L24" s="52"/>
      <c r="M24" s="52"/>
      <c r="N24" s="38">
        <f>SUMIFS(Journals!$K$9:$K$1011204,Journals!$D$9:$D$1011204,"&lt;"&amp;$F$7,Journals!$J$9:$J$1011204,"Bank charges and excise duties")-SUMIFS(Journals!$L$9:$L$1011204,Journals!$D$9:$D$1011204,"&lt;"&amp;$F$7,Journals!$J$9:$J$1011204,"Bank charges and excise duties")</f>
        <v>462261.41499863379</v>
      </c>
      <c r="O24" s="38"/>
      <c r="Q24" s="3"/>
      <c r="R24" s="3"/>
      <c r="S24" s="25"/>
      <c r="T24" s="5"/>
      <c r="U24" s="5"/>
    </row>
    <row r="25" spans="2:21" x14ac:dyDescent="0.2">
      <c r="G25" s="30" t="str">
        <f>'Chart of Accounts'!B23</f>
        <v>Brokerage commission</v>
      </c>
      <c r="H25" s="33">
        <f>MAX(0,SUMIFS(Journals!$K$9:$K$1011204,Journals!$D$9:$D$1011204,"&gt;"&amp;$E$7,Journals!$D$9:$D$1011204,"&lt;"&amp;$E$8,Journals!$J$9:$J$1011204,"brokerage commission")-SUMIFS(Journals!$L$9:$L$1011204,Journals!$D$9:$D$1011204,"&gt;"&amp;$E$7,Journals!$D$9:$D$1011204,"&lt;"&amp;$E$8,Journals!$J$9:$J$1011204,"brokerage commission"))</f>
        <v>950852.53099999938</v>
      </c>
      <c r="I25" s="95">
        <f>MAX(0,SUMIFS(Journals!$L$9:$L$1011204,Journals!$D$9:$D$1011204,"&gt;"&amp;$E$7,Journals!$D$9:$D$1011204,"&lt;"&amp;$E$8,Journals!$J$9:$J$1011204,"brokerage commission")-SUMIFS(Journals!$K$9:$K$1011204,Journals!$D$9:$D$1011204,"&gt;"&amp;$E$7,Journals!$D$9:$D$1011204,"&lt;"&amp;$E$8,Journals!$J$9:$J$1011204,"brokerage commission"))</f>
        <v>0</v>
      </c>
      <c r="J25" s="36"/>
      <c r="K25" s="36"/>
      <c r="L25" s="52"/>
      <c r="M25" s="52"/>
      <c r="N25" s="38">
        <f>SUMIFS(Journals!$K$9:$K$1011204,Journals!$D$9:$D$1011204,"&lt;"&amp;$F$7,Journals!$J$9:$J$1011204,"brokerage commission")-SUMIFS(Journals!$L$9:$L$1011204,Journals!$D$9:$D$1011204,"&lt;"&amp;$F$7,Journals!$J$9:$J$1011204,"brokerage commission")</f>
        <v>2804946.1316000032</v>
      </c>
      <c r="O25" s="38"/>
      <c r="Q25" s="3"/>
      <c r="R25" s="3"/>
      <c r="S25" s="25"/>
      <c r="T25" s="5"/>
      <c r="U25" s="5"/>
    </row>
    <row r="26" spans="2:21" x14ac:dyDescent="0.2">
      <c r="D26" s="25"/>
      <c r="G26" s="30" t="str">
        <f>'Chart of Accounts'!B24</f>
        <v>Unrealized gain on securities</v>
      </c>
      <c r="H26" s="33">
        <f>MAX(0,SUMIFS(Journals!$K$9:$K$1011204,Journals!$D$9:$D$1011204,"&gt;"&amp;$E$7,Journals!$D$9:$D$1011204,"&lt;"&amp;$E$8,Journals!$J$9:$J$1011204,"Unrealized gain on securities")-SUMIFS(Journals!$L$9:$L$1011204,Journals!$D$9:$D$1011204,"&gt;"&amp;$E$7,Journals!$D$9:$D$1011204,"&lt;"&amp;$E$8,Journals!$J$9:$J$1011204,"Unrealized gain on securities"))</f>
        <v>0</v>
      </c>
      <c r="I26" s="95">
        <f>MAX(0,SUMIFS(Journals!$L$9:$L$1011204,Journals!$D$9:$D$1011204,"&gt;"&amp;$E$7,Journals!$D$9:$D$1011204,"&lt;"&amp;$E$8,Journals!$J$9:$J$1011204,"Unrealized gain on securities")-SUMIFS(Journals!$K$9:$K$1011204,Journals!$D$9:$D$1011204,"&gt;"&amp;$E$7,Journals!$D$9:$D$1011204,"&lt;"&amp;$E$8,Journals!$J$9:$J$1011204,"Unrealized gain on securities"))</f>
        <v>2872990.2400004268</v>
      </c>
      <c r="J26" s="36"/>
      <c r="K26" s="36"/>
      <c r="L26" s="52"/>
      <c r="M26" s="52"/>
      <c r="N26" s="38"/>
      <c r="O26" s="38">
        <f>SUMIFS(Journals!$L$9:$L$1011204,Journals!$D$9:$D$1011204,"&lt;"&amp;$F$7,Journals!$J$9:$J$1011204,"unrealized gain on securities")-SUMIFS(Journals!$K$9:$K$1011204,Journals!$D$9:$D$1011204,"&lt;"&amp;$F$7,Journals!$J$9:$J$1011204,"unrealized gain on securities")</f>
        <v>88315900.549399063</v>
      </c>
      <c r="Q26" s="3"/>
      <c r="R26" s="3"/>
      <c r="S26" s="25"/>
      <c r="T26" s="5"/>
      <c r="U26" s="5"/>
    </row>
    <row r="27" spans="2:21" x14ac:dyDescent="0.2">
      <c r="D27" s="25"/>
      <c r="G27" s="30" t="s">
        <v>1807</v>
      </c>
      <c r="H27" s="33">
        <f>MAX(0,SUMIFS(Journals!$K$9:$K$1011204,Journals!$D$9:$D$1011204,"&gt;"&amp;$E$7,Journals!$D$9:$D$1011204,"&lt;"&amp;$E$8,Journals!$J$9:$J$1011204,"Unrealized gain on T-Bill")-SUMIFS(Journals!$L$9:$L$1011204,Journals!$D$9:$D$1011204,"&gt;"&amp;$E$7,Journals!$D$9:$D$1011204,"&lt;"&amp;$E$8,Journals!$J$9:$J$1011204,"Unrealized gain on T-Bill"))</f>
        <v>0</v>
      </c>
      <c r="I27" s="95">
        <f>MAX(0,SUMIFS(Journals!$L$9:$L$1011204,Journals!$D$9:$D$1011204,"&gt;"&amp;$E$7,Journals!$D$9:$D$1011204,"&lt;"&amp;$E$8,Journals!$J$9:$J$1011204,"Unrealized gain on T-Bill")-SUMIFS(Journals!$K$9:$K$1011204,Journals!$D$9:$D$1011204,"&gt;"&amp;$E$7,Journals!$D$9:$D$1011204,"&lt;"&amp;$E$8,Journals!$J$9:$J$1011204,"Unrealized gain on T-Bill"))</f>
        <v>0</v>
      </c>
      <c r="J27" s="36"/>
      <c r="K27" s="36"/>
      <c r="L27" s="52"/>
      <c r="M27" s="52"/>
      <c r="N27" s="38"/>
      <c r="O27" s="38">
        <f>SUMIFS(Journals!$L$9:$L$1011204,Journals!$D$9:$D$1011204,"&lt;"&amp;$F$7,Journals!$J$9:$J$1011204,"Unrealized gain on T-Bill")-SUMIFS(Journals!$K$9:$K$1011204,Journals!$D$9:$D$1011204,"&lt;"&amp;$F$7,Journals!$J$9:$J$1011204,"Unrealized gain on T-Bill")</f>
        <v>0</v>
      </c>
      <c r="Q27" s="3"/>
      <c r="R27" s="3"/>
      <c r="S27" s="25"/>
      <c r="T27" s="5"/>
      <c r="U27" s="5"/>
    </row>
    <row r="28" spans="2:21" x14ac:dyDescent="0.2">
      <c r="D28" s="25"/>
      <c r="G28" s="30" t="s">
        <v>1808</v>
      </c>
      <c r="H28" s="33">
        <f>MAX(0,SUMIFS(Journals!$K$9:$K$1011204,Journals!$D$9:$D$1011204,"&gt;"&amp;$E$7,Journals!$D$9:$D$1011204,"&lt;"&amp;$E$8,Journals!$J$9:$J$1011204,"Unrealized gain on T-Bond")-SUMIFS(Journals!$L$9:$L$1011204,Journals!$D$9:$D$1011204,"&gt;"&amp;$E$7,Journals!$D$9:$D$1011204,"&lt;"&amp;$E$8,Journals!$J$9:$J$1011204,"Unrealized gain on T-Bond"))</f>
        <v>304567.48833332956</v>
      </c>
      <c r="I28" s="95">
        <f>MAX(0,SUMIFS(Journals!$L$9:$L$1011204,Journals!$D$9:$D$1011204,"&gt;"&amp;$E$7,Journals!$D$9:$D$1011204,"&lt;"&amp;$E$8,Journals!$J$9:$J$1011204,"Unrealized gain on T-Bond")-SUMIFS(Journals!$K$9:$K$1011204,Journals!$D$9:$D$1011204,"&gt;"&amp;$E$7,Journals!$D$9:$D$1011204,"&lt;"&amp;$E$8,Journals!$J$9:$J$1011204,"Unrealized gain on T-Bond"))</f>
        <v>0</v>
      </c>
      <c r="J28" s="36"/>
      <c r="K28" s="36"/>
      <c r="L28" s="52"/>
      <c r="M28" s="52"/>
      <c r="N28" s="38"/>
      <c r="O28" s="38">
        <f>SUMIFS(Journals!$L$9:$L$1011204,Journals!$D$9:$D$1011204,"&lt;"&amp;$F$7,Journals!$J$9:$J$1011204,"Unrealized gain on T-Bond")-SUMIFS(Journals!$K$9:$K$1011204,Journals!$D$9:$D$1011204,"&lt;"&amp;$F$7,Journals!$J$9:$J$1011204,"Unrealized gain on T-Bond")</f>
        <v>304567.48833332956</v>
      </c>
      <c r="Q28" s="3"/>
      <c r="R28" s="3"/>
      <c r="S28" s="25"/>
      <c r="T28" s="5"/>
      <c r="U28" s="5"/>
    </row>
    <row r="29" spans="2:21" x14ac:dyDescent="0.2">
      <c r="D29" s="25"/>
      <c r="G29" s="30" t="s">
        <v>2158</v>
      </c>
      <c r="H29" s="33">
        <f>MAX(0,SUMIFS(Journals!$K$9:$K$1011204,Journals!$D$9:$D$1011204,"&gt;"&amp;$E$7,Journals!$D$9:$D$1011204,"&lt;"&amp;$E$8,Journals!$J$9:$J$1011204,"Interest income from T-Bill")-SUMIFS(Journals!$L$9:$L$1011204,Journals!$D$9:$D$1011204,"&gt;"&amp;$E$7,Journals!$D$9:$D$1011204,"&lt;"&amp;$E$8,Journals!$J$9:$J$1011204,"Interest income from T-Bill"))</f>
        <v>0</v>
      </c>
      <c r="I29" s="95">
        <f>MAX(0,SUMIFS(Journals!$L$9:$L$1011204,Journals!$D$9:$D$1011204,"&gt;"&amp;$E$7,Journals!$D$9:$D$1011204,"&lt;"&amp;$E$8,Journals!$J$9:$J$1011204,"Interest income from T-Bill")-SUMIFS(Journals!$K$9:$K$1011204,Journals!$D$9:$D$1011204,"&gt;"&amp;$E$7,Journals!$D$9:$D$1011204,"&lt;"&amp;$E$8,Journals!$J$9:$J$1011204,"Interest income from T-Bill"))</f>
        <v>0</v>
      </c>
      <c r="J29" s="36"/>
      <c r="K29" s="36"/>
      <c r="L29" s="52"/>
      <c r="M29" s="52"/>
      <c r="N29" s="38"/>
      <c r="O29" s="38">
        <f>SUMIFS(Journals!$L$9:$L$1011204,Journals!$D$9:$D$1011204,"&lt;"&amp;$F$7,Journals!$J$9:$J$1011204,"Interest income from T-Bill")-SUMIFS(Journals!$K$9:$K$1011204,Journals!$D$9:$D$1011204,"&lt;"&amp;$F$7,Journals!$J$9:$J$1011204,"Interest income from T-Bill")</f>
        <v>0</v>
      </c>
      <c r="Q29" s="3"/>
      <c r="R29" s="3"/>
      <c r="S29" s="25"/>
      <c r="T29" s="5"/>
      <c r="U29" s="5"/>
    </row>
    <row r="30" spans="2:21" x14ac:dyDescent="0.2">
      <c r="D30" s="25"/>
      <c r="G30" s="30" t="s">
        <v>2159</v>
      </c>
      <c r="H30" s="33">
        <f>MAX(0,SUMIFS(Journals!$K$9:$K$1011204,Journals!$D$9:$D$1011204,"&gt;"&amp;$E$7,Journals!$D$9:$D$1011204,"&lt;"&amp;$E$8,Journals!$J$9:$J$1011204,"Interest income from T-Bond")-SUMIFS(Journals!$L$9:$L$1011204,Journals!$D$9:$D$1011204,"&gt;"&amp;$E$7,Journals!$D$9:$D$1011204,"&lt;"&amp;$E$8,Journals!$J$9:$J$1011204,"Interest income from T-Bond"))</f>
        <v>0</v>
      </c>
      <c r="I30" s="95">
        <f>MAX(0,SUMIFS(Journals!$L$9:$L$1011204,Journals!$D$9:$D$1011204,"&gt;"&amp;$E$7,Journals!$D$9:$D$1011204,"&lt;"&amp;$E$8,Journals!$J$9:$J$1011204,"Interest income from T-Bond")-SUMIFS(Journals!$K$9:$K$1011204,Journals!$D$9:$D$1011204,"&gt;"&amp;$E$7,Journals!$D$9:$D$1011204,"&lt;"&amp;$E$8,Journals!$J$9:$J$1011204,"Interest income from T-Bond"))</f>
        <v>0</v>
      </c>
      <c r="J30" s="36"/>
      <c r="K30" s="36"/>
      <c r="L30" s="52"/>
      <c r="M30" s="52"/>
      <c r="N30" s="38"/>
      <c r="O30" s="38">
        <f>SUMIFS(Journals!$L$9:$L$1011204,Journals!$D$9:$D$1011204,"&lt;"&amp;$F$7,Journals!$J$9:$J$1011204,"Interest income from T-Bond")-SUMIFS(Journals!$K$9:$K$1011204,Journals!$D$9:$D$1011204,"&lt;"&amp;$F$7,Journals!$J$9:$J$1011204,"Interest income from T-Bond")</f>
        <v>0</v>
      </c>
      <c r="Q30" s="3"/>
      <c r="R30" s="3"/>
      <c r="S30" s="25"/>
      <c r="T30" s="5"/>
      <c r="U30" s="5"/>
    </row>
    <row r="31" spans="2:21" x14ac:dyDescent="0.2">
      <c r="B31" s="5"/>
      <c r="G31" s="30" t="str">
        <f>'Chart of Accounts'!B27</f>
        <v>Unrealized loss on securities</v>
      </c>
      <c r="H31" s="33">
        <f>MAX(0,SUMIFS(Journals!$K$9:$K$1011204,Journals!$D$9:$D$1011204,"&gt;"&amp;$E$7,Journals!$D$9:$D$1011204,"&lt;"&amp;$E$8,Journals!$J$9:$J$1011204,"Unrealized loss on securities")-SUMIFS(Journals!$L$9:$L$1011204,Journals!$D$9:$D$1011204,"&gt;"&amp;$E$7,Journals!$D$9:$D$1011204,"&lt;"&amp;$E$8,Journals!$J$9:$J$1011204,"Unrealized loss on securities"))</f>
        <v>0</v>
      </c>
      <c r="I31" s="95">
        <f>MAX(0,SUMIFS(Journals!$L$9:$L$1011204,Journals!$D$9:$D$1011204,"&gt;"&amp;$E$7,Journals!$D$9:$D$1011204,"&lt;"&amp;$E$8,Journals!$J$9:$J$1011204,"Unrealized loss on securities")-SUMIFS(Journals!$K$9:$K$1011204,Journals!$D$9:$D$1011204,"&gt;"&amp;$E$7,Journals!$D$9:$D$1011204,"&lt;"&amp;$E$8,Journals!$J$9:$J$1011204,"Unrealized loss on securities"))</f>
        <v>0</v>
      </c>
      <c r="J31" s="36"/>
      <c r="K31" s="36"/>
      <c r="L31" s="52"/>
      <c r="M31" s="52"/>
      <c r="N31" s="38">
        <f>SUMIFS(Journals!K9:K1011204,Journals!D9:D1011204,"&lt;"&amp;F7,Journals!J9:J1011204,"unrealized loss on securities")-SUMIFS(Journals!L9:L1011204,Journals!D9:D1011204,"&lt;"&amp;F7,Journals!J9:J1011204,"unrealized loss on securities")</f>
        <v>87355603.100143999</v>
      </c>
      <c r="O31" s="38"/>
      <c r="Q31" s="3"/>
      <c r="R31" s="3"/>
      <c r="S31" s="25"/>
      <c r="T31" s="5"/>
      <c r="U31" s="5"/>
    </row>
    <row r="32" spans="2:21" x14ac:dyDescent="0.2">
      <c r="G32" s="30" t="str">
        <f>'Chart of Accounts'!B28</f>
        <v>Amortization of preliminary and issue expense</v>
      </c>
      <c r="H32" s="33">
        <f>MAX(0,SUMIFS(Journals!$K$9:$K$1011204,Journals!$D$9:$D$1011204,"&gt;"&amp;$E$7,Journals!$D$9:$D$1011204,"&lt;"&amp;$E$8,Journals!$J$9:$J$1011204,"Amortization of preliminary and issue expense")-SUMIFS(Journals!$L$9:$L$1011204,Journals!$D$9:$D$1011204,"&gt;"&amp;$E$7,Journals!$D$9:$D$1011204,"&lt;"&amp;$E$8,Journals!$J$9:$J$1011204,"Amortization of preliminary and issue expense"))</f>
        <v>142464.67817896401</v>
      </c>
      <c r="I32" s="95">
        <f>MAX(0,SUMIFS(Journals!$L$9:$L$1011204,Journals!$D$9:$D$1011204,"&gt;"&amp;$E$7,Journals!$D$9:$D$1011204,"&lt;"&amp;$E$8,Journals!$J$9:$J$1011204,"Amortization of preliminary and issue expense")-SUMIFS(Journals!$K$9:$K$1011204,Journals!$D$9:$D$1011204,"&gt;"&amp;$E$7,Journals!$D$9:$D$1011204,"&lt;"&amp;$E$8,Journals!$J$9:$J$1011204,"Amortization of preliminary and issue expense"))</f>
        <v>0</v>
      </c>
      <c r="J32" s="36"/>
      <c r="K32" s="36"/>
      <c r="L32" s="52"/>
      <c r="M32" s="52"/>
      <c r="N32" s="38">
        <f>SUMIFS(Journals!$K$9:$K$1011204,Journals!$D$9:$D$1011204,"&lt;"&amp;$F$7,Journals!$J$9:$J$1011204,"Amortization of preliminary and issue expense")-SUMIFS(Journals!$L$9:$L$1011204,Journals!$D$9:$D$1011204,"&lt;"&amp;$F$7,Journals!$J$9:$J$1011204,"Amortization of preliminary and issue expense")</f>
        <v>683672.48756671767</v>
      </c>
      <c r="O32" s="38"/>
      <c r="Q32" s="3"/>
      <c r="R32" s="3"/>
      <c r="S32" s="25"/>
      <c r="T32" s="5"/>
      <c r="U32" s="5"/>
    </row>
    <row r="33" spans="2:21" x14ac:dyDescent="0.2">
      <c r="G33" s="30" t="str">
        <f>'Chart of Accounts'!B29</f>
        <v>Management Fee</v>
      </c>
      <c r="H33" s="33">
        <f>MAX(0,SUMIFS(Journals!$K$9:$K$1011204,Journals!$D$9:$D$1011204,"&gt;"&amp;$E$7,Journals!$D$9:$D$1011204,"&lt;"&amp;$E$8,Journals!$J$9:$J$1011204,"management fee")-SUMIFS(Journals!$L$9:$L$1011204,Journals!$D$9:$D$1011204,"&gt;"&amp;$E$7,Journals!$D$9:$D$1011204,"&lt;"&amp;$E$8,Journals!$J$9:$J$1011204,"management fee"))</f>
        <v>3748377.1357197445</v>
      </c>
      <c r="I33" s="95">
        <f>MAX(0,SUMIFS(Journals!$L$9:$L$1011204,Journals!$D$9:$D$1011204,"&gt;"&amp;$E$7,Journals!$D$9:$D$1011204,"&lt;"&amp;$E$8,Journals!$J$9:$J$1011204,"management fee")-SUMIFS(Journals!$K$9:$K$1011204,Journals!$D$9:$D$1011204,"&gt;"&amp;$E$7,Journals!$D$9:$D$1011204,"&lt;"&amp;$E$8,Journals!$J$9:$J$1011204,"management fee"))</f>
        <v>0</v>
      </c>
      <c r="J33" s="36"/>
      <c r="K33" s="36"/>
      <c r="L33" s="52"/>
      <c r="M33" s="52"/>
      <c r="N33" s="38">
        <f>SUMIFS(Journals!$K$9:$K$1011204,Journals!$D$9:$D$1011204,"&lt;"&amp;$F$7,Journals!$J$9:$J$1011204,"management fee")-SUMIFS(Journals!$L$9:$L$1011204,Journals!$D$9:$D$1011204,"&lt;"&amp;$F$7,Journals!$J$9:$J$1011204,"management fee")</f>
        <v>16063191.089166803</v>
      </c>
      <c r="O33" s="38"/>
      <c r="Q33" s="3"/>
      <c r="R33" s="3"/>
      <c r="S33" s="25"/>
      <c r="T33" s="5"/>
      <c r="U33" s="5"/>
    </row>
    <row r="34" spans="2:21" x14ac:dyDescent="0.2">
      <c r="G34" s="30" t="str">
        <f>'Chart of Accounts'!B30</f>
        <v>Trustee fee</v>
      </c>
      <c r="H34" s="33">
        <f>MAX(0,SUMIFS(Journals!$K$9:$K$1011204,Journals!$D$9:$D$1011204,"&gt;"&amp;$E$7,Journals!$D$9:$D$1011204,"&lt;"&amp;$E$8,Journals!$J$9:$J$1011204,"trustee fee")-SUMIFS(Journals!$L$9:$L$1011204,Journals!$D$9:$D$1011204,"&gt;"&amp;$E$7,Journals!$D$9:$D$1011204,"&lt;"&amp;$E$8,Journals!$J$9:$J$1011204,"trustee fee"))</f>
        <v>174953.1625060084</v>
      </c>
      <c r="I34" s="95">
        <f>MAX(0,SUMIFS(Journals!$L$9:$L$1011204,Journals!$D$9:$D$1011204,"&gt;"&amp;$E$7,Journals!$D$9:$D$1011204,"&lt;"&amp;$E$8,Journals!$J$9:$J$1011204,"trustee fee")-SUMIFS(Journals!$K$9:$K$1011204,Journals!$D$9:$D$1011204,"&gt;"&amp;$E$7,Journals!$D$9:$D$1011204,"&lt;"&amp;$E$8,Journals!$J$9:$J$1011204,"trustee fee"))</f>
        <v>0</v>
      </c>
      <c r="J34" s="36"/>
      <c r="K34" s="36"/>
      <c r="L34" s="52"/>
      <c r="M34" s="52"/>
      <c r="N34" s="38">
        <f>SUMIFS(Journals!$K$9:$K$1011204,Journals!$D$9:$D$1011204,"&lt;"&amp;$F$7,Journals!$J$9:$J$1011204,"trustee fee")-SUMIFS(Journals!$L$9:$L$1011204,Journals!$D$9:$D$1011204,"&lt;"&amp;$F$7,Journals!$J$9:$J$1011204,"trustee fee")</f>
        <v>795270.74506365822</v>
      </c>
      <c r="O34" s="38"/>
      <c r="Q34" s="3"/>
      <c r="R34" s="3"/>
      <c r="S34" s="25"/>
      <c r="T34" s="5"/>
      <c r="U34" s="5"/>
    </row>
    <row r="35" spans="2:21" x14ac:dyDescent="0.2">
      <c r="G35" s="30" t="str">
        <f>'Chart of Accounts'!B31</f>
        <v>BSEC Annual Fee</v>
      </c>
      <c r="H35" s="95">
        <f>MAX(0,SUMIFS(Journals!$K$9:$K$1011204,Journals!$D$9:$D$1011204,"&gt;"&amp;$E$7,Journals!$D$9:$D$1011204,"&lt;"&amp;$E$8,Journals!$J$9:$J$1011204,"bsec annual fee")-SUMIFS(Journals!$L$9:$L$1011204,Journals!$D$9:$D$1011204,"&gt;"&amp;$E$7,Journals!$D$9:$D$1011204,"&lt;"&amp;$E$8,Journals!$J$9:$J$1011204,"bsec annual fee"))</f>
        <v>154911.16</v>
      </c>
      <c r="I35" s="95">
        <f>MAX(0,SUMIFS(Journals!$L$9:$L$1011204,Journals!$D$9:$D$1011204,"&gt;"&amp;$E$7,Journals!$D$9:$D$1011204,"&lt;"&amp;$E$8,Journals!$J$9:$J$1011204,"bsec annual fee")-SUMIFS(Journals!$K$9:$K$1011204,Journals!$D$9:$D$1011204,"&gt;"&amp;$E$7,Journals!$D$9:$D$1011204,"&lt;"&amp;$E$8,Journals!$J$9:$J$1011204,"bsec annual fee"))</f>
        <v>0</v>
      </c>
      <c r="J35" s="36"/>
      <c r="K35" s="36"/>
      <c r="L35" s="52"/>
      <c r="M35" s="52"/>
      <c r="N35" s="38">
        <f>SUMIFS(Journals!$K$9:$K$1011204,Journals!$D$9:$D$1011204,"&lt;"&amp;$F$7,Journals!$J$9:$J$1011204,"bsec annual fee")-SUMIFS(Journals!$L$9:$L$1011204,Journals!$D$9:$D$1011204,"&lt;"&amp;$F$7,Journals!$J$9:$J$1011204,"bsec annual fee")</f>
        <v>797798.57</v>
      </c>
      <c r="O35" s="38"/>
      <c r="Q35" s="3"/>
      <c r="R35" s="3"/>
      <c r="S35" s="25"/>
      <c r="T35" s="5"/>
      <c r="U35" s="5"/>
    </row>
    <row r="36" spans="2:21" x14ac:dyDescent="0.2">
      <c r="G36" s="30" t="str">
        <f>'Chart of Accounts'!B32</f>
        <v>Audit fee</v>
      </c>
      <c r="H36" s="33">
        <f>MAX(0,SUMIFS(Journals!$K$9:$K$1011204,Journals!$D$9:$D$1011204,"&gt;"&amp;$E$7,Journals!$D$9:$D$1011204,"&lt;"&amp;$E$8,Journals!$J$9:$J$1011204,"audit fee")-SUMIFS(Journals!$L$9:$L$1011204,Journals!$D$9:$D$1011204,"&gt;"&amp;$E$7,Journals!$D$9:$D$1011204,"&lt;"&amp;$E$8,Journals!$J$9:$J$1011204,"audit fee"))</f>
        <v>46000</v>
      </c>
      <c r="I36" s="95">
        <f>MAX(0,SUMIFS(Journals!$L$9:$L$1011204,Journals!$D$9:$D$1011204,"&gt;"&amp;$E$7,Journals!$D$9:$D$1011204,"&lt;"&amp;$E$8,Journals!$J$9:$J$1011204,"audit fee")-SUMIFS(Journals!$K$9:$K$1011204,Journals!$D$9:$D$1011204,"&gt;"&amp;$E$7,Journals!$D$9:$D$1011204,"&lt;"&amp;$E$8,Journals!$J$9:$J$1011204,"audit fee"))</f>
        <v>0</v>
      </c>
      <c r="J36" s="36"/>
      <c r="K36" s="36"/>
      <c r="L36" s="52"/>
      <c r="M36" s="52"/>
      <c r="N36" s="38">
        <f>SUMIFS(Journals!$K$9:$K$1011204,Journals!$D$9:$D$1011204,"&lt;"&amp;$F$7,Journals!$J$9:$J$1011204,"audit fee")-SUMIFS(Journals!$L$9:$L$1011204,Journals!$D$9:$D$1011204,"&lt;"&amp;$F$7,Journals!$J$9:$J$1011204,"audit fee")</f>
        <v>200999.99666666664</v>
      </c>
      <c r="O36" s="38"/>
      <c r="Q36" s="3"/>
      <c r="R36" s="3"/>
      <c r="S36" s="25"/>
      <c r="T36" s="5"/>
      <c r="U36" s="5"/>
    </row>
    <row r="37" spans="2:21" x14ac:dyDescent="0.2">
      <c r="G37" s="30" t="str">
        <f>'Chart of Accounts'!B33</f>
        <v>CDBL charges</v>
      </c>
      <c r="H37" s="33">
        <f>MAX(0,SUMIFS(Journals!$K$9:$K$1011204,Journals!$D$9:$D$1011204,"&gt;"&amp;$E$7,Journals!$D$9:$D$1011204,"&lt;"&amp;$E$8,Journals!$J$9:$J$1011204,"cdbl charges")-SUMIFS(Journals!$L$9:$L$1011204,Journals!$D$9:$D$1011204,"&gt;"&amp;$E$7,Journals!$D$9:$D$1011204,"&lt;"&amp;$E$8,Journals!$J$9:$J$1011204,"cdbl charges"))</f>
        <v>88735.48</v>
      </c>
      <c r="I37" s="95">
        <f>MAX(0,SUMIFS(Journals!$L$9:$L$1011204,Journals!$D$9:$D$1011204,"&gt;"&amp;$E$7,Journals!$D$9:$D$1011204,"&lt;"&amp;$E$8,Journals!$J$9:$J$1011204,"cdbl charges")-SUMIFS(Journals!$K$9:$K$1011204,Journals!$D$9:$D$1011204,"&gt;"&amp;$E$7,Journals!$D$9:$D$1011204,"&lt;"&amp;$E$8,Journals!$J$9:$J$1011204,"cdbl charges"))</f>
        <v>0</v>
      </c>
      <c r="J37" s="36"/>
      <c r="K37" s="36"/>
      <c r="L37" s="52"/>
      <c r="M37" s="52"/>
      <c r="N37" s="38">
        <f>SUMIFS(Journals!$K$9:$K$1011204,Journals!$D$9:$D$1011204,"&lt;"&amp;$F$7,Journals!$J$9:$J$1011204,"cdbl charges")-SUMIFS(Journals!$L$9:$L$1011204,Journals!$D$9:$D$1011204,"&lt;"&amp;$F$7,Journals!$J$9:$J$1011204,"cdbl charges")</f>
        <v>247693.18999999994</v>
      </c>
      <c r="O37" s="38"/>
      <c r="Q37" s="3"/>
      <c r="R37" s="3"/>
      <c r="S37" s="25"/>
      <c r="T37" s="5"/>
      <c r="U37" s="5"/>
    </row>
    <row r="38" spans="2:21" x14ac:dyDescent="0.2">
      <c r="G38" s="30" t="str">
        <f>'Chart of Accounts'!B34</f>
        <v>Fair value adjustment</v>
      </c>
      <c r="H38" s="33">
        <f>MAX(0,SUMIFS(Journals!$K$9:$K$1011204,Journals!$D$9:$D$1011204,"&gt;"&amp;$E$7,Journals!$D$9:$D$1011204,"&lt;"&amp;$E$8,Journals!$J$9:$J$1011204,"Fair value adjustment")-SUMIFS(Journals!$L$9:$L$1011204,Journals!$D$9:$D$1011204,"&gt;"&amp;$E$7,Journals!$D$9:$D$1011204,"&lt;"&amp;$E$8,Journals!$J$9:$J$1011204,"Fair value adjustment"))</f>
        <v>2872990.2400004268</v>
      </c>
      <c r="I38" s="95">
        <f>MAX(0,SUMIFS(Journals!$L$9:$L$1011204,Journals!$D$9:$D$1011204,"&gt;"&amp;$E$7,Journals!$D$9:$D$1011204,"&lt;"&amp;$E$8,Journals!$J$9:$J$1011204,"fair value adjustment")-SUMIFS(Journals!$K$9:$K$1011204,Journals!$D$9:$D$1011204,"&gt;"&amp;$E$7,Journals!$D$9:$D$1011204,"&lt;"&amp;$E$8,Journals!$J$9:$J$1011204,"fair value adjustment"))</f>
        <v>0</v>
      </c>
      <c r="J38" s="36">
        <f>MAX(0,SUMIFS(Journals!K9:K1011204,Journals!D9:D1011204,"&lt;"&amp;F7,Journals!J9:J1011204,"fair value adjustment")-SUMIFS(Journals!L9:L1011204,Journals!D9:D1011204,"&lt;"&amp;F7,Journals!J9:J1011204,"fair value adjustment"))</f>
        <v>960297.44925504923</v>
      </c>
      <c r="K38" s="36">
        <f>MAX(0,SUMIFS(Journals!L9:L1011204,Journals!D9:D1011204,"&lt;"&amp;F7,Journals!J9:J1011204,"Fair value adjustment")-SUMIFS(Journals!K9:K1011204,Journals!D9:D1011204,"&lt;"&amp;F7,Journals!J9:J1011204,"fair value adjustment"))</f>
        <v>0</v>
      </c>
      <c r="L38" s="52">
        <f>MAX(0,H38-I38+J38-K38)</f>
        <v>3833287.689255476</v>
      </c>
      <c r="M38" s="52">
        <f>MAX(0,I38-H38-J38+K38)</f>
        <v>0</v>
      </c>
      <c r="N38" s="38"/>
      <c r="O38" s="38"/>
      <c r="Q38" s="3"/>
      <c r="R38" s="3"/>
      <c r="S38" s="25"/>
      <c r="T38" s="5"/>
      <c r="U38" s="5"/>
    </row>
    <row r="39" spans="2:21" x14ac:dyDescent="0.2">
      <c r="G39" s="30" t="s">
        <v>1798</v>
      </c>
      <c r="H39" s="33">
        <f>MAX(0,SUMIFS(Journals!$K$9:$K$1011204,Journals!$D$9:$D$1011204,"&gt;"&amp;$E$7,Journals!$D$9:$D$1011204,"&lt;"&amp;$E$8,Journals!$J$9:$J$1011204,"Fair value adjustment T-Bill")-SUMIFS(Journals!$L$9:$L$1011204,Journals!$D$9:$D$1011204,"&gt;"&amp;$E$7,Journals!$D$9:$D$1011204,"&lt;"&amp;$E$8,Journals!$J$9:$J$1011204,"Fair value adjustment T-Bill"))</f>
        <v>0</v>
      </c>
      <c r="I39" s="95">
        <f>MAX(0,SUMIFS(Journals!$L$9:$L$1011204,Journals!$D$9:$D$1011204,"&gt;"&amp;$E$7,Journals!$D$9:$D$1011204,"&lt;"&amp;$E$8,Journals!$J$9:$J$1011204,"Fair value adjustment T-Bill")-SUMIFS(Journals!$K$9:$K$1011204,Journals!$D$9:$D$1011204,"&gt;"&amp;$E$7,Journals!$D$9:$D$1011204,"&lt;"&amp;$E$8,Journals!$J$9:$J$1011204,"Fair value adjustment T-Bill"))</f>
        <v>0</v>
      </c>
      <c r="J39" s="36">
        <f>MAX(0,SUMIFS(Journals!K10:K1011205,Journals!D10:D1011205,"&lt;"&amp;F8,Journals!J10:J1011205,"Fair value adjustment T-Bill")-SUMIFS(Journals!L10:L1011205,Journals!D10:D1011205,"&lt;"&amp;F8,Journals!J10:J1011205,"Fair value adjustment T-Bill"))</f>
        <v>0</v>
      </c>
      <c r="K39" s="36">
        <f>MAX(0,SUMIFS(Journals!L10:L1011205,Journals!D10:D1011205,"&lt;"&amp;F8,Journals!J10:J1011205,"Fair value adjustment T-Bill")-SUMIFS(Journals!K10:K1011205,Journals!D10:D1011205,"&lt;"&amp;F8,Journals!J10:J1011205,"Fair value adjustment T-Bill"))</f>
        <v>0</v>
      </c>
      <c r="L39" s="52">
        <f t="shared" ref="L39:L40" si="1">MAX(0,H39-I39+J39-K39)</f>
        <v>0</v>
      </c>
      <c r="M39" s="52">
        <f t="shared" ref="M39:M40" si="2">MAX(0,I39-H39-J39+K39)</f>
        <v>0</v>
      </c>
      <c r="N39" s="38"/>
      <c r="O39" s="38"/>
      <c r="Q39" s="3"/>
      <c r="R39" s="3"/>
      <c r="S39" s="25"/>
      <c r="T39" s="5"/>
      <c r="U39" s="5"/>
    </row>
    <row r="40" spans="2:21" x14ac:dyDescent="0.2">
      <c r="G40" s="30" t="s">
        <v>1799</v>
      </c>
      <c r="H40" s="33">
        <f>MAX(0,SUMIFS(Journals!$K$9:$K$1011204,Journals!$D$9:$D$1011204,"&gt;"&amp;$E$7,Journals!$D$9:$D$1011204,"&lt;"&amp;$E$8,Journals!$J$9:$J$1011204,"Fair value adjustment T-Bond")-SUMIFS(Journals!$L$9:$L$1011204,Journals!$D$9:$D$1011204,"&gt;"&amp;$E$7,Journals!$D$9:$D$1011204,"&lt;"&amp;$E$8,Journals!$J$9:$J$1011204,"Fair value adjustment T-Bond"))</f>
        <v>0</v>
      </c>
      <c r="I40" s="95">
        <f>MAX(0,SUMIFS(Journals!$L$9:$L$1011204,Journals!$D$9:$D$1011204,"&gt;"&amp;$E$7,Journals!$D$9:$D$1011204,"&lt;"&amp;$E$8,Journals!$J$9:$J$1011204,"Fair value adjustment T-Bond")-SUMIFS(Journals!$K$9:$K$1011204,Journals!$D$9:$D$1011204,"&gt;"&amp;$E$7,Journals!$D$9:$D$1011204,"&lt;"&amp;$E$8,Journals!$J$9:$J$1011204,"Fair value adjustment T-Bond"))</f>
        <v>304567.48833332956</v>
      </c>
      <c r="J40" s="36">
        <f>MAX(0,SUMIFS(Journals!K9:K1011204,Journals!D9:D1011204,"&lt;"&amp;F7,Journals!J9:J1011204,"Fair value adjustment T-Bond")-SUMIFS(Journals!L9:L1011204,Journals!D9:D1011204,"&lt;"&amp;F7,Journals!J9:J1011204,"Fair value adjustment T-Bond"))</f>
        <v>304567.48833332956</v>
      </c>
      <c r="K40" s="36">
        <f>MAX(0,SUMIFS(Journals!L9:L1011204,Journals!D9:D1011204,"&lt;"&amp;F7,Journals!J9:J1011204,"Fair value adjustment T-Bond")-SUMIFS(Journals!K9:K1011204,Journals!D9:D1011204,"&lt;"&amp;F7,Journals!J9:J1011204,"Fair value adjustment T-Bond"))</f>
        <v>0</v>
      </c>
      <c r="L40" s="52">
        <f t="shared" si="1"/>
        <v>0</v>
      </c>
      <c r="M40" s="52">
        <f t="shared" si="2"/>
        <v>0</v>
      </c>
      <c r="N40" s="38"/>
      <c r="O40" s="38"/>
      <c r="Q40" s="3"/>
      <c r="R40" s="3"/>
      <c r="S40" s="25"/>
      <c r="T40" s="5"/>
      <c r="U40" s="5"/>
    </row>
    <row r="41" spans="2:21" x14ac:dyDescent="0.2">
      <c r="G41" s="30" t="str">
        <f>'Chart of Accounts'!B37</f>
        <v>Interest receivables from FDR</v>
      </c>
      <c r="H41" s="33">
        <f>MAX(0,SUMIFS(Journals!$K$9:$K$1011204,Journals!$D$9:$D$1011204,"&gt;"&amp;$E$7,Journals!$D$9:$D$1011204,"&lt;"&amp;$E$8,Journals!$J$9:$J$1011204,"Interest receivables from FDR")-SUMIFS(Journals!$L$9:$L$1011204,Journals!$D$9:$D$1011204,"&gt;"&amp;$E$7,Journals!$D$9:$D$1011204,"&lt;"&amp;$E$8,Journals!$J$9:$J$1011204,"Interest receivables from FDR"))</f>
        <v>0</v>
      </c>
      <c r="I41" s="95">
        <f>MAX(0,SUMIFS(Journals!$L$9:$L$1011204,Journals!$D$9:$D$1011204,"&gt;"&amp;$E$7,Journals!$D$9:$D$1011204,"&lt;"&amp;$E$8,Journals!$J$9:$J$1011204,"Interest receivables from FDR")-SUMIFS(Journals!$K$9:$K$1011204,Journals!$D$9:$D$1011204,"&gt;"&amp;$E$7,Journals!$D$9:$D$1011204,"&lt;"&amp;$E$8,Journals!$J$9:$J$1011204,"Interest receivables from FDR"))</f>
        <v>74749.795396824135</v>
      </c>
      <c r="J41" s="36">
        <f>SUMIFS(Journals!$K$9:$K$1011204,Journals!$D$9:$D$1011204,"&lt;"&amp;$F$7,Journals!$J$9:$J$1011204,"Interest receivables from FDR")-SUMIFS(Journals!$L$9:$L$1011204,Journals!$D$9:$D$1011204,"&lt;"&amp;$F$7,Journals!$J$9:$J$1011204,"Interest receivables from FDR")</f>
        <v>193583.33111110749</v>
      </c>
      <c r="K41" s="36"/>
      <c r="L41" s="52">
        <f>J41+H41-I41</f>
        <v>118833.53571428335</v>
      </c>
      <c r="M41" s="52"/>
      <c r="N41" s="38"/>
      <c r="O41" s="38"/>
      <c r="Q41" s="3"/>
      <c r="R41" s="3"/>
      <c r="T41" s="5"/>
      <c r="U41" s="5"/>
    </row>
    <row r="42" spans="2:21" x14ac:dyDescent="0.2">
      <c r="G42" s="30" t="s">
        <v>2156</v>
      </c>
      <c r="H42" s="33">
        <f>MAX(0,SUMIFS(Journals!$K$9:$K$1011204,Journals!$D$9:$D$1011204,"&gt;"&amp;$E$7,Journals!$D$9:$D$1011204,"&lt;"&amp;$E$8,Journals!$J$9:$J$1011204,"Interest receivables from Renata Pref. Share")-SUMIFS(Journals!$L$9:$L$1011204,Journals!$D$9:$D$1011204,"&gt;"&amp;$E$7,Journals!$D$9:$D$1011204,"&lt;"&amp;$E$8,Journals!$J$9:$J$1011204,"Interest receivables from Renata Pref. Share"))</f>
        <v>402053.57142857125</v>
      </c>
      <c r="I42" s="95">
        <f>MAX(0,SUMIFS(Journals!$L$9:$L$1011204,Journals!$D$9:$D$1011204,"&gt;"&amp;$E$7,Journals!$D$9:$D$1011204,"&lt;"&amp;$E$8,Journals!$J$9:$J$1011204,"Interest receivables from Renata Pref. Share")-SUMIFS(Journals!$K$9:$K$1011204,Journals!$D$9:$D$1011204,"&gt;"&amp;$E$7,Journals!$D$9:$D$1011204,"&lt;"&amp;$E$8,Journals!$J$9:$J$1011204,"Interest receivables from Renata Pref. Share"))</f>
        <v>0</v>
      </c>
      <c r="J42" s="36">
        <f>SUMIFS(Journals!$K$9:$K$1011204,Journals!$D$9:$D$1011204,"&lt;"&amp;$F$7,Journals!$J$9:$J$1011204,"Interest receivables from Renata Pref. Share")-SUMIFS(Journals!$L$9:$L$1011204,Journals!$D$9:$D$1011204,"&lt;"&amp;$F$7,Journals!$J$9:$J$1011204,"Interest receivables from Renata Pref. Share")</f>
        <v>0</v>
      </c>
      <c r="K42" s="36"/>
      <c r="L42" s="52">
        <f t="shared" ref="L42" si="3">J42+H42-I42</f>
        <v>402053.57142857125</v>
      </c>
      <c r="M42" s="52"/>
      <c r="N42" s="38"/>
      <c r="O42" s="38"/>
      <c r="Q42" s="3"/>
      <c r="R42" s="3"/>
      <c r="T42" s="5"/>
      <c r="U42" s="5"/>
    </row>
    <row r="43" spans="2:21" x14ac:dyDescent="0.2">
      <c r="B43" s="5"/>
      <c r="G43" s="30" t="str">
        <f>'Chart of Accounts'!B40</f>
        <v>Payable to broker</v>
      </c>
      <c r="H43" s="33">
        <f>MAX(0,SUMIFS(Journals!$K$9:$K$1011204,Journals!$D$9:$D$1011204,"&gt;"&amp;$E$7,Journals!$D$9:$D$1011204,"&lt;"&amp;$E$8,Journals!$J$9:$J$1011204,"payable to broker")-SUMIFS(Journals!$L$9:$L$1011204,Journals!$D$9:$D$1011204,"&gt;"&amp;$E$7,Journals!$D$9:$D$1011204,"&lt;"&amp;$E$8,Journals!$J$9:$J$1011204,"payable to broker"))</f>
        <v>0</v>
      </c>
      <c r="I43" s="95">
        <f>MAX(0,SUMIFS(Journals!$L$9:$L$1011204,Journals!$D$9:$D$1011204,"&gt;"&amp;$E$7,Journals!$D$9:$D$1011204,"&lt;"&amp;$E$8,Journals!$J$9:$J$1011204,"payable to broker")-SUMIFS(Journals!$K$9:$K$1011204,Journals!$D$9:$D$1011204,"&gt;"&amp;$E$7,Journals!$D$9:$D$1011204,"&lt;"&amp;$E$8,Journals!$J$9:$J$1011204,"payable to broker"))</f>
        <v>64518.84739997983</v>
      </c>
      <c r="J43" s="36"/>
      <c r="K43" s="36">
        <f>SUMIFS(Journals!$L$9:$L$1011204,Journals!$D$9:$D$1011204,"&lt;"&amp;$F$7,Journals!$J$9:$J$1011204,"payable to broker")-SUMIFS(Journals!$K$9:$K$1011204,Journals!$D$9:$D$1011204,"&lt;"&amp;$F$7,Journals!$J$9:$J$1011204,"payable to broker")</f>
        <v>6.999969482421875E-3</v>
      </c>
      <c r="L43" s="52"/>
      <c r="M43" s="52">
        <f>K43+I43-H43</f>
        <v>64518.854399949312</v>
      </c>
      <c r="N43" s="38"/>
      <c r="O43" s="38"/>
      <c r="P43" s="5"/>
      <c r="Q43" s="3"/>
      <c r="R43" s="3"/>
      <c r="T43" s="5"/>
      <c r="U43" s="5"/>
    </row>
    <row r="44" spans="2:21" x14ac:dyDescent="0.2">
      <c r="G44" s="30" t="str">
        <f>'Chart of Accounts'!B41</f>
        <v>Other operating expenses</v>
      </c>
      <c r="H44" s="33">
        <f>MAX(0,SUMIFS(Journals!$K$9:$K$1011204,Journals!$D$9:$D$1011204,"&gt;"&amp;$E$7,Journals!$D$9:$D$1011204,"&lt;"&amp;$E$8,Journals!$J$9:$J$1011204,"OTHER OPERATING EXPENSES")-SUMIFS(Journals!$L$9:$L$1011204,Journals!$D$9:$D$1011204,"&gt;"&amp;$E$7,Journals!$D$9:$D$1011204,"&lt;"&amp;$E$8,Journals!$J$9:$J$1011204,"OTHER OPERATING EXPENSES"))</f>
        <v>85162.5</v>
      </c>
      <c r="I44" s="95">
        <f>MAX(0,SUMIFS(Journals!$L$9:$L$1011204,Journals!$D$9:$D$1011204,"&gt;"&amp;$E$7,Journals!$D$9:$D$1011204,"&lt;"&amp;$E$8,Journals!$J$9:$J$1011204,"OTHER OPERATING EXPENSES")-SUMIFS(Journals!$K$9:$K$1011204,Journals!$D$9:$D$1011204,"&gt;"&amp;$E$7,Journals!$D$9:$D$1011204,"&lt;"&amp;$E$8,Journals!$J$9:$J$1011204,"OTHER OPERATING EXPENSES"))</f>
        <v>0</v>
      </c>
      <c r="J44" s="36"/>
      <c r="K44" s="36"/>
      <c r="L44" s="52"/>
      <c r="M44" s="52"/>
      <c r="N44" s="38">
        <f>SUMIFS(Journals!$K$9:$K$1011204,Journals!$D$9:$D$1011204,"&lt;"&amp;$F$7,Journals!$J$9:$J$1011204,"OTHER OPERATING EXPENSES")-SUMIFS(Journals!$L$9:$L$1011204,Journals!$D$9:$D$1011204,"&lt;"&amp;$F$7,Journals!$J$9:$J$1011204,"OTHER OPERATING EXPENSES")</f>
        <v>649143.36</v>
      </c>
      <c r="O44" s="38"/>
      <c r="Q44" s="3"/>
      <c r="R44" s="3"/>
      <c r="T44" s="5"/>
      <c r="U44" s="5"/>
    </row>
    <row r="45" spans="2:21" x14ac:dyDescent="0.2">
      <c r="G45" s="30" t="str">
        <f>'Chart of Accounts'!B42</f>
        <v>Dividend income</v>
      </c>
      <c r="H45" s="33">
        <f>MAX(0,SUMIFS(Journals!$K$9:$K$1011204,Journals!$D$9:$D$1011204,"&gt;"&amp;$E$7,Journals!$D$9:$D$1011204,"&lt;"&amp;$E$8,Journals!$J$9:$J$1011204,"dividend income")-SUMIFS(Journals!$L$9:$L$1011204,Journals!$D$9:$D$1011204,"&gt;"&amp;$E$7,Journals!$D$9:$D$1011204,"&lt;"&amp;$E$8,Journals!$J$9:$J$1011204,"dividend income"))</f>
        <v>0</v>
      </c>
      <c r="I45" s="95">
        <f>MAX(0,SUMIFS(Journals!$L$9:$L$1011204,Journals!$D$9:$D$1011204,"&gt;"&amp;$E$7,Journals!$D$9:$D$1011204,"&lt;"&amp;$E$8,Journals!$J$9:$J$1011204,"dividend income")-SUMIFS(Journals!$K$9:$K$1011204,Journals!$D$9:$D$1011204,"&gt;"&amp;$E$7,Journals!$D$9:$D$1011204,"&lt;"&amp;$E$8,Journals!$J$9:$J$1011204,"dividend income"))</f>
        <v>5060840.93</v>
      </c>
      <c r="J45" s="36"/>
      <c r="K45" s="36"/>
      <c r="L45" s="52"/>
      <c r="M45" s="52"/>
      <c r="N45" s="38"/>
      <c r="O45" s="38">
        <f>SUMIFS(Journals!$L$9:$L$1011204,Journals!$D$9:$D$1011204,"&lt;"&amp;$F$7,Journals!$J$9:$J$1011204,"dividend income")-SUMIFS(Journals!$K$9:$K$1011204,Journals!$D$9:$D$1011204,"&lt;"&amp;$F$7,Journals!$J$9:$J$1011204,"dividend income")</f>
        <v>19720428.439999998</v>
      </c>
      <c r="P45" s="5"/>
      <c r="Q45" s="3"/>
      <c r="R45" s="3"/>
      <c r="T45" s="5"/>
      <c r="U45" s="5"/>
    </row>
    <row r="46" spans="2:21" x14ac:dyDescent="0.2">
      <c r="G46" s="30" t="str">
        <f>'Chart of Accounts'!B43</f>
        <v>Dividend receivable</v>
      </c>
      <c r="H46" s="33">
        <f>MAX(0,SUMIFS(Journals!$K$9:$K$1011204,Journals!$D$9:$D$1011204,"&gt;"&amp;$E$7,Journals!$D$9:$D$1011204,"&lt;"&amp;$E$8,Journals!$J$9:$J$1011204,"dividend receivable")-SUMIFS(Journals!$L$9:$L$1011204,Journals!$D$9:$D$1011204,"&gt;"&amp;$E$7,Journals!$D$9:$D$1011204,"&lt;"&amp;$E$8,Journals!$J$9:$J$1011204,"dividend receivable"))</f>
        <v>721299.29999999981</v>
      </c>
      <c r="I46" s="95">
        <f>MAX(0,SUMIFS(Journals!$L$9:$L$1011204,Journals!$D$9:$D$1011204,"&gt;"&amp;$E$7,Journals!$D$9:$D$1011204,"&lt;"&amp;$E$8,Journals!$J$9:$J$1011204,"dividend receivable")-SUMIFS(Journals!$K$9:$K$1011204,Journals!$D$9:$D$1011204,"&gt;"&amp;$E$7,Journals!$D$9:$D$1011204,"&lt;"&amp;$E$8,Journals!$J$9:$J$1011204,"dividend receivable"))</f>
        <v>0</v>
      </c>
      <c r="J46" s="36">
        <f>SUMIFS(Journals!$K$9:$K$1011204,Journals!$D$9:$D$1011204,"&lt;"&amp;$F$7,Journals!$J$9:$J$1011204,"dividend receivable")-SUMIFS(Journals!$L$9:$L$1011204,Journals!$D$9:$D$1011204,"&lt;"&amp;$F$7,Journals!$J$9:$J$1011204,"dividend receivable")</f>
        <v>512435.19999999925</v>
      </c>
      <c r="K46" s="36"/>
      <c r="L46" s="52">
        <f>J46+H46-I46</f>
        <v>1233734.4999999991</v>
      </c>
      <c r="M46" s="52"/>
      <c r="N46" s="38"/>
      <c r="O46" s="38"/>
      <c r="Q46" s="3"/>
      <c r="R46" s="3"/>
      <c r="T46" s="5"/>
      <c r="U46" s="5"/>
    </row>
    <row r="47" spans="2:21" x14ac:dyDescent="0.2">
      <c r="G47" s="30" t="str">
        <f>'Chart of Accounts'!B44</f>
        <v>Custodian fee</v>
      </c>
      <c r="H47" s="33">
        <f>MAX(0,SUMIFS(Journals!$K$9:$K$1011204,Journals!$D$9:$D$1011204,"&gt;"&amp;$E$7,Journals!$D$9:$D$1011204,"&lt;"&amp;$E$8,Journals!$J$9:$J$1011204,"custodian fee")-SUMIFS(Journals!$L$9:$L$1011204,Journals!$D$9:$D$1011204,"&gt;"&amp;$E$7,Journals!$D$9:$D$1011204,"&lt;"&amp;$E$8,Journals!$J$9:$J$1011204,"custodian fee"))</f>
        <v>109206.14</v>
      </c>
      <c r="I47" s="95"/>
      <c r="J47" s="36"/>
      <c r="K47" s="36"/>
      <c r="L47" s="52"/>
      <c r="M47" s="52"/>
      <c r="N47" s="38">
        <f>SUMIFS(Journals!$K$9:$K$1011204,Journals!$D$9:$D$1011204,"&lt;"&amp;$F$7,Journals!$J$9:$J$1011204,"custodian fee")-SUMIFS(Journals!$L$9:$L$1011204,Journals!$D$9:$D$1011204,"&lt;"&amp;$F$7,Journals!$J$9:$J$1011204,"custodian fee")</f>
        <v>522990.82999999996</v>
      </c>
      <c r="O47" s="38"/>
      <c r="P47" s="5"/>
      <c r="Q47" s="3"/>
      <c r="R47" s="3"/>
      <c r="S47" s="5"/>
      <c r="T47" s="5"/>
      <c r="U47" s="5"/>
    </row>
    <row r="48" spans="2:21" x14ac:dyDescent="0.2">
      <c r="G48" s="30" t="str">
        <f>'Chart of Accounts'!B45</f>
        <v>IPO Application</v>
      </c>
      <c r="H48" s="33">
        <f>MAX(0,SUMIFS(Journals!$K$9:$K$1011204,Journals!$D$9:$D$1011204,"&gt;"&amp;$E$7,Journals!$D$9:$D$1011204,"&lt;"&amp;$E$8,Journals!$J$9:$J$1011204,"IPO APPLICATION")-SUMIFS(Journals!$L$9:$L$1011204,Journals!$D$9:$D$1011204,"&gt;"&amp;$E$7,Journals!$D$9:$D$1011204,"&lt;"&amp;$E$8,Journals!$J$9:$J$1011204,"IPO APPLICATION"))</f>
        <v>0</v>
      </c>
      <c r="I48" s="95">
        <f>MAX(0,SUMIFS(Journals!$L$9:$L$1011204,Journals!$D$9:$D$1011204,"&gt;"&amp;$E$7,Journals!$D$9:$D$1011204,"&lt;"&amp;$E$8,Journals!$J$9:$J$1011204,"IPO APPLICATION")-SUMIFS(Journals!$K$9:$K$1011204,Journals!$D$9:$D$1011204,"&gt;"&amp;$E$7,Journals!$D$9:$D$1011204,"&lt;"&amp;$E$8,Journals!$J$9:$J$1011204,"IPO APPLICATION"))</f>
        <v>0</v>
      </c>
      <c r="J48" s="36">
        <f>SUMIFS(Journals!$K$9:$K$1011204,Journals!$D$9:$D$1011204,"&lt;"&amp;$F$7,Journals!$J$9:$J$1011204,"IPO APPLICATION")-SUMIFS(Journals!$L$9:$L$1011204,Journals!$D$9:$D$1011204,"&lt;"&amp;$F$7,Journals!$J$9:$J$1011204,"IPO APPLICATION")</f>
        <v>0</v>
      </c>
      <c r="K48" s="36"/>
      <c r="L48" s="52">
        <f>J48+H48-I48</f>
        <v>0</v>
      </c>
      <c r="M48" s="52"/>
      <c r="N48" s="38"/>
      <c r="O48" s="38"/>
      <c r="Q48" s="3"/>
      <c r="R48" s="3"/>
      <c r="T48" s="5"/>
      <c r="U48" s="5"/>
    </row>
    <row r="49" spans="7:21" x14ac:dyDescent="0.2">
      <c r="G49" s="30" t="str">
        <f>'Chart of Accounts'!B46</f>
        <v>IPO Application Fee</v>
      </c>
      <c r="H49" s="33">
        <f>MAX(0,SUMIFS(Journals!$K$9:$K$1011204,Journals!$D$9:$D$1011204,"&gt;"&amp;$E$7,Journals!$D$9:$D$1011204,"&lt;"&amp;$E$8,Journals!$J$9:$J$1011204,"IPO APPLICATION FEE")-SUMIFS(Journals!$L$9:$L$1011204,Journals!$D$9:$D$1011204,"&gt;"&amp;$E$7,Journals!$D$9:$D$1011204,"&lt;"&amp;$E$8,Journals!$J$9:$J$1011204,"IPO APPLICATION FEE"))</f>
        <v>0</v>
      </c>
      <c r="I49" s="95"/>
      <c r="J49" s="36"/>
      <c r="K49" s="36"/>
      <c r="L49" s="52"/>
      <c r="M49" s="52"/>
      <c r="N49" s="38">
        <f>SUMIFS(Journals!$K$9:$K$1011204,Journals!$D$9:$D$1011204,"&lt;"&amp;$F$7,Journals!$J$9:$J$1011204,"IPO APPLICATION FEE")-SUMIFS(Journals!$L$9:$L$1011204,Journals!$D$9:$D$1011204,"&lt;"&amp;$F$7,Journals!$J$9:$J$1011204,"IPO APPLICATION FEE")</f>
        <v>106000</v>
      </c>
      <c r="O49" s="38"/>
      <c r="Q49" s="3"/>
      <c r="R49" s="3"/>
      <c r="T49" s="5"/>
      <c r="U49" s="5"/>
    </row>
    <row r="50" spans="7:21" x14ac:dyDescent="0.2">
      <c r="G50" s="30" t="s">
        <v>191</v>
      </c>
      <c r="H50" s="33">
        <f>MAX(0,SUMIFS(Journals!$K$9:$K$1011204,Journals!$D$9:$D$1011204,"&gt;"&amp;$E$7,Journals!$D$9:$D$1011204,"&lt;"&amp;$E$8,Journals!$J$9:$J$1011204,"realized gain")-SUMIFS(Journals!$L$9:$L$1011204,Journals!$D$9:$D$1011204,"&gt;"&amp;$E$7,Journals!$D$9:$D$1011204,"&lt;"&amp;$E$8,Journals!$J$9:$J$1011204,"realized gain"))</f>
        <v>0</v>
      </c>
      <c r="I50" s="95">
        <f>MAX(0,SUMIFS(Journals!$L$9:$L$1011204,Journals!$D$9:$D$1011204,"&gt;"&amp;$E$7,Journals!$D$9:$D$1011204,"&lt;"&amp;$E$8,Journals!$J$9:$J$1011204,"realized gain")-SUMIFS(Journals!$K$9:$K$1011204,Journals!$D$9:$D$1011204,"&gt;"&amp;$E$7,Journals!$D$9:$D$1011204,"&lt;"&amp;$E$8,Journals!$J$9:$J$1011204,"realized gain"))</f>
        <v>9695579.4999999925</v>
      </c>
      <c r="J50" s="36"/>
      <c r="K50" s="36"/>
      <c r="L50" s="52"/>
      <c r="M50" s="52"/>
      <c r="N50" s="38"/>
      <c r="O50" s="38">
        <f>SUMIFS(Journals!$L$9:$L$1011204,Journals!$D$9:$D$1011204,"&lt;"&amp;$F$7,Journals!$J$9:$J$1011204,"realized gain")-SUMIFS(Journals!$K$9:$K$1011204,Journals!$D$9:$D$1011204,"&lt;"&amp;$F$7,Journals!$J$9:$J$1011204,"realized gain")</f>
        <v>76515361.570744634</v>
      </c>
      <c r="Q50" s="3"/>
      <c r="R50" s="3"/>
      <c r="T50" s="5"/>
      <c r="U50" s="5"/>
    </row>
    <row r="51" spans="7:21" x14ac:dyDescent="0.2">
      <c r="G51" s="128" t="s">
        <v>1809</v>
      </c>
      <c r="H51" s="33">
        <f>MAX(0,SUMIFS(Journals!$K$9:$K$1011204,Journals!$D$9:$D$1011204,"&gt;"&amp;$E$7,Journals!$D$9:$D$1011204,"&lt;"&amp;$E$8,Journals!$J$9:$J$1011204,"realized gain on T-Bill")-SUMIFS(Journals!$L$9:$L$1011204,Journals!$D$9:$D$1011204,"&gt;"&amp;$E$7,Journals!$D$9:$D$1011204,"&lt;"&amp;$E$8,Journals!$J$9:$J$1011204,"realized gain on T-Bill"))</f>
        <v>0</v>
      </c>
      <c r="I51" s="95">
        <f>MAX(0,SUMIFS(Journals!$L$9:$L$1011204,Journals!$D$9:$D$1011204,"&gt;"&amp;$E$7,Journals!$D$9:$D$1011204,"&lt;"&amp;$E$8,Journals!$J$9:$J$1011204,"realized gain on T-Bill")-SUMIFS(Journals!$K$9:$K$1011204,Journals!$D$9:$D$1011204,"&gt;"&amp;$E$7,Journals!$D$9:$D$1011204,"&lt;"&amp;$E$8,Journals!$J$9:$J$1011204,"realized gain on T-Bill"))</f>
        <v>0</v>
      </c>
      <c r="J51" s="36"/>
      <c r="K51" s="36"/>
      <c r="L51" s="52"/>
      <c r="M51" s="52"/>
      <c r="N51" s="38"/>
      <c r="O51" s="38">
        <f>SUMIFS(Journals!$L$9:$L$1011204,Journals!$D$9:$D$1011204,"&lt;"&amp;$F$7,Journals!$J$9:$J$1011204,"realized gain on T-Bill")-SUMIFS(Journals!$K$9:$K$1011204,Journals!$D$9:$D$1011204,"&lt;"&amp;$F$7,Journals!$J$9:$J$1011204,"realized gain on T-Bill")</f>
        <v>2509121.2999999998</v>
      </c>
      <c r="Q51" s="3"/>
      <c r="R51" s="3"/>
      <c r="T51" s="5"/>
      <c r="U51" s="5"/>
    </row>
    <row r="52" spans="7:21" x14ac:dyDescent="0.2">
      <c r="G52" s="128" t="s">
        <v>1810</v>
      </c>
      <c r="H52" s="33">
        <f>MAX(0,SUMIFS(Journals!$K$9:$K$1011204,Journals!$D$9:$D$1011204,"&gt;"&amp;$E$7,Journals!$D$9:$D$1011204,"&lt;"&amp;$E$8,Journals!$J$9:$J$1011204,"realized gain on T-Bond")-SUMIFS(Journals!$L$9:$L$1011204,Journals!$D$9:$D$1011204,"&gt;"&amp;$E$7,Journals!$D$9:$D$1011204,"&lt;"&amp;$E$8,Journals!$J$9:$J$1011204,"realized gain on T-Bond"))</f>
        <v>0</v>
      </c>
      <c r="I52" s="95">
        <f>MAX(0,SUMIFS(Journals!$L$9:$L$1011204,Journals!$D$9:$D$1011204,"&gt;"&amp;$E$7,Journals!$D$9:$D$1011204,"&lt;"&amp;$E$8,Journals!$J$9:$J$1011204,"realized gain on T-Bond")-SUMIFS(Journals!$K$9:$K$1011204,Journals!$D$9:$D$1011204,"&gt;"&amp;$E$7,Journals!$D$9:$D$1011204,"&lt;"&amp;$E$8,Journals!$J$9:$J$1011204,"realized gain on T-Bond"))</f>
        <v>5060463.1000000034</v>
      </c>
      <c r="J52" s="36"/>
      <c r="K52" s="36"/>
      <c r="L52" s="52"/>
      <c r="M52" s="52"/>
      <c r="N52" s="38"/>
      <c r="O52" s="38">
        <f>SUMIFS(Journals!$L$9:$L$1011204,Journals!$D$9:$D$1011204,"&lt;"&amp;$F$7,Journals!$J$9:$J$1011204,"realized gain on T-Bond")-SUMIFS(Journals!$K$9:$K$1011204,Journals!$D$9:$D$1011204,"&lt;"&amp;$F$7,Journals!$J$9:$J$1011204,"realized gain on T-Bond")</f>
        <v>329067.7066666662</v>
      </c>
      <c r="Q52" s="3"/>
      <c r="R52" s="3"/>
      <c r="T52" s="5"/>
      <c r="U52" s="5"/>
    </row>
    <row r="53" spans="7:21" x14ac:dyDescent="0.2">
      <c r="G53" s="30" t="s">
        <v>190</v>
      </c>
      <c r="H53" s="33">
        <f>MAX(0,SUMIFS(Journals!$K$9:$K$1011204,Journals!$D$9:$D$1011204,"&gt;"&amp;$E$7,Journals!$D$9:$D$1011204,"&lt;"&amp;$E$8,Journals!$J$9:$J$1011204,"receivable from broker")-SUMIFS(Journals!$L$9:$L$1011204,Journals!$D$9:$D$1011204,"&gt;"&amp;$E$7,Journals!$D$9:$D$1011204,"&lt;"&amp;$E$8,Journals!$J$9:$J$1011204,"receivable from broker"))</f>
        <v>1084305.369999975</v>
      </c>
      <c r="I53" s="95">
        <f>MAX(0,SUMIFS(Journals!$L$9:$L$1011204,Journals!$D$9:$D$1011204,"&gt;"&amp;$E$7,Journals!$D$9:$D$1011204,"&lt;"&amp;$E$8,Journals!$J$9:$J$1011204,"receivable from broker")-SUMIFS(Journals!$K$9:$K$1011204,Journals!$D$9:$D$1011204,"&gt;"&amp;$E$7,Journals!$D$9:$D$1011204,"&lt;"&amp;$E$8,Journals!$J$9:$J$1011204,"receivable from broker"))</f>
        <v>0</v>
      </c>
      <c r="J53" s="36">
        <f>SUMIFS(Journals!$K$9:$K$1010900,Journals!$D$9:$D$1010900,"&lt;"&amp;$F$7,Journals!$J$9:$J$1010900,"receivable from broker")-SUMIFS(Journals!$L$9:$L$1010900,Journals!$D$9:$D$1010900,"&lt;"&amp;$F$7,Journals!$J$9:$J$1010900,"receivable from broker")</f>
        <v>-0.10579967498779297</v>
      </c>
      <c r="K53" s="36"/>
      <c r="L53" s="52">
        <f>J53+H53-I53</f>
        <v>1084305.2642003</v>
      </c>
      <c r="M53" s="52"/>
      <c r="N53" s="38"/>
      <c r="O53" s="38"/>
    </row>
    <row r="54" spans="7:21" x14ac:dyDescent="0.2">
      <c r="G54" s="30" t="s">
        <v>353</v>
      </c>
      <c r="H54" s="33">
        <f>MAX(0,SUMIFS(Journals!$K$9:$K$1011204,Journals!$D$9:$D$1011204,"&gt;"&amp;$E$7,Journals!$D$9:$D$1011204,"&lt;"&amp;$E$8,Journals!$J$9:$J$1011204,"dividend equalization reserve"))</f>
        <v>0</v>
      </c>
      <c r="I54" s="95">
        <f>MAX(0,SUMIFS(Journals!$L$9:$L$1011204,Journals!$D$9:$D$1011204,"&gt;"&amp;$E$7,Journals!$D$9:$D$1011204,"&lt;"&amp;$E$8,Journals!$J$9:$J$1011204,"dividend equalization reserve"))</f>
        <v>0</v>
      </c>
      <c r="J54" s="36"/>
      <c r="K54" s="36">
        <f>SUMIFS(Journals!$L$9:$L$1011204,Journals!$D$9:$D$1011204,"&lt;"&amp;$F$7,Journals!$J$9:$J$1011204,"Dividend Equalization Reserve")-SUMIFS(Journals!$K$9:$K$1011204,Journals!$D$9:$D$1011204,"&lt;"&amp;$F$7,Journals!$J$9:$J$1011204,"Dividend Equalization Reserve")</f>
        <v>150000</v>
      </c>
      <c r="L54" s="52">
        <f>H54</f>
        <v>0</v>
      </c>
      <c r="M54" s="52">
        <f>K54+I54-H54</f>
        <v>150000</v>
      </c>
      <c r="N54" s="38">
        <f>K54</f>
        <v>150000</v>
      </c>
      <c r="O54" s="38"/>
    </row>
    <row r="55" spans="7:21" x14ac:dyDescent="0.2">
      <c r="G55" s="30" t="s">
        <v>359</v>
      </c>
      <c r="H55" s="33">
        <f>MAX(0,SUMIFS(Journals!$K$9:$K$1011204,Journals!$D$9:$D$1011204,"&gt;"&amp;$E$7,Journals!$D$9:$D$1011204,"&lt;"&amp;$E$8,Journals!$J$9:$J$1011204,"retained earnings")-SUMIFS(Journals!$L$9:$L$1011204,Journals!$D$9:$D$1011204,"&gt;"&amp;$E$7,Journals!$D$9:$D$1011204,"&lt;"&amp;$E$8,Journals!$J$9:$J$1011204,"retained earnings"))</f>
        <v>5412013.5</v>
      </c>
      <c r="I55" s="95">
        <f>MAX(0,SUMIFS(Journals!$L$9:$L$1011204,Journals!$D$9:$D$1011204,"&gt;"&amp;$E$7,Journals!$D$9:$D$1011204,"&lt;"&amp;$E$8,Journals!$J$9:$J$1011204,"retained earnings")-SUMIFS(Journals!$K$9:$K$1011204,Journals!$D$9:$D$1011204,"&gt;"&amp;$E$7,Journals!$D$9:$D$1011204,"&lt;"&amp;$E$8,Journals!$J$9:$J$1011204,"retained earnings"))</f>
        <v>0</v>
      </c>
      <c r="J55" s="36"/>
      <c r="K55" s="36"/>
      <c r="L55" s="52"/>
      <c r="M55" s="52"/>
      <c r="N55" s="38"/>
      <c r="O55" s="38"/>
    </row>
    <row r="56" spans="7:21" x14ac:dyDescent="0.2">
      <c r="G56" s="30" t="s">
        <v>358</v>
      </c>
      <c r="H56" s="95">
        <f>MAX(0,SUMIFS(Journals!$K$9:$K$1011204,Journals!$D$9:$D$1011204,"&gt;"&amp;$E$7,Journals!$D$9:$D$1011204,"&lt;"&amp;$E$8,Journals!$J$9:$J$1011204,"dividend payable"))</f>
        <v>5412013.5</v>
      </c>
      <c r="I56" s="95">
        <f>MAX(0,SUMIFS(Journals!$L$9:$L$1011204,Journals!$D$9:$D$1011204,"&gt;"&amp;$E$7,Journals!$D$9:$D$1011204,"&lt;"&amp;$E$8,Journals!$J$9:$J$1011204,"dividend payable"))</f>
        <v>5412013.5</v>
      </c>
      <c r="J56" s="36">
        <f>SUMIFS(Journals!$K$9:$K$1010900,Journals!$D$9:$D$1010900,"&lt;"&amp;$F$7,Journals!$J$9:$J$1010900,"Dividend Payable")</f>
        <v>51481202.180000007</v>
      </c>
      <c r="K56" s="36">
        <f>SUMIFS(Journals!$L$9:$L$1010900,Journals!$D$9:$D$1010900,"&lt;"&amp;$F$7,Journals!$J$9:$J$1010900,"Dividend Payable")</f>
        <v>51481202.18</v>
      </c>
      <c r="L56" s="52"/>
      <c r="M56" s="52">
        <f>I56-H56</f>
        <v>0</v>
      </c>
      <c r="N56" s="38">
        <f>J56</f>
        <v>51481202.180000007</v>
      </c>
      <c r="O56" s="38"/>
    </row>
    <row r="57" spans="7:21" x14ac:dyDescent="0.2">
      <c r="G57" s="30" t="s">
        <v>534</v>
      </c>
      <c r="H57" s="95">
        <f>MAX(0,SUMIFS(Journals!$K$9:$K$1011204,Journals!$D$9:$D$1011204,"&gt;"&amp;$E$7,Journals!$D$9:$D$1011204,"&lt;"&amp;$E$8,Journals!$J$9:$J$1011204,"Withholding Tax Payable"))</f>
        <v>1030512.4441942924</v>
      </c>
      <c r="I57" s="95">
        <f>MAX(0,SUMIFS(Journals!$L$9:$L$1011204,Journals!$D$9:$D$1011204,"&gt;"&amp;$E$7,Journals!$D$9:$D$1011204,"&lt;"&amp;$E$8,Journals!$J$9:$J$1011204,"Withholding Tax Payable"))</f>
        <v>981966.31919429242</v>
      </c>
      <c r="J57" s="36"/>
      <c r="K57" s="442">
        <f>SUMIFS(Journals!$L$9:$L$1011204,Journals!$D$9:$D$1011204,"&lt;"&amp;$F$7,Journals!$J$9:$J$1011204,"Withholding Tax Payable")-SUMIFS(Journals!$K$9:$K$1011204,Journals!$D$9:$D$1011204,"&lt;"&amp;$F$7,Journals!$J$9:$J$1011204,"Withholding Tax Payable")</f>
        <v>69722.699999999255</v>
      </c>
      <c r="L57" s="52"/>
      <c r="M57" s="52">
        <f>K57+I57-H57</f>
        <v>21176.574999999255</v>
      </c>
      <c r="N57" s="38"/>
      <c r="O57" s="38"/>
    </row>
    <row r="58" spans="7:21" x14ac:dyDescent="0.2">
      <c r="G58" s="30" t="s">
        <v>1906</v>
      </c>
      <c r="H58" s="95">
        <f>SUMIFS(Journals!$K$9:$K$1011204,Journals!$D$9:$D$1011204,"&gt;"&amp;$E$7,Journals!$D$9:$D$1011204,"&lt;"&amp;$E$8,Journals!$J$9:$J$1011204,"Withholding Tax Payable of News Paper")</f>
        <v>2562.5</v>
      </c>
      <c r="I58" s="95">
        <f>MAX(0,SUMIFS(Journals!$L$9:$L$1011204,Journals!$D$9:$D$1011204,"&gt;"&amp;$E$7,Journals!$D$9:$D$1011204,"&lt;"&amp;$E$8,Journals!$J$9:$J$1011204,"Withholding Tax Payable of News Paper"))</f>
        <v>2812.5</v>
      </c>
      <c r="J58" s="36"/>
      <c r="K58" s="36">
        <f>SUMIFS(Journals!$L$9:$L$1011204,Journals!$D$9:$D$1011204,"&lt;"&amp;$F$7,Journals!$J$9:$J$1011204,"Withholding Tax Payable of News Paper")-SUMIFS(Journals!$K$9:$K$1011204,Journals!$D$9:$D$1011204,"&lt;"&amp;$F$7,Journals!$J$9:$J$1011204,"Withholding Tax Payable of News Paper")</f>
        <v>250</v>
      </c>
      <c r="L58" s="52"/>
      <c r="M58" s="52">
        <f t="shared" ref="M58:M59" si="4">K58+I58-H58</f>
        <v>500</v>
      </c>
      <c r="N58" s="38"/>
      <c r="O58" s="38"/>
    </row>
    <row r="59" spans="7:21" x14ac:dyDescent="0.2">
      <c r="G59" s="30" t="s">
        <v>1907</v>
      </c>
      <c r="H59" s="95">
        <f>SUMIFS(Journals!$K$9:$K$1011204,Journals!$D$9:$D$1011204,"&gt;"&amp;$E$7,Journals!$D$9:$D$1011204,"&lt;"&amp;$E$8,Journals!$J$9:$J$1011204,"Withholding Tax Payable of Telnet")</f>
        <v>1425</v>
      </c>
      <c r="I59" s="95">
        <f>MAX(0,SUMIFS(Journals!$L$9:$L$1011204,Journals!$D$9:$D$1011204,"&gt;"&amp;$E$7,Journals!$D$9:$D$1011204,"&lt;"&amp;$E$8,Journals!$J$9:$J$1011204,"Withholding Tax Payable of Telnet"))</f>
        <v>1500</v>
      </c>
      <c r="J59" s="36"/>
      <c r="K59" s="36">
        <f>SUMIFS(Journals!$L$9:$L$1011204,Journals!$D$9:$D$1011204,"&lt;"&amp;$F$7,Journals!$J$9:$J$1011204,"Withholding Tax Payable of Telnet")-SUMIFS(Journals!$K$9:$K$1011204,Journals!$D$9:$D$1011204,"&lt;"&amp;$F$7,Journals!$J$9:$J$1011204,"Withholding Tax Payable of Telnet")</f>
        <v>0</v>
      </c>
      <c r="L59" s="52"/>
      <c r="M59" s="52">
        <f t="shared" si="4"/>
        <v>75</v>
      </c>
      <c r="N59" s="38"/>
      <c r="O59" s="38"/>
    </row>
    <row r="60" spans="7:21" x14ac:dyDescent="0.2">
      <c r="G60" s="30" t="s">
        <v>1764</v>
      </c>
      <c r="H60" s="95">
        <f>MAX(0,SUMIFS(Journals!$K$9:$K$1011204,Journals!$D$9:$D$1011204,"&gt;"&amp;$E$7,Journals!$D$9:$D$1011204,"&lt;"&amp;$E$8,Journals!$J$9:$J$1011204,"Investments in T-Bill")-SUMIFS(Journals!$L$9:$L$1011204,Journals!$D$9:$D$1011204,"&gt;"&amp;$E$7,Journals!$D$9:$D$1011204,"&lt;"&amp;$E$8,Journals!$J$9:$J$1011204,"Investments in T-Bill"))</f>
        <v>0</v>
      </c>
      <c r="I60" s="95">
        <f>MAX(0,SUMIFS(Journals!$L$9:$L$1011204,Journals!$D$9:$D$1011204,"&gt;"&amp;$E$7,Journals!$D$9:$D$1011204,"&lt;"&amp;$E$8,Journals!$J$9:$J$1011204,"Investments in T-Bill")-SUMIFS(Journals!$K$9:$K$1011204,Journals!$D$9:$D$1011204,"&gt;"&amp;$E$7,Journals!$D$9:$D$1011204,"&lt;"&amp;$E$8,Journals!$J$9:$J$1011204,"Investments in T-Bill"))</f>
        <v>0</v>
      </c>
      <c r="J60" s="36">
        <f>SUMIFS(Journals!$K$9:$K$1011204,Journals!$D$9:$D$1011204,"&lt;"&amp;$F$7,Journals!$J$9:$J$1011204,"Investments in T-Bill")-SUMIFS(Journals!$L$9:$L$1011204,Journals!$D$9:$D$1011204,"&lt;"&amp;$F$7,Journals!$J$9:$J$1011204,"Investments in T-Bill")</f>
        <v>0</v>
      </c>
      <c r="K60" s="36"/>
      <c r="L60" s="52">
        <f>J60+H60-I60</f>
        <v>0</v>
      </c>
      <c r="M60" s="52"/>
      <c r="N60" s="38"/>
      <c r="O60" s="38"/>
    </row>
    <row r="61" spans="7:21" x14ac:dyDescent="0.2">
      <c r="G61" s="30" t="s">
        <v>1795</v>
      </c>
      <c r="H61" s="95">
        <f>MAX(0,SUMIFS(Journals!$K$9:$K$1011204,Journals!$D$9:$D$1011204,"&gt;"&amp;$E$7,Journals!$D$9:$D$1011204,"&lt;"&amp;$E$8,Journals!$J$9:$J$1011204,"Interest receivables from T-Bill")-SUMIFS(Journals!$L$9:$L$1011204,Journals!$D$9:$D$1011204,"&gt;"&amp;$E$7,Journals!$D$9:$D$1011204,"&lt;"&amp;$E$8,Journals!$J$9:$J$1011204,"Interest receivables from T-Bill"))</f>
        <v>0</v>
      </c>
      <c r="I61" s="95">
        <f>MAX(0,SUMIFS(Journals!$L$9:$L$1011204,Journals!$D$9:$D$1011204,"&gt;"&amp;$E$7,Journals!$D$9:$D$1011204,"&lt;"&amp;$E$8,Journals!$J$9:$J$1011204,"Interest receivables from T-Bill")-SUMIFS(Journals!$K$9:$K$1011204,Journals!$D$9:$D$1011204,"&gt;"&amp;$E$7,Journals!$D$9:$D$1011204,"&lt;"&amp;$E$8,Journals!$J$9:$J$1011204,"Interest receivables from T-Bill"))</f>
        <v>0</v>
      </c>
      <c r="J61" s="36">
        <f>SUMIFS(Journals!$K$9:$K$1011204,Journals!$D$9:$D$1011204,"&lt;"&amp;$F$7,Journals!$J$9:$J$1011204,"Interest receivables from T-Bill")-SUMIFS(Journals!$L$9:$L$1011204,Journals!$D$9:$D$1011204,"&lt;"&amp;$F$7,Journals!$J$9:$J$1011204,"Interest receivables from T-Bill")</f>
        <v>0</v>
      </c>
      <c r="K61" s="36"/>
      <c r="L61" s="52">
        <f>J61+H61-I61</f>
        <v>0</v>
      </c>
      <c r="M61" s="52"/>
      <c r="N61" s="38"/>
      <c r="O61" s="38"/>
    </row>
    <row r="62" spans="7:21" x14ac:dyDescent="0.2">
      <c r="G62" s="30" t="s">
        <v>1805</v>
      </c>
      <c r="H62" s="95">
        <f>MAX(0,SUMIFS(Journals!$K$9:$K$1011204,Journals!$D$9:$D$1011204,"&gt;"&amp;$E$7,Journals!$D$9:$D$1011204,"&lt;"&amp;$E$8,Journals!$J$9:$J$1011204,"Investments in T-Bond")-SUMIFS(Journals!$L$9:$L$1011204,Journals!$D$9:$D$1011204,"&gt;"&amp;$E$7,Journals!$D$9:$D$1011204,"&lt;"&amp;$E$8,Journals!$J$9:$J$1011204,"Investments in T-Bond"))</f>
        <v>0</v>
      </c>
      <c r="I62" s="95">
        <f>MAX(0,SUMIFS(Journals!$L$9:$L$1011204,Journals!$D$9:$D$1011204,"&gt;"&amp;$E$7,Journals!$D$9:$D$1011204,"&lt;"&amp;$E$8,Journals!$J$9:$J$1011204,"Investments in T-Bond")-SUMIFS(Journals!$K$9:$K$1011204,Journals!$D$9:$D$1011204,"&gt;"&amp;$E$7,Journals!$D$9:$D$1011204,"&lt;"&amp;$E$8,Journals!$J$9:$J$1011204,"Investments in T-Bond"))</f>
        <v>21288672.406666674</v>
      </c>
      <c r="J62" s="36">
        <f>SUMIFS(Journals!$K$9:$K$1011204,Journals!$D$9:$D$1011204,"&lt;"&amp;$F$7,Journals!$J$9:$J$1011204,"Investments in T-Bond")-SUMIFS(Journals!$L$9:$L$1011204,Journals!$D$9:$D$1011204,"&lt;"&amp;$F$7,Journals!$J$9:$J$1011204,"Investments in T-Bond")</f>
        <v>21288672.40666667</v>
      </c>
      <c r="K62" s="36"/>
      <c r="L62" s="52">
        <f>J62+H62-I62</f>
        <v>0</v>
      </c>
      <c r="M62" s="52"/>
      <c r="N62" s="38"/>
      <c r="O62" s="38"/>
    </row>
    <row r="63" spans="7:21" x14ac:dyDescent="0.2">
      <c r="G63" s="30" t="s">
        <v>1806</v>
      </c>
      <c r="H63" s="95">
        <f>MAX(0,SUMIFS(Journals!$K$9:$K$1011204,Journals!$D$9:$D$1011204,"&gt;"&amp;$E$7,Journals!$D$9:$D$1011204,"&lt;"&amp;$E$8,Journals!$J$9:$J$1011204,"Interest receivables from T-Bond")-SUMIFS(Journals!$L$9:$L$1011204,Journals!$D$9:$D$1011204,"&gt;"&amp;$E$7,Journals!$D$9:$D$1011204,"&lt;"&amp;$E$8,Journals!$J$9:$J$1011204,"Interest receivables from T-Bond"))</f>
        <v>0</v>
      </c>
      <c r="I63" s="95">
        <f>MAX(0,SUMIFS(Journals!$L$9:$L$1011204,Journals!$D$9:$D$1011204,"&gt;"&amp;$E$7,Journals!$D$9:$D$1011204,"&lt;"&amp;$E$8,Journals!$J$9:$J$1011204,"Interest receivables from T-Bond")-SUMIFS(Journals!$K$9:$K$1011204,Journals!$D$9:$D$1011204,"&gt;"&amp;$E$7,Journals!$D$9:$D$1011204,"&lt;"&amp;$E$8,Journals!$J$9:$J$1011204,"Interest receivables from T-Bond"))</f>
        <v>0</v>
      </c>
      <c r="J63" s="36">
        <f>SUMIFS(Journals!$K$9:$K$1011204,Journals!$D$9:$D$1011204,"&lt;"&amp;$F$7,Journals!$J$9:$J$1011204,"Interest receivables from T-Bond")-SUMIFS(Journals!$L$9:$L$1011204,Journals!$D$9:$D$1011204,"&lt;"&amp;$F$7,Journals!$J$9:$J$1011204,"Interest receivables from T-Bond")</f>
        <v>0</v>
      </c>
      <c r="K63" s="36"/>
      <c r="L63" s="52">
        <f>J63+H63-I63</f>
        <v>0</v>
      </c>
      <c r="M63" s="52"/>
      <c r="N63" s="38"/>
      <c r="O63" s="38"/>
    </row>
    <row r="64" spans="7:21" x14ac:dyDescent="0.2">
      <c r="G64" s="30"/>
      <c r="H64" s="33"/>
      <c r="I64" s="95"/>
      <c r="J64" s="36"/>
      <c r="K64" s="36"/>
      <c r="L64" s="52"/>
      <c r="M64" s="52"/>
      <c r="N64" s="38"/>
      <c r="O64" s="38"/>
    </row>
    <row r="65" spans="7:15" x14ac:dyDescent="0.2">
      <c r="G65" s="30"/>
      <c r="H65" s="33"/>
      <c r="I65" s="95"/>
      <c r="J65" s="36"/>
      <c r="K65" s="36"/>
      <c r="L65" s="52"/>
      <c r="M65" s="52"/>
      <c r="N65" s="38"/>
      <c r="O65" s="38"/>
    </row>
    <row r="66" spans="7:15" x14ac:dyDescent="0.2">
      <c r="G66" s="30"/>
      <c r="H66" s="33"/>
      <c r="I66" s="95"/>
      <c r="J66" s="36"/>
      <c r="K66" s="36"/>
      <c r="L66" s="52"/>
      <c r="M66" s="52"/>
      <c r="N66" s="38"/>
      <c r="O66" s="38"/>
    </row>
    <row r="67" spans="7:15" x14ac:dyDescent="0.2">
      <c r="G67" s="30"/>
      <c r="H67" s="33"/>
      <c r="I67" s="95"/>
      <c r="J67" s="36"/>
      <c r="K67" s="36"/>
      <c r="L67" s="52"/>
      <c r="M67" s="52"/>
      <c r="N67" s="38"/>
      <c r="O67" s="38"/>
    </row>
    <row r="68" spans="7:15" x14ac:dyDescent="0.2">
      <c r="G68" s="30"/>
      <c r="H68" s="33"/>
      <c r="I68" s="95"/>
      <c r="J68" s="36"/>
      <c r="K68" s="36"/>
      <c r="L68" s="52"/>
      <c r="M68" s="52"/>
      <c r="N68" s="38"/>
      <c r="O68" s="38"/>
    </row>
    <row r="69" spans="7:15" x14ac:dyDescent="0.2">
      <c r="G69" s="30"/>
      <c r="H69" s="33"/>
      <c r="I69" s="95"/>
      <c r="J69" s="36"/>
      <c r="K69" s="36"/>
      <c r="L69" s="52"/>
      <c r="M69" s="52"/>
      <c r="N69" s="38"/>
      <c r="O69" s="38"/>
    </row>
    <row r="70" spans="7:15" x14ac:dyDescent="0.2">
      <c r="G70" s="30"/>
      <c r="H70" s="33"/>
      <c r="I70" s="95"/>
      <c r="J70" s="36"/>
      <c r="K70" s="36"/>
      <c r="L70" s="52"/>
      <c r="M70" s="52"/>
      <c r="N70" s="38"/>
      <c r="O70" s="38"/>
    </row>
    <row r="71" spans="7:15" x14ac:dyDescent="0.2">
      <c r="G71" s="30"/>
      <c r="H71" s="33"/>
      <c r="I71" s="95"/>
      <c r="J71" s="36"/>
      <c r="K71" s="36"/>
      <c r="L71" s="52"/>
      <c r="M71" s="52"/>
      <c r="N71" s="38"/>
      <c r="O71" s="38"/>
    </row>
    <row r="72" spans="7:15" x14ac:dyDescent="0.2">
      <c r="G72" s="30"/>
      <c r="H72" s="33"/>
      <c r="I72" s="95"/>
      <c r="J72" s="36"/>
      <c r="K72" s="36"/>
      <c r="L72" s="52"/>
      <c r="M72" s="52"/>
      <c r="N72" s="38"/>
      <c r="O72" s="38"/>
    </row>
    <row r="73" spans="7:15" x14ac:dyDescent="0.2">
      <c r="G73" s="30"/>
      <c r="H73" s="33"/>
      <c r="I73" s="95"/>
      <c r="J73" s="36"/>
      <c r="K73" s="36"/>
      <c r="L73" s="52"/>
      <c r="M73" s="52"/>
      <c r="N73" s="38"/>
      <c r="O73" s="38"/>
    </row>
    <row r="74" spans="7:15" x14ac:dyDescent="0.2">
      <c r="H74" s="3"/>
    </row>
    <row r="75" spans="7:15" x14ac:dyDescent="0.2">
      <c r="H75" s="3"/>
    </row>
    <row r="76" spans="7:15" x14ac:dyDescent="0.2">
      <c r="H76" s="3"/>
    </row>
  </sheetData>
  <mergeCells count="7">
    <mergeCell ref="B5:D5"/>
    <mergeCell ref="H5:I5"/>
    <mergeCell ref="J5:M5"/>
    <mergeCell ref="N5:O5"/>
    <mergeCell ref="A1:D1"/>
    <mergeCell ref="A2:D2"/>
    <mergeCell ref="A3:D3"/>
  </mergeCells>
  <conditionalFormatting sqref="G1:O3">
    <cfRule type="cellIs" dxfId="4" priority="1" operator="notBetween">
      <formula>-1</formula>
      <formula>1</formula>
    </cfRule>
    <cfRule type="cellIs" dxfId="3" priority="2" operator="between">
      <formula>-1</formula>
      <formula>1</formula>
    </cfRule>
  </conditionalFormatting>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pageSetUpPr fitToPage="1"/>
  </sheetPr>
  <dimension ref="A1:M61"/>
  <sheetViews>
    <sheetView showGridLines="0" tabSelected="1" topLeftCell="A15" zoomScale="115" zoomScaleNormal="115" workbookViewId="0">
      <selection activeCell="E26" sqref="E26"/>
    </sheetView>
  </sheetViews>
  <sheetFormatPr defaultColWidth="8.85546875" defaultRowHeight="12.75" x14ac:dyDescent="0.2"/>
  <cols>
    <col min="1" max="1" width="40.42578125" style="5" customWidth="1"/>
    <col min="2" max="2" width="6.7109375" style="9" customWidth="1"/>
    <col min="3" max="3" width="18.5703125" style="5" customWidth="1"/>
    <col min="4" max="4" width="0.5703125" style="5" customWidth="1"/>
    <col min="5" max="5" width="18.85546875" style="5" bestFit="1" customWidth="1"/>
    <col min="6" max="6" width="18.85546875" style="5" customWidth="1"/>
    <col min="7" max="7" width="13.5703125" style="5" bestFit="1" customWidth="1"/>
    <col min="8" max="8" width="18.28515625" style="2" customWidth="1"/>
    <col min="9" max="9" width="15.7109375" style="2" bestFit="1" customWidth="1"/>
    <col min="10" max="10" width="17.85546875" style="2" customWidth="1"/>
    <col min="11" max="11" width="13.5703125" style="2" bestFit="1" customWidth="1"/>
    <col min="12" max="12" width="13.7109375" style="2" bestFit="1" customWidth="1"/>
    <col min="13" max="16384" width="8.85546875" style="2"/>
  </cols>
  <sheetData>
    <row r="1" spans="1:13" x14ac:dyDescent="0.2">
      <c r="F1" s="467">
        <f>(C33-C11-C14-C17)</f>
        <v>254290657.33544111</v>
      </c>
    </row>
    <row r="2" spans="1:13" x14ac:dyDescent="0.2">
      <c r="F2" s="5">
        <v>253816912.21702042</v>
      </c>
    </row>
    <row r="3" spans="1:13" x14ac:dyDescent="0.2">
      <c r="A3" s="529" t="s">
        <v>45</v>
      </c>
      <c r="B3" s="529"/>
      <c r="C3" s="529"/>
      <c r="D3" s="529"/>
      <c r="E3" s="529"/>
      <c r="F3" s="450">
        <f>F2-C10</f>
        <v>2633213.9262753427</v>
      </c>
      <c r="G3" s="17"/>
      <c r="I3" s="46">
        <f>I4/NAV</f>
        <v>0.98841892662205255</v>
      </c>
    </row>
    <row r="4" spans="1:13" x14ac:dyDescent="0.2">
      <c r="A4" s="530" t="s">
        <v>286</v>
      </c>
      <c r="B4" s="530"/>
      <c r="C4" s="530"/>
      <c r="D4" s="530"/>
      <c r="E4" s="530"/>
      <c r="F4" s="16"/>
      <c r="I4" s="269">
        <v>265172063.39999998</v>
      </c>
      <c r="J4" s="268">
        <f ca="1">TODAY()</f>
        <v>46106</v>
      </c>
    </row>
    <row r="5" spans="1:13" x14ac:dyDescent="0.2">
      <c r="A5" s="530" t="s">
        <v>1774</v>
      </c>
      <c r="B5" s="530"/>
      <c r="C5" s="530"/>
      <c r="D5" s="530"/>
      <c r="E5" s="530"/>
      <c r="F5" s="16"/>
      <c r="I5" s="269">
        <v>0</v>
      </c>
    </row>
    <row r="6" spans="1:13" x14ac:dyDescent="0.2">
      <c r="I6" s="269">
        <v>0</v>
      </c>
    </row>
    <row r="7" spans="1:13" s="1" customFormat="1" x14ac:dyDescent="0.2">
      <c r="A7" s="527" t="s">
        <v>0</v>
      </c>
      <c r="B7" s="528" t="s">
        <v>17</v>
      </c>
      <c r="C7" s="76">
        <v>45199</v>
      </c>
      <c r="D7" s="75"/>
      <c r="E7" s="76">
        <v>44926</v>
      </c>
      <c r="F7" s="453"/>
      <c r="G7" s="14"/>
    </row>
    <row r="8" spans="1:13" s="1" customFormat="1" x14ac:dyDescent="0.2">
      <c r="A8" s="527"/>
      <c r="B8" s="528"/>
      <c r="C8" s="77" t="s">
        <v>18</v>
      </c>
      <c r="D8" s="16"/>
      <c r="E8" s="77" t="s">
        <v>19</v>
      </c>
      <c r="F8" s="16"/>
      <c r="G8" s="14"/>
      <c r="I8" s="67">
        <f>ABS(I10)</f>
        <v>0</v>
      </c>
    </row>
    <row r="9" spans="1:13" x14ac:dyDescent="0.2">
      <c r="A9" s="16" t="s">
        <v>1</v>
      </c>
      <c r="C9" s="3"/>
      <c r="D9" s="6"/>
      <c r="E9" s="3"/>
      <c r="F9" s="3"/>
      <c r="H9" s="104" t="s">
        <v>282</v>
      </c>
      <c r="I9" s="104" t="s">
        <v>283</v>
      </c>
      <c r="J9" s="104" t="s">
        <v>284</v>
      </c>
    </row>
    <row r="10" spans="1:13" x14ac:dyDescent="0.2">
      <c r="A10" s="14" t="s">
        <v>106</v>
      </c>
      <c r="C10" s="438">
        <f>'TB-C'!$L$7</f>
        <v>251183698.29074508</v>
      </c>
      <c r="D10" s="6"/>
      <c r="E10" s="438">
        <f>'TB-P'!$L$7</f>
        <v>208521186.51074451</v>
      </c>
      <c r="F10" s="438"/>
      <c r="H10" s="205">
        <f>I4-C10</f>
        <v>13988365.109254897</v>
      </c>
      <c r="I10" s="206">
        <f>H10-C11</f>
        <v>0</v>
      </c>
      <c r="J10" s="207">
        <f>C33+I10+I14+I17</f>
        <v>268279022.44469601</v>
      </c>
    </row>
    <row r="11" spans="1:13" ht="15" customHeight="1" x14ac:dyDescent="0.2">
      <c r="A11" s="14" t="s">
        <v>107</v>
      </c>
      <c r="C11" s="438">
        <f>IF('TB-C'!$L$38&gt;0,'TB-C'!$L$38,-'TB-C'!$M$38)</f>
        <v>13988365.109254897</v>
      </c>
      <c r="D11" s="6"/>
      <c r="E11" s="438">
        <f>IF('TB-P'!$L$38&gt;0,'TB-P'!$L$38,-'TB-P'!$M$38)</f>
        <v>3833287.689255476</v>
      </c>
      <c r="F11" s="438"/>
      <c r="H11" s="524">
        <f>J10/C49</f>
        <v>14.754431828545707</v>
      </c>
      <c r="I11" s="524"/>
      <c r="J11" s="524"/>
      <c r="L11" s="439"/>
      <c r="M11" s="439"/>
    </row>
    <row r="12" spans="1:13" x14ac:dyDescent="0.2">
      <c r="A12" s="15" t="s">
        <v>1775</v>
      </c>
      <c r="B12" s="9">
        <v>1</v>
      </c>
      <c r="C12" s="70">
        <f>C10+C11</f>
        <v>265172063.39999998</v>
      </c>
      <c r="D12" s="70">
        <f t="shared" ref="D12" si="0">D10+D11</f>
        <v>0</v>
      </c>
      <c r="E12" s="70">
        <f>E10+E11</f>
        <v>212354474.19999999</v>
      </c>
      <c r="F12" s="6"/>
      <c r="G12" s="46"/>
      <c r="H12" s="25" t="s">
        <v>1814</v>
      </c>
      <c r="I12" s="67">
        <f>ABS(I14)</f>
        <v>0</v>
      </c>
      <c r="L12" s="439"/>
      <c r="M12" s="439"/>
    </row>
    <row r="13" spans="1:13" x14ac:dyDescent="0.2">
      <c r="A13" s="14" t="s">
        <v>1801</v>
      </c>
      <c r="C13" s="351">
        <f>'TB-C'!L60</f>
        <v>0</v>
      </c>
      <c r="D13" s="6"/>
      <c r="E13" s="351">
        <f>'TB-P'!L60</f>
        <v>0</v>
      </c>
      <c r="F13" s="454"/>
      <c r="G13" s="46"/>
      <c r="H13" s="357" t="s">
        <v>282</v>
      </c>
      <c r="I13" s="358" t="s">
        <v>283</v>
      </c>
    </row>
    <row r="14" spans="1:13" x14ac:dyDescent="0.2">
      <c r="A14" s="14" t="s">
        <v>1804</v>
      </c>
      <c r="C14" s="351">
        <f>IF('TB-C'!$L$39&gt;0,'TB-C'!$L$39,-'TB-C'!$M$39)</f>
        <v>0</v>
      </c>
      <c r="D14" s="6"/>
      <c r="E14" s="351">
        <f>IF('TB-P'!$L$39&gt;0,'TB-P'!$L$39,-'TB-P'!$M$39)</f>
        <v>0</v>
      </c>
      <c r="F14" s="454"/>
      <c r="G14" s="46"/>
      <c r="H14" s="359">
        <f>I5-C13</f>
        <v>0</v>
      </c>
      <c r="I14" s="360">
        <f>H14-C14</f>
        <v>0</v>
      </c>
    </row>
    <row r="15" spans="1:13" x14ac:dyDescent="0.2">
      <c r="A15" s="15" t="s">
        <v>1765</v>
      </c>
      <c r="B15" s="9">
        <v>1</v>
      </c>
      <c r="C15" s="72">
        <f>C13+C14</f>
        <v>0</v>
      </c>
      <c r="D15" s="6"/>
      <c r="E15" s="72">
        <f>E13+E14</f>
        <v>0</v>
      </c>
      <c r="F15" s="6"/>
      <c r="G15" s="46"/>
      <c r="H15" s="25" t="s">
        <v>1815</v>
      </c>
      <c r="I15" s="67">
        <f>ABS(I17)</f>
        <v>0</v>
      </c>
    </row>
    <row r="16" spans="1:13" x14ac:dyDescent="0.2">
      <c r="A16" s="14" t="s">
        <v>1802</v>
      </c>
      <c r="C16" s="351">
        <f>'TB-C'!L62</f>
        <v>0</v>
      </c>
      <c r="D16" s="6"/>
      <c r="E16" s="351">
        <f>'TB-P'!L62</f>
        <v>0</v>
      </c>
      <c r="F16" s="454"/>
      <c r="G16" s="46"/>
      <c r="H16" s="357" t="s">
        <v>282</v>
      </c>
      <c r="I16" s="358" t="s">
        <v>283</v>
      </c>
    </row>
    <row r="17" spans="1:12" x14ac:dyDescent="0.2">
      <c r="A17" s="14" t="s">
        <v>1803</v>
      </c>
      <c r="C17" s="351">
        <f>IF('TB-C'!$L$40&gt;0,'TB-C'!$L$40,-'TB-C'!$M$40)</f>
        <v>0</v>
      </c>
      <c r="D17" s="6"/>
      <c r="E17" s="351">
        <f>IF('TB-P'!$L$40&gt;0,'TB-P'!$L$40,-'TB-P'!$M$40)</f>
        <v>0</v>
      </c>
      <c r="F17" s="454"/>
      <c r="G17" s="46"/>
      <c r="H17" s="359">
        <f>I6-C16</f>
        <v>0</v>
      </c>
      <c r="I17" s="360">
        <f>H17-C17</f>
        <v>0</v>
      </c>
    </row>
    <row r="18" spans="1:12" x14ac:dyDescent="0.2">
      <c r="A18" s="15" t="s">
        <v>1800</v>
      </c>
      <c r="B18" s="9">
        <v>1</v>
      </c>
      <c r="C18" s="72">
        <f>C16+C17</f>
        <v>0</v>
      </c>
      <c r="D18" s="6"/>
      <c r="E18" s="72">
        <f>E16+E17</f>
        <v>0</v>
      </c>
      <c r="F18" s="6"/>
      <c r="G18" s="46"/>
      <c r="H18" s="25"/>
      <c r="I18" s="25"/>
    </row>
    <row r="19" spans="1:12" x14ac:dyDescent="0.2">
      <c r="A19" s="15" t="s">
        <v>155</v>
      </c>
      <c r="B19" s="9">
        <v>2</v>
      </c>
      <c r="C19" s="72">
        <f>'TB-C'!$L$16</f>
        <v>0</v>
      </c>
      <c r="D19" s="6"/>
      <c r="E19" s="72">
        <f>'TB-P'!$L$16</f>
        <v>6000000</v>
      </c>
      <c r="F19" s="454"/>
      <c r="G19" s="46"/>
      <c r="H19" s="25"/>
      <c r="I19" s="25"/>
      <c r="J19" s="25"/>
    </row>
    <row r="20" spans="1:12" x14ac:dyDescent="0.2">
      <c r="A20" s="15" t="s">
        <v>187</v>
      </c>
      <c r="B20" s="9">
        <v>3</v>
      </c>
      <c r="C20" s="72">
        <f>'TB-C'!$L$48</f>
        <v>0</v>
      </c>
      <c r="D20" s="6"/>
      <c r="E20" s="72">
        <f>'TB-P'!$L$48</f>
        <v>0</v>
      </c>
      <c r="F20" s="6"/>
      <c r="G20" s="526" t="s">
        <v>1856</v>
      </c>
      <c r="H20" s="365" t="s">
        <v>1642</v>
      </c>
      <c r="I20" s="369">
        <v>115686.28</v>
      </c>
      <c r="J20" s="227">
        <f>SUM(I20:I28)</f>
        <v>472714.82999999996</v>
      </c>
      <c r="K20" s="66"/>
      <c r="L20" s="459"/>
    </row>
    <row r="21" spans="1:12" x14ac:dyDescent="0.2">
      <c r="A21" s="5" t="s">
        <v>6</v>
      </c>
      <c r="B21" s="9">
        <v>4</v>
      </c>
      <c r="C21" s="72">
        <f>SUM('TB-C'!L41:L42)+'TB-C'!$L$46+'TB-C'!$L$53+'TB-C'!L61+'TB-C'!L8+'TB-C'!L63</f>
        <v>5669205.3074510675</v>
      </c>
      <c r="D21" s="6"/>
      <c r="E21" s="72">
        <f>SUM('TB-P'!L41:L42)+'TB-P'!$L$46+'TB-P'!$L$53+'TB-P'!L61+'TB-P'!L8+'TB-P'!L63</f>
        <v>2846528.4413595013</v>
      </c>
      <c r="F21" s="454"/>
      <c r="G21" s="526"/>
      <c r="H21" s="365" t="s">
        <v>1643</v>
      </c>
      <c r="I21" s="369">
        <v>38042.78</v>
      </c>
      <c r="J21" s="105">
        <f>J20-C23</f>
        <v>0.80228316958528012</v>
      </c>
      <c r="K21" s="320"/>
      <c r="L21" s="459"/>
    </row>
    <row r="22" spans="1:12" x14ac:dyDescent="0.2">
      <c r="A22" s="5" t="s">
        <v>1776</v>
      </c>
      <c r="C22" s="72">
        <v>0</v>
      </c>
      <c r="D22" s="6"/>
      <c r="E22" s="72">
        <v>0</v>
      </c>
      <c r="F22" s="6"/>
      <c r="G22" s="363" t="s">
        <v>1857</v>
      </c>
      <c r="H22" s="365" t="s">
        <v>1860</v>
      </c>
      <c r="I22" s="369">
        <v>72958.929999999993</v>
      </c>
      <c r="J22" s="25"/>
      <c r="K22" s="25"/>
      <c r="L22" s="459"/>
    </row>
    <row r="23" spans="1:12" x14ac:dyDescent="0.2">
      <c r="A23" s="5" t="s">
        <v>1777</v>
      </c>
      <c r="B23" s="9">
        <v>5</v>
      </c>
      <c r="C23" s="72">
        <f>'TB-C'!$L$17</f>
        <v>472714.02771683037</v>
      </c>
      <c r="D23" s="6"/>
      <c r="E23" s="72">
        <f>'TB-P'!$L$17</f>
        <v>1784563.8277155757</v>
      </c>
      <c r="F23" s="6"/>
      <c r="G23" s="364"/>
      <c r="H23" s="365" t="s">
        <v>1861</v>
      </c>
      <c r="I23" s="369">
        <v>25639.11</v>
      </c>
      <c r="J23" s="25"/>
      <c r="L23" s="459"/>
    </row>
    <row r="24" spans="1:12" x14ac:dyDescent="0.2">
      <c r="A24" s="5" t="s">
        <v>7</v>
      </c>
      <c r="B24" s="9">
        <v>6</v>
      </c>
      <c r="C24" s="71">
        <f>'TB-C'!$L$9</f>
        <v>140895.80128728671</v>
      </c>
      <c r="D24" s="6"/>
      <c r="E24" s="71">
        <f>'TB-P'!$L$9</f>
        <v>173862.83425431832</v>
      </c>
      <c r="F24" s="6"/>
      <c r="G24" s="362" t="s">
        <v>1858</v>
      </c>
      <c r="H24" s="365" t="s">
        <v>1698</v>
      </c>
      <c r="I24" s="369">
        <v>22337.42</v>
      </c>
      <c r="J24" s="25"/>
      <c r="L24" s="459"/>
    </row>
    <row r="25" spans="1:12" ht="13.5" thickBot="1" x14ac:dyDescent="0.25">
      <c r="A25" s="14" t="s">
        <v>8</v>
      </c>
      <c r="C25" s="73">
        <f>ROUND(SUM(C18:C24)+C15+C12,1)</f>
        <v>271454878.5</v>
      </c>
      <c r="D25" s="7"/>
      <c r="E25" s="73">
        <f>ROUND(SUM(E18:E24)+E12,1)</f>
        <v>223159429.30000001</v>
      </c>
      <c r="F25" s="7"/>
      <c r="G25" s="342" t="s">
        <v>1859</v>
      </c>
      <c r="H25" s="365" t="s">
        <v>1862</v>
      </c>
      <c r="I25" s="369">
        <v>2715.57</v>
      </c>
      <c r="J25" s="25"/>
      <c r="L25" s="459"/>
    </row>
    <row r="26" spans="1:12" ht="13.5" customHeight="1" thickTop="1" x14ac:dyDescent="0.2">
      <c r="G26" s="342" t="s">
        <v>1863</v>
      </c>
      <c r="H26" s="227" t="s">
        <v>1864</v>
      </c>
      <c r="I26" s="369">
        <v>162943.72</v>
      </c>
      <c r="J26" s="25"/>
      <c r="L26" s="466"/>
    </row>
    <row r="27" spans="1:12" x14ac:dyDescent="0.2">
      <c r="A27" s="16" t="s">
        <v>2</v>
      </c>
      <c r="G27" s="5">
        <f>C25-C40</f>
        <v>0</v>
      </c>
      <c r="H27" s="227" t="s">
        <v>348</v>
      </c>
      <c r="I27" s="369">
        <v>32391.02</v>
      </c>
      <c r="J27" s="25"/>
      <c r="L27" s="459"/>
    </row>
    <row r="28" spans="1:12" ht="15" x14ac:dyDescent="0.25">
      <c r="A28" s="91" t="s">
        <v>156</v>
      </c>
      <c r="G28" s="3">
        <f>E25-E40</f>
        <v>-7.7980160713195801E-3</v>
      </c>
      <c r="H28"/>
      <c r="I28" s="323"/>
      <c r="J28" s="25"/>
    </row>
    <row r="29" spans="1:12" x14ac:dyDescent="0.2">
      <c r="A29" s="5" t="s">
        <v>159</v>
      </c>
      <c r="B29" s="9">
        <v>7</v>
      </c>
      <c r="C29" s="78">
        <f>'TB-C'!$M$18</f>
        <v>181829450</v>
      </c>
      <c r="E29" s="78">
        <f>'TB-P'!$M$18</f>
        <v>156111010</v>
      </c>
      <c r="H29" s="5"/>
      <c r="I29" s="5"/>
      <c r="J29" s="227"/>
    </row>
    <row r="30" spans="1:12" x14ac:dyDescent="0.2">
      <c r="A30" s="5" t="s">
        <v>9</v>
      </c>
      <c r="B30" s="9">
        <v>8</v>
      </c>
      <c r="C30" s="79">
        <f>'TB-C'!$M$19</f>
        <v>22565684.832000047</v>
      </c>
      <c r="E30" s="79">
        <f>'TB-P'!$M$19</f>
        <v>10427123.142000012</v>
      </c>
      <c r="I30" s="227"/>
      <c r="J30" s="227"/>
    </row>
    <row r="31" spans="1:12" x14ac:dyDescent="0.2">
      <c r="A31" s="5" t="s">
        <v>357</v>
      </c>
      <c r="C31" s="79">
        <f>E!E15</f>
        <v>150000</v>
      </c>
      <c r="E31" s="79">
        <f>E!$E$29</f>
        <v>150000</v>
      </c>
    </row>
    <row r="32" spans="1:12" x14ac:dyDescent="0.2">
      <c r="A32" s="5" t="s">
        <v>10</v>
      </c>
      <c r="C32" s="80">
        <f>E!$D$15</f>
        <v>63733887.612695977</v>
      </c>
      <c r="E32" s="80">
        <f>E!D$29</f>
        <v>53276654.547453418</v>
      </c>
      <c r="I32" s="5"/>
    </row>
    <row r="33" spans="1:11" s="1" customFormat="1" x14ac:dyDescent="0.2">
      <c r="A33" s="14" t="s">
        <v>153</v>
      </c>
      <c r="B33" s="4"/>
      <c r="C33" s="81">
        <f>SUM(C29:C32)</f>
        <v>268279022.44469601</v>
      </c>
      <c r="D33" s="14">
        <f>SUM(D29:D32)</f>
        <v>0</v>
      </c>
      <c r="E33" s="81">
        <f>SUM(E29:E32)</f>
        <v>219964787.68945342</v>
      </c>
      <c r="F33" s="14"/>
      <c r="G33" s="14"/>
      <c r="I33" s="460"/>
      <c r="J33" s="461"/>
      <c r="K33" s="461"/>
    </row>
    <row r="34" spans="1:11" x14ac:dyDescent="0.2">
      <c r="A34" s="14" t="s">
        <v>3</v>
      </c>
      <c r="I34" s="462"/>
      <c r="J34" s="463"/>
      <c r="K34" s="463"/>
    </row>
    <row r="35" spans="1:11" ht="16.149999999999999" customHeight="1" x14ac:dyDescent="0.2">
      <c r="A35" s="5" t="s">
        <v>98</v>
      </c>
      <c r="C35" s="70">
        <f>'TB-C'!$M$43+'TB-C'!M57+'TB-C'!M58+'TB-C'!M59</f>
        <v>580962.13302225783</v>
      </c>
      <c r="E35" s="70">
        <f>'TB-P'!$M$43+'TB-P'!M57+'TB-P'!M58+'TB-P'!M59</f>
        <v>86270.429399948567</v>
      </c>
      <c r="F35" s="6"/>
      <c r="I35" s="464"/>
      <c r="J35" s="465"/>
      <c r="K35" s="463"/>
    </row>
    <row r="36" spans="1:11" ht="16.149999999999999" customHeight="1" x14ac:dyDescent="0.2">
      <c r="A36" s="5" t="s">
        <v>368</v>
      </c>
      <c r="C36" s="72">
        <f>'TB-C'!M56</f>
        <v>0</v>
      </c>
      <c r="E36" s="72">
        <f>'TB-P'!M56</f>
        <v>0</v>
      </c>
      <c r="F36" s="6"/>
      <c r="J36" s="439"/>
    </row>
    <row r="37" spans="1:11" ht="16.149999999999999" customHeight="1" x14ac:dyDescent="0.2">
      <c r="A37" s="5" t="s">
        <v>99</v>
      </c>
      <c r="B37" s="9">
        <v>9</v>
      </c>
      <c r="C37" s="68">
        <f>SUM('TB-C'!$M$10:$M$15)</f>
        <v>2594893.9603155795</v>
      </c>
      <c r="E37" s="68">
        <f>SUM('TB-P'!$M$10:$M$15)</f>
        <v>3108371.1889446625</v>
      </c>
      <c r="F37" s="6"/>
      <c r="J37" s="439"/>
    </row>
    <row r="38" spans="1:11" ht="17.45" customHeight="1" x14ac:dyDescent="0.2">
      <c r="A38" s="14" t="s">
        <v>162</v>
      </c>
      <c r="C38" s="90">
        <f>SUM(C35:C37)</f>
        <v>3175856.0933378376</v>
      </c>
      <c r="D38" s="7">
        <f>SUM(D35)</f>
        <v>0</v>
      </c>
      <c r="E38" s="90">
        <f>SUM(E35:E37)</f>
        <v>3194641.618344611</v>
      </c>
      <c r="F38" s="7"/>
    </row>
    <row r="39" spans="1:11" ht="7.15" customHeight="1" x14ac:dyDescent="0.2">
      <c r="A39" s="16"/>
      <c r="C39" s="82"/>
      <c r="E39" s="82"/>
      <c r="F39" s="7"/>
    </row>
    <row r="40" spans="1:11" ht="13.5" thickBot="1" x14ac:dyDescent="0.25">
      <c r="A40" s="14" t="s">
        <v>4</v>
      </c>
      <c r="C40" s="73">
        <f>ROUND(C33+C38,1)</f>
        <v>271454878.5</v>
      </c>
      <c r="D40" s="7">
        <f>D33+D38</f>
        <v>0</v>
      </c>
      <c r="E40" s="73">
        <f>E33+E38</f>
        <v>223159429.30779803</v>
      </c>
      <c r="F40" s="7"/>
      <c r="H40" s="5"/>
      <c r="I40" s="5"/>
    </row>
    <row r="41" spans="1:11" ht="13.5" thickTop="1" x14ac:dyDescent="0.2">
      <c r="C41" s="92"/>
      <c r="E41" s="92"/>
      <c r="I41" s="25"/>
    </row>
    <row r="42" spans="1:11" x14ac:dyDescent="0.2">
      <c r="A42" s="14" t="s">
        <v>5</v>
      </c>
      <c r="C42" s="82">
        <f>C33</f>
        <v>268279022.44469601</v>
      </c>
      <c r="D42" s="7"/>
      <c r="E42" s="82">
        <f>E33</f>
        <v>219964787.68945342</v>
      </c>
      <c r="F42" s="7"/>
      <c r="H42" s="5"/>
      <c r="I42" s="5"/>
    </row>
    <row r="43" spans="1:11" x14ac:dyDescent="0.2">
      <c r="A43" s="14"/>
      <c r="C43" s="7"/>
      <c r="E43" s="7"/>
      <c r="F43" s="7"/>
    </row>
    <row r="44" spans="1:11" x14ac:dyDescent="0.2">
      <c r="A44" s="14" t="s">
        <v>154</v>
      </c>
      <c r="C44" s="338">
        <f>C42/C49</f>
        <v>14.754431828545707</v>
      </c>
      <c r="E44" s="338">
        <f>E33/E49</f>
        <v>14.09028022363403</v>
      </c>
      <c r="F44" s="338"/>
      <c r="G44" s="25"/>
      <c r="I44" s="25"/>
    </row>
    <row r="45" spans="1:11" x14ac:dyDescent="0.2">
      <c r="A45" s="5" t="s">
        <v>11</v>
      </c>
      <c r="B45" s="9">
        <v>10</v>
      </c>
      <c r="C45" s="339">
        <f>(C33-C11-C14-C17)/C49</f>
        <v>13.985119425672854</v>
      </c>
      <c r="E45" s="339">
        <f>(E33-E11)/E49</f>
        <v>13.844731386991727</v>
      </c>
      <c r="F45" s="339"/>
      <c r="H45" s="25"/>
    </row>
    <row r="46" spans="1:11" x14ac:dyDescent="0.2">
      <c r="A46" s="5" t="s">
        <v>12</v>
      </c>
      <c r="B46" s="9">
        <v>11</v>
      </c>
      <c r="C46" s="339">
        <f>(C33)/(C49)</f>
        <v>14.754431828545707</v>
      </c>
      <c r="E46" s="339">
        <f>(E33)/(E49)</f>
        <v>14.09028022363403</v>
      </c>
      <c r="F46" s="339"/>
      <c r="G46" s="339"/>
      <c r="H46" s="25"/>
    </row>
    <row r="47" spans="1:11" x14ac:dyDescent="0.2">
      <c r="F47" s="25"/>
    </row>
    <row r="48" spans="1:11" x14ac:dyDescent="0.2">
      <c r="A48" s="525" t="s">
        <v>161</v>
      </c>
      <c r="B48" s="525"/>
      <c r="C48" s="525"/>
      <c r="D48" s="525"/>
      <c r="E48" s="525"/>
      <c r="F48" s="452"/>
    </row>
    <row r="49" spans="1:9" s="1" customFormat="1" x14ac:dyDescent="0.2">
      <c r="A49" s="14" t="s">
        <v>84</v>
      </c>
      <c r="B49" s="4"/>
      <c r="C49" s="14">
        <f>ROUND(C29/10,0)</f>
        <v>18182945</v>
      </c>
      <c r="D49" s="14"/>
      <c r="E49" s="14">
        <f>ROUND(E29/10,0)</f>
        <v>15611101</v>
      </c>
      <c r="F49" s="14"/>
      <c r="G49" s="14"/>
      <c r="I49" s="67"/>
    </row>
    <row r="50" spans="1:9" x14ac:dyDescent="0.2">
      <c r="H50" s="25"/>
    </row>
    <row r="51" spans="1:9" x14ac:dyDescent="0.2">
      <c r="C51" s="25"/>
      <c r="H51" s="46"/>
      <c r="I51" s="3"/>
    </row>
    <row r="52" spans="1:9" x14ac:dyDescent="0.2">
      <c r="C52" s="25"/>
      <c r="H52" s="3"/>
      <c r="I52" s="3"/>
    </row>
    <row r="54" spans="1:9" x14ac:dyDescent="0.2">
      <c r="A54" s="5" t="s">
        <v>1561</v>
      </c>
      <c r="C54" s="522" t="s">
        <v>46</v>
      </c>
      <c r="D54" s="522"/>
      <c r="E54" s="522"/>
      <c r="F54" s="342"/>
      <c r="H54" s="5"/>
      <c r="I54" s="5"/>
    </row>
    <row r="55" spans="1:9" x14ac:dyDescent="0.2">
      <c r="A55" s="5" t="s">
        <v>1562</v>
      </c>
      <c r="C55" s="522" t="s">
        <v>1562</v>
      </c>
      <c r="D55" s="522"/>
      <c r="E55" s="522"/>
      <c r="F55" s="342"/>
    </row>
    <row r="57" spans="1:9" x14ac:dyDescent="0.2">
      <c r="I57" s="25"/>
    </row>
    <row r="60" spans="1:9" x14ac:dyDescent="0.2">
      <c r="A60" s="523" t="s">
        <v>1563</v>
      </c>
      <c r="B60" s="523"/>
      <c r="C60" s="523"/>
      <c r="D60" s="523"/>
      <c r="E60" s="523"/>
      <c r="F60" s="451"/>
    </row>
    <row r="61" spans="1:9" x14ac:dyDescent="0.2">
      <c r="A61" s="523" t="s">
        <v>1564</v>
      </c>
      <c r="B61" s="523"/>
      <c r="C61" s="523"/>
      <c r="D61" s="523"/>
      <c r="E61" s="523"/>
      <c r="F61" s="451"/>
    </row>
  </sheetData>
  <mergeCells count="12">
    <mergeCell ref="A7:A8"/>
    <mergeCell ref="B7:B8"/>
    <mergeCell ref="A3:E3"/>
    <mergeCell ref="A4:E4"/>
    <mergeCell ref="A5:E5"/>
    <mergeCell ref="C54:E54"/>
    <mergeCell ref="C55:E55"/>
    <mergeCell ref="A60:E60"/>
    <mergeCell ref="A61:E61"/>
    <mergeCell ref="H11:J11"/>
    <mergeCell ref="A48:E48"/>
    <mergeCell ref="G20:G21"/>
  </mergeCells>
  <conditionalFormatting sqref="C25">
    <cfRule type="cellIs" dxfId="2" priority="4" operator="equal">
      <formula>$C$40</formula>
    </cfRule>
  </conditionalFormatting>
  <conditionalFormatting sqref="E25:F25">
    <cfRule type="cellIs" dxfId="1" priority="1" operator="equal">
      <formula>$C$40</formula>
    </cfRule>
  </conditionalFormatting>
  <printOptions horizontalCentered="1"/>
  <pageMargins left="0.7" right="0.7" top="0.75" bottom="0.75" header="0.3" footer="0.3"/>
  <pageSetup paperSize="9" scale="4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pageSetUpPr fitToPage="1"/>
  </sheetPr>
  <dimension ref="A1:K74"/>
  <sheetViews>
    <sheetView showGridLines="0" topLeftCell="C1" zoomScale="115" zoomScaleNormal="115" zoomScaleSheetLayoutView="100" workbookViewId="0">
      <selection activeCell="C9" sqref="C9"/>
    </sheetView>
  </sheetViews>
  <sheetFormatPr defaultColWidth="8.85546875" defaultRowHeight="12.75" x14ac:dyDescent="0.2"/>
  <cols>
    <col min="1" max="1" width="42.42578125" style="2" bestFit="1" customWidth="1"/>
    <col min="2" max="2" width="8" style="9" customWidth="1"/>
    <col min="3" max="3" width="18.7109375" style="2" customWidth="1"/>
    <col min="4" max="4" width="0.5703125" style="2" customWidth="1"/>
    <col min="5" max="5" width="18.85546875" style="2" customWidth="1"/>
    <col min="6" max="6" width="11.28515625" style="2" bestFit="1" customWidth="1"/>
    <col min="7" max="7" width="14" style="2" bestFit="1" customWidth="1"/>
    <col min="8" max="8" width="11.7109375" style="2" customWidth="1"/>
    <col min="9" max="9" width="8.85546875" style="2"/>
    <col min="10" max="11" width="14" style="2" bestFit="1" customWidth="1"/>
    <col min="12" max="16384" width="8.85546875" style="2"/>
  </cols>
  <sheetData>
    <row r="1" spans="1:11" x14ac:dyDescent="0.2">
      <c r="A1" s="531" t="s">
        <v>45</v>
      </c>
      <c r="B1" s="531"/>
      <c r="C1" s="531"/>
      <c r="D1" s="531"/>
      <c r="E1" s="531"/>
      <c r="F1" s="18"/>
      <c r="G1" s="18"/>
      <c r="H1" s="18"/>
    </row>
    <row r="2" spans="1:11" x14ac:dyDescent="0.2">
      <c r="A2" s="532" t="s">
        <v>287</v>
      </c>
      <c r="B2" s="532"/>
      <c r="C2" s="532"/>
      <c r="D2" s="532"/>
      <c r="E2" s="532"/>
    </row>
    <row r="3" spans="1:11" x14ac:dyDescent="0.2">
      <c r="A3" s="532" t="s">
        <v>1607</v>
      </c>
      <c r="B3" s="532"/>
      <c r="C3" s="532"/>
      <c r="D3" s="532"/>
      <c r="E3" s="532"/>
    </row>
    <row r="5" spans="1:11" ht="28.5" customHeight="1" x14ac:dyDescent="0.2">
      <c r="A5" s="528" t="s">
        <v>0</v>
      </c>
      <c r="B5" s="528" t="s">
        <v>17</v>
      </c>
      <c r="C5" s="273" t="s">
        <v>1606</v>
      </c>
      <c r="D5" s="83"/>
      <c r="E5" s="273" t="s">
        <v>1560</v>
      </c>
    </row>
    <row r="6" spans="1:11" ht="15.75" customHeight="1" x14ac:dyDescent="0.2">
      <c r="A6" s="528"/>
      <c r="B6" s="528"/>
      <c r="C6" s="84" t="s">
        <v>18</v>
      </c>
      <c r="D6" s="9"/>
      <c r="E6" s="84" t="s">
        <v>19</v>
      </c>
    </row>
    <row r="7" spans="1:11" ht="4.5" customHeight="1" x14ac:dyDescent="0.2">
      <c r="A7" s="1"/>
      <c r="B7" s="4"/>
      <c r="C7" s="3"/>
      <c r="D7" s="6"/>
      <c r="E7" s="3"/>
    </row>
    <row r="8" spans="1:11" x14ac:dyDescent="0.2">
      <c r="A8" s="20" t="s">
        <v>20</v>
      </c>
      <c r="B8" s="65"/>
      <c r="C8" s="6"/>
      <c r="D8" s="6"/>
      <c r="E8" s="6"/>
    </row>
    <row r="9" spans="1:11" ht="13.5" thickBot="1" x14ac:dyDescent="0.25">
      <c r="A9" s="8" t="s">
        <v>21</v>
      </c>
      <c r="B9" s="100">
        <v>12</v>
      </c>
      <c r="C9" s="70">
        <f>SUM('TB-C'!I20:I23)</f>
        <v>707664.40609153837</v>
      </c>
      <c r="D9" s="6"/>
      <c r="E9" s="70">
        <f>SUM('TB-P'!I20:I23)</f>
        <v>3882106.9621427208</v>
      </c>
    </row>
    <row r="10" spans="1:11" ht="13.5" thickBot="1" x14ac:dyDescent="0.25">
      <c r="A10" s="2" t="s">
        <v>285</v>
      </c>
      <c r="B10" s="101">
        <v>13</v>
      </c>
      <c r="C10" s="72">
        <f>IF('TB-C'!I50&gt;0,'TB-C'!I50,-'TB-C'!H50)</f>
        <v>10078118.399999999</v>
      </c>
      <c r="D10" s="6"/>
      <c r="E10" s="72">
        <f>IF('TB-P'!I50&gt;0,'TB-P'!I50,-'TB-P'!H50)</f>
        <v>9695579.4999999925</v>
      </c>
      <c r="G10" s="259">
        <f>((C9+C10+C13)-C34)*0.7</f>
        <v>6549615.9576701848</v>
      </c>
      <c r="H10" s="260" t="s">
        <v>767</v>
      </c>
      <c r="K10" s="5"/>
    </row>
    <row r="11" spans="1:11" ht="13.5" thickBot="1" x14ac:dyDescent="0.25">
      <c r="A11" s="2" t="s">
        <v>1816</v>
      </c>
      <c r="B11" s="101">
        <v>14</v>
      </c>
      <c r="C11" s="72">
        <f>IF('TB-C'!I51&gt;0,'TB-C'!I51,-'TB-C'!H51)</f>
        <v>0</v>
      </c>
      <c r="D11" s="6"/>
      <c r="E11" s="72">
        <f>IF('TB-P'!I51&gt;0,'TB-P'!I51,-'TB-P'!H51)</f>
        <v>0</v>
      </c>
      <c r="G11" s="259"/>
      <c r="K11" s="5"/>
    </row>
    <row r="12" spans="1:11" ht="13.5" thickBot="1" x14ac:dyDescent="0.25">
      <c r="A12" s="2" t="s">
        <v>1817</v>
      </c>
      <c r="B12" s="101">
        <v>15</v>
      </c>
      <c r="C12" s="72">
        <f>IF('TB-C'!I52&gt;0,'TB-C'!I52,-'TB-C'!H52)</f>
        <v>0</v>
      </c>
      <c r="D12" s="6"/>
      <c r="E12" s="72">
        <f>IF('TB-P'!I52&gt;0,'TB-P'!I52,-'TB-P'!H52)</f>
        <v>5060463.1000000034</v>
      </c>
      <c r="G12" s="259"/>
      <c r="K12" s="5"/>
    </row>
    <row r="13" spans="1:11" ht="13.5" thickBot="1" x14ac:dyDescent="0.25">
      <c r="A13" s="2" t="s">
        <v>22</v>
      </c>
      <c r="B13" s="101">
        <v>14</v>
      </c>
      <c r="C13" s="72">
        <f>'TB-C'!$I$45</f>
        <v>432567.45999999996</v>
      </c>
      <c r="D13" s="6"/>
      <c r="E13" s="72">
        <f>'TB-P'!$I$45</f>
        <v>5060840.93</v>
      </c>
      <c r="G13" s="274">
        <f>G10/C41</f>
        <v>0.36020655387068401</v>
      </c>
      <c r="H13" s="2" t="s">
        <v>768</v>
      </c>
      <c r="K13" s="25"/>
    </row>
    <row r="14" spans="1:11" x14ac:dyDescent="0.2">
      <c r="A14" s="2" t="s">
        <v>2024</v>
      </c>
      <c r="B14" s="101">
        <v>15</v>
      </c>
      <c r="C14" s="72">
        <f>-'TB-C'!H45</f>
        <v>0</v>
      </c>
      <c r="D14" s="6"/>
      <c r="E14" s="72"/>
      <c r="G14" s="356"/>
      <c r="J14" s="64">
        <v>5857970</v>
      </c>
      <c r="K14" s="25"/>
    </row>
    <row r="15" spans="1:11" x14ac:dyDescent="0.2">
      <c r="A15" s="2" t="s">
        <v>1784</v>
      </c>
      <c r="B15" s="101">
        <v>15</v>
      </c>
      <c r="C15" s="72">
        <f>IF('TB-C'!$I$38&gt;0,-'TB-C'!$I$38,'TB-C'!$H$38)</f>
        <v>10155077.41999945</v>
      </c>
      <c r="D15" s="6"/>
      <c r="E15" s="72">
        <f>IF('TB-P'!$I$38&gt;0,-'TB-P'!$I$38,'TB-P'!$H$38)</f>
        <v>2872990.2400004268</v>
      </c>
      <c r="G15" s="356"/>
      <c r="J15" s="64">
        <v>5848314</v>
      </c>
      <c r="K15" s="25"/>
    </row>
    <row r="16" spans="1:11" x14ac:dyDescent="0.2">
      <c r="A16" s="2" t="s">
        <v>1811</v>
      </c>
      <c r="B16" s="101">
        <v>16</v>
      </c>
      <c r="C16" s="72">
        <f>IF('TB-C'!$I$39&gt;0,-'TB-C'!$I$39,'TB-C'!$H$39)</f>
        <v>0</v>
      </c>
      <c r="D16" s="6"/>
      <c r="E16" s="72">
        <f>IF('TB-P'!$I$39&gt;0,-'TB-P'!$I$39,'TB-P'!$H$39)</f>
        <v>0</v>
      </c>
      <c r="G16" s="356"/>
      <c r="J16" s="441">
        <f>J14-J15</f>
        <v>9656</v>
      </c>
      <c r="K16" s="25"/>
    </row>
    <row r="17" spans="1:11" x14ac:dyDescent="0.2">
      <c r="A17" s="2" t="s">
        <v>1812</v>
      </c>
      <c r="B17" s="101">
        <v>17</v>
      </c>
      <c r="C17" s="71">
        <f>IF('TB-C'!$I$40&gt;0,-'TB-C'!$I$40,'TB-C'!$H$40)</f>
        <v>0</v>
      </c>
      <c r="D17" s="6"/>
      <c r="E17" s="71">
        <f>IF('TB-P'!$I$40&gt;0,-'TB-P'!$I$40,'TB-P'!$H$40)</f>
        <v>-304567.48833332956</v>
      </c>
      <c r="J17" s="5"/>
      <c r="K17" s="25"/>
    </row>
    <row r="18" spans="1:11" x14ac:dyDescent="0.2">
      <c r="A18" s="4" t="s">
        <v>23</v>
      </c>
      <c r="B18" s="4"/>
      <c r="C18" s="90">
        <f>SUM(C9:C17)</f>
        <v>21373427.686090987</v>
      </c>
      <c r="D18" s="7">
        <f>SUM(D9:D13)</f>
        <v>0</v>
      </c>
      <c r="E18" s="90">
        <f>SUM(E9:E17)</f>
        <v>26267413.243809812</v>
      </c>
    </row>
    <row r="19" spans="1:11" x14ac:dyDescent="0.2">
      <c r="C19" s="6"/>
      <c r="D19" s="6"/>
      <c r="E19" s="6"/>
    </row>
    <row r="20" spans="1:11" x14ac:dyDescent="0.2">
      <c r="A20" s="1" t="s">
        <v>24</v>
      </c>
      <c r="B20" s="4"/>
      <c r="G20" s="5"/>
    </row>
    <row r="21" spans="1:11" ht="13.9" customHeight="1" x14ac:dyDescent="0.2">
      <c r="A21" s="2" t="s">
        <v>1785</v>
      </c>
      <c r="C21" s="70">
        <f>'TB-C'!$H$33</f>
        <v>1199767.6140544303</v>
      </c>
      <c r="E21" s="70">
        <f>'TB-P'!$H$33</f>
        <v>3748377.1357197445</v>
      </c>
      <c r="G21" s="25"/>
    </row>
    <row r="22" spans="1:11" x14ac:dyDescent="0.2">
      <c r="A22" s="2" t="s">
        <v>146</v>
      </c>
      <c r="C22" s="72">
        <f>'TB-C'!$H$35</f>
        <v>0</v>
      </c>
      <c r="E22" s="72">
        <f>'TB-P'!$H$35</f>
        <v>154911.16</v>
      </c>
    </row>
    <row r="23" spans="1:11" x14ac:dyDescent="0.2">
      <c r="A23" s="2" t="s">
        <v>1786</v>
      </c>
      <c r="C23" s="72">
        <f>'TB-C'!$H$32</f>
        <v>32967.032967032952</v>
      </c>
      <c r="E23" s="72">
        <f>'TB-P'!$H$32</f>
        <v>142464.67817896401</v>
      </c>
      <c r="G23" s="5"/>
    </row>
    <row r="24" spans="1:11" x14ac:dyDescent="0.2">
      <c r="A24" s="8" t="s">
        <v>1787</v>
      </c>
      <c r="B24" s="66"/>
      <c r="C24" s="72">
        <v>0</v>
      </c>
      <c r="E24" s="72">
        <v>0</v>
      </c>
    </row>
    <row r="25" spans="1:11" x14ac:dyDescent="0.2">
      <c r="A25" s="2" t="s">
        <v>145</v>
      </c>
      <c r="C25" s="72">
        <f>'TB-C'!$H$37</f>
        <v>13687.862222222222</v>
      </c>
      <c r="E25" s="72">
        <f>'TB-P'!$H$37</f>
        <v>88735.48</v>
      </c>
    </row>
    <row r="26" spans="1:11" x14ac:dyDescent="0.2">
      <c r="A26" s="2" t="s">
        <v>25</v>
      </c>
      <c r="C26" s="72">
        <f>'TB-C'!$H$34</f>
        <v>98794.007904729297</v>
      </c>
      <c r="E26" s="72">
        <f>'TB-P'!$H$34</f>
        <v>174953.1625060084</v>
      </c>
    </row>
    <row r="27" spans="1:11" x14ac:dyDescent="0.2">
      <c r="A27" s="2" t="s">
        <v>26</v>
      </c>
      <c r="C27" s="72">
        <f>'TB-C'!$H$47</f>
        <v>0</v>
      </c>
      <c r="E27" s="72">
        <f>'TB-P'!$H$47</f>
        <v>109206.14</v>
      </c>
    </row>
    <row r="28" spans="1:11" ht="13.5" customHeight="1" x14ac:dyDescent="0.2">
      <c r="A28" s="2" t="s">
        <v>27</v>
      </c>
      <c r="C28" s="72">
        <f>'TB-C'!$H$49</f>
        <v>0</v>
      </c>
      <c r="E28" s="72">
        <f>'TB-P'!$H$49</f>
        <v>0</v>
      </c>
    </row>
    <row r="29" spans="1:11" ht="13.5" customHeight="1" x14ac:dyDescent="0.2">
      <c r="A29" s="2" t="s">
        <v>28</v>
      </c>
      <c r="C29" s="72">
        <f>'TB-C'!$H$27</f>
        <v>485345.52370000002</v>
      </c>
      <c r="E29" s="72">
        <f>'TB-P'!$H$25</f>
        <v>950852.53099999938</v>
      </c>
    </row>
    <row r="30" spans="1:11" ht="13.9" customHeight="1" x14ac:dyDescent="0.2">
      <c r="A30" s="2" t="s">
        <v>29</v>
      </c>
      <c r="C30" s="72">
        <f>'TB-C'!$H$36</f>
        <v>0</v>
      </c>
      <c r="E30" s="72">
        <f>'TB-P'!$H$36</f>
        <v>46000</v>
      </c>
    </row>
    <row r="31" spans="1:11" x14ac:dyDescent="0.2">
      <c r="A31" s="2" t="s">
        <v>1788</v>
      </c>
      <c r="C31" s="72">
        <f>'TB-C'!$H$26</f>
        <v>26469</v>
      </c>
      <c r="E31" s="72">
        <f>'TB-P'!$H$24</f>
        <v>85743.16</v>
      </c>
    </row>
    <row r="32" spans="1:11" x14ac:dyDescent="0.2">
      <c r="A32" s="2" t="s">
        <v>1789</v>
      </c>
      <c r="C32" s="72">
        <v>0</v>
      </c>
      <c r="E32" s="72">
        <v>0</v>
      </c>
    </row>
    <row r="33" spans="1:7" ht="13.5" customHeight="1" x14ac:dyDescent="0.2">
      <c r="A33" s="2" t="s">
        <v>30</v>
      </c>
      <c r="C33" s="71">
        <f>'TB-C'!$H$44</f>
        <v>4725</v>
      </c>
      <c r="E33" s="71">
        <f>'TB-P'!$H$44</f>
        <v>85162.5</v>
      </c>
    </row>
    <row r="34" spans="1:7" x14ac:dyDescent="0.2">
      <c r="A34" s="4" t="s">
        <v>258</v>
      </c>
      <c r="B34" s="4"/>
      <c r="C34" s="82">
        <f>SUM(C21:C33)</f>
        <v>1861756.0408484146</v>
      </c>
      <c r="D34" s="7">
        <f>SUM(D21:D33)</f>
        <v>0</v>
      </c>
      <c r="E34" s="82">
        <f>SUM(E21:E33)</f>
        <v>5586405.9474047162</v>
      </c>
      <c r="G34" s="46">
        <f>C34/BS!C40</f>
        <v>6.8584364780477306E-3</v>
      </c>
    </row>
    <row r="35" spans="1:7" ht="6" customHeight="1" x14ac:dyDescent="0.2">
      <c r="A35" s="4"/>
      <c r="B35" s="4"/>
      <c r="C35" s="82"/>
      <c r="E35" s="82"/>
    </row>
    <row r="36" spans="1:7" ht="13.5" thickBot="1" x14ac:dyDescent="0.25">
      <c r="A36" s="4" t="s">
        <v>1790</v>
      </c>
      <c r="B36" s="4"/>
      <c r="C36" s="73">
        <f>C18-C34</f>
        <v>19511671.645242572</v>
      </c>
      <c r="E36" s="73">
        <f>E18-E34</f>
        <v>20681007.296405096</v>
      </c>
    </row>
    <row r="37" spans="1:7" ht="14.25" thickTop="1" thickBot="1" x14ac:dyDescent="0.25">
      <c r="A37" s="4"/>
      <c r="B37" s="4"/>
    </row>
    <row r="38" spans="1:7" ht="13.5" thickBot="1" x14ac:dyDescent="0.25">
      <c r="A38" s="4" t="s">
        <v>160</v>
      </c>
      <c r="B38" s="4">
        <v>16</v>
      </c>
      <c r="C38" s="48">
        <f>C36/C41</f>
        <v>1.0730754366381559</v>
      </c>
      <c r="E38" s="48">
        <f>E36/E41</f>
        <v>1.3247628912531599</v>
      </c>
    </row>
    <row r="39" spans="1:7" x14ac:dyDescent="0.2">
      <c r="A39" s="4"/>
      <c r="B39" s="4"/>
      <c r="C39" s="62"/>
      <c r="E39" s="62"/>
    </row>
    <row r="40" spans="1:7" x14ac:dyDescent="0.2">
      <c r="A40" s="525" t="s">
        <v>161</v>
      </c>
      <c r="B40" s="525"/>
      <c r="C40" s="525"/>
      <c r="D40" s="525"/>
      <c r="E40" s="525"/>
    </row>
    <row r="41" spans="1:7" s="1" customFormat="1" x14ac:dyDescent="0.2">
      <c r="A41" s="1" t="s">
        <v>84</v>
      </c>
      <c r="B41" s="4"/>
      <c r="C41" s="24">
        <f>BS!C49</f>
        <v>18182945</v>
      </c>
      <c r="E41" s="24">
        <f>BS!E49</f>
        <v>15611101</v>
      </c>
      <c r="F41" s="19"/>
    </row>
    <row r="43" spans="1:7" x14ac:dyDescent="0.2">
      <c r="F43" s="5"/>
    </row>
    <row r="45" spans="1:7" x14ac:dyDescent="0.2">
      <c r="A45" s="5"/>
      <c r="C45" s="5"/>
      <c r="D45" s="5"/>
      <c r="E45" s="5"/>
    </row>
    <row r="46" spans="1:7" x14ac:dyDescent="0.2">
      <c r="A46" s="5" t="s">
        <v>1561</v>
      </c>
      <c r="C46" s="522" t="s">
        <v>46</v>
      </c>
      <c r="D46" s="522"/>
      <c r="E46" s="522"/>
    </row>
    <row r="47" spans="1:7" x14ac:dyDescent="0.2">
      <c r="A47" s="5" t="s">
        <v>1562</v>
      </c>
      <c r="C47" s="522" t="s">
        <v>1562</v>
      </c>
      <c r="D47" s="522"/>
      <c r="E47" s="522"/>
      <c r="F47" s="47"/>
    </row>
    <row r="48" spans="1:7" x14ac:dyDescent="0.2">
      <c r="A48" s="5"/>
      <c r="C48" s="5"/>
      <c r="D48" s="5"/>
      <c r="E48" s="5"/>
    </row>
    <row r="49" spans="1:5" x14ac:dyDescent="0.2">
      <c r="A49" s="5"/>
      <c r="C49" s="5"/>
      <c r="D49" s="5"/>
      <c r="E49" s="5"/>
    </row>
    <row r="50" spans="1:5" x14ac:dyDescent="0.2">
      <c r="A50" s="5"/>
      <c r="C50" s="5"/>
      <c r="D50" s="5"/>
      <c r="E50" s="5"/>
    </row>
    <row r="51" spans="1:5" x14ac:dyDescent="0.2">
      <c r="A51" s="5"/>
      <c r="C51" s="5"/>
      <c r="D51" s="5"/>
      <c r="E51" s="5"/>
    </row>
    <row r="52" spans="1:5" x14ac:dyDescent="0.2">
      <c r="A52" s="523" t="s">
        <v>1563</v>
      </c>
      <c r="B52" s="523"/>
      <c r="C52" s="523"/>
      <c r="D52" s="523"/>
      <c r="E52" s="523"/>
    </row>
    <row r="53" spans="1:5" x14ac:dyDescent="0.2">
      <c r="A53" s="523" t="s">
        <v>1564</v>
      </c>
      <c r="B53" s="523"/>
      <c r="C53" s="523"/>
      <c r="D53" s="523"/>
      <c r="E53" s="523"/>
    </row>
    <row r="66" spans="3:3" x14ac:dyDescent="0.2">
      <c r="C66" s="25">
        <f>C41*0.8</f>
        <v>14546356</v>
      </c>
    </row>
    <row r="69" spans="3:3" x14ac:dyDescent="0.2">
      <c r="C69" s="5">
        <f>C36-C17</f>
        <v>19511671.645242572</v>
      </c>
    </row>
    <row r="74" spans="3:3" x14ac:dyDescent="0.2">
      <c r="C74" s="25">
        <f>C69-C66</f>
        <v>4965315.6452425718</v>
      </c>
    </row>
  </sheetData>
  <mergeCells count="10">
    <mergeCell ref="A1:E1"/>
    <mergeCell ref="A2:E2"/>
    <mergeCell ref="A3:E3"/>
    <mergeCell ref="A5:A6"/>
    <mergeCell ref="B5:B6"/>
    <mergeCell ref="C46:E46"/>
    <mergeCell ref="C47:E47"/>
    <mergeCell ref="A52:E52"/>
    <mergeCell ref="A53:E53"/>
    <mergeCell ref="A40:E40"/>
  </mergeCells>
  <pageMargins left="0.7" right="0.7" top="0.75" bottom="0.75" header="0.3" footer="0.3"/>
  <pageSetup paperSize="9" scale="7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pageSetUpPr fitToPage="1"/>
  </sheetPr>
  <dimension ref="A1:L43"/>
  <sheetViews>
    <sheetView showGridLines="0" zoomScaleSheetLayoutView="100" workbookViewId="0">
      <selection activeCell="D20" sqref="D20"/>
    </sheetView>
  </sheetViews>
  <sheetFormatPr defaultColWidth="9.140625" defaultRowHeight="12.75" x14ac:dyDescent="0.2"/>
  <cols>
    <col min="1" max="1" width="31.140625" style="2" customWidth="1"/>
    <col min="2" max="2" width="17.140625" style="2" customWidth="1"/>
    <col min="3" max="3" width="17.28515625" style="2" customWidth="1"/>
    <col min="4" max="4" width="13" style="2" customWidth="1"/>
    <col min="5" max="5" width="15.28515625" style="2" customWidth="1"/>
    <col min="6" max="6" width="15.42578125" style="2" customWidth="1"/>
    <col min="7" max="7" width="9.140625" style="2"/>
    <col min="8" max="8" width="13.140625" style="2" bestFit="1" customWidth="1"/>
    <col min="9" max="11" width="9.140625" style="2"/>
    <col min="12" max="12" width="11.28515625" style="2" bestFit="1" customWidth="1"/>
    <col min="13" max="16384" width="9.140625" style="2"/>
  </cols>
  <sheetData>
    <row r="1" spans="1:8" x14ac:dyDescent="0.2">
      <c r="A1" s="531" t="s">
        <v>45</v>
      </c>
      <c r="B1" s="531"/>
      <c r="C1" s="531"/>
      <c r="D1" s="531"/>
      <c r="E1" s="531"/>
      <c r="F1" s="531"/>
    </row>
    <row r="2" spans="1:8" x14ac:dyDescent="0.2">
      <c r="A2" s="532" t="s">
        <v>288</v>
      </c>
      <c r="B2" s="532"/>
      <c r="C2" s="532"/>
      <c r="D2" s="532"/>
      <c r="E2" s="532"/>
      <c r="F2" s="532"/>
    </row>
    <row r="3" spans="1:8" x14ac:dyDescent="0.2">
      <c r="A3" s="532" t="s">
        <v>1605</v>
      </c>
      <c r="B3" s="532"/>
      <c r="C3" s="532"/>
      <c r="D3" s="532"/>
      <c r="E3" s="532"/>
      <c r="F3" s="532"/>
    </row>
    <row r="4" spans="1:8" ht="3" customHeight="1" x14ac:dyDescent="0.2">
      <c r="A4" s="4"/>
      <c r="B4" s="4"/>
      <c r="C4" s="4"/>
    </row>
    <row r="5" spans="1:8" ht="6" customHeight="1" x14ac:dyDescent="0.2">
      <c r="A5" s="4"/>
      <c r="B5" s="4"/>
      <c r="C5" s="4"/>
    </row>
    <row r="6" spans="1:8" ht="38.25" x14ac:dyDescent="0.2">
      <c r="A6" s="85" t="s">
        <v>0</v>
      </c>
      <c r="B6" s="366" t="s">
        <v>13</v>
      </c>
      <c r="C6" s="368" t="s">
        <v>76</v>
      </c>
      <c r="D6" s="368" t="s">
        <v>31</v>
      </c>
      <c r="E6" s="368" t="s">
        <v>353</v>
      </c>
      <c r="F6" s="368" t="s">
        <v>14</v>
      </c>
    </row>
    <row r="7" spans="1:8" ht="2.4500000000000002" customHeight="1" thickBot="1" x14ac:dyDescent="0.25">
      <c r="A7" s="54"/>
      <c r="B7" s="55"/>
      <c r="C7" s="56"/>
    </row>
    <row r="8" spans="1:8" x14ac:dyDescent="0.2">
      <c r="A8" s="10" t="s">
        <v>72</v>
      </c>
      <c r="B8" s="11">
        <f>'TB-C'!$K$18</f>
        <v>156111010</v>
      </c>
      <c r="C8" s="11">
        <f>'TB-C'!K19</f>
        <v>10427123.142000049</v>
      </c>
      <c r="D8" s="11">
        <f>SUM('TB-C'!$O$7:$O$217)-SUM('TB-C'!$N$7:$N$217)</f>
        <v>53276654.547453403</v>
      </c>
      <c r="E8" s="11">
        <f>'TB-C'!K54</f>
        <v>150000</v>
      </c>
      <c r="F8" s="21">
        <f>SUM(B8:E8)</f>
        <v>219964787.68945345</v>
      </c>
      <c r="H8" s="5"/>
    </row>
    <row r="9" spans="1:8" x14ac:dyDescent="0.2">
      <c r="A9" s="12" t="s">
        <v>1791</v>
      </c>
      <c r="B9" s="6">
        <f>'TB-C'!D18</f>
        <v>0</v>
      </c>
      <c r="C9" s="6">
        <f>'TB-C'!I19</f>
        <v>19849775.98</v>
      </c>
      <c r="D9" s="6">
        <v>0</v>
      </c>
      <c r="E9" s="6">
        <v>0</v>
      </c>
      <c r="F9" s="22">
        <f t="shared" ref="F9:F14" si="0">SUM(B9:E9)</f>
        <v>19849775.98</v>
      </c>
    </row>
    <row r="10" spans="1:8" x14ac:dyDescent="0.2">
      <c r="A10" s="12" t="s">
        <v>1792</v>
      </c>
      <c r="B10" s="6">
        <f>-'TB-C'!C18</f>
        <v>0</v>
      </c>
      <c r="C10" s="6">
        <f>-'TB-C'!H19</f>
        <v>-7711214.290000001</v>
      </c>
      <c r="D10" s="6">
        <v>0</v>
      </c>
      <c r="E10" s="6">
        <v>0</v>
      </c>
      <c r="F10" s="22">
        <f t="shared" si="0"/>
        <v>-7711214.290000001</v>
      </c>
    </row>
    <row r="11" spans="1:8" x14ac:dyDescent="0.2">
      <c r="A11" s="12" t="s">
        <v>353</v>
      </c>
      <c r="B11" s="6">
        <v>0</v>
      </c>
      <c r="C11" s="6">
        <v>0</v>
      </c>
      <c r="D11" s="6">
        <f>-'TB-C'!I54</f>
        <v>0</v>
      </c>
      <c r="E11" s="6">
        <f>'TB-C'!I54</f>
        <v>0</v>
      </c>
      <c r="F11" s="22">
        <f t="shared" si="0"/>
        <v>0</v>
      </c>
    </row>
    <row r="12" spans="1:8" x14ac:dyDescent="0.2">
      <c r="A12" s="12" t="s">
        <v>358</v>
      </c>
      <c r="B12" s="6">
        <v>0</v>
      </c>
      <c r="C12" s="6">
        <v>0</v>
      </c>
      <c r="D12" s="6">
        <f>-'TB-C'!M56</f>
        <v>0</v>
      </c>
      <c r="E12" s="6">
        <v>0</v>
      </c>
      <c r="F12" s="22">
        <f t="shared" si="0"/>
        <v>0</v>
      </c>
    </row>
    <row r="13" spans="1:8" x14ac:dyDescent="0.2">
      <c r="A13" s="12" t="s">
        <v>1793</v>
      </c>
      <c r="B13" s="6">
        <v>0</v>
      </c>
      <c r="C13" s="6">
        <v>0</v>
      </c>
      <c r="D13" s="6">
        <f>-'TB-C'!H56</f>
        <v>-9054438.5800000001</v>
      </c>
      <c r="E13" s="6">
        <v>0</v>
      </c>
      <c r="F13" s="22">
        <f t="shared" si="0"/>
        <v>-9054438.5800000001</v>
      </c>
    </row>
    <row r="14" spans="1:8" ht="13.5" thickBot="1" x14ac:dyDescent="0.25">
      <c r="A14" s="260" t="s">
        <v>1794</v>
      </c>
      <c r="B14" s="13">
        <v>0</v>
      </c>
      <c r="C14" s="13">
        <v>0</v>
      </c>
      <c r="D14" s="13">
        <f>IS!$C$36</f>
        <v>19511671.645242572</v>
      </c>
      <c r="E14" s="13">
        <v>0</v>
      </c>
      <c r="F14" s="335">
        <f t="shared" si="0"/>
        <v>19511671.645242572</v>
      </c>
    </row>
    <row r="15" spans="1:8" ht="13.5" thickBot="1" x14ac:dyDescent="0.25">
      <c r="A15" s="86" t="s">
        <v>73</v>
      </c>
      <c r="B15" s="69">
        <f>SUM(B8:B14)</f>
        <v>156111010</v>
      </c>
      <c r="C15" s="69">
        <f>SUM(C8:C14)</f>
        <v>22565684.832000047</v>
      </c>
      <c r="D15" s="69">
        <f>SUM(D8:D14)</f>
        <v>63733887.612695977</v>
      </c>
      <c r="E15" s="69">
        <f>SUM(E8:E14)</f>
        <v>150000</v>
      </c>
      <c r="F15" s="69">
        <f>SUM(F8:F14)</f>
        <v>242560582.44469601</v>
      </c>
      <c r="H15" s="5"/>
    </row>
    <row r="16" spans="1:8" ht="13.5" thickTop="1" x14ac:dyDescent="0.2">
      <c r="A16" s="4"/>
      <c r="B16" s="7"/>
      <c r="C16" s="6"/>
    </row>
    <row r="17" spans="1:12" ht="3.6" customHeight="1" x14ac:dyDescent="0.2">
      <c r="A17" s="9"/>
      <c r="B17" s="7"/>
    </row>
    <row r="18" spans="1:12" x14ac:dyDescent="0.2">
      <c r="A18" s="532" t="s">
        <v>1559</v>
      </c>
      <c r="B18" s="532"/>
      <c r="C18" s="532"/>
      <c r="D18" s="532"/>
      <c r="E18" s="532"/>
      <c r="F18" s="532"/>
      <c r="H18" s="64"/>
    </row>
    <row r="19" spans="1:12" x14ac:dyDescent="0.2">
      <c r="A19" s="4"/>
      <c r="B19" s="4"/>
      <c r="C19" s="4"/>
      <c r="L19" s="3"/>
    </row>
    <row r="20" spans="1:12" ht="38.25" x14ac:dyDescent="0.2">
      <c r="A20" s="85" t="s">
        <v>0</v>
      </c>
      <c r="B20" s="366" t="s">
        <v>13</v>
      </c>
      <c r="C20" s="368" t="s">
        <v>76</v>
      </c>
      <c r="D20" s="368" t="s">
        <v>31</v>
      </c>
      <c r="E20" s="368" t="s">
        <v>353</v>
      </c>
      <c r="F20" s="368" t="s">
        <v>14</v>
      </c>
    </row>
    <row r="21" spans="1:12" ht="3" customHeight="1" thickBot="1" x14ac:dyDescent="0.25">
      <c r="A21" s="54"/>
      <c r="B21" s="55"/>
      <c r="C21" s="56"/>
    </row>
    <row r="22" spans="1:12" x14ac:dyDescent="0.2">
      <c r="A22" s="10" t="s">
        <v>72</v>
      </c>
      <c r="B22" s="11">
        <f>'TB-P'!$K$18</f>
        <v>108240270</v>
      </c>
      <c r="C22" s="11">
        <f>'TB-P'!K19</f>
        <v>-8188472.147999987</v>
      </c>
      <c r="D22" s="11">
        <f>SUM('TB-P'!$O$7:$O$218)-SUM('TB-P'!$N$7:$N$218)</f>
        <v>38007660.751048326</v>
      </c>
      <c r="E22" s="11">
        <f>'TB-P'!K54</f>
        <v>150000</v>
      </c>
      <c r="F22" s="21">
        <f>SUM(B22:E22)</f>
        <v>138209458.60304832</v>
      </c>
    </row>
    <row r="23" spans="1:12" x14ac:dyDescent="0.2">
      <c r="A23" s="12" t="s">
        <v>1791</v>
      </c>
      <c r="B23" s="6">
        <f>'TB-P'!I18</f>
        <v>82095460</v>
      </c>
      <c r="C23" s="6">
        <f>'TB-P'!I19</f>
        <v>30623393.620000001</v>
      </c>
      <c r="D23" s="6">
        <v>0</v>
      </c>
      <c r="E23" s="6">
        <v>0</v>
      </c>
      <c r="F23" s="22">
        <f t="shared" ref="F23:F28" si="1">SUM(B23:E23)</f>
        <v>112718853.62</v>
      </c>
    </row>
    <row r="24" spans="1:12" x14ac:dyDescent="0.2">
      <c r="A24" s="12" t="s">
        <v>1792</v>
      </c>
      <c r="B24" s="6">
        <f>-'TB-P'!H18</f>
        <v>-34224720</v>
      </c>
      <c r="C24" s="6">
        <f>-'TB-P'!H19</f>
        <v>-12007798.330000002</v>
      </c>
      <c r="D24" s="6">
        <v>0</v>
      </c>
      <c r="E24" s="6">
        <v>0</v>
      </c>
      <c r="F24" s="22">
        <f t="shared" si="1"/>
        <v>-46232518.329999998</v>
      </c>
    </row>
    <row r="25" spans="1:12" x14ac:dyDescent="0.2">
      <c r="A25" s="12" t="s">
        <v>353</v>
      </c>
      <c r="B25" s="6">
        <v>0</v>
      </c>
      <c r="C25" s="6">
        <v>0</v>
      </c>
      <c r="D25" s="6">
        <v>0</v>
      </c>
      <c r="E25" s="6">
        <f>'TB-P'!I54</f>
        <v>0</v>
      </c>
      <c r="F25" s="22">
        <f t="shared" si="1"/>
        <v>0</v>
      </c>
    </row>
    <row r="26" spans="1:12" x14ac:dyDescent="0.2">
      <c r="A26" s="12" t="s">
        <v>358</v>
      </c>
      <c r="B26" s="6">
        <v>0</v>
      </c>
      <c r="C26" s="6">
        <v>0</v>
      </c>
      <c r="D26" s="6">
        <f>'TB-P'!H56-'TB-P'!I56</f>
        <v>0</v>
      </c>
      <c r="E26" s="6">
        <v>0</v>
      </c>
      <c r="F26" s="22">
        <f t="shared" si="1"/>
        <v>0</v>
      </c>
    </row>
    <row r="27" spans="1:12" x14ac:dyDescent="0.2">
      <c r="A27" s="12" t="s">
        <v>1793</v>
      </c>
      <c r="B27" s="6">
        <v>0</v>
      </c>
      <c r="C27" s="6">
        <v>0</v>
      </c>
      <c r="D27" s="6">
        <f>-'TB-P'!H56</f>
        <v>-5412013.5</v>
      </c>
      <c r="E27" s="6">
        <v>0</v>
      </c>
      <c r="F27" s="22">
        <f t="shared" si="1"/>
        <v>-5412013.5</v>
      </c>
    </row>
    <row r="28" spans="1:12" ht="13.5" thickBot="1" x14ac:dyDescent="0.25">
      <c r="A28" s="260" t="s">
        <v>1794</v>
      </c>
      <c r="B28" s="13">
        <v>0</v>
      </c>
      <c r="C28" s="13">
        <v>0</v>
      </c>
      <c r="D28" s="13">
        <f>IS!$E$36</f>
        <v>20681007.296405096</v>
      </c>
      <c r="E28" s="13">
        <v>0</v>
      </c>
      <c r="F28" s="335">
        <f t="shared" si="1"/>
        <v>20681007.296405096</v>
      </c>
    </row>
    <row r="29" spans="1:12" ht="13.5" thickBot="1" x14ac:dyDescent="0.25">
      <c r="A29" s="86" t="s">
        <v>73</v>
      </c>
      <c r="B29" s="69">
        <f>SUM(B22:B28)</f>
        <v>156111010</v>
      </c>
      <c r="C29" s="69">
        <f>SUM(C22:C28)</f>
        <v>10427123.142000012</v>
      </c>
      <c r="D29" s="69">
        <f>SUM(D22:D28)</f>
        <v>53276654.547453418</v>
      </c>
      <c r="E29" s="69">
        <f>SUM(E22:E28)</f>
        <v>150000</v>
      </c>
      <c r="F29" s="69">
        <f>SUM(F22:F28)</f>
        <v>219964787.68945345</v>
      </c>
    </row>
    <row r="30" spans="1:12" ht="13.5" thickTop="1" x14ac:dyDescent="0.2">
      <c r="A30" s="1"/>
      <c r="B30" s="7"/>
      <c r="C30" s="7"/>
      <c r="D30" s="7"/>
      <c r="E30" s="7"/>
      <c r="F30" s="7"/>
    </row>
    <row r="31" spans="1:12" ht="15" customHeight="1" x14ac:dyDescent="0.2">
      <c r="A31" s="533" t="s">
        <v>1565</v>
      </c>
      <c r="B31" s="533"/>
      <c r="C31" s="533"/>
      <c r="D31" s="533"/>
      <c r="E31" s="533"/>
      <c r="F31" s="533"/>
    </row>
    <row r="32" spans="1:12" x14ac:dyDescent="0.2">
      <c r="A32" s="5"/>
      <c r="B32" s="9"/>
      <c r="C32" s="5"/>
      <c r="D32" s="5"/>
      <c r="E32" s="5"/>
    </row>
    <row r="33" spans="1:6" x14ac:dyDescent="0.2">
      <c r="A33" s="5"/>
      <c r="B33" s="9"/>
      <c r="C33" s="5"/>
      <c r="D33" s="5"/>
      <c r="E33" s="5"/>
    </row>
    <row r="34" spans="1:6" x14ac:dyDescent="0.2">
      <c r="A34" s="5"/>
      <c r="B34" s="9"/>
      <c r="C34" s="5"/>
      <c r="D34" s="5"/>
      <c r="E34" s="5"/>
    </row>
    <row r="35" spans="1:6" x14ac:dyDescent="0.2">
      <c r="A35" s="5"/>
      <c r="B35" s="9"/>
      <c r="C35" s="5"/>
      <c r="D35" s="5"/>
      <c r="E35" s="5"/>
    </row>
    <row r="36" spans="1:6" x14ac:dyDescent="0.2">
      <c r="A36" s="5" t="s">
        <v>1561</v>
      </c>
      <c r="B36" s="9"/>
      <c r="C36" s="522" t="s">
        <v>46</v>
      </c>
      <c r="D36" s="522"/>
      <c r="E36" s="522"/>
      <c r="F36" s="522"/>
    </row>
    <row r="37" spans="1:6" x14ac:dyDescent="0.2">
      <c r="A37" s="5" t="s">
        <v>1562</v>
      </c>
      <c r="B37" s="9"/>
      <c r="C37" s="522" t="s">
        <v>1562</v>
      </c>
      <c r="D37" s="522"/>
      <c r="E37" s="522"/>
      <c r="F37" s="522"/>
    </row>
    <row r="38" spans="1:6" x14ac:dyDescent="0.2">
      <c r="A38" s="5"/>
      <c r="B38" s="9"/>
      <c r="C38" s="5"/>
      <c r="D38" s="5"/>
      <c r="E38" s="5"/>
    </row>
    <row r="39" spans="1:6" x14ac:dyDescent="0.2">
      <c r="A39" s="5"/>
      <c r="B39" s="9"/>
      <c r="C39" s="5"/>
      <c r="D39" s="5"/>
      <c r="E39" s="5"/>
    </row>
    <row r="40" spans="1:6" x14ac:dyDescent="0.2">
      <c r="A40" s="5"/>
      <c r="B40" s="9"/>
      <c r="C40" s="5"/>
      <c r="D40" s="5"/>
      <c r="E40" s="5"/>
    </row>
    <row r="41" spans="1:6" x14ac:dyDescent="0.2">
      <c r="A41" s="5"/>
      <c r="B41" s="9"/>
      <c r="C41" s="5"/>
      <c r="D41" s="5"/>
      <c r="E41" s="5"/>
    </row>
    <row r="42" spans="1:6" x14ac:dyDescent="0.2">
      <c r="A42" s="523" t="s">
        <v>1563</v>
      </c>
      <c r="B42" s="523"/>
      <c r="C42" s="523"/>
      <c r="D42" s="523"/>
      <c r="E42" s="523"/>
      <c r="F42" s="523"/>
    </row>
    <row r="43" spans="1:6" x14ac:dyDescent="0.2">
      <c r="A43" s="523" t="s">
        <v>1564</v>
      </c>
      <c r="B43" s="523"/>
      <c r="C43" s="523"/>
      <c r="D43" s="523"/>
      <c r="E43" s="523"/>
      <c r="F43" s="523"/>
    </row>
  </sheetData>
  <mergeCells count="9">
    <mergeCell ref="C36:F36"/>
    <mergeCell ref="C37:F37"/>
    <mergeCell ref="A42:F42"/>
    <mergeCell ref="A43:F43"/>
    <mergeCell ref="A1:F1"/>
    <mergeCell ref="A2:F2"/>
    <mergeCell ref="A3:F3"/>
    <mergeCell ref="A18:F18"/>
    <mergeCell ref="A31:F31"/>
  </mergeCells>
  <printOptions horizontalCentered="1"/>
  <pageMargins left="0.7" right="0.7" top="0.75" bottom="0.75" header="0.3" footer="0.3"/>
  <pageSetup paperSize="9" scale="82"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pageSetUpPr fitToPage="1"/>
  </sheetPr>
  <dimension ref="A1:H62"/>
  <sheetViews>
    <sheetView showGridLines="0" topLeftCell="A3" zoomScale="115" zoomScaleNormal="115" zoomScaleSheetLayoutView="100" workbookViewId="0">
      <selection activeCell="D9" sqref="D9"/>
    </sheetView>
  </sheetViews>
  <sheetFormatPr defaultColWidth="8.85546875" defaultRowHeight="12.75" x14ac:dyDescent="0.2"/>
  <cols>
    <col min="1" max="1" width="58" style="3" bestFit="1" customWidth="1"/>
    <col min="2" max="2" width="19.7109375" style="107" customWidth="1"/>
    <col min="3" max="3" width="0.5703125" style="6" customWidth="1"/>
    <col min="4" max="4" width="18.5703125" style="3" customWidth="1"/>
    <col min="5" max="5" width="8.85546875" style="2"/>
    <col min="6" max="6" width="14" style="2" bestFit="1" customWidth="1"/>
    <col min="7" max="7" width="11.42578125" style="2" bestFit="1" customWidth="1"/>
    <col min="8" max="8" width="14" style="2" bestFit="1" customWidth="1"/>
    <col min="9" max="16384" width="8.85546875" style="2"/>
  </cols>
  <sheetData>
    <row r="1" spans="1:8" x14ac:dyDescent="0.2">
      <c r="A1" s="536" t="s">
        <v>45</v>
      </c>
      <c r="B1" s="536"/>
      <c r="C1" s="536"/>
      <c r="D1" s="536"/>
      <c r="E1" s="18"/>
      <c r="F1" s="18"/>
      <c r="G1" s="18"/>
    </row>
    <row r="2" spans="1:8" x14ac:dyDescent="0.2">
      <c r="A2" s="537" t="s">
        <v>289</v>
      </c>
      <c r="B2" s="537"/>
      <c r="C2" s="537"/>
      <c r="D2" s="537"/>
    </row>
    <row r="3" spans="1:8" x14ac:dyDescent="0.2">
      <c r="A3" s="537" t="s">
        <v>1870</v>
      </c>
      <c r="B3" s="537"/>
      <c r="C3" s="537"/>
      <c r="D3" s="537"/>
    </row>
    <row r="4" spans="1:8" ht="6" customHeight="1" x14ac:dyDescent="0.2"/>
    <row r="5" spans="1:8" ht="28.5" customHeight="1" thickBot="1" x14ac:dyDescent="0.25">
      <c r="A5" s="538" t="s">
        <v>0</v>
      </c>
      <c r="B5" s="273" t="s">
        <v>1560</v>
      </c>
      <c r="C5" s="83"/>
      <c r="D5" s="273" t="s">
        <v>974</v>
      </c>
    </row>
    <row r="6" spans="1:8" ht="13.5" thickBot="1" x14ac:dyDescent="0.25">
      <c r="A6" s="538"/>
      <c r="B6" s="108" t="s">
        <v>18</v>
      </c>
      <c r="C6" s="88"/>
      <c r="D6" s="89" t="s">
        <v>19</v>
      </c>
      <c r="G6" s="337" t="s">
        <v>1566</v>
      </c>
      <c r="H6" s="367">
        <f>BS!C23</f>
        <v>472714.02771683037</v>
      </c>
    </row>
    <row r="7" spans="1:8" ht="5.25" customHeight="1" thickBot="1" x14ac:dyDescent="0.25">
      <c r="A7" s="24"/>
    </row>
    <row r="8" spans="1:8" ht="14.45" customHeight="1" thickBot="1" x14ac:dyDescent="0.25">
      <c r="A8" s="57" t="s">
        <v>32</v>
      </c>
      <c r="B8" s="109"/>
      <c r="D8" s="6"/>
      <c r="G8" s="534">
        <f>H6-B44</f>
        <v>-2739690.0668895207</v>
      </c>
      <c r="H8" s="535"/>
    </row>
    <row r="9" spans="1:8" x14ac:dyDescent="0.2">
      <c r="A9" s="3" t="s">
        <v>33</v>
      </c>
      <c r="B9" s="110">
        <v>3499665</v>
      </c>
      <c r="D9" s="97">
        <f>SUM('TB-P'!I20:I23)-'TB-P'!H41-'TB-P'!H62</f>
        <v>3882106.9621427208</v>
      </c>
      <c r="F9" s="25"/>
    </row>
    <row r="10" spans="1:8" x14ac:dyDescent="0.2">
      <c r="A10" s="3" t="s">
        <v>1869</v>
      </c>
      <c r="B10" s="111">
        <f>IS!C10</f>
        <v>10078118.399999999</v>
      </c>
      <c r="D10" s="98">
        <f>IS!$E$10</f>
        <v>9695579.4999999925</v>
      </c>
    </row>
    <row r="11" spans="1:8" x14ac:dyDescent="0.2">
      <c r="A11" s="3" t="s">
        <v>1868</v>
      </c>
      <c r="B11" s="111">
        <f>IS!C11</f>
        <v>0</v>
      </c>
      <c r="D11" s="98">
        <v>0</v>
      </c>
    </row>
    <row r="12" spans="1:8" x14ac:dyDescent="0.2">
      <c r="A12" s="3" t="s">
        <v>2021</v>
      </c>
      <c r="B12" s="111">
        <f>IS!C12</f>
        <v>0</v>
      </c>
      <c r="D12" s="98">
        <v>0</v>
      </c>
    </row>
    <row r="13" spans="1:8" x14ac:dyDescent="0.2">
      <c r="A13" s="3" t="s">
        <v>34</v>
      </c>
      <c r="B13" s="111">
        <f>'TB-C'!I46+('TB-C'!I45-'TB-C'!H46)</f>
        <v>1666301.96</v>
      </c>
      <c r="D13" s="98">
        <f>'TB-P'!I46+('TB-P'!I45-'TB-P'!H46)</f>
        <v>4339541.63</v>
      </c>
      <c r="F13" s="106"/>
      <c r="H13" s="106"/>
    </row>
    <row r="14" spans="1:8" x14ac:dyDescent="0.2">
      <c r="A14" s="3" t="s">
        <v>35</v>
      </c>
      <c r="B14" s="111">
        <f>-'TB-C'!H10</f>
        <v>-1766038.8505882353</v>
      </c>
      <c r="C14" s="7"/>
      <c r="D14" s="98">
        <f>-'TB-P'!H10</f>
        <v>-1705923.2735294118</v>
      </c>
      <c r="E14" s="25"/>
    </row>
    <row r="15" spans="1:8" x14ac:dyDescent="0.2">
      <c r="A15" s="3" t="s">
        <v>36</v>
      </c>
      <c r="B15" s="111">
        <f>-IF('TB-C'!I11='TB-C'!H34,0,IF('TB-C'!I11=0,'TB-C'!H11+'TB-C'!H34,'TB-C'!H34-'TB-C'!I11))</f>
        <v>0</v>
      </c>
      <c r="D15" s="98">
        <f>-IF('TB-P'!I11='TB-P'!H34,0,IF('TB-P'!I11=0,'TB-P'!H11+'TB-P'!H34,'TB-P'!H34-'TB-P'!I11))</f>
        <v>-137885.60664880666</v>
      </c>
    </row>
    <row r="16" spans="1:8" x14ac:dyDescent="0.2">
      <c r="A16" s="3" t="s">
        <v>158</v>
      </c>
      <c r="B16" s="111">
        <f>-IF('TB-C'!I13='TB-C'!H35,0,IF('TB-C'!I13=0,'TB-C'!H13+'TB-C'!H35,'TB-C'!H35-'TB-C'!H13))</f>
        <v>0</v>
      </c>
      <c r="D16" s="98">
        <f>-IF('TB-P'!I13='TB-P'!H35,0,IF('TB-P'!I13=0,'TB-P'!H13+'TB-P'!H35,'TB-P'!H35-'TB-P'!H13))</f>
        <v>-154911.16</v>
      </c>
      <c r="E16" s="106"/>
    </row>
    <row r="17" spans="1:8" x14ac:dyDescent="0.2">
      <c r="A17" s="3" t="s">
        <v>85</v>
      </c>
      <c r="B17" s="111">
        <f>-IS!$C$29</f>
        <v>-485345.52370000002</v>
      </c>
      <c r="D17" s="98">
        <f>-IS!$E$29</f>
        <v>-950852.53099999938</v>
      </c>
    </row>
    <row r="18" spans="1:8" ht="13.9" customHeight="1" x14ac:dyDescent="0.2">
      <c r="A18" s="3" t="s">
        <v>37</v>
      </c>
      <c r="B18" s="111">
        <f>-IS!$C$31</f>
        <v>-26469</v>
      </c>
      <c r="D18" s="98">
        <f>-IS!$E$31</f>
        <v>-85743.16</v>
      </c>
    </row>
    <row r="19" spans="1:8" ht="13.9" customHeight="1" x14ac:dyDescent="0.2">
      <c r="A19" s="3" t="s">
        <v>171</v>
      </c>
      <c r="B19" s="111">
        <f>-IF('TB-C'!I129='TB-C'!H37,0,IF('TB-C'!I15=0,'TB-C'!H15+'TB-C'!H37,'TB-C'!H37-'TB-C'!H15))</f>
        <v>-13687.862222222222</v>
      </c>
      <c r="D19" s="98">
        <f>-IF('TB-P'!I133='TB-P'!H37,0,IF('TB-P'!I15=0,'TB-P'!H15+'TB-P'!H37,'TB-P'!H37-'TB-P'!H15))</f>
        <v>-88735.48</v>
      </c>
      <c r="E19" s="106"/>
    </row>
    <row r="20" spans="1:8" ht="13.9" customHeight="1" x14ac:dyDescent="0.2">
      <c r="A20" s="3" t="s">
        <v>176</v>
      </c>
      <c r="B20" s="111">
        <f>-IF('TB-C'!I12='TB-C'!H47,0,IF('TB-C'!I12=0,'TB-C'!H12+'TB-C'!H47,'TB-C'!H47-'TB-C'!H12))</f>
        <v>0</v>
      </c>
      <c r="D20" s="98">
        <f>-IF('TB-P'!I12='TB-P'!H47,0,IF('TB-P'!I12=0,'TB-P'!H12+'TB-P'!H47,'TB-P'!H47-'TB-P'!H12))</f>
        <v>-109206.14</v>
      </c>
      <c r="E20" s="106"/>
    </row>
    <row r="21" spans="1:8" ht="13.9" customHeight="1" x14ac:dyDescent="0.2">
      <c r="A21" s="3" t="s">
        <v>200</v>
      </c>
      <c r="B21" s="111">
        <f>-'TB-C'!$H$49</f>
        <v>0</v>
      </c>
      <c r="D21" s="98">
        <f>-'TB-P'!$H$49</f>
        <v>0</v>
      </c>
    </row>
    <row r="22" spans="1:8" ht="13.9" customHeight="1" x14ac:dyDescent="0.2">
      <c r="A22" s="3" t="s">
        <v>685</v>
      </c>
      <c r="B22" s="111">
        <f>-'TB-C'!$H$36-'TB-C'!$H$14+'TB-C'!I14</f>
        <v>-46000</v>
      </c>
      <c r="D22" s="98">
        <f>-'TB-P'!$H$36+'TB-P'!$I$14</f>
        <v>-46000</v>
      </c>
    </row>
    <row r="23" spans="1:8" ht="13.9" customHeight="1" x14ac:dyDescent="0.2">
      <c r="A23" s="3" t="s">
        <v>165</v>
      </c>
      <c r="B23" s="112">
        <f>-'TB-C'!$H$44</f>
        <v>-4725</v>
      </c>
      <c r="D23" s="99">
        <f>-'TB-P'!$H$44</f>
        <v>-85162.5</v>
      </c>
    </row>
    <row r="24" spans="1:8" x14ac:dyDescent="0.2">
      <c r="A24" s="58" t="s">
        <v>15</v>
      </c>
      <c r="B24" s="187">
        <f>SUM(B9:B23)</f>
        <v>12901819.12348954</v>
      </c>
      <c r="C24" s="7">
        <f>SUM(C9:C18)</f>
        <v>0</v>
      </c>
      <c r="D24" s="82">
        <f>SUM(D9:D23)</f>
        <v>14552808.240964493</v>
      </c>
    </row>
    <row r="25" spans="1:8" ht="13.9" customHeight="1" x14ac:dyDescent="0.2">
      <c r="A25" s="6"/>
      <c r="B25" s="188"/>
      <c r="D25" s="6"/>
    </row>
    <row r="26" spans="1:8" x14ac:dyDescent="0.2">
      <c r="A26" s="57" t="s">
        <v>38</v>
      </c>
      <c r="B26" s="188"/>
      <c r="D26" s="6"/>
      <c r="G26" s="46"/>
    </row>
    <row r="27" spans="1:8" x14ac:dyDescent="0.2">
      <c r="A27" s="3" t="s">
        <v>39</v>
      </c>
      <c r="B27" s="110">
        <f>IF('TB-C'!$H$7&gt;0,-'TB-C'!$H$7,'TB-C'!$I$7)+'TB-C'!$I$43-'TB-C'!$H$53-'TB-C'!H43+'TB-C'!I53</f>
        <v>-46276541.966600023</v>
      </c>
      <c r="D27" s="70">
        <f>IF('TB-P'!$H$7&gt;0,-'TB-P'!$H$7,'TB-P'!$I$7)+'TB-P'!$I$43-'TB-P'!$H$53-'TB-P'!H43+'TB-P'!I53</f>
        <v>-122658892.37259996</v>
      </c>
      <c r="F27" s="5"/>
    </row>
    <row r="28" spans="1:8" x14ac:dyDescent="0.2">
      <c r="A28" s="3" t="s">
        <v>1773</v>
      </c>
      <c r="B28" s="111">
        <f>IF('TB-C'!$H$60&gt;0,-'TB-C'!$H$60,'TB-C'!$I$60)</f>
        <v>0</v>
      </c>
      <c r="D28" s="72">
        <v>0</v>
      </c>
      <c r="F28" s="5"/>
    </row>
    <row r="29" spans="1:8" x14ac:dyDescent="0.2">
      <c r="A29" s="3" t="s">
        <v>2020</v>
      </c>
      <c r="B29" s="111">
        <f>IF('TB-C'!$H$62&gt;0,-'TB-C'!$H$62,'TB-C'!$I$62)</f>
        <v>0</v>
      </c>
      <c r="D29" s="72">
        <v>0</v>
      </c>
      <c r="F29" s="5"/>
    </row>
    <row r="30" spans="1:8" x14ac:dyDescent="0.2">
      <c r="A30" s="3" t="s">
        <v>199</v>
      </c>
      <c r="B30" s="111">
        <f>'TB-C'!I48</f>
        <v>0</v>
      </c>
      <c r="D30" s="72">
        <f>'TB-P'!I48</f>
        <v>0</v>
      </c>
      <c r="G30" s="106"/>
    </row>
    <row r="31" spans="1:8" x14ac:dyDescent="0.2">
      <c r="A31" s="3" t="s">
        <v>40</v>
      </c>
      <c r="B31" s="111">
        <f>-SUMIFS(Journals!$K$9:$K$22410,Journals!$D$9:$D$22410,"&gt;"&amp;'TB-C'!$E$7,Journals!$D$9:$D$22410,"&lt;"&amp;'TB-C'!$E$8,Journals!$G$9:$G$22410,"c",Journals!$J$9:$J$22410,"fixed deposit receipts (fdr)")</f>
        <v>0</v>
      </c>
      <c r="D31" s="72">
        <f>-SUMIFS(Journals!$K$9:$K$22410,Journals!$D$9:$D$22410,"&gt;"&amp;'TB-P'!$E$7,Journals!$D$9:$D$22410,"&lt;"&amp;'TB-P'!$E$8,Journals!$G$9:$G$22410,"c",Journals!$J$9:$J$22410,"fixed deposit receipts (fdr)")</f>
        <v>-8500000</v>
      </c>
      <c r="G31" s="106"/>
      <c r="H31" s="106"/>
    </row>
    <row r="32" spans="1:8" x14ac:dyDescent="0.2">
      <c r="A32" s="3" t="s">
        <v>1778</v>
      </c>
      <c r="B32" s="111">
        <f>SUMIFS(Journals!$L$9:$L$22410,Journals!$D$9:$D$22410,"&gt;"&amp;'TB-C'!$E$7,Journals!$D$9:$D$22410,"&lt;"&amp;'TB-C'!$E$8,Journals!$G$9:$G$22410,"c",Journals!$J$9:$J$22410,"fixed deposit receipts (fdr)")</f>
        <v>6000000</v>
      </c>
      <c r="D32" s="72">
        <f>SUMIFS(Journals!$L$9:$L$22410,Journals!$D$9:$D$22410,"&gt;"&amp;'TB-P'!$E$7,Journals!$D$9:$D$22410,"&lt;"&amp;'TB-P'!$E$8,Journals!$G$9:$G$22410,"c",Journals!$J$9:$J$22410,"fixed deposit receipts (fdr)")</f>
        <v>8500000</v>
      </c>
    </row>
    <row r="33" spans="1:8" x14ac:dyDescent="0.2">
      <c r="A33" s="3" t="s">
        <v>1779</v>
      </c>
      <c r="B33" s="112">
        <v>0</v>
      </c>
      <c r="D33" s="71">
        <v>0</v>
      </c>
    </row>
    <row r="34" spans="1:8" x14ac:dyDescent="0.2">
      <c r="A34" s="24" t="s">
        <v>41</v>
      </c>
      <c r="B34" s="187">
        <f>SUM(B27:B33)</f>
        <v>-40276541.966600023</v>
      </c>
      <c r="C34" s="7">
        <f>SUM(C27:C33)</f>
        <v>0</v>
      </c>
      <c r="D34" s="82">
        <f>SUM(D27:D33)</f>
        <v>-122658892.37259996</v>
      </c>
    </row>
    <row r="35" spans="1:8" ht="16.149999999999999" customHeight="1" x14ac:dyDescent="0.2">
      <c r="A35" s="6"/>
      <c r="B35" s="188"/>
      <c r="D35" s="6"/>
    </row>
    <row r="36" spans="1:8" ht="17.45" customHeight="1" x14ac:dyDescent="0.2">
      <c r="A36" s="57" t="s">
        <v>42</v>
      </c>
      <c r="B36" s="188"/>
      <c r="D36" s="6"/>
    </row>
    <row r="37" spans="1:8" ht="14.45" customHeight="1" x14ac:dyDescent="0.2">
      <c r="A37" s="59" t="s">
        <v>1780</v>
      </c>
      <c r="B37" s="110">
        <f>'TB-C'!I18+'TB-C'!I19</f>
        <v>61210015.980000004</v>
      </c>
      <c r="D37" s="70">
        <f>'TB-P'!I18+'TB-P'!I19</f>
        <v>112718853.62</v>
      </c>
      <c r="H37" s="5"/>
    </row>
    <row r="38" spans="1:8" ht="14.45" customHeight="1" x14ac:dyDescent="0.2">
      <c r="A38" s="59" t="s">
        <v>1781</v>
      </c>
      <c r="B38" s="111">
        <f>-('TB-C'!H18+'TB-C'!H19)</f>
        <v>-23353014.289999999</v>
      </c>
      <c r="D38" s="72">
        <f>-('TB-P'!H18+'TB-P'!H19)</f>
        <v>-46232518.329999998</v>
      </c>
      <c r="H38" s="5"/>
    </row>
    <row r="39" spans="1:8" x14ac:dyDescent="0.2">
      <c r="A39" s="3" t="s">
        <v>144</v>
      </c>
      <c r="B39" s="112">
        <f>-'TB-C'!H56</f>
        <v>-9054438.5800000001</v>
      </c>
      <c r="D39" s="71">
        <f>-'TB-P'!H56</f>
        <v>-5412013.5</v>
      </c>
    </row>
    <row r="40" spans="1:8" x14ac:dyDescent="0.2">
      <c r="A40" s="24" t="s">
        <v>43</v>
      </c>
      <c r="B40" s="187">
        <f>SUM(B37:B39)</f>
        <v>28802563.110000007</v>
      </c>
      <c r="C40" s="7">
        <f>C39</f>
        <v>0</v>
      </c>
      <c r="D40" s="82">
        <f>SUM(D37:D39)</f>
        <v>61074321.790000007</v>
      </c>
      <c r="F40" s="25"/>
    </row>
    <row r="41" spans="1:8" ht="13.9" customHeight="1" x14ac:dyDescent="0.2">
      <c r="A41" s="6"/>
      <c r="B41" s="189"/>
      <c r="D41" s="74"/>
    </row>
    <row r="42" spans="1:8" x14ac:dyDescent="0.2">
      <c r="A42" s="57" t="s">
        <v>16</v>
      </c>
      <c r="B42" s="188">
        <f>SUM(B24,B34,B40)</f>
        <v>1427840.2668895237</v>
      </c>
      <c r="C42" s="6">
        <f>SUM(C24,C34,C40)</f>
        <v>0</v>
      </c>
      <c r="D42" s="6">
        <f>SUM(D24,D34,D40)</f>
        <v>-47031762.341635466</v>
      </c>
    </row>
    <row r="43" spans="1:8" x14ac:dyDescent="0.2">
      <c r="A43" s="3" t="s">
        <v>1782</v>
      </c>
      <c r="B43" s="190">
        <f>'TB-C'!J17</f>
        <v>1784563.8277168274</v>
      </c>
      <c r="D43" s="87">
        <f>'TB-P'!J17</f>
        <v>22849633.033699512</v>
      </c>
    </row>
    <row r="44" spans="1:8" s="1" customFormat="1" ht="15" customHeight="1" thickBot="1" x14ac:dyDescent="0.25">
      <c r="A44" s="24" t="s">
        <v>1783</v>
      </c>
      <c r="B44" s="372">
        <f>B42+B43</f>
        <v>3212404.0946063511</v>
      </c>
      <c r="C44" s="7">
        <f>C42+C43</f>
        <v>0</v>
      </c>
      <c r="D44" s="69">
        <f>D42+D43</f>
        <v>-24182129.307935953</v>
      </c>
    </row>
    <row r="45" spans="1:8" ht="13.5" thickTop="1" x14ac:dyDescent="0.2">
      <c r="B45" s="113"/>
      <c r="D45" s="6"/>
    </row>
    <row r="46" spans="1:8" ht="16.149999999999999" customHeight="1" x14ac:dyDescent="0.2">
      <c r="A46" s="60" t="s">
        <v>44</v>
      </c>
      <c r="B46" s="114">
        <f>B24/B48</f>
        <v>0.70955607705404933</v>
      </c>
      <c r="C46" s="63"/>
      <c r="D46" s="62">
        <f>IFERROR(D24/D48,0)</f>
        <v>0.93220896085192795</v>
      </c>
      <c r="F46" s="25"/>
    </row>
    <row r="47" spans="1:8" x14ac:dyDescent="0.2">
      <c r="A47" s="61"/>
      <c r="B47" s="109"/>
      <c r="D47" s="6"/>
    </row>
    <row r="48" spans="1:8" ht="13.15" customHeight="1" x14ac:dyDescent="0.2">
      <c r="A48" s="61" t="s">
        <v>84</v>
      </c>
      <c r="B48" s="113">
        <f>BS!C49</f>
        <v>18182945</v>
      </c>
      <c r="D48" s="7">
        <f>BS!E49</f>
        <v>15611101</v>
      </c>
    </row>
    <row r="49" spans="1:5" x14ac:dyDescent="0.2">
      <c r="A49" s="533" t="s">
        <v>1565</v>
      </c>
      <c r="B49" s="533"/>
      <c r="C49" s="533"/>
      <c r="D49" s="533"/>
    </row>
    <row r="50" spans="1:5" x14ac:dyDescent="0.2">
      <c r="A50" s="5"/>
      <c r="B50" s="9"/>
      <c r="C50" s="5"/>
      <c r="D50" s="5"/>
      <c r="E50" s="5"/>
    </row>
    <row r="51" spans="1:5" x14ac:dyDescent="0.2">
      <c r="A51" s="5"/>
      <c r="B51" s="9"/>
      <c r="C51" s="5"/>
      <c r="D51" s="5"/>
      <c r="E51" s="5"/>
    </row>
    <row r="52" spans="1:5" x14ac:dyDescent="0.2">
      <c r="A52" s="5"/>
      <c r="B52" s="9"/>
      <c r="C52" s="5"/>
      <c r="D52" s="5"/>
      <c r="E52" s="5"/>
    </row>
    <row r="53" spans="1:5" x14ac:dyDescent="0.2">
      <c r="A53" s="5"/>
      <c r="B53" s="9"/>
      <c r="C53" s="5"/>
      <c r="D53" s="5"/>
      <c r="E53" s="5"/>
    </row>
    <row r="54" spans="1:5" x14ac:dyDescent="0.2">
      <c r="A54" s="5"/>
      <c r="B54" s="5"/>
      <c r="C54" s="5"/>
      <c r="D54" s="5"/>
      <c r="E54" s="5"/>
    </row>
    <row r="55" spans="1:5" x14ac:dyDescent="0.2">
      <c r="A55" s="5" t="s">
        <v>1561</v>
      </c>
      <c r="B55" s="522" t="s">
        <v>46</v>
      </c>
      <c r="C55" s="522"/>
      <c r="D55" s="522"/>
    </row>
    <row r="56" spans="1:5" x14ac:dyDescent="0.2">
      <c r="A56" s="5" t="s">
        <v>1562</v>
      </c>
      <c r="B56" s="522" t="s">
        <v>1562</v>
      </c>
      <c r="C56" s="522"/>
      <c r="D56" s="522"/>
      <c r="E56" s="5"/>
    </row>
    <row r="57" spans="1:5" x14ac:dyDescent="0.2">
      <c r="A57" s="5"/>
      <c r="B57" s="9"/>
      <c r="C57" s="5"/>
      <c r="D57" s="5"/>
      <c r="E57" s="5"/>
    </row>
    <row r="58" spans="1:5" x14ac:dyDescent="0.2">
      <c r="A58" s="5"/>
      <c r="B58" s="9"/>
      <c r="C58" s="5"/>
      <c r="D58" s="5"/>
      <c r="E58" s="5"/>
    </row>
    <row r="59" spans="1:5" x14ac:dyDescent="0.2">
      <c r="A59" s="5"/>
      <c r="B59" s="9"/>
      <c r="C59" s="5"/>
      <c r="D59" s="5"/>
      <c r="E59" s="5"/>
    </row>
    <row r="60" spans="1:5" x14ac:dyDescent="0.2">
      <c r="A60" s="5"/>
      <c r="B60" s="9"/>
      <c r="C60" s="5"/>
      <c r="D60" s="5"/>
      <c r="E60" s="14"/>
    </row>
    <row r="61" spans="1:5" x14ac:dyDescent="0.2">
      <c r="A61" s="523" t="s">
        <v>1563</v>
      </c>
      <c r="B61" s="523"/>
      <c r="C61" s="523"/>
      <c r="D61" s="523"/>
    </row>
    <row r="62" spans="1:5" x14ac:dyDescent="0.2">
      <c r="A62" s="523" t="s">
        <v>1564</v>
      </c>
      <c r="B62" s="523"/>
      <c r="C62" s="523"/>
      <c r="D62" s="523"/>
    </row>
  </sheetData>
  <mergeCells count="10">
    <mergeCell ref="A1:D1"/>
    <mergeCell ref="A2:D2"/>
    <mergeCell ref="A3:D3"/>
    <mergeCell ref="A5:A6"/>
    <mergeCell ref="B56:D56"/>
    <mergeCell ref="G8:H8"/>
    <mergeCell ref="A62:D62"/>
    <mergeCell ref="B55:D55"/>
    <mergeCell ref="A61:D61"/>
    <mergeCell ref="A49:D49"/>
  </mergeCells>
  <printOptions horizontalCentered="1"/>
  <pageMargins left="0.7" right="0.7" top="0.75" bottom="0.75" header="0.3" footer="0.3"/>
  <pageSetup paperSize="9" scale="7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C4:O22"/>
  <sheetViews>
    <sheetView topLeftCell="A7" zoomScale="130" zoomScaleNormal="130" workbookViewId="0">
      <selection activeCell="E14" sqref="E14:E15"/>
    </sheetView>
  </sheetViews>
  <sheetFormatPr defaultColWidth="8.85546875" defaultRowHeight="12.75" x14ac:dyDescent="0.2"/>
  <cols>
    <col min="1" max="2" width="8.85546875" style="2"/>
    <col min="3" max="3" width="19.28515625" style="2" customWidth="1"/>
    <col min="4" max="5" width="20.28515625" style="2" bestFit="1" customWidth="1"/>
    <col min="6" max="6" width="12.85546875" style="2" customWidth="1"/>
    <col min="7" max="7" width="16" style="2" bestFit="1" customWidth="1"/>
    <col min="8" max="8" width="15.42578125" style="2" customWidth="1"/>
    <col min="9" max="9" width="11.140625" style="2" bestFit="1" customWidth="1"/>
    <col min="10" max="10" width="29.140625" style="2" bestFit="1" customWidth="1"/>
    <col min="11" max="11" width="12.85546875" style="2" bestFit="1" customWidth="1"/>
    <col min="12" max="16384" width="8.85546875" style="2"/>
  </cols>
  <sheetData>
    <row r="4" spans="3:15" x14ac:dyDescent="0.2">
      <c r="C4" s="2" t="s">
        <v>123</v>
      </c>
      <c r="D4" s="45">
        <f ca="1">TODAY()</f>
        <v>46106</v>
      </c>
      <c r="E4" s="45"/>
    </row>
    <row r="5" spans="3:15" x14ac:dyDescent="0.2">
      <c r="C5" s="2" t="s">
        <v>132</v>
      </c>
      <c r="D5" s="45">
        <v>43908</v>
      </c>
      <c r="E5" s="45"/>
    </row>
    <row r="6" spans="3:15" ht="15" x14ac:dyDescent="0.25">
      <c r="C6" t="s">
        <v>127</v>
      </c>
      <c r="D6" s="45">
        <v>44196</v>
      </c>
    </row>
    <row r="7" spans="3:15" ht="15" x14ac:dyDescent="0.25">
      <c r="C7"/>
      <c r="D7" s="45"/>
    </row>
    <row r="8" spans="3:15" x14ac:dyDescent="0.2">
      <c r="C8" s="2" t="s">
        <v>124</v>
      </c>
      <c r="D8" s="3">
        <f>BS!C33</f>
        <v>268279022.44469601</v>
      </c>
      <c r="E8" s="3"/>
      <c r="F8" s="3"/>
      <c r="G8" s="3"/>
      <c r="H8" s="3"/>
      <c r="I8" s="3"/>
      <c r="J8" s="3"/>
      <c r="K8" s="3"/>
      <c r="L8" s="3"/>
      <c r="M8" s="3"/>
      <c r="N8" s="3"/>
      <c r="O8" s="3"/>
    </row>
    <row r="9" spans="3:15" x14ac:dyDescent="0.2">
      <c r="C9" s="2" t="s">
        <v>125</v>
      </c>
      <c r="D9" s="3">
        <v>1000000</v>
      </c>
      <c r="E9" s="3"/>
      <c r="F9" s="3"/>
      <c r="G9" s="3"/>
      <c r="H9" s="3"/>
      <c r="I9" s="3"/>
      <c r="J9" s="3"/>
      <c r="K9" s="3"/>
      <c r="L9" s="3"/>
      <c r="M9" s="3"/>
      <c r="N9" s="3"/>
      <c r="O9" s="3"/>
    </row>
    <row r="10" spans="3:15" x14ac:dyDescent="0.2">
      <c r="C10" s="2" t="s">
        <v>126</v>
      </c>
      <c r="D10" s="3"/>
      <c r="E10" s="3"/>
      <c r="F10" s="3"/>
      <c r="G10" s="3"/>
      <c r="H10" s="3"/>
      <c r="I10" s="3"/>
      <c r="J10" s="3"/>
      <c r="K10" s="3"/>
      <c r="L10" s="3"/>
      <c r="M10" s="3"/>
      <c r="N10" s="3"/>
      <c r="O10" s="3"/>
    </row>
    <row r="12" spans="3:15" x14ac:dyDescent="0.2">
      <c r="C12" s="1" t="s">
        <v>128</v>
      </c>
      <c r="D12" s="2" t="s">
        <v>2136</v>
      </c>
      <c r="E12" s="2" t="s">
        <v>2137</v>
      </c>
    </row>
    <row r="13" spans="3:15" x14ac:dyDescent="0.2">
      <c r="C13" s="2" t="s">
        <v>125</v>
      </c>
      <c r="D13" s="25">
        <f>D9/(52*7)</f>
        <v>2747.2527472527472</v>
      </c>
      <c r="E13" s="25">
        <f>D13/7</f>
        <v>392.46467817896388</v>
      </c>
    </row>
    <row r="14" spans="3:15" x14ac:dyDescent="0.2">
      <c r="C14" s="2" t="s">
        <v>97</v>
      </c>
      <c r="D14" s="64">
        <f>(IF(NAV&lt;50000001,NAV*2.5%,IF(NAV&lt;250000001,(50000000*2.5%)+(NAV-50000000)*2%,IF(NAV&lt;500000001,(50000000*2.5%)+(200000000*2%)+((NAV-250000000)*1.5%),(50000000*2.5%)+(200000000*2%)+(250000000*1.5%)+((NAV-500000000)*1%)))))/52</f>
        <v>106234.33339750845</v>
      </c>
      <c r="E14" s="25">
        <f>D14/7</f>
        <v>15176.333342501208</v>
      </c>
      <c r="G14" s="64">
        <f>50000000*2.5%</f>
        <v>1250000</v>
      </c>
      <c r="H14" s="25">
        <f>G14/52</f>
        <v>24038.461538461539</v>
      </c>
    </row>
    <row r="15" spans="3:15" x14ac:dyDescent="0.2">
      <c r="C15" s="2" t="s">
        <v>129</v>
      </c>
      <c r="D15" s="25">
        <f>BS!C33*0.1%/52</f>
        <v>5159.2119700903077</v>
      </c>
      <c r="E15" s="25">
        <f t="shared" ref="E15" si="0">D15/7</f>
        <v>737.03028144147254</v>
      </c>
      <c r="G15" s="64">
        <f>200000000*2%</f>
        <v>4000000</v>
      </c>
      <c r="H15" s="25">
        <f>G15/52</f>
        <v>76923.076923076922</v>
      </c>
    </row>
    <row r="16" spans="3:15" x14ac:dyDescent="0.2">
      <c r="C16" s="2" t="s">
        <v>101</v>
      </c>
      <c r="D16" s="25">
        <f>MAX(50000,BS!C25*0.1%)*7/('W C &amp; I'!D6-'W C &amp; I'!D5)</f>
        <v>6597.8616302083328</v>
      </c>
      <c r="G16" s="64"/>
      <c r="H16" s="25">
        <f>SUM(H14:H15)</f>
        <v>100961.53846153847</v>
      </c>
    </row>
    <row r="17" spans="3:7" x14ac:dyDescent="0.2">
      <c r="C17" s="2" t="s">
        <v>130</v>
      </c>
      <c r="D17" s="25">
        <f>30000*7/(D6-D5)</f>
        <v>729.16666666666663</v>
      </c>
      <c r="G17" s="64"/>
    </row>
    <row r="18" spans="3:7" x14ac:dyDescent="0.2">
      <c r="C18" s="2" t="s">
        <v>131</v>
      </c>
      <c r="D18" s="25">
        <v>0</v>
      </c>
    </row>
    <row r="20" spans="3:7" x14ac:dyDescent="0.2">
      <c r="E20" s="25">
        <f>D13/3</f>
        <v>915.75091575091574</v>
      </c>
    </row>
    <row r="21" spans="3:7" x14ac:dyDescent="0.2">
      <c r="E21" s="25">
        <f t="shared" ref="E21:E22" si="1">D14/3</f>
        <v>35411.444465836154</v>
      </c>
    </row>
    <row r="22" spans="3:7" x14ac:dyDescent="0.2">
      <c r="E22" s="25">
        <f t="shared" si="1"/>
        <v>1719.737323363436</v>
      </c>
    </row>
  </sheetData>
  <dataConsolidate/>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131D-42D5-4B14-A0F5-07A1F324D3C7}">
  <dimension ref="A1:R627"/>
  <sheetViews>
    <sheetView zoomScaleNormal="100" workbookViewId="0">
      <pane xSplit="1" ySplit="3" topLeftCell="B611" activePane="bottomRight" state="frozen"/>
      <selection pane="topRight" activeCell="B1" sqref="B1"/>
      <selection pane="bottomLeft" activeCell="A4" sqref="A4"/>
      <selection pane="bottomRight" activeCell="A627" sqref="A627"/>
    </sheetView>
  </sheetViews>
  <sheetFormatPr defaultColWidth="9.140625" defaultRowHeight="15" x14ac:dyDescent="0.25"/>
  <cols>
    <col min="1" max="2" width="10.7109375" bestFit="1" customWidth="1"/>
    <col min="3" max="3" width="18.42578125" style="378" customWidth="1"/>
    <col min="4" max="4" width="11.42578125" style="103" customWidth="1"/>
    <col min="5" max="5" width="18.42578125" style="382" customWidth="1"/>
    <col min="6" max="6" width="11.42578125" style="380" customWidth="1"/>
    <col min="7" max="7" width="18.42578125" style="378" customWidth="1"/>
    <col min="8" max="8" width="11.42578125" style="103" customWidth="1"/>
    <col min="9" max="9" width="18.42578125" style="382" customWidth="1"/>
    <col min="10" max="10" width="11.42578125" style="380" customWidth="1"/>
    <col min="11" max="11" width="18.42578125" style="378" customWidth="1"/>
    <col min="12" max="12" width="11.42578125" style="380" customWidth="1"/>
    <col min="13" max="13" width="18.42578125" style="378" customWidth="1"/>
    <col min="14" max="14" width="11.42578125" style="380" customWidth="1"/>
    <col min="15" max="15" width="18.42578125" style="378" customWidth="1"/>
    <col min="16" max="16" width="11.42578125" style="380" customWidth="1"/>
    <col min="17" max="17" width="18.42578125" style="378" customWidth="1"/>
    <col min="18" max="18" width="11.42578125" style="380" customWidth="1"/>
    <col min="19" max="16384" width="9.140625" style="381"/>
  </cols>
  <sheetData>
    <row r="1" spans="1:18" customFormat="1" ht="15.75" thickBot="1" x14ac:dyDescent="0.3">
      <c r="C1" s="541" t="s">
        <v>1856</v>
      </c>
      <c r="D1" s="544"/>
      <c r="E1" s="544"/>
      <c r="F1" s="542"/>
      <c r="G1" s="541" t="s">
        <v>1857</v>
      </c>
      <c r="H1" s="544"/>
      <c r="I1" s="544"/>
      <c r="J1" s="542"/>
      <c r="K1" s="541" t="s">
        <v>1858</v>
      </c>
      <c r="L1" s="542"/>
      <c r="M1" s="541" t="s">
        <v>1859</v>
      </c>
      <c r="N1" s="542"/>
      <c r="O1" s="541" t="s">
        <v>1863</v>
      </c>
      <c r="P1" s="542"/>
      <c r="Q1" s="541" t="s">
        <v>1962</v>
      </c>
      <c r="R1" s="542"/>
    </row>
    <row r="2" spans="1:18" customFormat="1" ht="15.75" thickBot="1" x14ac:dyDescent="0.3">
      <c r="A2" s="377">
        <f ca="1">TODAY()</f>
        <v>46106</v>
      </c>
      <c r="B2" s="543" t="s">
        <v>123</v>
      </c>
      <c r="C2" s="539" t="s">
        <v>1642</v>
      </c>
      <c r="D2" s="540"/>
      <c r="E2" s="539" t="s">
        <v>1643</v>
      </c>
      <c r="F2" s="540"/>
      <c r="G2" s="539" t="s">
        <v>1860</v>
      </c>
      <c r="H2" s="540"/>
      <c r="I2" s="539" t="s">
        <v>1861</v>
      </c>
      <c r="J2" s="540"/>
      <c r="K2" s="539" t="s">
        <v>1698</v>
      </c>
      <c r="L2" s="540"/>
      <c r="M2" s="539" t="s">
        <v>1862</v>
      </c>
      <c r="N2" s="540"/>
      <c r="O2" s="539" t="s">
        <v>1864</v>
      </c>
      <c r="P2" s="540"/>
      <c r="Q2" s="541" t="s">
        <v>1932</v>
      </c>
      <c r="R2" s="542"/>
    </row>
    <row r="3" spans="1:18" customFormat="1" ht="15.75" thickBot="1" x14ac:dyDescent="0.3">
      <c r="B3" s="543"/>
      <c r="C3" s="412" t="s">
        <v>1963</v>
      </c>
      <c r="D3" s="413" t="s">
        <v>1964</v>
      </c>
      <c r="E3" s="412" t="s">
        <v>1963</v>
      </c>
      <c r="F3" s="413" t="s">
        <v>1964</v>
      </c>
      <c r="G3" s="412" t="s">
        <v>1963</v>
      </c>
      <c r="H3" s="413" t="s">
        <v>1964</v>
      </c>
      <c r="I3" s="412" t="s">
        <v>1963</v>
      </c>
      <c r="J3" s="413" t="s">
        <v>1964</v>
      </c>
      <c r="K3" s="412" t="s">
        <v>1963</v>
      </c>
      <c r="L3" s="413" t="s">
        <v>1964</v>
      </c>
      <c r="M3" s="412" t="s">
        <v>1963</v>
      </c>
      <c r="N3" s="413" t="s">
        <v>1964</v>
      </c>
      <c r="O3" s="412" t="s">
        <v>1963</v>
      </c>
      <c r="P3" s="413" t="s">
        <v>1964</v>
      </c>
      <c r="Q3" s="412" t="s">
        <v>1963</v>
      </c>
      <c r="R3" s="413" t="s">
        <v>1964</v>
      </c>
    </row>
    <row r="4" spans="1:18" customFormat="1" x14ac:dyDescent="0.25">
      <c r="B4" s="414">
        <v>45473</v>
      </c>
      <c r="C4" s="378"/>
      <c r="D4" s="103">
        <v>816031</v>
      </c>
      <c r="E4" s="379"/>
      <c r="F4" s="103">
        <v>32081</v>
      </c>
      <c r="G4" s="378"/>
      <c r="H4" s="103">
        <v>7649.19</v>
      </c>
      <c r="I4" s="379"/>
      <c r="J4" s="103">
        <v>274.64</v>
      </c>
      <c r="K4" s="378"/>
      <c r="L4" s="103">
        <v>34999.699999999997</v>
      </c>
      <c r="M4" s="378"/>
      <c r="N4" s="103">
        <v>41.25</v>
      </c>
      <c r="O4" s="378"/>
      <c r="P4" s="103">
        <v>105895.32</v>
      </c>
      <c r="Q4" s="378"/>
      <c r="R4" s="380"/>
    </row>
    <row r="5" spans="1:18" x14ac:dyDescent="0.25">
      <c r="B5" s="377">
        <v>45474</v>
      </c>
      <c r="C5" s="378">
        <v>899611.39</v>
      </c>
      <c r="D5" s="103">
        <f>(C5*7.5%)/360</f>
        <v>187.41903958333336</v>
      </c>
      <c r="E5" s="382">
        <v>30296100.309999999</v>
      </c>
      <c r="F5" s="103">
        <f>(E5*7.5%)/360</f>
        <v>6311.6875645833325</v>
      </c>
      <c r="G5" s="378">
        <v>574415.69999999995</v>
      </c>
      <c r="H5" s="103">
        <f>(G5*4.5%)/360</f>
        <v>71.801962499999988</v>
      </c>
      <c r="I5" s="382">
        <v>7914.66</v>
      </c>
      <c r="J5" s="103">
        <f>(I5*4.5%)/360</f>
        <v>0.98933249999999995</v>
      </c>
      <c r="K5" s="378">
        <v>22682.42</v>
      </c>
      <c r="L5" s="103">
        <f>(K5*6.5%)/360</f>
        <v>4.0954369444444438</v>
      </c>
      <c r="M5" s="378">
        <v>3567.32</v>
      </c>
      <c r="N5" s="103">
        <f>(M5*2.5%)/360</f>
        <v>0.24773055555555556</v>
      </c>
      <c r="O5" s="378">
        <v>169731.79</v>
      </c>
      <c r="P5" s="103">
        <f>(O5*6.5%)/360</f>
        <v>30.646017638888893</v>
      </c>
      <c r="Q5" s="378">
        <v>7512779.8899999997</v>
      </c>
      <c r="R5" s="380">
        <f>(Q5*8%)/360</f>
        <v>1669.5066422222221</v>
      </c>
    </row>
    <row r="6" spans="1:18" x14ac:dyDescent="0.25">
      <c r="B6" s="377">
        <f>B5+1</f>
        <v>45475</v>
      </c>
      <c r="C6" s="378">
        <v>899611.39</v>
      </c>
      <c r="D6" s="103">
        <f t="shared" ref="D6:D59" si="0">(C6*7.5%)/360</f>
        <v>187.41903958333336</v>
      </c>
      <c r="E6" s="382">
        <v>30412754.949999999</v>
      </c>
      <c r="F6" s="103">
        <f t="shared" ref="F6:F59" si="1">(E6*7.5%)/360</f>
        <v>6335.9906145833329</v>
      </c>
      <c r="G6" s="378">
        <v>574415.69999999995</v>
      </c>
      <c r="H6" s="103">
        <f t="shared" ref="H6:H59" si="2">(G6*4.5%)/360</f>
        <v>71.801962499999988</v>
      </c>
      <c r="I6" s="382">
        <v>7914.66</v>
      </c>
      <c r="J6" s="103">
        <f t="shared" ref="J6:J52" si="3">(I6*4.5%)/360</f>
        <v>0.98933249999999995</v>
      </c>
      <c r="K6" s="378">
        <v>22682.42</v>
      </c>
      <c r="L6" s="103">
        <f t="shared" ref="L6:L38" si="4">(K6*6.5%)/360</f>
        <v>4.0954369444444438</v>
      </c>
      <c r="M6" s="378">
        <v>3567.32</v>
      </c>
      <c r="N6" s="103">
        <f t="shared" ref="N6:N38" si="5">(M6*2.5%)/360</f>
        <v>0.24773055555555556</v>
      </c>
      <c r="O6" s="378">
        <v>169731.79</v>
      </c>
      <c r="P6" s="103">
        <f t="shared" ref="P6:P38" si="6">(O6*6.5%)/360</f>
        <v>30.646017638888893</v>
      </c>
      <c r="Q6" s="378">
        <v>7512779.8899999997</v>
      </c>
      <c r="R6" s="380">
        <f t="shared" ref="R6:R38" si="7">(Q6*8%)/360</f>
        <v>1669.5066422222221</v>
      </c>
    </row>
    <row r="7" spans="1:18" x14ac:dyDescent="0.25">
      <c r="B7" s="377">
        <f t="shared" ref="B7:B38" si="8">B6+1</f>
        <v>45476</v>
      </c>
      <c r="C7" s="378">
        <v>899611.39</v>
      </c>
      <c r="D7" s="103">
        <f t="shared" si="0"/>
        <v>187.41903958333336</v>
      </c>
      <c r="E7" s="382">
        <v>33587453.890000001</v>
      </c>
      <c r="F7" s="103">
        <f t="shared" si="1"/>
        <v>6997.3862270833333</v>
      </c>
      <c r="G7" s="378">
        <v>576415.69999999995</v>
      </c>
      <c r="H7" s="103">
        <f t="shared" si="2"/>
        <v>72.051962499999988</v>
      </c>
      <c r="I7" s="382">
        <v>7914.66</v>
      </c>
      <c r="J7" s="103">
        <f t="shared" si="3"/>
        <v>0.98933249999999995</v>
      </c>
      <c r="K7" s="378">
        <v>22682.42</v>
      </c>
      <c r="L7" s="103">
        <f t="shared" si="4"/>
        <v>4.0954369444444438</v>
      </c>
      <c r="M7" s="378">
        <v>3567.32</v>
      </c>
      <c r="N7" s="103">
        <f t="shared" si="5"/>
        <v>0.24773055555555556</v>
      </c>
      <c r="O7" s="378">
        <v>169731.79</v>
      </c>
      <c r="P7" s="103">
        <f t="shared" si="6"/>
        <v>30.646017638888893</v>
      </c>
      <c r="Q7" s="378">
        <v>7512779.8899999997</v>
      </c>
      <c r="R7" s="380">
        <f t="shared" si="7"/>
        <v>1669.5066422222221</v>
      </c>
    </row>
    <row r="8" spans="1:18" x14ac:dyDescent="0.25">
      <c r="B8" s="377">
        <f t="shared" si="8"/>
        <v>45477</v>
      </c>
      <c r="C8" s="378">
        <v>899611.39</v>
      </c>
      <c r="D8" s="103">
        <f t="shared" si="0"/>
        <v>187.41903958333336</v>
      </c>
      <c r="E8" s="382">
        <v>33587453.890000001</v>
      </c>
      <c r="F8" s="103">
        <f t="shared" si="1"/>
        <v>6997.3862270833333</v>
      </c>
      <c r="G8" s="378">
        <v>576415.69999999995</v>
      </c>
      <c r="H8" s="103">
        <f t="shared" si="2"/>
        <v>72.051962499999988</v>
      </c>
      <c r="I8" s="382">
        <v>7914.66</v>
      </c>
      <c r="J8" s="103">
        <f t="shared" si="3"/>
        <v>0.98933249999999995</v>
      </c>
      <c r="K8" s="378">
        <v>22682.42</v>
      </c>
      <c r="L8" s="103">
        <f t="shared" si="4"/>
        <v>4.0954369444444438</v>
      </c>
      <c r="M8" s="378">
        <v>3567.32</v>
      </c>
      <c r="N8" s="103">
        <f t="shared" si="5"/>
        <v>0.24773055555555556</v>
      </c>
      <c r="O8" s="378">
        <v>169731.79</v>
      </c>
      <c r="P8" s="103">
        <f t="shared" si="6"/>
        <v>30.646017638888893</v>
      </c>
      <c r="Q8" s="378">
        <v>7512779.8899999997</v>
      </c>
      <c r="R8" s="380">
        <f t="shared" si="7"/>
        <v>1669.5066422222221</v>
      </c>
    </row>
    <row r="9" spans="1:18" x14ac:dyDescent="0.25">
      <c r="B9" s="377">
        <f t="shared" si="8"/>
        <v>45478</v>
      </c>
      <c r="C9" s="378">
        <v>899611.39</v>
      </c>
      <c r="D9" s="103">
        <f t="shared" si="0"/>
        <v>187.41903958333336</v>
      </c>
      <c r="E9" s="382">
        <v>33587453.890000001</v>
      </c>
      <c r="F9" s="103">
        <f t="shared" si="1"/>
        <v>6997.3862270833333</v>
      </c>
      <c r="G9" s="378">
        <v>576415.69999999995</v>
      </c>
      <c r="H9" s="103">
        <f t="shared" si="2"/>
        <v>72.051962499999988</v>
      </c>
      <c r="I9" s="382">
        <v>7914.66</v>
      </c>
      <c r="J9" s="103">
        <f t="shared" si="3"/>
        <v>0.98933249999999995</v>
      </c>
      <c r="K9" s="378">
        <v>22682.42</v>
      </c>
      <c r="L9" s="103">
        <f t="shared" si="4"/>
        <v>4.0954369444444438</v>
      </c>
      <c r="M9" s="378">
        <v>3567.32</v>
      </c>
      <c r="N9" s="103">
        <f t="shared" si="5"/>
        <v>0.24773055555555556</v>
      </c>
      <c r="O9" s="378">
        <v>169731.79</v>
      </c>
      <c r="P9" s="103">
        <f t="shared" si="6"/>
        <v>30.646017638888893</v>
      </c>
      <c r="Q9" s="378">
        <v>7512779.8899999997</v>
      </c>
      <c r="R9" s="380">
        <f t="shared" si="7"/>
        <v>1669.5066422222221</v>
      </c>
    </row>
    <row r="10" spans="1:18" x14ac:dyDescent="0.25">
      <c r="B10" s="377">
        <f t="shared" si="8"/>
        <v>45479</v>
      </c>
      <c r="C10" s="378">
        <v>899611.39</v>
      </c>
      <c r="D10" s="103">
        <f t="shared" si="0"/>
        <v>187.41903958333336</v>
      </c>
      <c r="E10" s="382">
        <v>33587453.890000001</v>
      </c>
      <c r="F10" s="103">
        <f t="shared" si="1"/>
        <v>6997.3862270833333</v>
      </c>
      <c r="G10" s="378">
        <v>576415.69999999995</v>
      </c>
      <c r="H10" s="103">
        <f t="shared" si="2"/>
        <v>72.051962499999988</v>
      </c>
      <c r="I10" s="382">
        <v>7914.66</v>
      </c>
      <c r="J10" s="103">
        <f t="shared" si="3"/>
        <v>0.98933249999999995</v>
      </c>
      <c r="K10" s="378">
        <v>22682.42</v>
      </c>
      <c r="L10" s="103">
        <f t="shared" si="4"/>
        <v>4.0954369444444438</v>
      </c>
      <c r="M10" s="378">
        <v>3567.32</v>
      </c>
      <c r="N10" s="103">
        <f t="shared" si="5"/>
        <v>0.24773055555555556</v>
      </c>
      <c r="O10" s="378">
        <v>169731.79</v>
      </c>
      <c r="P10" s="103">
        <f t="shared" si="6"/>
        <v>30.646017638888893</v>
      </c>
      <c r="Q10" s="378">
        <v>7512779.8899999997</v>
      </c>
      <c r="R10" s="380">
        <f t="shared" si="7"/>
        <v>1669.5066422222221</v>
      </c>
    </row>
    <row r="11" spans="1:18" x14ac:dyDescent="0.25">
      <c r="B11" s="377">
        <f t="shared" si="8"/>
        <v>45480</v>
      </c>
      <c r="C11" s="378">
        <v>899611.39</v>
      </c>
      <c r="D11" s="103">
        <f t="shared" si="0"/>
        <v>187.41903958333336</v>
      </c>
      <c r="E11" s="382">
        <v>33587453.890000001</v>
      </c>
      <c r="F11" s="103">
        <f t="shared" si="1"/>
        <v>6997.3862270833333</v>
      </c>
      <c r="G11" s="378">
        <v>622915.69999999995</v>
      </c>
      <c r="H11" s="103">
        <f t="shared" si="2"/>
        <v>77.864462499999988</v>
      </c>
      <c r="I11" s="383">
        <v>7914.66</v>
      </c>
      <c r="J11" s="103">
        <f t="shared" si="3"/>
        <v>0.98933249999999995</v>
      </c>
      <c r="K11" s="378">
        <v>22682.42</v>
      </c>
      <c r="L11" s="103">
        <f t="shared" si="4"/>
        <v>4.0954369444444438</v>
      </c>
      <c r="M11" s="378">
        <v>3567.32</v>
      </c>
      <c r="N11" s="103">
        <f t="shared" si="5"/>
        <v>0.24773055555555556</v>
      </c>
      <c r="O11" s="378">
        <v>169731.79</v>
      </c>
      <c r="P11" s="103">
        <f t="shared" si="6"/>
        <v>30.646017638888893</v>
      </c>
      <c r="Q11" s="378">
        <v>7512779.8899999997</v>
      </c>
      <c r="R11" s="380">
        <f t="shared" si="7"/>
        <v>1669.5066422222221</v>
      </c>
    </row>
    <row r="12" spans="1:18" x14ac:dyDescent="0.25">
      <c r="B12" s="377">
        <f t="shared" si="8"/>
        <v>45481</v>
      </c>
      <c r="C12" s="378">
        <v>899611.39</v>
      </c>
      <c r="D12" s="103">
        <f t="shared" si="0"/>
        <v>187.41903958333336</v>
      </c>
      <c r="E12" s="382">
        <v>33587453.890000001</v>
      </c>
      <c r="F12" s="103">
        <f t="shared" si="1"/>
        <v>6997.3862270833333</v>
      </c>
      <c r="G12" s="378">
        <v>622915.69999999995</v>
      </c>
      <c r="H12" s="103">
        <f t="shared" si="2"/>
        <v>77.864462499999988</v>
      </c>
      <c r="I12" s="382">
        <v>7914.66</v>
      </c>
      <c r="J12" s="103">
        <f t="shared" si="3"/>
        <v>0.98933249999999995</v>
      </c>
      <c r="K12" s="378">
        <v>22682.42</v>
      </c>
      <c r="L12" s="103">
        <f t="shared" si="4"/>
        <v>4.0954369444444438</v>
      </c>
      <c r="M12" s="378">
        <v>3567.32</v>
      </c>
      <c r="N12" s="103">
        <f t="shared" si="5"/>
        <v>0.24773055555555556</v>
      </c>
      <c r="O12" s="378">
        <v>169731.79</v>
      </c>
      <c r="P12" s="103">
        <f t="shared" si="6"/>
        <v>30.646017638888893</v>
      </c>
      <c r="Q12" s="378">
        <v>7512779.8899999997</v>
      </c>
      <c r="R12" s="380">
        <f t="shared" si="7"/>
        <v>1669.5066422222221</v>
      </c>
    </row>
    <row r="13" spans="1:18" x14ac:dyDescent="0.25">
      <c r="B13" s="377">
        <f t="shared" si="8"/>
        <v>45482</v>
      </c>
      <c r="C13" s="378">
        <v>899611.39</v>
      </c>
      <c r="D13" s="103">
        <f t="shared" si="0"/>
        <v>187.41903958333336</v>
      </c>
      <c r="E13" s="382">
        <v>33465889.02</v>
      </c>
      <c r="F13" s="103">
        <f t="shared" si="1"/>
        <v>6972.0602125000005</v>
      </c>
      <c r="G13" s="378">
        <v>622915.69999999995</v>
      </c>
      <c r="H13" s="103">
        <f t="shared" si="2"/>
        <v>77.864462499999988</v>
      </c>
      <c r="I13" s="382">
        <v>7914.66</v>
      </c>
      <c r="J13" s="103">
        <f t="shared" si="3"/>
        <v>0.98933249999999995</v>
      </c>
      <c r="K13" s="378">
        <v>22682.42</v>
      </c>
      <c r="L13" s="103">
        <f t="shared" si="4"/>
        <v>4.0954369444444438</v>
      </c>
      <c r="M13" s="378">
        <v>3567.32</v>
      </c>
      <c r="N13" s="103">
        <f t="shared" si="5"/>
        <v>0.24773055555555556</v>
      </c>
      <c r="O13" s="378">
        <v>169731.79</v>
      </c>
      <c r="P13" s="103">
        <f t="shared" si="6"/>
        <v>30.646017638888893</v>
      </c>
      <c r="Q13" s="378">
        <v>7512779.8899999997</v>
      </c>
      <c r="R13" s="380">
        <f t="shared" si="7"/>
        <v>1669.5066422222221</v>
      </c>
    </row>
    <row r="14" spans="1:18" x14ac:dyDescent="0.25">
      <c r="B14" s="377">
        <f t="shared" si="8"/>
        <v>45483</v>
      </c>
      <c r="C14" s="378">
        <v>797500.66</v>
      </c>
      <c r="D14" s="103">
        <f t="shared" si="0"/>
        <v>166.14597083333334</v>
      </c>
      <c r="E14" s="382">
        <v>33465889.02</v>
      </c>
      <c r="F14" s="103">
        <f t="shared" si="1"/>
        <v>6972.0602125000005</v>
      </c>
      <c r="G14" s="378">
        <v>622915.69999999995</v>
      </c>
      <c r="H14" s="103">
        <f t="shared" si="2"/>
        <v>77.864462499999988</v>
      </c>
      <c r="I14" s="382">
        <v>7914.66</v>
      </c>
      <c r="J14" s="103">
        <f t="shared" si="3"/>
        <v>0.98933249999999995</v>
      </c>
      <c r="K14" s="378">
        <v>22682.42</v>
      </c>
      <c r="L14" s="103">
        <f t="shared" si="4"/>
        <v>4.0954369444444438</v>
      </c>
      <c r="M14" s="378">
        <v>3567.32</v>
      </c>
      <c r="N14" s="103">
        <f t="shared" si="5"/>
        <v>0.24773055555555556</v>
      </c>
      <c r="O14" s="378">
        <v>169731.79</v>
      </c>
      <c r="P14" s="103">
        <f t="shared" si="6"/>
        <v>30.646017638888893</v>
      </c>
      <c r="Q14" s="378">
        <v>7512779.8899999997</v>
      </c>
      <c r="R14" s="380">
        <f t="shared" si="7"/>
        <v>1669.5066422222221</v>
      </c>
    </row>
    <row r="15" spans="1:18" x14ac:dyDescent="0.25">
      <c r="B15" s="377">
        <f t="shared" si="8"/>
        <v>45484</v>
      </c>
      <c r="C15" s="378">
        <v>740110.9</v>
      </c>
      <c r="D15" s="103">
        <f t="shared" si="0"/>
        <v>154.18977083333331</v>
      </c>
      <c r="E15" s="382">
        <v>33378044.18</v>
      </c>
      <c r="F15" s="103">
        <f t="shared" si="1"/>
        <v>6953.7592041666658</v>
      </c>
      <c r="G15" s="378">
        <v>622915.69999999995</v>
      </c>
      <c r="H15" s="103">
        <f t="shared" si="2"/>
        <v>77.864462499999988</v>
      </c>
      <c r="I15" s="382">
        <v>7914.66</v>
      </c>
      <c r="J15" s="103">
        <f t="shared" si="3"/>
        <v>0.98933249999999995</v>
      </c>
      <c r="K15" s="378">
        <v>22682.42</v>
      </c>
      <c r="L15" s="103">
        <f t="shared" si="4"/>
        <v>4.0954369444444438</v>
      </c>
      <c r="M15" s="378">
        <v>3567.32</v>
      </c>
      <c r="N15" s="103">
        <f t="shared" si="5"/>
        <v>0.24773055555555556</v>
      </c>
      <c r="O15" s="378">
        <v>169731.79</v>
      </c>
      <c r="P15" s="103">
        <f t="shared" si="6"/>
        <v>30.646017638888893</v>
      </c>
      <c r="Q15" s="378">
        <v>7512779.8899999997</v>
      </c>
      <c r="R15" s="380">
        <f t="shared" si="7"/>
        <v>1669.5066422222221</v>
      </c>
    </row>
    <row r="16" spans="1:18" x14ac:dyDescent="0.25">
      <c r="B16" s="377">
        <f t="shared" si="8"/>
        <v>45485</v>
      </c>
      <c r="C16" s="378">
        <v>740110.9</v>
      </c>
      <c r="D16" s="103">
        <f t="shared" si="0"/>
        <v>154.18977083333331</v>
      </c>
      <c r="E16" s="382">
        <v>33378044.18</v>
      </c>
      <c r="F16" s="103">
        <f t="shared" si="1"/>
        <v>6953.7592041666658</v>
      </c>
      <c r="G16" s="378">
        <v>622915.69999999995</v>
      </c>
      <c r="H16" s="103">
        <f t="shared" si="2"/>
        <v>77.864462499999988</v>
      </c>
      <c r="I16" s="382">
        <v>7914.66</v>
      </c>
      <c r="J16" s="103">
        <f t="shared" si="3"/>
        <v>0.98933249999999995</v>
      </c>
      <c r="K16" s="378">
        <v>22682.42</v>
      </c>
      <c r="L16" s="103">
        <f t="shared" si="4"/>
        <v>4.0954369444444438</v>
      </c>
      <c r="M16" s="378">
        <v>3567.32</v>
      </c>
      <c r="N16" s="103">
        <f t="shared" si="5"/>
        <v>0.24773055555555556</v>
      </c>
      <c r="O16" s="378">
        <v>169731.79</v>
      </c>
      <c r="P16" s="103">
        <f t="shared" si="6"/>
        <v>30.646017638888893</v>
      </c>
      <c r="Q16" s="378">
        <v>7512779.8899999997</v>
      </c>
      <c r="R16" s="380">
        <f t="shared" si="7"/>
        <v>1669.5066422222221</v>
      </c>
    </row>
    <row r="17" spans="2:18" x14ac:dyDescent="0.25">
      <c r="B17" s="377">
        <f t="shared" si="8"/>
        <v>45486</v>
      </c>
      <c r="C17" s="378">
        <v>740110.9</v>
      </c>
      <c r="D17" s="103">
        <f t="shared" si="0"/>
        <v>154.18977083333331</v>
      </c>
      <c r="E17" s="382">
        <v>33378044.18</v>
      </c>
      <c r="F17" s="103">
        <f t="shared" si="1"/>
        <v>6953.7592041666658</v>
      </c>
      <c r="G17" s="378">
        <v>622915.69999999995</v>
      </c>
      <c r="H17" s="103">
        <f t="shared" si="2"/>
        <v>77.864462499999988</v>
      </c>
      <c r="I17" s="382">
        <v>7914.66</v>
      </c>
      <c r="J17" s="103">
        <f t="shared" si="3"/>
        <v>0.98933249999999995</v>
      </c>
      <c r="K17" s="378">
        <v>22682.42</v>
      </c>
      <c r="L17" s="103">
        <f t="shared" si="4"/>
        <v>4.0954369444444438</v>
      </c>
      <c r="M17" s="378">
        <v>3567.32</v>
      </c>
      <c r="N17" s="103">
        <f t="shared" si="5"/>
        <v>0.24773055555555556</v>
      </c>
      <c r="O17" s="378">
        <v>169731.79</v>
      </c>
      <c r="P17" s="103">
        <f t="shared" si="6"/>
        <v>30.646017638888893</v>
      </c>
      <c r="Q17" s="378">
        <v>7512779.8899999997</v>
      </c>
      <c r="R17" s="380">
        <f t="shared" si="7"/>
        <v>1669.5066422222221</v>
      </c>
    </row>
    <row r="18" spans="2:18" x14ac:dyDescent="0.25">
      <c r="B18" s="377">
        <f t="shared" si="8"/>
        <v>45487</v>
      </c>
      <c r="C18" s="378">
        <v>740110.9</v>
      </c>
      <c r="D18" s="103">
        <f t="shared" si="0"/>
        <v>154.18977083333331</v>
      </c>
      <c r="E18" s="382">
        <v>35345519.840000004</v>
      </c>
      <c r="F18" s="103">
        <f t="shared" si="1"/>
        <v>7363.6499666666678</v>
      </c>
      <c r="G18" s="378">
        <v>622915.69999999995</v>
      </c>
      <c r="H18" s="103">
        <f t="shared" si="2"/>
        <v>77.864462499999988</v>
      </c>
      <c r="I18" s="382">
        <v>7914.66</v>
      </c>
      <c r="J18" s="103">
        <f t="shared" si="3"/>
        <v>0.98933249999999995</v>
      </c>
      <c r="K18" s="378">
        <v>22682.42</v>
      </c>
      <c r="L18" s="103">
        <f t="shared" si="4"/>
        <v>4.0954369444444438</v>
      </c>
      <c r="M18" s="378">
        <v>3567.32</v>
      </c>
      <c r="N18" s="103">
        <f t="shared" si="5"/>
        <v>0.24773055555555556</v>
      </c>
      <c r="O18" s="378">
        <v>169731.79</v>
      </c>
      <c r="P18" s="103">
        <f t="shared" si="6"/>
        <v>30.646017638888893</v>
      </c>
      <c r="Q18" s="378">
        <v>7512779.8899999997</v>
      </c>
      <c r="R18" s="380">
        <f t="shared" si="7"/>
        <v>1669.5066422222221</v>
      </c>
    </row>
    <row r="19" spans="2:18" x14ac:dyDescent="0.25">
      <c r="B19" s="377">
        <f t="shared" si="8"/>
        <v>45488</v>
      </c>
      <c r="C19" s="378">
        <v>740110.9</v>
      </c>
      <c r="D19" s="103">
        <f t="shared" si="0"/>
        <v>154.18977083333331</v>
      </c>
      <c r="E19" s="382">
        <v>36014520.560000002</v>
      </c>
      <c r="F19" s="103">
        <f t="shared" si="1"/>
        <v>7503.0251166666667</v>
      </c>
      <c r="G19" s="378">
        <v>626915.69999999995</v>
      </c>
      <c r="H19" s="103">
        <f t="shared" si="2"/>
        <v>78.364462499999988</v>
      </c>
      <c r="I19" s="382">
        <v>7914.66</v>
      </c>
      <c r="J19" s="103">
        <f t="shared" si="3"/>
        <v>0.98933249999999995</v>
      </c>
      <c r="K19" s="378">
        <v>22682.42</v>
      </c>
      <c r="L19" s="103">
        <f t="shared" si="4"/>
        <v>4.0954369444444438</v>
      </c>
      <c r="M19" s="378">
        <v>3567.32</v>
      </c>
      <c r="N19" s="103">
        <f t="shared" si="5"/>
        <v>0.24773055555555556</v>
      </c>
      <c r="O19" s="378">
        <v>169731.79</v>
      </c>
      <c r="P19" s="103">
        <f t="shared" si="6"/>
        <v>30.646017638888893</v>
      </c>
      <c r="Q19" s="378">
        <v>7512779.8899999997</v>
      </c>
      <c r="R19" s="380">
        <f t="shared" si="7"/>
        <v>1669.5066422222221</v>
      </c>
    </row>
    <row r="20" spans="2:18" x14ac:dyDescent="0.25">
      <c r="B20" s="377">
        <f t="shared" si="8"/>
        <v>45489</v>
      </c>
      <c r="C20" s="378">
        <v>735807.82</v>
      </c>
      <c r="D20" s="103">
        <f t="shared" si="0"/>
        <v>153.29329583333333</v>
      </c>
      <c r="E20" s="382">
        <v>36014520.560000002</v>
      </c>
      <c r="F20" s="103">
        <f t="shared" si="1"/>
        <v>7503.0251166666667</v>
      </c>
      <c r="G20" s="378">
        <v>626915.69999999995</v>
      </c>
      <c r="H20" s="103">
        <f t="shared" si="2"/>
        <v>78.364462499999988</v>
      </c>
      <c r="I20" s="382">
        <v>6114.66</v>
      </c>
      <c r="J20" s="103">
        <f t="shared" si="3"/>
        <v>0.76433249999999997</v>
      </c>
      <c r="K20" s="378">
        <v>22682.42</v>
      </c>
      <c r="L20" s="103">
        <f t="shared" si="4"/>
        <v>4.0954369444444438</v>
      </c>
      <c r="M20" s="378">
        <v>3567.32</v>
      </c>
      <c r="N20" s="103">
        <f t="shared" si="5"/>
        <v>0.24773055555555556</v>
      </c>
      <c r="O20" s="378">
        <v>169731.79</v>
      </c>
      <c r="P20" s="103">
        <f t="shared" si="6"/>
        <v>30.646017638888893</v>
      </c>
      <c r="Q20" s="378">
        <v>7512779.8899999997</v>
      </c>
      <c r="R20" s="380">
        <f t="shared" si="7"/>
        <v>1669.5066422222221</v>
      </c>
    </row>
    <row r="21" spans="2:18" x14ac:dyDescent="0.25">
      <c r="B21" s="377">
        <f t="shared" si="8"/>
        <v>45490</v>
      </c>
      <c r="C21" s="378">
        <v>735807.82</v>
      </c>
      <c r="D21" s="103">
        <f t="shared" si="0"/>
        <v>153.29329583333333</v>
      </c>
      <c r="E21" s="382">
        <v>36014520.560000002</v>
      </c>
      <c r="F21" s="103">
        <f t="shared" si="1"/>
        <v>7503.0251166666667</v>
      </c>
      <c r="G21" s="378">
        <v>626915.69999999995</v>
      </c>
      <c r="H21" s="103">
        <f t="shared" si="2"/>
        <v>78.364462499999988</v>
      </c>
      <c r="I21" s="382">
        <v>6114.66</v>
      </c>
      <c r="J21" s="103">
        <f t="shared" si="3"/>
        <v>0.76433249999999997</v>
      </c>
      <c r="K21" s="378">
        <v>22682.42</v>
      </c>
      <c r="L21" s="103">
        <f t="shared" si="4"/>
        <v>4.0954369444444438</v>
      </c>
      <c r="M21" s="378">
        <v>3567.32</v>
      </c>
      <c r="N21" s="103">
        <f t="shared" si="5"/>
        <v>0.24773055555555556</v>
      </c>
      <c r="O21" s="378">
        <v>169731.79</v>
      </c>
      <c r="P21" s="103">
        <f t="shared" si="6"/>
        <v>30.646017638888893</v>
      </c>
      <c r="Q21" s="378">
        <v>7512779.8899999997</v>
      </c>
      <c r="R21" s="380">
        <f t="shared" si="7"/>
        <v>1669.5066422222221</v>
      </c>
    </row>
    <row r="22" spans="2:18" x14ac:dyDescent="0.25">
      <c r="B22" s="377">
        <f t="shared" si="8"/>
        <v>45491</v>
      </c>
      <c r="C22" s="378">
        <v>735807.82</v>
      </c>
      <c r="D22" s="103">
        <f t="shared" si="0"/>
        <v>153.29329583333333</v>
      </c>
      <c r="E22" s="382">
        <v>36014520.560000002</v>
      </c>
      <c r="F22" s="103">
        <f t="shared" si="1"/>
        <v>7503.0251166666667</v>
      </c>
      <c r="G22" s="378">
        <v>626915.69999999995</v>
      </c>
      <c r="H22" s="103">
        <f t="shared" si="2"/>
        <v>78.364462499999988</v>
      </c>
      <c r="I22" s="382">
        <v>6114.66</v>
      </c>
      <c r="J22" s="103">
        <f t="shared" si="3"/>
        <v>0.76433249999999997</v>
      </c>
      <c r="K22" s="378">
        <v>22682.42</v>
      </c>
      <c r="L22" s="103">
        <f t="shared" si="4"/>
        <v>4.0954369444444438</v>
      </c>
      <c r="M22" s="378">
        <v>3567.32</v>
      </c>
      <c r="N22" s="103">
        <f t="shared" si="5"/>
        <v>0.24773055555555556</v>
      </c>
      <c r="O22" s="378">
        <v>169731.79</v>
      </c>
      <c r="P22" s="103">
        <f t="shared" si="6"/>
        <v>30.646017638888893</v>
      </c>
      <c r="Q22" s="378">
        <v>7512779.8899999997</v>
      </c>
      <c r="R22" s="380">
        <f t="shared" si="7"/>
        <v>1669.5066422222221</v>
      </c>
    </row>
    <row r="23" spans="2:18" x14ac:dyDescent="0.25">
      <c r="B23" s="377">
        <f t="shared" si="8"/>
        <v>45492</v>
      </c>
      <c r="C23" s="378">
        <v>735807.82</v>
      </c>
      <c r="D23" s="103">
        <f t="shared" si="0"/>
        <v>153.29329583333333</v>
      </c>
      <c r="E23" s="382">
        <v>36014520.560000002</v>
      </c>
      <c r="F23" s="103">
        <f t="shared" si="1"/>
        <v>7503.0251166666667</v>
      </c>
      <c r="G23" s="378">
        <v>626915.69999999995</v>
      </c>
      <c r="H23" s="103">
        <f t="shared" si="2"/>
        <v>78.364462499999988</v>
      </c>
      <c r="I23" s="382">
        <v>6114.66</v>
      </c>
      <c r="J23" s="103">
        <f t="shared" si="3"/>
        <v>0.76433249999999997</v>
      </c>
      <c r="K23" s="378">
        <v>22682.42</v>
      </c>
      <c r="L23" s="103">
        <f t="shared" si="4"/>
        <v>4.0954369444444438</v>
      </c>
      <c r="M23" s="378">
        <v>3567.32</v>
      </c>
      <c r="N23" s="103">
        <f t="shared" si="5"/>
        <v>0.24773055555555556</v>
      </c>
      <c r="O23" s="378">
        <v>169731.79</v>
      </c>
      <c r="P23" s="103">
        <f t="shared" si="6"/>
        <v>30.646017638888893</v>
      </c>
      <c r="Q23" s="378">
        <v>7512779.8899999997</v>
      </c>
      <c r="R23" s="380">
        <f t="shared" si="7"/>
        <v>1669.5066422222221</v>
      </c>
    </row>
    <row r="24" spans="2:18" x14ac:dyDescent="0.25">
      <c r="B24" s="377">
        <f t="shared" si="8"/>
        <v>45493</v>
      </c>
      <c r="C24" s="378">
        <v>735807.82</v>
      </c>
      <c r="D24" s="103">
        <f t="shared" si="0"/>
        <v>153.29329583333333</v>
      </c>
      <c r="E24" s="382">
        <v>36014520.560000002</v>
      </c>
      <c r="F24" s="103">
        <f t="shared" si="1"/>
        <v>7503.0251166666667</v>
      </c>
      <c r="G24" s="378">
        <v>626915.69999999995</v>
      </c>
      <c r="H24" s="103">
        <f t="shared" si="2"/>
        <v>78.364462499999988</v>
      </c>
      <c r="I24" s="382">
        <v>6114.66</v>
      </c>
      <c r="J24" s="103">
        <f t="shared" si="3"/>
        <v>0.76433249999999997</v>
      </c>
      <c r="K24" s="378">
        <v>22682.42</v>
      </c>
      <c r="L24" s="103">
        <f t="shared" si="4"/>
        <v>4.0954369444444438</v>
      </c>
      <c r="M24" s="378">
        <v>3567.32</v>
      </c>
      <c r="N24" s="103">
        <f t="shared" si="5"/>
        <v>0.24773055555555556</v>
      </c>
      <c r="O24" s="378">
        <v>169731.79</v>
      </c>
      <c r="P24" s="103">
        <f t="shared" si="6"/>
        <v>30.646017638888893</v>
      </c>
      <c r="Q24" s="378">
        <v>7512779.8899999997</v>
      </c>
      <c r="R24" s="380">
        <f t="shared" si="7"/>
        <v>1669.5066422222221</v>
      </c>
    </row>
    <row r="25" spans="2:18" x14ac:dyDescent="0.25">
      <c r="B25" s="377">
        <f t="shared" si="8"/>
        <v>45494</v>
      </c>
      <c r="C25" s="378">
        <v>735807.82</v>
      </c>
      <c r="D25" s="103">
        <f t="shared" si="0"/>
        <v>153.29329583333333</v>
      </c>
      <c r="E25" s="382">
        <v>36014520.560000002</v>
      </c>
      <c r="F25" s="103">
        <f t="shared" si="1"/>
        <v>7503.0251166666667</v>
      </c>
      <c r="G25" s="378">
        <v>626915.69999999995</v>
      </c>
      <c r="H25" s="103">
        <f t="shared" si="2"/>
        <v>78.364462499999988</v>
      </c>
      <c r="I25" s="382">
        <v>6114.66</v>
      </c>
      <c r="J25" s="103">
        <f t="shared" si="3"/>
        <v>0.76433249999999997</v>
      </c>
      <c r="K25" s="378">
        <v>22682.42</v>
      </c>
      <c r="L25" s="103">
        <f t="shared" si="4"/>
        <v>4.0954369444444438</v>
      </c>
      <c r="M25" s="378">
        <v>3567.32</v>
      </c>
      <c r="N25" s="103">
        <f t="shared" si="5"/>
        <v>0.24773055555555556</v>
      </c>
      <c r="O25" s="378">
        <v>169731.79</v>
      </c>
      <c r="P25" s="103">
        <f t="shared" si="6"/>
        <v>30.646017638888893</v>
      </c>
      <c r="Q25" s="378">
        <v>7512779.8899999997</v>
      </c>
      <c r="R25" s="380">
        <f t="shared" si="7"/>
        <v>1669.5066422222221</v>
      </c>
    </row>
    <row r="26" spans="2:18" x14ac:dyDescent="0.25">
      <c r="B26" s="377">
        <f t="shared" si="8"/>
        <v>45495</v>
      </c>
      <c r="C26" s="378">
        <v>735807.82</v>
      </c>
      <c r="D26" s="103">
        <f t="shared" si="0"/>
        <v>153.29329583333333</v>
      </c>
      <c r="E26" s="382">
        <v>36014520.560000002</v>
      </c>
      <c r="F26" s="103">
        <f t="shared" si="1"/>
        <v>7503.0251166666667</v>
      </c>
      <c r="G26" s="378">
        <v>626915.69999999995</v>
      </c>
      <c r="H26" s="103">
        <f t="shared" si="2"/>
        <v>78.364462499999988</v>
      </c>
      <c r="I26" s="382">
        <v>6114.66</v>
      </c>
      <c r="J26" s="103">
        <f t="shared" si="3"/>
        <v>0.76433249999999997</v>
      </c>
      <c r="K26" s="378">
        <v>22682.42</v>
      </c>
      <c r="L26" s="103">
        <f t="shared" si="4"/>
        <v>4.0954369444444438</v>
      </c>
      <c r="M26" s="378">
        <v>3567.32</v>
      </c>
      <c r="N26" s="103">
        <f t="shared" si="5"/>
        <v>0.24773055555555556</v>
      </c>
      <c r="O26" s="378">
        <v>169731.79</v>
      </c>
      <c r="P26" s="103">
        <f t="shared" si="6"/>
        <v>30.646017638888893</v>
      </c>
      <c r="Q26" s="378">
        <v>7512779.8899999997</v>
      </c>
      <c r="R26" s="380">
        <f t="shared" si="7"/>
        <v>1669.5066422222221</v>
      </c>
    </row>
    <row r="27" spans="2:18" x14ac:dyDescent="0.25">
      <c r="B27" s="377">
        <f t="shared" si="8"/>
        <v>45496</v>
      </c>
      <c r="C27" s="378">
        <v>735807.82</v>
      </c>
      <c r="D27" s="103">
        <f t="shared" si="0"/>
        <v>153.29329583333333</v>
      </c>
      <c r="E27" s="382">
        <v>36014520.560000002</v>
      </c>
      <c r="F27" s="103">
        <f t="shared" si="1"/>
        <v>7503.0251166666667</v>
      </c>
      <c r="G27" s="378">
        <v>626915.69999999995</v>
      </c>
      <c r="H27" s="103">
        <f t="shared" si="2"/>
        <v>78.364462499999988</v>
      </c>
      <c r="I27" s="382">
        <v>6114.66</v>
      </c>
      <c r="J27" s="103">
        <f t="shared" si="3"/>
        <v>0.76433249999999997</v>
      </c>
      <c r="K27" s="378">
        <v>22682.42</v>
      </c>
      <c r="L27" s="103">
        <f t="shared" si="4"/>
        <v>4.0954369444444438</v>
      </c>
      <c r="M27" s="378">
        <v>3567.32</v>
      </c>
      <c r="N27" s="103">
        <f t="shared" si="5"/>
        <v>0.24773055555555556</v>
      </c>
      <c r="O27" s="378">
        <v>169731.79</v>
      </c>
      <c r="P27" s="103">
        <f t="shared" si="6"/>
        <v>30.646017638888893</v>
      </c>
      <c r="Q27" s="378">
        <v>7512779.8899999997</v>
      </c>
      <c r="R27" s="380">
        <f t="shared" si="7"/>
        <v>1669.5066422222221</v>
      </c>
    </row>
    <row r="28" spans="2:18" x14ac:dyDescent="0.25">
      <c r="B28" s="377">
        <f t="shared" si="8"/>
        <v>45497</v>
      </c>
      <c r="C28" s="378">
        <v>735807.82</v>
      </c>
      <c r="D28" s="103">
        <f t="shared" si="0"/>
        <v>153.29329583333333</v>
      </c>
      <c r="E28" s="382">
        <v>38514520.560000002</v>
      </c>
      <c r="F28" s="103">
        <f t="shared" si="1"/>
        <v>8023.8584499999997</v>
      </c>
      <c r="G28" s="378">
        <v>626915.69999999995</v>
      </c>
      <c r="H28" s="103">
        <f t="shared" si="2"/>
        <v>78.364462499999988</v>
      </c>
      <c r="I28" s="382">
        <v>6114.66</v>
      </c>
      <c r="J28" s="103">
        <f t="shared" si="3"/>
        <v>0.76433249999999997</v>
      </c>
      <c r="K28" s="378">
        <v>22682.42</v>
      </c>
      <c r="L28" s="103">
        <f t="shared" si="4"/>
        <v>4.0954369444444438</v>
      </c>
      <c r="M28" s="378">
        <v>3567.32</v>
      </c>
      <c r="N28" s="103">
        <f t="shared" si="5"/>
        <v>0.24773055555555556</v>
      </c>
      <c r="O28" s="378">
        <v>169731.79</v>
      </c>
      <c r="P28" s="103">
        <f t="shared" si="6"/>
        <v>30.646017638888893</v>
      </c>
      <c r="Q28" s="378">
        <v>7512779.8899999997</v>
      </c>
      <c r="R28" s="380">
        <f t="shared" si="7"/>
        <v>1669.5066422222221</v>
      </c>
    </row>
    <row r="29" spans="2:18" x14ac:dyDescent="0.25">
      <c r="B29" s="377">
        <f t="shared" si="8"/>
        <v>45498</v>
      </c>
      <c r="C29" s="378">
        <v>735807.82</v>
      </c>
      <c r="D29" s="103">
        <f t="shared" si="0"/>
        <v>153.29329583333333</v>
      </c>
      <c r="E29" s="382">
        <v>34890853.439999998</v>
      </c>
      <c r="F29" s="103">
        <f t="shared" si="1"/>
        <v>7268.9277999999995</v>
      </c>
      <c r="G29" s="378">
        <v>626915.69999999995</v>
      </c>
      <c r="H29" s="103">
        <f t="shared" si="2"/>
        <v>78.364462499999988</v>
      </c>
      <c r="I29" s="382">
        <v>6114.66</v>
      </c>
      <c r="J29" s="103">
        <f t="shared" si="3"/>
        <v>0.76433249999999997</v>
      </c>
      <c r="K29" s="378">
        <v>22682.42</v>
      </c>
      <c r="L29" s="103">
        <f t="shared" si="4"/>
        <v>4.0954369444444438</v>
      </c>
      <c r="M29" s="378">
        <v>3567.32</v>
      </c>
      <c r="N29" s="103">
        <f t="shared" si="5"/>
        <v>0.24773055555555556</v>
      </c>
      <c r="O29" s="378">
        <v>169731.79</v>
      </c>
      <c r="P29" s="103">
        <f t="shared" si="6"/>
        <v>30.646017638888893</v>
      </c>
      <c r="Q29" s="378">
        <v>7512779.8899999997</v>
      </c>
      <c r="R29" s="380">
        <f t="shared" si="7"/>
        <v>1669.5066422222221</v>
      </c>
    </row>
    <row r="30" spans="2:18" x14ac:dyDescent="0.25">
      <c r="B30" s="377">
        <f t="shared" si="8"/>
        <v>45499</v>
      </c>
      <c r="C30" s="378">
        <v>735807.82</v>
      </c>
      <c r="D30" s="103">
        <f t="shared" si="0"/>
        <v>153.29329583333333</v>
      </c>
      <c r="E30" s="382">
        <v>34890853.439999998</v>
      </c>
      <c r="F30" s="103">
        <f t="shared" si="1"/>
        <v>7268.9277999999995</v>
      </c>
      <c r="G30" s="378">
        <v>626915.69999999995</v>
      </c>
      <c r="H30" s="103">
        <f t="shared" si="2"/>
        <v>78.364462499999988</v>
      </c>
      <c r="I30" s="382">
        <v>6114.66</v>
      </c>
      <c r="J30" s="103">
        <f t="shared" si="3"/>
        <v>0.76433249999999997</v>
      </c>
      <c r="K30" s="378">
        <v>22682.42</v>
      </c>
      <c r="L30" s="103">
        <f t="shared" si="4"/>
        <v>4.0954369444444438</v>
      </c>
      <c r="M30" s="378">
        <v>3567.32</v>
      </c>
      <c r="N30" s="103">
        <f t="shared" si="5"/>
        <v>0.24773055555555556</v>
      </c>
      <c r="O30" s="378">
        <v>169731.79</v>
      </c>
      <c r="P30" s="103">
        <f t="shared" si="6"/>
        <v>30.646017638888893</v>
      </c>
      <c r="Q30" s="378">
        <v>7512779.8899999997</v>
      </c>
      <c r="R30" s="380">
        <f t="shared" si="7"/>
        <v>1669.5066422222221</v>
      </c>
    </row>
    <row r="31" spans="2:18" x14ac:dyDescent="0.25">
      <c r="B31" s="377">
        <f t="shared" si="8"/>
        <v>45500</v>
      </c>
      <c r="C31" s="378">
        <v>735807.82</v>
      </c>
      <c r="D31" s="103">
        <f t="shared" si="0"/>
        <v>153.29329583333333</v>
      </c>
      <c r="E31" s="382">
        <v>34890853.439999998</v>
      </c>
      <c r="F31" s="103">
        <f t="shared" si="1"/>
        <v>7268.9277999999995</v>
      </c>
      <c r="G31" s="378">
        <v>626915.69999999995</v>
      </c>
      <c r="H31" s="103">
        <f t="shared" si="2"/>
        <v>78.364462499999988</v>
      </c>
      <c r="I31" s="382">
        <v>6114.66</v>
      </c>
      <c r="J31" s="103">
        <f t="shared" si="3"/>
        <v>0.76433249999999997</v>
      </c>
      <c r="K31" s="378">
        <v>22682.42</v>
      </c>
      <c r="L31" s="103">
        <f t="shared" si="4"/>
        <v>4.0954369444444438</v>
      </c>
      <c r="M31" s="378">
        <v>3567.32</v>
      </c>
      <c r="N31" s="103">
        <f t="shared" si="5"/>
        <v>0.24773055555555556</v>
      </c>
      <c r="O31" s="378">
        <v>169731.79</v>
      </c>
      <c r="P31" s="103">
        <f t="shared" si="6"/>
        <v>30.646017638888893</v>
      </c>
      <c r="Q31" s="378">
        <v>7512779.8899999997</v>
      </c>
      <c r="R31" s="380">
        <f t="shared" si="7"/>
        <v>1669.5066422222221</v>
      </c>
    </row>
    <row r="32" spans="2:18" x14ac:dyDescent="0.25">
      <c r="B32" s="377">
        <f t="shared" si="8"/>
        <v>45501</v>
      </c>
      <c r="C32" s="378">
        <v>735807.82</v>
      </c>
      <c r="D32" s="103">
        <f t="shared" si="0"/>
        <v>153.29329583333333</v>
      </c>
      <c r="E32" s="382">
        <v>34890853.439999998</v>
      </c>
      <c r="F32" s="103">
        <f t="shared" si="1"/>
        <v>7268.9277999999995</v>
      </c>
      <c r="G32" s="378">
        <v>732915.7</v>
      </c>
      <c r="H32" s="103">
        <f t="shared" si="2"/>
        <v>91.614462500000002</v>
      </c>
      <c r="I32" s="382">
        <v>6114.66</v>
      </c>
      <c r="J32" s="103">
        <f t="shared" si="3"/>
        <v>0.76433249999999997</v>
      </c>
      <c r="K32" s="378">
        <v>22682.42</v>
      </c>
      <c r="L32" s="103">
        <f t="shared" si="4"/>
        <v>4.0954369444444438</v>
      </c>
      <c r="M32" s="378">
        <v>3567.32</v>
      </c>
      <c r="N32" s="103">
        <f t="shared" si="5"/>
        <v>0.24773055555555556</v>
      </c>
      <c r="O32" s="378">
        <v>169731.79</v>
      </c>
      <c r="P32" s="103">
        <f t="shared" si="6"/>
        <v>30.646017638888893</v>
      </c>
      <c r="Q32" s="378">
        <v>7512779.8899999997</v>
      </c>
      <c r="R32" s="380">
        <f t="shared" si="7"/>
        <v>1669.5066422222221</v>
      </c>
    </row>
    <row r="33" spans="2:18" x14ac:dyDescent="0.25">
      <c r="B33" s="377">
        <f t="shared" si="8"/>
        <v>45502</v>
      </c>
      <c r="C33" s="378">
        <v>87292.41</v>
      </c>
      <c r="D33" s="103">
        <f t="shared" si="0"/>
        <v>18.185918750000003</v>
      </c>
      <c r="E33" s="382">
        <v>31962931.370000001</v>
      </c>
      <c r="F33" s="103">
        <f t="shared" si="1"/>
        <v>6658.9440354166672</v>
      </c>
      <c r="G33" s="378">
        <v>732915.7</v>
      </c>
      <c r="H33" s="103">
        <f t="shared" si="2"/>
        <v>91.614462500000002</v>
      </c>
      <c r="I33" s="382">
        <v>6114.66</v>
      </c>
      <c r="J33" s="103">
        <f t="shared" si="3"/>
        <v>0.76433249999999997</v>
      </c>
      <c r="K33" s="378">
        <v>22682.42</v>
      </c>
      <c r="L33" s="103">
        <f t="shared" si="4"/>
        <v>4.0954369444444438</v>
      </c>
      <c r="M33" s="378">
        <v>3567.32</v>
      </c>
      <c r="N33" s="103">
        <f t="shared" si="5"/>
        <v>0.24773055555555556</v>
      </c>
      <c r="O33" s="378">
        <v>169731.79</v>
      </c>
      <c r="P33" s="103">
        <f t="shared" si="6"/>
        <v>30.646017638888893</v>
      </c>
      <c r="Q33" s="378">
        <v>7512779.8899999997</v>
      </c>
      <c r="R33" s="380">
        <f t="shared" si="7"/>
        <v>1669.5066422222221</v>
      </c>
    </row>
    <row r="34" spans="2:18" x14ac:dyDescent="0.25">
      <c r="B34" s="377">
        <f t="shared" si="8"/>
        <v>45503</v>
      </c>
      <c r="C34" s="378">
        <v>87292.41</v>
      </c>
      <c r="D34" s="103">
        <f t="shared" si="0"/>
        <v>18.185918750000003</v>
      </c>
      <c r="E34" s="382">
        <v>31962931.370000001</v>
      </c>
      <c r="F34" s="103">
        <f t="shared" si="1"/>
        <v>6658.9440354166672</v>
      </c>
      <c r="G34" s="378">
        <v>732915.7</v>
      </c>
      <c r="H34" s="103">
        <f t="shared" si="2"/>
        <v>91.614462500000002</v>
      </c>
      <c r="I34" s="382">
        <v>6114.66</v>
      </c>
      <c r="J34" s="103">
        <f t="shared" si="3"/>
        <v>0.76433249999999997</v>
      </c>
      <c r="K34" s="378">
        <v>22682.42</v>
      </c>
      <c r="L34" s="103">
        <f t="shared" si="4"/>
        <v>4.0954369444444438</v>
      </c>
      <c r="M34" s="378">
        <v>3567.32</v>
      </c>
      <c r="N34" s="103">
        <f t="shared" si="5"/>
        <v>0.24773055555555556</v>
      </c>
      <c r="O34" s="378">
        <v>169731.79</v>
      </c>
      <c r="P34" s="103">
        <f t="shared" si="6"/>
        <v>30.646017638888893</v>
      </c>
      <c r="Q34" s="378">
        <v>7512779.8899999997</v>
      </c>
      <c r="R34" s="380">
        <f t="shared" si="7"/>
        <v>1669.5066422222221</v>
      </c>
    </row>
    <row r="35" spans="2:18" x14ac:dyDescent="0.25">
      <c r="B35" s="377">
        <f t="shared" si="8"/>
        <v>45504</v>
      </c>
      <c r="C35" s="378">
        <v>87292.41</v>
      </c>
      <c r="D35" s="103">
        <f t="shared" si="0"/>
        <v>18.185918750000003</v>
      </c>
      <c r="E35" s="382">
        <v>31956227.460000001</v>
      </c>
      <c r="F35" s="103">
        <f t="shared" si="1"/>
        <v>6657.5473874999998</v>
      </c>
      <c r="G35" s="378">
        <v>732915.7</v>
      </c>
      <c r="H35" s="103">
        <f t="shared" si="2"/>
        <v>91.614462500000002</v>
      </c>
      <c r="I35" s="382">
        <v>6114.66</v>
      </c>
      <c r="J35" s="103">
        <f t="shared" si="3"/>
        <v>0.76433249999999997</v>
      </c>
      <c r="K35" s="378">
        <v>22682.42</v>
      </c>
      <c r="L35" s="103">
        <f t="shared" si="4"/>
        <v>4.0954369444444438</v>
      </c>
      <c r="M35" s="378">
        <v>3567.32</v>
      </c>
      <c r="N35" s="103">
        <f t="shared" si="5"/>
        <v>0.24773055555555556</v>
      </c>
      <c r="O35" s="378">
        <v>169731.79</v>
      </c>
      <c r="P35" s="103">
        <f t="shared" si="6"/>
        <v>30.646017638888893</v>
      </c>
      <c r="Q35" s="378">
        <v>7512779.8899999997</v>
      </c>
      <c r="R35" s="380">
        <f t="shared" si="7"/>
        <v>1669.5066422222221</v>
      </c>
    </row>
    <row r="36" spans="2:18" x14ac:dyDescent="0.25">
      <c r="B36" s="377">
        <f t="shared" si="8"/>
        <v>45505</v>
      </c>
      <c r="C36" s="378">
        <v>87292.41</v>
      </c>
      <c r="D36" s="103">
        <f t="shared" si="0"/>
        <v>18.185918750000003</v>
      </c>
      <c r="E36" s="382">
        <v>32702881.059999999</v>
      </c>
      <c r="F36" s="103">
        <f t="shared" si="1"/>
        <v>6813.100220833333</v>
      </c>
      <c r="G36" s="378">
        <v>732915.7</v>
      </c>
      <c r="H36" s="103">
        <f t="shared" si="2"/>
        <v>91.614462500000002</v>
      </c>
      <c r="I36" s="382">
        <v>6114.66</v>
      </c>
      <c r="J36" s="103">
        <f t="shared" si="3"/>
        <v>0.76433249999999997</v>
      </c>
      <c r="K36" s="378">
        <v>22682.42</v>
      </c>
      <c r="L36" s="103">
        <f t="shared" si="4"/>
        <v>4.0954369444444438</v>
      </c>
      <c r="M36" s="378">
        <v>3567.32</v>
      </c>
      <c r="N36" s="103">
        <f t="shared" si="5"/>
        <v>0.24773055555555556</v>
      </c>
      <c r="O36" s="378">
        <v>169731.79</v>
      </c>
      <c r="P36" s="103">
        <f t="shared" si="6"/>
        <v>30.646017638888893</v>
      </c>
      <c r="Q36" s="378">
        <v>7512779.8899999997</v>
      </c>
      <c r="R36" s="380">
        <f t="shared" si="7"/>
        <v>1669.5066422222221</v>
      </c>
    </row>
    <row r="37" spans="2:18" x14ac:dyDescent="0.25">
      <c r="B37" s="377">
        <f t="shared" si="8"/>
        <v>45506</v>
      </c>
      <c r="C37" s="378">
        <v>87292.41</v>
      </c>
      <c r="D37" s="103">
        <f t="shared" si="0"/>
        <v>18.185918750000003</v>
      </c>
      <c r="E37" s="382">
        <v>32702881.059999999</v>
      </c>
      <c r="F37" s="103">
        <f t="shared" si="1"/>
        <v>6813.100220833333</v>
      </c>
      <c r="G37" s="378">
        <v>732915.7</v>
      </c>
      <c r="H37" s="103">
        <f t="shared" si="2"/>
        <v>91.614462500000002</v>
      </c>
      <c r="I37" s="382">
        <v>6114.66</v>
      </c>
      <c r="J37" s="103">
        <f t="shared" si="3"/>
        <v>0.76433249999999997</v>
      </c>
      <c r="K37" s="378">
        <v>22682.42</v>
      </c>
      <c r="L37" s="103">
        <f t="shared" si="4"/>
        <v>4.0954369444444438</v>
      </c>
      <c r="M37" s="378">
        <v>3567.32</v>
      </c>
      <c r="N37" s="103">
        <f t="shared" si="5"/>
        <v>0.24773055555555556</v>
      </c>
      <c r="O37" s="378">
        <v>169731.79</v>
      </c>
      <c r="P37" s="103">
        <f t="shared" si="6"/>
        <v>30.646017638888893</v>
      </c>
      <c r="Q37" s="378">
        <v>7512779.8899999997</v>
      </c>
      <c r="R37" s="380">
        <f t="shared" si="7"/>
        <v>1669.5066422222221</v>
      </c>
    </row>
    <row r="38" spans="2:18" x14ac:dyDescent="0.25">
      <c r="B38" s="377">
        <f t="shared" si="8"/>
        <v>45507</v>
      </c>
      <c r="C38" s="378">
        <v>87292.41</v>
      </c>
      <c r="D38" s="103">
        <f t="shared" si="0"/>
        <v>18.185918750000003</v>
      </c>
      <c r="E38" s="382">
        <v>32702881.059999999</v>
      </c>
      <c r="F38" s="103">
        <f t="shared" si="1"/>
        <v>6813.100220833333</v>
      </c>
      <c r="G38" s="378">
        <v>732915.7</v>
      </c>
      <c r="H38" s="103">
        <f t="shared" si="2"/>
        <v>91.614462500000002</v>
      </c>
      <c r="I38" s="382">
        <v>6114.66</v>
      </c>
      <c r="J38" s="103">
        <f t="shared" si="3"/>
        <v>0.76433249999999997</v>
      </c>
      <c r="K38" s="378">
        <v>22682.42</v>
      </c>
      <c r="L38" s="103">
        <f t="shared" si="4"/>
        <v>4.0954369444444438</v>
      </c>
      <c r="M38" s="378">
        <v>3567.32</v>
      </c>
      <c r="N38" s="103">
        <f t="shared" si="5"/>
        <v>0.24773055555555556</v>
      </c>
      <c r="O38" s="378">
        <v>169731.79</v>
      </c>
      <c r="P38" s="103">
        <f t="shared" si="6"/>
        <v>30.646017638888893</v>
      </c>
      <c r="Q38" s="378">
        <v>7512779.8899999997</v>
      </c>
      <c r="R38" s="380">
        <f t="shared" si="7"/>
        <v>1669.5066422222221</v>
      </c>
    </row>
    <row r="39" spans="2:18" x14ac:dyDescent="0.25">
      <c r="B39" s="377">
        <f>B38+1</f>
        <v>45508</v>
      </c>
      <c r="C39" s="378">
        <v>87292.41</v>
      </c>
      <c r="D39" s="103">
        <f t="shared" si="0"/>
        <v>18.185918750000003</v>
      </c>
      <c r="E39" s="382">
        <v>32702881.059999999</v>
      </c>
      <c r="F39" s="103">
        <f t="shared" si="1"/>
        <v>6813.100220833333</v>
      </c>
      <c r="G39" s="378">
        <v>732915.7</v>
      </c>
      <c r="H39" s="103">
        <f t="shared" si="2"/>
        <v>91.614462500000002</v>
      </c>
      <c r="I39" s="382">
        <v>6114.66</v>
      </c>
      <c r="J39" s="103">
        <f t="shared" si="3"/>
        <v>0.76433249999999997</v>
      </c>
      <c r="K39" s="378">
        <v>22683.42</v>
      </c>
      <c r="L39" s="103">
        <f t="shared" ref="L39:L45" si="9">(K39*6.5%)/360</f>
        <v>4.0956174999999995</v>
      </c>
      <c r="M39" s="378">
        <v>3568.32</v>
      </c>
      <c r="N39" s="103">
        <f t="shared" ref="N39:N45" si="10">(M39*2.5%)/360</f>
        <v>0.24780000000000005</v>
      </c>
      <c r="O39" s="378">
        <v>169732.79</v>
      </c>
      <c r="P39" s="103">
        <f t="shared" ref="P39:P45" si="11">(O39*6.5%)/360</f>
        <v>30.646198194444448</v>
      </c>
      <c r="Q39" s="378">
        <v>7512780.8899999997</v>
      </c>
      <c r="R39" s="380">
        <f t="shared" ref="R39:R45" si="12">(Q39*8%)/360</f>
        <v>1669.5068644444445</v>
      </c>
    </row>
    <row r="40" spans="2:18" x14ac:dyDescent="0.25">
      <c r="B40" s="377">
        <f t="shared" ref="B40:B103" si="13">B39+1</f>
        <v>45509</v>
      </c>
      <c r="C40" s="378">
        <v>87292.41</v>
      </c>
      <c r="D40" s="103">
        <f t="shared" si="0"/>
        <v>18.185918750000003</v>
      </c>
      <c r="E40" s="382">
        <v>32702881.059999999</v>
      </c>
      <c r="F40" s="103">
        <f t="shared" si="1"/>
        <v>6813.100220833333</v>
      </c>
      <c r="G40" s="378">
        <v>732915.7</v>
      </c>
      <c r="H40" s="103">
        <f t="shared" si="2"/>
        <v>91.614462500000002</v>
      </c>
      <c r="I40" s="382">
        <v>6114.66</v>
      </c>
      <c r="J40" s="103">
        <f t="shared" si="3"/>
        <v>0.76433249999999997</v>
      </c>
      <c r="K40" s="378">
        <v>22684.42</v>
      </c>
      <c r="L40" s="103">
        <f t="shared" si="9"/>
        <v>4.095798055555556</v>
      </c>
      <c r="M40" s="378">
        <v>3569.32</v>
      </c>
      <c r="N40" s="103">
        <f t="shared" si="10"/>
        <v>0.24786944444444445</v>
      </c>
      <c r="O40" s="378">
        <v>169733.79</v>
      </c>
      <c r="P40" s="103">
        <f t="shared" si="11"/>
        <v>30.64637875</v>
      </c>
      <c r="Q40" s="378">
        <v>7512781.8899999997</v>
      </c>
      <c r="R40" s="380">
        <f t="shared" si="12"/>
        <v>1669.5070866666667</v>
      </c>
    </row>
    <row r="41" spans="2:18" x14ac:dyDescent="0.25">
      <c r="B41" s="377">
        <f t="shared" si="13"/>
        <v>45510</v>
      </c>
      <c r="C41" s="378">
        <v>87292.41</v>
      </c>
      <c r="D41" s="103">
        <f t="shared" si="0"/>
        <v>18.185918750000003</v>
      </c>
      <c r="E41" s="382">
        <v>32702881.059999999</v>
      </c>
      <c r="F41" s="103">
        <f t="shared" si="1"/>
        <v>6813.100220833333</v>
      </c>
      <c r="G41" s="378">
        <v>779915.7</v>
      </c>
      <c r="H41" s="103">
        <f t="shared" si="2"/>
        <v>97.489462500000002</v>
      </c>
      <c r="I41" s="382">
        <v>6114.66</v>
      </c>
      <c r="J41" s="103">
        <f t="shared" si="3"/>
        <v>0.76433249999999997</v>
      </c>
      <c r="K41" s="378">
        <v>22685.42</v>
      </c>
      <c r="L41" s="103">
        <f t="shared" si="9"/>
        <v>4.0959786111111107</v>
      </c>
      <c r="M41" s="378">
        <v>3570.32</v>
      </c>
      <c r="N41" s="103">
        <f t="shared" si="10"/>
        <v>0.2479388888888889</v>
      </c>
      <c r="O41" s="378">
        <v>169734.79</v>
      </c>
      <c r="P41" s="103">
        <f t="shared" si="11"/>
        <v>30.646559305555556</v>
      </c>
      <c r="Q41" s="378">
        <v>7512782.8899999997</v>
      </c>
      <c r="R41" s="380">
        <f t="shared" si="12"/>
        <v>1669.5073088888887</v>
      </c>
    </row>
    <row r="42" spans="2:18" x14ac:dyDescent="0.25">
      <c r="B42" s="377">
        <f t="shared" si="13"/>
        <v>45511</v>
      </c>
      <c r="C42" s="378">
        <v>87232.41</v>
      </c>
      <c r="D42" s="103">
        <f t="shared" si="0"/>
        <v>18.17341875</v>
      </c>
      <c r="E42" s="382">
        <v>30202881.059999999</v>
      </c>
      <c r="F42" s="103">
        <f t="shared" si="1"/>
        <v>6292.2668874999999</v>
      </c>
      <c r="G42" s="378">
        <v>1714890.7</v>
      </c>
      <c r="H42" s="103">
        <f t="shared" si="2"/>
        <v>214.36133749999999</v>
      </c>
      <c r="I42" s="382">
        <v>6114.66</v>
      </c>
      <c r="J42" s="103">
        <f t="shared" si="3"/>
        <v>0.76433249999999997</v>
      </c>
      <c r="K42" s="378">
        <v>22686.42</v>
      </c>
      <c r="L42" s="103">
        <f t="shared" si="9"/>
        <v>4.0961591666666664</v>
      </c>
      <c r="M42" s="378">
        <v>3571.32</v>
      </c>
      <c r="N42" s="103">
        <f t="shared" si="10"/>
        <v>0.24800833333333339</v>
      </c>
      <c r="O42" s="378">
        <v>169735.79</v>
      </c>
      <c r="P42" s="103">
        <f t="shared" si="11"/>
        <v>30.646739861111115</v>
      </c>
      <c r="Q42" s="378">
        <v>7512783.8899999997</v>
      </c>
      <c r="R42" s="380">
        <f t="shared" si="12"/>
        <v>1669.5075311111111</v>
      </c>
    </row>
    <row r="43" spans="2:18" x14ac:dyDescent="0.25">
      <c r="B43" s="377">
        <f t="shared" si="13"/>
        <v>45512</v>
      </c>
      <c r="C43" s="378">
        <v>2044376.41</v>
      </c>
      <c r="D43" s="103">
        <f t="shared" si="0"/>
        <v>425.91175208333328</v>
      </c>
      <c r="E43" s="382">
        <v>22122023.640000001</v>
      </c>
      <c r="F43" s="103">
        <f t="shared" si="1"/>
        <v>4608.7549250000002</v>
      </c>
      <c r="G43" s="378">
        <v>1714890.7</v>
      </c>
      <c r="H43" s="103">
        <f t="shared" si="2"/>
        <v>214.36133749999999</v>
      </c>
      <c r="I43" s="382">
        <v>5395.49</v>
      </c>
      <c r="J43" s="103">
        <f t="shared" si="3"/>
        <v>0.67443624999999996</v>
      </c>
      <c r="K43" s="378">
        <v>22687.42</v>
      </c>
      <c r="L43" s="103">
        <f t="shared" si="9"/>
        <v>4.096339722222222</v>
      </c>
      <c r="M43" s="378">
        <v>3572.32</v>
      </c>
      <c r="N43" s="103">
        <f t="shared" si="10"/>
        <v>0.24807777777777779</v>
      </c>
      <c r="O43" s="378">
        <v>169736.79</v>
      </c>
      <c r="P43" s="103">
        <f t="shared" si="11"/>
        <v>30.646920416666671</v>
      </c>
      <c r="Q43" s="378">
        <v>7512784.8899999997</v>
      </c>
      <c r="R43" s="380">
        <f t="shared" si="12"/>
        <v>1669.5077533333333</v>
      </c>
    </row>
    <row r="44" spans="2:18" x14ac:dyDescent="0.25">
      <c r="B44" s="377">
        <f t="shared" si="13"/>
        <v>45513</v>
      </c>
      <c r="C44" s="378">
        <v>2044376.41</v>
      </c>
      <c r="D44" s="103">
        <f t="shared" si="0"/>
        <v>425.91175208333328</v>
      </c>
      <c r="E44" s="382">
        <v>22122023.640000001</v>
      </c>
      <c r="F44" s="103">
        <f t="shared" si="1"/>
        <v>4608.7549250000002</v>
      </c>
      <c r="G44" s="378">
        <v>1714890.7</v>
      </c>
      <c r="H44" s="103">
        <f t="shared" si="2"/>
        <v>214.36133749999999</v>
      </c>
      <c r="I44" s="382">
        <v>5395.49</v>
      </c>
      <c r="J44" s="103">
        <f t="shared" si="3"/>
        <v>0.67443624999999996</v>
      </c>
      <c r="K44" s="378">
        <v>22688.42</v>
      </c>
      <c r="L44" s="103">
        <f t="shared" si="9"/>
        <v>4.0965202777777776</v>
      </c>
      <c r="M44" s="378">
        <v>3573.32</v>
      </c>
      <c r="N44" s="103">
        <f t="shared" si="10"/>
        <v>0.24814722222222227</v>
      </c>
      <c r="O44" s="378">
        <v>169737.79</v>
      </c>
      <c r="P44" s="103">
        <f t="shared" si="11"/>
        <v>30.647100972222223</v>
      </c>
      <c r="Q44" s="378">
        <v>7512785.8899999997</v>
      </c>
      <c r="R44" s="380">
        <f t="shared" si="12"/>
        <v>1669.5079755555553</v>
      </c>
    </row>
    <row r="45" spans="2:18" x14ac:dyDescent="0.25">
      <c r="B45" s="377">
        <f t="shared" si="13"/>
        <v>45514</v>
      </c>
      <c r="C45" s="378">
        <v>2044376.41</v>
      </c>
      <c r="D45" s="103">
        <f t="shared" si="0"/>
        <v>425.91175208333328</v>
      </c>
      <c r="E45" s="382">
        <v>22122023.640000001</v>
      </c>
      <c r="F45" s="103">
        <f t="shared" si="1"/>
        <v>4608.7549250000002</v>
      </c>
      <c r="G45" s="378">
        <v>1714890.7</v>
      </c>
      <c r="H45" s="103">
        <f t="shared" si="2"/>
        <v>214.36133749999999</v>
      </c>
      <c r="I45" s="382">
        <v>5395.49</v>
      </c>
      <c r="J45" s="103">
        <f t="shared" si="3"/>
        <v>0.67443624999999996</v>
      </c>
      <c r="K45" s="378">
        <v>22689.42</v>
      </c>
      <c r="L45" s="103">
        <f t="shared" si="9"/>
        <v>4.0967008333333332</v>
      </c>
      <c r="M45" s="378">
        <v>3574.32</v>
      </c>
      <c r="N45" s="103">
        <f t="shared" si="10"/>
        <v>0.24821666666666667</v>
      </c>
      <c r="O45" s="378">
        <v>169738.79</v>
      </c>
      <c r="P45" s="103">
        <f t="shared" si="11"/>
        <v>30.647281527777782</v>
      </c>
      <c r="Q45" s="378">
        <v>7512786.8899999997</v>
      </c>
      <c r="R45" s="380">
        <f t="shared" si="12"/>
        <v>1669.5081977777777</v>
      </c>
    </row>
    <row r="46" spans="2:18" x14ac:dyDescent="0.25">
      <c r="B46" s="377">
        <f t="shared" si="13"/>
        <v>45515</v>
      </c>
      <c r="C46" s="378">
        <v>4044376.41</v>
      </c>
      <c r="D46" s="103">
        <f t="shared" si="0"/>
        <v>842.57841874999997</v>
      </c>
      <c r="E46" s="382">
        <v>6418430.54</v>
      </c>
      <c r="F46" s="103">
        <f t="shared" si="1"/>
        <v>1337.1730291666668</v>
      </c>
      <c r="G46" s="378">
        <v>1714890.7</v>
      </c>
      <c r="H46" s="103">
        <f t="shared" si="2"/>
        <v>214.36133749999999</v>
      </c>
      <c r="I46" s="382">
        <v>5395.49</v>
      </c>
      <c r="J46" s="103">
        <f t="shared" si="3"/>
        <v>0.67443624999999996</v>
      </c>
      <c r="K46" s="378">
        <v>22689.42</v>
      </c>
      <c r="L46" s="103">
        <f t="shared" ref="L46:L52" si="14">(K46*6.5%)/360</f>
        <v>4.0967008333333332</v>
      </c>
      <c r="M46" s="378">
        <v>3575.32</v>
      </c>
      <c r="N46" s="103">
        <f t="shared" ref="N46:N52" si="15">(M46*2.5%)/360</f>
        <v>0.24828611111111115</v>
      </c>
      <c r="O46" s="378">
        <v>169739.79</v>
      </c>
      <c r="P46" s="103">
        <f t="shared" ref="P46:P52" si="16">(O46*6.5%)/360</f>
        <v>30.647462083333338</v>
      </c>
      <c r="Q46" s="378">
        <v>7512787.8899999997</v>
      </c>
      <c r="R46" s="380">
        <f t="shared" ref="R46:R52" si="17">(Q46*8%)/360</f>
        <v>1669.5084199999999</v>
      </c>
    </row>
    <row r="47" spans="2:18" x14ac:dyDescent="0.25">
      <c r="B47" s="377">
        <f t="shared" si="13"/>
        <v>45516</v>
      </c>
      <c r="C47" s="378">
        <v>4044376.41</v>
      </c>
      <c r="D47" s="103">
        <f t="shared" si="0"/>
        <v>842.57841874999997</v>
      </c>
      <c r="E47" s="382">
        <v>13418430.539999999</v>
      </c>
      <c r="F47" s="103">
        <f t="shared" si="1"/>
        <v>2795.5063624999998</v>
      </c>
      <c r="G47" s="378">
        <v>1714890.7</v>
      </c>
      <c r="H47" s="103">
        <f t="shared" si="2"/>
        <v>214.36133749999999</v>
      </c>
      <c r="I47" s="382">
        <v>5395.49</v>
      </c>
      <c r="J47" s="103">
        <f t="shared" si="3"/>
        <v>0.67443624999999996</v>
      </c>
      <c r="K47" s="378">
        <v>22689.42</v>
      </c>
      <c r="L47" s="103">
        <f t="shared" si="14"/>
        <v>4.0967008333333332</v>
      </c>
      <c r="M47" s="378">
        <v>3576.32</v>
      </c>
      <c r="N47" s="103">
        <f t="shared" si="15"/>
        <v>0.24835555555555561</v>
      </c>
      <c r="O47" s="378">
        <v>169740.79</v>
      </c>
      <c r="P47" s="103">
        <f t="shared" si="16"/>
        <v>30.64764263888889</v>
      </c>
      <c r="Q47" s="378">
        <v>512787.89</v>
      </c>
      <c r="R47" s="380">
        <f t="shared" si="17"/>
        <v>113.95286444444446</v>
      </c>
    </row>
    <row r="48" spans="2:18" x14ac:dyDescent="0.25">
      <c r="B48" s="377">
        <f t="shared" si="13"/>
        <v>45517</v>
      </c>
      <c r="C48" s="378">
        <v>14376.41</v>
      </c>
      <c r="D48" s="103">
        <f t="shared" si="0"/>
        <v>2.9950854166666665</v>
      </c>
      <c r="E48" s="382">
        <v>17919695.539999999</v>
      </c>
      <c r="F48" s="103">
        <f t="shared" si="1"/>
        <v>3733.2699041666665</v>
      </c>
      <c r="G48" s="378">
        <v>1714890.7</v>
      </c>
      <c r="H48" s="103">
        <f t="shared" si="2"/>
        <v>214.36133749999999</v>
      </c>
      <c r="I48" s="382">
        <v>5395.49</v>
      </c>
      <c r="J48" s="103">
        <f t="shared" si="3"/>
        <v>0.67443624999999996</v>
      </c>
      <c r="K48" s="378">
        <v>22689.42</v>
      </c>
      <c r="L48" s="103">
        <f t="shared" si="14"/>
        <v>4.0967008333333332</v>
      </c>
      <c r="M48" s="378">
        <v>3577.32</v>
      </c>
      <c r="N48" s="103">
        <f t="shared" si="15"/>
        <v>0.24842500000000001</v>
      </c>
      <c r="O48" s="378">
        <v>169741.79</v>
      </c>
      <c r="P48" s="103">
        <f t="shared" si="16"/>
        <v>30.647823194444445</v>
      </c>
      <c r="Q48" s="378">
        <v>512787.89</v>
      </c>
      <c r="R48" s="380">
        <f t="shared" si="17"/>
        <v>113.95286444444446</v>
      </c>
    </row>
    <row r="49" spans="2:18" x14ac:dyDescent="0.25">
      <c r="B49" s="377">
        <f t="shared" si="13"/>
        <v>45518</v>
      </c>
      <c r="C49" s="378">
        <v>214376.41</v>
      </c>
      <c r="D49" s="103">
        <f t="shared" si="0"/>
        <v>44.661752083333333</v>
      </c>
      <c r="E49" s="382">
        <v>14088451.880000001</v>
      </c>
      <c r="F49" s="103">
        <f t="shared" si="1"/>
        <v>2935.0941416666669</v>
      </c>
      <c r="G49" s="378">
        <v>14890.7</v>
      </c>
      <c r="H49" s="103">
        <f t="shared" si="2"/>
        <v>1.8613375000000001</v>
      </c>
      <c r="I49" s="382">
        <v>5395.49</v>
      </c>
      <c r="J49" s="103">
        <f t="shared" si="3"/>
        <v>0.67443624999999996</v>
      </c>
      <c r="K49" s="378">
        <v>22689.42</v>
      </c>
      <c r="L49" s="103">
        <f t="shared" si="14"/>
        <v>4.0967008333333332</v>
      </c>
      <c r="M49" s="378">
        <v>3578.32</v>
      </c>
      <c r="N49" s="103">
        <f t="shared" si="15"/>
        <v>0.24849444444444449</v>
      </c>
      <c r="O49" s="378">
        <v>169742.79</v>
      </c>
      <c r="P49" s="103">
        <f t="shared" si="16"/>
        <v>30.648003750000004</v>
      </c>
      <c r="Q49" s="378">
        <v>512787.89</v>
      </c>
      <c r="R49" s="380">
        <f t="shared" si="17"/>
        <v>113.95286444444446</v>
      </c>
    </row>
    <row r="50" spans="2:18" x14ac:dyDescent="0.25">
      <c r="B50" s="377">
        <f t="shared" si="13"/>
        <v>45519</v>
      </c>
      <c r="C50" s="378">
        <v>214376.41</v>
      </c>
      <c r="D50" s="103">
        <f t="shared" si="0"/>
        <v>44.661752083333333</v>
      </c>
      <c r="E50" s="382">
        <v>20569759.879999999</v>
      </c>
      <c r="F50" s="103">
        <f t="shared" si="1"/>
        <v>4285.3666416666665</v>
      </c>
      <c r="G50" s="378">
        <v>25890.7</v>
      </c>
      <c r="H50" s="103">
        <f t="shared" si="2"/>
        <v>3.2363374999999999</v>
      </c>
      <c r="I50" s="382">
        <v>5395.49</v>
      </c>
      <c r="J50" s="103">
        <f t="shared" si="3"/>
        <v>0.67443624999999996</v>
      </c>
      <c r="K50" s="378">
        <v>22689.42</v>
      </c>
      <c r="L50" s="103">
        <f t="shared" si="14"/>
        <v>4.0967008333333332</v>
      </c>
      <c r="M50" s="378">
        <v>3579.32</v>
      </c>
      <c r="N50" s="103">
        <f t="shared" si="15"/>
        <v>0.24856388888888889</v>
      </c>
      <c r="O50" s="378">
        <v>169743.79</v>
      </c>
      <c r="P50" s="103">
        <f t="shared" si="16"/>
        <v>30.64818430555556</v>
      </c>
      <c r="Q50" s="378">
        <v>512787.89</v>
      </c>
      <c r="R50" s="380">
        <f t="shared" si="17"/>
        <v>113.95286444444446</v>
      </c>
    </row>
    <row r="51" spans="2:18" x14ac:dyDescent="0.25">
      <c r="B51" s="377">
        <f t="shared" si="13"/>
        <v>45520</v>
      </c>
      <c r="C51" s="378">
        <v>214376.41</v>
      </c>
      <c r="D51" s="103">
        <f t="shared" si="0"/>
        <v>44.661752083333333</v>
      </c>
      <c r="E51" s="382">
        <v>20569759.879999999</v>
      </c>
      <c r="F51" s="103">
        <f t="shared" si="1"/>
        <v>4285.3666416666665</v>
      </c>
      <c r="G51" s="378">
        <v>25890.7</v>
      </c>
      <c r="H51" s="103">
        <f t="shared" si="2"/>
        <v>3.2363374999999999</v>
      </c>
      <c r="I51" s="382">
        <v>5395.49</v>
      </c>
      <c r="J51" s="103">
        <f t="shared" si="3"/>
        <v>0.67443624999999996</v>
      </c>
      <c r="K51" s="378">
        <v>22689.42</v>
      </c>
      <c r="L51" s="103">
        <f t="shared" si="14"/>
        <v>4.0967008333333332</v>
      </c>
      <c r="M51" s="378">
        <v>3580.32</v>
      </c>
      <c r="N51" s="103">
        <f t="shared" si="15"/>
        <v>0.24863333333333337</v>
      </c>
      <c r="O51" s="378">
        <v>169744.79</v>
      </c>
      <c r="P51" s="103">
        <f t="shared" si="16"/>
        <v>30.648364861111112</v>
      </c>
      <c r="Q51" s="378">
        <v>512787.89</v>
      </c>
      <c r="R51" s="380">
        <f t="shared" si="17"/>
        <v>113.95286444444446</v>
      </c>
    </row>
    <row r="52" spans="2:18" x14ac:dyDescent="0.25">
      <c r="B52" s="377">
        <f t="shared" si="13"/>
        <v>45521</v>
      </c>
      <c r="C52" s="378">
        <v>214376.41</v>
      </c>
      <c r="D52" s="103">
        <f t="shared" si="0"/>
        <v>44.661752083333333</v>
      </c>
      <c r="E52" s="382">
        <v>20569759.879999999</v>
      </c>
      <c r="F52" s="103">
        <f t="shared" si="1"/>
        <v>4285.3666416666665</v>
      </c>
      <c r="G52" s="378">
        <v>25890.7</v>
      </c>
      <c r="H52" s="103">
        <f t="shared" si="2"/>
        <v>3.2363374999999999</v>
      </c>
      <c r="I52" s="382">
        <v>5395.49</v>
      </c>
      <c r="J52" s="103">
        <f t="shared" si="3"/>
        <v>0.67443624999999996</v>
      </c>
      <c r="K52" s="378">
        <v>22689.42</v>
      </c>
      <c r="L52" s="103">
        <f t="shared" si="14"/>
        <v>4.0967008333333332</v>
      </c>
      <c r="M52" s="378">
        <v>3581.32</v>
      </c>
      <c r="N52" s="103">
        <f t="shared" si="15"/>
        <v>0.24870277777777783</v>
      </c>
      <c r="O52" s="378">
        <v>169745.79</v>
      </c>
      <c r="P52" s="103">
        <f t="shared" si="16"/>
        <v>30.648545416666668</v>
      </c>
      <c r="Q52" s="378">
        <v>512787.89</v>
      </c>
      <c r="R52" s="380">
        <f t="shared" si="17"/>
        <v>113.95286444444446</v>
      </c>
    </row>
    <row r="53" spans="2:18" x14ac:dyDescent="0.25">
      <c r="B53" s="377">
        <f t="shared" si="13"/>
        <v>45522</v>
      </c>
      <c r="C53" s="378">
        <v>214376.41</v>
      </c>
      <c r="D53" s="103">
        <f t="shared" si="0"/>
        <v>44.661752083333333</v>
      </c>
      <c r="E53" s="382">
        <v>16178275.810000001</v>
      </c>
      <c r="F53" s="103">
        <f t="shared" si="1"/>
        <v>3370.4741270833333</v>
      </c>
      <c r="G53" s="378">
        <v>33890.699999999997</v>
      </c>
      <c r="H53" s="103">
        <f t="shared" si="2"/>
        <v>4.2363374999999994</v>
      </c>
      <c r="I53" s="382">
        <v>5395.49</v>
      </c>
      <c r="J53" s="103">
        <f t="shared" ref="J53:J59" si="18">(I53*4.5%)/360</f>
        <v>0.67443624999999996</v>
      </c>
      <c r="K53" s="378">
        <v>22689.42</v>
      </c>
      <c r="L53" s="103">
        <f t="shared" ref="L53:L59" si="19">(K53*6.5%)/360</f>
        <v>4.0967008333333332</v>
      </c>
      <c r="M53" s="378">
        <v>3581.32</v>
      </c>
      <c r="N53" s="103">
        <f t="shared" ref="N53:N59" si="20">(M53*2.5%)/360</f>
        <v>0.24870277777777783</v>
      </c>
      <c r="O53" s="378">
        <v>169745.79</v>
      </c>
      <c r="P53" s="103">
        <f t="shared" ref="P53:P59" si="21">(O53*6.5%)/360</f>
        <v>30.648545416666668</v>
      </c>
      <c r="Q53" s="378">
        <v>512787.89</v>
      </c>
      <c r="R53" s="380">
        <f t="shared" ref="R53:R59" si="22">(Q53*8%)/360</f>
        <v>113.95286444444446</v>
      </c>
    </row>
    <row r="54" spans="2:18" x14ac:dyDescent="0.25">
      <c r="B54" s="377">
        <f t="shared" si="13"/>
        <v>45523</v>
      </c>
      <c r="C54" s="378">
        <v>214376.41</v>
      </c>
      <c r="D54" s="103">
        <f t="shared" si="0"/>
        <v>44.661752083333333</v>
      </c>
      <c r="E54" s="382">
        <v>18178140.030000001</v>
      </c>
      <c r="F54" s="103">
        <f t="shared" si="1"/>
        <v>3787.1125062500005</v>
      </c>
      <c r="G54" s="378">
        <v>33890.699999999997</v>
      </c>
      <c r="H54" s="103">
        <f t="shared" si="2"/>
        <v>4.2363374999999994</v>
      </c>
      <c r="I54" s="382">
        <v>5395.49</v>
      </c>
      <c r="J54" s="103">
        <f t="shared" si="18"/>
        <v>0.67443624999999996</v>
      </c>
      <c r="K54" s="378">
        <v>22689.42</v>
      </c>
      <c r="L54" s="103">
        <f t="shared" si="19"/>
        <v>4.0967008333333332</v>
      </c>
      <c r="M54" s="378">
        <v>3581.32</v>
      </c>
      <c r="N54" s="103">
        <f t="shared" si="20"/>
        <v>0.24870277777777783</v>
      </c>
      <c r="O54" s="378">
        <v>169745.79</v>
      </c>
      <c r="P54" s="103">
        <f t="shared" si="21"/>
        <v>30.648545416666668</v>
      </c>
      <c r="Q54" s="378">
        <v>512787.89</v>
      </c>
      <c r="R54" s="380">
        <f t="shared" si="22"/>
        <v>113.95286444444446</v>
      </c>
    </row>
    <row r="55" spans="2:18" x14ac:dyDescent="0.25">
      <c r="B55" s="377">
        <f t="shared" si="13"/>
        <v>45524</v>
      </c>
      <c r="C55" s="378">
        <v>214376.41</v>
      </c>
      <c r="D55" s="103">
        <f t="shared" si="0"/>
        <v>44.661752083333333</v>
      </c>
      <c r="E55" s="382">
        <v>18178140.030000001</v>
      </c>
      <c r="F55" s="103">
        <f t="shared" si="1"/>
        <v>3787.1125062500005</v>
      </c>
      <c r="G55" s="378">
        <v>33890.699999999997</v>
      </c>
      <c r="H55" s="103">
        <f t="shared" si="2"/>
        <v>4.2363374999999994</v>
      </c>
      <c r="I55" s="382">
        <v>5395.49</v>
      </c>
      <c r="J55" s="103">
        <f t="shared" si="18"/>
        <v>0.67443624999999996</v>
      </c>
      <c r="K55" s="378">
        <v>22689.42</v>
      </c>
      <c r="L55" s="103">
        <f t="shared" si="19"/>
        <v>4.0967008333333332</v>
      </c>
      <c r="M55" s="378">
        <v>3581.32</v>
      </c>
      <c r="N55" s="103">
        <f t="shared" si="20"/>
        <v>0.24870277777777783</v>
      </c>
      <c r="O55" s="378">
        <v>169745.79</v>
      </c>
      <c r="P55" s="103">
        <f t="shared" si="21"/>
        <v>30.648545416666668</v>
      </c>
      <c r="Q55" s="378">
        <v>512787.89</v>
      </c>
      <c r="R55" s="380">
        <f t="shared" si="22"/>
        <v>113.95286444444446</v>
      </c>
    </row>
    <row r="56" spans="2:18" x14ac:dyDescent="0.25">
      <c r="B56" s="377">
        <f t="shared" si="13"/>
        <v>45525</v>
      </c>
      <c r="C56" s="378">
        <v>64318.41</v>
      </c>
      <c r="D56" s="103">
        <f t="shared" si="0"/>
        <v>13.39966875</v>
      </c>
      <c r="E56" s="382">
        <v>18178140.030000001</v>
      </c>
      <c r="F56" s="103">
        <f t="shared" si="1"/>
        <v>3787.1125062500005</v>
      </c>
      <c r="G56" s="378">
        <v>33890.699999999997</v>
      </c>
      <c r="H56" s="103">
        <f t="shared" si="2"/>
        <v>4.2363374999999994</v>
      </c>
      <c r="I56" s="382">
        <v>5395.49</v>
      </c>
      <c r="J56" s="103">
        <f t="shared" si="18"/>
        <v>0.67443624999999996</v>
      </c>
      <c r="K56" s="378">
        <v>22689.42</v>
      </c>
      <c r="L56" s="103">
        <f t="shared" si="19"/>
        <v>4.0967008333333332</v>
      </c>
      <c r="M56" s="378">
        <v>3581.32</v>
      </c>
      <c r="N56" s="103">
        <f t="shared" si="20"/>
        <v>0.24870277777777783</v>
      </c>
      <c r="O56" s="378">
        <v>169745.79</v>
      </c>
      <c r="P56" s="103">
        <f t="shared" si="21"/>
        <v>30.648545416666668</v>
      </c>
      <c r="Q56" s="378">
        <v>512787.89</v>
      </c>
      <c r="R56" s="380">
        <f t="shared" si="22"/>
        <v>113.95286444444446</v>
      </c>
    </row>
    <row r="57" spans="2:18" x14ac:dyDescent="0.25">
      <c r="B57" s="377">
        <f t="shared" si="13"/>
        <v>45526</v>
      </c>
      <c r="C57" s="378">
        <v>152860.20000000001</v>
      </c>
      <c r="D57" s="103">
        <f t="shared" si="0"/>
        <v>31.845875000000003</v>
      </c>
      <c r="E57" s="382">
        <v>17578140.030000001</v>
      </c>
      <c r="F57" s="103">
        <f t="shared" si="1"/>
        <v>3662.1125062500005</v>
      </c>
      <c r="G57" s="378">
        <v>33890.699999999997</v>
      </c>
      <c r="H57" s="103">
        <f t="shared" si="2"/>
        <v>4.2363374999999994</v>
      </c>
      <c r="I57" s="382">
        <v>5395.49</v>
      </c>
      <c r="J57" s="103">
        <f t="shared" si="18"/>
        <v>0.67443624999999996</v>
      </c>
      <c r="K57" s="378">
        <v>22689.42</v>
      </c>
      <c r="L57" s="103">
        <f t="shared" si="19"/>
        <v>4.0967008333333332</v>
      </c>
      <c r="M57" s="378">
        <v>3581.32</v>
      </c>
      <c r="N57" s="103">
        <f t="shared" si="20"/>
        <v>0.24870277777777783</v>
      </c>
      <c r="O57" s="378">
        <v>169745.79</v>
      </c>
      <c r="P57" s="103">
        <f t="shared" si="21"/>
        <v>30.648545416666668</v>
      </c>
      <c r="Q57" s="378">
        <v>512787.89</v>
      </c>
      <c r="R57" s="380">
        <f t="shared" si="22"/>
        <v>113.95286444444446</v>
      </c>
    </row>
    <row r="58" spans="2:18" x14ac:dyDescent="0.25">
      <c r="B58" s="377">
        <f t="shared" si="13"/>
        <v>45527</v>
      </c>
      <c r="C58" s="378">
        <v>152860.20000000001</v>
      </c>
      <c r="D58" s="103">
        <f t="shared" si="0"/>
        <v>31.845875000000003</v>
      </c>
      <c r="E58" s="382">
        <v>17578140.030000001</v>
      </c>
      <c r="F58" s="103">
        <f t="shared" si="1"/>
        <v>3662.1125062500005</v>
      </c>
      <c r="G58" s="378">
        <v>33890.699999999997</v>
      </c>
      <c r="H58" s="103">
        <f t="shared" si="2"/>
        <v>4.2363374999999994</v>
      </c>
      <c r="I58" s="382">
        <v>5395.49</v>
      </c>
      <c r="J58" s="103">
        <f t="shared" si="18"/>
        <v>0.67443624999999996</v>
      </c>
      <c r="K58" s="378">
        <v>22689.42</v>
      </c>
      <c r="L58" s="103">
        <f t="shared" si="19"/>
        <v>4.0967008333333332</v>
      </c>
      <c r="M58" s="378">
        <v>3581.32</v>
      </c>
      <c r="N58" s="103">
        <f t="shared" si="20"/>
        <v>0.24870277777777783</v>
      </c>
      <c r="O58" s="378">
        <v>169745.79</v>
      </c>
      <c r="P58" s="103">
        <f t="shared" si="21"/>
        <v>30.648545416666668</v>
      </c>
      <c r="Q58" s="378">
        <v>512787.89</v>
      </c>
      <c r="R58" s="380">
        <f t="shared" si="22"/>
        <v>113.95286444444446</v>
      </c>
    </row>
    <row r="59" spans="2:18" x14ac:dyDescent="0.25">
      <c r="B59" s="377">
        <f t="shared" si="13"/>
        <v>45528</v>
      </c>
      <c r="C59" s="378">
        <v>152860.20000000001</v>
      </c>
      <c r="D59" s="103">
        <f t="shared" si="0"/>
        <v>31.845875000000003</v>
      </c>
      <c r="E59" s="382">
        <v>17578140.030000001</v>
      </c>
      <c r="F59" s="103">
        <f t="shared" si="1"/>
        <v>3662.1125062500005</v>
      </c>
      <c r="G59" s="378">
        <v>33890.699999999997</v>
      </c>
      <c r="H59" s="103">
        <f t="shared" si="2"/>
        <v>4.2363374999999994</v>
      </c>
      <c r="I59" s="382">
        <v>5395.49</v>
      </c>
      <c r="J59" s="103">
        <f t="shared" si="18"/>
        <v>0.67443624999999996</v>
      </c>
      <c r="K59" s="378">
        <v>22689.42</v>
      </c>
      <c r="L59" s="103">
        <f t="shared" si="19"/>
        <v>4.0967008333333332</v>
      </c>
      <c r="M59" s="378">
        <v>3581.32</v>
      </c>
      <c r="N59" s="103">
        <f t="shared" si="20"/>
        <v>0.24870277777777783</v>
      </c>
      <c r="O59" s="378">
        <v>169745.79</v>
      </c>
      <c r="P59" s="103">
        <f t="shared" si="21"/>
        <v>30.648545416666668</v>
      </c>
      <c r="Q59" s="378">
        <v>512787.89</v>
      </c>
      <c r="R59" s="380">
        <f t="shared" si="22"/>
        <v>113.95286444444446</v>
      </c>
    </row>
    <row r="60" spans="2:18" x14ac:dyDescent="0.25">
      <c r="B60" s="377">
        <f t="shared" si="13"/>
        <v>45529</v>
      </c>
      <c r="C60" s="378">
        <v>152860.20000000001</v>
      </c>
      <c r="D60" s="103">
        <f t="shared" ref="D60:D66" si="23">(C60*7.5%)/360</f>
        <v>31.845875000000003</v>
      </c>
      <c r="E60" s="382">
        <v>9394117.2899999991</v>
      </c>
      <c r="F60" s="103">
        <f t="shared" ref="F60:F66" si="24">(E60*7.5%)/360</f>
        <v>1957.1077687499997</v>
      </c>
      <c r="G60" s="378">
        <v>33890.699999999997</v>
      </c>
      <c r="H60" s="103">
        <f t="shared" ref="H60:H66" si="25">(G60*4.5%)/360</f>
        <v>4.2363374999999994</v>
      </c>
      <c r="I60" s="382">
        <v>4173.43</v>
      </c>
      <c r="J60" s="103">
        <f t="shared" ref="J60:J66" si="26">(I60*4.5%)/360</f>
        <v>0.52167874999999997</v>
      </c>
      <c r="K60" s="378">
        <v>22689.42</v>
      </c>
      <c r="L60" s="103">
        <f t="shared" ref="L60:L66" si="27">(K60*6.5%)/360</f>
        <v>4.0967008333333332</v>
      </c>
      <c r="M60" s="378">
        <v>3581.32</v>
      </c>
      <c r="N60" s="103">
        <f t="shared" ref="N60:N66" si="28">(M60*2.5%)/360</f>
        <v>0.24870277777777783</v>
      </c>
      <c r="O60" s="378">
        <v>169745.79</v>
      </c>
      <c r="P60" s="103">
        <f t="shared" ref="P60:P66" si="29">(O60*6.5%)/360</f>
        <v>30.648545416666668</v>
      </c>
      <c r="Q60" s="378">
        <v>7512787.8899999997</v>
      </c>
      <c r="R60" s="380">
        <f t="shared" ref="R60:R66" si="30">(Q60*8%)/360</f>
        <v>1669.5084199999999</v>
      </c>
    </row>
    <row r="61" spans="2:18" x14ac:dyDescent="0.25">
      <c r="B61" s="377">
        <f t="shared" si="13"/>
        <v>45530</v>
      </c>
      <c r="C61" s="378">
        <v>152860.20000000001</v>
      </c>
      <c r="D61" s="103">
        <f t="shared" si="23"/>
        <v>31.845875000000003</v>
      </c>
      <c r="E61" s="382">
        <v>9394117.2899999991</v>
      </c>
      <c r="F61" s="103">
        <f t="shared" si="24"/>
        <v>1957.1077687499997</v>
      </c>
      <c r="G61" s="378">
        <v>33890.699999999997</v>
      </c>
      <c r="H61" s="103">
        <f t="shared" si="25"/>
        <v>4.2363374999999994</v>
      </c>
      <c r="I61" s="382">
        <v>4173.43</v>
      </c>
      <c r="J61" s="103">
        <f t="shared" si="26"/>
        <v>0.52167874999999997</v>
      </c>
      <c r="K61" s="378">
        <v>22689.42</v>
      </c>
      <c r="L61" s="103">
        <f t="shared" si="27"/>
        <v>4.0967008333333332</v>
      </c>
      <c r="M61" s="378">
        <v>3581.32</v>
      </c>
      <c r="N61" s="103">
        <f t="shared" si="28"/>
        <v>0.24870277777777783</v>
      </c>
      <c r="O61" s="378">
        <v>169745.79</v>
      </c>
      <c r="P61" s="103">
        <f t="shared" si="29"/>
        <v>30.648545416666668</v>
      </c>
      <c r="Q61" s="378">
        <v>7512787.8899999997</v>
      </c>
      <c r="R61" s="380">
        <f t="shared" si="30"/>
        <v>1669.5084199999999</v>
      </c>
    </row>
    <row r="62" spans="2:18" x14ac:dyDescent="0.25">
      <c r="B62" s="377">
        <f t="shared" si="13"/>
        <v>45531</v>
      </c>
      <c r="C62" s="378">
        <v>152860.20000000001</v>
      </c>
      <c r="D62" s="103">
        <f t="shared" si="23"/>
        <v>31.845875000000003</v>
      </c>
      <c r="E62" s="382">
        <v>4533947.29</v>
      </c>
      <c r="F62" s="103">
        <f t="shared" si="24"/>
        <v>944.57235208333327</v>
      </c>
      <c r="G62" s="378">
        <v>144890.70000000001</v>
      </c>
      <c r="H62" s="103">
        <f t="shared" si="25"/>
        <v>18.111337500000001</v>
      </c>
      <c r="I62" s="382">
        <v>4173.43</v>
      </c>
      <c r="J62" s="103">
        <f t="shared" si="26"/>
        <v>0.52167874999999997</v>
      </c>
      <c r="K62" s="378">
        <v>22689.42</v>
      </c>
      <c r="L62" s="103">
        <f t="shared" si="27"/>
        <v>4.0967008333333332</v>
      </c>
      <c r="M62" s="378">
        <v>3581.32</v>
      </c>
      <c r="N62" s="103">
        <f t="shared" si="28"/>
        <v>0.24870277777777783</v>
      </c>
      <c r="O62" s="378">
        <v>169745.79</v>
      </c>
      <c r="P62" s="103">
        <f t="shared" si="29"/>
        <v>30.648545416666668</v>
      </c>
      <c r="Q62" s="378">
        <v>7512787.8899999997</v>
      </c>
      <c r="R62" s="380">
        <f t="shared" si="30"/>
        <v>1669.5084199999999</v>
      </c>
    </row>
    <row r="63" spans="2:18" x14ac:dyDescent="0.25">
      <c r="B63" s="377">
        <f t="shared" si="13"/>
        <v>45532</v>
      </c>
      <c r="C63" s="378">
        <v>152860.20000000001</v>
      </c>
      <c r="D63" s="103">
        <f t="shared" si="23"/>
        <v>31.845875000000003</v>
      </c>
      <c r="E63" s="382">
        <v>4533947.29</v>
      </c>
      <c r="F63" s="103">
        <f t="shared" si="24"/>
        <v>944.57235208333327</v>
      </c>
      <c r="G63" s="378">
        <v>144890.70000000001</v>
      </c>
      <c r="H63" s="103">
        <f t="shared" si="25"/>
        <v>18.111337500000001</v>
      </c>
      <c r="I63" s="382">
        <v>4173.43</v>
      </c>
      <c r="J63" s="103">
        <f t="shared" si="26"/>
        <v>0.52167874999999997</v>
      </c>
      <c r="K63" s="378">
        <v>22689.42</v>
      </c>
      <c r="L63" s="103">
        <f t="shared" si="27"/>
        <v>4.0967008333333332</v>
      </c>
      <c r="M63" s="378">
        <v>3581.32</v>
      </c>
      <c r="N63" s="103">
        <f t="shared" si="28"/>
        <v>0.24870277777777783</v>
      </c>
      <c r="O63" s="378">
        <v>169745.79</v>
      </c>
      <c r="P63" s="103">
        <f t="shared" si="29"/>
        <v>30.648545416666668</v>
      </c>
      <c r="Q63" s="378">
        <v>7512787.8899999997</v>
      </c>
      <c r="R63" s="380">
        <f t="shared" si="30"/>
        <v>1669.5084199999999</v>
      </c>
    </row>
    <row r="64" spans="2:18" x14ac:dyDescent="0.25">
      <c r="B64" s="377">
        <f t="shared" si="13"/>
        <v>45533</v>
      </c>
      <c r="C64" s="378">
        <v>74095.490000000005</v>
      </c>
      <c r="D64" s="103">
        <f t="shared" si="23"/>
        <v>15.436560416666667</v>
      </c>
      <c r="E64" s="382">
        <v>4533797.29</v>
      </c>
      <c r="F64" s="103">
        <f t="shared" si="24"/>
        <v>944.54110208333327</v>
      </c>
      <c r="G64" s="378">
        <v>144890.70000000001</v>
      </c>
      <c r="H64" s="103">
        <f t="shared" si="25"/>
        <v>18.111337500000001</v>
      </c>
      <c r="I64" s="382">
        <v>4173.43</v>
      </c>
      <c r="J64" s="103">
        <f t="shared" si="26"/>
        <v>0.52167874999999997</v>
      </c>
      <c r="K64" s="378">
        <v>22689.42</v>
      </c>
      <c r="L64" s="103">
        <f t="shared" si="27"/>
        <v>4.0967008333333332</v>
      </c>
      <c r="M64" s="378">
        <v>3581.32</v>
      </c>
      <c r="N64" s="103">
        <f t="shared" si="28"/>
        <v>0.24870277777777783</v>
      </c>
      <c r="O64" s="378">
        <v>169745.79</v>
      </c>
      <c r="P64" s="103">
        <f t="shared" si="29"/>
        <v>30.648545416666668</v>
      </c>
      <c r="Q64" s="378">
        <v>7512787.8899999997</v>
      </c>
      <c r="R64" s="380">
        <f t="shared" si="30"/>
        <v>1669.5084199999999</v>
      </c>
    </row>
    <row r="65" spans="2:18" x14ac:dyDescent="0.25">
      <c r="B65" s="377">
        <f t="shared" si="13"/>
        <v>45534</v>
      </c>
      <c r="C65" s="378">
        <v>74095.490000000005</v>
      </c>
      <c r="D65" s="103">
        <f t="shared" si="23"/>
        <v>15.436560416666667</v>
      </c>
      <c r="E65" s="382">
        <v>4533797.29</v>
      </c>
      <c r="F65" s="103">
        <f t="shared" si="24"/>
        <v>944.54110208333327</v>
      </c>
      <c r="G65" s="378">
        <v>144890.70000000001</v>
      </c>
      <c r="H65" s="103">
        <f t="shared" si="25"/>
        <v>18.111337500000001</v>
      </c>
      <c r="I65" s="382">
        <v>4173.43</v>
      </c>
      <c r="J65" s="103">
        <f t="shared" si="26"/>
        <v>0.52167874999999997</v>
      </c>
      <c r="K65" s="378">
        <v>22689.42</v>
      </c>
      <c r="L65" s="103">
        <f t="shared" si="27"/>
        <v>4.0967008333333332</v>
      </c>
      <c r="M65" s="378">
        <v>3581.32</v>
      </c>
      <c r="N65" s="103">
        <f t="shared" si="28"/>
        <v>0.24870277777777783</v>
      </c>
      <c r="O65" s="378">
        <v>169745.79</v>
      </c>
      <c r="P65" s="103">
        <f t="shared" si="29"/>
        <v>30.648545416666668</v>
      </c>
      <c r="Q65" s="378">
        <v>7512787.8899999997</v>
      </c>
      <c r="R65" s="380">
        <f t="shared" si="30"/>
        <v>1669.5084199999999</v>
      </c>
    </row>
    <row r="66" spans="2:18" x14ac:dyDescent="0.25">
      <c r="B66" s="377">
        <f t="shared" si="13"/>
        <v>45535</v>
      </c>
      <c r="C66" s="378">
        <v>74095.490000000005</v>
      </c>
      <c r="D66" s="103">
        <f t="shared" si="23"/>
        <v>15.436560416666667</v>
      </c>
      <c r="E66" s="382">
        <v>4533797.29</v>
      </c>
      <c r="F66" s="103">
        <f t="shared" si="24"/>
        <v>944.54110208333327</v>
      </c>
      <c r="G66" s="378">
        <v>144890.70000000001</v>
      </c>
      <c r="H66" s="103">
        <f t="shared" si="25"/>
        <v>18.111337500000001</v>
      </c>
      <c r="I66" s="382">
        <v>4173.43</v>
      </c>
      <c r="J66" s="103">
        <f t="shared" si="26"/>
        <v>0.52167874999999997</v>
      </c>
      <c r="K66" s="378">
        <v>22689.42</v>
      </c>
      <c r="L66" s="103">
        <f t="shared" si="27"/>
        <v>4.0967008333333332</v>
      </c>
      <c r="M66" s="378">
        <v>3581.32</v>
      </c>
      <c r="N66" s="103">
        <f t="shared" si="28"/>
        <v>0.24870277777777783</v>
      </c>
      <c r="O66" s="378">
        <v>169745.79</v>
      </c>
      <c r="P66" s="103">
        <f t="shared" si="29"/>
        <v>30.648545416666668</v>
      </c>
      <c r="Q66" s="378">
        <v>7512787.8899999997</v>
      </c>
      <c r="R66" s="380">
        <f t="shared" si="30"/>
        <v>1669.5084199999999</v>
      </c>
    </row>
    <row r="67" spans="2:18" x14ac:dyDescent="0.25">
      <c r="B67" s="377">
        <f t="shared" si="13"/>
        <v>45536</v>
      </c>
      <c r="C67" s="378">
        <v>74095.490000000005</v>
      </c>
      <c r="D67" s="103">
        <f t="shared" ref="D67:D129" si="31">(C67*7.5%)/360</f>
        <v>15.436560416666667</v>
      </c>
      <c r="E67" s="382">
        <v>2026292.07</v>
      </c>
      <c r="F67" s="103">
        <f t="shared" ref="F67:F129" si="32">(E67*7.5%)/360</f>
        <v>422.14418125000003</v>
      </c>
      <c r="G67" s="378">
        <v>144890.70000000001</v>
      </c>
      <c r="H67" s="103">
        <f t="shared" ref="H67:H73" si="33">(G67*4.5%)/360</f>
        <v>18.111337500000001</v>
      </c>
      <c r="I67" s="382">
        <v>4173.43</v>
      </c>
      <c r="J67" s="103">
        <f t="shared" ref="J67:J73" si="34">(I67*4.5%)/360</f>
        <v>0.52167874999999997</v>
      </c>
      <c r="K67" s="378">
        <v>22689.42</v>
      </c>
      <c r="L67" s="103">
        <f t="shared" ref="L67:L73" si="35">(K67*6.5%)/360</f>
        <v>4.0967008333333332</v>
      </c>
      <c r="M67" s="378">
        <v>3581.32</v>
      </c>
      <c r="N67" s="103">
        <f t="shared" ref="N67:N73" si="36">(M67*2.5%)/360</f>
        <v>0.24870277777777783</v>
      </c>
      <c r="O67" s="378">
        <v>169745.79</v>
      </c>
      <c r="P67" s="103">
        <f t="shared" ref="P67:P73" si="37">(O67*6.5%)/360</f>
        <v>30.648545416666668</v>
      </c>
      <c r="Q67" s="378">
        <v>7512787.8899999997</v>
      </c>
      <c r="R67" s="380">
        <f t="shared" ref="R67:R73" si="38">(Q67*8%)/360</f>
        <v>1669.5084199999999</v>
      </c>
    </row>
    <row r="68" spans="2:18" x14ac:dyDescent="0.25">
      <c r="B68" s="377">
        <f t="shared" si="13"/>
        <v>45537</v>
      </c>
      <c r="C68" s="378">
        <v>74095.490000000005</v>
      </c>
      <c r="D68" s="103">
        <f t="shared" si="31"/>
        <v>15.436560416666667</v>
      </c>
      <c r="E68" s="382">
        <v>1145668.72</v>
      </c>
      <c r="F68" s="103">
        <f t="shared" si="32"/>
        <v>238.68098333333333</v>
      </c>
      <c r="G68" s="378">
        <v>144890.70000000001</v>
      </c>
      <c r="H68" s="103">
        <f t="shared" si="33"/>
        <v>18.111337500000001</v>
      </c>
      <c r="I68" s="382">
        <v>4173.43</v>
      </c>
      <c r="J68" s="103">
        <f t="shared" si="34"/>
        <v>0.52167874999999997</v>
      </c>
      <c r="K68" s="378">
        <v>22689.42</v>
      </c>
      <c r="L68" s="103">
        <f t="shared" si="35"/>
        <v>4.0967008333333332</v>
      </c>
      <c r="M68" s="378">
        <v>3581.32</v>
      </c>
      <c r="N68" s="103">
        <f t="shared" si="36"/>
        <v>0.24870277777777783</v>
      </c>
      <c r="O68" s="378">
        <v>169745.79</v>
      </c>
      <c r="P68" s="103">
        <f t="shared" si="37"/>
        <v>30.648545416666668</v>
      </c>
      <c r="Q68" s="378">
        <v>7512787.8899999997</v>
      </c>
      <c r="R68" s="380">
        <f t="shared" si="38"/>
        <v>1669.5084199999999</v>
      </c>
    </row>
    <row r="69" spans="2:18" x14ac:dyDescent="0.25">
      <c r="B69" s="377">
        <f t="shared" si="13"/>
        <v>45538</v>
      </c>
      <c r="C69" s="378">
        <v>524085.49</v>
      </c>
      <c r="D69" s="103">
        <f t="shared" si="31"/>
        <v>109.18447708333333</v>
      </c>
      <c r="E69" s="382">
        <v>186160.78</v>
      </c>
      <c r="F69" s="103">
        <f t="shared" si="32"/>
        <v>38.783495833333333</v>
      </c>
      <c r="G69" s="378">
        <v>144890.70000000001</v>
      </c>
      <c r="H69" s="103">
        <f t="shared" si="33"/>
        <v>18.111337500000001</v>
      </c>
      <c r="I69" s="382">
        <v>4173.43</v>
      </c>
      <c r="J69" s="103">
        <f t="shared" si="34"/>
        <v>0.52167874999999997</v>
      </c>
      <c r="K69" s="378">
        <v>22689.42</v>
      </c>
      <c r="L69" s="103">
        <f t="shared" si="35"/>
        <v>4.0967008333333332</v>
      </c>
      <c r="M69" s="378">
        <v>3581.32</v>
      </c>
      <c r="N69" s="103">
        <f t="shared" si="36"/>
        <v>0.24870277777777783</v>
      </c>
      <c r="O69" s="378">
        <v>169745.79</v>
      </c>
      <c r="P69" s="103">
        <f t="shared" si="37"/>
        <v>30.648545416666668</v>
      </c>
      <c r="Q69" s="378">
        <v>7512787.8899999997</v>
      </c>
      <c r="R69" s="380">
        <f t="shared" si="38"/>
        <v>1669.5084199999999</v>
      </c>
    </row>
    <row r="70" spans="2:18" x14ac:dyDescent="0.25">
      <c r="B70" s="377">
        <f t="shared" si="13"/>
        <v>45539</v>
      </c>
      <c r="C70" s="378">
        <v>6085.49</v>
      </c>
      <c r="D70" s="103">
        <f t="shared" si="31"/>
        <v>1.2678104166666666</v>
      </c>
      <c r="E70" s="382">
        <v>61252.76</v>
      </c>
      <c r="F70" s="103">
        <f t="shared" si="32"/>
        <v>12.760991666666667</v>
      </c>
      <c r="G70" s="378">
        <v>144890.70000000001</v>
      </c>
      <c r="H70" s="103">
        <f t="shared" si="33"/>
        <v>18.111337500000001</v>
      </c>
      <c r="I70" s="382">
        <v>4173.43</v>
      </c>
      <c r="J70" s="103">
        <f t="shared" si="34"/>
        <v>0.52167874999999997</v>
      </c>
      <c r="K70" s="378">
        <v>22689.42</v>
      </c>
      <c r="L70" s="103">
        <f t="shared" si="35"/>
        <v>4.0967008333333332</v>
      </c>
      <c r="M70" s="378">
        <v>3581.32</v>
      </c>
      <c r="N70" s="103">
        <f t="shared" si="36"/>
        <v>0.24870277777777783</v>
      </c>
      <c r="O70" s="378">
        <v>169745.79</v>
      </c>
      <c r="P70" s="103">
        <f t="shared" si="37"/>
        <v>30.648545416666668</v>
      </c>
      <c r="Q70" s="378">
        <v>7512787.8899999997</v>
      </c>
      <c r="R70" s="380">
        <f t="shared" si="38"/>
        <v>1669.5084199999999</v>
      </c>
    </row>
    <row r="71" spans="2:18" x14ac:dyDescent="0.25">
      <c r="B71" s="377">
        <f t="shared" si="13"/>
        <v>45540</v>
      </c>
      <c r="C71" s="378">
        <v>6085.49</v>
      </c>
      <c r="D71" s="103">
        <f t="shared" si="31"/>
        <v>1.2678104166666666</v>
      </c>
      <c r="E71" s="382">
        <v>61252.76</v>
      </c>
      <c r="F71" s="103">
        <f t="shared" si="32"/>
        <v>12.760991666666667</v>
      </c>
      <c r="G71" s="378">
        <v>196890.7</v>
      </c>
      <c r="H71" s="103">
        <f t="shared" si="33"/>
        <v>24.611337500000001</v>
      </c>
      <c r="I71" s="382">
        <v>4173.43</v>
      </c>
      <c r="J71" s="103">
        <f t="shared" si="34"/>
        <v>0.52167874999999997</v>
      </c>
      <c r="K71" s="378">
        <v>22689.42</v>
      </c>
      <c r="L71" s="103">
        <f t="shared" si="35"/>
        <v>4.0967008333333332</v>
      </c>
      <c r="M71" s="378">
        <v>3581.32</v>
      </c>
      <c r="N71" s="103">
        <f t="shared" si="36"/>
        <v>0.24870277777777783</v>
      </c>
      <c r="O71" s="378">
        <v>169745.79</v>
      </c>
      <c r="P71" s="103">
        <f t="shared" si="37"/>
        <v>30.648545416666668</v>
      </c>
      <c r="Q71" s="378">
        <v>7512787.8899999997</v>
      </c>
      <c r="R71" s="380">
        <f t="shared" si="38"/>
        <v>1669.5084199999999</v>
      </c>
    </row>
    <row r="72" spans="2:18" x14ac:dyDescent="0.25">
      <c r="B72" s="377">
        <f t="shared" si="13"/>
        <v>45541</v>
      </c>
      <c r="C72" s="378">
        <v>6085.49</v>
      </c>
      <c r="D72" s="103">
        <f t="shared" si="31"/>
        <v>1.2678104166666666</v>
      </c>
      <c r="E72" s="382">
        <v>61252.76</v>
      </c>
      <c r="F72" s="103">
        <f t="shared" si="32"/>
        <v>12.760991666666667</v>
      </c>
      <c r="G72" s="378">
        <v>196890.7</v>
      </c>
      <c r="H72" s="103">
        <f t="shared" si="33"/>
        <v>24.611337500000001</v>
      </c>
      <c r="I72" s="382">
        <v>4173.43</v>
      </c>
      <c r="J72" s="103">
        <f t="shared" si="34"/>
        <v>0.52167874999999997</v>
      </c>
      <c r="K72" s="378">
        <v>22689.42</v>
      </c>
      <c r="L72" s="103">
        <f t="shared" si="35"/>
        <v>4.0967008333333332</v>
      </c>
      <c r="M72" s="378">
        <v>3581.32</v>
      </c>
      <c r="N72" s="103">
        <f t="shared" si="36"/>
        <v>0.24870277777777783</v>
      </c>
      <c r="O72" s="378">
        <v>169745.79</v>
      </c>
      <c r="P72" s="103">
        <f t="shared" si="37"/>
        <v>30.648545416666668</v>
      </c>
      <c r="Q72" s="378">
        <v>7512787.8899999997</v>
      </c>
      <c r="R72" s="380">
        <f t="shared" si="38"/>
        <v>1669.5084199999999</v>
      </c>
    </row>
    <row r="73" spans="2:18" x14ac:dyDescent="0.25">
      <c r="B73" s="377">
        <f t="shared" si="13"/>
        <v>45542</v>
      </c>
      <c r="C73" s="378">
        <v>6085.49</v>
      </c>
      <c r="D73" s="103">
        <f t="shared" si="31"/>
        <v>1.2678104166666666</v>
      </c>
      <c r="E73" s="382">
        <v>61252.76</v>
      </c>
      <c r="F73" s="103">
        <f t="shared" si="32"/>
        <v>12.760991666666667</v>
      </c>
      <c r="G73" s="378">
        <v>196890.7</v>
      </c>
      <c r="H73" s="103">
        <f t="shared" si="33"/>
        <v>24.611337500000001</v>
      </c>
      <c r="I73" s="382">
        <v>4173.43</v>
      </c>
      <c r="J73" s="103">
        <f t="shared" si="34"/>
        <v>0.52167874999999997</v>
      </c>
      <c r="K73" s="378">
        <v>22689.42</v>
      </c>
      <c r="L73" s="103">
        <f t="shared" si="35"/>
        <v>4.0967008333333332</v>
      </c>
      <c r="M73" s="378">
        <v>3581.32</v>
      </c>
      <c r="N73" s="103">
        <f t="shared" si="36"/>
        <v>0.24870277777777783</v>
      </c>
      <c r="O73" s="378">
        <v>169745.79</v>
      </c>
      <c r="P73" s="103">
        <f t="shared" si="37"/>
        <v>30.648545416666668</v>
      </c>
      <c r="Q73" s="378">
        <v>7512787.8899999997</v>
      </c>
      <c r="R73" s="380">
        <f t="shared" si="38"/>
        <v>1669.5084199999999</v>
      </c>
    </row>
    <row r="74" spans="2:18" x14ac:dyDescent="0.25">
      <c r="B74" s="377">
        <f t="shared" si="13"/>
        <v>45543</v>
      </c>
      <c r="C74" s="378">
        <v>6085.49</v>
      </c>
      <c r="D74" s="103">
        <f t="shared" si="31"/>
        <v>1.2678104166666666</v>
      </c>
      <c r="E74" s="382">
        <v>2058502.76</v>
      </c>
      <c r="F74" s="103">
        <f t="shared" si="32"/>
        <v>428.85474166666665</v>
      </c>
      <c r="G74" s="378">
        <v>196890.7</v>
      </c>
      <c r="H74" s="103">
        <f t="shared" ref="H74:H80" si="39">(G74*4.5%)/360</f>
        <v>24.611337500000001</v>
      </c>
      <c r="I74" s="382">
        <v>4173.43</v>
      </c>
      <c r="J74" s="103">
        <f t="shared" ref="J74:J80" si="40">(I74*4.5%)/360</f>
        <v>0.52167874999999997</v>
      </c>
      <c r="K74" s="378">
        <v>22689.42</v>
      </c>
      <c r="L74" s="103">
        <f t="shared" ref="L74:L80" si="41">(K74*6.5%)/360</f>
        <v>4.0967008333333332</v>
      </c>
      <c r="M74" s="378">
        <v>3581.32</v>
      </c>
      <c r="N74" s="103">
        <f t="shared" ref="N74:N80" si="42">(M74*2.5%)/360</f>
        <v>0.24870277777777783</v>
      </c>
      <c r="O74" s="378">
        <v>169745.79</v>
      </c>
      <c r="P74" s="103">
        <f t="shared" ref="P74:P80" si="43">(O74*6.5%)/360</f>
        <v>30.648545416666668</v>
      </c>
      <c r="Q74" s="378">
        <v>5512787.8899999997</v>
      </c>
      <c r="R74" s="380">
        <f t="shared" ref="R74:R80" si="44">(Q74*8%)/360</f>
        <v>1225.0639755555555</v>
      </c>
    </row>
    <row r="75" spans="2:18" x14ac:dyDescent="0.25">
      <c r="B75" s="377">
        <f t="shared" si="13"/>
        <v>45544</v>
      </c>
      <c r="C75" s="378">
        <v>6085.49</v>
      </c>
      <c r="D75" s="103">
        <f t="shared" si="31"/>
        <v>1.2678104166666666</v>
      </c>
      <c r="E75" s="382">
        <v>59821.78</v>
      </c>
      <c r="F75" s="103">
        <f t="shared" si="32"/>
        <v>12.462870833333334</v>
      </c>
      <c r="G75" s="378">
        <v>196890.7</v>
      </c>
      <c r="H75" s="103">
        <f t="shared" si="39"/>
        <v>24.611337500000001</v>
      </c>
      <c r="I75" s="382">
        <v>4173.43</v>
      </c>
      <c r="J75" s="103">
        <f t="shared" si="40"/>
        <v>0.52167874999999997</v>
      </c>
      <c r="K75" s="378">
        <v>22689.42</v>
      </c>
      <c r="L75" s="103">
        <f t="shared" si="41"/>
        <v>4.0967008333333332</v>
      </c>
      <c r="M75" s="378">
        <v>3581.32</v>
      </c>
      <c r="N75" s="103">
        <f t="shared" si="42"/>
        <v>0.24870277777777783</v>
      </c>
      <c r="O75" s="378">
        <v>169745.79</v>
      </c>
      <c r="P75" s="103">
        <f t="shared" si="43"/>
        <v>30.648545416666668</v>
      </c>
      <c r="Q75" s="378">
        <v>5512787.8899999997</v>
      </c>
      <c r="R75" s="380">
        <f t="shared" si="44"/>
        <v>1225.0639755555555</v>
      </c>
    </row>
    <row r="76" spans="2:18" x14ac:dyDescent="0.25">
      <c r="B76" s="377">
        <f t="shared" si="13"/>
        <v>45545</v>
      </c>
      <c r="C76" s="378">
        <v>6085.49</v>
      </c>
      <c r="D76" s="103">
        <f t="shared" si="31"/>
        <v>1.2678104166666666</v>
      </c>
      <c r="E76" s="382">
        <v>59821.78</v>
      </c>
      <c r="F76" s="103">
        <f t="shared" si="32"/>
        <v>12.462870833333334</v>
      </c>
      <c r="G76" s="378">
        <v>196890.7</v>
      </c>
      <c r="H76" s="103">
        <f t="shared" si="39"/>
        <v>24.611337500000001</v>
      </c>
      <c r="I76" s="382">
        <v>4173.43</v>
      </c>
      <c r="J76" s="103">
        <f t="shared" si="40"/>
        <v>0.52167874999999997</v>
      </c>
      <c r="K76" s="378">
        <v>22689.42</v>
      </c>
      <c r="L76" s="103">
        <f t="shared" si="41"/>
        <v>4.0967008333333332</v>
      </c>
      <c r="M76" s="378">
        <v>3581.32</v>
      </c>
      <c r="N76" s="103">
        <f t="shared" si="42"/>
        <v>0.24870277777777783</v>
      </c>
      <c r="O76" s="378">
        <v>169745.79</v>
      </c>
      <c r="P76" s="103">
        <f t="shared" si="43"/>
        <v>30.648545416666668</v>
      </c>
      <c r="Q76" s="378">
        <v>5512787.8899999997</v>
      </c>
      <c r="R76" s="380">
        <f t="shared" si="44"/>
        <v>1225.0639755555555</v>
      </c>
    </row>
    <row r="77" spans="2:18" x14ac:dyDescent="0.25">
      <c r="B77" s="377">
        <f t="shared" si="13"/>
        <v>45546</v>
      </c>
      <c r="C77" s="378">
        <v>6085.49</v>
      </c>
      <c r="D77" s="103">
        <f t="shared" si="31"/>
        <v>1.2678104166666666</v>
      </c>
      <c r="E77" s="382">
        <v>59821.78</v>
      </c>
      <c r="F77" s="103">
        <f t="shared" si="32"/>
        <v>12.462870833333334</v>
      </c>
      <c r="G77" s="378">
        <v>196890.7</v>
      </c>
      <c r="H77" s="103">
        <f t="shared" si="39"/>
        <v>24.611337500000001</v>
      </c>
      <c r="I77" s="382">
        <v>4173.43</v>
      </c>
      <c r="J77" s="103">
        <f t="shared" si="40"/>
        <v>0.52167874999999997</v>
      </c>
      <c r="K77" s="378">
        <v>22689.42</v>
      </c>
      <c r="L77" s="103">
        <f t="shared" si="41"/>
        <v>4.0967008333333332</v>
      </c>
      <c r="M77" s="378">
        <v>3581.32</v>
      </c>
      <c r="N77" s="103">
        <f t="shared" si="42"/>
        <v>0.24870277777777783</v>
      </c>
      <c r="O77" s="378">
        <v>169745.79</v>
      </c>
      <c r="P77" s="103">
        <f t="shared" si="43"/>
        <v>30.648545416666668</v>
      </c>
      <c r="Q77" s="378">
        <v>5512787.8899999997</v>
      </c>
      <c r="R77" s="380">
        <f t="shared" si="44"/>
        <v>1225.0639755555555</v>
      </c>
    </row>
    <row r="78" spans="2:18" x14ac:dyDescent="0.25">
      <c r="B78" s="377">
        <f t="shared" si="13"/>
        <v>45547</v>
      </c>
      <c r="C78" s="378">
        <v>6085.49</v>
      </c>
      <c r="D78" s="103">
        <f t="shared" si="31"/>
        <v>1.2678104166666666</v>
      </c>
      <c r="E78" s="382">
        <v>59821.78</v>
      </c>
      <c r="F78" s="103">
        <f t="shared" si="32"/>
        <v>12.462870833333334</v>
      </c>
      <c r="G78" s="378">
        <v>196890.7</v>
      </c>
      <c r="H78" s="103">
        <f t="shared" si="39"/>
        <v>24.611337500000001</v>
      </c>
      <c r="I78" s="382">
        <v>4173.43</v>
      </c>
      <c r="J78" s="103">
        <f t="shared" si="40"/>
        <v>0.52167874999999997</v>
      </c>
      <c r="K78" s="378">
        <v>22689.42</v>
      </c>
      <c r="L78" s="103">
        <f t="shared" si="41"/>
        <v>4.0967008333333332</v>
      </c>
      <c r="M78" s="378">
        <v>3581.32</v>
      </c>
      <c r="N78" s="103">
        <f t="shared" si="42"/>
        <v>0.24870277777777783</v>
      </c>
      <c r="O78" s="378">
        <v>169745.79</v>
      </c>
      <c r="P78" s="103">
        <f t="shared" si="43"/>
        <v>30.648545416666668</v>
      </c>
      <c r="Q78" s="378">
        <v>5512787.8899999997</v>
      </c>
      <c r="R78" s="380">
        <f t="shared" si="44"/>
        <v>1225.0639755555555</v>
      </c>
    </row>
    <row r="79" spans="2:18" x14ac:dyDescent="0.25">
      <c r="B79" s="377">
        <f t="shared" si="13"/>
        <v>45548</v>
      </c>
      <c r="C79" s="378">
        <v>6085.49</v>
      </c>
      <c r="D79" s="103">
        <f t="shared" si="31"/>
        <v>1.2678104166666666</v>
      </c>
      <c r="E79" s="382">
        <v>59821.78</v>
      </c>
      <c r="F79" s="103">
        <f t="shared" si="32"/>
        <v>12.462870833333334</v>
      </c>
      <c r="G79" s="378">
        <v>196890.7</v>
      </c>
      <c r="H79" s="103">
        <f t="shared" si="39"/>
        <v>24.611337500000001</v>
      </c>
      <c r="I79" s="382">
        <v>4173.43</v>
      </c>
      <c r="J79" s="103">
        <f t="shared" si="40"/>
        <v>0.52167874999999997</v>
      </c>
      <c r="K79" s="378">
        <v>22689.42</v>
      </c>
      <c r="L79" s="103">
        <f t="shared" si="41"/>
        <v>4.0967008333333332</v>
      </c>
      <c r="M79" s="378">
        <v>3581.32</v>
      </c>
      <c r="N79" s="103">
        <f t="shared" si="42"/>
        <v>0.24870277777777783</v>
      </c>
      <c r="O79" s="378">
        <v>169745.79</v>
      </c>
      <c r="P79" s="103">
        <f t="shared" si="43"/>
        <v>30.648545416666668</v>
      </c>
      <c r="Q79" s="378">
        <v>5512787.8899999997</v>
      </c>
      <c r="R79" s="380">
        <f t="shared" si="44"/>
        <v>1225.0639755555555</v>
      </c>
    </row>
    <row r="80" spans="2:18" x14ac:dyDescent="0.25">
      <c r="B80" s="377">
        <f t="shared" si="13"/>
        <v>45549</v>
      </c>
      <c r="C80" s="378">
        <v>6085.49</v>
      </c>
      <c r="D80" s="103">
        <f t="shared" si="31"/>
        <v>1.2678104166666666</v>
      </c>
      <c r="E80" s="382">
        <v>59821.78</v>
      </c>
      <c r="F80" s="103">
        <f t="shared" si="32"/>
        <v>12.462870833333334</v>
      </c>
      <c r="G80" s="378">
        <v>196890.7</v>
      </c>
      <c r="H80" s="103">
        <f t="shared" si="39"/>
        <v>24.611337500000001</v>
      </c>
      <c r="I80" s="382">
        <v>4173.43</v>
      </c>
      <c r="J80" s="103">
        <f t="shared" si="40"/>
        <v>0.52167874999999997</v>
      </c>
      <c r="K80" s="378">
        <v>22689.42</v>
      </c>
      <c r="L80" s="103">
        <f t="shared" si="41"/>
        <v>4.0967008333333332</v>
      </c>
      <c r="M80" s="378">
        <v>3581.32</v>
      </c>
      <c r="N80" s="103">
        <f t="shared" si="42"/>
        <v>0.24870277777777783</v>
      </c>
      <c r="O80" s="378">
        <v>169745.79</v>
      </c>
      <c r="P80" s="103">
        <f t="shared" si="43"/>
        <v>30.648545416666668</v>
      </c>
      <c r="Q80" s="378">
        <v>5512787.8899999997</v>
      </c>
      <c r="R80" s="380">
        <f t="shared" si="44"/>
        <v>1225.0639755555555</v>
      </c>
    </row>
    <row r="81" spans="2:18" x14ac:dyDescent="0.25">
      <c r="B81" s="377">
        <f t="shared" si="13"/>
        <v>45550</v>
      </c>
      <c r="C81" s="378">
        <v>6085.49</v>
      </c>
      <c r="D81" s="103">
        <f t="shared" si="31"/>
        <v>1.2678104166666666</v>
      </c>
      <c r="E81" s="382">
        <v>59821.78</v>
      </c>
      <c r="F81" s="103">
        <f t="shared" si="32"/>
        <v>12.462870833333334</v>
      </c>
      <c r="G81" s="378">
        <v>210890.7</v>
      </c>
      <c r="H81" s="103">
        <f t="shared" ref="H81:H101" si="45">(G81*4.5%)/360</f>
        <v>26.361337500000001</v>
      </c>
      <c r="I81" s="382">
        <v>4173.43</v>
      </c>
      <c r="J81" s="103">
        <f t="shared" ref="J81:J94" si="46">(I81*4.5%)/360</f>
        <v>0.52167874999999997</v>
      </c>
      <c r="K81" s="378">
        <v>22689.42</v>
      </c>
      <c r="L81" s="103">
        <f t="shared" ref="L81:L87" si="47">(K81*6.5%)/360</f>
        <v>4.0967008333333332</v>
      </c>
      <c r="M81" s="378">
        <v>3581.32</v>
      </c>
      <c r="N81" s="103">
        <f t="shared" ref="N81:N87" si="48">(M81*2.5%)/360</f>
        <v>0.24870277777777783</v>
      </c>
      <c r="O81" s="378">
        <v>169745.79</v>
      </c>
      <c r="P81" s="103">
        <f t="shared" ref="P81:P87" si="49">(O81*6.5%)/360</f>
        <v>30.648545416666668</v>
      </c>
      <c r="Q81" s="378">
        <v>5512787.8899999997</v>
      </c>
      <c r="R81" s="380">
        <f t="shared" ref="R81:R87" si="50">(Q81*8%)/360</f>
        <v>1225.0639755555555</v>
      </c>
    </row>
    <row r="82" spans="2:18" x14ac:dyDescent="0.25">
      <c r="B82" s="377">
        <f t="shared" si="13"/>
        <v>45551</v>
      </c>
      <c r="C82" s="378">
        <v>6085.49</v>
      </c>
      <c r="D82" s="103">
        <f t="shared" si="31"/>
        <v>1.2678104166666666</v>
      </c>
      <c r="E82" s="382">
        <v>59821.78</v>
      </c>
      <c r="F82" s="103">
        <f t="shared" si="32"/>
        <v>12.462870833333334</v>
      </c>
      <c r="G82" s="378">
        <v>210890.7</v>
      </c>
      <c r="H82" s="103">
        <f t="shared" si="45"/>
        <v>26.361337500000001</v>
      </c>
      <c r="I82" s="382">
        <v>4173.43</v>
      </c>
      <c r="J82" s="103">
        <f t="shared" si="46"/>
        <v>0.52167874999999997</v>
      </c>
      <c r="K82" s="378">
        <v>22689.42</v>
      </c>
      <c r="L82" s="103">
        <f t="shared" si="47"/>
        <v>4.0967008333333332</v>
      </c>
      <c r="M82" s="378">
        <v>3581.32</v>
      </c>
      <c r="N82" s="103">
        <f t="shared" si="48"/>
        <v>0.24870277777777783</v>
      </c>
      <c r="O82" s="378">
        <v>169745.79</v>
      </c>
      <c r="P82" s="103">
        <f t="shared" si="49"/>
        <v>30.648545416666668</v>
      </c>
      <c r="Q82" s="378">
        <v>5512787.8899999997</v>
      </c>
      <c r="R82" s="380">
        <f t="shared" si="50"/>
        <v>1225.0639755555555</v>
      </c>
    </row>
    <row r="83" spans="2:18" x14ac:dyDescent="0.25">
      <c r="B83" s="377">
        <f t="shared" si="13"/>
        <v>45552</v>
      </c>
      <c r="C83" s="378">
        <v>4006085.49</v>
      </c>
      <c r="D83" s="103">
        <f t="shared" si="31"/>
        <v>834.60114375000012</v>
      </c>
      <c r="E83" s="382">
        <v>5559821.7800000003</v>
      </c>
      <c r="F83" s="103">
        <f t="shared" si="32"/>
        <v>1158.2962041666667</v>
      </c>
      <c r="G83" s="378">
        <v>210890.7</v>
      </c>
      <c r="H83" s="103">
        <f t="shared" si="45"/>
        <v>26.361337500000001</v>
      </c>
      <c r="I83" s="382">
        <v>4173.43</v>
      </c>
      <c r="J83" s="103">
        <f t="shared" si="46"/>
        <v>0.52167874999999997</v>
      </c>
      <c r="K83" s="378">
        <v>22689.42</v>
      </c>
      <c r="L83" s="103">
        <f t="shared" si="47"/>
        <v>4.0967008333333332</v>
      </c>
      <c r="M83" s="378">
        <v>3581.32</v>
      </c>
      <c r="N83" s="103">
        <f t="shared" si="48"/>
        <v>0.24870277777777783</v>
      </c>
      <c r="O83" s="378">
        <v>169745.79</v>
      </c>
      <c r="P83" s="103">
        <f t="shared" si="49"/>
        <v>30.648545416666668</v>
      </c>
      <c r="Q83" s="378">
        <v>12787.89</v>
      </c>
      <c r="R83" s="380">
        <f t="shared" si="50"/>
        <v>2.8417533333333336</v>
      </c>
    </row>
    <row r="84" spans="2:18" x14ac:dyDescent="0.25">
      <c r="B84" s="377">
        <f t="shared" si="13"/>
        <v>45553</v>
      </c>
      <c r="C84" s="378">
        <v>6980.91</v>
      </c>
      <c r="D84" s="103">
        <f t="shared" si="31"/>
        <v>1.4543562499999998</v>
      </c>
      <c r="E84" s="382">
        <v>513877.75</v>
      </c>
      <c r="F84" s="103">
        <f t="shared" si="32"/>
        <v>107.05786458333333</v>
      </c>
      <c r="G84" s="378">
        <v>210890.7</v>
      </c>
      <c r="H84" s="103">
        <f t="shared" si="45"/>
        <v>26.361337500000001</v>
      </c>
      <c r="I84" s="382">
        <v>4173.43</v>
      </c>
      <c r="J84" s="103">
        <f t="shared" si="46"/>
        <v>0.52167874999999997</v>
      </c>
      <c r="K84" s="378">
        <v>22689.42</v>
      </c>
      <c r="L84" s="103">
        <f t="shared" si="47"/>
        <v>4.0967008333333332</v>
      </c>
      <c r="M84" s="378">
        <v>3581.32</v>
      </c>
      <c r="N84" s="103">
        <f t="shared" si="48"/>
        <v>0.24870277777777783</v>
      </c>
      <c r="O84" s="378">
        <v>169745.79</v>
      </c>
      <c r="P84" s="103">
        <f t="shared" si="49"/>
        <v>30.648545416666668</v>
      </c>
      <c r="Q84" s="378">
        <v>12787.89</v>
      </c>
      <c r="R84" s="380">
        <f t="shared" si="50"/>
        <v>2.8417533333333336</v>
      </c>
    </row>
    <row r="85" spans="2:18" x14ac:dyDescent="0.25">
      <c r="B85" s="377">
        <f t="shared" si="13"/>
        <v>45554</v>
      </c>
      <c r="C85" s="378">
        <v>35597.980000000003</v>
      </c>
      <c r="D85" s="103">
        <f t="shared" si="31"/>
        <v>7.4162458333333339</v>
      </c>
      <c r="E85" s="382">
        <v>413877.75</v>
      </c>
      <c r="F85" s="103">
        <f t="shared" si="32"/>
        <v>86.224531249999998</v>
      </c>
      <c r="G85" s="378">
        <v>210890.7</v>
      </c>
      <c r="H85" s="103">
        <f t="shared" si="45"/>
        <v>26.361337500000001</v>
      </c>
      <c r="I85" s="382">
        <v>4173.43</v>
      </c>
      <c r="J85" s="103">
        <f t="shared" si="46"/>
        <v>0.52167874999999997</v>
      </c>
      <c r="K85" s="378">
        <v>22689.42</v>
      </c>
      <c r="L85" s="103">
        <f t="shared" si="47"/>
        <v>4.0967008333333332</v>
      </c>
      <c r="M85" s="378">
        <v>3581.32</v>
      </c>
      <c r="N85" s="103">
        <f t="shared" si="48"/>
        <v>0.24870277777777783</v>
      </c>
      <c r="O85" s="378">
        <v>169745.79</v>
      </c>
      <c r="P85" s="103">
        <f t="shared" si="49"/>
        <v>30.648545416666668</v>
      </c>
      <c r="Q85" s="378">
        <v>12787.89</v>
      </c>
      <c r="R85" s="380">
        <f t="shared" si="50"/>
        <v>2.8417533333333336</v>
      </c>
    </row>
    <row r="86" spans="2:18" x14ac:dyDescent="0.25">
      <c r="B86" s="377">
        <f t="shared" si="13"/>
        <v>45555</v>
      </c>
      <c r="C86" s="378">
        <v>35597.980000000003</v>
      </c>
      <c r="D86" s="103">
        <f t="shared" si="31"/>
        <v>7.4162458333333339</v>
      </c>
      <c r="E86" s="382">
        <v>413877.75</v>
      </c>
      <c r="F86" s="103">
        <f t="shared" si="32"/>
        <v>86.224531249999998</v>
      </c>
      <c r="G86" s="378">
        <v>210890.7</v>
      </c>
      <c r="H86" s="103">
        <f t="shared" si="45"/>
        <v>26.361337500000001</v>
      </c>
      <c r="I86" s="382">
        <v>4173.43</v>
      </c>
      <c r="J86" s="103">
        <f t="shared" si="46"/>
        <v>0.52167874999999997</v>
      </c>
      <c r="K86" s="378">
        <v>22689.42</v>
      </c>
      <c r="L86" s="103">
        <f t="shared" si="47"/>
        <v>4.0967008333333332</v>
      </c>
      <c r="M86" s="378">
        <v>3581.32</v>
      </c>
      <c r="N86" s="103">
        <f t="shared" si="48"/>
        <v>0.24870277777777783</v>
      </c>
      <c r="O86" s="378">
        <v>169745.79</v>
      </c>
      <c r="P86" s="103">
        <f t="shared" si="49"/>
        <v>30.648545416666668</v>
      </c>
      <c r="Q86" s="378">
        <v>12787.89</v>
      </c>
      <c r="R86" s="380">
        <f t="shared" si="50"/>
        <v>2.8417533333333336</v>
      </c>
    </row>
    <row r="87" spans="2:18" x14ac:dyDescent="0.25">
      <c r="B87" s="377">
        <f t="shared" si="13"/>
        <v>45556</v>
      </c>
      <c r="C87" s="378">
        <v>35597.980000000003</v>
      </c>
      <c r="D87" s="103">
        <f t="shared" si="31"/>
        <v>7.4162458333333339</v>
      </c>
      <c r="E87" s="382">
        <v>413877.75</v>
      </c>
      <c r="F87" s="103">
        <f t="shared" si="32"/>
        <v>86.224531249999998</v>
      </c>
      <c r="G87" s="378">
        <v>210890.7</v>
      </c>
      <c r="H87" s="103">
        <f t="shared" si="45"/>
        <v>26.361337500000001</v>
      </c>
      <c r="I87" s="382">
        <v>4173.43</v>
      </c>
      <c r="J87" s="103">
        <f t="shared" si="46"/>
        <v>0.52167874999999997</v>
      </c>
      <c r="K87" s="378">
        <v>22689.42</v>
      </c>
      <c r="L87" s="103">
        <f t="shared" si="47"/>
        <v>4.0967008333333332</v>
      </c>
      <c r="M87" s="378">
        <v>3581.32</v>
      </c>
      <c r="N87" s="103">
        <f t="shared" si="48"/>
        <v>0.24870277777777783</v>
      </c>
      <c r="O87" s="378">
        <v>169745.79</v>
      </c>
      <c r="P87" s="103">
        <f t="shared" si="49"/>
        <v>30.648545416666668</v>
      </c>
      <c r="Q87" s="378">
        <v>12787.89</v>
      </c>
      <c r="R87" s="380">
        <f t="shared" si="50"/>
        <v>2.8417533333333336</v>
      </c>
    </row>
    <row r="88" spans="2:18" x14ac:dyDescent="0.25">
      <c r="B88" s="377">
        <f t="shared" si="13"/>
        <v>45557</v>
      </c>
      <c r="C88" s="378">
        <v>35539.980000000003</v>
      </c>
      <c r="D88" s="103">
        <f t="shared" si="31"/>
        <v>7.4041625</v>
      </c>
      <c r="E88" s="382">
        <v>113877.75</v>
      </c>
      <c r="F88" s="103">
        <f t="shared" si="32"/>
        <v>23.724531249999998</v>
      </c>
      <c r="G88" s="378">
        <v>10890.7</v>
      </c>
      <c r="H88" s="103">
        <f t="shared" si="45"/>
        <v>1.3613375000000001</v>
      </c>
      <c r="I88" s="382">
        <v>204173.43</v>
      </c>
      <c r="J88" s="103">
        <f t="shared" si="46"/>
        <v>25.521678749999996</v>
      </c>
      <c r="K88" s="378">
        <v>22689.42</v>
      </c>
      <c r="L88" s="103">
        <f t="shared" ref="L88:L94" si="51">(K88*6.5%)/360</f>
        <v>4.0967008333333332</v>
      </c>
      <c r="M88" s="378">
        <v>3581.32</v>
      </c>
      <c r="N88" s="103">
        <f t="shared" ref="N88:N94" si="52">(M88*2.5%)/360</f>
        <v>0.24870277777777783</v>
      </c>
      <c r="O88" s="378">
        <v>169745.79</v>
      </c>
      <c r="P88" s="103">
        <f t="shared" ref="P88:P94" si="53">(O88*6.5%)/360</f>
        <v>30.648545416666668</v>
      </c>
      <c r="Q88" s="378">
        <v>12787.89</v>
      </c>
      <c r="R88" s="380">
        <f t="shared" ref="R88:R101" si="54">(Q88*8%)/360</f>
        <v>2.8417533333333336</v>
      </c>
    </row>
    <row r="89" spans="2:18" x14ac:dyDescent="0.25">
      <c r="B89" s="377">
        <f t="shared" si="13"/>
        <v>45558</v>
      </c>
      <c r="C89" s="378">
        <v>135539.98000000001</v>
      </c>
      <c r="D89" s="103">
        <f t="shared" si="31"/>
        <v>28.237495833333334</v>
      </c>
      <c r="E89" s="382">
        <v>164252.75</v>
      </c>
      <c r="F89" s="103">
        <f t="shared" si="32"/>
        <v>34.219322916666663</v>
      </c>
      <c r="G89" s="378">
        <v>10890.7</v>
      </c>
      <c r="H89" s="103">
        <f t="shared" si="45"/>
        <v>1.3613375000000001</v>
      </c>
      <c r="I89" s="382">
        <v>154158.66</v>
      </c>
      <c r="J89" s="103">
        <f t="shared" si="46"/>
        <v>19.2698325</v>
      </c>
      <c r="K89" s="378">
        <v>22689.42</v>
      </c>
      <c r="L89" s="103">
        <f t="shared" si="51"/>
        <v>4.0967008333333332</v>
      </c>
      <c r="M89" s="378">
        <v>3581.32</v>
      </c>
      <c r="N89" s="103">
        <f t="shared" si="52"/>
        <v>0.24870277777777783</v>
      </c>
      <c r="O89" s="378">
        <v>169745.79</v>
      </c>
      <c r="P89" s="103">
        <f t="shared" si="53"/>
        <v>30.648545416666668</v>
      </c>
      <c r="Q89" s="378">
        <v>12787.89</v>
      </c>
      <c r="R89" s="380">
        <f t="shared" si="54"/>
        <v>2.8417533333333336</v>
      </c>
    </row>
    <row r="90" spans="2:18" x14ac:dyDescent="0.25">
      <c r="B90" s="377">
        <f t="shared" si="13"/>
        <v>45559</v>
      </c>
      <c r="C90" s="378">
        <v>135539.98000000001</v>
      </c>
      <c r="D90" s="103">
        <f t="shared" si="31"/>
        <v>28.237495833333334</v>
      </c>
      <c r="E90" s="382">
        <v>164252.75</v>
      </c>
      <c r="F90" s="103">
        <f t="shared" si="32"/>
        <v>34.219322916666663</v>
      </c>
      <c r="G90" s="378">
        <v>10890.7</v>
      </c>
      <c r="H90" s="103">
        <f t="shared" si="45"/>
        <v>1.3613375000000001</v>
      </c>
      <c r="I90" s="382">
        <v>154158.66</v>
      </c>
      <c r="J90" s="103">
        <f t="shared" si="46"/>
        <v>19.2698325</v>
      </c>
      <c r="K90" s="378">
        <v>22689.42</v>
      </c>
      <c r="L90" s="103">
        <f t="shared" si="51"/>
        <v>4.0967008333333332</v>
      </c>
      <c r="M90" s="378">
        <v>3581.32</v>
      </c>
      <c r="N90" s="103">
        <f t="shared" si="52"/>
        <v>0.24870277777777783</v>
      </c>
      <c r="O90" s="378">
        <v>169745.79</v>
      </c>
      <c r="P90" s="103">
        <f t="shared" si="53"/>
        <v>30.648545416666668</v>
      </c>
      <c r="Q90" s="378">
        <v>12787.89</v>
      </c>
      <c r="R90" s="380">
        <f t="shared" si="54"/>
        <v>2.8417533333333336</v>
      </c>
    </row>
    <row r="91" spans="2:18" x14ac:dyDescent="0.25">
      <c r="B91" s="377">
        <f t="shared" si="13"/>
        <v>45560</v>
      </c>
      <c r="C91" s="378">
        <v>135539.98000000001</v>
      </c>
      <c r="D91" s="103">
        <f t="shared" si="31"/>
        <v>28.237495833333334</v>
      </c>
      <c r="E91" s="382">
        <v>158752.75</v>
      </c>
      <c r="F91" s="103">
        <f t="shared" si="32"/>
        <v>33.073489583333334</v>
      </c>
      <c r="G91" s="378">
        <v>10890.7</v>
      </c>
      <c r="H91" s="103">
        <f t="shared" si="45"/>
        <v>1.3613375000000001</v>
      </c>
      <c r="I91" s="382">
        <v>154158.66</v>
      </c>
      <c r="J91" s="103">
        <f t="shared" si="46"/>
        <v>19.2698325</v>
      </c>
      <c r="K91" s="378">
        <v>22689.42</v>
      </c>
      <c r="L91" s="103">
        <f t="shared" si="51"/>
        <v>4.0967008333333332</v>
      </c>
      <c r="M91" s="378">
        <v>3581.32</v>
      </c>
      <c r="N91" s="103">
        <f t="shared" si="52"/>
        <v>0.24870277777777783</v>
      </c>
      <c r="O91" s="378">
        <v>169745.79</v>
      </c>
      <c r="P91" s="103">
        <f t="shared" si="53"/>
        <v>30.648545416666668</v>
      </c>
      <c r="Q91" s="378">
        <v>12787.89</v>
      </c>
      <c r="R91" s="380">
        <f t="shared" si="54"/>
        <v>2.8417533333333336</v>
      </c>
    </row>
    <row r="92" spans="2:18" x14ac:dyDescent="0.25">
      <c r="B92" s="377">
        <f t="shared" si="13"/>
        <v>45561</v>
      </c>
      <c r="C92" s="378">
        <v>135539.98000000001</v>
      </c>
      <c r="D92" s="103">
        <f t="shared" si="31"/>
        <v>28.237495833333334</v>
      </c>
      <c r="E92" s="382">
        <v>158752.75</v>
      </c>
      <c r="F92" s="103">
        <f t="shared" si="32"/>
        <v>33.073489583333334</v>
      </c>
      <c r="G92" s="378">
        <v>111890.7</v>
      </c>
      <c r="H92" s="103">
        <f t="shared" si="45"/>
        <v>13.986337499999998</v>
      </c>
      <c r="I92" s="382">
        <v>154158.66</v>
      </c>
      <c r="J92" s="103">
        <f t="shared" si="46"/>
        <v>19.2698325</v>
      </c>
      <c r="K92" s="378">
        <v>22689.42</v>
      </c>
      <c r="L92" s="103">
        <f t="shared" si="51"/>
        <v>4.0967008333333332</v>
      </c>
      <c r="M92" s="378">
        <v>3581.32</v>
      </c>
      <c r="N92" s="103">
        <f t="shared" si="52"/>
        <v>0.24870277777777783</v>
      </c>
      <c r="O92" s="378">
        <v>169745.79</v>
      </c>
      <c r="P92" s="103">
        <f t="shared" si="53"/>
        <v>30.648545416666668</v>
      </c>
      <c r="Q92" s="378">
        <v>12787.89</v>
      </c>
      <c r="R92" s="380">
        <f t="shared" si="54"/>
        <v>2.8417533333333336</v>
      </c>
    </row>
    <row r="93" spans="2:18" x14ac:dyDescent="0.25">
      <c r="B93" s="377">
        <f t="shared" si="13"/>
        <v>45562</v>
      </c>
      <c r="C93" s="378">
        <v>135539.98000000001</v>
      </c>
      <c r="D93" s="103">
        <f t="shared" si="31"/>
        <v>28.237495833333334</v>
      </c>
      <c r="E93" s="382">
        <v>158752.75</v>
      </c>
      <c r="F93" s="103">
        <f t="shared" si="32"/>
        <v>33.073489583333334</v>
      </c>
      <c r="G93" s="378">
        <v>111890.7</v>
      </c>
      <c r="H93" s="103">
        <f t="shared" si="45"/>
        <v>13.986337499999998</v>
      </c>
      <c r="I93" s="382">
        <v>154158.66</v>
      </c>
      <c r="J93" s="103">
        <f t="shared" si="46"/>
        <v>19.2698325</v>
      </c>
      <c r="K93" s="378">
        <v>22689.42</v>
      </c>
      <c r="L93" s="103">
        <f t="shared" si="51"/>
        <v>4.0967008333333332</v>
      </c>
      <c r="M93" s="378">
        <v>3581.32</v>
      </c>
      <c r="N93" s="103">
        <f t="shared" si="52"/>
        <v>0.24870277777777783</v>
      </c>
      <c r="O93" s="378">
        <v>169745.79</v>
      </c>
      <c r="P93" s="103">
        <f t="shared" si="53"/>
        <v>30.648545416666668</v>
      </c>
      <c r="Q93" s="378">
        <v>12787.89</v>
      </c>
      <c r="R93" s="380">
        <f t="shared" si="54"/>
        <v>2.8417533333333336</v>
      </c>
    </row>
    <row r="94" spans="2:18" x14ac:dyDescent="0.25">
      <c r="B94" s="377">
        <f t="shared" si="13"/>
        <v>45563</v>
      </c>
      <c r="C94" s="378">
        <v>135539.98000000001</v>
      </c>
      <c r="D94" s="103">
        <f t="shared" si="31"/>
        <v>28.237495833333334</v>
      </c>
      <c r="E94" s="382">
        <v>158752.75</v>
      </c>
      <c r="F94" s="103">
        <f t="shared" si="32"/>
        <v>33.073489583333334</v>
      </c>
      <c r="G94" s="378">
        <v>111890.7</v>
      </c>
      <c r="H94" s="103">
        <f t="shared" si="45"/>
        <v>13.986337499999998</v>
      </c>
      <c r="I94" s="382">
        <v>154158.66</v>
      </c>
      <c r="J94" s="103">
        <f t="shared" si="46"/>
        <v>19.2698325</v>
      </c>
      <c r="K94" s="378">
        <v>22689.42</v>
      </c>
      <c r="L94" s="103">
        <f t="shared" si="51"/>
        <v>4.0967008333333332</v>
      </c>
      <c r="M94" s="378">
        <v>3581.32</v>
      </c>
      <c r="N94" s="103">
        <f t="shared" si="52"/>
        <v>0.24870277777777783</v>
      </c>
      <c r="O94" s="378">
        <v>169745.79</v>
      </c>
      <c r="P94" s="103">
        <f t="shared" si="53"/>
        <v>30.648545416666668</v>
      </c>
      <c r="Q94" s="378">
        <v>12787.89</v>
      </c>
      <c r="R94" s="380">
        <f t="shared" si="54"/>
        <v>2.8417533333333336</v>
      </c>
    </row>
    <row r="95" spans="2:18" x14ac:dyDescent="0.25">
      <c r="B95" s="377">
        <f t="shared" si="13"/>
        <v>45564</v>
      </c>
      <c r="C95" s="378">
        <v>155539.98000000001</v>
      </c>
      <c r="D95" s="103">
        <f t="shared" si="31"/>
        <v>32.404162499999998</v>
      </c>
      <c r="E95" s="382">
        <v>1551241.75</v>
      </c>
      <c r="F95" s="103">
        <f t="shared" si="32"/>
        <v>323.17536458333331</v>
      </c>
      <c r="G95" s="378">
        <v>111890.7</v>
      </c>
      <c r="H95" s="103">
        <f t="shared" si="45"/>
        <v>13.986337499999998</v>
      </c>
      <c r="I95" s="382">
        <v>154158.66</v>
      </c>
      <c r="J95" s="103">
        <f t="shared" ref="J95:J101" si="55">(I95*4.5%)/360</f>
        <v>19.2698325</v>
      </c>
      <c r="K95" s="378">
        <v>22689.42</v>
      </c>
      <c r="L95" s="103">
        <f t="shared" ref="L95:L101" si="56">(K95*6.5%)/360</f>
        <v>4.0967008333333332</v>
      </c>
      <c r="M95" s="378">
        <v>3581.32</v>
      </c>
      <c r="N95" s="103">
        <f t="shared" ref="N95:N101" si="57">(M95*2.5%)/360</f>
        <v>0.24870277777777783</v>
      </c>
      <c r="O95" s="378">
        <v>169745.79</v>
      </c>
      <c r="P95" s="103">
        <f t="shared" ref="P95:P101" si="58">(O95*6.5%)/360</f>
        <v>30.648545416666668</v>
      </c>
      <c r="Q95" s="378">
        <v>12787.89</v>
      </c>
      <c r="R95" s="380">
        <f t="shared" si="54"/>
        <v>2.8417533333333336</v>
      </c>
    </row>
    <row r="96" spans="2:18" x14ac:dyDescent="0.25">
      <c r="B96" s="377">
        <f t="shared" si="13"/>
        <v>45565</v>
      </c>
      <c r="C96" s="378">
        <v>155539.98000000001</v>
      </c>
      <c r="D96" s="103">
        <f t="shared" si="31"/>
        <v>32.404162499999998</v>
      </c>
      <c r="E96" s="382">
        <v>5413534.7699999996</v>
      </c>
      <c r="F96" s="103">
        <f t="shared" si="32"/>
        <v>1127.8197437499998</v>
      </c>
      <c r="G96" s="378">
        <v>111890.7</v>
      </c>
      <c r="H96" s="103">
        <f t="shared" si="45"/>
        <v>13.986337499999998</v>
      </c>
      <c r="I96" s="382">
        <v>154158.66</v>
      </c>
      <c r="J96" s="103">
        <f t="shared" si="55"/>
        <v>19.2698325</v>
      </c>
      <c r="K96" s="378">
        <v>22689.42</v>
      </c>
      <c r="L96" s="103">
        <f t="shared" si="56"/>
        <v>4.0967008333333332</v>
      </c>
      <c r="M96" s="378">
        <v>3581.32</v>
      </c>
      <c r="N96" s="103">
        <f t="shared" si="57"/>
        <v>0.24870277777777783</v>
      </c>
      <c r="O96" s="378">
        <v>169745.79</v>
      </c>
      <c r="P96" s="103">
        <f t="shared" si="58"/>
        <v>30.648545416666668</v>
      </c>
      <c r="Q96" s="378">
        <v>312779.89</v>
      </c>
      <c r="R96" s="380">
        <f t="shared" si="54"/>
        <v>69.506642222222226</v>
      </c>
    </row>
    <row r="97" spans="2:18" x14ac:dyDescent="0.25">
      <c r="B97" s="377">
        <f t="shared" si="13"/>
        <v>45566</v>
      </c>
      <c r="C97" s="378">
        <v>155539.98000000001</v>
      </c>
      <c r="D97" s="103">
        <f t="shared" si="31"/>
        <v>32.404162499999998</v>
      </c>
      <c r="E97" s="382">
        <v>5413534.7699999996</v>
      </c>
      <c r="F97" s="103">
        <f t="shared" si="32"/>
        <v>1127.8197437499998</v>
      </c>
      <c r="G97" s="378">
        <v>111890.7</v>
      </c>
      <c r="H97" s="103">
        <f t="shared" si="45"/>
        <v>13.986337499999998</v>
      </c>
      <c r="I97" s="382">
        <v>154158.66</v>
      </c>
      <c r="J97" s="103">
        <f t="shared" si="55"/>
        <v>19.2698325</v>
      </c>
      <c r="K97" s="378">
        <v>22689.42</v>
      </c>
      <c r="L97" s="103">
        <f t="shared" si="56"/>
        <v>4.0967008333333332</v>
      </c>
      <c r="M97" s="378">
        <v>3581.32</v>
      </c>
      <c r="N97" s="103">
        <f t="shared" si="57"/>
        <v>0.24870277777777783</v>
      </c>
      <c r="O97" s="378">
        <v>169745.79</v>
      </c>
      <c r="P97" s="103">
        <f t="shared" si="58"/>
        <v>30.648545416666668</v>
      </c>
      <c r="Q97" s="378">
        <v>312779.89</v>
      </c>
      <c r="R97" s="380">
        <f t="shared" si="54"/>
        <v>69.506642222222226</v>
      </c>
    </row>
    <row r="98" spans="2:18" x14ac:dyDescent="0.25">
      <c r="B98" s="377">
        <f t="shared" si="13"/>
        <v>45567</v>
      </c>
      <c r="C98" s="378">
        <v>155539.98000000001</v>
      </c>
      <c r="D98" s="103">
        <f t="shared" si="31"/>
        <v>32.404162499999998</v>
      </c>
      <c r="E98" s="382">
        <v>5413534.7699999996</v>
      </c>
      <c r="F98" s="103">
        <f t="shared" si="32"/>
        <v>1127.8197437499998</v>
      </c>
      <c r="G98" s="378">
        <v>111890.7</v>
      </c>
      <c r="H98" s="103">
        <f t="shared" si="45"/>
        <v>13.986337499999998</v>
      </c>
      <c r="I98" s="382">
        <v>154158.66</v>
      </c>
      <c r="J98" s="103">
        <f t="shared" si="55"/>
        <v>19.2698325</v>
      </c>
      <c r="K98" s="378">
        <v>22689.42</v>
      </c>
      <c r="L98" s="103">
        <f t="shared" si="56"/>
        <v>4.0967008333333332</v>
      </c>
      <c r="M98" s="378">
        <v>3581.32</v>
      </c>
      <c r="N98" s="103">
        <f t="shared" si="57"/>
        <v>0.24870277777777783</v>
      </c>
      <c r="O98" s="378">
        <v>169745.79</v>
      </c>
      <c r="P98" s="103">
        <f t="shared" si="58"/>
        <v>30.648545416666668</v>
      </c>
      <c r="Q98" s="378">
        <v>312779.89</v>
      </c>
      <c r="R98" s="380">
        <f t="shared" si="54"/>
        <v>69.506642222222226</v>
      </c>
    </row>
    <row r="99" spans="2:18" x14ac:dyDescent="0.25">
      <c r="B99" s="377">
        <f t="shared" si="13"/>
        <v>45568</v>
      </c>
      <c r="C99" s="378">
        <v>133743.98000000001</v>
      </c>
      <c r="D99" s="103">
        <f t="shared" si="31"/>
        <v>27.86332916666667</v>
      </c>
      <c r="E99" s="382">
        <v>18262596.609999999</v>
      </c>
      <c r="F99" s="103">
        <f t="shared" si="32"/>
        <v>3804.7076270833331</v>
      </c>
      <c r="G99" s="378">
        <v>111890.7</v>
      </c>
      <c r="H99" s="103">
        <f t="shared" si="45"/>
        <v>13.986337499999998</v>
      </c>
      <c r="I99" s="382">
        <v>154158.66</v>
      </c>
      <c r="J99" s="103">
        <f t="shared" si="55"/>
        <v>19.2698325</v>
      </c>
      <c r="K99" s="378">
        <v>22689.42</v>
      </c>
      <c r="L99" s="103">
        <f t="shared" si="56"/>
        <v>4.0967008333333332</v>
      </c>
      <c r="M99" s="378">
        <v>3581.32</v>
      </c>
      <c r="N99" s="103">
        <f t="shared" si="57"/>
        <v>0.24870277777777783</v>
      </c>
      <c r="O99" s="378">
        <v>169745.79</v>
      </c>
      <c r="P99" s="103">
        <f t="shared" si="58"/>
        <v>30.648545416666668</v>
      </c>
      <c r="Q99" s="378">
        <v>312779.89</v>
      </c>
      <c r="R99" s="380">
        <f t="shared" si="54"/>
        <v>69.506642222222226</v>
      </c>
    </row>
    <row r="100" spans="2:18" x14ac:dyDescent="0.25">
      <c r="B100" s="377">
        <f t="shared" si="13"/>
        <v>45569</v>
      </c>
      <c r="C100" s="378">
        <v>133743.98000000001</v>
      </c>
      <c r="D100" s="103">
        <f t="shared" si="31"/>
        <v>27.86332916666667</v>
      </c>
      <c r="E100" s="382">
        <v>18262596.609999999</v>
      </c>
      <c r="F100" s="103">
        <f t="shared" si="32"/>
        <v>3804.7076270833331</v>
      </c>
      <c r="G100" s="378">
        <v>111890.7</v>
      </c>
      <c r="H100" s="103">
        <f t="shared" si="45"/>
        <v>13.986337499999998</v>
      </c>
      <c r="I100" s="382">
        <v>154158.66</v>
      </c>
      <c r="J100" s="103">
        <f t="shared" si="55"/>
        <v>19.2698325</v>
      </c>
      <c r="K100" s="378">
        <v>22689.42</v>
      </c>
      <c r="L100" s="103">
        <f t="shared" si="56"/>
        <v>4.0967008333333332</v>
      </c>
      <c r="M100" s="378">
        <v>3581.32</v>
      </c>
      <c r="N100" s="103">
        <f t="shared" si="57"/>
        <v>0.24870277777777783</v>
      </c>
      <c r="O100" s="378">
        <v>169745.79</v>
      </c>
      <c r="P100" s="103">
        <f t="shared" si="58"/>
        <v>30.648545416666668</v>
      </c>
      <c r="Q100" s="378">
        <v>312779.89</v>
      </c>
      <c r="R100" s="380">
        <f t="shared" si="54"/>
        <v>69.506642222222226</v>
      </c>
    </row>
    <row r="101" spans="2:18" x14ac:dyDescent="0.25">
      <c r="B101" s="377">
        <f t="shared" si="13"/>
        <v>45570</v>
      </c>
      <c r="C101" s="378">
        <v>133743.98000000001</v>
      </c>
      <c r="D101" s="103">
        <f t="shared" si="31"/>
        <v>27.86332916666667</v>
      </c>
      <c r="E101" s="382">
        <v>18262596.609999999</v>
      </c>
      <c r="F101" s="103">
        <f t="shared" si="32"/>
        <v>3804.7076270833331</v>
      </c>
      <c r="G101" s="378">
        <v>111890.7</v>
      </c>
      <c r="H101" s="103">
        <f t="shared" si="45"/>
        <v>13.986337499999998</v>
      </c>
      <c r="I101" s="382">
        <v>154158.66</v>
      </c>
      <c r="J101" s="103">
        <f t="shared" si="55"/>
        <v>19.2698325</v>
      </c>
      <c r="K101" s="378">
        <v>22689.42</v>
      </c>
      <c r="L101" s="103">
        <f t="shared" si="56"/>
        <v>4.0967008333333332</v>
      </c>
      <c r="M101" s="378">
        <v>3581.32</v>
      </c>
      <c r="N101" s="103">
        <f t="shared" si="57"/>
        <v>0.24870277777777783</v>
      </c>
      <c r="O101" s="378">
        <v>169745.79</v>
      </c>
      <c r="P101" s="103">
        <f t="shared" si="58"/>
        <v>30.648545416666668</v>
      </c>
      <c r="Q101" s="378">
        <v>312779.89</v>
      </c>
      <c r="R101" s="380">
        <f t="shared" si="54"/>
        <v>69.506642222222226</v>
      </c>
    </row>
    <row r="102" spans="2:18" x14ac:dyDescent="0.25">
      <c r="B102" s="377">
        <f t="shared" si="13"/>
        <v>45571</v>
      </c>
      <c r="C102" s="378">
        <v>133743.98000000001</v>
      </c>
      <c r="D102" s="103">
        <f t="shared" si="31"/>
        <v>27.86332916666667</v>
      </c>
      <c r="E102" s="382">
        <v>17278012.219999999</v>
      </c>
      <c r="F102" s="103">
        <f t="shared" si="32"/>
        <v>3599.585879166666</v>
      </c>
      <c r="G102" s="378">
        <v>163890.70000000001</v>
      </c>
      <c r="H102" s="103">
        <f t="shared" ref="H102:H108" si="59">(G102*4.5%)/360</f>
        <v>20.486337500000001</v>
      </c>
      <c r="I102" s="382">
        <v>154158.66</v>
      </c>
      <c r="J102" s="103">
        <f t="shared" ref="J102:J108" si="60">(I102*4.5%)/360</f>
        <v>19.2698325</v>
      </c>
      <c r="K102" s="378">
        <v>22689.42</v>
      </c>
      <c r="L102" s="103">
        <f t="shared" ref="L102:L108" si="61">(K102*6.5%)/360</f>
        <v>4.0967008333333332</v>
      </c>
      <c r="M102" s="378">
        <v>3581.32</v>
      </c>
      <c r="N102" s="103">
        <f t="shared" ref="N102:N108" si="62">(M102*2.5%)/360</f>
        <v>0.24870277777777783</v>
      </c>
      <c r="O102" s="378">
        <v>169745.79</v>
      </c>
      <c r="P102" s="103">
        <f t="shared" ref="P102:P108" si="63">(O102*6.5%)/360</f>
        <v>30.648545416666668</v>
      </c>
      <c r="Q102" s="378">
        <v>312779.89</v>
      </c>
      <c r="R102" s="380">
        <f t="shared" ref="R102:R108" si="64">(Q102*8%)/360</f>
        <v>69.506642222222226</v>
      </c>
    </row>
    <row r="103" spans="2:18" x14ac:dyDescent="0.25">
      <c r="B103" s="377">
        <f t="shared" si="13"/>
        <v>45572</v>
      </c>
      <c r="C103" s="378">
        <v>133743.98000000001</v>
      </c>
      <c r="D103" s="103">
        <f t="shared" si="31"/>
        <v>27.86332916666667</v>
      </c>
      <c r="E103" s="382">
        <v>16813513.34</v>
      </c>
      <c r="F103" s="103">
        <f t="shared" si="32"/>
        <v>3502.8152791666662</v>
      </c>
      <c r="G103" s="378">
        <v>163890.70000000001</v>
      </c>
      <c r="H103" s="103">
        <f t="shared" si="59"/>
        <v>20.486337500000001</v>
      </c>
      <c r="I103" s="382">
        <v>154158.66</v>
      </c>
      <c r="J103" s="103">
        <f t="shared" si="60"/>
        <v>19.2698325</v>
      </c>
      <c r="K103" s="378">
        <v>22689.42</v>
      </c>
      <c r="L103" s="103">
        <f t="shared" si="61"/>
        <v>4.0967008333333332</v>
      </c>
      <c r="M103" s="378">
        <v>3581.32</v>
      </c>
      <c r="N103" s="103">
        <f t="shared" si="62"/>
        <v>0.24870277777777783</v>
      </c>
      <c r="O103" s="378">
        <v>169745.79</v>
      </c>
      <c r="P103" s="103">
        <f t="shared" si="63"/>
        <v>30.648545416666668</v>
      </c>
      <c r="Q103" s="378">
        <v>312779.89</v>
      </c>
      <c r="R103" s="380">
        <f t="shared" si="64"/>
        <v>69.506642222222226</v>
      </c>
    </row>
    <row r="104" spans="2:18" x14ac:dyDescent="0.25">
      <c r="B104" s="377">
        <f t="shared" ref="B104:B165" si="65">B103+1</f>
        <v>45573</v>
      </c>
      <c r="C104" s="378">
        <v>13743.98</v>
      </c>
      <c r="D104" s="103">
        <f t="shared" si="31"/>
        <v>2.8633291666666665</v>
      </c>
      <c r="E104" s="382">
        <v>15971404.84</v>
      </c>
      <c r="F104" s="103">
        <f t="shared" si="32"/>
        <v>3327.3760083333332</v>
      </c>
      <c r="G104" s="378">
        <v>163890.70000000001</v>
      </c>
      <c r="H104" s="103">
        <f t="shared" si="59"/>
        <v>20.486337500000001</v>
      </c>
      <c r="I104" s="382">
        <v>154158.66</v>
      </c>
      <c r="J104" s="103">
        <f t="shared" si="60"/>
        <v>19.2698325</v>
      </c>
      <c r="K104" s="378">
        <v>22689.42</v>
      </c>
      <c r="L104" s="103">
        <f t="shared" si="61"/>
        <v>4.0967008333333332</v>
      </c>
      <c r="M104" s="378">
        <v>3581.32</v>
      </c>
      <c r="N104" s="103">
        <f t="shared" si="62"/>
        <v>0.24870277777777783</v>
      </c>
      <c r="O104" s="378">
        <v>169745.79</v>
      </c>
      <c r="P104" s="103">
        <f t="shared" si="63"/>
        <v>30.648545416666668</v>
      </c>
      <c r="Q104" s="378">
        <v>312779.89</v>
      </c>
      <c r="R104" s="380">
        <f t="shared" si="64"/>
        <v>69.506642222222226</v>
      </c>
    </row>
    <row r="105" spans="2:18" x14ac:dyDescent="0.25">
      <c r="B105" s="377">
        <f t="shared" si="65"/>
        <v>45574</v>
      </c>
      <c r="C105" s="378">
        <v>13743.98</v>
      </c>
      <c r="D105" s="103">
        <f t="shared" si="31"/>
        <v>2.8633291666666665</v>
      </c>
      <c r="E105" s="382">
        <v>8465922.3399999999</v>
      </c>
      <c r="F105" s="103">
        <f t="shared" si="32"/>
        <v>1763.7338208333333</v>
      </c>
      <c r="G105" s="378">
        <v>163890.70000000001</v>
      </c>
      <c r="H105" s="103">
        <f t="shared" si="59"/>
        <v>20.486337500000001</v>
      </c>
      <c r="I105" s="382">
        <v>154158.66</v>
      </c>
      <c r="J105" s="103">
        <f t="shared" si="60"/>
        <v>19.2698325</v>
      </c>
      <c r="K105" s="378">
        <v>22689.42</v>
      </c>
      <c r="L105" s="103">
        <f t="shared" si="61"/>
        <v>4.0967008333333332</v>
      </c>
      <c r="M105" s="378">
        <v>3581.32</v>
      </c>
      <c r="N105" s="103">
        <f t="shared" si="62"/>
        <v>0.24870277777777783</v>
      </c>
      <c r="O105" s="378">
        <v>169745.79</v>
      </c>
      <c r="P105" s="103">
        <f t="shared" si="63"/>
        <v>30.648545416666668</v>
      </c>
      <c r="Q105" s="378">
        <v>312779.89</v>
      </c>
      <c r="R105" s="380">
        <f t="shared" si="64"/>
        <v>69.506642222222226</v>
      </c>
    </row>
    <row r="106" spans="2:18" x14ac:dyDescent="0.25">
      <c r="B106" s="377">
        <f t="shared" si="65"/>
        <v>45575</v>
      </c>
      <c r="C106" s="378">
        <v>13743.98</v>
      </c>
      <c r="D106" s="103">
        <f t="shared" si="31"/>
        <v>2.8633291666666665</v>
      </c>
      <c r="E106" s="382">
        <v>8465922.3399999999</v>
      </c>
      <c r="F106" s="103">
        <f t="shared" si="32"/>
        <v>1763.7338208333333</v>
      </c>
      <c r="G106" s="378">
        <v>163890.70000000001</v>
      </c>
      <c r="H106" s="103">
        <f t="shared" si="59"/>
        <v>20.486337500000001</v>
      </c>
      <c r="I106" s="382">
        <v>154158.66</v>
      </c>
      <c r="J106" s="103">
        <f t="shared" si="60"/>
        <v>19.2698325</v>
      </c>
      <c r="K106" s="378">
        <v>22689.42</v>
      </c>
      <c r="L106" s="103">
        <f t="shared" si="61"/>
        <v>4.0967008333333332</v>
      </c>
      <c r="M106" s="378">
        <v>3581.32</v>
      </c>
      <c r="N106" s="103">
        <f t="shared" si="62"/>
        <v>0.24870277777777783</v>
      </c>
      <c r="O106" s="378">
        <v>169745.79</v>
      </c>
      <c r="P106" s="103">
        <f t="shared" si="63"/>
        <v>30.648545416666668</v>
      </c>
      <c r="Q106" s="378">
        <v>312779.89</v>
      </c>
      <c r="R106" s="380">
        <f t="shared" si="64"/>
        <v>69.506642222222226</v>
      </c>
    </row>
    <row r="107" spans="2:18" x14ac:dyDescent="0.25">
      <c r="B107" s="377">
        <f t="shared" si="65"/>
        <v>45576</v>
      </c>
      <c r="C107" s="378">
        <v>13743.98</v>
      </c>
      <c r="D107" s="103">
        <f t="shared" si="31"/>
        <v>2.8633291666666665</v>
      </c>
      <c r="E107" s="382">
        <v>8465922.3399999999</v>
      </c>
      <c r="F107" s="103">
        <f t="shared" si="32"/>
        <v>1763.7338208333333</v>
      </c>
      <c r="G107" s="378">
        <v>163890.70000000001</v>
      </c>
      <c r="H107" s="103">
        <f t="shared" si="59"/>
        <v>20.486337500000001</v>
      </c>
      <c r="I107" s="382">
        <v>154158.66</v>
      </c>
      <c r="J107" s="103">
        <f t="shared" si="60"/>
        <v>19.2698325</v>
      </c>
      <c r="K107" s="378">
        <v>22689.42</v>
      </c>
      <c r="L107" s="103">
        <f t="shared" si="61"/>
        <v>4.0967008333333332</v>
      </c>
      <c r="M107" s="378">
        <v>3581.32</v>
      </c>
      <c r="N107" s="103">
        <f t="shared" si="62"/>
        <v>0.24870277777777783</v>
      </c>
      <c r="O107" s="378">
        <v>169745.79</v>
      </c>
      <c r="P107" s="103">
        <f t="shared" si="63"/>
        <v>30.648545416666668</v>
      </c>
      <c r="Q107" s="378">
        <v>312779.89</v>
      </c>
      <c r="R107" s="380">
        <f t="shared" si="64"/>
        <v>69.506642222222226</v>
      </c>
    </row>
    <row r="108" spans="2:18" x14ac:dyDescent="0.25">
      <c r="B108" s="377">
        <f t="shared" si="65"/>
        <v>45577</v>
      </c>
      <c r="C108" s="378">
        <v>13743.98</v>
      </c>
      <c r="D108" s="103">
        <f t="shared" si="31"/>
        <v>2.8633291666666665</v>
      </c>
      <c r="E108" s="382">
        <v>8465922.3399999999</v>
      </c>
      <c r="F108" s="103">
        <f t="shared" si="32"/>
        <v>1763.7338208333333</v>
      </c>
      <c r="G108" s="378">
        <v>163890.70000000001</v>
      </c>
      <c r="H108" s="103">
        <f t="shared" si="59"/>
        <v>20.486337500000001</v>
      </c>
      <c r="I108" s="382">
        <v>154158.66</v>
      </c>
      <c r="J108" s="103">
        <f t="shared" si="60"/>
        <v>19.2698325</v>
      </c>
      <c r="K108" s="378">
        <v>22689.42</v>
      </c>
      <c r="L108" s="103">
        <f t="shared" si="61"/>
        <v>4.0967008333333332</v>
      </c>
      <c r="M108" s="378">
        <v>3581.32</v>
      </c>
      <c r="N108" s="103">
        <f t="shared" si="62"/>
        <v>0.24870277777777783</v>
      </c>
      <c r="O108" s="378">
        <v>169745.79</v>
      </c>
      <c r="P108" s="103">
        <f t="shared" si="63"/>
        <v>30.648545416666668</v>
      </c>
      <c r="Q108" s="378">
        <v>312779.89</v>
      </c>
      <c r="R108" s="380">
        <f t="shared" si="64"/>
        <v>69.506642222222226</v>
      </c>
    </row>
    <row r="109" spans="2:18" x14ac:dyDescent="0.25">
      <c r="B109" s="377">
        <f t="shared" si="65"/>
        <v>45578</v>
      </c>
      <c r="C109" s="378">
        <v>13743.98</v>
      </c>
      <c r="D109" s="103">
        <f t="shared" si="31"/>
        <v>2.8633291666666665</v>
      </c>
      <c r="E109" s="382">
        <v>8465922.3399999999</v>
      </c>
      <c r="F109" s="103">
        <f t="shared" si="32"/>
        <v>1763.7338208333333</v>
      </c>
      <c r="G109" s="378">
        <v>163890.70000000001</v>
      </c>
      <c r="H109" s="103">
        <f t="shared" ref="H109:H114" si="66">(G109*4.5%)/360</f>
        <v>20.486337500000001</v>
      </c>
      <c r="I109" s="382">
        <v>154158.66</v>
      </c>
      <c r="J109" s="103">
        <f t="shared" ref="J109:J114" si="67">(I109*4.5%)/360</f>
        <v>19.2698325</v>
      </c>
      <c r="K109" s="378">
        <v>22689.42</v>
      </c>
      <c r="L109" s="103">
        <f t="shared" ref="L109:L114" si="68">(K109*6.5%)/360</f>
        <v>4.0967008333333332</v>
      </c>
      <c r="M109" s="378">
        <v>3581.32</v>
      </c>
      <c r="N109" s="103">
        <f t="shared" ref="N109:N114" si="69">(M109*2.5%)/360</f>
        <v>0.24870277777777783</v>
      </c>
      <c r="O109" s="378">
        <v>169745.79</v>
      </c>
      <c r="P109" s="103">
        <f t="shared" ref="P109:P114" si="70">(O109*6.5%)/360</f>
        <v>30.648545416666668</v>
      </c>
      <c r="Q109" s="378">
        <v>312779.89</v>
      </c>
      <c r="R109" s="380">
        <f t="shared" ref="R109:R114" si="71">(Q109*8%)/360</f>
        <v>69.506642222222226</v>
      </c>
    </row>
    <row r="110" spans="2:18" x14ac:dyDescent="0.25">
      <c r="B110" s="377">
        <f t="shared" si="65"/>
        <v>45579</v>
      </c>
      <c r="C110" s="378">
        <v>13743.98</v>
      </c>
      <c r="D110" s="103">
        <f t="shared" si="31"/>
        <v>2.8633291666666665</v>
      </c>
      <c r="E110" s="382">
        <v>6519112.9800000004</v>
      </c>
      <c r="F110" s="103">
        <f t="shared" si="32"/>
        <v>1358.1485375</v>
      </c>
      <c r="G110" s="378">
        <v>163890.70000000001</v>
      </c>
      <c r="H110" s="103">
        <f t="shared" si="66"/>
        <v>20.486337500000001</v>
      </c>
      <c r="I110" s="382">
        <v>154158.66</v>
      </c>
      <c r="J110" s="103">
        <f t="shared" si="67"/>
        <v>19.2698325</v>
      </c>
      <c r="K110" s="378">
        <v>22689.42</v>
      </c>
      <c r="L110" s="103">
        <f t="shared" si="68"/>
        <v>4.0967008333333332</v>
      </c>
      <c r="M110" s="378">
        <v>3581.32</v>
      </c>
      <c r="N110" s="103">
        <f t="shared" si="69"/>
        <v>0.24870277777777783</v>
      </c>
      <c r="O110" s="378">
        <v>169745.79</v>
      </c>
      <c r="P110" s="103">
        <f t="shared" si="70"/>
        <v>30.648545416666668</v>
      </c>
      <c r="Q110" s="378">
        <v>312779.89</v>
      </c>
      <c r="R110" s="380">
        <f t="shared" si="71"/>
        <v>69.506642222222226</v>
      </c>
    </row>
    <row r="111" spans="2:18" x14ac:dyDescent="0.25">
      <c r="B111" s="377">
        <f t="shared" si="65"/>
        <v>45580</v>
      </c>
      <c r="C111" s="378">
        <v>1005396.01</v>
      </c>
      <c r="D111" s="103">
        <f t="shared" si="31"/>
        <v>209.45750208333334</v>
      </c>
      <c r="E111" s="382">
        <v>4349700.6900000004</v>
      </c>
      <c r="F111" s="103">
        <f t="shared" si="32"/>
        <v>906.18764375000012</v>
      </c>
      <c r="G111" s="378">
        <v>175890.7</v>
      </c>
      <c r="H111" s="103">
        <f t="shared" si="66"/>
        <v>21.986337500000001</v>
      </c>
      <c r="I111" s="382">
        <v>154158.66</v>
      </c>
      <c r="J111" s="103">
        <f t="shared" si="67"/>
        <v>19.2698325</v>
      </c>
      <c r="K111" s="378">
        <v>22689.42</v>
      </c>
      <c r="L111" s="103">
        <f t="shared" si="68"/>
        <v>4.0967008333333332</v>
      </c>
      <c r="M111" s="378">
        <v>3581.32</v>
      </c>
      <c r="N111" s="103">
        <f t="shared" si="69"/>
        <v>0.24870277777777783</v>
      </c>
      <c r="O111" s="378">
        <v>169745.79</v>
      </c>
      <c r="P111" s="103">
        <f t="shared" si="70"/>
        <v>30.648545416666668</v>
      </c>
      <c r="Q111" s="378">
        <v>312779.89</v>
      </c>
      <c r="R111" s="380">
        <f t="shared" si="71"/>
        <v>69.506642222222226</v>
      </c>
    </row>
    <row r="112" spans="2:18" x14ac:dyDescent="0.25">
      <c r="B112" s="377">
        <f t="shared" si="65"/>
        <v>45581</v>
      </c>
      <c r="C112" s="378">
        <v>1005396.01</v>
      </c>
      <c r="D112" s="103">
        <f t="shared" si="31"/>
        <v>209.45750208333334</v>
      </c>
      <c r="E112" s="382">
        <v>4349700.6900000004</v>
      </c>
      <c r="F112" s="103">
        <f t="shared" si="32"/>
        <v>906.18764375000012</v>
      </c>
      <c r="G112" s="378">
        <v>175890.7</v>
      </c>
      <c r="H112" s="103">
        <f t="shared" si="66"/>
        <v>21.986337500000001</v>
      </c>
      <c r="I112" s="382">
        <v>154158.66</v>
      </c>
      <c r="J112" s="103">
        <f t="shared" si="67"/>
        <v>19.2698325</v>
      </c>
      <c r="K112" s="378">
        <v>22689.42</v>
      </c>
      <c r="L112" s="103">
        <f t="shared" si="68"/>
        <v>4.0967008333333332</v>
      </c>
      <c r="M112" s="378">
        <v>3581.32</v>
      </c>
      <c r="N112" s="103">
        <f t="shared" si="69"/>
        <v>0.24870277777777783</v>
      </c>
      <c r="O112" s="378">
        <v>169745.79</v>
      </c>
      <c r="P112" s="103">
        <f t="shared" si="70"/>
        <v>30.648545416666668</v>
      </c>
      <c r="Q112" s="378">
        <v>312779.89</v>
      </c>
      <c r="R112" s="380">
        <f t="shared" si="71"/>
        <v>69.506642222222226</v>
      </c>
    </row>
    <row r="113" spans="2:18" x14ac:dyDescent="0.25">
      <c r="B113" s="377">
        <f t="shared" si="65"/>
        <v>45582</v>
      </c>
      <c r="C113" s="378">
        <v>1005396.01</v>
      </c>
      <c r="D113" s="103">
        <f t="shared" si="31"/>
        <v>209.45750208333334</v>
      </c>
      <c r="E113" s="382">
        <v>4349700.6900000004</v>
      </c>
      <c r="F113" s="103">
        <f t="shared" si="32"/>
        <v>906.18764375000012</v>
      </c>
      <c r="G113" s="378">
        <v>175890.7</v>
      </c>
      <c r="H113" s="103">
        <f t="shared" si="66"/>
        <v>21.986337500000001</v>
      </c>
      <c r="I113" s="382">
        <v>154158.66</v>
      </c>
      <c r="J113" s="103">
        <f t="shared" si="67"/>
        <v>19.2698325</v>
      </c>
      <c r="K113" s="378">
        <v>22689.42</v>
      </c>
      <c r="L113" s="103">
        <f t="shared" si="68"/>
        <v>4.0967008333333332</v>
      </c>
      <c r="M113" s="378">
        <v>3581.32</v>
      </c>
      <c r="N113" s="103">
        <f t="shared" si="69"/>
        <v>0.24870277777777783</v>
      </c>
      <c r="O113" s="378">
        <v>169745.79</v>
      </c>
      <c r="P113" s="103">
        <f t="shared" si="70"/>
        <v>30.648545416666668</v>
      </c>
      <c r="Q113" s="378">
        <v>312779.89</v>
      </c>
      <c r="R113" s="380">
        <f t="shared" si="71"/>
        <v>69.506642222222226</v>
      </c>
    </row>
    <row r="114" spans="2:18" x14ac:dyDescent="0.25">
      <c r="B114" s="377">
        <f t="shared" si="65"/>
        <v>45583</v>
      </c>
      <c r="C114" s="378">
        <v>1005396.01</v>
      </c>
      <c r="D114" s="103">
        <f t="shared" si="31"/>
        <v>209.45750208333334</v>
      </c>
      <c r="E114" s="382">
        <v>4349700.6900000004</v>
      </c>
      <c r="F114" s="103">
        <f t="shared" si="32"/>
        <v>906.18764375000012</v>
      </c>
      <c r="G114" s="378">
        <v>175890.7</v>
      </c>
      <c r="H114" s="103">
        <f t="shared" si="66"/>
        <v>21.986337500000001</v>
      </c>
      <c r="I114" s="382">
        <v>154158.66</v>
      </c>
      <c r="J114" s="103">
        <f t="shared" si="67"/>
        <v>19.2698325</v>
      </c>
      <c r="K114" s="378">
        <v>22689.42</v>
      </c>
      <c r="L114" s="103">
        <f t="shared" si="68"/>
        <v>4.0967008333333332</v>
      </c>
      <c r="M114" s="378">
        <v>3581.32</v>
      </c>
      <c r="N114" s="103">
        <f t="shared" si="69"/>
        <v>0.24870277777777783</v>
      </c>
      <c r="O114" s="378">
        <v>169745.79</v>
      </c>
      <c r="P114" s="103">
        <f t="shared" si="70"/>
        <v>30.648545416666668</v>
      </c>
      <c r="Q114" s="378">
        <v>312779.89</v>
      </c>
      <c r="R114" s="380">
        <f t="shared" si="71"/>
        <v>69.506642222222226</v>
      </c>
    </row>
    <row r="115" spans="2:18" x14ac:dyDescent="0.25">
      <c r="B115" s="377">
        <f t="shared" si="65"/>
        <v>45584</v>
      </c>
      <c r="C115" s="378">
        <v>1005396.01</v>
      </c>
      <c r="D115" s="103">
        <f t="shared" si="31"/>
        <v>209.45750208333334</v>
      </c>
      <c r="E115" s="382">
        <v>4349700.6900000004</v>
      </c>
      <c r="F115" s="103">
        <f t="shared" si="32"/>
        <v>906.18764375000012</v>
      </c>
      <c r="G115" s="378">
        <v>175890.7</v>
      </c>
      <c r="H115" s="103">
        <f>(G115*4.5%)/360</f>
        <v>21.986337500000001</v>
      </c>
      <c r="I115" s="382">
        <v>154158.66</v>
      </c>
      <c r="J115" s="103">
        <f>(I115*4.5%)/360</f>
        <v>19.2698325</v>
      </c>
      <c r="K115" s="378">
        <v>22689.42</v>
      </c>
      <c r="L115" s="103">
        <f>(K115*6.5%)/360</f>
        <v>4.0967008333333332</v>
      </c>
      <c r="M115" s="378">
        <v>3581.32</v>
      </c>
      <c r="N115" s="103">
        <f>(M115*2.5%)/360</f>
        <v>0.24870277777777783</v>
      </c>
      <c r="O115" s="378">
        <v>169745.79</v>
      </c>
      <c r="P115" s="103">
        <f>(O115*6.5%)/360</f>
        <v>30.648545416666668</v>
      </c>
      <c r="Q115" s="378">
        <v>312779.89</v>
      </c>
      <c r="R115" s="380">
        <f>(Q115*8%)/360</f>
        <v>69.506642222222226</v>
      </c>
    </row>
    <row r="116" spans="2:18" x14ac:dyDescent="0.25">
      <c r="B116" s="377">
        <f t="shared" si="65"/>
        <v>45585</v>
      </c>
      <c r="C116" s="378">
        <v>1005396.01</v>
      </c>
      <c r="D116" s="103">
        <f t="shared" si="31"/>
        <v>209.45750208333334</v>
      </c>
      <c r="E116" s="382">
        <v>4349700.6900000004</v>
      </c>
      <c r="F116" s="103">
        <f t="shared" si="32"/>
        <v>906.18764375000012</v>
      </c>
      <c r="G116" s="378">
        <v>175890.7</v>
      </c>
      <c r="H116" s="103">
        <f t="shared" ref="H116:H122" si="72">(G116*4.5%)/360</f>
        <v>21.986337500000001</v>
      </c>
      <c r="I116" s="382">
        <v>154158.66</v>
      </c>
      <c r="J116" s="103">
        <f t="shared" ref="J116:J122" si="73">(I116*4.5%)/360</f>
        <v>19.2698325</v>
      </c>
      <c r="K116" s="378">
        <v>22689.42</v>
      </c>
      <c r="L116" s="103">
        <f t="shared" ref="L116:L122" si="74">(K116*6.5%)/360</f>
        <v>4.0967008333333332</v>
      </c>
      <c r="M116" s="378">
        <v>3581.32</v>
      </c>
      <c r="N116" s="103">
        <f t="shared" ref="N116:N122" si="75">(M116*2.5%)/360</f>
        <v>0.24870277777777783</v>
      </c>
      <c r="O116" s="378">
        <v>169745.79</v>
      </c>
      <c r="P116" s="103">
        <f t="shared" ref="P116:P122" si="76">(O116*6.5%)/360</f>
        <v>30.648545416666668</v>
      </c>
      <c r="Q116" s="378">
        <v>312779.89</v>
      </c>
      <c r="R116" s="380">
        <f t="shared" ref="R116:R122" si="77">(Q116*8%)/360</f>
        <v>69.506642222222226</v>
      </c>
    </row>
    <row r="117" spans="2:18" x14ac:dyDescent="0.25">
      <c r="B117" s="377">
        <f t="shared" si="65"/>
        <v>45586</v>
      </c>
      <c r="C117" s="378">
        <v>1005396.01</v>
      </c>
      <c r="D117" s="103">
        <f t="shared" si="31"/>
        <v>209.45750208333334</v>
      </c>
      <c r="E117" s="382">
        <v>4349700.6900000004</v>
      </c>
      <c r="F117" s="103">
        <f t="shared" si="32"/>
        <v>906.18764375000012</v>
      </c>
      <c r="G117" s="378">
        <v>175890.7</v>
      </c>
      <c r="H117" s="103">
        <f t="shared" si="72"/>
        <v>21.986337500000001</v>
      </c>
      <c r="I117" s="382">
        <v>154158.66</v>
      </c>
      <c r="J117" s="103">
        <f t="shared" si="73"/>
        <v>19.2698325</v>
      </c>
      <c r="K117" s="378">
        <v>22689.42</v>
      </c>
      <c r="L117" s="103">
        <f t="shared" si="74"/>
        <v>4.0967008333333332</v>
      </c>
      <c r="M117" s="378">
        <v>3581.32</v>
      </c>
      <c r="N117" s="103">
        <f t="shared" si="75"/>
        <v>0.24870277777777783</v>
      </c>
      <c r="O117" s="378">
        <v>169745.79</v>
      </c>
      <c r="P117" s="103">
        <f t="shared" si="76"/>
        <v>30.648545416666668</v>
      </c>
      <c r="Q117" s="378">
        <v>312779.89</v>
      </c>
      <c r="R117" s="380">
        <f t="shared" si="77"/>
        <v>69.506642222222226</v>
      </c>
    </row>
    <row r="118" spans="2:18" x14ac:dyDescent="0.25">
      <c r="B118" s="377">
        <f t="shared" si="65"/>
        <v>45587</v>
      </c>
      <c r="C118" s="378">
        <v>1005396.01</v>
      </c>
      <c r="D118" s="103">
        <f t="shared" si="31"/>
        <v>209.45750208333334</v>
      </c>
      <c r="E118" s="382">
        <v>5089819.87</v>
      </c>
      <c r="F118" s="103">
        <f t="shared" si="32"/>
        <v>1060.3791395833332</v>
      </c>
      <c r="G118" s="378">
        <v>175890.7</v>
      </c>
      <c r="H118" s="103">
        <f t="shared" si="72"/>
        <v>21.986337500000001</v>
      </c>
      <c r="I118" s="382">
        <v>154158.66</v>
      </c>
      <c r="J118" s="103">
        <f t="shared" si="73"/>
        <v>19.2698325</v>
      </c>
      <c r="K118" s="378">
        <v>22689.42</v>
      </c>
      <c r="L118" s="103">
        <f t="shared" si="74"/>
        <v>4.0967008333333332</v>
      </c>
      <c r="M118" s="378">
        <v>3581.32</v>
      </c>
      <c r="N118" s="103">
        <f t="shared" si="75"/>
        <v>0.24870277777777783</v>
      </c>
      <c r="O118" s="378">
        <v>169745.79</v>
      </c>
      <c r="P118" s="103">
        <f t="shared" si="76"/>
        <v>30.648545416666668</v>
      </c>
      <c r="Q118" s="378">
        <v>312779.89</v>
      </c>
      <c r="R118" s="380">
        <f t="shared" si="77"/>
        <v>69.506642222222226</v>
      </c>
    </row>
    <row r="119" spans="2:18" x14ac:dyDescent="0.25">
      <c r="B119" s="377">
        <f t="shared" si="65"/>
        <v>45588</v>
      </c>
      <c r="C119" s="378">
        <v>1005396.01</v>
      </c>
      <c r="D119" s="103">
        <f t="shared" si="31"/>
        <v>209.45750208333334</v>
      </c>
      <c r="E119" s="382">
        <v>4480312.3499999996</v>
      </c>
      <c r="F119" s="103">
        <f t="shared" si="32"/>
        <v>933.39840624999988</v>
      </c>
      <c r="G119" s="378">
        <v>175890.7</v>
      </c>
      <c r="H119" s="103">
        <f t="shared" si="72"/>
        <v>21.986337500000001</v>
      </c>
      <c r="I119" s="382">
        <v>154158.66</v>
      </c>
      <c r="J119" s="103">
        <f t="shared" si="73"/>
        <v>19.2698325</v>
      </c>
      <c r="K119" s="378">
        <v>22689.42</v>
      </c>
      <c r="L119" s="103">
        <f t="shared" si="74"/>
        <v>4.0967008333333332</v>
      </c>
      <c r="M119" s="378">
        <v>3581.32</v>
      </c>
      <c r="N119" s="103">
        <f t="shared" si="75"/>
        <v>0.24870277777777783</v>
      </c>
      <c r="O119" s="378">
        <v>169745.79</v>
      </c>
      <c r="P119" s="103">
        <f t="shared" si="76"/>
        <v>30.648545416666668</v>
      </c>
      <c r="Q119" s="378">
        <v>312779.89</v>
      </c>
      <c r="R119" s="380">
        <f t="shared" si="77"/>
        <v>69.506642222222226</v>
      </c>
    </row>
    <row r="120" spans="2:18" x14ac:dyDescent="0.25">
      <c r="B120" s="377">
        <f t="shared" si="65"/>
        <v>45589</v>
      </c>
      <c r="C120" s="378">
        <v>1005396.01</v>
      </c>
      <c r="D120" s="103">
        <f t="shared" si="31"/>
        <v>209.45750208333334</v>
      </c>
      <c r="E120" s="382">
        <v>3876712.35</v>
      </c>
      <c r="F120" s="103">
        <f t="shared" si="32"/>
        <v>807.64840625000011</v>
      </c>
      <c r="G120" s="378">
        <v>175890.7</v>
      </c>
      <c r="H120" s="103">
        <f t="shared" si="72"/>
        <v>21.986337500000001</v>
      </c>
      <c r="I120" s="382">
        <v>154158.66</v>
      </c>
      <c r="J120" s="103">
        <f t="shared" si="73"/>
        <v>19.2698325</v>
      </c>
      <c r="K120" s="378">
        <v>22689.42</v>
      </c>
      <c r="L120" s="103">
        <f t="shared" si="74"/>
        <v>4.0967008333333332</v>
      </c>
      <c r="M120" s="378">
        <v>3581.32</v>
      </c>
      <c r="N120" s="103">
        <f t="shared" si="75"/>
        <v>0.24870277777777783</v>
      </c>
      <c r="O120" s="378">
        <v>169745.79</v>
      </c>
      <c r="P120" s="103">
        <f t="shared" si="76"/>
        <v>30.648545416666668</v>
      </c>
      <c r="Q120" s="378">
        <v>312779.89</v>
      </c>
      <c r="R120" s="380">
        <f t="shared" si="77"/>
        <v>69.506642222222226</v>
      </c>
    </row>
    <row r="121" spans="2:18" x14ac:dyDescent="0.25">
      <c r="B121" s="377">
        <f t="shared" si="65"/>
        <v>45590</v>
      </c>
      <c r="C121" s="378">
        <v>1005396.01</v>
      </c>
      <c r="D121" s="103">
        <f t="shared" si="31"/>
        <v>209.45750208333334</v>
      </c>
      <c r="E121" s="382">
        <v>3876712.35</v>
      </c>
      <c r="F121" s="103">
        <f t="shared" si="32"/>
        <v>807.64840625000011</v>
      </c>
      <c r="G121" s="378">
        <v>175890.7</v>
      </c>
      <c r="H121" s="103">
        <f t="shared" si="72"/>
        <v>21.986337500000001</v>
      </c>
      <c r="I121" s="382">
        <v>154158.66</v>
      </c>
      <c r="J121" s="103">
        <f t="shared" si="73"/>
        <v>19.2698325</v>
      </c>
      <c r="K121" s="378">
        <v>22689.42</v>
      </c>
      <c r="L121" s="103">
        <f t="shared" si="74"/>
        <v>4.0967008333333332</v>
      </c>
      <c r="M121" s="378">
        <v>3581.32</v>
      </c>
      <c r="N121" s="103">
        <f t="shared" si="75"/>
        <v>0.24870277777777783</v>
      </c>
      <c r="O121" s="378">
        <v>169745.79</v>
      </c>
      <c r="P121" s="103">
        <f t="shared" si="76"/>
        <v>30.648545416666668</v>
      </c>
      <c r="Q121" s="378">
        <v>312779.89</v>
      </c>
      <c r="R121" s="380">
        <f t="shared" si="77"/>
        <v>69.506642222222226</v>
      </c>
    </row>
    <row r="122" spans="2:18" x14ac:dyDescent="0.25">
      <c r="B122" s="377">
        <f t="shared" si="65"/>
        <v>45591</v>
      </c>
      <c r="C122" s="378">
        <v>1005396.01</v>
      </c>
      <c r="D122" s="103">
        <f t="shared" si="31"/>
        <v>209.45750208333334</v>
      </c>
      <c r="E122" s="382">
        <v>3876712.35</v>
      </c>
      <c r="F122" s="103">
        <f t="shared" si="32"/>
        <v>807.64840625000011</v>
      </c>
      <c r="G122" s="378">
        <v>175890.7</v>
      </c>
      <c r="H122" s="103">
        <f t="shared" si="72"/>
        <v>21.986337500000001</v>
      </c>
      <c r="I122" s="382">
        <v>154158.66</v>
      </c>
      <c r="J122" s="103">
        <f t="shared" si="73"/>
        <v>19.2698325</v>
      </c>
      <c r="K122" s="378">
        <v>22689.42</v>
      </c>
      <c r="L122" s="103">
        <f t="shared" si="74"/>
        <v>4.0967008333333332</v>
      </c>
      <c r="M122" s="378">
        <v>3581.32</v>
      </c>
      <c r="N122" s="103">
        <f t="shared" si="75"/>
        <v>0.24870277777777783</v>
      </c>
      <c r="O122" s="378">
        <v>169745.79</v>
      </c>
      <c r="P122" s="103">
        <f t="shared" si="76"/>
        <v>30.648545416666668</v>
      </c>
      <c r="Q122" s="378">
        <v>312779.89</v>
      </c>
      <c r="R122" s="380">
        <f t="shared" si="77"/>
        <v>69.506642222222226</v>
      </c>
    </row>
    <row r="123" spans="2:18" x14ac:dyDescent="0.25">
      <c r="B123" s="377">
        <f t="shared" si="65"/>
        <v>45592</v>
      </c>
      <c r="C123" s="378">
        <v>6396.01</v>
      </c>
      <c r="D123" s="103">
        <f t="shared" si="31"/>
        <v>1.3325020833333332</v>
      </c>
      <c r="E123" s="382">
        <v>75612.350000000006</v>
      </c>
      <c r="F123" s="103">
        <f t="shared" si="32"/>
        <v>15.752572916666669</v>
      </c>
      <c r="G123" s="378">
        <v>276890.7</v>
      </c>
      <c r="H123" s="103">
        <f t="shared" ref="H123:H129" si="78">(G123*4.5%)/360</f>
        <v>34.611337499999998</v>
      </c>
      <c r="I123" s="382">
        <v>154158.66</v>
      </c>
      <c r="J123" s="103">
        <f t="shared" ref="J123:J129" si="79">(I123*4.5%)/360</f>
        <v>19.2698325</v>
      </c>
      <c r="K123" s="378">
        <v>22689.42</v>
      </c>
      <c r="L123" s="103">
        <f t="shared" ref="L123:L129" si="80">(K123*6.5%)/360</f>
        <v>4.0967008333333332</v>
      </c>
      <c r="M123" s="378">
        <v>3581.32</v>
      </c>
      <c r="N123" s="103">
        <f t="shared" ref="N123:N129" si="81">(M123*2.5%)/360</f>
        <v>0.24870277777777783</v>
      </c>
      <c r="O123" s="378">
        <v>169745.79</v>
      </c>
      <c r="P123" s="103">
        <f t="shared" ref="P123:P129" si="82">(O123*6.5%)/360</f>
        <v>30.648545416666668</v>
      </c>
      <c r="Q123" s="378">
        <v>312779.89</v>
      </c>
      <c r="R123" s="380">
        <f t="shared" ref="R123:R129" si="83">(Q123*8%)/360</f>
        <v>69.506642222222226</v>
      </c>
    </row>
    <row r="124" spans="2:18" x14ac:dyDescent="0.25">
      <c r="B124" s="377">
        <f t="shared" si="65"/>
        <v>45593</v>
      </c>
      <c r="C124" s="378">
        <v>6396.01</v>
      </c>
      <c r="D124" s="103">
        <f t="shared" si="31"/>
        <v>1.3325020833333332</v>
      </c>
      <c r="E124" s="382">
        <v>2421993.13</v>
      </c>
      <c r="F124" s="103">
        <f t="shared" si="32"/>
        <v>504.58190208333326</v>
      </c>
      <c r="G124" s="378">
        <v>246890.7</v>
      </c>
      <c r="H124" s="103">
        <f t="shared" si="78"/>
        <v>30.861337500000001</v>
      </c>
      <c r="I124" s="382">
        <v>154158.66</v>
      </c>
      <c r="J124" s="103">
        <f t="shared" si="79"/>
        <v>19.2698325</v>
      </c>
      <c r="K124" s="378">
        <v>22689.42</v>
      </c>
      <c r="L124" s="103">
        <f t="shared" si="80"/>
        <v>4.0967008333333332</v>
      </c>
      <c r="M124" s="378">
        <v>3581.32</v>
      </c>
      <c r="N124" s="103">
        <f t="shared" si="81"/>
        <v>0.24870277777777783</v>
      </c>
      <c r="O124" s="378">
        <v>169745.79</v>
      </c>
      <c r="P124" s="103">
        <f t="shared" si="82"/>
        <v>30.648545416666668</v>
      </c>
      <c r="Q124" s="378">
        <v>312779.89</v>
      </c>
      <c r="R124" s="380">
        <f t="shared" si="83"/>
        <v>69.506642222222226</v>
      </c>
    </row>
    <row r="125" spans="2:18" x14ac:dyDescent="0.25">
      <c r="B125" s="377">
        <f t="shared" si="65"/>
        <v>45594</v>
      </c>
      <c r="C125" s="378">
        <v>6396.01</v>
      </c>
      <c r="D125" s="103">
        <f t="shared" si="31"/>
        <v>1.3325020833333332</v>
      </c>
      <c r="E125" s="382">
        <v>492720.16</v>
      </c>
      <c r="F125" s="103">
        <f t="shared" si="32"/>
        <v>102.65003333333333</v>
      </c>
      <c r="G125" s="378">
        <v>246890.7</v>
      </c>
      <c r="H125" s="103">
        <f t="shared" si="78"/>
        <v>30.861337500000001</v>
      </c>
      <c r="I125" s="382">
        <v>154158.66</v>
      </c>
      <c r="J125" s="103">
        <f t="shared" si="79"/>
        <v>19.2698325</v>
      </c>
      <c r="K125" s="378">
        <v>22689.42</v>
      </c>
      <c r="L125" s="103">
        <f t="shared" si="80"/>
        <v>4.0967008333333332</v>
      </c>
      <c r="M125" s="378">
        <v>3581.32</v>
      </c>
      <c r="N125" s="103">
        <f t="shared" si="81"/>
        <v>0.24870277777777783</v>
      </c>
      <c r="O125" s="378">
        <v>169745.79</v>
      </c>
      <c r="P125" s="103">
        <f t="shared" si="82"/>
        <v>30.648545416666668</v>
      </c>
      <c r="Q125" s="378">
        <v>312779.89</v>
      </c>
      <c r="R125" s="380">
        <f t="shared" si="83"/>
        <v>69.506642222222226</v>
      </c>
    </row>
    <row r="126" spans="2:18" x14ac:dyDescent="0.25">
      <c r="B126" s="377">
        <f t="shared" si="65"/>
        <v>45595</v>
      </c>
      <c r="C126" s="378">
        <v>6396.01</v>
      </c>
      <c r="D126" s="103">
        <f t="shared" si="31"/>
        <v>1.3325020833333332</v>
      </c>
      <c r="E126" s="382">
        <v>492720.16</v>
      </c>
      <c r="F126" s="103">
        <f t="shared" si="32"/>
        <v>102.65003333333333</v>
      </c>
      <c r="G126" s="378">
        <v>246890.7</v>
      </c>
      <c r="H126" s="103">
        <f t="shared" si="78"/>
        <v>30.861337500000001</v>
      </c>
      <c r="I126" s="382">
        <v>154158.66</v>
      </c>
      <c r="J126" s="103">
        <f t="shared" si="79"/>
        <v>19.2698325</v>
      </c>
      <c r="K126" s="378">
        <v>22689.42</v>
      </c>
      <c r="L126" s="103">
        <f t="shared" si="80"/>
        <v>4.0967008333333332</v>
      </c>
      <c r="M126" s="378">
        <v>3581.32</v>
      </c>
      <c r="N126" s="103">
        <f t="shared" si="81"/>
        <v>0.24870277777777783</v>
      </c>
      <c r="O126" s="378">
        <v>169745.79</v>
      </c>
      <c r="P126" s="103">
        <f t="shared" si="82"/>
        <v>30.648545416666668</v>
      </c>
      <c r="Q126" s="378">
        <v>312779.89</v>
      </c>
      <c r="R126" s="380">
        <f t="shared" si="83"/>
        <v>69.506642222222226</v>
      </c>
    </row>
    <row r="127" spans="2:18" x14ac:dyDescent="0.25">
      <c r="B127" s="377">
        <f t="shared" si="65"/>
        <v>45596</v>
      </c>
      <c r="C127" s="378">
        <v>2681116.7599999998</v>
      </c>
      <c r="D127" s="103">
        <f t="shared" si="31"/>
        <v>558.5659916666666</v>
      </c>
      <c r="E127" s="382">
        <v>844987.9</v>
      </c>
      <c r="F127" s="103">
        <f t="shared" si="32"/>
        <v>176.03914583333332</v>
      </c>
      <c r="G127" s="378">
        <v>246890.7</v>
      </c>
      <c r="H127" s="103">
        <f t="shared" si="78"/>
        <v>30.861337500000001</v>
      </c>
      <c r="I127" s="382">
        <v>154158.66</v>
      </c>
      <c r="J127" s="103">
        <f t="shared" si="79"/>
        <v>19.2698325</v>
      </c>
      <c r="K127" s="378">
        <v>22689.42</v>
      </c>
      <c r="L127" s="103">
        <f t="shared" si="80"/>
        <v>4.0967008333333332</v>
      </c>
      <c r="M127" s="378">
        <v>3581.32</v>
      </c>
      <c r="N127" s="103">
        <f t="shared" si="81"/>
        <v>0.24870277777777783</v>
      </c>
      <c r="O127" s="378">
        <v>169745.79</v>
      </c>
      <c r="P127" s="103">
        <f t="shared" si="82"/>
        <v>30.648545416666668</v>
      </c>
      <c r="Q127" s="378">
        <v>312779.89</v>
      </c>
      <c r="R127" s="380">
        <f t="shared" si="83"/>
        <v>69.506642222222226</v>
      </c>
    </row>
    <row r="128" spans="2:18" x14ac:dyDescent="0.25">
      <c r="B128" s="377">
        <f t="shared" si="65"/>
        <v>45597</v>
      </c>
      <c r="C128" s="378">
        <v>2681116.7599999998</v>
      </c>
      <c r="D128" s="103">
        <f t="shared" si="31"/>
        <v>558.5659916666666</v>
      </c>
      <c r="E128" s="382">
        <v>844987.9</v>
      </c>
      <c r="F128" s="103">
        <f t="shared" si="32"/>
        <v>176.03914583333332</v>
      </c>
      <c r="G128" s="378">
        <v>246890.7</v>
      </c>
      <c r="H128" s="103">
        <f t="shared" si="78"/>
        <v>30.861337500000001</v>
      </c>
      <c r="I128" s="382">
        <v>154158.66</v>
      </c>
      <c r="J128" s="103">
        <f t="shared" si="79"/>
        <v>19.2698325</v>
      </c>
      <c r="K128" s="378">
        <v>22689.42</v>
      </c>
      <c r="L128" s="103">
        <f t="shared" si="80"/>
        <v>4.0967008333333332</v>
      </c>
      <c r="M128" s="378">
        <v>3581.32</v>
      </c>
      <c r="N128" s="103">
        <f t="shared" si="81"/>
        <v>0.24870277777777783</v>
      </c>
      <c r="O128" s="378">
        <v>169745.79</v>
      </c>
      <c r="P128" s="103">
        <f t="shared" si="82"/>
        <v>30.648545416666668</v>
      </c>
      <c r="Q128" s="378">
        <v>312779.89</v>
      </c>
      <c r="R128" s="380">
        <f t="shared" si="83"/>
        <v>69.506642222222226</v>
      </c>
    </row>
    <row r="129" spans="2:18" x14ac:dyDescent="0.25">
      <c r="B129" s="377">
        <f t="shared" si="65"/>
        <v>45598</v>
      </c>
      <c r="C129" s="378">
        <v>2681116.7599999998</v>
      </c>
      <c r="D129" s="103">
        <f t="shared" si="31"/>
        <v>558.5659916666666</v>
      </c>
      <c r="E129" s="382">
        <v>844987.9</v>
      </c>
      <c r="F129" s="103">
        <f t="shared" si="32"/>
        <v>176.03914583333332</v>
      </c>
      <c r="G129" s="378">
        <v>246890.7</v>
      </c>
      <c r="H129" s="103">
        <f t="shared" si="78"/>
        <v>30.861337500000001</v>
      </c>
      <c r="I129" s="382">
        <v>154158.66</v>
      </c>
      <c r="J129" s="103">
        <f t="shared" si="79"/>
        <v>19.2698325</v>
      </c>
      <c r="K129" s="378">
        <v>22689.42</v>
      </c>
      <c r="L129" s="103">
        <f t="shared" si="80"/>
        <v>4.0967008333333332</v>
      </c>
      <c r="M129" s="378">
        <v>3581.32</v>
      </c>
      <c r="N129" s="103">
        <f t="shared" si="81"/>
        <v>0.24870277777777783</v>
      </c>
      <c r="O129" s="378">
        <v>169745.79</v>
      </c>
      <c r="P129" s="103">
        <f t="shared" si="82"/>
        <v>30.648545416666668</v>
      </c>
      <c r="Q129" s="378">
        <v>312779.89</v>
      </c>
      <c r="R129" s="380">
        <f t="shared" si="83"/>
        <v>69.506642222222226</v>
      </c>
    </row>
    <row r="130" spans="2:18" x14ac:dyDescent="0.25">
      <c r="B130" s="377">
        <v>45613</v>
      </c>
      <c r="C130" s="378">
        <v>2533808.31</v>
      </c>
      <c r="D130" s="103">
        <f t="shared" ref="D130:D164" si="84">(C130*7.5%)/360</f>
        <v>527.87673125000003</v>
      </c>
      <c r="E130" s="382">
        <v>2196047.1800000002</v>
      </c>
      <c r="F130" s="103">
        <f t="shared" ref="F130:F164" si="85">(E130*7.5%)/360</f>
        <v>457.50982916666663</v>
      </c>
      <c r="G130" s="378">
        <v>60890.7</v>
      </c>
      <c r="H130" s="103">
        <f t="shared" ref="H130:H164" si="86">(G130*4.5%)/360</f>
        <v>7.6113374999999994</v>
      </c>
      <c r="I130" s="382">
        <v>154158.66</v>
      </c>
      <c r="J130" s="103">
        <f t="shared" ref="J130:J136" si="87">(I130*4.5%)/360</f>
        <v>19.2698325</v>
      </c>
      <c r="K130" s="378">
        <v>22689.42</v>
      </c>
      <c r="L130" s="103">
        <f t="shared" ref="L130:L136" si="88">(K130*6.5%)/360</f>
        <v>4.0967008333333332</v>
      </c>
      <c r="M130" s="378">
        <v>3581.32</v>
      </c>
      <c r="N130" s="103">
        <f t="shared" ref="N130:N136" si="89">(M130*2.5%)/360</f>
        <v>0.24870277777777783</v>
      </c>
      <c r="O130" s="378">
        <v>169745.79</v>
      </c>
      <c r="P130" s="103">
        <f t="shared" ref="P130:P136" si="90">(O130*6.5%)/360</f>
        <v>30.648545416666668</v>
      </c>
      <c r="Q130" s="378">
        <v>827838.03</v>
      </c>
      <c r="R130" s="380">
        <f t="shared" ref="R130:R136" si="91">(Q130*8%)/360</f>
        <v>183.96400666666668</v>
      </c>
    </row>
    <row r="131" spans="2:18" x14ac:dyDescent="0.25">
      <c r="B131" s="377">
        <f t="shared" si="65"/>
        <v>45614</v>
      </c>
      <c r="C131" s="378">
        <v>2533808.31</v>
      </c>
      <c r="D131" s="103">
        <f t="shared" si="84"/>
        <v>527.87673125000003</v>
      </c>
      <c r="E131" s="382">
        <v>2042743.98</v>
      </c>
      <c r="F131" s="103">
        <f t="shared" si="85"/>
        <v>425.5716625</v>
      </c>
      <c r="G131" s="378">
        <v>60890.7</v>
      </c>
      <c r="H131" s="103">
        <f t="shared" si="86"/>
        <v>7.6113374999999994</v>
      </c>
      <c r="I131" s="382">
        <v>154158.66</v>
      </c>
      <c r="J131" s="103">
        <f t="shared" si="87"/>
        <v>19.2698325</v>
      </c>
      <c r="K131" s="378">
        <v>22689.42</v>
      </c>
      <c r="L131" s="103">
        <f t="shared" si="88"/>
        <v>4.0967008333333332</v>
      </c>
      <c r="M131" s="378">
        <v>3581.32</v>
      </c>
      <c r="N131" s="103">
        <f t="shared" si="89"/>
        <v>0.24870277777777783</v>
      </c>
      <c r="O131" s="378">
        <v>169745.79</v>
      </c>
      <c r="P131" s="103">
        <f t="shared" si="90"/>
        <v>30.648545416666668</v>
      </c>
      <c r="Q131" s="378">
        <v>827838.03</v>
      </c>
      <c r="R131" s="380">
        <f t="shared" si="91"/>
        <v>183.96400666666668</v>
      </c>
    </row>
    <row r="132" spans="2:18" x14ac:dyDescent="0.25">
      <c r="B132" s="377">
        <f t="shared" si="65"/>
        <v>45615</v>
      </c>
      <c r="C132" s="378">
        <v>2533808.31</v>
      </c>
      <c r="D132" s="103">
        <f t="shared" si="84"/>
        <v>527.87673125000003</v>
      </c>
      <c r="E132" s="382">
        <v>2041318.98</v>
      </c>
      <c r="F132" s="103">
        <f t="shared" si="85"/>
        <v>425.2747875</v>
      </c>
      <c r="G132" s="378">
        <v>60890.7</v>
      </c>
      <c r="H132" s="103">
        <f t="shared" si="86"/>
        <v>7.6113374999999994</v>
      </c>
      <c r="I132" s="382">
        <v>154158.66</v>
      </c>
      <c r="J132" s="103">
        <f t="shared" si="87"/>
        <v>19.2698325</v>
      </c>
      <c r="K132" s="378">
        <v>22689.42</v>
      </c>
      <c r="L132" s="103">
        <f t="shared" si="88"/>
        <v>4.0967008333333332</v>
      </c>
      <c r="M132" s="378">
        <v>3581.32</v>
      </c>
      <c r="N132" s="103">
        <f t="shared" si="89"/>
        <v>0.24870277777777783</v>
      </c>
      <c r="O132" s="378">
        <v>169745.79</v>
      </c>
      <c r="P132" s="103">
        <f t="shared" si="90"/>
        <v>30.648545416666668</v>
      </c>
      <c r="Q132" s="378">
        <v>827838.03</v>
      </c>
      <c r="R132" s="380">
        <f t="shared" si="91"/>
        <v>183.96400666666668</v>
      </c>
    </row>
    <row r="133" spans="2:18" x14ac:dyDescent="0.25">
      <c r="B133" s="377">
        <f t="shared" si="65"/>
        <v>45616</v>
      </c>
      <c r="C133" s="378">
        <v>2533808.31</v>
      </c>
      <c r="D133" s="103">
        <f t="shared" si="84"/>
        <v>527.87673125000003</v>
      </c>
      <c r="E133" s="382">
        <v>3023145.29</v>
      </c>
      <c r="F133" s="103">
        <f t="shared" si="85"/>
        <v>629.82193541666663</v>
      </c>
      <c r="G133" s="378">
        <v>60890.7</v>
      </c>
      <c r="H133" s="103">
        <f t="shared" si="86"/>
        <v>7.6113374999999994</v>
      </c>
      <c r="I133" s="382">
        <v>151429.91</v>
      </c>
      <c r="J133" s="103">
        <f t="shared" si="87"/>
        <v>18.928738750000001</v>
      </c>
      <c r="K133" s="378">
        <v>22689.42</v>
      </c>
      <c r="L133" s="103">
        <f t="shared" si="88"/>
        <v>4.0967008333333332</v>
      </c>
      <c r="M133" s="378">
        <v>3581.32</v>
      </c>
      <c r="N133" s="103">
        <f t="shared" si="89"/>
        <v>0.24870277777777783</v>
      </c>
      <c r="O133" s="378">
        <v>169745.79</v>
      </c>
      <c r="P133" s="103">
        <f t="shared" si="90"/>
        <v>30.648545416666668</v>
      </c>
      <c r="Q133" s="378">
        <v>827838.03</v>
      </c>
      <c r="R133" s="380">
        <f t="shared" si="91"/>
        <v>183.96400666666668</v>
      </c>
    </row>
    <row r="134" spans="2:18" x14ac:dyDescent="0.25">
      <c r="B134" s="377">
        <f t="shared" si="65"/>
        <v>45617</v>
      </c>
      <c r="C134" s="378">
        <v>2533808.31</v>
      </c>
      <c r="D134" s="103">
        <f t="shared" si="84"/>
        <v>527.87673125000003</v>
      </c>
      <c r="E134" s="382">
        <v>3023145.29</v>
      </c>
      <c r="F134" s="103">
        <f t="shared" si="85"/>
        <v>629.82193541666663</v>
      </c>
      <c r="G134" s="378">
        <v>60890.7</v>
      </c>
      <c r="H134" s="103">
        <f t="shared" si="86"/>
        <v>7.6113374999999994</v>
      </c>
      <c r="I134" s="382">
        <v>151429.91</v>
      </c>
      <c r="J134" s="103">
        <f t="shared" si="87"/>
        <v>18.928738750000001</v>
      </c>
      <c r="K134" s="378">
        <v>22689.42</v>
      </c>
      <c r="L134" s="103">
        <f t="shared" si="88"/>
        <v>4.0967008333333332</v>
      </c>
      <c r="M134" s="378">
        <v>3581.32</v>
      </c>
      <c r="N134" s="103">
        <f t="shared" si="89"/>
        <v>0.24870277777777783</v>
      </c>
      <c r="O134" s="378">
        <v>169745.79</v>
      </c>
      <c r="P134" s="103">
        <f t="shared" si="90"/>
        <v>30.648545416666668</v>
      </c>
      <c r="Q134" s="378">
        <v>827838.03</v>
      </c>
      <c r="R134" s="380">
        <f t="shared" si="91"/>
        <v>183.96400666666668</v>
      </c>
    </row>
    <row r="135" spans="2:18" x14ac:dyDescent="0.25">
      <c r="B135" s="377">
        <f t="shared" si="65"/>
        <v>45618</v>
      </c>
      <c r="C135" s="378">
        <v>2533808.31</v>
      </c>
      <c r="D135" s="103">
        <f t="shared" si="84"/>
        <v>527.87673125000003</v>
      </c>
      <c r="E135" s="382">
        <v>3023145.29</v>
      </c>
      <c r="F135" s="103">
        <f t="shared" si="85"/>
        <v>629.82193541666663</v>
      </c>
      <c r="G135" s="378">
        <v>60890.7</v>
      </c>
      <c r="H135" s="103">
        <f t="shared" si="86"/>
        <v>7.6113374999999994</v>
      </c>
      <c r="I135" s="382">
        <v>151429.91</v>
      </c>
      <c r="J135" s="103">
        <f t="shared" si="87"/>
        <v>18.928738750000001</v>
      </c>
      <c r="K135" s="378">
        <v>22689.42</v>
      </c>
      <c r="L135" s="103">
        <f t="shared" si="88"/>
        <v>4.0967008333333332</v>
      </c>
      <c r="M135" s="378">
        <v>3581.32</v>
      </c>
      <c r="N135" s="103">
        <f t="shared" si="89"/>
        <v>0.24870277777777783</v>
      </c>
      <c r="O135" s="378">
        <v>169745.79</v>
      </c>
      <c r="P135" s="103">
        <f t="shared" si="90"/>
        <v>30.648545416666668</v>
      </c>
      <c r="Q135" s="378">
        <v>827838.03</v>
      </c>
      <c r="R135" s="380">
        <f t="shared" si="91"/>
        <v>183.96400666666668</v>
      </c>
    </row>
    <row r="136" spans="2:18" x14ac:dyDescent="0.25">
      <c r="B136" s="377">
        <f t="shared" si="65"/>
        <v>45619</v>
      </c>
      <c r="C136" s="378">
        <v>2533808.31</v>
      </c>
      <c r="D136" s="103">
        <f t="shared" si="84"/>
        <v>527.87673125000003</v>
      </c>
      <c r="E136" s="382">
        <v>3023145.29</v>
      </c>
      <c r="F136" s="103">
        <f t="shared" si="85"/>
        <v>629.82193541666663</v>
      </c>
      <c r="G136" s="378">
        <v>60890.7</v>
      </c>
      <c r="H136" s="103">
        <f t="shared" si="86"/>
        <v>7.6113374999999994</v>
      </c>
      <c r="I136" s="382">
        <v>151429.91</v>
      </c>
      <c r="J136" s="103">
        <f t="shared" si="87"/>
        <v>18.928738750000001</v>
      </c>
      <c r="K136" s="378">
        <v>22689.42</v>
      </c>
      <c r="L136" s="103">
        <f t="shared" si="88"/>
        <v>4.0967008333333332</v>
      </c>
      <c r="M136" s="378">
        <v>3581.32</v>
      </c>
      <c r="N136" s="103">
        <f t="shared" si="89"/>
        <v>0.24870277777777783</v>
      </c>
      <c r="O136" s="378">
        <v>169745.79</v>
      </c>
      <c r="P136" s="103">
        <f t="shared" si="90"/>
        <v>30.648545416666668</v>
      </c>
      <c r="Q136" s="378">
        <v>827838.03</v>
      </c>
      <c r="R136" s="380">
        <f t="shared" si="91"/>
        <v>183.96400666666668</v>
      </c>
    </row>
    <row r="137" spans="2:18" x14ac:dyDescent="0.25">
      <c r="B137" s="377">
        <f t="shared" si="65"/>
        <v>45620</v>
      </c>
      <c r="C137" s="378">
        <v>2533808.31</v>
      </c>
      <c r="D137" s="103">
        <f t="shared" si="84"/>
        <v>527.87673125000003</v>
      </c>
      <c r="E137" s="382">
        <v>3023145.29</v>
      </c>
      <c r="F137" s="103">
        <f t="shared" si="85"/>
        <v>629.82193541666663</v>
      </c>
      <c r="G137" s="378">
        <v>171890.7</v>
      </c>
      <c r="H137" s="103">
        <f t="shared" si="86"/>
        <v>21.486337500000001</v>
      </c>
      <c r="I137" s="382">
        <v>151429.91</v>
      </c>
      <c r="J137" s="103">
        <f t="shared" ref="J137:J150" si="92">(I137*4.5%)/360</f>
        <v>18.928738750000001</v>
      </c>
      <c r="K137" s="378">
        <v>22689.42</v>
      </c>
      <c r="L137" s="103">
        <f t="shared" ref="L137:L142" si="93">(K137*6.5%)/360</f>
        <v>4.0967008333333332</v>
      </c>
      <c r="M137" s="378">
        <v>3581.32</v>
      </c>
      <c r="N137" s="103">
        <f t="shared" ref="N137:N142" si="94">(M137*2.5%)/360</f>
        <v>0.24870277777777783</v>
      </c>
      <c r="O137" s="378">
        <v>169745.79</v>
      </c>
      <c r="P137" s="103">
        <f t="shared" ref="P137:P142" si="95">(O137*6.5%)/360</f>
        <v>30.648545416666668</v>
      </c>
      <c r="Q137" s="378">
        <v>827838.03</v>
      </c>
      <c r="R137" s="380">
        <f t="shared" ref="R137:R142" si="96">(Q137*8%)/360</f>
        <v>183.96400666666668</v>
      </c>
    </row>
    <row r="138" spans="2:18" x14ac:dyDescent="0.25">
      <c r="B138" s="377">
        <f t="shared" si="65"/>
        <v>45621</v>
      </c>
      <c r="C138" s="378">
        <v>2533808.31</v>
      </c>
      <c r="D138" s="103">
        <f t="shared" si="84"/>
        <v>527.87673125000003</v>
      </c>
      <c r="E138" s="382">
        <v>3023145.29</v>
      </c>
      <c r="F138" s="103">
        <f t="shared" si="85"/>
        <v>629.82193541666663</v>
      </c>
      <c r="G138" s="378">
        <v>171890.7</v>
      </c>
      <c r="H138" s="103">
        <f t="shared" si="86"/>
        <v>21.486337500000001</v>
      </c>
      <c r="I138" s="382">
        <v>151429.91</v>
      </c>
      <c r="J138" s="103">
        <f t="shared" si="92"/>
        <v>18.928738750000001</v>
      </c>
      <c r="K138" s="378">
        <v>22689.42</v>
      </c>
      <c r="L138" s="103">
        <f t="shared" si="93"/>
        <v>4.0967008333333332</v>
      </c>
      <c r="M138" s="378">
        <v>3581.32</v>
      </c>
      <c r="N138" s="103">
        <f t="shared" si="94"/>
        <v>0.24870277777777783</v>
      </c>
      <c r="O138" s="378">
        <v>169745.79</v>
      </c>
      <c r="P138" s="103">
        <f t="shared" si="95"/>
        <v>30.648545416666668</v>
      </c>
      <c r="Q138" s="378">
        <v>827838.03</v>
      </c>
      <c r="R138" s="380">
        <f t="shared" si="96"/>
        <v>183.96400666666668</v>
      </c>
    </row>
    <row r="139" spans="2:18" x14ac:dyDescent="0.25">
      <c r="B139" s="377">
        <f t="shared" si="65"/>
        <v>45622</v>
      </c>
      <c r="C139" s="378">
        <v>2533808.31</v>
      </c>
      <c r="D139" s="103">
        <f t="shared" si="84"/>
        <v>527.87673125000003</v>
      </c>
      <c r="E139" s="382">
        <v>8023145.29</v>
      </c>
      <c r="F139" s="103">
        <f t="shared" si="85"/>
        <v>1671.4886020833333</v>
      </c>
      <c r="G139" s="378">
        <v>171890.7</v>
      </c>
      <c r="H139" s="103">
        <f t="shared" si="86"/>
        <v>21.486337500000001</v>
      </c>
      <c r="I139" s="382">
        <v>151429.91</v>
      </c>
      <c r="J139" s="103">
        <f t="shared" si="92"/>
        <v>18.928738750000001</v>
      </c>
      <c r="K139" s="378">
        <v>22689.42</v>
      </c>
      <c r="L139" s="103">
        <f t="shared" si="93"/>
        <v>4.0967008333333332</v>
      </c>
      <c r="M139" s="378">
        <v>3581.32</v>
      </c>
      <c r="N139" s="103">
        <f t="shared" si="94"/>
        <v>0.24870277777777783</v>
      </c>
      <c r="O139" s="378">
        <v>169745.79</v>
      </c>
      <c r="P139" s="103">
        <f t="shared" si="95"/>
        <v>30.648545416666668</v>
      </c>
      <c r="Q139" s="378">
        <v>827838.03</v>
      </c>
      <c r="R139" s="380">
        <f t="shared" si="96"/>
        <v>183.96400666666668</v>
      </c>
    </row>
    <row r="140" spans="2:18" x14ac:dyDescent="0.25">
      <c r="B140" s="377">
        <f t="shared" si="65"/>
        <v>45623</v>
      </c>
      <c r="C140" s="378">
        <v>2533808.31</v>
      </c>
      <c r="D140" s="103">
        <f t="shared" si="84"/>
        <v>527.87673125000003</v>
      </c>
      <c r="E140" s="382">
        <v>8023145.29</v>
      </c>
      <c r="F140" s="103">
        <f t="shared" si="85"/>
        <v>1671.4886020833333</v>
      </c>
      <c r="G140" s="378">
        <v>171890.7</v>
      </c>
      <c r="H140" s="103">
        <f t="shared" si="86"/>
        <v>21.486337500000001</v>
      </c>
      <c r="I140" s="382">
        <v>151429.91</v>
      </c>
      <c r="J140" s="103">
        <f t="shared" si="92"/>
        <v>18.928738750000001</v>
      </c>
      <c r="K140" s="378">
        <v>22689.42</v>
      </c>
      <c r="L140" s="103">
        <f t="shared" si="93"/>
        <v>4.0967008333333332</v>
      </c>
      <c r="M140" s="378">
        <v>3581.32</v>
      </c>
      <c r="N140" s="103">
        <f t="shared" si="94"/>
        <v>0.24870277777777783</v>
      </c>
      <c r="O140" s="378">
        <v>169745.79</v>
      </c>
      <c r="P140" s="103">
        <f t="shared" si="95"/>
        <v>30.648545416666668</v>
      </c>
      <c r="Q140" s="378">
        <v>827838.03</v>
      </c>
      <c r="R140" s="380">
        <f t="shared" si="96"/>
        <v>183.96400666666668</v>
      </c>
    </row>
    <row r="141" spans="2:18" x14ac:dyDescent="0.25">
      <c r="B141" s="377">
        <f t="shared" si="65"/>
        <v>45624</v>
      </c>
      <c r="C141" s="378">
        <v>2533808.31</v>
      </c>
      <c r="D141" s="103">
        <f t="shared" si="84"/>
        <v>527.87673125000003</v>
      </c>
      <c r="E141" s="382">
        <v>8909532.2899999991</v>
      </c>
      <c r="F141" s="103">
        <f t="shared" si="85"/>
        <v>1856.1525604166663</v>
      </c>
      <c r="G141" s="378">
        <v>171890.7</v>
      </c>
      <c r="H141" s="103">
        <f t="shared" si="86"/>
        <v>21.486337500000001</v>
      </c>
      <c r="I141" s="382">
        <v>151429.91</v>
      </c>
      <c r="J141" s="103">
        <f t="shared" si="92"/>
        <v>18.928738750000001</v>
      </c>
      <c r="K141" s="378">
        <v>22689.42</v>
      </c>
      <c r="L141" s="103">
        <f t="shared" si="93"/>
        <v>4.0967008333333332</v>
      </c>
      <c r="M141" s="378">
        <v>3581.32</v>
      </c>
      <c r="N141" s="103">
        <f t="shared" si="94"/>
        <v>0.24870277777777783</v>
      </c>
      <c r="O141" s="378">
        <v>169745.79</v>
      </c>
      <c r="P141" s="103">
        <f t="shared" si="95"/>
        <v>30.648545416666668</v>
      </c>
      <c r="Q141" s="378">
        <v>7527838.0300000003</v>
      </c>
      <c r="R141" s="380">
        <f t="shared" si="96"/>
        <v>1672.8528955555557</v>
      </c>
    </row>
    <row r="142" spans="2:18" x14ac:dyDescent="0.25">
      <c r="B142" s="377">
        <f t="shared" si="65"/>
        <v>45625</v>
      </c>
      <c r="C142" s="378">
        <v>2533808.31</v>
      </c>
      <c r="D142" s="103">
        <f t="shared" si="84"/>
        <v>527.87673125000003</v>
      </c>
      <c r="E142" s="382">
        <v>8909532.2899999991</v>
      </c>
      <c r="F142" s="103">
        <f t="shared" si="85"/>
        <v>1856.1525604166663</v>
      </c>
      <c r="G142" s="378">
        <v>171890.7</v>
      </c>
      <c r="H142" s="103">
        <f t="shared" si="86"/>
        <v>21.486337500000001</v>
      </c>
      <c r="I142" s="382">
        <v>151429.91</v>
      </c>
      <c r="J142" s="103">
        <f t="shared" si="92"/>
        <v>18.928738750000001</v>
      </c>
      <c r="K142" s="378">
        <v>22689.42</v>
      </c>
      <c r="L142" s="103">
        <f t="shared" si="93"/>
        <v>4.0967008333333332</v>
      </c>
      <c r="M142" s="378">
        <v>3581.32</v>
      </c>
      <c r="N142" s="103">
        <f t="shared" si="94"/>
        <v>0.24870277777777783</v>
      </c>
      <c r="O142" s="378">
        <v>169745.79</v>
      </c>
      <c r="P142" s="103">
        <f t="shared" si="95"/>
        <v>30.648545416666668</v>
      </c>
      <c r="Q142" s="378">
        <v>7527838.0300000003</v>
      </c>
      <c r="R142" s="380">
        <f t="shared" si="96"/>
        <v>1672.8528955555557</v>
      </c>
    </row>
    <row r="143" spans="2:18" x14ac:dyDescent="0.25">
      <c r="B143" s="377">
        <f t="shared" si="65"/>
        <v>45626</v>
      </c>
      <c r="C143" s="378">
        <v>2533808.31</v>
      </c>
      <c r="D143" s="103">
        <f t="shared" si="84"/>
        <v>527.87673125000003</v>
      </c>
      <c r="E143" s="382">
        <v>8909532.2899999991</v>
      </c>
      <c r="F143" s="103">
        <f t="shared" si="85"/>
        <v>1856.1525604166663</v>
      </c>
      <c r="G143" s="378">
        <v>171890.7</v>
      </c>
      <c r="H143" s="103">
        <f t="shared" si="86"/>
        <v>21.486337500000001</v>
      </c>
      <c r="I143" s="382">
        <v>151429.91</v>
      </c>
      <c r="J143" s="103">
        <f t="shared" si="92"/>
        <v>18.928738750000001</v>
      </c>
      <c r="K143" s="378">
        <v>22689.42</v>
      </c>
      <c r="L143" s="103">
        <f>(K143*6.5%)/360</f>
        <v>4.0967008333333332</v>
      </c>
      <c r="M143" s="378">
        <v>3581.32</v>
      </c>
      <c r="N143" s="103">
        <f>(M143*2.5%)/360</f>
        <v>0.24870277777777783</v>
      </c>
      <c r="O143" s="378">
        <v>169745.79</v>
      </c>
      <c r="P143" s="103">
        <f>(O143*6.5%)/360</f>
        <v>30.648545416666668</v>
      </c>
      <c r="Q143" s="378">
        <v>7527838.0300000003</v>
      </c>
      <c r="R143" s="380">
        <f>(Q143*8%)/360</f>
        <v>1672.8528955555557</v>
      </c>
    </row>
    <row r="144" spans="2:18" x14ac:dyDescent="0.25">
      <c r="B144" s="377">
        <f t="shared" si="65"/>
        <v>45627</v>
      </c>
      <c r="C144" s="378">
        <v>2433808.31</v>
      </c>
      <c r="D144" s="103">
        <f t="shared" si="84"/>
        <v>507.04339791666666</v>
      </c>
      <c r="E144" s="382">
        <v>7574219.7599999998</v>
      </c>
      <c r="F144" s="103">
        <f t="shared" si="85"/>
        <v>1577.96245</v>
      </c>
      <c r="G144" s="378">
        <v>171890.7</v>
      </c>
      <c r="H144" s="103">
        <f t="shared" si="86"/>
        <v>21.486337500000001</v>
      </c>
      <c r="I144" s="382">
        <v>151429.91</v>
      </c>
      <c r="J144" s="103">
        <f t="shared" si="92"/>
        <v>18.928738750000001</v>
      </c>
      <c r="K144" s="378">
        <v>22689.42</v>
      </c>
      <c r="L144" s="103">
        <f t="shared" ref="L144:L150" si="97">(K144*6.5%)/360</f>
        <v>4.0967008333333332</v>
      </c>
      <c r="M144" s="378">
        <v>3581.32</v>
      </c>
      <c r="N144" s="103">
        <f t="shared" ref="N144:N150" si="98">(M144*2.5%)/360</f>
        <v>0.24870277777777783</v>
      </c>
      <c r="O144" s="378">
        <v>169745.79</v>
      </c>
      <c r="P144" s="103">
        <f t="shared" ref="P144:P150" si="99">(O144*6.5%)/360</f>
        <v>30.648545416666668</v>
      </c>
      <c r="Q144" s="378">
        <v>7527838.0300000003</v>
      </c>
      <c r="R144" s="380">
        <f t="shared" ref="R144:R150" si="100">(Q144*8%)/360</f>
        <v>1672.8528955555557</v>
      </c>
    </row>
    <row r="145" spans="2:18" x14ac:dyDescent="0.25">
      <c r="B145" s="377">
        <f t="shared" si="65"/>
        <v>45628</v>
      </c>
      <c r="C145" s="378">
        <v>2433808.31</v>
      </c>
      <c r="D145" s="103">
        <f t="shared" si="84"/>
        <v>507.04339791666666</v>
      </c>
      <c r="E145" s="382">
        <v>14574219.76</v>
      </c>
      <c r="F145" s="103">
        <f t="shared" si="85"/>
        <v>3036.295783333333</v>
      </c>
      <c r="G145" s="378">
        <v>171890.7</v>
      </c>
      <c r="H145" s="103">
        <f t="shared" si="86"/>
        <v>21.486337500000001</v>
      </c>
      <c r="I145" s="382">
        <v>151429.91</v>
      </c>
      <c r="J145" s="103">
        <f t="shared" si="92"/>
        <v>18.928738750000001</v>
      </c>
      <c r="K145" s="378">
        <v>22689.42</v>
      </c>
      <c r="L145" s="103">
        <f t="shared" si="97"/>
        <v>4.0967008333333332</v>
      </c>
      <c r="M145" s="378">
        <v>3581.32</v>
      </c>
      <c r="N145" s="103">
        <f t="shared" si="98"/>
        <v>0.24870277777777783</v>
      </c>
      <c r="O145" s="378">
        <v>169745.79</v>
      </c>
      <c r="P145" s="103">
        <f t="shared" si="99"/>
        <v>30.648545416666668</v>
      </c>
      <c r="Q145" s="378">
        <v>7527838.0300000003</v>
      </c>
      <c r="R145" s="380">
        <f t="shared" si="100"/>
        <v>1672.8528955555557</v>
      </c>
    </row>
    <row r="146" spans="2:18" x14ac:dyDescent="0.25">
      <c r="B146" s="377">
        <f t="shared" si="65"/>
        <v>45629</v>
      </c>
      <c r="C146" s="378">
        <v>2433808.31</v>
      </c>
      <c r="D146" s="103">
        <f t="shared" si="84"/>
        <v>507.04339791666666</v>
      </c>
      <c r="E146" s="382">
        <v>14574219.76</v>
      </c>
      <c r="F146" s="103">
        <f t="shared" si="85"/>
        <v>3036.295783333333</v>
      </c>
      <c r="G146" s="378">
        <v>171890.7</v>
      </c>
      <c r="H146" s="103">
        <f t="shared" si="86"/>
        <v>21.486337500000001</v>
      </c>
      <c r="I146" s="382">
        <v>151429.91</v>
      </c>
      <c r="J146" s="103">
        <f t="shared" si="92"/>
        <v>18.928738750000001</v>
      </c>
      <c r="K146" s="378">
        <v>22689.42</v>
      </c>
      <c r="L146" s="103">
        <f t="shared" si="97"/>
        <v>4.0967008333333332</v>
      </c>
      <c r="M146" s="378">
        <v>3581.32</v>
      </c>
      <c r="N146" s="103">
        <f t="shared" si="98"/>
        <v>0.24870277777777783</v>
      </c>
      <c r="O146" s="378">
        <v>169745.79</v>
      </c>
      <c r="P146" s="103">
        <f t="shared" si="99"/>
        <v>30.648545416666668</v>
      </c>
      <c r="Q146" s="378">
        <v>7527838.0300000003</v>
      </c>
      <c r="R146" s="380">
        <f t="shared" si="100"/>
        <v>1672.8528955555557</v>
      </c>
    </row>
    <row r="147" spans="2:18" x14ac:dyDescent="0.25">
      <c r="B147" s="377">
        <f t="shared" si="65"/>
        <v>45630</v>
      </c>
      <c r="C147" s="378">
        <v>2433808.31</v>
      </c>
      <c r="D147" s="103">
        <f t="shared" si="84"/>
        <v>507.04339791666666</v>
      </c>
      <c r="E147" s="382">
        <v>14574219.76</v>
      </c>
      <c r="F147" s="103">
        <f t="shared" si="85"/>
        <v>3036.295783333333</v>
      </c>
      <c r="G147" s="378">
        <v>171890.7</v>
      </c>
      <c r="H147" s="103">
        <f t="shared" si="86"/>
        <v>21.486337500000001</v>
      </c>
      <c r="I147" s="382">
        <v>151429.91</v>
      </c>
      <c r="J147" s="103">
        <f t="shared" si="92"/>
        <v>18.928738750000001</v>
      </c>
      <c r="K147" s="378">
        <v>22689.42</v>
      </c>
      <c r="L147" s="103">
        <f t="shared" si="97"/>
        <v>4.0967008333333332</v>
      </c>
      <c r="M147" s="378">
        <v>3581.32</v>
      </c>
      <c r="N147" s="103">
        <f t="shared" si="98"/>
        <v>0.24870277777777783</v>
      </c>
      <c r="O147" s="378">
        <v>169745.79</v>
      </c>
      <c r="P147" s="103">
        <f t="shared" si="99"/>
        <v>30.648545416666668</v>
      </c>
      <c r="Q147" s="378">
        <v>7527838.0300000003</v>
      </c>
      <c r="R147" s="380">
        <f t="shared" si="100"/>
        <v>1672.8528955555557</v>
      </c>
    </row>
    <row r="148" spans="2:18" x14ac:dyDescent="0.25">
      <c r="B148" s="377">
        <f t="shared" si="65"/>
        <v>45631</v>
      </c>
      <c r="C148" s="378">
        <v>2433808.31</v>
      </c>
      <c r="D148" s="103">
        <f t="shared" si="84"/>
        <v>507.04339791666666</v>
      </c>
      <c r="E148" s="382">
        <v>14574219.76</v>
      </c>
      <c r="F148" s="103">
        <f t="shared" si="85"/>
        <v>3036.295783333333</v>
      </c>
      <c r="G148" s="378">
        <v>223890.7</v>
      </c>
      <c r="H148" s="103">
        <f t="shared" si="86"/>
        <v>27.986337500000001</v>
      </c>
      <c r="I148" s="382">
        <v>151429.91</v>
      </c>
      <c r="J148" s="103">
        <f t="shared" si="92"/>
        <v>18.928738750000001</v>
      </c>
      <c r="K148" s="378">
        <v>22689.42</v>
      </c>
      <c r="L148" s="103">
        <f t="shared" si="97"/>
        <v>4.0967008333333332</v>
      </c>
      <c r="M148" s="378">
        <v>3581.32</v>
      </c>
      <c r="N148" s="103">
        <f t="shared" si="98"/>
        <v>0.24870277777777783</v>
      </c>
      <c r="O148" s="378">
        <v>169745.79</v>
      </c>
      <c r="P148" s="103">
        <f t="shared" si="99"/>
        <v>30.648545416666668</v>
      </c>
      <c r="Q148" s="378">
        <v>7527838.0300000003</v>
      </c>
      <c r="R148" s="380">
        <f t="shared" si="100"/>
        <v>1672.8528955555557</v>
      </c>
    </row>
    <row r="149" spans="2:18" x14ac:dyDescent="0.25">
      <c r="B149" s="377">
        <f t="shared" si="65"/>
        <v>45632</v>
      </c>
      <c r="C149" s="378">
        <v>2433808.31</v>
      </c>
      <c r="D149" s="103">
        <f t="shared" si="84"/>
        <v>507.04339791666666</v>
      </c>
      <c r="E149" s="382">
        <v>14574219.76</v>
      </c>
      <c r="F149" s="103">
        <f t="shared" si="85"/>
        <v>3036.295783333333</v>
      </c>
      <c r="G149" s="378">
        <v>223890.7</v>
      </c>
      <c r="H149" s="103">
        <f t="shared" si="86"/>
        <v>27.986337500000001</v>
      </c>
      <c r="I149" s="382">
        <v>151429.91</v>
      </c>
      <c r="J149" s="103">
        <f t="shared" si="92"/>
        <v>18.928738750000001</v>
      </c>
      <c r="K149" s="378">
        <v>22689.42</v>
      </c>
      <c r="L149" s="103">
        <f t="shared" si="97"/>
        <v>4.0967008333333332</v>
      </c>
      <c r="M149" s="378">
        <v>3581.32</v>
      </c>
      <c r="N149" s="103">
        <f t="shared" si="98"/>
        <v>0.24870277777777783</v>
      </c>
      <c r="O149" s="378">
        <v>169745.79</v>
      </c>
      <c r="P149" s="103">
        <f t="shared" si="99"/>
        <v>30.648545416666668</v>
      </c>
      <c r="Q149" s="378">
        <v>7527838.0300000003</v>
      </c>
      <c r="R149" s="380">
        <f t="shared" si="100"/>
        <v>1672.8528955555557</v>
      </c>
    </row>
    <row r="150" spans="2:18" x14ac:dyDescent="0.25">
      <c r="B150" s="377">
        <f t="shared" si="65"/>
        <v>45633</v>
      </c>
      <c r="C150" s="378">
        <v>2433808.31</v>
      </c>
      <c r="D150" s="103">
        <f t="shared" si="84"/>
        <v>507.04339791666666</v>
      </c>
      <c r="E150" s="382">
        <v>14574219.76</v>
      </c>
      <c r="F150" s="103">
        <f t="shared" si="85"/>
        <v>3036.295783333333</v>
      </c>
      <c r="G150" s="378">
        <v>223890.7</v>
      </c>
      <c r="H150" s="103">
        <f t="shared" si="86"/>
        <v>27.986337500000001</v>
      </c>
      <c r="I150" s="382">
        <v>151429.91</v>
      </c>
      <c r="J150" s="103">
        <f t="shared" si="92"/>
        <v>18.928738750000001</v>
      </c>
      <c r="K150" s="378">
        <v>22689.42</v>
      </c>
      <c r="L150" s="103">
        <f t="shared" si="97"/>
        <v>4.0967008333333332</v>
      </c>
      <c r="M150" s="378">
        <v>3581.32</v>
      </c>
      <c r="N150" s="103">
        <f t="shared" si="98"/>
        <v>0.24870277777777783</v>
      </c>
      <c r="O150" s="378">
        <v>169745.79</v>
      </c>
      <c r="P150" s="103">
        <f t="shared" si="99"/>
        <v>30.648545416666668</v>
      </c>
      <c r="Q150" s="378">
        <v>7527838.0300000003</v>
      </c>
      <c r="R150" s="380">
        <f t="shared" si="100"/>
        <v>1672.8528955555557</v>
      </c>
    </row>
    <row r="151" spans="2:18" x14ac:dyDescent="0.25">
      <c r="B151" s="377">
        <f t="shared" si="65"/>
        <v>45634</v>
      </c>
      <c r="C151" s="378">
        <v>2433808.31</v>
      </c>
      <c r="D151" s="103">
        <f t="shared" si="84"/>
        <v>507.04339791666666</v>
      </c>
      <c r="E151" s="382">
        <v>14574219.76</v>
      </c>
      <c r="F151" s="103">
        <f t="shared" si="85"/>
        <v>3036.295783333333</v>
      </c>
      <c r="G151" s="378">
        <v>233890.7</v>
      </c>
      <c r="H151" s="103">
        <f t="shared" si="86"/>
        <v>29.236337500000001</v>
      </c>
      <c r="I151" s="382">
        <v>151429.91</v>
      </c>
      <c r="J151" s="103">
        <f t="shared" ref="J151:J157" si="101">(I151*4.5%)/360</f>
        <v>18.928738750000001</v>
      </c>
      <c r="K151" s="378">
        <v>22689.42</v>
      </c>
      <c r="L151" s="103">
        <f t="shared" ref="L151:L157" si="102">(K151*6.5%)/360</f>
        <v>4.0967008333333332</v>
      </c>
      <c r="M151" s="378">
        <v>3581.32</v>
      </c>
      <c r="N151" s="103">
        <f t="shared" ref="N151:N157" si="103">(M151*2.5%)/360</f>
        <v>0.24870277777777783</v>
      </c>
      <c r="O151" s="378">
        <v>169745.79</v>
      </c>
      <c r="P151" s="103">
        <f t="shared" ref="P151:P157" si="104">(O151*6.5%)/360</f>
        <v>30.648545416666668</v>
      </c>
      <c r="Q151" s="378">
        <v>7527838.0300000003</v>
      </c>
      <c r="R151" s="380">
        <f t="shared" ref="R151:R157" si="105">(Q151*8%)/360</f>
        <v>1672.8528955555557</v>
      </c>
    </row>
    <row r="152" spans="2:18" x14ac:dyDescent="0.25">
      <c r="B152" s="377">
        <f t="shared" si="65"/>
        <v>45635</v>
      </c>
      <c r="C152" s="378">
        <v>2366652.94</v>
      </c>
      <c r="D152" s="103">
        <f t="shared" si="84"/>
        <v>493.0526958333333</v>
      </c>
      <c r="E152" s="382">
        <v>14574219.76</v>
      </c>
      <c r="F152" s="103">
        <f t="shared" si="85"/>
        <v>3036.295783333333</v>
      </c>
      <c r="G152" s="378">
        <v>223890.7</v>
      </c>
      <c r="H152" s="103">
        <f t="shared" si="86"/>
        <v>27.986337500000001</v>
      </c>
      <c r="I152" s="382">
        <v>151429.91</v>
      </c>
      <c r="J152" s="103">
        <f t="shared" si="101"/>
        <v>18.928738750000001</v>
      </c>
      <c r="K152" s="378">
        <v>22689.42</v>
      </c>
      <c r="L152" s="103">
        <f t="shared" si="102"/>
        <v>4.0967008333333332</v>
      </c>
      <c r="M152" s="378">
        <v>3581.32</v>
      </c>
      <c r="N152" s="103">
        <f t="shared" si="103"/>
        <v>0.24870277777777783</v>
      </c>
      <c r="O152" s="378">
        <v>169745.79</v>
      </c>
      <c r="P152" s="103">
        <f t="shared" si="104"/>
        <v>30.648545416666668</v>
      </c>
      <c r="Q152" s="378">
        <v>7527838.0300000003</v>
      </c>
      <c r="R152" s="380">
        <f t="shared" si="105"/>
        <v>1672.8528955555557</v>
      </c>
    </row>
    <row r="153" spans="2:18" x14ac:dyDescent="0.25">
      <c r="B153" s="377">
        <f t="shared" si="65"/>
        <v>45636</v>
      </c>
      <c r="C153" s="378">
        <v>2366652.94</v>
      </c>
      <c r="D153" s="103">
        <f t="shared" si="84"/>
        <v>493.0526958333333</v>
      </c>
      <c r="E153" s="382">
        <v>14546918.75</v>
      </c>
      <c r="F153" s="103">
        <f t="shared" si="85"/>
        <v>3030.6080729166665</v>
      </c>
      <c r="G153" s="378">
        <v>223890.7</v>
      </c>
      <c r="H153" s="103">
        <f t="shared" si="86"/>
        <v>27.986337500000001</v>
      </c>
      <c r="I153" s="382">
        <v>151429.91</v>
      </c>
      <c r="J153" s="103">
        <f t="shared" si="101"/>
        <v>18.928738750000001</v>
      </c>
      <c r="K153" s="378">
        <v>22689.42</v>
      </c>
      <c r="L153" s="103">
        <f t="shared" si="102"/>
        <v>4.0967008333333332</v>
      </c>
      <c r="M153" s="378">
        <v>3581.32</v>
      </c>
      <c r="N153" s="103">
        <f t="shared" si="103"/>
        <v>0.24870277777777783</v>
      </c>
      <c r="O153" s="378">
        <v>169745.79</v>
      </c>
      <c r="P153" s="103">
        <f t="shared" si="104"/>
        <v>30.648545416666668</v>
      </c>
      <c r="Q153" s="378">
        <v>7527838.0300000003</v>
      </c>
      <c r="R153" s="380">
        <f t="shared" si="105"/>
        <v>1672.8528955555557</v>
      </c>
    </row>
    <row r="154" spans="2:18" x14ac:dyDescent="0.25">
      <c r="B154" s="377">
        <f t="shared" si="65"/>
        <v>45637</v>
      </c>
      <c r="C154" s="378">
        <v>2366652.94</v>
      </c>
      <c r="D154" s="103">
        <f t="shared" si="84"/>
        <v>493.0526958333333</v>
      </c>
      <c r="E154" s="382">
        <v>14541418.75</v>
      </c>
      <c r="F154" s="103">
        <f t="shared" si="85"/>
        <v>3029.4622395833335</v>
      </c>
      <c r="G154" s="378">
        <v>223890.7</v>
      </c>
      <c r="H154" s="103">
        <f t="shared" si="86"/>
        <v>27.986337500000001</v>
      </c>
      <c r="I154" s="382">
        <v>151429.91</v>
      </c>
      <c r="J154" s="103">
        <f t="shared" si="101"/>
        <v>18.928738750000001</v>
      </c>
      <c r="K154" s="378">
        <v>22689.42</v>
      </c>
      <c r="L154" s="103">
        <f t="shared" si="102"/>
        <v>4.0967008333333332</v>
      </c>
      <c r="M154" s="378">
        <v>3581.32</v>
      </c>
      <c r="N154" s="103">
        <f t="shared" si="103"/>
        <v>0.24870277777777783</v>
      </c>
      <c r="O154" s="378">
        <v>169745.79</v>
      </c>
      <c r="P154" s="103">
        <f t="shared" si="104"/>
        <v>30.648545416666668</v>
      </c>
      <c r="Q154" s="378">
        <v>7527838.0300000003</v>
      </c>
      <c r="R154" s="380">
        <f t="shared" si="105"/>
        <v>1672.8528955555557</v>
      </c>
    </row>
    <row r="155" spans="2:18" x14ac:dyDescent="0.25">
      <c r="B155" s="377">
        <f t="shared" si="65"/>
        <v>45638</v>
      </c>
      <c r="C155" s="378">
        <v>1654784.67</v>
      </c>
      <c r="D155" s="103">
        <f t="shared" si="84"/>
        <v>344.74680624999996</v>
      </c>
      <c r="E155" s="382">
        <v>14541418.75</v>
      </c>
      <c r="F155" s="103">
        <f t="shared" si="85"/>
        <v>3029.4622395833335</v>
      </c>
      <c r="G155" s="378">
        <v>223890.7</v>
      </c>
      <c r="H155" s="103">
        <f t="shared" si="86"/>
        <v>27.986337500000001</v>
      </c>
      <c r="I155" s="382">
        <v>151429.91</v>
      </c>
      <c r="J155" s="103">
        <f t="shared" si="101"/>
        <v>18.928738750000001</v>
      </c>
      <c r="K155" s="378">
        <v>22689.42</v>
      </c>
      <c r="L155" s="103">
        <f t="shared" si="102"/>
        <v>4.0967008333333332</v>
      </c>
      <c r="M155" s="378">
        <v>3581.32</v>
      </c>
      <c r="N155" s="103">
        <f t="shared" si="103"/>
        <v>0.24870277777777783</v>
      </c>
      <c r="O155" s="378">
        <v>169745.79</v>
      </c>
      <c r="P155" s="103">
        <f t="shared" si="104"/>
        <v>30.648545416666668</v>
      </c>
      <c r="Q155" s="378">
        <v>7527838.0300000003</v>
      </c>
      <c r="R155" s="380">
        <f t="shared" si="105"/>
        <v>1672.8528955555557</v>
      </c>
    </row>
    <row r="156" spans="2:18" x14ac:dyDescent="0.25">
      <c r="B156" s="377">
        <f t="shared" si="65"/>
        <v>45639</v>
      </c>
      <c r="C156" s="378">
        <v>1654784.67</v>
      </c>
      <c r="D156" s="103">
        <f t="shared" si="84"/>
        <v>344.74680624999996</v>
      </c>
      <c r="E156" s="382">
        <v>14541418.75</v>
      </c>
      <c r="F156" s="103">
        <f t="shared" si="85"/>
        <v>3029.4622395833335</v>
      </c>
      <c r="G156" s="378">
        <v>223890.7</v>
      </c>
      <c r="H156" s="103">
        <f t="shared" si="86"/>
        <v>27.986337500000001</v>
      </c>
      <c r="I156" s="382">
        <v>151429.91</v>
      </c>
      <c r="J156" s="103">
        <f t="shared" si="101"/>
        <v>18.928738750000001</v>
      </c>
      <c r="K156" s="378">
        <v>22689.42</v>
      </c>
      <c r="L156" s="103">
        <f t="shared" si="102"/>
        <v>4.0967008333333332</v>
      </c>
      <c r="M156" s="378">
        <v>3581.32</v>
      </c>
      <c r="N156" s="103">
        <f t="shared" si="103"/>
        <v>0.24870277777777783</v>
      </c>
      <c r="O156" s="378">
        <v>169745.79</v>
      </c>
      <c r="P156" s="103">
        <f t="shared" si="104"/>
        <v>30.648545416666668</v>
      </c>
      <c r="Q156" s="378">
        <v>7527838.0300000003</v>
      </c>
      <c r="R156" s="380">
        <f t="shared" si="105"/>
        <v>1672.8528955555557</v>
      </c>
    </row>
    <row r="157" spans="2:18" x14ac:dyDescent="0.25">
      <c r="B157" s="377">
        <f t="shared" si="65"/>
        <v>45640</v>
      </c>
      <c r="C157" s="378">
        <v>1654784.67</v>
      </c>
      <c r="D157" s="103">
        <f t="shared" si="84"/>
        <v>344.74680624999996</v>
      </c>
      <c r="E157" s="382">
        <v>14541418.75</v>
      </c>
      <c r="F157" s="103">
        <f t="shared" si="85"/>
        <v>3029.4622395833335</v>
      </c>
      <c r="G157" s="378">
        <v>223890.7</v>
      </c>
      <c r="H157" s="103">
        <f t="shared" si="86"/>
        <v>27.986337500000001</v>
      </c>
      <c r="I157" s="382">
        <v>151429.91</v>
      </c>
      <c r="J157" s="103">
        <f t="shared" si="101"/>
        <v>18.928738750000001</v>
      </c>
      <c r="K157" s="378">
        <v>22689.42</v>
      </c>
      <c r="L157" s="103">
        <f t="shared" si="102"/>
        <v>4.0967008333333332</v>
      </c>
      <c r="M157" s="378">
        <v>3581.32</v>
      </c>
      <c r="N157" s="103">
        <f t="shared" si="103"/>
        <v>0.24870277777777783</v>
      </c>
      <c r="O157" s="378">
        <v>169745.79</v>
      </c>
      <c r="P157" s="103">
        <f t="shared" si="104"/>
        <v>30.648545416666668</v>
      </c>
      <c r="Q157" s="378">
        <v>7527838.0300000003</v>
      </c>
      <c r="R157" s="380">
        <f t="shared" si="105"/>
        <v>1672.8528955555557</v>
      </c>
    </row>
    <row r="158" spans="2:18" x14ac:dyDescent="0.25">
      <c r="B158" s="377">
        <f t="shared" si="65"/>
        <v>45641</v>
      </c>
      <c r="C158" s="378">
        <v>1654784.67</v>
      </c>
      <c r="D158" s="103">
        <f t="shared" si="84"/>
        <v>344.74680624999996</v>
      </c>
      <c r="E158" s="382">
        <v>14920678.75</v>
      </c>
      <c r="F158" s="103">
        <f t="shared" si="85"/>
        <v>3108.4747395833333</v>
      </c>
      <c r="G158" s="378">
        <v>225890.7</v>
      </c>
      <c r="H158" s="103">
        <f t="shared" si="86"/>
        <v>28.236337500000001</v>
      </c>
      <c r="I158" s="382">
        <v>151429.91</v>
      </c>
      <c r="J158" s="103">
        <f t="shared" ref="J158:J164" si="106">(I158*4.5%)/360</f>
        <v>18.928738750000001</v>
      </c>
      <c r="K158" s="378">
        <v>22689.42</v>
      </c>
      <c r="L158" s="103">
        <f t="shared" ref="L158:L164" si="107">(K158*6.5%)/360</f>
        <v>4.0967008333333332</v>
      </c>
      <c r="M158" s="378">
        <v>3581.32</v>
      </c>
      <c r="N158" s="103">
        <f t="shared" ref="N158:N164" si="108">(M158*2.5%)/360</f>
        <v>0.24870277777777783</v>
      </c>
      <c r="O158" s="378">
        <v>169745.79</v>
      </c>
      <c r="P158" s="103">
        <f t="shared" ref="P158:P164" si="109">(O158*6.5%)/360</f>
        <v>30.648545416666668</v>
      </c>
      <c r="Q158" s="378">
        <v>7527838.0300000003</v>
      </c>
      <c r="R158" s="380">
        <f t="shared" ref="R158:R164" si="110">(Q158*8%)/360</f>
        <v>1672.8528955555557</v>
      </c>
    </row>
    <row r="159" spans="2:18" x14ac:dyDescent="0.25">
      <c r="B159" s="377">
        <f t="shared" si="65"/>
        <v>45642</v>
      </c>
      <c r="C159" s="378">
        <v>1654784.67</v>
      </c>
      <c r="D159" s="103">
        <f t="shared" si="84"/>
        <v>344.74680624999996</v>
      </c>
      <c r="E159" s="382">
        <v>14920678.75</v>
      </c>
      <c r="F159" s="103">
        <f t="shared" si="85"/>
        <v>3108.4747395833333</v>
      </c>
      <c r="G159" s="378">
        <v>225890.7</v>
      </c>
      <c r="H159" s="103">
        <f t="shared" si="86"/>
        <v>28.236337500000001</v>
      </c>
      <c r="I159" s="382">
        <v>151429.91</v>
      </c>
      <c r="J159" s="103">
        <f t="shared" si="106"/>
        <v>18.928738750000001</v>
      </c>
      <c r="K159" s="378">
        <v>22689.42</v>
      </c>
      <c r="L159" s="103">
        <f t="shared" si="107"/>
        <v>4.0967008333333332</v>
      </c>
      <c r="M159" s="378">
        <v>3581.32</v>
      </c>
      <c r="N159" s="103">
        <f t="shared" si="108"/>
        <v>0.24870277777777783</v>
      </c>
      <c r="O159" s="378">
        <v>169745.79</v>
      </c>
      <c r="P159" s="103">
        <f t="shared" si="109"/>
        <v>30.648545416666668</v>
      </c>
      <c r="Q159" s="378">
        <v>7527838.0300000003</v>
      </c>
      <c r="R159" s="380">
        <f t="shared" si="110"/>
        <v>1672.8528955555557</v>
      </c>
    </row>
    <row r="160" spans="2:18" x14ac:dyDescent="0.25">
      <c r="B160" s="377">
        <f t="shared" si="65"/>
        <v>45643</v>
      </c>
      <c r="C160" s="378">
        <v>791175.05</v>
      </c>
      <c r="D160" s="103">
        <f t="shared" si="84"/>
        <v>164.82813541666667</v>
      </c>
      <c r="E160" s="382">
        <v>13464344.07</v>
      </c>
      <c r="F160" s="103">
        <f t="shared" si="85"/>
        <v>2805.07168125</v>
      </c>
      <c r="G160" s="378">
        <v>225890.7</v>
      </c>
      <c r="H160" s="103">
        <f t="shared" si="86"/>
        <v>28.236337500000001</v>
      </c>
      <c r="I160" s="382">
        <v>150070.84</v>
      </c>
      <c r="J160" s="103">
        <f t="shared" si="106"/>
        <v>18.758855000000001</v>
      </c>
      <c r="K160" s="378">
        <v>22689.42</v>
      </c>
      <c r="L160" s="103">
        <f t="shared" si="107"/>
        <v>4.0967008333333332</v>
      </c>
      <c r="M160" s="378">
        <v>3581.32</v>
      </c>
      <c r="N160" s="103">
        <f t="shared" si="108"/>
        <v>0.24870277777777783</v>
      </c>
      <c r="O160" s="378">
        <v>169745.79</v>
      </c>
      <c r="P160" s="103">
        <f t="shared" si="109"/>
        <v>30.648545416666668</v>
      </c>
      <c r="Q160" s="378">
        <v>7527838.0300000003</v>
      </c>
      <c r="R160" s="380">
        <f t="shared" si="110"/>
        <v>1672.8528955555557</v>
      </c>
    </row>
    <row r="161" spans="2:18" x14ac:dyDescent="0.25">
      <c r="B161" s="377">
        <f t="shared" si="65"/>
        <v>45644</v>
      </c>
      <c r="C161" s="378">
        <v>791175.05</v>
      </c>
      <c r="D161" s="103">
        <f t="shared" si="84"/>
        <v>164.82813541666667</v>
      </c>
      <c r="E161" s="382">
        <v>13464344.07</v>
      </c>
      <c r="F161" s="103">
        <f t="shared" si="85"/>
        <v>2805.07168125</v>
      </c>
      <c r="G161" s="378">
        <v>225890.7</v>
      </c>
      <c r="H161" s="103">
        <f t="shared" si="86"/>
        <v>28.236337500000001</v>
      </c>
      <c r="I161" s="382">
        <v>150070.84</v>
      </c>
      <c r="J161" s="103">
        <f t="shared" si="106"/>
        <v>18.758855000000001</v>
      </c>
      <c r="K161" s="378">
        <v>22689.42</v>
      </c>
      <c r="L161" s="103">
        <f t="shared" si="107"/>
        <v>4.0967008333333332</v>
      </c>
      <c r="M161" s="378">
        <v>3581.32</v>
      </c>
      <c r="N161" s="103">
        <f t="shared" si="108"/>
        <v>0.24870277777777783</v>
      </c>
      <c r="O161" s="378">
        <v>169745.79</v>
      </c>
      <c r="P161" s="103">
        <f t="shared" si="109"/>
        <v>30.648545416666668</v>
      </c>
      <c r="Q161" s="378">
        <v>7527838.0300000003</v>
      </c>
      <c r="R161" s="380">
        <f t="shared" si="110"/>
        <v>1672.8528955555557</v>
      </c>
    </row>
    <row r="162" spans="2:18" x14ac:dyDescent="0.25">
      <c r="B162" s="377">
        <f t="shared" si="65"/>
        <v>45645</v>
      </c>
      <c r="C162" s="378">
        <v>791175.05</v>
      </c>
      <c r="D162" s="103">
        <f t="shared" si="84"/>
        <v>164.82813541666667</v>
      </c>
      <c r="E162" s="382">
        <v>13464344.07</v>
      </c>
      <c r="F162" s="103">
        <f t="shared" si="85"/>
        <v>2805.07168125</v>
      </c>
      <c r="G162" s="378">
        <v>225890.7</v>
      </c>
      <c r="H162" s="103">
        <f t="shared" si="86"/>
        <v>28.236337500000001</v>
      </c>
      <c r="I162" s="382">
        <v>150070.84</v>
      </c>
      <c r="J162" s="103">
        <f t="shared" si="106"/>
        <v>18.758855000000001</v>
      </c>
      <c r="K162" s="378">
        <v>22689.42</v>
      </c>
      <c r="L162" s="103">
        <f t="shared" si="107"/>
        <v>4.0967008333333332</v>
      </c>
      <c r="M162" s="378">
        <v>3581.32</v>
      </c>
      <c r="N162" s="103">
        <f t="shared" si="108"/>
        <v>0.24870277777777783</v>
      </c>
      <c r="O162" s="378">
        <v>169745.79</v>
      </c>
      <c r="P162" s="103">
        <f t="shared" si="109"/>
        <v>30.648545416666668</v>
      </c>
      <c r="Q162" s="378">
        <v>7527838.0300000003</v>
      </c>
      <c r="R162" s="380">
        <f t="shared" si="110"/>
        <v>1672.8528955555557</v>
      </c>
    </row>
    <row r="163" spans="2:18" x14ac:dyDescent="0.25">
      <c r="B163" s="377">
        <f t="shared" si="65"/>
        <v>45646</v>
      </c>
      <c r="C163" s="378">
        <v>791175.05</v>
      </c>
      <c r="D163" s="103">
        <f t="shared" si="84"/>
        <v>164.82813541666667</v>
      </c>
      <c r="E163" s="382">
        <v>13464344.07</v>
      </c>
      <c r="F163" s="103">
        <f t="shared" si="85"/>
        <v>2805.07168125</v>
      </c>
      <c r="G163" s="378">
        <v>225890.7</v>
      </c>
      <c r="H163" s="103">
        <f t="shared" si="86"/>
        <v>28.236337500000001</v>
      </c>
      <c r="I163" s="382">
        <v>150070.84</v>
      </c>
      <c r="J163" s="103">
        <f t="shared" si="106"/>
        <v>18.758855000000001</v>
      </c>
      <c r="K163" s="378">
        <v>22689.42</v>
      </c>
      <c r="L163" s="103">
        <f t="shared" si="107"/>
        <v>4.0967008333333332</v>
      </c>
      <c r="M163" s="378">
        <v>3581.32</v>
      </c>
      <c r="N163" s="103">
        <f t="shared" si="108"/>
        <v>0.24870277777777783</v>
      </c>
      <c r="O163" s="378">
        <v>169745.79</v>
      </c>
      <c r="P163" s="103">
        <f t="shared" si="109"/>
        <v>30.648545416666668</v>
      </c>
      <c r="Q163" s="378">
        <v>7527838.0300000003</v>
      </c>
      <c r="R163" s="380">
        <f t="shared" si="110"/>
        <v>1672.8528955555557</v>
      </c>
    </row>
    <row r="164" spans="2:18" x14ac:dyDescent="0.25">
      <c r="B164" s="377">
        <f t="shared" si="65"/>
        <v>45647</v>
      </c>
      <c r="C164" s="378">
        <v>791175.05</v>
      </c>
      <c r="D164" s="103">
        <f t="shared" si="84"/>
        <v>164.82813541666667</v>
      </c>
      <c r="E164" s="382">
        <v>13464344.07</v>
      </c>
      <c r="F164" s="103">
        <f t="shared" si="85"/>
        <v>2805.07168125</v>
      </c>
      <c r="G164" s="378">
        <v>225890.7</v>
      </c>
      <c r="H164" s="103">
        <f t="shared" si="86"/>
        <v>28.236337500000001</v>
      </c>
      <c r="I164" s="382">
        <v>150070.84</v>
      </c>
      <c r="J164" s="103">
        <f t="shared" si="106"/>
        <v>18.758855000000001</v>
      </c>
      <c r="K164" s="378">
        <v>22689.42</v>
      </c>
      <c r="L164" s="103">
        <f t="shared" si="107"/>
        <v>4.0967008333333332</v>
      </c>
      <c r="M164" s="378">
        <v>3581.32</v>
      </c>
      <c r="N164" s="103">
        <f t="shared" si="108"/>
        <v>0.24870277777777783</v>
      </c>
      <c r="O164" s="378">
        <v>169745.79</v>
      </c>
      <c r="P164" s="103">
        <f t="shared" si="109"/>
        <v>30.648545416666668</v>
      </c>
      <c r="Q164" s="378">
        <v>7527838.0300000003</v>
      </c>
      <c r="R164" s="380">
        <f t="shared" si="110"/>
        <v>1672.8528955555557</v>
      </c>
    </row>
    <row r="165" spans="2:18" x14ac:dyDescent="0.25">
      <c r="B165" s="377">
        <f t="shared" si="65"/>
        <v>45648</v>
      </c>
      <c r="C165" s="378">
        <v>791175.05</v>
      </c>
      <c r="D165" s="103">
        <f t="shared" ref="D165:D171" si="111">(C165*7.5%)/360</f>
        <v>164.82813541666667</v>
      </c>
      <c r="E165" s="382">
        <v>13464344.07</v>
      </c>
      <c r="F165" s="103">
        <f t="shared" ref="F165:F171" si="112">(E165*7.5%)/360</f>
        <v>2805.07168125</v>
      </c>
      <c r="G165" s="378">
        <v>225890.7</v>
      </c>
      <c r="H165" s="103">
        <f t="shared" ref="H165:H171" si="113">(G165*4.5%)/360</f>
        <v>28.236337500000001</v>
      </c>
      <c r="I165" s="382">
        <v>150070.84</v>
      </c>
      <c r="J165" s="103">
        <f t="shared" ref="J165:J171" si="114">(I165*4.5%)/360</f>
        <v>18.758855000000001</v>
      </c>
      <c r="K165" s="378">
        <v>22689.42</v>
      </c>
      <c r="L165" s="103">
        <f t="shared" ref="L165:L171" si="115">(K165*6.5%)/360</f>
        <v>4.0967008333333332</v>
      </c>
      <c r="M165" s="378">
        <v>3581.32</v>
      </c>
      <c r="N165" s="103">
        <f t="shared" ref="N165:N171" si="116">(M165*2.5%)/360</f>
        <v>0.24870277777777783</v>
      </c>
      <c r="O165" s="378">
        <v>169745.79</v>
      </c>
      <c r="P165" s="103">
        <f t="shared" ref="P165:P171" si="117">(O165*6.5%)/360</f>
        <v>30.648545416666668</v>
      </c>
      <c r="Q165" s="378">
        <v>7527838.0300000003</v>
      </c>
      <c r="R165" s="380">
        <f t="shared" ref="R165:R171" si="118">(Q165*8%)/360</f>
        <v>1672.8528955555557</v>
      </c>
    </row>
    <row r="166" spans="2:18" x14ac:dyDescent="0.25">
      <c r="B166" s="377">
        <f t="shared" ref="B166:B171" si="119">B165+1</f>
        <v>45649</v>
      </c>
      <c r="C166" s="378">
        <v>791175.05</v>
      </c>
      <c r="D166" s="103">
        <f t="shared" si="111"/>
        <v>164.82813541666667</v>
      </c>
      <c r="E166" s="382">
        <v>13464344.07</v>
      </c>
      <c r="F166" s="103">
        <f t="shared" si="112"/>
        <v>2805.07168125</v>
      </c>
      <c r="G166" s="378">
        <v>225890.7</v>
      </c>
      <c r="H166" s="103">
        <f t="shared" si="113"/>
        <v>28.236337500000001</v>
      </c>
      <c r="I166" s="382">
        <v>150070.84</v>
      </c>
      <c r="J166" s="103">
        <f t="shared" si="114"/>
        <v>18.758855000000001</v>
      </c>
      <c r="K166" s="378">
        <v>22689.42</v>
      </c>
      <c r="L166" s="103">
        <f t="shared" si="115"/>
        <v>4.0967008333333332</v>
      </c>
      <c r="M166" s="378">
        <v>3581.32</v>
      </c>
      <c r="N166" s="103">
        <f t="shared" si="116"/>
        <v>0.24870277777777783</v>
      </c>
      <c r="O166" s="378">
        <v>169745.79</v>
      </c>
      <c r="P166" s="103">
        <f t="shared" si="117"/>
        <v>30.648545416666668</v>
      </c>
      <c r="Q166" s="378">
        <v>7527838.0300000003</v>
      </c>
      <c r="R166" s="380">
        <f t="shared" si="118"/>
        <v>1672.8528955555557</v>
      </c>
    </row>
    <row r="167" spans="2:18" x14ac:dyDescent="0.25">
      <c r="B167" s="377">
        <f t="shared" si="119"/>
        <v>45650</v>
      </c>
      <c r="C167" s="378">
        <v>663505.05000000005</v>
      </c>
      <c r="D167" s="103">
        <f t="shared" si="111"/>
        <v>138.23021875000001</v>
      </c>
      <c r="E167" s="382">
        <v>13464344.07</v>
      </c>
      <c r="F167" s="103">
        <f t="shared" si="112"/>
        <v>2805.07168125</v>
      </c>
      <c r="G167" s="378">
        <v>225890.7</v>
      </c>
      <c r="H167" s="103">
        <f t="shared" si="113"/>
        <v>28.236337500000001</v>
      </c>
      <c r="I167" s="382">
        <v>150070.84</v>
      </c>
      <c r="J167" s="103">
        <f t="shared" si="114"/>
        <v>18.758855000000001</v>
      </c>
      <c r="K167" s="378">
        <v>22689.42</v>
      </c>
      <c r="L167" s="103">
        <f t="shared" si="115"/>
        <v>4.0967008333333332</v>
      </c>
      <c r="M167" s="378">
        <v>3581.32</v>
      </c>
      <c r="N167" s="103">
        <f t="shared" si="116"/>
        <v>0.24870277777777783</v>
      </c>
      <c r="O167" s="378">
        <v>169745.79</v>
      </c>
      <c r="P167" s="103">
        <f t="shared" si="117"/>
        <v>30.648545416666668</v>
      </c>
      <c r="Q167" s="378">
        <v>7527838.0300000003</v>
      </c>
      <c r="R167" s="380">
        <f t="shared" si="118"/>
        <v>1672.8528955555557</v>
      </c>
    </row>
    <row r="168" spans="2:18" x14ac:dyDescent="0.25">
      <c r="B168" s="377">
        <f t="shared" si="119"/>
        <v>45651</v>
      </c>
      <c r="C168" s="378">
        <v>663505.05000000005</v>
      </c>
      <c r="D168" s="103">
        <f t="shared" si="111"/>
        <v>138.23021875000001</v>
      </c>
      <c r="E168" s="382">
        <v>13464344.07</v>
      </c>
      <c r="F168" s="103">
        <f t="shared" si="112"/>
        <v>2805.07168125</v>
      </c>
      <c r="G168" s="378">
        <v>225890.7</v>
      </c>
      <c r="H168" s="103">
        <f t="shared" si="113"/>
        <v>28.236337500000001</v>
      </c>
      <c r="I168" s="382">
        <v>150070.84</v>
      </c>
      <c r="J168" s="103">
        <f t="shared" si="114"/>
        <v>18.758855000000001</v>
      </c>
      <c r="K168" s="378">
        <v>22689.42</v>
      </c>
      <c r="L168" s="103">
        <f t="shared" si="115"/>
        <v>4.0967008333333332</v>
      </c>
      <c r="M168" s="378">
        <v>3581.32</v>
      </c>
      <c r="N168" s="103">
        <f t="shared" si="116"/>
        <v>0.24870277777777783</v>
      </c>
      <c r="O168" s="378">
        <v>169745.79</v>
      </c>
      <c r="P168" s="103">
        <f t="shared" si="117"/>
        <v>30.648545416666668</v>
      </c>
      <c r="Q168" s="378">
        <v>7527838.0300000003</v>
      </c>
      <c r="R168" s="380">
        <f t="shared" si="118"/>
        <v>1672.8528955555557</v>
      </c>
    </row>
    <row r="169" spans="2:18" x14ac:dyDescent="0.25">
      <c r="B169" s="377">
        <f t="shared" si="119"/>
        <v>45652</v>
      </c>
      <c r="C169" s="378">
        <v>663505.05000000005</v>
      </c>
      <c r="D169" s="103">
        <f t="shared" si="111"/>
        <v>138.23021875000001</v>
      </c>
      <c r="E169" s="382">
        <v>13464344.07</v>
      </c>
      <c r="F169" s="103">
        <f t="shared" si="112"/>
        <v>2805.07168125</v>
      </c>
      <c r="G169" s="378">
        <v>331890.7</v>
      </c>
      <c r="H169" s="103">
        <f>(G169*4.5%)/360</f>
        <v>41.486337499999998</v>
      </c>
      <c r="I169" s="382">
        <v>150070.84</v>
      </c>
      <c r="J169" s="103">
        <f t="shared" si="114"/>
        <v>18.758855000000001</v>
      </c>
      <c r="K169" s="378">
        <v>22689.42</v>
      </c>
      <c r="L169" s="103">
        <f t="shared" si="115"/>
        <v>4.0967008333333332</v>
      </c>
      <c r="M169" s="378">
        <v>3581.32</v>
      </c>
      <c r="N169" s="103">
        <f t="shared" si="116"/>
        <v>0.24870277777777783</v>
      </c>
      <c r="O169" s="378">
        <v>169745.79</v>
      </c>
      <c r="P169" s="103">
        <f t="shared" si="117"/>
        <v>30.648545416666668</v>
      </c>
      <c r="Q169" s="378">
        <v>7527838.0300000003</v>
      </c>
      <c r="R169" s="380">
        <f t="shared" si="118"/>
        <v>1672.8528955555557</v>
      </c>
    </row>
    <row r="170" spans="2:18" x14ac:dyDescent="0.25">
      <c r="B170" s="377">
        <f t="shared" si="119"/>
        <v>45653</v>
      </c>
      <c r="C170" s="378">
        <v>663505.05000000005</v>
      </c>
      <c r="D170" s="103">
        <f t="shared" si="111"/>
        <v>138.23021875000001</v>
      </c>
      <c r="E170" s="382">
        <v>13464344.07</v>
      </c>
      <c r="F170" s="103">
        <f t="shared" si="112"/>
        <v>2805.07168125</v>
      </c>
      <c r="G170" s="378">
        <v>331890.7</v>
      </c>
      <c r="H170" s="103">
        <f>(G170*4.5%)/360</f>
        <v>41.486337499999998</v>
      </c>
      <c r="I170" s="382">
        <v>150070.84</v>
      </c>
      <c r="J170" s="103">
        <f t="shared" si="114"/>
        <v>18.758855000000001</v>
      </c>
      <c r="K170" s="378">
        <v>22689.42</v>
      </c>
      <c r="L170" s="103">
        <f t="shared" si="115"/>
        <v>4.0967008333333332</v>
      </c>
      <c r="M170" s="378">
        <v>3581.32</v>
      </c>
      <c r="N170" s="103">
        <f t="shared" si="116"/>
        <v>0.24870277777777783</v>
      </c>
      <c r="O170" s="378">
        <v>169745.79</v>
      </c>
      <c r="P170" s="103">
        <f t="shared" si="117"/>
        <v>30.648545416666668</v>
      </c>
      <c r="Q170" s="378">
        <v>7527838.0300000003</v>
      </c>
      <c r="R170" s="380">
        <f t="shared" si="118"/>
        <v>1672.8528955555557</v>
      </c>
    </row>
    <row r="171" spans="2:18" x14ac:dyDescent="0.25">
      <c r="B171" s="377">
        <f t="shared" si="119"/>
        <v>45654</v>
      </c>
      <c r="C171" s="378">
        <v>663505.05000000005</v>
      </c>
      <c r="D171" s="103">
        <f t="shared" si="111"/>
        <v>138.23021875000001</v>
      </c>
      <c r="E171" s="382">
        <v>13464344.07</v>
      </c>
      <c r="F171" s="103">
        <f t="shared" si="112"/>
        <v>2805.07168125</v>
      </c>
      <c r="G171" s="378">
        <v>331890.7</v>
      </c>
      <c r="H171" s="103">
        <f t="shared" si="113"/>
        <v>41.486337499999998</v>
      </c>
      <c r="I171" s="382">
        <v>150070.84</v>
      </c>
      <c r="J171" s="103">
        <f t="shared" si="114"/>
        <v>18.758855000000001</v>
      </c>
      <c r="K171" s="378">
        <v>22689.42</v>
      </c>
      <c r="L171" s="103">
        <f t="shared" si="115"/>
        <v>4.0967008333333332</v>
      </c>
      <c r="M171" s="378">
        <v>3581.32</v>
      </c>
      <c r="N171" s="103">
        <f t="shared" si="116"/>
        <v>0.24870277777777783</v>
      </c>
      <c r="O171" s="378">
        <v>169745.79</v>
      </c>
      <c r="P171" s="103">
        <f t="shared" si="117"/>
        <v>30.648545416666668</v>
      </c>
      <c r="Q171" s="378">
        <v>7527838.0300000003</v>
      </c>
      <c r="R171" s="380">
        <f t="shared" si="118"/>
        <v>1672.8528955555557</v>
      </c>
    </row>
    <row r="172" spans="2:18" ht="15.75" thickBot="1" x14ac:dyDescent="0.3">
      <c r="B172" s="377">
        <v>45657</v>
      </c>
      <c r="D172" s="103">
        <v>3652.7</v>
      </c>
      <c r="F172" s="380">
        <v>4541.16</v>
      </c>
      <c r="H172" s="103">
        <v>263.66000000000003</v>
      </c>
      <c r="J172" s="380">
        <v>326.04000000000002</v>
      </c>
      <c r="L172" s="380">
        <v>0</v>
      </c>
      <c r="N172" s="380">
        <v>-5.78</v>
      </c>
      <c r="P172" s="380">
        <v>882.29</v>
      </c>
      <c r="R172" s="380">
        <v>22412.49</v>
      </c>
    </row>
    <row r="173" spans="2:18" ht="15.75" thickBot="1" x14ac:dyDescent="0.3">
      <c r="B173" s="415" t="s">
        <v>149</v>
      </c>
      <c r="C173" s="416"/>
      <c r="D173" s="417">
        <f>SUM(D4:D172)</f>
        <v>850213.00433124951</v>
      </c>
      <c r="E173" s="418"/>
      <c r="F173" s="417">
        <f>SUM(F4:F172)</f>
        <v>522696.99761458288</v>
      </c>
      <c r="G173" s="416"/>
      <c r="H173" s="417">
        <f>SUM(H4:H172)</f>
        <v>14871.308987500048</v>
      </c>
      <c r="I173" s="418"/>
      <c r="J173" s="417">
        <f>SUM(J4:J172)</f>
        <v>2268.7485712500015</v>
      </c>
      <c r="K173" s="416"/>
      <c r="L173" s="417">
        <f>SUM(L4:L172)</f>
        <v>35683.802275277587</v>
      </c>
      <c r="M173" s="416"/>
      <c r="N173" s="417">
        <f>SUM(N4:N172)</f>
        <v>76.963988888889133</v>
      </c>
      <c r="O173" s="416"/>
      <c r="P173" s="417">
        <f>SUM(P4:P172)</f>
        <v>111895.81470958373</v>
      </c>
      <c r="Q173" s="416"/>
      <c r="R173" s="419">
        <f>SUM(R4:R172)</f>
        <v>184694.07033555518</v>
      </c>
    </row>
    <row r="175" spans="2:18" x14ac:dyDescent="0.25">
      <c r="B175" s="377">
        <v>45658</v>
      </c>
      <c r="C175" s="378">
        <v>528725.78</v>
      </c>
      <c r="D175" s="103">
        <f t="shared" ref="D175:D185" si="120">(C175*7.5%)/360</f>
        <v>110.15120416666666</v>
      </c>
      <c r="E175" s="382">
        <v>13928770.07</v>
      </c>
      <c r="F175" s="103">
        <f t="shared" ref="F175:F185" si="121">(E175*7.5%)/360</f>
        <v>2901.8270979166664</v>
      </c>
      <c r="G175" s="378">
        <v>335767.8</v>
      </c>
      <c r="H175" s="103">
        <f t="shared" ref="H175:H185" si="122">(G175*4.5%)/360</f>
        <v>41.970974999999996</v>
      </c>
      <c r="I175" s="382">
        <v>151569.97</v>
      </c>
      <c r="J175" s="103">
        <f t="shared" ref="J175:J185" si="123">(I175*4.5%)/360</f>
        <v>18.946246250000002</v>
      </c>
      <c r="K175" s="378">
        <v>22689.42</v>
      </c>
      <c r="L175" s="103">
        <f t="shared" ref="L175:L185" si="124">(K175*6.5%)/360</f>
        <v>4.0967008333333332</v>
      </c>
      <c r="M175" s="378">
        <v>3581.32</v>
      </c>
      <c r="N175" s="103">
        <f t="shared" ref="N175:N185" si="125">(M175*2.5%)/360</f>
        <v>0.24870277777777783</v>
      </c>
      <c r="O175" s="378">
        <v>169745.79</v>
      </c>
      <c r="P175" s="103">
        <f t="shared" ref="P175:P185" si="126">(O175*6.5%)/360</f>
        <v>30.648545416666668</v>
      </c>
      <c r="Q175" s="378">
        <v>7900670.4299999997</v>
      </c>
      <c r="R175" s="380">
        <f t="shared" ref="R175:R185" si="127">(Q175*8%)/360</f>
        <v>1755.70454</v>
      </c>
    </row>
    <row r="176" spans="2:18" x14ac:dyDescent="0.25">
      <c r="B176" s="377">
        <f t="shared" ref="B176:B239" si="128">B175+1</f>
        <v>45659</v>
      </c>
      <c r="C176" s="378">
        <v>528725.78</v>
      </c>
      <c r="D176" s="103">
        <f t="shared" si="120"/>
        <v>110.15120416666666</v>
      </c>
      <c r="E176" s="382">
        <v>13928770.07</v>
      </c>
      <c r="F176" s="103">
        <f t="shared" si="121"/>
        <v>2901.8270979166664</v>
      </c>
      <c r="G176" s="378">
        <v>335767.8</v>
      </c>
      <c r="H176" s="103">
        <f t="shared" si="122"/>
        <v>41.970974999999996</v>
      </c>
      <c r="I176" s="382">
        <v>151569.97</v>
      </c>
      <c r="J176" s="103">
        <f t="shared" si="123"/>
        <v>18.946246250000002</v>
      </c>
      <c r="K176" s="378">
        <v>22689.42</v>
      </c>
      <c r="L176" s="103">
        <f t="shared" si="124"/>
        <v>4.0967008333333332</v>
      </c>
      <c r="M176" s="378">
        <v>3581.32</v>
      </c>
      <c r="N176" s="103">
        <f t="shared" si="125"/>
        <v>0.24870277777777783</v>
      </c>
      <c r="O176" s="378">
        <v>169745.79</v>
      </c>
      <c r="P176" s="103">
        <f t="shared" si="126"/>
        <v>30.648545416666668</v>
      </c>
      <c r="Q176" s="378">
        <v>7900670.4299999997</v>
      </c>
      <c r="R176" s="380">
        <f>(Q176*8%)/360</f>
        <v>1755.70454</v>
      </c>
    </row>
    <row r="177" spans="2:18" x14ac:dyDescent="0.25">
      <c r="B177" s="377">
        <f t="shared" si="128"/>
        <v>45660</v>
      </c>
      <c r="C177" s="378">
        <v>528725.78</v>
      </c>
      <c r="D177" s="103">
        <f t="shared" si="120"/>
        <v>110.15120416666666</v>
      </c>
      <c r="E177" s="382">
        <v>13928770.07</v>
      </c>
      <c r="F177" s="103">
        <f t="shared" si="121"/>
        <v>2901.8270979166664</v>
      </c>
      <c r="G177" s="378">
        <v>335767.8</v>
      </c>
      <c r="H177" s="103">
        <f t="shared" si="122"/>
        <v>41.970974999999996</v>
      </c>
      <c r="I177" s="382">
        <v>151569.97</v>
      </c>
      <c r="J177" s="103">
        <f t="shared" si="123"/>
        <v>18.946246250000002</v>
      </c>
      <c r="K177" s="378">
        <v>22689.42</v>
      </c>
      <c r="L177" s="103">
        <f t="shared" si="124"/>
        <v>4.0967008333333332</v>
      </c>
      <c r="M177" s="378">
        <v>3581.32</v>
      </c>
      <c r="N177" s="103">
        <f t="shared" si="125"/>
        <v>0.24870277777777783</v>
      </c>
      <c r="O177" s="378">
        <v>169745.79</v>
      </c>
      <c r="P177" s="103">
        <f t="shared" si="126"/>
        <v>30.648545416666668</v>
      </c>
      <c r="Q177" s="378">
        <v>7900670.4299999997</v>
      </c>
      <c r="R177" s="380">
        <f t="shared" si="127"/>
        <v>1755.70454</v>
      </c>
    </row>
    <row r="178" spans="2:18" x14ac:dyDescent="0.25">
      <c r="B178" s="377">
        <f t="shared" si="128"/>
        <v>45661</v>
      </c>
      <c r="C178" s="378">
        <v>528725.78</v>
      </c>
      <c r="D178" s="103">
        <f t="shared" si="120"/>
        <v>110.15120416666666</v>
      </c>
      <c r="E178" s="382">
        <v>13928770.07</v>
      </c>
      <c r="F178" s="103">
        <f t="shared" si="121"/>
        <v>2901.8270979166664</v>
      </c>
      <c r="G178" s="378">
        <v>335767.8</v>
      </c>
      <c r="H178" s="103">
        <f t="shared" si="122"/>
        <v>41.970974999999996</v>
      </c>
      <c r="I178" s="382">
        <v>151569.97</v>
      </c>
      <c r="J178" s="103">
        <f t="shared" si="123"/>
        <v>18.946246250000002</v>
      </c>
      <c r="K178" s="378">
        <v>22689.42</v>
      </c>
      <c r="L178" s="103">
        <f t="shared" si="124"/>
        <v>4.0967008333333332</v>
      </c>
      <c r="M178" s="378">
        <v>3581.32</v>
      </c>
      <c r="N178" s="103">
        <f t="shared" si="125"/>
        <v>0.24870277777777783</v>
      </c>
      <c r="O178" s="378">
        <v>169745.79</v>
      </c>
      <c r="P178" s="103">
        <f t="shared" si="126"/>
        <v>30.648545416666668</v>
      </c>
      <c r="Q178" s="378">
        <v>7900670.4299999997</v>
      </c>
      <c r="R178" s="380">
        <f t="shared" si="127"/>
        <v>1755.70454</v>
      </c>
    </row>
    <row r="179" spans="2:18" x14ac:dyDescent="0.25">
      <c r="B179" s="377">
        <f t="shared" si="128"/>
        <v>45662</v>
      </c>
      <c r="C179" s="378">
        <v>528725.78</v>
      </c>
      <c r="D179" s="103">
        <f t="shared" si="120"/>
        <v>110.15120416666666</v>
      </c>
      <c r="E179" s="382">
        <v>13928770.07</v>
      </c>
      <c r="F179" s="103">
        <f t="shared" si="121"/>
        <v>2901.8270979166664</v>
      </c>
      <c r="G179" s="378">
        <v>335767.8</v>
      </c>
      <c r="H179" s="103">
        <f t="shared" si="122"/>
        <v>41.970974999999996</v>
      </c>
      <c r="I179" s="382">
        <v>151569.97</v>
      </c>
      <c r="J179" s="103">
        <f t="shared" si="123"/>
        <v>18.946246250000002</v>
      </c>
      <c r="K179" s="378">
        <v>22689.42</v>
      </c>
      <c r="L179" s="103">
        <f t="shared" si="124"/>
        <v>4.0967008333333332</v>
      </c>
      <c r="M179" s="378">
        <v>3581.32</v>
      </c>
      <c r="N179" s="103">
        <f t="shared" si="125"/>
        <v>0.24870277777777783</v>
      </c>
      <c r="O179" s="378">
        <v>169745.79</v>
      </c>
      <c r="P179" s="103">
        <f t="shared" si="126"/>
        <v>30.648545416666668</v>
      </c>
      <c r="Q179" s="378">
        <v>7900670.4299999997</v>
      </c>
      <c r="R179" s="380">
        <f t="shared" si="127"/>
        <v>1755.70454</v>
      </c>
    </row>
    <row r="180" spans="2:18" x14ac:dyDescent="0.25">
      <c r="B180" s="377">
        <f t="shared" si="128"/>
        <v>45663</v>
      </c>
      <c r="C180" s="378">
        <v>528725.78</v>
      </c>
      <c r="D180" s="103">
        <f t="shared" si="120"/>
        <v>110.15120416666666</v>
      </c>
      <c r="E180" s="382">
        <v>13928770.07</v>
      </c>
      <c r="F180" s="103">
        <f t="shared" si="121"/>
        <v>2901.8270979166664</v>
      </c>
      <c r="G180" s="378">
        <v>335767.8</v>
      </c>
      <c r="H180" s="103">
        <f t="shared" si="122"/>
        <v>41.970974999999996</v>
      </c>
      <c r="I180" s="382">
        <v>151569.97</v>
      </c>
      <c r="J180" s="103">
        <f t="shared" si="123"/>
        <v>18.946246250000002</v>
      </c>
      <c r="K180" s="378">
        <v>22689.42</v>
      </c>
      <c r="L180" s="103">
        <f t="shared" si="124"/>
        <v>4.0967008333333332</v>
      </c>
      <c r="M180" s="378">
        <v>3581.32</v>
      </c>
      <c r="N180" s="103">
        <f t="shared" si="125"/>
        <v>0.24870277777777783</v>
      </c>
      <c r="O180" s="378">
        <v>169745.79</v>
      </c>
      <c r="P180" s="103">
        <f t="shared" si="126"/>
        <v>30.648545416666668</v>
      </c>
      <c r="Q180" s="378">
        <v>200570.43</v>
      </c>
      <c r="R180" s="380">
        <f t="shared" si="127"/>
        <v>44.571206666666662</v>
      </c>
    </row>
    <row r="181" spans="2:18" x14ac:dyDescent="0.25">
      <c r="B181" s="377">
        <f t="shared" si="128"/>
        <v>45664</v>
      </c>
      <c r="C181" s="378">
        <v>528725.78</v>
      </c>
      <c r="D181" s="103">
        <f t="shared" si="120"/>
        <v>110.15120416666666</v>
      </c>
      <c r="E181" s="382">
        <v>13928770.07</v>
      </c>
      <c r="F181" s="103">
        <f t="shared" si="121"/>
        <v>2901.8270979166664</v>
      </c>
      <c r="G181" s="378">
        <v>335767.8</v>
      </c>
      <c r="H181" s="103">
        <f t="shared" si="122"/>
        <v>41.970974999999996</v>
      </c>
      <c r="I181" s="382">
        <v>151569.97</v>
      </c>
      <c r="J181" s="103">
        <f t="shared" si="123"/>
        <v>18.946246250000002</v>
      </c>
      <c r="K181" s="378">
        <v>22689.42</v>
      </c>
      <c r="L181" s="103">
        <f t="shared" si="124"/>
        <v>4.0967008333333332</v>
      </c>
      <c r="M181" s="378">
        <v>3581.32</v>
      </c>
      <c r="N181" s="103">
        <f t="shared" si="125"/>
        <v>0.24870277777777783</v>
      </c>
      <c r="O181" s="378">
        <v>169745.79</v>
      </c>
      <c r="P181" s="103">
        <f t="shared" si="126"/>
        <v>30.648545416666668</v>
      </c>
      <c r="Q181" s="378">
        <v>200570.43</v>
      </c>
      <c r="R181" s="380">
        <f t="shared" si="127"/>
        <v>44.571206666666662</v>
      </c>
    </row>
    <row r="182" spans="2:18" x14ac:dyDescent="0.25">
      <c r="B182" s="377">
        <f t="shared" si="128"/>
        <v>45665</v>
      </c>
      <c r="C182" s="378">
        <v>528725.78</v>
      </c>
      <c r="D182" s="103">
        <f t="shared" si="120"/>
        <v>110.15120416666666</v>
      </c>
      <c r="E182" s="382">
        <v>13928770.07</v>
      </c>
      <c r="F182" s="103">
        <f t="shared" si="121"/>
        <v>2901.8270979166664</v>
      </c>
      <c r="G182" s="378">
        <v>335767.8</v>
      </c>
      <c r="H182" s="103">
        <f t="shared" si="122"/>
        <v>41.970974999999996</v>
      </c>
      <c r="I182" s="382">
        <v>151569.97</v>
      </c>
      <c r="J182" s="103">
        <f t="shared" si="123"/>
        <v>18.946246250000002</v>
      </c>
      <c r="K182" s="378">
        <v>22689.42</v>
      </c>
      <c r="L182" s="103">
        <f t="shared" si="124"/>
        <v>4.0967008333333332</v>
      </c>
      <c r="M182" s="378">
        <v>3581.32</v>
      </c>
      <c r="N182" s="103">
        <f t="shared" si="125"/>
        <v>0.24870277777777783</v>
      </c>
      <c r="O182" s="378">
        <v>169745.79</v>
      </c>
      <c r="P182" s="103">
        <f t="shared" si="126"/>
        <v>30.648545416666668</v>
      </c>
      <c r="Q182" s="378">
        <v>200570.43</v>
      </c>
      <c r="R182" s="380">
        <f t="shared" si="127"/>
        <v>44.571206666666662</v>
      </c>
    </row>
    <row r="183" spans="2:18" x14ac:dyDescent="0.25">
      <c r="B183" s="377">
        <f t="shared" si="128"/>
        <v>45666</v>
      </c>
      <c r="C183" s="378">
        <v>528725.78</v>
      </c>
      <c r="D183" s="103">
        <f t="shared" si="120"/>
        <v>110.15120416666666</v>
      </c>
      <c r="E183" s="382">
        <v>13928770.07</v>
      </c>
      <c r="F183" s="103">
        <f t="shared" si="121"/>
        <v>2901.8270979166664</v>
      </c>
      <c r="G183" s="378">
        <v>335767.8</v>
      </c>
      <c r="H183" s="103">
        <f t="shared" si="122"/>
        <v>41.970974999999996</v>
      </c>
      <c r="I183" s="382">
        <v>151569.97</v>
      </c>
      <c r="J183" s="103">
        <f t="shared" si="123"/>
        <v>18.946246250000002</v>
      </c>
      <c r="K183" s="378">
        <v>22689.42</v>
      </c>
      <c r="L183" s="103">
        <f t="shared" si="124"/>
        <v>4.0967008333333332</v>
      </c>
      <c r="M183" s="378">
        <v>3581.32</v>
      </c>
      <c r="N183" s="103">
        <f t="shared" si="125"/>
        <v>0.24870277777777783</v>
      </c>
      <c r="O183" s="378">
        <v>169745.79</v>
      </c>
      <c r="P183" s="103">
        <f t="shared" si="126"/>
        <v>30.648545416666668</v>
      </c>
      <c r="Q183" s="378">
        <v>200570.43</v>
      </c>
      <c r="R183" s="380">
        <f t="shared" si="127"/>
        <v>44.571206666666662</v>
      </c>
    </row>
    <row r="184" spans="2:18" x14ac:dyDescent="0.25">
      <c r="B184" s="377">
        <f t="shared" si="128"/>
        <v>45667</v>
      </c>
      <c r="C184" s="378">
        <v>528725.78</v>
      </c>
      <c r="D184" s="103">
        <f t="shared" si="120"/>
        <v>110.15120416666666</v>
      </c>
      <c r="E184" s="382">
        <v>13928770.07</v>
      </c>
      <c r="F184" s="103">
        <f t="shared" si="121"/>
        <v>2901.8270979166664</v>
      </c>
      <c r="G184" s="378">
        <v>335767.8</v>
      </c>
      <c r="H184" s="103">
        <f t="shared" si="122"/>
        <v>41.970974999999996</v>
      </c>
      <c r="I184" s="382">
        <v>151569.97</v>
      </c>
      <c r="J184" s="103">
        <f t="shared" si="123"/>
        <v>18.946246250000002</v>
      </c>
      <c r="K184" s="378">
        <v>22689.42</v>
      </c>
      <c r="L184" s="103">
        <f t="shared" si="124"/>
        <v>4.0967008333333332</v>
      </c>
      <c r="M184" s="378">
        <v>3581.32</v>
      </c>
      <c r="N184" s="103">
        <f t="shared" si="125"/>
        <v>0.24870277777777783</v>
      </c>
      <c r="O184" s="378">
        <v>169745.79</v>
      </c>
      <c r="P184" s="103">
        <f t="shared" si="126"/>
        <v>30.648545416666668</v>
      </c>
      <c r="Q184" s="378">
        <v>200570.43</v>
      </c>
      <c r="R184" s="380">
        <f t="shared" si="127"/>
        <v>44.571206666666662</v>
      </c>
    </row>
    <row r="185" spans="2:18" x14ac:dyDescent="0.25">
      <c r="B185" s="377">
        <f t="shared" si="128"/>
        <v>45668</v>
      </c>
      <c r="C185" s="378">
        <v>528725.78</v>
      </c>
      <c r="D185" s="103">
        <f t="shared" si="120"/>
        <v>110.15120416666666</v>
      </c>
      <c r="E185" s="382">
        <v>13928770.07</v>
      </c>
      <c r="F185" s="103">
        <f t="shared" si="121"/>
        <v>2901.8270979166664</v>
      </c>
      <c r="G185" s="378">
        <v>335767.8</v>
      </c>
      <c r="H185" s="103">
        <f t="shared" si="122"/>
        <v>41.970974999999996</v>
      </c>
      <c r="I185" s="382">
        <v>151569.97</v>
      </c>
      <c r="J185" s="103">
        <f t="shared" si="123"/>
        <v>18.946246250000002</v>
      </c>
      <c r="K185" s="378">
        <v>22689.42</v>
      </c>
      <c r="L185" s="103">
        <f t="shared" si="124"/>
        <v>4.0967008333333332</v>
      </c>
      <c r="M185" s="378">
        <v>3581.32</v>
      </c>
      <c r="N185" s="103">
        <f t="shared" si="125"/>
        <v>0.24870277777777783</v>
      </c>
      <c r="O185" s="378">
        <v>169745.79</v>
      </c>
      <c r="P185" s="103">
        <f t="shared" si="126"/>
        <v>30.648545416666668</v>
      </c>
      <c r="Q185" s="378">
        <v>200570.43</v>
      </c>
      <c r="R185" s="380">
        <f t="shared" si="127"/>
        <v>44.571206666666662</v>
      </c>
    </row>
    <row r="186" spans="2:18" x14ac:dyDescent="0.25">
      <c r="B186" s="377">
        <f t="shared" si="128"/>
        <v>45669</v>
      </c>
      <c r="C186" s="378">
        <v>528725.78</v>
      </c>
      <c r="D186" s="103">
        <f t="shared" ref="D186:D249" si="129">(C186*7.5%)/360</f>
        <v>110.15120416666666</v>
      </c>
      <c r="E186" s="382">
        <v>20238593.07</v>
      </c>
      <c r="F186" s="103">
        <f t="shared" ref="F186:F213" si="130">(E186*7.5%)/360</f>
        <v>4216.3735562499996</v>
      </c>
      <c r="G186" s="378">
        <v>365767.8</v>
      </c>
      <c r="H186" s="103">
        <f t="shared" ref="H186:H192" si="131">(G186*4.5%)/360</f>
        <v>45.720974999999996</v>
      </c>
      <c r="I186" s="382">
        <v>151569.97</v>
      </c>
      <c r="J186" s="103">
        <f t="shared" ref="J186:J192" si="132">(I186*4.5%)/360</f>
        <v>18.946246250000002</v>
      </c>
      <c r="K186" s="378">
        <v>22689.42</v>
      </c>
      <c r="L186" s="103">
        <f t="shared" ref="L186:L192" si="133">(K186*6.5%)/360</f>
        <v>4.0967008333333332</v>
      </c>
      <c r="M186" s="378">
        <v>3581.32</v>
      </c>
      <c r="N186" s="103">
        <f t="shared" ref="N186:N192" si="134">(M186*2.5%)/360</f>
        <v>0.24870277777777783</v>
      </c>
      <c r="O186" s="378">
        <v>169745.79</v>
      </c>
      <c r="P186" s="103">
        <f t="shared" ref="P186:P192" si="135">(O186*6.5%)/360</f>
        <v>30.648545416666668</v>
      </c>
      <c r="Q186" s="378">
        <v>200570.43</v>
      </c>
      <c r="R186" s="380">
        <f t="shared" ref="R186:R192" si="136">(Q186*8%)/360</f>
        <v>44.571206666666662</v>
      </c>
    </row>
    <row r="187" spans="2:18" x14ac:dyDescent="0.25">
      <c r="B187" s="377">
        <f t="shared" si="128"/>
        <v>45670</v>
      </c>
      <c r="C187" s="378">
        <v>528725.78</v>
      </c>
      <c r="D187" s="103">
        <f t="shared" si="129"/>
        <v>110.15120416666666</v>
      </c>
      <c r="E187" s="382">
        <v>20168620.48</v>
      </c>
      <c r="F187" s="103">
        <f t="shared" si="130"/>
        <v>4201.7959333333338</v>
      </c>
      <c r="G187" s="378">
        <v>365767.8</v>
      </c>
      <c r="H187" s="103">
        <f t="shared" si="131"/>
        <v>45.720974999999996</v>
      </c>
      <c r="I187" s="382">
        <v>151569.97</v>
      </c>
      <c r="J187" s="103">
        <f t="shared" si="132"/>
        <v>18.946246250000002</v>
      </c>
      <c r="K187" s="378">
        <v>22689.42</v>
      </c>
      <c r="L187" s="103">
        <f t="shared" si="133"/>
        <v>4.0967008333333332</v>
      </c>
      <c r="M187" s="378">
        <v>3581.32</v>
      </c>
      <c r="N187" s="103">
        <f t="shared" si="134"/>
        <v>0.24870277777777783</v>
      </c>
      <c r="O187" s="378">
        <v>169745.79</v>
      </c>
      <c r="P187" s="103">
        <f t="shared" si="135"/>
        <v>30.648545416666668</v>
      </c>
      <c r="Q187" s="378">
        <v>200570.43</v>
      </c>
      <c r="R187" s="380">
        <f t="shared" si="136"/>
        <v>44.571206666666662</v>
      </c>
    </row>
    <row r="188" spans="2:18" x14ac:dyDescent="0.25">
      <c r="B188" s="377">
        <f t="shared" si="128"/>
        <v>45671</v>
      </c>
      <c r="C188" s="378">
        <v>528725.78</v>
      </c>
      <c r="D188" s="103">
        <f t="shared" si="129"/>
        <v>110.15120416666666</v>
      </c>
      <c r="E188" s="382">
        <v>20564818.48</v>
      </c>
      <c r="F188" s="103">
        <f t="shared" si="130"/>
        <v>4284.3371833333331</v>
      </c>
      <c r="G188" s="378">
        <v>365767.8</v>
      </c>
      <c r="H188" s="103">
        <f t="shared" si="131"/>
        <v>45.720974999999996</v>
      </c>
      <c r="I188" s="382">
        <v>151569.97</v>
      </c>
      <c r="J188" s="103">
        <f t="shared" si="132"/>
        <v>18.946246250000002</v>
      </c>
      <c r="K188" s="378">
        <v>22689.42</v>
      </c>
      <c r="L188" s="103">
        <f t="shared" si="133"/>
        <v>4.0967008333333332</v>
      </c>
      <c r="M188" s="378">
        <v>3581.32</v>
      </c>
      <c r="N188" s="103">
        <f t="shared" si="134"/>
        <v>0.24870277777777783</v>
      </c>
      <c r="O188" s="378">
        <v>169745.79</v>
      </c>
      <c r="P188" s="103">
        <f t="shared" si="135"/>
        <v>30.648545416666668</v>
      </c>
      <c r="Q188" s="378">
        <v>200570.43</v>
      </c>
      <c r="R188" s="380">
        <f t="shared" si="136"/>
        <v>44.571206666666662</v>
      </c>
    </row>
    <row r="189" spans="2:18" x14ac:dyDescent="0.25">
      <c r="B189" s="377">
        <f t="shared" si="128"/>
        <v>45672</v>
      </c>
      <c r="C189" s="378">
        <v>528725.78</v>
      </c>
      <c r="D189" s="103">
        <f t="shared" si="129"/>
        <v>110.15120416666666</v>
      </c>
      <c r="E189" s="382">
        <v>20564818.48</v>
      </c>
      <c r="F189" s="103">
        <f t="shared" si="130"/>
        <v>4284.3371833333331</v>
      </c>
      <c r="G189" s="378">
        <v>367767.8</v>
      </c>
      <c r="H189" s="103">
        <f t="shared" si="131"/>
        <v>45.970974999999996</v>
      </c>
      <c r="I189" s="382">
        <v>151569.97</v>
      </c>
      <c r="J189" s="103">
        <f t="shared" si="132"/>
        <v>18.946246250000002</v>
      </c>
      <c r="K189" s="378">
        <v>22689.42</v>
      </c>
      <c r="L189" s="103">
        <f t="shared" si="133"/>
        <v>4.0967008333333332</v>
      </c>
      <c r="M189" s="378">
        <v>3581.32</v>
      </c>
      <c r="N189" s="103">
        <f t="shared" si="134"/>
        <v>0.24870277777777783</v>
      </c>
      <c r="O189" s="378">
        <v>169745.79</v>
      </c>
      <c r="P189" s="103">
        <f t="shared" si="135"/>
        <v>30.648545416666668</v>
      </c>
      <c r="Q189" s="378">
        <v>200570.43</v>
      </c>
      <c r="R189" s="380">
        <f t="shared" si="136"/>
        <v>44.571206666666662</v>
      </c>
    </row>
    <row r="190" spans="2:18" x14ac:dyDescent="0.25">
      <c r="B190" s="377">
        <f t="shared" si="128"/>
        <v>45673</v>
      </c>
      <c r="C190" s="378">
        <v>502883.21</v>
      </c>
      <c r="D190" s="103">
        <f t="shared" si="129"/>
        <v>104.76733541666665</v>
      </c>
      <c r="E190" s="382">
        <v>20633068.48</v>
      </c>
      <c r="F190" s="103">
        <f t="shared" si="130"/>
        <v>4298.5559333333331</v>
      </c>
      <c r="G190" s="378">
        <v>367767.8</v>
      </c>
      <c r="H190" s="103">
        <f t="shared" si="131"/>
        <v>45.970974999999996</v>
      </c>
      <c r="I190" s="382">
        <v>151569.97</v>
      </c>
      <c r="J190" s="103">
        <f t="shared" si="132"/>
        <v>18.946246250000002</v>
      </c>
      <c r="K190" s="378">
        <v>22689.42</v>
      </c>
      <c r="L190" s="103">
        <f t="shared" si="133"/>
        <v>4.0967008333333332</v>
      </c>
      <c r="M190" s="378">
        <v>3581.32</v>
      </c>
      <c r="N190" s="103">
        <f t="shared" si="134"/>
        <v>0.24870277777777783</v>
      </c>
      <c r="O190" s="378">
        <v>169745.79</v>
      </c>
      <c r="P190" s="103">
        <f t="shared" si="135"/>
        <v>30.648545416666668</v>
      </c>
      <c r="Q190" s="378">
        <v>200570.43</v>
      </c>
      <c r="R190" s="380">
        <f t="shared" si="136"/>
        <v>44.571206666666662</v>
      </c>
    </row>
    <row r="191" spans="2:18" x14ac:dyDescent="0.25">
      <c r="B191" s="377">
        <f t="shared" si="128"/>
        <v>45674</v>
      </c>
      <c r="C191" s="378">
        <v>502883.21</v>
      </c>
      <c r="D191" s="103">
        <f t="shared" si="129"/>
        <v>104.76733541666665</v>
      </c>
      <c r="E191" s="382">
        <v>20633068.48</v>
      </c>
      <c r="F191" s="103">
        <f t="shared" si="130"/>
        <v>4298.5559333333331</v>
      </c>
      <c r="G191" s="378">
        <v>367767.8</v>
      </c>
      <c r="H191" s="103">
        <f t="shared" si="131"/>
        <v>45.970974999999996</v>
      </c>
      <c r="I191" s="382">
        <v>151569.97</v>
      </c>
      <c r="J191" s="103">
        <f t="shared" si="132"/>
        <v>18.946246250000002</v>
      </c>
      <c r="K191" s="378">
        <v>22689.42</v>
      </c>
      <c r="L191" s="103">
        <f t="shared" si="133"/>
        <v>4.0967008333333332</v>
      </c>
      <c r="M191" s="378">
        <v>3581.32</v>
      </c>
      <c r="N191" s="103">
        <f t="shared" si="134"/>
        <v>0.24870277777777783</v>
      </c>
      <c r="O191" s="378">
        <v>169745.79</v>
      </c>
      <c r="P191" s="103">
        <f t="shared" si="135"/>
        <v>30.648545416666668</v>
      </c>
      <c r="Q191" s="378">
        <v>200570.43</v>
      </c>
      <c r="R191" s="380">
        <f t="shared" si="136"/>
        <v>44.571206666666662</v>
      </c>
    </row>
    <row r="192" spans="2:18" x14ac:dyDescent="0.25">
      <c r="B192" s="377">
        <f t="shared" si="128"/>
        <v>45675</v>
      </c>
      <c r="C192" s="378">
        <v>502883.21</v>
      </c>
      <c r="D192" s="103">
        <f t="shared" si="129"/>
        <v>104.76733541666665</v>
      </c>
      <c r="E192" s="382">
        <v>20633068.48</v>
      </c>
      <c r="F192" s="103">
        <f t="shared" si="130"/>
        <v>4298.5559333333331</v>
      </c>
      <c r="G192" s="378">
        <v>367767.8</v>
      </c>
      <c r="H192" s="103">
        <f t="shared" si="131"/>
        <v>45.970974999999996</v>
      </c>
      <c r="I192" s="382">
        <v>151569.97</v>
      </c>
      <c r="J192" s="103">
        <f t="shared" si="132"/>
        <v>18.946246250000002</v>
      </c>
      <c r="K192" s="378">
        <v>22689.42</v>
      </c>
      <c r="L192" s="103">
        <f t="shared" si="133"/>
        <v>4.0967008333333332</v>
      </c>
      <c r="M192" s="378">
        <v>3581.32</v>
      </c>
      <c r="N192" s="103">
        <f t="shared" si="134"/>
        <v>0.24870277777777783</v>
      </c>
      <c r="O192" s="378">
        <v>169745.79</v>
      </c>
      <c r="P192" s="103">
        <f t="shared" si="135"/>
        <v>30.648545416666668</v>
      </c>
      <c r="Q192" s="378">
        <v>200570.43</v>
      </c>
      <c r="R192" s="380">
        <f t="shared" si="136"/>
        <v>44.571206666666662</v>
      </c>
    </row>
    <row r="193" spans="2:18" x14ac:dyDescent="0.25">
      <c r="B193" s="377">
        <f t="shared" si="128"/>
        <v>45676</v>
      </c>
      <c r="C193" s="378">
        <v>502800.06</v>
      </c>
      <c r="D193" s="103">
        <f t="shared" si="129"/>
        <v>104.75001249999998</v>
      </c>
      <c r="E193" s="382">
        <v>14632951.85</v>
      </c>
      <c r="F193" s="103">
        <f t="shared" si="130"/>
        <v>3048.5316354166666</v>
      </c>
      <c r="G193" s="378">
        <v>367767.8</v>
      </c>
      <c r="H193" s="103">
        <f t="shared" ref="H193:H199" si="137">(G193*4.5%)/360</f>
        <v>45.970974999999996</v>
      </c>
      <c r="I193" s="382">
        <v>151569.97</v>
      </c>
      <c r="J193" s="103">
        <f t="shared" ref="J193:J199" si="138">(I193*4.5%)/360</f>
        <v>18.946246250000002</v>
      </c>
      <c r="K193" s="378">
        <v>22689.42</v>
      </c>
      <c r="L193" s="103">
        <f t="shared" ref="L193:L199" si="139">(K193*6.5%)/360</f>
        <v>4.0967008333333332</v>
      </c>
      <c r="M193" s="378">
        <v>3581.32</v>
      </c>
      <c r="N193" s="103">
        <f t="shared" ref="N193:N199" si="140">(M193*2.5%)/360</f>
        <v>0.24870277777777783</v>
      </c>
      <c r="O193" s="378">
        <v>169745.79</v>
      </c>
      <c r="P193" s="103">
        <f t="shared" ref="P193:P199" si="141">(O193*6.5%)/360</f>
        <v>30.648545416666668</v>
      </c>
      <c r="Q193" s="378">
        <v>200570.43</v>
      </c>
      <c r="R193" s="380">
        <f t="shared" ref="R193:R199" si="142">(Q193*8%)/360</f>
        <v>44.571206666666662</v>
      </c>
    </row>
    <row r="194" spans="2:18" x14ac:dyDescent="0.25">
      <c r="B194" s="377">
        <f t="shared" si="128"/>
        <v>45677</v>
      </c>
      <c r="C194" s="378">
        <v>502800.06</v>
      </c>
      <c r="D194" s="103">
        <f t="shared" si="129"/>
        <v>104.75001249999998</v>
      </c>
      <c r="E194" s="382">
        <v>14632951.85</v>
      </c>
      <c r="F194" s="103">
        <f t="shared" si="130"/>
        <v>3048.5316354166666</v>
      </c>
      <c r="G194" s="378">
        <v>367767.8</v>
      </c>
      <c r="H194" s="103">
        <f t="shared" si="137"/>
        <v>45.970974999999996</v>
      </c>
      <c r="I194" s="382">
        <v>151569.97</v>
      </c>
      <c r="J194" s="103">
        <f t="shared" si="138"/>
        <v>18.946246250000002</v>
      </c>
      <c r="K194" s="378">
        <v>22689.42</v>
      </c>
      <c r="L194" s="103">
        <f t="shared" si="139"/>
        <v>4.0967008333333332</v>
      </c>
      <c r="M194" s="378">
        <v>3581.32</v>
      </c>
      <c r="N194" s="103">
        <f t="shared" si="140"/>
        <v>0.24870277777777783</v>
      </c>
      <c r="O194" s="378">
        <v>169745.79</v>
      </c>
      <c r="P194" s="103">
        <f t="shared" si="141"/>
        <v>30.648545416666668</v>
      </c>
      <c r="Q194" s="378">
        <v>200570.43</v>
      </c>
      <c r="R194" s="380">
        <f t="shared" si="142"/>
        <v>44.571206666666662</v>
      </c>
    </row>
    <row r="195" spans="2:18" x14ac:dyDescent="0.25">
      <c r="B195" s="377">
        <f t="shared" si="128"/>
        <v>45678</v>
      </c>
      <c r="C195" s="378">
        <v>502883.21</v>
      </c>
      <c r="D195" s="103">
        <f t="shared" si="129"/>
        <v>104.76733541666665</v>
      </c>
      <c r="E195" s="382">
        <v>14632951.85</v>
      </c>
      <c r="F195" s="103">
        <f t="shared" si="130"/>
        <v>3048.5316354166666</v>
      </c>
      <c r="G195" s="378">
        <v>367767.8</v>
      </c>
      <c r="H195" s="103">
        <f t="shared" si="137"/>
        <v>45.970974999999996</v>
      </c>
      <c r="I195" s="382">
        <v>151420.26</v>
      </c>
      <c r="J195" s="103">
        <f t="shared" si="138"/>
        <v>18.927532500000002</v>
      </c>
      <c r="K195" s="378">
        <v>22689.42</v>
      </c>
      <c r="L195" s="103">
        <f t="shared" si="139"/>
        <v>4.0967008333333332</v>
      </c>
      <c r="M195" s="378">
        <v>3581.32</v>
      </c>
      <c r="N195" s="103">
        <f t="shared" si="140"/>
        <v>0.24870277777777783</v>
      </c>
      <c r="O195" s="378">
        <v>169745.79</v>
      </c>
      <c r="P195" s="103">
        <f t="shared" si="141"/>
        <v>30.648545416666668</v>
      </c>
      <c r="Q195" s="378">
        <v>200570.43</v>
      </c>
      <c r="R195" s="380">
        <f t="shared" si="142"/>
        <v>44.571206666666662</v>
      </c>
    </row>
    <row r="196" spans="2:18" x14ac:dyDescent="0.25">
      <c r="B196" s="377">
        <f t="shared" si="128"/>
        <v>45679</v>
      </c>
      <c r="C196" s="378">
        <v>502883.21</v>
      </c>
      <c r="D196" s="103">
        <f t="shared" si="129"/>
        <v>104.76733541666665</v>
      </c>
      <c r="E196" s="382">
        <v>14632951.85</v>
      </c>
      <c r="F196" s="103">
        <f t="shared" si="130"/>
        <v>3048.5316354166666</v>
      </c>
      <c r="G196" s="378">
        <v>367767.8</v>
      </c>
      <c r="H196" s="103">
        <f t="shared" si="137"/>
        <v>45.970974999999996</v>
      </c>
      <c r="I196" s="382">
        <v>151420.26</v>
      </c>
      <c r="J196" s="103">
        <f t="shared" si="138"/>
        <v>18.927532500000002</v>
      </c>
      <c r="K196" s="378">
        <v>22689.42</v>
      </c>
      <c r="L196" s="103">
        <f t="shared" si="139"/>
        <v>4.0967008333333332</v>
      </c>
      <c r="M196" s="378">
        <v>3581.32</v>
      </c>
      <c r="N196" s="103">
        <f t="shared" si="140"/>
        <v>0.24870277777777783</v>
      </c>
      <c r="O196" s="378">
        <v>169745.79</v>
      </c>
      <c r="P196" s="103">
        <f t="shared" si="141"/>
        <v>30.648545416666668</v>
      </c>
      <c r="Q196" s="378">
        <v>200570.43</v>
      </c>
      <c r="R196" s="380">
        <f t="shared" si="142"/>
        <v>44.571206666666662</v>
      </c>
    </row>
    <row r="197" spans="2:18" x14ac:dyDescent="0.25">
      <c r="B197" s="377">
        <f t="shared" si="128"/>
        <v>45680</v>
      </c>
      <c r="C197" s="378">
        <v>502883.21</v>
      </c>
      <c r="D197" s="103">
        <f t="shared" si="129"/>
        <v>104.76733541666665</v>
      </c>
      <c r="E197" s="382">
        <v>14627451.85</v>
      </c>
      <c r="F197" s="103">
        <f t="shared" si="130"/>
        <v>3047.3858020833331</v>
      </c>
      <c r="G197" s="378">
        <v>367767.8</v>
      </c>
      <c r="H197" s="103">
        <f t="shared" si="137"/>
        <v>45.970974999999996</v>
      </c>
      <c r="I197" s="382">
        <v>151420.26</v>
      </c>
      <c r="J197" s="103">
        <f t="shared" si="138"/>
        <v>18.927532500000002</v>
      </c>
      <c r="K197" s="378">
        <v>22689.42</v>
      </c>
      <c r="L197" s="103">
        <f t="shared" si="139"/>
        <v>4.0967008333333332</v>
      </c>
      <c r="M197" s="378">
        <v>3581.32</v>
      </c>
      <c r="N197" s="103">
        <f t="shared" si="140"/>
        <v>0.24870277777777783</v>
      </c>
      <c r="O197" s="378">
        <v>169745.79</v>
      </c>
      <c r="P197" s="103">
        <f t="shared" si="141"/>
        <v>30.648545416666668</v>
      </c>
      <c r="Q197" s="378">
        <v>200570.43</v>
      </c>
      <c r="R197" s="380">
        <f t="shared" si="142"/>
        <v>44.571206666666662</v>
      </c>
    </row>
    <row r="198" spans="2:18" x14ac:dyDescent="0.25">
      <c r="B198" s="377">
        <f t="shared" si="128"/>
        <v>45681</v>
      </c>
      <c r="C198" s="378">
        <v>502883.21</v>
      </c>
      <c r="D198" s="103">
        <f t="shared" si="129"/>
        <v>104.76733541666665</v>
      </c>
      <c r="E198" s="382">
        <v>14627451.85</v>
      </c>
      <c r="F198" s="103">
        <f t="shared" si="130"/>
        <v>3047.3858020833331</v>
      </c>
      <c r="G198" s="378">
        <v>367767.8</v>
      </c>
      <c r="H198" s="103">
        <f t="shared" si="137"/>
        <v>45.970974999999996</v>
      </c>
      <c r="I198" s="382">
        <v>151420.26</v>
      </c>
      <c r="J198" s="103">
        <f t="shared" si="138"/>
        <v>18.927532500000002</v>
      </c>
      <c r="K198" s="378">
        <v>22689.42</v>
      </c>
      <c r="L198" s="103">
        <f t="shared" si="139"/>
        <v>4.0967008333333332</v>
      </c>
      <c r="M198" s="378">
        <v>3581.32</v>
      </c>
      <c r="N198" s="103">
        <f t="shared" si="140"/>
        <v>0.24870277777777783</v>
      </c>
      <c r="O198" s="378">
        <v>169745.79</v>
      </c>
      <c r="P198" s="103">
        <f t="shared" si="141"/>
        <v>30.648545416666668</v>
      </c>
      <c r="Q198" s="378">
        <v>200570.43</v>
      </c>
      <c r="R198" s="380">
        <f t="shared" si="142"/>
        <v>44.571206666666662</v>
      </c>
    </row>
    <row r="199" spans="2:18" x14ac:dyDescent="0.25">
      <c r="B199" s="377">
        <f t="shared" si="128"/>
        <v>45682</v>
      </c>
      <c r="C199" s="378">
        <v>502883.21</v>
      </c>
      <c r="D199" s="103">
        <f t="shared" si="129"/>
        <v>104.76733541666665</v>
      </c>
      <c r="E199" s="382">
        <v>14627451.85</v>
      </c>
      <c r="F199" s="103">
        <f t="shared" si="130"/>
        <v>3047.3858020833331</v>
      </c>
      <c r="G199" s="378">
        <v>367767.8</v>
      </c>
      <c r="H199" s="103">
        <f t="shared" si="137"/>
        <v>45.970974999999996</v>
      </c>
      <c r="I199" s="382">
        <v>151420.26</v>
      </c>
      <c r="J199" s="103">
        <f t="shared" si="138"/>
        <v>18.927532500000002</v>
      </c>
      <c r="K199" s="378">
        <v>22689.42</v>
      </c>
      <c r="L199" s="103">
        <f t="shared" si="139"/>
        <v>4.0967008333333332</v>
      </c>
      <c r="M199" s="378">
        <v>3581.32</v>
      </c>
      <c r="N199" s="103">
        <f t="shared" si="140"/>
        <v>0.24870277777777783</v>
      </c>
      <c r="O199" s="378">
        <v>169745.79</v>
      </c>
      <c r="P199" s="103">
        <f t="shared" si="141"/>
        <v>30.648545416666668</v>
      </c>
      <c r="Q199" s="378">
        <v>200570.43</v>
      </c>
      <c r="R199" s="380">
        <f t="shared" si="142"/>
        <v>44.571206666666662</v>
      </c>
    </row>
    <row r="200" spans="2:18" x14ac:dyDescent="0.25">
      <c r="B200" s="377">
        <f t="shared" si="128"/>
        <v>45683</v>
      </c>
      <c r="C200" s="378">
        <v>502883.21</v>
      </c>
      <c r="D200" s="103">
        <f t="shared" si="129"/>
        <v>104.76733541666665</v>
      </c>
      <c r="E200" s="382">
        <v>14627451.85</v>
      </c>
      <c r="F200" s="103">
        <f t="shared" si="130"/>
        <v>3047.3858020833331</v>
      </c>
      <c r="G200" s="378">
        <v>468767.8</v>
      </c>
      <c r="H200" s="103">
        <f t="shared" ref="H200:H206" si="143">(G200*4.5%)/360</f>
        <v>58.595974999999996</v>
      </c>
      <c r="I200" s="382">
        <v>151420.26</v>
      </c>
      <c r="J200" s="103">
        <f t="shared" ref="J200:J206" si="144">(I200*4.5%)/360</f>
        <v>18.927532500000002</v>
      </c>
      <c r="K200" s="378">
        <v>22689.42</v>
      </c>
      <c r="L200" s="103">
        <f t="shared" ref="L200:L206" si="145">(K200*6.5%)/360</f>
        <v>4.0967008333333332</v>
      </c>
      <c r="M200" s="378">
        <v>3581.32</v>
      </c>
      <c r="N200" s="103">
        <f t="shared" ref="N200:N206" si="146">(M200*2.5%)/360</f>
        <v>0.24870277777777783</v>
      </c>
      <c r="O200" s="378">
        <v>169745.79</v>
      </c>
      <c r="P200" s="103">
        <f t="shared" ref="P200:P206" si="147">(O200*6.5%)/360</f>
        <v>30.648545416666668</v>
      </c>
      <c r="Q200" s="378">
        <v>200570.43</v>
      </c>
      <c r="R200" s="380">
        <f t="shared" ref="R200:R206" si="148">(Q200*8%)/360</f>
        <v>44.571206666666662</v>
      </c>
    </row>
    <row r="201" spans="2:18" x14ac:dyDescent="0.25">
      <c r="B201" s="377">
        <f t="shared" si="128"/>
        <v>45684</v>
      </c>
      <c r="C201" s="378">
        <v>502883.21</v>
      </c>
      <c r="D201" s="103">
        <f t="shared" si="129"/>
        <v>104.76733541666665</v>
      </c>
      <c r="E201" s="382">
        <v>14626026.85</v>
      </c>
      <c r="F201" s="103">
        <f t="shared" si="130"/>
        <v>3047.0889270833331</v>
      </c>
      <c r="G201" s="378">
        <v>468767.8</v>
      </c>
      <c r="H201" s="103">
        <f t="shared" si="143"/>
        <v>58.595974999999996</v>
      </c>
      <c r="I201" s="382">
        <v>151420.26</v>
      </c>
      <c r="J201" s="103">
        <f t="shared" si="144"/>
        <v>18.927532500000002</v>
      </c>
      <c r="K201" s="378">
        <v>22689.42</v>
      </c>
      <c r="L201" s="103">
        <f t="shared" si="145"/>
        <v>4.0967008333333332</v>
      </c>
      <c r="M201" s="378">
        <v>3581.32</v>
      </c>
      <c r="N201" s="103">
        <f t="shared" si="146"/>
        <v>0.24870277777777783</v>
      </c>
      <c r="O201" s="378">
        <v>169745.79</v>
      </c>
      <c r="P201" s="103">
        <f t="shared" si="147"/>
        <v>30.648545416666668</v>
      </c>
      <c r="Q201" s="378">
        <v>200570.43</v>
      </c>
      <c r="R201" s="380">
        <f t="shared" si="148"/>
        <v>44.571206666666662</v>
      </c>
    </row>
    <row r="202" spans="2:18" x14ac:dyDescent="0.25">
      <c r="B202" s="377">
        <f t="shared" si="128"/>
        <v>45685</v>
      </c>
      <c r="C202" s="378">
        <v>502883.21</v>
      </c>
      <c r="D202" s="103">
        <f t="shared" si="129"/>
        <v>104.76733541666665</v>
      </c>
      <c r="E202" s="382">
        <v>8625926.8499999996</v>
      </c>
      <c r="F202" s="103">
        <f t="shared" si="130"/>
        <v>1797.0680937499999</v>
      </c>
      <c r="G202" s="378">
        <v>468767.8</v>
      </c>
      <c r="H202" s="103">
        <f t="shared" si="143"/>
        <v>58.595974999999996</v>
      </c>
      <c r="I202" s="382">
        <v>151420.26</v>
      </c>
      <c r="J202" s="103">
        <f t="shared" si="144"/>
        <v>18.927532500000002</v>
      </c>
      <c r="K202" s="378">
        <v>22689.42</v>
      </c>
      <c r="L202" s="103">
        <f t="shared" si="145"/>
        <v>4.0967008333333332</v>
      </c>
      <c r="M202" s="378">
        <v>3581.32</v>
      </c>
      <c r="N202" s="103">
        <f t="shared" si="146"/>
        <v>0.24870277777777783</v>
      </c>
      <c r="O202" s="378">
        <v>169745.79</v>
      </c>
      <c r="P202" s="103">
        <f t="shared" si="147"/>
        <v>30.648545416666668</v>
      </c>
      <c r="Q202" s="378">
        <v>6200570.4299999997</v>
      </c>
      <c r="R202" s="380">
        <f t="shared" si="148"/>
        <v>1377.90454</v>
      </c>
    </row>
    <row r="203" spans="2:18" x14ac:dyDescent="0.25">
      <c r="B203" s="377">
        <f t="shared" si="128"/>
        <v>45686</v>
      </c>
      <c r="C203" s="378">
        <v>502883.21</v>
      </c>
      <c r="D203" s="103">
        <f t="shared" si="129"/>
        <v>104.76733541666665</v>
      </c>
      <c r="E203" s="382">
        <v>6644122.8700000001</v>
      </c>
      <c r="F203" s="103">
        <f t="shared" si="130"/>
        <v>1384.1922645833333</v>
      </c>
      <c r="G203" s="378">
        <v>468767.8</v>
      </c>
      <c r="H203" s="103">
        <f t="shared" si="143"/>
        <v>58.595974999999996</v>
      </c>
      <c r="I203" s="382">
        <v>151420.26</v>
      </c>
      <c r="J203" s="103">
        <f t="shared" si="144"/>
        <v>18.927532500000002</v>
      </c>
      <c r="K203" s="378">
        <v>22689.42</v>
      </c>
      <c r="L203" s="103">
        <f t="shared" si="145"/>
        <v>4.0967008333333332</v>
      </c>
      <c r="M203" s="378">
        <v>3581.32</v>
      </c>
      <c r="N203" s="103">
        <f t="shared" si="146"/>
        <v>0.24870277777777783</v>
      </c>
      <c r="O203" s="378">
        <v>169745.79</v>
      </c>
      <c r="P203" s="103">
        <f t="shared" si="147"/>
        <v>30.648545416666668</v>
      </c>
      <c r="Q203" s="378">
        <v>6200570.4299999997</v>
      </c>
      <c r="R203" s="380">
        <f t="shared" si="148"/>
        <v>1377.90454</v>
      </c>
    </row>
    <row r="204" spans="2:18" x14ac:dyDescent="0.25">
      <c r="B204" s="377">
        <f t="shared" si="128"/>
        <v>45687</v>
      </c>
      <c r="C204" s="378">
        <v>502883.21</v>
      </c>
      <c r="D204" s="103">
        <f t="shared" si="129"/>
        <v>104.76733541666665</v>
      </c>
      <c r="E204" s="382">
        <v>6644122.8700000001</v>
      </c>
      <c r="F204" s="103">
        <f t="shared" si="130"/>
        <v>1384.1922645833333</v>
      </c>
      <c r="G204" s="378">
        <v>468767.8</v>
      </c>
      <c r="H204" s="103">
        <f t="shared" si="143"/>
        <v>58.595974999999996</v>
      </c>
      <c r="I204" s="382">
        <v>151420.26</v>
      </c>
      <c r="J204" s="103">
        <f t="shared" si="144"/>
        <v>18.927532500000002</v>
      </c>
      <c r="K204" s="378">
        <v>22689.42</v>
      </c>
      <c r="L204" s="103">
        <f t="shared" si="145"/>
        <v>4.0967008333333332</v>
      </c>
      <c r="M204" s="378">
        <v>3581.32</v>
      </c>
      <c r="N204" s="103">
        <f t="shared" si="146"/>
        <v>0.24870277777777783</v>
      </c>
      <c r="O204" s="378">
        <v>169745.79</v>
      </c>
      <c r="P204" s="103">
        <f t="shared" si="147"/>
        <v>30.648545416666668</v>
      </c>
      <c r="Q204" s="378">
        <v>6200570.4299999997</v>
      </c>
      <c r="R204" s="380">
        <f t="shared" si="148"/>
        <v>1377.90454</v>
      </c>
    </row>
    <row r="205" spans="2:18" x14ac:dyDescent="0.25">
      <c r="B205" s="377">
        <f t="shared" si="128"/>
        <v>45688</v>
      </c>
      <c r="C205" s="378">
        <v>502883.21</v>
      </c>
      <c r="D205" s="103">
        <f t="shared" si="129"/>
        <v>104.76733541666665</v>
      </c>
      <c r="E205" s="382">
        <v>6644122.8700000001</v>
      </c>
      <c r="F205" s="103">
        <f t="shared" si="130"/>
        <v>1384.1922645833333</v>
      </c>
      <c r="G205" s="378">
        <v>468767.8</v>
      </c>
      <c r="H205" s="103">
        <f t="shared" si="143"/>
        <v>58.595974999999996</v>
      </c>
      <c r="I205" s="382">
        <v>151420.26</v>
      </c>
      <c r="J205" s="103">
        <f t="shared" si="144"/>
        <v>18.927532500000002</v>
      </c>
      <c r="K205" s="378">
        <v>22689.42</v>
      </c>
      <c r="L205" s="103">
        <f t="shared" si="145"/>
        <v>4.0967008333333332</v>
      </c>
      <c r="M205" s="378">
        <v>3581.32</v>
      </c>
      <c r="N205" s="103">
        <f t="shared" si="146"/>
        <v>0.24870277777777783</v>
      </c>
      <c r="O205" s="378">
        <v>169745.79</v>
      </c>
      <c r="P205" s="103">
        <f t="shared" si="147"/>
        <v>30.648545416666668</v>
      </c>
      <c r="Q205" s="378">
        <v>6200570.4299999997</v>
      </c>
      <c r="R205" s="380">
        <f t="shared" si="148"/>
        <v>1377.90454</v>
      </c>
    </row>
    <row r="206" spans="2:18" x14ac:dyDescent="0.25">
      <c r="B206" s="377">
        <f t="shared" si="128"/>
        <v>45689</v>
      </c>
      <c r="C206" s="378">
        <v>502883.21</v>
      </c>
      <c r="D206" s="103">
        <f t="shared" si="129"/>
        <v>104.76733541666665</v>
      </c>
      <c r="E206" s="382">
        <v>6644122.8700000001</v>
      </c>
      <c r="F206" s="103">
        <f t="shared" si="130"/>
        <v>1384.1922645833333</v>
      </c>
      <c r="G206" s="378">
        <v>468767.8</v>
      </c>
      <c r="H206" s="103">
        <f t="shared" si="143"/>
        <v>58.595974999999996</v>
      </c>
      <c r="I206" s="382">
        <v>151420.26</v>
      </c>
      <c r="J206" s="103">
        <f t="shared" si="144"/>
        <v>18.927532500000002</v>
      </c>
      <c r="K206" s="378">
        <v>22689.42</v>
      </c>
      <c r="L206" s="103">
        <f t="shared" si="145"/>
        <v>4.0967008333333332</v>
      </c>
      <c r="M206" s="378">
        <v>3581.32</v>
      </c>
      <c r="N206" s="103">
        <f t="shared" si="146"/>
        <v>0.24870277777777783</v>
      </c>
      <c r="O206" s="378">
        <v>169745.79</v>
      </c>
      <c r="P206" s="103">
        <f t="shared" si="147"/>
        <v>30.648545416666668</v>
      </c>
      <c r="Q206" s="378">
        <v>6200570.4299999997</v>
      </c>
      <c r="R206" s="380">
        <f t="shared" si="148"/>
        <v>1377.90454</v>
      </c>
    </row>
    <row r="207" spans="2:18" x14ac:dyDescent="0.25">
      <c r="B207" s="377">
        <f t="shared" si="128"/>
        <v>45690</v>
      </c>
      <c r="C207" s="378">
        <v>502883.21</v>
      </c>
      <c r="D207" s="103">
        <f t="shared" si="129"/>
        <v>104.76733541666665</v>
      </c>
      <c r="E207" s="382">
        <v>6644122.8700000001</v>
      </c>
      <c r="F207" s="103">
        <f t="shared" si="130"/>
        <v>1384.1922645833333</v>
      </c>
      <c r="G207" s="378">
        <v>468767.8</v>
      </c>
      <c r="H207" s="103">
        <f t="shared" ref="H207:H213" si="149">(G207*4.5%)/360</f>
        <v>58.595974999999996</v>
      </c>
      <c r="I207" s="382">
        <v>151420.26</v>
      </c>
      <c r="J207" s="103">
        <f t="shared" ref="J207:J213" si="150">(I207*4.5%)/360</f>
        <v>18.927532500000002</v>
      </c>
      <c r="K207" s="378">
        <v>22689.42</v>
      </c>
      <c r="L207" s="103">
        <f t="shared" ref="L207:L213" si="151">(K207*6.5%)/360</f>
        <v>4.0967008333333332</v>
      </c>
      <c r="M207" s="378">
        <v>3581.32</v>
      </c>
      <c r="N207" s="103">
        <f t="shared" ref="N207:N213" si="152">(M207*2.5%)/360</f>
        <v>0.24870277777777783</v>
      </c>
      <c r="O207" s="378">
        <v>169745.79</v>
      </c>
      <c r="P207" s="103">
        <f t="shared" ref="P207:P213" si="153">(O207*6.5%)/360</f>
        <v>30.648545416666668</v>
      </c>
      <c r="Q207" s="378">
        <v>6200570.4299999997</v>
      </c>
      <c r="R207" s="380">
        <f t="shared" ref="R207:R213" si="154">(Q207*8%)/360</f>
        <v>1377.90454</v>
      </c>
    </row>
    <row r="208" spans="2:18" x14ac:dyDescent="0.25">
      <c r="B208" s="377">
        <f t="shared" si="128"/>
        <v>45691</v>
      </c>
      <c r="C208" s="378">
        <v>502883.21</v>
      </c>
      <c r="D208" s="103">
        <f t="shared" si="129"/>
        <v>104.76733541666665</v>
      </c>
      <c r="E208" s="382">
        <v>8980256.6400000006</v>
      </c>
      <c r="F208" s="103">
        <f t="shared" si="130"/>
        <v>1870.8868</v>
      </c>
      <c r="G208" s="378">
        <v>468767.8</v>
      </c>
      <c r="H208" s="103">
        <f t="shared" si="149"/>
        <v>58.595974999999996</v>
      </c>
      <c r="I208" s="382">
        <v>151420.26</v>
      </c>
      <c r="J208" s="103">
        <f t="shared" si="150"/>
        <v>18.927532500000002</v>
      </c>
      <c r="K208" s="378">
        <v>22689.42</v>
      </c>
      <c r="L208" s="103">
        <f t="shared" si="151"/>
        <v>4.0967008333333332</v>
      </c>
      <c r="M208" s="378">
        <v>3581.32</v>
      </c>
      <c r="N208" s="103">
        <f t="shared" si="152"/>
        <v>0.24870277777777783</v>
      </c>
      <c r="O208" s="378">
        <v>169745.79</v>
      </c>
      <c r="P208" s="103">
        <f t="shared" si="153"/>
        <v>30.648545416666668</v>
      </c>
      <c r="Q208" s="378">
        <v>6200570.4299999997</v>
      </c>
      <c r="R208" s="380">
        <f t="shared" si="154"/>
        <v>1377.90454</v>
      </c>
    </row>
    <row r="209" spans="2:18" x14ac:dyDescent="0.25">
      <c r="B209" s="377">
        <f t="shared" si="128"/>
        <v>45692</v>
      </c>
      <c r="C209" s="378">
        <v>502883.21</v>
      </c>
      <c r="D209" s="103">
        <f t="shared" si="129"/>
        <v>104.76733541666665</v>
      </c>
      <c r="E209" s="382">
        <v>8980256.6400000006</v>
      </c>
      <c r="F209" s="103">
        <f t="shared" si="130"/>
        <v>1870.8868</v>
      </c>
      <c r="G209" s="378">
        <v>468767.8</v>
      </c>
      <c r="H209" s="103">
        <f t="shared" si="149"/>
        <v>58.595974999999996</v>
      </c>
      <c r="I209" s="382">
        <v>151420.26</v>
      </c>
      <c r="J209" s="103">
        <f t="shared" si="150"/>
        <v>18.927532500000002</v>
      </c>
      <c r="K209" s="378">
        <v>22689.42</v>
      </c>
      <c r="L209" s="103">
        <f t="shared" si="151"/>
        <v>4.0967008333333332</v>
      </c>
      <c r="M209" s="378">
        <v>3581.32</v>
      </c>
      <c r="N209" s="103">
        <f t="shared" si="152"/>
        <v>0.24870277777777783</v>
      </c>
      <c r="O209" s="378">
        <v>169745.79</v>
      </c>
      <c r="P209" s="103">
        <f t="shared" si="153"/>
        <v>30.648545416666668</v>
      </c>
      <c r="Q209" s="378">
        <v>6200570.4299999997</v>
      </c>
      <c r="R209" s="380">
        <f t="shared" si="154"/>
        <v>1377.90454</v>
      </c>
    </row>
    <row r="210" spans="2:18" x14ac:dyDescent="0.25">
      <c r="B210" s="377">
        <f t="shared" si="128"/>
        <v>45693</v>
      </c>
      <c r="C210" s="378">
        <v>502883.21</v>
      </c>
      <c r="D210" s="103">
        <f t="shared" si="129"/>
        <v>104.76733541666665</v>
      </c>
      <c r="E210" s="382">
        <v>7258735.75</v>
      </c>
      <c r="F210" s="103">
        <f t="shared" si="130"/>
        <v>1512.2366145833334</v>
      </c>
      <c r="G210" s="378">
        <v>478767.8</v>
      </c>
      <c r="H210" s="103">
        <f t="shared" si="149"/>
        <v>59.845974999999996</v>
      </c>
      <c r="I210" s="382">
        <v>151420.26</v>
      </c>
      <c r="J210" s="103">
        <f t="shared" si="150"/>
        <v>18.927532500000002</v>
      </c>
      <c r="K210" s="378">
        <v>22689.42</v>
      </c>
      <c r="L210" s="103">
        <f t="shared" si="151"/>
        <v>4.0967008333333332</v>
      </c>
      <c r="M210" s="378">
        <v>3581.32</v>
      </c>
      <c r="N210" s="103">
        <f t="shared" si="152"/>
        <v>0.24870277777777783</v>
      </c>
      <c r="O210" s="378">
        <v>169745.79</v>
      </c>
      <c r="P210" s="103">
        <f t="shared" si="153"/>
        <v>30.648545416666668</v>
      </c>
      <c r="Q210" s="378">
        <v>6200570.4299999997</v>
      </c>
      <c r="R210" s="380">
        <f t="shared" si="154"/>
        <v>1377.90454</v>
      </c>
    </row>
    <row r="211" spans="2:18" x14ac:dyDescent="0.25">
      <c r="B211" s="377">
        <f t="shared" si="128"/>
        <v>45694</v>
      </c>
      <c r="C211" s="378">
        <v>502883.21</v>
      </c>
      <c r="D211" s="103">
        <f t="shared" si="129"/>
        <v>104.76733541666665</v>
      </c>
      <c r="E211" s="382">
        <v>7258735.75</v>
      </c>
      <c r="F211" s="103">
        <f t="shared" si="130"/>
        <v>1512.2366145833334</v>
      </c>
      <c r="G211" s="378">
        <v>478767.8</v>
      </c>
      <c r="H211" s="103">
        <f t="shared" si="149"/>
        <v>59.845974999999996</v>
      </c>
      <c r="I211" s="382">
        <v>151420.26</v>
      </c>
      <c r="J211" s="103">
        <f t="shared" si="150"/>
        <v>18.927532500000002</v>
      </c>
      <c r="K211" s="378">
        <v>22689.42</v>
      </c>
      <c r="L211" s="103">
        <f t="shared" si="151"/>
        <v>4.0967008333333332</v>
      </c>
      <c r="M211" s="378">
        <v>3581.32</v>
      </c>
      <c r="N211" s="103">
        <f t="shared" si="152"/>
        <v>0.24870277777777783</v>
      </c>
      <c r="O211" s="378">
        <v>169745.79</v>
      </c>
      <c r="P211" s="103">
        <f t="shared" si="153"/>
        <v>30.648545416666668</v>
      </c>
      <c r="Q211" s="378">
        <v>6200570.4299999997</v>
      </c>
      <c r="R211" s="380">
        <f t="shared" si="154"/>
        <v>1377.90454</v>
      </c>
    </row>
    <row r="212" spans="2:18" x14ac:dyDescent="0.25">
      <c r="B212" s="377">
        <f t="shared" si="128"/>
        <v>45695</v>
      </c>
      <c r="C212" s="378">
        <v>502883.21</v>
      </c>
      <c r="D212" s="103">
        <f t="shared" si="129"/>
        <v>104.76733541666665</v>
      </c>
      <c r="E212" s="382">
        <v>7258735.75</v>
      </c>
      <c r="F212" s="103">
        <f t="shared" si="130"/>
        <v>1512.2366145833334</v>
      </c>
      <c r="G212" s="378">
        <v>478767.8</v>
      </c>
      <c r="H212" s="103">
        <f t="shared" si="149"/>
        <v>59.845974999999996</v>
      </c>
      <c r="I212" s="382">
        <v>151420.26</v>
      </c>
      <c r="J212" s="103">
        <f t="shared" si="150"/>
        <v>18.927532500000002</v>
      </c>
      <c r="K212" s="378">
        <v>22689.42</v>
      </c>
      <c r="L212" s="103">
        <f t="shared" si="151"/>
        <v>4.0967008333333332</v>
      </c>
      <c r="M212" s="378">
        <v>3581.32</v>
      </c>
      <c r="N212" s="103">
        <f t="shared" si="152"/>
        <v>0.24870277777777783</v>
      </c>
      <c r="O212" s="378">
        <v>169745.79</v>
      </c>
      <c r="P212" s="103">
        <f t="shared" si="153"/>
        <v>30.648545416666668</v>
      </c>
      <c r="Q212" s="378">
        <v>6200570.4299999997</v>
      </c>
      <c r="R212" s="380">
        <f t="shared" si="154"/>
        <v>1377.90454</v>
      </c>
    </row>
    <row r="213" spans="2:18" x14ac:dyDescent="0.25">
      <c r="B213" s="377">
        <f t="shared" si="128"/>
        <v>45696</v>
      </c>
      <c r="C213" s="378">
        <v>502883.21</v>
      </c>
      <c r="D213" s="103">
        <f t="shared" si="129"/>
        <v>104.76733541666665</v>
      </c>
      <c r="E213" s="382">
        <v>7258735.75</v>
      </c>
      <c r="F213" s="103">
        <f t="shared" si="130"/>
        <v>1512.2366145833334</v>
      </c>
      <c r="G213" s="378">
        <v>478767.8</v>
      </c>
      <c r="H213" s="103">
        <f t="shared" si="149"/>
        <v>59.845974999999996</v>
      </c>
      <c r="I213" s="382">
        <v>151420.26</v>
      </c>
      <c r="J213" s="103">
        <f t="shared" si="150"/>
        <v>18.927532500000002</v>
      </c>
      <c r="K213" s="378">
        <v>22689.42</v>
      </c>
      <c r="L213" s="103">
        <f t="shared" si="151"/>
        <v>4.0967008333333332</v>
      </c>
      <c r="M213" s="378">
        <v>3581.32</v>
      </c>
      <c r="N213" s="103">
        <f t="shared" si="152"/>
        <v>0.24870277777777783</v>
      </c>
      <c r="O213" s="378">
        <v>169745.79</v>
      </c>
      <c r="P213" s="103">
        <f t="shared" si="153"/>
        <v>30.648545416666668</v>
      </c>
      <c r="Q213" s="378">
        <v>6200570.4299999997</v>
      </c>
      <c r="R213" s="380">
        <f t="shared" si="154"/>
        <v>1377.90454</v>
      </c>
    </row>
    <row r="214" spans="2:18" x14ac:dyDescent="0.25">
      <c r="B214" s="377">
        <f t="shared" si="128"/>
        <v>45697</v>
      </c>
      <c r="C214" s="378">
        <v>502883.21</v>
      </c>
      <c r="D214" s="103">
        <f t="shared" si="129"/>
        <v>104.76733541666665</v>
      </c>
      <c r="E214" s="382">
        <v>6799853.3499999996</v>
      </c>
      <c r="F214" s="103">
        <f t="shared" ref="F214:F220" si="155">(E214*7.5%)/360</f>
        <v>1416.6361145833332</v>
      </c>
      <c r="G214" s="378">
        <v>478767.8</v>
      </c>
      <c r="H214" s="103">
        <f t="shared" ref="H214:H220" si="156">(G214*4.5%)/360</f>
        <v>59.845974999999996</v>
      </c>
      <c r="I214" s="382">
        <v>151420.26</v>
      </c>
      <c r="J214" s="103">
        <f t="shared" ref="J214:J220" si="157">(I214*4.5%)/360</f>
        <v>18.927532500000002</v>
      </c>
      <c r="K214" s="378">
        <v>22689.42</v>
      </c>
      <c r="L214" s="103">
        <f t="shared" ref="L214:L220" si="158">(K214*6.5%)/360</f>
        <v>4.0967008333333332</v>
      </c>
      <c r="M214" s="378">
        <v>3581.32</v>
      </c>
      <c r="N214" s="103">
        <f t="shared" ref="N214:N220" si="159">(M214*2.5%)/360</f>
        <v>0.24870277777777783</v>
      </c>
      <c r="O214" s="378">
        <v>169745.79</v>
      </c>
      <c r="P214" s="103">
        <f t="shared" ref="P214:P220" si="160">(O214*6.5%)/360</f>
        <v>30.648545416666668</v>
      </c>
      <c r="Q214" s="378">
        <v>6200570.4299999997</v>
      </c>
      <c r="R214" s="380">
        <f t="shared" ref="R214:R220" si="161">(Q214*8%)/360</f>
        <v>1377.90454</v>
      </c>
    </row>
    <row r="215" spans="2:18" x14ac:dyDescent="0.25">
      <c r="B215" s="377">
        <f t="shared" si="128"/>
        <v>45698</v>
      </c>
      <c r="C215" s="378">
        <v>502883.21</v>
      </c>
      <c r="D215" s="103">
        <f t="shared" si="129"/>
        <v>104.76733541666665</v>
      </c>
      <c r="E215" s="382">
        <v>6799853.3499999996</v>
      </c>
      <c r="F215" s="103">
        <f t="shared" si="155"/>
        <v>1416.6361145833332</v>
      </c>
      <c r="G215" s="378">
        <v>478767.8</v>
      </c>
      <c r="H215" s="103">
        <f t="shared" si="156"/>
        <v>59.845974999999996</v>
      </c>
      <c r="I215" s="382">
        <v>151420.26</v>
      </c>
      <c r="J215" s="103">
        <f t="shared" si="157"/>
        <v>18.927532500000002</v>
      </c>
      <c r="K215" s="378">
        <v>22689.42</v>
      </c>
      <c r="L215" s="103">
        <f t="shared" si="158"/>
        <v>4.0967008333333332</v>
      </c>
      <c r="M215" s="378">
        <v>3581.32</v>
      </c>
      <c r="N215" s="103">
        <f t="shared" si="159"/>
        <v>0.24870277777777783</v>
      </c>
      <c r="O215" s="378">
        <v>169745.79</v>
      </c>
      <c r="P215" s="103">
        <f t="shared" si="160"/>
        <v>30.648545416666668</v>
      </c>
      <c r="Q215" s="378">
        <v>6200570.4299999997</v>
      </c>
      <c r="R215" s="380">
        <f t="shared" si="161"/>
        <v>1377.90454</v>
      </c>
    </row>
    <row r="216" spans="2:18" x14ac:dyDescent="0.25">
      <c r="B216" s="377">
        <f t="shared" si="128"/>
        <v>45699</v>
      </c>
      <c r="C216" s="378">
        <v>502883.21</v>
      </c>
      <c r="D216" s="103">
        <f t="shared" si="129"/>
        <v>104.76733541666665</v>
      </c>
      <c r="E216" s="382">
        <v>6799853.3499999996</v>
      </c>
      <c r="F216" s="103">
        <f t="shared" si="155"/>
        <v>1416.6361145833332</v>
      </c>
      <c r="G216" s="378">
        <v>478767.8</v>
      </c>
      <c r="H216" s="103">
        <f t="shared" si="156"/>
        <v>59.845974999999996</v>
      </c>
      <c r="I216" s="382">
        <v>151420.26</v>
      </c>
      <c r="J216" s="103">
        <f t="shared" si="157"/>
        <v>18.927532500000002</v>
      </c>
      <c r="K216" s="378">
        <v>22689.42</v>
      </c>
      <c r="L216" s="103">
        <f t="shared" si="158"/>
        <v>4.0967008333333332</v>
      </c>
      <c r="M216" s="378">
        <v>3581.32</v>
      </c>
      <c r="N216" s="103">
        <f t="shared" si="159"/>
        <v>0.24870277777777783</v>
      </c>
      <c r="O216" s="378">
        <v>169745.79</v>
      </c>
      <c r="P216" s="103">
        <f t="shared" si="160"/>
        <v>30.648545416666668</v>
      </c>
      <c r="Q216" s="378">
        <v>6200570.4299999997</v>
      </c>
      <c r="R216" s="380">
        <f t="shared" si="161"/>
        <v>1377.90454</v>
      </c>
    </row>
    <row r="217" spans="2:18" x14ac:dyDescent="0.25">
      <c r="B217" s="377">
        <f t="shared" si="128"/>
        <v>45700</v>
      </c>
      <c r="C217" s="378">
        <v>67660.41</v>
      </c>
      <c r="D217" s="103">
        <f t="shared" si="129"/>
        <v>14.095918749999999</v>
      </c>
      <c r="E217" s="382">
        <v>6199053.3499999996</v>
      </c>
      <c r="F217" s="103">
        <f t="shared" si="155"/>
        <v>1291.4694479166667</v>
      </c>
      <c r="G217" s="378">
        <v>478767.8</v>
      </c>
      <c r="H217" s="103">
        <f t="shared" si="156"/>
        <v>59.845974999999996</v>
      </c>
      <c r="I217" s="382">
        <v>151420.26</v>
      </c>
      <c r="J217" s="103">
        <f t="shared" si="157"/>
        <v>18.927532500000002</v>
      </c>
      <c r="K217" s="378">
        <v>22689.42</v>
      </c>
      <c r="L217" s="103">
        <f t="shared" si="158"/>
        <v>4.0967008333333332</v>
      </c>
      <c r="M217" s="378">
        <v>3581.32</v>
      </c>
      <c r="N217" s="103">
        <f t="shared" si="159"/>
        <v>0.24870277777777783</v>
      </c>
      <c r="O217" s="378">
        <v>169745.79</v>
      </c>
      <c r="P217" s="103">
        <f t="shared" si="160"/>
        <v>30.648545416666668</v>
      </c>
      <c r="Q217" s="378">
        <v>6200570.4299999997</v>
      </c>
      <c r="R217" s="380">
        <f t="shared" si="161"/>
        <v>1377.90454</v>
      </c>
    </row>
    <row r="218" spans="2:18" x14ac:dyDescent="0.25">
      <c r="B218" s="377">
        <f t="shared" si="128"/>
        <v>45701</v>
      </c>
      <c r="C218" s="378">
        <v>67660.41</v>
      </c>
      <c r="D218" s="103">
        <f t="shared" si="129"/>
        <v>14.095918749999999</v>
      </c>
      <c r="E218" s="382">
        <v>6199053.3499999996</v>
      </c>
      <c r="F218" s="103">
        <f t="shared" si="155"/>
        <v>1291.4694479166667</v>
      </c>
      <c r="G218" s="378">
        <v>478767.8</v>
      </c>
      <c r="H218" s="103">
        <f t="shared" si="156"/>
        <v>59.845974999999996</v>
      </c>
      <c r="I218" s="382">
        <v>151420.26</v>
      </c>
      <c r="J218" s="103">
        <f t="shared" si="157"/>
        <v>18.927532500000002</v>
      </c>
      <c r="K218" s="378">
        <v>22689.42</v>
      </c>
      <c r="L218" s="103">
        <f t="shared" si="158"/>
        <v>4.0967008333333332</v>
      </c>
      <c r="M218" s="378">
        <v>3581.32</v>
      </c>
      <c r="N218" s="103">
        <f t="shared" si="159"/>
        <v>0.24870277777777783</v>
      </c>
      <c r="O218" s="378">
        <v>169745.79</v>
      </c>
      <c r="P218" s="103">
        <f t="shared" si="160"/>
        <v>30.648545416666668</v>
      </c>
      <c r="Q218" s="378">
        <v>6200570.4299999997</v>
      </c>
      <c r="R218" s="380">
        <f t="shared" si="161"/>
        <v>1377.90454</v>
      </c>
    </row>
    <row r="219" spans="2:18" x14ac:dyDescent="0.25">
      <c r="B219" s="377">
        <f t="shared" si="128"/>
        <v>45702</v>
      </c>
      <c r="C219" s="378">
        <v>67660.41</v>
      </c>
      <c r="D219" s="103">
        <f t="shared" si="129"/>
        <v>14.095918749999999</v>
      </c>
      <c r="E219" s="382">
        <v>6199053.3499999996</v>
      </c>
      <c r="F219" s="103">
        <f t="shared" si="155"/>
        <v>1291.4694479166667</v>
      </c>
      <c r="G219" s="378">
        <v>478767.8</v>
      </c>
      <c r="H219" s="103">
        <f t="shared" si="156"/>
        <v>59.845974999999996</v>
      </c>
      <c r="I219" s="382">
        <v>151420.26</v>
      </c>
      <c r="J219" s="103">
        <f t="shared" si="157"/>
        <v>18.927532500000002</v>
      </c>
      <c r="K219" s="378">
        <v>22689.42</v>
      </c>
      <c r="L219" s="103">
        <f t="shared" si="158"/>
        <v>4.0967008333333332</v>
      </c>
      <c r="M219" s="378">
        <v>3581.32</v>
      </c>
      <c r="N219" s="103">
        <f t="shared" si="159"/>
        <v>0.24870277777777783</v>
      </c>
      <c r="O219" s="378">
        <v>169745.79</v>
      </c>
      <c r="P219" s="103">
        <f t="shared" si="160"/>
        <v>30.648545416666668</v>
      </c>
      <c r="Q219" s="378">
        <v>6200570.4299999997</v>
      </c>
      <c r="R219" s="380">
        <f t="shared" si="161"/>
        <v>1377.90454</v>
      </c>
    </row>
    <row r="220" spans="2:18" x14ac:dyDescent="0.25">
      <c r="B220" s="377">
        <f t="shared" si="128"/>
        <v>45703</v>
      </c>
      <c r="C220" s="378">
        <v>67660.41</v>
      </c>
      <c r="D220" s="103">
        <f t="shared" si="129"/>
        <v>14.095918749999999</v>
      </c>
      <c r="E220" s="382">
        <v>6199053.3499999996</v>
      </c>
      <c r="F220" s="103">
        <f t="shared" si="155"/>
        <v>1291.4694479166667</v>
      </c>
      <c r="G220" s="378">
        <v>478767.8</v>
      </c>
      <c r="H220" s="103">
        <f t="shared" si="156"/>
        <v>59.845974999999996</v>
      </c>
      <c r="I220" s="382">
        <v>151420.26</v>
      </c>
      <c r="J220" s="103">
        <f t="shared" si="157"/>
        <v>18.927532500000002</v>
      </c>
      <c r="K220" s="378">
        <v>22689.42</v>
      </c>
      <c r="L220" s="103">
        <f t="shared" si="158"/>
        <v>4.0967008333333332</v>
      </c>
      <c r="M220" s="378">
        <v>3581.32</v>
      </c>
      <c r="N220" s="103">
        <f t="shared" si="159"/>
        <v>0.24870277777777783</v>
      </c>
      <c r="O220" s="378">
        <v>169745.79</v>
      </c>
      <c r="P220" s="103">
        <f t="shared" si="160"/>
        <v>30.648545416666668</v>
      </c>
      <c r="Q220" s="378">
        <v>6200570.4299999997</v>
      </c>
      <c r="R220" s="380">
        <f t="shared" si="161"/>
        <v>1377.90454</v>
      </c>
    </row>
    <row r="221" spans="2:18" x14ac:dyDescent="0.25">
      <c r="B221" s="377">
        <f t="shared" si="128"/>
        <v>45704</v>
      </c>
      <c r="C221" s="378">
        <v>65660.41</v>
      </c>
      <c r="D221" s="103">
        <f t="shared" si="129"/>
        <v>13.679252083333333</v>
      </c>
      <c r="E221" s="382">
        <v>5704506.8700000001</v>
      </c>
      <c r="F221" s="103">
        <f t="shared" ref="F221:F241" si="162">(E221*7.5%)/360</f>
        <v>1188.43893125</v>
      </c>
      <c r="G221" s="378">
        <v>478767.8</v>
      </c>
      <c r="H221" s="103">
        <f t="shared" ref="H221:H241" si="163">(G221*4.5%)/360</f>
        <v>59.845974999999996</v>
      </c>
      <c r="I221" s="382">
        <v>151420.26</v>
      </c>
      <c r="J221" s="103">
        <f t="shared" ref="J221:J227" si="164">(I221*4.5%)/360</f>
        <v>18.927532500000002</v>
      </c>
      <c r="K221" s="378">
        <v>22689.42</v>
      </c>
      <c r="L221" s="103">
        <f t="shared" ref="L221:L227" si="165">(K221*6.5%)/360</f>
        <v>4.0967008333333332</v>
      </c>
      <c r="M221" s="378">
        <v>3581.32</v>
      </c>
      <c r="N221" s="103">
        <f t="shared" ref="N221:N227" si="166">(M221*2.5%)/360</f>
        <v>0.24870277777777783</v>
      </c>
      <c r="O221" s="378">
        <v>169745.79</v>
      </c>
      <c r="P221" s="103">
        <f t="shared" ref="P221:P227" si="167">(O221*6.5%)/360</f>
        <v>30.648545416666668</v>
      </c>
      <c r="Q221" s="378">
        <v>6200570.4299999997</v>
      </c>
      <c r="R221" s="380">
        <f t="shared" ref="R221:R227" si="168">(Q221*8%)/360</f>
        <v>1377.90454</v>
      </c>
    </row>
    <row r="222" spans="2:18" x14ac:dyDescent="0.25">
      <c r="B222" s="377">
        <f t="shared" si="128"/>
        <v>45705</v>
      </c>
      <c r="C222" s="378">
        <v>65660.41</v>
      </c>
      <c r="D222" s="103">
        <f t="shared" si="129"/>
        <v>13.679252083333333</v>
      </c>
      <c r="E222" s="382">
        <v>5704506.8700000001</v>
      </c>
      <c r="F222" s="103">
        <f t="shared" si="162"/>
        <v>1188.43893125</v>
      </c>
      <c r="G222" s="378">
        <v>478767.8</v>
      </c>
      <c r="H222" s="103">
        <f t="shared" si="163"/>
        <v>59.845974999999996</v>
      </c>
      <c r="I222" s="382">
        <v>151420.26</v>
      </c>
      <c r="J222" s="103">
        <f t="shared" si="164"/>
        <v>18.927532500000002</v>
      </c>
      <c r="K222" s="378">
        <v>22689.42</v>
      </c>
      <c r="L222" s="103">
        <f t="shared" si="165"/>
        <v>4.0967008333333332</v>
      </c>
      <c r="M222" s="378">
        <v>3581.32</v>
      </c>
      <c r="N222" s="103">
        <f t="shared" si="166"/>
        <v>0.24870277777777783</v>
      </c>
      <c r="O222" s="378">
        <v>169745.79</v>
      </c>
      <c r="P222" s="103">
        <f t="shared" si="167"/>
        <v>30.648545416666668</v>
      </c>
      <c r="Q222" s="378">
        <v>6200570.4299999997</v>
      </c>
      <c r="R222" s="380">
        <f t="shared" si="168"/>
        <v>1377.90454</v>
      </c>
    </row>
    <row r="223" spans="2:18" x14ac:dyDescent="0.25">
      <c r="B223" s="377">
        <f t="shared" si="128"/>
        <v>45706</v>
      </c>
      <c r="C223" s="378">
        <v>65660.41</v>
      </c>
      <c r="D223" s="103">
        <f t="shared" si="129"/>
        <v>13.679252083333333</v>
      </c>
      <c r="E223" s="382">
        <v>5704506.8700000001</v>
      </c>
      <c r="F223" s="103">
        <f t="shared" si="162"/>
        <v>1188.43893125</v>
      </c>
      <c r="G223" s="378">
        <v>478767.8</v>
      </c>
      <c r="H223" s="103">
        <f t="shared" si="163"/>
        <v>59.845974999999996</v>
      </c>
      <c r="I223" s="382">
        <v>151420.26</v>
      </c>
      <c r="J223" s="103">
        <f t="shared" si="164"/>
        <v>18.927532500000002</v>
      </c>
      <c r="K223" s="378">
        <v>22689.42</v>
      </c>
      <c r="L223" s="103">
        <f t="shared" si="165"/>
        <v>4.0967008333333332</v>
      </c>
      <c r="M223" s="378">
        <v>3581.32</v>
      </c>
      <c r="N223" s="103">
        <f t="shared" si="166"/>
        <v>0.24870277777777783</v>
      </c>
      <c r="O223" s="378">
        <v>169745.79</v>
      </c>
      <c r="P223" s="103">
        <f t="shared" si="167"/>
        <v>30.648545416666668</v>
      </c>
      <c r="Q223" s="378">
        <v>6200570.4299999997</v>
      </c>
      <c r="R223" s="380">
        <f t="shared" si="168"/>
        <v>1377.90454</v>
      </c>
    </row>
    <row r="224" spans="2:18" x14ac:dyDescent="0.25">
      <c r="B224" s="377">
        <f t="shared" si="128"/>
        <v>45707</v>
      </c>
      <c r="C224" s="378">
        <v>65660.41</v>
      </c>
      <c r="D224" s="103">
        <f t="shared" si="129"/>
        <v>13.679252083333333</v>
      </c>
      <c r="E224" s="382">
        <v>5261296.12</v>
      </c>
      <c r="F224" s="103">
        <f t="shared" si="162"/>
        <v>1096.1033583333333</v>
      </c>
      <c r="G224" s="378">
        <v>478767.8</v>
      </c>
      <c r="H224" s="103">
        <f t="shared" si="163"/>
        <v>59.845974999999996</v>
      </c>
      <c r="I224" s="382">
        <v>151420.26</v>
      </c>
      <c r="J224" s="103">
        <f t="shared" si="164"/>
        <v>18.927532500000002</v>
      </c>
      <c r="K224" s="378">
        <v>22689.42</v>
      </c>
      <c r="L224" s="103">
        <f t="shared" si="165"/>
        <v>4.0967008333333332</v>
      </c>
      <c r="M224" s="378">
        <v>3581.32</v>
      </c>
      <c r="N224" s="103">
        <f t="shared" si="166"/>
        <v>0.24870277777777783</v>
      </c>
      <c r="O224" s="378">
        <v>169745.79</v>
      </c>
      <c r="P224" s="103">
        <f t="shared" si="167"/>
        <v>30.648545416666668</v>
      </c>
      <c r="Q224" s="378">
        <v>6200570.4299999997</v>
      </c>
      <c r="R224" s="380">
        <f t="shared" si="168"/>
        <v>1377.90454</v>
      </c>
    </row>
    <row r="225" spans="2:18" x14ac:dyDescent="0.25">
      <c r="B225" s="377">
        <f t="shared" si="128"/>
        <v>45708</v>
      </c>
      <c r="C225" s="378">
        <v>65660.41</v>
      </c>
      <c r="D225" s="103">
        <f t="shared" si="129"/>
        <v>13.679252083333333</v>
      </c>
      <c r="E225" s="382">
        <v>5952968.7599999998</v>
      </c>
      <c r="F225" s="103">
        <f t="shared" si="162"/>
        <v>1240.2018249999999</v>
      </c>
      <c r="G225" s="378">
        <v>478767.8</v>
      </c>
      <c r="H225" s="103">
        <f t="shared" si="163"/>
        <v>59.845974999999996</v>
      </c>
      <c r="I225" s="382">
        <v>151420.26</v>
      </c>
      <c r="J225" s="103">
        <f t="shared" si="164"/>
        <v>18.927532500000002</v>
      </c>
      <c r="K225" s="378">
        <v>22689.42</v>
      </c>
      <c r="L225" s="103">
        <f t="shared" si="165"/>
        <v>4.0967008333333332</v>
      </c>
      <c r="M225" s="378">
        <v>3581.32</v>
      </c>
      <c r="N225" s="103">
        <f t="shared" si="166"/>
        <v>0.24870277777777783</v>
      </c>
      <c r="O225" s="378">
        <v>169745.79</v>
      </c>
      <c r="P225" s="103">
        <f t="shared" si="167"/>
        <v>30.648545416666668</v>
      </c>
      <c r="Q225" s="378">
        <v>6200570.4299999997</v>
      </c>
      <c r="R225" s="380">
        <f t="shared" si="168"/>
        <v>1377.90454</v>
      </c>
    </row>
    <row r="226" spans="2:18" x14ac:dyDescent="0.25">
      <c r="B226" s="377">
        <f t="shared" si="128"/>
        <v>45709</v>
      </c>
      <c r="C226" s="378">
        <v>65660.41</v>
      </c>
      <c r="D226" s="103">
        <f t="shared" si="129"/>
        <v>13.679252083333333</v>
      </c>
      <c r="E226" s="382">
        <v>5952968.7599999998</v>
      </c>
      <c r="F226" s="103">
        <f t="shared" si="162"/>
        <v>1240.2018249999999</v>
      </c>
      <c r="G226" s="378">
        <v>478767.8</v>
      </c>
      <c r="H226" s="103">
        <f t="shared" si="163"/>
        <v>59.845974999999996</v>
      </c>
      <c r="I226" s="382">
        <v>151420.26</v>
      </c>
      <c r="J226" s="103">
        <f t="shared" si="164"/>
        <v>18.927532500000002</v>
      </c>
      <c r="K226" s="378">
        <v>22689.42</v>
      </c>
      <c r="L226" s="103">
        <f t="shared" si="165"/>
        <v>4.0967008333333332</v>
      </c>
      <c r="M226" s="378">
        <v>3581.32</v>
      </c>
      <c r="N226" s="103">
        <f t="shared" si="166"/>
        <v>0.24870277777777783</v>
      </c>
      <c r="O226" s="378">
        <v>169745.79</v>
      </c>
      <c r="P226" s="103">
        <f t="shared" si="167"/>
        <v>30.648545416666668</v>
      </c>
      <c r="Q226" s="378">
        <v>6200570.4299999997</v>
      </c>
      <c r="R226" s="380">
        <f t="shared" si="168"/>
        <v>1377.90454</v>
      </c>
    </row>
    <row r="227" spans="2:18" x14ac:dyDescent="0.25">
      <c r="B227" s="377">
        <f t="shared" si="128"/>
        <v>45710</v>
      </c>
      <c r="C227" s="378">
        <v>65660.41</v>
      </c>
      <c r="D227" s="103">
        <f t="shared" si="129"/>
        <v>13.679252083333333</v>
      </c>
      <c r="E227" s="382">
        <v>5952968.7599999998</v>
      </c>
      <c r="F227" s="103">
        <f t="shared" si="162"/>
        <v>1240.2018249999999</v>
      </c>
      <c r="G227" s="378">
        <v>478767.8</v>
      </c>
      <c r="H227" s="103">
        <f t="shared" si="163"/>
        <v>59.845974999999996</v>
      </c>
      <c r="I227" s="382">
        <v>151420.26</v>
      </c>
      <c r="J227" s="103">
        <f t="shared" si="164"/>
        <v>18.927532500000002</v>
      </c>
      <c r="K227" s="378">
        <v>22689.42</v>
      </c>
      <c r="L227" s="103">
        <f t="shared" si="165"/>
        <v>4.0967008333333332</v>
      </c>
      <c r="M227" s="378">
        <v>3581.32</v>
      </c>
      <c r="N227" s="103">
        <f t="shared" si="166"/>
        <v>0.24870277777777783</v>
      </c>
      <c r="O227" s="378">
        <v>169745.79</v>
      </c>
      <c r="P227" s="103">
        <f t="shared" si="167"/>
        <v>30.648545416666668</v>
      </c>
      <c r="Q227" s="378">
        <v>6200570.4299999997</v>
      </c>
      <c r="R227" s="380">
        <f t="shared" si="168"/>
        <v>1377.90454</v>
      </c>
    </row>
    <row r="228" spans="2:18" x14ac:dyDescent="0.25">
      <c r="B228" s="377">
        <f t="shared" si="128"/>
        <v>45711</v>
      </c>
      <c r="C228" s="378">
        <v>65660.41</v>
      </c>
      <c r="D228" s="103">
        <f t="shared" si="129"/>
        <v>13.679252083333333</v>
      </c>
      <c r="E228" s="382">
        <v>5520133.1600000001</v>
      </c>
      <c r="F228" s="103">
        <f t="shared" si="162"/>
        <v>1150.0277416666668</v>
      </c>
      <c r="G228" s="378">
        <v>478767.8</v>
      </c>
      <c r="H228" s="103">
        <f t="shared" si="163"/>
        <v>59.845974999999996</v>
      </c>
      <c r="I228" s="382">
        <v>103820.12</v>
      </c>
      <c r="J228" s="103">
        <f t="shared" ref="J228:J234" si="169">(I228*4.5%)/360</f>
        <v>12.977514999999999</v>
      </c>
      <c r="K228" s="378">
        <v>22689.42</v>
      </c>
      <c r="L228" s="103">
        <f t="shared" ref="L228:L234" si="170">(K228*6.5%)/360</f>
        <v>4.0967008333333332</v>
      </c>
      <c r="M228" s="378">
        <v>3581.32</v>
      </c>
      <c r="N228" s="103">
        <f t="shared" ref="N228:N234" si="171">(M228*2.5%)/360</f>
        <v>0.24870277777777783</v>
      </c>
      <c r="O228" s="378">
        <v>169745.79</v>
      </c>
      <c r="P228" s="103">
        <f t="shared" ref="P228:P234" si="172">(O228*6.5%)/360</f>
        <v>30.648545416666668</v>
      </c>
      <c r="Q228" s="378">
        <v>6200570.4299999997</v>
      </c>
      <c r="R228" s="380">
        <f t="shared" ref="R228:R234" si="173">(Q228*8%)/360</f>
        <v>1377.90454</v>
      </c>
    </row>
    <row r="229" spans="2:18" x14ac:dyDescent="0.25">
      <c r="B229" s="377">
        <f t="shared" si="128"/>
        <v>45712</v>
      </c>
      <c r="C229" s="378">
        <v>65660.41</v>
      </c>
      <c r="D229" s="103">
        <f t="shared" si="129"/>
        <v>13.679252083333333</v>
      </c>
      <c r="E229" s="382">
        <v>5517158.1600000001</v>
      </c>
      <c r="F229" s="103">
        <f t="shared" si="162"/>
        <v>1149.40795</v>
      </c>
      <c r="G229" s="378">
        <v>478767.8</v>
      </c>
      <c r="H229" s="103">
        <f t="shared" si="163"/>
        <v>59.845974999999996</v>
      </c>
      <c r="I229" s="382">
        <v>103820.12</v>
      </c>
      <c r="J229" s="103">
        <f t="shared" si="169"/>
        <v>12.977514999999999</v>
      </c>
      <c r="K229" s="378">
        <v>22689.42</v>
      </c>
      <c r="L229" s="103">
        <f t="shared" si="170"/>
        <v>4.0967008333333332</v>
      </c>
      <c r="M229" s="378">
        <v>3581.32</v>
      </c>
      <c r="N229" s="103">
        <f t="shared" si="171"/>
        <v>0.24870277777777783</v>
      </c>
      <c r="O229" s="378">
        <v>169745.79</v>
      </c>
      <c r="P229" s="103">
        <f t="shared" si="172"/>
        <v>30.648545416666668</v>
      </c>
      <c r="Q229" s="378">
        <v>6200570.4299999997</v>
      </c>
      <c r="R229" s="380">
        <f t="shared" si="173"/>
        <v>1377.90454</v>
      </c>
    </row>
    <row r="230" spans="2:18" x14ac:dyDescent="0.25">
      <c r="B230" s="377">
        <f t="shared" si="128"/>
        <v>45713</v>
      </c>
      <c r="C230" s="378">
        <v>55660.41</v>
      </c>
      <c r="D230" s="103">
        <f t="shared" si="129"/>
        <v>11.595918749999999</v>
      </c>
      <c r="E230" s="382">
        <v>3510649.86</v>
      </c>
      <c r="F230" s="103">
        <f t="shared" si="162"/>
        <v>731.38538749999987</v>
      </c>
      <c r="G230" s="378">
        <v>478767.8</v>
      </c>
      <c r="H230" s="103">
        <f t="shared" si="163"/>
        <v>59.845974999999996</v>
      </c>
      <c r="I230" s="382">
        <v>103820.12</v>
      </c>
      <c r="J230" s="103">
        <f t="shared" si="169"/>
        <v>12.977514999999999</v>
      </c>
      <c r="K230" s="378">
        <v>22689.42</v>
      </c>
      <c r="L230" s="103">
        <f t="shared" si="170"/>
        <v>4.0967008333333332</v>
      </c>
      <c r="M230" s="378">
        <v>3581.32</v>
      </c>
      <c r="N230" s="103">
        <f t="shared" si="171"/>
        <v>0.24870277777777783</v>
      </c>
      <c r="O230" s="378">
        <v>169745.79</v>
      </c>
      <c r="P230" s="103">
        <f t="shared" si="172"/>
        <v>30.648545416666668</v>
      </c>
      <c r="Q230" s="378">
        <v>6200570.4299999997</v>
      </c>
      <c r="R230" s="380">
        <f t="shared" si="173"/>
        <v>1377.90454</v>
      </c>
    </row>
    <row r="231" spans="2:18" x14ac:dyDescent="0.25">
      <c r="B231" s="377">
        <f t="shared" si="128"/>
        <v>45714</v>
      </c>
      <c r="C231" s="378">
        <v>5055635.41</v>
      </c>
      <c r="D231" s="103">
        <f t="shared" si="129"/>
        <v>1053.2573770833333</v>
      </c>
      <c r="E231" s="382">
        <v>2062167.06</v>
      </c>
      <c r="F231" s="103">
        <f t="shared" si="162"/>
        <v>429.61813749999999</v>
      </c>
      <c r="G231" s="378">
        <v>586767.80000000005</v>
      </c>
      <c r="H231" s="103">
        <f t="shared" si="163"/>
        <v>73.345974999999996</v>
      </c>
      <c r="I231" s="382">
        <v>103820.12</v>
      </c>
      <c r="J231" s="103">
        <f t="shared" si="169"/>
        <v>12.977514999999999</v>
      </c>
      <c r="K231" s="378">
        <v>22689.42</v>
      </c>
      <c r="L231" s="103">
        <f t="shared" si="170"/>
        <v>4.0967008333333332</v>
      </c>
      <c r="M231" s="378">
        <v>3581.32</v>
      </c>
      <c r="N231" s="103">
        <f t="shared" si="171"/>
        <v>0.24870277777777783</v>
      </c>
      <c r="O231" s="378">
        <v>169745.79</v>
      </c>
      <c r="P231" s="103">
        <f t="shared" si="172"/>
        <v>30.648545416666668</v>
      </c>
      <c r="Q231" s="378">
        <v>6200570.4299999997</v>
      </c>
      <c r="R231" s="380">
        <f t="shared" si="173"/>
        <v>1377.90454</v>
      </c>
    </row>
    <row r="232" spans="2:18" x14ac:dyDescent="0.25">
      <c r="B232" s="377">
        <f t="shared" si="128"/>
        <v>45715</v>
      </c>
      <c r="C232" s="378">
        <v>5015450.3899999997</v>
      </c>
      <c r="D232" s="103">
        <f t="shared" si="129"/>
        <v>1044.8854979166665</v>
      </c>
      <c r="E232" s="382">
        <v>423691.18</v>
      </c>
      <c r="F232" s="103">
        <f t="shared" si="162"/>
        <v>88.268995833333321</v>
      </c>
      <c r="G232" s="378">
        <v>586767.80000000005</v>
      </c>
      <c r="H232" s="103">
        <f t="shared" si="163"/>
        <v>73.345974999999996</v>
      </c>
      <c r="I232" s="382">
        <v>103820.12</v>
      </c>
      <c r="J232" s="103">
        <f t="shared" si="169"/>
        <v>12.977514999999999</v>
      </c>
      <c r="K232" s="378">
        <v>22689.42</v>
      </c>
      <c r="L232" s="103">
        <f t="shared" si="170"/>
        <v>4.0967008333333332</v>
      </c>
      <c r="M232" s="378">
        <v>3581.32</v>
      </c>
      <c r="N232" s="103">
        <f t="shared" si="171"/>
        <v>0.24870277777777783</v>
      </c>
      <c r="O232" s="378">
        <v>169745.79</v>
      </c>
      <c r="P232" s="103">
        <f t="shared" si="172"/>
        <v>30.648545416666668</v>
      </c>
      <c r="Q232" s="378">
        <v>6200570.4299999997</v>
      </c>
      <c r="R232" s="380">
        <f t="shared" si="173"/>
        <v>1377.90454</v>
      </c>
    </row>
    <row r="233" spans="2:18" x14ac:dyDescent="0.25">
      <c r="B233" s="377">
        <f t="shared" si="128"/>
        <v>45716</v>
      </c>
      <c r="C233" s="378">
        <v>5015450.3899999997</v>
      </c>
      <c r="D233" s="103">
        <f t="shared" si="129"/>
        <v>1044.8854979166665</v>
      </c>
      <c r="E233" s="382">
        <v>423691.18</v>
      </c>
      <c r="F233" s="103">
        <f t="shared" si="162"/>
        <v>88.268995833333321</v>
      </c>
      <c r="G233" s="378">
        <v>586767.80000000005</v>
      </c>
      <c r="H233" s="103">
        <f t="shared" si="163"/>
        <v>73.345974999999996</v>
      </c>
      <c r="I233" s="382">
        <v>103820.12</v>
      </c>
      <c r="J233" s="103">
        <f t="shared" si="169"/>
        <v>12.977514999999999</v>
      </c>
      <c r="K233" s="378">
        <v>22689.42</v>
      </c>
      <c r="L233" s="103">
        <f t="shared" si="170"/>
        <v>4.0967008333333332</v>
      </c>
      <c r="M233" s="378">
        <v>3581.32</v>
      </c>
      <c r="N233" s="103">
        <f t="shared" si="171"/>
        <v>0.24870277777777783</v>
      </c>
      <c r="O233" s="378">
        <v>169745.79</v>
      </c>
      <c r="P233" s="103">
        <f t="shared" si="172"/>
        <v>30.648545416666668</v>
      </c>
      <c r="Q233" s="378">
        <v>6200570.4299999997</v>
      </c>
      <c r="R233" s="380">
        <f t="shared" si="173"/>
        <v>1377.90454</v>
      </c>
    </row>
    <row r="234" spans="2:18" x14ac:dyDescent="0.25">
      <c r="B234" s="377">
        <f t="shared" si="128"/>
        <v>45717</v>
      </c>
      <c r="C234" s="378">
        <v>5015450.3899999997</v>
      </c>
      <c r="D234" s="103">
        <f t="shared" si="129"/>
        <v>1044.8854979166665</v>
      </c>
      <c r="E234" s="382">
        <v>423691.18</v>
      </c>
      <c r="F234" s="103">
        <f t="shared" si="162"/>
        <v>88.268995833333321</v>
      </c>
      <c r="G234" s="378">
        <v>586767.80000000005</v>
      </c>
      <c r="H234" s="103">
        <f t="shared" si="163"/>
        <v>73.345974999999996</v>
      </c>
      <c r="I234" s="382">
        <v>103820.12</v>
      </c>
      <c r="J234" s="103">
        <f t="shared" si="169"/>
        <v>12.977514999999999</v>
      </c>
      <c r="K234" s="378">
        <v>22689.42</v>
      </c>
      <c r="L234" s="103">
        <f t="shared" si="170"/>
        <v>4.0967008333333332</v>
      </c>
      <c r="M234" s="378">
        <v>3581.32</v>
      </c>
      <c r="N234" s="103">
        <f t="shared" si="171"/>
        <v>0.24870277777777783</v>
      </c>
      <c r="O234" s="378">
        <v>169745.79</v>
      </c>
      <c r="P234" s="103">
        <f t="shared" si="172"/>
        <v>30.648545416666668</v>
      </c>
      <c r="Q234" s="378">
        <v>6200570.4299999997</v>
      </c>
      <c r="R234" s="380">
        <f t="shared" si="173"/>
        <v>1377.90454</v>
      </c>
    </row>
    <row r="235" spans="2:18" x14ac:dyDescent="0.25">
      <c r="B235" s="377">
        <f t="shared" si="128"/>
        <v>45718</v>
      </c>
      <c r="C235" s="378">
        <v>4715450.3899999997</v>
      </c>
      <c r="D235" s="103">
        <f t="shared" si="129"/>
        <v>982.38549791666651</v>
      </c>
      <c r="E235" s="382">
        <v>423691.18</v>
      </c>
      <c r="F235" s="103">
        <f t="shared" si="162"/>
        <v>88.268995833333321</v>
      </c>
      <c r="G235" s="378">
        <v>586767.80000000005</v>
      </c>
      <c r="H235" s="103">
        <f t="shared" si="163"/>
        <v>73.345974999999996</v>
      </c>
      <c r="I235" s="382">
        <v>103820.12</v>
      </c>
      <c r="J235" s="103">
        <f t="shared" ref="J235:J241" si="174">(I235*4.5%)/360</f>
        <v>12.977514999999999</v>
      </c>
      <c r="K235" s="378">
        <v>22689.42</v>
      </c>
      <c r="L235" s="103">
        <f t="shared" ref="L235:L241" si="175">(K235*6.5%)/360</f>
        <v>4.0967008333333332</v>
      </c>
      <c r="M235" s="378">
        <v>3581.32</v>
      </c>
      <c r="N235" s="103">
        <f t="shared" ref="N235:N241" si="176">(M235*2.5%)/360</f>
        <v>0.24870277777777783</v>
      </c>
      <c r="O235" s="378">
        <v>169745.79</v>
      </c>
      <c r="P235" s="103">
        <f t="shared" ref="P235:P241" si="177">(O235*6.5%)/360</f>
        <v>30.648545416666668</v>
      </c>
      <c r="Q235" s="378">
        <v>6200570.4299999997</v>
      </c>
      <c r="R235" s="380">
        <f t="shared" ref="R235:R241" si="178">(Q235*8%)/360</f>
        <v>1377.90454</v>
      </c>
    </row>
    <row r="236" spans="2:18" x14ac:dyDescent="0.25">
      <c r="B236" s="377">
        <f t="shared" si="128"/>
        <v>45719</v>
      </c>
      <c r="C236" s="378">
        <v>4715450.3899999997</v>
      </c>
      <c r="D236" s="103">
        <f t="shared" si="129"/>
        <v>982.38549791666651</v>
      </c>
      <c r="E236" s="382">
        <v>423691.18</v>
      </c>
      <c r="F236" s="103">
        <f t="shared" si="162"/>
        <v>88.268995833333321</v>
      </c>
      <c r="G236" s="378">
        <v>586767.80000000005</v>
      </c>
      <c r="H236" s="103">
        <f t="shared" si="163"/>
        <v>73.345974999999996</v>
      </c>
      <c r="I236" s="382">
        <v>103820.12</v>
      </c>
      <c r="J236" s="103">
        <f t="shared" si="174"/>
        <v>12.977514999999999</v>
      </c>
      <c r="K236" s="378">
        <v>22689.42</v>
      </c>
      <c r="L236" s="103">
        <f t="shared" si="175"/>
        <v>4.0967008333333332</v>
      </c>
      <c r="M236" s="378">
        <v>3581.32</v>
      </c>
      <c r="N236" s="103">
        <f t="shared" si="176"/>
        <v>0.24870277777777783</v>
      </c>
      <c r="O236" s="378">
        <v>169745.79</v>
      </c>
      <c r="P236" s="103">
        <f t="shared" si="177"/>
        <v>30.648545416666668</v>
      </c>
      <c r="Q236" s="378">
        <v>6200570.4299999997</v>
      </c>
      <c r="R236" s="380">
        <f t="shared" si="178"/>
        <v>1377.90454</v>
      </c>
    </row>
    <row r="237" spans="2:18" x14ac:dyDescent="0.25">
      <c r="B237" s="377">
        <f t="shared" si="128"/>
        <v>45720</v>
      </c>
      <c r="C237" s="378">
        <v>4715450.3899999997</v>
      </c>
      <c r="D237" s="103">
        <f t="shared" si="129"/>
        <v>982.38549791666651</v>
      </c>
      <c r="E237" s="382">
        <v>423691.18</v>
      </c>
      <c r="F237" s="103">
        <f t="shared" si="162"/>
        <v>88.268995833333321</v>
      </c>
      <c r="G237" s="378">
        <v>586767.80000000005</v>
      </c>
      <c r="H237" s="103">
        <f t="shared" si="163"/>
        <v>73.345974999999996</v>
      </c>
      <c r="I237" s="382">
        <v>103820.12</v>
      </c>
      <c r="J237" s="103">
        <f t="shared" si="174"/>
        <v>12.977514999999999</v>
      </c>
      <c r="K237" s="378">
        <v>22689.42</v>
      </c>
      <c r="L237" s="103">
        <f t="shared" si="175"/>
        <v>4.0967008333333332</v>
      </c>
      <c r="M237" s="378">
        <v>3581.32</v>
      </c>
      <c r="N237" s="103">
        <f t="shared" si="176"/>
        <v>0.24870277777777783</v>
      </c>
      <c r="O237" s="378">
        <v>169745.79</v>
      </c>
      <c r="P237" s="103">
        <f t="shared" si="177"/>
        <v>30.648545416666668</v>
      </c>
      <c r="Q237" s="378">
        <v>6200570.4299999997</v>
      </c>
      <c r="R237" s="380">
        <f t="shared" si="178"/>
        <v>1377.90454</v>
      </c>
    </row>
    <row r="238" spans="2:18" x14ac:dyDescent="0.25">
      <c r="B238" s="377">
        <f t="shared" si="128"/>
        <v>45721</v>
      </c>
      <c r="C238" s="378">
        <v>4715450.3899999997</v>
      </c>
      <c r="D238" s="103">
        <f t="shared" si="129"/>
        <v>982.38549791666651</v>
      </c>
      <c r="E238" s="382">
        <v>423691.18</v>
      </c>
      <c r="F238" s="103">
        <f t="shared" si="162"/>
        <v>88.268995833333321</v>
      </c>
      <c r="G238" s="378">
        <v>596767.80000000005</v>
      </c>
      <c r="H238" s="103">
        <f t="shared" si="163"/>
        <v>74.595974999999996</v>
      </c>
      <c r="I238" s="382">
        <v>103820.12</v>
      </c>
      <c r="J238" s="103">
        <f t="shared" si="174"/>
        <v>12.977514999999999</v>
      </c>
      <c r="K238" s="378">
        <v>22689.42</v>
      </c>
      <c r="L238" s="103">
        <f t="shared" si="175"/>
        <v>4.0967008333333332</v>
      </c>
      <c r="M238" s="378">
        <v>3581.32</v>
      </c>
      <c r="N238" s="103">
        <f t="shared" si="176"/>
        <v>0.24870277777777783</v>
      </c>
      <c r="O238" s="378">
        <v>169745.79</v>
      </c>
      <c r="P238" s="103">
        <f t="shared" si="177"/>
        <v>30.648545416666668</v>
      </c>
      <c r="Q238" s="378">
        <v>6200570.4299999997</v>
      </c>
      <c r="R238" s="380">
        <f t="shared" si="178"/>
        <v>1377.90454</v>
      </c>
    </row>
    <row r="239" spans="2:18" x14ac:dyDescent="0.25">
      <c r="B239" s="377">
        <f t="shared" si="128"/>
        <v>45722</v>
      </c>
      <c r="C239" s="378">
        <v>4715450.3899999997</v>
      </c>
      <c r="D239" s="103">
        <f t="shared" si="129"/>
        <v>982.38549791666651</v>
      </c>
      <c r="E239" s="382">
        <v>423691.18</v>
      </c>
      <c r="F239" s="103">
        <f t="shared" si="162"/>
        <v>88.268995833333321</v>
      </c>
      <c r="G239" s="378">
        <v>596767.80000000005</v>
      </c>
      <c r="H239" s="103">
        <f t="shared" si="163"/>
        <v>74.595974999999996</v>
      </c>
      <c r="I239" s="382">
        <v>103820.12</v>
      </c>
      <c r="J239" s="103">
        <f t="shared" si="174"/>
        <v>12.977514999999999</v>
      </c>
      <c r="K239" s="378">
        <v>22689.42</v>
      </c>
      <c r="L239" s="103">
        <f t="shared" si="175"/>
        <v>4.0967008333333332</v>
      </c>
      <c r="M239" s="378">
        <v>3581.32</v>
      </c>
      <c r="N239" s="103">
        <f t="shared" si="176"/>
        <v>0.24870277777777783</v>
      </c>
      <c r="O239" s="378">
        <v>169745.79</v>
      </c>
      <c r="P239" s="103">
        <f t="shared" si="177"/>
        <v>30.648545416666668</v>
      </c>
      <c r="Q239" s="378">
        <v>6200570.4299999997</v>
      </c>
      <c r="R239" s="380">
        <f t="shared" si="178"/>
        <v>1377.90454</v>
      </c>
    </row>
    <row r="240" spans="2:18" x14ac:dyDescent="0.25">
      <c r="B240" s="377">
        <f t="shared" ref="B240:B303" si="179">B239+1</f>
        <v>45723</v>
      </c>
      <c r="C240" s="378">
        <v>4715450.3899999997</v>
      </c>
      <c r="D240" s="103">
        <f t="shared" si="129"/>
        <v>982.38549791666651</v>
      </c>
      <c r="E240" s="382">
        <v>423691.18</v>
      </c>
      <c r="F240" s="103">
        <f t="shared" si="162"/>
        <v>88.268995833333321</v>
      </c>
      <c r="G240" s="378">
        <v>596767.80000000005</v>
      </c>
      <c r="H240" s="103">
        <f t="shared" si="163"/>
        <v>74.595974999999996</v>
      </c>
      <c r="I240" s="382">
        <v>103820.12</v>
      </c>
      <c r="J240" s="103">
        <f t="shared" si="174"/>
        <v>12.977514999999999</v>
      </c>
      <c r="K240" s="378">
        <v>22689.42</v>
      </c>
      <c r="L240" s="103">
        <f t="shared" si="175"/>
        <v>4.0967008333333332</v>
      </c>
      <c r="M240" s="378">
        <v>3581.32</v>
      </c>
      <c r="N240" s="103">
        <f t="shared" si="176"/>
        <v>0.24870277777777783</v>
      </c>
      <c r="O240" s="378">
        <v>169745.79</v>
      </c>
      <c r="P240" s="103">
        <f t="shared" si="177"/>
        <v>30.648545416666668</v>
      </c>
      <c r="Q240" s="378">
        <v>6200570.4299999997</v>
      </c>
      <c r="R240" s="380">
        <f t="shared" si="178"/>
        <v>1377.90454</v>
      </c>
    </row>
    <row r="241" spans="2:18" x14ac:dyDescent="0.25">
      <c r="B241" s="377">
        <f t="shared" si="179"/>
        <v>45724</v>
      </c>
      <c r="C241" s="378">
        <v>4715450.3899999997</v>
      </c>
      <c r="D241" s="103">
        <f t="shared" si="129"/>
        <v>982.38549791666651</v>
      </c>
      <c r="E241" s="382">
        <v>423691.18</v>
      </c>
      <c r="F241" s="103">
        <f t="shared" si="162"/>
        <v>88.268995833333321</v>
      </c>
      <c r="G241" s="378">
        <v>596767.80000000005</v>
      </c>
      <c r="H241" s="103">
        <f t="shared" si="163"/>
        <v>74.595974999999996</v>
      </c>
      <c r="I241" s="382">
        <v>103820.12</v>
      </c>
      <c r="J241" s="103">
        <f t="shared" si="174"/>
        <v>12.977514999999999</v>
      </c>
      <c r="K241" s="378">
        <v>22689.42</v>
      </c>
      <c r="L241" s="103">
        <f t="shared" si="175"/>
        <v>4.0967008333333332</v>
      </c>
      <c r="M241" s="378">
        <v>3581.32</v>
      </c>
      <c r="N241" s="103">
        <f t="shared" si="176"/>
        <v>0.24870277777777783</v>
      </c>
      <c r="O241" s="378">
        <v>169745.79</v>
      </c>
      <c r="P241" s="103">
        <f t="shared" si="177"/>
        <v>30.648545416666668</v>
      </c>
      <c r="Q241" s="378">
        <v>6200570.4299999997</v>
      </c>
      <c r="R241" s="380">
        <f t="shared" si="178"/>
        <v>1377.90454</v>
      </c>
    </row>
    <row r="242" spans="2:18" x14ac:dyDescent="0.25">
      <c r="B242" s="377">
        <f t="shared" si="179"/>
        <v>45725</v>
      </c>
      <c r="C242" s="378">
        <v>4715450.3899999997</v>
      </c>
      <c r="D242" s="103">
        <f t="shared" si="129"/>
        <v>982.38549791666651</v>
      </c>
      <c r="E242" s="382">
        <v>381691.18</v>
      </c>
      <c r="F242" s="103">
        <f t="shared" ref="F242:F255" si="180">(E242*7.5%)/360</f>
        <v>79.518995833333321</v>
      </c>
      <c r="G242" s="378">
        <v>596767.80000000005</v>
      </c>
      <c r="H242" s="103">
        <f t="shared" ref="H242:H248" si="181">(G242*4.5%)/360</f>
        <v>74.595974999999996</v>
      </c>
      <c r="I242" s="382">
        <v>103820.12</v>
      </c>
      <c r="J242" s="103">
        <f t="shared" ref="J242:J248" si="182">(I242*4.5%)/360</f>
        <v>12.977514999999999</v>
      </c>
      <c r="K242" s="378">
        <v>22689.42</v>
      </c>
      <c r="L242" s="103">
        <f t="shared" ref="L242:L248" si="183">(K242*6.5%)/360</f>
        <v>4.0967008333333332</v>
      </c>
      <c r="M242" s="378">
        <v>3581.32</v>
      </c>
      <c r="N242" s="103">
        <f t="shared" ref="N242:N248" si="184">(M242*2.5%)/360</f>
        <v>0.24870277777777783</v>
      </c>
      <c r="O242" s="378">
        <v>169745.79</v>
      </c>
      <c r="P242" s="103">
        <f t="shared" ref="P242:P248" si="185">(O242*6.5%)/360</f>
        <v>30.648545416666668</v>
      </c>
      <c r="Q242" s="378">
        <v>6200570.4299999997</v>
      </c>
      <c r="R242" s="380">
        <f t="shared" ref="R242:R248" si="186">(Q242*8%)/360</f>
        <v>1377.90454</v>
      </c>
    </row>
    <row r="243" spans="2:18" x14ac:dyDescent="0.25">
      <c r="B243" s="377">
        <f t="shared" si="179"/>
        <v>45726</v>
      </c>
      <c r="C243" s="378">
        <v>4715450.3899999997</v>
      </c>
      <c r="D243" s="103">
        <f t="shared" si="129"/>
        <v>982.38549791666651</v>
      </c>
      <c r="E243" s="382">
        <v>381691.18</v>
      </c>
      <c r="F243" s="103">
        <f t="shared" si="180"/>
        <v>79.518995833333321</v>
      </c>
      <c r="G243" s="378">
        <v>596767.80000000005</v>
      </c>
      <c r="H243" s="103">
        <f t="shared" si="181"/>
        <v>74.595974999999996</v>
      </c>
      <c r="I243" s="382">
        <v>103820.12</v>
      </c>
      <c r="J243" s="103">
        <f t="shared" si="182"/>
        <v>12.977514999999999</v>
      </c>
      <c r="K243" s="378">
        <v>22689.42</v>
      </c>
      <c r="L243" s="103">
        <f t="shared" si="183"/>
        <v>4.0967008333333332</v>
      </c>
      <c r="M243" s="378">
        <v>3581.32</v>
      </c>
      <c r="N243" s="103">
        <f t="shared" si="184"/>
        <v>0.24870277777777783</v>
      </c>
      <c r="O243" s="378">
        <v>169745.79</v>
      </c>
      <c r="P243" s="103">
        <f t="shared" si="185"/>
        <v>30.648545416666668</v>
      </c>
      <c r="Q243" s="378">
        <v>6200570.4299999997</v>
      </c>
      <c r="R243" s="380">
        <f t="shared" si="186"/>
        <v>1377.90454</v>
      </c>
    </row>
    <row r="244" spans="2:18" x14ac:dyDescent="0.25">
      <c r="B244" s="377">
        <f t="shared" si="179"/>
        <v>45727</v>
      </c>
      <c r="C244" s="378">
        <v>4715450.3899999997</v>
      </c>
      <c r="D244" s="103">
        <f t="shared" si="129"/>
        <v>982.38549791666651</v>
      </c>
      <c r="E244" s="382">
        <v>375791.18</v>
      </c>
      <c r="F244" s="103">
        <f t="shared" si="180"/>
        <v>78.289829166666664</v>
      </c>
      <c r="G244" s="378">
        <v>596767.80000000005</v>
      </c>
      <c r="H244" s="103">
        <f t="shared" si="181"/>
        <v>74.595974999999996</v>
      </c>
      <c r="I244" s="382">
        <v>103820.12</v>
      </c>
      <c r="J244" s="103">
        <f t="shared" si="182"/>
        <v>12.977514999999999</v>
      </c>
      <c r="K244" s="378">
        <v>22689.42</v>
      </c>
      <c r="L244" s="103">
        <f t="shared" si="183"/>
        <v>4.0967008333333332</v>
      </c>
      <c r="M244" s="378">
        <v>3581.32</v>
      </c>
      <c r="N244" s="103">
        <f t="shared" si="184"/>
        <v>0.24870277777777783</v>
      </c>
      <c r="O244" s="378">
        <v>169745.79</v>
      </c>
      <c r="P244" s="103">
        <f t="shared" si="185"/>
        <v>30.648545416666668</v>
      </c>
      <c r="Q244" s="378">
        <v>6200570.4299999997</v>
      </c>
      <c r="R244" s="380">
        <f t="shared" si="186"/>
        <v>1377.90454</v>
      </c>
    </row>
    <row r="245" spans="2:18" x14ac:dyDescent="0.25">
      <c r="B245" s="377">
        <f t="shared" si="179"/>
        <v>45728</v>
      </c>
      <c r="C245" s="378">
        <v>4715450.3899999997</v>
      </c>
      <c r="D245" s="103">
        <f t="shared" si="129"/>
        <v>982.38549791666651</v>
      </c>
      <c r="E245" s="382">
        <v>375791.18</v>
      </c>
      <c r="F245" s="103">
        <f t="shared" si="180"/>
        <v>78.289829166666664</v>
      </c>
      <c r="G245" s="378">
        <v>596767.80000000005</v>
      </c>
      <c r="H245" s="103">
        <f t="shared" si="181"/>
        <v>74.595974999999996</v>
      </c>
      <c r="I245" s="382">
        <v>103820.12</v>
      </c>
      <c r="J245" s="103">
        <f t="shared" si="182"/>
        <v>12.977514999999999</v>
      </c>
      <c r="K245" s="378">
        <v>22689.42</v>
      </c>
      <c r="L245" s="103">
        <f t="shared" si="183"/>
        <v>4.0967008333333332</v>
      </c>
      <c r="M245" s="378">
        <v>3581.32</v>
      </c>
      <c r="N245" s="103">
        <f t="shared" si="184"/>
        <v>0.24870277777777783</v>
      </c>
      <c r="O245" s="378">
        <v>169745.79</v>
      </c>
      <c r="P245" s="103">
        <f t="shared" si="185"/>
        <v>30.648545416666668</v>
      </c>
      <c r="Q245" s="378">
        <v>6200570.4299999997</v>
      </c>
      <c r="R245" s="380">
        <f t="shared" si="186"/>
        <v>1377.90454</v>
      </c>
    </row>
    <row r="246" spans="2:18" x14ac:dyDescent="0.25">
      <c r="B246" s="377">
        <f t="shared" si="179"/>
        <v>45729</v>
      </c>
      <c r="C246" s="378">
        <v>6489039.3899999997</v>
      </c>
      <c r="D246" s="103">
        <f t="shared" si="129"/>
        <v>1351.8832062499998</v>
      </c>
      <c r="E246" s="382">
        <v>118132.22999999998</v>
      </c>
      <c r="F246" s="103">
        <f t="shared" si="180"/>
        <v>24.610881249999995</v>
      </c>
      <c r="G246" s="378">
        <v>596767.80000000005</v>
      </c>
      <c r="H246" s="103">
        <f t="shared" si="181"/>
        <v>74.595974999999996</v>
      </c>
      <c r="I246" s="382">
        <v>103820.12</v>
      </c>
      <c r="J246" s="103">
        <f t="shared" si="182"/>
        <v>12.977514999999999</v>
      </c>
      <c r="K246" s="378">
        <v>22689.42</v>
      </c>
      <c r="L246" s="103">
        <f t="shared" si="183"/>
        <v>4.0967008333333332</v>
      </c>
      <c r="M246" s="378">
        <v>3581.32</v>
      </c>
      <c r="N246" s="103">
        <f t="shared" si="184"/>
        <v>0.24870277777777783</v>
      </c>
      <c r="O246" s="378">
        <v>169745.79</v>
      </c>
      <c r="P246" s="103">
        <f t="shared" si="185"/>
        <v>30.648545416666668</v>
      </c>
      <c r="Q246" s="378">
        <v>6200570.4299999997</v>
      </c>
      <c r="R246" s="380">
        <f t="shared" si="186"/>
        <v>1377.90454</v>
      </c>
    </row>
    <row r="247" spans="2:18" x14ac:dyDescent="0.25">
      <c r="B247" s="377">
        <f t="shared" si="179"/>
        <v>45730</v>
      </c>
      <c r="C247" s="378">
        <v>6489039.3899999997</v>
      </c>
      <c r="D247" s="103">
        <f t="shared" si="129"/>
        <v>1351.8832062499998</v>
      </c>
      <c r="E247" s="382">
        <v>118132.22999999998</v>
      </c>
      <c r="F247" s="103">
        <f t="shared" si="180"/>
        <v>24.610881249999995</v>
      </c>
      <c r="G247" s="378">
        <v>596767.80000000005</v>
      </c>
      <c r="H247" s="103">
        <f t="shared" si="181"/>
        <v>74.595974999999996</v>
      </c>
      <c r="I247" s="382">
        <v>103820.12</v>
      </c>
      <c r="J247" s="103">
        <f t="shared" si="182"/>
        <v>12.977514999999999</v>
      </c>
      <c r="K247" s="378">
        <v>22689.42</v>
      </c>
      <c r="L247" s="103">
        <f t="shared" si="183"/>
        <v>4.0967008333333332</v>
      </c>
      <c r="M247" s="378">
        <v>3581.32</v>
      </c>
      <c r="N247" s="103">
        <f t="shared" si="184"/>
        <v>0.24870277777777783</v>
      </c>
      <c r="O247" s="378">
        <v>169745.79</v>
      </c>
      <c r="P247" s="103">
        <f t="shared" si="185"/>
        <v>30.648545416666668</v>
      </c>
      <c r="Q247" s="378">
        <v>6200570.4299999997</v>
      </c>
      <c r="R247" s="380">
        <f t="shared" si="186"/>
        <v>1377.90454</v>
      </c>
    </row>
    <row r="248" spans="2:18" x14ac:dyDescent="0.25">
      <c r="B248" s="377">
        <f t="shared" si="179"/>
        <v>45731</v>
      </c>
      <c r="C248" s="378">
        <v>6489039.3899999997</v>
      </c>
      <c r="D248" s="103">
        <f t="shared" si="129"/>
        <v>1351.8832062499998</v>
      </c>
      <c r="E248" s="382">
        <v>118132.22999999998</v>
      </c>
      <c r="F248" s="103">
        <f t="shared" si="180"/>
        <v>24.610881249999995</v>
      </c>
      <c r="G248" s="378">
        <v>596767.80000000005</v>
      </c>
      <c r="H248" s="103">
        <f t="shared" si="181"/>
        <v>74.595974999999996</v>
      </c>
      <c r="I248" s="382">
        <v>103820.12</v>
      </c>
      <c r="J248" s="103">
        <f t="shared" si="182"/>
        <v>12.977514999999999</v>
      </c>
      <c r="K248" s="378">
        <v>22689.42</v>
      </c>
      <c r="L248" s="103">
        <f t="shared" si="183"/>
        <v>4.0967008333333332</v>
      </c>
      <c r="M248" s="378">
        <v>3581.32</v>
      </c>
      <c r="N248" s="103">
        <f t="shared" si="184"/>
        <v>0.24870277777777783</v>
      </c>
      <c r="O248" s="378">
        <v>169745.79</v>
      </c>
      <c r="P248" s="103">
        <f t="shared" si="185"/>
        <v>30.648545416666668</v>
      </c>
      <c r="Q248" s="378">
        <v>6200570.4299999997</v>
      </c>
      <c r="R248" s="380">
        <f t="shared" si="186"/>
        <v>1377.90454</v>
      </c>
    </row>
    <row r="249" spans="2:18" x14ac:dyDescent="0.25">
      <c r="B249" s="377">
        <f t="shared" si="179"/>
        <v>45732</v>
      </c>
      <c r="C249" s="378">
        <v>6481876.6299999999</v>
      </c>
      <c r="D249" s="103">
        <f t="shared" si="129"/>
        <v>1350.3909645833332</v>
      </c>
      <c r="E249" s="382">
        <v>117952.11</v>
      </c>
      <c r="F249" s="103">
        <f t="shared" si="180"/>
        <v>24.57335625</v>
      </c>
      <c r="G249" s="378">
        <v>598767.80000000005</v>
      </c>
      <c r="H249" s="103">
        <f t="shared" ref="H249:H255" si="187">(G249*4.5%)/360</f>
        <v>74.845974999999996</v>
      </c>
      <c r="I249" s="382">
        <v>103820.12</v>
      </c>
      <c r="J249" s="103">
        <f t="shared" ref="J249:J255" si="188">(I249*4.5%)/360</f>
        <v>12.977514999999999</v>
      </c>
      <c r="K249" s="378">
        <v>22689.42</v>
      </c>
      <c r="L249" s="103">
        <f t="shared" ref="L249:L255" si="189">(K249*6.5%)/360</f>
        <v>4.0967008333333332</v>
      </c>
      <c r="M249" s="378">
        <v>3581.32</v>
      </c>
      <c r="N249" s="103">
        <f t="shared" ref="N249:N255" si="190">(M249*2.5%)/360</f>
        <v>0.24870277777777783</v>
      </c>
      <c r="O249" s="378">
        <v>169745.79</v>
      </c>
      <c r="P249" s="103">
        <f t="shared" ref="P249:P255" si="191">(O249*6.5%)/360</f>
        <v>30.648545416666668</v>
      </c>
      <c r="Q249" s="378">
        <v>6200570.4299999997</v>
      </c>
      <c r="R249" s="380">
        <f t="shared" ref="R249:R255" si="192">(Q249*8%)/360</f>
        <v>1377.90454</v>
      </c>
    </row>
    <row r="250" spans="2:18" x14ac:dyDescent="0.25">
      <c r="B250" s="377">
        <f t="shared" si="179"/>
        <v>45733</v>
      </c>
      <c r="C250" s="378">
        <v>3397522.67</v>
      </c>
      <c r="D250" s="103">
        <f t="shared" ref="D250:D262" si="193">(C250*7.5%)/360</f>
        <v>707.81722291666665</v>
      </c>
      <c r="E250" s="382">
        <v>117952.11</v>
      </c>
      <c r="F250" s="103">
        <f t="shared" si="180"/>
        <v>24.57335625</v>
      </c>
      <c r="G250" s="378">
        <v>598767.80000000005</v>
      </c>
      <c r="H250" s="103">
        <f t="shared" si="187"/>
        <v>74.845974999999996</v>
      </c>
      <c r="I250" s="382">
        <v>103820.12</v>
      </c>
      <c r="J250" s="103">
        <f t="shared" si="188"/>
        <v>12.977514999999999</v>
      </c>
      <c r="K250" s="378">
        <v>22689.42</v>
      </c>
      <c r="L250" s="103">
        <f t="shared" si="189"/>
        <v>4.0967008333333332</v>
      </c>
      <c r="M250" s="378">
        <v>3581.32</v>
      </c>
      <c r="N250" s="103">
        <f t="shared" si="190"/>
        <v>0.24870277777777783</v>
      </c>
      <c r="O250" s="378">
        <v>169745.79</v>
      </c>
      <c r="P250" s="103">
        <f t="shared" si="191"/>
        <v>30.648545416666668</v>
      </c>
      <c r="Q250" s="378">
        <v>6200570.4299999997</v>
      </c>
      <c r="R250" s="380">
        <f t="shared" si="192"/>
        <v>1377.90454</v>
      </c>
    </row>
    <row r="251" spans="2:18" x14ac:dyDescent="0.25">
      <c r="B251" s="377">
        <f t="shared" si="179"/>
        <v>45734</v>
      </c>
      <c r="C251" s="378">
        <v>2797422.67</v>
      </c>
      <c r="D251" s="103">
        <f t="shared" si="193"/>
        <v>582.79638958333328</v>
      </c>
      <c r="E251" s="382">
        <v>117952.11</v>
      </c>
      <c r="F251" s="103">
        <f t="shared" si="180"/>
        <v>24.57335625</v>
      </c>
      <c r="G251" s="378">
        <v>598767.80000000005</v>
      </c>
      <c r="H251" s="103">
        <f t="shared" si="187"/>
        <v>74.845974999999996</v>
      </c>
      <c r="I251" s="382">
        <v>103820.12</v>
      </c>
      <c r="J251" s="103">
        <f t="shared" si="188"/>
        <v>12.977514999999999</v>
      </c>
      <c r="K251" s="378">
        <v>22689.42</v>
      </c>
      <c r="L251" s="103">
        <f t="shared" si="189"/>
        <v>4.0967008333333332</v>
      </c>
      <c r="M251" s="378">
        <v>3581.32</v>
      </c>
      <c r="N251" s="103">
        <f t="shared" si="190"/>
        <v>0.24870277777777783</v>
      </c>
      <c r="O251" s="378">
        <v>169745.79</v>
      </c>
      <c r="P251" s="103">
        <f t="shared" si="191"/>
        <v>30.648545416666668</v>
      </c>
      <c r="Q251" s="378">
        <v>6200570.4299999997</v>
      </c>
      <c r="R251" s="380">
        <f t="shared" si="192"/>
        <v>1377.90454</v>
      </c>
    </row>
    <row r="252" spans="2:18" x14ac:dyDescent="0.25">
      <c r="B252" s="377">
        <f t="shared" si="179"/>
        <v>45735</v>
      </c>
      <c r="C252" s="378">
        <v>2797422.67</v>
      </c>
      <c r="D252" s="103">
        <f t="shared" si="193"/>
        <v>582.79638958333328</v>
      </c>
      <c r="E252" s="382">
        <v>117952.11</v>
      </c>
      <c r="F252" s="103">
        <f t="shared" si="180"/>
        <v>24.57335625</v>
      </c>
      <c r="G252" s="378">
        <v>598767.80000000005</v>
      </c>
      <c r="H252" s="103">
        <f t="shared" si="187"/>
        <v>74.845974999999996</v>
      </c>
      <c r="I252" s="382">
        <v>103820.12</v>
      </c>
      <c r="J252" s="103">
        <f t="shared" si="188"/>
        <v>12.977514999999999</v>
      </c>
      <c r="K252" s="378">
        <v>22689.42</v>
      </c>
      <c r="L252" s="103">
        <f t="shared" si="189"/>
        <v>4.0967008333333332</v>
      </c>
      <c r="M252" s="378">
        <v>3581.32</v>
      </c>
      <c r="N252" s="103">
        <f t="shared" si="190"/>
        <v>0.24870277777777783</v>
      </c>
      <c r="O252" s="378">
        <v>169745.79</v>
      </c>
      <c r="P252" s="103">
        <f t="shared" si="191"/>
        <v>30.648545416666668</v>
      </c>
      <c r="Q252" s="378">
        <v>6200570.4299999997</v>
      </c>
      <c r="R252" s="380">
        <f t="shared" si="192"/>
        <v>1377.90454</v>
      </c>
    </row>
    <row r="253" spans="2:18" x14ac:dyDescent="0.25">
      <c r="B253" s="377">
        <f t="shared" si="179"/>
        <v>45736</v>
      </c>
      <c r="C253" s="378">
        <v>2797422.67</v>
      </c>
      <c r="D253" s="103">
        <f t="shared" si="193"/>
        <v>582.79638958333328</v>
      </c>
      <c r="E253" s="382">
        <v>384097.11</v>
      </c>
      <c r="F253" s="103">
        <f t="shared" si="180"/>
        <v>80.020231249999995</v>
      </c>
      <c r="G253" s="378">
        <v>598767.80000000005</v>
      </c>
      <c r="H253" s="103">
        <f t="shared" si="187"/>
        <v>74.845974999999996</v>
      </c>
      <c r="I253" s="382">
        <v>103820.12</v>
      </c>
      <c r="J253" s="103">
        <f t="shared" si="188"/>
        <v>12.977514999999999</v>
      </c>
      <c r="K253" s="378">
        <v>22689.42</v>
      </c>
      <c r="L253" s="103">
        <f t="shared" si="189"/>
        <v>4.0967008333333332</v>
      </c>
      <c r="M253" s="378">
        <v>3581.32</v>
      </c>
      <c r="N253" s="103">
        <f t="shared" si="190"/>
        <v>0.24870277777777783</v>
      </c>
      <c r="O253" s="378">
        <v>169745.79</v>
      </c>
      <c r="P253" s="103">
        <f t="shared" si="191"/>
        <v>30.648545416666668</v>
      </c>
      <c r="Q253" s="378">
        <v>6200570.4299999997</v>
      </c>
      <c r="R253" s="380">
        <f t="shared" si="192"/>
        <v>1377.90454</v>
      </c>
    </row>
    <row r="254" spans="2:18" x14ac:dyDescent="0.25">
      <c r="B254" s="377">
        <f t="shared" si="179"/>
        <v>45737</v>
      </c>
      <c r="C254" s="378">
        <v>2797422.67</v>
      </c>
      <c r="D254" s="103">
        <f t="shared" si="193"/>
        <v>582.79638958333328</v>
      </c>
      <c r="E254" s="382">
        <v>384097.11</v>
      </c>
      <c r="F254" s="103">
        <f t="shared" si="180"/>
        <v>80.020231249999995</v>
      </c>
      <c r="G254" s="378">
        <v>598767.80000000005</v>
      </c>
      <c r="H254" s="103">
        <f t="shared" si="187"/>
        <v>74.845974999999996</v>
      </c>
      <c r="I254" s="382">
        <v>103820.12</v>
      </c>
      <c r="J254" s="103">
        <f t="shared" si="188"/>
        <v>12.977514999999999</v>
      </c>
      <c r="K254" s="378">
        <v>22689.42</v>
      </c>
      <c r="L254" s="103">
        <f t="shared" si="189"/>
        <v>4.0967008333333332</v>
      </c>
      <c r="M254" s="378">
        <v>3581.32</v>
      </c>
      <c r="N254" s="103">
        <f t="shared" si="190"/>
        <v>0.24870277777777783</v>
      </c>
      <c r="O254" s="378">
        <v>169745.79</v>
      </c>
      <c r="P254" s="103">
        <f t="shared" si="191"/>
        <v>30.648545416666668</v>
      </c>
      <c r="Q254" s="378">
        <v>6200570.4299999997</v>
      </c>
      <c r="R254" s="380">
        <f t="shared" si="192"/>
        <v>1377.90454</v>
      </c>
    </row>
    <row r="255" spans="2:18" x14ac:dyDescent="0.25">
      <c r="B255" s="377">
        <f t="shared" si="179"/>
        <v>45738</v>
      </c>
      <c r="C255" s="378">
        <v>2797422.67</v>
      </c>
      <c r="D255" s="103">
        <f t="shared" si="193"/>
        <v>582.79638958333328</v>
      </c>
      <c r="E255" s="382">
        <v>384097.11</v>
      </c>
      <c r="F255" s="103">
        <f t="shared" si="180"/>
        <v>80.020231249999995</v>
      </c>
      <c r="G255" s="378">
        <v>598767.80000000005</v>
      </c>
      <c r="H255" s="103">
        <f t="shared" si="187"/>
        <v>74.845974999999996</v>
      </c>
      <c r="I255" s="382">
        <v>103820.12</v>
      </c>
      <c r="J255" s="103">
        <f t="shared" si="188"/>
        <v>12.977514999999999</v>
      </c>
      <c r="K255" s="378">
        <v>22689.42</v>
      </c>
      <c r="L255" s="103">
        <f t="shared" si="189"/>
        <v>4.0967008333333332</v>
      </c>
      <c r="M255" s="378">
        <v>3581.32</v>
      </c>
      <c r="N255" s="103">
        <f t="shared" si="190"/>
        <v>0.24870277777777783</v>
      </c>
      <c r="O255" s="378">
        <v>169745.79</v>
      </c>
      <c r="P255" s="103">
        <f t="shared" si="191"/>
        <v>30.648545416666668</v>
      </c>
      <c r="Q255" s="378">
        <v>6200570.4299999997</v>
      </c>
      <c r="R255" s="380">
        <f t="shared" si="192"/>
        <v>1377.90454</v>
      </c>
    </row>
    <row r="256" spans="2:18" x14ac:dyDescent="0.25">
      <c r="B256" s="377">
        <f t="shared" si="179"/>
        <v>45739</v>
      </c>
      <c r="C256" s="378">
        <v>2265125.0499999998</v>
      </c>
      <c r="D256" s="103">
        <f t="shared" si="193"/>
        <v>471.90105208333324</v>
      </c>
      <c r="E256" s="382">
        <v>642082.11</v>
      </c>
      <c r="F256" s="103">
        <f t="shared" ref="F256:F262" si="194">(E256*7.5%)/360</f>
        <v>133.76710625000001</v>
      </c>
      <c r="G256" s="378">
        <v>598767.80000000005</v>
      </c>
      <c r="H256" s="103">
        <f t="shared" ref="H256:H262" si="195">(G256*4.5%)/360</f>
        <v>74.845974999999996</v>
      </c>
      <c r="I256" s="382">
        <v>102721.09</v>
      </c>
      <c r="J256" s="103">
        <f t="shared" ref="J256:J262" si="196">(I256*4.5%)/360</f>
        <v>12.840136249999999</v>
      </c>
      <c r="K256" s="378">
        <v>22689.42</v>
      </c>
      <c r="L256" s="103">
        <f t="shared" ref="L256:L262" si="197">(K256*6.5%)/360</f>
        <v>4.0967008333333332</v>
      </c>
      <c r="M256" s="378">
        <v>3581.32</v>
      </c>
      <c r="N256" s="103">
        <f t="shared" ref="N256:N262" si="198">(M256*2.5%)/360</f>
        <v>0.24870277777777783</v>
      </c>
      <c r="O256" s="378">
        <v>169745.79</v>
      </c>
      <c r="P256" s="103">
        <f t="shared" ref="P256:P262" si="199">(O256*6.5%)/360</f>
        <v>30.648545416666668</v>
      </c>
      <c r="Q256" s="378">
        <v>6200570.4299999997</v>
      </c>
      <c r="R256" s="380">
        <f t="shared" ref="R256:R262" si="200">(Q256*8%)/360</f>
        <v>1377.90454</v>
      </c>
    </row>
    <row r="257" spans="2:18" x14ac:dyDescent="0.25">
      <c r="B257" s="377">
        <f t="shared" si="179"/>
        <v>45740</v>
      </c>
      <c r="C257" s="378">
        <v>2155611.13</v>
      </c>
      <c r="D257" s="103">
        <f t="shared" si="193"/>
        <v>449.08565208333329</v>
      </c>
      <c r="E257" s="382">
        <v>642082.11</v>
      </c>
      <c r="F257" s="103">
        <f t="shared" si="194"/>
        <v>133.76710625000001</v>
      </c>
      <c r="G257" s="378">
        <v>598767.80000000005</v>
      </c>
      <c r="H257" s="103">
        <f t="shared" si="195"/>
        <v>74.845974999999996</v>
      </c>
      <c r="I257" s="382">
        <v>102721.09</v>
      </c>
      <c r="J257" s="103">
        <f t="shared" si="196"/>
        <v>12.840136249999999</v>
      </c>
      <c r="K257" s="378">
        <v>22689.42</v>
      </c>
      <c r="L257" s="103">
        <f t="shared" si="197"/>
        <v>4.0967008333333332</v>
      </c>
      <c r="M257" s="378">
        <v>3581.32</v>
      </c>
      <c r="N257" s="103">
        <f t="shared" si="198"/>
        <v>0.24870277777777783</v>
      </c>
      <c r="O257" s="378">
        <v>169745.79</v>
      </c>
      <c r="P257" s="103">
        <f t="shared" si="199"/>
        <v>30.648545416666668</v>
      </c>
      <c r="Q257" s="378">
        <v>6200570.4299999997</v>
      </c>
      <c r="R257" s="380">
        <f t="shared" si="200"/>
        <v>1377.90454</v>
      </c>
    </row>
    <row r="258" spans="2:18" x14ac:dyDescent="0.25">
      <c r="B258" s="377">
        <f t="shared" si="179"/>
        <v>45741</v>
      </c>
      <c r="C258" s="378">
        <v>2155611.13</v>
      </c>
      <c r="D258" s="103">
        <f t="shared" si="193"/>
        <v>449.08565208333329</v>
      </c>
      <c r="E258" s="382">
        <v>1608001.11</v>
      </c>
      <c r="F258" s="103">
        <f t="shared" si="194"/>
        <v>335.00023125000001</v>
      </c>
      <c r="G258" s="378">
        <v>598767.80000000005</v>
      </c>
      <c r="H258" s="103">
        <f t="shared" si="195"/>
        <v>74.845974999999996</v>
      </c>
      <c r="I258" s="382">
        <v>102721.09</v>
      </c>
      <c r="J258" s="103">
        <f t="shared" si="196"/>
        <v>12.840136249999999</v>
      </c>
      <c r="K258" s="378">
        <v>22689.42</v>
      </c>
      <c r="L258" s="103">
        <f t="shared" si="197"/>
        <v>4.0967008333333332</v>
      </c>
      <c r="M258" s="378">
        <v>3581.32</v>
      </c>
      <c r="N258" s="103">
        <f t="shared" si="198"/>
        <v>0.24870277777777783</v>
      </c>
      <c r="O258" s="378">
        <v>169745.79</v>
      </c>
      <c r="P258" s="103">
        <f t="shared" si="199"/>
        <v>30.648545416666668</v>
      </c>
      <c r="Q258" s="378">
        <v>6200570.4299999997</v>
      </c>
      <c r="R258" s="380">
        <f t="shared" si="200"/>
        <v>1377.90454</v>
      </c>
    </row>
    <row r="259" spans="2:18" x14ac:dyDescent="0.25">
      <c r="B259" s="377">
        <f t="shared" si="179"/>
        <v>45742</v>
      </c>
      <c r="C259" s="378">
        <v>2155611.13</v>
      </c>
      <c r="D259" s="103">
        <f t="shared" si="193"/>
        <v>449.08565208333329</v>
      </c>
      <c r="E259" s="382">
        <v>1608001.11</v>
      </c>
      <c r="F259" s="103">
        <f t="shared" si="194"/>
        <v>335.00023125000001</v>
      </c>
      <c r="G259" s="378">
        <v>598767.80000000005</v>
      </c>
      <c r="H259" s="103">
        <f t="shared" si="195"/>
        <v>74.845974999999996</v>
      </c>
      <c r="I259" s="382">
        <v>102721.09</v>
      </c>
      <c r="J259" s="103">
        <f t="shared" si="196"/>
        <v>12.840136249999999</v>
      </c>
      <c r="K259" s="378">
        <v>22689.42</v>
      </c>
      <c r="L259" s="103">
        <f t="shared" si="197"/>
        <v>4.0967008333333332</v>
      </c>
      <c r="M259" s="378">
        <v>3581.32</v>
      </c>
      <c r="N259" s="103">
        <f t="shared" si="198"/>
        <v>0.24870277777777783</v>
      </c>
      <c r="O259" s="378">
        <v>169745.79</v>
      </c>
      <c r="P259" s="103">
        <f t="shared" si="199"/>
        <v>30.648545416666668</v>
      </c>
      <c r="Q259" s="378">
        <v>6200570.4299999997</v>
      </c>
      <c r="R259" s="380">
        <f t="shared" si="200"/>
        <v>1377.90454</v>
      </c>
    </row>
    <row r="260" spans="2:18" x14ac:dyDescent="0.25">
      <c r="B260" s="377">
        <f t="shared" si="179"/>
        <v>45743</v>
      </c>
      <c r="C260" s="378">
        <v>5155611.13</v>
      </c>
      <c r="D260" s="103">
        <f t="shared" si="193"/>
        <v>1074.0856520833333</v>
      </c>
      <c r="E260" s="382">
        <v>1608001.11</v>
      </c>
      <c r="F260" s="103">
        <f t="shared" si="194"/>
        <v>335.00023125000001</v>
      </c>
      <c r="G260" s="378">
        <v>598767.80000000005</v>
      </c>
      <c r="H260" s="103">
        <f t="shared" si="195"/>
        <v>74.845974999999996</v>
      </c>
      <c r="I260" s="382">
        <v>102721.09</v>
      </c>
      <c r="J260" s="103">
        <f t="shared" si="196"/>
        <v>12.840136249999999</v>
      </c>
      <c r="K260" s="378">
        <v>22689.42</v>
      </c>
      <c r="L260" s="103">
        <f t="shared" si="197"/>
        <v>4.0967008333333332</v>
      </c>
      <c r="M260" s="378">
        <v>3581.32</v>
      </c>
      <c r="N260" s="103">
        <f t="shared" si="198"/>
        <v>0.24870277777777783</v>
      </c>
      <c r="O260" s="378">
        <v>169745.79</v>
      </c>
      <c r="P260" s="103">
        <f t="shared" si="199"/>
        <v>30.648545416666668</v>
      </c>
      <c r="Q260" s="378">
        <v>6200570.4299999997</v>
      </c>
      <c r="R260" s="380">
        <f t="shared" si="200"/>
        <v>1377.90454</v>
      </c>
    </row>
    <row r="261" spans="2:18" x14ac:dyDescent="0.25">
      <c r="B261" s="377">
        <f t="shared" si="179"/>
        <v>45744</v>
      </c>
      <c r="C261" s="378">
        <v>5155611.13</v>
      </c>
      <c r="D261" s="103">
        <f t="shared" si="193"/>
        <v>1074.0856520833333</v>
      </c>
      <c r="E261" s="382">
        <v>1608001.11</v>
      </c>
      <c r="F261" s="103">
        <f t="shared" si="194"/>
        <v>335.00023125000001</v>
      </c>
      <c r="G261" s="378">
        <v>598767.80000000005</v>
      </c>
      <c r="H261" s="103">
        <f t="shared" si="195"/>
        <v>74.845974999999996</v>
      </c>
      <c r="I261" s="382">
        <v>102721.09</v>
      </c>
      <c r="J261" s="103">
        <f t="shared" si="196"/>
        <v>12.840136249999999</v>
      </c>
      <c r="K261" s="378">
        <v>22689.42</v>
      </c>
      <c r="L261" s="103">
        <f t="shared" si="197"/>
        <v>4.0967008333333332</v>
      </c>
      <c r="M261" s="378">
        <v>3581.32</v>
      </c>
      <c r="N261" s="103">
        <f t="shared" si="198"/>
        <v>0.24870277777777783</v>
      </c>
      <c r="O261" s="378">
        <v>169745.79</v>
      </c>
      <c r="P261" s="103">
        <f t="shared" si="199"/>
        <v>30.648545416666668</v>
      </c>
      <c r="Q261" s="378">
        <v>6200570.4299999997</v>
      </c>
      <c r="R261" s="380">
        <f t="shared" si="200"/>
        <v>1377.90454</v>
      </c>
    </row>
    <row r="262" spans="2:18" x14ac:dyDescent="0.25">
      <c r="B262" s="377">
        <f t="shared" si="179"/>
        <v>45745</v>
      </c>
      <c r="C262" s="378">
        <v>5155611.13</v>
      </c>
      <c r="D262" s="103">
        <f t="shared" si="193"/>
        <v>1074.0856520833333</v>
      </c>
      <c r="E262" s="382">
        <v>1608001.11</v>
      </c>
      <c r="F262" s="103">
        <f t="shared" si="194"/>
        <v>335.00023125000001</v>
      </c>
      <c r="G262" s="378">
        <v>598767.80000000005</v>
      </c>
      <c r="H262" s="103">
        <f t="shared" si="195"/>
        <v>74.845974999999996</v>
      </c>
      <c r="I262" s="382">
        <v>102721.09</v>
      </c>
      <c r="J262" s="103">
        <f t="shared" si="196"/>
        <v>12.840136249999999</v>
      </c>
      <c r="K262" s="378">
        <v>22689.42</v>
      </c>
      <c r="L262" s="103">
        <f t="shared" si="197"/>
        <v>4.0967008333333332</v>
      </c>
      <c r="M262" s="378">
        <v>3581.32</v>
      </c>
      <c r="N262" s="103">
        <f t="shared" si="198"/>
        <v>0.24870277777777783</v>
      </c>
      <c r="O262" s="378">
        <v>169745.79</v>
      </c>
      <c r="P262" s="103">
        <f t="shared" si="199"/>
        <v>30.648545416666668</v>
      </c>
      <c r="Q262" s="378">
        <v>6200570.4299999997</v>
      </c>
      <c r="R262" s="380">
        <f t="shared" si="200"/>
        <v>1377.90454</v>
      </c>
    </row>
    <row r="263" spans="2:18" x14ac:dyDescent="0.25">
      <c r="B263" s="377">
        <f t="shared" si="179"/>
        <v>45746</v>
      </c>
      <c r="C263" s="378">
        <v>5155611.13</v>
      </c>
      <c r="D263" s="103">
        <f t="shared" ref="D263:D326" si="201">(C263*7.5%)/360</f>
        <v>1074.0856520833333</v>
      </c>
      <c r="E263" s="382">
        <v>1608001.11</v>
      </c>
      <c r="F263" s="103">
        <f t="shared" ref="F263:F269" si="202">(E263*7.5%)/360</f>
        <v>335.00023125000001</v>
      </c>
      <c r="G263" s="378">
        <v>598767.80000000005</v>
      </c>
      <c r="H263" s="103">
        <f t="shared" ref="H263:H269" si="203">(G263*4.5%)/360</f>
        <v>74.845974999999996</v>
      </c>
      <c r="I263" s="382">
        <v>102721.09</v>
      </c>
      <c r="J263" s="103">
        <f t="shared" ref="J263:J269" si="204">(I263*4.5%)/360</f>
        <v>12.840136249999999</v>
      </c>
      <c r="K263" s="378">
        <v>22689.42</v>
      </c>
      <c r="L263" s="103">
        <f t="shared" ref="L263:L269" si="205">(K263*6.5%)/360</f>
        <v>4.0967008333333332</v>
      </c>
      <c r="M263" s="378">
        <v>3581.32</v>
      </c>
      <c r="N263" s="103">
        <f t="shared" ref="N263:N269" si="206">(M263*2.5%)/360</f>
        <v>0.24870277777777783</v>
      </c>
      <c r="O263" s="378">
        <v>169745.79</v>
      </c>
      <c r="P263" s="103">
        <f t="shared" ref="P263:P269" si="207">(O263*6.5%)/360</f>
        <v>30.648545416666668</v>
      </c>
      <c r="Q263" s="378">
        <v>6200570.4299999997</v>
      </c>
      <c r="R263" s="380">
        <f t="shared" ref="R263:R269" si="208">(Q263*8%)/360</f>
        <v>1377.90454</v>
      </c>
    </row>
    <row r="264" spans="2:18" x14ac:dyDescent="0.25">
      <c r="B264" s="377">
        <f t="shared" si="179"/>
        <v>45747</v>
      </c>
      <c r="C264" s="378">
        <v>5155611.13</v>
      </c>
      <c r="D264" s="103">
        <f t="shared" si="201"/>
        <v>1074.0856520833333</v>
      </c>
      <c r="E264" s="382">
        <v>1608001.11</v>
      </c>
      <c r="F264" s="103">
        <f t="shared" si="202"/>
        <v>335.00023125000001</v>
      </c>
      <c r="G264" s="378">
        <v>598767.80000000005</v>
      </c>
      <c r="H264" s="103">
        <f t="shared" si="203"/>
        <v>74.845974999999996</v>
      </c>
      <c r="I264" s="382">
        <v>102721.09</v>
      </c>
      <c r="J264" s="103">
        <f t="shared" si="204"/>
        <v>12.840136249999999</v>
      </c>
      <c r="K264" s="378">
        <v>22689.42</v>
      </c>
      <c r="L264" s="103">
        <f t="shared" si="205"/>
        <v>4.0967008333333332</v>
      </c>
      <c r="M264" s="378">
        <v>3581.32</v>
      </c>
      <c r="N264" s="103">
        <f t="shared" si="206"/>
        <v>0.24870277777777783</v>
      </c>
      <c r="O264" s="378">
        <v>169745.79</v>
      </c>
      <c r="P264" s="103">
        <f t="shared" si="207"/>
        <v>30.648545416666668</v>
      </c>
      <c r="Q264" s="378">
        <v>6200570.4299999997</v>
      </c>
      <c r="R264" s="380">
        <f t="shared" si="208"/>
        <v>1377.90454</v>
      </c>
    </row>
    <row r="265" spans="2:18" x14ac:dyDescent="0.25">
      <c r="B265" s="377">
        <f t="shared" si="179"/>
        <v>45748</v>
      </c>
      <c r="C265" s="378">
        <v>5155611.13</v>
      </c>
      <c r="D265" s="103">
        <f t="shared" si="201"/>
        <v>1074.0856520833333</v>
      </c>
      <c r="E265" s="382">
        <v>1608001.11</v>
      </c>
      <c r="F265" s="103">
        <f t="shared" si="202"/>
        <v>335.00023125000001</v>
      </c>
      <c r="G265" s="378">
        <v>598767.80000000005</v>
      </c>
      <c r="H265" s="103">
        <f t="shared" si="203"/>
        <v>74.845974999999996</v>
      </c>
      <c r="I265" s="382">
        <v>102721.09</v>
      </c>
      <c r="J265" s="103">
        <f t="shared" si="204"/>
        <v>12.840136249999999</v>
      </c>
      <c r="K265" s="378">
        <v>22689.42</v>
      </c>
      <c r="L265" s="103">
        <f t="shared" si="205"/>
        <v>4.0967008333333332</v>
      </c>
      <c r="M265" s="378">
        <v>3581.32</v>
      </c>
      <c r="N265" s="103">
        <f t="shared" si="206"/>
        <v>0.24870277777777783</v>
      </c>
      <c r="O265" s="378">
        <v>169745.79</v>
      </c>
      <c r="P265" s="103">
        <f t="shared" si="207"/>
        <v>30.648545416666668</v>
      </c>
      <c r="Q265" s="378">
        <v>6200570.4299999997</v>
      </c>
      <c r="R265" s="380">
        <f t="shared" si="208"/>
        <v>1377.90454</v>
      </c>
    </row>
    <row r="266" spans="2:18" x14ac:dyDescent="0.25">
      <c r="B266" s="377">
        <f t="shared" si="179"/>
        <v>45749</v>
      </c>
      <c r="C266" s="378">
        <v>5155611.13</v>
      </c>
      <c r="D266" s="103">
        <f t="shared" si="201"/>
        <v>1074.0856520833333</v>
      </c>
      <c r="E266" s="382">
        <v>1608001.11</v>
      </c>
      <c r="F266" s="103">
        <f t="shared" si="202"/>
        <v>335.00023125000001</v>
      </c>
      <c r="G266" s="378">
        <v>598767.80000000005</v>
      </c>
      <c r="H266" s="103">
        <f t="shared" si="203"/>
        <v>74.845974999999996</v>
      </c>
      <c r="I266" s="382">
        <v>102721.09</v>
      </c>
      <c r="J266" s="103">
        <f t="shared" si="204"/>
        <v>12.840136249999999</v>
      </c>
      <c r="K266" s="378">
        <v>22689.42</v>
      </c>
      <c r="L266" s="103">
        <f t="shared" si="205"/>
        <v>4.0967008333333332</v>
      </c>
      <c r="M266" s="378">
        <v>3581.32</v>
      </c>
      <c r="N266" s="103">
        <f t="shared" si="206"/>
        <v>0.24870277777777783</v>
      </c>
      <c r="O266" s="378">
        <v>169745.79</v>
      </c>
      <c r="P266" s="103">
        <f t="shared" si="207"/>
        <v>30.648545416666668</v>
      </c>
      <c r="Q266" s="378">
        <v>6200570.4299999997</v>
      </c>
      <c r="R266" s="380">
        <f t="shared" si="208"/>
        <v>1377.90454</v>
      </c>
    </row>
    <row r="267" spans="2:18" x14ac:dyDescent="0.25">
      <c r="B267" s="377">
        <f t="shared" si="179"/>
        <v>45750</v>
      </c>
      <c r="C267" s="378">
        <v>5155611.13</v>
      </c>
      <c r="D267" s="103">
        <f t="shared" si="201"/>
        <v>1074.0856520833333</v>
      </c>
      <c r="E267" s="382">
        <v>1608001.11</v>
      </c>
      <c r="F267" s="103">
        <f t="shared" si="202"/>
        <v>335.00023125000001</v>
      </c>
      <c r="G267" s="378">
        <v>598767.80000000005</v>
      </c>
      <c r="H267" s="103">
        <f t="shared" si="203"/>
        <v>74.845974999999996</v>
      </c>
      <c r="I267" s="382">
        <v>102721.09</v>
      </c>
      <c r="J267" s="103">
        <f t="shared" si="204"/>
        <v>12.840136249999999</v>
      </c>
      <c r="K267" s="378">
        <v>22689.42</v>
      </c>
      <c r="L267" s="103">
        <f t="shared" si="205"/>
        <v>4.0967008333333332</v>
      </c>
      <c r="M267" s="378">
        <v>3581.32</v>
      </c>
      <c r="N267" s="103">
        <f t="shared" si="206"/>
        <v>0.24870277777777783</v>
      </c>
      <c r="O267" s="378">
        <v>169745.79</v>
      </c>
      <c r="P267" s="103">
        <f t="shared" si="207"/>
        <v>30.648545416666668</v>
      </c>
      <c r="Q267" s="378">
        <v>6200570.4299999997</v>
      </c>
      <c r="R267" s="380">
        <f t="shared" si="208"/>
        <v>1377.90454</v>
      </c>
    </row>
    <row r="268" spans="2:18" x14ac:dyDescent="0.25">
      <c r="B268" s="377">
        <f t="shared" si="179"/>
        <v>45751</v>
      </c>
      <c r="C268" s="378">
        <v>5155611.13</v>
      </c>
      <c r="D268" s="103">
        <f t="shared" si="201"/>
        <v>1074.0856520833333</v>
      </c>
      <c r="E268" s="382">
        <v>1608001.11</v>
      </c>
      <c r="F268" s="103">
        <f t="shared" si="202"/>
        <v>335.00023125000001</v>
      </c>
      <c r="G268" s="378">
        <v>598767.80000000005</v>
      </c>
      <c r="H268" s="103">
        <f t="shared" si="203"/>
        <v>74.845974999999996</v>
      </c>
      <c r="I268" s="382">
        <v>102721.09</v>
      </c>
      <c r="J268" s="103">
        <f t="shared" si="204"/>
        <v>12.840136249999999</v>
      </c>
      <c r="K268" s="378">
        <v>22689.42</v>
      </c>
      <c r="L268" s="103">
        <f t="shared" si="205"/>
        <v>4.0967008333333332</v>
      </c>
      <c r="M268" s="378">
        <v>3581.32</v>
      </c>
      <c r="N268" s="103">
        <f t="shared" si="206"/>
        <v>0.24870277777777783</v>
      </c>
      <c r="O268" s="378">
        <v>169745.79</v>
      </c>
      <c r="P268" s="103">
        <f t="shared" si="207"/>
        <v>30.648545416666668</v>
      </c>
      <c r="Q268" s="378">
        <v>6200570.4299999997</v>
      </c>
      <c r="R268" s="380">
        <f t="shared" si="208"/>
        <v>1377.90454</v>
      </c>
    </row>
    <row r="269" spans="2:18" x14ac:dyDescent="0.25">
      <c r="B269" s="377">
        <f t="shared" si="179"/>
        <v>45752</v>
      </c>
      <c r="C269" s="378">
        <v>5155611.13</v>
      </c>
      <c r="D269" s="103">
        <f t="shared" si="201"/>
        <v>1074.0856520833333</v>
      </c>
      <c r="E269" s="382">
        <v>1608001.11</v>
      </c>
      <c r="F269" s="103">
        <f t="shared" si="202"/>
        <v>335.00023125000001</v>
      </c>
      <c r="G269" s="378">
        <v>598767.80000000005</v>
      </c>
      <c r="H269" s="103">
        <f t="shared" si="203"/>
        <v>74.845974999999996</v>
      </c>
      <c r="I269" s="382">
        <v>102721.09</v>
      </c>
      <c r="J269" s="103">
        <f t="shared" si="204"/>
        <v>12.840136249999999</v>
      </c>
      <c r="K269" s="378">
        <v>22689.42</v>
      </c>
      <c r="L269" s="103">
        <f t="shared" si="205"/>
        <v>4.0967008333333332</v>
      </c>
      <c r="M269" s="378">
        <v>3581.32</v>
      </c>
      <c r="N269" s="103">
        <f t="shared" si="206"/>
        <v>0.24870277777777783</v>
      </c>
      <c r="O269" s="378">
        <v>169745.79</v>
      </c>
      <c r="P269" s="103">
        <f t="shared" si="207"/>
        <v>30.648545416666668</v>
      </c>
      <c r="Q269" s="378">
        <v>6200570.4299999997</v>
      </c>
      <c r="R269" s="380">
        <f t="shared" si="208"/>
        <v>1377.90454</v>
      </c>
    </row>
    <row r="270" spans="2:18" x14ac:dyDescent="0.25">
      <c r="B270" s="377">
        <f t="shared" si="179"/>
        <v>45753</v>
      </c>
      <c r="C270" s="378">
        <v>5155551.13</v>
      </c>
      <c r="D270" s="103">
        <f t="shared" si="201"/>
        <v>1074.0731520833333</v>
      </c>
      <c r="E270" s="382">
        <v>3115417.19</v>
      </c>
      <c r="F270" s="103">
        <f t="shared" ref="F270:F283" si="209">(E270*7.5%)/360</f>
        <v>649.04524791666665</v>
      </c>
      <c r="G270" s="378">
        <v>684767.8</v>
      </c>
      <c r="H270" s="103">
        <f t="shared" ref="H270:H276" si="210">(G270*4.5%)/360</f>
        <v>85.595974999999996</v>
      </c>
      <c r="I270" s="382">
        <v>102721.09</v>
      </c>
      <c r="J270" s="103">
        <f t="shared" ref="J270:J276" si="211">(I270*4.5%)/360</f>
        <v>12.840136249999999</v>
      </c>
      <c r="K270" s="378">
        <v>22689.42</v>
      </c>
      <c r="L270" s="103">
        <f t="shared" ref="L270:L276" si="212">(K270*6.5%)/360</f>
        <v>4.0967008333333332</v>
      </c>
      <c r="M270" s="378">
        <v>3581.32</v>
      </c>
      <c r="N270" s="103">
        <f t="shared" ref="N270:N276" si="213">(M270*2.5%)/360</f>
        <v>0.24870277777777783</v>
      </c>
      <c r="O270" s="378">
        <v>169745.79</v>
      </c>
      <c r="P270" s="103">
        <f t="shared" ref="P270:P276" si="214">(O270*6.5%)/360</f>
        <v>30.648545416666668</v>
      </c>
      <c r="Q270" s="378">
        <v>6200570.4299999997</v>
      </c>
      <c r="R270" s="380">
        <f t="shared" ref="R270:R276" si="215">(Q270*8%)/360</f>
        <v>1377.90454</v>
      </c>
    </row>
    <row r="271" spans="2:18" x14ac:dyDescent="0.25">
      <c r="B271" s="377">
        <f t="shared" si="179"/>
        <v>45754</v>
      </c>
      <c r="C271" s="378">
        <v>5155551.13</v>
      </c>
      <c r="D271" s="103">
        <f t="shared" si="201"/>
        <v>1074.0731520833333</v>
      </c>
      <c r="E271" s="382">
        <v>3638522.17</v>
      </c>
      <c r="F271" s="103">
        <f t="shared" si="209"/>
        <v>758.02545208333322</v>
      </c>
      <c r="G271" s="378">
        <v>684767.8</v>
      </c>
      <c r="H271" s="103">
        <f t="shared" si="210"/>
        <v>85.595974999999996</v>
      </c>
      <c r="I271" s="382">
        <v>102721.09</v>
      </c>
      <c r="J271" s="103">
        <f t="shared" si="211"/>
        <v>12.840136249999999</v>
      </c>
      <c r="K271" s="378">
        <v>22689.42</v>
      </c>
      <c r="L271" s="103">
        <f t="shared" si="212"/>
        <v>4.0967008333333332</v>
      </c>
      <c r="M271" s="378">
        <v>3581.32</v>
      </c>
      <c r="N271" s="103">
        <f t="shared" si="213"/>
        <v>0.24870277777777783</v>
      </c>
      <c r="O271" s="378">
        <v>169745.79</v>
      </c>
      <c r="P271" s="103">
        <f t="shared" si="214"/>
        <v>30.648545416666668</v>
      </c>
      <c r="Q271" s="378">
        <v>6200570.4299999997</v>
      </c>
      <c r="R271" s="380">
        <f t="shared" si="215"/>
        <v>1377.90454</v>
      </c>
    </row>
    <row r="272" spans="2:18" x14ac:dyDescent="0.25">
      <c r="B272" s="377">
        <f t="shared" si="179"/>
        <v>45755</v>
      </c>
      <c r="C272" s="378">
        <v>5155551.13</v>
      </c>
      <c r="D272" s="103">
        <f t="shared" si="201"/>
        <v>1074.0731520833333</v>
      </c>
      <c r="E272" s="382">
        <v>3638522.17</v>
      </c>
      <c r="F272" s="103">
        <f t="shared" si="209"/>
        <v>758.02545208333322</v>
      </c>
      <c r="G272" s="378">
        <v>684767.8</v>
      </c>
      <c r="H272" s="103">
        <f t="shared" si="210"/>
        <v>85.595974999999996</v>
      </c>
      <c r="I272" s="382">
        <v>102721.09</v>
      </c>
      <c r="J272" s="103">
        <f t="shared" si="211"/>
        <v>12.840136249999999</v>
      </c>
      <c r="K272" s="378">
        <v>22689.42</v>
      </c>
      <c r="L272" s="103">
        <f t="shared" si="212"/>
        <v>4.0967008333333332</v>
      </c>
      <c r="M272" s="378">
        <v>3581.32</v>
      </c>
      <c r="N272" s="103">
        <f t="shared" si="213"/>
        <v>0.24870277777777783</v>
      </c>
      <c r="O272" s="378">
        <v>169745.79</v>
      </c>
      <c r="P272" s="103">
        <f t="shared" si="214"/>
        <v>30.648545416666668</v>
      </c>
      <c r="Q272" s="378">
        <v>6200570.4299999997</v>
      </c>
      <c r="R272" s="380">
        <f t="shared" si="215"/>
        <v>1377.90454</v>
      </c>
    </row>
    <row r="273" spans="2:18" x14ac:dyDescent="0.25">
      <c r="B273" s="377">
        <f t="shared" si="179"/>
        <v>45756</v>
      </c>
      <c r="C273" s="378">
        <v>5155551.13</v>
      </c>
      <c r="D273" s="103">
        <f t="shared" si="201"/>
        <v>1074.0731520833333</v>
      </c>
      <c r="E273" s="382">
        <v>3213374.67</v>
      </c>
      <c r="F273" s="103">
        <f t="shared" si="209"/>
        <v>669.45305624999992</v>
      </c>
      <c r="G273" s="378">
        <v>684767.8</v>
      </c>
      <c r="H273" s="103">
        <f t="shared" si="210"/>
        <v>85.595974999999996</v>
      </c>
      <c r="I273" s="382">
        <v>102721.09</v>
      </c>
      <c r="J273" s="103">
        <f t="shared" si="211"/>
        <v>12.840136249999999</v>
      </c>
      <c r="K273" s="378">
        <v>22689.42</v>
      </c>
      <c r="L273" s="103">
        <f t="shared" si="212"/>
        <v>4.0967008333333332</v>
      </c>
      <c r="M273" s="378">
        <v>3581.32</v>
      </c>
      <c r="N273" s="103">
        <f t="shared" si="213"/>
        <v>0.24870277777777783</v>
      </c>
      <c r="O273" s="378">
        <v>169745.79</v>
      </c>
      <c r="P273" s="103">
        <f t="shared" si="214"/>
        <v>30.648545416666668</v>
      </c>
      <c r="Q273" s="378">
        <v>6200570.4299999997</v>
      </c>
      <c r="R273" s="380">
        <f t="shared" si="215"/>
        <v>1377.90454</v>
      </c>
    </row>
    <row r="274" spans="2:18" x14ac:dyDescent="0.25">
      <c r="B274" s="377">
        <f t="shared" si="179"/>
        <v>45757</v>
      </c>
      <c r="C274" s="378">
        <v>55551.13</v>
      </c>
      <c r="D274" s="103">
        <f t="shared" si="201"/>
        <v>11.573152083333333</v>
      </c>
      <c r="E274" s="382">
        <v>8313374.6699999999</v>
      </c>
      <c r="F274" s="103">
        <f t="shared" si="209"/>
        <v>1731.9530562500001</v>
      </c>
      <c r="G274" s="378">
        <v>684767.8</v>
      </c>
      <c r="H274" s="103">
        <f t="shared" si="210"/>
        <v>85.595974999999996</v>
      </c>
      <c r="I274" s="382">
        <v>102721.09</v>
      </c>
      <c r="J274" s="103">
        <f t="shared" si="211"/>
        <v>12.840136249999999</v>
      </c>
      <c r="K274" s="378">
        <v>22689.42</v>
      </c>
      <c r="L274" s="103">
        <f t="shared" si="212"/>
        <v>4.0967008333333332</v>
      </c>
      <c r="M274" s="378">
        <v>3581.32</v>
      </c>
      <c r="N274" s="103">
        <f t="shared" si="213"/>
        <v>0.24870277777777783</v>
      </c>
      <c r="O274" s="378">
        <v>169745.79</v>
      </c>
      <c r="P274" s="103">
        <f t="shared" si="214"/>
        <v>30.648545416666668</v>
      </c>
      <c r="Q274" s="378">
        <v>6200570.4299999997</v>
      </c>
      <c r="R274" s="380">
        <f t="shared" si="215"/>
        <v>1377.90454</v>
      </c>
    </row>
    <row r="275" spans="2:18" x14ac:dyDescent="0.25">
      <c r="B275" s="377">
        <f t="shared" si="179"/>
        <v>45758</v>
      </c>
      <c r="C275" s="378">
        <v>55551.13</v>
      </c>
      <c r="D275" s="103">
        <f t="shared" si="201"/>
        <v>11.573152083333333</v>
      </c>
      <c r="E275" s="382">
        <v>8313374.6699999999</v>
      </c>
      <c r="F275" s="103">
        <f t="shared" si="209"/>
        <v>1731.9530562500001</v>
      </c>
      <c r="G275" s="378">
        <v>684767.8</v>
      </c>
      <c r="H275" s="103">
        <f t="shared" si="210"/>
        <v>85.595974999999996</v>
      </c>
      <c r="I275" s="382">
        <v>102721.09</v>
      </c>
      <c r="J275" s="103">
        <f t="shared" si="211"/>
        <v>12.840136249999999</v>
      </c>
      <c r="K275" s="378">
        <v>22689.42</v>
      </c>
      <c r="L275" s="103">
        <f t="shared" si="212"/>
        <v>4.0967008333333332</v>
      </c>
      <c r="M275" s="378">
        <v>3581.32</v>
      </c>
      <c r="N275" s="103">
        <f t="shared" si="213"/>
        <v>0.24870277777777783</v>
      </c>
      <c r="O275" s="378">
        <v>169745.79</v>
      </c>
      <c r="P275" s="103">
        <f t="shared" si="214"/>
        <v>30.648545416666668</v>
      </c>
      <c r="Q275" s="378">
        <v>6200570.4299999997</v>
      </c>
      <c r="R275" s="380">
        <f t="shared" si="215"/>
        <v>1377.90454</v>
      </c>
    </row>
    <row r="276" spans="2:18" x14ac:dyDescent="0.25">
      <c r="B276" s="377">
        <f t="shared" si="179"/>
        <v>45759</v>
      </c>
      <c r="C276" s="378">
        <v>55551.13</v>
      </c>
      <c r="D276" s="103">
        <f t="shared" si="201"/>
        <v>11.573152083333333</v>
      </c>
      <c r="E276" s="382">
        <v>8313374.6699999999</v>
      </c>
      <c r="F276" s="103">
        <f t="shared" si="209"/>
        <v>1731.9530562500001</v>
      </c>
      <c r="G276" s="378">
        <v>684767.8</v>
      </c>
      <c r="H276" s="103">
        <f t="shared" si="210"/>
        <v>85.595974999999996</v>
      </c>
      <c r="I276" s="382">
        <v>102721.09</v>
      </c>
      <c r="J276" s="103">
        <f t="shared" si="211"/>
        <v>12.840136249999999</v>
      </c>
      <c r="K276" s="378">
        <v>22689.42</v>
      </c>
      <c r="L276" s="103">
        <f t="shared" si="212"/>
        <v>4.0967008333333332</v>
      </c>
      <c r="M276" s="378">
        <v>3581.32</v>
      </c>
      <c r="N276" s="103">
        <f t="shared" si="213"/>
        <v>0.24870277777777783</v>
      </c>
      <c r="O276" s="378">
        <v>169745.79</v>
      </c>
      <c r="P276" s="103">
        <f t="shared" si="214"/>
        <v>30.648545416666668</v>
      </c>
      <c r="Q276" s="378">
        <v>6200570.4299999997</v>
      </c>
      <c r="R276" s="380">
        <f t="shared" si="215"/>
        <v>1377.90454</v>
      </c>
    </row>
    <row r="277" spans="2:18" x14ac:dyDescent="0.25">
      <c r="B277" s="377">
        <f t="shared" si="179"/>
        <v>45760</v>
      </c>
      <c r="C277" s="378">
        <v>55551.13</v>
      </c>
      <c r="D277" s="103">
        <f t="shared" si="201"/>
        <v>11.573152083333333</v>
      </c>
      <c r="E277" s="382">
        <v>8815596.6699999999</v>
      </c>
      <c r="F277" s="103">
        <f t="shared" si="209"/>
        <v>1836.582639583333</v>
      </c>
      <c r="G277" s="378">
        <v>684767.8</v>
      </c>
      <c r="H277" s="103">
        <f t="shared" ref="H277:H283" si="216">(G277*4.5%)/360</f>
        <v>85.595974999999996</v>
      </c>
      <c r="I277" s="382">
        <v>102721.09</v>
      </c>
      <c r="J277" s="103">
        <f t="shared" ref="J277:J283" si="217">(I277*4.5%)/360</f>
        <v>12.840136249999999</v>
      </c>
      <c r="K277" s="378">
        <v>22689.42</v>
      </c>
      <c r="L277" s="103">
        <f t="shared" ref="L277:L283" si="218">(K277*6.5%)/360</f>
        <v>4.0967008333333332</v>
      </c>
      <c r="M277" s="378">
        <v>3581.32</v>
      </c>
      <c r="N277" s="103">
        <f t="shared" ref="N277:N283" si="219">(M277*2.5%)/360</f>
        <v>0.24870277777777783</v>
      </c>
      <c r="O277" s="378">
        <v>169745.79</v>
      </c>
      <c r="P277" s="103">
        <f t="shared" ref="P277:P283" si="220">(O277*6.5%)/360</f>
        <v>30.648545416666668</v>
      </c>
      <c r="Q277" s="378">
        <v>6200570.4299999997</v>
      </c>
      <c r="R277" s="380">
        <f t="shared" ref="R277:R283" si="221">(Q277*8%)/360</f>
        <v>1377.90454</v>
      </c>
    </row>
    <row r="278" spans="2:18" x14ac:dyDescent="0.25">
      <c r="B278" s="377">
        <f t="shared" si="179"/>
        <v>45761</v>
      </c>
      <c r="C278" s="378">
        <v>55551.13</v>
      </c>
      <c r="D278" s="103">
        <f t="shared" si="201"/>
        <v>11.573152083333333</v>
      </c>
      <c r="E278" s="382">
        <v>8815596.6699999999</v>
      </c>
      <c r="F278" s="103">
        <f t="shared" si="209"/>
        <v>1836.582639583333</v>
      </c>
      <c r="G278" s="378">
        <v>684767.8</v>
      </c>
      <c r="H278" s="103">
        <f t="shared" si="216"/>
        <v>85.595974999999996</v>
      </c>
      <c r="I278" s="382">
        <v>102721.09</v>
      </c>
      <c r="J278" s="103">
        <f t="shared" si="217"/>
        <v>12.840136249999999</v>
      </c>
      <c r="K278" s="378">
        <v>22689.42</v>
      </c>
      <c r="L278" s="103">
        <f t="shared" si="218"/>
        <v>4.0967008333333332</v>
      </c>
      <c r="M278" s="378">
        <v>3581.32</v>
      </c>
      <c r="N278" s="103">
        <f t="shared" si="219"/>
        <v>0.24870277777777783</v>
      </c>
      <c r="O278" s="378">
        <v>169745.79</v>
      </c>
      <c r="P278" s="103">
        <f t="shared" si="220"/>
        <v>30.648545416666668</v>
      </c>
      <c r="Q278" s="378">
        <v>6200570.4299999997</v>
      </c>
      <c r="R278" s="380">
        <f t="shared" si="221"/>
        <v>1377.90454</v>
      </c>
    </row>
    <row r="279" spans="2:18" x14ac:dyDescent="0.25">
      <c r="B279" s="377">
        <f t="shared" si="179"/>
        <v>45762</v>
      </c>
      <c r="C279" s="378">
        <v>50551.13</v>
      </c>
      <c r="D279" s="103">
        <f t="shared" si="201"/>
        <v>10.531485416666666</v>
      </c>
      <c r="E279" s="382">
        <v>1414019.91</v>
      </c>
      <c r="F279" s="103">
        <f t="shared" si="209"/>
        <v>294.58748124999994</v>
      </c>
      <c r="G279" s="378">
        <v>686767.8</v>
      </c>
      <c r="H279" s="103">
        <f t="shared" si="216"/>
        <v>85.845974999999996</v>
      </c>
      <c r="I279" s="382">
        <v>102721.09</v>
      </c>
      <c r="J279" s="103">
        <f t="shared" si="217"/>
        <v>12.840136249999999</v>
      </c>
      <c r="K279" s="378">
        <v>22689.42</v>
      </c>
      <c r="L279" s="103">
        <f t="shared" si="218"/>
        <v>4.0967008333333332</v>
      </c>
      <c r="M279" s="378">
        <v>3581.32</v>
      </c>
      <c r="N279" s="103">
        <f t="shared" si="219"/>
        <v>0.24870277777777783</v>
      </c>
      <c r="O279" s="378">
        <v>169745.79</v>
      </c>
      <c r="P279" s="103">
        <f t="shared" si="220"/>
        <v>30.648545416666668</v>
      </c>
      <c r="Q279" s="378">
        <v>6200570.4299999997</v>
      </c>
      <c r="R279" s="380">
        <f t="shared" si="221"/>
        <v>1377.90454</v>
      </c>
    </row>
    <row r="280" spans="2:18" x14ac:dyDescent="0.25">
      <c r="B280" s="377">
        <f t="shared" si="179"/>
        <v>45763</v>
      </c>
      <c r="C280" s="378">
        <v>50551.13</v>
      </c>
      <c r="D280" s="103">
        <f t="shared" si="201"/>
        <v>10.531485416666666</v>
      </c>
      <c r="E280" s="382">
        <v>1414019.91</v>
      </c>
      <c r="F280" s="103">
        <f t="shared" si="209"/>
        <v>294.58748124999994</v>
      </c>
      <c r="G280" s="378">
        <v>686767.8</v>
      </c>
      <c r="H280" s="103">
        <f t="shared" si="216"/>
        <v>85.845974999999996</v>
      </c>
      <c r="I280" s="382">
        <v>102721.09</v>
      </c>
      <c r="J280" s="103">
        <f t="shared" si="217"/>
        <v>12.840136249999999</v>
      </c>
      <c r="K280" s="378">
        <v>22689.42</v>
      </c>
      <c r="L280" s="103">
        <f t="shared" si="218"/>
        <v>4.0967008333333332</v>
      </c>
      <c r="M280" s="378">
        <v>3581.32</v>
      </c>
      <c r="N280" s="103">
        <f t="shared" si="219"/>
        <v>0.24870277777777783</v>
      </c>
      <c r="O280" s="378">
        <v>169745.79</v>
      </c>
      <c r="P280" s="103">
        <f t="shared" si="220"/>
        <v>30.648545416666668</v>
      </c>
      <c r="Q280" s="378">
        <v>6200570.4299999997</v>
      </c>
      <c r="R280" s="380">
        <f t="shared" si="221"/>
        <v>1377.90454</v>
      </c>
    </row>
    <row r="281" spans="2:18" x14ac:dyDescent="0.25">
      <c r="B281" s="377">
        <f t="shared" si="179"/>
        <v>45764</v>
      </c>
      <c r="C281" s="378">
        <v>50551.13</v>
      </c>
      <c r="D281" s="103">
        <f t="shared" si="201"/>
        <v>10.531485416666666</v>
      </c>
      <c r="E281" s="382">
        <v>1414019.91</v>
      </c>
      <c r="F281" s="103">
        <f t="shared" si="209"/>
        <v>294.58748124999994</v>
      </c>
      <c r="G281" s="378">
        <v>686767.8</v>
      </c>
      <c r="H281" s="103">
        <f t="shared" si="216"/>
        <v>85.845974999999996</v>
      </c>
      <c r="I281" s="382">
        <v>102721.09</v>
      </c>
      <c r="J281" s="103">
        <f t="shared" si="217"/>
        <v>12.840136249999999</v>
      </c>
      <c r="K281" s="378">
        <v>22689.42</v>
      </c>
      <c r="L281" s="103">
        <f t="shared" si="218"/>
        <v>4.0967008333333332</v>
      </c>
      <c r="M281" s="378">
        <v>3581.32</v>
      </c>
      <c r="N281" s="103">
        <f t="shared" si="219"/>
        <v>0.24870277777777783</v>
      </c>
      <c r="O281" s="378">
        <v>169745.79</v>
      </c>
      <c r="P281" s="103">
        <f t="shared" si="220"/>
        <v>30.648545416666668</v>
      </c>
      <c r="Q281" s="378">
        <v>6200570.4299999997</v>
      </c>
      <c r="R281" s="380">
        <f t="shared" si="221"/>
        <v>1377.90454</v>
      </c>
    </row>
    <row r="282" spans="2:18" x14ac:dyDescent="0.25">
      <c r="B282" s="377">
        <f t="shared" si="179"/>
        <v>45765</v>
      </c>
      <c r="C282" s="378">
        <v>50551.13</v>
      </c>
      <c r="D282" s="103">
        <f t="shared" si="201"/>
        <v>10.531485416666666</v>
      </c>
      <c r="E282" s="382">
        <v>1414019.91</v>
      </c>
      <c r="F282" s="103">
        <f t="shared" si="209"/>
        <v>294.58748124999994</v>
      </c>
      <c r="G282" s="378">
        <v>686767.8</v>
      </c>
      <c r="H282" s="103">
        <f t="shared" si="216"/>
        <v>85.845974999999996</v>
      </c>
      <c r="I282" s="382">
        <v>102721.09</v>
      </c>
      <c r="J282" s="103">
        <f t="shared" si="217"/>
        <v>12.840136249999999</v>
      </c>
      <c r="K282" s="378">
        <v>22689.42</v>
      </c>
      <c r="L282" s="103">
        <f t="shared" si="218"/>
        <v>4.0967008333333332</v>
      </c>
      <c r="M282" s="378">
        <v>3581.32</v>
      </c>
      <c r="N282" s="103">
        <f t="shared" si="219"/>
        <v>0.24870277777777783</v>
      </c>
      <c r="O282" s="378">
        <v>169745.79</v>
      </c>
      <c r="P282" s="103">
        <f t="shared" si="220"/>
        <v>30.648545416666668</v>
      </c>
      <c r="Q282" s="378">
        <v>6200570.4299999997</v>
      </c>
      <c r="R282" s="380">
        <f t="shared" si="221"/>
        <v>1377.90454</v>
      </c>
    </row>
    <row r="283" spans="2:18" x14ac:dyDescent="0.25">
      <c r="B283" s="377">
        <f t="shared" si="179"/>
        <v>45766</v>
      </c>
      <c r="C283" s="378">
        <v>50551.13</v>
      </c>
      <c r="D283" s="103">
        <f t="shared" si="201"/>
        <v>10.531485416666666</v>
      </c>
      <c r="E283" s="382">
        <v>1414019.91</v>
      </c>
      <c r="F283" s="103">
        <f t="shared" si="209"/>
        <v>294.58748124999994</v>
      </c>
      <c r="G283" s="378">
        <v>686767.8</v>
      </c>
      <c r="H283" s="103">
        <f t="shared" si="216"/>
        <v>85.845974999999996</v>
      </c>
      <c r="I283" s="382">
        <v>102721.09</v>
      </c>
      <c r="J283" s="103">
        <f t="shared" si="217"/>
        <v>12.840136249999999</v>
      </c>
      <c r="K283" s="378">
        <v>22689.42</v>
      </c>
      <c r="L283" s="103">
        <f t="shared" si="218"/>
        <v>4.0967008333333332</v>
      </c>
      <c r="M283" s="378">
        <v>3581.32</v>
      </c>
      <c r="N283" s="103">
        <f t="shared" si="219"/>
        <v>0.24870277777777783</v>
      </c>
      <c r="O283" s="378">
        <v>169745.79</v>
      </c>
      <c r="P283" s="103">
        <f t="shared" si="220"/>
        <v>30.648545416666668</v>
      </c>
      <c r="Q283" s="378">
        <v>6200570.4299999997</v>
      </c>
      <c r="R283" s="380">
        <f t="shared" si="221"/>
        <v>1377.90454</v>
      </c>
    </row>
    <row r="284" spans="2:18" x14ac:dyDescent="0.25">
      <c r="B284" s="377">
        <f t="shared" si="179"/>
        <v>45767</v>
      </c>
      <c r="C284" s="378">
        <v>50551.13</v>
      </c>
      <c r="D284" s="103">
        <f t="shared" si="201"/>
        <v>10.531485416666666</v>
      </c>
      <c r="E284" s="382">
        <v>1123940.81</v>
      </c>
      <c r="F284" s="103">
        <f t="shared" ref="F284:F297" si="222">(E284*7.5%)/360</f>
        <v>234.15433541666667</v>
      </c>
      <c r="G284" s="378">
        <v>686767.8</v>
      </c>
      <c r="H284" s="103">
        <f t="shared" ref="H284:H289" si="223">(G284*4.5%)/360</f>
        <v>85.845974999999996</v>
      </c>
      <c r="I284" s="382">
        <v>102721.09</v>
      </c>
      <c r="J284" s="103">
        <f t="shared" ref="J284:J289" si="224">(I284*4.5%)/360</f>
        <v>12.840136249999999</v>
      </c>
      <c r="K284" s="378">
        <v>22689.42</v>
      </c>
      <c r="L284" s="103">
        <f t="shared" ref="L284:L289" si="225">(K284*6.5%)/360</f>
        <v>4.0967008333333332</v>
      </c>
      <c r="M284" s="378">
        <v>3581.32</v>
      </c>
      <c r="N284" s="103">
        <f t="shared" ref="N284:N289" si="226">(M284*2.5%)/360</f>
        <v>0.24870277777777783</v>
      </c>
      <c r="O284" s="378">
        <v>169745.79</v>
      </c>
      <c r="P284" s="103">
        <f t="shared" ref="P284:P289" si="227">(O284*6.5%)/360</f>
        <v>30.648545416666668</v>
      </c>
      <c r="Q284" s="378">
        <v>6200570.4299999997</v>
      </c>
      <c r="R284" s="380">
        <f t="shared" ref="R284:R289" si="228">(Q284*8%)/360</f>
        <v>1377.90454</v>
      </c>
    </row>
    <row r="285" spans="2:18" x14ac:dyDescent="0.25">
      <c r="B285" s="377">
        <f t="shared" si="179"/>
        <v>45768</v>
      </c>
      <c r="C285" s="378">
        <v>50451.13</v>
      </c>
      <c r="D285" s="103">
        <f t="shared" si="201"/>
        <v>10.510652083333332</v>
      </c>
      <c r="E285" s="382">
        <v>1368650.81</v>
      </c>
      <c r="F285" s="103">
        <f t="shared" si="222"/>
        <v>285.13558541666669</v>
      </c>
      <c r="G285" s="378">
        <v>686767.8</v>
      </c>
      <c r="H285" s="103">
        <f t="shared" si="223"/>
        <v>85.845974999999996</v>
      </c>
      <c r="I285" s="382">
        <v>102721.09</v>
      </c>
      <c r="J285" s="103">
        <f t="shared" si="224"/>
        <v>12.840136249999999</v>
      </c>
      <c r="K285" s="378">
        <v>22689.42</v>
      </c>
      <c r="L285" s="103">
        <f t="shared" si="225"/>
        <v>4.0967008333333332</v>
      </c>
      <c r="M285" s="378">
        <v>3581.32</v>
      </c>
      <c r="N285" s="103">
        <f t="shared" si="226"/>
        <v>0.24870277777777783</v>
      </c>
      <c r="O285" s="378">
        <v>169745.79</v>
      </c>
      <c r="P285" s="103">
        <f t="shared" si="227"/>
        <v>30.648545416666668</v>
      </c>
      <c r="Q285" s="378">
        <v>3200570.43</v>
      </c>
      <c r="R285" s="380">
        <f t="shared" si="228"/>
        <v>711.23787333333337</v>
      </c>
    </row>
    <row r="286" spans="2:18" x14ac:dyDescent="0.25">
      <c r="B286" s="377">
        <f t="shared" si="179"/>
        <v>45769</v>
      </c>
      <c r="C286" s="378">
        <v>50451.13</v>
      </c>
      <c r="D286" s="103">
        <f t="shared" si="201"/>
        <v>10.510652083333332</v>
      </c>
      <c r="E286" s="382">
        <v>674246.29</v>
      </c>
      <c r="F286" s="103">
        <f t="shared" si="222"/>
        <v>140.46797708333335</v>
      </c>
      <c r="G286" s="378">
        <v>686767.8</v>
      </c>
      <c r="H286" s="103">
        <f t="shared" si="223"/>
        <v>85.845974999999996</v>
      </c>
      <c r="I286" s="382">
        <v>102721.09</v>
      </c>
      <c r="J286" s="103">
        <f t="shared" si="224"/>
        <v>12.840136249999999</v>
      </c>
      <c r="K286" s="378">
        <v>22689.42</v>
      </c>
      <c r="L286" s="103">
        <f t="shared" si="225"/>
        <v>4.0967008333333332</v>
      </c>
      <c r="M286" s="378">
        <v>3581.32</v>
      </c>
      <c r="N286" s="103">
        <f t="shared" si="226"/>
        <v>0.24870277777777783</v>
      </c>
      <c r="O286" s="378">
        <v>169745.79</v>
      </c>
      <c r="P286" s="103">
        <f t="shared" si="227"/>
        <v>30.648545416666668</v>
      </c>
      <c r="Q286" s="378">
        <v>3200570.43</v>
      </c>
      <c r="R286" s="380">
        <f t="shared" si="228"/>
        <v>711.23787333333337</v>
      </c>
    </row>
    <row r="287" spans="2:18" x14ac:dyDescent="0.25">
      <c r="B287" s="377">
        <f t="shared" si="179"/>
        <v>45770</v>
      </c>
      <c r="C287" s="378">
        <v>50451.13</v>
      </c>
      <c r="D287" s="103">
        <f t="shared" si="201"/>
        <v>10.510652083333332</v>
      </c>
      <c r="E287" s="382">
        <v>5236963.29</v>
      </c>
      <c r="F287" s="103">
        <f t="shared" si="222"/>
        <v>1091.0340187500001</v>
      </c>
      <c r="G287" s="378">
        <v>686767.8</v>
      </c>
      <c r="H287" s="103">
        <f t="shared" si="223"/>
        <v>85.845974999999996</v>
      </c>
      <c r="I287" s="382">
        <v>102721.09</v>
      </c>
      <c r="J287" s="103">
        <f t="shared" si="224"/>
        <v>12.840136249999999</v>
      </c>
      <c r="K287" s="378">
        <v>22689.42</v>
      </c>
      <c r="L287" s="103">
        <f t="shared" si="225"/>
        <v>4.0967008333333332</v>
      </c>
      <c r="M287" s="378">
        <v>3581.32</v>
      </c>
      <c r="N287" s="103">
        <f t="shared" si="226"/>
        <v>0.24870277777777783</v>
      </c>
      <c r="O287" s="378">
        <v>169745.79</v>
      </c>
      <c r="P287" s="103">
        <f t="shared" si="227"/>
        <v>30.648545416666668</v>
      </c>
      <c r="Q287" s="378">
        <v>3200570.43</v>
      </c>
      <c r="R287" s="380">
        <f t="shared" si="228"/>
        <v>711.23787333333337</v>
      </c>
    </row>
    <row r="288" spans="2:18" x14ac:dyDescent="0.25">
      <c r="B288" s="377">
        <f t="shared" si="179"/>
        <v>45771</v>
      </c>
      <c r="C288" s="378">
        <v>50451.13</v>
      </c>
      <c r="D288" s="103">
        <f t="shared" si="201"/>
        <v>10.510652083333332</v>
      </c>
      <c r="E288" s="382">
        <v>5270963.29</v>
      </c>
      <c r="F288" s="103">
        <f t="shared" si="222"/>
        <v>1098.1173520833333</v>
      </c>
      <c r="G288" s="378">
        <v>686767.8</v>
      </c>
      <c r="H288" s="103">
        <f t="shared" si="223"/>
        <v>85.845974999999996</v>
      </c>
      <c r="I288" s="382">
        <v>102721.09</v>
      </c>
      <c r="J288" s="103">
        <f t="shared" si="224"/>
        <v>12.840136249999999</v>
      </c>
      <c r="K288" s="378">
        <v>22689.42</v>
      </c>
      <c r="L288" s="103">
        <f t="shared" si="225"/>
        <v>4.0967008333333332</v>
      </c>
      <c r="M288" s="378">
        <v>3581.32</v>
      </c>
      <c r="N288" s="103">
        <f t="shared" si="226"/>
        <v>0.24870277777777783</v>
      </c>
      <c r="O288" s="378">
        <v>169745.79</v>
      </c>
      <c r="P288" s="103">
        <f t="shared" si="227"/>
        <v>30.648545416666668</v>
      </c>
      <c r="Q288" s="378">
        <v>3200570.43</v>
      </c>
      <c r="R288" s="380">
        <f t="shared" si="228"/>
        <v>711.23787333333337</v>
      </c>
    </row>
    <row r="289" spans="2:18" x14ac:dyDescent="0.25">
      <c r="B289" s="377">
        <f t="shared" si="179"/>
        <v>45772</v>
      </c>
      <c r="C289" s="378">
        <v>50451.13</v>
      </c>
      <c r="D289" s="103">
        <f t="shared" si="201"/>
        <v>10.510652083333332</v>
      </c>
      <c r="E289" s="382">
        <v>5270963.29</v>
      </c>
      <c r="F289" s="103">
        <f t="shared" si="222"/>
        <v>1098.1173520833333</v>
      </c>
      <c r="G289" s="378">
        <v>686767.8</v>
      </c>
      <c r="H289" s="103">
        <f t="shared" si="223"/>
        <v>85.845974999999996</v>
      </c>
      <c r="I289" s="382">
        <v>102721.09</v>
      </c>
      <c r="J289" s="103">
        <f t="shared" si="224"/>
        <v>12.840136249999999</v>
      </c>
      <c r="K289" s="378">
        <v>22689.42</v>
      </c>
      <c r="L289" s="103">
        <f t="shared" si="225"/>
        <v>4.0967008333333332</v>
      </c>
      <c r="M289" s="378">
        <v>3581.32</v>
      </c>
      <c r="N289" s="103">
        <f t="shared" si="226"/>
        <v>0.24870277777777783</v>
      </c>
      <c r="O289" s="378">
        <v>169745.79</v>
      </c>
      <c r="P289" s="103">
        <f t="shared" si="227"/>
        <v>30.648545416666668</v>
      </c>
      <c r="Q289" s="378">
        <v>3200570.43</v>
      </c>
      <c r="R289" s="380">
        <f t="shared" si="228"/>
        <v>711.23787333333337</v>
      </c>
    </row>
    <row r="290" spans="2:18" x14ac:dyDescent="0.25">
      <c r="B290" s="377">
        <f t="shared" si="179"/>
        <v>45773</v>
      </c>
      <c r="C290" s="378">
        <v>50451.13</v>
      </c>
      <c r="D290" s="103">
        <f t="shared" si="201"/>
        <v>10.510652083333332</v>
      </c>
      <c r="E290" s="382">
        <v>5270963.29</v>
      </c>
      <c r="F290" s="103">
        <f t="shared" si="222"/>
        <v>1098.1173520833333</v>
      </c>
      <c r="G290" s="378">
        <v>686767.8</v>
      </c>
      <c r="H290" s="103">
        <f>(G290*4.5%)/360</f>
        <v>85.845974999999996</v>
      </c>
      <c r="I290" s="382">
        <v>102721.09</v>
      </c>
      <c r="J290" s="103">
        <f>(I290*4.5%)/360</f>
        <v>12.840136249999999</v>
      </c>
      <c r="K290" s="378">
        <v>22689.42</v>
      </c>
      <c r="L290" s="103">
        <f>(K290*6.5%)/360</f>
        <v>4.0967008333333332</v>
      </c>
      <c r="M290" s="378">
        <v>3581.32</v>
      </c>
      <c r="N290" s="103">
        <f>(M290*2.5%)/360</f>
        <v>0.24870277777777783</v>
      </c>
      <c r="O290" s="378">
        <v>169745.79</v>
      </c>
      <c r="P290" s="103">
        <f>(O290*6.5%)/360</f>
        <v>30.648545416666668</v>
      </c>
      <c r="Q290" s="378">
        <v>3200570.43</v>
      </c>
      <c r="R290" s="380">
        <f>(Q290*8%)/360</f>
        <v>711.23787333333337</v>
      </c>
    </row>
    <row r="291" spans="2:18" x14ac:dyDescent="0.25">
      <c r="B291" s="377">
        <f t="shared" si="179"/>
        <v>45774</v>
      </c>
      <c r="C291" s="378">
        <v>50451.13</v>
      </c>
      <c r="D291" s="103">
        <f t="shared" si="201"/>
        <v>10.510652083333332</v>
      </c>
      <c r="E291" s="382">
        <v>5249705.59</v>
      </c>
      <c r="F291" s="103">
        <f t="shared" si="222"/>
        <v>1093.6886645833333</v>
      </c>
      <c r="G291" s="378">
        <v>767767.8</v>
      </c>
      <c r="H291" s="103">
        <f t="shared" ref="H291:H297" si="229">(G291*4.5%)/360</f>
        <v>95.970974999999996</v>
      </c>
      <c r="I291" s="382">
        <v>102721.09</v>
      </c>
      <c r="J291" s="103">
        <f t="shared" ref="J291:J297" si="230">(I291*4.5%)/360</f>
        <v>12.840136249999999</v>
      </c>
      <c r="K291" s="378">
        <v>22689.42</v>
      </c>
      <c r="L291" s="103">
        <f t="shared" ref="L291:L297" si="231">(K291*6.5%)/360</f>
        <v>4.0967008333333332</v>
      </c>
      <c r="M291" s="378">
        <v>3581.32</v>
      </c>
      <c r="N291" s="103">
        <f t="shared" ref="N291:N297" si="232">(M291*2.5%)/360</f>
        <v>0.24870277777777783</v>
      </c>
      <c r="O291" s="378">
        <v>169745.79</v>
      </c>
      <c r="P291" s="103">
        <f t="shared" ref="P291:P297" si="233">(O291*6.5%)/360</f>
        <v>30.648545416666668</v>
      </c>
      <c r="Q291" s="378">
        <v>3200570.43</v>
      </c>
      <c r="R291" s="380">
        <f t="shared" ref="R291:R297" si="234">(Q291*8%)/360</f>
        <v>711.23787333333337</v>
      </c>
    </row>
    <row r="292" spans="2:18" x14ac:dyDescent="0.25">
      <c r="B292" s="377">
        <f t="shared" si="179"/>
        <v>45775</v>
      </c>
      <c r="C292" s="378">
        <v>50451.13</v>
      </c>
      <c r="D292" s="103">
        <f t="shared" si="201"/>
        <v>10.510652083333332</v>
      </c>
      <c r="E292" s="382">
        <v>9418551.25</v>
      </c>
      <c r="F292" s="103">
        <f t="shared" si="222"/>
        <v>1962.1981770833333</v>
      </c>
      <c r="G292" s="378">
        <v>766767.8</v>
      </c>
      <c r="H292" s="103">
        <f t="shared" si="229"/>
        <v>95.845974999999996</v>
      </c>
      <c r="I292" s="382">
        <v>102721.09</v>
      </c>
      <c r="J292" s="103">
        <f t="shared" si="230"/>
        <v>12.840136249999999</v>
      </c>
      <c r="K292" s="378">
        <v>22689.42</v>
      </c>
      <c r="L292" s="103">
        <f t="shared" si="231"/>
        <v>4.0967008333333332</v>
      </c>
      <c r="M292" s="378">
        <v>3581.32</v>
      </c>
      <c r="N292" s="103">
        <f t="shared" si="232"/>
        <v>0.24870277777777783</v>
      </c>
      <c r="O292" s="378">
        <v>169745.79</v>
      </c>
      <c r="P292" s="103">
        <f t="shared" si="233"/>
        <v>30.648545416666668</v>
      </c>
      <c r="Q292" s="378">
        <v>570.42999999999995</v>
      </c>
      <c r="R292" s="380">
        <f t="shared" si="234"/>
        <v>0.12676222222222222</v>
      </c>
    </row>
    <row r="293" spans="2:18" x14ac:dyDescent="0.25">
      <c r="B293" s="377">
        <f t="shared" si="179"/>
        <v>45776</v>
      </c>
      <c r="C293" s="378">
        <v>50451.13</v>
      </c>
      <c r="D293" s="103">
        <f t="shared" si="201"/>
        <v>10.510652083333332</v>
      </c>
      <c r="E293" s="382">
        <v>3865590.25</v>
      </c>
      <c r="F293" s="103">
        <f t="shared" si="222"/>
        <v>805.3313020833333</v>
      </c>
      <c r="G293" s="378">
        <v>766767.8</v>
      </c>
      <c r="H293" s="103">
        <f t="shared" si="229"/>
        <v>95.845974999999996</v>
      </c>
      <c r="I293" s="382">
        <v>102721.09</v>
      </c>
      <c r="J293" s="103">
        <f t="shared" si="230"/>
        <v>12.840136249999999</v>
      </c>
      <c r="K293" s="378">
        <v>22689.42</v>
      </c>
      <c r="L293" s="103">
        <f t="shared" si="231"/>
        <v>4.0967008333333332</v>
      </c>
      <c r="M293" s="378">
        <v>3581.32</v>
      </c>
      <c r="N293" s="103">
        <f t="shared" si="232"/>
        <v>0.24870277777777783</v>
      </c>
      <c r="O293" s="378">
        <v>169745.79</v>
      </c>
      <c r="P293" s="103">
        <f t="shared" si="233"/>
        <v>30.648545416666668</v>
      </c>
      <c r="Q293" s="378">
        <v>570.42999999999995</v>
      </c>
      <c r="R293" s="380">
        <f t="shared" si="234"/>
        <v>0.12676222222222222</v>
      </c>
    </row>
    <row r="294" spans="2:18" x14ac:dyDescent="0.25">
      <c r="B294" s="377">
        <f t="shared" si="179"/>
        <v>45777</v>
      </c>
      <c r="C294" s="378">
        <v>50451.13</v>
      </c>
      <c r="D294" s="103">
        <f t="shared" si="201"/>
        <v>10.510652083333332</v>
      </c>
      <c r="E294" s="382">
        <v>3865590.25</v>
      </c>
      <c r="F294" s="103">
        <f t="shared" si="222"/>
        <v>805.3313020833333</v>
      </c>
      <c r="G294" s="378">
        <v>766767.8</v>
      </c>
      <c r="H294" s="103">
        <f t="shared" si="229"/>
        <v>95.845974999999996</v>
      </c>
      <c r="I294" s="382">
        <v>102721.09</v>
      </c>
      <c r="J294" s="103">
        <f t="shared" si="230"/>
        <v>12.840136249999999</v>
      </c>
      <c r="K294" s="378">
        <v>22689.42</v>
      </c>
      <c r="L294" s="103">
        <f t="shared" si="231"/>
        <v>4.0967008333333332</v>
      </c>
      <c r="M294" s="378">
        <v>3581.32</v>
      </c>
      <c r="N294" s="103">
        <f t="shared" si="232"/>
        <v>0.24870277777777783</v>
      </c>
      <c r="O294" s="378">
        <v>169745.79</v>
      </c>
      <c r="P294" s="103">
        <f t="shared" si="233"/>
        <v>30.648545416666668</v>
      </c>
      <c r="Q294" s="378">
        <v>570.42999999999995</v>
      </c>
      <c r="R294" s="380">
        <f t="shared" si="234"/>
        <v>0.12676222222222222</v>
      </c>
    </row>
    <row r="295" spans="2:18" x14ac:dyDescent="0.25">
      <c r="B295" s="377">
        <f t="shared" si="179"/>
        <v>45778</v>
      </c>
      <c r="C295" s="378">
        <v>50451.13</v>
      </c>
      <c r="D295" s="103">
        <f t="shared" si="201"/>
        <v>10.510652083333332</v>
      </c>
      <c r="E295" s="382">
        <v>3865590.25</v>
      </c>
      <c r="F295" s="103">
        <f t="shared" si="222"/>
        <v>805.3313020833333</v>
      </c>
      <c r="G295" s="378">
        <v>766767.8</v>
      </c>
      <c r="H295" s="103">
        <f t="shared" si="229"/>
        <v>95.845974999999996</v>
      </c>
      <c r="I295" s="382">
        <v>102721.09</v>
      </c>
      <c r="J295" s="103">
        <f t="shared" si="230"/>
        <v>12.840136249999999</v>
      </c>
      <c r="K295" s="378">
        <v>22689.42</v>
      </c>
      <c r="L295" s="103">
        <f t="shared" si="231"/>
        <v>4.0967008333333332</v>
      </c>
      <c r="M295" s="378">
        <v>3581.32</v>
      </c>
      <c r="N295" s="103">
        <f t="shared" si="232"/>
        <v>0.24870277777777783</v>
      </c>
      <c r="O295" s="378">
        <v>169745.79</v>
      </c>
      <c r="P295" s="103">
        <f t="shared" si="233"/>
        <v>30.648545416666668</v>
      </c>
      <c r="Q295" s="378">
        <v>570.42999999999995</v>
      </c>
      <c r="R295" s="380">
        <f t="shared" si="234"/>
        <v>0.12676222222222222</v>
      </c>
    </row>
    <row r="296" spans="2:18" x14ac:dyDescent="0.25">
      <c r="B296" s="377">
        <f t="shared" si="179"/>
        <v>45779</v>
      </c>
      <c r="C296" s="378">
        <v>50451.13</v>
      </c>
      <c r="D296" s="103">
        <f t="shared" si="201"/>
        <v>10.510652083333332</v>
      </c>
      <c r="E296" s="382">
        <v>3865590.25</v>
      </c>
      <c r="F296" s="103">
        <f t="shared" si="222"/>
        <v>805.3313020833333</v>
      </c>
      <c r="G296" s="378">
        <v>766767.8</v>
      </c>
      <c r="H296" s="103">
        <f t="shared" si="229"/>
        <v>95.845974999999996</v>
      </c>
      <c r="I296" s="382">
        <v>102721.09</v>
      </c>
      <c r="J296" s="103">
        <f t="shared" si="230"/>
        <v>12.840136249999999</v>
      </c>
      <c r="K296" s="378">
        <v>22689.42</v>
      </c>
      <c r="L296" s="103">
        <f t="shared" si="231"/>
        <v>4.0967008333333332</v>
      </c>
      <c r="M296" s="378">
        <v>3581.32</v>
      </c>
      <c r="N296" s="103">
        <f t="shared" si="232"/>
        <v>0.24870277777777783</v>
      </c>
      <c r="O296" s="378">
        <v>169745.79</v>
      </c>
      <c r="P296" s="103">
        <f t="shared" si="233"/>
        <v>30.648545416666668</v>
      </c>
      <c r="Q296" s="378">
        <v>570.42999999999995</v>
      </c>
      <c r="R296" s="380">
        <f t="shared" si="234"/>
        <v>0.12676222222222222</v>
      </c>
    </row>
    <row r="297" spans="2:18" x14ac:dyDescent="0.25">
      <c r="B297" s="377">
        <f t="shared" si="179"/>
        <v>45780</v>
      </c>
      <c r="C297" s="378">
        <v>50451.13</v>
      </c>
      <c r="D297" s="103">
        <f t="shared" si="201"/>
        <v>10.510652083333332</v>
      </c>
      <c r="E297" s="382">
        <v>3865590.25</v>
      </c>
      <c r="F297" s="103">
        <f t="shared" si="222"/>
        <v>805.3313020833333</v>
      </c>
      <c r="G297" s="378">
        <v>766767.8</v>
      </c>
      <c r="H297" s="103">
        <f t="shared" si="229"/>
        <v>95.845974999999996</v>
      </c>
      <c r="I297" s="382">
        <v>102721.09</v>
      </c>
      <c r="J297" s="103">
        <f t="shared" si="230"/>
        <v>12.840136249999999</v>
      </c>
      <c r="K297" s="378">
        <v>22689.42</v>
      </c>
      <c r="L297" s="103">
        <f t="shared" si="231"/>
        <v>4.0967008333333332</v>
      </c>
      <c r="M297" s="378">
        <v>3581.32</v>
      </c>
      <c r="N297" s="103">
        <f t="shared" si="232"/>
        <v>0.24870277777777783</v>
      </c>
      <c r="O297" s="378">
        <v>169745.79</v>
      </c>
      <c r="P297" s="103">
        <f t="shared" si="233"/>
        <v>30.648545416666668</v>
      </c>
      <c r="Q297" s="378">
        <v>570.42999999999995</v>
      </c>
      <c r="R297" s="380">
        <f t="shared" si="234"/>
        <v>0.12676222222222222</v>
      </c>
    </row>
    <row r="298" spans="2:18" x14ac:dyDescent="0.25">
      <c r="B298" s="377">
        <f t="shared" si="179"/>
        <v>45781</v>
      </c>
      <c r="C298" s="378">
        <v>75451.13</v>
      </c>
      <c r="D298" s="103">
        <f t="shared" si="201"/>
        <v>15.718985416666667</v>
      </c>
      <c r="E298" s="382">
        <v>10264850.25</v>
      </c>
      <c r="F298" s="103">
        <f t="shared" ref="F298:F304" si="235">(E298*7.5%)/360</f>
        <v>2138.5104687499997</v>
      </c>
      <c r="G298" s="378">
        <v>766767.8</v>
      </c>
      <c r="H298" s="103">
        <f t="shared" ref="H298:H304" si="236">(G298*4.5%)/360</f>
        <v>95.845974999999996</v>
      </c>
      <c r="I298" s="382">
        <v>101808.56</v>
      </c>
      <c r="J298" s="103">
        <f t="shared" ref="J298:J304" si="237">(I298*4.5%)/360</f>
        <v>12.72607</v>
      </c>
      <c r="K298" s="378">
        <v>22689.42</v>
      </c>
      <c r="L298" s="103">
        <f t="shared" ref="L298:L304" si="238">(K298*6.5%)/360</f>
        <v>4.0967008333333332</v>
      </c>
      <c r="M298" s="378">
        <v>3581.32</v>
      </c>
      <c r="N298" s="103">
        <f t="shared" ref="N298:N304" si="239">(M298*2.5%)/360</f>
        <v>0.24870277777777783</v>
      </c>
      <c r="O298" s="378">
        <v>169745.79</v>
      </c>
      <c r="P298" s="103">
        <f t="shared" ref="P298:P304" si="240">(O298*6.5%)/360</f>
        <v>30.648545416666668</v>
      </c>
      <c r="Q298" s="378">
        <v>570.42999999999995</v>
      </c>
      <c r="R298" s="380">
        <f t="shared" ref="R298:R304" si="241">(Q298*8%)/360</f>
        <v>0.12676222222222222</v>
      </c>
    </row>
    <row r="299" spans="2:18" x14ac:dyDescent="0.25">
      <c r="B299" s="377">
        <f t="shared" si="179"/>
        <v>45782</v>
      </c>
      <c r="C299" s="378">
        <v>75451.13</v>
      </c>
      <c r="D299" s="103">
        <f t="shared" si="201"/>
        <v>15.718985416666667</v>
      </c>
      <c r="E299" s="382">
        <v>16259850.25</v>
      </c>
      <c r="F299" s="103">
        <f t="shared" si="235"/>
        <v>3387.4688020833337</v>
      </c>
      <c r="G299" s="378">
        <v>778767.8</v>
      </c>
      <c r="H299" s="103">
        <f t="shared" si="236"/>
        <v>97.345974999999996</v>
      </c>
      <c r="I299" s="382">
        <v>101808.56</v>
      </c>
      <c r="J299" s="103">
        <f t="shared" si="237"/>
        <v>12.72607</v>
      </c>
      <c r="K299" s="378">
        <v>22689.42</v>
      </c>
      <c r="L299" s="103">
        <f t="shared" si="238"/>
        <v>4.0967008333333332</v>
      </c>
      <c r="M299" s="378">
        <v>3581.32</v>
      </c>
      <c r="N299" s="103">
        <f t="shared" si="239"/>
        <v>0.24870277777777783</v>
      </c>
      <c r="O299" s="378">
        <v>169745.79</v>
      </c>
      <c r="P299" s="103">
        <f t="shared" si="240"/>
        <v>30.648545416666668</v>
      </c>
      <c r="Q299" s="378">
        <v>570.42999999999995</v>
      </c>
      <c r="R299" s="380">
        <f t="shared" si="241"/>
        <v>0.12676222222222222</v>
      </c>
    </row>
    <row r="300" spans="2:18" x14ac:dyDescent="0.25">
      <c r="B300" s="377">
        <f t="shared" si="179"/>
        <v>45783</v>
      </c>
      <c r="C300" s="378">
        <v>75451.13</v>
      </c>
      <c r="D300" s="103">
        <f t="shared" si="201"/>
        <v>15.718985416666667</v>
      </c>
      <c r="E300" s="382">
        <v>20549039.850000001</v>
      </c>
      <c r="F300" s="103">
        <f t="shared" si="235"/>
        <v>4281.0499687499996</v>
      </c>
      <c r="G300" s="378">
        <v>778767.8</v>
      </c>
      <c r="H300" s="103">
        <f t="shared" si="236"/>
        <v>97.345974999999996</v>
      </c>
      <c r="I300" s="382">
        <v>101808.56</v>
      </c>
      <c r="J300" s="103">
        <f t="shared" si="237"/>
        <v>12.72607</v>
      </c>
      <c r="K300" s="378">
        <v>22689.42</v>
      </c>
      <c r="L300" s="103">
        <f t="shared" si="238"/>
        <v>4.0967008333333332</v>
      </c>
      <c r="M300" s="378">
        <v>3581.32</v>
      </c>
      <c r="N300" s="103">
        <f t="shared" si="239"/>
        <v>0.24870277777777783</v>
      </c>
      <c r="O300" s="378">
        <v>169745.79</v>
      </c>
      <c r="P300" s="103">
        <f t="shared" si="240"/>
        <v>30.648545416666668</v>
      </c>
      <c r="Q300" s="378">
        <v>570.42999999999995</v>
      </c>
      <c r="R300" s="380">
        <f t="shared" si="241"/>
        <v>0.12676222222222222</v>
      </c>
    </row>
    <row r="301" spans="2:18" x14ac:dyDescent="0.25">
      <c r="B301" s="377">
        <f t="shared" si="179"/>
        <v>45784</v>
      </c>
      <c r="C301" s="378">
        <v>75451.13</v>
      </c>
      <c r="D301" s="103">
        <f t="shared" si="201"/>
        <v>15.718985416666667</v>
      </c>
      <c r="E301" s="382">
        <v>20549039.850000001</v>
      </c>
      <c r="F301" s="103">
        <f t="shared" si="235"/>
        <v>4281.0499687499996</v>
      </c>
      <c r="G301" s="378">
        <v>778767.8</v>
      </c>
      <c r="H301" s="103">
        <f t="shared" si="236"/>
        <v>97.345974999999996</v>
      </c>
      <c r="I301" s="382">
        <v>101808.56</v>
      </c>
      <c r="J301" s="103">
        <f t="shared" si="237"/>
        <v>12.72607</v>
      </c>
      <c r="K301" s="378">
        <v>22689.42</v>
      </c>
      <c r="L301" s="103">
        <f t="shared" si="238"/>
        <v>4.0967008333333332</v>
      </c>
      <c r="M301" s="378">
        <v>3581.32</v>
      </c>
      <c r="N301" s="103">
        <f t="shared" si="239"/>
        <v>0.24870277777777783</v>
      </c>
      <c r="O301" s="378">
        <v>169745.79</v>
      </c>
      <c r="P301" s="103">
        <f t="shared" si="240"/>
        <v>30.648545416666668</v>
      </c>
      <c r="Q301" s="378">
        <v>570.42999999999995</v>
      </c>
      <c r="R301" s="380">
        <f t="shared" si="241"/>
        <v>0.12676222222222222</v>
      </c>
    </row>
    <row r="302" spans="2:18" x14ac:dyDescent="0.25">
      <c r="B302" s="377">
        <f t="shared" si="179"/>
        <v>45785</v>
      </c>
      <c r="C302" s="378">
        <v>75451.13</v>
      </c>
      <c r="D302" s="103">
        <f t="shared" si="201"/>
        <v>15.718985416666667</v>
      </c>
      <c r="E302" s="382">
        <v>20039123.649999999</v>
      </c>
      <c r="F302" s="103">
        <f t="shared" si="235"/>
        <v>4174.8174270833333</v>
      </c>
      <c r="G302" s="378">
        <v>778767.8</v>
      </c>
      <c r="H302" s="103">
        <f t="shared" si="236"/>
        <v>97.345974999999996</v>
      </c>
      <c r="I302" s="382">
        <v>101808.56</v>
      </c>
      <c r="J302" s="103">
        <f t="shared" si="237"/>
        <v>12.72607</v>
      </c>
      <c r="K302" s="378">
        <v>22689.42</v>
      </c>
      <c r="L302" s="103">
        <f t="shared" si="238"/>
        <v>4.0967008333333332</v>
      </c>
      <c r="M302" s="378">
        <v>3581.32</v>
      </c>
      <c r="N302" s="103">
        <f t="shared" si="239"/>
        <v>0.24870277777777783</v>
      </c>
      <c r="O302" s="378">
        <v>169745.79</v>
      </c>
      <c r="P302" s="103">
        <f t="shared" si="240"/>
        <v>30.648545416666668</v>
      </c>
      <c r="Q302" s="378">
        <v>570.42999999999995</v>
      </c>
      <c r="R302" s="380">
        <f t="shared" si="241"/>
        <v>0.12676222222222222</v>
      </c>
    </row>
    <row r="303" spans="2:18" x14ac:dyDescent="0.25">
      <c r="B303" s="377">
        <f t="shared" si="179"/>
        <v>45786</v>
      </c>
      <c r="C303" s="378">
        <v>75451.13</v>
      </c>
      <c r="D303" s="103">
        <f t="shared" si="201"/>
        <v>15.718985416666667</v>
      </c>
      <c r="E303" s="382">
        <v>20039123.649999999</v>
      </c>
      <c r="F303" s="103">
        <f t="shared" si="235"/>
        <v>4174.8174270833333</v>
      </c>
      <c r="G303" s="378">
        <v>778767.8</v>
      </c>
      <c r="H303" s="103">
        <f t="shared" si="236"/>
        <v>97.345974999999996</v>
      </c>
      <c r="I303" s="382">
        <v>101808.56</v>
      </c>
      <c r="J303" s="103">
        <f t="shared" si="237"/>
        <v>12.72607</v>
      </c>
      <c r="K303" s="378">
        <v>22689.42</v>
      </c>
      <c r="L303" s="103">
        <f t="shared" si="238"/>
        <v>4.0967008333333332</v>
      </c>
      <c r="M303" s="378">
        <v>3581.32</v>
      </c>
      <c r="N303" s="103">
        <f t="shared" si="239"/>
        <v>0.24870277777777783</v>
      </c>
      <c r="O303" s="378">
        <v>169745.79</v>
      </c>
      <c r="P303" s="103">
        <f t="shared" si="240"/>
        <v>30.648545416666668</v>
      </c>
      <c r="Q303" s="378">
        <v>570.42999999999995</v>
      </c>
      <c r="R303" s="380">
        <f t="shared" si="241"/>
        <v>0.12676222222222222</v>
      </c>
    </row>
    <row r="304" spans="2:18" x14ac:dyDescent="0.25">
      <c r="B304" s="377">
        <f t="shared" ref="B304:B355" si="242">B303+1</f>
        <v>45787</v>
      </c>
      <c r="C304" s="378">
        <v>75451.13</v>
      </c>
      <c r="D304" s="103">
        <f t="shared" si="201"/>
        <v>15.718985416666667</v>
      </c>
      <c r="E304" s="382">
        <v>20039123.649999999</v>
      </c>
      <c r="F304" s="103">
        <f t="shared" si="235"/>
        <v>4174.8174270833333</v>
      </c>
      <c r="G304" s="378">
        <v>778767.8</v>
      </c>
      <c r="H304" s="103">
        <f t="shared" si="236"/>
        <v>97.345974999999996</v>
      </c>
      <c r="I304" s="382">
        <v>101808.56</v>
      </c>
      <c r="J304" s="103">
        <f t="shared" si="237"/>
        <v>12.72607</v>
      </c>
      <c r="K304" s="378">
        <v>22689.42</v>
      </c>
      <c r="L304" s="103">
        <f t="shared" si="238"/>
        <v>4.0967008333333332</v>
      </c>
      <c r="M304" s="378">
        <v>3581.32</v>
      </c>
      <c r="N304" s="103">
        <f t="shared" si="239"/>
        <v>0.24870277777777783</v>
      </c>
      <c r="O304" s="378">
        <v>169745.79</v>
      </c>
      <c r="P304" s="103">
        <f t="shared" si="240"/>
        <v>30.648545416666668</v>
      </c>
      <c r="Q304" s="378">
        <v>570.42999999999995</v>
      </c>
      <c r="R304" s="380">
        <f t="shared" si="241"/>
        <v>0.12676222222222222</v>
      </c>
    </row>
    <row r="305" spans="2:18" x14ac:dyDescent="0.25">
      <c r="B305" s="377">
        <f t="shared" si="242"/>
        <v>45788</v>
      </c>
      <c r="C305" s="378">
        <v>205451.13</v>
      </c>
      <c r="D305" s="103">
        <f t="shared" si="201"/>
        <v>42.802318749999998</v>
      </c>
      <c r="E305" s="382">
        <v>20613088.649999999</v>
      </c>
      <c r="F305" s="103">
        <f t="shared" ref="F305:F324" si="243">(E305*7.5%)/360</f>
        <v>4294.3934687499996</v>
      </c>
      <c r="G305" s="378">
        <v>778767.8</v>
      </c>
      <c r="H305" s="103">
        <f t="shared" ref="H305:H310" si="244">(G305*4.5%)/360</f>
        <v>97.345974999999996</v>
      </c>
      <c r="I305" s="382">
        <v>101808.56</v>
      </c>
      <c r="J305" s="103">
        <f t="shared" ref="J305:J310" si="245">(I305*4.5%)/360</f>
        <v>12.72607</v>
      </c>
      <c r="K305" s="378">
        <v>22689.42</v>
      </c>
      <c r="L305" s="103">
        <f t="shared" ref="L305:L310" si="246">(K305*6.5%)/360</f>
        <v>4.0967008333333332</v>
      </c>
      <c r="M305" s="378">
        <v>3581.32</v>
      </c>
      <c r="N305" s="103">
        <f t="shared" ref="N305:N310" si="247">(M305*2.5%)/360</f>
        <v>0.24870277777777783</v>
      </c>
      <c r="O305" s="378">
        <v>169745.79</v>
      </c>
      <c r="P305" s="103">
        <f t="shared" ref="P305:P310" si="248">(O305*6.5%)/360</f>
        <v>30.648545416666668</v>
      </c>
      <c r="Q305" s="378">
        <v>570.42999999999995</v>
      </c>
      <c r="R305" s="380">
        <f t="shared" ref="R305:R310" si="249">(Q305*8%)/360</f>
        <v>0.12676222222222222</v>
      </c>
    </row>
    <row r="306" spans="2:18" x14ac:dyDescent="0.25">
      <c r="B306" s="377">
        <f t="shared" si="242"/>
        <v>45789</v>
      </c>
      <c r="C306" s="378">
        <v>2578451.13</v>
      </c>
      <c r="D306" s="103">
        <f t="shared" si="201"/>
        <v>537.17731874999993</v>
      </c>
      <c r="E306" s="382">
        <v>1493152.18</v>
      </c>
      <c r="F306" s="103">
        <f t="shared" si="243"/>
        <v>311.07337083333334</v>
      </c>
      <c r="G306" s="378">
        <v>778767.8</v>
      </c>
      <c r="H306" s="103">
        <f t="shared" si="244"/>
        <v>97.345974999999996</v>
      </c>
      <c r="I306" s="382">
        <v>101808.56</v>
      </c>
      <c r="J306" s="103">
        <f t="shared" si="245"/>
        <v>12.72607</v>
      </c>
      <c r="K306" s="378">
        <v>22689.42</v>
      </c>
      <c r="L306" s="103">
        <f t="shared" si="246"/>
        <v>4.0967008333333332</v>
      </c>
      <c r="M306" s="378">
        <v>3581.32</v>
      </c>
      <c r="N306" s="103">
        <f t="shared" si="247"/>
        <v>0.24870277777777783</v>
      </c>
      <c r="O306" s="378">
        <v>169745.79</v>
      </c>
      <c r="P306" s="103">
        <f t="shared" si="248"/>
        <v>30.648545416666668</v>
      </c>
      <c r="Q306" s="378">
        <v>570.42999999999995</v>
      </c>
      <c r="R306" s="380">
        <f t="shared" si="249"/>
        <v>0.12676222222222222</v>
      </c>
    </row>
    <row r="307" spans="2:18" x14ac:dyDescent="0.25">
      <c r="B307" s="377">
        <f t="shared" si="242"/>
        <v>45790</v>
      </c>
      <c r="C307" s="378">
        <v>578451.13</v>
      </c>
      <c r="D307" s="103">
        <f t="shared" si="201"/>
        <v>120.51065208333334</v>
      </c>
      <c r="E307" s="382">
        <v>3493152.18</v>
      </c>
      <c r="F307" s="103">
        <f t="shared" si="243"/>
        <v>727.74003749999997</v>
      </c>
      <c r="G307" s="378">
        <v>778767.8</v>
      </c>
      <c r="H307" s="103">
        <f t="shared" si="244"/>
        <v>97.345974999999996</v>
      </c>
      <c r="I307" s="382">
        <v>101808.56</v>
      </c>
      <c r="J307" s="103">
        <f t="shared" si="245"/>
        <v>12.72607</v>
      </c>
      <c r="K307" s="378">
        <v>22689.42</v>
      </c>
      <c r="L307" s="103">
        <f t="shared" si="246"/>
        <v>4.0967008333333332</v>
      </c>
      <c r="M307" s="378">
        <v>3581.32</v>
      </c>
      <c r="N307" s="103">
        <f t="shared" si="247"/>
        <v>0.24870277777777783</v>
      </c>
      <c r="O307" s="378">
        <v>169745.79</v>
      </c>
      <c r="P307" s="103">
        <f t="shared" si="248"/>
        <v>30.648545416666668</v>
      </c>
      <c r="Q307" s="378">
        <v>570.42999999999995</v>
      </c>
      <c r="R307" s="380">
        <f t="shared" si="249"/>
        <v>0.12676222222222222</v>
      </c>
    </row>
    <row r="308" spans="2:18" x14ac:dyDescent="0.25">
      <c r="B308" s="377">
        <f t="shared" si="242"/>
        <v>45791</v>
      </c>
      <c r="C308" s="378">
        <v>578451.13</v>
      </c>
      <c r="D308" s="103">
        <f t="shared" si="201"/>
        <v>120.51065208333334</v>
      </c>
      <c r="E308" s="382">
        <v>262572.71999999997</v>
      </c>
      <c r="F308" s="103">
        <f t="shared" si="243"/>
        <v>54.702649999999991</v>
      </c>
      <c r="G308" s="378">
        <v>778767.8</v>
      </c>
      <c r="H308" s="103">
        <f t="shared" si="244"/>
        <v>97.345974999999996</v>
      </c>
      <c r="I308" s="382">
        <v>101808.56</v>
      </c>
      <c r="J308" s="103">
        <f t="shared" si="245"/>
        <v>12.72607</v>
      </c>
      <c r="K308" s="378">
        <v>22689.42</v>
      </c>
      <c r="L308" s="103">
        <f t="shared" si="246"/>
        <v>4.0967008333333332</v>
      </c>
      <c r="M308" s="378">
        <v>3581.32</v>
      </c>
      <c r="N308" s="103">
        <f t="shared" si="247"/>
        <v>0.24870277777777783</v>
      </c>
      <c r="O308" s="378">
        <v>169745.79</v>
      </c>
      <c r="P308" s="103">
        <f t="shared" si="248"/>
        <v>30.648545416666668</v>
      </c>
      <c r="Q308" s="378">
        <v>570.42999999999995</v>
      </c>
      <c r="R308" s="380">
        <f t="shared" si="249"/>
        <v>0.12676222222222222</v>
      </c>
    </row>
    <row r="309" spans="2:18" x14ac:dyDescent="0.25">
      <c r="B309" s="377">
        <f t="shared" si="242"/>
        <v>45792</v>
      </c>
      <c r="C309" s="378">
        <v>578451.13</v>
      </c>
      <c r="D309" s="103">
        <f t="shared" si="201"/>
        <v>120.51065208333334</v>
      </c>
      <c r="E309" s="382">
        <v>324919.71999999997</v>
      </c>
      <c r="F309" s="103">
        <f t="shared" si="243"/>
        <v>67.691608333333321</v>
      </c>
      <c r="G309" s="378">
        <v>780767.8</v>
      </c>
      <c r="H309" s="103">
        <f t="shared" si="244"/>
        <v>97.595974999999996</v>
      </c>
      <c r="I309" s="382">
        <v>101808.56</v>
      </c>
      <c r="J309" s="103">
        <f t="shared" si="245"/>
        <v>12.72607</v>
      </c>
      <c r="K309" s="378">
        <v>22689.42</v>
      </c>
      <c r="L309" s="103">
        <f t="shared" si="246"/>
        <v>4.0967008333333332</v>
      </c>
      <c r="M309" s="378">
        <v>3581.32</v>
      </c>
      <c r="N309" s="103">
        <f t="shared" si="247"/>
        <v>0.24870277777777783</v>
      </c>
      <c r="O309" s="378">
        <v>169745.79</v>
      </c>
      <c r="P309" s="103">
        <f t="shared" si="248"/>
        <v>30.648545416666668</v>
      </c>
      <c r="Q309" s="378">
        <v>570.42999999999995</v>
      </c>
      <c r="R309" s="380">
        <f t="shared" si="249"/>
        <v>0.12676222222222222</v>
      </c>
    </row>
    <row r="310" spans="2:18" x14ac:dyDescent="0.25">
      <c r="B310" s="377">
        <f t="shared" si="242"/>
        <v>45793</v>
      </c>
      <c r="C310" s="378">
        <v>578451.13</v>
      </c>
      <c r="D310" s="103">
        <f t="shared" si="201"/>
        <v>120.51065208333334</v>
      </c>
      <c r="E310" s="382">
        <v>324919.71999999997</v>
      </c>
      <c r="F310" s="103">
        <f t="shared" si="243"/>
        <v>67.691608333333321</v>
      </c>
      <c r="G310" s="378">
        <v>780767.8</v>
      </c>
      <c r="H310" s="103">
        <f t="shared" si="244"/>
        <v>97.595974999999996</v>
      </c>
      <c r="I310" s="382">
        <v>101808.56</v>
      </c>
      <c r="J310" s="103">
        <f t="shared" si="245"/>
        <v>12.72607</v>
      </c>
      <c r="K310" s="378">
        <v>22689.42</v>
      </c>
      <c r="L310" s="103">
        <f t="shared" si="246"/>
        <v>4.0967008333333332</v>
      </c>
      <c r="M310" s="378">
        <v>3581.32</v>
      </c>
      <c r="N310" s="103">
        <f t="shared" si="247"/>
        <v>0.24870277777777783</v>
      </c>
      <c r="O310" s="378">
        <v>169745.79</v>
      </c>
      <c r="P310" s="103">
        <f t="shared" si="248"/>
        <v>30.648545416666668</v>
      </c>
      <c r="Q310" s="378">
        <v>570.42999999999995</v>
      </c>
      <c r="R310" s="380">
        <f t="shared" si="249"/>
        <v>0.12676222222222222</v>
      </c>
    </row>
    <row r="311" spans="2:18" x14ac:dyDescent="0.25">
      <c r="B311" s="377">
        <f t="shared" si="242"/>
        <v>45794</v>
      </c>
      <c r="C311" s="378">
        <v>578451.13</v>
      </c>
      <c r="D311" s="103">
        <f t="shared" si="201"/>
        <v>120.51065208333334</v>
      </c>
      <c r="E311" s="382">
        <v>12246145.26</v>
      </c>
      <c r="F311" s="103">
        <f t="shared" si="243"/>
        <v>2551.2802624999999</v>
      </c>
      <c r="G311" s="378">
        <v>780767.8</v>
      </c>
      <c r="H311" s="103">
        <f t="shared" ref="H311:H317" si="250">(G311*4.5%)/360</f>
        <v>97.595974999999996</v>
      </c>
      <c r="I311" s="382">
        <v>101808.56</v>
      </c>
      <c r="J311" s="103">
        <f t="shared" ref="J311:J317" si="251">(I311*4.5%)/360</f>
        <v>12.72607</v>
      </c>
      <c r="K311" s="378">
        <v>22689.42</v>
      </c>
      <c r="L311" s="103">
        <f t="shared" ref="L311:L317" si="252">(K311*6.5%)/360</f>
        <v>4.0967008333333332</v>
      </c>
      <c r="M311" s="378">
        <v>3581.32</v>
      </c>
      <c r="N311" s="103">
        <f t="shared" ref="N311:N317" si="253">(M311*2.5%)/360</f>
        <v>0.24870277777777783</v>
      </c>
      <c r="O311" s="378">
        <v>169745.79</v>
      </c>
      <c r="P311" s="103">
        <f t="shared" ref="P311:P317" si="254">(O311*6.5%)/360</f>
        <v>30.648545416666668</v>
      </c>
      <c r="Q311" s="378">
        <v>570.42999999999995</v>
      </c>
      <c r="R311" s="380">
        <f t="shared" ref="R311:R317" si="255">(Q311*8%)/360</f>
        <v>0.12676222222222222</v>
      </c>
    </row>
    <row r="312" spans="2:18" x14ac:dyDescent="0.25">
      <c r="B312" s="377">
        <f t="shared" si="242"/>
        <v>45795</v>
      </c>
      <c r="C312" s="378">
        <v>578451.13</v>
      </c>
      <c r="D312" s="103">
        <f t="shared" si="201"/>
        <v>120.51065208333334</v>
      </c>
      <c r="E312" s="382">
        <v>11465138.810000001</v>
      </c>
      <c r="F312" s="103">
        <f t="shared" si="243"/>
        <v>2388.5705854166667</v>
      </c>
      <c r="G312" s="378">
        <v>780767.8</v>
      </c>
      <c r="H312" s="103">
        <f t="shared" si="250"/>
        <v>97.595974999999996</v>
      </c>
      <c r="I312" s="382">
        <v>101808.56</v>
      </c>
      <c r="J312" s="103">
        <f t="shared" si="251"/>
        <v>12.72607</v>
      </c>
      <c r="K312" s="378">
        <v>22689.42</v>
      </c>
      <c r="L312" s="103">
        <f t="shared" si="252"/>
        <v>4.0967008333333332</v>
      </c>
      <c r="M312" s="378">
        <v>3581.32</v>
      </c>
      <c r="N312" s="103">
        <f t="shared" si="253"/>
        <v>0.24870277777777783</v>
      </c>
      <c r="O312" s="378">
        <v>169745.79</v>
      </c>
      <c r="P312" s="103">
        <f t="shared" si="254"/>
        <v>30.648545416666668</v>
      </c>
      <c r="Q312" s="378">
        <v>570.42999999999995</v>
      </c>
      <c r="R312" s="380">
        <f t="shared" si="255"/>
        <v>0.12676222222222222</v>
      </c>
    </row>
    <row r="313" spans="2:18" x14ac:dyDescent="0.25">
      <c r="B313" s="377">
        <f t="shared" si="242"/>
        <v>45796</v>
      </c>
      <c r="C313" s="378">
        <v>578451.13</v>
      </c>
      <c r="D313" s="103">
        <f t="shared" si="201"/>
        <v>120.51065208333334</v>
      </c>
      <c r="E313" s="382">
        <v>8908123.0700000003</v>
      </c>
      <c r="F313" s="103">
        <f t="shared" si="243"/>
        <v>1855.8589729166667</v>
      </c>
      <c r="G313" s="378">
        <v>780767.8</v>
      </c>
      <c r="H313" s="103">
        <f t="shared" si="250"/>
        <v>97.595974999999996</v>
      </c>
      <c r="I313" s="382">
        <v>101808.56</v>
      </c>
      <c r="J313" s="103">
        <f t="shared" si="251"/>
        <v>12.72607</v>
      </c>
      <c r="K313" s="378">
        <v>22689.42</v>
      </c>
      <c r="L313" s="103">
        <f t="shared" si="252"/>
        <v>4.0967008333333332</v>
      </c>
      <c r="M313" s="378">
        <v>3581.32</v>
      </c>
      <c r="N313" s="103">
        <f t="shared" si="253"/>
        <v>0.24870277777777783</v>
      </c>
      <c r="O313" s="378">
        <v>169745.79</v>
      </c>
      <c r="P313" s="103">
        <f t="shared" si="254"/>
        <v>30.648545416666668</v>
      </c>
      <c r="Q313" s="378">
        <v>570.42999999999995</v>
      </c>
      <c r="R313" s="380">
        <f t="shared" si="255"/>
        <v>0.12676222222222222</v>
      </c>
    </row>
    <row r="314" spans="2:18" x14ac:dyDescent="0.25">
      <c r="B314" s="377">
        <f t="shared" si="242"/>
        <v>45797</v>
      </c>
      <c r="C314" s="378">
        <v>5578505.5300000003</v>
      </c>
      <c r="D314" s="103">
        <f t="shared" si="201"/>
        <v>1162.1886520833334</v>
      </c>
      <c r="E314" s="382">
        <v>8908123.0700000003</v>
      </c>
      <c r="F314" s="103">
        <f t="shared" si="243"/>
        <v>1855.8589729166667</v>
      </c>
      <c r="G314" s="378">
        <v>780767.8</v>
      </c>
      <c r="H314" s="103">
        <f t="shared" si="250"/>
        <v>97.595974999999996</v>
      </c>
      <c r="I314" s="382">
        <v>101808.56</v>
      </c>
      <c r="J314" s="103">
        <f t="shared" si="251"/>
        <v>12.72607</v>
      </c>
      <c r="K314" s="378">
        <v>22689.42</v>
      </c>
      <c r="L314" s="103">
        <f t="shared" si="252"/>
        <v>4.0967008333333332</v>
      </c>
      <c r="M314" s="378">
        <v>3581.32</v>
      </c>
      <c r="N314" s="103">
        <f t="shared" si="253"/>
        <v>0.24870277777777783</v>
      </c>
      <c r="O314" s="378">
        <v>169745.79</v>
      </c>
      <c r="P314" s="103">
        <f t="shared" si="254"/>
        <v>30.648545416666668</v>
      </c>
      <c r="Q314" s="378">
        <v>570.42999999999995</v>
      </c>
      <c r="R314" s="380">
        <f t="shared" si="255"/>
        <v>0.12676222222222222</v>
      </c>
    </row>
    <row r="315" spans="2:18" x14ac:dyDescent="0.25">
      <c r="B315" s="377">
        <f t="shared" si="242"/>
        <v>45798</v>
      </c>
      <c r="C315" s="378">
        <v>5578505.5300000003</v>
      </c>
      <c r="D315" s="103">
        <f t="shared" si="201"/>
        <v>1162.1886520833334</v>
      </c>
      <c r="E315" s="382">
        <v>8280926.1399999997</v>
      </c>
      <c r="F315" s="103">
        <f t="shared" si="243"/>
        <v>1725.1929458333332</v>
      </c>
      <c r="G315" s="378">
        <v>780767.8</v>
      </c>
      <c r="H315" s="103">
        <f t="shared" si="250"/>
        <v>97.595974999999996</v>
      </c>
      <c r="I315" s="382">
        <v>101808.56</v>
      </c>
      <c r="J315" s="103">
        <f t="shared" si="251"/>
        <v>12.72607</v>
      </c>
      <c r="K315" s="378">
        <v>22689.42</v>
      </c>
      <c r="L315" s="103">
        <f t="shared" si="252"/>
        <v>4.0967008333333332</v>
      </c>
      <c r="M315" s="378">
        <v>3581.32</v>
      </c>
      <c r="N315" s="103">
        <f t="shared" si="253"/>
        <v>0.24870277777777783</v>
      </c>
      <c r="O315" s="378">
        <v>169745.79</v>
      </c>
      <c r="P315" s="103">
        <f t="shared" si="254"/>
        <v>30.648545416666668</v>
      </c>
      <c r="Q315" s="378">
        <v>570.42999999999995</v>
      </c>
      <c r="R315" s="380">
        <f t="shared" si="255"/>
        <v>0.12676222222222222</v>
      </c>
    </row>
    <row r="316" spans="2:18" x14ac:dyDescent="0.25">
      <c r="B316" s="377">
        <f t="shared" si="242"/>
        <v>45799</v>
      </c>
      <c r="C316" s="378">
        <v>5578505.5300000003</v>
      </c>
      <c r="D316" s="103">
        <f t="shared" si="201"/>
        <v>1162.1886520833334</v>
      </c>
      <c r="E316" s="382">
        <v>7445770.5599999996</v>
      </c>
      <c r="F316" s="103">
        <f t="shared" si="243"/>
        <v>1551.2021999999997</v>
      </c>
      <c r="G316" s="378">
        <v>780767.8</v>
      </c>
      <c r="H316" s="103">
        <f t="shared" si="250"/>
        <v>97.595974999999996</v>
      </c>
      <c r="I316" s="382">
        <v>101808.56</v>
      </c>
      <c r="J316" s="103">
        <f t="shared" si="251"/>
        <v>12.72607</v>
      </c>
      <c r="K316" s="378">
        <v>22689.42</v>
      </c>
      <c r="L316" s="103">
        <f t="shared" si="252"/>
        <v>4.0967008333333332</v>
      </c>
      <c r="M316" s="378">
        <v>3581.32</v>
      </c>
      <c r="N316" s="103">
        <f t="shared" si="253"/>
        <v>0.24870277777777783</v>
      </c>
      <c r="O316" s="378">
        <v>169745.79</v>
      </c>
      <c r="P316" s="103">
        <f t="shared" si="254"/>
        <v>30.648545416666668</v>
      </c>
      <c r="Q316" s="378">
        <v>570.42999999999995</v>
      </c>
      <c r="R316" s="380">
        <f t="shared" si="255"/>
        <v>0.12676222222222222</v>
      </c>
    </row>
    <row r="317" spans="2:18" x14ac:dyDescent="0.25">
      <c r="B317" s="377">
        <f t="shared" si="242"/>
        <v>45800</v>
      </c>
      <c r="C317" s="378">
        <v>5578505.5300000003</v>
      </c>
      <c r="D317" s="103">
        <f t="shared" si="201"/>
        <v>1162.1886520833334</v>
      </c>
      <c r="E317" s="382">
        <v>7445770.5599999996</v>
      </c>
      <c r="F317" s="103">
        <f t="shared" si="243"/>
        <v>1551.2021999999997</v>
      </c>
      <c r="G317" s="378">
        <v>780767.8</v>
      </c>
      <c r="H317" s="103">
        <f t="shared" si="250"/>
        <v>97.595974999999996</v>
      </c>
      <c r="I317" s="382">
        <v>101808.56</v>
      </c>
      <c r="J317" s="103">
        <f t="shared" si="251"/>
        <v>12.72607</v>
      </c>
      <c r="K317" s="378">
        <v>22689.42</v>
      </c>
      <c r="L317" s="103">
        <f t="shared" si="252"/>
        <v>4.0967008333333332</v>
      </c>
      <c r="M317" s="378">
        <v>3581.32</v>
      </c>
      <c r="N317" s="103">
        <f t="shared" si="253"/>
        <v>0.24870277777777783</v>
      </c>
      <c r="O317" s="378">
        <v>169745.79</v>
      </c>
      <c r="P317" s="103">
        <f t="shared" si="254"/>
        <v>30.648545416666668</v>
      </c>
      <c r="Q317" s="378">
        <v>570.42999999999995</v>
      </c>
      <c r="R317" s="380">
        <f t="shared" si="255"/>
        <v>0.12676222222222222</v>
      </c>
    </row>
    <row r="318" spans="2:18" x14ac:dyDescent="0.25">
      <c r="B318" s="377">
        <f t="shared" si="242"/>
        <v>45801</v>
      </c>
      <c r="C318" s="378">
        <v>5578505.5300000003</v>
      </c>
      <c r="D318" s="103">
        <f t="shared" si="201"/>
        <v>1162.1886520833334</v>
      </c>
      <c r="E318" s="382">
        <v>7445770.5599999996</v>
      </c>
      <c r="F318" s="103">
        <f t="shared" si="243"/>
        <v>1551.2021999999997</v>
      </c>
      <c r="G318" s="378">
        <v>780767.8</v>
      </c>
      <c r="H318" s="103">
        <f t="shared" ref="H318:H324" si="256">(G318*4.5%)/360</f>
        <v>97.595974999999996</v>
      </c>
      <c r="I318" s="382">
        <v>101808.56</v>
      </c>
      <c r="J318" s="103">
        <f t="shared" ref="J318:J324" si="257">(I318*4.5%)/360</f>
        <v>12.72607</v>
      </c>
      <c r="K318" s="378">
        <v>22689.42</v>
      </c>
      <c r="L318" s="103">
        <f t="shared" ref="L318:L324" si="258">(K318*6.5%)/360</f>
        <v>4.0967008333333332</v>
      </c>
      <c r="M318" s="378">
        <v>3581.32</v>
      </c>
      <c r="N318" s="103">
        <f t="shared" ref="N318:N324" si="259">(M318*2.5%)/360</f>
        <v>0.24870277777777783</v>
      </c>
      <c r="O318" s="378">
        <v>169745.79</v>
      </c>
      <c r="P318" s="103">
        <f t="shared" ref="P318:P324" si="260">(O318*6.5%)/360</f>
        <v>30.648545416666668</v>
      </c>
      <c r="Q318" s="378">
        <v>570.42999999999995</v>
      </c>
      <c r="R318" s="380">
        <f t="shared" ref="R318:R324" si="261">(Q318*8%)/360</f>
        <v>0.12676222222222222</v>
      </c>
    </row>
    <row r="319" spans="2:18" x14ac:dyDescent="0.25">
      <c r="B319" s="377">
        <f t="shared" si="242"/>
        <v>45802</v>
      </c>
      <c r="C319" s="378">
        <v>5448505.5300000003</v>
      </c>
      <c r="D319" s="103">
        <f t="shared" si="201"/>
        <v>1135.1053187499999</v>
      </c>
      <c r="E319" s="382">
        <v>7414604.5599999996</v>
      </c>
      <c r="F319" s="103">
        <f t="shared" si="243"/>
        <v>1544.7092833333331</v>
      </c>
      <c r="G319" s="378">
        <v>780767.8</v>
      </c>
      <c r="H319" s="103">
        <f t="shared" si="256"/>
        <v>97.595974999999996</v>
      </c>
      <c r="I319" s="382">
        <v>101808.56</v>
      </c>
      <c r="J319" s="103">
        <f t="shared" si="257"/>
        <v>12.72607</v>
      </c>
      <c r="K319" s="378">
        <v>22689.42</v>
      </c>
      <c r="L319" s="103">
        <f t="shared" si="258"/>
        <v>4.0967008333333332</v>
      </c>
      <c r="M319" s="378">
        <v>3581.32</v>
      </c>
      <c r="N319" s="103">
        <f t="shared" si="259"/>
        <v>0.24870277777777783</v>
      </c>
      <c r="O319" s="378">
        <v>169745.79</v>
      </c>
      <c r="P319" s="103">
        <f t="shared" si="260"/>
        <v>30.648545416666668</v>
      </c>
      <c r="Q319" s="378">
        <v>570.42999999999995</v>
      </c>
      <c r="R319" s="380">
        <f t="shared" si="261"/>
        <v>0.12676222222222222</v>
      </c>
    </row>
    <row r="320" spans="2:18" x14ac:dyDescent="0.25">
      <c r="B320" s="377">
        <f t="shared" si="242"/>
        <v>45803</v>
      </c>
      <c r="C320" s="378">
        <v>5448505.5300000003</v>
      </c>
      <c r="D320" s="103">
        <f t="shared" si="201"/>
        <v>1135.1053187499999</v>
      </c>
      <c r="E320" s="382">
        <v>6576362.54</v>
      </c>
      <c r="F320" s="103">
        <f t="shared" si="243"/>
        <v>1370.0755291666667</v>
      </c>
      <c r="G320" s="378">
        <v>861767.8</v>
      </c>
      <c r="H320" s="103">
        <f t="shared" si="256"/>
        <v>107.720975</v>
      </c>
      <c r="I320" s="382">
        <v>97062.34</v>
      </c>
      <c r="J320" s="103">
        <f t="shared" si="257"/>
        <v>12.132792500000001</v>
      </c>
      <c r="K320" s="378">
        <v>22689.42</v>
      </c>
      <c r="L320" s="103">
        <f t="shared" si="258"/>
        <v>4.0967008333333332</v>
      </c>
      <c r="M320" s="378">
        <v>3581.32</v>
      </c>
      <c r="N320" s="103">
        <f t="shared" si="259"/>
        <v>0.24870277777777783</v>
      </c>
      <c r="O320" s="378">
        <v>169745.79</v>
      </c>
      <c r="P320" s="103">
        <f t="shared" si="260"/>
        <v>30.648545416666668</v>
      </c>
      <c r="Q320" s="378">
        <v>570.42999999999995</v>
      </c>
      <c r="R320" s="380">
        <f t="shared" si="261"/>
        <v>0.12676222222222222</v>
      </c>
    </row>
    <row r="321" spans="2:18" x14ac:dyDescent="0.25">
      <c r="B321" s="377">
        <f t="shared" si="242"/>
        <v>45804</v>
      </c>
      <c r="C321" s="378">
        <v>5448505.5300000003</v>
      </c>
      <c r="D321" s="103">
        <f t="shared" si="201"/>
        <v>1135.1053187499999</v>
      </c>
      <c r="E321" s="382">
        <v>5468781.4100000001</v>
      </c>
      <c r="F321" s="103">
        <f t="shared" si="243"/>
        <v>1139.3294604166667</v>
      </c>
      <c r="G321" s="378">
        <v>861767.8</v>
      </c>
      <c r="H321" s="103">
        <f t="shared" si="256"/>
        <v>107.720975</v>
      </c>
      <c r="I321" s="382">
        <v>97062.34</v>
      </c>
      <c r="J321" s="103">
        <f t="shared" si="257"/>
        <v>12.132792500000001</v>
      </c>
      <c r="K321" s="378">
        <v>22689.42</v>
      </c>
      <c r="L321" s="103">
        <f t="shared" si="258"/>
        <v>4.0967008333333332</v>
      </c>
      <c r="M321" s="378">
        <v>3581.32</v>
      </c>
      <c r="N321" s="103">
        <f t="shared" si="259"/>
        <v>0.24870277777777783</v>
      </c>
      <c r="O321" s="378">
        <v>169745.79</v>
      </c>
      <c r="P321" s="103">
        <f t="shared" si="260"/>
        <v>30.648545416666668</v>
      </c>
      <c r="Q321" s="378">
        <v>570.42999999999995</v>
      </c>
      <c r="R321" s="380">
        <f t="shared" si="261"/>
        <v>0.12676222222222222</v>
      </c>
    </row>
    <row r="322" spans="2:18" x14ac:dyDescent="0.25">
      <c r="B322" s="377">
        <f t="shared" si="242"/>
        <v>45805</v>
      </c>
      <c r="C322" s="378">
        <v>5448505.5300000003</v>
      </c>
      <c r="D322" s="103">
        <f t="shared" si="201"/>
        <v>1135.1053187499999</v>
      </c>
      <c r="E322" s="382">
        <v>5467356.4100000001</v>
      </c>
      <c r="F322" s="103">
        <f t="shared" si="243"/>
        <v>1139.0325854166667</v>
      </c>
      <c r="G322" s="378">
        <v>861767.8</v>
      </c>
      <c r="H322" s="103">
        <f t="shared" si="256"/>
        <v>107.720975</v>
      </c>
      <c r="I322" s="382">
        <v>97062.34</v>
      </c>
      <c r="J322" s="103">
        <f t="shared" si="257"/>
        <v>12.132792500000001</v>
      </c>
      <c r="K322" s="378">
        <v>22689.42</v>
      </c>
      <c r="L322" s="103">
        <f t="shared" si="258"/>
        <v>4.0967008333333332</v>
      </c>
      <c r="M322" s="378">
        <v>3581.32</v>
      </c>
      <c r="N322" s="103">
        <f t="shared" si="259"/>
        <v>0.24870277777777783</v>
      </c>
      <c r="O322" s="378">
        <v>169745.79</v>
      </c>
      <c r="P322" s="103">
        <f t="shared" si="260"/>
        <v>30.648545416666668</v>
      </c>
      <c r="Q322" s="378">
        <v>570.42999999999995</v>
      </c>
      <c r="R322" s="380">
        <f t="shared" si="261"/>
        <v>0.12676222222222222</v>
      </c>
    </row>
    <row r="323" spans="2:18" x14ac:dyDescent="0.25">
      <c r="B323" s="377">
        <f t="shared" si="242"/>
        <v>45806</v>
      </c>
      <c r="C323" s="378">
        <v>5292542.51</v>
      </c>
      <c r="D323" s="103">
        <f t="shared" si="201"/>
        <v>1102.6130229166665</v>
      </c>
      <c r="E323" s="382">
        <v>5014056.7699999996</v>
      </c>
      <c r="F323" s="103">
        <f t="shared" si="243"/>
        <v>1044.5951604166664</v>
      </c>
      <c r="G323" s="378">
        <v>861767.8</v>
      </c>
      <c r="H323" s="103">
        <f t="shared" si="256"/>
        <v>107.720975</v>
      </c>
      <c r="I323" s="382">
        <v>97062.34</v>
      </c>
      <c r="J323" s="103">
        <f t="shared" si="257"/>
        <v>12.132792500000001</v>
      </c>
      <c r="K323" s="378">
        <v>22689.42</v>
      </c>
      <c r="L323" s="103">
        <f t="shared" si="258"/>
        <v>4.0967008333333332</v>
      </c>
      <c r="M323" s="378">
        <v>3581.32</v>
      </c>
      <c r="N323" s="103">
        <f t="shared" si="259"/>
        <v>0.24870277777777783</v>
      </c>
      <c r="O323" s="378">
        <v>169745.79</v>
      </c>
      <c r="P323" s="103">
        <f t="shared" si="260"/>
        <v>30.648545416666668</v>
      </c>
      <c r="Q323" s="378">
        <v>570.42999999999995</v>
      </c>
      <c r="R323" s="380">
        <f t="shared" si="261"/>
        <v>0.12676222222222222</v>
      </c>
    </row>
    <row r="324" spans="2:18" x14ac:dyDescent="0.25">
      <c r="B324" s="377">
        <f t="shared" si="242"/>
        <v>45807</v>
      </c>
      <c r="C324" s="378">
        <v>5292542.51</v>
      </c>
      <c r="D324" s="103">
        <f t="shared" si="201"/>
        <v>1102.6130229166665</v>
      </c>
      <c r="E324" s="382">
        <v>5014056.7699999996</v>
      </c>
      <c r="F324" s="103">
        <f t="shared" si="243"/>
        <v>1044.5951604166664</v>
      </c>
      <c r="G324" s="378">
        <v>861767.8</v>
      </c>
      <c r="H324" s="103">
        <f t="shared" si="256"/>
        <v>107.720975</v>
      </c>
      <c r="I324" s="382">
        <v>97062.34</v>
      </c>
      <c r="J324" s="103">
        <f t="shared" si="257"/>
        <v>12.132792500000001</v>
      </c>
      <c r="K324" s="378">
        <v>22689.42</v>
      </c>
      <c r="L324" s="103">
        <f t="shared" si="258"/>
        <v>4.0967008333333332</v>
      </c>
      <c r="M324" s="378">
        <v>3581.32</v>
      </c>
      <c r="N324" s="103">
        <f t="shared" si="259"/>
        <v>0.24870277777777783</v>
      </c>
      <c r="O324" s="378">
        <v>169745.79</v>
      </c>
      <c r="P324" s="103">
        <f t="shared" si="260"/>
        <v>30.648545416666668</v>
      </c>
      <c r="Q324" s="378">
        <v>570.42999999999995</v>
      </c>
      <c r="R324" s="380">
        <f t="shared" si="261"/>
        <v>0.12676222222222222</v>
      </c>
    </row>
    <row r="325" spans="2:18" x14ac:dyDescent="0.25">
      <c r="B325" s="377">
        <f t="shared" si="242"/>
        <v>45808</v>
      </c>
      <c r="C325" s="378">
        <v>5292542.51</v>
      </c>
      <c r="D325" s="103">
        <f t="shared" si="201"/>
        <v>1102.6130229166665</v>
      </c>
      <c r="E325" s="382">
        <v>5014056.7699999996</v>
      </c>
      <c r="F325" s="103">
        <f>(E325*7.5%)/360</f>
        <v>1044.5951604166664</v>
      </c>
      <c r="G325" s="378">
        <v>861767.8</v>
      </c>
      <c r="H325" s="103">
        <f>(G325*4.5%)/360</f>
        <v>107.720975</v>
      </c>
      <c r="I325" s="382">
        <v>97062.34</v>
      </c>
      <c r="J325" s="103">
        <f>(I325*4.5%)/360</f>
        <v>12.132792500000001</v>
      </c>
      <c r="K325" s="378">
        <v>22689.42</v>
      </c>
      <c r="L325" s="103">
        <f>(K325*6.5%)/360</f>
        <v>4.0967008333333332</v>
      </c>
      <c r="M325" s="378">
        <v>3581.32</v>
      </c>
      <c r="N325" s="103">
        <f>(M325*2.5%)/360</f>
        <v>0.24870277777777783</v>
      </c>
      <c r="O325" s="378">
        <v>169745.79</v>
      </c>
      <c r="P325" s="103">
        <f>(O325*6.5%)/360</f>
        <v>30.648545416666668</v>
      </c>
      <c r="Q325" s="378">
        <v>570.42999999999995</v>
      </c>
      <c r="R325" s="380">
        <f>(Q325*8%)/360</f>
        <v>0.12676222222222222</v>
      </c>
    </row>
    <row r="326" spans="2:18" x14ac:dyDescent="0.25">
      <c r="B326" s="377">
        <f t="shared" si="242"/>
        <v>45809</v>
      </c>
      <c r="C326" s="378">
        <v>1292542.51</v>
      </c>
      <c r="D326" s="103">
        <f t="shared" si="201"/>
        <v>269.27968958333332</v>
      </c>
      <c r="E326" s="382">
        <v>4724332.83</v>
      </c>
      <c r="F326" s="103">
        <f t="shared" ref="F326:F339" si="262">(E326*7.5%)/360</f>
        <v>984.23600624999995</v>
      </c>
      <c r="G326" s="378">
        <v>836767.8</v>
      </c>
      <c r="H326" s="103">
        <f t="shared" ref="H326:H339" si="263">(G326*4.5%)/360</f>
        <v>104.595975</v>
      </c>
      <c r="I326" s="382">
        <v>97062.34</v>
      </c>
      <c r="J326" s="103">
        <f t="shared" ref="J326:J339" si="264">(I326*4.5%)/360</f>
        <v>12.132792500000001</v>
      </c>
      <c r="K326" s="378">
        <v>22689.42</v>
      </c>
      <c r="L326" s="103">
        <f t="shared" ref="L326:L339" si="265">(K326*6.5%)/360</f>
        <v>4.0967008333333332</v>
      </c>
      <c r="M326" s="378">
        <v>3581.32</v>
      </c>
      <c r="N326" s="103">
        <f t="shared" ref="N326:N339" si="266">(M326*2.5%)/360</f>
        <v>0.24870277777777783</v>
      </c>
      <c r="O326" s="378">
        <v>169745.79</v>
      </c>
      <c r="P326" s="103">
        <f t="shared" ref="P326:P339" si="267">(O326*6.5%)/360</f>
        <v>30.648545416666668</v>
      </c>
      <c r="Q326" s="378">
        <v>570.42999999999995</v>
      </c>
      <c r="R326" s="380">
        <f t="shared" ref="R326:R339" si="268">(Q326*8%)/360</f>
        <v>0.12676222222222222</v>
      </c>
    </row>
    <row r="327" spans="2:18" x14ac:dyDescent="0.25">
      <c r="B327" s="377">
        <f t="shared" si="242"/>
        <v>45810</v>
      </c>
      <c r="C327" s="378">
        <v>4399350.01</v>
      </c>
      <c r="D327" s="103">
        <f t="shared" ref="D327:D355" si="269">(C327*7.5%)/360</f>
        <v>916.53125208333324</v>
      </c>
      <c r="E327" s="382">
        <v>1755228.04</v>
      </c>
      <c r="F327" s="103">
        <f t="shared" si="262"/>
        <v>365.67250833333333</v>
      </c>
      <c r="G327" s="378">
        <v>836767.8</v>
      </c>
      <c r="H327" s="103">
        <f t="shared" si="263"/>
        <v>104.595975</v>
      </c>
      <c r="I327" s="382">
        <v>97062.34</v>
      </c>
      <c r="J327" s="103">
        <f t="shared" si="264"/>
        <v>12.132792500000001</v>
      </c>
      <c r="K327" s="378">
        <v>22689.42</v>
      </c>
      <c r="L327" s="103">
        <f t="shared" si="265"/>
        <v>4.0967008333333332</v>
      </c>
      <c r="M327" s="378">
        <v>3581.32</v>
      </c>
      <c r="N327" s="103">
        <f t="shared" si="266"/>
        <v>0.24870277777777783</v>
      </c>
      <c r="O327" s="378">
        <v>169745.79</v>
      </c>
      <c r="P327" s="103">
        <f t="shared" si="267"/>
        <v>30.648545416666668</v>
      </c>
      <c r="Q327" s="378">
        <v>570.42999999999995</v>
      </c>
      <c r="R327" s="380">
        <f t="shared" si="268"/>
        <v>0.12676222222222222</v>
      </c>
    </row>
    <row r="328" spans="2:18" x14ac:dyDescent="0.25">
      <c r="B328" s="377">
        <f t="shared" si="242"/>
        <v>45811</v>
      </c>
      <c r="C328" s="378">
        <v>3399350.01</v>
      </c>
      <c r="D328" s="103">
        <f t="shared" si="269"/>
        <v>708.19791874999999</v>
      </c>
      <c r="E328" s="382">
        <v>2755228.04</v>
      </c>
      <c r="F328" s="103">
        <f t="shared" si="262"/>
        <v>574.0058416666667</v>
      </c>
      <c r="G328" s="378">
        <v>836767.8</v>
      </c>
      <c r="H328" s="103">
        <f t="shared" si="263"/>
        <v>104.595975</v>
      </c>
      <c r="I328" s="382">
        <v>97062.34</v>
      </c>
      <c r="J328" s="103">
        <f t="shared" si="264"/>
        <v>12.132792500000001</v>
      </c>
      <c r="K328" s="378">
        <v>22689.42</v>
      </c>
      <c r="L328" s="103">
        <f t="shared" si="265"/>
        <v>4.0967008333333332</v>
      </c>
      <c r="M328" s="378">
        <v>3581.32</v>
      </c>
      <c r="N328" s="103">
        <f t="shared" si="266"/>
        <v>0.24870277777777783</v>
      </c>
      <c r="O328" s="378">
        <v>169745.79</v>
      </c>
      <c r="P328" s="103">
        <f t="shared" si="267"/>
        <v>30.648545416666668</v>
      </c>
      <c r="Q328" s="378">
        <v>570.42999999999995</v>
      </c>
      <c r="R328" s="380">
        <f t="shared" si="268"/>
        <v>0.12676222222222222</v>
      </c>
    </row>
    <row r="329" spans="2:18" x14ac:dyDescent="0.25">
      <c r="B329" s="377">
        <f t="shared" si="242"/>
        <v>45812</v>
      </c>
      <c r="C329" s="378">
        <v>4394323.1100000003</v>
      </c>
      <c r="D329" s="103">
        <f t="shared" si="269"/>
        <v>915.48398124999994</v>
      </c>
      <c r="E329" s="382">
        <v>750037.04</v>
      </c>
      <c r="F329" s="103">
        <f t="shared" si="262"/>
        <v>156.25771666666665</v>
      </c>
      <c r="G329" s="378">
        <v>836767.8</v>
      </c>
      <c r="H329" s="103">
        <f t="shared" si="263"/>
        <v>104.595975</v>
      </c>
      <c r="I329" s="382">
        <v>97062.34</v>
      </c>
      <c r="J329" s="103">
        <f t="shared" si="264"/>
        <v>12.132792500000001</v>
      </c>
      <c r="K329" s="378">
        <v>22689.42</v>
      </c>
      <c r="L329" s="103">
        <f t="shared" si="265"/>
        <v>4.0967008333333332</v>
      </c>
      <c r="M329" s="378">
        <v>3581.32</v>
      </c>
      <c r="N329" s="103">
        <f t="shared" si="266"/>
        <v>0.24870277777777783</v>
      </c>
      <c r="O329" s="378">
        <v>169745.79</v>
      </c>
      <c r="P329" s="103">
        <f t="shared" si="267"/>
        <v>30.648545416666668</v>
      </c>
      <c r="Q329" s="378">
        <v>570.42999999999995</v>
      </c>
      <c r="R329" s="380">
        <f t="shared" si="268"/>
        <v>0.12676222222222222</v>
      </c>
    </row>
    <row r="330" spans="2:18" x14ac:dyDescent="0.25">
      <c r="B330" s="377">
        <f t="shared" si="242"/>
        <v>45813</v>
      </c>
      <c r="C330" s="378">
        <v>4394323.1100000003</v>
      </c>
      <c r="D330" s="103">
        <f t="shared" si="269"/>
        <v>915.48398124999994</v>
      </c>
      <c r="E330" s="382">
        <v>750037.04</v>
      </c>
      <c r="F330" s="103">
        <f t="shared" si="262"/>
        <v>156.25771666666665</v>
      </c>
      <c r="G330" s="378">
        <v>836767.8</v>
      </c>
      <c r="H330" s="103">
        <f t="shared" si="263"/>
        <v>104.595975</v>
      </c>
      <c r="I330" s="382">
        <v>97062.34</v>
      </c>
      <c r="J330" s="103">
        <f t="shared" si="264"/>
        <v>12.132792500000001</v>
      </c>
      <c r="K330" s="378">
        <v>22689.42</v>
      </c>
      <c r="L330" s="103">
        <f t="shared" si="265"/>
        <v>4.0967008333333332</v>
      </c>
      <c r="M330" s="378">
        <v>3581.32</v>
      </c>
      <c r="N330" s="103">
        <f t="shared" si="266"/>
        <v>0.24870277777777783</v>
      </c>
      <c r="O330" s="378">
        <v>169745.79</v>
      </c>
      <c r="P330" s="103">
        <f t="shared" si="267"/>
        <v>30.648545416666668</v>
      </c>
      <c r="Q330" s="378">
        <v>570.42999999999995</v>
      </c>
      <c r="R330" s="380">
        <f t="shared" si="268"/>
        <v>0.12676222222222222</v>
      </c>
    </row>
    <row r="331" spans="2:18" x14ac:dyDescent="0.25">
      <c r="B331" s="377">
        <f t="shared" si="242"/>
        <v>45814</v>
      </c>
      <c r="C331" s="378">
        <v>4394323.1100000003</v>
      </c>
      <c r="D331" s="103">
        <f t="shared" si="269"/>
        <v>915.48398124999994</v>
      </c>
      <c r="E331" s="382">
        <v>750037.04</v>
      </c>
      <c r="F331" s="103">
        <f t="shared" si="262"/>
        <v>156.25771666666665</v>
      </c>
      <c r="G331" s="378">
        <v>836767.8</v>
      </c>
      <c r="H331" s="103">
        <f t="shared" si="263"/>
        <v>104.595975</v>
      </c>
      <c r="I331" s="382">
        <v>97062.34</v>
      </c>
      <c r="J331" s="103">
        <f t="shared" si="264"/>
        <v>12.132792500000001</v>
      </c>
      <c r="K331" s="378">
        <v>22689.42</v>
      </c>
      <c r="L331" s="103">
        <f t="shared" si="265"/>
        <v>4.0967008333333332</v>
      </c>
      <c r="M331" s="378">
        <v>3581.32</v>
      </c>
      <c r="N331" s="103">
        <f t="shared" si="266"/>
        <v>0.24870277777777783</v>
      </c>
      <c r="O331" s="378">
        <v>169745.79</v>
      </c>
      <c r="P331" s="103">
        <f t="shared" si="267"/>
        <v>30.648545416666668</v>
      </c>
      <c r="Q331" s="378">
        <v>570.42999999999995</v>
      </c>
      <c r="R331" s="380">
        <f t="shared" si="268"/>
        <v>0.12676222222222222</v>
      </c>
    </row>
    <row r="332" spans="2:18" x14ac:dyDescent="0.25">
      <c r="B332" s="377">
        <f t="shared" si="242"/>
        <v>45815</v>
      </c>
      <c r="C332" s="378">
        <v>4394323.1100000003</v>
      </c>
      <c r="D332" s="103">
        <f t="shared" si="269"/>
        <v>915.48398124999994</v>
      </c>
      <c r="E332" s="382">
        <v>750037.04</v>
      </c>
      <c r="F332" s="103">
        <f t="shared" si="262"/>
        <v>156.25771666666665</v>
      </c>
      <c r="G332" s="378">
        <v>836767.8</v>
      </c>
      <c r="H332" s="103">
        <f t="shared" si="263"/>
        <v>104.595975</v>
      </c>
      <c r="I332" s="382">
        <v>97062.34</v>
      </c>
      <c r="J332" s="103">
        <f t="shared" si="264"/>
        <v>12.132792500000001</v>
      </c>
      <c r="K332" s="378">
        <v>22689.42</v>
      </c>
      <c r="L332" s="103">
        <f t="shared" si="265"/>
        <v>4.0967008333333332</v>
      </c>
      <c r="M332" s="378">
        <v>3581.32</v>
      </c>
      <c r="N332" s="103">
        <f t="shared" si="266"/>
        <v>0.24870277777777783</v>
      </c>
      <c r="O332" s="378">
        <v>169745.79</v>
      </c>
      <c r="P332" s="103">
        <f t="shared" si="267"/>
        <v>30.648545416666668</v>
      </c>
      <c r="Q332" s="378">
        <v>570.42999999999995</v>
      </c>
      <c r="R332" s="380">
        <f t="shared" si="268"/>
        <v>0.12676222222222222</v>
      </c>
    </row>
    <row r="333" spans="2:18" x14ac:dyDescent="0.25">
      <c r="B333" s="377">
        <f t="shared" si="242"/>
        <v>45816</v>
      </c>
      <c r="C333" s="378">
        <v>4394323.1100000003</v>
      </c>
      <c r="D333" s="103">
        <f t="shared" si="269"/>
        <v>915.48398124999994</v>
      </c>
      <c r="E333" s="382">
        <v>750037.04</v>
      </c>
      <c r="F333" s="103">
        <f t="shared" si="262"/>
        <v>156.25771666666665</v>
      </c>
      <c r="G333" s="378">
        <v>836767.8</v>
      </c>
      <c r="H333" s="103">
        <f t="shared" si="263"/>
        <v>104.595975</v>
      </c>
      <c r="I333" s="382">
        <v>97062.34</v>
      </c>
      <c r="J333" s="103">
        <f t="shared" si="264"/>
        <v>12.132792500000001</v>
      </c>
      <c r="K333" s="378">
        <v>22689.42</v>
      </c>
      <c r="L333" s="103">
        <f t="shared" si="265"/>
        <v>4.0967008333333332</v>
      </c>
      <c r="M333" s="378">
        <v>3581.32</v>
      </c>
      <c r="N333" s="103">
        <f t="shared" si="266"/>
        <v>0.24870277777777783</v>
      </c>
      <c r="O333" s="378">
        <v>169745.79</v>
      </c>
      <c r="P333" s="103">
        <f t="shared" si="267"/>
        <v>30.648545416666668</v>
      </c>
      <c r="Q333" s="378">
        <v>570.42999999999995</v>
      </c>
      <c r="R333" s="380">
        <f t="shared" si="268"/>
        <v>0.12676222222222222</v>
      </c>
    </row>
    <row r="334" spans="2:18" x14ac:dyDescent="0.25">
      <c r="B334" s="377">
        <f t="shared" si="242"/>
        <v>45817</v>
      </c>
      <c r="C334" s="378">
        <v>4394323.1100000003</v>
      </c>
      <c r="D334" s="103">
        <f t="shared" si="269"/>
        <v>915.48398124999994</v>
      </c>
      <c r="E334" s="382">
        <v>750037.04</v>
      </c>
      <c r="F334" s="103">
        <f t="shared" si="262"/>
        <v>156.25771666666665</v>
      </c>
      <c r="G334" s="378">
        <v>836767.8</v>
      </c>
      <c r="H334" s="103">
        <f t="shared" si="263"/>
        <v>104.595975</v>
      </c>
      <c r="I334" s="382">
        <v>97062.34</v>
      </c>
      <c r="J334" s="103">
        <f t="shared" si="264"/>
        <v>12.132792500000001</v>
      </c>
      <c r="K334" s="378">
        <v>22689.42</v>
      </c>
      <c r="L334" s="103">
        <f t="shared" si="265"/>
        <v>4.0967008333333332</v>
      </c>
      <c r="M334" s="378">
        <v>3581.32</v>
      </c>
      <c r="N334" s="103">
        <f t="shared" si="266"/>
        <v>0.24870277777777783</v>
      </c>
      <c r="O334" s="378">
        <v>169745.79</v>
      </c>
      <c r="P334" s="103">
        <f t="shared" si="267"/>
        <v>30.648545416666668</v>
      </c>
      <c r="Q334" s="378">
        <v>570.42999999999995</v>
      </c>
      <c r="R334" s="380">
        <f t="shared" si="268"/>
        <v>0.12676222222222222</v>
      </c>
    </row>
    <row r="335" spans="2:18" x14ac:dyDescent="0.25">
      <c r="B335" s="377">
        <f t="shared" si="242"/>
        <v>45818</v>
      </c>
      <c r="C335" s="378">
        <v>4394323.1100000003</v>
      </c>
      <c r="D335" s="103">
        <f t="shared" si="269"/>
        <v>915.48398124999994</v>
      </c>
      <c r="E335" s="382">
        <v>750037.04</v>
      </c>
      <c r="F335" s="103">
        <f t="shared" si="262"/>
        <v>156.25771666666665</v>
      </c>
      <c r="G335" s="378">
        <v>836767.8</v>
      </c>
      <c r="H335" s="103">
        <f t="shared" si="263"/>
        <v>104.595975</v>
      </c>
      <c r="I335" s="382">
        <v>97062.34</v>
      </c>
      <c r="J335" s="103">
        <f t="shared" si="264"/>
        <v>12.132792500000001</v>
      </c>
      <c r="K335" s="378">
        <v>22689.42</v>
      </c>
      <c r="L335" s="103">
        <f t="shared" si="265"/>
        <v>4.0967008333333332</v>
      </c>
      <c r="M335" s="378">
        <v>3581.32</v>
      </c>
      <c r="N335" s="103">
        <f t="shared" si="266"/>
        <v>0.24870277777777783</v>
      </c>
      <c r="O335" s="378">
        <v>169745.79</v>
      </c>
      <c r="P335" s="103">
        <f t="shared" si="267"/>
        <v>30.648545416666668</v>
      </c>
      <c r="Q335" s="378">
        <v>570.42999999999995</v>
      </c>
      <c r="R335" s="380">
        <f t="shared" si="268"/>
        <v>0.12676222222222222</v>
      </c>
    </row>
    <row r="336" spans="2:18" x14ac:dyDescent="0.25">
      <c r="B336" s="377">
        <f t="shared" si="242"/>
        <v>45819</v>
      </c>
      <c r="C336" s="378">
        <v>4394323.1100000003</v>
      </c>
      <c r="D336" s="103">
        <f t="shared" si="269"/>
        <v>915.48398124999994</v>
      </c>
      <c r="E336" s="382">
        <v>750037.04</v>
      </c>
      <c r="F336" s="103">
        <f t="shared" si="262"/>
        <v>156.25771666666665</v>
      </c>
      <c r="G336" s="378">
        <v>836767.8</v>
      </c>
      <c r="H336" s="103">
        <f t="shared" si="263"/>
        <v>104.595975</v>
      </c>
      <c r="I336" s="382">
        <v>97062.34</v>
      </c>
      <c r="J336" s="103">
        <f t="shared" si="264"/>
        <v>12.132792500000001</v>
      </c>
      <c r="K336" s="378">
        <v>22689.42</v>
      </c>
      <c r="L336" s="103">
        <f t="shared" si="265"/>
        <v>4.0967008333333332</v>
      </c>
      <c r="M336" s="378">
        <v>3581.32</v>
      </c>
      <c r="N336" s="103">
        <f t="shared" si="266"/>
        <v>0.24870277777777783</v>
      </c>
      <c r="O336" s="378">
        <v>169745.79</v>
      </c>
      <c r="P336" s="103">
        <f t="shared" si="267"/>
        <v>30.648545416666668</v>
      </c>
      <c r="Q336" s="378">
        <v>570.42999999999995</v>
      </c>
      <c r="R336" s="380">
        <f t="shared" si="268"/>
        <v>0.12676222222222222</v>
      </c>
    </row>
    <row r="337" spans="2:18" x14ac:dyDescent="0.25">
      <c r="B337" s="377">
        <f t="shared" si="242"/>
        <v>45820</v>
      </c>
      <c r="C337" s="378">
        <v>4394323.1100000003</v>
      </c>
      <c r="D337" s="103">
        <f t="shared" si="269"/>
        <v>915.48398124999994</v>
      </c>
      <c r="E337" s="382">
        <v>750037.04</v>
      </c>
      <c r="F337" s="103">
        <f t="shared" si="262"/>
        <v>156.25771666666665</v>
      </c>
      <c r="G337" s="378">
        <v>836767.8</v>
      </c>
      <c r="H337" s="103">
        <f t="shared" si="263"/>
        <v>104.595975</v>
      </c>
      <c r="I337" s="382">
        <v>97062.34</v>
      </c>
      <c r="J337" s="103">
        <f t="shared" si="264"/>
        <v>12.132792500000001</v>
      </c>
      <c r="K337" s="378">
        <v>22689.42</v>
      </c>
      <c r="L337" s="103">
        <f t="shared" si="265"/>
        <v>4.0967008333333332</v>
      </c>
      <c r="M337" s="378">
        <v>3581.32</v>
      </c>
      <c r="N337" s="103">
        <f t="shared" si="266"/>
        <v>0.24870277777777783</v>
      </c>
      <c r="O337" s="378">
        <v>169745.79</v>
      </c>
      <c r="P337" s="103">
        <f t="shared" si="267"/>
        <v>30.648545416666668</v>
      </c>
      <c r="Q337" s="378">
        <v>570.42999999999995</v>
      </c>
      <c r="R337" s="380">
        <f t="shared" si="268"/>
        <v>0.12676222222222222</v>
      </c>
    </row>
    <row r="338" spans="2:18" x14ac:dyDescent="0.25">
      <c r="B338" s="377">
        <f t="shared" si="242"/>
        <v>45821</v>
      </c>
      <c r="C338" s="378">
        <v>4394323.1100000003</v>
      </c>
      <c r="D338" s="103">
        <f t="shared" si="269"/>
        <v>915.48398124999994</v>
      </c>
      <c r="E338" s="382">
        <v>750037.04</v>
      </c>
      <c r="F338" s="103">
        <f t="shared" si="262"/>
        <v>156.25771666666665</v>
      </c>
      <c r="G338" s="378">
        <v>836767.8</v>
      </c>
      <c r="H338" s="103">
        <f t="shared" si="263"/>
        <v>104.595975</v>
      </c>
      <c r="I338" s="382">
        <v>97062.34</v>
      </c>
      <c r="J338" s="103">
        <f t="shared" si="264"/>
        <v>12.132792500000001</v>
      </c>
      <c r="K338" s="378">
        <v>22689.42</v>
      </c>
      <c r="L338" s="103">
        <f t="shared" si="265"/>
        <v>4.0967008333333332</v>
      </c>
      <c r="M338" s="378">
        <v>3581.32</v>
      </c>
      <c r="N338" s="103">
        <f t="shared" si="266"/>
        <v>0.24870277777777783</v>
      </c>
      <c r="O338" s="378">
        <v>169745.79</v>
      </c>
      <c r="P338" s="103">
        <f t="shared" si="267"/>
        <v>30.648545416666668</v>
      </c>
      <c r="Q338" s="378">
        <v>570.42999999999995</v>
      </c>
      <c r="R338" s="380">
        <f t="shared" si="268"/>
        <v>0.12676222222222222</v>
      </c>
    </row>
    <row r="339" spans="2:18" x14ac:dyDescent="0.25">
      <c r="B339" s="377">
        <f t="shared" si="242"/>
        <v>45822</v>
      </c>
      <c r="C339" s="378">
        <v>4394323.1100000003</v>
      </c>
      <c r="D339" s="103">
        <f t="shared" si="269"/>
        <v>915.48398124999994</v>
      </c>
      <c r="E339" s="382">
        <v>750037.04</v>
      </c>
      <c r="F339" s="103">
        <f t="shared" si="262"/>
        <v>156.25771666666665</v>
      </c>
      <c r="G339" s="378">
        <v>836767.8</v>
      </c>
      <c r="H339" s="103">
        <f t="shared" si="263"/>
        <v>104.595975</v>
      </c>
      <c r="I339" s="382">
        <v>97062.34</v>
      </c>
      <c r="J339" s="103">
        <f t="shared" si="264"/>
        <v>12.132792500000001</v>
      </c>
      <c r="K339" s="378">
        <v>22689.42</v>
      </c>
      <c r="L339" s="103">
        <f t="shared" si="265"/>
        <v>4.0967008333333332</v>
      </c>
      <c r="M339" s="378">
        <v>3581.32</v>
      </c>
      <c r="N339" s="103">
        <f t="shared" si="266"/>
        <v>0.24870277777777783</v>
      </c>
      <c r="O339" s="378">
        <v>169745.79</v>
      </c>
      <c r="P339" s="103">
        <f t="shared" si="267"/>
        <v>30.648545416666668</v>
      </c>
      <c r="Q339" s="378">
        <v>570.42999999999995</v>
      </c>
      <c r="R339" s="380">
        <f t="shared" si="268"/>
        <v>0.12676222222222222</v>
      </c>
    </row>
    <row r="340" spans="2:18" x14ac:dyDescent="0.25">
      <c r="B340" s="377">
        <f t="shared" si="242"/>
        <v>45823</v>
      </c>
      <c r="C340" s="378">
        <v>4394298.1100000003</v>
      </c>
      <c r="D340" s="103">
        <f t="shared" si="269"/>
        <v>915.47877291666668</v>
      </c>
      <c r="E340" s="382">
        <v>998495.22</v>
      </c>
      <c r="F340" s="103">
        <f t="shared" ref="F340:F353" si="270">(E340*7.5%)/360</f>
        <v>208.01983749999999</v>
      </c>
      <c r="G340" s="378">
        <v>850767.8</v>
      </c>
      <c r="H340" s="103">
        <f t="shared" ref="H340:H346" si="271">(G340*4.5%)/360</f>
        <v>106.345975</v>
      </c>
      <c r="I340" s="382">
        <v>97062.34</v>
      </c>
      <c r="J340" s="103">
        <f t="shared" ref="J340:J346" si="272">(I340*4.5%)/360</f>
        <v>12.132792500000001</v>
      </c>
      <c r="K340" s="378">
        <v>22689.42</v>
      </c>
      <c r="L340" s="103">
        <f t="shared" ref="L340:L346" si="273">(K340*6.5%)/360</f>
        <v>4.0967008333333332</v>
      </c>
      <c r="M340" s="378">
        <v>3581.32</v>
      </c>
      <c r="N340" s="103">
        <f t="shared" ref="N340:N346" si="274">(M340*2.5%)/360</f>
        <v>0.24870277777777783</v>
      </c>
      <c r="O340" s="378">
        <v>169745.79</v>
      </c>
      <c r="P340" s="103">
        <f t="shared" ref="P340:P346" si="275">(O340*6.5%)/360</f>
        <v>30.648545416666668</v>
      </c>
      <c r="Q340" s="378">
        <v>570.42999999999995</v>
      </c>
      <c r="R340" s="380">
        <f t="shared" ref="R340:R346" si="276">(Q340*8%)/360</f>
        <v>0.12676222222222222</v>
      </c>
    </row>
    <row r="341" spans="2:18" x14ac:dyDescent="0.25">
      <c r="B341" s="377">
        <f t="shared" si="242"/>
        <v>45824</v>
      </c>
      <c r="C341" s="378">
        <v>4394298.1100000003</v>
      </c>
      <c r="D341" s="103">
        <f t="shared" si="269"/>
        <v>915.47877291666668</v>
      </c>
      <c r="E341" s="382">
        <v>2337434.2599999998</v>
      </c>
      <c r="F341" s="103">
        <f t="shared" si="270"/>
        <v>486.96547083333331</v>
      </c>
      <c r="G341" s="378">
        <v>850767.8</v>
      </c>
      <c r="H341" s="103">
        <f t="shared" si="271"/>
        <v>106.345975</v>
      </c>
      <c r="I341" s="382">
        <v>97062.34</v>
      </c>
      <c r="J341" s="103">
        <f t="shared" si="272"/>
        <v>12.132792500000001</v>
      </c>
      <c r="K341" s="378">
        <v>22689.42</v>
      </c>
      <c r="L341" s="103">
        <f t="shared" si="273"/>
        <v>4.0967008333333332</v>
      </c>
      <c r="M341" s="378">
        <v>3581.32</v>
      </c>
      <c r="N341" s="103">
        <f t="shared" si="274"/>
        <v>0.24870277777777783</v>
      </c>
      <c r="O341" s="378">
        <v>169745.79</v>
      </c>
      <c r="P341" s="103">
        <f t="shared" si="275"/>
        <v>30.648545416666668</v>
      </c>
      <c r="Q341" s="378">
        <v>570.42999999999995</v>
      </c>
      <c r="R341" s="380">
        <f t="shared" si="276"/>
        <v>0.12676222222222222</v>
      </c>
    </row>
    <row r="342" spans="2:18" x14ac:dyDescent="0.25">
      <c r="B342" s="377">
        <f t="shared" si="242"/>
        <v>45825</v>
      </c>
      <c r="C342" s="378">
        <v>94298.11</v>
      </c>
      <c r="D342" s="103">
        <f t="shared" si="269"/>
        <v>19.645439583333335</v>
      </c>
      <c r="E342" s="382">
        <v>4603544.62</v>
      </c>
      <c r="F342" s="103">
        <f t="shared" si="270"/>
        <v>959.07179583333334</v>
      </c>
      <c r="G342" s="378">
        <v>850767.8</v>
      </c>
      <c r="H342" s="103">
        <f t="shared" si="271"/>
        <v>106.345975</v>
      </c>
      <c r="I342" s="382">
        <v>97062.34</v>
      </c>
      <c r="J342" s="103">
        <f t="shared" si="272"/>
        <v>12.132792500000001</v>
      </c>
      <c r="K342" s="378">
        <v>22689.42</v>
      </c>
      <c r="L342" s="103">
        <f t="shared" si="273"/>
        <v>4.0967008333333332</v>
      </c>
      <c r="M342" s="378">
        <v>3581.32</v>
      </c>
      <c r="N342" s="103">
        <f t="shared" si="274"/>
        <v>0.24870277777777783</v>
      </c>
      <c r="O342" s="378">
        <v>169745.79</v>
      </c>
      <c r="P342" s="103">
        <f t="shared" si="275"/>
        <v>30.648545416666668</v>
      </c>
      <c r="Q342" s="378">
        <v>570.42999999999995</v>
      </c>
      <c r="R342" s="380">
        <f t="shared" si="276"/>
        <v>0.12676222222222222</v>
      </c>
    </row>
    <row r="343" spans="2:18" x14ac:dyDescent="0.25">
      <c r="B343" s="377">
        <f t="shared" si="242"/>
        <v>45826</v>
      </c>
      <c r="C343" s="378">
        <v>94298.11</v>
      </c>
      <c r="D343" s="103">
        <f t="shared" si="269"/>
        <v>19.645439583333335</v>
      </c>
      <c r="E343" s="382">
        <v>2252400.29</v>
      </c>
      <c r="F343" s="103">
        <f t="shared" si="270"/>
        <v>469.2500604166666</v>
      </c>
      <c r="G343" s="378">
        <v>850767.8</v>
      </c>
      <c r="H343" s="103">
        <f t="shared" si="271"/>
        <v>106.345975</v>
      </c>
      <c r="I343" s="382">
        <v>97062.34</v>
      </c>
      <c r="J343" s="103">
        <f t="shared" si="272"/>
        <v>12.132792500000001</v>
      </c>
      <c r="K343" s="378">
        <v>22689.42</v>
      </c>
      <c r="L343" s="103">
        <f t="shared" si="273"/>
        <v>4.0967008333333332</v>
      </c>
      <c r="M343" s="378">
        <v>3581.32</v>
      </c>
      <c r="N343" s="103">
        <f t="shared" si="274"/>
        <v>0.24870277777777783</v>
      </c>
      <c r="O343" s="378">
        <v>169745.79</v>
      </c>
      <c r="P343" s="103">
        <f t="shared" si="275"/>
        <v>30.648545416666668</v>
      </c>
      <c r="Q343" s="378">
        <v>570.42999999999995</v>
      </c>
      <c r="R343" s="380">
        <f t="shared" si="276"/>
        <v>0.12676222222222222</v>
      </c>
    </row>
    <row r="344" spans="2:18" x14ac:dyDescent="0.25">
      <c r="B344" s="377">
        <f t="shared" si="242"/>
        <v>45827</v>
      </c>
      <c r="C344" s="378">
        <v>2417594.4300000002</v>
      </c>
      <c r="D344" s="103">
        <f t="shared" si="269"/>
        <v>503.66550625000002</v>
      </c>
      <c r="E344" s="382">
        <v>6749496.6900000004</v>
      </c>
      <c r="F344" s="103">
        <f t="shared" si="270"/>
        <v>1406.14514375</v>
      </c>
      <c r="G344" s="378">
        <v>850767.8</v>
      </c>
      <c r="H344" s="103">
        <f t="shared" si="271"/>
        <v>106.345975</v>
      </c>
      <c r="I344" s="382">
        <v>97062.34</v>
      </c>
      <c r="J344" s="103">
        <f t="shared" si="272"/>
        <v>12.132792500000001</v>
      </c>
      <c r="K344" s="378">
        <v>22689.42</v>
      </c>
      <c r="L344" s="103">
        <f t="shared" si="273"/>
        <v>4.0967008333333332</v>
      </c>
      <c r="M344" s="378">
        <v>3581.32</v>
      </c>
      <c r="N344" s="103">
        <f t="shared" si="274"/>
        <v>0.24870277777777783</v>
      </c>
      <c r="O344" s="378">
        <v>169745.79</v>
      </c>
      <c r="P344" s="103">
        <f t="shared" si="275"/>
        <v>30.648545416666668</v>
      </c>
      <c r="Q344" s="378">
        <v>570.42999999999995</v>
      </c>
      <c r="R344" s="380">
        <f t="shared" si="276"/>
        <v>0.12676222222222222</v>
      </c>
    </row>
    <row r="345" spans="2:18" x14ac:dyDescent="0.25">
      <c r="B345" s="377">
        <f t="shared" si="242"/>
        <v>45828</v>
      </c>
      <c r="C345" s="378">
        <v>2417594.4300000002</v>
      </c>
      <c r="D345" s="103">
        <f t="shared" si="269"/>
        <v>503.66550625000002</v>
      </c>
      <c r="E345" s="382">
        <v>6749496.6900000004</v>
      </c>
      <c r="F345" s="103">
        <f t="shared" si="270"/>
        <v>1406.14514375</v>
      </c>
      <c r="G345" s="378">
        <v>850767.8</v>
      </c>
      <c r="H345" s="103">
        <f t="shared" si="271"/>
        <v>106.345975</v>
      </c>
      <c r="I345" s="382">
        <v>97062.34</v>
      </c>
      <c r="J345" s="103">
        <f t="shared" si="272"/>
        <v>12.132792500000001</v>
      </c>
      <c r="K345" s="378">
        <v>22689.42</v>
      </c>
      <c r="L345" s="103">
        <f t="shared" si="273"/>
        <v>4.0967008333333332</v>
      </c>
      <c r="M345" s="378">
        <v>3581.32</v>
      </c>
      <c r="N345" s="103">
        <f t="shared" si="274"/>
        <v>0.24870277777777783</v>
      </c>
      <c r="O345" s="378">
        <v>169745.79</v>
      </c>
      <c r="P345" s="103">
        <f t="shared" si="275"/>
        <v>30.648545416666668</v>
      </c>
      <c r="Q345" s="378">
        <v>570.42999999999995</v>
      </c>
      <c r="R345" s="380">
        <f t="shared" si="276"/>
        <v>0.12676222222222222</v>
      </c>
    </row>
    <row r="346" spans="2:18" x14ac:dyDescent="0.25">
      <c r="B346" s="377">
        <f t="shared" si="242"/>
        <v>45829</v>
      </c>
      <c r="C346" s="378">
        <v>2417594.4300000002</v>
      </c>
      <c r="D346" s="103">
        <f t="shared" si="269"/>
        <v>503.66550625000002</v>
      </c>
      <c r="E346" s="382">
        <v>6749496.6900000004</v>
      </c>
      <c r="F346" s="103">
        <f t="shared" si="270"/>
        <v>1406.14514375</v>
      </c>
      <c r="G346" s="378">
        <v>850767.8</v>
      </c>
      <c r="H346" s="103">
        <f t="shared" si="271"/>
        <v>106.345975</v>
      </c>
      <c r="I346" s="382">
        <v>97062.34</v>
      </c>
      <c r="J346" s="103">
        <f t="shared" si="272"/>
        <v>12.132792500000001</v>
      </c>
      <c r="K346" s="378">
        <v>22689.42</v>
      </c>
      <c r="L346" s="103">
        <f t="shared" si="273"/>
        <v>4.0967008333333332</v>
      </c>
      <c r="M346" s="378">
        <v>3581.32</v>
      </c>
      <c r="N346" s="103">
        <f t="shared" si="274"/>
        <v>0.24870277777777783</v>
      </c>
      <c r="O346" s="378">
        <v>169745.79</v>
      </c>
      <c r="P346" s="103">
        <f t="shared" si="275"/>
        <v>30.648545416666668</v>
      </c>
      <c r="Q346" s="378">
        <v>570.42999999999995</v>
      </c>
      <c r="R346" s="380">
        <f t="shared" si="276"/>
        <v>0.12676222222222222</v>
      </c>
    </row>
    <row r="347" spans="2:18" x14ac:dyDescent="0.25">
      <c r="B347" s="377">
        <f t="shared" si="242"/>
        <v>45830</v>
      </c>
      <c r="C347" s="378">
        <v>103755</v>
      </c>
      <c r="D347" s="103">
        <f t="shared" si="269"/>
        <v>21.615625000000001</v>
      </c>
      <c r="E347" s="378">
        <v>2417594.4300000002</v>
      </c>
      <c r="F347" s="103">
        <f t="shared" si="270"/>
        <v>503.66550625000002</v>
      </c>
      <c r="G347" s="378">
        <v>850767.8</v>
      </c>
      <c r="H347" s="103">
        <f t="shared" ref="H347:H353" si="277">(G347*4.5%)/360</f>
        <v>106.345975</v>
      </c>
      <c r="I347" s="382">
        <v>97062.34</v>
      </c>
      <c r="J347" s="103">
        <f t="shared" ref="J347:J353" si="278">(I347*4.5%)/360</f>
        <v>12.132792500000001</v>
      </c>
      <c r="K347" s="378">
        <v>22689.42</v>
      </c>
      <c r="L347" s="103">
        <f t="shared" ref="L347:L353" si="279">(K347*6.5%)/360</f>
        <v>4.0967008333333332</v>
      </c>
      <c r="M347" s="378">
        <v>3581.32</v>
      </c>
      <c r="N347" s="103">
        <f t="shared" ref="N347:N353" si="280">(M347*2.5%)/360</f>
        <v>0.24870277777777783</v>
      </c>
      <c r="O347" s="378">
        <v>169745.79</v>
      </c>
      <c r="P347" s="103">
        <f t="shared" ref="P347:P353" si="281">(O347*6.5%)/360</f>
        <v>30.648545416666668</v>
      </c>
      <c r="Q347" s="378">
        <v>570.42999999999995</v>
      </c>
      <c r="R347" s="380">
        <f t="shared" ref="R347:R353" si="282">(Q347*8%)/360</f>
        <v>0.12676222222222222</v>
      </c>
    </row>
    <row r="348" spans="2:18" x14ac:dyDescent="0.25">
      <c r="B348" s="377">
        <f t="shared" si="242"/>
        <v>45831</v>
      </c>
      <c r="C348" s="378">
        <v>103755</v>
      </c>
      <c r="D348" s="103">
        <f t="shared" si="269"/>
        <v>21.615625000000001</v>
      </c>
      <c r="E348" s="378">
        <v>11883763.58</v>
      </c>
      <c r="F348" s="103">
        <f t="shared" si="270"/>
        <v>2475.7840791666667</v>
      </c>
      <c r="G348" s="378">
        <v>850767.8</v>
      </c>
      <c r="H348" s="103">
        <f t="shared" si="277"/>
        <v>106.345975</v>
      </c>
      <c r="I348" s="382">
        <v>97062.34</v>
      </c>
      <c r="J348" s="103">
        <f t="shared" si="278"/>
        <v>12.132792500000001</v>
      </c>
      <c r="K348" s="378">
        <v>22689.42</v>
      </c>
      <c r="L348" s="103">
        <f t="shared" si="279"/>
        <v>4.0967008333333332</v>
      </c>
      <c r="M348" s="378">
        <v>3581.32</v>
      </c>
      <c r="N348" s="103">
        <f t="shared" si="280"/>
        <v>0.24870277777777783</v>
      </c>
      <c r="O348" s="378">
        <v>169745.79</v>
      </c>
      <c r="P348" s="103">
        <f t="shared" si="281"/>
        <v>30.648545416666668</v>
      </c>
      <c r="Q348" s="378">
        <v>570.42999999999995</v>
      </c>
      <c r="R348" s="380">
        <f t="shared" si="282"/>
        <v>0.12676222222222222</v>
      </c>
    </row>
    <row r="349" spans="2:18" x14ac:dyDescent="0.25">
      <c r="B349" s="377">
        <f t="shared" si="242"/>
        <v>45832</v>
      </c>
      <c r="C349" s="378">
        <v>103755</v>
      </c>
      <c r="D349" s="103">
        <f t="shared" si="269"/>
        <v>21.615625000000001</v>
      </c>
      <c r="E349" s="378">
        <v>4159002.88</v>
      </c>
      <c r="F349" s="103">
        <f t="shared" si="270"/>
        <v>866.45893333333322</v>
      </c>
      <c r="G349" s="378">
        <v>850767.8</v>
      </c>
      <c r="H349" s="103">
        <f t="shared" si="277"/>
        <v>106.345975</v>
      </c>
      <c r="I349" s="382">
        <v>97062.34</v>
      </c>
      <c r="J349" s="103">
        <f t="shared" si="278"/>
        <v>12.132792500000001</v>
      </c>
      <c r="K349" s="378">
        <v>22689.42</v>
      </c>
      <c r="L349" s="103">
        <f t="shared" si="279"/>
        <v>4.0967008333333332</v>
      </c>
      <c r="M349" s="378">
        <v>3581.32</v>
      </c>
      <c r="N349" s="103">
        <f t="shared" si="280"/>
        <v>0.24870277777777783</v>
      </c>
      <c r="O349" s="378">
        <v>169745.79</v>
      </c>
      <c r="P349" s="103">
        <f t="shared" si="281"/>
        <v>30.648545416666668</v>
      </c>
      <c r="Q349" s="378">
        <v>570.42999999999995</v>
      </c>
      <c r="R349" s="380">
        <f t="shared" si="282"/>
        <v>0.12676222222222222</v>
      </c>
    </row>
    <row r="350" spans="2:18" x14ac:dyDescent="0.25">
      <c r="B350" s="377">
        <f t="shared" si="242"/>
        <v>45833</v>
      </c>
      <c r="C350" s="378">
        <v>103755</v>
      </c>
      <c r="D350" s="103">
        <f t="shared" si="269"/>
        <v>21.615625000000001</v>
      </c>
      <c r="E350" s="378">
        <v>4159002.88</v>
      </c>
      <c r="F350" s="103">
        <f t="shared" si="270"/>
        <v>866.45893333333322</v>
      </c>
      <c r="G350" s="378">
        <v>5767.8</v>
      </c>
      <c r="H350" s="103">
        <f t="shared" si="277"/>
        <v>0.72097499999999992</v>
      </c>
      <c r="I350" s="382">
        <v>97062.34</v>
      </c>
      <c r="J350" s="103">
        <f t="shared" si="278"/>
        <v>12.132792500000001</v>
      </c>
      <c r="K350" s="378">
        <v>22689.42</v>
      </c>
      <c r="L350" s="103">
        <f t="shared" si="279"/>
        <v>4.0967008333333332</v>
      </c>
      <c r="M350" s="378">
        <v>3581.32</v>
      </c>
      <c r="N350" s="103">
        <f t="shared" si="280"/>
        <v>0.24870277777777783</v>
      </c>
      <c r="O350" s="378">
        <v>169745.79</v>
      </c>
      <c r="P350" s="103">
        <f t="shared" si="281"/>
        <v>30.648545416666668</v>
      </c>
      <c r="Q350" s="378">
        <v>570.42999999999995</v>
      </c>
      <c r="R350" s="380">
        <f t="shared" si="282"/>
        <v>0.12676222222222222</v>
      </c>
    </row>
    <row r="351" spans="2:18" x14ac:dyDescent="0.25">
      <c r="B351" s="377">
        <f t="shared" si="242"/>
        <v>45834</v>
      </c>
      <c r="C351" s="378">
        <v>103755</v>
      </c>
      <c r="D351" s="103">
        <f t="shared" si="269"/>
        <v>21.615625000000001</v>
      </c>
      <c r="E351" s="378">
        <v>4159002.88</v>
      </c>
      <c r="F351" s="103">
        <f t="shared" si="270"/>
        <v>866.45893333333322</v>
      </c>
      <c r="G351" s="378">
        <v>91767.8</v>
      </c>
      <c r="H351" s="103">
        <f t="shared" si="277"/>
        <v>11.470975000000001</v>
      </c>
      <c r="I351" s="382">
        <v>97062.34</v>
      </c>
      <c r="J351" s="103">
        <f t="shared" si="278"/>
        <v>12.132792500000001</v>
      </c>
      <c r="K351" s="378">
        <v>22689.42</v>
      </c>
      <c r="L351" s="103">
        <f t="shared" si="279"/>
        <v>4.0967008333333332</v>
      </c>
      <c r="M351" s="378">
        <v>3581.32</v>
      </c>
      <c r="N351" s="103">
        <f t="shared" si="280"/>
        <v>0.24870277777777783</v>
      </c>
      <c r="O351" s="378">
        <v>169745.79</v>
      </c>
      <c r="P351" s="103">
        <f t="shared" si="281"/>
        <v>30.648545416666668</v>
      </c>
      <c r="Q351" s="378">
        <v>570.42999999999995</v>
      </c>
      <c r="R351" s="380">
        <f t="shared" si="282"/>
        <v>0.12676222222222222</v>
      </c>
    </row>
    <row r="352" spans="2:18" x14ac:dyDescent="0.25">
      <c r="B352" s="377">
        <f t="shared" si="242"/>
        <v>45835</v>
      </c>
      <c r="C352" s="378">
        <v>103755</v>
      </c>
      <c r="D352" s="103">
        <f t="shared" si="269"/>
        <v>21.615625000000001</v>
      </c>
      <c r="E352" s="378">
        <v>4159002.88</v>
      </c>
      <c r="F352" s="103">
        <f t="shared" si="270"/>
        <v>866.45893333333322</v>
      </c>
      <c r="G352" s="378">
        <v>91767.8</v>
      </c>
      <c r="H352" s="103">
        <f t="shared" si="277"/>
        <v>11.470975000000001</v>
      </c>
      <c r="I352" s="382">
        <v>97062.34</v>
      </c>
      <c r="J352" s="103">
        <f t="shared" si="278"/>
        <v>12.132792500000001</v>
      </c>
      <c r="K352" s="378">
        <v>22689.42</v>
      </c>
      <c r="L352" s="103">
        <f t="shared" si="279"/>
        <v>4.0967008333333332</v>
      </c>
      <c r="M352" s="378">
        <v>3581.32</v>
      </c>
      <c r="N352" s="103">
        <f t="shared" si="280"/>
        <v>0.24870277777777783</v>
      </c>
      <c r="O352" s="378">
        <v>169745.79</v>
      </c>
      <c r="P352" s="103">
        <f t="shared" si="281"/>
        <v>30.648545416666668</v>
      </c>
      <c r="Q352" s="378">
        <v>570.42999999999995</v>
      </c>
      <c r="R352" s="380">
        <f t="shared" si="282"/>
        <v>0.12676222222222222</v>
      </c>
    </row>
    <row r="353" spans="2:18" x14ac:dyDescent="0.25">
      <c r="B353" s="377">
        <f t="shared" si="242"/>
        <v>45836</v>
      </c>
      <c r="C353" s="378">
        <v>103755</v>
      </c>
      <c r="D353" s="103">
        <f t="shared" si="269"/>
        <v>21.615625000000001</v>
      </c>
      <c r="E353" s="378">
        <v>4159002.88</v>
      </c>
      <c r="F353" s="103">
        <f t="shared" si="270"/>
        <v>866.45893333333322</v>
      </c>
      <c r="G353" s="378">
        <v>91767.8</v>
      </c>
      <c r="H353" s="103">
        <f t="shared" si="277"/>
        <v>11.470975000000001</v>
      </c>
      <c r="I353" s="382">
        <v>97062.34</v>
      </c>
      <c r="J353" s="103">
        <f t="shared" si="278"/>
        <v>12.132792500000001</v>
      </c>
      <c r="K353" s="378">
        <v>22689.42</v>
      </c>
      <c r="L353" s="103">
        <f t="shared" si="279"/>
        <v>4.0967008333333332</v>
      </c>
      <c r="M353" s="378">
        <v>3581.32</v>
      </c>
      <c r="N353" s="103">
        <f t="shared" si="280"/>
        <v>0.24870277777777783</v>
      </c>
      <c r="O353" s="378">
        <v>169745.79</v>
      </c>
      <c r="P353" s="103">
        <f t="shared" si="281"/>
        <v>30.648545416666668</v>
      </c>
      <c r="Q353" s="378">
        <v>570.42999999999995</v>
      </c>
      <c r="R353" s="380">
        <f t="shared" si="282"/>
        <v>0.12676222222222222</v>
      </c>
    </row>
    <row r="354" spans="2:18" x14ac:dyDescent="0.25">
      <c r="B354" s="377">
        <f t="shared" si="242"/>
        <v>45837</v>
      </c>
      <c r="C354" s="378">
        <v>3267278.49</v>
      </c>
      <c r="D354" s="103">
        <f t="shared" si="269"/>
        <v>680.68301874999997</v>
      </c>
      <c r="E354" s="382">
        <v>3434575.34</v>
      </c>
      <c r="F354" s="103">
        <f t="shared" ref="F354:F355" si="283">(E354*7.5%)/360</f>
        <v>715.53652916666658</v>
      </c>
      <c r="G354" s="378">
        <v>91767.8</v>
      </c>
      <c r="H354" s="103">
        <f t="shared" ref="H354:H355" si="284">(G354*4.5%)/360</f>
        <v>11.470975000000001</v>
      </c>
      <c r="I354" s="382">
        <v>87170.21</v>
      </c>
      <c r="J354" s="103">
        <f t="shared" ref="J354:J355" si="285">(I354*4.5%)/360</f>
        <v>10.89627625</v>
      </c>
      <c r="K354" s="378">
        <v>22689.42</v>
      </c>
      <c r="L354" s="103">
        <f t="shared" ref="L354:L355" si="286">(K354*6.5%)/360</f>
        <v>4.0967008333333332</v>
      </c>
      <c r="M354" s="378">
        <v>3581.32</v>
      </c>
      <c r="N354" s="103">
        <f t="shared" ref="N354:N355" si="287">(M354*2.5%)/360</f>
        <v>0.24870277777777783</v>
      </c>
      <c r="O354" s="378">
        <v>169745.79</v>
      </c>
      <c r="P354" s="103">
        <f t="shared" ref="P354:P355" si="288">(O354*6.5%)/360</f>
        <v>30.648545416666668</v>
      </c>
      <c r="Q354" s="378">
        <v>570.42999999999995</v>
      </c>
      <c r="R354" s="380">
        <f t="shared" ref="R354:R355" si="289">(Q354*8%)/360</f>
        <v>0.12676222222222222</v>
      </c>
    </row>
    <row r="355" spans="2:18" ht="15.75" thickBot="1" x14ac:dyDescent="0.3">
      <c r="B355" s="377">
        <f t="shared" si="242"/>
        <v>45838</v>
      </c>
      <c r="C355" s="378">
        <v>67278.490000000005</v>
      </c>
      <c r="D355" s="103">
        <f t="shared" si="269"/>
        <v>14.016352083333334</v>
      </c>
      <c r="E355" s="382">
        <v>1941577.03</v>
      </c>
      <c r="F355" s="103">
        <f t="shared" si="283"/>
        <v>404.49521458333328</v>
      </c>
      <c r="G355" s="378">
        <v>91767.8</v>
      </c>
      <c r="H355" s="103">
        <f t="shared" si="284"/>
        <v>11.470975000000001</v>
      </c>
      <c r="I355" s="382">
        <v>87170.21</v>
      </c>
      <c r="J355" s="103">
        <f t="shared" si="285"/>
        <v>10.89627625</v>
      </c>
      <c r="K355" s="378">
        <v>22689.42</v>
      </c>
      <c r="L355" s="103">
        <f t="shared" si="286"/>
        <v>4.0967008333333332</v>
      </c>
      <c r="M355" s="378">
        <v>3581.32</v>
      </c>
      <c r="N355" s="103">
        <f t="shared" si="287"/>
        <v>0.24870277777777783</v>
      </c>
      <c r="O355" s="378">
        <v>169745.79</v>
      </c>
      <c r="P355" s="103">
        <f t="shared" si="288"/>
        <v>30.648545416666668</v>
      </c>
      <c r="Q355" s="378">
        <v>570.42999999999995</v>
      </c>
      <c r="R355" s="380">
        <f t="shared" si="289"/>
        <v>0.12676222222222222</v>
      </c>
    </row>
    <row r="356" spans="2:18" ht="15.75" thickBot="1" x14ac:dyDescent="0.3">
      <c r="B356" s="415" t="s">
        <v>149</v>
      </c>
      <c r="C356" s="416"/>
      <c r="D356" s="417">
        <f>SUM(D175:D355)</f>
        <v>77192.415772916793</v>
      </c>
      <c r="E356" s="418"/>
      <c r="F356" s="417">
        <f>SUM(F175:F355)</f>
        <v>234111.99135416659</v>
      </c>
      <c r="G356" s="416"/>
      <c r="H356" s="417">
        <f>SUM(H175:H355)</f>
        <v>13699.621475000024</v>
      </c>
      <c r="I356" s="418"/>
      <c r="J356" s="417">
        <f>SUM(J175:J355)</f>
        <v>2620.4706774999986</v>
      </c>
      <c r="K356" s="416"/>
      <c r="L356" s="417">
        <f>SUM(L175:L355)</f>
        <v>741.50285083333279</v>
      </c>
      <c r="M356" s="416"/>
      <c r="N356" s="417">
        <f>SUM(N175:N355)</f>
        <v>45.015202777777787</v>
      </c>
      <c r="O356" s="416"/>
      <c r="P356" s="417">
        <f>SUM(P175:P355)</f>
        <v>5547.3867204166818</v>
      </c>
      <c r="Q356" s="416"/>
      <c r="R356" s="417">
        <f>SUM(R175:R355)</f>
        <v>129111.94396222243</v>
      </c>
    </row>
    <row r="358" spans="2:18" x14ac:dyDescent="0.25">
      <c r="B358" s="377">
        <f>B355+1</f>
        <v>45839</v>
      </c>
      <c r="C358" s="378">
        <v>146724.49</v>
      </c>
      <c r="D358" s="103">
        <f t="shared" ref="D358:D421" si="290">(C358*7.5%)/360</f>
        <v>30.56760208333333</v>
      </c>
      <c r="E358" s="382">
        <v>1941577.03</v>
      </c>
      <c r="F358" s="103">
        <f t="shared" ref="F358:F369" si="291">(E358*7.5%)/360</f>
        <v>404.49521458333328</v>
      </c>
      <c r="G358" s="378">
        <v>105245.55</v>
      </c>
      <c r="H358" s="103">
        <f t="shared" ref="H358:H362" si="292">(G358*4.5%)/360</f>
        <v>13.155693750000001</v>
      </c>
      <c r="I358" s="382">
        <v>87170.21</v>
      </c>
      <c r="J358" s="103">
        <f t="shared" ref="J358" si="293">(I358*4.5%)/360</f>
        <v>10.89627625</v>
      </c>
      <c r="K358" s="378">
        <v>22689.42</v>
      </c>
      <c r="L358" s="103">
        <f t="shared" ref="L358" si="294">(K358*6.5%)/360</f>
        <v>4.0967008333333332</v>
      </c>
      <c r="M358" s="378">
        <v>3581.32</v>
      </c>
      <c r="N358" s="103">
        <f t="shared" ref="N358" si="295">(M358*2.5%)/360</f>
        <v>0.24870277777777783</v>
      </c>
      <c r="O358" s="378">
        <v>169745.79</v>
      </c>
      <c r="P358" s="103">
        <f t="shared" ref="P358" si="296">(O358*6.5%)/360</f>
        <v>30.648545416666668</v>
      </c>
      <c r="Q358" s="378">
        <v>4000570.43</v>
      </c>
      <c r="R358" s="380">
        <f t="shared" ref="R358:R362" si="297">(Q358*8%)/360</f>
        <v>889.0156511111112</v>
      </c>
    </row>
    <row r="359" spans="2:18" x14ac:dyDescent="0.25">
      <c r="B359" s="377">
        <f>B358+1</f>
        <v>45840</v>
      </c>
      <c r="C359" s="378">
        <v>146666.49</v>
      </c>
      <c r="D359" s="103">
        <f t="shared" si="290"/>
        <v>30.555518749999994</v>
      </c>
      <c r="E359" s="382">
        <v>2450134.5</v>
      </c>
      <c r="F359" s="103">
        <f t="shared" si="291"/>
        <v>510.44468749999999</v>
      </c>
      <c r="G359" s="378">
        <v>105245.55</v>
      </c>
      <c r="H359" s="103">
        <f t="shared" si="292"/>
        <v>13.155693750000001</v>
      </c>
      <c r="I359" s="382">
        <v>89443.13</v>
      </c>
      <c r="J359" s="103">
        <f t="shared" ref="J359:J362" si="298">(I359*4.5%)/360</f>
        <v>11.18039125</v>
      </c>
      <c r="K359" s="378">
        <v>22690.42</v>
      </c>
      <c r="L359" s="103">
        <f t="shared" ref="L359:L362" si="299">(K359*6.5%)/360</f>
        <v>4.0968813888888889</v>
      </c>
      <c r="M359" s="378">
        <v>3582.32</v>
      </c>
      <c r="N359" s="103">
        <f t="shared" ref="N359:N362" si="300">(M359*2.5%)/360</f>
        <v>0.24877222222222223</v>
      </c>
      <c r="O359" s="378">
        <v>169746.79</v>
      </c>
      <c r="P359" s="103">
        <f t="shared" ref="P359:P362" si="301">(O359*6.5%)/360</f>
        <v>30.648725972222227</v>
      </c>
      <c r="Q359" s="378">
        <v>4000570.43</v>
      </c>
      <c r="R359" s="380">
        <f t="shared" si="297"/>
        <v>889.0156511111112</v>
      </c>
    </row>
    <row r="360" spans="2:18" x14ac:dyDescent="0.25">
      <c r="B360" s="377">
        <f t="shared" ref="B360:B423" si="302">B359+1</f>
        <v>45841</v>
      </c>
      <c r="C360" s="378">
        <v>146666.49</v>
      </c>
      <c r="D360" s="103">
        <f t="shared" si="290"/>
        <v>30.555518749999994</v>
      </c>
      <c r="E360" s="382">
        <v>9267649.6600000001</v>
      </c>
      <c r="F360" s="103">
        <f t="shared" si="291"/>
        <v>1930.7603458333333</v>
      </c>
      <c r="G360" s="378">
        <v>105245.55</v>
      </c>
      <c r="H360" s="103">
        <f t="shared" si="292"/>
        <v>13.155693750000001</v>
      </c>
      <c r="I360" s="382">
        <v>89443.13</v>
      </c>
      <c r="J360" s="103">
        <f t="shared" si="298"/>
        <v>11.18039125</v>
      </c>
      <c r="K360" s="378">
        <v>22691.42</v>
      </c>
      <c r="L360" s="103">
        <f t="shared" si="299"/>
        <v>4.0970619444444445</v>
      </c>
      <c r="M360" s="378">
        <v>3583.32</v>
      </c>
      <c r="N360" s="103">
        <f t="shared" si="300"/>
        <v>0.24884166666666671</v>
      </c>
      <c r="O360" s="378">
        <v>169747.79</v>
      </c>
      <c r="P360" s="103">
        <f t="shared" si="301"/>
        <v>30.648906527777779</v>
      </c>
      <c r="Q360" s="378">
        <v>4000570.43</v>
      </c>
      <c r="R360" s="380">
        <f t="shared" si="297"/>
        <v>889.0156511111112</v>
      </c>
    </row>
    <row r="361" spans="2:18" x14ac:dyDescent="0.25">
      <c r="B361" s="377">
        <f t="shared" si="302"/>
        <v>45842</v>
      </c>
      <c r="C361" s="378">
        <v>146666.49</v>
      </c>
      <c r="D361" s="103">
        <f t="shared" si="290"/>
        <v>30.555518749999994</v>
      </c>
      <c r="E361" s="382">
        <v>9267649.6600000001</v>
      </c>
      <c r="F361" s="103">
        <f t="shared" si="291"/>
        <v>1930.7603458333333</v>
      </c>
      <c r="G361" s="378">
        <v>105245.55</v>
      </c>
      <c r="H361" s="103">
        <f t="shared" si="292"/>
        <v>13.155693750000001</v>
      </c>
      <c r="I361" s="382">
        <v>89443.13</v>
      </c>
      <c r="J361" s="103">
        <f t="shared" si="298"/>
        <v>11.18039125</v>
      </c>
      <c r="K361" s="378">
        <v>22692.42</v>
      </c>
      <c r="L361" s="103">
        <f t="shared" si="299"/>
        <v>4.0972425000000001</v>
      </c>
      <c r="M361" s="378">
        <v>3584.32</v>
      </c>
      <c r="N361" s="103">
        <f t="shared" si="300"/>
        <v>0.24891111111111111</v>
      </c>
      <c r="O361" s="378">
        <v>169748.79</v>
      </c>
      <c r="P361" s="103">
        <f t="shared" si="301"/>
        <v>30.649087083333335</v>
      </c>
      <c r="Q361" s="378">
        <v>4000570.43</v>
      </c>
      <c r="R361" s="380">
        <f t="shared" si="297"/>
        <v>889.0156511111112</v>
      </c>
    </row>
    <row r="362" spans="2:18" x14ac:dyDescent="0.25">
      <c r="B362" s="377">
        <f t="shared" si="302"/>
        <v>45843</v>
      </c>
      <c r="C362" s="378">
        <v>146666.49</v>
      </c>
      <c r="D362" s="103">
        <f t="shared" si="290"/>
        <v>30.555518749999994</v>
      </c>
      <c r="E362" s="382">
        <v>9267649.6600000001</v>
      </c>
      <c r="F362" s="103">
        <f t="shared" si="291"/>
        <v>1930.7603458333333</v>
      </c>
      <c r="G362" s="378">
        <v>105245.55</v>
      </c>
      <c r="H362" s="103">
        <f t="shared" si="292"/>
        <v>13.155693750000001</v>
      </c>
      <c r="I362" s="382">
        <v>89443.13</v>
      </c>
      <c r="J362" s="103">
        <f t="shared" si="298"/>
        <v>11.18039125</v>
      </c>
      <c r="K362" s="378">
        <v>22693.42</v>
      </c>
      <c r="L362" s="103">
        <f t="shared" si="299"/>
        <v>4.0974230555555557</v>
      </c>
      <c r="M362" s="378">
        <v>3585.32</v>
      </c>
      <c r="N362" s="103">
        <f t="shared" si="300"/>
        <v>0.24898055555555559</v>
      </c>
      <c r="O362" s="378">
        <v>169749.79</v>
      </c>
      <c r="P362" s="103">
        <f t="shared" si="301"/>
        <v>30.64926763888889</v>
      </c>
      <c r="Q362" s="378">
        <v>4000570.43</v>
      </c>
      <c r="R362" s="380">
        <f t="shared" si="297"/>
        <v>889.0156511111112</v>
      </c>
    </row>
    <row r="363" spans="2:18" x14ac:dyDescent="0.25">
      <c r="B363" s="377">
        <f t="shared" si="302"/>
        <v>45844</v>
      </c>
      <c r="C363" s="378">
        <v>146666.49</v>
      </c>
      <c r="D363" s="103">
        <f t="shared" si="290"/>
        <v>30.555518749999994</v>
      </c>
      <c r="E363" s="382">
        <v>9267649.6600000001</v>
      </c>
      <c r="F363" s="103">
        <f t="shared" si="291"/>
        <v>1930.7603458333333</v>
      </c>
      <c r="G363" s="378">
        <v>105245.55</v>
      </c>
      <c r="H363" s="103">
        <f t="shared" ref="H363:H369" si="303">(G363*4.5%)/360</f>
        <v>13.155693750000001</v>
      </c>
      <c r="I363" s="382">
        <v>89443.13</v>
      </c>
      <c r="J363" s="103">
        <f t="shared" ref="J363:J369" si="304">(I363*4.5%)/360</f>
        <v>11.18039125</v>
      </c>
      <c r="K363" s="378">
        <v>22693.42</v>
      </c>
      <c r="L363" s="103">
        <f t="shared" ref="L363:L369" si="305">(K363*6.5%)/360</f>
        <v>4.0974230555555557</v>
      </c>
      <c r="M363" s="378">
        <v>3585.32</v>
      </c>
      <c r="N363" s="103">
        <f t="shared" ref="N363:N369" si="306">(M363*2.5%)/360</f>
        <v>0.24898055555555559</v>
      </c>
      <c r="O363" s="378">
        <v>169749.79</v>
      </c>
      <c r="P363" s="103">
        <f t="shared" ref="P363:P369" si="307">(O363*6.5%)/360</f>
        <v>30.64926763888889</v>
      </c>
      <c r="Q363" s="378">
        <v>4000570.43</v>
      </c>
      <c r="R363" s="380">
        <f t="shared" ref="R363:R369" si="308">(Q363*8%)/360</f>
        <v>889.0156511111112</v>
      </c>
    </row>
    <row r="364" spans="2:18" x14ac:dyDescent="0.25">
      <c r="B364" s="377">
        <f t="shared" si="302"/>
        <v>45845</v>
      </c>
      <c r="C364" s="378">
        <v>600146.49</v>
      </c>
      <c r="D364" s="103">
        <f t="shared" si="290"/>
        <v>125.03051874999998</v>
      </c>
      <c r="E364" s="382">
        <v>11906218.380000001</v>
      </c>
      <c r="F364" s="103">
        <f t="shared" si="291"/>
        <v>2480.4621625</v>
      </c>
      <c r="G364" s="378">
        <v>117245.55</v>
      </c>
      <c r="H364" s="103">
        <f t="shared" si="303"/>
        <v>14.655693750000001</v>
      </c>
      <c r="I364" s="382">
        <v>89443.13</v>
      </c>
      <c r="J364" s="103">
        <f t="shared" si="304"/>
        <v>11.18039125</v>
      </c>
      <c r="K364" s="378">
        <v>22693.42</v>
      </c>
      <c r="L364" s="103">
        <f t="shared" si="305"/>
        <v>4.0974230555555557</v>
      </c>
      <c r="M364" s="378">
        <v>3585.32</v>
      </c>
      <c r="N364" s="103">
        <f t="shared" si="306"/>
        <v>0.24898055555555559</v>
      </c>
      <c r="O364" s="378">
        <v>169749.79</v>
      </c>
      <c r="P364" s="103">
        <f t="shared" si="307"/>
        <v>30.64926763888889</v>
      </c>
      <c r="Q364" s="378">
        <v>570.42999999999995</v>
      </c>
      <c r="R364" s="380">
        <f t="shared" si="308"/>
        <v>0.12676222222222222</v>
      </c>
    </row>
    <row r="365" spans="2:18" x14ac:dyDescent="0.25">
      <c r="B365" s="377">
        <f t="shared" si="302"/>
        <v>45846</v>
      </c>
      <c r="C365" s="378">
        <v>900126.49</v>
      </c>
      <c r="D365" s="103">
        <f t="shared" si="290"/>
        <v>187.52635208333334</v>
      </c>
      <c r="E365" s="382">
        <v>21265488.16</v>
      </c>
      <c r="F365" s="103">
        <f t="shared" si="291"/>
        <v>4430.3100333333332</v>
      </c>
      <c r="G365" s="378">
        <v>117245.55</v>
      </c>
      <c r="H365" s="103">
        <f t="shared" si="303"/>
        <v>14.655693750000001</v>
      </c>
      <c r="I365" s="382">
        <v>89443.13</v>
      </c>
      <c r="J365" s="103">
        <f t="shared" si="304"/>
        <v>11.18039125</v>
      </c>
      <c r="K365" s="378">
        <v>22693.42</v>
      </c>
      <c r="L365" s="103">
        <f t="shared" si="305"/>
        <v>4.0974230555555557</v>
      </c>
      <c r="M365" s="378">
        <v>3585.32</v>
      </c>
      <c r="N365" s="103">
        <f t="shared" si="306"/>
        <v>0.24898055555555559</v>
      </c>
      <c r="O365" s="378">
        <v>169749.79</v>
      </c>
      <c r="P365" s="103">
        <f t="shared" si="307"/>
        <v>30.64926763888889</v>
      </c>
      <c r="Q365" s="378">
        <v>570.42999999999995</v>
      </c>
      <c r="R365" s="380">
        <f t="shared" si="308"/>
        <v>0.12676222222222222</v>
      </c>
    </row>
    <row r="366" spans="2:18" x14ac:dyDescent="0.25">
      <c r="B366" s="377">
        <f t="shared" si="302"/>
        <v>45847</v>
      </c>
      <c r="C366" s="378">
        <v>1689606.49</v>
      </c>
      <c r="D366" s="103">
        <f t="shared" si="290"/>
        <v>352.0013520833333</v>
      </c>
      <c r="E366" s="382">
        <v>18480412.77</v>
      </c>
      <c r="F366" s="103">
        <f t="shared" si="291"/>
        <v>3850.0859937499995</v>
      </c>
      <c r="G366" s="378">
        <v>117245.55</v>
      </c>
      <c r="H366" s="103">
        <f t="shared" si="303"/>
        <v>14.655693750000001</v>
      </c>
      <c r="I366" s="382">
        <v>89443.13</v>
      </c>
      <c r="J366" s="103">
        <f t="shared" si="304"/>
        <v>11.18039125</v>
      </c>
      <c r="K366" s="378">
        <v>22693.42</v>
      </c>
      <c r="L366" s="103">
        <f t="shared" si="305"/>
        <v>4.0974230555555557</v>
      </c>
      <c r="M366" s="378">
        <v>3585.32</v>
      </c>
      <c r="N366" s="103">
        <f t="shared" si="306"/>
        <v>0.24898055555555559</v>
      </c>
      <c r="O366" s="378">
        <v>169749.79</v>
      </c>
      <c r="P366" s="103">
        <f t="shared" si="307"/>
        <v>30.64926763888889</v>
      </c>
      <c r="Q366" s="378">
        <v>570.42999999999995</v>
      </c>
      <c r="R366" s="380">
        <f t="shared" si="308"/>
        <v>0.12676222222222222</v>
      </c>
    </row>
    <row r="367" spans="2:18" x14ac:dyDescent="0.25">
      <c r="B367" s="377">
        <f t="shared" si="302"/>
        <v>45848</v>
      </c>
      <c r="C367" s="378">
        <v>2689614.49</v>
      </c>
      <c r="D367" s="103">
        <f t="shared" si="290"/>
        <v>560.3363520833334</v>
      </c>
      <c r="E367" s="382">
        <v>18133794.16</v>
      </c>
      <c r="F367" s="103">
        <f t="shared" si="291"/>
        <v>3777.873783333333</v>
      </c>
      <c r="G367" s="378">
        <v>117245.55</v>
      </c>
      <c r="H367" s="103">
        <f t="shared" si="303"/>
        <v>14.655693750000001</v>
      </c>
      <c r="I367" s="382">
        <v>89443.13</v>
      </c>
      <c r="J367" s="103">
        <f t="shared" si="304"/>
        <v>11.18039125</v>
      </c>
      <c r="K367" s="378">
        <v>22693.42</v>
      </c>
      <c r="L367" s="103">
        <f t="shared" si="305"/>
        <v>4.0974230555555557</v>
      </c>
      <c r="M367" s="378">
        <v>3585.32</v>
      </c>
      <c r="N367" s="103">
        <f t="shared" si="306"/>
        <v>0.24898055555555559</v>
      </c>
      <c r="O367" s="378">
        <v>169749.79</v>
      </c>
      <c r="P367" s="103">
        <f t="shared" si="307"/>
        <v>30.64926763888889</v>
      </c>
      <c r="Q367" s="378">
        <v>570.42999999999995</v>
      </c>
      <c r="R367" s="380">
        <f t="shared" si="308"/>
        <v>0.12676222222222222</v>
      </c>
    </row>
    <row r="368" spans="2:18" x14ac:dyDescent="0.25">
      <c r="B368" s="377">
        <f t="shared" si="302"/>
        <v>45849</v>
      </c>
      <c r="C368" s="378">
        <v>2689614.49</v>
      </c>
      <c r="D368" s="103">
        <f t="shared" si="290"/>
        <v>560.3363520833334</v>
      </c>
      <c r="E368" s="382">
        <v>18133794.16</v>
      </c>
      <c r="F368" s="103">
        <f t="shared" si="291"/>
        <v>3777.873783333333</v>
      </c>
      <c r="G368" s="378">
        <v>117245.55</v>
      </c>
      <c r="H368" s="103">
        <f t="shared" si="303"/>
        <v>14.655693750000001</v>
      </c>
      <c r="I368" s="382">
        <v>89443.13</v>
      </c>
      <c r="J368" s="103">
        <f t="shared" si="304"/>
        <v>11.18039125</v>
      </c>
      <c r="K368" s="378">
        <v>22693.42</v>
      </c>
      <c r="L368" s="103">
        <f t="shared" si="305"/>
        <v>4.0974230555555557</v>
      </c>
      <c r="M368" s="378">
        <v>3585.32</v>
      </c>
      <c r="N368" s="103">
        <f t="shared" si="306"/>
        <v>0.24898055555555559</v>
      </c>
      <c r="O368" s="378">
        <v>169749.79</v>
      </c>
      <c r="P368" s="103">
        <f t="shared" si="307"/>
        <v>30.64926763888889</v>
      </c>
      <c r="Q368" s="378">
        <v>570.42999999999995</v>
      </c>
      <c r="R368" s="380">
        <f t="shared" si="308"/>
        <v>0.12676222222222222</v>
      </c>
    </row>
    <row r="369" spans="2:18" x14ac:dyDescent="0.25">
      <c r="B369" s="377">
        <f t="shared" si="302"/>
        <v>45850</v>
      </c>
      <c r="C369" s="378">
        <v>2689614.49</v>
      </c>
      <c r="D369" s="103">
        <f t="shared" si="290"/>
        <v>560.3363520833334</v>
      </c>
      <c r="E369" s="382">
        <v>18133794.16</v>
      </c>
      <c r="F369" s="103">
        <f t="shared" si="291"/>
        <v>3777.873783333333</v>
      </c>
      <c r="G369" s="378">
        <v>117245.55</v>
      </c>
      <c r="H369" s="103">
        <f t="shared" si="303"/>
        <v>14.655693750000001</v>
      </c>
      <c r="I369" s="382">
        <v>89443.13</v>
      </c>
      <c r="J369" s="103">
        <f t="shared" si="304"/>
        <v>11.18039125</v>
      </c>
      <c r="K369" s="378">
        <v>22693.42</v>
      </c>
      <c r="L369" s="103">
        <f t="shared" si="305"/>
        <v>4.0974230555555557</v>
      </c>
      <c r="M369" s="378">
        <v>3585.32</v>
      </c>
      <c r="N369" s="103">
        <f t="shared" si="306"/>
        <v>0.24898055555555559</v>
      </c>
      <c r="O369" s="378">
        <v>169749.79</v>
      </c>
      <c r="P369" s="103">
        <f t="shared" si="307"/>
        <v>30.64926763888889</v>
      </c>
      <c r="Q369" s="378">
        <v>327133.73</v>
      </c>
      <c r="R369" s="380">
        <f t="shared" si="308"/>
        <v>72.696384444444433</v>
      </c>
    </row>
    <row r="370" spans="2:18" x14ac:dyDescent="0.25">
      <c r="B370" s="377">
        <f t="shared" si="302"/>
        <v>45851</v>
      </c>
      <c r="C370" s="378">
        <v>2689614.49</v>
      </c>
      <c r="D370" s="103">
        <f t="shared" si="290"/>
        <v>560.3363520833334</v>
      </c>
      <c r="E370" s="382">
        <v>15750302.109999999</v>
      </c>
      <c r="F370" s="103">
        <f t="shared" ref="F370:F390" si="309">(E370*7.5%)/360</f>
        <v>3281.312939583333</v>
      </c>
      <c r="G370" s="378">
        <v>117245.55</v>
      </c>
      <c r="H370" s="103">
        <f t="shared" ref="H370:H376" si="310">(G370*4.5%)/360</f>
        <v>14.655693750000001</v>
      </c>
      <c r="I370" s="382">
        <v>89443.13</v>
      </c>
      <c r="J370" s="103">
        <f t="shared" ref="J370:J376" si="311">(I370*4.5%)/360</f>
        <v>11.18039125</v>
      </c>
      <c r="K370" s="378">
        <v>22693.42</v>
      </c>
      <c r="L370" s="103">
        <f t="shared" ref="L370:L376" si="312">(K370*6.5%)/360</f>
        <v>4.0974230555555557</v>
      </c>
      <c r="M370" s="378">
        <v>3585.32</v>
      </c>
      <c r="N370" s="103">
        <f t="shared" ref="N370:N376" si="313">(M370*2.5%)/360</f>
        <v>0.24898055555555559</v>
      </c>
      <c r="O370" s="378">
        <v>169749.79</v>
      </c>
      <c r="P370" s="103">
        <f t="shared" ref="P370:P376" si="314">(O370*6.5%)/360</f>
        <v>30.64926763888889</v>
      </c>
      <c r="Q370" s="378">
        <v>327133.73</v>
      </c>
      <c r="R370" s="380">
        <f t="shared" ref="R370:R376" si="315">(Q370*8%)/360</f>
        <v>72.696384444444433</v>
      </c>
    </row>
    <row r="371" spans="2:18" x14ac:dyDescent="0.25">
      <c r="B371" s="377">
        <f t="shared" si="302"/>
        <v>45852</v>
      </c>
      <c r="C371" s="378">
        <v>2483892.5</v>
      </c>
      <c r="D371" s="103">
        <f t="shared" si="290"/>
        <v>517.47760416666665</v>
      </c>
      <c r="E371" s="382">
        <v>9226668.3900000006</v>
      </c>
      <c r="F371" s="103">
        <f t="shared" si="309"/>
        <v>1922.2225812500001</v>
      </c>
      <c r="G371" s="378">
        <v>117245.55</v>
      </c>
      <c r="H371" s="103">
        <f t="shared" si="310"/>
        <v>14.655693750000001</v>
      </c>
      <c r="I371" s="382">
        <v>89443.13</v>
      </c>
      <c r="J371" s="103">
        <f t="shared" si="311"/>
        <v>11.18039125</v>
      </c>
      <c r="K371" s="378">
        <v>22693.42</v>
      </c>
      <c r="L371" s="103">
        <f t="shared" si="312"/>
        <v>4.0974230555555557</v>
      </c>
      <c r="M371" s="378">
        <v>3585.32</v>
      </c>
      <c r="N371" s="103">
        <f t="shared" si="313"/>
        <v>0.24898055555555559</v>
      </c>
      <c r="O371" s="378">
        <v>169749.79</v>
      </c>
      <c r="P371" s="103">
        <f t="shared" si="314"/>
        <v>30.64926763888889</v>
      </c>
      <c r="Q371" s="378">
        <v>327133.73</v>
      </c>
      <c r="R371" s="380">
        <f t="shared" si="315"/>
        <v>72.696384444444433</v>
      </c>
    </row>
    <row r="372" spans="2:18" x14ac:dyDescent="0.25">
      <c r="B372" s="377">
        <f t="shared" si="302"/>
        <v>45853</v>
      </c>
      <c r="C372" s="378">
        <v>2483892.5</v>
      </c>
      <c r="D372" s="103">
        <f t="shared" si="290"/>
        <v>517.47760416666665</v>
      </c>
      <c r="E372" s="382">
        <v>5112480.6399999997</v>
      </c>
      <c r="F372" s="103">
        <f t="shared" si="309"/>
        <v>1065.1001333333331</v>
      </c>
      <c r="G372" s="378">
        <v>117245.55</v>
      </c>
      <c r="H372" s="103">
        <f t="shared" si="310"/>
        <v>14.655693750000001</v>
      </c>
      <c r="I372" s="382">
        <v>89443.13</v>
      </c>
      <c r="J372" s="103">
        <f t="shared" si="311"/>
        <v>11.18039125</v>
      </c>
      <c r="K372" s="378">
        <v>22693.42</v>
      </c>
      <c r="L372" s="103">
        <f t="shared" si="312"/>
        <v>4.0974230555555557</v>
      </c>
      <c r="M372" s="378">
        <v>3585.32</v>
      </c>
      <c r="N372" s="103">
        <f t="shared" si="313"/>
        <v>0.24898055555555559</v>
      </c>
      <c r="O372" s="378">
        <v>169749.79</v>
      </c>
      <c r="P372" s="103">
        <f t="shared" si="314"/>
        <v>30.64926763888889</v>
      </c>
      <c r="Q372" s="378">
        <v>327133.73</v>
      </c>
      <c r="R372" s="380">
        <f t="shared" si="315"/>
        <v>72.696384444444433</v>
      </c>
    </row>
    <row r="373" spans="2:18" x14ac:dyDescent="0.25">
      <c r="B373" s="377">
        <f t="shared" si="302"/>
        <v>45854</v>
      </c>
      <c r="C373" s="378">
        <v>1777134.47</v>
      </c>
      <c r="D373" s="103">
        <f t="shared" si="290"/>
        <v>370.23634791666666</v>
      </c>
      <c r="E373" s="382">
        <v>9191386.7599999998</v>
      </c>
      <c r="F373" s="103">
        <f t="shared" si="309"/>
        <v>1914.8722416666667</v>
      </c>
      <c r="G373" s="378">
        <v>117245.55</v>
      </c>
      <c r="H373" s="103">
        <f t="shared" si="310"/>
        <v>14.655693750000001</v>
      </c>
      <c r="I373" s="382">
        <v>89443.13</v>
      </c>
      <c r="J373" s="103">
        <f t="shared" si="311"/>
        <v>11.18039125</v>
      </c>
      <c r="K373" s="378">
        <v>22693.42</v>
      </c>
      <c r="L373" s="103">
        <f t="shared" si="312"/>
        <v>4.0974230555555557</v>
      </c>
      <c r="M373" s="378">
        <v>3585.32</v>
      </c>
      <c r="N373" s="103">
        <f t="shared" si="313"/>
        <v>0.24898055555555559</v>
      </c>
      <c r="O373" s="378">
        <v>169749.79</v>
      </c>
      <c r="P373" s="103">
        <f t="shared" si="314"/>
        <v>30.64926763888889</v>
      </c>
      <c r="Q373" s="378">
        <v>327133.73</v>
      </c>
      <c r="R373" s="380">
        <f t="shared" si="315"/>
        <v>72.696384444444433</v>
      </c>
    </row>
    <row r="374" spans="2:18" x14ac:dyDescent="0.25">
      <c r="B374" s="377">
        <f t="shared" si="302"/>
        <v>45855</v>
      </c>
      <c r="C374" s="378">
        <v>2111859.4700000002</v>
      </c>
      <c r="D374" s="103">
        <f t="shared" si="290"/>
        <v>439.97072291666666</v>
      </c>
      <c r="E374" s="382">
        <v>5245391.25</v>
      </c>
      <c r="F374" s="103">
        <f t="shared" si="309"/>
        <v>1092.78984375</v>
      </c>
      <c r="G374" s="378">
        <v>117245.55</v>
      </c>
      <c r="H374" s="103">
        <f t="shared" si="310"/>
        <v>14.655693750000001</v>
      </c>
      <c r="I374" s="382">
        <v>89443.13</v>
      </c>
      <c r="J374" s="103">
        <f t="shared" si="311"/>
        <v>11.18039125</v>
      </c>
      <c r="K374" s="378">
        <v>22693.42</v>
      </c>
      <c r="L374" s="103">
        <f t="shared" si="312"/>
        <v>4.0974230555555557</v>
      </c>
      <c r="M374" s="378">
        <v>3585.32</v>
      </c>
      <c r="N374" s="103">
        <f t="shared" si="313"/>
        <v>0.24898055555555559</v>
      </c>
      <c r="O374" s="378">
        <v>169749.79</v>
      </c>
      <c r="P374" s="103">
        <f t="shared" si="314"/>
        <v>30.64926763888889</v>
      </c>
      <c r="Q374" s="378">
        <v>327133.73</v>
      </c>
      <c r="R374" s="380">
        <f t="shared" si="315"/>
        <v>72.696384444444433</v>
      </c>
    </row>
    <row r="375" spans="2:18" x14ac:dyDescent="0.25">
      <c r="B375" s="377">
        <f t="shared" si="302"/>
        <v>45856</v>
      </c>
      <c r="C375" s="378">
        <v>2111859.4700000002</v>
      </c>
      <c r="D375" s="103">
        <f t="shared" si="290"/>
        <v>439.97072291666666</v>
      </c>
      <c r="E375" s="382">
        <v>5245391.25</v>
      </c>
      <c r="F375" s="103">
        <f t="shared" si="309"/>
        <v>1092.78984375</v>
      </c>
      <c r="G375" s="378">
        <v>117245.55</v>
      </c>
      <c r="H375" s="103">
        <f t="shared" si="310"/>
        <v>14.655693750000001</v>
      </c>
      <c r="I375" s="382">
        <v>89443.13</v>
      </c>
      <c r="J375" s="103">
        <f t="shared" si="311"/>
        <v>11.18039125</v>
      </c>
      <c r="K375" s="378">
        <v>22693.42</v>
      </c>
      <c r="L375" s="103">
        <f t="shared" si="312"/>
        <v>4.0974230555555557</v>
      </c>
      <c r="M375" s="378">
        <v>3585.32</v>
      </c>
      <c r="N375" s="103">
        <f t="shared" si="313"/>
        <v>0.24898055555555559</v>
      </c>
      <c r="O375" s="378">
        <v>169749.79</v>
      </c>
      <c r="P375" s="103">
        <f t="shared" si="314"/>
        <v>30.64926763888889</v>
      </c>
      <c r="Q375" s="378">
        <v>327133.73</v>
      </c>
      <c r="R375" s="380">
        <f t="shared" si="315"/>
        <v>72.696384444444433</v>
      </c>
    </row>
    <row r="376" spans="2:18" x14ac:dyDescent="0.25">
      <c r="B376" s="377">
        <f t="shared" si="302"/>
        <v>45857</v>
      </c>
      <c r="C376" s="378">
        <v>2111859.4700000002</v>
      </c>
      <c r="D376" s="103">
        <f t="shared" si="290"/>
        <v>439.97072291666666</v>
      </c>
      <c r="E376" s="382">
        <v>5245391.25</v>
      </c>
      <c r="F376" s="103">
        <f t="shared" si="309"/>
        <v>1092.78984375</v>
      </c>
      <c r="G376" s="378">
        <v>117245.55</v>
      </c>
      <c r="H376" s="103">
        <f t="shared" si="310"/>
        <v>14.655693750000001</v>
      </c>
      <c r="I376" s="382">
        <v>89443.13</v>
      </c>
      <c r="J376" s="103">
        <f t="shared" si="311"/>
        <v>11.18039125</v>
      </c>
      <c r="K376" s="378">
        <v>22693.42</v>
      </c>
      <c r="L376" s="103">
        <f t="shared" si="312"/>
        <v>4.0974230555555557</v>
      </c>
      <c r="M376" s="378">
        <v>3585.32</v>
      </c>
      <c r="N376" s="103">
        <f t="shared" si="313"/>
        <v>0.24898055555555559</v>
      </c>
      <c r="O376" s="378">
        <v>169749.79</v>
      </c>
      <c r="P376" s="103">
        <f t="shared" si="314"/>
        <v>30.64926763888889</v>
      </c>
      <c r="Q376" s="378">
        <v>327133.73</v>
      </c>
      <c r="R376" s="380">
        <f t="shared" si="315"/>
        <v>72.696384444444433</v>
      </c>
    </row>
    <row r="377" spans="2:18" x14ac:dyDescent="0.25">
      <c r="B377" s="377">
        <f t="shared" si="302"/>
        <v>45858</v>
      </c>
      <c r="C377" s="378">
        <v>76057.279999999999</v>
      </c>
      <c r="D377" s="103">
        <f t="shared" si="290"/>
        <v>15.845266666666666</v>
      </c>
      <c r="E377" s="382">
        <v>2310257.2200000002</v>
      </c>
      <c r="F377" s="103">
        <f t="shared" si="309"/>
        <v>481.30358750000005</v>
      </c>
      <c r="G377" s="378">
        <v>119245.55</v>
      </c>
      <c r="H377" s="103">
        <f t="shared" ref="H377:H390" si="316">(G377*4.5%)/360</f>
        <v>14.905693750000001</v>
      </c>
      <c r="I377" s="382">
        <v>89443.13</v>
      </c>
      <c r="J377" s="103">
        <f t="shared" ref="J377:J383" si="317">(I377*4.5%)/360</f>
        <v>11.18039125</v>
      </c>
      <c r="K377" s="378">
        <v>22693.42</v>
      </c>
      <c r="L377" s="103">
        <f t="shared" ref="L377:L383" si="318">(K377*6.5%)/360</f>
        <v>4.0974230555555557</v>
      </c>
      <c r="M377" s="378">
        <v>3585.32</v>
      </c>
      <c r="N377" s="103">
        <f t="shared" ref="N377:N383" si="319">(M377*2.5%)/360</f>
        <v>0.24898055555555559</v>
      </c>
      <c r="O377" s="378">
        <v>169749.79</v>
      </c>
      <c r="P377" s="103">
        <f t="shared" ref="P377:P383" si="320">(O377*6.5%)/360</f>
        <v>30.64926763888889</v>
      </c>
      <c r="Q377" s="378">
        <v>327133.73</v>
      </c>
      <c r="R377" s="380">
        <f t="shared" ref="R377:R383" si="321">(Q377*8%)/360</f>
        <v>72.696384444444433</v>
      </c>
    </row>
    <row r="378" spans="2:18" x14ac:dyDescent="0.25">
      <c r="B378" s="377">
        <f t="shared" si="302"/>
        <v>45859</v>
      </c>
      <c r="C378" s="378">
        <v>76057.279999999999</v>
      </c>
      <c r="D378" s="103">
        <f t="shared" si="290"/>
        <v>15.845266666666666</v>
      </c>
      <c r="E378" s="382">
        <v>7274307.2199999997</v>
      </c>
      <c r="F378" s="103">
        <f t="shared" si="309"/>
        <v>1515.4806708333331</v>
      </c>
      <c r="G378" s="378">
        <v>119245.55</v>
      </c>
      <c r="H378" s="103">
        <f t="shared" si="316"/>
        <v>14.905693750000001</v>
      </c>
      <c r="I378" s="382">
        <v>89443.13</v>
      </c>
      <c r="J378" s="103">
        <f t="shared" si="317"/>
        <v>11.18039125</v>
      </c>
      <c r="K378" s="378">
        <v>22693.42</v>
      </c>
      <c r="L378" s="103">
        <f t="shared" si="318"/>
        <v>4.0974230555555557</v>
      </c>
      <c r="M378" s="378">
        <v>3585.32</v>
      </c>
      <c r="N378" s="103">
        <f t="shared" si="319"/>
        <v>0.24898055555555559</v>
      </c>
      <c r="O378" s="378">
        <v>169749.79</v>
      </c>
      <c r="P378" s="103">
        <f t="shared" si="320"/>
        <v>30.64926763888889</v>
      </c>
      <c r="Q378" s="378">
        <v>327133.73</v>
      </c>
      <c r="R378" s="380">
        <f t="shared" si="321"/>
        <v>72.696384444444433</v>
      </c>
    </row>
    <row r="379" spans="2:18" x14ac:dyDescent="0.25">
      <c r="B379" s="377">
        <f t="shared" si="302"/>
        <v>45860</v>
      </c>
      <c r="C379" s="378">
        <v>76057.279999999999</v>
      </c>
      <c r="D379" s="103">
        <f t="shared" si="290"/>
        <v>15.845266666666666</v>
      </c>
      <c r="E379" s="382">
        <v>2799281.31</v>
      </c>
      <c r="F379" s="103">
        <f t="shared" si="309"/>
        <v>583.18360625000003</v>
      </c>
      <c r="G379" s="378">
        <v>119245.55</v>
      </c>
      <c r="H379" s="103">
        <f t="shared" si="316"/>
        <v>14.905693750000001</v>
      </c>
      <c r="I379" s="382">
        <v>89443.13</v>
      </c>
      <c r="J379" s="103">
        <f t="shared" si="317"/>
        <v>11.18039125</v>
      </c>
      <c r="K379" s="378">
        <v>22693.42</v>
      </c>
      <c r="L379" s="103">
        <f t="shared" si="318"/>
        <v>4.0974230555555557</v>
      </c>
      <c r="M379" s="378">
        <v>3585.32</v>
      </c>
      <c r="N379" s="103">
        <f t="shared" si="319"/>
        <v>0.24898055555555559</v>
      </c>
      <c r="O379" s="378">
        <v>169749.79</v>
      </c>
      <c r="P379" s="103">
        <f t="shared" si="320"/>
        <v>30.64926763888889</v>
      </c>
      <c r="Q379" s="378">
        <v>327133.73</v>
      </c>
      <c r="R379" s="380">
        <f t="shared" si="321"/>
        <v>72.696384444444433</v>
      </c>
    </row>
    <row r="380" spans="2:18" x14ac:dyDescent="0.25">
      <c r="B380" s="377">
        <f t="shared" si="302"/>
        <v>45861</v>
      </c>
      <c r="C380" s="378">
        <v>4491057.28</v>
      </c>
      <c r="D380" s="103">
        <f t="shared" si="290"/>
        <v>935.63693333333345</v>
      </c>
      <c r="E380" s="382">
        <v>2793085.67</v>
      </c>
      <c r="F380" s="103">
        <f t="shared" si="309"/>
        <v>581.89284791666671</v>
      </c>
      <c r="G380" s="378">
        <v>119245.55</v>
      </c>
      <c r="H380" s="103">
        <f t="shared" si="316"/>
        <v>14.905693750000001</v>
      </c>
      <c r="I380" s="382">
        <v>89443.13</v>
      </c>
      <c r="J380" s="103">
        <f t="shared" si="317"/>
        <v>11.18039125</v>
      </c>
      <c r="K380" s="378">
        <v>22693.42</v>
      </c>
      <c r="L380" s="103">
        <f t="shared" si="318"/>
        <v>4.0974230555555557</v>
      </c>
      <c r="M380" s="378">
        <v>3585.32</v>
      </c>
      <c r="N380" s="103">
        <f t="shared" si="319"/>
        <v>0.24898055555555559</v>
      </c>
      <c r="O380" s="378">
        <v>169749.79</v>
      </c>
      <c r="P380" s="103">
        <f t="shared" si="320"/>
        <v>30.64926763888889</v>
      </c>
      <c r="Q380" s="378">
        <v>327133.73</v>
      </c>
      <c r="R380" s="380">
        <f t="shared" si="321"/>
        <v>72.696384444444433</v>
      </c>
    </row>
    <row r="381" spans="2:18" x14ac:dyDescent="0.25">
      <c r="B381" s="377">
        <f t="shared" si="302"/>
        <v>45862</v>
      </c>
      <c r="C381" s="378">
        <v>91057.279999999999</v>
      </c>
      <c r="D381" s="103">
        <f t="shared" si="290"/>
        <v>18.970266666666664</v>
      </c>
      <c r="E381" s="382">
        <v>14075372.58</v>
      </c>
      <c r="F381" s="103">
        <f t="shared" si="309"/>
        <v>2932.3692875000002</v>
      </c>
      <c r="G381" s="378">
        <v>119245.55</v>
      </c>
      <c r="H381" s="103">
        <f t="shared" si="316"/>
        <v>14.905693750000001</v>
      </c>
      <c r="I381" s="382">
        <v>89443.13</v>
      </c>
      <c r="J381" s="103">
        <f t="shared" si="317"/>
        <v>11.18039125</v>
      </c>
      <c r="K381" s="378">
        <v>22693.42</v>
      </c>
      <c r="L381" s="103">
        <f t="shared" si="318"/>
        <v>4.0974230555555557</v>
      </c>
      <c r="M381" s="378">
        <v>3585.32</v>
      </c>
      <c r="N381" s="103">
        <f t="shared" si="319"/>
        <v>0.24898055555555559</v>
      </c>
      <c r="O381" s="378">
        <v>169749.79</v>
      </c>
      <c r="P381" s="103">
        <f t="shared" si="320"/>
        <v>30.64926763888889</v>
      </c>
      <c r="Q381" s="378">
        <v>327133.73</v>
      </c>
      <c r="R381" s="380">
        <f t="shared" si="321"/>
        <v>72.696384444444433</v>
      </c>
    </row>
    <row r="382" spans="2:18" x14ac:dyDescent="0.25">
      <c r="B382" s="377">
        <f t="shared" si="302"/>
        <v>45863</v>
      </c>
      <c r="C382" s="378">
        <v>91057.279999999999</v>
      </c>
      <c r="D382" s="103">
        <f t="shared" si="290"/>
        <v>18.970266666666664</v>
      </c>
      <c r="E382" s="382">
        <v>14075372.58</v>
      </c>
      <c r="F382" s="103">
        <f t="shared" si="309"/>
        <v>2932.3692875000002</v>
      </c>
      <c r="G382" s="378">
        <v>119245.55</v>
      </c>
      <c r="H382" s="103">
        <f t="shared" si="316"/>
        <v>14.905693750000001</v>
      </c>
      <c r="I382" s="382">
        <v>89443.13</v>
      </c>
      <c r="J382" s="103">
        <f t="shared" si="317"/>
        <v>11.18039125</v>
      </c>
      <c r="K382" s="378">
        <v>22693.42</v>
      </c>
      <c r="L382" s="103">
        <f t="shared" si="318"/>
        <v>4.0974230555555557</v>
      </c>
      <c r="M382" s="378">
        <v>3585.32</v>
      </c>
      <c r="N382" s="103">
        <f t="shared" si="319"/>
        <v>0.24898055555555559</v>
      </c>
      <c r="O382" s="378">
        <v>169749.79</v>
      </c>
      <c r="P382" s="103">
        <f t="shared" si="320"/>
        <v>30.64926763888889</v>
      </c>
      <c r="Q382" s="378">
        <v>327133.73</v>
      </c>
      <c r="R382" s="380">
        <f t="shared" si="321"/>
        <v>72.696384444444433</v>
      </c>
    </row>
    <row r="383" spans="2:18" x14ac:dyDescent="0.25">
      <c r="B383" s="377">
        <f t="shared" si="302"/>
        <v>45864</v>
      </c>
      <c r="C383" s="378">
        <v>91057.279999999999</v>
      </c>
      <c r="D383" s="103">
        <f t="shared" si="290"/>
        <v>18.970266666666664</v>
      </c>
      <c r="E383" s="382">
        <v>14075372.58</v>
      </c>
      <c r="F383" s="103">
        <f t="shared" si="309"/>
        <v>2932.3692875000002</v>
      </c>
      <c r="G383" s="378">
        <v>119245.55</v>
      </c>
      <c r="H383" s="103">
        <f t="shared" si="316"/>
        <v>14.905693750000001</v>
      </c>
      <c r="I383" s="382">
        <v>89443.13</v>
      </c>
      <c r="J383" s="103">
        <f t="shared" si="317"/>
        <v>11.18039125</v>
      </c>
      <c r="K383" s="378">
        <v>22693.42</v>
      </c>
      <c r="L383" s="103">
        <f t="shared" si="318"/>
        <v>4.0974230555555557</v>
      </c>
      <c r="M383" s="378">
        <v>3585.32</v>
      </c>
      <c r="N383" s="103">
        <f t="shared" si="319"/>
        <v>0.24898055555555559</v>
      </c>
      <c r="O383" s="378">
        <v>169749.79</v>
      </c>
      <c r="P383" s="103">
        <f t="shared" si="320"/>
        <v>30.64926763888889</v>
      </c>
      <c r="Q383" s="378">
        <v>327133.73</v>
      </c>
      <c r="R383" s="380">
        <f t="shared" si="321"/>
        <v>72.696384444444433</v>
      </c>
    </row>
    <row r="384" spans="2:18" x14ac:dyDescent="0.25">
      <c r="B384" s="377">
        <f t="shared" si="302"/>
        <v>45865</v>
      </c>
      <c r="C384" s="378">
        <v>91032.28</v>
      </c>
      <c r="D384" s="103">
        <f t="shared" si="290"/>
        <v>18.965058333333332</v>
      </c>
      <c r="E384" s="382">
        <v>10415801.460000001</v>
      </c>
      <c r="F384" s="103">
        <f t="shared" si="309"/>
        <v>2169.9586374999999</v>
      </c>
      <c r="G384" s="378">
        <v>195245.55</v>
      </c>
      <c r="H384" s="103">
        <f t="shared" si="316"/>
        <v>24.405693749999994</v>
      </c>
      <c r="I384" s="382">
        <v>89443.13</v>
      </c>
      <c r="J384" s="103">
        <f t="shared" ref="J384:J390" si="322">(I384*4.5%)/360</f>
        <v>11.18039125</v>
      </c>
      <c r="K384" s="378">
        <v>22693.42</v>
      </c>
      <c r="L384" s="103">
        <f t="shared" ref="L384:L390" si="323">(K384*6.5%)/360</f>
        <v>4.0974230555555557</v>
      </c>
      <c r="M384" s="378">
        <v>3585.32</v>
      </c>
      <c r="N384" s="103">
        <f t="shared" ref="N384:N390" si="324">(M384*2.5%)/360</f>
        <v>0.24898055555555559</v>
      </c>
      <c r="O384" s="378">
        <v>169749.79</v>
      </c>
      <c r="P384" s="103">
        <f t="shared" ref="P384:P390" si="325">(O384*6.5%)/360</f>
        <v>30.64926763888889</v>
      </c>
      <c r="Q384" s="378">
        <v>327133.73</v>
      </c>
      <c r="R384" s="380">
        <f t="shared" ref="R384:R390" si="326">(Q384*8%)/360</f>
        <v>72.696384444444433</v>
      </c>
    </row>
    <row r="385" spans="2:18" x14ac:dyDescent="0.25">
      <c r="B385" s="377">
        <f t="shared" si="302"/>
        <v>45866</v>
      </c>
      <c r="C385" s="378">
        <v>2591007.2799999998</v>
      </c>
      <c r="D385" s="103">
        <f t="shared" si="290"/>
        <v>539.79318333333322</v>
      </c>
      <c r="E385" s="382">
        <v>6403136.8799999999</v>
      </c>
      <c r="F385" s="103">
        <f t="shared" si="309"/>
        <v>1333.9868499999998</v>
      </c>
      <c r="G385" s="378">
        <v>195245.55</v>
      </c>
      <c r="H385" s="103">
        <f t="shared" si="316"/>
        <v>24.405693749999994</v>
      </c>
      <c r="I385" s="382">
        <v>89443.13</v>
      </c>
      <c r="J385" s="103">
        <f t="shared" si="322"/>
        <v>11.18039125</v>
      </c>
      <c r="K385" s="378">
        <v>22693.42</v>
      </c>
      <c r="L385" s="103">
        <f t="shared" si="323"/>
        <v>4.0974230555555557</v>
      </c>
      <c r="M385" s="378">
        <v>3585.32</v>
      </c>
      <c r="N385" s="103">
        <f t="shared" si="324"/>
        <v>0.24898055555555559</v>
      </c>
      <c r="O385" s="378">
        <v>169749.79</v>
      </c>
      <c r="P385" s="103">
        <f t="shared" si="325"/>
        <v>30.64926763888889</v>
      </c>
      <c r="Q385" s="378">
        <v>327133.73</v>
      </c>
      <c r="R385" s="380">
        <f t="shared" si="326"/>
        <v>72.696384444444433</v>
      </c>
    </row>
    <row r="386" spans="2:18" x14ac:dyDescent="0.25">
      <c r="B386" s="377">
        <f t="shared" si="302"/>
        <v>45867</v>
      </c>
      <c r="C386" s="378">
        <v>2290949.2799999998</v>
      </c>
      <c r="D386" s="103">
        <f t="shared" si="290"/>
        <v>477.28109999999992</v>
      </c>
      <c r="E386" s="382">
        <v>3249078.92</v>
      </c>
      <c r="F386" s="103">
        <f t="shared" si="309"/>
        <v>676.89144166666665</v>
      </c>
      <c r="G386" s="378">
        <v>195245.55</v>
      </c>
      <c r="H386" s="103">
        <f t="shared" si="316"/>
        <v>24.405693749999994</v>
      </c>
      <c r="I386" s="382">
        <v>89443.13</v>
      </c>
      <c r="J386" s="103">
        <f t="shared" si="322"/>
        <v>11.18039125</v>
      </c>
      <c r="K386" s="378">
        <v>22693.42</v>
      </c>
      <c r="L386" s="103">
        <f t="shared" si="323"/>
        <v>4.0974230555555557</v>
      </c>
      <c r="M386" s="378">
        <v>3585.32</v>
      </c>
      <c r="N386" s="103">
        <f t="shared" si="324"/>
        <v>0.24898055555555559</v>
      </c>
      <c r="O386" s="378">
        <v>169749.79</v>
      </c>
      <c r="P386" s="103">
        <f t="shared" si="325"/>
        <v>30.64926763888889</v>
      </c>
      <c r="Q386" s="378">
        <v>327133.73</v>
      </c>
      <c r="R386" s="380">
        <f t="shared" si="326"/>
        <v>72.696384444444433</v>
      </c>
    </row>
    <row r="387" spans="2:18" x14ac:dyDescent="0.25">
      <c r="B387" s="377">
        <f t="shared" si="302"/>
        <v>45868</v>
      </c>
      <c r="C387" s="378">
        <v>360378.68</v>
      </c>
      <c r="D387" s="103">
        <f t="shared" si="290"/>
        <v>75.078891666666664</v>
      </c>
      <c r="E387" s="382">
        <v>90949.28</v>
      </c>
      <c r="F387" s="103">
        <f t="shared" si="309"/>
        <v>18.947766666666666</v>
      </c>
      <c r="G387" s="378">
        <v>195245.55</v>
      </c>
      <c r="H387" s="103">
        <f t="shared" si="316"/>
        <v>24.405693749999994</v>
      </c>
      <c r="I387" s="382">
        <v>89443.13</v>
      </c>
      <c r="J387" s="103">
        <f t="shared" si="322"/>
        <v>11.18039125</v>
      </c>
      <c r="K387" s="378">
        <v>22693.42</v>
      </c>
      <c r="L387" s="103">
        <f t="shared" si="323"/>
        <v>4.0974230555555557</v>
      </c>
      <c r="M387" s="378">
        <v>3585.32</v>
      </c>
      <c r="N387" s="103">
        <f t="shared" si="324"/>
        <v>0.24898055555555559</v>
      </c>
      <c r="O387" s="378">
        <v>169749.79</v>
      </c>
      <c r="P387" s="103">
        <f t="shared" si="325"/>
        <v>30.64926763888889</v>
      </c>
      <c r="Q387" s="378">
        <v>327133.73</v>
      </c>
      <c r="R387" s="380">
        <f t="shared" si="326"/>
        <v>72.696384444444433</v>
      </c>
    </row>
    <row r="388" spans="2:18" x14ac:dyDescent="0.25">
      <c r="B388" s="377">
        <f t="shared" si="302"/>
        <v>45869</v>
      </c>
      <c r="C388" s="378">
        <v>372949.28</v>
      </c>
      <c r="D388" s="103">
        <f t="shared" si="290"/>
        <v>77.697766666666666</v>
      </c>
      <c r="E388" s="382">
        <v>555378.61369950976</v>
      </c>
      <c r="F388" s="103">
        <f t="shared" si="309"/>
        <v>115.70387785406454</v>
      </c>
      <c r="G388" s="378">
        <v>245.55</v>
      </c>
      <c r="H388" s="103">
        <f t="shared" si="316"/>
        <v>3.0693749999999999E-2</v>
      </c>
      <c r="I388" s="382">
        <v>89443.13</v>
      </c>
      <c r="J388" s="103">
        <f t="shared" si="322"/>
        <v>11.18039125</v>
      </c>
      <c r="K388" s="378">
        <v>22693.42</v>
      </c>
      <c r="L388" s="103">
        <f t="shared" si="323"/>
        <v>4.0974230555555557</v>
      </c>
      <c r="M388" s="378">
        <v>3585.32</v>
      </c>
      <c r="N388" s="103">
        <f t="shared" si="324"/>
        <v>0.24898055555555559</v>
      </c>
      <c r="O388" s="378">
        <v>169749.79</v>
      </c>
      <c r="P388" s="103">
        <f t="shared" si="325"/>
        <v>30.64926763888889</v>
      </c>
      <c r="Q388" s="378">
        <v>227133.73</v>
      </c>
      <c r="R388" s="380">
        <f t="shared" si="326"/>
        <v>50.474162222222226</v>
      </c>
    </row>
    <row r="389" spans="2:18" x14ac:dyDescent="0.25">
      <c r="B389" s="377">
        <f t="shared" si="302"/>
        <v>45870</v>
      </c>
      <c r="C389" s="378">
        <v>372949.28</v>
      </c>
      <c r="D389" s="103">
        <f t="shared" si="290"/>
        <v>77.697766666666666</v>
      </c>
      <c r="E389" s="382">
        <v>555378.61369950976</v>
      </c>
      <c r="F389" s="103">
        <f t="shared" si="309"/>
        <v>115.70387785406454</v>
      </c>
      <c r="G389" s="378">
        <v>245.55</v>
      </c>
      <c r="H389" s="103">
        <f t="shared" si="316"/>
        <v>3.0693749999999999E-2</v>
      </c>
      <c r="I389" s="382">
        <v>89443.13</v>
      </c>
      <c r="J389" s="103">
        <f t="shared" si="322"/>
        <v>11.18039125</v>
      </c>
      <c r="K389" s="378">
        <v>22693.42</v>
      </c>
      <c r="L389" s="103">
        <f t="shared" si="323"/>
        <v>4.0974230555555557</v>
      </c>
      <c r="M389" s="378">
        <v>3585.32</v>
      </c>
      <c r="N389" s="103">
        <f t="shared" si="324"/>
        <v>0.24898055555555559</v>
      </c>
      <c r="O389" s="378">
        <v>169749.79</v>
      </c>
      <c r="P389" s="103">
        <f t="shared" si="325"/>
        <v>30.64926763888889</v>
      </c>
      <c r="Q389" s="378">
        <v>227133.73</v>
      </c>
      <c r="R389" s="380">
        <f t="shared" si="326"/>
        <v>50.474162222222226</v>
      </c>
    </row>
    <row r="390" spans="2:18" x14ac:dyDescent="0.25">
      <c r="B390" s="377">
        <f t="shared" si="302"/>
        <v>45871</v>
      </c>
      <c r="C390" s="378">
        <v>372949.28</v>
      </c>
      <c r="D390" s="103">
        <f t="shared" si="290"/>
        <v>77.697766666666666</v>
      </c>
      <c r="E390" s="382">
        <v>555378.61369950976</v>
      </c>
      <c r="F390" s="103">
        <f t="shared" si="309"/>
        <v>115.70387785406454</v>
      </c>
      <c r="G390" s="378">
        <v>245.55</v>
      </c>
      <c r="H390" s="103">
        <f t="shared" si="316"/>
        <v>3.0693749999999999E-2</v>
      </c>
      <c r="I390" s="382">
        <v>89443.13</v>
      </c>
      <c r="J390" s="103">
        <f t="shared" si="322"/>
        <v>11.18039125</v>
      </c>
      <c r="K390" s="378">
        <v>22693.42</v>
      </c>
      <c r="L390" s="103">
        <f t="shared" si="323"/>
        <v>4.0974230555555557</v>
      </c>
      <c r="M390" s="378">
        <v>3585.32</v>
      </c>
      <c r="N390" s="103">
        <f t="shared" si="324"/>
        <v>0.24898055555555559</v>
      </c>
      <c r="O390" s="378">
        <v>169749.79</v>
      </c>
      <c r="P390" s="103">
        <f t="shared" si="325"/>
        <v>30.64926763888889</v>
      </c>
      <c r="Q390" s="378">
        <v>227133.73</v>
      </c>
      <c r="R390" s="380">
        <f t="shared" si="326"/>
        <v>50.474162222222226</v>
      </c>
    </row>
    <row r="391" spans="2:18" x14ac:dyDescent="0.25">
      <c r="B391" s="377">
        <f t="shared" si="302"/>
        <v>45872</v>
      </c>
      <c r="C391" s="378">
        <v>17184399.960000001</v>
      </c>
      <c r="D391" s="103">
        <f t="shared" si="290"/>
        <v>3580.0833250000001</v>
      </c>
      <c r="E391" s="382">
        <v>555378.68000000005</v>
      </c>
      <c r="F391" s="103">
        <f t="shared" ref="F391:F411" si="327">(E391*7.5%)/360</f>
        <v>115.70389166666668</v>
      </c>
      <c r="G391" s="378">
        <v>245.55</v>
      </c>
      <c r="H391" s="103">
        <f t="shared" ref="H391:H404" si="328">(G391*4.5%)/360</f>
        <v>3.0693749999999999E-2</v>
      </c>
      <c r="I391" s="382">
        <v>89443.13</v>
      </c>
      <c r="J391" s="103">
        <f t="shared" ref="J391:J404" si="329">(I391*4.5%)/360</f>
        <v>11.18039125</v>
      </c>
      <c r="K391" s="378">
        <v>22693.42</v>
      </c>
      <c r="L391" s="103">
        <f t="shared" ref="L391:L397" si="330">(K391*6.5%)/360</f>
        <v>4.0974230555555557</v>
      </c>
      <c r="M391" s="378">
        <v>3585.32</v>
      </c>
      <c r="N391" s="103">
        <f t="shared" ref="N391:N397" si="331">(M391*2.5%)/360</f>
        <v>0.24898055555555559</v>
      </c>
      <c r="O391" s="378">
        <v>169749.79</v>
      </c>
      <c r="P391" s="103">
        <f t="shared" ref="P391:P397" si="332">(O391*6.5%)/360</f>
        <v>30.64926763888889</v>
      </c>
      <c r="Q391" s="378">
        <v>227133.73</v>
      </c>
      <c r="R391" s="380">
        <f t="shared" ref="R391:R397" si="333">(Q391*8%)/360</f>
        <v>50.474162222222226</v>
      </c>
    </row>
    <row r="392" spans="2:18" x14ac:dyDescent="0.25">
      <c r="B392" s="377">
        <f t="shared" si="302"/>
        <v>45873</v>
      </c>
      <c r="C392" s="378">
        <v>2072501.92</v>
      </c>
      <c r="D392" s="103">
        <f t="shared" si="290"/>
        <v>431.77123333333333</v>
      </c>
      <c r="E392" s="382">
        <v>2823855.53</v>
      </c>
      <c r="F392" s="103">
        <f t="shared" si="327"/>
        <v>588.30323541666655</v>
      </c>
      <c r="G392" s="378">
        <v>245.55</v>
      </c>
      <c r="H392" s="103">
        <f t="shared" si="328"/>
        <v>3.0693749999999999E-2</v>
      </c>
      <c r="I392" s="382">
        <v>89443.13</v>
      </c>
      <c r="J392" s="103">
        <f t="shared" si="329"/>
        <v>11.18039125</v>
      </c>
      <c r="K392" s="378">
        <v>22693.42</v>
      </c>
      <c r="L392" s="103">
        <f t="shared" si="330"/>
        <v>4.0974230555555557</v>
      </c>
      <c r="M392" s="378">
        <v>3585.32</v>
      </c>
      <c r="N392" s="103">
        <f t="shared" si="331"/>
        <v>0.24898055555555559</v>
      </c>
      <c r="O392" s="378">
        <v>169749.79</v>
      </c>
      <c r="P392" s="103">
        <f t="shared" si="332"/>
        <v>30.64926763888889</v>
      </c>
      <c r="Q392" s="378">
        <v>227133.73</v>
      </c>
      <c r="R392" s="380">
        <f t="shared" si="333"/>
        <v>50.474162222222226</v>
      </c>
    </row>
    <row r="393" spans="2:18" x14ac:dyDescent="0.25">
      <c r="B393" s="377">
        <f t="shared" si="302"/>
        <v>45874</v>
      </c>
      <c r="C393" s="378">
        <v>2072501.92</v>
      </c>
      <c r="D393" s="103">
        <f t="shared" si="290"/>
        <v>431.77123333333333</v>
      </c>
      <c r="E393" s="382">
        <v>2823855.53</v>
      </c>
      <c r="F393" s="103">
        <f t="shared" si="327"/>
        <v>588.30323541666655</v>
      </c>
      <c r="G393" s="378">
        <v>10245.549999999999</v>
      </c>
      <c r="H393" s="103">
        <f t="shared" si="328"/>
        <v>1.28069375</v>
      </c>
      <c r="I393" s="382">
        <v>89443.13</v>
      </c>
      <c r="J393" s="103">
        <f t="shared" si="329"/>
        <v>11.18039125</v>
      </c>
      <c r="K393" s="378">
        <v>22693.42</v>
      </c>
      <c r="L393" s="103">
        <f t="shared" si="330"/>
        <v>4.0974230555555557</v>
      </c>
      <c r="M393" s="378">
        <v>3585.32</v>
      </c>
      <c r="N393" s="103">
        <f t="shared" si="331"/>
        <v>0.24898055555555559</v>
      </c>
      <c r="O393" s="378">
        <v>169749.79</v>
      </c>
      <c r="P393" s="103">
        <f t="shared" si="332"/>
        <v>30.64926763888889</v>
      </c>
      <c r="Q393" s="378">
        <v>227133.73</v>
      </c>
      <c r="R393" s="380">
        <f t="shared" si="333"/>
        <v>50.474162222222226</v>
      </c>
    </row>
    <row r="394" spans="2:18" x14ac:dyDescent="0.25">
      <c r="B394" s="377">
        <f t="shared" si="302"/>
        <v>45875</v>
      </c>
      <c r="C394" s="378">
        <v>14067.92</v>
      </c>
      <c r="D394" s="103">
        <f t="shared" si="290"/>
        <v>2.9308166666666668</v>
      </c>
      <c r="E394" s="382">
        <v>512877.43</v>
      </c>
      <c r="F394" s="103">
        <f t="shared" si="327"/>
        <v>106.84946458333333</v>
      </c>
      <c r="G394" s="378">
        <v>42245.55</v>
      </c>
      <c r="H394" s="103">
        <f t="shared" si="328"/>
        <v>5.2806937500000002</v>
      </c>
      <c r="I394" s="382">
        <v>89443.13</v>
      </c>
      <c r="J394" s="103">
        <f t="shared" si="329"/>
        <v>11.18039125</v>
      </c>
      <c r="K394" s="378">
        <v>22693.42</v>
      </c>
      <c r="L394" s="103">
        <f t="shared" si="330"/>
        <v>4.0974230555555557</v>
      </c>
      <c r="M394" s="378">
        <v>3585.32</v>
      </c>
      <c r="N394" s="103">
        <f t="shared" si="331"/>
        <v>0.24898055555555559</v>
      </c>
      <c r="O394" s="378">
        <v>169749.79</v>
      </c>
      <c r="P394" s="103">
        <f t="shared" si="332"/>
        <v>30.64926763888889</v>
      </c>
      <c r="Q394" s="378">
        <v>227133.73</v>
      </c>
      <c r="R394" s="380">
        <f t="shared" si="333"/>
        <v>50.474162222222226</v>
      </c>
    </row>
    <row r="395" spans="2:18" x14ac:dyDescent="0.25">
      <c r="B395" s="377">
        <f t="shared" si="302"/>
        <v>45876</v>
      </c>
      <c r="C395" s="378">
        <v>34067.919999999998</v>
      </c>
      <c r="D395" s="103">
        <f t="shared" si="290"/>
        <v>7.097483333333332</v>
      </c>
      <c r="E395" s="382">
        <v>2209052.11</v>
      </c>
      <c r="F395" s="103">
        <f t="shared" si="327"/>
        <v>460.21918958333328</v>
      </c>
      <c r="G395" s="378">
        <v>43245.55</v>
      </c>
      <c r="H395" s="103">
        <f t="shared" si="328"/>
        <v>5.4056937500000002</v>
      </c>
      <c r="I395" s="382">
        <v>89443.13</v>
      </c>
      <c r="J395" s="103">
        <f t="shared" si="329"/>
        <v>11.18039125</v>
      </c>
      <c r="K395" s="378">
        <v>22693.42</v>
      </c>
      <c r="L395" s="103">
        <f t="shared" si="330"/>
        <v>4.0974230555555557</v>
      </c>
      <c r="M395" s="378">
        <v>3585.32</v>
      </c>
      <c r="N395" s="103">
        <f t="shared" si="331"/>
        <v>0.24898055555555559</v>
      </c>
      <c r="O395" s="378">
        <v>169749.79</v>
      </c>
      <c r="P395" s="103">
        <f t="shared" si="332"/>
        <v>30.64926763888889</v>
      </c>
      <c r="Q395" s="378">
        <v>227133.73</v>
      </c>
      <c r="R395" s="380">
        <f t="shared" si="333"/>
        <v>50.474162222222226</v>
      </c>
    </row>
    <row r="396" spans="2:18" x14ac:dyDescent="0.25">
      <c r="B396" s="377">
        <f t="shared" si="302"/>
        <v>45877</v>
      </c>
      <c r="C396" s="378">
        <v>34067.919999999998</v>
      </c>
      <c r="D396" s="103">
        <f t="shared" si="290"/>
        <v>7.097483333333332</v>
      </c>
      <c r="E396" s="382">
        <v>2209052.11</v>
      </c>
      <c r="F396" s="103">
        <f t="shared" si="327"/>
        <v>460.21918958333328</v>
      </c>
      <c r="G396" s="378">
        <v>43245.55</v>
      </c>
      <c r="H396" s="103">
        <f t="shared" si="328"/>
        <v>5.4056937500000002</v>
      </c>
      <c r="I396" s="382">
        <v>89443.13</v>
      </c>
      <c r="J396" s="103">
        <f t="shared" si="329"/>
        <v>11.18039125</v>
      </c>
      <c r="K396" s="378">
        <v>22693.42</v>
      </c>
      <c r="L396" s="103">
        <f t="shared" si="330"/>
        <v>4.0974230555555557</v>
      </c>
      <c r="M396" s="378">
        <v>3585.32</v>
      </c>
      <c r="N396" s="103">
        <f t="shared" si="331"/>
        <v>0.24898055555555559</v>
      </c>
      <c r="O396" s="378">
        <v>169749.79</v>
      </c>
      <c r="P396" s="103">
        <f t="shared" si="332"/>
        <v>30.64926763888889</v>
      </c>
      <c r="Q396" s="378">
        <v>227133.73</v>
      </c>
      <c r="R396" s="380">
        <f t="shared" si="333"/>
        <v>50.474162222222226</v>
      </c>
    </row>
    <row r="397" spans="2:18" x14ac:dyDescent="0.25">
      <c r="B397" s="377">
        <f t="shared" si="302"/>
        <v>45878</v>
      </c>
      <c r="C397" s="378">
        <v>34067.919999999998</v>
      </c>
      <c r="D397" s="103">
        <f t="shared" si="290"/>
        <v>7.097483333333332</v>
      </c>
      <c r="E397" s="382">
        <v>2209052.11</v>
      </c>
      <c r="F397" s="103">
        <f t="shared" si="327"/>
        <v>460.21918958333328</v>
      </c>
      <c r="G397" s="378">
        <v>43245.55</v>
      </c>
      <c r="H397" s="103">
        <f t="shared" si="328"/>
        <v>5.4056937500000002</v>
      </c>
      <c r="I397" s="382">
        <v>89443.13</v>
      </c>
      <c r="J397" s="103">
        <f t="shared" si="329"/>
        <v>11.18039125</v>
      </c>
      <c r="K397" s="378">
        <v>22693.42</v>
      </c>
      <c r="L397" s="103">
        <f t="shared" si="330"/>
        <v>4.0974230555555557</v>
      </c>
      <c r="M397" s="378">
        <v>3585.32</v>
      </c>
      <c r="N397" s="103">
        <f t="shared" si="331"/>
        <v>0.24898055555555559</v>
      </c>
      <c r="O397" s="378">
        <v>169749.79</v>
      </c>
      <c r="P397" s="103">
        <f t="shared" si="332"/>
        <v>30.64926763888889</v>
      </c>
      <c r="Q397" s="378">
        <v>227133.73</v>
      </c>
      <c r="R397" s="380">
        <f t="shared" si="333"/>
        <v>50.474162222222226</v>
      </c>
    </row>
    <row r="398" spans="2:18" x14ac:dyDescent="0.25">
      <c r="B398" s="377">
        <f t="shared" si="302"/>
        <v>45879</v>
      </c>
      <c r="C398" s="378">
        <v>34067.919999999998</v>
      </c>
      <c r="D398" s="103">
        <f t="shared" si="290"/>
        <v>7.097483333333332</v>
      </c>
      <c r="E398" s="382">
        <v>669986.94999999995</v>
      </c>
      <c r="F398" s="103">
        <f t="shared" si="327"/>
        <v>139.58061458333333</v>
      </c>
      <c r="G398" s="378">
        <v>43724.93</v>
      </c>
      <c r="H398" s="103">
        <f t="shared" si="328"/>
        <v>5.4656162500000001</v>
      </c>
      <c r="I398" s="382">
        <v>89856.8</v>
      </c>
      <c r="J398" s="103">
        <f t="shared" si="329"/>
        <v>11.232100000000001</v>
      </c>
      <c r="K398" s="378">
        <v>22693.42</v>
      </c>
      <c r="L398" s="103">
        <f t="shared" ref="L398:L404" si="334">(K398*6.5%)/360</f>
        <v>4.0974230555555557</v>
      </c>
      <c r="M398" s="378">
        <v>3585.32</v>
      </c>
      <c r="N398" s="103">
        <f t="shared" ref="N398:N404" si="335">(M398*2.5%)/360</f>
        <v>0.24898055555555559</v>
      </c>
      <c r="O398" s="378">
        <v>169749.79</v>
      </c>
      <c r="P398" s="103">
        <f t="shared" ref="P398:P404" si="336">(O398*6.5%)/360</f>
        <v>30.64926763888889</v>
      </c>
      <c r="Q398" s="378">
        <v>7133.73</v>
      </c>
      <c r="R398" s="380">
        <f t="shared" ref="R398:R404" si="337">(Q398*8%)/360</f>
        <v>1.5852733333333333</v>
      </c>
    </row>
    <row r="399" spans="2:18" x14ac:dyDescent="0.25">
      <c r="B399" s="377">
        <f t="shared" si="302"/>
        <v>45880</v>
      </c>
      <c r="C399" s="378">
        <v>29132.09</v>
      </c>
      <c r="D399" s="103">
        <f t="shared" si="290"/>
        <v>6.0691854166666666</v>
      </c>
      <c r="E399" s="382">
        <v>569986.94999999995</v>
      </c>
      <c r="F399" s="103">
        <f t="shared" si="327"/>
        <v>118.74728125</v>
      </c>
      <c r="G399" s="378">
        <v>43724.93</v>
      </c>
      <c r="H399" s="103">
        <f t="shared" si="328"/>
        <v>5.4656162500000001</v>
      </c>
      <c r="I399" s="382">
        <v>89856.8</v>
      </c>
      <c r="J399" s="103">
        <f t="shared" si="329"/>
        <v>11.232100000000001</v>
      </c>
      <c r="K399" s="378">
        <v>22693.42</v>
      </c>
      <c r="L399" s="103">
        <f t="shared" si="334"/>
        <v>4.0974230555555557</v>
      </c>
      <c r="M399" s="378">
        <v>3585.32</v>
      </c>
      <c r="N399" s="103">
        <f t="shared" si="335"/>
        <v>0.24898055555555559</v>
      </c>
      <c r="O399" s="378">
        <v>169749.79</v>
      </c>
      <c r="P399" s="103">
        <f t="shared" si="336"/>
        <v>30.64926763888889</v>
      </c>
      <c r="Q399" s="378">
        <v>7133.73</v>
      </c>
      <c r="R399" s="380">
        <f t="shared" si="337"/>
        <v>1.5852733333333333</v>
      </c>
    </row>
    <row r="400" spans="2:18" x14ac:dyDescent="0.25">
      <c r="B400" s="377">
        <f t="shared" si="302"/>
        <v>45881</v>
      </c>
      <c r="C400" s="378">
        <v>37900.370000000003</v>
      </c>
      <c r="D400" s="103">
        <f t="shared" si="290"/>
        <v>7.8959104166666672</v>
      </c>
      <c r="E400" s="382">
        <v>238364.63</v>
      </c>
      <c r="F400" s="103">
        <f t="shared" si="327"/>
        <v>49.659297916666667</v>
      </c>
      <c r="G400" s="378">
        <v>43724.93</v>
      </c>
      <c r="H400" s="103">
        <f t="shared" si="328"/>
        <v>5.4656162500000001</v>
      </c>
      <c r="I400" s="382">
        <v>84613.03</v>
      </c>
      <c r="J400" s="103">
        <f t="shared" si="329"/>
        <v>10.576628749999999</v>
      </c>
      <c r="K400" s="378">
        <v>22693.42</v>
      </c>
      <c r="L400" s="103">
        <f t="shared" si="334"/>
        <v>4.0974230555555557</v>
      </c>
      <c r="M400" s="378">
        <v>3585.32</v>
      </c>
      <c r="N400" s="103">
        <f t="shared" si="335"/>
        <v>0.24898055555555559</v>
      </c>
      <c r="O400" s="378">
        <v>169749.79</v>
      </c>
      <c r="P400" s="103">
        <f t="shared" si="336"/>
        <v>30.64926763888889</v>
      </c>
      <c r="Q400" s="378">
        <v>7133.73</v>
      </c>
      <c r="R400" s="380">
        <f t="shared" si="337"/>
        <v>1.5852733333333333</v>
      </c>
    </row>
    <row r="401" spans="2:18" x14ac:dyDescent="0.25">
      <c r="B401" s="377">
        <f t="shared" si="302"/>
        <v>45882</v>
      </c>
      <c r="C401" s="378">
        <v>84854.51</v>
      </c>
      <c r="D401" s="103">
        <f t="shared" si="290"/>
        <v>17.678022916666666</v>
      </c>
      <c r="E401" s="382">
        <v>2718336.15</v>
      </c>
      <c r="F401" s="103">
        <f t="shared" si="327"/>
        <v>566.32003124999994</v>
      </c>
      <c r="G401" s="378">
        <v>43724.93</v>
      </c>
      <c r="H401" s="103">
        <f t="shared" si="328"/>
        <v>5.4656162500000001</v>
      </c>
      <c r="I401" s="382">
        <v>84613.03</v>
      </c>
      <c r="J401" s="103">
        <f t="shared" si="329"/>
        <v>10.576628749999999</v>
      </c>
      <c r="K401" s="378">
        <v>22693.42</v>
      </c>
      <c r="L401" s="103">
        <f t="shared" si="334"/>
        <v>4.0974230555555557</v>
      </c>
      <c r="M401" s="378">
        <v>3585.32</v>
      </c>
      <c r="N401" s="103">
        <f t="shared" si="335"/>
        <v>0.24898055555555559</v>
      </c>
      <c r="O401" s="378">
        <v>169749.79</v>
      </c>
      <c r="P401" s="103">
        <f t="shared" si="336"/>
        <v>30.64926763888889</v>
      </c>
      <c r="Q401" s="378">
        <v>7133.73</v>
      </c>
      <c r="R401" s="380">
        <f t="shared" si="337"/>
        <v>1.5852733333333333</v>
      </c>
    </row>
    <row r="402" spans="2:18" x14ac:dyDescent="0.25">
      <c r="B402" s="377">
        <f t="shared" si="302"/>
        <v>45883</v>
      </c>
      <c r="C402" s="378">
        <v>262767.01</v>
      </c>
      <c r="D402" s="103">
        <f t="shared" si="290"/>
        <v>54.743127083333334</v>
      </c>
      <c r="E402" s="382">
        <v>1360291.49</v>
      </c>
      <c r="F402" s="103">
        <f t="shared" si="327"/>
        <v>283.39406041666666</v>
      </c>
      <c r="G402" s="378">
        <v>43724.93</v>
      </c>
      <c r="H402" s="103">
        <f t="shared" si="328"/>
        <v>5.4656162500000001</v>
      </c>
      <c r="I402" s="382">
        <v>84613.03</v>
      </c>
      <c r="J402" s="103">
        <f t="shared" si="329"/>
        <v>10.576628749999999</v>
      </c>
      <c r="K402" s="378">
        <v>22693.42</v>
      </c>
      <c r="L402" s="103">
        <f t="shared" si="334"/>
        <v>4.0974230555555557</v>
      </c>
      <c r="M402" s="378">
        <v>3585.32</v>
      </c>
      <c r="N402" s="103">
        <f t="shared" si="335"/>
        <v>0.24898055555555559</v>
      </c>
      <c r="O402" s="378">
        <v>169749.79</v>
      </c>
      <c r="P402" s="103">
        <f t="shared" si="336"/>
        <v>30.64926763888889</v>
      </c>
      <c r="Q402" s="378">
        <v>7133.73</v>
      </c>
      <c r="R402" s="380">
        <f t="shared" si="337"/>
        <v>1.5852733333333333</v>
      </c>
    </row>
    <row r="403" spans="2:18" x14ac:dyDescent="0.25">
      <c r="B403" s="377">
        <f t="shared" si="302"/>
        <v>45884</v>
      </c>
      <c r="C403" s="378">
        <v>262767.01</v>
      </c>
      <c r="D403" s="103">
        <f t="shared" si="290"/>
        <v>54.743127083333334</v>
      </c>
      <c r="E403" s="382">
        <v>1360291.49</v>
      </c>
      <c r="F403" s="103">
        <f t="shared" si="327"/>
        <v>283.39406041666666</v>
      </c>
      <c r="G403" s="378">
        <v>43724.93</v>
      </c>
      <c r="H403" s="103">
        <f t="shared" si="328"/>
        <v>5.4656162500000001</v>
      </c>
      <c r="I403" s="382">
        <v>84613.03</v>
      </c>
      <c r="J403" s="103">
        <f t="shared" si="329"/>
        <v>10.576628749999999</v>
      </c>
      <c r="K403" s="378">
        <v>22693.42</v>
      </c>
      <c r="L403" s="103">
        <f t="shared" si="334"/>
        <v>4.0974230555555557</v>
      </c>
      <c r="M403" s="378">
        <v>3585.32</v>
      </c>
      <c r="N403" s="103">
        <f t="shared" si="335"/>
        <v>0.24898055555555559</v>
      </c>
      <c r="O403" s="378">
        <v>169749.79</v>
      </c>
      <c r="P403" s="103">
        <f t="shared" si="336"/>
        <v>30.64926763888889</v>
      </c>
      <c r="Q403" s="378">
        <v>7133.73</v>
      </c>
      <c r="R403" s="380">
        <f t="shared" si="337"/>
        <v>1.5852733333333333</v>
      </c>
    </row>
    <row r="404" spans="2:18" x14ac:dyDescent="0.25">
      <c r="B404" s="377">
        <f t="shared" si="302"/>
        <v>45885</v>
      </c>
      <c r="C404" s="378">
        <v>262767.01</v>
      </c>
      <c r="D404" s="103">
        <f t="shared" si="290"/>
        <v>54.743127083333334</v>
      </c>
      <c r="E404" s="382">
        <v>1360291.49</v>
      </c>
      <c r="F404" s="103">
        <f t="shared" si="327"/>
        <v>283.39406041666666</v>
      </c>
      <c r="G404" s="378">
        <v>43724.93</v>
      </c>
      <c r="H404" s="103">
        <f t="shared" si="328"/>
        <v>5.4656162500000001</v>
      </c>
      <c r="I404" s="382">
        <v>84613.03</v>
      </c>
      <c r="J404" s="103">
        <f t="shared" si="329"/>
        <v>10.576628749999999</v>
      </c>
      <c r="K404" s="378">
        <v>22693.42</v>
      </c>
      <c r="L404" s="103">
        <f t="shared" si="334"/>
        <v>4.0974230555555557</v>
      </c>
      <c r="M404" s="378">
        <v>3585.32</v>
      </c>
      <c r="N404" s="103">
        <f t="shared" si="335"/>
        <v>0.24898055555555559</v>
      </c>
      <c r="O404" s="378">
        <v>169749.79</v>
      </c>
      <c r="P404" s="103">
        <f t="shared" si="336"/>
        <v>30.64926763888889</v>
      </c>
      <c r="Q404" s="378">
        <v>7133.73</v>
      </c>
      <c r="R404" s="380">
        <f t="shared" si="337"/>
        <v>1.5852733333333333</v>
      </c>
    </row>
    <row r="405" spans="2:18" x14ac:dyDescent="0.25">
      <c r="B405" s="377">
        <f t="shared" si="302"/>
        <v>45886</v>
      </c>
      <c r="C405" s="378">
        <v>406870.81</v>
      </c>
      <c r="D405" s="103">
        <f t="shared" si="290"/>
        <v>84.76475208333332</v>
      </c>
      <c r="E405" s="382">
        <v>1169213.45</v>
      </c>
      <c r="F405" s="103">
        <f t="shared" si="327"/>
        <v>243.58613541666665</v>
      </c>
      <c r="G405" s="378">
        <v>45724.93</v>
      </c>
      <c r="H405" s="103">
        <f t="shared" ref="H405:H411" si="338">(G405*4.5%)/360</f>
        <v>5.7156162500000001</v>
      </c>
      <c r="I405" s="382">
        <v>84613.03</v>
      </c>
      <c r="J405" s="103">
        <f t="shared" ref="J405:J411" si="339">(I405*4.5%)/360</f>
        <v>10.576628749999999</v>
      </c>
      <c r="K405" s="378">
        <v>22693.42</v>
      </c>
      <c r="L405" s="103">
        <f t="shared" ref="L405:L411" si="340">(K405*6.5%)/360</f>
        <v>4.0974230555555557</v>
      </c>
      <c r="M405" s="378">
        <v>3585.32</v>
      </c>
      <c r="N405" s="103">
        <f t="shared" ref="N405:N411" si="341">(M405*2.5%)/360</f>
        <v>0.24898055555555559</v>
      </c>
      <c r="O405" s="378">
        <v>169749.79</v>
      </c>
      <c r="P405" s="103">
        <f t="shared" ref="P405:P411" si="342">(O405*6.5%)/360</f>
        <v>30.64926763888889</v>
      </c>
      <c r="Q405" s="378">
        <v>7133.73</v>
      </c>
      <c r="R405" s="380">
        <f t="shared" ref="R405:R411" si="343">(Q405*8%)/360</f>
        <v>1.5852733333333333</v>
      </c>
    </row>
    <row r="406" spans="2:18" x14ac:dyDescent="0.25">
      <c r="B406" s="377">
        <f t="shared" si="302"/>
        <v>45887</v>
      </c>
      <c r="C406" s="378">
        <v>1706870.81</v>
      </c>
      <c r="D406" s="103">
        <f t="shared" si="290"/>
        <v>355.59808541666666</v>
      </c>
      <c r="E406" s="382">
        <v>1169213.45</v>
      </c>
      <c r="F406" s="103">
        <f t="shared" si="327"/>
        <v>243.58613541666665</v>
      </c>
      <c r="G406" s="378">
        <v>45724.93</v>
      </c>
      <c r="H406" s="103">
        <f t="shared" si="338"/>
        <v>5.7156162500000001</v>
      </c>
      <c r="I406" s="382">
        <v>84613.03</v>
      </c>
      <c r="J406" s="103">
        <f t="shared" si="339"/>
        <v>10.576628749999999</v>
      </c>
      <c r="K406" s="378">
        <v>22693.42</v>
      </c>
      <c r="L406" s="103">
        <f t="shared" si="340"/>
        <v>4.0974230555555557</v>
      </c>
      <c r="M406" s="378">
        <v>3585.32</v>
      </c>
      <c r="N406" s="103">
        <f t="shared" si="341"/>
        <v>0.24898055555555559</v>
      </c>
      <c r="O406" s="378">
        <v>169749.79</v>
      </c>
      <c r="P406" s="103">
        <f t="shared" si="342"/>
        <v>30.64926763888889</v>
      </c>
      <c r="Q406" s="378">
        <v>7133.73</v>
      </c>
      <c r="R406" s="380">
        <f t="shared" si="343"/>
        <v>1.5852733333333333</v>
      </c>
    </row>
    <row r="407" spans="2:18" x14ac:dyDescent="0.25">
      <c r="B407" s="377">
        <f t="shared" si="302"/>
        <v>45888</v>
      </c>
      <c r="C407" s="378">
        <v>1008898.03</v>
      </c>
      <c r="D407" s="103">
        <f t="shared" si="290"/>
        <v>210.18708958333332</v>
      </c>
      <c r="E407" s="382">
        <v>831532.07</v>
      </c>
      <c r="F407" s="103">
        <f t="shared" si="327"/>
        <v>173.23584791666664</v>
      </c>
      <c r="G407" s="378">
        <v>45724.93</v>
      </c>
      <c r="H407" s="103">
        <f t="shared" si="338"/>
        <v>5.7156162500000001</v>
      </c>
      <c r="I407" s="382">
        <v>84613.03</v>
      </c>
      <c r="J407" s="103">
        <f t="shared" si="339"/>
        <v>10.576628749999999</v>
      </c>
      <c r="K407" s="378">
        <v>22693.42</v>
      </c>
      <c r="L407" s="103">
        <f t="shared" si="340"/>
        <v>4.0974230555555557</v>
      </c>
      <c r="M407" s="378">
        <v>3585.32</v>
      </c>
      <c r="N407" s="103">
        <f t="shared" si="341"/>
        <v>0.24898055555555559</v>
      </c>
      <c r="O407" s="378">
        <v>169749.79</v>
      </c>
      <c r="P407" s="103">
        <f t="shared" si="342"/>
        <v>30.64926763888889</v>
      </c>
      <c r="Q407" s="378">
        <v>7133.73</v>
      </c>
      <c r="R407" s="380">
        <f t="shared" si="343"/>
        <v>1.5852733333333333</v>
      </c>
    </row>
    <row r="408" spans="2:18" x14ac:dyDescent="0.25">
      <c r="B408" s="377">
        <f t="shared" si="302"/>
        <v>45889</v>
      </c>
      <c r="C408" s="378">
        <v>6744.67</v>
      </c>
      <c r="D408" s="103">
        <f t="shared" si="290"/>
        <v>1.4051395833333333</v>
      </c>
      <c r="E408" s="382">
        <v>3173120.49</v>
      </c>
      <c r="F408" s="103">
        <f t="shared" si="327"/>
        <v>661.06676875000005</v>
      </c>
      <c r="G408" s="378">
        <v>45724.93</v>
      </c>
      <c r="H408" s="103">
        <f t="shared" si="338"/>
        <v>5.7156162500000001</v>
      </c>
      <c r="I408" s="382">
        <v>84613.03</v>
      </c>
      <c r="J408" s="103">
        <f t="shared" si="339"/>
        <v>10.576628749999999</v>
      </c>
      <c r="K408" s="378">
        <v>22693.42</v>
      </c>
      <c r="L408" s="103">
        <f t="shared" si="340"/>
        <v>4.0974230555555557</v>
      </c>
      <c r="M408" s="378">
        <v>3585.32</v>
      </c>
      <c r="N408" s="103">
        <f t="shared" si="341"/>
        <v>0.24898055555555559</v>
      </c>
      <c r="O408" s="378">
        <v>169749.79</v>
      </c>
      <c r="P408" s="103">
        <f t="shared" si="342"/>
        <v>30.64926763888889</v>
      </c>
      <c r="Q408" s="378">
        <v>7133.73</v>
      </c>
      <c r="R408" s="380">
        <f t="shared" si="343"/>
        <v>1.5852733333333333</v>
      </c>
    </row>
    <row r="409" spans="2:18" x14ac:dyDescent="0.25">
      <c r="B409" s="377">
        <f t="shared" si="302"/>
        <v>45890</v>
      </c>
      <c r="C409" s="378">
        <v>6744.67</v>
      </c>
      <c r="D409" s="103">
        <f t="shared" si="290"/>
        <v>1.4051395833333333</v>
      </c>
      <c r="E409" s="382">
        <v>1652508.49</v>
      </c>
      <c r="F409" s="103">
        <f t="shared" si="327"/>
        <v>344.27260208333331</v>
      </c>
      <c r="G409" s="378">
        <v>45724.93</v>
      </c>
      <c r="H409" s="103">
        <f t="shared" si="338"/>
        <v>5.7156162500000001</v>
      </c>
      <c r="I409" s="382">
        <v>84613.03</v>
      </c>
      <c r="J409" s="103">
        <f t="shared" si="339"/>
        <v>10.576628749999999</v>
      </c>
      <c r="K409" s="378">
        <v>22693.42</v>
      </c>
      <c r="L409" s="103">
        <f t="shared" si="340"/>
        <v>4.0974230555555557</v>
      </c>
      <c r="M409" s="378">
        <v>3585.32</v>
      </c>
      <c r="N409" s="103">
        <f t="shared" si="341"/>
        <v>0.24898055555555559</v>
      </c>
      <c r="O409" s="378">
        <v>169749.79</v>
      </c>
      <c r="P409" s="103">
        <f t="shared" si="342"/>
        <v>30.64926763888889</v>
      </c>
      <c r="Q409" s="378">
        <v>7133.73</v>
      </c>
      <c r="R409" s="380">
        <f t="shared" si="343"/>
        <v>1.5852733333333333</v>
      </c>
    </row>
    <row r="410" spans="2:18" x14ac:dyDescent="0.25">
      <c r="B410" s="377">
        <f t="shared" si="302"/>
        <v>45891</v>
      </c>
      <c r="C410" s="378">
        <v>6744.67</v>
      </c>
      <c r="D410" s="103">
        <f t="shared" si="290"/>
        <v>1.4051395833333333</v>
      </c>
      <c r="E410" s="382">
        <v>1652508.49</v>
      </c>
      <c r="F410" s="103">
        <f t="shared" si="327"/>
        <v>344.27260208333331</v>
      </c>
      <c r="G410" s="378">
        <v>45724.93</v>
      </c>
      <c r="H410" s="103">
        <f t="shared" si="338"/>
        <v>5.7156162500000001</v>
      </c>
      <c r="I410" s="382">
        <v>84613.03</v>
      </c>
      <c r="J410" s="103">
        <f t="shared" si="339"/>
        <v>10.576628749999999</v>
      </c>
      <c r="K410" s="378">
        <v>22693.42</v>
      </c>
      <c r="L410" s="103">
        <f t="shared" si="340"/>
        <v>4.0974230555555557</v>
      </c>
      <c r="M410" s="378">
        <v>3585.32</v>
      </c>
      <c r="N410" s="103">
        <f t="shared" si="341"/>
        <v>0.24898055555555559</v>
      </c>
      <c r="O410" s="378">
        <v>169749.79</v>
      </c>
      <c r="P410" s="103">
        <f t="shared" si="342"/>
        <v>30.64926763888889</v>
      </c>
      <c r="Q410" s="378">
        <v>7133.73</v>
      </c>
      <c r="R410" s="380">
        <f t="shared" si="343"/>
        <v>1.5852733333333333</v>
      </c>
    </row>
    <row r="411" spans="2:18" x14ac:dyDescent="0.25">
      <c r="B411" s="377">
        <f t="shared" si="302"/>
        <v>45892</v>
      </c>
      <c r="C411" s="378">
        <v>6744.67</v>
      </c>
      <c r="D411" s="103">
        <f t="shared" si="290"/>
        <v>1.4051395833333333</v>
      </c>
      <c r="E411" s="382">
        <v>1652508.49</v>
      </c>
      <c r="F411" s="103">
        <f t="shared" si="327"/>
        <v>344.27260208333331</v>
      </c>
      <c r="G411" s="378">
        <v>45724.93</v>
      </c>
      <c r="H411" s="103">
        <f t="shared" si="338"/>
        <v>5.7156162500000001</v>
      </c>
      <c r="I411" s="382">
        <v>84613.03</v>
      </c>
      <c r="J411" s="103">
        <f t="shared" si="339"/>
        <v>10.576628749999999</v>
      </c>
      <c r="K411" s="378">
        <v>22693.42</v>
      </c>
      <c r="L411" s="103">
        <f t="shared" si="340"/>
        <v>4.0974230555555557</v>
      </c>
      <c r="M411" s="378">
        <v>3585.32</v>
      </c>
      <c r="N411" s="103">
        <f t="shared" si="341"/>
        <v>0.24898055555555559</v>
      </c>
      <c r="O411" s="378">
        <v>169749.79</v>
      </c>
      <c r="P411" s="103">
        <f t="shared" si="342"/>
        <v>30.64926763888889</v>
      </c>
      <c r="Q411" s="378">
        <v>7133.73</v>
      </c>
      <c r="R411" s="380">
        <f t="shared" si="343"/>
        <v>1.5852733333333333</v>
      </c>
    </row>
    <row r="412" spans="2:18" x14ac:dyDescent="0.25">
      <c r="B412" s="377">
        <f t="shared" si="302"/>
        <v>45893</v>
      </c>
      <c r="C412" s="378">
        <v>6744.67</v>
      </c>
      <c r="D412" s="103">
        <f t="shared" si="290"/>
        <v>1.4051395833333333</v>
      </c>
      <c r="E412" s="382">
        <v>3790824.45</v>
      </c>
      <c r="F412" s="103">
        <f t="shared" ref="F412:F418" si="344">(E412*7.5%)/360</f>
        <v>789.75509375000001</v>
      </c>
      <c r="G412" s="378">
        <v>45724.93</v>
      </c>
      <c r="H412" s="103">
        <f t="shared" ref="H412:H418" si="345">(G412*4.5%)/360</f>
        <v>5.7156162500000001</v>
      </c>
      <c r="I412" s="382">
        <v>84613.03</v>
      </c>
      <c r="J412" s="103">
        <f t="shared" ref="J412:J418" si="346">(I412*4.5%)/360</f>
        <v>10.576628749999999</v>
      </c>
      <c r="K412" s="378">
        <v>22693.42</v>
      </c>
      <c r="L412" s="103">
        <f t="shared" ref="L412:L418" si="347">(K412*6.5%)/360</f>
        <v>4.0974230555555557</v>
      </c>
      <c r="M412" s="378">
        <v>3585.32</v>
      </c>
      <c r="N412" s="103">
        <f t="shared" ref="N412:N418" si="348">(M412*2.5%)/360</f>
        <v>0.24898055555555559</v>
      </c>
      <c r="O412" s="378">
        <v>169749.79</v>
      </c>
      <c r="P412" s="103">
        <f t="shared" ref="P412:P418" si="349">(O412*6.5%)/360</f>
        <v>30.64926763888889</v>
      </c>
      <c r="Q412" s="378">
        <v>7133.73</v>
      </c>
      <c r="R412" s="380">
        <f t="shared" ref="R412:R418" si="350">(Q412*8%)/360</f>
        <v>1.5852733333333333</v>
      </c>
    </row>
    <row r="413" spans="2:18" x14ac:dyDescent="0.25">
      <c r="B413" s="377">
        <f t="shared" si="302"/>
        <v>45894</v>
      </c>
      <c r="C413" s="378">
        <v>6744.67</v>
      </c>
      <c r="D413" s="103">
        <f t="shared" si="290"/>
        <v>1.4051395833333333</v>
      </c>
      <c r="E413" s="382">
        <v>3748129.02</v>
      </c>
      <c r="F413" s="103">
        <f t="shared" si="344"/>
        <v>780.86021249999999</v>
      </c>
      <c r="G413" s="378">
        <v>45724.93</v>
      </c>
      <c r="H413" s="103">
        <f t="shared" si="345"/>
        <v>5.7156162500000001</v>
      </c>
      <c r="I413" s="382">
        <v>84613.03</v>
      </c>
      <c r="J413" s="103">
        <f t="shared" si="346"/>
        <v>10.576628749999999</v>
      </c>
      <c r="K413" s="378">
        <v>22693.42</v>
      </c>
      <c r="L413" s="103">
        <f t="shared" si="347"/>
        <v>4.0974230555555557</v>
      </c>
      <c r="M413" s="378">
        <v>3585.32</v>
      </c>
      <c r="N413" s="103">
        <f t="shared" si="348"/>
        <v>0.24898055555555559</v>
      </c>
      <c r="O413" s="378">
        <v>169749.79</v>
      </c>
      <c r="P413" s="103">
        <f t="shared" si="349"/>
        <v>30.64926763888889</v>
      </c>
      <c r="Q413" s="378">
        <v>7133.73</v>
      </c>
      <c r="R413" s="380">
        <f t="shared" si="350"/>
        <v>1.5852733333333333</v>
      </c>
    </row>
    <row r="414" spans="2:18" x14ac:dyDescent="0.25">
      <c r="B414" s="377">
        <f t="shared" si="302"/>
        <v>45895</v>
      </c>
      <c r="C414" s="378">
        <v>6744.67</v>
      </c>
      <c r="D414" s="103">
        <f t="shared" si="290"/>
        <v>1.4051395833333333</v>
      </c>
      <c r="E414" s="382">
        <v>1871690.35</v>
      </c>
      <c r="F414" s="103">
        <f t="shared" si="344"/>
        <v>389.93548958333332</v>
      </c>
      <c r="G414" s="378">
        <v>136724.93</v>
      </c>
      <c r="H414" s="103">
        <f t="shared" si="345"/>
        <v>17.09061625</v>
      </c>
      <c r="I414" s="382">
        <v>84613.03</v>
      </c>
      <c r="J414" s="103">
        <f t="shared" si="346"/>
        <v>10.576628749999999</v>
      </c>
      <c r="K414" s="378">
        <v>22693.42</v>
      </c>
      <c r="L414" s="103">
        <f t="shared" si="347"/>
        <v>4.0974230555555557</v>
      </c>
      <c r="M414" s="378">
        <v>3585.32</v>
      </c>
      <c r="N414" s="103">
        <f t="shared" si="348"/>
        <v>0.24898055555555559</v>
      </c>
      <c r="O414" s="378">
        <v>169749.79</v>
      </c>
      <c r="P414" s="103">
        <f t="shared" si="349"/>
        <v>30.64926763888889</v>
      </c>
      <c r="Q414" s="378">
        <v>7133.73</v>
      </c>
      <c r="R414" s="380">
        <f t="shared" si="350"/>
        <v>1.5852733333333333</v>
      </c>
    </row>
    <row r="415" spans="2:18" x14ac:dyDescent="0.25">
      <c r="B415" s="377">
        <f t="shared" si="302"/>
        <v>45896</v>
      </c>
      <c r="C415" s="378">
        <v>40428.31</v>
      </c>
      <c r="D415" s="103">
        <f t="shared" si="290"/>
        <v>8.4225645833333331</v>
      </c>
      <c r="E415" s="382">
        <v>876202.56</v>
      </c>
      <c r="F415" s="103">
        <f t="shared" si="344"/>
        <v>182.54219999999998</v>
      </c>
      <c r="G415" s="378">
        <v>91724.93</v>
      </c>
      <c r="H415" s="103">
        <f t="shared" si="345"/>
        <v>11.465616249999998</v>
      </c>
      <c r="I415" s="382">
        <v>84613.03</v>
      </c>
      <c r="J415" s="103">
        <f t="shared" si="346"/>
        <v>10.576628749999999</v>
      </c>
      <c r="K415" s="378">
        <v>22693.42</v>
      </c>
      <c r="L415" s="103">
        <f t="shared" si="347"/>
        <v>4.0974230555555557</v>
      </c>
      <c r="M415" s="378">
        <v>3585.32</v>
      </c>
      <c r="N415" s="103">
        <f t="shared" si="348"/>
        <v>0.24898055555555559</v>
      </c>
      <c r="O415" s="378">
        <v>169749.79</v>
      </c>
      <c r="P415" s="103">
        <f t="shared" si="349"/>
        <v>30.64926763888889</v>
      </c>
      <c r="Q415" s="378">
        <v>7133.73</v>
      </c>
      <c r="R415" s="380">
        <f t="shared" si="350"/>
        <v>1.5852733333333333</v>
      </c>
    </row>
    <row r="416" spans="2:18" x14ac:dyDescent="0.25">
      <c r="B416" s="377">
        <f t="shared" si="302"/>
        <v>45897</v>
      </c>
      <c r="C416" s="378">
        <v>718367.31</v>
      </c>
      <c r="D416" s="103">
        <f t="shared" si="290"/>
        <v>149.65985624999999</v>
      </c>
      <c r="E416" s="382">
        <v>675343.77</v>
      </c>
      <c r="F416" s="103">
        <f t="shared" si="344"/>
        <v>140.69661875</v>
      </c>
      <c r="G416" s="378">
        <v>91724.93</v>
      </c>
      <c r="H416" s="103">
        <f t="shared" si="345"/>
        <v>11.465616249999998</v>
      </c>
      <c r="I416" s="382">
        <v>84613.03</v>
      </c>
      <c r="J416" s="103">
        <f t="shared" si="346"/>
        <v>10.576628749999999</v>
      </c>
      <c r="K416" s="378">
        <v>22693.42</v>
      </c>
      <c r="L416" s="103">
        <f t="shared" si="347"/>
        <v>4.0974230555555557</v>
      </c>
      <c r="M416" s="378">
        <v>3585.32</v>
      </c>
      <c r="N416" s="103">
        <f t="shared" si="348"/>
        <v>0.24898055555555559</v>
      </c>
      <c r="O416" s="378">
        <v>169749.79</v>
      </c>
      <c r="P416" s="103">
        <f t="shared" si="349"/>
        <v>30.64926763888889</v>
      </c>
      <c r="Q416" s="378">
        <v>7133.73</v>
      </c>
      <c r="R416" s="380">
        <f t="shared" si="350"/>
        <v>1.5852733333333333</v>
      </c>
    </row>
    <row r="417" spans="2:18" x14ac:dyDescent="0.25">
      <c r="B417" s="377">
        <f t="shared" si="302"/>
        <v>45898</v>
      </c>
      <c r="C417" s="378">
        <v>718367.31</v>
      </c>
      <c r="D417" s="103">
        <f t="shared" si="290"/>
        <v>149.65985624999999</v>
      </c>
      <c r="E417" s="382">
        <v>675343.77</v>
      </c>
      <c r="F417" s="103">
        <f t="shared" si="344"/>
        <v>140.69661875</v>
      </c>
      <c r="G417" s="378">
        <v>91724.93</v>
      </c>
      <c r="H417" s="103">
        <f t="shared" si="345"/>
        <v>11.465616249999998</v>
      </c>
      <c r="I417" s="382">
        <v>84613.03</v>
      </c>
      <c r="J417" s="103">
        <f t="shared" si="346"/>
        <v>10.576628749999999</v>
      </c>
      <c r="K417" s="378">
        <v>22693.42</v>
      </c>
      <c r="L417" s="103">
        <f t="shared" si="347"/>
        <v>4.0974230555555557</v>
      </c>
      <c r="M417" s="378">
        <v>3585.32</v>
      </c>
      <c r="N417" s="103">
        <f t="shared" si="348"/>
        <v>0.24898055555555559</v>
      </c>
      <c r="O417" s="378">
        <v>169749.79</v>
      </c>
      <c r="P417" s="103">
        <f t="shared" si="349"/>
        <v>30.64926763888889</v>
      </c>
      <c r="Q417" s="378">
        <v>7133.73</v>
      </c>
      <c r="R417" s="380">
        <f t="shared" si="350"/>
        <v>1.5852733333333333</v>
      </c>
    </row>
    <row r="418" spans="2:18" x14ac:dyDescent="0.25">
      <c r="B418" s="377">
        <f t="shared" si="302"/>
        <v>45899</v>
      </c>
      <c r="C418" s="378">
        <v>718367.31</v>
      </c>
      <c r="D418" s="103">
        <f t="shared" si="290"/>
        <v>149.65985624999999</v>
      </c>
      <c r="E418" s="382">
        <v>675343.77</v>
      </c>
      <c r="F418" s="103">
        <f t="shared" si="344"/>
        <v>140.69661875</v>
      </c>
      <c r="G418" s="378">
        <v>91724.93</v>
      </c>
      <c r="H418" s="103">
        <f t="shared" si="345"/>
        <v>11.465616249999998</v>
      </c>
      <c r="I418" s="382">
        <v>84613.03</v>
      </c>
      <c r="J418" s="103">
        <f t="shared" si="346"/>
        <v>10.576628749999999</v>
      </c>
      <c r="K418" s="378">
        <v>22693.42</v>
      </c>
      <c r="L418" s="103">
        <f t="shared" si="347"/>
        <v>4.0974230555555557</v>
      </c>
      <c r="M418" s="378">
        <v>3585.32</v>
      </c>
      <c r="N418" s="103">
        <f t="shared" si="348"/>
        <v>0.24898055555555559</v>
      </c>
      <c r="O418" s="378">
        <v>169749.79</v>
      </c>
      <c r="P418" s="103">
        <f t="shared" si="349"/>
        <v>30.64926763888889</v>
      </c>
      <c r="Q418" s="378">
        <v>7133.73</v>
      </c>
      <c r="R418" s="380">
        <f t="shared" si="350"/>
        <v>1.5852733333333333</v>
      </c>
    </row>
    <row r="419" spans="2:18" x14ac:dyDescent="0.25">
      <c r="B419" s="377">
        <f t="shared" si="302"/>
        <v>45900</v>
      </c>
      <c r="C419" s="378">
        <v>9718307.3100000005</v>
      </c>
      <c r="D419" s="103">
        <f t="shared" si="290"/>
        <v>2024.64735625</v>
      </c>
      <c r="E419" s="382">
        <v>3999254.03</v>
      </c>
      <c r="F419" s="103">
        <f t="shared" ref="F419:F425" si="351">(E419*7.5%)/360</f>
        <v>833.17792291666649</v>
      </c>
      <c r="G419" s="378">
        <v>1191699.93</v>
      </c>
      <c r="H419" s="103">
        <f t="shared" ref="H419:H425" si="352">(G419*4.5%)/360</f>
        <v>148.96249125</v>
      </c>
      <c r="I419" s="382">
        <v>84613.03</v>
      </c>
      <c r="J419" s="103">
        <f t="shared" ref="J419:J425" si="353">(I419*4.5%)/360</f>
        <v>10.576628749999999</v>
      </c>
      <c r="K419" s="378">
        <v>22693.42</v>
      </c>
      <c r="L419" s="103">
        <f t="shared" ref="L419:L425" si="354">(K419*6.5%)/360</f>
        <v>4.0974230555555557</v>
      </c>
      <c r="M419" s="378">
        <v>3585.32</v>
      </c>
      <c r="N419" s="103">
        <f t="shared" ref="N419:N425" si="355">(M419*2.5%)/360</f>
        <v>0.24898055555555559</v>
      </c>
      <c r="O419" s="378">
        <v>169749.79</v>
      </c>
      <c r="P419" s="103">
        <f t="shared" ref="P419:P425" si="356">(O419*6.5%)/360</f>
        <v>30.64926763888889</v>
      </c>
      <c r="Q419" s="378">
        <v>7133.73</v>
      </c>
      <c r="R419" s="380">
        <f t="shared" ref="R419:R425" si="357">(Q419*8%)/360</f>
        <v>1.5852733333333333</v>
      </c>
    </row>
    <row r="420" spans="2:18" x14ac:dyDescent="0.25">
      <c r="B420" s="377">
        <f t="shared" si="302"/>
        <v>45901</v>
      </c>
      <c r="C420" s="378">
        <v>12218282.310000001</v>
      </c>
      <c r="D420" s="103">
        <f t="shared" si="290"/>
        <v>2545.47548125</v>
      </c>
      <c r="E420" s="382">
        <v>2463186.3199999998</v>
      </c>
      <c r="F420" s="103">
        <f t="shared" si="351"/>
        <v>513.16381666666666</v>
      </c>
      <c r="G420" s="378">
        <v>1191699.93</v>
      </c>
      <c r="H420" s="103">
        <f t="shared" si="352"/>
        <v>148.96249125</v>
      </c>
      <c r="I420" s="382">
        <v>84613.03</v>
      </c>
      <c r="J420" s="103">
        <f t="shared" si="353"/>
        <v>10.576628749999999</v>
      </c>
      <c r="K420" s="378">
        <v>22693.42</v>
      </c>
      <c r="L420" s="103">
        <f t="shared" si="354"/>
        <v>4.0974230555555557</v>
      </c>
      <c r="M420" s="378">
        <v>3585.32</v>
      </c>
      <c r="N420" s="103">
        <f t="shared" si="355"/>
        <v>0.24898055555555559</v>
      </c>
      <c r="O420" s="378">
        <v>169749.79</v>
      </c>
      <c r="P420" s="103">
        <f t="shared" si="356"/>
        <v>30.64926763888889</v>
      </c>
      <c r="Q420" s="378">
        <v>7133.73</v>
      </c>
      <c r="R420" s="380">
        <f t="shared" si="357"/>
        <v>1.5852733333333333</v>
      </c>
    </row>
    <row r="421" spans="2:18" x14ac:dyDescent="0.25">
      <c r="B421" s="377">
        <f t="shared" si="302"/>
        <v>45902</v>
      </c>
      <c r="C421" s="378">
        <v>218282.31</v>
      </c>
      <c r="D421" s="103">
        <f t="shared" si="290"/>
        <v>45.475481250000001</v>
      </c>
      <c r="E421" s="382">
        <v>12922298.550000001</v>
      </c>
      <c r="F421" s="103">
        <f t="shared" si="351"/>
        <v>2692.1455312499997</v>
      </c>
      <c r="G421" s="378">
        <v>1191699.93</v>
      </c>
      <c r="H421" s="103">
        <f t="shared" si="352"/>
        <v>148.96249125</v>
      </c>
      <c r="I421" s="382">
        <v>84613.03</v>
      </c>
      <c r="J421" s="103">
        <f t="shared" si="353"/>
        <v>10.576628749999999</v>
      </c>
      <c r="K421" s="378">
        <v>22693.42</v>
      </c>
      <c r="L421" s="103">
        <f t="shared" si="354"/>
        <v>4.0974230555555557</v>
      </c>
      <c r="M421" s="378">
        <v>3585.32</v>
      </c>
      <c r="N421" s="103">
        <f t="shared" si="355"/>
        <v>0.24898055555555559</v>
      </c>
      <c r="O421" s="378">
        <v>169749.79</v>
      </c>
      <c r="P421" s="103">
        <f t="shared" si="356"/>
        <v>30.64926763888889</v>
      </c>
      <c r="Q421" s="378">
        <v>7133.73</v>
      </c>
      <c r="R421" s="380">
        <f t="shared" si="357"/>
        <v>1.5852733333333333</v>
      </c>
    </row>
    <row r="422" spans="2:18" x14ac:dyDescent="0.25">
      <c r="B422" s="377">
        <f t="shared" si="302"/>
        <v>45903</v>
      </c>
      <c r="C422" s="378">
        <v>2013918.31</v>
      </c>
      <c r="D422" s="103">
        <f t="shared" ref="D422:D485" si="358">(C422*7.5%)/360</f>
        <v>419.56631458333334</v>
      </c>
      <c r="E422" s="382">
        <v>12907494.859999999</v>
      </c>
      <c r="F422" s="103">
        <f t="shared" si="351"/>
        <v>2689.0614291666666</v>
      </c>
      <c r="G422" s="378">
        <v>1191699.93</v>
      </c>
      <c r="H422" s="103">
        <f t="shared" si="352"/>
        <v>148.96249125</v>
      </c>
      <c r="I422" s="382">
        <v>84613.03</v>
      </c>
      <c r="J422" s="103">
        <f t="shared" si="353"/>
        <v>10.576628749999999</v>
      </c>
      <c r="K422" s="378">
        <v>22693.42</v>
      </c>
      <c r="L422" s="103">
        <f t="shared" si="354"/>
        <v>4.0974230555555557</v>
      </c>
      <c r="M422" s="378">
        <v>3585.32</v>
      </c>
      <c r="N422" s="103">
        <f t="shared" si="355"/>
        <v>0.24898055555555559</v>
      </c>
      <c r="O422" s="378">
        <v>169749.79</v>
      </c>
      <c r="P422" s="103">
        <f t="shared" si="356"/>
        <v>30.64926763888889</v>
      </c>
      <c r="Q422" s="378">
        <v>7133.73</v>
      </c>
      <c r="R422" s="380">
        <f t="shared" si="357"/>
        <v>1.5852733333333333</v>
      </c>
    </row>
    <row r="423" spans="2:18" x14ac:dyDescent="0.25">
      <c r="B423" s="377">
        <f t="shared" si="302"/>
        <v>45904</v>
      </c>
      <c r="C423" s="378">
        <v>2013918.31</v>
      </c>
      <c r="D423" s="103">
        <f t="shared" si="358"/>
        <v>419.56631458333334</v>
      </c>
      <c r="E423" s="382">
        <v>4109637.05</v>
      </c>
      <c r="F423" s="103">
        <f t="shared" si="351"/>
        <v>856.17438541666661</v>
      </c>
      <c r="G423" s="378">
        <v>1191699.93</v>
      </c>
      <c r="H423" s="103">
        <f t="shared" si="352"/>
        <v>148.96249125</v>
      </c>
      <c r="I423" s="382">
        <v>84613.03</v>
      </c>
      <c r="J423" s="103">
        <f t="shared" si="353"/>
        <v>10.576628749999999</v>
      </c>
      <c r="K423" s="378">
        <v>22693.42</v>
      </c>
      <c r="L423" s="103">
        <f t="shared" si="354"/>
        <v>4.0974230555555557</v>
      </c>
      <c r="M423" s="378">
        <v>3585.32</v>
      </c>
      <c r="N423" s="103">
        <f t="shared" si="355"/>
        <v>0.24898055555555559</v>
      </c>
      <c r="O423" s="378">
        <v>169749.79</v>
      </c>
      <c r="P423" s="103">
        <f t="shared" si="356"/>
        <v>30.64926763888889</v>
      </c>
      <c r="Q423" s="378">
        <v>7133.73</v>
      </c>
      <c r="R423" s="380">
        <f t="shared" si="357"/>
        <v>1.5852733333333333</v>
      </c>
    </row>
    <row r="424" spans="2:18" x14ac:dyDescent="0.25">
      <c r="B424" s="377">
        <f t="shared" ref="B424:B487" si="359">B423+1</f>
        <v>45905</v>
      </c>
      <c r="C424" s="378">
        <v>2013918.31</v>
      </c>
      <c r="D424" s="103">
        <f t="shared" si="358"/>
        <v>419.56631458333334</v>
      </c>
      <c r="E424" s="382">
        <v>4109637.05</v>
      </c>
      <c r="F424" s="103">
        <f t="shared" si="351"/>
        <v>856.17438541666661</v>
      </c>
      <c r="G424" s="378">
        <v>1191699.93</v>
      </c>
      <c r="H424" s="103">
        <f t="shared" si="352"/>
        <v>148.96249125</v>
      </c>
      <c r="I424" s="382">
        <v>84613.03</v>
      </c>
      <c r="J424" s="103">
        <f t="shared" si="353"/>
        <v>10.576628749999999</v>
      </c>
      <c r="K424" s="378">
        <v>22693.42</v>
      </c>
      <c r="L424" s="103">
        <f t="shared" si="354"/>
        <v>4.0974230555555557</v>
      </c>
      <c r="M424" s="378">
        <v>3585.32</v>
      </c>
      <c r="N424" s="103">
        <f t="shared" si="355"/>
        <v>0.24898055555555559</v>
      </c>
      <c r="O424" s="378">
        <v>169749.79</v>
      </c>
      <c r="P424" s="103">
        <f t="shared" si="356"/>
        <v>30.64926763888889</v>
      </c>
      <c r="Q424" s="378">
        <v>7133.73</v>
      </c>
      <c r="R424" s="380">
        <f t="shared" si="357"/>
        <v>1.5852733333333333</v>
      </c>
    </row>
    <row r="425" spans="2:18" x14ac:dyDescent="0.25">
      <c r="B425" s="377">
        <f t="shared" si="359"/>
        <v>45906</v>
      </c>
      <c r="C425" s="378">
        <v>2013918.31</v>
      </c>
      <c r="D425" s="103">
        <f t="shared" si="358"/>
        <v>419.56631458333334</v>
      </c>
      <c r="E425" s="382">
        <v>4109637.05</v>
      </c>
      <c r="F425" s="103">
        <f t="shared" si="351"/>
        <v>856.17438541666661</v>
      </c>
      <c r="G425" s="378">
        <v>1191699.93</v>
      </c>
      <c r="H425" s="103">
        <f t="shared" si="352"/>
        <v>148.96249125</v>
      </c>
      <c r="I425" s="382">
        <v>84613.03</v>
      </c>
      <c r="J425" s="103">
        <f t="shared" si="353"/>
        <v>10.576628749999999</v>
      </c>
      <c r="K425" s="378">
        <v>22693.42</v>
      </c>
      <c r="L425" s="103">
        <f t="shared" si="354"/>
        <v>4.0974230555555557</v>
      </c>
      <c r="M425" s="378">
        <v>3585.32</v>
      </c>
      <c r="N425" s="103">
        <f t="shared" si="355"/>
        <v>0.24898055555555559</v>
      </c>
      <c r="O425" s="378">
        <v>169749.79</v>
      </c>
      <c r="P425" s="103">
        <f t="shared" si="356"/>
        <v>30.64926763888889</v>
      </c>
      <c r="Q425" s="378">
        <v>7133.73</v>
      </c>
      <c r="R425" s="380">
        <f t="shared" si="357"/>
        <v>1.5852733333333333</v>
      </c>
    </row>
    <row r="426" spans="2:18" x14ac:dyDescent="0.25">
      <c r="B426" s="377">
        <f t="shared" si="359"/>
        <v>45907</v>
      </c>
      <c r="C426" s="378">
        <v>2073918.31</v>
      </c>
      <c r="D426" s="103">
        <f t="shared" si="358"/>
        <v>432.06631458333334</v>
      </c>
      <c r="E426" s="382">
        <v>2873194.19</v>
      </c>
      <c r="F426" s="103">
        <f t="shared" ref="F426:F432" si="360">(E426*7.5%)/360</f>
        <v>598.58212291666666</v>
      </c>
      <c r="G426" s="378">
        <v>139699.93</v>
      </c>
      <c r="H426" s="103">
        <f t="shared" ref="H426:H432" si="361">(G426*4.5%)/360</f>
        <v>17.462491249999999</v>
      </c>
      <c r="I426" s="382">
        <v>84613.03</v>
      </c>
      <c r="J426" s="103">
        <f t="shared" ref="J426:J432" si="362">(I426*4.5%)/360</f>
        <v>10.576628749999999</v>
      </c>
      <c r="K426" s="378">
        <v>22693.42</v>
      </c>
      <c r="L426" s="103">
        <f t="shared" ref="L426:L432" si="363">(K426*6.5%)/360</f>
        <v>4.0974230555555557</v>
      </c>
      <c r="M426" s="378">
        <v>3585.32</v>
      </c>
      <c r="N426" s="103">
        <f t="shared" ref="N426:N432" si="364">(M426*2.5%)/360</f>
        <v>0.24898055555555559</v>
      </c>
      <c r="O426" s="378">
        <v>169749.79</v>
      </c>
      <c r="P426" s="103">
        <f t="shared" ref="P426:P432" si="365">(O426*6.5%)/360</f>
        <v>30.64926763888889</v>
      </c>
      <c r="Q426" s="378">
        <v>7133.73</v>
      </c>
      <c r="R426" s="380">
        <f t="shared" ref="R426:R432" si="366">(Q426*8%)/360</f>
        <v>1.5852733333333333</v>
      </c>
    </row>
    <row r="427" spans="2:18" x14ac:dyDescent="0.25">
      <c r="B427" s="377">
        <f t="shared" si="359"/>
        <v>45908</v>
      </c>
      <c r="C427" s="378">
        <v>2063918.31</v>
      </c>
      <c r="D427" s="103">
        <f t="shared" si="358"/>
        <v>429.98298125000002</v>
      </c>
      <c r="E427" s="382">
        <v>116100.3</v>
      </c>
      <c r="F427" s="103">
        <f t="shared" si="360"/>
        <v>24.187562499999999</v>
      </c>
      <c r="G427" s="378">
        <v>139699.93</v>
      </c>
      <c r="H427" s="103">
        <f t="shared" si="361"/>
        <v>17.462491249999999</v>
      </c>
      <c r="I427" s="382">
        <v>84613.03</v>
      </c>
      <c r="J427" s="103">
        <f t="shared" si="362"/>
        <v>10.576628749999999</v>
      </c>
      <c r="K427" s="378">
        <v>22693.42</v>
      </c>
      <c r="L427" s="103">
        <f t="shared" si="363"/>
        <v>4.0974230555555557</v>
      </c>
      <c r="M427" s="378">
        <v>3585.32</v>
      </c>
      <c r="N427" s="103">
        <f t="shared" si="364"/>
        <v>0.24898055555555559</v>
      </c>
      <c r="O427" s="378">
        <v>169749.79</v>
      </c>
      <c r="P427" s="103">
        <f t="shared" si="365"/>
        <v>30.64926763888889</v>
      </c>
      <c r="Q427" s="378">
        <v>7133.73</v>
      </c>
      <c r="R427" s="380">
        <f t="shared" si="366"/>
        <v>1.5852733333333333</v>
      </c>
    </row>
    <row r="428" spans="2:18" x14ac:dyDescent="0.25">
      <c r="B428" s="377">
        <f t="shared" si="359"/>
        <v>45909</v>
      </c>
      <c r="C428" s="378">
        <v>104920.28</v>
      </c>
      <c r="D428" s="103">
        <f t="shared" si="358"/>
        <v>21.858391666666666</v>
      </c>
      <c r="E428" s="382">
        <v>371959.92</v>
      </c>
      <c r="F428" s="103">
        <f t="shared" si="360"/>
        <v>77.491649999999993</v>
      </c>
      <c r="G428" s="378">
        <v>139699.93</v>
      </c>
      <c r="H428" s="103">
        <f t="shared" si="361"/>
        <v>17.462491249999999</v>
      </c>
      <c r="I428" s="382">
        <v>84613.03</v>
      </c>
      <c r="J428" s="103">
        <f t="shared" si="362"/>
        <v>10.576628749999999</v>
      </c>
      <c r="K428" s="378">
        <v>22693.42</v>
      </c>
      <c r="L428" s="103">
        <f t="shared" si="363"/>
        <v>4.0974230555555557</v>
      </c>
      <c r="M428" s="378">
        <v>3585.32</v>
      </c>
      <c r="N428" s="103">
        <f t="shared" si="364"/>
        <v>0.24898055555555559</v>
      </c>
      <c r="O428" s="378">
        <v>169749.79</v>
      </c>
      <c r="P428" s="103">
        <f t="shared" si="365"/>
        <v>30.64926763888889</v>
      </c>
      <c r="Q428" s="378">
        <v>7133.73</v>
      </c>
      <c r="R428" s="380">
        <f t="shared" si="366"/>
        <v>1.5852733333333333</v>
      </c>
    </row>
    <row r="429" spans="2:18" x14ac:dyDescent="0.25">
      <c r="B429" s="377">
        <f t="shared" si="359"/>
        <v>45910</v>
      </c>
      <c r="C429" s="378">
        <v>104920.28</v>
      </c>
      <c r="D429" s="103">
        <f t="shared" si="358"/>
        <v>21.858391666666666</v>
      </c>
      <c r="E429" s="382">
        <v>2848282.76</v>
      </c>
      <c r="F429" s="103">
        <f t="shared" si="360"/>
        <v>593.39224166666656</v>
      </c>
      <c r="G429" s="378">
        <v>139699.93</v>
      </c>
      <c r="H429" s="103">
        <f t="shared" si="361"/>
        <v>17.462491249999999</v>
      </c>
      <c r="I429" s="382">
        <v>84613.03</v>
      </c>
      <c r="J429" s="103">
        <f t="shared" si="362"/>
        <v>10.576628749999999</v>
      </c>
      <c r="K429" s="378">
        <v>22693.42</v>
      </c>
      <c r="L429" s="103">
        <f t="shared" si="363"/>
        <v>4.0974230555555557</v>
      </c>
      <c r="M429" s="378">
        <v>3585.32</v>
      </c>
      <c r="N429" s="103">
        <f t="shared" si="364"/>
        <v>0.24898055555555559</v>
      </c>
      <c r="O429" s="378">
        <v>169749.79</v>
      </c>
      <c r="P429" s="103">
        <f t="shared" si="365"/>
        <v>30.64926763888889</v>
      </c>
      <c r="Q429" s="378">
        <v>7133.73</v>
      </c>
      <c r="R429" s="380">
        <f t="shared" si="366"/>
        <v>1.5852733333333333</v>
      </c>
    </row>
    <row r="430" spans="2:18" x14ac:dyDescent="0.25">
      <c r="B430" s="377">
        <f t="shared" si="359"/>
        <v>45911</v>
      </c>
      <c r="C430" s="378">
        <v>104920.28</v>
      </c>
      <c r="D430" s="103">
        <f t="shared" si="358"/>
        <v>21.858391666666666</v>
      </c>
      <c r="E430" s="382">
        <v>1768743.26</v>
      </c>
      <c r="F430" s="103">
        <f t="shared" si="360"/>
        <v>368.48817916666667</v>
      </c>
      <c r="G430" s="378">
        <v>139699.93</v>
      </c>
      <c r="H430" s="103">
        <f t="shared" si="361"/>
        <v>17.462491249999999</v>
      </c>
      <c r="I430" s="382">
        <v>84613.03</v>
      </c>
      <c r="J430" s="103">
        <f t="shared" si="362"/>
        <v>10.576628749999999</v>
      </c>
      <c r="K430" s="378">
        <v>22693.42</v>
      </c>
      <c r="L430" s="103">
        <f t="shared" si="363"/>
        <v>4.0974230555555557</v>
      </c>
      <c r="M430" s="378">
        <v>3585.32</v>
      </c>
      <c r="N430" s="103">
        <f t="shared" si="364"/>
        <v>0.24898055555555559</v>
      </c>
      <c r="O430" s="378">
        <v>169749.79</v>
      </c>
      <c r="P430" s="103">
        <f t="shared" si="365"/>
        <v>30.64926763888889</v>
      </c>
      <c r="Q430" s="378">
        <v>7133.73</v>
      </c>
      <c r="R430" s="380">
        <f t="shared" si="366"/>
        <v>1.5852733333333333</v>
      </c>
    </row>
    <row r="431" spans="2:18" x14ac:dyDescent="0.25">
      <c r="B431" s="377">
        <f t="shared" si="359"/>
        <v>45912</v>
      </c>
      <c r="C431" s="378">
        <v>104920.28</v>
      </c>
      <c r="D431" s="103">
        <f t="shared" si="358"/>
        <v>21.858391666666666</v>
      </c>
      <c r="E431" s="382">
        <v>1768743.26</v>
      </c>
      <c r="F431" s="103">
        <f t="shared" si="360"/>
        <v>368.48817916666667</v>
      </c>
      <c r="G431" s="378">
        <v>139699.93</v>
      </c>
      <c r="H431" s="103">
        <f t="shared" si="361"/>
        <v>17.462491249999999</v>
      </c>
      <c r="I431" s="382">
        <v>84613.03</v>
      </c>
      <c r="J431" s="103">
        <f t="shared" si="362"/>
        <v>10.576628749999999</v>
      </c>
      <c r="K431" s="378">
        <v>22693.42</v>
      </c>
      <c r="L431" s="103">
        <f t="shared" si="363"/>
        <v>4.0974230555555557</v>
      </c>
      <c r="M431" s="378">
        <v>3585.32</v>
      </c>
      <c r="N431" s="103">
        <f t="shared" si="364"/>
        <v>0.24898055555555559</v>
      </c>
      <c r="O431" s="378">
        <v>169749.79</v>
      </c>
      <c r="P431" s="103">
        <f t="shared" si="365"/>
        <v>30.64926763888889</v>
      </c>
      <c r="Q431" s="378">
        <v>7133.73</v>
      </c>
      <c r="R431" s="380">
        <f t="shared" si="366"/>
        <v>1.5852733333333333</v>
      </c>
    </row>
    <row r="432" spans="2:18" x14ac:dyDescent="0.25">
      <c r="B432" s="377">
        <f t="shared" si="359"/>
        <v>45913</v>
      </c>
      <c r="C432" s="378">
        <v>104920.28</v>
      </c>
      <c r="D432" s="103">
        <f t="shared" si="358"/>
        <v>21.858391666666666</v>
      </c>
      <c r="E432" s="382">
        <v>1768743.26</v>
      </c>
      <c r="F432" s="103">
        <f t="shared" si="360"/>
        <v>368.48817916666667</v>
      </c>
      <c r="G432" s="378">
        <v>139699.93</v>
      </c>
      <c r="H432" s="103">
        <f t="shared" si="361"/>
        <v>17.462491249999999</v>
      </c>
      <c r="I432" s="382">
        <v>84613.03</v>
      </c>
      <c r="J432" s="103">
        <f t="shared" si="362"/>
        <v>10.576628749999999</v>
      </c>
      <c r="K432" s="378">
        <v>22693.42</v>
      </c>
      <c r="L432" s="103">
        <f t="shared" si="363"/>
        <v>4.0974230555555557</v>
      </c>
      <c r="M432" s="378">
        <v>3585.32</v>
      </c>
      <c r="N432" s="103">
        <f t="shared" si="364"/>
        <v>0.24898055555555559</v>
      </c>
      <c r="O432" s="378">
        <v>169749.79</v>
      </c>
      <c r="P432" s="103">
        <f t="shared" si="365"/>
        <v>30.64926763888889</v>
      </c>
      <c r="Q432" s="378">
        <v>7133.73</v>
      </c>
      <c r="R432" s="380">
        <f t="shared" si="366"/>
        <v>1.5852733333333333</v>
      </c>
    </row>
    <row r="433" spans="2:18" x14ac:dyDescent="0.25">
      <c r="B433" s="377">
        <f t="shared" si="359"/>
        <v>45914</v>
      </c>
      <c r="C433" s="378">
        <v>204920.28</v>
      </c>
      <c r="D433" s="103">
        <f t="shared" si="358"/>
        <v>42.691724999999998</v>
      </c>
      <c r="E433" s="382">
        <v>999967.02</v>
      </c>
      <c r="F433" s="103">
        <f t="shared" ref="F433:F453" si="367">(E433*7.5%)/360</f>
        <v>208.32646249999999</v>
      </c>
      <c r="G433" s="378">
        <v>139699.93</v>
      </c>
      <c r="H433" s="103">
        <f t="shared" ref="H433:H446" si="368">(G433*4.5%)/360</f>
        <v>17.462491249999999</v>
      </c>
      <c r="I433" s="382">
        <v>84613.03</v>
      </c>
      <c r="J433" s="103">
        <f t="shared" ref="J433:J446" si="369">(I433*4.5%)/360</f>
        <v>10.576628749999999</v>
      </c>
      <c r="K433" s="378">
        <v>22693.42</v>
      </c>
      <c r="L433" s="103">
        <f t="shared" ref="L433:L446" si="370">(K433*6.5%)/360</f>
        <v>4.0974230555555557</v>
      </c>
      <c r="M433" s="378">
        <v>3585.32</v>
      </c>
      <c r="N433" s="103">
        <f t="shared" ref="N433:N446" si="371">(M433*2.5%)/360</f>
        <v>0.24898055555555559</v>
      </c>
      <c r="O433" s="378">
        <v>169749.79</v>
      </c>
      <c r="P433" s="103">
        <f t="shared" ref="P433:P446" si="372">(O433*6.5%)/360</f>
        <v>30.64926763888889</v>
      </c>
      <c r="Q433" s="378">
        <v>7133.73</v>
      </c>
      <c r="R433" s="380">
        <f t="shared" ref="R433:R446" si="373">(Q433*8%)/360</f>
        <v>1.5852733333333333</v>
      </c>
    </row>
    <row r="434" spans="2:18" x14ac:dyDescent="0.25">
      <c r="B434" s="377">
        <f t="shared" si="359"/>
        <v>45915</v>
      </c>
      <c r="C434" s="378">
        <v>6020.28</v>
      </c>
      <c r="D434" s="103">
        <f t="shared" si="358"/>
        <v>1.2542249999999999</v>
      </c>
      <c r="E434" s="382">
        <v>9565.2999999999993</v>
      </c>
      <c r="F434" s="103">
        <f t="shared" si="367"/>
        <v>1.9927708333333332</v>
      </c>
      <c r="G434" s="378">
        <v>1141639.93</v>
      </c>
      <c r="H434" s="103">
        <f t="shared" si="368"/>
        <v>142.70499124999998</v>
      </c>
      <c r="I434" s="382">
        <v>84613.03</v>
      </c>
      <c r="J434" s="103">
        <f t="shared" si="369"/>
        <v>10.576628749999999</v>
      </c>
      <c r="K434" s="378">
        <v>22693.42</v>
      </c>
      <c r="L434" s="103">
        <f t="shared" si="370"/>
        <v>4.0974230555555557</v>
      </c>
      <c r="M434" s="378">
        <v>3585.32</v>
      </c>
      <c r="N434" s="103">
        <f t="shared" si="371"/>
        <v>0.24898055555555559</v>
      </c>
      <c r="O434" s="378">
        <v>169749.79</v>
      </c>
      <c r="P434" s="103">
        <f t="shared" si="372"/>
        <v>30.64926763888889</v>
      </c>
      <c r="Q434" s="378">
        <v>7133.73</v>
      </c>
      <c r="R434" s="380">
        <f t="shared" si="373"/>
        <v>1.5852733333333333</v>
      </c>
    </row>
    <row r="435" spans="2:18" x14ac:dyDescent="0.25">
      <c r="B435" s="377">
        <f t="shared" si="359"/>
        <v>45916</v>
      </c>
      <c r="C435" s="378">
        <v>6020.28</v>
      </c>
      <c r="D435" s="103">
        <f t="shared" si="358"/>
        <v>1.2542249999999999</v>
      </c>
      <c r="E435" s="382">
        <v>8912.81</v>
      </c>
      <c r="F435" s="103">
        <f t="shared" si="367"/>
        <v>1.8568354166666665</v>
      </c>
      <c r="G435" s="378">
        <v>1141639.93</v>
      </c>
      <c r="H435" s="103">
        <f t="shared" si="368"/>
        <v>142.70499124999998</v>
      </c>
      <c r="I435" s="382">
        <v>84613.03</v>
      </c>
      <c r="J435" s="103">
        <f t="shared" si="369"/>
        <v>10.576628749999999</v>
      </c>
      <c r="K435" s="378">
        <v>22693.42</v>
      </c>
      <c r="L435" s="103">
        <f t="shared" si="370"/>
        <v>4.0974230555555557</v>
      </c>
      <c r="M435" s="378">
        <v>3585.32</v>
      </c>
      <c r="N435" s="103">
        <f t="shared" si="371"/>
        <v>0.24898055555555559</v>
      </c>
      <c r="O435" s="378">
        <v>169749.79</v>
      </c>
      <c r="P435" s="103">
        <f t="shared" si="372"/>
        <v>30.64926763888889</v>
      </c>
      <c r="Q435" s="378">
        <v>7133.73</v>
      </c>
      <c r="R435" s="380">
        <f t="shared" si="373"/>
        <v>1.5852733333333333</v>
      </c>
    </row>
    <row r="436" spans="2:18" x14ac:dyDescent="0.25">
      <c r="B436" s="377">
        <f t="shared" si="359"/>
        <v>45917</v>
      </c>
      <c r="C436" s="378">
        <v>6020.28</v>
      </c>
      <c r="D436" s="103">
        <f t="shared" si="358"/>
        <v>1.2542249999999999</v>
      </c>
      <c r="E436" s="382">
        <v>8912.81</v>
      </c>
      <c r="F436" s="103">
        <f t="shared" si="367"/>
        <v>1.8568354166666665</v>
      </c>
      <c r="G436" s="378">
        <v>1141639.93</v>
      </c>
      <c r="H436" s="103">
        <f t="shared" si="368"/>
        <v>142.70499124999998</v>
      </c>
      <c r="I436" s="382">
        <v>84613.03</v>
      </c>
      <c r="J436" s="103">
        <f t="shared" si="369"/>
        <v>10.576628749999999</v>
      </c>
      <c r="K436" s="378">
        <v>22693.42</v>
      </c>
      <c r="L436" s="103">
        <f t="shared" si="370"/>
        <v>4.0974230555555557</v>
      </c>
      <c r="M436" s="378">
        <v>3585.32</v>
      </c>
      <c r="N436" s="103">
        <f t="shared" si="371"/>
        <v>0.24898055555555559</v>
      </c>
      <c r="O436" s="378">
        <v>169749.79</v>
      </c>
      <c r="P436" s="103">
        <f t="shared" si="372"/>
        <v>30.64926763888889</v>
      </c>
      <c r="Q436" s="378">
        <v>7133.73</v>
      </c>
      <c r="R436" s="380">
        <f t="shared" si="373"/>
        <v>1.5852733333333333</v>
      </c>
    </row>
    <row r="437" spans="2:18" x14ac:dyDescent="0.25">
      <c r="B437" s="377">
        <f t="shared" si="359"/>
        <v>45918</v>
      </c>
      <c r="C437" s="378">
        <v>6020.28</v>
      </c>
      <c r="D437" s="103">
        <f t="shared" si="358"/>
        <v>1.2542249999999999</v>
      </c>
      <c r="E437" s="382">
        <v>1108912.81</v>
      </c>
      <c r="F437" s="103">
        <f t="shared" si="367"/>
        <v>231.02350208333334</v>
      </c>
      <c r="G437" s="378">
        <v>41639.93</v>
      </c>
      <c r="H437" s="103">
        <f t="shared" si="368"/>
        <v>5.20499125</v>
      </c>
      <c r="I437" s="382">
        <v>84613.03</v>
      </c>
      <c r="J437" s="103">
        <f t="shared" si="369"/>
        <v>10.576628749999999</v>
      </c>
      <c r="K437" s="378">
        <v>22693.42</v>
      </c>
      <c r="L437" s="103">
        <f t="shared" si="370"/>
        <v>4.0974230555555557</v>
      </c>
      <c r="M437" s="378">
        <v>3585.32</v>
      </c>
      <c r="N437" s="103">
        <f t="shared" si="371"/>
        <v>0.24898055555555559</v>
      </c>
      <c r="O437" s="378">
        <v>169749.79</v>
      </c>
      <c r="P437" s="103">
        <f t="shared" si="372"/>
        <v>30.64926763888889</v>
      </c>
      <c r="Q437" s="378">
        <v>7133.73</v>
      </c>
      <c r="R437" s="380">
        <f t="shared" si="373"/>
        <v>1.5852733333333333</v>
      </c>
    </row>
    <row r="438" spans="2:18" x14ac:dyDescent="0.25">
      <c r="B438" s="377">
        <f t="shared" si="359"/>
        <v>45919</v>
      </c>
      <c r="C438" s="378">
        <v>6020.28</v>
      </c>
      <c r="D438" s="103">
        <f t="shared" si="358"/>
        <v>1.2542249999999999</v>
      </c>
      <c r="E438" s="382">
        <v>1108912.81</v>
      </c>
      <c r="F438" s="103">
        <f t="shared" si="367"/>
        <v>231.02350208333334</v>
      </c>
      <c r="G438" s="378">
        <v>41639.93</v>
      </c>
      <c r="H438" s="103">
        <f t="shared" si="368"/>
        <v>5.20499125</v>
      </c>
      <c r="I438" s="382">
        <v>84613.03</v>
      </c>
      <c r="J438" s="103">
        <f t="shared" si="369"/>
        <v>10.576628749999999</v>
      </c>
      <c r="K438" s="378">
        <v>22693.42</v>
      </c>
      <c r="L438" s="103">
        <f t="shared" si="370"/>
        <v>4.0974230555555557</v>
      </c>
      <c r="M438" s="378">
        <v>3585.32</v>
      </c>
      <c r="N438" s="103">
        <f t="shared" si="371"/>
        <v>0.24898055555555559</v>
      </c>
      <c r="O438" s="378">
        <v>169749.79</v>
      </c>
      <c r="P438" s="103">
        <f t="shared" si="372"/>
        <v>30.64926763888889</v>
      </c>
      <c r="Q438" s="378">
        <v>7133.73</v>
      </c>
      <c r="R438" s="380">
        <f t="shared" si="373"/>
        <v>1.5852733333333333</v>
      </c>
    </row>
    <row r="439" spans="2:18" x14ac:dyDescent="0.25">
      <c r="B439" s="377">
        <f t="shared" si="359"/>
        <v>45920</v>
      </c>
      <c r="C439" s="378">
        <v>6020.28</v>
      </c>
      <c r="D439" s="103">
        <f t="shared" si="358"/>
        <v>1.2542249999999999</v>
      </c>
      <c r="E439" s="382">
        <v>1108912.81</v>
      </c>
      <c r="F439" s="103">
        <f t="shared" si="367"/>
        <v>231.02350208333334</v>
      </c>
      <c r="G439" s="378">
        <v>41639.93</v>
      </c>
      <c r="H439" s="103">
        <f t="shared" si="368"/>
        <v>5.20499125</v>
      </c>
      <c r="I439" s="382">
        <v>84613.03</v>
      </c>
      <c r="J439" s="103">
        <f t="shared" si="369"/>
        <v>10.576628749999999</v>
      </c>
      <c r="K439" s="378">
        <v>22693.42</v>
      </c>
      <c r="L439" s="103">
        <f t="shared" si="370"/>
        <v>4.0974230555555557</v>
      </c>
      <c r="M439" s="378">
        <v>3585.32</v>
      </c>
      <c r="N439" s="103">
        <f t="shared" si="371"/>
        <v>0.24898055555555559</v>
      </c>
      <c r="O439" s="378">
        <v>169749.79</v>
      </c>
      <c r="P439" s="103">
        <f t="shared" si="372"/>
        <v>30.64926763888889</v>
      </c>
      <c r="Q439" s="378">
        <v>7133.73</v>
      </c>
      <c r="R439" s="380">
        <f t="shared" si="373"/>
        <v>1.5852733333333333</v>
      </c>
    </row>
    <row r="440" spans="2:18" x14ac:dyDescent="0.25">
      <c r="B440" s="377">
        <f t="shared" si="359"/>
        <v>45921</v>
      </c>
      <c r="C440" s="378">
        <v>6020.28</v>
      </c>
      <c r="D440" s="103">
        <f t="shared" si="358"/>
        <v>1.2542249999999999</v>
      </c>
      <c r="E440" s="382">
        <v>438967.47</v>
      </c>
      <c r="F440" s="103">
        <f t="shared" si="367"/>
        <v>91.451556249999982</v>
      </c>
      <c r="G440" s="378">
        <v>41639.93</v>
      </c>
      <c r="H440" s="103">
        <f t="shared" si="368"/>
        <v>5.20499125</v>
      </c>
      <c r="I440" s="382">
        <v>84613.03</v>
      </c>
      <c r="J440" s="103">
        <f t="shared" si="369"/>
        <v>10.576628749999999</v>
      </c>
      <c r="K440" s="378">
        <v>22452.42</v>
      </c>
      <c r="L440" s="103">
        <f t="shared" si="370"/>
        <v>4.0539091666666662</v>
      </c>
      <c r="M440" s="378">
        <v>2696.67</v>
      </c>
      <c r="N440" s="103">
        <f t="shared" si="371"/>
        <v>0.18726875000000001</v>
      </c>
      <c r="O440" s="378">
        <v>163035.79999999999</v>
      </c>
      <c r="P440" s="103">
        <f t="shared" si="372"/>
        <v>29.437019444444442</v>
      </c>
      <c r="Q440" s="378">
        <v>200417.06</v>
      </c>
      <c r="R440" s="380">
        <f t="shared" si="373"/>
        <v>44.537124444444444</v>
      </c>
    </row>
    <row r="441" spans="2:18" x14ac:dyDescent="0.25">
      <c r="B441" s="377">
        <f t="shared" si="359"/>
        <v>45922</v>
      </c>
      <c r="C441" s="378">
        <v>6020.28</v>
      </c>
      <c r="D441" s="103">
        <f t="shared" si="358"/>
        <v>1.2542249999999999</v>
      </c>
      <c r="E441" s="382">
        <v>6112364.6399999997</v>
      </c>
      <c r="F441" s="103">
        <f t="shared" si="367"/>
        <v>1273.4092999999998</v>
      </c>
      <c r="G441" s="378">
        <v>41639.93</v>
      </c>
      <c r="H441" s="103">
        <f t="shared" si="368"/>
        <v>5.20499125</v>
      </c>
      <c r="I441" s="382">
        <v>84613.03</v>
      </c>
      <c r="J441" s="103">
        <f t="shared" si="369"/>
        <v>10.576628749999999</v>
      </c>
      <c r="K441" s="378">
        <v>22452.42</v>
      </c>
      <c r="L441" s="103">
        <f t="shared" si="370"/>
        <v>4.0539091666666662</v>
      </c>
      <c r="M441" s="378">
        <v>2696.67</v>
      </c>
      <c r="N441" s="103">
        <f t="shared" si="371"/>
        <v>0.18726875000000001</v>
      </c>
      <c r="O441" s="378">
        <v>163035.79999999999</v>
      </c>
      <c r="P441" s="103">
        <f t="shared" si="372"/>
        <v>29.437019444444442</v>
      </c>
      <c r="Q441" s="378">
        <v>200417.06</v>
      </c>
      <c r="R441" s="380">
        <f t="shared" si="373"/>
        <v>44.537124444444444</v>
      </c>
    </row>
    <row r="442" spans="2:18" x14ac:dyDescent="0.25">
      <c r="B442" s="377">
        <f t="shared" si="359"/>
        <v>45923</v>
      </c>
      <c r="C442" s="378">
        <v>6020.28</v>
      </c>
      <c r="D442" s="103">
        <f t="shared" si="358"/>
        <v>1.2542249999999999</v>
      </c>
      <c r="E442" s="382">
        <v>8873011.75</v>
      </c>
      <c r="F442" s="103">
        <f t="shared" si="367"/>
        <v>1848.5441145833333</v>
      </c>
      <c r="G442" s="378">
        <v>41639.93</v>
      </c>
      <c r="H442" s="103">
        <f t="shared" si="368"/>
        <v>5.20499125</v>
      </c>
      <c r="I442" s="382">
        <v>84613.03</v>
      </c>
      <c r="J442" s="103">
        <f t="shared" si="369"/>
        <v>10.576628749999999</v>
      </c>
      <c r="K442" s="378">
        <v>22452.42</v>
      </c>
      <c r="L442" s="103">
        <f t="shared" si="370"/>
        <v>4.0539091666666662</v>
      </c>
      <c r="M442" s="378">
        <v>2696.67</v>
      </c>
      <c r="N442" s="103">
        <f t="shared" si="371"/>
        <v>0.18726875000000001</v>
      </c>
      <c r="O442" s="378">
        <v>163035.79999999999</v>
      </c>
      <c r="P442" s="103">
        <f t="shared" si="372"/>
        <v>29.437019444444442</v>
      </c>
      <c r="Q442" s="378">
        <v>200417.06</v>
      </c>
      <c r="R442" s="380">
        <f t="shared" si="373"/>
        <v>44.537124444444444</v>
      </c>
    </row>
    <row r="443" spans="2:18" x14ac:dyDescent="0.25">
      <c r="B443" s="377">
        <f t="shared" si="359"/>
        <v>45924</v>
      </c>
      <c r="C443" s="378">
        <v>88966.7</v>
      </c>
      <c r="D443" s="103">
        <f t="shared" si="358"/>
        <v>18.534729166666665</v>
      </c>
      <c r="E443" s="382">
        <v>4273011.75</v>
      </c>
      <c r="F443" s="103">
        <f t="shared" si="367"/>
        <v>890.21078124999997</v>
      </c>
      <c r="G443" s="378">
        <v>41639.93</v>
      </c>
      <c r="H443" s="103">
        <f t="shared" si="368"/>
        <v>5.20499125</v>
      </c>
      <c r="I443" s="382">
        <v>78740.67</v>
      </c>
      <c r="J443" s="103">
        <f t="shared" si="369"/>
        <v>9.8425837499999993</v>
      </c>
      <c r="K443" s="378">
        <v>22452.42</v>
      </c>
      <c r="L443" s="103">
        <f t="shared" si="370"/>
        <v>4.0539091666666662</v>
      </c>
      <c r="M443" s="378">
        <v>2696.67</v>
      </c>
      <c r="N443" s="103">
        <f t="shared" si="371"/>
        <v>0.18726875000000001</v>
      </c>
      <c r="O443" s="378">
        <v>163035.79999999999</v>
      </c>
      <c r="P443" s="103">
        <f t="shared" si="372"/>
        <v>29.437019444444442</v>
      </c>
      <c r="Q443" s="378">
        <v>200417.06</v>
      </c>
      <c r="R443" s="380">
        <f t="shared" si="373"/>
        <v>44.537124444444444</v>
      </c>
    </row>
    <row r="444" spans="2:18" x14ac:dyDescent="0.25">
      <c r="B444" s="377">
        <f t="shared" si="359"/>
        <v>45925</v>
      </c>
      <c r="C444" s="378">
        <v>39490.33</v>
      </c>
      <c r="D444" s="103">
        <f t="shared" si="358"/>
        <v>8.2271520833333334</v>
      </c>
      <c r="E444" s="382">
        <v>1007033.22</v>
      </c>
      <c r="F444" s="103">
        <f t="shared" si="367"/>
        <v>209.79858749999997</v>
      </c>
      <c r="G444" s="378">
        <v>41639.93</v>
      </c>
      <c r="H444" s="103">
        <f t="shared" si="368"/>
        <v>5.20499125</v>
      </c>
      <c r="I444" s="382">
        <v>78740.67</v>
      </c>
      <c r="J444" s="103">
        <f t="shared" si="369"/>
        <v>9.8425837499999993</v>
      </c>
      <c r="K444" s="378">
        <v>22452.42</v>
      </c>
      <c r="L444" s="103">
        <f t="shared" si="370"/>
        <v>4.0539091666666662</v>
      </c>
      <c r="M444" s="378">
        <v>2696.67</v>
      </c>
      <c r="N444" s="103">
        <f t="shared" si="371"/>
        <v>0.18726875000000001</v>
      </c>
      <c r="O444" s="378">
        <v>163035.79999999999</v>
      </c>
      <c r="P444" s="103">
        <f t="shared" si="372"/>
        <v>29.437019444444442</v>
      </c>
      <c r="Q444" s="378">
        <v>200417.06</v>
      </c>
      <c r="R444" s="380">
        <f t="shared" si="373"/>
        <v>44.537124444444444</v>
      </c>
    </row>
    <row r="445" spans="2:18" x14ac:dyDescent="0.25">
      <c r="B445" s="377">
        <f t="shared" si="359"/>
        <v>45926</v>
      </c>
      <c r="C445" s="378">
        <v>39490.33</v>
      </c>
      <c r="D445" s="103">
        <f t="shared" si="358"/>
        <v>8.2271520833333334</v>
      </c>
      <c r="E445" s="382">
        <v>1007033.22</v>
      </c>
      <c r="F445" s="103">
        <f t="shared" si="367"/>
        <v>209.79858749999997</v>
      </c>
      <c r="G445" s="378">
        <v>41639.93</v>
      </c>
      <c r="H445" s="103">
        <f t="shared" si="368"/>
        <v>5.20499125</v>
      </c>
      <c r="I445" s="382">
        <v>78740.67</v>
      </c>
      <c r="J445" s="103">
        <f t="shared" si="369"/>
        <v>9.8425837499999993</v>
      </c>
      <c r="K445" s="378">
        <v>22452.42</v>
      </c>
      <c r="L445" s="103">
        <f t="shared" si="370"/>
        <v>4.0539091666666662</v>
      </c>
      <c r="M445" s="378">
        <v>2696.67</v>
      </c>
      <c r="N445" s="103">
        <f t="shared" si="371"/>
        <v>0.18726875000000001</v>
      </c>
      <c r="O445" s="378">
        <v>163035.79999999999</v>
      </c>
      <c r="P445" s="103">
        <f t="shared" si="372"/>
        <v>29.437019444444442</v>
      </c>
      <c r="Q445" s="378">
        <v>200417.06</v>
      </c>
      <c r="R445" s="380">
        <f t="shared" si="373"/>
        <v>44.537124444444444</v>
      </c>
    </row>
    <row r="446" spans="2:18" x14ac:dyDescent="0.25">
      <c r="B446" s="377">
        <f t="shared" si="359"/>
        <v>45927</v>
      </c>
      <c r="C446" s="378">
        <v>39490.33</v>
      </c>
      <c r="D446" s="103">
        <f t="shared" si="358"/>
        <v>8.2271520833333334</v>
      </c>
      <c r="E446" s="382">
        <v>1007033.22</v>
      </c>
      <c r="F446" s="103">
        <f t="shared" si="367"/>
        <v>209.79858749999997</v>
      </c>
      <c r="G446" s="378">
        <v>41639.93</v>
      </c>
      <c r="H446" s="103">
        <f t="shared" si="368"/>
        <v>5.20499125</v>
      </c>
      <c r="I446" s="382">
        <v>78740.67</v>
      </c>
      <c r="J446" s="103">
        <f t="shared" si="369"/>
        <v>9.8425837499999993</v>
      </c>
      <c r="K446" s="378">
        <v>22452.42</v>
      </c>
      <c r="L446" s="103">
        <f t="shared" si="370"/>
        <v>4.0539091666666662</v>
      </c>
      <c r="M446" s="378">
        <v>2696.67</v>
      </c>
      <c r="N446" s="103">
        <f t="shared" si="371"/>
        <v>0.18726875000000001</v>
      </c>
      <c r="O446" s="378">
        <v>163035.79999999999</v>
      </c>
      <c r="P446" s="103">
        <f t="shared" si="372"/>
        <v>29.437019444444442</v>
      </c>
      <c r="Q446" s="378">
        <v>200417.06</v>
      </c>
      <c r="R446" s="380">
        <f t="shared" si="373"/>
        <v>44.537124444444444</v>
      </c>
    </row>
    <row r="447" spans="2:18" x14ac:dyDescent="0.25">
      <c r="B447" s="377">
        <f t="shared" si="359"/>
        <v>45928</v>
      </c>
      <c r="C447" s="378">
        <v>5040252.33</v>
      </c>
      <c r="D447" s="103">
        <f t="shared" si="358"/>
        <v>1050.0525687500001</v>
      </c>
      <c r="E447" s="382">
        <v>1129833.22</v>
      </c>
      <c r="F447" s="103">
        <f t="shared" si="367"/>
        <v>235.38192083333331</v>
      </c>
      <c r="G447" s="378">
        <v>132639.93</v>
      </c>
      <c r="H447" s="103">
        <f t="shared" ref="H447:H453" si="374">(G447*4.5%)/360</f>
        <v>16.579991249999999</v>
      </c>
      <c r="I447" s="382">
        <v>78740.67</v>
      </c>
      <c r="J447" s="103">
        <f t="shared" ref="J447:J453" si="375">(I447*4.5%)/360</f>
        <v>9.8425837499999993</v>
      </c>
      <c r="K447" s="378">
        <v>22452.42</v>
      </c>
      <c r="L447" s="103">
        <f t="shared" ref="L447:L453" si="376">(K447*6.5%)/360</f>
        <v>4.0539091666666662</v>
      </c>
      <c r="M447" s="378">
        <v>2696.67</v>
      </c>
      <c r="N447" s="103">
        <f t="shared" ref="N447:N453" si="377">(M447*2.5%)/360</f>
        <v>0.18726875000000001</v>
      </c>
      <c r="O447" s="378">
        <v>163035.79999999999</v>
      </c>
      <c r="P447" s="103">
        <f t="shared" ref="P447:P453" si="378">(O447*6.5%)/360</f>
        <v>29.437019444444442</v>
      </c>
      <c r="Q447" s="378">
        <v>200417.06</v>
      </c>
      <c r="R447" s="380">
        <f t="shared" ref="R447:R453" si="379">(Q447*8%)/360</f>
        <v>44.537124444444444</v>
      </c>
    </row>
    <row r="448" spans="2:18" x14ac:dyDescent="0.25">
      <c r="B448" s="377">
        <f t="shared" si="359"/>
        <v>45929</v>
      </c>
      <c r="C448" s="378">
        <v>3040192.33</v>
      </c>
      <c r="D448" s="103">
        <f t="shared" si="358"/>
        <v>633.3734020833333</v>
      </c>
      <c r="E448" s="382">
        <v>1129853.22</v>
      </c>
      <c r="F448" s="103">
        <f t="shared" si="367"/>
        <v>235.38608749999997</v>
      </c>
      <c r="G448" s="378">
        <v>87639.93</v>
      </c>
      <c r="H448" s="103">
        <f t="shared" si="374"/>
        <v>10.954991249999999</v>
      </c>
      <c r="I448" s="382">
        <v>78740.67</v>
      </c>
      <c r="J448" s="103">
        <f t="shared" si="375"/>
        <v>9.8425837499999993</v>
      </c>
      <c r="K448" s="378">
        <v>22452.42</v>
      </c>
      <c r="L448" s="103">
        <f t="shared" si="376"/>
        <v>4.0539091666666662</v>
      </c>
      <c r="M448" s="378">
        <v>2696.67</v>
      </c>
      <c r="N448" s="103">
        <f t="shared" si="377"/>
        <v>0.18726875000000001</v>
      </c>
      <c r="O448" s="378">
        <v>163035.79999999999</v>
      </c>
      <c r="P448" s="103">
        <f t="shared" si="378"/>
        <v>29.437019444444442</v>
      </c>
      <c r="Q448" s="378">
        <v>200417.06</v>
      </c>
      <c r="R448" s="380">
        <f t="shared" si="379"/>
        <v>44.537124444444444</v>
      </c>
    </row>
    <row r="449" spans="2:18" x14ac:dyDescent="0.25">
      <c r="B449" s="377">
        <f t="shared" si="359"/>
        <v>45930</v>
      </c>
      <c r="C449" s="378">
        <v>1007852.33</v>
      </c>
      <c r="D449" s="103">
        <f t="shared" si="358"/>
        <v>209.96923541666663</v>
      </c>
      <c r="E449" s="382">
        <v>1129853.22</v>
      </c>
      <c r="F449" s="103">
        <f t="shared" si="367"/>
        <v>235.38608749999997</v>
      </c>
      <c r="G449" s="378">
        <v>87639.93</v>
      </c>
      <c r="H449" s="103">
        <f t="shared" si="374"/>
        <v>10.954991249999999</v>
      </c>
      <c r="I449" s="382">
        <v>78740.67</v>
      </c>
      <c r="J449" s="103">
        <f t="shared" si="375"/>
        <v>9.8425837499999993</v>
      </c>
      <c r="K449" s="378">
        <v>22452.42</v>
      </c>
      <c r="L449" s="103">
        <f t="shared" si="376"/>
        <v>4.0539091666666662</v>
      </c>
      <c r="M449" s="378">
        <v>2696.67</v>
      </c>
      <c r="N449" s="103">
        <f t="shared" si="377"/>
        <v>0.18726875000000001</v>
      </c>
      <c r="O449" s="378">
        <v>163035.79999999999</v>
      </c>
      <c r="P449" s="103">
        <f t="shared" si="378"/>
        <v>29.437019444444442</v>
      </c>
      <c r="Q449" s="378">
        <v>200417.06</v>
      </c>
      <c r="R449" s="380">
        <f t="shared" si="379"/>
        <v>44.537124444444444</v>
      </c>
    </row>
    <row r="450" spans="2:18" x14ac:dyDescent="0.25">
      <c r="B450" s="377">
        <f t="shared" si="359"/>
        <v>45931</v>
      </c>
      <c r="C450" s="378">
        <v>1007852.33</v>
      </c>
      <c r="D450" s="103">
        <f t="shared" si="358"/>
        <v>209.96923541666663</v>
      </c>
      <c r="E450" s="382">
        <v>1129853.22</v>
      </c>
      <c r="F450" s="103">
        <f t="shared" si="367"/>
        <v>235.38608749999997</v>
      </c>
      <c r="G450" s="378">
        <v>87639.93</v>
      </c>
      <c r="H450" s="103">
        <f t="shared" si="374"/>
        <v>10.954991249999999</v>
      </c>
      <c r="I450" s="382">
        <v>78740.67</v>
      </c>
      <c r="J450" s="103">
        <f t="shared" si="375"/>
        <v>9.8425837499999993</v>
      </c>
      <c r="K450" s="378">
        <v>22452.42</v>
      </c>
      <c r="L450" s="103">
        <f t="shared" si="376"/>
        <v>4.0539091666666662</v>
      </c>
      <c r="M450" s="378">
        <v>2696.67</v>
      </c>
      <c r="N450" s="103">
        <f t="shared" si="377"/>
        <v>0.18726875000000001</v>
      </c>
      <c r="O450" s="378">
        <v>163035.79999999999</v>
      </c>
      <c r="P450" s="103">
        <f t="shared" si="378"/>
        <v>29.437019444444442</v>
      </c>
      <c r="Q450" s="378">
        <v>200417.06</v>
      </c>
      <c r="R450" s="380">
        <f t="shared" si="379"/>
        <v>44.537124444444444</v>
      </c>
    </row>
    <row r="451" spans="2:18" x14ac:dyDescent="0.25">
      <c r="B451" s="377">
        <f t="shared" si="359"/>
        <v>45932</v>
      </c>
      <c r="C451" s="378">
        <v>1007852.33</v>
      </c>
      <c r="D451" s="103">
        <f t="shared" si="358"/>
        <v>209.96923541666663</v>
      </c>
      <c r="E451" s="382">
        <v>1129853.22</v>
      </c>
      <c r="F451" s="103">
        <f t="shared" si="367"/>
        <v>235.38608749999997</v>
      </c>
      <c r="G451" s="378">
        <v>87639.93</v>
      </c>
      <c r="H451" s="103">
        <f t="shared" si="374"/>
        <v>10.954991249999999</v>
      </c>
      <c r="I451" s="382">
        <v>78740.67</v>
      </c>
      <c r="J451" s="103">
        <f t="shared" si="375"/>
        <v>9.8425837499999993</v>
      </c>
      <c r="K451" s="378">
        <v>22452.42</v>
      </c>
      <c r="L451" s="103">
        <f t="shared" si="376"/>
        <v>4.0539091666666662</v>
      </c>
      <c r="M451" s="378">
        <v>2696.67</v>
      </c>
      <c r="N451" s="103">
        <f t="shared" si="377"/>
        <v>0.18726875000000001</v>
      </c>
      <c r="O451" s="378">
        <v>163035.79999999999</v>
      </c>
      <c r="P451" s="103">
        <f t="shared" si="378"/>
        <v>29.437019444444442</v>
      </c>
      <c r="Q451" s="378">
        <v>200417.06</v>
      </c>
      <c r="R451" s="380">
        <f t="shared" si="379"/>
        <v>44.537124444444444</v>
      </c>
    </row>
    <row r="452" spans="2:18" x14ac:dyDescent="0.25">
      <c r="B452" s="377">
        <f t="shared" si="359"/>
        <v>45933</v>
      </c>
      <c r="C452" s="378">
        <v>1007852.33</v>
      </c>
      <c r="D452" s="103">
        <f t="shared" si="358"/>
        <v>209.96923541666663</v>
      </c>
      <c r="E452" s="382">
        <v>1129853.22</v>
      </c>
      <c r="F452" s="103">
        <f t="shared" si="367"/>
        <v>235.38608749999997</v>
      </c>
      <c r="G452" s="378">
        <v>87639.93</v>
      </c>
      <c r="H452" s="103">
        <f t="shared" si="374"/>
        <v>10.954991249999999</v>
      </c>
      <c r="I452" s="382">
        <v>78740.67</v>
      </c>
      <c r="J452" s="103">
        <f t="shared" si="375"/>
        <v>9.8425837499999993</v>
      </c>
      <c r="K452" s="378">
        <v>22452.42</v>
      </c>
      <c r="L452" s="103">
        <f t="shared" si="376"/>
        <v>4.0539091666666662</v>
      </c>
      <c r="M452" s="378">
        <v>2696.67</v>
      </c>
      <c r="N452" s="103">
        <f t="shared" si="377"/>
        <v>0.18726875000000001</v>
      </c>
      <c r="O452" s="378">
        <v>163035.79999999999</v>
      </c>
      <c r="P452" s="103">
        <f t="shared" si="378"/>
        <v>29.437019444444442</v>
      </c>
      <c r="Q452" s="378">
        <v>200417.06</v>
      </c>
      <c r="R452" s="380">
        <f t="shared" si="379"/>
        <v>44.537124444444444</v>
      </c>
    </row>
    <row r="453" spans="2:18" x14ac:dyDescent="0.25">
      <c r="B453" s="377">
        <f t="shared" si="359"/>
        <v>45934</v>
      </c>
      <c r="C453" s="378">
        <v>1007852.33</v>
      </c>
      <c r="D453" s="103">
        <f t="shared" si="358"/>
        <v>209.96923541666663</v>
      </c>
      <c r="E453" s="382">
        <v>1129853.22</v>
      </c>
      <c r="F453" s="103">
        <f t="shared" si="367"/>
        <v>235.38608749999997</v>
      </c>
      <c r="G453" s="378">
        <v>87639.93</v>
      </c>
      <c r="H453" s="103">
        <f t="shared" si="374"/>
        <v>10.954991249999999</v>
      </c>
      <c r="I453" s="382">
        <v>78740.67</v>
      </c>
      <c r="J453" s="103">
        <f t="shared" si="375"/>
        <v>9.8425837499999993</v>
      </c>
      <c r="K453" s="378">
        <v>22452.42</v>
      </c>
      <c r="L453" s="103">
        <f t="shared" si="376"/>
        <v>4.0539091666666662</v>
      </c>
      <c r="M453" s="378">
        <v>2696.67</v>
      </c>
      <c r="N453" s="103">
        <f t="shared" si="377"/>
        <v>0.18726875000000001</v>
      </c>
      <c r="O453" s="378">
        <v>163035.79999999999</v>
      </c>
      <c r="P453" s="103">
        <f t="shared" si="378"/>
        <v>29.437019444444442</v>
      </c>
      <c r="Q453" s="378">
        <v>200417.06</v>
      </c>
      <c r="R453" s="380">
        <f t="shared" si="379"/>
        <v>44.537124444444444</v>
      </c>
    </row>
    <row r="454" spans="2:18" x14ac:dyDescent="0.25">
      <c r="B454" s="377">
        <f t="shared" si="359"/>
        <v>45935</v>
      </c>
      <c r="C454" s="378">
        <v>1007852.33</v>
      </c>
      <c r="D454" s="103">
        <f t="shared" si="358"/>
        <v>209.96923541666663</v>
      </c>
      <c r="E454" s="382">
        <v>476805.49</v>
      </c>
      <c r="F454" s="103">
        <f t="shared" ref="F454:F460" si="380">(E454*7.5%)/360</f>
        <v>99.334477083333326</v>
      </c>
      <c r="G454" s="378">
        <v>135639.93</v>
      </c>
      <c r="H454" s="103">
        <f t="shared" ref="H454:H460" si="381">(G454*4.5%)/360</f>
        <v>16.954991249999999</v>
      </c>
      <c r="I454" s="382">
        <v>78740.67</v>
      </c>
      <c r="J454" s="103">
        <f t="shared" ref="J454:J460" si="382">(I454*4.5%)/360</f>
        <v>9.8425837499999993</v>
      </c>
      <c r="K454" s="378">
        <v>22452.42</v>
      </c>
      <c r="L454" s="103">
        <f t="shared" ref="L454:L460" si="383">(K454*6.5%)/360</f>
        <v>4.0539091666666662</v>
      </c>
      <c r="M454" s="378">
        <v>2696.67</v>
      </c>
      <c r="N454" s="103">
        <f t="shared" ref="N454:N460" si="384">(M454*2.5%)/360</f>
        <v>0.18726875000000001</v>
      </c>
      <c r="O454" s="378">
        <v>163035.79999999999</v>
      </c>
      <c r="P454" s="103">
        <f t="shared" ref="P454:P460" si="385">(O454*6.5%)/360</f>
        <v>29.437019444444442</v>
      </c>
      <c r="Q454" s="378">
        <v>200417.06</v>
      </c>
      <c r="R454" s="380">
        <f t="shared" ref="R454:R460" si="386">(Q454*8%)/360</f>
        <v>44.537124444444444</v>
      </c>
    </row>
    <row r="455" spans="2:18" x14ac:dyDescent="0.25">
      <c r="B455" s="377">
        <f t="shared" si="359"/>
        <v>45936</v>
      </c>
      <c r="C455" s="378">
        <v>1007852.33</v>
      </c>
      <c r="D455" s="103">
        <f t="shared" si="358"/>
        <v>209.96923541666663</v>
      </c>
      <c r="E455" s="382">
        <v>12840862.880000001</v>
      </c>
      <c r="F455" s="103">
        <f t="shared" si="380"/>
        <v>2675.1797666666666</v>
      </c>
      <c r="G455" s="378">
        <v>135639.93</v>
      </c>
      <c r="H455" s="103">
        <f t="shared" si="381"/>
        <v>16.954991249999999</v>
      </c>
      <c r="I455" s="382">
        <v>78740.67</v>
      </c>
      <c r="J455" s="103">
        <f t="shared" si="382"/>
        <v>9.8425837499999993</v>
      </c>
      <c r="K455" s="378">
        <v>22452.42</v>
      </c>
      <c r="L455" s="103">
        <f t="shared" si="383"/>
        <v>4.0539091666666662</v>
      </c>
      <c r="M455" s="378">
        <v>2696.67</v>
      </c>
      <c r="N455" s="103">
        <f t="shared" si="384"/>
        <v>0.18726875000000001</v>
      </c>
      <c r="O455" s="378">
        <v>163035.79999999999</v>
      </c>
      <c r="P455" s="103">
        <f t="shared" si="385"/>
        <v>29.437019444444442</v>
      </c>
      <c r="Q455" s="378">
        <v>200417.06</v>
      </c>
      <c r="R455" s="380">
        <f t="shared" si="386"/>
        <v>44.537124444444444</v>
      </c>
    </row>
    <row r="456" spans="2:18" x14ac:dyDescent="0.25">
      <c r="B456" s="377">
        <f t="shared" si="359"/>
        <v>45937</v>
      </c>
      <c r="C456" s="378">
        <v>1007852.33</v>
      </c>
      <c r="D456" s="103">
        <f t="shared" si="358"/>
        <v>209.96923541666663</v>
      </c>
      <c r="E456" s="382">
        <v>15244573.41</v>
      </c>
      <c r="F456" s="103">
        <f t="shared" si="380"/>
        <v>3175.9527937500002</v>
      </c>
      <c r="G456" s="378">
        <v>135639.93</v>
      </c>
      <c r="H456" s="103">
        <f t="shared" si="381"/>
        <v>16.954991249999999</v>
      </c>
      <c r="I456" s="382">
        <v>78740.67</v>
      </c>
      <c r="J456" s="103">
        <f t="shared" si="382"/>
        <v>9.8425837499999993</v>
      </c>
      <c r="K456" s="378">
        <v>22452.42</v>
      </c>
      <c r="L456" s="103">
        <f t="shared" si="383"/>
        <v>4.0539091666666662</v>
      </c>
      <c r="M456" s="378">
        <v>2696.67</v>
      </c>
      <c r="N456" s="103">
        <f t="shared" si="384"/>
        <v>0.18726875000000001</v>
      </c>
      <c r="O456" s="378">
        <v>163035.79999999999</v>
      </c>
      <c r="P456" s="103">
        <f t="shared" si="385"/>
        <v>29.437019444444442</v>
      </c>
      <c r="Q456" s="378">
        <v>200417.06</v>
      </c>
      <c r="R456" s="380">
        <f t="shared" si="386"/>
        <v>44.537124444444444</v>
      </c>
    </row>
    <row r="457" spans="2:18" x14ac:dyDescent="0.25">
      <c r="B457" s="377">
        <f t="shared" si="359"/>
        <v>45938</v>
      </c>
      <c r="C457" s="378">
        <v>7752.33</v>
      </c>
      <c r="D457" s="103">
        <f t="shared" si="358"/>
        <v>1.6150687500000001</v>
      </c>
      <c r="E457" s="382">
        <v>1100479.04</v>
      </c>
      <c r="F457" s="103">
        <f t="shared" si="380"/>
        <v>229.26646666666667</v>
      </c>
      <c r="G457" s="378">
        <v>135639.93</v>
      </c>
      <c r="H457" s="103">
        <f t="shared" si="381"/>
        <v>16.954991249999999</v>
      </c>
      <c r="I457" s="382">
        <v>78740.67</v>
      </c>
      <c r="J457" s="103">
        <f t="shared" si="382"/>
        <v>9.8425837499999993</v>
      </c>
      <c r="K457" s="378">
        <v>22452.42</v>
      </c>
      <c r="L457" s="103">
        <f t="shared" si="383"/>
        <v>4.0539091666666662</v>
      </c>
      <c r="M457" s="378">
        <v>2696.67</v>
      </c>
      <c r="N457" s="103">
        <f t="shared" si="384"/>
        <v>0.18726875000000001</v>
      </c>
      <c r="O457" s="378">
        <v>163035.79999999999</v>
      </c>
      <c r="P457" s="103">
        <f t="shared" si="385"/>
        <v>29.437019444444442</v>
      </c>
      <c r="Q457" s="378">
        <v>200417.06</v>
      </c>
      <c r="R457" s="380">
        <f t="shared" si="386"/>
        <v>44.537124444444444</v>
      </c>
    </row>
    <row r="458" spans="2:18" x14ac:dyDescent="0.25">
      <c r="B458" s="377">
        <f t="shared" si="359"/>
        <v>45939</v>
      </c>
      <c r="C458" s="378">
        <v>214592.33</v>
      </c>
      <c r="D458" s="103">
        <f t="shared" si="358"/>
        <v>44.70673541666666</v>
      </c>
      <c r="E458" s="382">
        <v>100155.21</v>
      </c>
      <c r="F458" s="103">
        <f t="shared" si="380"/>
        <v>20.865668750000001</v>
      </c>
      <c r="G458" s="378">
        <v>135639.93</v>
      </c>
      <c r="H458" s="103">
        <f t="shared" si="381"/>
        <v>16.954991249999999</v>
      </c>
      <c r="I458" s="382">
        <v>78740.67</v>
      </c>
      <c r="J458" s="103">
        <f t="shared" si="382"/>
        <v>9.8425837499999993</v>
      </c>
      <c r="K458" s="378">
        <v>22452.42</v>
      </c>
      <c r="L458" s="103">
        <f t="shared" si="383"/>
        <v>4.0539091666666662</v>
      </c>
      <c r="M458" s="378">
        <v>2696.67</v>
      </c>
      <c r="N458" s="103">
        <f t="shared" si="384"/>
        <v>0.18726875000000001</v>
      </c>
      <c r="O458" s="378">
        <v>163035.79999999999</v>
      </c>
      <c r="P458" s="103">
        <f t="shared" si="385"/>
        <v>29.437019444444442</v>
      </c>
      <c r="Q458" s="378">
        <v>200417.06</v>
      </c>
      <c r="R458" s="380">
        <f t="shared" si="386"/>
        <v>44.537124444444444</v>
      </c>
    </row>
    <row r="459" spans="2:18" x14ac:dyDescent="0.25">
      <c r="B459" s="377">
        <f t="shared" si="359"/>
        <v>45940</v>
      </c>
      <c r="C459" s="378">
        <v>214592.33</v>
      </c>
      <c r="D459" s="103">
        <f t="shared" si="358"/>
        <v>44.70673541666666</v>
      </c>
      <c r="E459" s="382">
        <v>100155.21</v>
      </c>
      <c r="F459" s="103">
        <f t="shared" si="380"/>
        <v>20.865668750000001</v>
      </c>
      <c r="G459" s="378">
        <v>135639.93</v>
      </c>
      <c r="H459" s="103">
        <f t="shared" si="381"/>
        <v>16.954991249999999</v>
      </c>
      <c r="I459" s="382">
        <v>78740.67</v>
      </c>
      <c r="J459" s="103">
        <f t="shared" si="382"/>
        <v>9.8425837499999993</v>
      </c>
      <c r="K459" s="378">
        <v>22452.42</v>
      </c>
      <c r="L459" s="103">
        <f t="shared" si="383"/>
        <v>4.0539091666666662</v>
      </c>
      <c r="M459" s="378">
        <v>2696.67</v>
      </c>
      <c r="N459" s="103">
        <f t="shared" si="384"/>
        <v>0.18726875000000001</v>
      </c>
      <c r="O459" s="378">
        <v>163035.79999999999</v>
      </c>
      <c r="P459" s="103">
        <f t="shared" si="385"/>
        <v>29.437019444444442</v>
      </c>
      <c r="Q459" s="378">
        <v>200417.06</v>
      </c>
      <c r="R459" s="380">
        <f t="shared" si="386"/>
        <v>44.537124444444444</v>
      </c>
    </row>
    <row r="460" spans="2:18" x14ac:dyDescent="0.25">
      <c r="B460" s="377">
        <f t="shared" si="359"/>
        <v>45941</v>
      </c>
      <c r="C460" s="378">
        <v>214592.33</v>
      </c>
      <c r="D460" s="103">
        <f t="shared" si="358"/>
        <v>44.70673541666666</v>
      </c>
      <c r="E460" s="382">
        <v>100155.21</v>
      </c>
      <c r="F460" s="103">
        <f t="shared" si="380"/>
        <v>20.865668750000001</v>
      </c>
      <c r="G460" s="378">
        <v>135639.93</v>
      </c>
      <c r="H460" s="103">
        <f t="shared" si="381"/>
        <v>16.954991249999999</v>
      </c>
      <c r="I460" s="382">
        <v>78740.67</v>
      </c>
      <c r="J460" s="103">
        <f t="shared" si="382"/>
        <v>9.8425837499999993</v>
      </c>
      <c r="K460" s="378">
        <v>22452.42</v>
      </c>
      <c r="L460" s="103">
        <f t="shared" si="383"/>
        <v>4.0539091666666662</v>
      </c>
      <c r="M460" s="378">
        <v>2696.67</v>
      </c>
      <c r="N460" s="103">
        <f t="shared" si="384"/>
        <v>0.18726875000000001</v>
      </c>
      <c r="O460" s="378">
        <v>163035.79999999999</v>
      </c>
      <c r="P460" s="103">
        <f t="shared" si="385"/>
        <v>29.437019444444442</v>
      </c>
      <c r="Q460" s="378">
        <v>200417.06</v>
      </c>
      <c r="R460" s="380">
        <f t="shared" si="386"/>
        <v>44.537124444444444</v>
      </c>
    </row>
    <row r="461" spans="2:18" x14ac:dyDescent="0.25">
      <c r="B461" s="377">
        <f t="shared" si="359"/>
        <v>45942</v>
      </c>
      <c r="C461" s="378">
        <v>14592.33</v>
      </c>
      <c r="D461" s="103">
        <f t="shared" si="358"/>
        <v>3.0400687499999997</v>
      </c>
      <c r="E461" s="382">
        <v>206182.01</v>
      </c>
      <c r="F461" s="103">
        <f t="shared" ref="F461:F467" si="387">(E461*7.5%)/360</f>
        <v>42.954585416666667</v>
      </c>
      <c r="G461" s="378">
        <v>135639.93</v>
      </c>
      <c r="H461" s="103">
        <f t="shared" ref="H461:H467" si="388">(G461*4.5%)/360</f>
        <v>16.954991249999999</v>
      </c>
      <c r="I461" s="382">
        <v>78740.67</v>
      </c>
      <c r="J461" s="103">
        <f t="shared" ref="J461:J467" si="389">(I461*4.5%)/360</f>
        <v>9.8425837499999993</v>
      </c>
      <c r="K461" s="378">
        <v>22452.42</v>
      </c>
      <c r="L461" s="103">
        <f t="shared" ref="L461:L467" si="390">(K461*6.5%)/360</f>
        <v>4.0539091666666662</v>
      </c>
      <c r="M461" s="378">
        <v>2696.67</v>
      </c>
      <c r="N461" s="103">
        <f t="shared" ref="N461:N467" si="391">(M461*2.5%)/360</f>
        <v>0.18726875000000001</v>
      </c>
      <c r="O461" s="378">
        <v>163035.79999999999</v>
      </c>
      <c r="P461" s="103">
        <f t="shared" ref="P461:P467" si="392">(O461*6.5%)/360</f>
        <v>29.437019444444442</v>
      </c>
      <c r="Q461" s="378">
        <v>200417.06</v>
      </c>
      <c r="R461" s="380">
        <f t="shared" ref="R461:R467" si="393">(Q461*8%)/360</f>
        <v>44.537124444444444</v>
      </c>
    </row>
    <row r="462" spans="2:18" x14ac:dyDescent="0.25">
      <c r="B462" s="377">
        <f t="shared" si="359"/>
        <v>45943</v>
      </c>
      <c r="C462" s="378">
        <v>14592.33</v>
      </c>
      <c r="D462" s="103">
        <f t="shared" si="358"/>
        <v>3.0400687499999997</v>
      </c>
      <c r="E462" s="382">
        <v>195182.01</v>
      </c>
      <c r="F462" s="103">
        <f t="shared" si="387"/>
        <v>40.662918750000003</v>
      </c>
      <c r="G462" s="378">
        <v>135639.93</v>
      </c>
      <c r="H462" s="103">
        <f t="shared" si="388"/>
        <v>16.954991249999999</v>
      </c>
      <c r="I462" s="382">
        <v>78740.67</v>
      </c>
      <c r="J462" s="103">
        <f t="shared" si="389"/>
        <v>9.8425837499999993</v>
      </c>
      <c r="K462" s="378">
        <v>22452.42</v>
      </c>
      <c r="L462" s="103">
        <f t="shared" si="390"/>
        <v>4.0539091666666662</v>
      </c>
      <c r="M462" s="378">
        <v>2696.67</v>
      </c>
      <c r="N462" s="103">
        <f t="shared" si="391"/>
        <v>0.18726875000000001</v>
      </c>
      <c r="O462" s="378">
        <v>163035.79999999999</v>
      </c>
      <c r="P462" s="103">
        <f t="shared" si="392"/>
        <v>29.437019444444442</v>
      </c>
      <c r="Q462" s="378">
        <v>200417.06</v>
      </c>
      <c r="R462" s="380">
        <f t="shared" si="393"/>
        <v>44.537124444444444</v>
      </c>
    </row>
    <row r="463" spans="2:18" x14ac:dyDescent="0.25">
      <c r="B463" s="377">
        <f t="shared" si="359"/>
        <v>45944</v>
      </c>
      <c r="C463" s="378">
        <v>6592.33</v>
      </c>
      <c r="D463" s="103">
        <f t="shared" si="358"/>
        <v>1.3734020833333331</v>
      </c>
      <c r="E463" s="382">
        <v>55087.43</v>
      </c>
      <c r="F463" s="103">
        <f t="shared" si="387"/>
        <v>11.476547916666666</v>
      </c>
      <c r="G463" s="378">
        <v>135639.93</v>
      </c>
      <c r="H463" s="103">
        <f t="shared" si="388"/>
        <v>16.954991249999999</v>
      </c>
      <c r="I463" s="382">
        <v>78740.67</v>
      </c>
      <c r="J463" s="103">
        <f t="shared" si="389"/>
        <v>9.8425837499999993</v>
      </c>
      <c r="K463" s="378">
        <v>22452.42</v>
      </c>
      <c r="L463" s="103">
        <f t="shared" si="390"/>
        <v>4.0539091666666662</v>
      </c>
      <c r="M463" s="378">
        <v>2696.67</v>
      </c>
      <c r="N463" s="103">
        <f t="shared" si="391"/>
        <v>0.18726875000000001</v>
      </c>
      <c r="O463" s="378">
        <v>163035.79999999999</v>
      </c>
      <c r="P463" s="103">
        <f t="shared" si="392"/>
        <v>29.437019444444442</v>
      </c>
      <c r="Q463" s="378">
        <v>200417.06</v>
      </c>
      <c r="R463" s="380">
        <f t="shared" si="393"/>
        <v>44.537124444444444</v>
      </c>
    </row>
    <row r="464" spans="2:18" x14ac:dyDescent="0.25">
      <c r="B464" s="377">
        <f t="shared" si="359"/>
        <v>45945</v>
      </c>
      <c r="C464" s="378">
        <v>6592.33</v>
      </c>
      <c r="D464" s="103">
        <f t="shared" si="358"/>
        <v>1.3734020833333331</v>
      </c>
      <c r="E464" s="382">
        <v>329459.63</v>
      </c>
      <c r="F464" s="103">
        <f t="shared" si="387"/>
        <v>68.637422916666665</v>
      </c>
      <c r="G464" s="378">
        <v>135639.93</v>
      </c>
      <c r="H464" s="103">
        <f t="shared" si="388"/>
        <v>16.954991249999999</v>
      </c>
      <c r="I464" s="382">
        <v>78740.67</v>
      </c>
      <c r="J464" s="103">
        <f t="shared" si="389"/>
        <v>9.8425837499999993</v>
      </c>
      <c r="K464" s="378">
        <v>22452.42</v>
      </c>
      <c r="L464" s="103">
        <f t="shared" si="390"/>
        <v>4.0539091666666662</v>
      </c>
      <c r="M464" s="378">
        <v>2696.67</v>
      </c>
      <c r="N464" s="103">
        <f t="shared" si="391"/>
        <v>0.18726875000000001</v>
      </c>
      <c r="O464" s="378">
        <v>163035.79999999999</v>
      </c>
      <c r="P464" s="103">
        <f t="shared" si="392"/>
        <v>29.437019444444442</v>
      </c>
      <c r="Q464" s="378">
        <v>200417.06</v>
      </c>
      <c r="R464" s="380">
        <f t="shared" si="393"/>
        <v>44.537124444444444</v>
      </c>
    </row>
    <row r="465" spans="2:18" x14ac:dyDescent="0.25">
      <c r="B465" s="377">
        <f t="shared" si="359"/>
        <v>45946</v>
      </c>
      <c r="C465" s="378">
        <v>6592.33</v>
      </c>
      <c r="D465" s="103">
        <f t="shared" si="358"/>
        <v>1.3734020833333331</v>
      </c>
      <c r="E465" s="382">
        <v>329459.63</v>
      </c>
      <c r="F465" s="103">
        <f t="shared" si="387"/>
        <v>68.637422916666665</v>
      </c>
      <c r="G465" s="378">
        <v>135639.93</v>
      </c>
      <c r="H465" s="103">
        <f t="shared" si="388"/>
        <v>16.954991249999999</v>
      </c>
      <c r="I465" s="382">
        <v>78740.67</v>
      </c>
      <c r="J465" s="103">
        <f t="shared" si="389"/>
        <v>9.8425837499999993</v>
      </c>
      <c r="K465" s="378">
        <v>22452.42</v>
      </c>
      <c r="L465" s="103">
        <f t="shared" si="390"/>
        <v>4.0539091666666662</v>
      </c>
      <c r="M465" s="378">
        <v>2696.67</v>
      </c>
      <c r="N465" s="103">
        <f t="shared" si="391"/>
        <v>0.18726875000000001</v>
      </c>
      <c r="O465" s="378">
        <v>163035.79999999999</v>
      </c>
      <c r="P465" s="103">
        <f t="shared" si="392"/>
        <v>29.437019444444442</v>
      </c>
      <c r="Q465" s="378">
        <v>200417.06</v>
      </c>
      <c r="R465" s="380">
        <f t="shared" si="393"/>
        <v>44.537124444444444</v>
      </c>
    </row>
    <row r="466" spans="2:18" x14ac:dyDescent="0.25">
      <c r="B466" s="377">
        <f t="shared" si="359"/>
        <v>45947</v>
      </c>
      <c r="C466" s="378">
        <v>6592.33</v>
      </c>
      <c r="D466" s="103">
        <f t="shared" si="358"/>
        <v>1.3734020833333331</v>
      </c>
      <c r="E466" s="382">
        <v>329459.63</v>
      </c>
      <c r="F466" s="103">
        <f t="shared" si="387"/>
        <v>68.637422916666665</v>
      </c>
      <c r="G466" s="378">
        <v>135639.93</v>
      </c>
      <c r="H466" s="103">
        <f t="shared" si="388"/>
        <v>16.954991249999999</v>
      </c>
      <c r="I466" s="382">
        <v>78740.67</v>
      </c>
      <c r="J466" s="103">
        <f t="shared" si="389"/>
        <v>9.8425837499999993</v>
      </c>
      <c r="K466" s="378">
        <v>22452.42</v>
      </c>
      <c r="L466" s="103">
        <f t="shared" si="390"/>
        <v>4.0539091666666662</v>
      </c>
      <c r="M466" s="378">
        <v>2696.67</v>
      </c>
      <c r="N466" s="103">
        <f t="shared" si="391"/>
        <v>0.18726875000000001</v>
      </c>
      <c r="O466" s="378">
        <v>163035.79999999999</v>
      </c>
      <c r="P466" s="103">
        <f t="shared" si="392"/>
        <v>29.437019444444442</v>
      </c>
      <c r="Q466" s="378">
        <v>200417.06</v>
      </c>
      <c r="R466" s="380">
        <f t="shared" si="393"/>
        <v>44.537124444444444</v>
      </c>
    </row>
    <row r="467" spans="2:18" x14ac:dyDescent="0.25">
      <c r="B467" s="377">
        <f t="shared" si="359"/>
        <v>45948</v>
      </c>
      <c r="C467" s="378">
        <v>6592.33</v>
      </c>
      <c r="D467" s="103">
        <f t="shared" si="358"/>
        <v>1.3734020833333331</v>
      </c>
      <c r="E467" s="382">
        <v>329459.63</v>
      </c>
      <c r="F467" s="103">
        <f t="shared" si="387"/>
        <v>68.637422916666665</v>
      </c>
      <c r="G467" s="378">
        <v>135639.93</v>
      </c>
      <c r="H467" s="103">
        <f t="shared" si="388"/>
        <v>16.954991249999999</v>
      </c>
      <c r="I467" s="382">
        <v>78740.67</v>
      </c>
      <c r="J467" s="103">
        <f t="shared" si="389"/>
        <v>9.8425837499999993</v>
      </c>
      <c r="K467" s="378">
        <v>22452.42</v>
      </c>
      <c r="L467" s="103">
        <f t="shared" si="390"/>
        <v>4.0539091666666662</v>
      </c>
      <c r="M467" s="378">
        <v>2696.67</v>
      </c>
      <c r="N467" s="103">
        <f t="shared" si="391"/>
        <v>0.18726875000000001</v>
      </c>
      <c r="O467" s="378">
        <v>163035.79999999999</v>
      </c>
      <c r="P467" s="103">
        <f t="shared" si="392"/>
        <v>29.437019444444442</v>
      </c>
      <c r="Q467" s="378">
        <v>200417.06</v>
      </c>
      <c r="R467" s="380">
        <f t="shared" si="393"/>
        <v>44.537124444444444</v>
      </c>
    </row>
    <row r="468" spans="2:18" x14ac:dyDescent="0.25">
      <c r="B468" s="377">
        <f t="shared" si="359"/>
        <v>45949</v>
      </c>
      <c r="C468" s="378">
        <v>6592.33</v>
      </c>
      <c r="D468" s="103">
        <f t="shared" si="358"/>
        <v>1.3734020833333331</v>
      </c>
      <c r="E468" s="382">
        <v>2207292.96</v>
      </c>
      <c r="F468" s="103">
        <f t="shared" ref="F468:F474" si="394">(E468*7.5%)/360</f>
        <v>459.85269999999997</v>
      </c>
      <c r="G468" s="378">
        <v>135639.93</v>
      </c>
      <c r="H468" s="103">
        <f t="shared" ref="H468:H474" si="395">(G468*4.5%)/360</f>
        <v>16.954991249999999</v>
      </c>
      <c r="I468" s="382">
        <v>78740.67</v>
      </c>
      <c r="J468" s="103">
        <f t="shared" ref="J468:J474" si="396">(I468*4.5%)/360</f>
        <v>9.8425837499999993</v>
      </c>
      <c r="K468" s="378">
        <v>22452.42</v>
      </c>
      <c r="L468" s="103">
        <f t="shared" ref="L468:L474" si="397">(K468*6.5%)/360</f>
        <v>4.0539091666666662</v>
      </c>
      <c r="M468" s="378">
        <v>2696.67</v>
      </c>
      <c r="N468" s="103">
        <f t="shared" ref="N468:N474" si="398">(M468*2.5%)/360</f>
        <v>0.18726875000000001</v>
      </c>
      <c r="O468" s="378">
        <v>163035.79999999999</v>
      </c>
      <c r="P468" s="103">
        <f t="shared" ref="P468:P474" si="399">(O468*6.5%)/360</f>
        <v>29.437019444444442</v>
      </c>
      <c r="Q468" s="378">
        <v>200417.06</v>
      </c>
      <c r="R468" s="380">
        <f t="shared" ref="R468:R474" si="400">(Q468*8%)/360</f>
        <v>44.537124444444444</v>
      </c>
    </row>
    <row r="469" spans="2:18" x14ac:dyDescent="0.25">
      <c r="B469" s="377">
        <f t="shared" si="359"/>
        <v>45950</v>
      </c>
      <c r="C469" s="378">
        <v>6592.33</v>
      </c>
      <c r="D469" s="103">
        <f t="shared" si="358"/>
        <v>1.3734020833333331</v>
      </c>
      <c r="E469" s="382">
        <v>2206460.9</v>
      </c>
      <c r="F469" s="103">
        <f t="shared" si="394"/>
        <v>459.6793541666666</v>
      </c>
      <c r="G469" s="378">
        <v>135639.93</v>
      </c>
      <c r="H469" s="103">
        <f t="shared" si="395"/>
        <v>16.954991249999999</v>
      </c>
      <c r="I469" s="382">
        <v>78740.67</v>
      </c>
      <c r="J469" s="103">
        <f t="shared" si="396"/>
        <v>9.8425837499999993</v>
      </c>
      <c r="K469" s="378">
        <v>22452.42</v>
      </c>
      <c r="L469" s="103">
        <f t="shared" si="397"/>
        <v>4.0539091666666662</v>
      </c>
      <c r="M469" s="378">
        <v>2696.67</v>
      </c>
      <c r="N469" s="103">
        <f t="shared" si="398"/>
        <v>0.18726875000000001</v>
      </c>
      <c r="O469" s="378">
        <v>163035.79999999999</v>
      </c>
      <c r="P469" s="103">
        <f t="shared" si="399"/>
        <v>29.437019444444442</v>
      </c>
      <c r="Q469" s="378">
        <v>200417.06</v>
      </c>
      <c r="R469" s="380">
        <f t="shared" si="400"/>
        <v>44.537124444444444</v>
      </c>
    </row>
    <row r="470" spans="2:18" x14ac:dyDescent="0.25">
      <c r="B470" s="377">
        <f t="shared" si="359"/>
        <v>45951</v>
      </c>
      <c r="C470" s="378">
        <v>33739.96</v>
      </c>
      <c r="D470" s="103">
        <f t="shared" si="358"/>
        <v>7.0291583333333332</v>
      </c>
      <c r="E470" s="382">
        <v>3156721.7</v>
      </c>
      <c r="F470" s="103">
        <f t="shared" si="394"/>
        <v>657.65035416666672</v>
      </c>
      <c r="G470" s="378">
        <v>135639.93</v>
      </c>
      <c r="H470" s="103">
        <f t="shared" si="395"/>
        <v>16.954991249999999</v>
      </c>
      <c r="I470" s="382">
        <v>78740.67</v>
      </c>
      <c r="J470" s="103">
        <f t="shared" si="396"/>
        <v>9.8425837499999993</v>
      </c>
      <c r="K470" s="378">
        <v>22452.42</v>
      </c>
      <c r="L470" s="103">
        <f t="shared" si="397"/>
        <v>4.0539091666666662</v>
      </c>
      <c r="M470" s="378">
        <v>2696.67</v>
      </c>
      <c r="N470" s="103">
        <f t="shared" si="398"/>
        <v>0.18726875000000001</v>
      </c>
      <c r="O470" s="378">
        <v>163035.79999999999</v>
      </c>
      <c r="P470" s="103">
        <f t="shared" si="399"/>
        <v>29.437019444444442</v>
      </c>
      <c r="Q470" s="378">
        <v>200417.06</v>
      </c>
      <c r="R470" s="380">
        <f t="shared" si="400"/>
        <v>44.537124444444444</v>
      </c>
    </row>
    <row r="471" spans="2:18" x14ac:dyDescent="0.25">
      <c r="B471" s="377">
        <f t="shared" si="359"/>
        <v>45952</v>
      </c>
      <c r="C471" s="378">
        <v>33739.96</v>
      </c>
      <c r="D471" s="103">
        <f t="shared" si="358"/>
        <v>7.0291583333333332</v>
      </c>
      <c r="E471" s="382">
        <v>3156721.7</v>
      </c>
      <c r="F471" s="103">
        <f t="shared" si="394"/>
        <v>657.65035416666672</v>
      </c>
      <c r="G471" s="378">
        <v>135639.93</v>
      </c>
      <c r="H471" s="103">
        <f t="shared" si="395"/>
        <v>16.954991249999999</v>
      </c>
      <c r="I471" s="382">
        <v>78740.67</v>
      </c>
      <c r="J471" s="103">
        <f t="shared" si="396"/>
        <v>9.8425837499999993</v>
      </c>
      <c r="K471" s="378">
        <v>22452.42</v>
      </c>
      <c r="L471" s="103">
        <f t="shared" si="397"/>
        <v>4.0539091666666662</v>
      </c>
      <c r="M471" s="378">
        <v>2696.67</v>
      </c>
      <c r="N471" s="103">
        <f t="shared" si="398"/>
        <v>0.18726875000000001</v>
      </c>
      <c r="O471" s="378">
        <v>163035.79999999999</v>
      </c>
      <c r="P471" s="103">
        <f t="shared" si="399"/>
        <v>29.437019444444442</v>
      </c>
      <c r="Q471" s="378">
        <v>200417.06</v>
      </c>
      <c r="R471" s="380">
        <f t="shared" si="400"/>
        <v>44.537124444444444</v>
      </c>
    </row>
    <row r="472" spans="2:18" x14ac:dyDescent="0.25">
      <c r="B472" s="377">
        <f t="shared" si="359"/>
        <v>45953</v>
      </c>
      <c r="C472" s="378">
        <v>33739.96</v>
      </c>
      <c r="D472" s="103">
        <f t="shared" si="358"/>
        <v>7.0291583333333332</v>
      </c>
      <c r="E472" s="382">
        <v>166981.09</v>
      </c>
      <c r="F472" s="103">
        <f t="shared" si="394"/>
        <v>34.78772708333333</v>
      </c>
      <c r="G472" s="378">
        <v>135639.93</v>
      </c>
      <c r="H472" s="103">
        <f t="shared" si="395"/>
        <v>16.954991249999999</v>
      </c>
      <c r="I472" s="382">
        <v>71252.160000000003</v>
      </c>
      <c r="J472" s="103">
        <f t="shared" si="396"/>
        <v>8.9065200000000004</v>
      </c>
      <c r="K472" s="378">
        <v>22452.42</v>
      </c>
      <c r="L472" s="103">
        <f t="shared" si="397"/>
        <v>4.0539091666666662</v>
      </c>
      <c r="M472" s="378">
        <v>2696.67</v>
      </c>
      <c r="N472" s="103">
        <f t="shared" si="398"/>
        <v>0.18726875000000001</v>
      </c>
      <c r="O472" s="378">
        <v>163035.79999999999</v>
      </c>
      <c r="P472" s="103">
        <f t="shared" si="399"/>
        <v>29.437019444444442</v>
      </c>
      <c r="Q472" s="378">
        <v>200417.06</v>
      </c>
      <c r="R472" s="380">
        <f t="shared" si="400"/>
        <v>44.537124444444444</v>
      </c>
    </row>
    <row r="473" spans="2:18" x14ac:dyDescent="0.25">
      <c r="B473" s="377">
        <f t="shared" si="359"/>
        <v>45954</v>
      </c>
      <c r="C473" s="378">
        <v>33739.96</v>
      </c>
      <c r="D473" s="103">
        <f t="shared" si="358"/>
        <v>7.0291583333333332</v>
      </c>
      <c r="E473" s="382">
        <v>166981.09</v>
      </c>
      <c r="F473" s="103">
        <f t="shared" si="394"/>
        <v>34.78772708333333</v>
      </c>
      <c r="G473" s="378">
        <v>135639.93</v>
      </c>
      <c r="H473" s="103">
        <f t="shared" si="395"/>
        <v>16.954991249999999</v>
      </c>
      <c r="I473" s="382">
        <v>71252.160000000003</v>
      </c>
      <c r="J473" s="103">
        <f t="shared" si="396"/>
        <v>8.9065200000000004</v>
      </c>
      <c r="K473" s="378">
        <v>22452.42</v>
      </c>
      <c r="L473" s="103">
        <f t="shared" si="397"/>
        <v>4.0539091666666662</v>
      </c>
      <c r="M473" s="378">
        <v>2696.67</v>
      </c>
      <c r="N473" s="103">
        <f t="shared" si="398"/>
        <v>0.18726875000000001</v>
      </c>
      <c r="O473" s="378">
        <v>163035.79999999999</v>
      </c>
      <c r="P473" s="103">
        <f t="shared" si="399"/>
        <v>29.437019444444442</v>
      </c>
      <c r="Q473" s="378">
        <v>200417.06</v>
      </c>
      <c r="R473" s="380">
        <f t="shared" si="400"/>
        <v>44.537124444444444</v>
      </c>
    </row>
    <row r="474" spans="2:18" x14ac:dyDescent="0.25">
      <c r="B474" s="377">
        <f t="shared" si="359"/>
        <v>45955</v>
      </c>
      <c r="C474" s="378">
        <v>33739.96</v>
      </c>
      <c r="D474" s="103">
        <f t="shared" si="358"/>
        <v>7.0291583333333332</v>
      </c>
      <c r="E474" s="382">
        <v>166981.09</v>
      </c>
      <c r="F474" s="103">
        <f t="shared" si="394"/>
        <v>34.78772708333333</v>
      </c>
      <c r="G474" s="378">
        <v>135639.93</v>
      </c>
      <c r="H474" s="103">
        <f t="shared" si="395"/>
        <v>16.954991249999999</v>
      </c>
      <c r="I474" s="382">
        <v>71252.160000000003</v>
      </c>
      <c r="J474" s="103">
        <f t="shared" si="396"/>
        <v>8.9065200000000004</v>
      </c>
      <c r="K474" s="378">
        <v>22452.42</v>
      </c>
      <c r="L474" s="103">
        <f t="shared" si="397"/>
        <v>4.0539091666666662</v>
      </c>
      <c r="M474" s="378">
        <v>2696.67</v>
      </c>
      <c r="N474" s="103">
        <f t="shared" si="398"/>
        <v>0.18726875000000001</v>
      </c>
      <c r="O474" s="378">
        <v>163035.79999999999</v>
      </c>
      <c r="P474" s="103">
        <f t="shared" si="399"/>
        <v>29.437019444444442</v>
      </c>
      <c r="Q474" s="378">
        <v>200417.06</v>
      </c>
      <c r="R474" s="380">
        <f t="shared" si="400"/>
        <v>44.537124444444444</v>
      </c>
    </row>
    <row r="475" spans="2:18" x14ac:dyDescent="0.25">
      <c r="B475" s="377">
        <f t="shared" si="359"/>
        <v>45956</v>
      </c>
      <c r="C475" s="378">
        <v>33739.96</v>
      </c>
      <c r="D475" s="103">
        <f t="shared" si="358"/>
        <v>7.0291583333333332</v>
      </c>
      <c r="E475" s="382">
        <v>166981.09</v>
      </c>
      <c r="F475" s="103">
        <f t="shared" ref="F475:F481" si="401">(E475*7.5%)/360</f>
        <v>34.78772708333333</v>
      </c>
      <c r="G475" s="378">
        <v>228639.93</v>
      </c>
      <c r="H475" s="103">
        <f t="shared" ref="H475:H481" si="402">(G475*4.5%)/360</f>
        <v>28.579991249999996</v>
      </c>
      <c r="I475" s="382">
        <v>71252.160000000003</v>
      </c>
      <c r="J475" s="103">
        <f t="shared" ref="J475:J481" si="403">(I475*4.5%)/360</f>
        <v>8.9065200000000004</v>
      </c>
      <c r="K475" s="378">
        <v>22452.42</v>
      </c>
      <c r="L475" s="103">
        <f t="shared" ref="L475:L481" si="404">(K475*6.5%)/360</f>
        <v>4.0539091666666662</v>
      </c>
      <c r="M475" s="378">
        <v>2696.67</v>
      </c>
      <c r="N475" s="103">
        <f t="shared" ref="N475:N481" si="405">(M475*2.5%)/360</f>
        <v>0.18726875000000001</v>
      </c>
      <c r="O475" s="378">
        <v>163035.79999999999</v>
      </c>
      <c r="P475" s="103">
        <f t="shared" ref="P475:P481" si="406">(O475*6.5%)/360</f>
        <v>29.437019444444442</v>
      </c>
      <c r="Q475" s="378">
        <v>200417.06</v>
      </c>
      <c r="R475" s="380">
        <f t="shared" ref="R475:R481" si="407">(Q475*8%)/360</f>
        <v>44.537124444444444</v>
      </c>
    </row>
    <row r="476" spans="2:18" x14ac:dyDescent="0.25">
      <c r="B476" s="377">
        <f t="shared" si="359"/>
        <v>45957</v>
      </c>
      <c r="C476" s="378">
        <v>33739.96</v>
      </c>
      <c r="D476" s="103">
        <f t="shared" si="358"/>
        <v>7.0291583333333332</v>
      </c>
      <c r="E476" s="382">
        <v>166981.09</v>
      </c>
      <c r="F476" s="103">
        <f t="shared" si="401"/>
        <v>34.78772708333333</v>
      </c>
      <c r="G476" s="378">
        <v>183639.93</v>
      </c>
      <c r="H476" s="103">
        <f t="shared" si="402"/>
        <v>22.954991249999996</v>
      </c>
      <c r="I476" s="382">
        <v>71252.160000000003</v>
      </c>
      <c r="J476" s="103">
        <f t="shared" si="403"/>
        <v>8.9065200000000004</v>
      </c>
      <c r="K476" s="378">
        <v>22452.42</v>
      </c>
      <c r="L476" s="103">
        <f t="shared" si="404"/>
        <v>4.0539091666666662</v>
      </c>
      <c r="M476" s="378">
        <v>2696.67</v>
      </c>
      <c r="N476" s="103">
        <f t="shared" si="405"/>
        <v>0.18726875000000001</v>
      </c>
      <c r="O476" s="378">
        <v>163035.79999999999</v>
      </c>
      <c r="P476" s="103">
        <f t="shared" si="406"/>
        <v>29.437019444444442</v>
      </c>
      <c r="Q476" s="378">
        <v>200417.06</v>
      </c>
      <c r="R476" s="380">
        <f t="shared" si="407"/>
        <v>44.537124444444444</v>
      </c>
    </row>
    <row r="477" spans="2:18" x14ac:dyDescent="0.25">
      <c r="B477" s="377">
        <f t="shared" si="359"/>
        <v>45958</v>
      </c>
      <c r="C477" s="378">
        <v>33739.96</v>
      </c>
      <c r="D477" s="103">
        <f t="shared" si="358"/>
        <v>7.0291583333333332</v>
      </c>
      <c r="E477" s="382">
        <v>166981.09</v>
      </c>
      <c r="F477" s="103">
        <f t="shared" si="401"/>
        <v>34.78772708333333</v>
      </c>
      <c r="G477" s="378">
        <v>183639.93</v>
      </c>
      <c r="H477" s="103">
        <f t="shared" si="402"/>
        <v>22.954991249999996</v>
      </c>
      <c r="I477" s="382">
        <v>71252.160000000003</v>
      </c>
      <c r="J477" s="103">
        <f t="shared" si="403"/>
        <v>8.9065200000000004</v>
      </c>
      <c r="K477" s="378">
        <v>22452.42</v>
      </c>
      <c r="L477" s="103">
        <f t="shared" si="404"/>
        <v>4.0539091666666662</v>
      </c>
      <c r="M477" s="378">
        <v>2696.67</v>
      </c>
      <c r="N477" s="103">
        <f t="shared" si="405"/>
        <v>0.18726875000000001</v>
      </c>
      <c r="O477" s="378">
        <v>163035.79999999999</v>
      </c>
      <c r="P477" s="103">
        <f t="shared" si="406"/>
        <v>29.437019444444442</v>
      </c>
      <c r="Q477" s="378">
        <v>200417.06</v>
      </c>
      <c r="R477" s="380">
        <f t="shared" si="407"/>
        <v>44.537124444444444</v>
      </c>
    </row>
    <row r="478" spans="2:18" x14ac:dyDescent="0.25">
      <c r="B478" s="377">
        <f t="shared" si="359"/>
        <v>45959</v>
      </c>
      <c r="C478" s="378">
        <v>33739.96</v>
      </c>
      <c r="D478" s="103">
        <f t="shared" si="358"/>
        <v>7.0291583333333332</v>
      </c>
      <c r="E478" s="382">
        <v>5171619.04</v>
      </c>
      <c r="F478" s="103">
        <f t="shared" si="401"/>
        <v>1077.4206333333334</v>
      </c>
      <c r="G478" s="378">
        <v>183639.93</v>
      </c>
      <c r="H478" s="103">
        <f t="shared" si="402"/>
        <v>22.954991249999996</v>
      </c>
      <c r="I478" s="382">
        <v>71252.160000000003</v>
      </c>
      <c r="J478" s="103">
        <f t="shared" si="403"/>
        <v>8.9065200000000004</v>
      </c>
      <c r="K478" s="378">
        <v>22452.42</v>
      </c>
      <c r="L478" s="103">
        <f t="shared" si="404"/>
        <v>4.0539091666666662</v>
      </c>
      <c r="M478" s="378">
        <v>2696.67</v>
      </c>
      <c r="N478" s="103">
        <f t="shared" si="405"/>
        <v>0.18726875000000001</v>
      </c>
      <c r="O478" s="378">
        <v>163035.79999999999</v>
      </c>
      <c r="P478" s="103">
        <f t="shared" si="406"/>
        <v>29.437019444444442</v>
      </c>
      <c r="Q478" s="378">
        <v>200417.06</v>
      </c>
      <c r="R478" s="380">
        <f t="shared" si="407"/>
        <v>44.537124444444444</v>
      </c>
    </row>
    <row r="479" spans="2:18" x14ac:dyDescent="0.25">
      <c r="B479" s="377">
        <f t="shared" si="359"/>
        <v>45960</v>
      </c>
      <c r="C479" s="378">
        <v>33739.96</v>
      </c>
      <c r="D479" s="103">
        <f t="shared" si="358"/>
        <v>7.0291583333333332</v>
      </c>
      <c r="E479" s="382">
        <v>3267020.0836994061</v>
      </c>
      <c r="F479" s="103">
        <f t="shared" si="401"/>
        <v>680.62918410404291</v>
      </c>
      <c r="G479" s="378">
        <v>183639.93</v>
      </c>
      <c r="H479" s="103">
        <f t="shared" si="402"/>
        <v>22.954991249999996</v>
      </c>
      <c r="I479" s="382">
        <v>71252.160000000003</v>
      </c>
      <c r="J479" s="103">
        <f t="shared" si="403"/>
        <v>8.9065200000000004</v>
      </c>
      <c r="K479" s="378">
        <v>22452.42</v>
      </c>
      <c r="L479" s="103">
        <f t="shared" si="404"/>
        <v>4.0539091666666662</v>
      </c>
      <c r="M479" s="378">
        <v>2696.67</v>
      </c>
      <c r="N479" s="103">
        <f t="shared" si="405"/>
        <v>0.18726875000000001</v>
      </c>
      <c r="O479" s="378">
        <v>163035.79999999999</v>
      </c>
      <c r="P479" s="103">
        <f t="shared" si="406"/>
        <v>29.437019444444442</v>
      </c>
      <c r="Q479" s="378">
        <v>200417.06</v>
      </c>
      <c r="R479" s="380">
        <f t="shared" si="407"/>
        <v>44.537124444444444</v>
      </c>
    </row>
    <row r="480" spans="2:18" x14ac:dyDescent="0.25">
      <c r="B480" s="377">
        <f t="shared" si="359"/>
        <v>45961</v>
      </c>
      <c r="C480" s="378">
        <v>33739.96</v>
      </c>
      <c r="D480" s="103">
        <f t="shared" si="358"/>
        <v>7.0291583333333332</v>
      </c>
      <c r="E480" s="382">
        <v>3267020.0836994061</v>
      </c>
      <c r="F480" s="103">
        <f t="shared" si="401"/>
        <v>680.62918410404291</v>
      </c>
      <c r="G480" s="378">
        <v>183639.93</v>
      </c>
      <c r="H480" s="103">
        <f t="shared" si="402"/>
        <v>22.954991249999996</v>
      </c>
      <c r="I480" s="382">
        <v>71252.160000000003</v>
      </c>
      <c r="J480" s="103">
        <f t="shared" si="403"/>
        <v>8.9065200000000004</v>
      </c>
      <c r="K480" s="378">
        <v>22452.42</v>
      </c>
      <c r="L480" s="103">
        <f t="shared" si="404"/>
        <v>4.0539091666666662</v>
      </c>
      <c r="M480" s="378">
        <v>2696.67</v>
      </c>
      <c r="N480" s="103">
        <f t="shared" si="405"/>
        <v>0.18726875000000001</v>
      </c>
      <c r="O480" s="378">
        <v>163035.79999999999</v>
      </c>
      <c r="P480" s="103">
        <f t="shared" si="406"/>
        <v>29.437019444444442</v>
      </c>
      <c r="Q480" s="378">
        <v>200417.06</v>
      </c>
      <c r="R480" s="380">
        <f t="shared" si="407"/>
        <v>44.537124444444444</v>
      </c>
    </row>
    <row r="481" spans="2:18" x14ac:dyDescent="0.25">
      <c r="B481" s="377">
        <f t="shared" si="359"/>
        <v>45962</v>
      </c>
      <c r="C481" s="378">
        <v>33739.96</v>
      </c>
      <c r="D481" s="103">
        <f t="shared" si="358"/>
        <v>7.0291583333333332</v>
      </c>
      <c r="E481" s="382">
        <v>3267020.0836994061</v>
      </c>
      <c r="F481" s="103">
        <f t="shared" si="401"/>
        <v>680.62918410404291</v>
      </c>
      <c r="G481" s="378">
        <v>183639.93</v>
      </c>
      <c r="H481" s="103">
        <f t="shared" si="402"/>
        <v>22.954991249999996</v>
      </c>
      <c r="I481" s="382">
        <v>71252.160000000003</v>
      </c>
      <c r="J481" s="103">
        <f t="shared" si="403"/>
        <v>8.9065200000000004</v>
      </c>
      <c r="K481" s="378">
        <v>22452.42</v>
      </c>
      <c r="L481" s="103">
        <f t="shared" si="404"/>
        <v>4.0539091666666662</v>
      </c>
      <c r="M481" s="378">
        <v>2696.67</v>
      </c>
      <c r="N481" s="103">
        <f t="shared" si="405"/>
        <v>0.18726875000000001</v>
      </c>
      <c r="O481" s="378">
        <v>163035.79999999999</v>
      </c>
      <c r="P481" s="103">
        <f t="shared" si="406"/>
        <v>29.437019444444442</v>
      </c>
      <c r="Q481" s="378">
        <v>200417.06</v>
      </c>
      <c r="R481" s="380">
        <f t="shared" si="407"/>
        <v>44.537124444444444</v>
      </c>
    </row>
    <row r="482" spans="2:18" x14ac:dyDescent="0.25">
      <c r="B482" s="377">
        <f t="shared" si="359"/>
        <v>45963</v>
      </c>
      <c r="C482" s="378">
        <v>33739.96</v>
      </c>
      <c r="D482" s="103">
        <f t="shared" si="358"/>
        <v>7.0291583333333332</v>
      </c>
      <c r="E482" s="382">
        <v>3267020.14</v>
      </c>
      <c r="F482" s="103">
        <f t="shared" ref="F482:F488" si="408">(E482*7.5%)/360</f>
        <v>680.62919583333337</v>
      </c>
      <c r="G482" s="378">
        <v>183639.93</v>
      </c>
      <c r="H482" s="103">
        <f t="shared" ref="H482:H488" si="409">(G482*4.5%)/360</f>
        <v>22.954991249999996</v>
      </c>
      <c r="I482" s="382">
        <v>71252.160000000003</v>
      </c>
      <c r="J482" s="103">
        <f t="shared" ref="J482:J488" si="410">(I482*4.5%)/360</f>
        <v>8.9065200000000004</v>
      </c>
      <c r="K482" s="378">
        <v>22452.42</v>
      </c>
      <c r="L482" s="103">
        <f t="shared" ref="L482:L488" si="411">(K482*6.5%)/360</f>
        <v>4.0539091666666662</v>
      </c>
      <c r="M482" s="378">
        <v>2696.67</v>
      </c>
      <c r="N482" s="103">
        <f t="shared" ref="N482:N488" si="412">(M482*2.5%)/360</f>
        <v>0.18726875000000001</v>
      </c>
      <c r="O482" s="378">
        <v>163035.79999999999</v>
      </c>
      <c r="P482" s="103">
        <f t="shared" ref="P482:P488" si="413">(O482*6.5%)/360</f>
        <v>29.437019444444442</v>
      </c>
      <c r="Q482" s="378">
        <v>200417.06</v>
      </c>
      <c r="R482" s="380">
        <f t="shared" ref="R482:R488" si="414">(Q482*8%)/360</f>
        <v>44.537124444444444</v>
      </c>
    </row>
    <row r="483" spans="2:18" x14ac:dyDescent="0.25">
      <c r="B483" s="377">
        <f t="shared" si="359"/>
        <v>45964</v>
      </c>
      <c r="C483" s="378">
        <v>33739.96</v>
      </c>
      <c r="D483" s="103">
        <f t="shared" si="358"/>
        <v>7.0291583333333332</v>
      </c>
      <c r="E483" s="382">
        <v>3542496.74</v>
      </c>
      <c r="F483" s="103">
        <f t="shared" si="408"/>
        <v>738.02015416666677</v>
      </c>
      <c r="G483" s="378">
        <v>183639.93</v>
      </c>
      <c r="H483" s="103">
        <f t="shared" si="409"/>
        <v>22.954991249999996</v>
      </c>
      <c r="I483" s="382">
        <v>71252.160000000003</v>
      </c>
      <c r="J483" s="103">
        <f t="shared" si="410"/>
        <v>8.9065200000000004</v>
      </c>
      <c r="K483" s="378">
        <v>22452.42</v>
      </c>
      <c r="L483" s="103">
        <f t="shared" si="411"/>
        <v>4.0539091666666662</v>
      </c>
      <c r="M483" s="378">
        <v>2696.67</v>
      </c>
      <c r="N483" s="103">
        <f t="shared" si="412"/>
        <v>0.18726875000000001</v>
      </c>
      <c r="O483" s="378">
        <v>163035.79999999999</v>
      </c>
      <c r="P483" s="103">
        <f t="shared" si="413"/>
        <v>29.437019444444442</v>
      </c>
      <c r="Q483" s="378">
        <v>200417.06</v>
      </c>
      <c r="R483" s="380">
        <f t="shared" si="414"/>
        <v>44.537124444444444</v>
      </c>
    </row>
    <row r="484" spans="2:18" x14ac:dyDescent="0.25">
      <c r="B484" s="377">
        <f t="shared" si="359"/>
        <v>45965</v>
      </c>
      <c r="C484" s="378">
        <v>33739.96</v>
      </c>
      <c r="D484" s="103">
        <f t="shared" si="358"/>
        <v>7.0291583333333332</v>
      </c>
      <c r="E484" s="382">
        <v>1581673.78</v>
      </c>
      <c r="F484" s="103">
        <f t="shared" si="408"/>
        <v>329.51537083333329</v>
      </c>
      <c r="G484" s="378">
        <v>183639.93</v>
      </c>
      <c r="H484" s="103">
        <f t="shared" si="409"/>
        <v>22.954991249999996</v>
      </c>
      <c r="I484" s="382">
        <v>71252.160000000003</v>
      </c>
      <c r="J484" s="103">
        <f t="shared" si="410"/>
        <v>8.9065200000000004</v>
      </c>
      <c r="K484" s="378">
        <v>22452.42</v>
      </c>
      <c r="L484" s="103">
        <f t="shared" si="411"/>
        <v>4.0539091666666662</v>
      </c>
      <c r="M484" s="378">
        <v>2696.67</v>
      </c>
      <c r="N484" s="103">
        <f t="shared" si="412"/>
        <v>0.18726875000000001</v>
      </c>
      <c r="O484" s="378">
        <v>163035.79999999999</v>
      </c>
      <c r="P484" s="103">
        <f t="shared" si="413"/>
        <v>29.437019444444442</v>
      </c>
      <c r="Q484" s="378">
        <v>200417.06</v>
      </c>
      <c r="R484" s="380">
        <f t="shared" si="414"/>
        <v>44.537124444444444</v>
      </c>
    </row>
    <row r="485" spans="2:18" x14ac:dyDescent="0.25">
      <c r="B485" s="377">
        <f t="shared" si="359"/>
        <v>45966</v>
      </c>
      <c r="C485" s="378">
        <v>813639.96</v>
      </c>
      <c r="D485" s="103">
        <f t="shared" si="358"/>
        <v>169.50832499999999</v>
      </c>
      <c r="E485" s="382">
        <v>1241432.73</v>
      </c>
      <c r="F485" s="103">
        <f t="shared" si="408"/>
        <v>258.63181874999998</v>
      </c>
      <c r="G485" s="378">
        <v>183639.93</v>
      </c>
      <c r="H485" s="103">
        <f t="shared" si="409"/>
        <v>22.954991249999996</v>
      </c>
      <c r="I485" s="382">
        <v>71252.160000000003</v>
      </c>
      <c r="J485" s="103">
        <f t="shared" si="410"/>
        <v>8.9065200000000004</v>
      </c>
      <c r="K485" s="378">
        <v>22452.42</v>
      </c>
      <c r="L485" s="103">
        <f t="shared" si="411"/>
        <v>4.0539091666666662</v>
      </c>
      <c r="M485" s="378">
        <v>2696.67</v>
      </c>
      <c r="N485" s="103">
        <f t="shared" si="412"/>
        <v>0.18726875000000001</v>
      </c>
      <c r="O485" s="378">
        <v>163035.79999999999</v>
      </c>
      <c r="P485" s="103">
        <f t="shared" si="413"/>
        <v>29.437019444444442</v>
      </c>
      <c r="Q485" s="378">
        <v>200417.06</v>
      </c>
      <c r="R485" s="380">
        <f t="shared" si="414"/>
        <v>44.537124444444444</v>
      </c>
    </row>
    <row r="486" spans="2:18" x14ac:dyDescent="0.25">
      <c r="B486" s="377">
        <f t="shared" si="359"/>
        <v>45967</v>
      </c>
      <c r="C486" s="378">
        <v>46429.96</v>
      </c>
      <c r="D486" s="103">
        <f t="shared" ref="D486:D510" si="415">(C486*7.5%)/360</f>
        <v>9.6729083333333321</v>
      </c>
      <c r="E486" s="382">
        <v>1241432.73</v>
      </c>
      <c r="F486" s="103">
        <f t="shared" si="408"/>
        <v>258.63181874999998</v>
      </c>
      <c r="G486" s="378">
        <v>183639.93</v>
      </c>
      <c r="H486" s="103">
        <f t="shared" si="409"/>
        <v>22.954991249999996</v>
      </c>
      <c r="I486" s="382">
        <v>71252.160000000003</v>
      </c>
      <c r="J486" s="103">
        <f t="shared" si="410"/>
        <v>8.9065200000000004</v>
      </c>
      <c r="K486" s="378">
        <v>22452.42</v>
      </c>
      <c r="L486" s="103">
        <f t="shared" si="411"/>
        <v>4.0539091666666662</v>
      </c>
      <c r="M486" s="378">
        <v>2696.67</v>
      </c>
      <c r="N486" s="103">
        <f t="shared" si="412"/>
        <v>0.18726875000000001</v>
      </c>
      <c r="O486" s="378">
        <v>163035.79999999999</v>
      </c>
      <c r="P486" s="103">
        <f t="shared" si="413"/>
        <v>29.437019444444442</v>
      </c>
      <c r="Q486" s="378">
        <v>200417.06</v>
      </c>
      <c r="R486" s="380">
        <f t="shared" si="414"/>
        <v>44.537124444444444</v>
      </c>
    </row>
    <row r="487" spans="2:18" x14ac:dyDescent="0.25">
      <c r="B487" s="377">
        <f t="shared" si="359"/>
        <v>45968</v>
      </c>
      <c r="C487" s="378">
        <v>46429.96</v>
      </c>
      <c r="D487" s="103">
        <f t="shared" si="415"/>
        <v>9.6729083333333321</v>
      </c>
      <c r="E487" s="382">
        <v>1241432.73</v>
      </c>
      <c r="F487" s="103">
        <f t="shared" si="408"/>
        <v>258.63181874999998</v>
      </c>
      <c r="G487" s="378">
        <v>183639.93</v>
      </c>
      <c r="H487" s="103">
        <f t="shared" si="409"/>
        <v>22.954991249999996</v>
      </c>
      <c r="I487" s="382">
        <v>71252.160000000003</v>
      </c>
      <c r="J487" s="103">
        <f t="shared" si="410"/>
        <v>8.9065200000000004</v>
      </c>
      <c r="K487" s="378">
        <v>22452.42</v>
      </c>
      <c r="L487" s="103">
        <f t="shared" si="411"/>
        <v>4.0539091666666662</v>
      </c>
      <c r="M487" s="378">
        <v>2696.67</v>
      </c>
      <c r="N487" s="103">
        <f t="shared" si="412"/>
        <v>0.18726875000000001</v>
      </c>
      <c r="O487" s="378">
        <v>163035.79999999999</v>
      </c>
      <c r="P487" s="103">
        <f t="shared" si="413"/>
        <v>29.437019444444442</v>
      </c>
      <c r="Q487" s="378">
        <v>200417.06</v>
      </c>
      <c r="R487" s="380">
        <f t="shared" si="414"/>
        <v>44.537124444444444</v>
      </c>
    </row>
    <row r="488" spans="2:18" x14ac:dyDescent="0.25">
      <c r="B488" s="377">
        <f t="shared" ref="B488:B538" si="416">B487+1</f>
        <v>45969</v>
      </c>
      <c r="C488" s="378">
        <v>46429.96</v>
      </c>
      <c r="D488" s="103">
        <f t="shared" si="415"/>
        <v>9.6729083333333321</v>
      </c>
      <c r="E488" s="382">
        <v>1241432.73</v>
      </c>
      <c r="F488" s="103">
        <f t="shared" si="408"/>
        <v>258.63181874999998</v>
      </c>
      <c r="G488" s="378">
        <v>183639.93</v>
      </c>
      <c r="H488" s="103">
        <f t="shared" si="409"/>
        <v>22.954991249999996</v>
      </c>
      <c r="I488" s="382">
        <v>71252.160000000003</v>
      </c>
      <c r="J488" s="103">
        <f t="shared" si="410"/>
        <v>8.9065200000000004</v>
      </c>
      <c r="K488" s="378">
        <v>22452.42</v>
      </c>
      <c r="L488" s="103">
        <f t="shared" si="411"/>
        <v>4.0539091666666662</v>
      </c>
      <c r="M488" s="378">
        <v>2696.67</v>
      </c>
      <c r="N488" s="103">
        <f t="shared" si="412"/>
        <v>0.18726875000000001</v>
      </c>
      <c r="O488" s="378">
        <v>163035.79999999999</v>
      </c>
      <c r="P488" s="103">
        <f t="shared" si="413"/>
        <v>29.437019444444442</v>
      </c>
      <c r="Q488" s="378">
        <v>200417.06</v>
      </c>
      <c r="R488" s="380">
        <f t="shared" si="414"/>
        <v>44.537124444444444</v>
      </c>
    </row>
    <row r="489" spans="2:18" x14ac:dyDescent="0.25">
      <c r="B489" s="377">
        <f t="shared" si="416"/>
        <v>45970</v>
      </c>
      <c r="C489" s="378">
        <v>699077.96</v>
      </c>
      <c r="D489" s="103">
        <f t="shared" si="415"/>
        <v>145.64124166666664</v>
      </c>
      <c r="E489" s="382">
        <v>3927892.13</v>
      </c>
      <c r="F489" s="103">
        <f t="shared" ref="F489:F495" si="417">(E489*7.5%)/360</f>
        <v>818.31086041666663</v>
      </c>
      <c r="G489" s="378">
        <v>226639.93</v>
      </c>
      <c r="H489" s="103">
        <f t="shared" ref="H489:H495" si="418">(G489*4.5%)/360</f>
        <v>28.329991249999996</v>
      </c>
      <c r="I489" s="382">
        <v>71252.160000000003</v>
      </c>
      <c r="J489" s="103">
        <f t="shared" ref="J489:J495" si="419">(I489*4.5%)/360</f>
        <v>8.9065200000000004</v>
      </c>
      <c r="K489" s="378">
        <v>22452.42</v>
      </c>
      <c r="L489" s="103">
        <f t="shared" ref="L489:L495" si="420">(K489*6.5%)/360</f>
        <v>4.0539091666666662</v>
      </c>
      <c r="M489" s="378">
        <v>2696.67</v>
      </c>
      <c r="N489" s="103">
        <f t="shared" ref="N489:N495" si="421">(M489*2.5%)/360</f>
        <v>0.18726875000000001</v>
      </c>
      <c r="O489" s="378">
        <v>163035.79999999999</v>
      </c>
      <c r="P489" s="103">
        <f t="shared" ref="P489:P495" si="422">(O489*6.5%)/360</f>
        <v>29.437019444444442</v>
      </c>
      <c r="Q489" s="378">
        <v>200417.06</v>
      </c>
      <c r="R489" s="380">
        <f t="shared" ref="R489:R495" si="423">(Q489*8%)/360</f>
        <v>44.537124444444444</v>
      </c>
    </row>
    <row r="490" spans="2:18" x14ac:dyDescent="0.25">
      <c r="B490" s="377">
        <f t="shared" si="416"/>
        <v>45971</v>
      </c>
      <c r="C490" s="378">
        <v>699077.96</v>
      </c>
      <c r="D490" s="103">
        <f t="shared" si="415"/>
        <v>145.64124166666664</v>
      </c>
      <c r="E490" s="382">
        <v>1278329.83</v>
      </c>
      <c r="F490" s="103">
        <f t="shared" si="417"/>
        <v>266.31871458333336</v>
      </c>
      <c r="G490" s="378">
        <v>226639.93</v>
      </c>
      <c r="H490" s="103">
        <f t="shared" si="418"/>
        <v>28.329991249999996</v>
      </c>
      <c r="I490" s="382">
        <v>71252.160000000003</v>
      </c>
      <c r="J490" s="103">
        <f t="shared" si="419"/>
        <v>8.9065200000000004</v>
      </c>
      <c r="K490" s="378">
        <v>22452.42</v>
      </c>
      <c r="L490" s="103">
        <f t="shared" si="420"/>
        <v>4.0539091666666662</v>
      </c>
      <c r="M490" s="378">
        <v>2696.67</v>
      </c>
      <c r="N490" s="103">
        <f t="shared" si="421"/>
        <v>0.18726875000000001</v>
      </c>
      <c r="O490" s="378">
        <v>163035.79999999999</v>
      </c>
      <c r="P490" s="103">
        <f t="shared" si="422"/>
        <v>29.437019444444442</v>
      </c>
      <c r="Q490" s="378">
        <v>200417.06</v>
      </c>
      <c r="R490" s="380">
        <f t="shared" si="423"/>
        <v>44.537124444444444</v>
      </c>
    </row>
    <row r="491" spans="2:18" x14ac:dyDescent="0.25">
      <c r="B491" s="377">
        <f t="shared" si="416"/>
        <v>45972</v>
      </c>
      <c r="C491" s="378">
        <v>699077.96</v>
      </c>
      <c r="D491" s="103">
        <f t="shared" si="415"/>
        <v>145.64124166666664</v>
      </c>
      <c r="E491" s="382">
        <v>1278329.83</v>
      </c>
      <c r="F491" s="103">
        <f t="shared" si="417"/>
        <v>266.31871458333336</v>
      </c>
      <c r="G491" s="378">
        <v>226639.93</v>
      </c>
      <c r="H491" s="103">
        <f t="shared" si="418"/>
        <v>28.329991249999996</v>
      </c>
      <c r="I491" s="382">
        <v>71252.160000000003</v>
      </c>
      <c r="J491" s="103">
        <f t="shared" si="419"/>
        <v>8.9065200000000004</v>
      </c>
      <c r="K491" s="378">
        <v>22452.42</v>
      </c>
      <c r="L491" s="103">
        <f t="shared" si="420"/>
        <v>4.0539091666666662</v>
      </c>
      <c r="M491" s="378">
        <v>2696.67</v>
      </c>
      <c r="N491" s="103">
        <f t="shared" si="421"/>
        <v>0.18726875000000001</v>
      </c>
      <c r="O491" s="378">
        <v>163035.79999999999</v>
      </c>
      <c r="P491" s="103">
        <f t="shared" si="422"/>
        <v>29.437019444444442</v>
      </c>
      <c r="Q491" s="378">
        <v>200417.06</v>
      </c>
      <c r="R491" s="380">
        <f t="shared" si="423"/>
        <v>44.537124444444444</v>
      </c>
    </row>
    <row r="492" spans="2:18" x14ac:dyDescent="0.25">
      <c r="B492" s="377">
        <f t="shared" si="416"/>
        <v>45973</v>
      </c>
      <c r="C492" s="378">
        <v>699077.96</v>
      </c>
      <c r="D492" s="103">
        <f t="shared" si="415"/>
        <v>145.64124166666664</v>
      </c>
      <c r="E492" s="382">
        <v>1478043.95</v>
      </c>
      <c r="F492" s="103">
        <f t="shared" si="417"/>
        <v>307.92582291666668</v>
      </c>
      <c r="G492" s="378">
        <v>226639.93</v>
      </c>
      <c r="H492" s="103">
        <f t="shared" si="418"/>
        <v>28.329991249999996</v>
      </c>
      <c r="I492" s="382">
        <v>71252.160000000003</v>
      </c>
      <c r="J492" s="103">
        <f t="shared" si="419"/>
        <v>8.9065200000000004</v>
      </c>
      <c r="K492" s="378">
        <v>22452.42</v>
      </c>
      <c r="L492" s="103">
        <f t="shared" si="420"/>
        <v>4.0539091666666662</v>
      </c>
      <c r="M492" s="378">
        <v>2696.67</v>
      </c>
      <c r="N492" s="103">
        <f t="shared" si="421"/>
        <v>0.18726875000000001</v>
      </c>
      <c r="O492" s="378">
        <v>163035.79999999999</v>
      </c>
      <c r="P492" s="103">
        <f t="shared" si="422"/>
        <v>29.437019444444442</v>
      </c>
      <c r="Q492" s="378">
        <v>200417.06</v>
      </c>
      <c r="R492" s="380">
        <f t="shared" si="423"/>
        <v>44.537124444444444</v>
      </c>
    </row>
    <row r="493" spans="2:18" x14ac:dyDescent="0.25">
      <c r="B493" s="377">
        <f t="shared" si="416"/>
        <v>45974</v>
      </c>
      <c r="C493" s="378">
        <v>699077.96</v>
      </c>
      <c r="D493" s="103">
        <f t="shared" si="415"/>
        <v>145.64124166666664</v>
      </c>
      <c r="E493" s="382">
        <v>1478043.95</v>
      </c>
      <c r="F493" s="103">
        <f t="shared" si="417"/>
        <v>307.92582291666668</v>
      </c>
      <c r="G493" s="378">
        <v>226639.93</v>
      </c>
      <c r="H493" s="103">
        <f t="shared" si="418"/>
        <v>28.329991249999996</v>
      </c>
      <c r="I493" s="382">
        <v>71252.160000000003</v>
      </c>
      <c r="J493" s="103">
        <f t="shared" si="419"/>
        <v>8.9065200000000004</v>
      </c>
      <c r="K493" s="378">
        <v>22452.42</v>
      </c>
      <c r="L493" s="103">
        <f t="shared" si="420"/>
        <v>4.0539091666666662</v>
      </c>
      <c r="M493" s="378">
        <v>2696.67</v>
      </c>
      <c r="N493" s="103">
        <f t="shared" si="421"/>
        <v>0.18726875000000001</v>
      </c>
      <c r="O493" s="378">
        <v>163035.79999999999</v>
      </c>
      <c r="P493" s="103">
        <f t="shared" si="422"/>
        <v>29.437019444444442</v>
      </c>
      <c r="Q493" s="378">
        <v>200417.06</v>
      </c>
      <c r="R493" s="380">
        <f t="shared" si="423"/>
        <v>44.537124444444444</v>
      </c>
    </row>
    <row r="494" spans="2:18" x14ac:dyDescent="0.25">
      <c r="B494" s="377">
        <f t="shared" si="416"/>
        <v>45975</v>
      </c>
      <c r="C494" s="378">
        <v>699077.96</v>
      </c>
      <c r="D494" s="103">
        <f t="shared" si="415"/>
        <v>145.64124166666664</v>
      </c>
      <c r="E494" s="382">
        <v>1478043.95</v>
      </c>
      <c r="F494" s="103">
        <f t="shared" si="417"/>
        <v>307.92582291666668</v>
      </c>
      <c r="G494" s="378">
        <v>226639.93</v>
      </c>
      <c r="H494" s="103">
        <f t="shared" si="418"/>
        <v>28.329991249999996</v>
      </c>
      <c r="I494" s="382">
        <v>71252.160000000003</v>
      </c>
      <c r="J494" s="103">
        <f t="shared" si="419"/>
        <v>8.9065200000000004</v>
      </c>
      <c r="K494" s="378">
        <v>22452.42</v>
      </c>
      <c r="L494" s="103">
        <f t="shared" si="420"/>
        <v>4.0539091666666662</v>
      </c>
      <c r="M494" s="378">
        <v>2696.67</v>
      </c>
      <c r="N494" s="103">
        <f t="shared" si="421"/>
        <v>0.18726875000000001</v>
      </c>
      <c r="O494" s="378">
        <v>163035.79999999999</v>
      </c>
      <c r="P494" s="103">
        <f t="shared" si="422"/>
        <v>29.437019444444442</v>
      </c>
      <c r="Q494" s="378">
        <v>200417.06</v>
      </c>
      <c r="R494" s="380">
        <f t="shared" si="423"/>
        <v>44.537124444444444</v>
      </c>
    </row>
    <row r="495" spans="2:18" x14ac:dyDescent="0.25">
      <c r="B495" s="377">
        <f t="shared" si="416"/>
        <v>45976</v>
      </c>
      <c r="C495" s="378">
        <v>699077.96</v>
      </c>
      <c r="D495" s="103">
        <f t="shared" si="415"/>
        <v>145.64124166666664</v>
      </c>
      <c r="E495" s="382">
        <v>1478043.95</v>
      </c>
      <c r="F495" s="103">
        <f t="shared" si="417"/>
        <v>307.92582291666668</v>
      </c>
      <c r="G495" s="378">
        <v>226639.93</v>
      </c>
      <c r="H495" s="103">
        <f t="shared" si="418"/>
        <v>28.329991249999996</v>
      </c>
      <c r="I495" s="382">
        <v>71252.160000000003</v>
      </c>
      <c r="J495" s="103">
        <f t="shared" si="419"/>
        <v>8.9065200000000004</v>
      </c>
      <c r="K495" s="378">
        <v>22452.42</v>
      </c>
      <c r="L495" s="103">
        <f t="shared" si="420"/>
        <v>4.0539091666666662</v>
      </c>
      <c r="M495" s="378">
        <v>2696.67</v>
      </c>
      <c r="N495" s="103">
        <f t="shared" si="421"/>
        <v>0.18726875000000001</v>
      </c>
      <c r="O495" s="378">
        <v>163035.79999999999</v>
      </c>
      <c r="P495" s="103">
        <f t="shared" si="422"/>
        <v>29.437019444444442</v>
      </c>
      <c r="Q495" s="378">
        <v>200417.06</v>
      </c>
      <c r="R495" s="380">
        <f t="shared" si="423"/>
        <v>44.537124444444444</v>
      </c>
    </row>
    <row r="496" spans="2:18" x14ac:dyDescent="0.25">
      <c r="B496" s="377">
        <f t="shared" si="416"/>
        <v>45977</v>
      </c>
      <c r="C496" s="378">
        <v>699077.96</v>
      </c>
      <c r="D496" s="103">
        <f t="shared" si="415"/>
        <v>145.64124166666664</v>
      </c>
      <c r="E496" s="382">
        <v>625532.15</v>
      </c>
      <c r="F496" s="103">
        <f t="shared" ref="F496:F502" si="424">(E496*7.5%)/360</f>
        <v>130.31919791666667</v>
      </c>
      <c r="G496" s="378">
        <v>228639.93</v>
      </c>
      <c r="H496" s="103">
        <f t="shared" ref="H496:H502" si="425">(G496*4.5%)/360</f>
        <v>28.579991249999996</v>
      </c>
      <c r="I496" s="382">
        <v>71252.160000000003</v>
      </c>
      <c r="J496" s="103">
        <f t="shared" ref="J496:J502" si="426">(I496*4.5%)/360</f>
        <v>8.9065200000000004</v>
      </c>
      <c r="K496" s="378">
        <v>22452.42</v>
      </c>
      <c r="L496" s="103">
        <f t="shared" ref="L496:L502" si="427">(K496*6.5%)/360</f>
        <v>4.0539091666666662</v>
      </c>
      <c r="M496" s="378">
        <v>2696.67</v>
      </c>
      <c r="N496" s="103">
        <f t="shared" ref="N496:N502" si="428">(M496*2.5%)/360</f>
        <v>0.18726875000000001</v>
      </c>
      <c r="O496" s="378">
        <v>163035.79999999999</v>
      </c>
      <c r="P496" s="103">
        <f t="shared" ref="P496:P502" si="429">(O496*6.5%)/360</f>
        <v>29.437019444444442</v>
      </c>
      <c r="Q496" s="378">
        <v>200417.06</v>
      </c>
      <c r="R496" s="380">
        <f t="shared" ref="R496:R502" si="430">(Q496*8%)/360</f>
        <v>44.537124444444444</v>
      </c>
    </row>
    <row r="497" spans="1:18" x14ac:dyDescent="0.25">
      <c r="B497" s="377">
        <f t="shared" si="416"/>
        <v>45978</v>
      </c>
      <c r="C497" s="378">
        <v>99077.96</v>
      </c>
      <c r="D497" s="103">
        <f t="shared" si="415"/>
        <v>20.641241666666666</v>
      </c>
      <c r="E497" s="382">
        <v>937491.2</v>
      </c>
      <c r="F497" s="103">
        <f t="shared" si="424"/>
        <v>195.31066666666666</v>
      </c>
      <c r="G497" s="378">
        <v>228639.93</v>
      </c>
      <c r="H497" s="103">
        <f t="shared" si="425"/>
        <v>28.579991249999996</v>
      </c>
      <c r="I497" s="382">
        <v>71252.160000000003</v>
      </c>
      <c r="J497" s="103">
        <f t="shared" si="426"/>
        <v>8.9065200000000004</v>
      </c>
      <c r="K497" s="378">
        <v>22452.42</v>
      </c>
      <c r="L497" s="103">
        <f t="shared" si="427"/>
        <v>4.0539091666666662</v>
      </c>
      <c r="M497" s="378">
        <v>2696.67</v>
      </c>
      <c r="N497" s="103">
        <f t="shared" si="428"/>
        <v>0.18726875000000001</v>
      </c>
      <c r="O497" s="378">
        <v>163035.79999999999</v>
      </c>
      <c r="P497" s="103">
        <f t="shared" si="429"/>
        <v>29.437019444444442</v>
      </c>
      <c r="Q497" s="378">
        <v>200417.06</v>
      </c>
      <c r="R497" s="380">
        <f t="shared" si="430"/>
        <v>44.537124444444444</v>
      </c>
    </row>
    <row r="498" spans="1:18" x14ac:dyDescent="0.25">
      <c r="B498" s="377">
        <f t="shared" si="416"/>
        <v>45979</v>
      </c>
      <c r="C498" s="378">
        <v>2099017.96</v>
      </c>
      <c r="D498" s="103">
        <f t="shared" si="415"/>
        <v>437.29540833333328</v>
      </c>
      <c r="E498" s="382">
        <v>937491.2</v>
      </c>
      <c r="F498" s="103">
        <f t="shared" si="424"/>
        <v>195.31066666666666</v>
      </c>
      <c r="G498" s="378">
        <v>228639.93</v>
      </c>
      <c r="H498" s="103">
        <f t="shared" si="425"/>
        <v>28.579991249999996</v>
      </c>
      <c r="I498" s="382">
        <v>65482.46</v>
      </c>
      <c r="J498" s="103">
        <f t="shared" si="426"/>
        <v>8.1853074999999986</v>
      </c>
      <c r="K498" s="378">
        <v>22452.42</v>
      </c>
      <c r="L498" s="103">
        <f t="shared" si="427"/>
        <v>4.0539091666666662</v>
      </c>
      <c r="M498" s="378">
        <v>2696.67</v>
      </c>
      <c r="N498" s="103">
        <f t="shared" si="428"/>
        <v>0.18726875000000001</v>
      </c>
      <c r="O498" s="378">
        <v>163035.79999999999</v>
      </c>
      <c r="P498" s="103">
        <f t="shared" si="429"/>
        <v>29.437019444444442</v>
      </c>
      <c r="Q498" s="378">
        <v>200417.06</v>
      </c>
      <c r="R498" s="380">
        <f t="shared" si="430"/>
        <v>44.537124444444444</v>
      </c>
    </row>
    <row r="499" spans="1:18" x14ac:dyDescent="0.25">
      <c r="B499" s="377">
        <f t="shared" si="416"/>
        <v>45980</v>
      </c>
      <c r="C499" s="378">
        <v>99017.96</v>
      </c>
      <c r="D499" s="103">
        <f t="shared" si="415"/>
        <v>20.628741666666667</v>
      </c>
      <c r="E499" s="382">
        <v>339437.11</v>
      </c>
      <c r="F499" s="103">
        <f t="shared" si="424"/>
        <v>70.716064583333321</v>
      </c>
      <c r="G499" s="378">
        <v>2228579.9300000002</v>
      </c>
      <c r="H499" s="103">
        <f t="shared" si="425"/>
        <v>278.57249124999998</v>
      </c>
      <c r="I499" s="382">
        <v>65482.46</v>
      </c>
      <c r="J499" s="103">
        <f t="shared" si="426"/>
        <v>8.1853074999999986</v>
      </c>
      <c r="K499" s="378">
        <v>22452.42</v>
      </c>
      <c r="L499" s="103">
        <f t="shared" si="427"/>
        <v>4.0539091666666662</v>
      </c>
      <c r="M499" s="378">
        <v>2696.67</v>
      </c>
      <c r="N499" s="103">
        <f t="shared" si="428"/>
        <v>0.18726875000000001</v>
      </c>
      <c r="O499" s="378">
        <v>163035.79999999999</v>
      </c>
      <c r="P499" s="103">
        <f t="shared" si="429"/>
        <v>29.437019444444442</v>
      </c>
      <c r="Q499" s="378">
        <v>200417.06</v>
      </c>
      <c r="R499" s="380">
        <f t="shared" si="430"/>
        <v>44.537124444444444</v>
      </c>
    </row>
    <row r="500" spans="1:18" x14ac:dyDescent="0.25">
      <c r="B500" s="377">
        <f t="shared" si="416"/>
        <v>45981</v>
      </c>
      <c r="C500" s="378">
        <v>5376737.96</v>
      </c>
      <c r="D500" s="103">
        <f t="shared" si="415"/>
        <v>1120.1537416666667</v>
      </c>
      <c r="E500" s="382">
        <v>2023109.57</v>
      </c>
      <c r="F500" s="103">
        <f t="shared" si="424"/>
        <v>421.48116041666668</v>
      </c>
      <c r="G500" s="378">
        <v>28579.93</v>
      </c>
      <c r="H500" s="103">
        <f t="shared" si="425"/>
        <v>3.5724912499999997</v>
      </c>
      <c r="I500" s="382">
        <v>65482.46</v>
      </c>
      <c r="J500" s="103">
        <f t="shared" si="426"/>
        <v>8.1853074999999986</v>
      </c>
      <c r="K500" s="378">
        <v>22452.42</v>
      </c>
      <c r="L500" s="103">
        <f t="shared" si="427"/>
        <v>4.0539091666666662</v>
      </c>
      <c r="M500" s="378">
        <v>2696.67</v>
      </c>
      <c r="N500" s="103">
        <f t="shared" si="428"/>
        <v>0.18726875000000001</v>
      </c>
      <c r="O500" s="378">
        <v>163035.79999999999</v>
      </c>
      <c r="P500" s="103">
        <f t="shared" si="429"/>
        <v>29.437019444444442</v>
      </c>
      <c r="Q500" s="378">
        <v>200417.06</v>
      </c>
      <c r="R500" s="380">
        <f t="shared" si="430"/>
        <v>44.537124444444444</v>
      </c>
    </row>
    <row r="501" spans="1:18" x14ac:dyDescent="0.25">
      <c r="B501" s="377">
        <f t="shared" si="416"/>
        <v>45982</v>
      </c>
      <c r="C501" s="378">
        <v>5376737.96</v>
      </c>
      <c r="D501" s="103">
        <f t="shared" si="415"/>
        <v>1120.1537416666667</v>
      </c>
      <c r="E501" s="382">
        <v>2023109.57</v>
      </c>
      <c r="F501" s="103">
        <f t="shared" si="424"/>
        <v>421.48116041666668</v>
      </c>
      <c r="G501" s="378">
        <v>28579.93</v>
      </c>
      <c r="H501" s="103">
        <f t="shared" si="425"/>
        <v>3.5724912499999997</v>
      </c>
      <c r="I501" s="382">
        <v>65482.46</v>
      </c>
      <c r="J501" s="103">
        <f t="shared" si="426"/>
        <v>8.1853074999999986</v>
      </c>
      <c r="K501" s="378">
        <v>22452.42</v>
      </c>
      <c r="L501" s="103">
        <f t="shared" si="427"/>
        <v>4.0539091666666662</v>
      </c>
      <c r="M501" s="378">
        <v>2696.67</v>
      </c>
      <c r="N501" s="103">
        <f t="shared" si="428"/>
        <v>0.18726875000000001</v>
      </c>
      <c r="O501" s="378">
        <v>163035.79999999999</v>
      </c>
      <c r="P501" s="103">
        <f t="shared" si="429"/>
        <v>29.437019444444442</v>
      </c>
      <c r="Q501" s="378">
        <v>200417.06</v>
      </c>
      <c r="R501" s="380">
        <f t="shared" si="430"/>
        <v>44.537124444444444</v>
      </c>
    </row>
    <row r="502" spans="1:18" x14ac:dyDescent="0.25">
      <c r="B502" s="377">
        <f t="shared" si="416"/>
        <v>45983</v>
      </c>
      <c r="C502" s="378">
        <v>5376737.96</v>
      </c>
      <c r="D502" s="103">
        <f t="shared" si="415"/>
        <v>1120.1537416666667</v>
      </c>
      <c r="E502" s="382">
        <v>2023109.57</v>
      </c>
      <c r="F502" s="103">
        <f t="shared" si="424"/>
        <v>421.48116041666668</v>
      </c>
      <c r="G502" s="378">
        <v>28579.93</v>
      </c>
      <c r="H502" s="103">
        <f t="shared" si="425"/>
        <v>3.5724912499999997</v>
      </c>
      <c r="I502" s="382">
        <v>65482.46</v>
      </c>
      <c r="J502" s="103">
        <f t="shared" si="426"/>
        <v>8.1853074999999986</v>
      </c>
      <c r="K502" s="378">
        <v>22452.42</v>
      </c>
      <c r="L502" s="103">
        <f t="shared" si="427"/>
        <v>4.0539091666666662</v>
      </c>
      <c r="M502" s="378">
        <v>2696.67</v>
      </c>
      <c r="N502" s="103">
        <f t="shared" si="428"/>
        <v>0.18726875000000001</v>
      </c>
      <c r="O502" s="378">
        <v>163035.79999999999</v>
      </c>
      <c r="P502" s="103">
        <f t="shared" si="429"/>
        <v>29.437019444444442</v>
      </c>
      <c r="Q502" s="378">
        <v>200417.06</v>
      </c>
      <c r="R502" s="380">
        <f t="shared" si="430"/>
        <v>44.537124444444444</v>
      </c>
    </row>
    <row r="503" spans="1:18" x14ac:dyDescent="0.25">
      <c r="B503" s="377">
        <f t="shared" si="416"/>
        <v>45984</v>
      </c>
      <c r="C503" s="378">
        <v>76677.960000000006</v>
      </c>
      <c r="D503" s="103">
        <f t="shared" si="415"/>
        <v>15.974575000000002</v>
      </c>
      <c r="E503" s="382">
        <v>2319637.98</v>
      </c>
      <c r="F503" s="103">
        <f t="shared" ref="F503:F509" si="431">(E503*7.5%)/360</f>
        <v>483.25791249999997</v>
      </c>
      <c r="G503" s="378">
        <v>28579.93</v>
      </c>
      <c r="H503" s="103">
        <f t="shared" ref="H503:H509" si="432">(G503*4.5%)/360</f>
        <v>3.5724912499999997</v>
      </c>
      <c r="I503" s="382">
        <v>65482.46</v>
      </c>
      <c r="J503" s="103">
        <f t="shared" ref="J503:J509" si="433">(I503*4.5%)/360</f>
        <v>8.1853074999999986</v>
      </c>
      <c r="K503" s="378">
        <v>22452.42</v>
      </c>
      <c r="L503" s="103">
        <f t="shared" ref="L503:L509" si="434">(K503*6.5%)/360</f>
        <v>4.0539091666666662</v>
      </c>
      <c r="M503" s="378">
        <v>2696.67</v>
      </c>
      <c r="N503" s="103">
        <f t="shared" ref="N503:N509" si="435">(M503*2.5%)/360</f>
        <v>0.18726875000000001</v>
      </c>
      <c r="O503" s="378">
        <v>163035.79999999999</v>
      </c>
      <c r="P503" s="103">
        <f t="shared" ref="P503:P509" si="436">(O503*6.5%)/360</f>
        <v>29.437019444444442</v>
      </c>
      <c r="Q503" s="378">
        <v>200417.06</v>
      </c>
      <c r="R503" s="380">
        <f t="shared" ref="R503:R509" si="437">(Q503*8%)/360</f>
        <v>44.537124444444444</v>
      </c>
    </row>
    <row r="504" spans="1:18" x14ac:dyDescent="0.25">
      <c r="B504" s="377">
        <f t="shared" si="416"/>
        <v>45985</v>
      </c>
      <c r="C504" s="378">
        <v>20961.96</v>
      </c>
      <c r="D504" s="103">
        <f t="shared" si="415"/>
        <v>4.3670749999999998</v>
      </c>
      <c r="E504" s="382">
        <v>1802.33</v>
      </c>
      <c r="F504" s="103">
        <f t="shared" si="431"/>
        <v>0.37548541666666663</v>
      </c>
      <c r="G504" s="378">
        <v>38579.93</v>
      </c>
      <c r="H504" s="103">
        <f t="shared" si="432"/>
        <v>4.8224912499999997</v>
      </c>
      <c r="I504" s="382">
        <v>65482.46</v>
      </c>
      <c r="J504" s="103">
        <f t="shared" si="433"/>
        <v>8.1853074999999986</v>
      </c>
      <c r="K504" s="378">
        <v>22452.42</v>
      </c>
      <c r="L504" s="103">
        <f t="shared" si="434"/>
        <v>4.0539091666666662</v>
      </c>
      <c r="M504" s="378">
        <v>2696.67</v>
      </c>
      <c r="N504" s="103">
        <f t="shared" si="435"/>
        <v>0.18726875000000001</v>
      </c>
      <c r="O504" s="378">
        <v>163035.79999999999</v>
      </c>
      <c r="P504" s="103">
        <f t="shared" si="436"/>
        <v>29.437019444444442</v>
      </c>
      <c r="Q504" s="378">
        <v>200417.06</v>
      </c>
      <c r="R504" s="380">
        <f t="shared" si="437"/>
        <v>44.537124444444444</v>
      </c>
    </row>
    <row r="505" spans="1:18" x14ac:dyDescent="0.25">
      <c r="B505" s="377">
        <f t="shared" si="416"/>
        <v>45986</v>
      </c>
      <c r="C505" s="378">
        <v>70961.960000000006</v>
      </c>
      <c r="D505" s="103">
        <f t="shared" si="415"/>
        <v>14.783741666666666</v>
      </c>
      <c r="E505" s="382">
        <v>51802.33</v>
      </c>
      <c r="F505" s="103">
        <f t="shared" si="431"/>
        <v>10.792152083333333</v>
      </c>
      <c r="G505" s="378">
        <v>38579.93</v>
      </c>
      <c r="H505" s="103">
        <f t="shared" si="432"/>
        <v>4.8224912499999997</v>
      </c>
      <c r="I505" s="382">
        <v>65482.46</v>
      </c>
      <c r="J505" s="103">
        <f t="shared" si="433"/>
        <v>8.1853074999999986</v>
      </c>
      <c r="K505" s="378">
        <v>22452.42</v>
      </c>
      <c r="L505" s="103">
        <f t="shared" si="434"/>
        <v>4.0539091666666662</v>
      </c>
      <c r="M505" s="378">
        <v>2696.67</v>
      </c>
      <c r="N505" s="103">
        <f t="shared" si="435"/>
        <v>0.18726875000000001</v>
      </c>
      <c r="O505" s="378">
        <v>163035.79999999999</v>
      </c>
      <c r="P505" s="103">
        <f t="shared" si="436"/>
        <v>29.437019444444442</v>
      </c>
      <c r="Q505" s="378">
        <v>200417.06</v>
      </c>
      <c r="R505" s="380">
        <f t="shared" si="437"/>
        <v>44.537124444444444</v>
      </c>
    </row>
    <row r="506" spans="1:18" x14ac:dyDescent="0.25">
      <c r="B506" s="377">
        <f t="shared" si="416"/>
        <v>45987</v>
      </c>
      <c r="C506" s="378">
        <v>570961.96</v>
      </c>
      <c r="D506" s="103">
        <f t="shared" si="415"/>
        <v>118.95040833333333</v>
      </c>
      <c r="E506" s="382">
        <v>482881.93</v>
      </c>
      <c r="F506" s="103">
        <f t="shared" si="431"/>
        <v>100.60040208333334</v>
      </c>
      <c r="G506" s="378">
        <v>38579.93</v>
      </c>
      <c r="H506" s="103">
        <f t="shared" si="432"/>
        <v>4.8224912499999997</v>
      </c>
      <c r="I506" s="382">
        <v>65482.46</v>
      </c>
      <c r="J506" s="103">
        <f t="shared" si="433"/>
        <v>8.1853074999999986</v>
      </c>
      <c r="K506" s="378">
        <v>22452.42</v>
      </c>
      <c r="L506" s="103">
        <f t="shared" si="434"/>
        <v>4.0539091666666662</v>
      </c>
      <c r="M506" s="378">
        <v>2696.67</v>
      </c>
      <c r="N506" s="103">
        <f t="shared" si="435"/>
        <v>0.18726875000000001</v>
      </c>
      <c r="O506" s="378">
        <v>163035.79999999999</v>
      </c>
      <c r="P506" s="103">
        <f t="shared" si="436"/>
        <v>29.437019444444442</v>
      </c>
      <c r="Q506" s="378">
        <v>200417.06</v>
      </c>
      <c r="R506" s="380">
        <f t="shared" si="437"/>
        <v>44.537124444444444</v>
      </c>
    </row>
    <row r="507" spans="1:18" x14ac:dyDescent="0.25">
      <c r="B507" s="377">
        <f t="shared" si="416"/>
        <v>45988</v>
      </c>
      <c r="C507" s="378">
        <v>255403.96</v>
      </c>
      <c r="D507" s="103">
        <f t="shared" si="415"/>
        <v>53.209158333333328</v>
      </c>
      <c r="E507" s="382">
        <v>592262.49</v>
      </c>
      <c r="F507" s="103">
        <f t="shared" si="431"/>
        <v>123.38801875</v>
      </c>
      <c r="G507" s="378">
        <v>109579.93</v>
      </c>
      <c r="H507" s="103">
        <f t="shared" si="432"/>
        <v>13.697491250000001</v>
      </c>
      <c r="I507" s="382">
        <v>65482.46</v>
      </c>
      <c r="J507" s="103">
        <f t="shared" si="433"/>
        <v>8.1853074999999986</v>
      </c>
      <c r="K507" s="378">
        <v>22452.42</v>
      </c>
      <c r="L507" s="103">
        <f t="shared" si="434"/>
        <v>4.0539091666666662</v>
      </c>
      <c r="M507" s="378">
        <v>2696.67</v>
      </c>
      <c r="N507" s="103">
        <f t="shared" si="435"/>
        <v>0.18726875000000001</v>
      </c>
      <c r="O507" s="378">
        <v>163035.79999999999</v>
      </c>
      <c r="P507" s="103">
        <f t="shared" si="436"/>
        <v>29.437019444444442</v>
      </c>
      <c r="Q507" s="378">
        <v>200417.06</v>
      </c>
      <c r="R507" s="380">
        <f t="shared" si="437"/>
        <v>44.537124444444444</v>
      </c>
    </row>
    <row r="508" spans="1:18" x14ac:dyDescent="0.25">
      <c r="B508" s="377">
        <f t="shared" si="416"/>
        <v>45989</v>
      </c>
      <c r="C508" s="378">
        <v>255403.96</v>
      </c>
      <c r="D508" s="103">
        <f t="shared" si="415"/>
        <v>53.209158333333328</v>
      </c>
      <c r="E508" s="382">
        <v>592262.49</v>
      </c>
      <c r="F508" s="103">
        <f t="shared" si="431"/>
        <v>123.38801875</v>
      </c>
      <c r="G508" s="378">
        <v>109579.93</v>
      </c>
      <c r="H508" s="103">
        <f t="shared" si="432"/>
        <v>13.697491250000001</v>
      </c>
      <c r="I508" s="382">
        <v>65482.46</v>
      </c>
      <c r="J508" s="103">
        <f t="shared" si="433"/>
        <v>8.1853074999999986</v>
      </c>
      <c r="K508" s="378">
        <v>22452.42</v>
      </c>
      <c r="L508" s="103">
        <f t="shared" si="434"/>
        <v>4.0539091666666662</v>
      </c>
      <c r="M508" s="378">
        <v>2696.67</v>
      </c>
      <c r="N508" s="103">
        <f t="shared" si="435"/>
        <v>0.18726875000000001</v>
      </c>
      <c r="O508" s="378">
        <v>163035.79999999999</v>
      </c>
      <c r="P508" s="103">
        <f t="shared" si="436"/>
        <v>29.437019444444442</v>
      </c>
      <c r="Q508" s="378">
        <v>200417.06</v>
      </c>
      <c r="R508" s="380">
        <f t="shared" si="437"/>
        <v>44.537124444444444</v>
      </c>
    </row>
    <row r="509" spans="1:18" x14ac:dyDescent="0.25">
      <c r="B509" s="377">
        <f t="shared" si="416"/>
        <v>45990</v>
      </c>
      <c r="C509" s="378">
        <v>255403.96</v>
      </c>
      <c r="D509" s="103">
        <f t="shared" si="415"/>
        <v>53.209158333333328</v>
      </c>
      <c r="E509" s="382">
        <v>592262.49</v>
      </c>
      <c r="F509" s="103">
        <f t="shared" si="431"/>
        <v>123.38801875</v>
      </c>
      <c r="G509" s="378">
        <v>109579.93</v>
      </c>
      <c r="H509" s="103">
        <f t="shared" si="432"/>
        <v>13.697491250000001</v>
      </c>
      <c r="I509" s="382">
        <v>65482.46</v>
      </c>
      <c r="J509" s="103">
        <f t="shared" si="433"/>
        <v>8.1853074999999986</v>
      </c>
      <c r="K509" s="378">
        <v>22452.42</v>
      </c>
      <c r="L509" s="103">
        <f t="shared" si="434"/>
        <v>4.0539091666666662</v>
      </c>
      <c r="M509" s="378">
        <v>2696.67</v>
      </c>
      <c r="N509" s="103">
        <f t="shared" si="435"/>
        <v>0.18726875000000001</v>
      </c>
      <c r="O509" s="378">
        <v>163035.79999999999</v>
      </c>
      <c r="P509" s="103">
        <f t="shared" si="436"/>
        <v>29.437019444444442</v>
      </c>
      <c r="Q509" s="378">
        <v>200417.06</v>
      </c>
      <c r="R509" s="380">
        <f t="shared" si="437"/>
        <v>44.537124444444444</v>
      </c>
    </row>
    <row r="510" spans="1:18" x14ac:dyDescent="0.25">
      <c r="B510" s="377">
        <f t="shared" si="416"/>
        <v>45991</v>
      </c>
      <c r="C510" s="378">
        <v>146956.57</v>
      </c>
      <c r="D510" s="103">
        <f t="shared" si="415"/>
        <v>30.615952083333333</v>
      </c>
      <c r="E510" s="382">
        <v>925875.04</v>
      </c>
      <c r="F510" s="103">
        <f t="shared" ref="F510" si="438">(E510*7.5%)/360</f>
        <v>192.89063333333331</v>
      </c>
      <c r="G510" s="378">
        <v>109579.93</v>
      </c>
      <c r="H510" s="103">
        <f t="shared" ref="H510" si="439">(G510*4.5%)/360</f>
        <v>13.697491250000001</v>
      </c>
      <c r="I510" s="382">
        <v>65482.46</v>
      </c>
      <c r="J510" s="103">
        <f t="shared" ref="J510" si="440">(I510*4.5%)/360</f>
        <v>8.1853074999999986</v>
      </c>
      <c r="K510" s="378">
        <v>22452.42</v>
      </c>
      <c r="L510" s="103">
        <f t="shared" ref="L510" si="441">(K510*6.5%)/360</f>
        <v>4.0539091666666662</v>
      </c>
      <c r="M510" s="378">
        <v>2696.67</v>
      </c>
      <c r="N510" s="103">
        <f t="shared" ref="N510" si="442">(M510*2.5%)/360</f>
        <v>0.18726875000000001</v>
      </c>
      <c r="O510" s="378">
        <v>163035.79999999999</v>
      </c>
      <c r="P510" s="103">
        <f t="shared" ref="P510" si="443">(O510*6.5%)/360</f>
        <v>29.437019444444442</v>
      </c>
      <c r="Q510" s="378">
        <v>200417.06</v>
      </c>
      <c r="R510" s="380">
        <f t="shared" ref="R510" si="444">(Q510*8%)/360</f>
        <v>44.537124444444444</v>
      </c>
    </row>
    <row r="511" spans="1:18" x14ac:dyDescent="0.25">
      <c r="B511" s="377">
        <f t="shared" si="416"/>
        <v>45992</v>
      </c>
      <c r="C511" s="378">
        <v>146956.57</v>
      </c>
      <c r="D511" s="103">
        <f t="shared" ref="D511" si="445">(C511*7.5%)/360</f>
        <v>30.615952083333333</v>
      </c>
      <c r="E511" s="382">
        <v>1135180.28</v>
      </c>
      <c r="F511" s="103">
        <f t="shared" ref="F511" si="446">(E511*7.5%)/360</f>
        <v>236.49589166666664</v>
      </c>
      <c r="G511" s="378">
        <v>109579.93</v>
      </c>
      <c r="H511" s="103">
        <f t="shared" ref="H511" si="447">(G511*4.5%)/360</f>
        <v>13.697491250000001</v>
      </c>
      <c r="I511" s="382">
        <v>65482.46</v>
      </c>
      <c r="J511" s="103">
        <f t="shared" ref="J511" si="448">(I511*4.5%)/360</f>
        <v>8.1853074999999986</v>
      </c>
      <c r="K511" s="378">
        <v>22452.42</v>
      </c>
      <c r="L511" s="103">
        <f t="shared" ref="L511" si="449">(K511*6.5%)/360</f>
        <v>4.0539091666666662</v>
      </c>
      <c r="M511" s="378">
        <v>2696.67</v>
      </c>
      <c r="N511" s="103">
        <f t="shared" ref="N511" si="450">(M511*2.5%)/360</f>
        <v>0.18726875000000001</v>
      </c>
      <c r="O511" s="378">
        <v>163035.79999999999</v>
      </c>
      <c r="P511" s="103">
        <f t="shared" ref="P511" si="451">(O511*6.5%)/360</f>
        <v>29.437019444444442</v>
      </c>
      <c r="Q511" s="378">
        <v>200417.06</v>
      </c>
      <c r="R511" s="380">
        <f t="shared" ref="R511" si="452">(Q511*8%)/360</f>
        <v>44.537124444444444</v>
      </c>
    </row>
    <row r="512" spans="1:18" x14ac:dyDescent="0.25">
      <c r="A512" s="440">
        <f t="shared" ref="A512:A517" si="453">D512+F512+H512+J512+L512+N512+P512+R512</f>
        <v>679.49608722222229</v>
      </c>
      <c r="B512" s="377">
        <f t="shared" si="416"/>
        <v>45993</v>
      </c>
      <c r="C512" s="378">
        <v>146956.57</v>
      </c>
      <c r="D512" s="103">
        <f t="shared" ref="D512" si="454">(C512*7.5%)/360</f>
        <v>30.615952083333333</v>
      </c>
      <c r="E512" s="382">
        <v>2634153.67</v>
      </c>
      <c r="F512" s="103">
        <f t="shared" ref="F512" si="455">(E512*7.5%)/360</f>
        <v>548.78201458333331</v>
      </c>
      <c r="G512" s="378">
        <v>109579.93</v>
      </c>
      <c r="H512" s="103">
        <f t="shared" ref="H512" si="456">(G512*4.5%)/360</f>
        <v>13.697491250000001</v>
      </c>
      <c r="I512" s="382">
        <v>65482.46</v>
      </c>
      <c r="J512" s="103">
        <f t="shared" ref="J512" si="457">(I512*4.5%)/360</f>
        <v>8.1853074999999986</v>
      </c>
      <c r="K512" s="378">
        <v>22452.42</v>
      </c>
      <c r="L512" s="103">
        <f t="shared" ref="L512" si="458">(K512*6.5%)/360</f>
        <v>4.0539091666666662</v>
      </c>
      <c r="M512" s="378">
        <v>2696.67</v>
      </c>
      <c r="N512" s="103">
        <f t="shared" ref="N512" si="459">(M512*2.5%)/360</f>
        <v>0.18726875000000001</v>
      </c>
      <c r="O512" s="378">
        <v>163035.79999999999</v>
      </c>
      <c r="P512" s="103">
        <f t="shared" ref="P512" si="460">(O512*6.5%)/360</f>
        <v>29.437019444444442</v>
      </c>
      <c r="Q512" s="378">
        <v>200417.06</v>
      </c>
      <c r="R512" s="380">
        <f t="shared" ref="R512" si="461">(Q512*8%)/360</f>
        <v>44.537124444444444</v>
      </c>
    </row>
    <row r="513" spans="1:18" x14ac:dyDescent="0.25">
      <c r="A513" s="440">
        <f t="shared" si="453"/>
        <v>1452.616562222222</v>
      </c>
      <c r="B513" s="377">
        <f t="shared" si="416"/>
        <v>45994</v>
      </c>
      <c r="C513" s="378">
        <v>146956.57</v>
      </c>
      <c r="D513" s="103">
        <f t="shared" ref="D513" si="462">(C513*7.5%)/360</f>
        <v>30.615952083333333</v>
      </c>
      <c r="E513" s="382">
        <v>6345131.9500000002</v>
      </c>
      <c r="F513" s="103">
        <f t="shared" ref="F513" si="463">(E513*7.5%)/360</f>
        <v>1321.9024895833334</v>
      </c>
      <c r="G513" s="378">
        <v>109579.93</v>
      </c>
      <c r="H513" s="103">
        <f t="shared" ref="H513" si="464">(G513*4.5%)/360</f>
        <v>13.697491250000001</v>
      </c>
      <c r="I513" s="382">
        <v>65482.46</v>
      </c>
      <c r="J513" s="103">
        <f t="shared" ref="J513" si="465">(I513*4.5%)/360</f>
        <v>8.1853074999999986</v>
      </c>
      <c r="K513" s="378">
        <v>22452.42</v>
      </c>
      <c r="L513" s="103">
        <f t="shared" ref="L513" si="466">(K513*6.5%)/360</f>
        <v>4.0539091666666662</v>
      </c>
      <c r="M513" s="378">
        <v>2696.67</v>
      </c>
      <c r="N513" s="103">
        <f t="shared" ref="N513" si="467">(M513*2.5%)/360</f>
        <v>0.18726875000000001</v>
      </c>
      <c r="O513" s="378">
        <v>163035.79999999999</v>
      </c>
      <c r="P513" s="103">
        <f t="shared" ref="P513" si="468">(O513*6.5%)/360</f>
        <v>29.437019444444442</v>
      </c>
      <c r="Q513" s="378">
        <v>200417.06</v>
      </c>
      <c r="R513" s="380">
        <f t="shared" ref="R513" si="469">(Q513*8%)/360</f>
        <v>44.537124444444444</v>
      </c>
    </row>
    <row r="514" spans="1:18" x14ac:dyDescent="0.25">
      <c r="A514" s="440">
        <f t="shared" si="453"/>
        <v>365.53481847222218</v>
      </c>
      <c r="B514" s="377">
        <f t="shared" si="416"/>
        <v>45995</v>
      </c>
      <c r="C514" s="378">
        <v>127464.57</v>
      </c>
      <c r="D514" s="103">
        <f t="shared" ref="D514" si="470">(C514*7.5%)/360</f>
        <v>26.555118749999998</v>
      </c>
      <c r="E514" s="382">
        <v>1140631.58</v>
      </c>
      <c r="F514" s="103">
        <f t="shared" ref="F514" si="471">(E514*7.5%)/360</f>
        <v>237.63157916666665</v>
      </c>
      <c r="G514" s="378">
        <v>119579.93</v>
      </c>
      <c r="H514" s="103">
        <f t="shared" ref="H514" si="472">(G514*4.5%)/360</f>
        <v>14.947491250000001</v>
      </c>
      <c r="I514" s="382">
        <v>65482.46</v>
      </c>
      <c r="J514" s="103">
        <f t="shared" ref="J514" si="473">(I514*4.5%)/360</f>
        <v>8.1853074999999986</v>
      </c>
      <c r="K514" s="378">
        <v>22452.42</v>
      </c>
      <c r="L514" s="103">
        <f t="shared" ref="L514" si="474">(K514*6.5%)/360</f>
        <v>4.0539091666666662</v>
      </c>
      <c r="M514" s="378">
        <v>2696.67</v>
      </c>
      <c r="N514" s="103">
        <f t="shared" ref="N514" si="475">(M514*2.5%)/360</f>
        <v>0.18726875000000001</v>
      </c>
      <c r="O514" s="378">
        <v>163035.79999999999</v>
      </c>
      <c r="P514" s="103">
        <f t="shared" ref="P514" si="476">(O514*6.5%)/360</f>
        <v>29.437019444444442</v>
      </c>
      <c r="Q514" s="378">
        <v>200417.06</v>
      </c>
      <c r="R514" s="380">
        <f t="shared" ref="R514" si="477">(Q514*8%)/360</f>
        <v>44.537124444444444</v>
      </c>
    </row>
    <row r="515" spans="1:18" x14ac:dyDescent="0.25">
      <c r="A515" s="440">
        <f t="shared" si="453"/>
        <v>408.55775388888884</v>
      </c>
      <c r="B515" s="377">
        <f t="shared" si="416"/>
        <v>45996</v>
      </c>
      <c r="C515" s="378">
        <v>127464.57</v>
      </c>
      <c r="D515" s="103">
        <f t="shared" ref="D515" si="478">(C515*7.5%)/360</f>
        <v>26.555118749999998</v>
      </c>
      <c r="E515" s="382">
        <v>1341141.67</v>
      </c>
      <c r="F515" s="103">
        <f t="shared" ref="F515" si="479">(E515*7.5%)/360</f>
        <v>279.40451458333331</v>
      </c>
      <c r="G515" s="378">
        <v>129579.93</v>
      </c>
      <c r="H515" s="103">
        <f t="shared" ref="H515" si="480">(G515*4.5%)/360</f>
        <v>16.197491249999999</v>
      </c>
      <c r="I515" s="382">
        <v>65482.46</v>
      </c>
      <c r="J515" s="103">
        <f t="shared" ref="J515" si="481">(I515*4.5%)/360</f>
        <v>8.1853074999999986</v>
      </c>
      <c r="K515" s="378">
        <v>22452.42</v>
      </c>
      <c r="L515" s="103">
        <f t="shared" ref="L515" si="482">(K515*6.5%)/360</f>
        <v>4.0539091666666662</v>
      </c>
      <c r="M515" s="378">
        <v>2696.67</v>
      </c>
      <c r="N515" s="103">
        <f t="shared" ref="N515" si="483">(M515*2.5%)/360</f>
        <v>0.18726875000000001</v>
      </c>
      <c r="O515" s="378">
        <v>163035.79999999999</v>
      </c>
      <c r="P515" s="103">
        <f t="shared" ref="P515" si="484">(O515*6.5%)/360</f>
        <v>29.437019444444442</v>
      </c>
      <c r="Q515" s="378">
        <v>200417.06</v>
      </c>
      <c r="R515" s="380">
        <f t="shared" ref="R515" si="485">(Q515*8%)/360</f>
        <v>44.537124444444444</v>
      </c>
    </row>
    <row r="516" spans="1:18" x14ac:dyDescent="0.25">
      <c r="A516" s="440">
        <f t="shared" si="453"/>
        <v>366.78481847222218</v>
      </c>
      <c r="B516" s="377">
        <f t="shared" si="416"/>
        <v>45997</v>
      </c>
      <c r="C516" s="378">
        <v>127464.57</v>
      </c>
      <c r="D516" s="103">
        <f t="shared" ref="D516" si="486">(C516*7.5%)/360</f>
        <v>26.555118749999998</v>
      </c>
      <c r="E516" s="382">
        <v>1140631.58</v>
      </c>
      <c r="F516" s="103">
        <f t="shared" ref="F516" si="487">(E516*7.5%)/360</f>
        <v>237.63157916666665</v>
      </c>
      <c r="G516" s="378">
        <v>129579.93</v>
      </c>
      <c r="H516" s="103">
        <f t="shared" ref="H516" si="488">(G516*4.5%)/360</f>
        <v>16.197491249999999</v>
      </c>
      <c r="I516" s="382">
        <v>65482.46</v>
      </c>
      <c r="J516" s="103">
        <f t="shared" ref="J516" si="489">(I516*4.5%)/360</f>
        <v>8.1853074999999986</v>
      </c>
      <c r="K516" s="378">
        <v>22452.42</v>
      </c>
      <c r="L516" s="103">
        <f t="shared" ref="L516" si="490">(K516*6.5%)/360</f>
        <v>4.0539091666666662</v>
      </c>
      <c r="M516" s="378">
        <v>2696.67</v>
      </c>
      <c r="N516" s="103">
        <f t="shared" ref="N516" si="491">(M516*2.5%)/360</f>
        <v>0.18726875000000001</v>
      </c>
      <c r="O516" s="378">
        <v>163035.79999999999</v>
      </c>
      <c r="P516" s="103">
        <f t="shared" ref="P516" si="492">(O516*6.5%)/360</f>
        <v>29.437019444444442</v>
      </c>
      <c r="Q516" s="378">
        <v>200417.06</v>
      </c>
      <c r="R516" s="380">
        <f t="shared" ref="R516" si="493">(Q516*8%)/360</f>
        <v>44.537124444444444</v>
      </c>
    </row>
    <row r="517" spans="1:18" x14ac:dyDescent="0.25">
      <c r="A517" s="440">
        <f t="shared" si="453"/>
        <v>300.09905388888888</v>
      </c>
      <c r="B517" s="377">
        <f t="shared" si="416"/>
        <v>45998</v>
      </c>
      <c r="C517" s="378">
        <v>127464.57</v>
      </c>
      <c r="D517" s="103">
        <f t="shared" ref="D517" si="494">(C517*7.5%)/360</f>
        <v>26.555118749999998</v>
      </c>
      <c r="E517" s="382">
        <v>820539.91</v>
      </c>
      <c r="F517" s="103">
        <f t="shared" ref="F517" si="495">(E517*7.5%)/360</f>
        <v>170.94581458333334</v>
      </c>
      <c r="G517" s="378">
        <v>129579.93</v>
      </c>
      <c r="H517" s="103">
        <f t="shared" ref="H517" si="496">(G517*4.5%)/360</f>
        <v>16.197491249999999</v>
      </c>
      <c r="I517" s="382">
        <v>65482.46</v>
      </c>
      <c r="J517" s="103">
        <f t="shared" ref="J517" si="497">(I517*4.5%)/360</f>
        <v>8.1853074999999986</v>
      </c>
      <c r="K517" s="378">
        <v>22452.42</v>
      </c>
      <c r="L517" s="103">
        <f t="shared" ref="L517" si="498">(K517*6.5%)/360</f>
        <v>4.0539091666666662</v>
      </c>
      <c r="M517" s="378">
        <v>2696.67</v>
      </c>
      <c r="N517" s="103">
        <f t="shared" ref="N517" si="499">(M517*2.5%)/360</f>
        <v>0.18726875000000001</v>
      </c>
      <c r="O517" s="378">
        <v>163035.79999999999</v>
      </c>
      <c r="P517" s="103">
        <f t="shared" ref="P517" si="500">(O517*6.5%)/360</f>
        <v>29.437019444444442</v>
      </c>
      <c r="Q517" s="378">
        <v>200417.06</v>
      </c>
      <c r="R517" s="380">
        <f t="shared" ref="R517" si="501">(Q517*8%)/360</f>
        <v>44.537124444444444</v>
      </c>
    </row>
    <row r="518" spans="1:18" x14ac:dyDescent="0.25">
      <c r="A518" s="440">
        <f t="shared" ref="A518" si="502">D518+F518+H518+J518+L518+N518+P518+R518</f>
        <v>329.75712680555552</v>
      </c>
      <c r="B518" s="377">
        <f t="shared" si="416"/>
        <v>45999</v>
      </c>
      <c r="C518" s="378">
        <v>627464.56999999995</v>
      </c>
      <c r="D518" s="103">
        <f t="shared" ref="D518" si="503">(C518*7.5%)/360</f>
        <v>130.72178541666665</v>
      </c>
      <c r="E518" s="382">
        <v>443098.66</v>
      </c>
      <c r="F518" s="103">
        <f t="shared" ref="F518" si="504">(E518*7.5%)/360</f>
        <v>92.312220833333328</v>
      </c>
      <c r="G518" s="378">
        <v>162579.93</v>
      </c>
      <c r="H518" s="103">
        <f t="shared" ref="H518" si="505">(G518*4.5%)/360</f>
        <v>20.322491249999999</v>
      </c>
      <c r="I518" s="382">
        <v>65482.46</v>
      </c>
      <c r="J518" s="103">
        <f t="shared" ref="J518" si="506">(I518*4.5%)/360</f>
        <v>8.1853074999999986</v>
      </c>
      <c r="K518" s="378">
        <v>22452.42</v>
      </c>
      <c r="L518" s="103">
        <f t="shared" ref="L518" si="507">(K518*6.5%)/360</f>
        <v>4.0539091666666662</v>
      </c>
      <c r="M518" s="378">
        <v>2696.67</v>
      </c>
      <c r="N518" s="103">
        <f t="shared" ref="N518" si="508">(M518*2.5%)/360</f>
        <v>0.18726875000000001</v>
      </c>
      <c r="O518" s="378">
        <v>163035.79999999999</v>
      </c>
      <c r="P518" s="103">
        <f t="shared" ref="P518" si="509">(O518*6.5%)/360</f>
        <v>29.437019444444442</v>
      </c>
      <c r="Q518" s="378">
        <v>200417.06</v>
      </c>
      <c r="R518" s="380">
        <f t="shared" ref="R518" si="510">(Q518*8%)/360</f>
        <v>44.537124444444444</v>
      </c>
    </row>
    <row r="519" spans="1:18" x14ac:dyDescent="0.25">
      <c r="A519" s="440">
        <f t="shared" ref="A519" si="511">D519+F519+H519+J519+L519+N519+P519+R519</f>
        <v>659.83335805555566</v>
      </c>
      <c r="B519" s="377">
        <f t="shared" si="416"/>
        <v>46000</v>
      </c>
      <c r="C519" s="378">
        <v>627464.56999999995</v>
      </c>
      <c r="D519" s="103">
        <f t="shared" ref="D519" si="512">(C519*7.5%)/360</f>
        <v>130.72178541666665</v>
      </c>
      <c r="E519" s="382">
        <v>2027464.57</v>
      </c>
      <c r="F519" s="103">
        <f t="shared" ref="F519" si="513">(E519*7.5%)/360</f>
        <v>422.38845208333339</v>
      </c>
      <c r="G519" s="378">
        <v>162579.93</v>
      </c>
      <c r="H519" s="103">
        <f t="shared" ref="H519" si="514">(G519*4.5%)/360</f>
        <v>20.322491249999999</v>
      </c>
      <c r="I519" s="382">
        <v>65482.46</v>
      </c>
      <c r="J519" s="103">
        <f t="shared" ref="J519" si="515">(I519*4.5%)/360</f>
        <v>8.1853074999999986</v>
      </c>
      <c r="K519" s="378">
        <v>22452.42</v>
      </c>
      <c r="L519" s="103">
        <f t="shared" ref="L519" si="516">(K519*6.5%)/360</f>
        <v>4.0539091666666662</v>
      </c>
      <c r="M519" s="378">
        <v>2696.67</v>
      </c>
      <c r="N519" s="103">
        <f t="shared" ref="N519" si="517">(M519*2.5%)/360</f>
        <v>0.18726875000000001</v>
      </c>
      <c r="O519" s="378">
        <v>163035.79999999999</v>
      </c>
      <c r="P519" s="103">
        <f t="shared" ref="P519" si="518">(O519*6.5%)/360</f>
        <v>29.437019444444442</v>
      </c>
      <c r="Q519" s="378">
        <v>200417.06</v>
      </c>
      <c r="R519" s="380">
        <f t="shared" ref="R519" si="519">(Q519*8%)/360</f>
        <v>44.537124444444444</v>
      </c>
    </row>
    <row r="520" spans="1:18" x14ac:dyDescent="0.25">
      <c r="A520" s="440">
        <f t="shared" ref="A520" si="520">D520+F520+H520+J520+L520+N520+P520+R520</f>
        <v>621.42379347222231</v>
      </c>
      <c r="B520" s="377">
        <f t="shared" si="416"/>
        <v>46001</v>
      </c>
      <c r="C520" s="378">
        <v>443098.66</v>
      </c>
      <c r="D520" s="103">
        <f t="shared" ref="D520" si="521">(C520*7.5%)/360</f>
        <v>92.312220833333328</v>
      </c>
      <c r="E520" s="382">
        <v>2027464.57</v>
      </c>
      <c r="F520" s="103">
        <f t="shared" ref="F520" si="522">(E520*7.5%)/360</f>
        <v>422.38845208333339</v>
      </c>
      <c r="G520" s="378">
        <v>162579.93</v>
      </c>
      <c r="H520" s="103">
        <f t="shared" ref="H520" si="523">(G520*4.5%)/360</f>
        <v>20.322491249999999</v>
      </c>
      <c r="I520" s="382">
        <v>65482.46</v>
      </c>
      <c r="J520" s="103">
        <f t="shared" ref="J520" si="524">(I520*4.5%)/360</f>
        <v>8.1853074999999986</v>
      </c>
      <c r="K520" s="378">
        <v>22452.42</v>
      </c>
      <c r="L520" s="103">
        <f t="shared" ref="L520" si="525">(K520*6.5%)/360</f>
        <v>4.0539091666666662</v>
      </c>
      <c r="M520" s="378">
        <v>2696.67</v>
      </c>
      <c r="N520" s="103">
        <f t="shared" ref="N520" si="526">(M520*2.5%)/360</f>
        <v>0.18726875000000001</v>
      </c>
      <c r="O520" s="378">
        <v>163035.79999999999</v>
      </c>
      <c r="P520" s="103">
        <f t="shared" ref="P520" si="527">(O520*6.5%)/360</f>
        <v>29.437019444444442</v>
      </c>
      <c r="Q520" s="378">
        <v>200417.06</v>
      </c>
      <c r="R520" s="380">
        <f t="shared" ref="R520" si="528">(Q520*8%)/360</f>
        <v>44.537124444444444</v>
      </c>
    </row>
    <row r="521" spans="1:18" x14ac:dyDescent="0.25">
      <c r="A521" s="440">
        <f t="shared" ref="A521" si="529">D521+F521+H521+J521+L521+N521+P521+R521</f>
        <v>471.69791222222216</v>
      </c>
      <c r="B521" s="377">
        <f t="shared" si="416"/>
        <v>46002</v>
      </c>
      <c r="C521" s="378">
        <v>1227464.57</v>
      </c>
      <c r="D521" s="103">
        <f t="shared" ref="D521" si="530">(C521*7.5%)/360</f>
        <v>255.72178541666665</v>
      </c>
      <c r="E521" s="382">
        <v>524414.43000000005</v>
      </c>
      <c r="F521" s="103">
        <f t="shared" ref="F521" si="531">(E521*7.5%)/360</f>
        <v>109.25300625</v>
      </c>
      <c r="G521" s="378">
        <v>162579.93</v>
      </c>
      <c r="H521" s="103">
        <f t="shared" ref="H521" si="532">(G521*4.5%)/360</f>
        <v>20.322491249999999</v>
      </c>
      <c r="I521" s="382">
        <v>65482.46</v>
      </c>
      <c r="J521" s="103">
        <f t="shared" ref="J521" si="533">(I521*4.5%)/360</f>
        <v>8.1853074999999986</v>
      </c>
      <c r="K521" s="378">
        <v>22452.42</v>
      </c>
      <c r="L521" s="103">
        <f t="shared" ref="L521" si="534">(K521*6.5%)/360</f>
        <v>4.0539091666666662</v>
      </c>
      <c r="M521" s="378">
        <v>2696.67</v>
      </c>
      <c r="N521" s="103">
        <f t="shared" ref="N521" si="535">(M521*2.5%)/360</f>
        <v>0.18726875000000001</v>
      </c>
      <c r="O521" s="378">
        <v>163035.79999999999</v>
      </c>
      <c r="P521" s="103">
        <f t="shared" ref="P521" si="536">(O521*6.5%)/360</f>
        <v>29.437019444444442</v>
      </c>
      <c r="Q521" s="378">
        <v>200417.06</v>
      </c>
      <c r="R521" s="380">
        <f t="shared" ref="R521" si="537">(Q521*8%)/360</f>
        <v>44.537124444444444</v>
      </c>
    </row>
    <row r="522" spans="1:18" x14ac:dyDescent="0.25">
      <c r="A522" s="440">
        <f t="shared" ref="A522" si="538">D522+F522+H522+J522+L522+N522+P522+R522</f>
        <v>471.69791222222216</v>
      </c>
      <c r="B522" s="377">
        <f t="shared" si="416"/>
        <v>46003</v>
      </c>
      <c r="C522" s="378">
        <v>1227464.57</v>
      </c>
      <c r="D522" s="103">
        <f t="shared" ref="D522" si="539">(C522*7.5%)/360</f>
        <v>255.72178541666665</v>
      </c>
      <c r="E522" s="382">
        <v>524414.43000000005</v>
      </c>
      <c r="F522" s="103">
        <f t="shared" ref="F522" si="540">(E522*7.5%)/360</f>
        <v>109.25300625</v>
      </c>
      <c r="G522" s="378">
        <v>162579.93</v>
      </c>
      <c r="H522" s="103">
        <f t="shared" ref="H522" si="541">(G522*4.5%)/360</f>
        <v>20.322491249999999</v>
      </c>
      <c r="I522" s="382">
        <v>65482.46</v>
      </c>
      <c r="J522" s="103">
        <f t="shared" ref="J522" si="542">(I522*4.5%)/360</f>
        <v>8.1853074999999986</v>
      </c>
      <c r="K522" s="378">
        <v>22452.42</v>
      </c>
      <c r="L522" s="103">
        <f t="shared" ref="L522" si="543">(K522*6.5%)/360</f>
        <v>4.0539091666666662</v>
      </c>
      <c r="M522" s="378">
        <v>2696.67</v>
      </c>
      <c r="N522" s="103">
        <f t="shared" ref="N522" si="544">(M522*2.5%)/360</f>
        <v>0.18726875000000001</v>
      </c>
      <c r="O522" s="378">
        <v>163035.79999999999</v>
      </c>
      <c r="P522" s="103">
        <f t="shared" ref="P522" si="545">(O522*6.5%)/360</f>
        <v>29.437019444444442</v>
      </c>
      <c r="Q522" s="378">
        <v>200417.06</v>
      </c>
      <c r="R522" s="380">
        <f t="shared" ref="R522" si="546">(Q522*8%)/360</f>
        <v>44.537124444444444</v>
      </c>
    </row>
    <row r="523" spans="1:18" x14ac:dyDescent="0.25">
      <c r="A523" s="440">
        <f t="shared" ref="A523" si="547">D523+F523+H523+J523+L523+N523+P523+R523</f>
        <v>471.69791222222216</v>
      </c>
      <c r="B523" s="377">
        <f t="shared" si="416"/>
        <v>46004</v>
      </c>
      <c r="C523" s="378">
        <v>1227464.57</v>
      </c>
      <c r="D523" s="103">
        <f t="shared" ref="D523" si="548">(C523*7.5%)/360</f>
        <v>255.72178541666665</v>
      </c>
      <c r="E523" s="382">
        <v>524414.43000000005</v>
      </c>
      <c r="F523" s="103">
        <f t="shared" ref="F523" si="549">(E523*7.5%)/360</f>
        <v>109.25300625</v>
      </c>
      <c r="G523" s="378">
        <v>162579.93</v>
      </c>
      <c r="H523" s="103">
        <f t="shared" ref="H523" si="550">(G523*4.5%)/360</f>
        <v>20.322491249999999</v>
      </c>
      <c r="I523" s="382">
        <v>65482.46</v>
      </c>
      <c r="J523" s="103">
        <f t="shared" ref="J523" si="551">(I523*4.5%)/360</f>
        <v>8.1853074999999986</v>
      </c>
      <c r="K523" s="378">
        <v>22452.42</v>
      </c>
      <c r="L523" s="103">
        <f t="shared" ref="L523" si="552">(K523*6.5%)/360</f>
        <v>4.0539091666666662</v>
      </c>
      <c r="M523" s="378">
        <v>2696.67</v>
      </c>
      <c r="N523" s="103">
        <f t="shared" ref="N523" si="553">(M523*2.5%)/360</f>
        <v>0.18726875000000001</v>
      </c>
      <c r="O523" s="378">
        <v>163035.79999999999</v>
      </c>
      <c r="P523" s="103">
        <f t="shared" ref="P523" si="554">(O523*6.5%)/360</f>
        <v>29.437019444444442</v>
      </c>
      <c r="Q523" s="378">
        <v>200417.06</v>
      </c>
      <c r="R523" s="380">
        <f t="shared" ref="R523" si="555">(Q523*8%)/360</f>
        <v>44.537124444444444</v>
      </c>
    </row>
    <row r="524" spans="1:18" x14ac:dyDescent="0.25">
      <c r="A524" s="440">
        <f t="shared" ref="A524" si="556">D524+F524+H524+J524+L524+N524+P524+R524</f>
        <v>328.63320180555553</v>
      </c>
      <c r="B524" s="377">
        <f t="shared" si="416"/>
        <v>46005</v>
      </c>
      <c r="C524" s="378">
        <v>437703.82000000007</v>
      </c>
      <c r="D524" s="103">
        <f t="shared" ref="D524" si="557">(C524*7.5%)/360</f>
        <v>91.188295833333342</v>
      </c>
      <c r="E524" s="382">
        <v>627464.56999999995</v>
      </c>
      <c r="F524" s="103">
        <f t="shared" ref="F524" si="558">(E524*7.5%)/360</f>
        <v>130.72178541666665</v>
      </c>
      <c r="G524" s="378">
        <v>162579.93</v>
      </c>
      <c r="H524" s="103">
        <f t="shared" ref="H524" si="559">(G524*4.5%)/360</f>
        <v>20.322491249999999</v>
      </c>
      <c r="I524" s="382">
        <v>65482.46</v>
      </c>
      <c r="J524" s="103">
        <f t="shared" ref="J524" si="560">(I524*4.5%)/360</f>
        <v>8.1853074999999986</v>
      </c>
      <c r="K524" s="378">
        <v>22452.42</v>
      </c>
      <c r="L524" s="103">
        <f t="shared" ref="L524" si="561">(K524*6.5%)/360</f>
        <v>4.0539091666666662</v>
      </c>
      <c r="M524" s="378">
        <v>2696.67</v>
      </c>
      <c r="N524" s="103">
        <f t="shared" ref="N524" si="562">(M524*2.5%)/360</f>
        <v>0.18726875000000001</v>
      </c>
      <c r="O524" s="378">
        <v>163035.79999999999</v>
      </c>
      <c r="P524" s="103">
        <f t="shared" ref="P524" si="563">(O524*6.5%)/360</f>
        <v>29.437019444444442</v>
      </c>
      <c r="Q524" s="378">
        <v>200417.06</v>
      </c>
      <c r="R524" s="380">
        <f t="shared" ref="R524" si="564">(Q524*8%)/360</f>
        <v>44.537124444444444</v>
      </c>
    </row>
    <row r="525" spans="1:18" x14ac:dyDescent="0.25">
      <c r="A525" s="440">
        <f t="shared" ref="A525" si="565">D525+F525+H525+J525+L525+N525+P525+R525</f>
        <v>279.08701013888884</v>
      </c>
      <c r="B525" s="377">
        <f t="shared" si="416"/>
        <v>46006</v>
      </c>
      <c r="C525" s="378">
        <v>437703.82000000007</v>
      </c>
      <c r="D525" s="103">
        <f t="shared" ref="D525" si="566">(C525*7.5%)/360</f>
        <v>91.188295833333342</v>
      </c>
      <c r="E525" s="382">
        <v>389642.85</v>
      </c>
      <c r="F525" s="103">
        <f t="shared" ref="F525" si="567">(E525*7.5%)/360</f>
        <v>81.17559374999999</v>
      </c>
      <c r="G525" s="378">
        <v>162579.93</v>
      </c>
      <c r="H525" s="103">
        <f t="shared" ref="H525" si="568">(G525*4.5%)/360</f>
        <v>20.322491249999999</v>
      </c>
      <c r="I525" s="382">
        <v>65482.46</v>
      </c>
      <c r="J525" s="103">
        <f t="shared" ref="J525" si="569">(I525*4.5%)/360</f>
        <v>8.1853074999999986</v>
      </c>
      <c r="K525" s="378">
        <v>22452.42</v>
      </c>
      <c r="L525" s="103">
        <f t="shared" ref="L525" si="570">(K525*6.5%)/360</f>
        <v>4.0539091666666662</v>
      </c>
      <c r="M525" s="378">
        <v>2696.67</v>
      </c>
      <c r="N525" s="103">
        <f t="shared" ref="N525" si="571">(M525*2.5%)/360</f>
        <v>0.18726875000000001</v>
      </c>
      <c r="O525" s="378">
        <v>163035.79999999999</v>
      </c>
      <c r="P525" s="103">
        <f t="shared" ref="P525" si="572">(O525*6.5%)/360</f>
        <v>29.437019444444442</v>
      </c>
      <c r="Q525" s="378">
        <v>200417.06</v>
      </c>
      <c r="R525" s="380">
        <f t="shared" ref="R525" si="573">(Q525*8%)/360</f>
        <v>44.537124444444444</v>
      </c>
    </row>
    <row r="526" spans="1:18" x14ac:dyDescent="0.25">
      <c r="A526" s="440">
        <f t="shared" ref="A526" si="574">D526+F526+H526+J526+L526+N526+P526+R526</f>
        <v>279.08701013888884</v>
      </c>
      <c r="B526" s="377">
        <f t="shared" si="416"/>
        <v>46007</v>
      </c>
      <c r="C526" s="378">
        <v>437703.82000000007</v>
      </c>
      <c r="D526" s="103">
        <f t="shared" ref="D526" si="575">(C526*7.5%)/360</f>
        <v>91.188295833333342</v>
      </c>
      <c r="E526" s="382">
        <v>389642.85</v>
      </c>
      <c r="F526" s="103">
        <f t="shared" ref="F526" si="576">(E526*7.5%)/360</f>
        <v>81.17559374999999</v>
      </c>
      <c r="G526" s="378">
        <v>162579.93</v>
      </c>
      <c r="H526" s="103">
        <f t="shared" ref="H526" si="577">(G526*4.5%)/360</f>
        <v>20.322491249999999</v>
      </c>
      <c r="I526" s="382">
        <v>65482.46</v>
      </c>
      <c r="J526" s="103">
        <f t="shared" ref="J526" si="578">(I526*4.5%)/360</f>
        <v>8.1853074999999986</v>
      </c>
      <c r="K526" s="378">
        <v>22452.42</v>
      </c>
      <c r="L526" s="103">
        <f t="shared" ref="L526" si="579">(K526*6.5%)/360</f>
        <v>4.0539091666666662</v>
      </c>
      <c r="M526" s="378">
        <v>2696.67</v>
      </c>
      <c r="N526" s="103">
        <f t="shared" ref="N526" si="580">(M526*2.5%)/360</f>
        <v>0.18726875000000001</v>
      </c>
      <c r="O526" s="378">
        <v>163035.79999999999</v>
      </c>
      <c r="P526" s="103">
        <f t="shared" ref="P526" si="581">(O526*6.5%)/360</f>
        <v>29.437019444444442</v>
      </c>
      <c r="Q526" s="378">
        <v>200417.06</v>
      </c>
      <c r="R526" s="380">
        <f t="shared" ref="R526" si="582">(Q526*8%)/360</f>
        <v>44.537124444444444</v>
      </c>
    </row>
    <row r="527" spans="1:18" x14ac:dyDescent="0.25">
      <c r="A527" s="440">
        <f t="shared" ref="A527" si="583">D527+F527+H527+J527+L527+N527+P527+R527</f>
        <v>279.08701013888884</v>
      </c>
      <c r="B527" s="377">
        <f t="shared" si="416"/>
        <v>46008</v>
      </c>
      <c r="C527" s="378">
        <v>437703.82000000007</v>
      </c>
      <c r="D527" s="103">
        <f t="shared" ref="D527" si="584">(C527*7.5%)/360</f>
        <v>91.188295833333342</v>
      </c>
      <c r="E527" s="382">
        <v>389642.85</v>
      </c>
      <c r="F527" s="103">
        <f t="shared" ref="F527" si="585">(E527*7.5%)/360</f>
        <v>81.17559374999999</v>
      </c>
      <c r="G527" s="378">
        <v>162579.93</v>
      </c>
      <c r="H527" s="103">
        <f t="shared" ref="H527" si="586">(G527*4.5%)/360</f>
        <v>20.322491249999999</v>
      </c>
      <c r="I527" s="382">
        <v>65482.46</v>
      </c>
      <c r="J527" s="103">
        <f t="shared" ref="J527" si="587">(I527*4.5%)/360</f>
        <v>8.1853074999999986</v>
      </c>
      <c r="K527" s="378">
        <v>22452.42</v>
      </c>
      <c r="L527" s="103">
        <f t="shared" ref="L527" si="588">(K527*6.5%)/360</f>
        <v>4.0539091666666662</v>
      </c>
      <c r="M527" s="378">
        <v>2696.67</v>
      </c>
      <c r="N527" s="103">
        <f t="shared" ref="N527" si="589">(M527*2.5%)/360</f>
        <v>0.18726875000000001</v>
      </c>
      <c r="O527" s="378">
        <v>163035.79999999999</v>
      </c>
      <c r="P527" s="103">
        <f t="shared" ref="P527" si="590">(O527*6.5%)/360</f>
        <v>29.437019444444442</v>
      </c>
      <c r="Q527" s="378">
        <v>200417.06</v>
      </c>
      <c r="R527" s="380">
        <f t="shared" ref="R527" si="591">(Q527*8%)/360</f>
        <v>44.537124444444444</v>
      </c>
    </row>
    <row r="528" spans="1:18" x14ac:dyDescent="0.25">
      <c r="A528" s="440">
        <f t="shared" ref="A528" si="592">D528+F528+H528+J528+L528+N528+P528+R528</f>
        <v>227.11277472222224</v>
      </c>
      <c r="B528" s="377">
        <f t="shared" si="416"/>
        <v>46009</v>
      </c>
      <c r="C528" s="378">
        <v>6027.49</v>
      </c>
      <c r="D528" s="103">
        <f t="shared" ref="D528" si="593">(C528*7.5%)/360</f>
        <v>1.2557270833333332</v>
      </c>
      <c r="E528" s="382">
        <v>666642.85</v>
      </c>
      <c r="F528" s="103">
        <f t="shared" ref="F528" si="594">(E528*7.5%)/360</f>
        <v>138.88392708333333</v>
      </c>
      <c r="G528" s="378">
        <v>4579.93</v>
      </c>
      <c r="H528" s="103">
        <f t="shared" ref="H528" si="595">(G528*4.5%)/360</f>
        <v>0.57249125000000001</v>
      </c>
      <c r="I528" s="382">
        <v>65482.46</v>
      </c>
      <c r="J528" s="103">
        <f t="shared" ref="J528" si="596">(I528*4.5%)/360</f>
        <v>8.1853074999999986</v>
      </c>
      <c r="K528" s="378">
        <v>22452.42</v>
      </c>
      <c r="L528" s="103">
        <f t="shared" ref="L528" si="597">(K528*6.5%)/360</f>
        <v>4.0539091666666662</v>
      </c>
      <c r="M528" s="378">
        <v>2696.67</v>
      </c>
      <c r="N528" s="103">
        <f t="shared" ref="N528" si="598">(M528*2.5%)/360</f>
        <v>0.18726875000000001</v>
      </c>
      <c r="O528" s="378">
        <v>163035.79999999999</v>
      </c>
      <c r="P528" s="103">
        <f t="shared" ref="P528" si="599">(O528*6.5%)/360</f>
        <v>29.437019444444442</v>
      </c>
      <c r="Q528" s="378">
        <v>200417.06</v>
      </c>
      <c r="R528" s="380">
        <f t="shared" ref="R528" si="600">(Q528*8%)/360</f>
        <v>44.537124444444444</v>
      </c>
    </row>
    <row r="529" spans="1:18" x14ac:dyDescent="0.25">
      <c r="A529" s="440">
        <f t="shared" ref="A529" si="601">D529+F529+H529+J529+L529+N529+P529+R529</f>
        <v>679.24634347222229</v>
      </c>
      <c r="B529" s="377">
        <f t="shared" si="416"/>
        <v>46010</v>
      </c>
      <c r="C529" s="378">
        <v>6027.49</v>
      </c>
      <c r="D529" s="103">
        <f t="shared" ref="D529" si="602">(C529*7.5%)/360</f>
        <v>1.2557270833333332</v>
      </c>
      <c r="E529" s="382">
        <v>1636919.98</v>
      </c>
      <c r="F529" s="103">
        <f t="shared" ref="F529" si="603">(E529*7.5%)/360</f>
        <v>341.02499583333332</v>
      </c>
      <c r="G529" s="378">
        <v>2004519.93</v>
      </c>
      <c r="H529" s="103">
        <f t="shared" ref="H529" si="604">(G529*4.5%)/360</f>
        <v>250.56499124999996</v>
      </c>
      <c r="I529" s="382">
        <v>65482.46</v>
      </c>
      <c r="J529" s="103">
        <f t="shared" ref="J529" si="605">(I529*4.5%)/360</f>
        <v>8.1853074999999986</v>
      </c>
      <c r="K529" s="378">
        <v>22452.42</v>
      </c>
      <c r="L529" s="103">
        <f t="shared" ref="L529" si="606">(K529*6.5%)/360</f>
        <v>4.0539091666666662</v>
      </c>
      <c r="M529" s="378">
        <v>2696.67</v>
      </c>
      <c r="N529" s="103">
        <f t="shared" ref="N529" si="607">(M529*2.5%)/360</f>
        <v>0.18726875000000001</v>
      </c>
      <c r="O529" s="378">
        <v>163035.79999999999</v>
      </c>
      <c r="P529" s="103">
        <f t="shared" ref="P529" si="608">(O529*6.5%)/360</f>
        <v>29.437019444444442</v>
      </c>
      <c r="Q529" s="378">
        <v>200417.06</v>
      </c>
      <c r="R529" s="380">
        <f t="shared" ref="R529" si="609">(Q529*8%)/360</f>
        <v>44.537124444444444</v>
      </c>
    </row>
    <row r="530" spans="1:18" x14ac:dyDescent="0.25">
      <c r="A530" s="440">
        <f t="shared" ref="A530" si="610">D530+F530+H530+J530+L530+N530+P530+R530</f>
        <v>679.24634347222229</v>
      </c>
      <c r="B530" s="377">
        <f t="shared" si="416"/>
        <v>46011</v>
      </c>
      <c r="C530" s="378">
        <v>6027.49</v>
      </c>
      <c r="D530" s="103">
        <f t="shared" ref="D530" si="611">(C530*7.5%)/360</f>
        <v>1.2557270833333332</v>
      </c>
      <c r="E530" s="382">
        <v>1636919.98</v>
      </c>
      <c r="F530" s="103">
        <f t="shared" ref="F530" si="612">(E530*7.5%)/360</f>
        <v>341.02499583333332</v>
      </c>
      <c r="G530" s="378">
        <v>2004519.93</v>
      </c>
      <c r="H530" s="103">
        <f t="shared" ref="H530" si="613">(G530*4.5%)/360</f>
        <v>250.56499124999996</v>
      </c>
      <c r="I530" s="382">
        <v>65482.46</v>
      </c>
      <c r="J530" s="103">
        <f t="shared" ref="J530" si="614">(I530*4.5%)/360</f>
        <v>8.1853074999999986</v>
      </c>
      <c r="K530" s="378">
        <v>22452.42</v>
      </c>
      <c r="L530" s="103">
        <f t="shared" ref="L530" si="615">(K530*6.5%)/360</f>
        <v>4.0539091666666662</v>
      </c>
      <c r="M530" s="378">
        <v>2696.67</v>
      </c>
      <c r="N530" s="103">
        <f t="shared" ref="N530" si="616">(M530*2.5%)/360</f>
        <v>0.18726875000000001</v>
      </c>
      <c r="O530" s="378">
        <v>163035.79999999999</v>
      </c>
      <c r="P530" s="103">
        <f t="shared" ref="P530" si="617">(O530*6.5%)/360</f>
        <v>29.437019444444442</v>
      </c>
      <c r="Q530" s="378">
        <v>200417.06</v>
      </c>
      <c r="R530" s="380">
        <f t="shared" ref="R530" si="618">(Q530*8%)/360</f>
        <v>44.537124444444444</v>
      </c>
    </row>
    <row r="531" spans="1:18" x14ac:dyDescent="0.25">
      <c r="A531" s="440">
        <f t="shared" ref="A531" si="619">D531+F531+H531+J531+L531+N531+P531+R531</f>
        <v>469.98812680555551</v>
      </c>
      <c r="B531" s="377">
        <f t="shared" si="416"/>
        <v>46012</v>
      </c>
      <c r="C531" s="378">
        <v>16485.82</v>
      </c>
      <c r="D531" s="103">
        <f t="shared" ref="D531" si="620">(C531*7.5%)/360</f>
        <v>3.4345458333333334</v>
      </c>
      <c r="E531" s="382">
        <v>1822022.21</v>
      </c>
      <c r="F531" s="103">
        <f t="shared" ref="F531" si="621">(E531*7.5%)/360</f>
        <v>379.58796041666665</v>
      </c>
      <c r="G531" s="378">
        <v>4519.93</v>
      </c>
      <c r="H531" s="103">
        <f t="shared" ref="H531" si="622">(G531*4.5%)/360</f>
        <v>0.56499125000000006</v>
      </c>
      <c r="I531" s="382">
        <v>65482.46</v>
      </c>
      <c r="J531" s="103">
        <f t="shared" ref="J531" si="623">(I531*4.5%)/360</f>
        <v>8.1853074999999986</v>
      </c>
      <c r="K531" s="378">
        <v>22452.42</v>
      </c>
      <c r="L531" s="103">
        <f t="shared" ref="L531" si="624">(K531*6.5%)/360</f>
        <v>4.0539091666666662</v>
      </c>
      <c r="M531" s="378">
        <v>2696.67</v>
      </c>
      <c r="N531" s="103">
        <f t="shared" ref="N531" si="625">(M531*2.5%)/360</f>
        <v>0.18726875000000001</v>
      </c>
      <c r="O531" s="378">
        <v>163035.79999999999</v>
      </c>
      <c r="P531" s="103">
        <f t="shared" ref="P531" si="626">(O531*6.5%)/360</f>
        <v>29.437019444444442</v>
      </c>
      <c r="Q531" s="378">
        <v>200417.06</v>
      </c>
      <c r="R531" s="380">
        <f t="shared" ref="R531" si="627">(Q531*8%)/360</f>
        <v>44.537124444444444</v>
      </c>
    </row>
    <row r="532" spans="1:18" x14ac:dyDescent="0.25">
      <c r="A532" s="440">
        <f t="shared" ref="A532" si="628">D532+F532+H532+J532+L532+N532+P532+R532</f>
        <v>131.90696222222221</v>
      </c>
      <c r="B532" s="377">
        <f t="shared" si="416"/>
        <v>46013</v>
      </c>
      <c r="C532" s="378">
        <v>16485.82</v>
      </c>
      <c r="D532" s="103">
        <f t="shared" ref="D532" si="629">(C532*7.5%)/360</f>
        <v>3.4345458333333334</v>
      </c>
      <c r="E532" s="382">
        <v>199232.62</v>
      </c>
      <c r="F532" s="103">
        <f t="shared" ref="F532" si="630">(E532*7.5%)/360</f>
        <v>41.506795833333328</v>
      </c>
      <c r="G532" s="378">
        <v>4519.93</v>
      </c>
      <c r="H532" s="103">
        <f t="shared" ref="H532" si="631">(G532*4.5%)/360</f>
        <v>0.56499125000000006</v>
      </c>
      <c r="I532" s="382">
        <v>65482.46</v>
      </c>
      <c r="J532" s="103">
        <f t="shared" ref="J532" si="632">(I532*4.5%)/360</f>
        <v>8.1853074999999986</v>
      </c>
      <c r="K532" s="378">
        <v>22452.42</v>
      </c>
      <c r="L532" s="103">
        <f t="shared" ref="L532" si="633">(K532*6.5%)/360</f>
        <v>4.0539091666666662</v>
      </c>
      <c r="M532" s="378">
        <v>2696.67</v>
      </c>
      <c r="N532" s="103">
        <f t="shared" ref="N532" si="634">(M532*2.5%)/360</f>
        <v>0.18726875000000001</v>
      </c>
      <c r="O532" s="378">
        <v>163035.79999999999</v>
      </c>
      <c r="P532" s="103">
        <f t="shared" ref="P532" si="635">(O532*6.5%)/360</f>
        <v>29.437019444444442</v>
      </c>
      <c r="Q532" s="378">
        <v>200417.06</v>
      </c>
      <c r="R532" s="380">
        <f t="shared" ref="R532" si="636">(Q532*8%)/360</f>
        <v>44.537124444444444</v>
      </c>
    </row>
    <row r="533" spans="1:18" x14ac:dyDescent="0.25">
      <c r="A533" s="440">
        <f t="shared" ref="A533" si="637">D533+F533+H533+J533+L533+N533+P533+R533</f>
        <v>174.5490911111111</v>
      </c>
      <c r="B533" s="377">
        <f t="shared" si="416"/>
        <v>46014</v>
      </c>
      <c r="C533" s="378">
        <v>16485.82</v>
      </c>
      <c r="D533" s="103">
        <f t="shared" ref="D533" si="638">(C533*7.5%)/360</f>
        <v>3.4345458333333334</v>
      </c>
      <c r="E533" s="382">
        <v>197732.62</v>
      </c>
      <c r="F533" s="103">
        <f t="shared" ref="F533" si="639">(E533*7.5%)/360</f>
        <v>41.194295833333328</v>
      </c>
      <c r="G533" s="378">
        <v>4519.93</v>
      </c>
      <c r="H533" s="103">
        <f t="shared" ref="H533" si="640">(G533*4.5%)/360</f>
        <v>0.56499125000000006</v>
      </c>
      <c r="I533" s="382">
        <v>65482.46</v>
      </c>
      <c r="J533" s="103">
        <f t="shared" ref="J533" si="641">(I533*4.5%)/360</f>
        <v>8.1853074999999986</v>
      </c>
      <c r="K533" s="378">
        <v>22452.42</v>
      </c>
      <c r="L533" s="103">
        <f t="shared" ref="L533" si="642">(K533*6.5%)/360</f>
        <v>4.0539091666666662</v>
      </c>
      <c r="M533" s="378">
        <v>2696.67</v>
      </c>
      <c r="N533" s="103">
        <f t="shared" ref="N533" si="643">(M533*2.5%)/360</f>
        <v>0.18726875000000001</v>
      </c>
      <c r="O533" s="378">
        <v>163035.79999999999</v>
      </c>
      <c r="P533" s="103">
        <f t="shared" ref="P533" si="644">(O533*6.5%)/360</f>
        <v>29.437019444444442</v>
      </c>
      <c r="Q533" s="378">
        <v>393712.89</v>
      </c>
      <c r="R533" s="380">
        <f t="shared" ref="R533" si="645">(Q533*8%)/360</f>
        <v>87.491753333333335</v>
      </c>
    </row>
    <row r="534" spans="1:18" x14ac:dyDescent="0.25">
      <c r="A534" s="440">
        <f t="shared" ref="A534" si="646">D534+F534+H534+J534+L534+N534+P534+R534</f>
        <v>180.36001569444443</v>
      </c>
      <c r="B534" s="377">
        <f t="shared" si="416"/>
        <v>46015</v>
      </c>
      <c r="C534" s="378">
        <v>47485.82</v>
      </c>
      <c r="D534" s="103">
        <f t="shared" ref="D534" si="647">(C534*7.5%)/360</f>
        <v>9.8928791666666669</v>
      </c>
      <c r="E534" s="382">
        <v>197732.62</v>
      </c>
      <c r="F534" s="103">
        <f t="shared" ref="F534" si="648">(E534*7.5%)/360</f>
        <v>41.194295833333328</v>
      </c>
      <c r="G534" s="378">
        <v>4519.93</v>
      </c>
      <c r="H534" s="103">
        <f t="shared" ref="H534" si="649">(G534*4.5%)/360</f>
        <v>0.56499125000000006</v>
      </c>
      <c r="I534" s="382">
        <v>60303.19</v>
      </c>
      <c r="J534" s="103">
        <f t="shared" ref="J534" si="650">(I534*4.5%)/360</f>
        <v>7.5378987499999992</v>
      </c>
      <c r="K534" s="378">
        <v>22452.42</v>
      </c>
      <c r="L534" s="103">
        <f t="shared" ref="L534" si="651">(K534*6.5%)/360</f>
        <v>4.0539091666666662</v>
      </c>
      <c r="M534" s="378">
        <v>2696.67</v>
      </c>
      <c r="N534" s="103">
        <f t="shared" ref="N534" si="652">(M534*2.5%)/360</f>
        <v>0.18726875000000001</v>
      </c>
      <c r="O534" s="378">
        <v>163035.79999999999</v>
      </c>
      <c r="P534" s="103">
        <f t="shared" ref="P534" si="653">(O534*6.5%)/360</f>
        <v>29.437019444444442</v>
      </c>
      <c r="Q534" s="378">
        <v>393712.89</v>
      </c>
      <c r="R534" s="380">
        <f t="shared" ref="R534" si="654">(Q534*8%)/360</f>
        <v>87.491753333333335</v>
      </c>
    </row>
    <row r="535" spans="1:18" x14ac:dyDescent="0.25">
      <c r="A535" s="440">
        <f t="shared" ref="A535" si="655">D535+F535+H535+J535+L535+N535+P535+R535</f>
        <v>180.36001569444443</v>
      </c>
      <c r="B535" s="377">
        <f t="shared" si="416"/>
        <v>46016</v>
      </c>
      <c r="C535" s="378">
        <v>47485.82</v>
      </c>
      <c r="D535" s="103">
        <f t="shared" ref="D535" si="656">(C535*7.5%)/360</f>
        <v>9.8928791666666669</v>
      </c>
      <c r="E535" s="382">
        <v>197732.62</v>
      </c>
      <c r="F535" s="103">
        <f t="shared" ref="F535" si="657">(E535*7.5%)/360</f>
        <v>41.194295833333328</v>
      </c>
      <c r="G535" s="378">
        <v>4519.93</v>
      </c>
      <c r="H535" s="103">
        <f t="shared" ref="H535" si="658">(G535*4.5%)/360</f>
        <v>0.56499125000000006</v>
      </c>
      <c r="I535" s="382">
        <v>60303.19</v>
      </c>
      <c r="J535" s="103">
        <f t="shared" ref="J535" si="659">(I535*4.5%)/360</f>
        <v>7.5378987499999992</v>
      </c>
      <c r="K535" s="378">
        <v>22452.42</v>
      </c>
      <c r="L535" s="103">
        <f t="shared" ref="L535" si="660">(K535*6.5%)/360</f>
        <v>4.0539091666666662</v>
      </c>
      <c r="M535" s="378">
        <v>2696.67</v>
      </c>
      <c r="N535" s="103">
        <f t="shared" ref="N535" si="661">(M535*2.5%)/360</f>
        <v>0.18726875000000001</v>
      </c>
      <c r="O535" s="378">
        <v>163035.79999999999</v>
      </c>
      <c r="P535" s="103">
        <f t="shared" ref="P535" si="662">(O535*6.5%)/360</f>
        <v>29.437019444444442</v>
      </c>
      <c r="Q535" s="378">
        <v>393712.89</v>
      </c>
      <c r="R535" s="380">
        <f t="shared" ref="R535" si="663">(Q535*8%)/360</f>
        <v>87.491753333333335</v>
      </c>
    </row>
    <row r="536" spans="1:18" x14ac:dyDescent="0.25">
      <c r="A536" s="440">
        <f t="shared" ref="A536:A539" si="664">D536+F536+H536+J536+L536+N536+P536+R536</f>
        <v>180.36001569444443</v>
      </c>
      <c r="B536" s="377">
        <f t="shared" si="416"/>
        <v>46017</v>
      </c>
      <c r="C536" s="378">
        <v>47485.82</v>
      </c>
      <c r="D536" s="103">
        <f t="shared" ref="D536:D539" si="665">(C536*7.5%)/360</f>
        <v>9.8928791666666669</v>
      </c>
      <c r="E536" s="382">
        <v>197732.62</v>
      </c>
      <c r="F536" s="103">
        <f t="shared" ref="F536:F539" si="666">(E536*7.5%)/360</f>
        <v>41.194295833333328</v>
      </c>
      <c r="G536" s="378">
        <v>4519.93</v>
      </c>
      <c r="H536" s="103">
        <f t="shared" ref="H536:H539" si="667">(G536*4.5%)/360</f>
        <v>0.56499125000000006</v>
      </c>
      <c r="I536" s="382">
        <v>60303.19</v>
      </c>
      <c r="J536" s="103">
        <f t="shared" ref="J536:J539" si="668">(I536*4.5%)/360</f>
        <v>7.5378987499999992</v>
      </c>
      <c r="K536" s="378">
        <v>22452.42</v>
      </c>
      <c r="L536" s="103">
        <f t="shared" ref="L536:L539" si="669">(K536*6.5%)/360</f>
        <v>4.0539091666666662</v>
      </c>
      <c r="M536" s="378">
        <v>2696.67</v>
      </c>
      <c r="N536" s="103">
        <f t="shared" ref="N536:N539" si="670">(M536*2.5%)/360</f>
        <v>0.18726875000000001</v>
      </c>
      <c r="O536" s="378">
        <v>163035.79999999999</v>
      </c>
      <c r="P536" s="103">
        <f t="shared" ref="P536:P539" si="671">(O536*6.5%)/360</f>
        <v>29.437019444444442</v>
      </c>
      <c r="Q536" s="378">
        <v>393712.89</v>
      </c>
      <c r="R536" s="380">
        <f t="shared" ref="R536:R539" si="672">(Q536*8%)/360</f>
        <v>87.491753333333335</v>
      </c>
    </row>
    <row r="537" spans="1:18" x14ac:dyDescent="0.25">
      <c r="A537" s="440">
        <f t="shared" si="664"/>
        <v>180.36001569444443</v>
      </c>
      <c r="B537" s="377">
        <f t="shared" si="416"/>
        <v>46018</v>
      </c>
      <c r="C537" s="378">
        <v>47485.82</v>
      </c>
      <c r="D537" s="103">
        <f t="shared" si="665"/>
        <v>9.8928791666666669</v>
      </c>
      <c r="E537" s="382">
        <v>197732.62</v>
      </c>
      <c r="F537" s="103">
        <f t="shared" si="666"/>
        <v>41.194295833333328</v>
      </c>
      <c r="G537" s="378">
        <v>4519.93</v>
      </c>
      <c r="H537" s="103">
        <f t="shared" si="667"/>
        <v>0.56499125000000006</v>
      </c>
      <c r="I537" s="382">
        <v>60303.19</v>
      </c>
      <c r="J537" s="103">
        <f t="shared" si="668"/>
        <v>7.5378987499999992</v>
      </c>
      <c r="K537" s="378">
        <v>22452.42</v>
      </c>
      <c r="L537" s="103">
        <f t="shared" si="669"/>
        <v>4.0539091666666662</v>
      </c>
      <c r="M537" s="378">
        <v>2696.67</v>
      </c>
      <c r="N537" s="103">
        <f t="shared" si="670"/>
        <v>0.18726875000000001</v>
      </c>
      <c r="O537" s="378">
        <v>163035.79999999999</v>
      </c>
      <c r="P537" s="103">
        <f t="shared" si="671"/>
        <v>29.437019444444442</v>
      </c>
      <c r="Q537" s="378">
        <v>393712.89</v>
      </c>
      <c r="R537" s="380">
        <f t="shared" si="672"/>
        <v>87.491753333333335</v>
      </c>
    </row>
    <row r="538" spans="1:18" x14ac:dyDescent="0.25">
      <c r="A538" s="440">
        <f t="shared" si="664"/>
        <v>195.16053652777777</v>
      </c>
      <c r="B538" s="377">
        <f t="shared" si="416"/>
        <v>46019</v>
      </c>
      <c r="C538" s="378">
        <v>45985.82</v>
      </c>
      <c r="D538" s="103">
        <f t="shared" si="665"/>
        <v>9.5803791666666669</v>
      </c>
      <c r="E538" s="382">
        <v>197675.12</v>
      </c>
      <c r="F538" s="103">
        <f t="shared" si="666"/>
        <v>41.182316666666665</v>
      </c>
      <c r="G538" s="378">
        <v>125519.93</v>
      </c>
      <c r="H538" s="103">
        <f t="shared" si="667"/>
        <v>15.689991249999999</v>
      </c>
      <c r="I538" s="382">
        <v>60303.19</v>
      </c>
      <c r="J538" s="103">
        <f t="shared" si="668"/>
        <v>7.5378987499999992</v>
      </c>
      <c r="K538" s="378">
        <v>22452.42</v>
      </c>
      <c r="L538" s="103">
        <f t="shared" si="669"/>
        <v>4.0539091666666662</v>
      </c>
      <c r="M538" s="378">
        <v>2696.67</v>
      </c>
      <c r="N538" s="103">
        <f t="shared" si="670"/>
        <v>0.18726875000000001</v>
      </c>
      <c r="O538" s="378">
        <v>163035.79999999999</v>
      </c>
      <c r="P538" s="103">
        <f t="shared" si="671"/>
        <v>29.437019444444442</v>
      </c>
      <c r="Q538" s="378">
        <v>393712.89</v>
      </c>
      <c r="R538" s="380">
        <f t="shared" si="672"/>
        <v>87.491753333333335</v>
      </c>
    </row>
    <row r="539" spans="1:18" x14ac:dyDescent="0.25">
      <c r="A539" s="440">
        <f t="shared" si="664"/>
        <v>337.86886986111108</v>
      </c>
      <c r="B539" s="377">
        <f>B538+1</f>
        <v>46020</v>
      </c>
      <c r="C539" s="378">
        <v>405985.82</v>
      </c>
      <c r="D539" s="103">
        <f t="shared" si="665"/>
        <v>84.58037916666666</v>
      </c>
      <c r="E539" s="382">
        <v>597675.12</v>
      </c>
      <c r="F539" s="103">
        <f t="shared" si="666"/>
        <v>124.51564999999999</v>
      </c>
      <c r="G539" s="378">
        <v>519.92999999999995</v>
      </c>
      <c r="H539" s="103">
        <f t="shared" si="667"/>
        <v>6.4991249999999987E-2</v>
      </c>
      <c r="I539" s="382">
        <v>60303.19</v>
      </c>
      <c r="J539" s="103">
        <f t="shared" si="668"/>
        <v>7.5378987499999992</v>
      </c>
      <c r="K539" s="378">
        <v>22452.42</v>
      </c>
      <c r="L539" s="103">
        <f t="shared" si="669"/>
        <v>4.0539091666666662</v>
      </c>
      <c r="M539" s="378">
        <v>2696.67</v>
      </c>
      <c r="N539" s="103">
        <f t="shared" si="670"/>
        <v>0.18726875000000001</v>
      </c>
      <c r="O539" s="378">
        <v>163035.79999999999</v>
      </c>
      <c r="P539" s="103">
        <f t="shared" si="671"/>
        <v>29.437019444444442</v>
      </c>
      <c r="Q539" s="378">
        <v>393712.89</v>
      </c>
      <c r="R539" s="380">
        <f t="shared" si="672"/>
        <v>87.491753333333335</v>
      </c>
    </row>
    <row r="540" spans="1:18" ht="15.75" thickBot="1" x14ac:dyDescent="0.3">
      <c r="A540" s="440">
        <f t="shared" ref="A540" si="673">D540+F540+H540+J540+L540+N540+P540+R540</f>
        <v>333.41309277777776</v>
      </c>
      <c r="B540" s="377">
        <f>B539+1</f>
        <v>46021</v>
      </c>
      <c r="C540" s="378">
        <v>6485.82</v>
      </c>
      <c r="D540" s="103">
        <f t="shared" ref="D540" si="674">(C540*7.5%)/360</f>
        <v>1.3512124999999999</v>
      </c>
      <c r="E540" s="382">
        <v>975787.39</v>
      </c>
      <c r="F540" s="103">
        <f t="shared" ref="F540" si="675">(E540*7.5%)/360</f>
        <v>203.28903958333333</v>
      </c>
      <c r="G540" s="378">
        <v>519.92999999999995</v>
      </c>
      <c r="H540" s="103">
        <f t="shared" ref="H540" si="676">(G540*4.5%)/360</f>
        <v>6.4991249999999987E-2</v>
      </c>
      <c r="I540" s="382">
        <v>60303.19</v>
      </c>
      <c r="J540" s="103">
        <f t="shared" ref="J540" si="677">(I540*4.5%)/360</f>
        <v>7.5378987499999992</v>
      </c>
      <c r="K540" s="378">
        <v>22452.42</v>
      </c>
      <c r="L540" s="103">
        <f t="shared" ref="L540" si="678">(K540*6.5%)/360</f>
        <v>4.0539091666666662</v>
      </c>
      <c r="M540" s="378">
        <v>2696.67</v>
      </c>
      <c r="N540" s="103">
        <f t="shared" ref="N540" si="679">(M540*2.5%)/360</f>
        <v>0.18726875000000001</v>
      </c>
      <c r="O540" s="378">
        <v>163035.79999999999</v>
      </c>
      <c r="P540" s="103">
        <f t="shared" ref="P540" si="680">(O540*6.5%)/360</f>
        <v>29.437019444444442</v>
      </c>
      <c r="Q540" s="378">
        <v>393712.89</v>
      </c>
      <c r="R540" s="380">
        <f t="shared" ref="R540" si="681">(Q540*8%)/360</f>
        <v>87.491753333333335</v>
      </c>
    </row>
    <row r="541" spans="1:18" ht="15.75" thickBot="1" x14ac:dyDescent="0.3">
      <c r="B541" s="415" t="s">
        <v>149</v>
      </c>
      <c r="C541" s="416"/>
      <c r="D541" s="417">
        <f>SUM(D358:D540)</f>
        <v>32349.601716666704</v>
      </c>
      <c r="E541" s="418"/>
      <c r="F541" s="417">
        <f>SUM(F358:F540)</f>
        <v>114150.23246087431</v>
      </c>
      <c r="G541" s="416"/>
      <c r="H541" s="417">
        <f>SUM(H358:H540)</f>
        <v>4550.4721237500135</v>
      </c>
      <c r="I541" s="418"/>
      <c r="J541" s="417">
        <f>SUM(J358:J540)</f>
        <v>1788.6315812499981</v>
      </c>
      <c r="K541" s="416"/>
      <c r="L541" s="417">
        <f>SUM(L358:L540)</f>
        <v>745.43171083333459</v>
      </c>
      <c r="M541" s="416"/>
      <c r="N541" s="417">
        <f>SUM(N358:N540)</f>
        <v>39.329854861111201</v>
      </c>
      <c r="O541" s="416"/>
      <c r="P541" s="417">
        <f>SUM(P358:P540)</f>
        <v>5486.3771047222335</v>
      </c>
      <c r="Q541" s="416"/>
      <c r="R541" s="419">
        <f>SUM(R358:R540)</f>
        <v>12129.168724444467</v>
      </c>
    </row>
    <row r="543" spans="1:18" x14ac:dyDescent="0.25">
      <c r="B543" s="443" t="s">
        <v>2147</v>
      </c>
      <c r="C543" s="444"/>
      <c r="F543" s="103"/>
      <c r="J543" s="103"/>
      <c r="L543" s="103"/>
      <c r="N543" s="103"/>
      <c r="P543" s="103"/>
    </row>
    <row r="544" spans="1:18" x14ac:dyDescent="0.25">
      <c r="A544" s="440">
        <f t="shared" ref="A544:A555" si="682">D544+F544+H544+J544+L544+N544+P544+R544</f>
        <v>605.88068611111112</v>
      </c>
      <c r="B544" s="377">
        <v>46023</v>
      </c>
      <c r="C544" s="378">
        <v>527452.81999999995</v>
      </c>
      <c r="D544" s="103">
        <f t="shared" ref="D544:D555" si="683">(C544*7.5%)/360</f>
        <v>109.88600416666667</v>
      </c>
      <c r="E544" s="382">
        <v>1121330.79</v>
      </c>
      <c r="F544" s="103">
        <f t="shared" ref="F544:F555" si="684">(E544*7.5%)/360</f>
        <v>233.61058125000002</v>
      </c>
      <c r="G544" s="378">
        <v>1297114.93</v>
      </c>
      <c r="H544" s="103">
        <f t="shared" ref="H544" si="685">(G544*4.5%)/360</f>
        <v>162.13936624999997</v>
      </c>
      <c r="I544" s="382">
        <v>59958.19</v>
      </c>
      <c r="J544" s="103">
        <f t="shared" ref="J544" si="686">(I544*4.5%)/360</f>
        <v>7.4947737500000002</v>
      </c>
      <c r="K544" s="378">
        <v>22452.42</v>
      </c>
      <c r="L544" s="103">
        <f>(K544*4.5%)/360</f>
        <v>2.8065524999999996</v>
      </c>
      <c r="M544" s="378">
        <v>2696.67</v>
      </c>
      <c r="N544" s="103">
        <f t="shared" ref="N544" si="687">(M544*2.5%)/360</f>
        <v>0.18726875000000001</v>
      </c>
      <c r="O544" s="378">
        <v>163035.79999999999</v>
      </c>
      <c r="P544" s="103">
        <f>(O544*0.5%)/360</f>
        <v>2.264386111111111</v>
      </c>
      <c r="Q544" s="378">
        <v>393712.89</v>
      </c>
      <c r="R544" s="380">
        <f t="shared" ref="R544:R555" si="688">(Q544*8%)/360</f>
        <v>87.491753333333335</v>
      </c>
    </row>
    <row r="545" spans="1:18" x14ac:dyDescent="0.25">
      <c r="A545" s="440">
        <f t="shared" si="682"/>
        <v>493.75384222222226</v>
      </c>
      <c r="B545" s="377">
        <f>B544+1</f>
        <v>46024</v>
      </c>
      <c r="C545" s="378">
        <v>527452.81999999995</v>
      </c>
      <c r="D545" s="103">
        <f t="shared" si="683"/>
        <v>109.88600416666667</v>
      </c>
      <c r="E545" s="382">
        <v>1121330.79</v>
      </c>
      <c r="F545" s="103">
        <f t="shared" si="684"/>
        <v>233.61058125000002</v>
      </c>
      <c r="G545" s="378">
        <v>1297114.93</v>
      </c>
      <c r="H545" s="103">
        <f t="shared" ref="H545:H555" si="689">(G545*2.5%)/360</f>
        <v>90.077425694444443</v>
      </c>
      <c r="I545" s="382">
        <v>59958.19</v>
      </c>
      <c r="J545" s="103">
        <f t="shared" ref="J545:J555" si="690">(I545*2.5%)/360</f>
        <v>4.1637631944444449</v>
      </c>
      <c r="K545" s="378">
        <v>22452.42</v>
      </c>
      <c r="L545" s="103">
        <f t="shared" ref="L545:L555" si="691">(K545*4.5%)/360</f>
        <v>2.8065524999999996</v>
      </c>
      <c r="M545" s="378">
        <v>2696.67</v>
      </c>
      <c r="N545" s="103">
        <f t="shared" ref="N545:N555" si="692">(M545*0.5%)/360</f>
        <v>3.7453750000000001E-2</v>
      </c>
      <c r="O545" s="378">
        <v>163035.79999999999</v>
      </c>
      <c r="P545" s="103">
        <f t="shared" ref="P545:P555" si="693">(O545*6.5%)/360</f>
        <v>29.437019444444442</v>
      </c>
      <c r="Q545" s="378">
        <v>106807.69</v>
      </c>
      <c r="R545" s="380">
        <f t="shared" si="688"/>
        <v>23.735042222222223</v>
      </c>
    </row>
    <row r="546" spans="1:18" x14ac:dyDescent="0.25">
      <c r="A546" s="440">
        <f t="shared" si="682"/>
        <v>493.75384222222226</v>
      </c>
      <c r="B546" s="377">
        <f t="shared" ref="B546:B627" si="694">B545+1</f>
        <v>46025</v>
      </c>
      <c r="C546" s="378">
        <v>527452.81999999995</v>
      </c>
      <c r="D546" s="103">
        <f t="shared" si="683"/>
        <v>109.88600416666667</v>
      </c>
      <c r="E546" s="382">
        <v>1121330.79</v>
      </c>
      <c r="F546" s="103">
        <f t="shared" si="684"/>
        <v>233.61058125000002</v>
      </c>
      <c r="G546" s="378">
        <v>1297114.93</v>
      </c>
      <c r="H546" s="103">
        <f t="shared" si="689"/>
        <v>90.077425694444443</v>
      </c>
      <c r="I546" s="382">
        <v>59958.19</v>
      </c>
      <c r="J546" s="103">
        <f t="shared" si="690"/>
        <v>4.1637631944444449</v>
      </c>
      <c r="K546" s="378">
        <v>22452.42</v>
      </c>
      <c r="L546" s="103">
        <f t="shared" si="691"/>
        <v>2.8065524999999996</v>
      </c>
      <c r="M546" s="378">
        <v>2696.67</v>
      </c>
      <c r="N546" s="103">
        <f t="shared" si="692"/>
        <v>3.7453750000000001E-2</v>
      </c>
      <c r="O546" s="378">
        <v>163035.79999999999</v>
      </c>
      <c r="P546" s="103">
        <f t="shared" si="693"/>
        <v>29.437019444444442</v>
      </c>
      <c r="Q546" s="378">
        <v>106807.69</v>
      </c>
      <c r="R546" s="380">
        <f t="shared" si="688"/>
        <v>23.735042222222223</v>
      </c>
    </row>
    <row r="547" spans="1:18" x14ac:dyDescent="0.25">
      <c r="A547" s="440">
        <f t="shared" si="682"/>
        <v>314.43539777777778</v>
      </c>
      <c r="B547" s="377">
        <f t="shared" si="694"/>
        <v>46026</v>
      </c>
      <c r="C547" s="378">
        <v>442452.82</v>
      </c>
      <c r="D547" s="103">
        <f t="shared" si="683"/>
        <v>92.177670833333323</v>
      </c>
      <c r="E547" s="382">
        <v>362935.59</v>
      </c>
      <c r="F547" s="103">
        <f t="shared" si="684"/>
        <v>75.61158125</v>
      </c>
      <c r="G547" s="378">
        <v>1297114.93</v>
      </c>
      <c r="H547" s="103">
        <f t="shared" si="689"/>
        <v>90.077425694444443</v>
      </c>
      <c r="I547" s="382">
        <v>7958.19</v>
      </c>
      <c r="J547" s="103">
        <f t="shared" si="690"/>
        <v>0.55265208333333327</v>
      </c>
      <c r="K547" s="378">
        <v>22452.42</v>
      </c>
      <c r="L547" s="103">
        <f t="shared" si="691"/>
        <v>2.8065524999999996</v>
      </c>
      <c r="M547" s="378">
        <v>2696.67</v>
      </c>
      <c r="N547" s="103">
        <f t="shared" si="692"/>
        <v>3.7453750000000001E-2</v>
      </c>
      <c r="O547" s="378">
        <v>163035.79999999999</v>
      </c>
      <c r="P547" s="103">
        <f t="shared" si="693"/>
        <v>29.437019444444442</v>
      </c>
      <c r="Q547" s="378">
        <v>106807.69</v>
      </c>
      <c r="R547" s="380">
        <f t="shared" si="688"/>
        <v>23.735042222222223</v>
      </c>
    </row>
    <row r="548" spans="1:18" x14ac:dyDescent="0.25">
      <c r="A548" s="440">
        <f t="shared" si="682"/>
        <v>324.10123111111108</v>
      </c>
      <c r="B548" s="377">
        <f t="shared" si="694"/>
        <v>46027</v>
      </c>
      <c r="C548" s="378">
        <v>467107.82</v>
      </c>
      <c r="D548" s="103">
        <f t="shared" si="683"/>
        <v>97.31412916666666</v>
      </c>
      <c r="E548" s="382">
        <v>384676.59</v>
      </c>
      <c r="F548" s="103">
        <f t="shared" si="684"/>
        <v>80.140956250000002</v>
      </c>
      <c r="G548" s="378">
        <v>1297114.93</v>
      </c>
      <c r="H548" s="103">
        <f t="shared" si="689"/>
        <v>90.077425694444443</v>
      </c>
      <c r="I548" s="382">
        <v>7958.19</v>
      </c>
      <c r="J548" s="103">
        <f t="shared" si="690"/>
        <v>0.55265208333333327</v>
      </c>
      <c r="K548" s="378">
        <v>22452.42</v>
      </c>
      <c r="L548" s="103">
        <f t="shared" si="691"/>
        <v>2.8065524999999996</v>
      </c>
      <c r="M548" s="378">
        <v>2696.67</v>
      </c>
      <c r="N548" s="103">
        <f t="shared" si="692"/>
        <v>3.7453750000000001E-2</v>
      </c>
      <c r="O548" s="378">
        <v>163035.79999999999</v>
      </c>
      <c r="P548" s="103">
        <f t="shared" si="693"/>
        <v>29.437019444444442</v>
      </c>
      <c r="Q548" s="378">
        <v>106807.69</v>
      </c>
      <c r="R548" s="380">
        <f t="shared" si="688"/>
        <v>23.735042222222223</v>
      </c>
    </row>
    <row r="549" spans="1:18" x14ac:dyDescent="0.25">
      <c r="A549" s="440">
        <f t="shared" si="682"/>
        <v>577.08213388888885</v>
      </c>
      <c r="B549" s="377">
        <f t="shared" si="694"/>
        <v>46028</v>
      </c>
      <c r="C549" s="378">
        <v>1667082.82</v>
      </c>
      <c r="D549" s="103">
        <f t="shared" si="683"/>
        <v>347.30892083333333</v>
      </c>
      <c r="E549" s="382">
        <v>384676.59</v>
      </c>
      <c r="F549" s="103">
        <f t="shared" si="684"/>
        <v>80.140956250000002</v>
      </c>
      <c r="G549" s="378">
        <v>1340114.93</v>
      </c>
      <c r="H549" s="103">
        <f t="shared" si="689"/>
        <v>93.063536805555543</v>
      </c>
      <c r="I549" s="382">
        <v>7958.19</v>
      </c>
      <c r="J549" s="103">
        <f t="shared" si="690"/>
        <v>0.55265208333333327</v>
      </c>
      <c r="K549" s="378">
        <v>22452.42</v>
      </c>
      <c r="L549" s="103">
        <f t="shared" si="691"/>
        <v>2.8065524999999996</v>
      </c>
      <c r="M549" s="378">
        <v>2696.67</v>
      </c>
      <c r="N549" s="103">
        <f t="shared" si="692"/>
        <v>3.7453750000000001E-2</v>
      </c>
      <c r="O549" s="378">
        <v>163035.79999999999</v>
      </c>
      <c r="P549" s="103">
        <f t="shared" si="693"/>
        <v>29.437019444444442</v>
      </c>
      <c r="Q549" s="378">
        <v>106807.69</v>
      </c>
      <c r="R549" s="380">
        <f t="shared" si="688"/>
        <v>23.735042222222223</v>
      </c>
    </row>
    <row r="550" spans="1:18" x14ac:dyDescent="0.25">
      <c r="A550" s="440">
        <f t="shared" si="682"/>
        <v>433.85400819444442</v>
      </c>
      <c r="B550" s="377">
        <f t="shared" si="694"/>
        <v>46029</v>
      </c>
      <c r="C550" s="378">
        <v>67082.820000000007</v>
      </c>
      <c r="D550" s="103">
        <f t="shared" si="683"/>
        <v>13.975587500000001</v>
      </c>
      <c r="E550" s="382">
        <v>1730514.92</v>
      </c>
      <c r="F550" s="103">
        <f t="shared" si="684"/>
        <v>360.52394166666664</v>
      </c>
      <c r="G550" s="378">
        <v>40114.93</v>
      </c>
      <c r="H550" s="103">
        <f t="shared" si="689"/>
        <v>2.785759027777778</v>
      </c>
      <c r="I550" s="382">
        <v>7958.19</v>
      </c>
      <c r="J550" s="103">
        <f t="shared" si="690"/>
        <v>0.55265208333333327</v>
      </c>
      <c r="K550" s="378">
        <v>22452.42</v>
      </c>
      <c r="L550" s="103">
        <f t="shared" si="691"/>
        <v>2.8065524999999996</v>
      </c>
      <c r="M550" s="378">
        <v>2696.67</v>
      </c>
      <c r="N550" s="103">
        <f t="shared" si="692"/>
        <v>3.7453750000000001E-2</v>
      </c>
      <c r="O550" s="378">
        <v>163035.79999999999</v>
      </c>
      <c r="P550" s="103">
        <f t="shared" si="693"/>
        <v>29.437019444444442</v>
      </c>
      <c r="Q550" s="378">
        <v>106807.69</v>
      </c>
      <c r="R550" s="380">
        <f t="shared" si="688"/>
        <v>23.735042222222223</v>
      </c>
    </row>
    <row r="551" spans="1:18" x14ac:dyDescent="0.25">
      <c r="A551" s="440">
        <f t="shared" si="682"/>
        <v>437.60300611111114</v>
      </c>
      <c r="B551" s="377">
        <f t="shared" si="694"/>
        <v>46030</v>
      </c>
      <c r="C551" s="378">
        <v>67082.820000000007</v>
      </c>
      <c r="D551" s="103">
        <f t="shared" si="683"/>
        <v>13.975587500000001</v>
      </c>
      <c r="E551" s="382">
        <v>1748510.11</v>
      </c>
      <c r="F551" s="103">
        <f t="shared" si="684"/>
        <v>364.27293958333337</v>
      </c>
      <c r="G551" s="378">
        <v>40114.93</v>
      </c>
      <c r="H551" s="103">
        <f t="shared" si="689"/>
        <v>2.785759027777778</v>
      </c>
      <c r="I551" s="382">
        <v>7958.19</v>
      </c>
      <c r="J551" s="103">
        <f t="shared" si="690"/>
        <v>0.55265208333333327</v>
      </c>
      <c r="K551" s="378">
        <v>22452.42</v>
      </c>
      <c r="L551" s="103">
        <f t="shared" si="691"/>
        <v>2.8065524999999996</v>
      </c>
      <c r="M551" s="378">
        <v>2696.67</v>
      </c>
      <c r="N551" s="103">
        <f t="shared" si="692"/>
        <v>3.7453750000000001E-2</v>
      </c>
      <c r="O551" s="378">
        <v>163035.79999999999</v>
      </c>
      <c r="P551" s="103">
        <f t="shared" si="693"/>
        <v>29.437019444444442</v>
      </c>
      <c r="Q551" s="378">
        <v>106807.69</v>
      </c>
      <c r="R551" s="380">
        <f t="shared" si="688"/>
        <v>23.735042222222223</v>
      </c>
    </row>
    <row r="552" spans="1:18" x14ac:dyDescent="0.25">
      <c r="A552" s="440">
        <f t="shared" si="682"/>
        <v>437.60300611111114</v>
      </c>
      <c r="B552" s="377">
        <f t="shared" si="694"/>
        <v>46031</v>
      </c>
      <c r="C552" s="378">
        <v>67082.820000000007</v>
      </c>
      <c r="D552" s="103">
        <f t="shared" si="683"/>
        <v>13.975587500000001</v>
      </c>
      <c r="E552" s="382">
        <v>1748510.11</v>
      </c>
      <c r="F552" s="103">
        <f t="shared" si="684"/>
        <v>364.27293958333337</v>
      </c>
      <c r="G552" s="378">
        <v>40114.93</v>
      </c>
      <c r="H552" s="103">
        <f t="shared" si="689"/>
        <v>2.785759027777778</v>
      </c>
      <c r="I552" s="382">
        <v>7958.19</v>
      </c>
      <c r="J552" s="103">
        <f t="shared" si="690"/>
        <v>0.55265208333333327</v>
      </c>
      <c r="K552" s="378">
        <v>22452.42</v>
      </c>
      <c r="L552" s="103">
        <f t="shared" si="691"/>
        <v>2.8065524999999996</v>
      </c>
      <c r="M552" s="378">
        <v>2696.67</v>
      </c>
      <c r="N552" s="103">
        <f t="shared" si="692"/>
        <v>3.7453750000000001E-2</v>
      </c>
      <c r="O552" s="378">
        <v>163035.79999999999</v>
      </c>
      <c r="P552" s="103">
        <f t="shared" si="693"/>
        <v>29.437019444444442</v>
      </c>
      <c r="Q552" s="378">
        <v>106807.69</v>
      </c>
      <c r="R552" s="380">
        <f t="shared" si="688"/>
        <v>23.735042222222223</v>
      </c>
    </row>
    <row r="553" spans="1:18" x14ac:dyDescent="0.25">
      <c r="A553" s="440">
        <f t="shared" si="682"/>
        <v>437.60300611111114</v>
      </c>
      <c r="B553" s="377">
        <f t="shared" si="694"/>
        <v>46032</v>
      </c>
      <c r="C553" s="378">
        <v>67082.820000000007</v>
      </c>
      <c r="D553" s="103">
        <f t="shared" si="683"/>
        <v>13.975587500000001</v>
      </c>
      <c r="E553" s="382">
        <v>1748510.11</v>
      </c>
      <c r="F553" s="103">
        <f t="shared" si="684"/>
        <v>364.27293958333337</v>
      </c>
      <c r="G553" s="378">
        <v>40114.93</v>
      </c>
      <c r="H553" s="103">
        <f t="shared" si="689"/>
        <v>2.785759027777778</v>
      </c>
      <c r="I553" s="382">
        <v>7958.19</v>
      </c>
      <c r="J553" s="103">
        <f t="shared" si="690"/>
        <v>0.55265208333333327</v>
      </c>
      <c r="K553" s="378">
        <v>22452.42</v>
      </c>
      <c r="L553" s="103">
        <f t="shared" si="691"/>
        <v>2.8065524999999996</v>
      </c>
      <c r="M553" s="378">
        <v>2696.67</v>
      </c>
      <c r="N553" s="103">
        <f t="shared" si="692"/>
        <v>3.7453750000000001E-2</v>
      </c>
      <c r="O553" s="378">
        <v>163035.79999999999</v>
      </c>
      <c r="P553" s="103">
        <f t="shared" si="693"/>
        <v>29.437019444444442</v>
      </c>
      <c r="Q553" s="378">
        <v>106807.69</v>
      </c>
      <c r="R553" s="380">
        <f t="shared" si="688"/>
        <v>23.735042222222223</v>
      </c>
    </row>
    <row r="554" spans="1:18" x14ac:dyDescent="0.25">
      <c r="A554" s="440">
        <f t="shared" si="682"/>
        <v>435.8516102777777</v>
      </c>
      <c r="B554" s="377">
        <f t="shared" si="694"/>
        <v>46033</v>
      </c>
      <c r="C554" s="378">
        <v>167082.82</v>
      </c>
      <c r="D554" s="103">
        <f t="shared" si="683"/>
        <v>34.808920833333332</v>
      </c>
      <c r="E554" s="382">
        <v>1640103.41</v>
      </c>
      <c r="F554" s="103">
        <f t="shared" si="684"/>
        <v>341.68821041666661</v>
      </c>
      <c r="G554" s="378">
        <v>40114.93</v>
      </c>
      <c r="H554" s="103">
        <f t="shared" si="689"/>
        <v>2.785759027777778</v>
      </c>
      <c r="I554" s="382">
        <v>7958.19</v>
      </c>
      <c r="J554" s="103">
        <f t="shared" si="690"/>
        <v>0.55265208333333327</v>
      </c>
      <c r="K554" s="378">
        <v>22452.42</v>
      </c>
      <c r="L554" s="103">
        <f t="shared" si="691"/>
        <v>2.8065524999999996</v>
      </c>
      <c r="M554" s="378">
        <v>2696.67</v>
      </c>
      <c r="N554" s="103">
        <f t="shared" si="692"/>
        <v>3.7453750000000001E-2</v>
      </c>
      <c r="O554" s="378">
        <v>163035.79999999999</v>
      </c>
      <c r="P554" s="103">
        <f t="shared" si="693"/>
        <v>29.437019444444442</v>
      </c>
      <c r="Q554" s="378">
        <v>106807.69</v>
      </c>
      <c r="R554" s="380">
        <f t="shared" si="688"/>
        <v>23.735042222222223</v>
      </c>
    </row>
    <row r="555" spans="1:18" x14ac:dyDescent="0.25">
      <c r="A555" s="440">
        <f t="shared" si="682"/>
        <v>329.02346583333332</v>
      </c>
      <c r="B555" s="377">
        <f t="shared" si="694"/>
        <v>46034</v>
      </c>
      <c r="C555" s="378">
        <v>167082.82</v>
      </c>
      <c r="D555" s="103">
        <f t="shared" si="683"/>
        <v>34.808920833333332</v>
      </c>
      <c r="E555" s="382">
        <v>460681.65</v>
      </c>
      <c r="F555" s="103">
        <f t="shared" si="684"/>
        <v>95.975343749999993</v>
      </c>
      <c r="G555" s="378">
        <v>2040054.93</v>
      </c>
      <c r="H555" s="103">
        <f t="shared" si="689"/>
        <v>141.67048125000002</v>
      </c>
      <c r="I555" s="382">
        <v>7958.19</v>
      </c>
      <c r="J555" s="103">
        <f t="shared" si="690"/>
        <v>0.55265208333333327</v>
      </c>
      <c r="K555" s="378">
        <v>22452.42</v>
      </c>
      <c r="L555" s="103">
        <f t="shared" si="691"/>
        <v>2.8065524999999996</v>
      </c>
      <c r="M555" s="378">
        <v>2696.67</v>
      </c>
      <c r="N555" s="103">
        <f t="shared" si="692"/>
        <v>3.7453750000000001E-2</v>
      </c>
      <c r="O555" s="378">
        <v>163035.79999999999</v>
      </c>
      <c r="P555" s="103">
        <f t="shared" si="693"/>
        <v>29.437019444444442</v>
      </c>
      <c r="Q555" s="378">
        <v>106807.69</v>
      </c>
      <c r="R555" s="380">
        <f t="shared" si="688"/>
        <v>23.735042222222223</v>
      </c>
    </row>
    <row r="556" spans="1:18" x14ac:dyDescent="0.25">
      <c r="A556" s="440">
        <f t="shared" ref="A556" si="695">D556+F556+H556+J556+L556+N556+P556+R556</f>
        <v>665.58586180555551</v>
      </c>
      <c r="B556" s="377">
        <f t="shared" si="694"/>
        <v>46035</v>
      </c>
      <c r="C556" s="378">
        <v>909077.53</v>
      </c>
      <c r="D556" s="103">
        <f t="shared" ref="D556" si="696">(C556*7.5%)/360</f>
        <v>189.39115208333334</v>
      </c>
      <c r="E556" s="382">
        <v>2001000.65</v>
      </c>
      <c r="F556" s="103">
        <f t="shared" ref="F556" si="697">(E556*7.5%)/360</f>
        <v>416.87513541666664</v>
      </c>
      <c r="G556" s="378">
        <v>40054.93</v>
      </c>
      <c r="H556" s="103">
        <f t="shared" ref="H556" si="698">(G556*2.5%)/360</f>
        <v>2.7815923611111115</v>
      </c>
      <c r="I556" s="382">
        <v>7958.19</v>
      </c>
      <c r="J556" s="103">
        <f t="shared" ref="J556" si="699">(I556*2.5%)/360</f>
        <v>0.55265208333333327</v>
      </c>
      <c r="K556" s="378">
        <v>22337.42</v>
      </c>
      <c r="L556" s="103">
        <f t="shared" ref="L556" si="700">(K556*4.5%)/360</f>
        <v>2.7921774999999998</v>
      </c>
      <c r="M556" s="378">
        <v>2715.57</v>
      </c>
      <c r="N556" s="103">
        <f t="shared" ref="N556" si="701">(M556*0.5%)/360</f>
        <v>3.7716250000000007E-2</v>
      </c>
      <c r="O556" s="378">
        <v>162943.72</v>
      </c>
      <c r="P556" s="103">
        <f t="shared" ref="P556" si="702">(O556*6.5%)/360</f>
        <v>29.420393888888889</v>
      </c>
      <c r="Q556" s="378">
        <v>106807.69</v>
      </c>
      <c r="R556" s="380">
        <f t="shared" ref="R556" si="703">(Q556*8%)/360</f>
        <v>23.735042222222223</v>
      </c>
    </row>
    <row r="557" spans="1:18" x14ac:dyDescent="0.25">
      <c r="A557" s="440">
        <f t="shared" ref="A557" si="704">D557+F557+H557+J557+L557+N557+P557+R557</f>
        <v>379.41078541666667</v>
      </c>
      <c r="B557" s="377">
        <f t="shared" si="694"/>
        <v>46036</v>
      </c>
      <c r="C557" s="378">
        <v>909077.53</v>
      </c>
      <c r="D557" s="103">
        <f t="shared" ref="D557" si="705">(C557*7.5%)/360</f>
        <v>189.39115208333334</v>
      </c>
      <c r="E557" s="382">
        <v>625388.94999999995</v>
      </c>
      <c r="F557" s="103">
        <f t="shared" ref="F557" si="706">(E557*7.5%)/360</f>
        <v>130.28936458333331</v>
      </c>
      <c r="G557" s="378">
        <v>45968.93</v>
      </c>
      <c r="H557" s="103">
        <f t="shared" ref="H557" si="707">(G557*2.5%)/360</f>
        <v>3.1922868055555558</v>
      </c>
      <c r="I557" s="382">
        <v>7958.19</v>
      </c>
      <c r="J557" s="103">
        <f t="shared" ref="J557" si="708">(I557*2.5%)/360</f>
        <v>0.55265208333333327</v>
      </c>
      <c r="K557" s="378">
        <v>22337.42</v>
      </c>
      <c r="L557" s="103">
        <f t="shared" ref="L557" si="709">(K557*4.5%)/360</f>
        <v>2.7921774999999998</v>
      </c>
      <c r="M557" s="378">
        <v>2715.57</v>
      </c>
      <c r="N557" s="103">
        <f t="shared" ref="N557" si="710">(M557*0.5%)/360</f>
        <v>3.7716250000000007E-2</v>
      </c>
      <c r="O557" s="378">
        <v>162943.72</v>
      </c>
      <c r="P557" s="103">
        <f t="shared" ref="P557" si="711">(O557*6.5%)/360</f>
        <v>29.420393888888889</v>
      </c>
      <c r="Q557" s="378">
        <v>106807.69</v>
      </c>
      <c r="R557" s="380">
        <f t="shared" ref="R557" si="712">(Q557*8%)/360</f>
        <v>23.735042222222223</v>
      </c>
    </row>
    <row r="558" spans="1:18" x14ac:dyDescent="0.25">
      <c r="A558" s="440">
        <f t="shared" ref="A558:A561" si="713">D558+F558+H558+J558+L558+N558+P558+R558</f>
        <v>379.41078541666667</v>
      </c>
      <c r="B558" s="377">
        <f t="shared" si="694"/>
        <v>46037</v>
      </c>
      <c r="C558" s="378">
        <v>909077.53</v>
      </c>
      <c r="D558" s="103">
        <f t="shared" ref="D558:D562" si="714">(C558*7.5%)/360</f>
        <v>189.39115208333334</v>
      </c>
      <c r="E558" s="382">
        <v>625388.94999999995</v>
      </c>
      <c r="F558" s="103">
        <f t="shared" ref="F558:F562" si="715">(E558*7.5%)/360</f>
        <v>130.28936458333331</v>
      </c>
      <c r="G558" s="378">
        <v>45968.93</v>
      </c>
      <c r="H558" s="103">
        <f t="shared" ref="H558:H561" si="716">(G558*2.5%)/360</f>
        <v>3.1922868055555558</v>
      </c>
      <c r="I558" s="382">
        <v>7958.19</v>
      </c>
      <c r="J558" s="103">
        <f t="shared" ref="J558:J561" si="717">(I558*2.5%)/360</f>
        <v>0.55265208333333327</v>
      </c>
      <c r="K558" s="378">
        <v>22337.42</v>
      </c>
      <c r="L558" s="103">
        <f t="shared" ref="L558" si="718">(K558*4.5%)/360</f>
        <v>2.7921774999999998</v>
      </c>
      <c r="M558" s="378">
        <v>2715.57</v>
      </c>
      <c r="N558" s="103">
        <f t="shared" ref="N558" si="719">(M558*0.5%)/360</f>
        <v>3.7716250000000007E-2</v>
      </c>
      <c r="O558" s="378">
        <v>162943.72</v>
      </c>
      <c r="P558" s="103">
        <f t="shared" ref="P558" si="720">(O558*6.5%)/360</f>
        <v>29.420393888888889</v>
      </c>
      <c r="Q558" s="378">
        <v>106807.69</v>
      </c>
      <c r="R558" s="380">
        <f t="shared" ref="R558" si="721">(Q558*8%)/360</f>
        <v>23.735042222222223</v>
      </c>
    </row>
    <row r="559" spans="1:18" x14ac:dyDescent="0.25">
      <c r="A559" s="440">
        <f t="shared" si="713"/>
        <v>379.65740347222226</v>
      </c>
      <c r="B559" s="377">
        <f t="shared" si="694"/>
        <v>46038</v>
      </c>
      <c r="C559" s="378">
        <v>909077.53</v>
      </c>
      <c r="D559" s="103">
        <f t="shared" si="714"/>
        <v>189.39115208333334</v>
      </c>
      <c r="E559" s="382">
        <v>625416.44999999995</v>
      </c>
      <c r="F559" s="103">
        <f t="shared" si="715"/>
        <v>130.29509374999998</v>
      </c>
      <c r="G559" s="378">
        <v>49429.93</v>
      </c>
      <c r="H559" s="103">
        <f t="shared" si="716"/>
        <v>3.432634027777778</v>
      </c>
      <c r="I559" s="382">
        <v>7958.19</v>
      </c>
      <c r="J559" s="103">
        <f t="shared" si="717"/>
        <v>0.55265208333333327</v>
      </c>
      <c r="K559" s="378">
        <v>22338.42</v>
      </c>
      <c r="L559" s="103">
        <f t="shared" ref="L559:L561" si="722">(K559*4.5%)/360</f>
        <v>2.7923024999999995</v>
      </c>
      <c r="M559" s="378">
        <v>2716.57</v>
      </c>
      <c r="N559" s="103">
        <f t="shared" ref="N559:N561" si="723">(M559*0.5%)/360</f>
        <v>3.7730138888888889E-2</v>
      </c>
      <c r="O559" s="378">
        <v>162944.72</v>
      </c>
      <c r="P559" s="103">
        <f t="shared" ref="P559:P561" si="724">(O559*6.5%)/360</f>
        <v>29.420574444444448</v>
      </c>
      <c r="Q559" s="378">
        <v>106808.69</v>
      </c>
      <c r="R559" s="380">
        <f t="shared" ref="R559:R561" si="725">(Q559*8%)/360</f>
        <v>23.735264444444446</v>
      </c>
    </row>
    <row r="560" spans="1:18" x14ac:dyDescent="0.25">
      <c r="A560" s="440">
        <f t="shared" si="713"/>
        <v>379.65794513888881</v>
      </c>
      <c r="B560" s="377">
        <f t="shared" si="694"/>
        <v>46039</v>
      </c>
      <c r="C560" s="378">
        <v>909077.53</v>
      </c>
      <c r="D560" s="103">
        <f t="shared" si="714"/>
        <v>189.39115208333334</v>
      </c>
      <c r="E560" s="382">
        <v>625416.44999999995</v>
      </c>
      <c r="F560" s="103">
        <f t="shared" si="715"/>
        <v>130.29509374999998</v>
      </c>
      <c r="G560" s="378">
        <v>49429.93</v>
      </c>
      <c r="H560" s="103">
        <f t="shared" si="716"/>
        <v>3.432634027777778</v>
      </c>
      <c r="I560" s="382">
        <v>7958.19</v>
      </c>
      <c r="J560" s="103">
        <f t="shared" si="717"/>
        <v>0.55265208333333327</v>
      </c>
      <c r="K560" s="378">
        <v>22339.42</v>
      </c>
      <c r="L560" s="103">
        <f t="shared" si="722"/>
        <v>2.7924274999999996</v>
      </c>
      <c r="M560" s="378">
        <v>2717.57</v>
      </c>
      <c r="N560" s="103">
        <f t="shared" si="723"/>
        <v>3.7744027777777779E-2</v>
      </c>
      <c r="O560" s="378">
        <v>162945.72</v>
      </c>
      <c r="P560" s="103">
        <f t="shared" si="724"/>
        <v>29.420755000000003</v>
      </c>
      <c r="Q560" s="378">
        <v>106809.69</v>
      </c>
      <c r="R560" s="380">
        <f t="shared" si="725"/>
        <v>23.735486666666667</v>
      </c>
    </row>
    <row r="561" spans="1:18" x14ac:dyDescent="0.25">
      <c r="A561" s="440">
        <f t="shared" si="713"/>
        <v>216.40271388888888</v>
      </c>
      <c r="B561" s="377">
        <f t="shared" si="694"/>
        <v>46040</v>
      </c>
      <c r="C561" s="378">
        <v>29077.53</v>
      </c>
      <c r="D561" s="103">
        <f t="shared" si="714"/>
        <v>6.05781875</v>
      </c>
      <c r="E561" s="382">
        <v>721788.74</v>
      </c>
      <c r="F561" s="103">
        <f t="shared" si="715"/>
        <v>150.37265416666668</v>
      </c>
      <c r="G561" s="378">
        <v>49429.93</v>
      </c>
      <c r="H561" s="103">
        <f t="shared" si="716"/>
        <v>3.432634027777778</v>
      </c>
      <c r="I561" s="382">
        <v>7958.19</v>
      </c>
      <c r="J561" s="103">
        <f t="shared" si="717"/>
        <v>0.55265208333333327</v>
      </c>
      <c r="K561" s="378">
        <v>22340.42</v>
      </c>
      <c r="L561" s="103">
        <f t="shared" si="722"/>
        <v>2.7925524999999998</v>
      </c>
      <c r="M561" s="378">
        <v>2718.57</v>
      </c>
      <c r="N561" s="103">
        <f t="shared" si="723"/>
        <v>3.7757916666666669E-2</v>
      </c>
      <c r="O561" s="378">
        <v>162946.72</v>
      </c>
      <c r="P561" s="103">
        <f t="shared" si="724"/>
        <v>29.420935555555555</v>
      </c>
      <c r="Q561" s="378">
        <v>106810.69</v>
      </c>
      <c r="R561" s="380">
        <f t="shared" si="725"/>
        <v>23.73570888888889</v>
      </c>
    </row>
    <row r="562" spans="1:18" x14ac:dyDescent="0.25">
      <c r="A562" s="440">
        <f t="shared" ref="A562" si="726">D562+F562+H562+J562+L562+N562+P562+R562</f>
        <v>215.51783888888886</v>
      </c>
      <c r="B562" s="377">
        <f t="shared" si="694"/>
        <v>46041</v>
      </c>
      <c r="C562" s="378">
        <v>29077.53</v>
      </c>
      <c r="D562" s="103">
        <f t="shared" si="714"/>
        <v>6.05781875</v>
      </c>
      <c r="E562" s="382">
        <v>717538.74</v>
      </c>
      <c r="F562" s="103">
        <f t="shared" si="715"/>
        <v>149.48723749999999</v>
      </c>
      <c r="G562" s="378">
        <v>49429.93</v>
      </c>
      <c r="H562" s="103">
        <f t="shared" ref="H562" si="727">(G562*2.5%)/360</f>
        <v>3.432634027777778</v>
      </c>
      <c r="I562" s="382">
        <v>7958.19</v>
      </c>
      <c r="J562" s="103">
        <f t="shared" ref="J562" si="728">(I562*2.5%)/360</f>
        <v>0.55265208333333327</v>
      </c>
      <c r="K562" s="378">
        <v>22341.42</v>
      </c>
      <c r="L562" s="103">
        <f t="shared" ref="L562" si="729">(K562*4.5%)/360</f>
        <v>2.7926774999999995</v>
      </c>
      <c r="M562" s="378">
        <v>2719.57</v>
      </c>
      <c r="N562" s="103">
        <f t="shared" ref="N562" si="730">(M562*0.5%)/360</f>
        <v>3.7771805555555558E-2</v>
      </c>
      <c r="O562" s="378">
        <v>162947.72</v>
      </c>
      <c r="P562" s="103">
        <f t="shared" ref="P562" si="731">(O562*6.5%)/360</f>
        <v>29.421116111111111</v>
      </c>
      <c r="Q562" s="378">
        <v>106811.69</v>
      </c>
      <c r="R562" s="380">
        <f t="shared" ref="R562" si="732">(Q562*8%)/360</f>
        <v>23.73593111111111</v>
      </c>
    </row>
    <row r="563" spans="1:18" x14ac:dyDescent="0.25">
      <c r="A563" s="440">
        <f t="shared" ref="A563" si="733">D563+F563+H563+J563+L563+N563+P563+R563</f>
        <v>423.46348194444448</v>
      </c>
      <c r="B563" s="377">
        <f t="shared" si="694"/>
        <v>46042</v>
      </c>
      <c r="C563" s="378">
        <v>29077.53</v>
      </c>
      <c r="D563" s="103">
        <f t="shared" ref="D563:D564" si="734">(C563*7.5%)/360</f>
        <v>6.05781875</v>
      </c>
      <c r="E563" s="382">
        <v>1714011.16</v>
      </c>
      <c r="F563" s="103">
        <f t="shared" ref="F563:F564" si="735">(E563*7.5%)/360</f>
        <v>357.0856583333333</v>
      </c>
      <c r="G563" s="378">
        <v>54429.93</v>
      </c>
      <c r="H563" s="103">
        <f t="shared" ref="H563" si="736">(G563*2.5%)/360</f>
        <v>3.7798562500000004</v>
      </c>
      <c r="I563" s="382">
        <v>7958.19</v>
      </c>
      <c r="J563" s="103">
        <f t="shared" ref="J563" si="737">(I563*2.5%)/360</f>
        <v>0.55265208333333327</v>
      </c>
      <c r="K563" s="378">
        <v>22341.42</v>
      </c>
      <c r="L563" s="103">
        <f t="shared" ref="L563" si="738">(K563*4.5%)/360</f>
        <v>2.7926774999999995</v>
      </c>
      <c r="M563" s="378">
        <v>2719.57</v>
      </c>
      <c r="N563" s="103">
        <f t="shared" ref="N563" si="739">(M563*0.5%)/360</f>
        <v>3.7771805555555558E-2</v>
      </c>
      <c r="O563" s="378">
        <v>162947.72</v>
      </c>
      <c r="P563" s="103">
        <f t="shared" ref="P563" si="740">(O563*6.5%)/360</f>
        <v>29.421116111111111</v>
      </c>
      <c r="Q563" s="378">
        <v>106811.69</v>
      </c>
      <c r="R563" s="380">
        <f t="shared" ref="R563" si="741">(Q563*8%)/360</f>
        <v>23.73593111111111</v>
      </c>
    </row>
    <row r="564" spans="1:18" x14ac:dyDescent="0.25">
      <c r="A564" s="440">
        <f t="shared" ref="A564" si="742">D564+F564+H564+J564+L564+N564+P564+R564</f>
        <v>3022.0666694444449</v>
      </c>
      <c r="B564" s="377">
        <f t="shared" si="694"/>
        <v>46043</v>
      </c>
      <c r="C564" s="378">
        <v>12030597.529999999</v>
      </c>
      <c r="D564" s="103">
        <f t="shared" si="734"/>
        <v>2506.3744854166662</v>
      </c>
      <c r="E564" s="382">
        <v>2019116.86</v>
      </c>
      <c r="F564" s="103">
        <f t="shared" si="735"/>
        <v>420.64934583333331</v>
      </c>
      <c r="G564" s="378">
        <v>554429.93000000005</v>
      </c>
      <c r="H564" s="103">
        <f t="shared" ref="H564" si="743">(G564*2.5%)/360</f>
        <v>38.50207847222223</v>
      </c>
      <c r="I564" s="382">
        <v>7959.19</v>
      </c>
      <c r="J564" s="103">
        <f t="shared" ref="J564" si="744">(I564*2.5%)/360</f>
        <v>0.55272152777777772</v>
      </c>
      <c r="K564" s="378">
        <v>22342.42</v>
      </c>
      <c r="L564" s="103">
        <f t="shared" ref="L564" si="745">(K564*4.5%)/360</f>
        <v>2.7928024999999996</v>
      </c>
      <c r="M564" s="378">
        <v>2720.57</v>
      </c>
      <c r="N564" s="103">
        <f t="shared" ref="N564" si="746">(M564*0.5%)/360</f>
        <v>3.7785694444444448E-2</v>
      </c>
      <c r="O564" s="378">
        <v>162948.72</v>
      </c>
      <c r="P564" s="103">
        <f t="shared" ref="P564" si="747">(O564*6.5%)/360</f>
        <v>29.42129666666667</v>
      </c>
      <c r="Q564" s="378">
        <v>106812.69</v>
      </c>
      <c r="R564" s="380">
        <f t="shared" ref="R564" si="748">(Q564*8%)/360</f>
        <v>23.736153333333334</v>
      </c>
    </row>
    <row r="565" spans="1:18" x14ac:dyDescent="0.25">
      <c r="A565" s="440">
        <f t="shared" ref="A565:A568" si="749">D565+F565+H565+J565+L565+N565+P565+R565</f>
        <v>2307.8776736111117</v>
      </c>
      <c r="B565" s="377">
        <f t="shared" si="694"/>
        <v>46044</v>
      </c>
      <c r="C565" s="378">
        <v>9030572.5299999993</v>
      </c>
      <c r="D565" s="103">
        <f t="shared" ref="D565:D568" si="750">(C565*7.5%)/360</f>
        <v>1881.3692770833331</v>
      </c>
      <c r="E565" s="382">
        <v>1591034.68</v>
      </c>
      <c r="F565" s="103">
        <f t="shared" ref="F565:F571" si="751">(E565*7.5%)/360</f>
        <v>331.46555833333332</v>
      </c>
      <c r="G565" s="378">
        <v>554429.93000000005</v>
      </c>
      <c r="H565" s="103">
        <f t="shared" ref="H565:H568" si="752">(G565*2.5%)/360</f>
        <v>38.50207847222223</v>
      </c>
      <c r="I565" s="382">
        <v>7959.19</v>
      </c>
      <c r="J565" s="103">
        <f t="shared" ref="J565:J568" si="753">(I565*2.5%)/360</f>
        <v>0.55272152777777772</v>
      </c>
      <c r="K565" s="378">
        <v>22342.42</v>
      </c>
      <c r="L565" s="103">
        <f t="shared" ref="L565" si="754">(K565*4.5%)/360</f>
        <v>2.7928024999999996</v>
      </c>
      <c r="M565" s="378">
        <v>2720.57</v>
      </c>
      <c r="N565" s="103">
        <f t="shared" ref="N565" si="755">(M565*0.5%)/360</f>
        <v>3.7785694444444448E-2</v>
      </c>
      <c r="O565" s="378">
        <v>162948.72</v>
      </c>
      <c r="P565" s="103">
        <f t="shared" ref="P565" si="756">(O565*6.5%)/360</f>
        <v>29.42129666666667</v>
      </c>
      <c r="Q565" s="378">
        <v>106812.69</v>
      </c>
      <c r="R565" s="380">
        <f t="shared" ref="R565" si="757">(Q565*8%)/360</f>
        <v>23.736153333333334</v>
      </c>
    </row>
    <row r="566" spans="1:18" x14ac:dyDescent="0.25">
      <c r="A566" s="440">
        <f t="shared" si="749"/>
        <v>2307.8787708333334</v>
      </c>
      <c r="B566" s="377">
        <f t="shared" si="694"/>
        <v>46045</v>
      </c>
      <c r="C566" s="378">
        <v>9030573.5299999993</v>
      </c>
      <c r="D566" s="103">
        <f t="shared" si="750"/>
        <v>1881.3694854166665</v>
      </c>
      <c r="E566" s="382">
        <v>1591035.68</v>
      </c>
      <c r="F566" s="103">
        <f t="shared" si="751"/>
        <v>331.46576666666664</v>
      </c>
      <c r="G566" s="378">
        <v>554430.93000000005</v>
      </c>
      <c r="H566" s="103">
        <f t="shared" si="752"/>
        <v>38.502147916666672</v>
      </c>
      <c r="I566" s="382">
        <v>7960.19</v>
      </c>
      <c r="J566" s="103">
        <f t="shared" si="753"/>
        <v>0.55279097222222218</v>
      </c>
      <c r="K566" s="378">
        <v>22343.42</v>
      </c>
      <c r="L566" s="103">
        <f t="shared" ref="L566:L568" si="758">(K566*4.5%)/360</f>
        <v>2.7929274999999998</v>
      </c>
      <c r="M566" s="378">
        <v>2721.57</v>
      </c>
      <c r="N566" s="103">
        <f t="shared" ref="N566:N568" si="759">(M566*0.5%)/360</f>
        <v>3.7799583333333338E-2</v>
      </c>
      <c r="O566" s="378">
        <v>162949.72</v>
      </c>
      <c r="P566" s="103">
        <f t="shared" ref="P566:P568" si="760">(O566*6.5%)/360</f>
        <v>29.421477222222222</v>
      </c>
      <c r="Q566" s="378">
        <v>106813.69</v>
      </c>
      <c r="R566" s="380">
        <f t="shared" ref="R566:R568" si="761">(Q566*8%)/360</f>
        <v>23.736375555555554</v>
      </c>
    </row>
    <row r="567" spans="1:18" x14ac:dyDescent="0.25">
      <c r="A567" s="440">
        <f t="shared" si="749"/>
        <v>2307.8798680555556</v>
      </c>
      <c r="B567" s="377">
        <f t="shared" si="694"/>
        <v>46046</v>
      </c>
      <c r="C567" s="378">
        <v>9030574.5299999993</v>
      </c>
      <c r="D567" s="103">
        <f t="shared" si="750"/>
        <v>1881.3696937499999</v>
      </c>
      <c r="E567" s="382">
        <v>1591036.68</v>
      </c>
      <c r="F567" s="103">
        <f t="shared" si="751"/>
        <v>331.46597499999996</v>
      </c>
      <c r="G567" s="378">
        <v>554431.93000000005</v>
      </c>
      <c r="H567" s="103">
        <f t="shared" si="752"/>
        <v>38.502217361111114</v>
      </c>
      <c r="I567" s="382">
        <v>7961.19</v>
      </c>
      <c r="J567" s="103">
        <f t="shared" si="753"/>
        <v>0.55286041666666663</v>
      </c>
      <c r="K567" s="378">
        <v>22344.42</v>
      </c>
      <c r="L567" s="103">
        <f t="shared" si="758"/>
        <v>2.7930524999999999</v>
      </c>
      <c r="M567" s="378">
        <v>2722.57</v>
      </c>
      <c r="N567" s="103">
        <f t="shared" si="759"/>
        <v>3.7813472222222227E-2</v>
      </c>
      <c r="O567" s="378">
        <v>162950.72</v>
      </c>
      <c r="P567" s="103">
        <f t="shared" si="760"/>
        <v>29.421657777777778</v>
      </c>
      <c r="Q567" s="378">
        <v>106814.69</v>
      </c>
      <c r="R567" s="380">
        <f t="shared" si="761"/>
        <v>23.736597777777778</v>
      </c>
    </row>
    <row r="568" spans="1:18" x14ac:dyDescent="0.25">
      <c r="A568" s="440">
        <f t="shared" si="749"/>
        <v>1712.8940381944446</v>
      </c>
      <c r="B568" s="377">
        <f t="shared" si="694"/>
        <v>46047</v>
      </c>
      <c r="C568" s="378">
        <v>5030572.53</v>
      </c>
      <c r="D568" s="103">
        <f t="shared" si="750"/>
        <v>1048.0359437500001</v>
      </c>
      <c r="E568" s="382">
        <v>2735103.43</v>
      </c>
      <c r="F568" s="103">
        <f t="shared" si="751"/>
        <v>569.81321458333332</v>
      </c>
      <c r="G568" s="378">
        <v>554432.93000000005</v>
      </c>
      <c r="H568" s="103">
        <f t="shared" si="752"/>
        <v>38.502286805555556</v>
      </c>
      <c r="I568" s="382">
        <v>7962.19</v>
      </c>
      <c r="J568" s="103">
        <f t="shared" si="753"/>
        <v>0.5529298611111112</v>
      </c>
      <c r="K568" s="378">
        <v>22345.42</v>
      </c>
      <c r="L568" s="103">
        <f t="shared" si="758"/>
        <v>2.7931774999999996</v>
      </c>
      <c r="M568" s="378">
        <v>2723.57</v>
      </c>
      <c r="N568" s="103">
        <f t="shared" si="759"/>
        <v>3.782736111111111E-2</v>
      </c>
      <c r="O568" s="378">
        <v>162951.72</v>
      </c>
      <c r="P568" s="103">
        <f t="shared" si="760"/>
        <v>29.421838333333334</v>
      </c>
      <c r="Q568" s="378">
        <v>106815.69</v>
      </c>
      <c r="R568" s="380">
        <f t="shared" si="761"/>
        <v>23.736819999999998</v>
      </c>
    </row>
    <row r="569" spans="1:18" x14ac:dyDescent="0.25">
      <c r="A569" s="440">
        <f t="shared" ref="A569" si="762">D569+F569+H569+J569+L569+N569+P569+R569</f>
        <v>1548.6377625000002</v>
      </c>
      <c r="B569" s="377">
        <f t="shared" si="694"/>
        <v>46048</v>
      </c>
      <c r="C569" s="378">
        <v>5030573.53</v>
      </c>
      <c r="D569" s="103">
        <f t="shared" ref="D569:D571" si="763">(C569*7.5%)/360</f>
        <v>1048.0361520833335</v>
      </c>
      <c r="E569" s="382">
        <v>1946669.04</v>
      </c>
      <c r="F569" s="103">
        <f t="shared" si="751"/>
        <v>405.55604999999997</v>
      </c>
      <c r="G569" s="378">
        <v>554433.93000000005</v>
      </c>
      <c r="H569" s="103">
        <f t="shared" ref="H569:H571" si="764">(G569*2.5%)/360</f>
        <v>38.502356250000005</v>
      </c>
      <c r="I569" s="382">
        <v>7963.19</v>
      </c>
      <c r="J569" s="103">
        <f t="shared" ref="J569:J570" si="765">(I569*2.5%)/360</f>
        <v>0.55299930555555554</v>
      </c>
      <c r="K569" s="378">
        <v>22346.42</v>
      </c>
      <c r="L569" s="103">
        <f t="shared" ref="L569" si="766">(K569*4.5%)/360</f>
        <v>2.7933024999999998</v>
      </c>
      <c r="M569" s="378">
        <v>2724.57</v>
      </c>
      <c r="N569" s="103">
        <f t="shared" ref="N569" si="767">(M569*0.5%)/360</f>
        <v>3.7841250000000007E-2</v>
      </c>
      <c r="O569" s="378">
        <v>162952.72</v>
      </c>
      <c r="P569" s="103">
        <f t="shared" ref="P569" si="768">(O569*6.5%)/360</f>
        <v>29.422018888888893</v>
      </c>
      <c r="Q569" s="378">
        <v>106816.69</v>
      </c>
      <c r="R569" s="380">
        <f t="shared" ref="R569" si="769">(Q569*8%)/360</f>
        <v>23.737042222222222</v>
      </c>
    </row>
    <row r="570" spans="1:18" x14ac:dyDescent="0.25">
      <c r="A570" s="440">
        <f t="shared" ref="A570" si="770">D570+F570+H570+J570+L570+N570+P570+R570</f>
        <v>1518.6770479166669</v>
      </c>
      <c r="B570" s="377">
        <f t="shared" si="694"/>
        <v>46049</v>
      </c>
      <c r="C570" s="378">
        <v>5007572.53</v>
      </c>
      <c r="D570" s="103">
        <f t="shared" si="763"/>
        <v>1043.2442770833334</v>
      </c>
      <c r="E570" s="382">
        <v>1756879.01</v>
      </c>
      <c r="F570" s="103">
        <f t="shared" si="751"/>
        <v>366.01646041666663</v>
      </c>
      <c r="G570" s="378">
        <v>761369.93</v>
      </c>
      <c r="H570" s="103">
        <f t="shared" si="764"/>
        <v>52.87291180555556</v>
      </c>
      <c r="I570" s="382">
        <v>7958.19</v>
      </c>
      <c r="J570" s="103">
        <f t="shared" si="765"/>
        <v>0.55265208333333327</v>
      </c>
      <c r="K570" s="378">
        <v>22347.42</v>
      </c>
      <c r="L570" s="103">
        <f t="shared" ref="L570" si="771">(K570*4.5%)/360</f>
        <v>2.7934275</v>
      </c>
      <c r="M570" s="378">
        <v>2725.57</v>
      </c>
      <c r="N570" s="103">
        <f t="shared" ref="N570" si="772">(M570*0.5%)/360</f>
        <v>3.785513888888889E-2</v>
      </c>
      <c r="O570" s="378">
        <v>162953.72</v>
      </c>
      <c r="P570" s="103">
        <f t="shared" ref="P570" si="773">(O570*6.5%)/360</f>
        <v>29.422199444444445</v>
      </c>
      <c r="Q570" s="378">
        <v>106817.69</v>
      </c>
      <c r="R570" s="380">
        <f t="shared" ref="R570" si="774">(Q570*8%)/360</f>
        <v>23.737264444444442</v>
      </c>
    </row>
    <row r="571" spans="1:18" x14ac:dyDescent="0.25">
      <c r="A571" s="440">
        <f t="shared" ref="A571" si="775">D571+F571+H571+J571+L571+N571+P571+R571</f>
        <v>2776.2894722222222</v>
      </c>
      <c r="B571" s="377">
        <f t="shared" si="694"/>
        <v>46050</v>
      </c>
      <c r="C571" s="378">
        <v>5007572.53</v>
      </c>
      <c r="D571" s="103">
        <f t="shared" si="763"/>
        <v>1043.2442770833334</v>
      </c>
      <c r="E571" s="382">
        <v>7795075.5999999996</v>
      </c>
      <c r="F571" s="103">
        <f t="shared" si="751"/>
        <v>1623.9740833333331</v>
      </c>
      <c r="G571" s="378">
        <v>761369.93</v>
      </c>
      <c r="H571" s="103">
        <f t="shared" si="764"/>
        <v>52.87291180555556</v>
      </c>
      <c r="I571" s="382">
        <v>2979.53</v>
      </c>
      <c r="J571" s="103">
        <f t="shared" ref="J571" si="776">(I571*2.5%)/360</f>
        <v>0.20691180555555558</v>
      </c>
      <c r="K571" s="378">
        <v>22348.42</v>
      </c>
      <c r="L571" s="103">
        <f t="shared" ref="L571" si="777">(K571*4.5%)/360</f>
        <v>2.7935524999999997</v>
      </c>
      <c r="M571" s="378">
        <v>2726.57</v>
      </c>
      <c r="N571" s="103">
        <f t="shared" ref="N571" si="778">(M571*0.5%)/360</f>
        <v>3.7869027777777779E-2</v>
      </c>
      <c r="O571" s="378">
        <v>162954.72</v>
      </c>
      <c r="P571" s="103">
        <f t="shared" ref="P571" si="779">(O571*6.5%)/360</f>
        <v>29.42238</v>
      </c>
      <c r="Q571" s="378">
        <v>106818.69</v>
      </c>
      <c r="R571" s="380">
        <f t="shared" ref="R571" si="780">(Q571*8%)/360</f>
        <v>23.737486666666669</v>
      </c>
    </row>
    <row r="572" spans="1:18" x14ac:dyDescent="0.25">
      <c r="A572" s="440">
        <f t="shared" ref="A572" si="781">D572+F572+H572+J572+L572+N572+P572+R572</f>
        <v>2717.1689347222223</v>
      </c>
      <c r="B572" s="377">
        <f t="shared" si="694"/>
        <v>46051</v>
      </c>
      <c r="C572" s="378">
        <v>5007572.53</v>
      </c>
      <c r="D572" s="103">
        <f t="shared" ref="D572" si="782">(C572*7.5%)/360</f>
        <v>1043.2442770833334</v>
      </c>
      <c r="E572" s="382">
        <v>7511325.6200000001</v>
      </c>
      <c r="F572" s="103">
        <f t="shared" ref="F572" si="783">(E572*7.5%)/360</f>
        <v>1564.8595041666665</v>
      </c>
      <c r="G572" s="378">
        <v>761369.93</v>
      </c>
      <c r="H572" s="103">
        <f t="shared" ref="H572" si="784">(G572*2.5%)/360</f>
        <v>52.87291180555556</v>
      </c>
      <c r="I572" s="382">
        <v>2979.53</v>
      </c>
      <c r="J572" s="103">
        <f t="shared" ref="J572" si="785">(I572*2.5%)/360</f>
        <v>0.20691180555555558</v>
      </c>
      <c r="K572" s="378">
        <v>22337.42</v>
      </c>
      <c r="L572" s="103">
        <f t="shared" ref="L572" si="786">(K572*4.5%)/360</f>
        <v>2.7921774999999998</v>
      </c>
      <c r="M572" s="378">
        <v>2715.57</v>
      </c>
      <c r="N572" s="103">
        <f t="shared" ref="N572" si="787">(M572*0.5%)/360</f>
        <v>3.7716250000000007E-2</v>
      </c>
      <c r="O572" s="378">
        <v>162943.72</v>
      </c>
      <c r="P572" s="103">
        <f t="shared" ref="P572" si="788">(O572*6.5%)/360</f>
        <v>29.420393888888889</v>
      </c>
      <c r="Q572" s="378">
        <v>106807.69</v>
      </c>
      <c r="R572" s="380">
        <f t="shared" ref="R572" si="789">(Q572*8%)/360</f>
        <v>23.735042222222223</v>
      </c>
    </row>
    <row r="573" spans="1:18" x14ac:dyDescent="0.25">
      <c r="A573" s="440">
        <f t="shared" ref="A573:A575" si="790">D573+F573+H573+J573+L573+N573+P573+R573</f>
        <v>2717.1696430555558</v>
      </c>
      <c r="B573" s="377">
        <f t="shared" si="694"/>
        <v>46052</v>
      </c>
      <c r="C573" s="378">
        <v>5007573.53</v>
      </c>
      <c r="D573" s="103">
        <f t="shared" ref="D573:D577" si="791">(C573*7.5%)/360</f>
        <v>1043.2444854166667</v>
      </c>
      <c r="E573" s="382">
        <v>7511326.6200000001</v>
      </c>
      <c r="F573" s="103">
        <f t="shared" ref="F573:F574" si="792">(E573*7.5%)/360</f>
        <v>1564.8597125000001</v>
      </c>
      <c r="G573" s="378">
        <v>761370.93</v>
      </c>
      <c r="H573" s="103">
        <f t="shared" ref="H573:H574" si="793">(G573*2.5%)/360</f>
        <v>52.872981250000002</v>
      </c>
      <c r="I573" s="382">
        <v>2979.53</v>
      </c>
      <c r="J573" s="103">
        <f t="shared" ref="J573:J574" si="794">(I573*2.5%)/360</f>
        <v>0.20691180555555558</v>
      </c>
      <c r="K573" s="378">
        <v>22337.42</v>
      </c>
      <c r="L573" s="103">
        <f t="shared" ref="L573:L574" si="795">(K573*4.5%)/360</f>
        <v>2.7921774999999998</v>
      </c>
      <c r="M573" s="378">
        <v>2715.57</v>
      </c>
      <c r="N573" s="103">
        <f t="shared" ref="N573:N574" si="796">(M573*0.5%)/360</f>
        <v>3.7716250000000007E-2</v>
      </c>
      <c r="O573" s="378">
        <v>162943.72</v>
      </c>
      <c r="P573" s="103">
        <f t="shared" ref="P573:P574" si="797">(O573*6.5%)/360</f>
        <v>29.420393888888889</v>
      </c>
      <c r="Q573" s="378">
        <v>106808.69</v>
      </c>
      <c r="R573" s="380">
        <f t="shared" ref="R573:R574" si="798">(Q573*8%)/360</f>
        <v>23.735264444444446</v>
      </c>
    </row>
    <row r="574" spans="1:18" x14ac:dyDescent="0.25">
      <c r="A574" s="440">
        <f t="shared" si="790"/>
        <v>2717.1703513888888</v>
      </c>
      <c r="B574" s="377">
        <f t="shared" si="694"/>
        <v>46053</v>
      </c>
      <c r="C574" s="378">
        <v>5007574.53</v>
      </c>
      <c r="D574" s="103">
        <f t="shared" si="791"/>
        <v>1043.2446937499999</v>
      </c>
      <c r="E574" s="382">
        <v>7511327.6200000001</v>
      </c>
      <c r="F574" s="103">
        <f t="shared" si="792"/>
        <v>1564.8599208333333</v>
      </c>
      <c r="G574" s="378">
        <v>761371.93</v>
      </c>
      <c r="H574" s="103">
        <f t="shared" si="793"/>
        <v>52.873050694444451</v>
      </c>
      <c r="I574" s="382">
        <v>2979.53</v>
      </c>
      <c r="J574" s="103">
        <f t="shared" si="794"/>
        <v>0.20691180555555558</v>
      </c>
      <c r="K574" s="378">
        <v>22337.42</v>
      </c>
      <c r="L574" s="103">
        <f t="shared" si="795"/>
        <v>2.7921774999999998</v>
      </c>
      <c r="M574" s="378">
        <v>2715.57</v>
      </c>
      <c r="N574" s="103">
        <f t="shared" si="796"/>
        <v>3.7716250000000007E-2</v>
      </c>
      <c r="O574" s="378">
        <v>162943.72</v>
      </c>
      <c r="P574" s="103">
        <f t="shared" si="797"/>
        <v>29.420393888888889</v>
      </c>
      <c r="Q574" s="378">
        <v>106809.69</v>
      </c>
      <c r="R574" s="380">
        <f t="shared" si="798"/>
        <v>23.735486666666667</v>
      </c>
    </row>
    <row r="575" spans="1:18" x14ac:dyDescent="0.25">
      <c r="A575" s="440">
        <f t="shared" si="790"/>
        <v>2296.2202972222221</v>
      </c>
      <c r="B575" s="377">
        <f t="shared" si="694"/>
        <v>46054</v>
      </c>
      <c r="C575" s="378">
        <v>5007572.53</v>
      </c>
      <c r="D575" s="103">
        <f t="shared" si="791"/>
        <v>1043.2442770833334</v>
      </c>
      <c r="E575" s="382">
        <v>5490767.96</v>
      </c>
      <c r="F575" s="103">
        <f t="shared" ref="F575:F577" si="799">(E575*7.5%)/360</f>
        <v>1143.9099916666667</v>
      </c>
      <c r="G575" s="378">
        <v>761372.93</v>
      </c>
      <c r="H575" s="103">
        <f t="shared" ref="H575:H576" si="800">(G575*2.5%)/360</f>
        <v>52.873120138888893</v>
      </c>
      <c r="I575" s="382">
        <v>2979.53</v>
      </c>
      <c r="J575" s="103">
        <f t="shared" ref="J575" si="801">(I575*2.5%)/360</f>
        <v>0.20691180555555558</v>
      </c>
      <c r="K575" s="378">
        <v>22337.42</v>
      </c>
      <c r="L575" s="103">
        <f t="shared" ref="L575" si="802">(K575*4.5%)/360</f>
        <v>2.7921774999999998</v>
      </c>
      <c r="M575" s="378">
        <v>2715.57</v>
      </c>
      <c r="N575" s="103">
        <f t="shared" ref="N575" si="803">(M575*0.5%)/360</f>
        <v>3.7716250000000007E-2</v>
      </c>
      <c r="O575" s="378">
        <v>162943.72</v>
      </c>
      <c r="P575" s="103">
        <f t="shared" ref="P575" si="804">(O575*6.5%)/360</f>
        <v>29.420393888888889</v>
      </c>
      <c r="Q575" s="378">
        <v>106810.69</v>
      </c>
      <c r="R575" s="380">
        <f t="shared" ref="R575" si="805">(Q575*8%)/360</f>
        <v>23.73570888888889</v>
      </c>
    </row>
    <row r="576" spans="1:18" x14ac:dyDescent="0.25">
      <c r="A576" s="440">
        <f t="shared" ref="A576" si="806">D576+F576+H576+J576+L576+N576+P576+R576</f>
        <v>2514.6001833333335</v>
      </c>
      <c r="B576" s="377">
        <f t="shared" si="694"/>
        <v>46055</v>
      </c>
      <c r="C576" s="378">
        <v>5207572.53</v>
      </c>
      <c r="D576" s="103">
        <f t="shared" si="791"/>
        <v>1084.9109437500001</v>
      </c>
      <c r="E576" s="382">
        <v>5172324.68</v>
      </c>
      <c r="F576" s="103">
        <f t="shared" si="799"/>
        <v>1077.5676416666665</v>
      </c>
      <c r="G576" s="378">
        <v>4261369.93</v>
      </c>
      <c r="H576" s="103">
        <f t="shared" si="800"/>
        <v>295.92846736111113</v>
      </c>
      <c r="I576" s="382">
        <v>2979.53</v>
      </c>
      <c r="J576" s="103">
        <f t="shared" ref="J576" si="807">(I576*2.5%)/360</f>
        <v>0.20691180555555558</v>
      </c>
      <c r="K576" s="378">
        <v>22337.42</v>
      </c>
      <c r="L576" s="103">
        <f t="shared" ref="L576" si="808">(K576*4.5%)/360</f>
        <v>2.7921774999999998</v>
      </c>
      <c r="M576" s="378">
        <v>2715.57</v>
      </c>
      <c r="N576" s="103">
        <f t="shared" ref="N576" si="809">(M576*0.5%)/360</f>
        <v>3.7716250000000007E-2</v>
      </c>
      <c r="O576" s="378">
        <v>162943.72</v>
      </c>
      <c r="P576" s="103">
        <f t="shared" ref="P576" si="810">(O576*6.5%)/360</f>
        <v>29.420393888888889</v>
      </c>
      <c r="Q576" s="378">
        <v>106811.69</v>
      </c>
      <c r="R576" s="380">
        <f t="shared" ref="R576" si="811">(Q576*8%)/360</f>
        <v>23.73593111111111</v>
      </c>
    </row>
    <row r="577" spans="1:18" x14ac:dyDescent="0.25">
      <c r="A577" s="440">
        <f t="shared" ref="A577" si="812">D577+F577+H577+J577+L577+N577+P577+R577</f>
        <v>2636.1852555555556</v>
      </c>
      <c r="B577" s="377">
        <f t="shared" si="694"/>
        <v>46056</v>
      </c>
      <c r="C577" s="378">
        <v>5207572.53</v>
      </c>
      <c r="D577" s="103">
        <f t="shared" si="791"/>
        <v>1084.9109437500001</v>
      </c>
      <c r="E577" s="382">
        <v>5755931.96</v>
      </c>
      <c r="F577" s="103">
        <f t="shared" si="799"/>
        <v>1199.1524916666667</v>
      </c>
      <c r="G577" s="378">
        <v>4261369.93</v>
      </c>
      <c r="H577" s="103">
        <f t="shared" ref="H577" si="813">(G577*2.5%)/360</f>
        <v>295.92846736111113</v>
      </c>
      <c r="I577" s="382">
        <v>2979.53</v>
      </c>
      <c r="J577" s="103">
        <f t="shared" ref="J577" si="814">(I577*2.5%)/360</f>
        <v>0.20691180555555558</v>
      </c>
      <c r="K577" s="378">
        <v>22337.42</v>
      </c>
      <c r="L577" s="103">
        <f t="shared" ref="L577" si="815">(K577*4.5%)/360</f>
        <v>2.7921774999999998</v>
      </c>
      <c r="M577" s="378">
        <v>2715.57</v>
      </c>
      <c r="N577" s="103">
        <f t="shared" ref="N577" si="816">(M577*0.5%)/360</f>
        <v>3.7716250000000007E-2</v>
      </c>
      <c r="O577" s="378">
        <v>162943.72</v>
      </c>
      <c r="P577" s="103">
        <f t="shared" ref="P577" si="817">(O577*6.5%)/360</f>
        <v>29.420393888888889</v>
      </c>
      <c r="Q577" s="378">
        <v>106812.69</v>
      </c>
      <c r="R577" s="380">
        <f t="shared" ref="R577" si="818">(Q577*8%)/360</f>
        <v>23.736153333333334</v>
      </c>
    </row>
    <row r="578" spans="1:18" x14ac:dyDescent="0.25">
      <c r="A578" s="440">
        <f t="shared" ref="A578:A582" si="819">D578+F578+H578+J578+L578+N578+P578+R578</f>
        <v>2636.1852555555556</v>
      </c>
      <c r="B578" s="377">
        <f t="shared" si="694"/>
        <v>46057</v>
      </c>
      <c r="C578" s="378">
        <v>5207572.53</v>
      </c>
      <c r="D578" s="103">
        <f t="shared" ref="D578:D579" si="820">(C578*7.5%)/360</f>
        <v>1084.9109437500001</v>
      </c>
      <c r="E578" s="382">
        <v>5755931.96</v>
      </c>
      <c r="F578" s="103">
        <f t="shared" ref="F578:F579" si="821">(E578*7.5%)/360</f>
        <v>1199.1524916666667</v>
      </c>
      <c r="G578" s="378">
        <v>4261369.93</v>
      </c>
      <c r="H578" s="103">
        <f t="shared" ref="H578:H579" si="822">(G578*2.5%)/360</f>
        <v>295.92846736111113</v>
      </c>
      <c r="I578" s="382">
        <v>2979.53</v>
      </c>
      <c r="J578" s="103">
        <f t="shared" ref="J578:J579" si="823">(I578*2.5%)/360</f>
        <v>0.20691180555555558</v>
      </c>
      <c r="K578" s="378">
        <v>22337.42</v>
      </c>
      <c r="L578" s="103">
        <f t="shared" ref="L578:L579" si="824">(K578*4.5%)/360</f>
        <v>2.7921774999999998</v>
      </c>
      <c r="M578" s="378">
        <v>2715.57</v>
      </c>
      <c r="N578" s="103">
        <f t="shared" ref="N578:N579" si="825">(M578*0.5%)/360</f>
        <v>3.7716250000000007E-2</v>
      </c>
      <c r="O578" s="378">
        <v>162943.72</v>
      </c>
      <c r="P578" s="103">
        <f t="shared" ref="P578:P579" si="826">(O578*6.5%)/360</f>
        <v>29.420393888888889</v>
      </c>
      <c r="Q578" s="378">
        <v>106812.69</v>
      </c>
      <c r="R578" s="380">
        <f t="shared" ref="R578:R579" si="827">(Q578*8%)/360</f>
        <v>23.736153333333334</v>
      </c>
    </row>
    <row r="579" spans="1:18" x14ac:dyDescent="0.25">
      <c r="A579" s="440">
        <f t="shared" si="819"/>
        <v>1921.368588888889</v>
      </c>
      <c r="B579" s="377">
        <f t="shared" si="694"/>
        <v>46058</v>
      </c>
      <c r="C579" s="378">
        <v>5207572.53</v>
      </c>
      <c r="D579" s="103">
        <f t="shared" si="820"/>
        <v>1084.9109437500001</v>
      </c>
      <c r="E579" s="382">
        <v>2324811.96</v>
      </c>
      <c r="F579" s="103">
        <f t="shared" si="821"/>
        <v>484.335825</v>
      </c>
      <c r="G579" s="378">
        <v>4261369.93</v>
      </c>
      <c r="H579" s="103">
        <f t="shared" si="822"/>
        <v>295.92846736111113</v>
      </c>
      <c r="I579" s="382">
        <v>2979.53</v>
      </c>
      <c r="J579" s="103">
        <f t="shared" si="823"/>
        <v>0.20691180555555558</v>
      </c>
      <c r="K579" s="378">
        <v>22337.42</v>
      </c>
      <c r="L579" s="103">
        <f t="shared" si="824"/>
        <v>2.7921774999999998</v>
      </c>
      <c r="M579" s="378">
        <v>2715.57</v>
      </c>
      <c r="N579" s="103">
        <f t="shared" si="825"/>
        <v>3.7716250000000007E-2</v>
      </c>
      <c r="O579" s="378">
        <v>162943.72</v>
      </c>
      <c r="P579" s="103">
        <f t="shared" si="826"/>
        <v>29.420393888888889</v>
      </c>
      <c r="Q579" s="378">
        <v>106812.69</v>
      </c>
      <c r="R579" s="380">
        <f t="shared" si="827"/>
        <v>23.736153333333334</v>
      </c>
    </row>
    <row r="580" spans="1:18" x14ac:dyDescent="0.25">
      <c r="A580" s="440">
        <f t="shared" si="819"/>
        <v>1921.368588888889</v>
      </c>
      <c r="B580" s="377">
        <f t="shared" si="694"/>
        <v>46059</v>
      </c>
      <c r="C580" s="378">
        <v>5207572.53</v>
      </c>
      <c r="D580" s="103">
        <f t="shared" ref="D580:D582" si="828">(C580*7.5%)/360</f>
        <v>1084.9109437500001</v>
      </c>
      <c r="E580" s="382">
        <v>2324811.96</v>
      </c>
      <c r="F580" s="103">
        <f t="shared" ref="F580:F582" si="829">(E580*7.5%)/360</f>
        <v>484.335825</v>
      </c>
      <c r="G580" s="378">
        <v>4261369.93</v>
      </c>
      <c r="H580" s="103">
        <f t="shared" ref="H580:H582" si="830">(G580*2.5%)/360</f>
        <v>295.92846736111113</v>
      </c>
      <c r="I580" s="382">
        <v>2979.53</v>
      </c>
      <c r="J580" s="103">
        <f t="shared" ref="J580:J582" si="831">(I580*2.5%)/360</f>
        <v>0.20691180555555558</v>
      </c>
      <c r="K580" s="378">
        <v>22337.42</v>
      </c>
      <c r="L580" s="103">
        <f t="shared" ref="L580:L582" si="832">(K580*4.5%)/360</f>
        <v>2.7921774999999998</v>
      </c>
      <c r="M580" s="378">
        <v>2715.57</v>
      </c>
      <c r="N580" s="103">
        <f t="shared" ref="N580:N582" si="833">(M580*0.5%)/360</f>
        <v>3.7716250000000007E-2</v>
      </c>
      <c r="O580" s="378">
        <v>162943.72</v>
      </c>
      <c r="P580" s="103">
        <f t="shared" ref="P580:P582" si="834">(O580*6.5%)/360</f>
        <v>29.420393888888889</v>
      </c>
      <c r="Q580" s="378">
        <v>106812.69</v>
      </c>
      <c r="R580" s="380">
        <f t="shared" ref="R580:R582" si="835">(Q580*8%)/360</f>
        <v>23.736153333333334</v>
      </c>
    </row>
    <row r="581" spans="1:18" x14ac:dyDescent="0.25">
      <c r="A581" s="440">
        <f t="shared" si="819"/>
        <v>1921.368588888889</v>
      </c>
      <c r="B581" s="377">
        <f t="shared" si="694"/>
        <v>46060</v>
      </c>
      <c r="C581" s="378">
        <v>5207572.53</v>
      </c>
      <c r="D581" s="103">
        <f t="shared" si="828"/>
        <v>1084.9109437500001</v>
      </c>
      <c r="E581" s="382">
        <v>2324811.96</v>
      </c>
      <c r="F581" s="103">
        <f t="shared" si="829"/>
        <v>484.335825</v>
      </c>
      <c r="G581" s="378">
        <v>4261369.93</v>
      </c>
      <c r="H581" s="103">
        <f t="shared" si="830"/>
        <v>295.92846736111113</v>
      </c>
      <c r="I581" s="382">
        <v>2979.53</v>
      </c>
      <c r="J581" s="103">
        <f t="shared" si="831"/>
        <v>0.20691180555555558</v>
      </c>
      <c r="K581" s="378">
        <v>22337.42</v>
      </c>
      <c r="L581" s="103">
        <f t="shared" si="832"/>
        <v>2.7921774999999998</v>
      </c>
      <c r="M581" s="378">
        <v>2715.57</v>
      </c>
      <c r="N581" s="103">
        <f t="shared" si="833"/>
        <v>3.7716250000000007E-2</v>
      </c>
      <c r="O581" s="378">
        <v>162943.72</v>
      </c>
      <c r="P581" s="103">
        <f t="shared" si="834"/>
        <v>29.420393888888889</v>
      </c>
      <c r="Q581" s="378">
        <v>106812.69</v>
      </c>
      <c r="R581" s="380">
        <f t="shared" si="835"/>
        <v>23.736153333333334</v>
      </c>
    </row>
    <row r="582" spans="1:18" x14ac:dyDescent="0.25">
      <c r="A582" s="440">
        <f t="shared" si="819"/>
        <v>1384.8014361111109</v>
      </c>
      <c r="B582" s="377">
        <f t="shared" si="694"/>
        <v>46061</v>
      </c>
      <c r="C582" s="378">
        <v>4207572.53</v>
      </c>
      <c r="D582" s="103">
        <f t="shared" si="828"/>
        <v>876.57761041666674</v>
      </c>
      <c r="E582" s="382">
        <v>734622.96</v>
      </c>
      <c r="F582" s="103">
        <f t="shared" si="829"/>
        <v>153.04644999999999</v>
      </c>
      <c r="G582" s="378">
        <v>4305369.93</v>
      </c>
      <c r="H582" s="103">
        <f t="shared" si="830"/>
        <v>298.98402291666667</v>
      </c>
      <c r="I582" s="382">
        <v>2979.53</v>
      </c>
      <c r="J582" s="103">
        <f t="shared" si="831"/>
        <v>0.20691180555555558</v>
      </c>
      <c r="K582" s="378">
        <v>22337.42</v>
      </c>
      <c r="L582" s="103">
        <f t="shared" si="832"/>
        <v>2.7921774999999998</v>
      </c>
      <c r="M582" s="378">
        <v>2715.57</v>
      </c>
      <c r="N582" s="103">
        <f t="shared" si="833"/>
        <v>3.7716250000000007E-2</v>
      </c>
      <c r="O582" s="378">
        <v>162943.72</v>
      </c>
      <c r="P582" s="103">
        <f t="shared" si="834"/>
        <v>29.420393888888889</v>
      </c>
      <c r="Q582" s="378">
        <v>106812.69</v>
      </c>
      <c r="R582" s="380">
        <f t="shared" si="835"/>
        <v>23.736153333333334</v>
      </c>
    </row>
    <row r="583" spans="1:18" x14ac:dyDescent="0.25">
      <c r="A583" s="440">
        <f t="shared" ref="A583" si="836">D583+F583+H583+J583+L583+N583+P583+R583</f>
        <v>2310.1236583333339</v>
      </c>
      <c r="B583" s="377">
        <f t="shared" si="694"/>
        <v>46062</v>
      </c>
      <c r="C583" s="378">
        <v>5707452.5300000003</v>
      </c>
      <c r="D583" s="103">
        <f t="shared" ref="D583" si="837">(C583*7.5%)/360</f>
        <v>1189.0526104166668</v>
      </c>
      <c r="E583" s="382">
        <v>5034622.96</v>
      </c>
      <c r="F583" s="103">
        <f t="shared" ref="F583" si="838">(E583*7.5%)/360</f>
        <v>1048.8797833333333</v>
      </c>
      <c r="G583" s="378">
        <v>230369.93</v>
      </c>
      <c r="H583" s="103">
        <f t="shared" ref="H583" si="839">(G583*2.5%)/360</f>
        <v>15.997911805555557</v>
      </c>
      <c r="I583" s="382">
        <v>2979.53</v>
      </c>
      <c r="J583" s="103">
        <f t="shared" ref="J583" si="840">(I583*2.5%)/360</f>
        <v>0.20691180555555558</v>
      </c>
      <c r="K583" s="378">
        <v>22337.42</v>
      </c>
      <c r="L583" s="103">
        <f t="shared" ref="L583" si="841">(K583*4.5%)/360</f>
        <v>2.7921774999999998</v>
      </c>
      <c r="M583" s="378">
        <v>2715.57</v>
      </c>
      <c r="N583" s="103">
        <f t="shared" ref="N583" si="842">(M583*0.5%)/360</f>
        <v>3.7716250000000007E-2</v>
      </c>
      <c r="O583" s="378">
        <v>162943.72</v>
      </c>
      <c r="P583" s="103">
        <f t="shared" ref="P583" si="843">(O583*6.5%)/360</f>
        <v>29.420393888888889</v>
      </c>
      <c r="Q583" s="378">
        <v>106812.69</v>
      </c>
      <c r="R583" s="380">
        <f t="shared" ref="R583" si="844">(Q583*8%)/360</f>
        <v>23.736153333333334</v>
      </c>
    </row>
    <row r="584" spans="1:18" x14ac:dyDescent="0.25">
      <c r="A584" s="440">
        <f t="shared" ref="A584" si="845">D584+F584+H584+J584+L584+N584+P584+R584</f>
        <v>2226.4213930555557</v>
      </c>
      <c r="B584" s="377">
        <f t="shared" si="694"/>
        <v>46063</v>
      </c>
      <c r="C584" s="378">
        <v>5707452.5300000003</v>
      </c>
      <c r="D584" s="103">
        <f t="shared" ref="D584" si="846">(C584*7.5%)/360</f>
        <v>1189.0526104166668</v>
      </c>
      <c r="E584" s="382">
        <v>4528355.42</v>
      </c>
      <c r="F584" s="103">
        <f t="shared" ref="F584" si="847">(E584*7.5%)/360</f>
        <v>943.4073791666666</v>
      </c>
      <c r="G584" s="378">
        <v>543859.93000000005</v>
      </c>
      <c r="H584" s="103">
        <f t="shared" ref="H584" si="848">(G584*2.5%)/360</f>
        <v>37.768050694444455</v>
      </c>
      <c r="I584" s="382">
        <v>2979.53</v>
      </c>
      <c r="J584" s="103">
        <f t="shared" ref="J584" si="849">(I584*2.5%)/360</f>
        <v>0.20691180555555558</v>
      </c>
      <c r="K584" s="378">
        <v>22337.42</v>
      </c>
      <c r="L584" s="103">
        <f t="shared" ref="L584" si="850">(K584*4.5%)/360</f>
        <v>2.7921774999999998</v>
      </c>
      <c r="M584" s="378">
        <v>2715.57</v>
      </c>
      <c r="N584" s="103">
        <f t="shared" ref="N584" si="851">(M584*0.5%)/360</f>
        <v>3.7716250000000007E-2</v>
      </c>
      <c r="O584" s="378">
        <v>162943.72</v>
      </c>
      <c r="P584" s="103">
        <f t="shared" ref="P584" si="852">(O584*6.5%)/360</f>
        <v>29.420393888888889</v>
      </c>
      <c r="Q584" s="378">
        <v>106812.69</v>
      </c>
      <c r="R584" s="380">
        <f t="shared" ref="R584" si="853">(Q584*8%)/360</f>
        <v>23.736153333333334</v>
      </c>
    </row>
    <row r="585" spans="1:18" x14ac:dyDescent="0.25">
      <c r="A585" s="440">
        <f t="shared" ref="A585:A589" si="854">D585+F585+H585+J585+L585+N585+P585+R585</f>
        <v>2226.4213930555557</v>
      </c>
      <c r="B585" s="377">
        <f t="shared" si="694"/>
        <v>46064</v>
      </c>
      <c r="C585" s="378">
        <v>5707452.5300000003</v>
      </c>
      <c r="D585" s="103">
        <f t="shared" ref="D585:D589" si="855">(C585*7.5%)/360</f>
        <v>1189.0526104166668</v>
      </c>
      <c r="E585" s="382">
        <v>4528355.42</v>
      </c>
      <c r="F585" s="103">
        <f t="shared" ref="F585:F589" si="856">(E585*7.5%)/360</f>
        <v>943.4073791666666</v>
      </c>
      <c r="G585" s="378">
        <v>543859.93000000005</v>
      </c>
      <c r="H585" s="103">
        <f t="shared" ref="H585:H589" si="857">(G585*2.5%)/360</f>
        <v>37.768050694444455</v>
      </c>
      <c r="I585" s="382">
        <v>2979.53</v>
      </c>
      <c r="J585" s="103">
        <f t="shared" ref="J585:J589" si="858">(I585*2.5%)/360</f>
        <v>0.20691180555555558</v>
      </c>
      <c r="K585" s="378">
        <v>22337.42</v>
      </c>
      <c r="L585" s="103">
        <f t="shared" ref="L585:L589" si="859">(K585*4.5%)/360</f>
        <v>2.7921774999999998</v>
      </c>
      <c r="M585" s="378">
        <v>2715.57</v>
      </c>
      <c r="N585" s="103">
        <f t="shared" ref="N585:N589" si="860">(M585*0.5%)/360</f>
        <v>3.7716250000000007E-2</v>
      </c>
      <c r="O585" s="378">
        <v>162943.72</v>
      </c>
      <c r="P585" s="103">
        <f t="shared" ref="P585:P589" si="861">(O585*6.5%)/360</f>
        <v>29.420393888888889</v>
      </c>
      <c r="Q585" s="378">
        <v>106812.69</v>
      </c>
      <c r="R585" s="380">
        <f t="shared" ref="R585:R589" si="862">(Q585*8%)/360</f>
        <v>23.736153333333334</v>
      </c>
    </row>
    <row r="586" spans="1:18" x14ac:dyDescent="0.25">
      <c r="A586" s="440">
        <f t="shared" si="854"/>
        <v>2226.4213930555557</v>
      </c>
      <c r="B586" s="377">
        <f t="shared" si="694"/>
        <v>46065</v>
      </c>
      <c r="C586" s="378">
        <v>5707452.5300000003</v>
      </c>
      <c r="D586" s="103">
        <f t="shared" si="855"/>
        <v>1189.0526104166668</v>
      </c>
      <c r="E586" s="382">
        <v>4528355.42</v>
      </c>
      <c r="F586" s="103">
        <f t="shared" si="856"/>
        <v>943.4073791666666</v>
      </c>
      <c r="G586" s="378">
        <v>543859.93000000005</v>
      </c>
      <c r="H586" s="103">
        <f t="shared" si="857"/>
        <v>37.768050694444455</v>
      </c>
      <c r="I586" s="382">
        <v>2979.53</v>
      </c>
      <c r="J586" s="103">
        <f t="shared" si="858"/>
        <v>0.20691180555555558</v>
      </c>
      <c r="K586" s="378">
        <v>22337.42</v>
      </c>
      <c r="L586" s="103">
        <f t="shared" si="859"/>
        <v>2.7921774999999998</v>
      </c>
      <c r="M586" s="378">
        <v>2715.57</v>
      </c>
      <c r="N586" s="103">
        <f t="shared" si="860"/>
        <v>3.7716250000000007E-2</v>
      </c>
      <c r="O586" s="378">
        <v>162943.72</v>
      </c>
      <c r="P586" s="103">
        <f t="shared" si="861"/>
        <v>29.420393888888889</v>
      </c>
      <c r="Q586" s="378">
        <v>106812.69</v>
      </c>
      <c r="R586" s="380">
        <f t="shared" si="862"/>
        <v>23.736153333333334</v>
      </c>
    </row>
    <row r="587" spans="1:18" x14ac:dyDescent="0.25">
      <c r="A587" s="440">
        <f t="shared" si="854"/>
        <v>2226.4213930555557</v>
      </c>
      <c r="B587" s="377">
        <f t="shared" si="694"/>
        <v>46066</v>
      </c>
      <c r="C587" s="378">
        <v>5707452.5300000003</v>
      </c>
      <c r="D587" s="103">
        <f t="shared" si="855"/>
        <v>1189.0526104166668</v>
      </c>
      <c r="E587" s="382">
        <v>4528355.42</v>
      </c>
      <c r="F587" s="103">
        <f t="shared" si="856"/>
        <v>943.4073791666666</v>
      </c>
      <c r="G587" s="378">
        <v>543859.93000000005</v>
      </c>
      <c r="H587" s="103">
        <f t="shared" si="857"/>
        <v>37.768050694444455</v>
      </c>
      <c r="I587" s="382">
        <v>2979.53</v>
      </c>
      <c r="J587" s="103">
        <f t="shared" si="858"/>
        <v>0.20691180555555558</v>
      </c>
      <c r="K587" s="378">
        <v>22337.42</v>
      </c>
      <c r="L587" s="103">
        <f t="shared" si="859"/>
        <v>2.7921774999999998</v>
      </c>
      <c r="M587" s="378">
        <v>2715.57</v>
      </c>
      <c r="N587" s="103">
        <f t="shared" si="860"/>
        <v>3.7716250000000007E-2</v>
      </c>
      <c r="O587" s="378">
        <v>162943.72</v>
      </c>
      <c r="P587" s="103">
        <f t="shared" si="861"/>
        <v>29.420393888888889</v>
      </c>
      <c r="Q587" s="378">
        <v>106812.69</v>
      </c>
      <c r="R587" s="380">
        <f t="shared" si="862"/>
        <v>23.736153333333334</v>
      </c>
    </row>
    <row r="588" spans="1:18" x14ac:dyDescent="0.25">
      <c r="A588" s="440">
        <f t="shared" si="854"/>
        <v>2226.4213930555557</v>
      </c>
      <c r="B588" s="377">
        <f t="shared" si="694"/>
        <v>46067</v>
      </c>
      <c r="C588" s="378">
        <v>5707452.5300000003</v>
      </c>
      <c r="D588" s="103">
        <f t="shared" si="855"/>
        <v>1189.0526104166668</v>
      </c>
      <c r="E588" s="382">
        <v>4528355.42</v>
      </c>
      <c r="F588" s="103">
        <f t="shared" si="856"/>
        <v>943.4073791666666</v>
      </c>
      <c r="G588" s="378">
        <v>543859.93000000005</v>
      </c>
      <c r="H588" s="103">
        <f t="shared" si="857"/>
        <v>37.768050694444455</v>
      </c>
      <c r="I588" s="382">
        <v>2979.53</v>
      </c>
      <c r="J588" s="103">
        <f t="shared" si="858"/>
        <v>0.20691180555555558</v>
      </c>
      <c r="K588" s="378">
        <v>22337.42</v>
      </c>
      <c r="L588" s="103">
        <f t="shared" si="859"/>
        <v>2.7921774999999998</v>
      </c>
      <c r="M588" s="378">
        <v>2715.57</v>
      </c>
      <c r="N588" s="103">
        <f t="shared" si="860"/>
        <v>3.7716250000000007E-2</v>
      </c>
      <c r="O588" s="378">
        <v>162943.72</v>
      </c>
      <c r="P588" s="103">
        <f t="shared" si="861"/>
        <v>29.420393888888889</v>
      </c>
      <c r="Q588" s="378">
        <v>106812.69</v>
      </c>
      <c r="R588" s="380">
        <f t="shared" si="862"/>
        <v>23.736153333333334</v>
      </c>
    </row>
    <row r="589" spans="1:18" x14ac:dyDescent="0.25">
      <c r="A589" s="440">
        <f t="shared" si="854"/>
        <v>3044.513272222222</v>
      </c>
      <c r="B589" s="377">
        <f t="shared" si="694"/>
        <v>46068</v>
      </c>
      <c r="C589" s="378">
        <v>8230906.5300000003</v>
      </c>
      <c r="D589" s="103">
        <f t="shared" si="855"/>
        <v>1714.7721937499998</v>
      </c>
      <c r="E589" s="382">
        <v>5931742.4400000004</v>
      </c>
      <c r="F589" s="103">
        <f t="shared" si="856"/>
        <v>1235.779675</v>
      </c>
      <c r="G589" s="378">
        <v>543859.93000000005</v>
      </c>
      <c r="H589" s="103">
        <f t="shared" si="857"/>
        <v>37.768050694444455</v>
      </c>
      <c r="I589" s="382">
        <v>2979.53</v>
      </c>
      <c r="J589" s="103">
        <f t="shared" si="858"/>
        <v>0.20691180555555558</v>
      </c>
      <c r="K589" s="378">
        <v>22337.42</v>
      </c>
      <c r="L589" s="103">
        <f t="shared" si="859"/>
        <v>2.7921774999999998</v>
      </c>
      <c r="M589" s="378">
        <v>2715.57</v>
      </c>
      <c r="N589" s="103">
        <f t="shared" si="860"/>
        <v>3.7716250000000007E-2</v>
      </c>
      <c r="O589" s="378">
        <v>162943.72</v>
      </c>
      <c r="P589" s="103">
        <f t="shared" si="861"/>
        <v>29.420393888888889</v>
      </c>
      <c r="Q589" s="378">
        <v>106812.69</v>
      </c>
      <c r="R589" s="380">
        <f t="shared" si="862"/>
        <v>23.736153333333334</v>
      </c>
    </row>
    <row r="590" spans="1:18" x14ac:dyDescent="0.25">
      <c r="A590" s="440">
        <f t="shared" ref="A590" si="863">D590+F590+H590+J590+L590+N590+P590+R590</f>
        <v>3348.311651388889</v>
      </c>
      <c r="B590" s="377">
        <f t="shared" si="694"/>
        <v>46069</v>
      </c>
      <c r="C590" s="378">
        <v>8977478.75</v>
      </c>
      <c r="D590" s="103">
        <f t="shared" ref="D590" si="864">(C590*7.5%)/360</f>
        <v>1870.3080729166666</v>
      </c>
      <c r="E590" s="382">
        <v>6439742.4400000004</v>
      </c>
      <c r="F590" s="103">
        <f t="shared" ref="F590" si="865">(E590*7.5%)/360</f>
        <v>1341.6130083333335</v>
      </c>
      <c r="G590" s="378">
        <v>1154839.93</v>
      </c>
      <c r="H590" s="103">
        <f t="shared" ref="H590" si="866">(G590*2.5%)/360</f>
        <v>80.197217361111115</v>
      </c>
      <c r="I590" s="382">
        <v>2979.53</v>
      </c>
      <c r="J590" s="103">
        <f t="shared" ref="J590" si="867">(I590*2.5%)/360</f>
        <v>0.20691180555555558</v>
      </c>
      <c r="K590" s="378">
        <v>22337.42</v>
      </c>
      <c r="L590" s="103">
        <f t="shared" ref="L590" si="868">(K590*4.5%)/360</f>
        <v>2.7921774999999998</v>
      </c>
      <c r="M590" s="378">
        <v>2715.57</v>
      </c>
      <c r="N590" s="103">
        <f t="shared" ref="N590" si="869">(M590*0.5%)/360</f>
        <v>3.7716250000000007E-2</v>
      </c>
      <c r="O590" s="378">
        <v>162943.72</v>
      </c>
      <c r="P590" s="103">
        <f t="shared" ref="P590" si="870">(O590*6.5%)/360</f>
        <v>29.420393888888889</v>
      </c>
      <c r="Q590" s="378">
        <v>106812.69</v>
      </c>
      <c r="R590" s="380">
        <f t="shared" ref="R590" si="871">(Q590*8%)/360</f>
        <v>23.736153333333334</v>
      </c>
    </row>
    <row r="591" spans="1:18" x14ac:dyDescent="0.25">
      <c r="A591" s="440">
        <f t="shared" ref="A591" si="872">D591+F591+H591+J591+L591+N591+P591+R591</f>
        <v>1597.7842243055554</v>
      </c>
      <c r="B591" s="377">
        <f t="shared" si="694"/>
        <v>46070</v>
      </c>
      <c r="C591" s="378">
        <v>16739.75</v>
      </c>
      <c r="D591" s="103">
        <f t="shared" ref="D591" si="873">(C591*7.5%)/360</f>
        <v>3.487447916666667</v>
      </c>
      <c r="E591" s="382">
        <v>7369949.79</v>
      </c>
      <c r="F591" s="103">
        <f t="shared" ref="F591" si="874">(E591*7.5%)/360</f>
        <v>1535.40620625</v>
      </c>
      <c r="G591" s="378">
        <v>38839.93</v>
      </c>
      <c r="H591" s="103">
        <f t="shared" ref="H591" si="875">(G591*2.5%)/360</f>
        <v>2.6972173611111114</v>
      </c>
      <c r="I591" s="382">
        <v>2979.53</v>
      </c>
      <c r="J591" s="103">
        <f t="shared" ref="J591" si="876">(I591*2.5%)/360</f>
        <v>0.20691180555555558</v>
      </c>
      <c r="K591" s="378">
        <v>22337.42</v>
      </c>
      <c r="L591" s="103">
        <f t="shared" ref="L591" si="877">(K591*4.5%)/360</f>
        <v>2.7921774999999998</v>
      </c>
      <c r="M591" s="378">
        <v>2715.57</v>
      </c>
      <c r="N591" s="103">
        <f t="shared" ref="N591" si="878">(M591*0.5%)/360</f>
        <v>3.7716250000000007E-2</v>
      </c>
      <c r="O591" s="378">
        <v>162943.72</v>
      </c>
      <c r="P591" s="103">
        <f t="shared" ref="P591" si="879">(O591*6.5%)/360</f>
        <v>29.420393888888889</v>
      </c>
      <c r="Q591" s="378">
        <v>106812.69</v>
      </c>
      <c r="R591" s="380">
        <f t="shared" ref="R591" si="880">(Q591*8%)/360</f>
        <v>23.736153333333334</v>
      </c>
    </row>
    <row r="592" spans="1:18" x14ac:dyDescent="0.25">
      <c r="A592" s="440">
        <f t="shared" ref="A592" si="881">D592+F592+H592+J592+L592+N592+P592+R592</f>
        <v>1205.3632951388888</v>
      </c>
      <c r="B592" s="377">
        <f t="shared" si="694"/>
        <v>46071</v>
      </c>
      <c r="C592" s="378">
        <v>968784.33</v>
      </c>
      <c r="D592" s="103">
        <f t="shared" ref="D592" si="882">(C592*7.5%)/360</f>
        <v>201.83006875000001</v>
      </c>
      <c r="E592" s="382">
        <v>4534284.75</v>
      </c>
      <c r="F592" s="103">
        <f t="shared" ref="F592" si="883">(E592*7.5%)/360</f>
        <v>944.64265625000007</v>
      </c>
      <c r="G592" s="378">
        <v>38839.93</v>
      </c>
      <c r="H592" s="103">
        <f t="shared" ref="H592" si="884">(G592*2.5%)/360</f>
        <v>2.6972173611111114</v>
      </c>
      <c r="I592" s="382">
        <v>2979.53</v>
      </c>
      <c r="J592" s="103">
        <f t="shared" ref="J592" si="885">(I592*2.5%)/360</f>
        <v>0.20691180555555558</v>
      </c>
      <c r="K592" s="378">
        <v>22337.42</v>
      </c>
      <c r="L592" s="103">
        <f t="shared" ref="L592" si="886">(K592*4.5%)/360</f>
        <v>2.7921774999999998</v>
      </c>
      <c r="M592" s="378">
        <v>2715.57</v>
      </c>
      <c r="N592" s="103">
        <f t="shared" ref="N592" si="887">(M592*0.5%)/360</f>
        <v>3.7716250000000007E-2</v>
      </c>
      <c r="O592" s="378">
        <v>162943.72</v>
      </c>
      <c r="P592" s="103">
        <f t="shared" ref="P592" si="888">(O592*6.5%)/360</f>
        <v>29.420393888888889</v>
      </c>
      <c r="Q592" s="378">
        <v>106812.69</v>
      </c>
      <c r="R592" s="380">
        <f t="shared" ref="R592" si="889">(Q592*8%)/360</f>
        <v>23.736153333333334</v>
      </c>
    </row>
    <row r="593" spans="1:18" x14ac:dyDescent="0.25">
      <c r="A593" s="440">
        <f t="shared" ref="A593" si="890">D593+F593+H593+J593+L593+N593+P593+R593</f>
        <v>1404.6350298611112</v>
      </c>
      <c r="B593" s="377">
        <f t="shared" si="694"/>
        <v>46072</v>
      </c>
      <c r="C593" s="378">
        <v>968784.33</v>
      </c>
      <c r="D593" s="103">
        <f t="shared" ref="D593" si="891">(C593*7.5%)/360</f>
        <v>201.83006875000001</v>
      </c>
      <c r="E593" s="382">
        <v>4324122.41</v>
      </c>
      <c r="F593" s="103">
        <f t="shared" ref="F593" si="892">(E593*7.5%)/360</f>
        <v>900.85883541666669</v>
      </c>
      <c r="G593" s="378">
        <v>3538839.93</v>
      </c>
      <c r="H593" s="103">
        <f t="shared" ref="H593" si="893">(G593*2.5%)/360</f>
        <v>245.75277291666669</v>
      </c>
      <c r="I593" s="382">
        <v>2979.53</v>
      </c>
      <c r="J593" s="103">
        <f t="shared" ref="J593" si="894">(I593*2.5%)/360</f>
        <v>0.20691180555555558</v>
      </c>
      <c r="K593" s="378">
        <v>22337.42</v>
      </c>
      <c r="L593" s="103">
        <f t="shared" ref="L593" si="895">(K593*4.5%)/360</f>
        <v>2.7921774999999998</v>
      </c>
      <c r="M593" s="378">
        <v>2715.57</v>
      </c>
      <c r="N593" s="103">
        <f t="shared" ref="N593" si="896">(M593*0.5%)/360</f>
        <v>3.7716250000000007E-2</v>
      </c>
      <c r="O593" s="378">
        <v>162943.72</v>
      </c>
      <c r="P593" s="103">
        <f t="shared" ref="P593" si="897">(O593*6.5%)/360</f>
        <v>29.420393888888889</v>
      </c>
      <c r="Q593" s="378">
        <v>106812.69</v>
      </c>
      <c r="R593" s="380">
        <f t="shared" ref="R593" si="898">(Q593*8%)/360</f>
        <v>23.736153333333334</v>
      </c>
    </row>
    <row r="594" spans="1:18" x14ac:dyDescent="0.25">
      <c r="A594" s="440">
        <f t="shared" ref="A594:A596" si="899">D594+F594+H594+J594+L594+N594+P594+R594</f>
        <v>1404.6350298611112</v>
      </c>
      <c r="B594" s="377">
        <f t="shared" si="694"/>
        <v>46073</v>
      </c>
      <c r="C594" s="378">
        <v>968784.33</v>
      </c>
      <c r="D594" s="103">
        <f t="shared" ref="D594:D596" si="900">(C594*7.5%)/360</f>
        <v>201.83006875000001</v>
      </c>
      <c r="E594" s="382">
        <v>4324122.41</v>
      </c>
      <c r="F594" s="103">
        <f t="shared" ref="F594:F596" si="901">(E594*7.5%)/360</f>
        <v>900.85883541666669</v>
      </c>
      <c r="G594" s="378">
        <v>3538839.93</v>
      </c>
      <c r="H594" s="103">
        <f t="shared" ref="H594:H596" si="902">(G594*2.5%)/360</f>
        <v>245.75277291666669</v>
      </c>
      <c r="I594" s="382">
        <v>2979.53</v>
      </c>
      <c r="J594" s="103">
        <f t="shared" ref="J594:J596" si="903">(I594*2.5%)/360</f>
        <v>0.20691180555555558</v>
      </c>
      <c r="K594" s="378">
        <v>22337.42</v>
      </c>
      <c r="L594" s="103">
        <f t="shared" ref="L594:L596" si="904">(K594*4.5%)/360</f>
        <v>2.7921774999999998</v>
      </c>
      <c r="M594" s="378">
        <v>2715.57</v>
      </c>
      <c r="N594" s="103">
        <f t="shared" ref="N594:N596" si="905">(M594*0.5%)/360</f>
        <v>3.7716250000000007E-2</v>
      </c>
      <c r="O594" s="378">
        <v>162943.72</v>
      </c>
      <c r="P594" s="103">
        <f t="shared" ref="P594:P596" si="906">(O594*6.5%)/360</f>
        <v>29.420393888888889</v>
      </c>
      <c r="Q594" s="378">
        <v>106812.69</v>
      </c>
      <c r="R594" s="380">
        <f t="shared" ref="R594:R596" si="907">(Q594*8%)/360</f>
        <v>23.736153333333334</v>
      </c>
    </row>
    <row r="595" spans="1:18" x14ac:dyDescent="0.25">
      <c r="A595" s="440">
        <f t="shared" si="899"/>
        <v>1404.6350298611112</v>
      </c>
      <c r="B595" s="377">
        <f t="shared" si="694"/>
        <v>46074</v>
      </c>
      <c r="C595" s="378">
        <v>968784.33</v>
      </c>
      <c r="D595" s="103">
        <f t="shared" si="900"/>
        <v>201.83006875000001</v>
      </c>
      <c r="E595" s="382">
        <v>4324122.41</v>
      </c>
      <c r="F595" s="103">
        <f t="shared" si="901"/>
        <v>900.85883541666669</v>
      </c>
      <c r="G595" s="378">
        <v>3538839.93</v>
      </c>
      <c r="H595" s="103">
        <f t="shared" si="902"/>
        <v>245.75277291666669</v>
      </c>
      <c r="I595" s="382">
        <v>2979.53</v>
      </c>
      <c r="J595" s="103">
        <f t="shared" si="903"/>
        <v>0.20691180555555558</v>
      </c>
      <c r="K595" s="378">
        <v>22337.42</v>
      </c>
      <c r="L595" s="103">
        <f t="shared" si="904"/>
        <v>2.7921774999999998</v>
      </c>
      <c r="M595" s="378">
        <v>2715.57</v>
      </c>
      <c r="N595" s="103">
        <f t="shared" si="905"/>
        <v>3.7716250000000007E-2</v>
      </c>
      <c r="O595" s="378">
        <v>162943.72</v>
      </c>
      <c r="P595" s="103">
        <f t="shared" si="906"/>
        <v>29.420393888888889</v>
      </c>
      <c r="Q595" s="378">
        <v>106812.69</v>
      </c>
      <c r="R595" s="380">
        <f t="shared" si="907"/>
        <v>23.736153333333334</v>
      </c>
    </row>
    <row r="596" spans="1:18" x14ac:dyDescent="0.25">
      <c r="A596" s="440">
        <f t="shared" si="899"/>
        <v>2515.8005736111113</v>
      </c>
      <c r="B596" s="377">
        <f t="shared" si="694"/>
        <v>46075</v>
      </c>
      <c r="C596" s="378">
        <v>6542974.3300000001</v>
      </c>
      <c r="D596" s="103">
        <f t="shared" si="900"/>
        <v>1363.1196520833332</v>
      </c>
      <c r="E596" s="382">
        <v>4083527.02</v>
      </c>
      <c r="F596" s="103">
        <f t="shared" si="901"/>
        <v>850.73479583333324</v>
      </c>
      <c r="G596" s="378">
        <v>3538839.93</v>
      </c>
      <c r="H596" s="103">
        <f t="shared" si="902"/>
        <v>245.75277291666669</v>
      </c>
      <c r="I596" s="382">
        <v>2979.53</v>
      </c>
      <c r="J596" s="103">
        <f t="shared" si="903"/>
        <v>0.20691180555555558</v>
      </c>
      <c r="K596" s="378">
        <v>22337.42</v>
      </c>
      <c r="L596" s="103">
        <f t="shared" si="904"/>
        <v>2.7921774999999998</v>
      </c>
      <c r="M596" s="378">
        <v>2715.57</v>
      </c>
      <c r="N596" s="103">
        <f t="shared" si="905"/>
        <v>3.7716250000000007E-2</v>
      </c>
      <c r="O596" s="378">
        <v>162943.72</v>
      </c>
      <c r="P596" s="103">
        <f t="shared" si="906"/>
        <v>29.420393888888889</v>
      </c>
      <c r="Q596" s="378">
        <v>106812.69</v>
      </c>
      <c r="R596" s="380">
        <f t="shared" si="907"/>
        <v>23.736153333333334</v>
      </c>
    </row>
    <row r="597" spans="1:18" x14ac:dyDescent="0.25">
      <c r="A597" s="440">
        <f t="shared" ref="A597" si="908">D597+F597+H597+J597+L597+N597+P597+R597</f>
        <v>2522.740851388889</v>
      </c>
      <c r="B597" s="377">
        <f t="shared" si="694"/>
        <v>46076</v>
      </c>
      <c r="C597" s="378">
        <v>6542974.3300000001</v>
      </c>
      <c r="D597" s="103">
        <f t="shared" ref="D597" si="909">(C597*7.5%)/360</f>
        <v>1363.1196520833332</v>
      </c>
      <c r="E597" s="382">
        <v>4083527.02</v>
      </c>
      <c r="F597" s="103">
        <f t="shared" ref="F597" si="910">(E597*7.5%)/360</f>
        <v>850.73479583333324</v>
      </c>
      <c r="G597" s="378">
        <v>3638779.93</v>
      </c>
      <c r="H597" s="103">
        <f t="shared" ref="H597" si="911">(G597*2.5%)/360</f>
        <v>252.69305069444445</v>
      </c>
      <c r="I597" s="382">
        <v>2979.53</v>
      </c>
      <c r="J597" s="103">
        <f t="shared" ref="J597" si="912">(I597*2.5%)/360</f>
        <v>0.20691180555555558</v>
      </c>
      <c r="K597" s="378">
        <v>22337.42</v>
      </c>
      <c r="L597" s="103">
        <f t="shared" ref="L597" si="913">(K597*4.5%)/360</f>
        <v>2.7921774999999998</v>
      </c>
      <c r="M597" s="378">
        <v>2715.57</v>
      </c>
      <c r="N597" s="103">
        <f t="shared" ref="N597" si="914">(M597*0.5%)/360</f>
        <v>3.7716250000000007E-2</v>
      </c>
      <c r="O597" s="378">
        <v>162943.72</v>
      </c>
      <c r="P597" s="103">
        <f t="shared" ref="P597" si="915">(O597*6.5%)/360</f>
        <v>29.420393888888889</v>
      </c>
      <c r="Q597" s="378">
        <v>106812.69</v>
      </c>
      <c r="R597" s="380">
        <f t="shared" ref="R597" si="916">(Q597*8%)/360</f>
        <v>23.736153333333334</v>
      </c>
    </row>
    <row r="598" spans="1:18" x14ac:dyDescent="0.25">
      <c r="A598" s="440">
        <f t="shared" ref="A598" si="917">D598+F598+H598+J598+L598+N598+P598+R598</f>
        <v>991.22707638888869</v>
      </c>
      <c r="B598" s="377">
        <f t="shared" si="694"/>
        <v>46077</v>
      </c>
      <c r="C598" s="378">
        <v>2573384.33</v>
      </c>
      <c r="D598" s="103">
        <f t="shared" ref="D598" si="918">(C598*7.5%)/360</f>
        <v>536.12173541666664</v>
      </c>
      <c r="E598" s="382">
        <v>701850.9</v>
      </c>
      <c r="F598" s="103">
        <f t="shared" ref="F598" si="919">(E598*7.5%)/360</f>
        <v>146.21893749999998</v>
      </c>
      <c r="G598" s="378">
        <v>3638779.93</v>
      </c>
      <c r="H598" s="103">
        <f t="shared" ref="H598" si="920">(G598*2.5%)/360</f>
        <v>252.69305069444445</v>
      </c>
      <c r="I598" s="382">
        <v>2979.53</v>
      </c>
      <c r="J598" s="103">
        <f t="shared" ref="J598" si="921">(I598*2.5%)/360</f>
        <v>0.20691180555555558</v>
      </c>
      <c r="K598" s="378">
        <v>22337.42</v>
      </c>
      <c r="L598" s="103">
        <f t="shared" ref="L598" si="922">(K598*4.5%)/360</f>
        <v>2.7921774999999998</v>
      </c>
      <c r="M598" s="378">
        <v>2715.57</v>
      </c>
      <c r="N598" s="103">
        <f t="shared" ref="N598" si="923">(M598*0.5%)/360</f>
        <v>3.7716250000000007E-2</v>
      </c>
      <c r="O598" s="378">
        <v>162943.72</v>
      </c>
      <c r="P598" s="103">
        <f t="shared" ref="P598" si="924">(O598*6.5%)/360</f>
        <v>29.420393888888889</v>
      </c>
      <c r="Q598" s="378">
        <v>106812.69</v>
      </c>
      <c r="R598" s="380">
        <f t="shared" ref="R598" si="925">(Q598*8%)/360</f>
        <v>23.736153333333334</v>
      </c>
    </row>
    <row r="599" spans="1:18" x14ac:dyDescent="0.25">
      <c r="A599" s="440">
        <f t="shared" ref="A599" si="926">D599+F599+H599+J599+L599+N599+P599+R599</f>
        <v>782.44928402777782</v>
      </c>
      <c r="B599" s="377">
        <f t="shared" si="694"/>
        <v>46078</v>
      </c>
      <c r="C599" s="378">
        <v>73384.33</v>
      </c>
      <c r="D599" s="103">
        <f t="shared" ref="D599" si="927">(C599*7.5%)/360</f>
        <v>15.288402083333333</v>
      </c>
      <c r="E599" s="382">
        <v>3373050.83</v>
      </c>
      <c r="F599" s="103">
        <f t="shared" ref="F599" si="928">(E599*7.5%)/360</f>
        <v>702.71892291666666</v>
      </c>
      <c r="G599" s="378">
        <v>118779.93</v>
      </c>
      <c r="H599" s="103">
        <f t="shared" ref="H599" si="929">(G599*2.5%)/360</f>
        <v>8.2486062499999999</v>
      </c>
      <c r="I599" s="382">
        <v>2979.53</v>
      </c>
      <c r="J599" s="103">
        <f t="shared" ref="J599" si="930">(I599*2.5%)/360</f>
        <v>0.20691180555555558</v>
      </c>
      <c r="K599" s="378">
        <v>22337.42</v>
      </c>
      <c r="L599" s="103">
        <f t="shared" ref="L599" si="931">(K599*4.5%)/360</f>
        <v>2.7921774999999998</v>
      </c>
      <c r="M599" s="378">
        <v>2715.57</v>
      </c>
      <c r="N599" s="103">
        <f t="shared" ref="N599" si="932">(M599*0.5%)/360</f>
        <v>3.7716250000000007E-2</v>
      </c>
      <c r="O599" s="378">
        <v>162943.72</v>
      </c>
      <c r="P599" s="103">
        <f t="shared" ref="P599" si="933">(O599*6.5%)/360</f>
        <v>29.420393888888889</v>
      </c>
      <c r="Q599" s="378">
        <v>106812.69</v>
      </c>
      <c r="R599" s="380">
        <f t="shared" ref="R599" si="934">(Q599*8%)/360</f>
        <v>23.736153333333334</v>
      </c>
    </row>
    <row r="600" spans="1:18" x14ac:dyDescent="0.25">
      <c r="A600" s="440">
        <f t="shared" ref="A600" si="935">D600+F600+H600+J600+L600+N600+P600+R600</f>
        <v>1774.290332361111</v>
      </c>
      <c r="B600" s="377">
        <f t="shared" si="694"/>
        <v>46079</v>
      </c>
      <c r="C600" s="378">
        <v>379344.33</v>
      </c>
      <c r="D600" s="103">
        <f t="shared" ref="D600" si="936">(C600*7.5%)/360</f>
        <v>79.030068749999998</v>
      </c>
      <c r="E600" s="382">
        <v>1228144.31</v>
      </c>
      <c r="F600" s="103">
        <f t="shared" ref="F600" si="937">(E600*7.5%)/360</f>
        <v>255.86339791666666</v>
      </c>
      <c r="G600" s="378">
        <v>156279.93</v>
      </c>
      <c r="H600" s="103">
        <f t="shared" ref="H600" si="938">(G600*2.5%)/360</f>
        <v>10.852772916666668</v>
      </c>
      <c r="I600" s="382">
        <v>2979.53</v>
      </c>
      <c r="J600" s="103">
        <f t="shared" ref="J600" si="939">(I600*2.5%)/360</f>
        <v>0.20691180555555558</v>
      </c>
      <c r="K600" s="378">
        <v>22337.42</v>
      </c>
      <c r="L600" s="103">
        <f t="shared" ref="L600" si="940">(K600*4.5%)/360</f>
        <v>2.7921774999999998</v>
      </c>
      <c r="M600" s="378">
        <v>2715.57</v>
      </c>
      <c r="N600" s="103">
        <f t="shared" ref="N600" si="941">(M600*0.5%)/360</f>
        <v>3.7716250000000007E-2</v>
      </c>
      <c r="O600" s="378">
        <v>162943.72</v>
      </c>
      <c r="P600" s="103">
        <f t="shared" ref="P600" si="942">(O600*6.5%)/360</f>
        <v>29.420393888888889</v>
      </c>
      <c r="Q600" s="378">
        <v>6282391.0199999996</v>
      </c>
      <c r="R600" s="380">
        <f t="shared" ref="R600" si="943">(Q600*8%)/360</f>
        <v>1396.0868933333334</v>
      </c>
    </row>
    <row r="601" spans="1:18" x14ac:dyDescent="0.25">
      <c r="A601" s="440">
        <f t="shared" ref="A601" si="944">D601+F601+H601+J601+L601+N601+P601+R601</f>
        <v>1774.290332361111</v>
      </c>
      <c r="B601" s="377">
        <f t="shared" si="694"/>
        <v>46080</v>
      </c>
      <c r="C601" s="378">
        <v>379344.33</v>
      </c>
      <c r="D601" s="103">
        <f t="shared" ref="D601" si="945">(C601*7.5%)/360</f>
        <v>79.030068749999998</v>
      </c>
      <c r="E601" s="382">
        <v>1228144.31</v>
      </c>
      <c r="F601" s="103">
        <f t="shared" ref="F601" si="946">(E601*7.5%)/360</f>
        <v>255.86339791666666</v>
      </c>
      <c r="G601" s="378">
        <v>156279.93</v>
      </c>
      <c r="H601" s="103">
        <f t="shared" ref="H601" si="947">(G601*2.5%)/360</f>
        <v>10.852772916666668</v>
      </c>
      <c r="I601" s="382">
        <v>2979.53</v>
      </c>
      <c r="J601" s="103">
        <f t="shared" ref="J601" si="948">(I601*2.5%)/360</f>
        <v>0.20691180555555558</v>
      </c>
      <c r="K601" s="378">
        <v>22337.42</v>
      </c>
      <c r="L601" s="103">
        <f t="shared" ref="L601" si="949">(K601*4.5%)/360</f>
        <v>2.7921774999999998</v>
      </c>
      <c r="M601" s="378">
        <v>2715.57</v>
      </c>
      <c r="N601" s="103">
        <f t="shared" ref="N601" si="950">(M601*0.5%)/360</f>
        <v>3.7716250000000007E-2</v>
      </c>
      <c r="O601" s="378">
        <v>162943.72</v>
      </c>
      <c r="P601" s="103">
        <f t="shared" ref="P601" si="951">(O601*6.5%)/360</f>
        <v>29.420393888888889</v>
      </c>
      <c r="Q601" s="378">
        <v>6282391.0199999996</v>
      </c>
      <c r="R601" s="380">
        <f t="shared" ref="R601" si="952">(Q601*8%)/360</f>
        <v>1396.0868933333334</v>
      </c>
    </row>
    <row r="602" spans="1:18" x14ac:dyDescent="0.25">
      <c r="A602" s="440">
        <f t="shared" ref="A602:A603" si="953">D602+F602+H602+J602+L602+N602+P602+R602</f>
        <v>1774.290332361111</v>
      </c>
      <c r="B602" s="377">
        <f t="shared" si="694"/>
        <v>46081</v>
      </c>
      <c r="C602" s="378">
        <v>379344.33</v>
      </c>
      <c r="D602" s="103">
        <f t="shared" ref="D602:D603" si="954">(C602*7.5%)/360</f>
        <v>79.030068749999998</v>
      </c>
      <c r="E602" s="382">
        <v>1228144.31</v>
      </c>
      <c r="F602" s="103">
        <f t="shared" ref="F602:F603" si="955">(E602*7.5%)/360</f>
        <v>255.86339791666666</v>
      </c>
      <c r="G602" s="378">
        <v>156279.93</v>
      </c>
      <c r="H602" s="103">
        <f t="shared" ref="H602:H603" si="956">(G602*2.5%)/360</f>
        <v>10.852772916666668</v>
      </c>
      <c r="I602" s="382">
        <v>2979.53</v>
      </c>
      <c r="J602" s="103">
        <f t="shared" ref="J602:J603" si="957">(I602*2.5%)/360</f>
        <v>0.20691180555555558</v>
      </c>
      <c r="K602" s="378">
        <v>22337.42</v>
      </c>
      <c r="L602" s="103">
        <f t="shared" ref="L602:L603" si="958">(K602*4.5%)/360</f>
        <v>2.7921774999999998</v>
      </c>
      <c r="M602" s="378">
        <v>2715.57</v>
      </c>
      <c r="N602" s="103">
        <f t="shared" ref="N602:N603" si="959">(M602*0.5%)/360</f>
        <v>3.7716250000000007E-2</v>
      </c>
      <c r="O602" s="378">
        <v>162943.72</v>
      </c>
      <c r="P602" s="103">
        <f t="shared" ref="P602:P603" si="960">(O602*6.5%)/360</f>
        <v>29.420393888888889</v>
      </c>
      <c r="Q602" s="378">
        <v>6282391.0199999996</v>
      </c>
      <c r="R602" s="380">
        <f t="shared" ref="R602:R603" si="961">(Q602*8%)/360</f>
        <v>1396.0868933333334</v>
      </c>
    </row>
    <row r="603" spans="1:18" x14ac:dyDescent="0.25">
      <c r="A603" s="440">
        <f t="shared" si="953"/>
        <v>1604.4733844444445</v>
      </c>
      <c r="B603" s="377">
        <f t="shared" si="694"/>
        <v>46082</v>
      </c>
      <c r="C603" s="378">
        <v>753370.08</v>
      </c>
      <c r="D603" s="103">
        <f t="shared" si="954"/>
        <v>156.95209999999997</v>
      </c>
      <c r="E603" s="382">
        <v>38997.21</v>
      </c>
      <c r="F603" s="103">
        <f t="shared" si="955"/>
        <v>8.1244187499999985</v>
      </c>
      <c r="G603" s="378">
        <v>156279.93</v>
      </c>
      <c r="H603" s="103">
        <f t="shared" si="956"/>
        <v>10.852772916666668</v>
      </c>
      <c r="I603" s="382">
        <v>2979.53</v>
      </c>
      <c r="J603" s="103">
        <f t="shared" si="957"/>
        <v>0.20691180555555558</v>
      </c>
      <c r="K603" s="378">
        <v>22337.42</v>
      </c>
      <c r="L603" s="103">
        <f t="shared" si="958"/>
        <v>2.7921774999999998</v>
      </c>
      <c r="M603" s="378">
        <v>2715.57</v>
      </c>
      <c r="N603" s="103">
        <f t="shared" si="959"/>
        <v>3.7716250000000007E-2</v>
      </c>
      <c r="O603" s="378">
        <v>162943.72</v>
      </c>
      <c r="P603" s="103">
        <f t="shared" si="960"/>
        <v>29.420393888888889</v>
      </c>
      <c r="Q603" s="378">
        <v>6282391.0199999996</v>
      </c>
      <c r="R603" s="380">
        <f t="shared" si="961"/>
        <v>1396.0868933333334</v>
      </c>
    </row>
    <row r="604" spans="1:18" x14ac:dyDescent="0.25">
      <c r="A604" s="440">
        <f t="shared" ref="A604" si="962">D604+F604+H604+J604+L604+N604+P604+R604</f>
        <v>1477.7348906944444</v>
      </c>
      <c r="B604" s="377">
        <f t="shared" si="694"/>
        <v>46083</v>
      </c>
      <c r="C604" s="378">
        <v>7860.08</v>
      </c>
      <c r="D604" s="103">
        <f t="shared" ref="D604" si="963">(C604*7.5%)/360</f>
        <v>1.6375166666666665</v>
      </c>
      <c r="E604" s="382">
        <v>3275837.4399999999</v>
      </c>
      <c r="F604" s="103">
        <f t="shared" ref="F604" si="964">(E604*7.5%)/360</f>
        <v>682.46613333333335</v>
      </c>
      <c r="G604" s="378">
        <v>427254.93</v>
      </c>
      <c r="H604" s="103">
        <f t="shared" ref="H604" si="965">(G604*2.5%)/360</f>
        <v>29.670481250000002</v>
      </c>
      <c r="I604" s="382">
        <v>32979.53</v>
      </c>
      <c r="J604" s="103">
        <f t="shared" ref="J604" si="966">(I604*2.5%)/360</f>
        <v>2.2902451388888889</v>
      </c>
      <c r="K604" s="378">
        <v>22337.42</v>
      </c>
      <c r="L604" s="103">
        <f t="shared" ref="L604" si="967">(K604*4.5%)/360</f>
        <v>2.7921774999999998</v>
      </c>
      <c r="M604" s="378">
        <v>2715.57</v>
      </c>
      <c r="N604" s="103">
        <f t="shared" ref="N604" si="968">(M604*0.5%)/360</f>
        <v>3.7716250000000007E-2</v>
      </c>
      <c r="O604" s="378">
        <v>162943.72</v>
      </c>
      <c r="P604" s="103">
        <f t="shared" ref="P604" si="969">(O604*6.5%)/360</f>
        <v>29.420393888888889</v>
      </c>
      <c r="Q604" s="378">
        <v>3282391.02</v>
      </c>
      <c r="R604" s="380">
        <f t="shared" ref="R604" si="970">(Q604*8%)/360</f>
        <v>729.42022666666662</v>
      </c>
    </row>
    <row r="605" spans="1:18" x14ac:dyDescent="0.25">
      <c r="A605" s="440">
        <f t="shared" ref="A605" si="971">D605+F605+H605+J605+L605+N605+P605+R605</f>
        <v>1030.7807761111112</v>
      </c>
      <c r="B605" s="377">
        <f t="shared" si="694"/>
        <v>46084</v>
      </c>
      <c r="C605" s="378">
        <v>7860.08</v>
      </c>
      <c r="D605" s="103">
        <f t="shared" ref="D605" si="972">(C605*7.5%)/360</f>
        <v>1.6375166666666665</v>
      </c>
      <c r="E605" s="382">
        <v>1130457.69</v>
      </c>
      <c r="F605" s="103">
        <f t="shared" ref="F605" si="973">(E605*7.5%)/360</f>
        <v>235.51201874999998</v>
      </c>
      <c r="G605" s="378">
        <v>427254.93</v>
      </c>
      <c r="H605" s="103">
        <f t="shared" ref="H605" si="974">(G605*2.5%)/360</f>
        <v>29.670481250000002</v>
      </c>
      <c r="I605" s="382">
        <v>32979.53</v>
      </c>
      <c r="J605" s="103">
        <f t="shared" ref="J605" si="975">(I605*2.5%)/360</f>
        <v>2.2902451388888889</v>
      </c>
      <c r="K605" s="378">
        <v>22337.42</v>
      </c>
      <c r="L605" s="103">
        <f t="shared" ref="L605" si="976">(K605*4.5%)/360</f>
        <v>2.7921774999999998</v>
      </c>
      <c r="M605" s="378">
        <v>2715.57</v>
      </c>
      <c r="N605" s="103">
        <f t="shared" ref="N605" si="977">(M605*0.5%)/360</f>
        <v>3.7716250000000007E-2</v>
      </c>
      <c r="O605" s="378">
        <v>162943.72</v>
      </c>
      <c r="P605" s="103">
        <f t="shared" ref="P605" si="978">(O605*6.5%)/360</f>
        <v>29.420393888888889</v>
      </c>
      <c r="Q605" s="378">
        <v>3282391.02</v>
      </c>
      <c r="R605" s="380">
        <f t="shared" ref="R605" si="979">(Q605*8%)/360</f>
        <v>729.42022666666662</v>
      </c>
    </row>
    <row r="606" spans="1:18" x14ac:dyDescent="0.25">
      <c r="A606" s="440">
        <f t="shared" ref="A606" si="980">D606+F606+H606+J606+L606+N606+P606+R606</f>
        <v>950.89096152777768</v>
      </c>
      <c r="B606" s="377">
        <f t="shared" si="694"/>
        <v>46085</v>
      </c>
      <c r="C606" s="378">
        <v>7860.08</v>
      </c>
      <c r="D606" s="103">
        <f t="shared" ref="D606" si="981">(C606*7.5%)/360</f>
        <v>1.6375166666666665</v>
      </c>
      <c r="E606" s="382">
        <v>746986.58</v>
      </c>
      <c r="F606" s="103">
        <f t="shared" ref="F606" si="982">(E606*7.5%)/360</f>
        <v>155.62220416666665</v>
      </c>
      <c r="G606" s="378">
        <v>427254.93</v>
      </c>
      <c r="H606" s="103">
        <f t="shared" ref="H606" si="983">(G606*2.5%)/360</f>
        <v>29.670481250000002</v>
      </c>
      <c r="I606" s="382">
        <v>32979.53</v>
      </c>
      <c r="J606" s="103">
        <f t="shared" ref="J606" si="984">(I606*2.5%)/360</f>
        <v>2.2902451388888889</v>
      </c>
      <c r="K606" s="378">
        <v>22337.42</v>
      </c>
      <c r="L606" s="103">
        <f t="shared" ref="L606" si="985">(K606*4.5%)/360</f>
        <v>2.7921774999999998</v>
      </c>
      <c r="M606" s="378">
        <v>2715.57</v>
      </c>
      <c r="N606" s="103">
        <f t="shared" ref="N606" si="986">(M606*0.5%)/360</f>
        <v>3.7716250000000007E-2</v>
      </c>
      <c r="O606" s="378">
        <v>162943.72</v>
      </c>
      <c r="P606" s="103">
        <f t="shared" ref="P606" si="987">(O606*6.5%)/360</f>
        <v>29.420393888888889</v>
      </c>
      <c r="Q606" s="378">
        <v>3282391.02</v>
      </c>
      <c r="R606" s="380">
        <f t="shared" ref="R606" si="988">(Q606*8%)/360</f>
        <v>729.42022666666662</v>
      </c>
    </row>
    <row r="607" spans="1:18" x14ac:dyDescent="0.25">
      <c r="A607" s="440">
        <f t="shared" ref="A607" si="989">D607+F607+H607+J607+L607+N607+P607+R607</f>
        <v>993.85369763888889</v>
      </c>
      <c r="B607" s="377">
        <f t="shared" si="694"/>
        <v>46086</v>
      </c>
      <c r="C607" s="378">
        <v>49695.27</v>
      </c>
      <c r="D607" s="103">
        <f t="shared" ref="D607" si="990">(C607*7.5%)/360</f>
        <v>10.353181249999999</v>
      </c>
      <c r="E607" s="382">
        <v>3178039.19</v>
      </c>
      <c r="F607" s="103">
        <f t="shared" ref="F607" si="991">(E607*7.5%)/360</f>
        <v>662.09149791666664</v>
      </c>
      <c r="G607" s="378">
        <v>27254.93</v>
      </c>
      <c r="H607" s="103">
        <f t="shared" ref="H607" si="992">(G607*2.5%)/360</f>
        <v>1.8927034722222225</v>
      </c>
      <c r="I607" s="382">
        <v>32979.53</v>
      </c>
      <c r="J607" s="103">
        <f t="shared" ref="J607" si="993">(I607*2.5%)/360</f>
        <v>2.2902451388888889</v>
      </c>
      <c r="K607" s="378">
        <v>22337.42</v>
      </c>
      <c r="L607" s="103">
        <f t="shared" ref="L607" si="994">(K607*4.5%)/360</f>
        <v>2.7921774999999998</v>
      </c>
      <c r="M607" s="378">
        <v>2715.57</v>
      </c>
      <c r="N607" s="103">
        <f t="shared" ref="N607" si="995">(M607*0.5%)/360</f>
        <v>3.7716250000000007E-2</v>
      </c>
      <c r="O607" s="378">
        <v>162943.72</v>
      </c>
      <c r="P607" s="103">
        <f t="shared" ref="P607" si="996">(O607*6.5%)/360</f>
        <v>29.420393888888889</v>
      </c>
      <c r="Q607" s="378">
        <v>1282391.02</v>
      </c>
      <c r="R607" s="380">
        <f t="shared" ref="R607" si="997">(Q607*8%)/360</f>
        <v>284.97578222222222</v>
      </c>
    </row>
    <row r="608" spans="1:18" x14ac:dyDescent="0.25">
      <c r="A608" s="440">
        <f t="shared" ref="A608:A610" si="998">D608+F608+H608+J608+L608+N608+P608+R608</f>
        <v>993.85369763888889</v>
      </c>
      <c r="B608" s="377">
        <f t="shared" si="694"/>
        <v>46087</v>
      </c>
      <c r="C608" s="378">
        <v>49695.27</v>
      </c>
      <c r="D608" s="103">
        <f t="shared" ref="D608:D610" si="999">(C608*7.5%)/360</f>
        <v>10.353181249999999</v>
      </c>
      <c r="E608" s="382">
        <v>3178039.19</v>
      </c>
      <c r="F608" s="103">
        <f t="shared" ref="F608:F610" si="1000">(E608*7.5%)/360</f>
        <v>662.09149791666664</v>
      </c>
      <c r="G608" s="378">
        <v>27254.93</v>
      </c>
      <c r="H608" s="103">
        <f t="shared" ref="H608:H610" si="1001">(G608*2.5%)/360</f>
        <v>1.8927034722222225</v>
      </c>
      <c r="I608" s="382">
        <v>32979.53</v>
      </c>
      <c r="J608" s="103">
        <f t="shared" ref="J608:J610" si="1002">(I608*2.5%)/360</f>
        <v>2.2902451388888889</v>
      </c>
      <c r="K608" s="378">
        <v>22337.42</v>
      </c>
      <c r="L608" s="103">
        <f t="shared" ref="L608:L610" si="1003">(K608*4.5%)/360</f>
        <v>2.7921774999999998</v>
      </c>
      <c r="M608" s="378">
        <v>2715.57</v>
      </c>
      <c r="N608" s="103">
        <f t="shared" ref="N608:N610" si="1004">(M608*0.5%)/360</f>
        <v>3.7716250000000007E-2</v>
      </c>
      <c r="O608" s="378">
        <v>162943.72</v>
      </c>
      <c r="P608" s="103">
        <f t="shared" ref="P608:P610" si="1005">(O608*6.5%)/360</f>
        <v>29.420393888888889</v>
      </c>
      <c r="Q608" s="378">
        <v>1282391.02</v>
      </c>
      <c r="R608" s="380">
        <f t="shared" ref="R608:R610" si="1006">(Q608*8%)/360</f>
        <v>284.97578222222222</v>
      </c>
    </row>
    <row r="609" spans="1:18" x14ac:dyDescent="0.25">
      <c r="A609" s="440">
        <f t="shared" si="998"/>
        <v>993.85369763888889</v>
      </c>
      <c r="B609" s="377">
        <f t="shared" si="694"/>
        <v>46088</v>
      </c>
      <c r="C609" s="378">
        <v>49695.27</v>
      </c>
      <c r="D609" s="103">
        <f t="shared" si="999"/>
        <v>10.353181249999999</v>
      </c>
      <c r="E609" s="382">
        <v>3178039.19</v>
      </c>
      <c r="F609" s="103">
        <f t="shared" si="1000"/>
        <v>662.09149791666664</v>
      </c>
      <c r="G609" s="378">
        <v>27254.93</v>
      </c>
      <c r="H609" s="103">
        <f t="shared" si="1001"/>
        <v>1.8927034722222225</v>
      </c>
      <c r="I609" s="382">
        <v>32979.53</v>
      </c>
      <c r="J609" s="103">
        <f t="shared" si="1002"/>
        <v>2.2902451388888889</v>
      </c>
      <c r="K609" s="378">
        <v>22337.42</v>
      </c>
      <c r="L609" s="103">
        <f t="shared" si="1003"/>
        <v>2.7921774999999998</v>
      </c>
      <c r="M609" s="378">
        <v>2715.57</v>
      </c>
      <c r="N609" s="103">
        <f t="shared" si="1004"/>
        <v>3.7716250000000007E-2</v>
      </c>
      <c r="O609" s="378">
        <v>162943.72</v>
      </c>
      <c r="P609" s="103">
        <f t="shared" si="1005"/>
        <v>29.420393888888889</v>
      </c>
      <c r="Q609" s="378">
        <v>1282391.02</v>
      </c>
      <c r="R609" s="380">
        <f t="shared" si="1006"/>
        <v>284.97578222222222</v>
      </c>
    </row>
    <row r="610" spans="1:18" x14ac:dyDescent="0.25">
      <c r="A610" s="440">
        <f t="shared" si="998"/>
        <v>601.83011083333326</v>
      </c>
      <c r="B610" s="377">
        <f t="shared" si="694"/>
        <v>46089</v>
      </c>
      <c r="C610" s="378">
        <v>500513</v>
      </c>
      <c r="D610" s="103">
        <f t="shared" si="999"/>
        <v>104.27354166666666</v>
      </c>
      <c r="E610" s="382">
        <v>804674.91</v>
      </c>
      <c r="F610" s="103">
        <f t="shared" si="1000"/>
        <v>167.64060624999999</v>
      </c>
      <c r="G610" s="378">
        <v>149754.93</v>
      </c>
      <c r="H610" s="103">
        <f t="shared" si="1001"/>
        <v>10.399647916666668</v>
      </c>
      <c r="I610" s="382">
        <v>32979.53</v>
      </c>
      <c r="J610" s="103">
        <f t="shared" si="1002"/>
        <v>2.2902451388888889</v>
      </c>
      <c r="K610" s="378">
        <v>22337.42</v>
      </c>
      <c r="L610" s="103">
        <f t="shared" si="1003"/>
        <v>2.7921774999999998</v>
      </c>
      <c r="M610" s="378">
        <v>2715.57</v>
      </c>
      <c r="N610" s="103">
        <f t="shared" si="1004"/>
        <v>3.7716250000000007E-2</v>
      </c>
      <c r="O610" s="378">
        <v>162943.72</v>
      </c>
      <c r="P610" s="103">
        <f t="shared" si="1005"/>
        <v>29.420393888888889</v>
      </c>
      <c r="Q610" s="378">
        <v>1282391.02</v>
      </c>
      <c r="R610" s="380">
        <f t="shared" si="1006"/>
        <v>284.97578222222222</v>
      </c>
    </row>
    <row r="611" spans="1:18" x14ac:dyDescent="0.25">
      <c r="A611" s="440">
        <f t="shared" ref="A611" si="1007">D611+F611+H611+J611+L611+N611+P611+R611</f>
        <v>577.99451777777767</v>
      </c>
      <c r="B611" s="377">
        <f t="shared" si="694"/>
        <v>46090</v>
      </c>
      <c r="C611" s="378">
        <v>838548.96</v>
      </c>
      <c r="D611" s="103">
        <f t="shared" ref="D611" si="1008">(C611*7.5%)/360</f>
        <v>174.69769999999997</v>
      </c>
      <c r="E611" s="382">
        <v>1054674.9099999999</v>
      </c>
      <c r="F611" s="103">
        <f t="shared" ref="F611" si="1009">(E611*7.5%)/360</f>
        <v>219.7239395833333</v>
      </c>
      <c r="G611" s="378">
        <v>2049754.93</v>
      </c>
      <c r="H611" s="103">
        <f t="shared" ref="H611" si="1010">(G611*2.5%)/360</f>
        <v>142.34409236111111</v>
      </c>
      <c r="I611" s="382">
        <v>25639.11</v>
      </c>
      <c r="J611" s="103">
        <f t="shared" ref="J611" si="1011">(I611*2.5%)/360</f>
        <v>1.78049375</v>
      </c>
      <c r="K611" s="378">
        <v>22337.42</v>
      </c>
      <c r="L611" s="103">
        <f t="shared" ref="L611" si="1012">(K611*4.5%)/360</f>
        <v>2.7921774999999998</v>
      </c>
      <c r="M611" s="378">
        <v>2715.57</v>
      </c>
      <c r="N611" s="103">
        <f t="shared" ref="N611" si="1013">(M611*0.5%)/360</f>
        <v>3.7716250000000007E-2</v>
      </c>
      <c r="O611" s="378">
        <v>162943.72</v>
      </c>
      <c r="P611" s="103">
        <f t="shared" ref="P611" si="1014">(O611*6.5%)/360</f>
        <v>29.420393888888889</v>
      </c>
      <c r="Q611" s="378">
        <v>32391.02</v>
      </c>
      <c r="R611" s="380">
        <f t="shared" ref="R611" si="1015">(Q611*8%)/360</f>
        <v>7.1980044444444449</v>
      </c>
    </row>
    <row r="612" spans="1:18" x14ac:dyDescent="0.25">
      <c r="A612" s="440">
        <f t="shared" ref="A612" si="1016">D612+F612+H612+J612+L612+N612+P612+R612</f>
        <v>823.83992055555541</v>
      </c>
      <c r="B612" s="377">
        <f t="shared" si="694"/>
        <v>46091</v>
      </c>
      <c r="C612" s="378">
        <v>838548.96</v>
      </c>
      <c r="D612" s="103">
        <f t="shared" ref="D612" si="1017">(C612*7.5%)/360</f>
        <v>174.69769999999997</v>
      </c>
      <c r="E612" s="382">
        <v>2901399.51</v>
      </c>
      <c r="F612" s="103">
        <f t="shared" ref="F612" si="1018">(E612*7.5%)/360</f>
        <v>604.45823124999993</v>
      </c>
      <c r="G612" s="378">
        <v>49754.93</v>
      </c>
      <c r="H612" s="103">
        <f t="shared" ref="H612" si="1019">(G612*2.5%)/360</f>
        <v>3.4552034722222227</v>
      </c>
      <c r="I612" s="382">
        <v>25639.11</v>
      </c>
      <c r="J612" s="103">
        <f t="shared" ref="J612" si="1020">(I612*2.5%)/360</f>
        <v>1.78049375</v>
      </c>
      <c r="K612" s="378">
        <v>22337.42</v>
      </c>
      <c r="L612" s="103">
        <f t="shared" ref="L612" si="1021">(K612*4.5%)/360</f>
        <v>2.7921774999999998</v>
      </c>
      <c r="M612" s="378">
        <v>2715.57</v>
      </c>
      <c r="N612" s="103">
        <f t="shared" ref="N612" si="1022">(M612*0.5%)/360</f>
        <v>3.7716250000000007E-2</v>
      </c>
      <c r="O612" s="378">
        <v>162943.72</v>
      </c>
      <c r="P612" s="103">
        <f t="shared" ref="P612" si="1023">(O612*6.5%)/360</f>
        <v>29.420393888888889</v>
      </c>
      <c r="Q612" s="378">
        <v>32391.02</v>
      </c>
      <c r="R612" s="380">
        <f t="shared" ref="R612" si="1024">(Q612*8%)/360</f>
        <v>7.1980044444444449</v>
      </c>
    </row>
    <row r="613" spans="1:18" x14ac:dyDescent="0.25">
      <c r="A613" s="440">
        <f t="shared" ref="A613" si="1025">D613+F613+H613+J613+L613+N613+P613+R613</f>
        <v>1035.8475163888888</v>
      </c>
      <c r="B613" s="377">
        <f t="shared" si="694"/>
        <v>46092</v>
      </c>
      <c r="C613" s="378">
        <v>481824.27</v>
      </c>
      <c r="D613" s="103">
        <f t="shared" ref="D613" si="1026">(C613*7.5%)/360</f>
        <v>100.38005625</v>
      </c>
      <c r="E613" s="382">
        <v>1225760.6599999999</v>
      </c>
      <c r="F613" s="103">
        <f t="shared" ref="F613" si="1027">(E613*7.5%)/360</f>
        <v>255.36680416666664</v>
      </c>
      <c r="G613" s="378">
        <v>9199754.9299999997</v>
      </c>
      <c r="H613" s="103">
        <f t="shared" ref="H613" si="1028">(G613*2.5%)/360</f>
        <v>638.87187013888888</v>
      </c>
      <c r="I613" s="382">
        <v>25639.11</v>
      </c>
      <c r="J613" s="103">
        <f t="shared" ref="J613" si="1029">(I613*2.5%)/360</f>
        <v>1.78049375</v>
      </c>
      <c r="K613" s="378">
        <v>22337.42</v>
      </c>
      <c r="L613" s="103">
        <f t="shared" ref="L613" si="1030">(K613*4.5%)/360</f>
        <v>2.7921774999999998</v>
      </c>
      <c r="M613" s="378">
        <v>2715.57</v>
      </c>
      <c r="N613" s="103">
        <f t="shared" ref="N613" si="1031">(M613*0.5%)/360</f>
        <v>3.7716250000000007E-2</v>
      </c>
      <c r="O613" s="378">
        <v>162943.72</v>
      </c>
      <c r="P613" s="103">
        <f t="shared" ref="P613" si="1032">(O613*6.5%)/360</f>
        <v>29.420393888888889</v>
      </c>
      <c r="Q613" s="378">
        <v>32391.02</v>
      </c>
      <c r="R613" s="380">
        <f t="shared" ref="R613" si="1033">(Q613*8%)/360</f>
        <v>7.1980044444444449</v>
      </c>
    </row>
    <row r="614" spans="1:18" x14ac:dyDescent="0.25">
      <c r="A614" s="440">
        <f t="shared" ref="A614" si="1034">D614+F614+H614+J614+L614+N614+P614+R614</f>
        <v>1313.4669427777776</v>
      </c>
      <c r="B614" s="377">
        <f t="shared" si="694"/>
        <v>46093</v>
      </c>
      <c r="C614" s="378">
        <v>35656.269999999997</v>
      </c>
      <c r="D614" s="103">
        <f t="shared" ref="D614" si="1035">(C614*7.5%)/360</f>
        <v>7.4283895833333329</v>
      </c>
      <c r="E614" s="382">
        <v>6037835.2400000002</v>
      </c>
      <c r="F614" s="103">
        <f t="shared" ref="F614" si="1036">(E614*7.5%)/360</f>
        <v>1257.8823416666667</v>
      </c>
      <c r="G614" s="378">
        <v>99754.93</v>
      </c>
      <c r="H614" s="103">
        <f t="shared" ref="H614" si="1037">(G614*2.5%)/360</f>
        <v>6.9274256944444446</v>
      </c>
      <c r="I614" s="382">
        <v>25639.11</v>
      </c>
      <c r="J614" s="103">
        <f t="shared" ref="J614" si="1038">(I614*2.5%)/360</f>
        <v>1.78049375</v>
      </c>
      <c r="K614" s="378">
        <v>22337.42</v>
      </c>
      <c r="L614" s="103">
        <f t="shared" ref="L614" si="1039">(K614*4.5%)/360</f>
        <v>2.7921774999999998</v>
      </c>
      <c r="M614" s="378">
        <v>2715.57</v>
      </c>
      <c r="N614" s="103">
        <f t="shared" ref="N614" si="1040">(M614*0.5%)/360</f>
        <v>3.7716250000000007E-2</v>
      </c>
      <c r="O614" s="378">
        <v>162943.72</v>
      </c>
      <c r="P614" s="103">
        <f t="shared" ref="P614" si="1041">(O614*6.5%)/360</f>
        <v>29.420393888888889</v>
      </c>
      <c r="Q614" s="378">
        <v>32391.02</v>
      </c>
      <c r="R614" s="380">
        <f t="shared" ref="R614" si="1042">(Q614*8%)/360</f>
        <v>7.1980044444444449</v>
      </c>
    </row>
    <row r="615" spans="1:18" x14ac:dyDescent="0.25">
      <c r="A615" s="440">
        <f t="shared" ref="A615:A617" si="1043">D615+F615+H615+J615+L615+N615+P615+R615</f>
        <v>1313.4669427777776</v>
      </c>
      <c r="B615" s="377">
        <f t="shared" si="694"/>
        <v>46094</v>
      </c>
      <c r="C615" s="378">
        <v>35656.269999999997</v>
      </c>
      <c r="D615" s="103">
        <f t="shared" ref="D615:D617" si="1044">(C615*7.5%)/360</f>
        <v>7.4283895833333329</v>
      </c>
      <c r="E615" s="382">
        <v>6037835.2400000002</v>
      </c>
      <c r="F615" s="103">
        <f t="shared" ref="F615:F617" si="1045">(E615*7.5%)/360</f>
        <v>1257.8823416666667</v>
      </c>
      <c r="G615" s="378">
        <v>99754.93</v>
      </c>
      <c r="H615" s="103">
        <f t="shared" ref="H615:H617" si="1046">(G615*2.5%)/360</f>
        <v>6.9274256944444446</v>
      </c>
      <c r="I615" s="382">
        <v>25639.11</v>
      </c>
      <c r="J615" s="103">
        <f t="shared" ref="J615:J617" si="1047">(I615*2.5%)/360</f>
        <v>1.78049375</v>
      </c>
      <c r="K615" s="378">
        <v>22337.42</v>
      </c>
      <c r="L615" s="103">
        <f t="shared" ref="L615:L617" si="1048">(K615*4.5%)/360</f>
        <v>2.7921774999999998</v>
      </c>
      <c r="M615" s="378">
        <v>2715.57</v>
      </c>
      <c r="N615" s="103">
        <f t="shared" ref="N615:N617" si="1049">(M615*0.5%)/360</f>
        <v>3.7716250000000007E-2</v>
      </c>
      <c r="O615" s="378">
        <v>162943.72</v>
      </c>
      <c r="P615" s="103">
        <f t="shared" ref="P615:P617" si="1050">(O615*6.5%)/360</f>
        <v>29.420393888888889</v>
      </c>
      <c r="Q615" s="378">
        <v>32391.02</v>
      </c>
      <c r="R615" s="380">
        <f t="shared" ref="R615:R617" si="1051">(Q615*8%)/360</f>
        <v>7.1980044444444449</v>
      </c>
    </row>
    <row r="616" spans="1:18" x14ac:dyDescent="0.25">
      <c r="A616" s="440">
        <f t="shared" si="1043"/>
        <v>1313.4669427777776</v>
      </c>
      <c r="B616" s="377">
        <f t="shared" si="694"/>
        <v>46095</v>
      </c>
      <c r="C616" s="378">
        <v>35656.269999999997</v>
      </c>
      <c r="D616" s="103">
        <f t="shared" si="1044"/>
        <v>7.4283895833333329</v>
      </c>
      <c r="E616" s="382">
        <v>6037835.2400000002</v>
      </c>
      <c r="F616" s="103">
        <f t="shared" si="1045"/>
        <v>1257.8823416666667</v>
      </c>
      <c r="G616" s="378">
        <v>99754.93</v>
      </c>
      <c r="H616" s="103">
        <f t="shared" si="1046"/>
        <v>6.9274256944444446</v>
      </c>
      <c r="I616" s="382">
        <v>25639.11</v>
      </c>
      <c r="J616" s="103">
        <f t="shared" si="1047"/>
        <v>1.78049375</v>
      </c>
      <c r="K616" s="378">
        <v>22337.42</v>
      </c>
      <c r="L616" s="103">
        <f t="shared" si="1048"/>
        <v>2.7921774999999998</v>
      </c>
      <c r="M616" s="378">
        <v>2715.57</v>
      </c>
      <c r="N616" s="103">
        <f t="shared" si="1049"/>
        <v>3.7716250000000007E-2</v>
      </c>
      <c r="O616" s="378">
        <v>162943.72</v>
      </c>
      <c r="P616" s="103">
        <f t="shared" si="1050"/>
        <v>29.420393888888889</v>
      </c>
      <c r="Q616" s="378">
        <v>32391.02</v>
      </c>
      <c r="R616" s="380">
        <f t="shared" si="1051"/>
        <v>7.1980044444444449</v>
      </c>
    </row>
    <row r="617" spans="1:18" x14ac:dyDescent="0.25">
      <c r="A617" s="440">
        <f t="shared" si="1043"/>
        <v>1103.656592083333</v>
      </c>
      <c r="B617" s="377">
        <f t="shared" si="694"/>
        <v>46096</v>
      </c>
      <c r="C617" s="378">
        <v>35656.269999999997</v>
      </c>
      <c r="D617" s="103">
        <f t="shared" si="1044"/>
        <v>7.4283895833333329</v>
      </c>
      <c r="E617" s="382">
        <v>5025078.8899999997</v>
      </c>
      <c r="F617" s="103">
        <f t="shared" si="1045"/>
        <v>1046.8914354166666</v>
      </c>
      <c r="G617" s="378">
        <v>116754.93</v>
      </c>
      <c r="H617" s="103">
        <f t="shared" si="1046"/>
        <v>8.1079812499999999</v>
      </c>
      <c r="I617" s="382">
        <v>25639.11</v>
      </c>
      <c r="J617" s="103">
        <f t="shared" si="1047"/>
        <v>1.78049375</v>
      </c>
      <c r="K617" s="378">
        <v>22337.42</v>
      </c>
      <c r="L617" s="103">
        <f t="shared" si="1048"/>
        <v>2.7921774999999998</v>
      </c>
      <c r="M617" s="378">
        <v>2715.57</v>
      </c>
      <c r="N617" s="103">
        <f t="shared" si="1049"/>
        <v>3.7716250000000007E-2</v>
      </c>
      <c r="O617" s="378">
        <v>162943.72</v>
      </c>
      <c r="P617" s="103">
        <f t="shared" si="1050"/>
        <v>29.420393888888889</v>
      </c>
      <c r="Q617" s="378">
        <v>32391.02</v>
      </c>
      <c r="R617" s="380">
        <f t="shared" si="1051"/>
        <v>7.1980044444444449</v>
      </c>
    </row>
    <row r="618" spans="1:18" x14ac:dyDescent="0.25">
      <c r="A618" s="440">
        <f t="shared" ref="A618" si="1052">D618+F618+H618+J618+L618+N618+P618+R618</f>
        <v>943.06683444444445</v>
      </c>
      <c r="B618" s="377">
        <f t="shared" si="694"/>
        <v>46097</v>
      </c>
      <c r="C618" s="378">
        <v>236676.27</v>
      </c>
      <c r="D618" s="103">
        <f t="shared" ref="D618" si="1053">(C618*7.5%)/360</f>
        <v>49.307556249999998</v>
      </c>
      <c r="E618" s="382">
        <v>4067826.72</v>
      </c>
      <c r="F618" s="103">
        <f t="shared" ref="F618" si="1054">(E618*7.5%)/360</f>
        <v>847.46390000000008</v>
      </c>
      <c r="G618" s="378">
        <v>72958.929999999993</v>
      </c>
      <c r="H618" s="103">
        <f t="shared" ref="H618" si="1055">(G618*2.5%)/360</f>
        <v>5.0665923611111108</v>
      </c>
      <c r="I618" s="382">
        <v>25639.11</v>
      </c>
      <c r="J618" s="103">
        <f t="shared" ref="J618" si="1056">(I618*2.5%)/360</f>
        <v>1.78049375</v>
      </c>
      <c r="K618" s="378">
        <v>22337.42</v>
      </c>
      <c r="L618" s="103">
        <f t="shared" ref="L618" si="1057">(K618*4.5%)/360</f>
        <v>2.7921774999999998</v>
      </c>
      <c r="M618" s="378">
        <v>2715.57</v>
      </c>
      <c r="N618" s="103">
        <f t="shared" ref="N618" si="1058">(M618*0.5%)/360</f>
        <v>3.7716250000000007E-2</v>
      </c>
      <c r="O618" s="378">
        <v>162943.72</v>
      </c>
      <c r="P618" s="103">
        <f t="shared" ref="P618" si="1059">(O618*6.5%)/360</f>
        <v>29.420393888888889</v>
      </c>
      <c r="Q618" s="378">
        <v>32391.02</v>
      </c>
      <c r="R618" s="380">
        <f t="shared" ref="R618" si="1060">(Q618*8%)/360</f>
        <v>7.1980044444444449</v>
      </c>
    </row>
    <row r="619" spans="1:18" x14ac:dyDescent="0.25">
      <c r="A619" s="440">
        <f t="shared" ref="A619:A627" si="1061">D619+F619+H619+J619+L619+N619+P619+R619</f>
        <v>943.06683444444445</v>
      </c>
      <c r="B619" s="377">
        <f t="shared" si="694"/>
        <v>46098</v>
      </c>
      <c r="C619" s="378">
        <v>236676.27</v>
      </c>
      <c r="D619" s="103">
        <f t="shared" ref="D619:D626" si="1062">(C619*7.5%)/360</f>
        <v>49.307556249999998</v>
      </c>
      <c r="E619" s="382">
        <v>4067826.72</v>
      </c>
      <c r="F619" s="103">
        <f t="shared" ref="F619:F626" si="1063">(E619*7.5%)/360</f>
        <v>847.46390000000008</v>
      </c>
      <c r="G619" s="378">
        <v>72958.929999999993</v>
      </c>
      <c r="H619" s="103">
        <f t="shared" ref="H619:H626" si="1064">(G619*2.5%)/360</f>
        <v>5.0665923611111108</v>
      </c>
      <c r="I619" s="382">
        <v>25639.11</v>
      </c>
      <c r="J619" s="103">
        <f t="shared" ref="J619:J626" si="1065">(I619*2.5%)/360</f>
        <v>1.78049375</v>
      </c>
      <c r="K619" s="378">
        <v>22337.42</v>
      </c>
      <c r="L619" s="103">
        <f t="shared" ref="L619:L626" si="1066">(K619*4.5%)/360</f>
        <v>2.7921774999999998</v>
      </c>
      <c r="M619" s="378">
        <v>2715.57</v>
      </c>
      <c r="N619" s="103">
        <f t="shared" ref="N619:N626" si="1067">(M619*0.5%)/360</f>
        <v>3.7716250000000007E-2</v>
      </c>
      <c r="O619" s="378">
        <v>162943.72</v>
      </c>
      <c r="P619" s="103">
        <f t="shared" ref="P619:P626" si="1068">(O619*6.5%)/360</f>
        <v>29.420393888888889</v>
      </c>
      <c r="Q619" s="378">
        <v>32391.02</v>
      </c>
      <c r="R619" s="380">
        <f t="shared" ref="R619:R626" si="1069">(Q619*8%)/360</f>
        <v>7.1980044444444449</v>
      </c>
    </row>
    <row r="620" spans="1:18" x14ac:dyDescent="0.25">
      <c r="A620" s="440">
        <f t="shared" si="1061"/>
        <v>943.06683444444445</v>
      </c>
      <c r="B620" s="377">
        <f t="shared" si="694"/>
        <v>46099</v>
      </c>
      <c r="C620" s="378">
        <v>236676.27</v>
      </c>
      <c r="D620" s="103">
        <f t="shared" si="1062"/>
        <v>49.307556249999998</v>
      </c>
      <c r="E620" s="382">
        <v>4067826.72</v>
      </c>
      <c r="F620" s="103">
        <f t="shared" si="1063"/>
        <v>847.46390000000008</v>
      </c>
      <c r="G620" s="378">
        <v>72958.929999999993</v>
      </c>
      <c r="H620" s="103">
        <f t="shared" si="1064"/>
        <v>5.0665923611111108</v>
      </c>
      <c r="I620" s="382">
        <v>25639.11</v>
      </c>
      <c r="J620" s="103">
        <f t="shared" si="1065"/>
        <v>1.78049375</v>
      </c>
      <c r="K620" s="378">
        <v>22337.42</v>
      </c>
      <c r="L620" s="103">
        <f t="shared" si="1066"/>
        <v>2.7921774999999998</v>
      </c>
      <c r="M620" s="378">
        <v>2715.57</v>
      </c>
      <c r="N620" s="103">
        <f t="shared" si="1067"/>
        <v>3.7716250000000007E-2</v>
      </c>
      <c r="O620" s="378">
        <v>162943.72</v>
      </c>
      <c r="P620" s="103">
        <f t="shared" si="1068"/>
        <v>29.420393888888889</v>
      </c>
      <c r="Q620" s="378">
        <v>32391.02</v>
      </c>
      <c r="R620" s="380">
        <f t="shared" si="1069"/>
        <v>7.1980044444444449</v>
      </c>
    </row>
    <row r="621" spans="1:18" x14ac:dyDescent="0.25">
      <c r="A621" s="440">
        <f t="shared" si="1061"/>
        <v>943.06683444444445</v>
      </c>
      <c r="B621" s="377">
        <f t="shared" si="694"/>
        <v>46100</v>
      </c>
      <c r="C621" s="378">
        <v>236676.27</v>
      </c>
      <c r="D621" s="103">
        <f t="shared" si="1062"/>
        <v>49.307556249999998</v>
      </c>
      <c r="E621" s="382">
        <v>4067826.72</v>
      </c>
      <c r="F621" s="103">
        <f t="shared" si="1063"/>
        <v>847.46390000000008</v>
      </c>
      <c r="G621" s="378">
        <v>72958.929999999993</v>
      </c>
      <c r="H621" s="103">
        <f t="shared" si="1064"/>
        <v>5.0665923611111108</v>
      </c>
      <c r="I621" s="382">
        <v>25639.11</v>
      </c>
      <c r="J621" s="103">
        <f t="shared" si="1065"/>
        <v>1.78049375</v>
      </c>
      <c r="K621" s="378">
        <v>22337.42</v>
      </c>
      <c r="L621" s="103">
        <f t="shared" si="1066"/>
        <v>2.7921774999999998</v>
      </c>
      <c r="M621" s="378">
        <v>2715.57</v>
      </c>
      <c r="N621" s="103">
        <f t="shared" si="1067"/>
        <v>3.7716250000000007E-2</v>
      </c>
      <c r="O621" s="378">
        <v>162943.72</v>
      </c>
      <c r="P621" s="103">
        <f t="shared" si="1068"/>
        <v>29.420393888888889</v>
      </c>
      <c r="Q621" s="378">
        <v>32391.02</v>
      </c>
      <c r="R621" s="380">
        <f t="shared" si="1069"/>
        <v>7.1980044444444449</v>
      </c>
    </row>
    <row r="622" spans="1:18" x14ac:dyDescent="0.25">
      <c r="A622" s="440">
        <f t="shared" si="1061"/>
        <v>943.06683444444445</v>
      </c>
      <c r="B622" s="377">
        <f t="shared" si="694"/>
        <v>46101</v>
      </c>
      <c r="C622" s="378">
        <v>236676.27</v>
      </c>
      <c r="D622" s="103">
        <f t="shared" si="1062"/>
        <v>49.307556249999998</v>
      </c>
      <c r="E622" s="382">
        <v>4067826.72</v>
      </c>
      <c r="F622" s="103">
        <f t="shared" si="1063"/>
        <v>847.46390000000008</v>
      </c>
      <c r="G622" s="378">
        <v>72958.929999999993</v>
      </c>
      <c r="H622" s="103">
        <f t="shared" si="1064"/>
        <v>5.0665923611111108</v>
      </c>
      <c r="I622" s="382">
        <v>25639.11</v>
      </c>
      <c r="J622" s="103">
        <f t="shared" si="1065"/>
        <v>1.78049375</v>
      </c>
      <c r="K622" s="378">
        <v>22337.42</v>
      </c>
      <c r="L622" s="103">
        <f t="shared" si="1066"/>
        <v>2.7921774999999998</v>
      </c>
      <c r="M622" s="378">
        <v>2715.57</v>
      </c>
      <c r="N622" s="103">
        <f t="shared" si="1067"/>
        <v>3.7716250000000007E-2</v>
      </c>
      <c r="O622" s="378">
        <v>162943.72</v>
      </c>
      <c r="P622" s="103">
        <f t="shared" si="1068"/>
        <v>29.420393888888889</v>
      </c>
      <c r="Q622" s="378">
        <v>32391.02</v>
      </c>
      <c r="R622" s="380">
        <f t="shared" si="1069"/>
        <v>7.1980044444444449</v>
      </c>
    </row>
    <row r="623" spans="1:18" x14ac:dyDescent="0.25">
      <c r="A623" s="440">
        <f t="shared" si="1061"/>
        <v>943.06683444444445</v>
      </c>
      <c r="B623" s="377">
        <f t="shared" si="694"/>
        <v>46102</v>
      </c>
      <c r="C623" s="378">
        <v>236676.27</v>
      </c>
      <c r="D623" s="103">
        <f t="shared" si="1062"/>
        <v>49.307556249999998</v>
      </c>
      <c r="E623" s="382">
        <v>4067826.72</v>
      </c>
      <c r="F623" s="103">
        <f t="shared" si="1063"/>
        <v>847.46390000000008</v>
      </c>
      <c r="G623" s="378">
        <v>72958.929999999993</v>
      </c>
      <c r="H623" s="103">
        <f t="shared" si="1064"/>
        <v>5.0665923611111108</v>
      </c>
      <c r="I623" s="382">
        <v>25639.11</v>
      </c>
      <c r="J623" s="103">
        <f t="shared" si="1065"/>
        <v>1.78049375</v>
      </c>
      <c r="K623" s="378">
        <v>22337.42</v>
      </c>
      <c r="L623" s="103">
        <f t="shared" si="1066"/>
        <v>2.7921774999999998</v>
      </c>
      <c r="M623" s="378">
        <v>2715.57</v>
      </c>
      <c r="N623" s="103">
        <f t="shared" si="1067"/>
        <v>3.7716250000000007E-2</v>
      </c>
      <c r="O623" s="378">
        <v>162943.72</v>
      </c>
      <c r="P623" s="103">
        <f t="shared" si="1068"/>
        <v>29.420393888888889</v>
      </c>
      <c r="Q623" s="378">
        <v>32391.02</v>
      </c>
      <c r="R623" s="380">
        <f t="shared" si="1069"/>
        <v>7.1980044444444449</v>
      </c>
    </row>
    <row r="624" spans="1:18" x14ac:dyDescent="0.25">
      <c r="A624" s="440">
        <f t="shared" si="1061"/>
        <v>943.06683444444445</v>
      </c>
      <c r="B624" s="377">
        <f t="shared" si="694"/>
        <v>46103</v>
      </c>
      <c r="C624" s="378">
        <v>236676.27</v>
      </c>
      <c r="D624" s="103">
        <f t="shared" si="1062"/>
        <v>49.307556249999998</v>
      </c>
      <c r="E624" s="382">
        <v>4067826.72</v>
      </c>
      <c r="F624" s="103">
        <f t="shared" si="1063"/>
        <v>847.46390000000008</v>
      </c>
      <c r="G624" s="378">
        <v>72958.929999999993</v>
      </c>
      <c r="H624" s="103">
        <f t="shared" si="1064"/>
        <v>5.0665923611111108</v>
      </c>
      <c r="I624" s="382">
        <v>25639.11</v>
      </c>
      <c r="J624" s="103">
        <f t="shared" si="1065"/>
        <v>1.78049375</v>
      </c>
      <c r="K624" s="378">
        <v>22337.42</v>
      </c>
      <c r="L624" s="103">
        <f t="shared" si="1066"/>
        <v>2.7921774999999998</v>
      </c>
      <c r="M624" s="378">
        <v>2715.57</v>
      </c>
      <c r="N624" s="103">
        <f t="shared" si="1067"/>
        <v>3.7716250000000007E-2</v>
      </c>
      <c r="O624" s="378">
        <v>162943.72</v>
      </c>
      <c r="P624" s="103">
        <f t="shared" si="1068"/>
        <v>29.420393888888889</v>
      </c>
      <c r="Q624" s="378">
        <v>32391.02</v>
      </c>
      <c r="R624" s="380">
        <f t="shared" si="1069"/>
        <v>7.1980044444444449</v>
      </c>
    </row>
    <row r="625" spans="1:18" x14ac:dyDescent="0.25">
      <c r="A625" s="440">
        <f t="shared" si="1061"/>
        <v>943.06683444444445</v>
      </c>
      <c r="B625" s="377">
        <f t="shared" si="694"/>
        <v>46104</v>
      </c>
      <c r="C625" s="378">
        <v>236676.27</v>
      </c>
      <c r="D625" s="103">
        <f t="shared" si="1062"/>
        <v>49.307556249999998</v>
      </c>
      <c r="E625" s="382">
        <v>4067826.72</v>
      </c>
      <c r="F625" s="103">
        <f t="shared" si="1063"/>
        <v>847.46390000000008</v>
      </c>
      <c r="G625" s="378">
        <v>72958.929999999993</v>
      </c>
      <c r="H625" s="103">
        <f t="shared" si="1064"/>
        <v>5.0665923611111108</v>
      </c>
      <c r="I625" s="382">
        <v>25639.11</v>
      </c>
      <c r="J625" s="103">
        <f t="shared" si="1065"/>
        <v>1.78049375</v>
      </c>
      <c r="K625" s="378">
        <v>22337.42</v>
      </c>
      <c r="L625" s="103">
        <f t="shared" si="1066"/>
        <v>2.7921774999999998</v>
      </c>
      <c r="M625" s="378">
        <v>2715.57</v>
      </c>
      <c r="N625" s="103">
        <f t="shared" si="1067"/>
        <v>3.7716250000000007E-2</v>
      </c>
      <c r="O625" s="378">
        <v>162943.72</v>
      </c>
      <c r="P625" s="103">
        <f t="shared" si="1068"/>
        <v>29.420393888888889</v>
      </c>
      <c r="Q625" s="378">
        <v>32391.02</v>
      </c>
      <c r="R625" s="380">
        <f t="shared" si="1069"/>
        <v>7.1980044444444449</v>
      </c>
    </row>
    <row r="626" spans="1:18" x14ac:dyDescent="0.25">
      <c r="A626" s="440">
        <f t="shared" si="1061"/>
        <v>112.48684694444444</v>
      </c>
      <c r="B626" s="377">
        <f t="shared" si="694"/>
        <v>46105</v>
      </c>
      <c r="C626" s="378">
        <v>236676.27</v>
      </c>
      <c r="D626" s="103">
        <f t="shared" si="1062"/>
        <v>49.307556249999998</v>
      </c>
      <c r="E626" s="382">
        <v>81042.78</v>
      </c>
      <c r="F626" s="103">
        <f t="shared" si="1063"/>
        <v>16.883912500000001</v>
      </c>
      <c r="G626" s="378">
        <v>72958.929999999993</v>
      </c>
      <c r="H626" s="103">
        <f t="shared" si="1064"/>
        <v>5.0665923611111108</v>
      </c>
      <c r="I626" s="382">
        <v>25639.11</v>
      </c>
      <c r="J626" s="103">
        <f t="shared" si="1065"/>
        <v>1.78049375</v>
      </c>
      <c r="K626" s="378">
        <v>22337.42</v>
      </c>
      <c r="L626" s="103">
        <f t="shared" si="1066"/>
        <v>2.7921774999999998</v>
      </c>
      <c r="M626" s="378">
        <v>2715.57</v>
      </c>
      <c r="N626" s="103">
        <f t="shared" si="1067"/>
        <v>3.7716250000000007E-2</v>
      </c>
      <c r="O626" s="378">
        <v>162943.72</v>
      </c>
      <c r="P626" s="103">
        <f t="shared" si="1068"/>
        <v>29.420393888888889</v>
      </c>
      <c r="Q626" s="378">
        <v>32391.02</v>
      </c>
      <c r="R626" s="380">
        <f t="shared" si="1069"/>
        <v>7.1980044444444449</v>
      </c>
    </row>
    <row r="627" spans="1:18" x14ac:dyDescent="0.25">
      <c r="A627" s="440">
        <f t="shared" si="1061"/>
        <v>78.322265694444454</v>
      </c>
      <c r="B627" s="377">
        <f t="shared" si="694"/>
        <v>46106</v>
      </c>
      <c r="C627" s="378">
        <v>115686.28</v>
      </c>
      <c r="D627" s="103">
        <f t="shared" ref="D627" si="1070">(C627*7.5%)/360</f>
        <v>24.101308333333332</v>
      </c>
      <c r="E627" s="382">
        <v>38042.78</v>
      </c>
      <c r="F627" s="103">
        <f t="shared" ref="F627" si="1071">(E627*7.5%)/360</f>
        <v>7.9255791666666662</v>
      </c>
      <c r="G627" s="378">
        <v>72958.929999999993</v>
      </c>
      <c r="H627" s="103">
        <f t="shared" ref="H627" si="1072">(G627*2.5%)/360</f>
        <v>5.0665923611111108</v>
      </c>
      <c r="I627" s="382">
        <v>25639.11</v>
      </c>
      <c r="J627" s="103">
        <f t="shared" ref="J627" si="1073">(I627*2.5%)/360</f>
        <v>1.78049375</v>
      </c>
      <c r="K627" s="378">
        <v>22337.42</v>
      </c>
      <c r="L627" s="103">
        <f t="shared" ref="L627" si="1074">(K627*4.5%)/360</f>
        <v>2.7921774999999998</v>
      </c>
      <c r="M627" s="378">
        <v>2715.57</v>
      </c>
      <c r="N627" s="103">
        <f t="shared" ref="N627" si="1075">(M627*0.5%)/360</f>
        <v>3.7716250000000007E-2</v>
      </c>
      <c r="O627" s="378">
        <v>162943.72</v>
      </c>
      <c r="P627" s="103">
        <f t="shared" ref="P627" si="1076">(O627*6.5%)/360</f>
        <v>29.420393888888889</v>
      </c>
      <c r="Q627" s="378">
        <v>32391.02</v>
      </c>
      <c r="R627" s="380">
        <f t="shared" ref="R627" si="1077">(Q627*8%)/360</f>
        <v>7.1980044444444449</v>
      </c>
    </row>
  </sheetData>
  <mergeCells count="15">
    <mergeCell ref="Q1:R1"/>
    <mergeCell ref="C1:F1"/>
    <mergeCell ref="G1:J1"/>
    <mergeCell ref="K1:L1"/>
    <mergeCell ref="M1:N1"/>
    <mergeCell ref="O1:P1"/>
    <mergeCell ref="M2:N2"/>
    <mergeCell ref="O2:P2"/>
    <mergeCell ref="Q2:R2"/>
    <mergeCell ref="B2:B3"/>
    <mergeCell ref="C2:D2"/>
    <mergeCell ref="E2:F2"/>
    <mergeCell ref="G2:H2"/>
    <mergeCell ref="I2:J2"/>
    <mergeCell ref="K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dimension ref="E2:F82"/>
  <sheetViews>
    <sheetView showGridLines="0" topLeftCell="A70" zoomScale="115" zoomScaleNormal="115" workbookViewId="0">
      <selection activeCell="F9" sqref="F9"/>
    </sheetView>
  </sheetViews>
  <sheetFormatPr defaultRowHeight="15" x14ac:dyDescent="0.25"/>
  <cols>
    <col min="5" max="5" width="6" customWidth="1"/>
    <col min="6" max="6" width="75.5703125" customWidth="1"/>
  </cols>
  <sheetData>
    <row r="2" spans="5:6" ht="15.75" x14ac:dyDescent="0.25">
      <c r="E2" s="545" t="s">
        <v>293</v>
      </c>
      <c r="F2" s="546"/>
    </row>
    <row r="3" spans="5:6" x14ac:dyDescent="0.25">
      <c r="E3" s="547" t="s">
        <v>294</v>
      </c>
      <c r="F3" s="548"/>
    </row>
    <row r="4" spans="5:6" x14ac:dyDescent="0.25">
      <c r="E4" s="549" t="s">
        <v>295</v>
      </c>
      <c r="F4" s="550"/>
    </row>
    <row r="6" spans="5:6" x14ac:dyDescent="0.25">
      <c r="E6" s="192">
        <v>1</v>
      </c>
      <c r="F6" s="193" t="s">
        <v>296</v>
      </c>
    </row>
    <row r="7" spans="5:6" x14ac:dyDescent="0.25">
      <c r="E7" s="194"/>
      <c r="F7" s="194"/>
    </row>
    <row r="8" spans="5:6" x14ac:dyDescent="0.25">
      <c r="E8" s="195">
        <v>1.01</v>
      </c>
      <c r="F8" s="196" t="s">
        <v>297</v>
      </c>
    </row>
    <row r="9" spans="5:6" ht="350.25" customHeight="1" x14ac:dyDescent="0.25">
      <c r="E9" s="197"/>
      <c r="F9" s="191" t="s">
        <v>339</v>
      </c>
    </row>
    <row r="10" spans="5:6" x14ac:dyDescent="0.25">
      <c r="E10" s="194"/>
      <c r="F10" s="194"/>
    </row>
    <row r="11" spans="5:6" x14ac:dyDescent="0.25">
      <c r="E11" s="195">
        <v>1.02</v>
      </c>
      <c r="F11" s="196" t="s">
        <v>298</v>
      </c>
    </row>
    <row r="12" spans="5:6" ht="60" x14ac:dyDescent="0.25">
      <c r="E12" s="197"/>
      <c r="F12" s="191" t="s">
        <v>299</v>
      </c>
    </row>
    <row r="13" spans="5:6" x14ac:dyDescent="0.25">
      <c r="E13" s="194"/>
      <c r="F13" s="194"/>
    </row>
    <row r="14" spans="5:6" x14ac:dyDescent="0.25">
      <c r="E14" s="195">
        <v>1.03</v>
      </c>
      <c r="F14" s="196" t="s">
        <v>300</v>
      </c>
    </row>
    <row r="15" spans="5:6" ht="45" x14ac:dyDescent="0.25">
      <c r="E15" s="197"/>
      <c r="F15" s="191" t="s">
        <v>301</v>
      </c>
    </row>
    <row r="16" spans="5:6" ht="7.5" customHeight="1" x14ac:dyDescent="0.25">
      <c r="E16" s="194"/>
      <c r="F16" s="194"/>
    </row>
    <row r="17" spans="5:6" x14ac:dyDescent="0.25">
      <c r="E17" s="194"/>
      <c r="F17" s="194"/>
    </row>
    <row r="18" spans="5:6" x14ac:dyDescent="0.25">
      <c r="E18" s="194"/>
      <c r="F18" s="194"/>
    </row>
    <row r="19" spans="5:6" x14ac:dyDescent="0.25">
      <c r="E19" s="194"/>
      <c r="F19" s="194"/>
    </row>
    <row r="20" spans="5:6" x14ac:dyDescent="0.25">
      <c r="E20" s="192">
        <v>2</v>
      </c>
      <c r="F20" s="193" t="s">
        <v>302</v>
      </c>
    </row>
    <row r="21" spans="5:6" x14ac:dyDescent="0.25">
      <c r="E21" s="194"/>
      <c r="F21" s="194"/>
    </row>
    <row r="22" spans="5:6" x14ac:dyDescent="0.25">
      <c r="E22" s="194"/>
      <c r="F22" s="194"/>
    </row>
    <row r="23" spans="5:6" x14ac:dyDescent="0.25">
      <c r="E23" s="195">
        <v>2.0099999999999998</v>
      </c>
      <c r="F23" s="196" t="s">
        <v>304</v>
      </c>
    </row>
    <row r="24" spans="5:6" ht="120" x14ac:dyDescent="0.25">
      <c r="E24" s="197"/>
      <c r="F24" s="191" t="s">
        <v>303</v>
      </c>
    </row>
    <row r="25" spans="5:6" x14ac:dyDescent="0.25">
      <c r="E25" s="194"/>
      <c r="F25" s="194"/>
    </row>
    <row r="26" spans="5:6" x14ac:dyDescent="0.25">
      <c r="E26" s="195">
        <v>2.02</v>
      </c>
      <c r="F26" s="196" t="s">
        <v>306</v>
      </c>
    </row>
    <row r="27" spans="5:6" ht="150" x14ac:dyDescent="0.25">
      <c r="E27" s="197"/>
      <c r="F27" s="191" t="s">
        <v>305</v>
      </c>
    </row>
    <row r="28" spans="5:6" x14ac:dyDescent="0.25">
      <c r="E28" s="194"/>
      <c r="F28" s="194"/>
    </row>
    <row r="29" spans="5:6" x14ac:dyDescent="0.25">
      <c r="E29" s="195">
        <v>2.0299999999999998</v>
      </c>
      <c r="F29" s="196" t="s">
        <v>307</v>
      </c>
    </row>
    <row r="30" spans="5:6" ht="30" x14ac:dyDescent="0.25">
      <c r="E30" s="197"/>
      <c r="F30" s="191" t="s">
        <v>308</v>
      </c>
    </row>
    <row r="31" spans="5:6" x14ac:dyDescent="0.25">
      <c r="E31" s="194"/>
      <c r="F31" s="194"/>
    </row>
    <row r="32" spans="5:6" x14ac:dyDescent="0.25">
      <c r="E32" s="195">
        <v>2.04</v>
      </c>
      <c r="F32" s="196" t="s">
        <v>309</v>
      </c>
    </row>
    <row r="33" spans="5:6" ht="30" x14ac:dyDescent="0.25">
      <c r="E33" s="197"/>
      <c r="F33" s="191" t="s">
        <v>310</v>
      </c>
    </row>
    <row r="34" spans="5:6" x14ac:dyDescent="0.25">
      <c r="E34" s="194"/>
      <c r="F34" s="194"/>
    </row>
    <row r="35" spans="5:6" x14ac:dyDescent="0.25">
      <c r="E35" s="195">
        <v>2.0499999999999998</v>
      </c>
      <c r="F35" s="196" t="s">
        <v>311</v>
      </c>
    </row>
    <row r="36" spans="5:6" ht="30" x14ac:dyDescent="0.25">
      <c r="E36" s="197"/>
      <c r="F36" s="191" t="s">
        <v>312</v>
      </c>
    </row>
    <row r="37" spans="5:6" x14ac:dyDescent="0.25">
      <c r="E37" s="194"/>
      <c r="F37" s="194"/>
    </row>
    <row r="38" spans="5:6" x14ac:dyDescent="0.25">
      <c r="E38" s="195">
        <v>2.06</v>
      </c>
      <c r="F38" s="196" t="s">
        <v>313</v>
      </c>
    </row>
    <row r="39" spans="5:6" ht="390" x14ac:dyDescent="0.25">
      <c r="E39" s="197"/>
      <c r="F39" s="191" t="s">
        <v>341</v>
      </c>
    </row>
    <row r="40" spans="5:6" x14ac:dyDescent="0.25">
      <c r="E40" s="194"/>
      <c r="F40" s="194"/>
    </row>
    <row r="41" spans="5:6" x14ac:dyDescent="0.25">
      <c r="E41" s="195">
        <v>2.0699999999999998</v>
      </c>
      <c r="F41" s="196" t="s">
        <v>314</v>
      </c>
    </row>
    <row r="42" spans="5:6" ht="30" x14ac:dyDescent="0.25">
      <c r="E42" s="197"/>
      <c r="F42" s="191" t="s">
        <v>315</v>
      </c>
    </row>
    <row r="43" spans="5:6" x14ac:dyDescent="0.25">
      <c r="E43" s="194"/>
      <c r="F43" s="194"/>
    </row>
    <row r="44" spans="5:6" x14ac:dyDescent="0.25">
      <c r="E44" s="195">
        <v>2.08</v>
      </c>
      <c r="F44" s="196" t="s">
        <v>316</v>
      </c>
    </row>
    <row r="45" spans="5:6" ht="158.25" customHeight="1" x14ac:dyDescent="0.25">
      <c r="E45" s="197"/>
      <c r="F45" s="191" t="s">
        <v>317</v>
      </c>
    </row>
    <row r="46" spans="5:6" x14ac:dyDescent="0.25">
      <c r="E46" s="194"/>
      <c r="F46" s="194"/>
    </row>
    <row r="47" spans="5:6" x14ac:dyDescent="0.25">
      <c r="E47" s="195">
        <v>2.09</v>
      </c>
      <c r="F47" s="196" t="s">
        <v>97</v>
      </c>
    </row>
    <row r="48" spans="5:6" ht="78" customHeight="1" x14ac:dyDescent="0.25">
      <c r="E48" s="197"/>
      <c r="F48" s="191" t="s">
        <v>318</v>
      </c>
    </row>
    <row r="49" spans="5:6" x14ac:dyDescent="0.25">
      <c r="E49" s="194"/>
      <c r="F49" s="194"/>
    </row>
    <row r="50" spans="5:6" x14ac:dyDescent="0.25">
      <c r="E50" s="198">
        <v>2.1</v>
      </c>
      <c r="F50" s="199" t="s">
        <v>129</v>
      </c>
    </row>
    <row r="51" spans="5:6" ht="30.75" customHeight="1" x14ac:dyDescent="0.25">
      <c r="E51" s="200"/>
      <c r="F51" s="201" t="s">
        <v>319</v>
      </c>
    </row>
    <row r="52" spans="5:6" ht="60" x14ac:dyDescent="0.25">
      <c r="E52" s="197"/>
      <c r="F52" s="191" t="s">
        <v>320</v>
      </c>
    </row>
    <row r="53" spans="5:6" x14ac:dyDescent="0.25">
      <c r="E53" s="194"/>
      <c r="F53" s="194"/>
    </row>
    <row r="54" spans="5:6" x14ac:dyDescent="0.25">
      <c r="E54" s="195">
        <v>2.11</v>
      </c>
      <c r="F54" s="199" t="s">
        <v>322</v>
      </c>
    </row>
    <row r="55" spans="5:6" ht="165" x14ac:dyDescent="0.25">
      <c r="E55" s="197"/>
      <c r="F55" s="191" t="s">
        <v>321</v>
      </c>
    </row>
    <row r="56" spans="5:6" x14ac:dyDescent="0.25">
      <c r="E56" s="194"/>
      <c r="F56" s="194"/>
    </row>
    <row r="57" spans="5:6" x14ac:dyDescent="0.25">
      <c r="E57" s="195">
        <v>2.12</v>
      </c>
      <c r="F57" s="199" t="s">
        <v>131</v>
      </c>
    </row>
    <row r="58" spans="5:6" ht="105" x14ac:dyDescent="0.25">
      <c r="E58" s="197"/>
      <c r="F58" s="191" t="s">
        <v>323</v>
      </c>
    </row>
    <row r="59" spans="5:6" x14ac:dyDescent="0.25">
      <c r="E59" s="194"/>
      <c r="F59" s="194"/>
    </row>
    <row r="60" spans="5:6" x14ac:dyDescent="0.25">
      <c r="E60" s="195">
        <v>2.13</v>
      </c>
      <c r="F60" s="199" t="s">
        <v>325</v>
      </c>
    </row>
    <row r="61" spans="5:6" ht="60" x14ac:dyDescent="0.25">
      <c r="E61" s="197"/>
      <c r="F61" s="191" t="s">
        <v>324</v>
      </c>
    </row>
    <row r="62" spans="5:6" x14ac:dyDescent="0.25">
      <c r="E62" s="194"/>
      <c r="F62" s="194"/>
    </row>
    <row r="63" spans="5:6" x14ac:dyDescent="0.25">
      <c r="E63" s="195">
        <v>2.14</v>
      </c>
      <c r="F63" s="199" t="s">
        <v>327</v>
      </c>
    </row>
    <row r="64" spans="5:6" ht="134.25" customHeight="1" x14ac:dyDescent="0.25">
      <c r="E64" s="197"/>
      <c r="F64" s="191" t="s">
        <v>326</v>
      </c>
    </row>
    <row r="65" spans="5:6" x14ac:dyDescent="0.25">
      <c r="E65" s="194"/>
      <c r="F65" s="194"/>
    </row>
    <row r="66" spans="5:6" x14ac:dyDescent="0.25">
      <c r="E66" s="195">
        <v>2.15</v>
      </c>
      <c r="F66" s="199" t="s">
        <v>328</v>
      </c>
    </row>
    <row r="67" spans="5:6" ht="60" x14ac:dyDescent="0.25">
      <c r="E67" s="197"/>
      <c r="F67" s="191" t="s">
        <v>329</v>
      </c>
    </row>
    <row r="68" spans="5:6" x14ac:dyDescent="0.25">
      <c r="E68" s="194"/>
      <c r="F68" s="194"/>
    </row>
    <row r="69" spans="5:6" x14ac:dyDescent="0.25">
      <c r="E69" s="195">
        <v>2.16</v>
      </c>
      <c r="F69" s="199" t="s">
        <v>125</v>
      </c>
    </row>
    <row r="70" spans="5:6" ht="45" x14ac:dyDescent="0.25">
      <c r="E70" s="197"/>
      <c r="F70" s="191" t="s">
        <v>330</v>
      </c>
    </row>
    <row r="71" spans="5:6" x14ac:dyDescent="0.25">
      <c r="E71" s="194"/>
      <c r="F71" s="194"/>
    </row>
    <row r="72" spans="5:6" x14ac:dyDescent="0.25">
      <c r="E72" s="195">
        <v>2.17</v>
      </c>
      <c r="F72" s="199" t="s">
        <v>332</v>
      </c>
    </row>
    <row r="73" spans="5:6" ht="46.5" customHeight="1" x14ac:dyDescent="0.25">
      <c r="E73" s="197"/>
      <c r="F73" s="191" t="s">
        <v>331</v>
      </c>
    </row>
    <row r="74" spans="5:6" x14ac:dyDescent="0.25">
      <c r="E74" s="194"/>
      <c r="F74" s="194"/>
    </row>
    <row r="75" spans="5:6" x14ac:dyDescent="0.25">
      <c r="E75" s="195">
        <v>2.1800000000000002</v>
      </c>
      <c r="F75" s="199" t="s">
        <v>334</v>
      </c>
    </row>
    <row r="76" spans="5:6" ht="30" x14ac:dyDescent="0.25">
      <c r="E76" s="197"/>
      <c r="F76" s="191" t="s">
        <v>333</v>
      </c>
    </row>
    <row r="77" spans="5:6" x14ac:dyDescent="0.25">
      <c r="E77" s="194"/>
      <c r="F77" s="194"/>
    </row>
    <row r="78" spans="5:6" x14ac:dyDescent="0.25">
      <c r="E78" s="195">
        <v>2.19</v>
      </c>
      <c r="F78" s="199" t="s">
        <v>335</v>
      </c>
    </row>
    <row r="79" spans="5:6" x14ac:dyDescent="0.25">
      <c r="E79" s="197"/>
      <c r="F79" s="191" t="s">
        <v>336</v>
      </c>
    </row>
    <row r="80" spans="5:6" x14ac:dyDescent="0.25">
      <c r="E80" s="194"/>
      <c r="F80" s="194"/>
    </row>
    <row r="81" spans="5:6" x14ac:dyDescent="0.25">
      <c r="E81" s="198">
        <v>2.2000000000000002</v>
      </c>
      <c r="F81" s="199" t="s">
        <v>337</v>
      </c>
    </row>
    <row r="82" spans="5:6" ht="30" x14ac:dyDescent="0.25">
      <c r="E82" s="197"/>
      <c r="F82" s="191" t="s">
        <v>338</v>
      </c>
    </row>
  </sheetData>
  <mergeCells count="3">
    <mergeCell ref="E2:F2"/>
    <mergeCell ref="E3:F3"/>
    <mergeCell ref="E4:F4"/>
  </mergeCells>
  <pageMargins left="1" right="1" top="1" bottom="1" header="0.5" footer="0.5"/>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578008-AC72-497A-8516-6A195809FF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Chart of Accounts</vt:lpstr>
      <vt:lpstr>INVESTOR_LIST</vt:lpstr>
      <vt:lpstr>Journals</vt:lpstr>
      <vt:lpstr>TB-C</vt:lpstr>
      <vt:lpstr>TB-P</vt:lpstr>
      <vt:lpstr>BS</vt:lpstr>
      <vt:lpstr>IS</vt:lpstr>
      <vt:lpstr>E</vt:lpstr>
      <vt:lpstr>CF</vt:lpstr>
      <vt:lpstr>W C &amp; I</vt:lpstr>
      <vt:lpstr>Bank Interest</vt:lpstr>
      <vt:lpstr>Policy Notes</vt:lpstr>
      <vt:lpstr>CURRENT_NAV</vt:lpstr>
      <vt:lpstr>NAV</vt:lpstr>
      <vt:lpstr>NAV_MKT</vt:lpstr>
      <vt:lpstr>CF!Print_Area</vt:lpstr>
      <vt:lpstr>E!Print_Area</vt:lpstr>
      <vt:lpstr>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2026-03-25T09:31:08Z</dcterms:modified>
</cp:coreProperties>
</file>